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medicaid-my.sharepoint.com/personal/bill_hardin_medicaid_ms_gov/Documents/Desktop/"/>
    </mc:Choice>
  </mc:AlternateContent>
  <xr:revisionPtr revIDLastSave="0" documentId="8_{AACC8169-AA09-45DA-96EF-7270E0E5552F}" xr6:coauthVersionLast="47" xr6:coauthVersionMax="47" xr10:uidLastSave="{00000000-0000-0000-0000-000000000000}"/>
  <bookViews>
    <workbookView xWindow="57480" yWindow="-120" windowWidth="29040" windowHeight="15720" xr2:uid="{B1B987D7-1003-4536-9088-5922AA5EA495}"/>
  </bookViews>
  <sheets>
    <sheet name="Sheet1" sheetId="1" r:id="rId1"/>
  </sheets>
  <definedNames>
    <definedName name="_xlnm._FilterDatabase" localSheetId="0" hidden="1">Sheet1!$A$6:$F$25026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026" i="1" l="1"/>
  <c r="E25026" i="1"/>
  <c r="D25026" i="1"/>
  <c r="C25026" i="1"/>
  <c r="B25026" i="1"/>
  <c r="A25026" i="1"/>
  <c r="F25025" i="1"/>
  <c r="E25025" i="1"/>
  <c r="D25025" i="1"/>
  <c r="C25025" i="1"/>
  <c r="B25025" i="1"/>
  <c r="A25025" i="1"/>
  <c r="F25024" i="1"/>
  <c r="E25024" i="1"/>
  <c r="D25024" i="1"/>
  <c r="C25024" i="1"/>
  <c r="B25024" i="1"/>
  <c r="A25024" i="1"/>
  <c r="F25023" i="1"/>
  <c r="E25023" i="1"/>
  <c r="D25023" i="1"/>
  <c r="C25023" i="1"/>
  <c r="B25023" i="1"/>
  <c r="A25023" i="1"/>
  <c r="F25022" i="1"/>
  <c r="E25022" i="1"/>
  <c r="D25022" i="1"/>
  <c r="C25022" i="1"/>
  <c r="B25022" i="1"/>
  <c r="A25022" i="1"/>
  <c r="F25021" i="1"/>
  <c r="E25021" i="1"/>
  <c r="D25021" i="1"/>
  <c r="C25021" i="1"/>
  <c r="B25021" i="1"/>
  <c r="A25021" i="1"/>
  <c r="F25020" i="1"/>
  <c r="E25020" i="1"/>
  <c r="D25020" i="1"/>
  <c r="C25020" i="1"/>
  <c r="B25020" i="1"/>
  <c r="A25020" i="1"/>
  <c r="F25019" i="1"/>
  <c r="E25019" i="1"/>
  <c r="D25019" i="1"/>
  <c r="C25019" i="1"/>
  <c r="B25019" i="1"/>
  <c r="A25019" i="1"/>
  <c r="F25018" i="1"/>
  <c r="E25018" i="1"/>
  <c r="D25018" i="1"/>
  <c r="C25018" i="1"/>
  <c r="B25018" i="1"/>
  <c r="A25018" i="1"/>
  <c r="F25017" i="1"/>
  <c r="E25017" i="1"/>
  <c r="D25017" i="1"/>
  <c r="C25017" i="1"/>
  <c r="B25017" i="1"/>
  <c r="A25017" i="1"/>
  <c r="F25016" i="1"/>
  <c r="E25016" i="1"/>
  <c r="D25016" i="1"/>
  <c r="C25016" i="1"/>
  <c r="B25016" i="1"/>
  <c r="A25016" i="1"/>
  <c r="F25015" i="1"/>
  <c r="E25015" i="1"/>
  <c r="D25015" i="1"/>
  <c r="C25015" i="1"/>
  <c r="B25015" i="1"/>
  <c r="A25015" i="1"/>
  <c r="F25014" i="1"/>
  <c r="E25014" i="1"/>
  <c r="D25014" i="1"/>
  <c r="C25014" i="1"/>
  <c r="B25014" i="1"/>
  <c r="A25014" i="1"/>
  <c r="F25013" i="1"/>
  <c r="E25013" i="1"/>
  <c r="D25013" i="1"/>
  <c r="C25013" i="1"/>
  <c r="B25013" i="1"/>
  <c r="A25013" i="1"/>
  <c r="F25012" i="1"/>
  <c r="E25012" i="1"/>
  <c r="D25012" i="1"/>
  <c r="C25012" i="1"/>
  <c r="B25012" i="1"/>
  <c r="A25012" i="1"/>
  <c r="F25011" i="1"/>
  <c r="E25011" i="1"/>
  <c r="D25011" i="1"/>
  <c r="C25011" i="1"/>
  <c r="B25011" i="1"/>
  <c r="A25011" i="1"/>
  <c r="F25010" i="1"/>
  <c r="E25010" i="1"/>
  <c r="D25010" i="1"/>
  <c r="C25010" i="1"/>
  <c r="B25010" i="1"/>
  <c r="A25010" i="1"/>
  <c r="F25009" i="1"/>
  <c r="E25009" i="1"/>
  <c r="D25009" i="1"/>
  <c r="C25009" i="1"/>
  <c r="B25009" i="1"/>
  <c r="A25009" i="1"/>
  <c r="F25008" i="1"/>
  <c r="E25008" i="1"/>
  <c r="D25008" i="1"/>
  <c r="C25008" i="1"/>
  <c r="B25008" i="1"/>
  <c r="A25008" i="1"/>
  <c r="F25007" i="1"/>
  <c r="E25007" i="1"/>
  <c r="D25007" i="1"/>
  <c r="C25007" i="1"/>
  <c r="B25007" i="1"/>
  <c r="A25007" i="1"/>
  <c r="F25006" i="1"/>
  <c r="E25006" i="1"/>
  <c r="D25006" i="1"/>
  <c r="C25006" i="1"/>
  <c r="B25006" i="1"/>
  <c r="A25006" i="1"/>
  <c r="F25005" i="1"/>
  <c r="E25005" i="1"/>
  <c r="D25005" i="1"/>
  <c r="C25005" i="1"/>
  <c r="B25005" i="1"/>
  <c r="A25005" i="1"/>
  <c r="F25004" i="1"/>
  <c r="E25004" i="1"/>
  <c r="D25004" i="1"/>
  <c r="C25004" i="1"/>
  <c r="B25004" i="1"/>
  <c r="A25004" i="1"/>
  <c r="F25003" i="1"/>
  <c r="E25003" i="1"/>
  <c r="D25003" i="1"/>
  <c r="C25003" i="1"/>
  <c r="B25003" i="1"/>
  <c r="A25003" i="1"/>
  <c r="F25002" i="1"/>
  <c r="E25002" i="1"/>
  <c r="D25002" i="1"/>
  <c r="C25002" i="1"/>
  <c r="B25002" i="1"/>
  <c r="A25002" i="1"/>
  <c r="F25001" i="1"/>
  <c r="E25001" i="1"/>
  <c r="D25001" i="1"/>
  <c r="C25001" i="1"/>
  <c r="B25001" i="1"/>
  <c r="A25001" i="1"/>
  <c r="F25000" i="1"/>
  <c r="E25000" i="1"/>
  <c r="D25000" i="1"/>
  <c r="C25000" i="1"/>
  <c r="B25000" i="1"/>
  <c r="A25000" i="1"/>
  <c r="F24999" i="1"/>
  <c r="E24999" i="1"/>
  <c r="D24999" i="1"/>
  <c r="C24999" i="1"/>
  <c r="B24999" i="1"/>
  <c r="A24999" i="1"/>
  <c r="F24998" i="1"/>
  <c r="E24998" i="1"/>
  <c r="D24998" i="1"/>
  <c r="C24998" i="1"/>
  <c r="B24998" i="1"/>
  <c r="A24998" i="1"/>
  <c r="F24997" i="1"/>
  <c r="E24997" i="1"/>
  <c r="D24997" i="1"/>
  <c r="C24997" i="1"/>
  <c r="B24997" i="1"/>
  <c r="A24997" i="1"/>
  <c r="F24996" i="1"/>
  <c r="E24996" i="1"/>
  <c r="D24996" i="1"/>
  <c r="C24996" i="1"/>
  <c r="B24996" i="1"/>
  <c r="A24996" i="1"/>
  <c r="F24995" i="1"/>
  <c r="E24995" i="1"/>
  <c r="D24995" i="1"/>
  <c r="C24995" i="1"/>
  <c r="B24995" i="1"/>
  <c r="A24995" i="1"/>
  <c r="F24994" i="1"/>
  <c r="E24994" i="1"/>
  <c r="D24994" i="1"/>
  <c r="C24994" i="1"/>
  <c r="B24994" i="1"/>
  <c r="A24994" i="1"/>
  <c r="F24993" i="1"/>
  <c r="E24993" i="1"/>
  <c r="D24993" i="1"/>
  <c r="C24993" i="1"/>
  <c r="B24993" i="1"/>
  <c r="A24993" i="1"/>
  <c r="F24992" i="1"/>
  <c r="E24992" i="1"/>
  <c r="D24992" i="1"/>
  <c r="C24992" i="1"/>
  <c r="B24992" i="1"/>
  <c r="A24992" i="1"/>
  <c r="F24991" i="1"/>
  <c r="E24991" i="1"/>
  <c r="D24991" i="1"/>
  <c r="C24991" i="1"/>
  <c r="B24991" i="1"/>
  <c r="A24991" i="1"/>
  <c r="F24990" i="1"/>
  <c r="E24990" i="1"/>
  <c r="D24990" i="1"/>
  <c r="C24990" i="1"/>
  <c r="B24990" i="1"/>
  <c r="A24990" i="1"/>
  <c r="F24989" i="1"/>
  <c r="E24989" i="1"/>
  <c r="D24989" i="1"/>
  <c r="C24989" i="1"/>
  <c r="B24989" i="1"/>
  <c r="A24989" i="1"/>
  <c r="F24988" i="1"/>
  <c r="E24988" i="1"/>
  <c r="D24988" i="1"/>
  <c r="C24988" i="1"/>
  <c r="B24988" i="1"/>
  <c r="A24988" i="1"/>
  <c r="F24987" i="1"/>
  <c r="E24987" i="1"/>
  <c r="D24987" i="1"/>
  <c r="C24987" i="1"/>
  <c r="B24987" i="1"/>
  <c r="A24987" i="1"/>
  <c r="F24986" i="1"/>
  <c r="E24986" i="1"/>
  <c r="D24986" i="1"/>
  <c r="C24986" i="1"/>
  <c r="B24986" i="1"/>
  <c r="A24986" i="1"/>
  <c r="F24985" i="1"/>
  <c r="E24985" i="1"/>
  <c r="D24985" i="1"/>
  <c r="C24985" i="1"/>
  <c r="B24985" i="1"/>
  <c r="A24985" i="1"/>
  <c r="F24984" i="1"/>
  <c r="E24984" i="1"/>
  <c r="D24984" i="1"/>
  <c r="C24984" i="1"/>
  <c r="B24984" i="1"/>
  <c r="A24984" i="1"/>
  <c r="F24983" i="1"/>
  <c r="E24983" i="1"/>
  <c r="D24983" i="1"/>
  <c r="C24983" i="1"/>
  <c r="B24983" i="1"/>
  <c r="A24983" i="1"/>
  <c r="F24982" i="1"/>
  <c r="E24982" i="1"/>
  <c r="D24982" i="1"/>
  <c r="C24982" i="1"/>
  <c r="B24982" i="1"/>
  <c r="A24982" i="1"/>
  <c r="F24981" i="1"/>
  <c r="E24981" i="1"/>
  <c r="D24981" i="1"/>
  <c r="C24981" i="1"/>
  <c r="B24981" i="1"/>
  <c r="A24981" i="1"/>
  <c r="F24980" i="1"/>
  <c r="E24980" i="1"/>
  <c r="D24980" i="1"/>
  <c r="C24980" i="1"/>
  <c r="B24980" i="1"/>
  <c r="A24980" i="1"/>
  <c r="F24979" i="1"/>
  <c r="E24979" i="1"/>
  <c r="D24979" i="1"/>
  <c r="C24979" i="1"/>
  <c r="B24979" i="1"/>
  <c r="A24979" i="1"/>
  <c r="F24978" i="1"/>
  <c r="E24978" i="1"/>
  <c r="D24978" i="1"/>
  <c r="C24978" i="1"/>
  <c r="B24978" i="1"/>
  <c r="A24978" i="1"/>
  <c r="F24977" i="1"/>
  <c r="E24977" i="1"/>
  <c r="D24977" i="1"/>
  <c r="C24977" i="1"/>
  <c r="B24977" i="1"/>
  <c r="A24977" i="1"/>
  <c r="F24976" i="1"/>
  <c r="E24976" i="1"/>
  <c r="D24976" i="1"/>
  <c r="C24976" i="1"/>
  <c r="B24976" i="1"/>
  <c r="A24976" i="1"/>
  <c r="F24975" i="1"/>
  <c r="E24975" i="1"/>
  <c r="D24975" i="1"/>
  <c r="C24975" i="1"/>
  <c r="B24975" i="1"/>
  <c r="A24975" i="1"/>
  <c r="F24974" i="1"/>
  <c r="E24974" i="1"/>
  <c r="D24974" i="1"/>
  <c r="C24974" i="1"/>
  <c r="B24974" i="1"/>
  <c r="A24974" i="1"/>
  <c r="F24973" i="1"/>
  <c r="E24973" i="1"/>
  <c r="D24973" i="1"/>
  <c r="C24973" i="1"/>
  <c r="B24973" i="1"/>
  <c r="A24973" i="1"/>
  <c r="F24972" i="1"/>
  <c r="E24972" i="1"/>
  <c r="D24972" i="1"/>
  <c r="C24972" i="1"/>
  <c r="B24972" i="1"/>
  <c r="A24972" i="1"/>
  <c r="F24971" i="1"/>
  <c r="E24971" i="1"/>
  <c r="D24971" i="1"/>
  <c r="C24971" i="1"/>
  <c r="B24971" i="1"/>
  <c r="A24971" i="1"/>
  <c r="F24970" i="1"/>
  <c r="E24970" i="1"/>
  <c r="D24970" i="1"/>
  <c r="C24970" i="1"/>
  <c r="B24970" i="1"/>
  <c r="A24970" i="1"/>
  <c r="F24969" i="1"/>
  <c r="E24969" i="1"/>
  <c r="D24969" i="1"/>
  <c r="C24969" i="1"/>
  <c r="B24969" i="1"/>
  <c r="A24969" i="1"/>
  <c r="F24968" i="1"/>
  <c r="E24968" i="1"/>
  <c r="D24968" i="1"/>
  <c r="C24968" i="1"/>
  <c r="B24968" i="1"/>
  <c r="A24968" i="1"/>
  <c r="F24967" i="1"/>
  <c r="E24967" i="1"/>
  <c r="D24967" i="1"/>
  <c r="C24967" i="1"/>
  <c r="B24967" i="1"/>
  <c r="A24967" i="1"/>
  <c r="F24966" i="1"/>
  <c r="E24966" i="1"/>
  <c r="D24966" i="1"/>
  <c r="C24966" i="1"/>
  <c r="B24966" i="1"/>
  <c r="A24966" i="1"/>
  <c r="F24965" i="1"/>
  <c r="E24965" i="1"/>
  <c r="D24965" i="1"/>
  <c r="C24965" i="1"/>
  <c r="B24965" i="1"/>
  <c r="A24965" i="1"/>
  <c r="F24964" i="1"/>
  <c r="E24964" i="1"/>
  <c r="D24964" i="1"/>
  <c r="C24964" i="1"/>
  <c r="B24964" i="1"/>
  <c r="A24964" i="1"/>
  <c r="F24963" i="1"/>
  <c r="E24963" i="1"/>
  <c r="D24963" i="1"/>
  <c r="C24963" i="1"/>
  <c r="B24963" i="1"/>
  <c r="A24963" i="1"/>
  <c r="F24962" i="1"/>
  <c r="E24962" i="1"/>
  <c r="D24962" i="1"/>
  <c r="C24962" i="1"/>
  <c r="B24962" i="1"/>
  <c r="A24962" i="1"/>
  <c r="F24961" i="1"/>
  <c r="E24961" i="1"/>
  <c r="D24961" i="1"/>
  <c r="C24961" i="1"/>
  <c r="B24961" i="1"/>
  <c r="A24961" i="1"/>
  <c r="F24960" i="1"/>
  <c r="E24960" i="1"/>
  <c r="D24960" i="1"/>
  <c r="C24960" i="1"/>
  <c r="B24960" i="1"/>
  <c r="A24960" i="1"/>
  <c r="F24959" i="1"/>
  <c r="E24959" i="1"/>
  <c r="D24959" i="1"/>
  <c r="C24959" i="1"/>
  <c r="B24959" i="1"/>
  <c r="A24959" i="1"/>
  <c r="F24958" i="1"/>
  <c r="E24958" i="1"/>
  <c r="D24958" i="1"/>
  <c r="C24958" i="1"/>
  <c r="B24958" i="1"/>
  <c r="A24958" i="1"/>
  <c r="F24957" i="1"/>
  <c r="E24957" i="1"/>
  <c r="D24957" i="1"/>
  <c r="C24957" i="1"/>
  <c r="B24957" i="1"/>
  <c r="A24957" i="1"/>
  <c r="F24956" i="1"/>
  <c r="E24956" i="1"/>
  <c r="D24956" i="1"/>
  <c r="C24956" i="1"/>
  <c r="B24956" i="1"/>
  <c r="A24956" i="1"/>
  <c r="F24955" i="1"/>
  <c r="E24955" i="1"/>
  <c r="D24955" i="1"/>
  <c r="C24955" i="1"/>
  <c r="B24955" i="1"/>
  <c r="A24955" i="1"/>
  <c r="F24954" i="1"/>
  <c r="E24954" i="1"/>
  <c r="D24954" i="1"/>
  <c r="C24954" i="1"/>
  <c r="B24954" i="1"/>
  <c r="A24954" i="1"/>
  <c r="F24953" i="1"/>
  <c r="E24953" i="1"/>
  <c r="D24953" i="1"/>
  <c r="C24953" i="1"/>
  <c r="B24953" i="1"/>
  <c r="A24953" i="1"/>
  <c r="F24952" i="1"/>
  <c r="E24952" i="1"/>
  <c r="D24952" i="1"/>
  <c r="C24952" i="1"/>
  <c r="B24952" i="1"/>
  <c r="A24952" i="1"/>
  <c r="F24951" i="1"/>
  <c r="E24951" i="1"/>
  <c r="D24951" i="1"/>
  <c r="C24951" i="1"/>
  <c r="B24951" i="1"/>
  <c r="A24951" i="1"/>
  <c r="F24950" i="1"/>
  <c r="E24950" i="1"/>
  <c r="D24950" i="1"/>
  <c r="C24950" i="1"/>
  <c r="B24950" i="1"/>
  <c r="A24950" i="1"/>
  <c r="F24949" i="1"/>
  <c r="E24949" i="1"/>
  <c r="D24949" i="1"/>
  <c r="C24949" i="1"/>
  <c r="B24949" i="1"/>
  <c r="A24949" i="1"/>
  <c r="F24948" i="1"/>
  <c r="E24948" i="1"/>
  <c r="D24948" i="1"/>
  <c r="C24948" i="1"/>
  <c r="B24948" i="1"/>
  <c r="A24948" i="1"/>
  <c r="F24947" i="1"/>
  <c r="E24947" i="1"/>
  <c r="D24947" i="1"/>
  <c r="C24947" i="1"/>
  <c r="B24947" i="1"/>
  <c r="A24947" i="1"/>
  <c r="F24946" i="1"/>
  <c r="E24946" i="1"/>
  <c r="D24946" i="1"/>
  <c r="C24946" i="1"/>
  <c r="B24946" i="1"/>
  <c r="A24946" i="1"/>
  <c r="F24945" i="1"/>
  <c r="E24945" i="1"/>
  <c r="D24945" i="1"/>
  <c r="C24945" i="1"/>
  <c r="B24945" i="1"/>
  <c r="A24945" i="1"/>
  <c r="F24944" i="1"/>
  <c r="E24944" i="1"/>
  <c r="D24944" i="1"/>
  <c r="C24944" i="1"/>
  <c r="B24944" i="1"/>
  <c r="A24944" i="1"/>
  <c r="F24943" i="1"/>
  <c r="E24943" i="1"/>
  <c r="D24943" i="1"/>
  <c r="C24943" i="1"/>
  <c r="B24943" i="1"/>
  <c r="A24943" i="1"/>
  <c r="F24942" i="1"/>
  <c r="E24942" i="1"/>
  <c r="D24942" i="1"/>
  <c r="C24942" i="1"/>
  <c r="B24942" i="1"/>
  <c r="A24942" i="1"/>
  <c r="F24941" i="1"/>
  <c r="E24941" i="1"/>
  <c r="D24941" i="1"/>
  <c r="C24941" i="1"/>
  <c r="B24941" i="1"/>
  <c r="A24941" i="1"/>
  <c r="F24940" i="1"/>
  <c r="E24940" i="1"/>
  <c r="D24940" i="1"/>
  <c r="C24940" i="1"/>
  <c r="B24940" i="1"/>
  <c r="A24940" i="1"/>
  <c r="F24939" i="1"/>
  <c r="E24939" i="1"/>
  <c r="D24939" i="1"/>
  <c r="C24939" i="1"/>
  <c r="B24939" i="1"/>
  <c r="A24939" i="1"/>
  <c r="F24938" i="1"/>
  <c r="E24938" i="1"/>
  <c r="D24938" i="1"/>
  <c r="C24938" i="1"/>
  <c r="B24938" i="1"/>
  <c r="A24938" i="1"/>
  <c r="F24937" i="1"/>
  <c r="E24937" i="1"/>
  <c r="D24937" i="1"/>
  <c r="C24937" i="1"/>
  <c r="B24937" i="1"/>
  <c r="A24937" i="1"/>
  <c r="F24936" i="1"/>
  <c r="E24936" i="1"/>
  <c r="D24936" i="1"/>
  <c r="C24936" i="1"/>
  <c r="B24936" i="1"/>
  <c r="A24936" i="1"/>
  <c r="F24935" i="1"/>
  <c r="E24935" i="1"/>
  <c r="D24935" i="1"/>
  <c r="C24935" i="1"/>
  <c r="B24935" i="1"/>
  <c r="A24935" i="1"/>
  <c r="F24934" i="1"/>
  <c r="E24934" i="1"/>
  <c r="D24934" i="1"/>
  <c r="C24934" i="1"/>
  <c r="B24934" i="1"/>
  <c r="A24934" i="1"/>
  <c r="F24933" i="1"/>
  <c r="E24933" i="1"/>
  <c r="D24933" i="1"/>
  <c r="C24933" i="1"/>
  <c r="B24933" i="1"/>
  <c r="A24933" i="1"/>
  <c r="F24932" i="1"/>
  <c r="E24932" i="1"/>
  <c r="D24932" i="1"/>
  <c r="C24932" i="1"/>
  <c r="B24932" i="1"/>
  <c r="A24932" i="1"/>
  <c r="F24931" i="1"/>
  <c r="E24931" i="1"/>
  <c r="D24931" i="1"/>
  <c r="C24931" i="1"/>
  <c r="B24931" i="1"/>
  <c r="A24931" i="1"/>
  <c r="F24930" i="1"/>
  <c r="E24930" i="1"/>
  <c r="D24930" i="1"/>
  <c r="C24930" i="1"/>
  <c r="B24930" i="1"/>
  <c r="A24930" i="1"/>
  <c r="F24929" i="1"/>
  <c r="E24929" i="1"/>
  <c r="D24929" i="1"/>
  <c r="C24929" i="1"/>
  <c r="B24929" i="1"/>
  <c r="A24929" i="1"/>
  <c r="F24928" i="1"/>
  <c r="E24928" i="1"/>
  <c r="D24928" i="1"/>
  <c r="C24928" i="1"/>
  <c r="B24928" i="1"/>
  <c r="A24928" i="1"/>
  <c r="F24927" i="1"/>
  <c r="E24927" i="1"/>
  <c r="D24927" i="1"/>
  <c r="C24927" i="1"/>
  <c r="B24927" i="1"/>
  <c r="A24927" i="1"/>
  <c r="F24926" i="1"/>
  <c r="E24926" i="1"/>
  <c r="D24926" i="1"/>
  <c r="C24926" i="1"/>
  <c r="B24926" i="1"/>
  <c r="A24926" i="1"/>
  <c r="F24925" i="1"/>
  <c r="E24925" i="1"/>
  <c r="D24925" i="1"/>
  <c r="C24925" i="1"/>
  <c r="B24925" i="1"/>
  <c r="A24925" i="1"/>
  <c r="F24924" i="1"/>
  <c r="E24924" i="1"/>
  <c r="D24924" i="1"/>
  <c r="C24924" i="1"/>
  <c r="B24924" i="1"/>
  <c r="A24924" i="1"/>
  <c r="F24923" i="1"/>
  <c r="E24923" i="1"/>
  <c r="D24923" i="1"/>
  <c r="C24923" i="1"/>
  <c r="B24923" i="1"/>
  <c r="A24923" i="1"/>
  <c r="F24922" i="1"/>
  <c r="E24922" i="1"/>
  <c r="D24922" i="1"/>
  <c r="C24922" i="1"/>
  <c r="B24922" i="1"/>
  <c r="A24922" i="1"/>
  <c r="F24921" i="1"/>
  <c r="E24921" i="1"/>
  <c r="D24921" i="1"/>
  <c r="C24921" i="1"/>
  <c r="B24921" i="1"/>
  <c r="A24921" i="1"/>
  <c r="F24920" i="1"/>
  <c r="E24920" i="1"/>
  <c r="D24920" i="1"/>
  <c r="C24920" i="1"/>
  <c r="B24920" i="1"/>
  <c r="A24920" i="1"/>
  <c r="F24919" i="1"/>
  <c r="E24919" i="1"/>
  <c r="D24919" i="1"/>
  <c r="C24919" i="1"/>
  <c r="B24919" i="1"/>
  <c r="A24919" i="1"/>
  <c r="F24918" i="1"/>
  <c r="E24918" i="1"/>
  <c r="D24918" i="1"/>
  <c r="C24918" i="1"/>
  <c r="B24918" i="1"/>
  <c r="A24918" i="1"/>
  <c r="F24917" i="1"/>
  <c r="E24917" i="1"/>
  <c r="D24917" i="1"/>
  <c r="C24917" i="1"/>
  <c r="B24917" i="1"/>
  <c r="A24917" i="1"/>
  <c r="F24916" i="1"/>
  <c r="E24916" i="1"/>
  <c r="D24916" i="1"/>
  <c r="C24916" i="1"/>
  <c r="B24916" i="1"/>
  <c r="A24916" i="1"/>
  <c r="F24915" i="1"/>
  <c r="E24915" i="1"/>
  <c r="D24915" i="1"/>
  <c r="C24915" i="1"/>
  <c r="B24915" i="1"/>
  <c r="A24915" i="1"/>
  <c r="F24914" i="1"/>
  <c r="E24914" i="1"/>
  <c r="D24914" i="1"/>
  <c r="C24914" i="1"/>
  <c r="B24914" i="1"/>
  <c r="A24914" i="1"/>
  <c r="F24913" i="1"/>
  <c r="E24913" i="1"/>
  <c r="D24913" i="1"/>
  <c r="C24913" i="1"/>
  <c r="B24913" i="1"/>
  <c r="A24913" i="1"/>
  <c r="F24912" i="1"/>
  <c r="E24912" i="1"/>
  <c r="D24912" i="1"/>
  <c r="C24912" i="1"/>
  <c r="B24912" i="1"/>
  <c r="A24912" i="1"/>
  <c r="F24911" i="1"/>
  <c r="E24911" i="1"/>
  <c r="D24911" i="1"/>
  <c r="C24911" i="1"/>
  <c r="B24911" i="1"/>
  <c r="A24911" i="1"/>
  <c r="F24910" i="1"/>
  <c r="E24910" i="1"/>
  <c r="D24910" i="1"/>
  <c r="C24910" i="1"/>
  <c r="B24910" i="1"/>
  <c r="A24910" i="1"/>
  <c r="F24909" i="1"/>
  <c r="E24909" i="1"/>
  <c r="D24909" i="1"/>
  <c r="C24909" i="1"/>
  <c r="B24909" i="1"/>
  <c r="A24909" i="1"/>
  <c r="F24908" i="1"/>
  <c r="E24908" i="1"/>
  <c r="D24908" i="1"/>
  <c r="C24908" i="1"/>
  <c r="B24908" i="1"/>
  <c r="A24908" i="1"/>
  <c r="F24907" i="1"/>
  <c r="E24907" i="1"/>
  <c r="D24907" i="1"/>
  <c r="C24907" i="1"/>
  <c r="B24907" i="1"/>
  <c r="A24907" i="1"/>
  <c r="F24906" i="1"/>
  <c r="E24906" i="1"/>
  <c r="D24906" i="1"/>
  <c r="C24906" i="1"/>
  <c r="B24906" i="1"/>
  <c r="A24906" i="1"/>
  <c r="F24905" i="1"/>
  <c r="E24905" i="1"/>
  <c r="D24905" i="1"/>
  <c r="C24905" i="1"/>
  <c r="B24905" i="1"/>
  <c r="A24905" i="1"/>
  <c r="F24904" i="1"/>
  <c r="E24904" i="1"/>
  <c r="D24904" i="1"/>
  <c r="C24904" i="1"/>
  <c r="B24904" i="1"/>
  <c r="A24904" i="1"/>
  <c r="F24903" i="1"/>
  <c r="E24903" i="1"/>
  <c r="D24903" i="1"/>
  <c r="C24903" i="1"/>
  <c r="B24903" i="1"/>
  <c r="A24903" i="1"/>
  <c r="F24902" i="1"/>
  <c r="E24902" i="1"/>
  <c r="D24902" i="1"/>
  <c r="C24902" i="1"/>
  <c r="B24902" i="1"/>
  <c r="A24902" i="1"/>
  <c r="F24901" i="1"/>
  <c r="E24901" i="1"/>
  <c r="D24901" i="1"/>
  <c r="C24901" i="1"/>
  <c r="B24901" i="1"/>
  <c r="A24901" i="1"/>
  <c r="F24900" i="1"/>
  <c r="E24900" i="1"/>
  <c r="D24900" i="1"/>
  <c r="C24900" i="1"/>
  <c r="B24900" i="1"/>
  <c r="A24900" i="1"/>
  <c r="F24899" i="1"/>
  <c r="E24899" i="1"/>
  <c r="D24899" i="1"/>
  <c r="C24899" i="1"/>
  <c r="B24899" i="1"/>
  <c r="A24899" i="1"/>
  <c r="F24898" i="1"/>
  <c r="E24898" i="1"/>
  <c r="D24898" i="1"/>
  <c r="C24898" i="1"/>
  <c r="B24898" i="1"/>
  <c r="A24898" i="1"/>
  <c r="F24897" i="1"/>
  <c r="E24897" i="1"/>
  <c r="D24897" i="1"/>
  <c r="C24897" i="1"/>
  <c r="B24897" i="1"/>
  <c r="A24897" i="1"/>
  <c r="F24896" i="1"/>
  <c r="E24896" i="1"/>
  <c r="D24896" i="1"/>
  <c r="C24896" i="1"/>
  <c r="B24896" i="1"/>
  <c r="A24896" i="1"/>
  <c r="F24895" i="1"/>
  <c r="E24895" i="1"/>
  <c r="D24895" i="1"/>
  <c r="C24895" i="1"/>
  <c r="B24895" i="1"/>
  <c r="A24895" i="1"/>
  <c r="F24894" i="1"/>
  <c r="E24894" i="1"/>
  <c r="D24894" i="1"/>
  <c r="C24894" i="1"/>
  <c r="B24894" i="1"/>
  <c r="A24894" i="1"/>
  <c r="F24893" i="1"/>
  <c r="E24893" i="1"/>
  <c r="D24893" i="1"/>
  <c r="C24893" i="1"/>
  <c r="B24893" i="1"/>
  <c r="A24893" i="1"/>
  <c r="F24892" i="1"/>
  <c r="E24892" i="1"/>
  <c r="D24892" i="1"/>
  <c r="C24892" i="1"/>
  <c r="B24892" i="1"/>
  <c r="A24892" i="1"/>
  <c r="F24891" i="1"/>
  <c r="E24891" i="1"/>
  <c r="D24891" i="1"/>
  <c r="C24891" i="1"/>
  <c r="B24891" i="1"/>
  <c r="A24891" i="1"/>
  <c r="F24890" i="1"/>
  <c r="E24890" i="1"/>
  <c r="D24890" i="1"/>
  <c r="C24890" i="1"/>
  <c r="B24890" i="1"/>
  <c r="A24890" i="1"/>
  <c r="F24889" i="1"/>
  <c r="E24889" i="1"/>
  <c r="D24889" i="1"/>
  <c r="C24889" i="1"/>
  <c r="B24889" i="1"/>
  <c r="A24889" i="1"/>
  <c r="F24888" i="1"/>
  <c r="E24888" i="1"/>
  <c r="D24888" i="1"/>
  <c r="C24888" i="1"/>
  <c r="B24888" i="1"/>
  <c r="A24888" i="1"/>
  <c r="F24887" i="1"/>
  <c r="E24887" i="1"/>
  <c r="D24887" i="1"/>
  <c r="C24887" i="1"/>
  <c r="B24887" i="1"/>
  <c r="A24887" i="1"/>
  <c r="F24886" i="1"/>
  <c r="E24886" i="1"/>
  <c r="D24886" i="1"/>
  <c r="C24886" i="1"/>
  <c r="B24886" i="1"/>
  <c r="A24886" i="1"/>
  <c r="F24885" i="1"/>
  <c r="E24885" i="1"/>
  <c r="D24885" i="1"/>
  <c r="C24885" i="1"/>
  <c r="B24885" i="1"/>
  <c r="A24885" i="1"/>
  <c r="F24884" i="1"/>
  <c r="E24884" i="1"/>
  <c r="D24884" i="1"/>
  <c r="C24884" i="1"/>
  <c r="B24884" i="1"/>
  <c r="A24884" i="1"/>
  <c r="F24883" i="1"/>
  <c r="E24883" i="1"/>
  <c r="D24883" i="1"/>
  <c r="C24883" i="1"/>
  <c r="B24883" i="1"/>
  <c r="A24883" i="1"/>
  <c r="F24882" i="1"/>
  <c r="E24882" i="1"/>
  <c r="D24882" i="1"/>
  <c r="C24882" i="1"/>
  <c r="B24882" i="1"/>
  <c r="A24882" i="1"/>
  <c r="F24881" i="1"/>
  <c r="E24881" i="1"/>
  <c r="D24881" i="1"/>
  <c r="C24881" i="1"/>
  <c r="B24881" i="1"/>
  <c r="A24881" i="1"/>
  <c r="F24880" i="1"/>
  <c r="E24880" i="1"/>
  <c r="D24880" i="1"/>
  <c r="C24880" i="1"/>
  <c r="B24880" i="1"/>
  <c r="A24880" i="1"/>
  <c r="F24879" i="1"/>
  <c r="E24879" i="1"/>
  <c r="D24879" i="1"/>
  <c r="C24879" i="1"/>
  <c r="B24879" i="1"/>
  <c r="A24879" i="1"/>
  <c r="F24878" i="1"/>
  <c r="E24878" i="1"/>
  <c r="D24878" i="1"/>
  <c r="C24878" i="1"/>
  <c r="B24878" i="1"/>
  <c r="A24878" i="1"/>
  <c r="F24877" i="1"/>
  <c r="E24877" i="1"/>
  <c r="D24877" i="1"/>
  <c r="C24877" i="1"/>
  <c r="B24877" i="1"/>
  <c r="A24877" i="1"/>
  <c r="F24876" i="1"/>
  <c r="E24876" i="1"/>
  <c r="D24876" i="1"/>
  <c r="C24876" i="1"/>
  <c r="B24876" i="1"/>
  <c r="A24876" i="1"/>
  <c r="F24875" i="1"/>
  <c r="E24875" i="1"/>
  <c r="D24875" i="1"/>
  <c r="C24875" i="1"/>
  <c r="B24875" i="1"/>
  <c r="A24875" i="1"/>
  <c r="F24874" i="1"/>
  <c r="E24874" i="1"/>
  <c r="D24874" i="1"/>
  <c r="C24874" i="1"/>
  <c r="B24874" i="1"/>
  <c r="A24874" i="1"/>
  <c r="F24873" i="1"/>
  <c r="E24873" i="1"/>
  <c r="D24873" i="1"/>
  <c r="C24873" i="1"/>
  <c r="B24873" i="1"/>
  <c r="A24873" i="1"/>
  <c r="F24872" i="1"/>
  <c r="E24872" i="1"/>
  <c r="D24872" i="1"/>
  <c r="C24872" i="1"/>
  <c r="B24872" i="1"/>
  <c r="A24872" i="1"/>
  <c r="F24871" i="1"/>
  <c r="E24871" i="1"/>
  <c r="D24871" i="1"/>
  <c r="C24871" i="1"/>
  <c r="B24871" i="1"/>
  <c r="A24871" i="1"/>
  <c r="F24870" i="1"/>
  <c r="E24870" i="1"/>
  <c r="D24870" i="1"/>
  <c r="C24870" i="1"/>
  <c r="B24870" i="1"/>
  <c r="A24870" i="1"/>
  <c r="F24869" i="1"/>
  <c r="E24869" i="1"/>
  <c r="D24869" i="1"/>
  <c r="C24869" i="1"/>
  <c r="B24869" i="1"/>
  <c r="A24869" i="1"/>
  <c r="F24868" i="1"/>
  <c r="E24868" i="1"/>
  <c r="D24868" i="1"/>
  <c r="C24868" i="1"/>
  <c r="B24868" i="1"/>
  <c r="A24868" i="1"/>
  <c r="F24867" i="1"/>
  <c r="E24867" i="1"/>
  <c r="D24867" i="1"/>
  <c r="C24867" i="1"/>
  <c r="B24867" i="1"/>
  <c r="A24867" i="1"/>
  <c r="F24866" i="1"/>
  <c r="E24866" i="1"/>
  <c r="D24866" i="1"/>
  <c r="C24866" i="1"/>
  <c r="B24866" i="1"/>
  <c r="A24866" i="1"/>
  <c r="F24865" i="1"/>
  <c r="E24865" i="1"/>
  <c r="D24865" i="1"/>
  <c r="C24865" i="1"/>
  <c r="B24865" i="1"/>
  <c r="A24865" i="1"/>
  <c r="F24864" i="1"/>
  <c r="E24864" i="1"/>
  <c r="D24864" i="1"/>
  <c r="C24864" i="1"/>
  <c r="B24864" i="1"/>
  <c r="A24864" i="1"/>
  <c r="F24863" i="1"/>
  <c r="E24863" i="1"/>
  <c r="D24863" i="1"/>
  <c r="C24863" i="1"/>
  <c r="B24863" i="1"/>
  <c r="A24863" i="1"/>
  <c r="F24862" i="1"/>
  <c r="E24862" i="1"/>
  <c r="D24862" i="1"/>
  <c r="C24862" i="1"/>
  <c r="B24862" i="1"/>
  <c r="A24862" i="1"/>
  <c r="F24861" i="1"/>
  <c r="E24861" i="1"/>
  <c r="D24861" i="1"/>
  <c r="C24861" i="1"/>
  <c r="B24861" i="1"/>
  <c r="A24861" i="1"/>
  <c r="F24860" i="1"/>
  <c r="E24860" i="1"/>
  <c r="D24860" i="1"/>
  <c r="C24860" i="1"/>
  <c r="B24860" i="1"/>
  <c r="A24860" i="1"/>
  <c r="F24859" i="1"/>
  <c r="E24859" i="1"/>
  <c r="D24859" i="1"/>
  <c r="C24859" i="1"/>
  <c r="B24859" i="1"/>
  <c r="A24859" i="1"/>
  <c r="F24858" i="1"/>
  <c r="E24858" i="1"/>
  <c r="D24858" i="1"/>
  <c r="C24858" i="1"/>
  <c r="B24858" i="1"/>
  <c r="A24858" i="1"/>
  <c r="F24857" i="1"/>
  <c r="E24857" i="1"/>
  <c r="D24857" i="1"/>
  <c r="C24857" i="1"/>
  <c r="B24857" i="1"/>
  <c r="A24857" i="1"/>
  <c r="F24856" i="1"/>
  <c r="E24856" i="1"/>
  <c r="D24856" i="1"/>
  <c r="C24856" i="1"/>
  <c r="B24856" i="1"/>
  <c r="A24856" i="1"/>
  <c r="F24855" i="1"/>
  <c r="E24855" i="1"/>
  <c r="D24855" i="1"/>
  <c r="C24855" i="1"/>
  <c r="B24855" i="1"/>
  <c r="A24855" i="1"/>
  <c r="F24854" i="1"/>
  <c r="E24854" i="1"/>
  <c r="D24854" i="1"/>
  <c r="C24854" i="1"/>
  <c r="B24854" i="1"/>
  <c r="A24854" i="1"/>
  <c r="F24853" i="1"/>
  <c r="E24853" i="1"/>
  <c r="D24853" i="1"/>
  <c r="C24853" i="1"/>
  <c r="B24853" i="1"/>
  <c r="A24853" i="1"/>
  <c r="F24852" i="1"/>
  <c r="E24852" i="1"/>
  <c r="D24852" i="1"/>
  <c r="C24852" i="1"/>
  <c r="B24852" i="1"/>
  <c r="A24852" i="1"/>
  <c r="F24851" i="1"/>
  <c r="E24851" i="1"/>
  <c r="D24851" i="1"/>
  <c r="C24851" i="1"/>
  <c r="B24851" i="1"/>
  <c r="A24851" i="1"/>
  <c r="F24850" i="1"/>
  <c r="E24850" i="1"/>
  <c r="D24850" i="1"/>
  <c r="C24850" i="1"/>
  <c r="B24850" i="1"/>
  <c r="A24850" i="1"/>
  <c r="F24849" i="1"/>
  <c r="E24849" i="1"/>
  <c r="D24849" i="1"/>
  <c r="C24849" i="1"/>
  <c r="B24849" i="1"/>
  <c r="A24849" i="1"/>
  <c r="F24848" i="1"/>
  <c r="E24848" i="1"/>
  <c r="D24848" i="1"/>
  <c r="C24848" i="1"/>
  <c r="B24848" i="1"/>
  <c r="A24848" i="1"/>
  <c r="F24847" i="1"/>
  <c r="E24847" i="1"/>
  <c r="D24847" i="1"/>
  <c r="C24847" i="1"/>
  <c r="B24847" i="1"/>
  <c r="A24847" i="1"/>
  <c r="F24846" i="1"/>
  <c r="E24846" i="1"/>
  <c r="D24846" i="1"/>
  <c r="C24846" i="1"/>
  <c r="B24846" i="1"/>
  <c r="A24846" i="1"/>
  <c r="F24845" i="1"/>
  <c r="E24845" i="1"/>
  <c r="D24845" i="1"/>
  <c r="C24845" i="1"/>
  <c r="B24845" i="1"/>
  <c r="A24845" i="1"/>
  <c r="F24844" i="1"/>
  <c r="E24844" i="1"/>
  <c r="D24844" i="1"/>
  <c r="C24844" i="1"/>
  <c r="B24844" i="1"/>
  <c r="A24844" i="1"/>
  <c r="F24843" i="1"/>
  <c r="E24843" i="1"/>
  <c r="D24843" i="1"/>
  <c r="C24843" i="1"/>
  <c r="B24843" i="1"/>
  <c r="A24843" i="1"/>
  <c r="F24842" i="1"/>
  <c r="E24842" i="1"/>
  <c r="D24842" i="1"/>
  <c r="C24842" i="1"/>
  <c r="B24842" i="1"/>
  <c r="A24842" i="1"/>
  <c r="F24841" i="1"/>
  <c r="E24841" i="1"/>
  <c r="D24841" i="1"/>
  <c r="C24841" i="1"/>
  <c r="B24841" i="1"/>
  <c r="A24841" i="1"/>
  <c r="F24840" i="1"/>
  <c r="E24840" i="1"/>
  <c r="D24840" i="1"/>
  <c r="C24840" i="1"/>
  <c r="B24840" i="1"/>
  <c r="A24840" i="1"/>
  <c r="F24839" i="1"/>
  <c r="E24839" i="1"/>
  <c r="D24839" i="1"/>
  <c r="C24839" i="1"/>
  <c r="B24839" i="1"/>
  <c r="A24839" i="1"/>
  <c r="F24838" i="1"/>
  <c r="E24838" i="1"/>
  <c r="D24838" i="1"/>
  <c r="C24838" i="1"/>
  <c r="B24838" i="1"/>
  <c r="A24838" i="1"/>
  <c r="F24837" i="1"/>
  <c r="E24837" i="1"/>
  <c r="D24837" i="1"/>
  <c r="C24837" i="1"/>
  <c r="B24837" i="1"/>
  <c r="A24837" i="1"/>
  <c r="F24836" i="1"/>
  <c r="E24836" i="1"/>
  <c r="D24836" i="1"/>
  <c r="C24836" i="1"/>
  <c r="B24836" i="1"/>
  <c r="A24836" i="1"/>
  <c r="F24835" i="1"/>
  <c r="E24835" i="1"/>
  <c r="D24835" i="1"/>
  <c r="C24835" i="1"/>
  <c r="B24835" i="1"/>
  <c r="A24835" i="1"/>
  <c r="F24834" i="1"/>
  <c r="E24834" i="1"/>
  <c r="D24834" i="1"/>
  <c r="C24834" i="1"/>
  <c r="B24834" i="1"/>
  <c r="A24834" i="1"/>
  <c r="F24833" i="1"/>
  <c r="E24833" i="1"/>
  <c r="D24833" i="1"/>
  <c r="C24833" i="1"/>
  <c r="B24833" i="1"/>
  <c r="A24833" i="1"/>
  <c r="F24832" i="1"/>
  <c r="E24832" i="1"/>
  <c r="D24832" i="1"/>
  <c r="C24832" i="1"/>
  <c r="B24832" i="1"/>
  <c r="A24832" i="1"/>
  <c r="F24831" i="1"/>
  <c r="E24831" i="1"/>
  <c r="D24831" i="1"/>
  <c r="C24831" i="1"/>
  <c r="B24831" i="1"/>
  <c r="A24831" i="1"/>
  <c r="F24830" i="1"/>
  <c r="E24830" i="1"/>
  <c r="D24830" i="1"/>
  <c r="C24830" i="1"/>
  <c r="B24830" i="1"/>
  <c r="A24830" i="1"/>
  <c r="F24829" i="1"/>
  <c r="E24829" i="1"/>
  <c r="D24829" i="1"/>
  <c r="C24829" i="1"/>
  <c r="B24829" i="1"/>
  <c r="A24829" i="1"/>
  <c r="F24828" i="1"/>
  <c r="E24828" i="1"/>
  <c r="D24828" i="1"/>
  <c r="C24828" i="1"/>
  <c r="B24828" i="1"/>
  <c r="A24828" i="1"/>
  <c r="F24827" i="1"/>
  <c r="E24827" i="1"/>
  <c r="D24827" i="1"/>
  <c r="C24827" i="1"/>
  <c r="B24827" i="1"/>
  <c r="A24827" i="1"/>
  <c r="F24826" i="1"/>
  <c r="E24826" i="1"/>
  <c r="D24826" i="1"/>
  <c r="C24826" i="1"/>
  <c r="B24826" i="1"/>
  <c r="A24826" i="1"/>
  <c r="F24825" i="1"/>
  <c r="E24825" i="1"/>
  <c r="D24825" i="1"/>
  <c r="C24825" i="1"/>
  <c r="B24825" i="1"/>
  <c r="A24825" i="1"/>
  <c r="F24824" i="1"/>
  <c r="E24824" i="1"/>
  <c r="D24824" i="1"/>
  <c r="C24824" i="1"/>
  <c r="B24824" i="1"/>
  <c r="A24824" i="1"/>
  <c r="F24823" i="1"/>
  <c r="E24823" i="1"/>
  <c r="D24823" i="1"/>
  <c r="C24823" i="1"/>
  <c r="B24823" i="1"/>
  <c r="A24823" i="1"/>
  <c r="F24822" i="1"/>
  <c r="E24822" i="1"/>
  <c r="D24822" i="1"/>
  <c r="C24822" i="1"/>
  <c r="B24822" i="1"/>
  <c r="A24822" i="1"/>
  <c r="F24821" i="1"/>
  <c r="E24821" i="1"/>
  <c r="D24821" i="1"/>
  <c r="C24821" i="1"/>
  <c r="B24821" i="1"/>
  <c r="A24821" i="1"/>
  <c r="F24820" i="1"/>
  <c r="E24820" i="1"/>
  <c r="D24820" i="1"/>
  <c r="C24820" i="1"/>
  <c r="B24820" i="1"/>
  <c r="A24820" i="1"/>
  <c r="F24819" i="1"/>
  <c r="E24819" i="1"/>
  <c r="D24819" i="1"/>
  <c r="C24819" i="1"/>
  <c r="B24819" i="1"/>
  <c r="A24819" i="1"/>
  <c r="F24818" i="1"/>
  <c r="E24818" i="1"/>
  <c r="D24818" i="1"/>
  <c r="C24818" i="1"/>
  <c r="B24818" i="1"/>
  <c r="A24818" i="1"/>
  <c r="F24817" i="1"/>
  <c r="E24817" i="1"/>
  <c r="D24817" i="1"/>
  <c r="C24817" i="1"/>
  <c r="B24817" i="1"/>
  <c r="A24817" i="1"/>
  <c r="F24816" i="1"/>
  <c r="E24816" i="1"/>
  <c r="D24816" i="1"/>
  <c r="C24816" i="1"/>
  <c r="B24816" i="1"/>
  <c r="A24816" i="1"/>
  <c r="F24815" i="1"/>
  <c r="E24815" i="1"/>
  <c r="D24815" i="1"/>
  <c r="C24815" i="1"/>
  <c r="B24815" i="1"/>
  <c r="A24815" i="1"/>
  <c r="F24814" i="1"/>
  <c r="E24814" i="1"/>
  <c r="D24814" i="1"/>
  <c r="C24814" i="1"/>
  <c r="B24814" i="1"/>
  <c r="A24814" i="1"/>
  <c r="F24813" i="1"/>
  <c r="E24813" i="1"/>
  <c r="D24813" i="1"/>
  <c r="C24813" i="1"/>
  <c r="B24813" i="1"/>
  <c r="A24813" i="1"/>
  <c r="F24812" i="1"/>
  <c r="E24812" i="1"/>
  <c r="D24812" i="1"/>
  <c r="C24812" i="1"/>
  <c r="B24812" i="1"/>
  <c r="A24812" i="1"/>
  <c r="F24811" i="1"/>
  <c r="E24811" i="1"/>
  <c r="D24811" i="1"/>
  <c r="C24811" i="1"/>
  <c r="B24811" i="1"/>
  <c r="A24811" i="1"/>
  <c r="F24810" i="1"/>
  <c r="E24810" i="1"/>
  <c r="D24810" i="1"/>
  <c r="C24810" i="1"/>
  <c r="B24810" i="1"/>
  <c r="A24810" i="1"/>
  <c r="F24809" i="1"/>
  <c r="E24809" i="1"/>
  <c r="D24809" i="1"/>
  <c r="C24809" i="1"/>
  <c r="B24809" i="1"/>
  <c r="A24809" i="1"/>
  <c r="F24808" i="1"/>
  <c r="E24808" i="1"/>
  <c r="D24808" i="1"/>
  <c r="C24808" i="1"/>
  <c r="B24808" i="1"/>
  <c r="A24808" i="1"/>
  <c r="F24807" i="1"/>
  <c r="E24807" i="1"/>
  <c r="D24807" i="1"/>
  <c r="C24807" i="1"/>
  <c r="B24807" i="1"/>
  <c r="A24807" i="1"/>
  <c r="F24806" i="1"/>
  <c r="E24806" i="1"/>
  <c r="D24806" i="1"/>
  <c r="C24806" i="1"/>
  <c r="B24806" i="1"/>
  <c r="A24806" i="1"/>
  <c r="F24805" i="1"/>
  <c r="E24805" i="1"/>
  <c r="D24805" i="1"/>
  <c r="C24805" i="1"/>
  <c r="B24805" i="1"/>
  <c r="A24805" i="1"/>
  <c r="F24804" i="1"/>
  <c r="E24804" i="1"/>
  <c r="D24804" i="1"/>
  <c r="C24804" i="1"/>
  <c r="B24804" i="1"/>
  <c r="A24804" i="1"/>
  <c r="F24803" i="1"/>
  <c r="E24803" i="1"/>
  <c r="D24803" i="1"/>
  <c r="C24803" i="1"/>
  <c r="B24803" i="1"/>
  <c r="A24803" i="1"/>
  <c r="F24802" i="1"/>
  <c r="E24802" i="1"/>
  <c r="D24802" i="1"/>
  <c r="C24802" i="1"/>
  <c r="B24802" i="1"/>
  <c r="A24802" i="1"/>
  <c r="F24801" i="1"/>
  <c r="E24801" i="1"/>
  <c r="D24801" i="1"/>
  <c r="C24801" i="1"/>
  <c r="B24801" i="1"/>
  <c r="A24801" i="1"/>
  <c r="F24800" i="1"/>
  <c r="E24800" i="1"/>
  <c r="D24800" i="1"/>
  <c r="C24800" i="1"/>
  <c r="B24800" i="1"/>
  <c r="A24800" i="1"/>
  <c r="F24799" i="1"/>
  <c r="E24799" i="1"/>
  <c r="D24799" i="1"/>
  <c r="C24799" i="1"/>
  <c r="B24799" i="1"/>
  <c r="A24799" i="1"/>
  <c r="F24798" i="1"/>
  <c r="E24798" i="1"/>
  <c r="D24798" i="1"/>
  <c r="C24798" i="1"/>
  <c r="B24798" i="1"/>
  <c r="A24798" i="1"/>
  <c r="F24797" i="1"/>
  <c r="E24797" i="1"/>
  <c r="D24797" i="1"/>
  <c r="C24797" i="1"/>
  <c r="B24797" i="1"/>
  <c r="A24797" i="1"/>
  <c r="F24796" i="1"/>
  <c r="E24796" i="1"/>
  <c r="D24796" i="1"/>
  <c r="C24796" i="1"/>
  <c r="B24796" i="1"/>
  <c r="A24796" i="1"/>
  <c r="F24795" i="1"/>
  <c r="E24795" i="1"/>
  <c r="D24795" i="1"/>
  <c r="C24795" i="1"/>
  <c r="B24795" i="1"/>
  <c r="A24795" i="1"/>
  <c r="F24794" i="1"/>
  <c r="E24794" i="1"/>
  <c r="D24794" i="1"/>
  <c r="C24794" i="1"/>
  <c r="B24794" i="1"/>
  <c r="A24794" i="1"/>
  <c r="F24793" i="1"/>
  <c r="E24793" i="1"/>
  <c r="D24793" i="1"/>
  <c r="C24793" i="1"/>
  <c r="B24793" i="1"/>
  <c r="A24793" i="1"/>
  <c r="F24792" i="1"/>
  <c r="E24792" i="1"/>
  <c r="D24792" i="1"/>
  <c r="C24792" i="1"/>
  <c r="B24792" i="1"/>
  <c r="A24792" i="1"/>
  <c r="F24791" i="1"/>
  <c r="E24791" i="1"/>
  <c r="D24791" i="1"/>
  <c r="C24791" i="1"/>
  <c r="B24791" i="1"/>
  <c r="A24791" i="1"/>
  <c r="F24790" i="1"/>
  <c r="E24790" i="1"/>
  <c r="D24790" i="1"/>
  <c r="C24790" i="1"/>
  <c r="B24790" i="1"/>
  <c r="A24790" i="1"/>
  <c r="F24789" i="1"/>
  <c r="E24789" i="1"/>
  <c r="D24789" i="1"/>
  <c r="C24789" i="1"/>
  <c r="B24789" i="1"/>
  <c r="A24789" i="1"/>
  <c r="F24788" i="1"/>
  <c r="E24788" i="1"/>
  <c r="D24788" i="1"/>
  <c r="C24788" i="1"/>
  <c r="B24788" i="1"/>
  <c r="A24788" i="1"/>
  <c r="F24787" i="1"/>
  <c r="E24787" i="1"/>
  <c r="D24787" i="1"/>
  <c r="C24787" i="1"/>
  <c r="B24787" i="1"/>
  <c r="A24787" i="1"/>
  <c r="F24786" i="1"/>
  <c r="E24786" i="1"/>
  <c r="D24786" i="1"/>
  <c r="C24786" i="1"/>
  <c r="B24786" i="1"/>
  <c r="A24786" i="1"/>
  <c r="F24785" i="1"/>
  <c r="E24785" i="1"/>
  <c r="D24785" i="1"/>
  <c r="C24785" i="1"/>
  <c r="B24785" i="1"/>
  <c r="A24785" i="1"/>
  <c r="F24784" i="1"/>
  <c r="E24784" i="1"/>
  <c r="D24784" i="1"/>
  <c r="C24784" i="1"/>
  <c r="B24784" i="1"/>
  <c r="A24784" i="1"/>
  <c r="F24783" i="1"/>
  <c r="E24783" i="1"/>
  <c r="D24783" i="1"/>
  <c r="C24783" i="1"/>
  <c r="B24783" i="1"/>
  <c r="A24783" i="1"/>
  <c r="F24782" i="1"/>
  <c r="E24782" i="1"/>
  <c r="D24782" i="1"/>
  <c r="C24782" i="1"/>
  <c r="B24782" i="1"/>
  <c r="A24782" i="1"/>
  <c r="F24781" i="1"/>
  <c r="E24781" i="1"/>
  <c r="D24781" i="1"/>
  <c r="C24781" i="1"/>
  <c r="B24781" i="1"/>
  <c r="A24781" i="1"/>
  <c r="F24780" i="1"/>
  <c r="E24780" i="1"/>
  <c r="D24780" i="1"/>
  <c r="C24780" i="1"/>
  <c r="B24780" i="1"/>
  <c r="A24780" i="1"/>
  <c r="F24779" i="1"/>
  <c r="E24779" i="1"/>
  <c r="D24779" i="1"/>
  <c r="C24779" i="1"/>
  <c r="B24779" i="1"/>
  <c r="A24779" i="1"/>
  <c r="F24778" i="1"/>
  <c r="E24778" i="1"/>
  <c r="D24778" i="1"/>
  <c r="C24778" i="1"/>
  <c r="B24778" i="1"/>
  <c r="A24778" i="1"/>
  <c r="F24777" i="1"/>
  <c r="E24777" i="1"/>
  <c r="D24777" i="1"/>
  <c r="C24777" i="1"/>
  <c r="B24777" i="1"/>
  <c r="A24777" i="1"/>
  <c r="F24776" i="1"/>
  <c r="E24776" i="1"/>
  <c r="D24776" i="1"/>
  <c r="C24776" i="1"/>
  <c r="B24776" i="1"/>
  <c r="A24776" i="1"/>
  <c r="F24775" i="1"/>
  <c r="E24775" i="1"/>
  <c r="D24775" i="1"/>
  <c r="C24775" i="1"/>
  <c r="B24775" i="1"/>
  <c r="A24775" i="1"/>
  <c r="F24774" i="1"/>
  <c r="E24774" i="1"/>
  <c r="D24774" i="1"/>
  <c r="C24774" i="1"/>
  <c r="B24774" i="1"/>
  <c r="A24774" i="1"/>
  <c r="F24773" i="1"/>
  <c r="E24773" i="1"/>
  <c r="D24773" i="1"/>
  <c r="C24773" i="1"/>
  <c r="B24773" i="1"/>
  <c r="A24773" i="1"/>
  <c r="F24772" i="1"/>
  <c r="E24772" i="1"/>
  <c r="D24772" i="1"/>
  <c r="C24772" i="1"/>
  <c r="B24772" i="1"/>
  <c r="A24772" i="1"/>
  <c r="F24771" i="1"/>
  <c r="E24771" i="1"/>
  <c r="D24771" i="1"/>
  <c r="C24771" i="1"/>
  <c r="B24771" i="1"/>
  <c r="A24771" i="1"/>
  <c r="F24770" i="1"/>
  <c r="E24770" i="1"/>
  <c r="D24770" i="1"/>
  <c r="C24770" i="1"/>
  <c r="B24770" i="1"/>
  <c r="A24770" i="1"/>
  <c r="F24769" i="1"/>
  <c r="E24769" i="1"/>
  <c r="D24769" i="1"/>
  <c r="C24769" i="1"/>
  <c r="B24769" i="1"/>
  <c r="A24769" i="1"/>
  <c r="F24768" i="1"/>
  <c r="E24768" i="1"/>
  <c r="D24768" i="1"/>
  <c r="C24768" i="1"/>
  <c r="B24768" i="1"/>
  <c r="A24768" i="1"/>
  <c r="F24767" i="1"/>
  <c r="E24767" i="1"/>
  <c r="D24767" i="1"/>
  <c r="C24767" i="1"/>
  <c r="B24767" i="1"/>
  <c r="A24767" i="1"/>
  <c r="F24766" i="1"/>
  <c r="E24766" i="1"/>
  <c r="D24766" i="1"/>
  <c r="C24766" i="1"/>
  <c r="B24766" i="1"/>
  <c r="A24766" i="1"/>
  <c r="F24765" i="1"/>
  <c r="E24765" i="1"/>
  <c r="D24765" i="1"/>
  <c r="C24765" i="1"/>
  <c r="B24765" i="1"/>
  <c r="A24765" i="1"/>
  <c r="F24764" i="1"/>
  <c r="E24764" i="1"/>
  <c r="D24764" i="1"/>
  <c r="C24764" i="1"/>
  <c r="B24764" i="1"/>
  <c r="A24764" i="1"/>
  <c r="F24763" i="1"/>
  <c r="E24763" i="1"/>
  <c r="D24763" i="1"/>
  <c r="C24763" i="1"/>
  <c r="B24763" i="1"/>
  <c r="A24763" i="1"/>
  <c r="F24762" i="1"/>
  <c r="E24762" i="1"/>
  <c r="D24762" i="1"/>
  <c r="C24762" i="1"/>
  <c r="B24762" i="1"/>
  <c r="A24762" i="1"/>
  <c r="F24761" i="1"/>
  <c r="E24761" i="1"/>
  <c r="D24761" i="1"/>
  <c r="C24761" i="1"/>
  <c r="B24761" i="1"/>
  <c r="A24761" i="1"/>
  <c r="F24760" i="1"/>
  <c r="E24760" i="1"/>
  <c r="D24760" i="1"/>
  <c r="C24760" i="1"/>
  <c r="B24760" i="1"/>
  <c r="A24760" i="1"/>
  <c r="F24759" i="1"/>
  <c r="E24759" i="1"/>
  <c r="D24759" i="1"/>
  <c r="C24759" i="1"/>
  <c r="B24759" i="1"/>
  <c r="A24759" i="1"/>
  <c r="F24758" i="1"/>
  <c r="E24758" i="1"/>
  <c r="D24758" i="1"/>
  <c r="C24758" i="1"/>
  <c r="B24758" i="1"/>
  <c r="A24758" i="1"/>
  <c r="F24757" i="1"/>
  <c r="E24757" i="1"/>
  <c r="D24757" i="1"/>
  <c r="C24757" i="1"/>
  <c r="B24757" i="1"/>
  <c r="A24757" i="1"/>
  <c r="F24756" i="1"/>
  <c r="E24756" i="1"/>
  <c r="D24756" i="1"/>
  <c r="C24756" i="1"/>
  <c r="B24756" i="1"/>
  <c r="A24756" i="1"/>
  <c r="F24755" i="1"/>
  <c r="E24755" i="1"/>
  <c r="D24755" i="1"/>
  <c r="C24755" i="1"/>
  <c r="B24755" i="1"/>
  <c r="A24755" i="1"/>
  <c r="F24754" i="1"/>
  <c r="E24754" i="1"/>
  <c r="D24754" i="1"/>
  <c r="C24754" i="1"/>
  <c r="B24754" i="1"/>
  <c r="A24754" i="1"/>
  <c r="F24753" i="1"/>
  <c r="E24753" i="1"/>
  <c r="D24753" i="1"/>
  <c r="C24753" i="1"/>
  <c r="B24753" i="1"/>
  <c r="A24753" i="1"/>
  <c r="F24752" i="1"/>
  <c r="E24752" i="1"/>
  <c r="D24752" i="1"/>
  <c r="C24752" i="1"/>
  <c r="B24752" i="1"/>
  <c r="A24752" i="1"/>
  <c r="F24751" i="1"/>
  <c r="E24751" i="1"/>
  <c r="D24751" i="1"/>
  <c r="C24751" i="1"/>
  <c r="B24751" i="1"/>
  <c r="A24751" i="1"/>
  <c r="F24750" i="1"/>
  <c r="E24750" i="1"/>
  <c r="D24750" i="1"/>
  <c r="C24750" i="1"/>
  <c r="B24750" i="1"/>
  <c r="A24750" i="1"/>
  <c r="F24749" i="1"/>
  <c r="E24749" i="1"/>
  <c r="D24749" i="1"/>
  <c r="C24749" i="1"/>
  <c r="B24749" i="1"/>
  <c r="A24749" i="1"/>
  <c r="F24748" i="1"/>
  <c r="E24748" i="1"/>
  <c r="D24748" i="1"/>
  <c r="C24748" i="1"/>
  <c r="B24748" i="1"/>
  <c r="A24748" i="1"/>
  <c r="F24747" i="1"/>
  <c r="E24747" i="1"/>
  <c r="D24747" i="1"/>
  <c r="C24747" i="1"/>
  <c r="B24747" i="1"/>
  <c r="A24747" i="1"/>
  <c r="F24746" i="1"/>
  <c r="E24746" i="1"/>
  <c r="D24746" i="1"/>
  <c r="C24746" i="1"/>
  <c r="B24746" i="1"/>
  <c r="A24746" i="1"/>
  <c r="F24745" i="1"/>
  <c r="E24745" i="1"/>
  <c r="D24745" i="1"/>
  <c r="C24745" i="1"/>
  <c r="B24745" i="1"/>
  <c r="A24745" i="1"/>
  <c r="F24744" i="1"/>
  <c r="E24744" i="1"/>
  <c r="D24744" i="1"/>
  <c r="C24744" i="1"/>
  <c r="B24744" i="1"/>
  <c r="A24744" i="1"/>
  <c r="F24743" i="1"/>
  <c r="E24743" i="1"/>
  <c r="D24743" i="1"/>
  <c r="C24743" i="1"/>
  <c r="B24743" i="1"/>
  <c r="A24743" i="1"/>
  <c r="F24742" i="1"/>
  <c r="E24742" i="1"/>
  <c r="D24742" i="1"/>
  <c r="C24742" i="1"/>
  <c r="B24742" i="1"/>
  <c r="A24742" i="1"/>
  <c r="F24741" i="1"/>
  <c r="E24741" i="1"/>
  <c r="D24741" i="1"/>
  <c r="C24741" i="1"/>
  <c r="B24741" i="1"/>
  <c r="A24741" i="1"/>
  <c r="F24740" i="1"/>
  <c r="E24740" i="1"/>
  <c r="D24740" i="1"/>
  <c r="C24740" i="1"/>
  <c r="B24740" i="1"/>
  <c r="A24740" i="1"/>
  <c r="F24739" i="1"/>
  <c r="E24739" i="1"/>
  <c r="D24739" i="1"/>
  <c r="C24739" i="1"/>
  <c r="B24739" i="1"/>
  <c r="A24739" i="1"/>
  <c r="F24738" i="1"/>
  <c r="E24738" i="1"/>
  <c r="D24738" i="1"/>
  <c r="C24738" i="1"/>
  <c r="B24738" i="1"/>
  <c r="A24738" i="1"/>
  <c r="F24737" i="1"/>
  <c r="E24737" i="1"/>
  <c r="D24737" i="1"/>
  <c r="C24737" i="1"/>
  <c r="B24737" i="1"/>
  <c r="A24737" i="1"/>
  <c r="F24736" i="1"/>
  <c r="E24736" i="1"/>
  <c r="D24736" i="1"/>
  <c r="C24736" i="1"/>
  <c r="B24736" i="1"/>
  <c r="A24736" i="1"/>
  <c r="F24735" i="1"/>
  <c r="E24735" i="1"/>
  <c r="D24735" i="1"/>
  <c r="C24735" i="1"/>
  <c r="B24735" i="1"/>
  <c r="A24735" i="1"/>
  <c r="F24734" i="1"/>
  <c r="E24734" i="1"/>
  <c r="D24734" i="1"/>
  <c r="C24734" i="1"/>
  <c r="B24734" i="1"/>
  <c r="A24734" i="1"/>
  <c r="F24733" i="1"/>
  <c r="E24733" i="1"/>
  <c r="D24733" i="1"/>
  <c r="C24733" i="1"/>
  <c r="B24733" i="1"/>
  <c r="A24733" i="1"/>
  <c r="F24732" i="1"/>
  <c r="E24732" i="1"/>
  <c r="D24732" i="1"/>
  <c r="C24732" i="1"/>
  <c r="B24732" i="1"/>
  <c r="A24732" i="1"/>
  <c r="F24731" i="1"/>
  <c r="E24731" i="1"/>
  <c r="D24731" i="1"/>
  <c r="C24731" i="1"/>
  <c r="B24731" i="1"/>
  <c r="A24731" i="1"/>
  <c r="F24730" i="1"/>
  <c r="E24730" i="1"/>
  <c r="D24730" i="1"/>
  <c r="C24730" i="1"/>
  <c r="B24730" i="1"/>
  <c r="A24730" i="1"/>
  <c r="F24729" i="1"/>
  <c r="E24729" i="1"/>
  <c r="D24729" i="1"/>
  <c r="C24729" i="1"/>
  <c r="B24729" i="1"/>
  <c r="A24729" i="1"/>
  <c r="F24728" i="1"/>
  <c r="E24728" i="1"/>
  <c r="D24728" i="1"/>
  <c r="C24728" i="1"/>
  <c r="B24728" i="1"/>
  <c r="A24728" i="1"/>
  <c r="F24727" i="1"/>
  <c r="E24727" i="1"/>
  <c r="D24727" i="1"/>
  <c r="C24727" i="1"/>
  <c r="B24727" i="1"/>
  <c r="A24727" i="1"/>
  <c r="F24726" i="1"/>
  <c r="E24726" i="1"/>
  <c r="D24726" i="1"/>
  <c r="C24726" i="1"/>
  <c r="B24726" i="1"/>
  <c r="A24726" i="1"/>
  <c r="F24725" i="1"/>
  <c r="E24725" i="1"/>
  <c r="D24725" i="1"/>
  <c r="C24725" i="1"/>
  <c r="B24725" i="1"/>
  <c r="A24725" i="1"/>
  <c r="F24724" i="1"/>
  <c r="E24724" i="1"/>
  <c r="D24724" i="1"/>
  <c r="C24724" i="1"/>
  <c r="B24724" i="1"/>
  <c r="A24724" i="1"/>
  <c r="F24723" i="1"/>
  <c r="E24723" i="1"/>
  <c r="D24723" i="1"/>
  <c r="C24723" i="1"/>
  <c r="B24723" i="1"/>
  <c r="A24723" i="1"/>
  <c r="F24722" i="1"/>
  <c r="E24722" i="1"/>
  <c r="D24722" i="1"/>
  <c r="C24722" i="1"/>
  <c r="B24722" i="1"/>
  <c r="A24722" i="1"/>
  <c r="F24721" i="1"/>
  <c r="E24721" i="1"/>
  <c r="D24721" i="1"/>
  <c r="C24721" i="1"/>
  <c r="B24721" i="1"/>
  <c r="A24721" i="1"/>
  <c r="F24720" i="1"/>
  <c r="E24720" i="1"/>
  <c r="D24720" i="1"/>
  <c r="C24720" i="1"/>
  <c r="B24720" i="1"/>
  <c r="A24720" i="1"/>
  <c r="F24719" i="1"/>
  <c r="E24719" i="1"/>
  <c r="D24719" i="1"/>
  <c r="C24719" i="1"/>
  <c r="B24719" i="1"/>
  <c r="A24719" i="1"/>
  <c r="F24718" i="1"/>
  <c r="E24718" i="1"/>
  <c r="D24718" i="1"/>
  <c r="C24718" i="1"/>
  <c r="B24718" i="1"/>
  <c r="A24718" i="1"/>
  <c r="F24717" i="1"/>
  <c r="E24717" i="1"/>
  <c r="D24717" i="1"/>
  <c r="C24717" i="1"/>
  <c r="B24717" i="1"/>
  <c r="A24717" i="1"/>
  <c r="F24716" i="1"/>
  <c r="E24716" i="1"/>
  <c r="D24716" i="1"/>
  <c r="C24716" i="1"/>
  <c r="B24716" i="1"/>
  <c r="A24716" i="1"/>
  <c r="F24715" i="1"/>
  <c r="E24715" i="1"/>
  <c r="D24715" i="1"/>
  <c r="C24715" i="1"/>
  <c r="B24715" i="1"/>
  <c r="A24715" i="1"/>
  <c r="F24714" i="1"/>
  <c r="E24714" i="1"/>
  <c r="D24714" i="1"/>
  <c r="C24714" i="1"/>
  <c r="B24714" i="1"/>
  <c r="A24714" i="1"/>
  <c r="F24713" i="1"/>
  <c r="E24713" i="1"/>
  <c r="D24713" i="1"/>
  <c r="C24713" i="1"/>
  <c r="B24713" i="1"/>
  <c r="A24713" i="1"/>
  <c r="F24712" i="1"/>
  <c r="E24712" i="1"/>
  <c r="D24712" i="1"/>
  <c r="C24712" i="1"/>
  <c r="B24712" i="1"/>
  <c r="A24712" i="1"/>
  <c r="F24711" i="1"/>
  <c r="E24711" i="1"/>
  <c r="D24711" i="1"/>
  <c r="C24711" i="1"/>
  <c r="B24711" i="1"/>
  <c r="A24711" i="1"/>
  <c r="F24710" i="1"/>
  <c r="E24710" i="1"/>
  <c r="D24710" i="1"/>
  <c r="C24710" i="1"/>
  <c r="B24710" i="1"/>
  <c r="A24710" i="1"/>
  <c r="F24709" i="1"/>
  <c r="E24709" i="1"/>
  <c r="D24709" i="1"/>
  <c r="C24709" i="1"/>
  <c r="B24709" i="1"/>
  <c r="A24709" i="1"/>
  <c r="F24708" i="1"/>
  <c r="E24708" i="1"/>
  <c r="D24708" i="1"/>
  <c r="C24708" i="1"/>
  <c r="B24708" i="1"/>
  <c r="A24708" i="1"/>
  <c r="F24707" i="1"/>
  <c r="E24707" i="1"/>
  <c r="D24707" i="1"/>
  <c r="C24707" i="1"/>
  <c r="B24707" i="1"/>
  <c r="A24707" i="1"/>
  <c r="F24706" i="1"/>
  <c r="E24706" i="1"/>
  <c r="D24706" i="1"/>
  <c r="C24706" i="1"/>
  <c r="B24706" i="1"/>
  <c r="A24706" i="1"/>
  <c r="F24705" i="1"/>
  <c r="E24705" i="1"/>
  <c r="D24705" i="1"/>
  <c r="C24705" i="1"/>
  <c r="B24705" i="1"/>
  <c r="A24705" i="1"/>
  <c r="F24704" i="1"/>
  <c r="E24704" i="1"/>
  <c r="D24704" i="1"/>
  <c r="C24704" i="1"/>
  <c r="B24704" i="1"/>
  <c r="A24704" i="1"/>
  <c r="F24703" i="1"/>
  <c r="E24703" i="1"/>
  <c r="D24703" i="1"/>
  <c r="C24703" i="1"/>
  <c r="B24703" i="1"/>
  <c r="A24703" i="1"/>
  <c r="F24702" i="1"/>
  <c r="E24702" i="1"/>
  <c r="D24702" i="1"/>
  <c r="C24702" i="1"/>
  <c r="B24702" i="1"/>
  <c r="A24702" i="1"/>
  <c r="F24701" i="1"/>
  <c r="E24701" i="1"/>
  <c r="D24701" i="1"/>
  <c r="C24701" i="1"/>
  <c r="B24701" i="1"/>
  <c r="A24701" i="1"/>
  <c r="F24700" i="1"/>
  <c r="E24700" i="1"/>
  <c r="D24700" i="1"/>
  <c r="C24700" i="1"/>
  <c r="B24700" i="1"/>
  <c r="A24700" i="1"/>
  <c r="F24699" i="1"/>
  <c r="E24699" i="1"/>
  <c r="D24699" i="1"/>
  <c r="C24699" i="1"/>
  <c r="B24699" i="1"/>
  <c r="A24699" i="1"/>
  <c r="F24698" i="1"/>
  <c r="E24698" i="1"/>
  <c r="D24698" i="1"/>
  <c r="C24698" i="1"/>
  <c r="B24698" i="1"/>
  <c r="A24698" i="1"/>
  <c r="F24697" i="1"/>
  <c r="E24697" i="1"/>
  <c r="D24697" i="1"/>
  <c r="C24697" i="1"/>
  <c r="B24697" i="1"/>
  <c r="A24697" i="1"/>
  <c r="F24696" i="1"/>
  <c r="E24696" i="1"/>
  <c r="D24696" i="1"/>
  <c r="C24696" i="1"/>
  <c r="B24696" i="1"/>
  <c r="A24696" i="1"/>
  <c r="F24695" i="1"/>
  <c r="E24695" i="1"/>
  <c r="D24695" i="1"/>
  <c r="C24695" i="1"/>
  <c r="B24695" i="1"/>
  <c r="A24695" i="1"/>
  <c r="F24694" i="1"/>
  <c r="E24694" i="1"/>
  <c r="D24694" i="1"/>
  <c r="C24694" i="1"/>
  <c r="B24694" i="1"/>
  <c r="A24694" i="1"/>
  <c r="F24693" i="1"/>
  <c r="E24693" i="1"/>
  <c r="D24693" i="1"/>
  <c r="C24693" i="1"/>
  <c r="B24693" i="1"/>
  <c r="A24693" i="1"/>
  <c r="F24692" i="1"/>
  <c r="E24692" i="1"/>
  <c r="D24692" i="1"/>
  <c r="C24692" i="1"/>
  <c r="B24692" i="1"/>
  <c r="A24692" i="1"/>
  <c r="F24691" i="1"/>
  <c r="E24691" i="1"/>
  <c r="D24691" i="1"/>
  <c r="C24691" i="1"/>
  <c r="B24691" i="1"/>
  <c r="A24691" i="1"/>
  <c r="F24690" i="1"/>
  <c r="E24690" i="1"/>
  <c r="D24690" i="1"/>
  <c r="C24690" i="1"/>
  <c r="B24690" i="1"/>
  <c r="A24690" i="1"/>
  <c r="F24689" i="1"/>
  <c r="E24689" i="1"/>
  <c r="D24689" i="1"/>
  <c r="C24689" i="1"/>
  <c r="B24689" i="1"/>
  <c r="A24689" i="1"/>
  <c r="F24688" i="1"/>
  <c r="E24688" i="1"/>
  <c r="D24688" i="1"/>
  <c r="C24688" i="1"/>
  <c r="B24688" i="1"/>
  <c r="A24688" i="1"/>
  <c r="F24687" i="1"/>
  <c r="E24687" i="1"/>
  <c r="D24687" i="1"/>
  <c r="C24687" i="1"/>
  <c r="B24687" i="1"/>
  <c r="A24687" i="1"/>
  <c r="F24686" i="1"/>
  <c r="E24686" i="1"/>
  <c r="D24686" i="1"/>
  <c r="C24686" i="1"/>
  <c r="B24686" i="1"/>
  <c r="A24686" i="1"/>
  <c r="F24685" i="1"/>
  <c r="E24685" i="1"/>
  <c r="D24685" i="1"/>
  <c r="C24685" i="1"/>
  <c r="B24685" i="1"/>
  <c r="A24685" i="1"/>
  <c r="F24684" i="1"/>
  <c r="E24684" i="1"/>
  <c r="D24684" i="1"/>
  <c r="C24684" i="1"/>
  <c r="B24684" i="1"/>
  <c r="A24684" i="1"/>
  <c r="F24683" i="1"/>
  <c r="E24683" i="1"/>
  <c r="D24683" i="1"/>
  <c r="C24683" i="1"/>
  <c r="B24683" i="1"/>
  <c r="A24683" i="1"/>
  <c r="F24682" i="1"/>
  <c r="E24682" i="1"/>
  <c r="D24682" i="1"/>
  <c r="C24682" i="1"/>
  <c r="B24682" i="1"/>
  <c r="A24682" i="1"/>
  <c r="F24681" i="1"/>
  <c r="E24681" i="1"/>
  <c r="D24681" i="1"/>
  <c r="C24681" i="1"/>
  <c r="B24681" i="1"/>
  <c r="A24681" i="1"/>
  <c r="F24680" i="1"/>
  <c r="E24680" i="1"/>
  <c r="D24680" i="1"/>
  <c r="C24680" i="1"/>
  <c r="B24680" i="1"/>
  <c r="A24680" i="1"/>
  <c r="F24679" i="1"/>
  <c r="E24679" i="1"/>
  <c r="D24679" i="1"/>
  <c r="C24679" i="1"/>
  <c r="B24679" i="1"/>
  <c r="A24679" i="1"/>
  <c r="F24678" i="1"/>
  <c r="E24678" i="1"/>
  <c r="D24678" i="1"/>
  <c r="C24678" i="1"/>
  <c r="B24678" i="1"/>
  <c r="A24678" i="1"/>
  <c r="F24677" i="1"/>
  <c r="E24677" i="1"/>
  <c r="D24677" i="1"/>
  <c r="C24677" i="1"/>
  <c r="B24677" i="1"/>
  <c r="A24677" i="1"/>
  <c r="F24676" i="1"/>
  <c r="E24676" i="1"/>
  <c r="D24676" i="1"/>
  <c r="C24676" i="1"/>
  <c r="B24676" i="1"/>
  <c r="A24676" i="1"/>
  <c r="F24675" i="1"/>
  <c r="E24675" i="1"/>
  <c r="D24675" i="1"/>
  <c r="C24675" i="1"/>
  <c r="B24675" i="1"/>
  <c r="A24675" i="1"/>
  <c r="F24674" i="1"/>
  <c r="E24674" i="1"/>
  <c r="D24674" i="1"/>
  <c r="C24674" i="1"/>
  <c r="B24674" i="1"/>
  <c r="A24674" i="1"/>
  <c r="F24673" i="1"/>
  <c r="E24673" i="1"/>
  <c r="D24673" i="1"/>
  <c r="C24673" i="1"/>
  <c r="B24673" i="1"/>
  <c r="A24673" i="1"/>
  <c r="F24672" i="1"/>
  <c r="E24672" i="1"/>
  <c r="D24672" i="1"/>
  <c r="C24672" i="1"/>
  <c r="B24672" i="1"/>
  <c r="A24672" i="1"/>
  <c r="F24671" i="1"/>
  <c r="E24671" i="1"/>
  <c r="D24671" i="1"/>
  <c r="C24671" i="1"/>
  <c r="B24671" i="1"/>
  <c r="A24671" i="1"/>
  <c r="F24670" i="1"/>
  <c r="E24670" i="1"/>
  <c r="D24670" i="1"/>
  <c r="C24670" i="1"/>
  <c r="B24670" i="1"/>
  <c r="A24670" i="1"/>
  <c r="F24669" i="1"/>
  <c r="E24669" i="1"/>
  <c r="D24669" i="1"/>
  <c r="C24669" i="1"/>
  <c r="B24669" i="1"/>
  <c r="A24669" i="1"/>
  <c r="F24668" i="1"/>
  <c r="E24668" i="1"/>
  <c r="D24668" i="1"/>
  <c r="C24668" i="1"/>
  <c r="B24668" i="1"/>
  <c r="A24668" i="1"/>
  <c r="F24667" i="1"/>
  <c r="E24667" i="1"/>
  <c r="D24667" i="1"/>
  <c r="C24667" i="1"/>
  <c r="B24667" i="1"/>
  <c r="A24667" i="1"/>
  <c r="F24666" i="1"/>
  <c r="E24666" i="1"/>
  <c r="D24666" i="1"/>
  <c r="C24666" i="1"/>
  <c r="B24666" i="1"/>
  <c r="A24666" i="1"/>
  <c r="F24665" i="1"/>
  <c r="E24665" i="1"/>
  <c r="D24665" i="1"/>
  <c r="C24665" i="1"/>
  <c r="B24665" i="1"/>
  <c r="A24665" i="1"/>
  <c r="F24664" i="1"/>
  <c r="E24664" i="1"/>
  <c r="D24664" i="1"/>
  <c r="C24664" i="1"/>
  <c r="B24664" i="1"/>
  <c r="A24664" i="1"/>
  <c r="F24663" i="1"/>
  <c r="E24663" i="1"/>
  <c r="D24663" i="1"/>
  <c r="C24663" i="1"/>
  <c r="B24663" i="1"/>
  <c r="A24663" i="1"/>
  <c r="F24662" i="1"/>
  <c r="E24662" i="1"/>
  <c r="D24662" i="1"/>
  <c r="C24662" i="1"/>
  <c r="B24662" i="1"/>
  <c r="A24662" i="1"/>
  <c r="F24661" i="1"/>
  <c r="E24661" i="1"/>
  <c r="D24661" i="1"/>
  <c r="C24661" i="1"/>
  <c r="B24661" i="1"/>
  <c r="A24661" i="1"/>
  <c r="F24660" i="1"/>
  <c r="E24660" i="1"/>
  <c r="D24660" i="1"/>
  <c r="C24660" i="1"/>
  <c r="B24660" i="1"/>
  <c r="A24660" i="1"/>
  <c r="F24659" i="1"/>
  <c r="E24659" i="1"/>
  <c r="D24659" i="1"/>
  <c r="C24659" i="1"/>
  <c r="B24659" i="1"/>
  <c r="A24659" i="1"/>
  <c r="F24658" i="1"/>
  <c r="E24658" i="1"/>
  <c r="D24658" i="1"/>
  <c r="C24658" i="1"/>
  <c r="B24658" i="1"/>
  <c r="A24658" i="1"/>
  <c r="F24657" i="1"/>
  <c r="E24657" i="1"/>
  <c r="D24657" i="1"/>
  <c r="C24657" i="1"/>
  <c r="B24657" i="1"/>
  <c r="A24657" i="1"/>
  <c r="F24656" i="1"/>
  <c r="E24656" i="1"/>
  <c r="D24656" i="1"/>
  <c r="C24656" i="1"/>
  <c r="B24656" i="1"/>
  <c r="A24656" i="1"/>
  <c r="F24655" i="1"/>
  <c r="E24655" i="1"/>
  <c r="D24655" i="1"/>
  <c r="C24655" i="1"/>
  <c r="B24655" i="1"/>
  <c r="A24655" i="1"/>
  <c r="F24654" i="1"/>
  <c r="E24654" i="1"/>
  <c r="D24654" i="1"/>
  <c r="C24654" i="1"/>
  <c r="B24654" i="1"/>
  <c r="A24654" i="1"/>
  <c r="F24653" i="1"/>
  <c r="E24653" i="1"/>
  <c r="D24653" i="1"/>
  <c r="C24653" i="1"/>
  <c r="B24653" i="1"/>
  <c r="A24653" i="1"/>
  <c r="F24652" i="1"/>
  <c r="E24652" i="1"/>
  <c r="D24652" i="1"/>
  <c r="C24652" i="1"/>
  <c r="B24652" i="1"/>
  <c r="A24652" i="1"/>
  <c r="F24651" i="1"/>
  <c r="E24651" i="1"/>
  <c r="D24651" i="1"/>
  <c r="C24651" i="1"/>
  <c r="B24651" i="1"/>
  <c r="A24651" i="1"/>
  <c r="F24650" i="1"/>
  <c r="E24650" i="1"/>
  <c r="D24650" i="1"/>
  <c r="C24650" i="1"/>
  <c r="B24650" i="1"/>
  <c r="A24650" i="1"/>
  <c r="F24649" i="1"/>
  <c r="E24649" i="1"/>
  <c r="D24649" i="1"/>
  <c r="C24649" i="1"/>
  <c r="B24649" i="1"/>
  <c r="A24649" i="1"/>
  <c r="F24648" i="1"/>
  <c r="E24648" i="1"/>
  <c r="D24648" i="1"/>
  <c r="C24648" i="1"/>
  <c r="B24648" i="1"/>
  <c r="A24648" i="1"/>
  <c r="F24647" i="1"/>
  <c r="E24647" i="1"/>
  <c r="D24647" i="1"/>
  <c r="C24647" i="1"/>
  <c r="B24647" i="1"/>
  <c r="A24647" i="1"/>
  <c r="F24646" i="1"/>
  <c r="E24646" i="1"/>
  <c r="D24646" i="1"/>
  <c r="C24646" i="1"/>
  <c r="B24646" i="1"/>
  <c r="A24646" i="1"/>
  <c r="F24645" i="1"/>
  <c r="E24645" i="1"/>
  <c r="D24645" i="1"/>
  <c r="C24645" i="1"/>
  <c r="B24645" i="1"/>
  <c r="A24645" i="1"/>
  <c r="F24644" i="1"/>
  <c r="E24644" i="1"/>
  <c r="D24644" i="1"/>
  <c r="C24644" i="1"/>
  <c r="B24644" i="1"/>
  <c r="A24644" i="1"/>
  <c r="F24643" i="1"/>
  <c r="E24643" i="1"/>
  <c r="D24643" i="1"/>
  <c r="C24643" i="1"/>
  <c r="B24643" i="1"/>
  <c r="A24643" i="1"/>
  <c r="F24642" i="1"/>
  <c r="E24642" i="1"/>
  <c r="D24642" i="1"/>
  <c r="C24642" i="1"/>
  <c r="B24642" i="1"/>
  <c r="A24642" i="1"/>
  <c r="F24641" i="1"/>
  <c r="E24641" i="1"/>
  <c r="D24641" i="1"/>
  <c r="C24641" i="1"/>
  <c r="B24641" i="1"/>
  <c r="A24641" i="1"/>
  <c r="F24640" i="1"/>
  <c r="E24640" i="1"/>
  <c r="D24640" i="1"/>
  <c r="C24640" i="1"/>
  <c r="B24640" i="1"/>
  <c r="A24640" i="1"/>
  <c r="F24639" i="1"/>
  <c r="E24639" i="1"/>
  <c r="D24639" i="1"/>
  <c r="C24639" i="1"/>
  <c r="B24639" i="1"/>
  <c r="A24639" i="1"/>
  <c r="F24638" i="1"/>
  <c r="E24638" i="1"/>
  <c r="D24638" i="1"/>
  <c r="C24638" i="1"/>
  <c r="B24638" i="1"/>
  <c r="A24638" i="1"/>
  <c r="F24637" i="1"/>
  <c r="E24637" i="1"/>
  <c r="D24637" i="1"/>
  <c r="C24637" i="1"/>
  <c r="B24637" i="1"/>
  <c r="A24637" i="1"/>
  <c r="F24636" i="1"/>
  <c r="E24636" i="1"/>
  <c r="D24636" i="1"/>
  <c r="C24636" i="1"/>
  <c r="B24636" i="1"/>
  <c r="A24636" i="1"/>
  <c r="F24635" i="1"/>
  <c r="E24635" i="1"/>
  <c r="D24635" i="1"/>
  <c r="C24635" i="1"/>
  <c r="B24635" i="1"/>
  <c r="A24635" i="1"/>
  <c r="F24634" i="1"/>
  <c r="E24634" i="1"/>
  <c r="D24634" i="1"/>
  <c r="C24634" i="1"/>
  <c r="B24634" i="1"/>
  <c r="A24634" i="1"/>
  <c r="F24633" i="1"/>
  <c r="E24633" i="1"/>
  <c r="D24633" i="1"/>
  <c r="C24633" i="1"/>
  <c r="B24633" i="1"/>
  <c r="A24633" i="1"/>
  <c r="F24632" i="1"/>
  <c r="E24632" i="1"/>
  <c r="D24632" i="1"/>
  <c r="C24632" i="1"/>
  <c r="B24632" i="1"/>
  <c r="A24632" i="1"/>
  <c r="F24631" i="1"/>
  <c r="E24631" i="1"/>
  <c r="D24631" i="1"/>
  <c r="C24631" i="1"/>
  <c r="B24631" i="1"/>
  <c r="A24631" i="1"/>
  <c r="F24630" i="1"/>
  <c r="E24630" i="1"/>
  <c r="D24630" i="1"/>
  <c r="C24630" i="1"/>
  <c r="B24630" i="1"/>
  <c r="A24630" i="1"/>
  <c r="F24629" i="1"/>
  <c r="E24629" i="1"/>
  <c r="D24629" i="1"/>
  <c r="C24629" i="1"/>
  <c r="B24629" i="1"/>
  <c r="A24629" i="1"/>
  <c r="F24628" i="1"/>
  <c r="E24628" i="1"/>
  <c r="D24628" i="1"/>
  <c r="C24628" i="1"/>
  <c r="B24628" i="1"/>
  <c r="A24628" i="1"/>
  <c r="F24627" i="1"/>
  <c r="E24627" i="1"/>
  <c r="D24627" i="1"/>
  <c r="C24627" i="1"/>
  <c r="B24627" i="1"/>
  <c r="A24627" i="1"/>
  <c r="F24626" i="1"/>
  <c r="E24626" i="1"/>
  <c r="D24626" i="1"/>
  <c r="C24626" i="1"/>
  <c r="B24626" i="1"/>
  <c r="A24626" i="1"/>
  <c r="F24625" i="1"/>
  <c r="E24625" i="1"/>
  <c r="D24625" i="1"/>
  <c r="C24625" i="1"/>
  <c r="B24625" i="1"/>
  <c r="A24625" i="1"/>
  <c r="F24624" i="1"/>
  <c r="E24624" i="1"/>
  <c r="D24624" i="1"/>
  <c r="C24624" i="1"/>
  <c r="B24624" i="1"/>
  <c r="A24624" i="1"/>
  <c r="F24623" i="1"/>
  <c r="E24623" i="1"/>
  <c r="D24623" i="1"/>
  <c r="C24623" i="1"/>
  <c r="B24623" i="1"/>
  <c r="A24623" i="1"/>
  <c r="F24622" i="1"/>
  <c r="E24622" i="1"/>
  <c r="D24622" i="1"/>
  <c r="C24622" i="1"/>
  <c r="B24622" i="1"/>
  <c r="A24622" i="1"/>
  <c r="F24621" i="1"/>
  <c r="E24621" i="1"/>
  <c r="D24621" i="1"/>
  <c r="C24621" i="1"/>
  <c r="B24621" i="1"/>
  <c r="A24621" i="1"/>
  <c r="F24620" i="1"/>
  <c r="E24620" i="1"/>
  <c r="D24620" i="1"/>
  <c r="C24620" i="1"/>
  <c r="B24620" i="1"/>
  <c r="A24620" i="1"/>
  <c r="F24619" i="1"/>
  <c r="E24619" i="1"/>
  <c r="D24619" i="1"/>
  <c r="C24619" i="1"/>
  <c r="B24619" i="1"/>
  <c r="A24619" i="1"/>
  <c r="F24618" i="1"/>
  <c r="E24618" i="1"/>
  <c r="D24618" i="1"/>
  <c r="C24618" i="1"/>
  <c r="B24618" i="1"/>
  <c r="A24618" i="1"/>
  <c r="F24617" i="1"/>
  <c r="E24617" i="1"/>
  <c r="D24617" i="1"/>
  <c r="C24617" i="1"/>
  <c r="B24617" i="1"/>
  <c r="A24617" i="1"/>
  <c r="F24616" i="1"/>
  <c r="E24616" i="1"/>
  <c r="D24616" i="1"/>
  <c r="C24616" i="1"/>
  <c r="B24616" i="1"/>
  <c r="A24616" i="1"/>
  <c r="F24615" i="1"/>
  <c r="E24615" i="1"/>
  <c r="D24615" i="1"/>
  <c r="C24615" i="1"/>
  <c r="B24615" i="1"/>
  <c r="A24615" i="1"/>
  <c r="F24614" i="1"/>
  <c r="E24614" i="1"/>
  <c r="D24614" i="1"/>
  <c r="C24614" i="1"/>
  <c r="B24614" i="1"/>
  <c r="A24614" i="1"/>
  <c r="F24613" i="1"/>
  <c r="E24613" i="1"/>
  <c r="D24613" i="1"/>
  <c r="C24613" i="1"/>
  <c r="B24613" i="1"/>
  <c r="A24613" i="1"/>
  <c r="F24612" i="1"/>
  <c r="E24612" i="1"/>
  <c r="D24612" i="1"/>
  <c r="C24612" i="1"/>
  <c r="B24612" i="1"/>
  <c r="A24612" i="1"/>
  <c r="F24611" i="1"/>
  <c r="E24611" i="1"/>
  <c r="D24611" i="1"/>
  <c r="C24611" i="1"/>
  <c r="B24611" i="1"/>
  <c r="A24611" i="1"/>
  <c r="F24610" i="1"/>
  <c r="E24610" i="1"/>
  <c r="D24610" i="1"/>
  <c r="C24610" i="1"/>
  <c r="B24610" i="1"/>
  <c r="A24610" i="1"/>
  <c r="F24609" i="1"/>
  <c r="E24609" i="1"/>
  <c r="D24609" i="1"/>
  <c r="C24609" i="1"/>
  <c r="B24609" i="1"/>
  <c r="A24609" i="1"/>
  <c r="F24608" i="1"/>
  <c r="E24608" i="1"/>
  <c r="D24608" i="1"/>
  <c r="C24608" i="1"/>
  <c r="B24608" i="1"/>
  <c r="A24608" i="1"/>
  <c r="F24607" i="1"/>
  <c r="E24607" i="1"/>
  <c r="D24607" i="1"/>
  <c r="C24607" i="1"/>
  <c r="B24607" i="1"/>
  <c r="A24607" i="1"/>
  <c r="F24606" i="1"/>
  <c r="E24606" i="1"/>
  <c r="D24606" i="1"/>
  <c r="C24606" i="1"/>
  <c r="B24606" i="1"/>
  <c r="A24606" i="1"/>
  <c r="F24605" i="1"/>
  <c r="E24605" i="1"/>
  <c r="D24605" i="1"/>
  <c r="C24605" i="1"/>
  <c r="B24605" i="1"/>
  <c r="A24605" i="1"/>
  <c r="F24604" i="1"/>
  <c r="E24604" i="1"/>
  <c r="D24604" i="1"/>
  <c r="C24604" i="1"/>
  <c r="B24604" i="1"/>
  <c r="A24604" i="1"/>
  <c r="F24603" i="1"/>
  <c r="E24603" i="1"/>
  <c r="D24603" i="1"/>
  <c r="C24603" i="1"/>
  <c r="B24603" i="1"/>
  <c r="A24603" i="1"/>
  <c r="F24602" i="1"/>
  <c r="E24602" i="1"/>
  <c r="D24602" i="1"/>
  <c r="C24602" i="1"/>
  <c r="B24602" i="1"/>
  <c r="A24602" i="1"/>
  <c r="F24601" i="1"/>
  <c r="E24601" i="1"/>
  <c r="D24601" i="1"/>
  <c r="C24601" i="1"/>
  <c r="B24601" i="1"/>
  <c r="A24601" i="1"/>
  <c r="F24600" i="1"/>
  <c r="E24600" i="1"/>
  <c r="D24600" i="1"/>
  <c r="C24600" i="1"/>
  <c r="B24600" i="1"/>
  <c r="A24600" i="1"/>
  <c r="F24599" i="1"/>
  <c r="E24599" i="1"/>
  <c r="D24599" i="1"/>
  <c r="C24599" i="1"/>
  <c r="B24599" i="1"/>
  <c r="A24599" i="1"/>
  <c r="F24598" i="1"/>
  <c r="E24598" i="1"/>
  <c r="D24598" i="1"/>
  <c r="C24598" i="1"/>
  <c r="B24598" i="1"/>
  <c r="A24598" i="1"/>
  <c r="F24597" i="1"/>
  <c r="E24597" i="1"/>
  <c r="D24597" i="1"/>
  <c r="C24597" i="1"/>
  <c r="B24597" i="1"/>
  <c r="A24597" i="1"/>
  <c r="F24596" i="1"/>
  <c r="E24596" i="1"/>
  <c r="D24596" i="1"/>
  <c r="C24596" i="1"/>
  <c r="B24596" i="1"/>
  <c r="A24596" i="1"/>
  <c r="F24595" i="1"/>
  <c r="E24595" i="1"/>
  <c r="D24595" i="1"/>
  <c r="C24595" i="1"/>
  <c r="B24595" i="1"/>
  <c r="A24595" i="1"/>
  <c r="F24594" i="1"/>
  <c r="E24594" i="1"/>
  <c r="D24594" i="1"/>
  <c r="C24594" i="1"/>
  <c r="B24594" i="1"/>
  <c r="A24594" i="1"/>
  <c r="F24593" i="1"/>
  <c r="E24593" i="1"/>
  <c r="D24593" i="1"/>
  <c r="C24593" i="1"/>
  <c r="B24593" i="1"/>
  <c r="A24593" i="1"/>
  <c r="F24592" i="1"/>
  <c r="E24592" i="1"/>
  <c r="D24592" i="1"/>
  <c r="C24592" i="1"/>
  <c r="B24592" i="1"/>
  <c r="A24592" i="1"/>
  <c r="F24591" i="1"/>
  <c r="E24591" i="1"/>
  <c r="D24591" i="1"/>
  <c r="C24591" i="1"/>
  <c r="B24591" i="1"/>
  <c r="A24591" i="1"/>
  <c r="F24590" i="1"/>
  <c r="E24590" i="1"/>
  <c r="D24590" i="1"/>
  <c r="C24590" i="1"/>
  <c r="B24590" i="1"/>
  <c r="A24590" i="1"/>
  <c r="F24589" i="1"/>
  <c r="E24589" i="1"/>
  <c r="D24589" i="1"/>
  <c r="C24589" i="1"/>
  <c r="B24589" i="1"/>
  <c r="A24589" i="1"/>
  <c r="F24588" i="1"/>
  <c r="E24588" i="1"/>
  <c r="D24588" i="1"/>
  <c r="C24588" i="1"/>
  <c r="B24588" i="1"/>
  <c r="A24588" i="1"/>
  <c r="F24587" i="1"/>
  <c r="E24587" i="1"/>
  <c r="D24587" i="1"/>
  <c r="C24587" i="1"/>
  <c r="B24587" i="1"/>
  <c r="A24587" i="1"/>
  <c r="F24586" i="1"/>
  <c r="E24586" i="1"/>
  <c r="D24586" i="1"/>
  <c r="C24586" i="1"/>
  <c r="B24586" i="1"/>
  <c r="A24586" i="1"/>
  <c r="F24585" i="1"/>
  <c r="E24585" i="1"/>
  <c r="D24585" i="1"/>
  <c r="C24585" i="1"/>
  <c r="B24585" i="1"/>
  <c r="A24585" i="1"/>
  <c r="F24584" i="1"/>
  <c r="E24584" i="1"/>
  <c r="D24584" i="1"/>
  <c r="C24584" i="1"/>
  <c r="B24584" i="1"/>
  <c r="A24584" i="1"/>
  <c r="F24583" i="1"/>
  <c r="E24583" i="1"/>
  <c r="D24583" i="1"/>
  <c r="C24583" i="1"/>
  <c r="B24583" i="1"/>
  <c r="A24583" i="1"/>
  <c r="F24582" i="1"/>
  <c r="E24582" i="1"/>
  <c r="D24582" i="1"/>
  <c r="C24582" i="1"/>
  <c r="B24582" i="1"/>
  <c r="A24582" i="1"/>
  <c r="F24581" i="1"/>
  <c r="E24581" i="1"/>
  <c r="D24581" i="1"/>
  <c r="C24581" i="1"/>
  <c r="B24581" i="1"/>
  <c r="A24581" i="1"/>
  <c r="F24580" i="1"/>
  <c r="E24580" i="1"/>
  <c r="D24580" i="1"/>
  <c r="C24580" i="1"/>
  <c r="B24580" i="1"/>
  <c r="A24580" i="1"/>
  <c r="F24579" i="1"/>
  <c r="E24579" i="1"/>
  <c r="D24579" i="1"/>
  <c r="C24579" i="1"/>
  <c r="B24579" i="1"/>
  <c r="A24579" i="1"/>
  <c r="F24578" i="1"/>
  <c r="E24578" i="1"/>
  <c r="D24578" i="1"/>
  <c r="C24578" i="1"/>
  <c r="B24578" i="1"/>
  <c r="A24578" i="1"/>
  <c r="F24577" i="1"/>
  <c r="E24577" i="1"/>
  <c r="D24577" i="1"/>
  <c r="C24577" i="1"/>
  <c r="B24577" i="1"/>
  <c r="A24577" i="1"/>
  <c r="F24576" i="1"/>
  <c r="E24576" i="1"/>
  <c r="D24576" i="1"/>
  <c r="C24576" i="1"/>
  <c r="B24576" i="1"/>
  <c r="A24576" i="1"/>
  <c r="F24575" i="1"/>
  <c r="E24575" i="1"/>
  <c r="D24575" i="1"/>
  <c r="C24575" i="1"/>
  <c r="B24575" i="1"/>
  <c r="A24575" i="1"/>
  <c r="F24574" i="1"/>
  <c r="E24574" i="1"/>
  <c r="D24574" i="1"/>
  <c r="C24574" i="1"/>
  <c r="B24574" i="1"/>
  <c r="A24574" i="1"/>
  <c r="F24573" i="1"/>
  <c r="E24573" i="1"/>
  <c r="D24573" i="1"/>
  <c r="C24573" i="1"/>
  <c r="B24573" i="1"/>
  <c r="A24573" i="1"/>
  <c r="F24572" i="1"/>
  <c r="E24572" i="1"/>
  <c r="D24572" i="1"/>
  <c r="C24572" i="1"/>
  <c r="B24572" i="1"/>
  <c r="A24572" i="1"/>
  <c r="F24571" i="1"/>
  <c r="E24571" i="1"/>
  <c r="D24571" i="1"/>
  <c r="C24571" i="1"/>
  <c r="B24571" i="1"/>
  <c r="A24571" i="1"/>
  <c r="F24570" i="1"/>
  <c r="E24570" i="1"/>
  <c r="D24570" i="1"/>
  <c r="C24570" i="1"/>
  <c r="B24570" i="1"/>
  <c r="A24570" i="1"/>
  <c r="F24569" i="1"/>
  <c r="E24569" i="1"/>
  <c r="D24569" i="1"/>
  <c r="C24569" i="1"/>
  <c r="B24569" i="1"/>
  <c r="A24569" i="1"/>
  <c r="F24568" i="1"/>
  <c r="E24568" i="1"/>
  <c r="D24568" i="1"/>
  <c r="C24568" i="1"/>
  <c r="B24568" i="1"/>
  <c r="A24568" i="1"/>
  <c r="F24567" i="1"/>
  <c r="E24567" i="1"/>
  <c r="D24567" i="1"/>
  <c r="C24567" i="1"/>
  <c r="B24567" i="1"/>
  <c r="A24567" i="1"/>
  <c r="F24566" i="1"/>
  <c r="E24566" i="1"/>
  <c r="D24566" i="1"/>
  <c r="C24566" i="1"/>
  <c r="B24566" i="1"/>
  <c r="A24566" i="1"/>
  <c r="F24565" i="1"/>
  <c r="E24565" i="1"/>
  <c r="D24565" i="1"/>
  <c r="C24565" i="1"/>
  <c r="B24565" i="1"/>
  <c r="A24565" i="1"/>
  <c r="F24564" i="1"/>
  <c r="E24564" i="1"/>
  <c r="D24564" i="1"/>
  <c r="C24564" i="1"/>
  <c r="B24564" i="1"/>
  <c r="A24564" i="1"/>
  <c r="F24563" i="1"/>
  <c r="E24563" i="1"/>
  <c r="D24563" i="1"/>
  <c r="C24563" i="1"/>
  <c r="B24563" i="1"/>
  <c r="A24563" i="1"/>
  <c r="F24562" i="1"/>
  <c r="E24562" i="1"/>
  <c r="D24562" i="1"/>
  <c r="C24562" i="1"/>
  <c r="B24562" i="1"/>
  <c r="A24562" i="1"/>
  <c r="F24561" i="1"/>
  <c r="E24561" i="1"/>
  <c r="D24561" i="1"/>
  <c r="C24561" i="1"/>
  <c r="B24561" i="1"/>
  <c r="A24561" i="1"/>
  <c r="F24560" i="1"/>
  <c r="E24560" i="1"/>
  <c r="D24560" i="1"/>
  <c r="C24560" i="1"/>
  <c r="B24560" i="1"/>
  <c r="A24560" i="1"/>
  <c r="F24559" i="1"/>
  <c r="E24559" i="1"/>
  <c r="D24559" i="1"/>
  <c r="C24559" i="1"/>
  <c r="B24559" i="1"/>
  <c r="A24559" i="1"/>
  <c r="F24558" i="1"/>
  <c r="E24558" i="1"/>
  <c r="D24558" i="1"/>
  <c r="C24558" i="1"/>
  <c r="B24558" i="1"/>
  <c r="A24558" i="1"/>
  <c r="F24557" i="1"/>
  <c r="E24557" i="1"/>
  <c r="D24557" i="1"/>
  <c r="C24557" i="1"/>
  <c r="B24557" i="1"/>
  <c r="A24557" i="1"/>
  <c r="F24556" i="1"/>
  <c r="E24556" i="1"/>
  <c r="D24556" i="1"/>
  <c r="C24556" i="1"/>
  <c r="B24556" i="1"/>
  <c r="A24556" i="1"/>
  <c r="F24555" i="1"/>
  <c r="E24555" i="1"/>
  <c r="D24555" i="1"/>
  <c r="C24555" i="1"/>
  <c r="B24555" i="1"/>
  <c r="A24555" i="1"/>
  <c r="F24554" i="1"/>
  <c r="E24554" i="1"/>
  <c r="D24554" i="1"/>
  <c r="C24554" i="1"/>
  <c r="B24554" i="1"/>
  <c r="A24554" i="1"/>
  <c r="F24553" i="1"/>
  <c r="E24553" i="1"/>
  <c r="D24553" i="1"/>
  <c r="C24553" i="1"/>
  <c r="B24553" i="1"/>
  <c r="A24553" i="1"/>
  <c r="F24552" i="1"/>
  <c r="E24552" i="1"/>
  <c r="D24552" i="1"/>
  <c r="C24552" i="1"/>
  <c r="B24552" i="1"/>
  <c r="A24552" i="1"/>
  <c r="F24551" i="1"/>
  <c r="E24551" i="1"/>
  <c r="D24551" i="1"/>
  <c r="C24551" i="1"/>
  <c r="B24551" i="1"/>
  <c r="A24551" i="1"/>
  <c r="F24550" i="1"/>
  <c r="E24550" i="1"/>
  <c r="D24550" i="1"/>
  <c r="C24550" i="1"/>
  <c r="B24550" i="1"/>
  <c r="A24550" i="1"/>
  <c r="F24549" i="1"/>
  <c r="E24549" i="1"/>
  <c r="D24549" i="1"/>
  <c r="C24549" i="1"/>
  <c r="B24549" i="1"/>
  <c r="A24549" i="1"/>
  <c r="F24548" i="1"/>
  <c r="E24548" i="1"/>
  <c r="D24548" i="1"/>
  <c r="C24548" i="1"/>
  <c r="B24548" i="1"/>
  <c r="A24548" i="1"/>
  <c r="F24547" i="1"/>
  <c r="E24547" i="1"/>
  <c r="D24547" i="1"/>
  <c r="C24547" i="1"/>
  <c r="B24547" i="1"/>
  <c r="A24547" i="1"/>
  <c r="F24546" i="1"/>
  <c r="E24546" i="1"/>
  <c r="D24546" i="1"/>
  <c r="C24546" i="1"/>
  <c r="B24546" i="1"/>
  <c r="A24546" i="1"/>
  <c r="F24545" i="1"/>
  <c r="E24545" i="1"/>
  <c r="D24545" i="1"/>
  <c r="C24545" i="1"/>
  <c r="B24545" i="1"/>
  <c r="A24545" i="1"/>
  <c r="F24544" i="1"/>
  <c r="E24544" i="1"/>
  <c r="D24544" i="1"/>
  <c r="C24544" i="1"/>
  <c r="B24544" i="1"/>
  <c r="A24544" i="1"/>
  <c r="F24543" i="1"/>
  <c r="E24543" i="1"/>
  <c r="D24543" i="1"/>
  <c r="C24543" i="1"/>
  <c r="B24543" i="1"/>
  <c r="A24543" i="1"/>
  <c r="F24542" i="1"/>
  <c r="E24542" i="1"/>
  <c r="D24542" i="1"/>
  <c r="C24542" i="1"/>
  <c r="B24542" i="1"/>
  <c r="A24542" i="1"/>
  <c r="F24541" i="1"/>
  <c r="E24541" i="1"/>
  <c r="D24541" i="1"/>
  <c r="C24541" i="1"/>
  <c r="B24541" i="1"/>
  <c r="A24541" i="1"/>
  <c r="F24540" i="1"/>
  <c r="E24540" i="1"/>
  <c r="D24540" i="1"/>
  <c r="C24540" i="1"/>
  <c r="B24540" i="1"/>
  <c r="A24540" i="1"/>
  <c r="F24539" i="1"/>
  <c r="E24539" i="1"/>
  <c r="D24539" i="1"/>
  <c r="C24539" i="1"/>
  <c r="B24539" i="1"/>
  <c r="A24539" i="1"/>
  <c r="F24538" i="1"/>
  <c r="E24538" i="1"/>
  <c r="D24538" i="1"/>
  <c r="C24538" i="1"/>
  <c r="B24538" i="1"/>
  <c r="A24538" i="1"/>
  <c r="F24537" i="1"/>
  <c r="E24537" i="1"/>
  <c r="D24537" i="1"/>
  <c r="C24537" i="1"/>
  <c r="B24537" i="1"/>
  <c r="A24537" i="1"/>
  <c r="F24536" i="1"/>
  <c r="E24536" i="1"/>
  <c r="D24536" i="1"/>
  <c r="C24536" i="1"/>
  <c r="B24536" i="1"/>
  <c r="A24536" i="1"/>
  <c r="F24535" i="1"/>
  <c r="E24535" i="1"/>
  <c r="D24535" i="1"/>
  <c r="C24535" i="1"/>
  <c r="B24535" i="1"/>
  <c r="A24535" i="1"/>
  <c r="F24534" i="1"/>
  <c r="E24534" i="1"/>
  <c r="D24534" i="1"/>
  <c r="C24534" i="1"/>
  <c r="B24534" i="1"/>
  <c r="A24534" i="1"/>
  <c r="F24533" i="1"/>
  <c r="E24533" i="1"/>
  <c r="D24533" i="1"/>
  <c r="C24533" i="1"/>
  <c r="B24533" i="1"/>
  <c r="A24533" i="1"/>
  <c r="F24532" i="1"/>
  <c r="E24532" i="1"/>
  <c r="D24532" i="1"/>
  <c r="C24532" i="1"/>
  <c r="B24532" i="1"/>
  <c r="A24532" i="1"/>
  <c r="F24531" i="1"/>
  <c r="E24531" i="1"/>
  <c r="D24531" i="1"/>
  <c r="C24531" i="1"/>
  <c r="B24531" i="1"/>
  <c r="A24531" i="1"/>
  <c r="F24530" i="1"/>
  <c r="E24530" i="1"/>
  <c r="D24530" i="1"/>
  <c r="C24530" i="1"/>
  <c r="B24530" i="1"/>
  <c r="A24530" i="1"/>
  <c r="F24529" i="1"/>
  <c r="E24529" i="1"/>
  <c r="D24529" i="1"/>
  <c r="C24529" i="1"/>
  <c r="B24529" i="1"/>
  <c r="A24529" i="1"/>
  <c r="F24528" i="1"/>
  <c r="E24528" i="1"/>
  <c r="D24528" i="1"/>
  <c r="C24528" i="1"/>
  <c r="B24528" i="1"/>
  <c r="A24528" i="1"/>
  <c r="F24527" i="1"/>
  <c r="E24527" i="1"/>
  <c r="D24527" i="1"/>
  <c r="C24527" i="1"/>
  <c r="B24527" i="1"/>
  <c r="A24527" i="1"/>
  <c r="F24526" i="1"/>
  <c r="E24526" i="1"/>
  <c r="D24526" i="1"/>
  <c r="C24526" i="1"/>
  <c r="B24526" i="1"/>
  <c r="A24526" i="1"/>
  <c r="F24525" i="1"/>
  <c r="E24525" i="1"/>
  <c r="D24525" i="1"/>
  <c r="C24525" i="1"/>
  <c r="B24525" i="1"/>
  <c r="A24525" i="1"/>
  <c r="F24524" i="1"/>
  <c r="E24524" i="1"/>
  <c r="D24524" i="1"/>
  <c r="C24524" i="1"/>
  <c r="B24524" i="1"/>
  <c r="A24524" i="1"/>
  <c r="F24523" i="1"/>
  <c r="E24523" i="1"/>
  <c r="D24523" i="1"/>
  <c r="C24523" i="1"/>
  <c r="B24523" i="1"/>
  <c r="A24523" i="1"/>
  <c r="F24522" i="1"/>
  <c r="E24522" i="1"/>
  <c r="D24522" i="1"/>
  <c r="C24522" i="1"/>
  <c r="B24522" i="1"/>
  <c r="A24522" i="1"/>
  <c r="F24521" i="1"/>
  <c r="E24521" i="1"/>
  <c r="D24521" i="1"/>
  <c r="C24521" i="1"/>
  <c r="B24521" i="1"/>
  <c r="A24521" i="1"/>
  <c r="F24520" i="1"/>
  <c r="E24520" i="1"/>
  <c r="D24520" i="1"/>
  <c r="C24520" i="1"/>
  <c r="B24520" i="1"/>
  <c r="A24520" i="1"/>
  <c r="F24519" i="1"/>
  <c r="E24519" i="1"/>
  <c r="D24519" i="1"/>
  <c r="C24519" i="1"/>
  <c r="B24519" i="1"/>
  <c r="A24519" i="1"/>
  <c r="F24518" i="1"/>
  <c r="E24518" i="1"/>
  <c r="D24518" i="1"/>
  <c r="C24518" i="1"/>
  <c r="B24518" i="1"/>
  <c r="A24518" i="1"/>
  <c r="F24517" i="1"/>
  <c r="E24517" i="1"/>
  <c r="D24517" i="1"/>
  <c r="C24517" i="1"/>
  <c r="B24517" i="1"/>
  <c r="A24517" i="1"/>
  <c r="F24516" i="1"/>
  <c r="E24516" i="1"/>
  <c r="D24516" i="1"/>
  <c r="C24516" i="1"/>
  <c r="B24516" i="1"/>
  <c r="A24516" i="1"/>
  <c r="F24515" i="1"/>
  <c r="E24515" i="1"/>
  <c r="D24515" i="1"/>
  <c r="C24515" i="1"/>
  <c r="B24515" i="1"/>
  <c r="A24515" i="1"/>
  <c r="F24514" i="1"/>
  <c r="E24514" i="1"/>
  <c r="D24514" i="1"/>
  <c r="C24514" i="1"/>
  <c r="B24514" i="1"/>
  <c r="A24514" i="1"/>
  <c r="F24513" i="1"/>
  <c r="E24513" i="1"/>
  <c r="D24513" i="1"/>
  <c r="C24513" i="1"/>
  <c r="B24513" i="1"/>
  <c r="A24513" i="1"/>
  <c r="F24512" i="1"/>
  <c r="E24512" i="1"/>
  <c r="D24512" i="1"/>
  <c r="C24512" i="1"/>
  <c r="B24512" i="1"/>
  <c r="A24512" i="1"/>
  <c r="F24511" i="1"/>
  <c r="E24511" i="1"/>
  <c r="D24511" i="1"/>
  <c r="C24511" i="1"/>
  <c r="B24511" i="1"/>
  <c r="A24511" i="1"/>
  <c r="F24510" i="1"/>
  <c r="E24510" i="1"/>
  <c r="D24510" i="1"/>
  <c r="C24510" i="1"/>
  <c r="B24510" i="1"/>
  <c r="A24510" i="1"/>
  <c r="F24509" i="1"/>
  <c r="E24509" i="1"/>
  <c r="D24509" i="1"/>
  <c r="C24509" i="1"/>
  <c r="B24509" i="1"/>
  <c r="A24509" i="1"/>
  <c r="F24508" i="1"/>
  <c r="E24508" i="1"/>
  <c r="D24508" i="1"/>
  <c r="C24508" i="1"/>
  <c r="B24508" i="1"/>
  <c r="A24508" i="1"/>
  <c r="F24507" i="1"/>
  <c r="E24507" i="1"/>
  <c r="D24507" i="1"/>
  <c r="C24507" i="1"/>
  <c r="B24507" i="1"/>
  <c r="A24507" i="1"/>
  <c r="F24506" i="1"/>
  <c r="E24506" i="1"/>
  <c r="D24506" i="1"/>
  <c r="C24506" i="1"/>
  <c r="B24506" i="1"/>
  <c r="A24506" i="1"/>
  <c r="F24505" i="1"/>
  <c r="E24505" i="1"/>
  <c r="D24505" i="1"/>
  <c r="C24505" i="1"/>
  <c r="B24505" i="1"/>
  <c r="A24505" i="1"/>
  <c r="F24504" i="1"/>
  <c r="E24504" i="1"/>
  <c r="D24504" i="1"/>
  <c r="C24504" i="1"/>
  <c r="B24504" i="1"/>
  <c r="A24504" i="1"/>
  <c r="F24503" i="1"/>
  <c r="E24503" i="1"/>
  <c r="D24503" i="1"/>
  <c r="C24503" i="1"/>
  <c r="B24503" i="1"/>
  <c r="A24503" i="1"/>
  <c r="F24502" i="1"/>
  <c r="E24502" i="1"/>
  <c r="D24502" i="1"/>
  <c r="C24502" i="1"/>
  <c r="B24502" i="1"/>
  <c r="A24502" i="1"/>
  <c r="F24501" i="1"/>
  <c r="E24501" i="1"/>
  <c r="D24501" i="1"/>
  <c r="C24501" i="1"/>
  <c r="B24501" i="1"/>
  <c r="A24501" i="1"/>
  <c r="F24500" i="1"/>
  <c r="E24500" i="1"/>
  <c r="D24500" i="1"/>
  <c r="C24500" i="1"/>
  <c r="B24500" i="1"/>
  <c r="A24500" i="1"/>
  <c r="F24499" i="1"/>
  <c r="E24499" i="1"/>
  <c r="D24499" i="1"/>
  <c r="C24499" i="1"/>
  <c r="B24499" i="1"/>
  <c r="A24499" i="1"/>
  <c r="F24498" i="1"/>
  <c r="E24498" i="1"/>
  <c r="D24498" i="1"/>
  <c r="C24498" i="1"/>
  <c r="B24498" i="1"/>
  <c r="A24498" i="1"/>
  <c r="F24497" i="1"/>
  <c r="E24497" i="1"/>
  <c r="D24497" i="1"/>
  <c r="C24497" i="1"/>
  <c r="B24497" i="1"/>
  <c r="A24497" i="1"/>
  <c r="F24496" i="1"/>
  <c r="E24496" i="1"/>
  <c r="D24496" i="1"/>
  <c r="C24496" i="1"/>
  <c r="B24496" i="1"/>
  <c r="A24496" i="1"/>
  <c r="F24495" i="1"/>
  <c r="E24495" i="1"/>
  <c r="D24495" i="1"/>
  <c r="C24495" i="1"/>
  <c r="B24495" i="1"/>
  <c r="A24495" i="1"/>
  <c r="F24494" i="1"/>
  <c r="E24494" i="1"/>
  <c r="D24494" i="1"/>
  <c r="C24494" i="1"/>
  <c r="B24494" i="1"/>
  <c r="A24494" i="1"/>
  <c r="F24493" i="1"/>
  <c r="E24493" i="1"/>
  <c r="D24493" i="1"/>
  <c r="C24493" i="1"/>
  <c r="B24493" i="1"/>
  <c r="A24493" i="1"/>
  <c r="F24492" i="1"/>
  <c r="E24492" i="1"/>
  <c r="D24492" i="1"/>
  <c r="C24492" i="1"/>
  <c r="B24492" i="1"/>
  <c r="A24492" i="1"/>
  <c r="F24491" i="1"/>
  <c r="E24491" i="1"/>
  <c r="D24491" i="1"/>
  <c r="C24491" i="1"/>
  <c r="B24491" i="1"/>
  <c r="A24491" i="1"/>
  <c r="F24490" i="1"/>
  <c r="E24490" i="1"/>
  <c r="D24490" i="1"/>
  <c r="C24490" i="1"/>
  <c r="B24490" i="1"/>
  <c r="A24490" i="1"/>
  <c r="F24489" i="1"/>
  <c r="E24489" i="1"/>
  <c r="D24489" i="1"/>
  <c r="C24489" i="1"/>
  <c r="B24489" i="1"/>
  <c r="A24489" i="1"/>
  <c r="F24488" i="1"/>
  <c r="E24488" i="1"/>
  <c r="D24488" i="1"/>
  <c r="C24488" i="1"/>
  <c r="B24488" i="1"/>
  <c r="A24488" i="1"/>
  <c r="F24487" i="1"/>
  <c r="E24487" i="1"/>
  <c r="D24487" i="1"/>
  <c r="C24487" i="1"/>
  <c r="B24487" i="1"/>
  <c r="A24487" i="1"/>
  <c r="F24486" i="1"/>
  <c r="E24486" i="1"/>
  <c r="D24486" i="1"/>
  <c r="C24486" i="1"/>
  <c r="B24486" i="1"/>
  <c r="A24486" i="1"/>
  <c r="F24485" i="1"/>
  <c r="E24485" i="1"/>
  <c r="D24485" i="1"/>
  <c r="C24485" i="1"/>
  <c r="B24485" i="1"/>
  <c r="A24485" i="1"/>
  <c r="F24484" i="1"/>
  <c r="E24484" i="1"/>
  <c r="D24484" i="1"/>
  <c r="C24484" i="1"/>
  <c r="B24484" i="1"/>
  <c r="A24484" i="1"/>
  <c r="F24483" i="1"/>
  <c r="E24483" i="1"/>
  <c r="D24483" i="1"/>
  <c r="C24483" i="1"/>
  <c r="B24483" i="1"/>
  <c r="A24483" i="1"/>
  <c r="F24482" i="1"/>
  <c r="E24482" i="1"/>
  <c r="D24482" i="1"/>
  <c r="C24482" i="1"/>
  <c r="B24482" i="1"/>
  <c r="A24482" i="1"/>
  <c r="F24481" i="1"/>
  <c r="E24481" i="1"/>
  <c r="D24481" i="1"/>
  <c r="C24481" i="1"/>
  <c r="B24481" i="1"/>
  <c r="A24481" i="1"/>
  <c r="F24480" i="1"/>
  <c r="E24480" i="1"/>
  <c r="D24480" i="1"/>
  <c r="C24480" i="1"/>
  <c r="B24480" i="1"/>
  <c r="A24480" i="1"/>
  <c r="F24479" i="1"/>
  <c r="E24479" i="1"/>
  <c r="D24479" i="1"/>
  <c r="C24479" i="1"/>
  <c r="B24479" i="1"/>
  <c r="A24479" i="1"/>
  <c r="F24478" i="1"/>
  <c r="E24478" i="1"/>
  <c r="D24478" i="1"/>
  <c r="C24478" i="1"/>
  <c r="B24478" i="1"/>
  <c r="A24478" i="1"/>
  <c r="F24477" i="1"/>
  <c r="E24477" i="1"/>
  <c r="D24477" i="1"/>
  <c r="C24477" i="1"/>
  <c r="B24477" i="1"/>
  <c r="A24477" i="1"/>
  <c r="F24476" i="1"/>
  <c r="E24476" i="1"/>
  <c r="D24476" i="1"/>
  <c r="C24476" i="1"/>
  <c r="B24476" i="1"/>
  <c r="A24476" i="1"/>
  <c r="F24475" i="1"/>
  <c r="E24475" i="1"/>
  <c r="D24475" i="1"/>
  <c r="C24475" i="1"/>
  <c r="B24475" i="1"/>
  <c r="A24475" i="1"/>
  <c r="F24474" i="1"/>
  <c r="E24474" i="1"/>
  <c r="D24474" i="1"/>
  <c r="C24474" i="1"/>
  <c r="B24474" i="1"/>
  <c r="A24474" i="1"/>
  <c r="F24473" i="1"/>
  <c r="E24473" i="1"/>
  <c r="D24473" i="1"/>
  <c r="C24473" i="1"/>
  <c r="B24473" i="1"/>
  <c r="A24473" i="1"/>
  <c r="F24472" i="1"/>
  <c r="E24472" i="1"/>
  <c r="D24472" i="1"/>
  <c r="C24472" i="1"/>
  <c r="B24472" i="1"/>
  <c r="A24472" i="1"/>
  <c r="F24471" i="1"/>
  <c r="E24471" i="1"/>
  <c r="D24471" i="1"/>
  <c r="C24471" i="1"/>
  <c r="B24471" i="1"/>
  <c r="A24471" i="1"/>
  <c r="F24470" i="1"/>
  <c r="E24470" i="1"/>
  <c r="D24470" i="1"/>
  <c r="C24470" i="1"/>
  <c r="B24470" i="1"/>
  <c r="A24470" i="1"/>
  <c r="F24469" i="1"/>
  <c r="E24469" i="1"/>
  <c r="D24469" i="1"/>
  <c r="C24469" i="1"/>
  <c r="B24469" i="1"/>
  <c r="A24469" i="1"/>
  <c r="F24468" i="1"/>
  <c r="E24468" i="1"/>
  <c r="D24468" i="1"/>
  <c r="C24468" i="1"/>
  <c r="B24468" i="1"/>
  <c r="A24468" i="1"/>
  <c r="F24467" i="1"/>
  <c r="E24467" i="1"/>
  <c r="D24467" i="1"/>
  <c r="C24467" i="1"/>
  <c r="B24467" i="1"/>
  <c r="A24467" i="1"/>
  <c r="F24466" i="1"/>
  <c r="E24466" i="1"/>
  <c r="D24466" i="1"/>
  <c r="C24466" i="1"/>
  <c r="B24466" i="1"/>
  <c r="A24466" i="1"/>
  <c r="F24465" i="1"/>
  <c r="E24465" i="1"/>
  <c r="D24465" i="1"/>
  <c r="C24465" i="1"/>
  <c r="B24465" i="1"/>
  <c r="A24465" i="1"/>
  <c r="F24464" i="1"/>
  <c r="E24464" i="1"/>
  <c r="D24464" i="1"/>
  <c r="C24464" i="1"/>
  <c r="B24464" i="1"/>
  <c r="A24464" i="1"/>
  <c r="F24463" i="1"/>
  <c r="E24463" i="1"/>
  <c r="D24463" i="1"/>
  <c r="C24463" i="1"/>
  <c r="B24463" i="1"/>
  <c r="A24463" i="1"/>
  <c r="F24462" i="1"/>
  <c r="E24462" i="1"/>
  <c r="D24462" i="1"/>
  <c r="C24462" i="1"/>
  <c r="B24462" i="1"/>
  <c r="A24462" i="1"/>
  <c r="F24461" i="1"/>
  <c r="E24461" i="1"/>
  <c r="D24461" i="1"/>
  <c r="C24461" i="1"/>
  <c r="B24461" i="1"/>
  <c r="A24461" i="1"/>
  <c r="F24460" i="1"/>
  <c r="E24460" i="1"/>
  <c r="D24460" i="1"/>
  <c r="C24460" i="1"/>
  <c r="B24460" i="1"/>
  <c r="A24460" i="1"/>
  <c r="F24459" i="1"/>
  <c r="E24459" i="1"/>
  <c r="D24459" i="1"/>
  <c r="C24459" i="1"/>
  <c r="B24459" i="1"/>
  <c r="A24459" i="1"/>
  <c r="F24458" i="1"/>
  <c r="E24458" i="1"/>
  <c r="D24458" i="1"/>
  <c r="C24458" i="1"/>
  <c r="B24458" i="1"/>
  <c r="A24458" i="1"/>
  <c r="F24457" i="1"/>
  <c r="E24457" i="1"/>
  <c r="D24457" i="1"/>
  <c r="C24457" i="1"/>
  <c r="B24457" i="1"/>
  <c r="A24457" i="1"/>
  <c r="F24456" i="1"/>
  <c r="E24456" i="1"/>
  <c r="D24456" i="1"/>
  <c r="C24456" i="1"/>
  <c r="B24456" i="1"/>
  <c r="A24456" i="1"/>
  <c r="F24455" i="1"/>
  <c r="E24455" i="1"/>
  <c r="D24455" i="1"/>
  <c r="C24455" i="1"/>
  <c r="B24455" i="1"/>
  <c r="A24455" i="1"/>
  <c r="F24454" i="1"/>
  <c r="E24454" i="1"/>
  <c r="D24454" i="1"/>
  <c r="C24454" i="1"/>
  <c r="B24454" i="1"/>
  <c r="A24454" i="1"/>
  <c r="F24453" i="1"/>
  <c r="E24453" i="1"/>
  <c r="D24453" i="1"/>
  <c r="C24453" i="1"/>
  <c r="B24453" i="1"/>
  <c r="A24453" i="1"/>
  <c r="F24452" i="1"/>
  <c r="E24452" i="1"/>
  <c r="D24452" i="1"/>
  <c r="C24452" i="1"/>
  <c r="B24452" i="1"/>
  <c r="A24452" i="1"/>
  <c r="F24451" i="1"/>
  <c r="E24451" i="1"/>
  <c r="D24451" i="1"/>
  <c r="C24451" i="1"/>
  <c r="B24451" i="1"/>
  <c r="A24451" i="1"/>
  <c r="F24450" i="1"/>
  <c r="E24450" i="1"/>
  <c r="D24450" i="1"/>
  <c r="C24450" i="1"/>
  <c r="B24450" i="1"/>
  <c r="A24450" i="1"/>
  <c r="F24449" i="1"/>
  <c r="E24449" i="1"/>
  <c r="D24449" i="1"/>
  <c r="C24449" i="1"/>
  <c r="B24449" i="1"/>
  <c r="A24449" i="1"/>
  <c r="F24448" i="1"/>
  <c r="E24448" i="1"/>
  <c r="D24448" i="1"/>
  <c r="C24448" i="1"/>
  <c r="B24448" i="1"/>
  <c r="A24448" i="1"/>
  <c r="F24447" i="1"/>
  <c r="E24447" i="1"/>
  <c r="D24447" i="1"/>
  <c r="C24447" i="1"/>
  <c r="B24447" i="1"/>
  <c r="A24447" i="1"/>
  <c r="F24446" i="1"/>
  <c r="E24446" i="1"/>
  <c r="D24446" i="1"/>
  <c r="C24446" i="1"/>
  <c r="B24446" i="1"/>
  <c r="A24446" i="1"/>
  <c r="F24445" i="1"/>
  <c r="E24445" i="1"/>
  <c r="D24445" i="1"/>
  <c r="C24445" i="1"/>
  <c r="B24445" i="1"/>
  <c r="A24445" i="1"/>
  <c r="F24444" i="1"/>
  <c r="E24444" i="1"/>
  <c r="D24444" i="1"/>
  <c r="C24444" i="1"/>
  <c r="B24444" i="1"/>
  <c r="A24444" i="1"/>
  <c r="F24443" i="1"/>
  <c r="E24443" i="1"/>
  <c r="D24443" i="1"/>
  <c r="C24443" i="1"/>
  <c r="B24443" i="1"/>
  <c r="A24443" i="1"/>
  <c r="F24442" i="1"/>
  <c r="E24442" i="1"/>
  <c r="D24442" i="1"/>
  <c r="C24442" i="1"/>
  <c r="B24442" i="1"/>
  <c r="A24442" i="1"/>
  <c r="F24441" i="1"/>
  <c r="E24441" i="1"/>
  <c r="D24441" i="1"/>
  <c r="C24441" i="1"/>
  <c r="B24441" i="1"/>
  <c r="A24441" i="1"/>
  <c r="F24440" i="1"/>
  <c r="E24440" i="1"/>
  <c r="D24440" i="1"/>
  <c r="C24440" i="1"/>
  <c r="B24440" i="1"/>
  <c r="A24440" i="1"/>
  <c r="F24439" i="1"/>
  <c r="E24439" i="1"/>
  <c r="D24439" i="1"/>
  <c r="C24439" i="1"/>
  <c r="B24439" i="1"/>
  <c r="A24439" i="1"/>
  <c r="F24438" i="1"/>
  <c r="E24438" i="1"/>
  <c r="D24438" i="1"/>
  <c r="C24438" i="1"/>
  <c r="B24438" i="1"/>
  <c r="A24438" i="1"/>
  <c r="F24437" i="1"/>
  <c r="E24437" i="1"/>
  <c r="D24437" i="1"/>
  <c r="C24437" i="1"/>
  <c r="B24437" i="1"/>
  <c r="A24437" i="1"/>
  <c r="F24436" i="1"/>
  <c r="E24436" i="1"/>
  <c r="D24436" i="1"/>
  <c r="C24436" i="1"/>
  <c r="B24436" i="1"/>
  <c r="A24436" i="1"/>
  <c r="F24435" i="1"/>
  <c r="E24435" i="1"/>
  <c r="D24435" i="1"/>
  <c r="C24435" i="1"/>
  <c r="B24435" i="1"/>
  <c r="A24435" i="1"/>
  <c r="F24434" i="1"/>
  <c r="E24434" i="1"/>
  <c r="D24434" i="1"/>
  <c r="C24434" i="1"/>
  <c r="B24434" i="1"/>
  <c r="A24434" i="1"/>
  <c r="F24433" i="1"/>
  <c r="E24433" i="1"/>
  <c r="D24433" i="1"/>
  <c r="C24433" i="1"/>
  <c r="B24433" i="1"/>
  <c r="A24433" i="1"/>
  <c r="F24432" i="1"/>
  <c r="E24432" i="1"/>
  <c r="D24432" i="1"/>
  <c r="C24432" i="1"/>
  <c r="B24432" i="1"/>
  <c r="A24432" i="1"/>
  <c r="F24431" i="1"/>
  <c r="E24431" i="1"/>
  <c r="D24431" i="1"/>
  <c r="C24431" i="1"/>
  <c r="B24431" i="1"/>
  <c r="A24431" i="1"/>
  <c r="F24430" i="1"/>
  <c r="E24430" i="1"/>
  <c r="D24430" i="1"/>
  <c r="C24430" i="1"/>
  <c r="B24430" i="1"/>
  <c r="A24430" i="1"/>
  <c r="F24429" i="1"/>
  <c r="E24429" i="1"/>
  <c r="D24429" i="1"/>
  <c r="C24429" i="1"/>
  <c r="B24429" i="1"/>
  <c r="A24429" i="1"/>
  <c r="F24428" i="1"/>
  <c r="E24428" i="1"/>
  <c r="D24428" i="1"/>
  <c r="C24428" i="1"/>
  <c r="B24428" i="1"/>
  <c r="A24428" i="1"/>
  <c r="F24427" i="1"/>
  <c r="E24427" i="1"/>
  <c r="D24427" i="1"/>
  <c r="C24427" i="1"/>
  <c r="B24427" i="1"/>
  <c r="A24427" i="1"/>
  <c r="F24426" i="1"/>
  <c r="E24426" i="1"/>
  <c r="D24426" i="1"/>
  <c r="C24426" i="1"/>
  <c r="B24426" i="1"/>
  <c r="A24426" i="1"/>
  <c r="F24425" i="1"/>
  <c r="E24425" i="1"/>
  <c r="D24425" i="1"/>
  <c r="C24425" i="1"/>
  <c r="B24425" i="1"/>
  <c r="A24425" i="1"/>
  <c r="F24424" i="1"/>
  <c r="E24424" i="1"/>
  <c r="D24424" i="1"/>
  <c r="C24424" i="1"/>
  <c r="B24424" i="1"/>
  <c r="A24424" i="1"/>
  <c r="F24423" i="1"/>
  <c r="E24423" i="1"/>
  <c r="D24423" i="1"/>
  <c r="C24423" i="1"/>
  <c r="B24423" i="1"/>
  <c r="A24423" i="1"/>
  <c r="F24422" i="1"/>
  <c r="E24422" i="1"/>
  <c r="D24422" i="1"/>
  <c r="C24422" i="1"/>
  <c r="B24422" i="1"/>
  <c r="A24422" i="1"/>
  <c r="F24421" i="1"/>
  <c r="E24421" i="1"/>
  <c r="D24421" i="1"/>
  <c r="C24421" i="1"/>
  <c r="B24421" i="1"/>
  <c r="A24421" i="1"/>
  <c r="F24420" i="1"/>
  <c r="E24420" i="1"/>
  <c r="D24420" i="1"/>
  <c r="C24420" i="1"/>
  <c r="B24420" i="1"/>
  <c r="A24420" i="1"/>
  <c r="F24419" i="1"/>
  <c r="E24419" i="1"/>
  <c r="D24419" i="1"/>
  <c r="C24419" i="1"/>
  <c r="B24419" i="1"/>
  <c r="A24419" i="1"/>
  <c r="F24418" i="1"/>
  <c r="E24418" i="1"/>
  <c r="D24418" i="1"/>
  <c r="C24418" i="1"/>
  <c r="B24418" i="1"/>
  <c r="A24418" i="1"/>
  <c r="F24417" i="1"/>
  <c r="E24417" i="1"/>
  <c r="D24417" i="1"/>
  <c r="C24417" i="1"/>
  <c r="B24417" i="1"/>
  <c r="A24417" i="1"/>
  <c r="F24416" i="1"/>
  <c r="E24416" i="1"/>
  <c r="D24416" i="1"/>
  <c r="C24416" i="1"/>
  <c r="B24416" i="1"/>
  <c r="A24416" i="1"/>
  <c r="F24415" i="1"/>
  <c r="E24415" i="1"/>
  <c r="D24415" i="1"/>
  <c r="C24415" i="1"/>
  <c r="B24415" i="1"/>
  <c r="A24415" i="1"/>
  <c r="F24414" i="1"/>
  <c r="E24414" i="1"/>
  <c r="D24414" i="1"/>
  <c r="C24414" i="1"/>
  <c r="B24414" i="1"/>
  <c r="A24414" i="1"/>
  <c r="F24413" i="1"/>
  <c r="E24413" i="1"/>
  <c r="D24413" i="1"/>
  <c r="C24413" i="1"/>
  <c r="B24413" i="1"/>
  <c r="A24413" i="1"/>
  <c r="F24412" i="1"/>
  <c r="E24412" i="1"/>
  <c r="D24412" i="1"/>
  <c r="C24412" i="1"/>
  <c r="B24412" i="1"/>
  <c r="A24412" i="1"/>
  <c r="F24411" i="1"/>
  <c r="E24411" i="1"/>
  <c r="D24411" i="1"/>
  <c r="C24411" i="1"/>
  <c r="B24411" i="1"/>
  <c r="A24411" i="1"/>
  <c r="F24410" i="1"/>
  <c r="E24410" i="1"/>
  <c r="D24410" i="1"/>
  <c r="C24410" i="1"/>
  <c r="B24410" i="1"/>
  <c r="A24410" i="1"/>
  <c r="F24409" i="1"/>
  <c r="E24409" i="1"/>
  <c r="D24409" i="1"/>
  <c r="C24409" i="1"/>
  <c r="B24409" i="1"/>
  <c r="A24409" i="1"/>
  <c r="F24408" i="1"/>
  <c r="E24408" i="1"/>
  <c r="D24408" i="1"/>
  <c r="C24408" i="1"/>
  <c r="B24408" i="1"/>
  <c r="A24408" i="1"/>
  <c r="F24407" i="1"/>
  <c r="E24407" i="1"/>
  <c r="D24407" i="1"/>
  <c r="C24407" i="1"/>
  <c r="B24407" i="1"/>
  <c r="A24407" i="1"/>
  <c r="F24406" i="1"/>
  <c r="E24406" i="1"/>
  <c r="D24406" i="1"/>
  <c r="C24406" i="1"/>
  <c r="B24406" i="1"/>
  <c r="A24406" i="1"/>
  <c r="F24405" i="1"/>
  <c r="E24405" i="1"/>
  <c r="D24405" i="1"/>
  <c r="C24405" i="1"/>
  <c r="B24405" i="1"/>
  <c r="A24405" i="1"/>
  <c r="F24404" i="1"/>
  <c r="E24404" i="1"/>
  <c r="D24404" i="1"/>
  <c r="C24404" i="1"/>
  <c r="B24404" i="1"/>
  <c r="A24404" i="1"/>
  <c r="F24403" i="1"/>
  <c r="E24403" i="1"/>
  <c r="D24403" i="1"/>
  <c r="C24403" i="1"/>
  <c r="B24403" i="1"/>
  <c r="A24403" i="1"/>
  <c r="F24402" i="1"/>
  <c r="E24402" i="1"/>
  <c r="D24402" i="1"/>
  <c r="C24402" i="1"/>
  <c r="B24402" i="1"/>
  <c r="A24402" i="1"/>
  <c r="F24401" i="1"/>
  <c r="E24401" i="1"/>
  <c r="D24401" i="1"/>
  <c r="C24401" i="1"/>
  <c r="B24401" i="1"/>
  <c r="A24401" i="1"/>
  <c r="F24400" i="1"/>
  <c r="E24400" i="1"/>
  <c r="D24400" i="1"/>
  <c r="C24400" i="1"/>
  <c r="B24400" i="1"/>
  <c r="A24400" i="1"/>
  <c r="F24399" i="1"/>
  <c r="E24399" i="1"/>
  <c r="D24399" i="1"/>
  <c r="C24399" i="1"/>
  <c r="B24399" i="1"/>
  <c r="A24399" i="1"/>
  <c r="F24398" i="1"/>
  <c r="E24398" i="1"/>
  <c r="D24398" i="1"/>
  <c r="C24398" i="1"/>
  <c r="B24398" i="1"/>
  <c r="A24398" i="1"/>
  <c r="F24397" i="1"/>
  <c r="E24397" i="1"/>
  <c r="D24397" i="1"/>
  <c r="C24397" i="1"/>
  <c r="B24397" i="1"/>
  <c r="A24397" i="1"/>
  <c r="F24396" i="1"/>
  <c r="E24396" i="1"/>
  <c r="D24396" i="1"/>
  <c r="C24396" i="1"/>
  <c r="B24396" i="1"/>
  <c r="A24396" i="1"/>
  <c r="F24395" i="1"/>
  <c r="E24395" i="1"/>
  <c r="D24395" i="1"/>
  <c r="C24395" i="1"/>
  <c r="B24395" i="1"/>
  <c r="A24395" i="1"/>
  <c r="F24394" i="1"/>
  <c r="E24394" i="1"/>
  <c r="D24394" i="1"/>
  <c r="C24394" i="1"/>
  <c r="B24394" i="1"/>
  <c r="A24394" i="1"/>
  <c r="F24393" i="1"/>
  <c r="E24393" i="1"/>
  <c r="D24393" i="1"/>
  <c r="C24393" i="1"/>
  <c r="B24393" i="1"/>
  <c r="A24393" i="1"/>
  <c r="F24392" i="1"/>
  <c r="E24392" i="1"/>
  <c r="D24392" i="1"/>
  <c r="C24392" i="1"/>
  <c r="B24392" i="1"/>
  <c r="A24392" i="1"/>
  <c r="F24391" i="1"/>
  <c r="E24391" i="1"/>
  <c r="D24391" i="1"/>
  <c r="C24391" i="1"/>
  <c r="B24391" i="1"/>
  <c r="A24391" i="1"/>
  <c r="F24390" i="1"/>
  <c r="E24390" i="1"/>
  <c r="D24390" i="1"/>
  <c r="C24390" i="1"/>
  <c r="B24390" i="1"/>
  <c r="A24390" i="1"/>
  <c r="F24389" i="1"/>
  <c r="E24389" i="1"/>
  <c r="D24389" i="1"/>
  <c r="C24389" i="1"/>
  <c r="B24389" i="1"/>
  <c r="A24389" i="1"/>
  <c r="F24388" i="1"/>
  <c r="E24388" i="1"/>
  <c r="D24388" i="1"/>
  <c r="C24388" i="1"/>
  <c r="B24388" i="1"/>
  <c r="A24388" i="1"/>
  <c r="F24387" i="1"/>
  <c r="E24387" i="1"/>
  <c r="D24387" i="1"/>
  <c r="C24387" i="1"/>
  <c r="B24387" i="1"/>
  <c r="A24387" i="1"/>
  <c r="F24386" i="1"/>
  <c r="E24386" i="1"/>
  <c r="D24386" i="1"/>
  <c r="C24386" i="1"/>
  <c r="B24386" i="1"/>
  <c r="A24386" i="1"/>
  <c r="F24385" i="1"/>
  <c r="E24385" i="1"/>
  <c r="D24385" i="1"/>
  <c r="C24385" i="1"/>
  <c r="B24385" i="1"/>
  <c r="A24385" i="1"/>
  <c r="F24384" i="1"/>
  <c r="E24384" i="1"/>
  <c r="D24384" i="1"/>
  <c r="C24384" i="1"/>
  <c r="B24384" i="1"/>
  <c r="A24384" i="1"/>
  <c r="F24383" i="1"/>
  <c r="E24383" i="1"/>
  <c r="D24383" i="1"/>
  <c r="C24383" i="1"/>
  <c r="B24383" i="1"/>
  <c r="A24383" i="1"/>
  <c r="F24382" i="1"/>
  <c r="E24382" i="1"/>
  <c r="D24382" i="1"/>
  <c r="C24382" i="1"/>
  <c r="B24382" i="1"/>
  <c r="A24382" i="1"/>
  <c r="F24381" i="1"/>
  <c r="E24381" i="1"/>
  <c r="D24381" i="1"/>
  <c r="C24381" i="1"/>
  <c r="B24381" i="1"/>
  <c r="A24381" i="1"/>
  <c r="F24380" i="1"/>
  <c r="E24380" i="1"/>
  <c r="D24380" i="1"/>
  <c r="C24380" i="1"/>
  <c r="B24380" i="1"/>
  <c r="A24380" i="1"/>
  <c r="F24379" i="1"/>
  <c r="E24379" i="1"/>
  <c r="D24379" i="1"/>
  <c r="C24379" i="1"/>
  <c r="B24379" i="1"/>
  <c r="A24379" i="1"/>
  <c r="F24378" i="1"/>
  <c r="E24378" i="1"/>
  <c r="D24378" i="1"/>
  <c r="C24378" i="1"/>
  <c r="B24378" i="1"/>
  <c r="A24378" i="1"/>
  <c r="F24377" i="1"/>
  <c r="E24377" i="1"/>
  <c r="D24377" i="1"/>
  <c r="C24377" i="1"/>
  <c r="B24377" i="1"/>
  <c r="A24377" i="1"/>
  <c r="F24376" i="1"/>
  <c r="E24376" i="1"/>
  <c r="D24376" i="1"/>
  <c r="C24376" i="1"/>
  <c r="B24376" i="1"/>
  <c r="A24376" i="1"/>
  <c r="F24375" i="1"/>
  <c r="E24375" i="1"/>
  <c r="D24375" i="1"/>
  <c r="C24375" i="1"/>
  <c r="B24375" i="1"/>
  <c r="A24375" i="1"/>
  <c r="F24374" i="1"/>
  <c r="E24374" i="1"/>
  <c r="D24374" i="1"/>
  <c r="C24374" i="1"/>
  <c r="B24374" i="1"/>
  <c r="A24374" i="1"/>
  <c r="F24373" i="1"/>
  <c r="E24373" i="1"/>
  <c r="D24373" i="1"/>
  <c r="C24373" i="1"/>
  <c r="B24373" i="1"/>
  <c r="A24373" i="1"/>
  <c r="F24372" i="1"/>
  <c r="E24372" i="1"/>
  <c r="D24372" i="1"/>
  <c r="C24372" i="1"/>
  <c r="B24372" i="1"/>
  <c r="A24372" i="1"/>
  <c r="F24371" i="1"/>
  <c r="E24371" i="1"/>
  <c r="D24371" i="1"/>
  <c r="C24371" i="1"/>
  <c r="B24371" i="1"/>
  <c r="A24371" i="1"/>
  <c r="F24370" i="1"/>
  <c r="E24370" i="1"/>
  <c r="D24370" i="1"/>
  <c r="C24370" i="1"/>
  <c r="B24370" i="1"/>
  <c r="A24370" i="1"/>
  <c r="F24369" i="1"/>
  <c r="E24369" i="1"/>
  <c r="D24369" i="1"/>
  <c r="C24369" i="1"/>
  <c r="B24369" i="1"/>
  <c r="A24369" i="1"/>
  <c r="F24368" i="1"/>
  <c r="E24368" i="1"/>
  <c r="D24368" i="1"/>
  <c r="C24368" i="1"/>
  <c r="B24368" i="1"/>
  <c r="A24368" i="1"/>
  <c r="F24367" i="1"/>
  <c r="E24367" i="1"/>
  <c r="D24367" i="1"/>
  <c r="C24367" i="1"/>
  <c r="B24367" i="1"/>
  <c r="A24367" i="1"/>
  <c r="F24366" i="1"/>
  <c r="E24366" i="1"/>
  <c r="D24366" i="1"/>
  <c r="C24366" i="1"/>
  <c r="B24366" i="1"/>
  <c r="A24366" i="1"/>
  <c r="F24365" i="1"/>
  <c r="E24365" i="1"/>
  <c r="D24365" i="1"/>
  <c r="C24365" i="1"/>
  <c r="B24365" i="1"/>
  <c r="A24365" i="1"/>
  <c r="F24364" i="1"/>
  <c r="E24364" i="1"/>
  <c r="D24364" i="1"/>
  <c r="C24364" i="1"/>
  <c r="B24364" i="1"/>
  <c r="A24364" i="1"/>
  <c r="F24363" i="1"/>
  <c r="E24363" i="1"/>
  <c r="D24363" i="1"/>
  <c r="C24363" i="1"/>
  <c r="B24363" i="1"/>
  <c r="A24363" i="1"/>
  <c r="F24362" i="1"/>
  <c r="E24362" i="1"/>
  <c r="D24362" i="1"/>
  <c r="C24362" i="1"/>
  <c r="B24362" i="1"/>
  <c r="A24362" i="1"/>
  <c r="F24361" i="1"/>
  <c r="E24361" i="1"/>
  <c r="D24361" i="1"/>
  <c r="C24361" i="1"/>
  <c r="B24361" i="1"/>
  <c r="A24361" i="1"/>
  <c r="F24360" i="1"/>
  <c r="E24360" i="1"/>
  <c r="D24360" i="1"/>
  <c r="C24360" i="1"/>
  <c r="B24360" i="1"/>
  <c r="A24360" i="1"/>
  <c r="F24359" i="1"/>
  <c r="E24359" i="1"/>
  <c r="D24359" i="1"/>
  <c r="C24359" i="1"/>
  <c r="B24359" i="1"/>
  <c r="A24359" i="1"/>
  <c r="F24358" i="1"/>
  <c r="E24358" i="1"/>
  <c r="D24358" i="1"/>
  <c r="C24358" i="1"/>
  <c r="B24358" i="1"/>
  <c r="A24358" i="1"/>
  <c r="F24357" i="1"/>
  <c r="E24357" i="1"/>
  <c r="D24357" i="1"/>
  <c r="C24357" i="1"/>
  <c r="B24357" i="1"/>
  <c r="A24357" i="1"/>
  <c r="F24356" i="1"/>
  <c r="E24356" i="1"/>
  <c r="D24356" i="1"/>
  <c r="C24356" i="1"/>
  <c r="B24356" i="1"/>
  <c r="A24356" i="1"/>
  <c r="F24355" i="1"/>
  <c r="E24355" i="1"/>
  <c r="D24355" i="1"/>
  <c r="C24355" i="1"/>
  <c r="B24355" i="1"/>
  <c r="A24355" i="1"/>
  <c r="F24354" i="1"/>
  <c r="E24354" i="1"/>
  <c r="D24354" i="1"/>
  <c r="C24354" i="1"/>
  <c r="B24354" i="1"/>
  <c r="A24354" i="1"/>
  <c r="F24353" i="1"/>
  <c r="E24353" i="1"/>
  <c r="D24353" i="1"/>
  <c r="C24353" i="1"/>
  <c r="B24353" i="1"/>
  <c r="A24353" i="1"/>
  <c r="F24352" i="1"/>
  <c r="E24352" i="1"/>
  <c r="D24352" i="1"/>
  <c r="C24352" i="1"/>
  <c r="B24352" i="1"/>
  <c r="A24352" i="1"/>
  <c r="F24351" i="1"/>
  <c r="E24351" i="1"/>
  <c r="D24351" i="1"/>
  <c r="C24351" i="1"/>
  <c r="B24351" i="1"/>
  <c r="A24351" i="1"/>
  <c r="F24350" i="1"/>
  <c r="E24350" i="1"/>
  <c r="D24350" i="1"/>
  <c r="C24350" i="1"/>
  <c r="B24350" i="1"/>
  <c r="A24350" i="1"/>
  <c r="F24349" i="1"/>
  <c r="E24349" i="1"/>
  <c r="D24349" i="1"/>
  <c r="C24349" i="1"/>
  <c r="B24349" i="1"/>
  <c r="A24349" i="1"/>
  <c r="F24348" i="1"/>
  <c r="E24348" i="1"/>
  <c r="D24348" i="1"/>
  <c r="C24348" i="1"/>
  <c r="B24348" i="1"/>
  <c r="A24348" i="1"/>
  <c r="F24347" i="1"/>
  <c r="E24347" i="1"/>
  <c r="D24347" i="1"/>
  <c r="C24347" i="1"/>
  <c r="B24347" i="1"/>
  <c r="A24347" i="1"/>
  <c r="F24346" i="1"/>
  <c r="E24346" i="1"/>
  <c r="D24346" i="1"/>
  <c r="C24346" i="1"/>
  <c r="B24346" i="1"/>
  <c r="A24346" i="1"/>
  <c r="F24345" i="1"/>
  <c r="E24345" i="1"/>
  <c r="D24345" i="1"/>
  <c r="C24345" i="1"/>
  <c r="B24345" i="1"/>
  <c r="A24345" i="1"/>
  <c r="F24344" i="1"/>
  <c r="E24344" i="1"/>
  <c r="D24344" i="1"/>
  <c r="C24344" i="1"/>
  <c r="B24344" i="1"/>
  <c r="A24344" i="1"/>
  <c r="F24343" i="1"/>
  <c r="E24343" i="1"/>
  <c r="D24343" i="1"/>
  <c r="C24343" i="1"/>
  <c r="B24343" i="1"/>
  <c r="A24343" i="1"/>
  <c r="F24342" i="1"/>
  <c r="E24342" i="1"/>
  <c r="D24342" i="1"/>
  <c r="C24342" i="1"/>
  <c r="B24342" i="1"/>
  <c r="A24342" i="1"/>
  <c r="F24341" i="1"/>
  <c r="E24341" i="1"/>
  <c r="D24341" i="1"/>
  <c r="C24341" i="1"/>
  <c r="B24341" i="1"/>
  <c r="A24341" i="1"/>
  <c r="F24340" i="1"/>
  <c r="E24340" i="1"/>
  <c r="D24340" i="1"/>
  <c r="C24340" i="1"/>
  <c r="B24340" i="1"/>
  <c r="A24340" i="1"/>
  <c r="F24339" i="1"/>
  <c r="E24339" i="1"/>
  <c r="D24339" i="1"/>
  <c r="C24339" i="1"/>
  <c r="B24339" i="1"/>
  <c r="A24339" i="1"/>
  <c r="F24338" i="1"/>
  <c r="E24338" i="1"/>
  <c r="D24338" i="1"/>
  <c r="C24338" i="1"/>
  <c r="B24338" i="1"/>
  <c r="A24338" i="1"/>
  <c r="F24337" i="1"/>
  <c r="E24337" i="1"/>
  <c r="D24337" i="1"/>
  <c r="C24337" i="1"/>
  <c r="B24337" i="1"/>
  <c r="A24337" i="1"/>
  <c r="F24336" i="1"/>
  <c r="E24336" i="1"/>
  <c r="D24336" i="1"/>
  <c r="C24336" i="1"/>
  <c r="B24336" i="1"/>
  <c r="A24336" i="1"/>
  <c r="F24335" i="1"/>
  <c r="E24335" i="1"/>
  <c r="D24335" i="1"/>
  <c r="C24335" i="1"/>
  <c r="B24335" i="1"/>
  <c r="A24335" i="1"/>
  <c r="F24334" i="1"/>
  <c r="E24334" i="1"/>
  <c r="D24334" i="1"/>
  <c r="C24334" i="1"/>
  <c r="B24334" i="1"/>
  <c r="A24334" i="1"/>
  <c r="F24333" i="1"/>
  <c r="E24333" i="1"/>
  <c r="D24333" i="1"/>
  <c r="C24333" i="1"/>
  <c r="B24333" i="1"/>
  <c r="A24333" i="1"/>
  <c r="F24332" i="1"/>
  <c r="E24332" i="1"/>
  <c r="D24332" i="1"/>
  <c r="C24332" i="1"/>
  <c r="B24332" i="1"/>
  <c r="A24332" i="1"/>
  <c r="F24331" i="1"/>
  <c r="E24331" i="1"/>
  <c r="D24331" i="1"/>
  <c r="C24331" i="1"/>
  <c r="B24331" i="1"/>
  <c r="A24331" i="1"/>
  <c r="F24330" i="1"/>
  <c r="E24330" i="1"/>
  <c r="D24330" i="1"/>
  <c r="C24330" i="1"/>
  <c r="B24330" i="1"/>
  <c r="A24330" i="1"/>
  <c r="F24329" i="1"/>
  <c r="E24329" i="1"/>
  <c r="D24329" i="1"/>
  <c r="C24329" i="1"/>
  <c r="B24329" i="1"/>
  <c r="A24329" i="1"/>
  <c r="F24328" i="1"/>
  <c r="E24328" i="1"/>
  <c r="D24328" i="1"/>
  <c r="C24328" i="1"/>
  <c r="B24328" i="1"/>
  <c r="A24328" i="1"/>
  <c r="F24327" i="1"/>
  <c r="E24327" i="1"/>
  <c r="D24327" i="1"/>
  <c r="C24327" i="1"/>
  <c r="B24327" i="1"/>
  <c r="A24327" i="1"/>
  <c r="F24326" i="1"/>
  <c r="E24326" i="1"/>
  <c r="D24326" i="1"/>
  <c r="C24326" i="1"/>
  <c r="B24326" i="1"/>
  <c r="A24326" i="1"/>
  <c r="F24325" i="1"/>
  <c r="E24325" i="1"/>
  <c r="D24325" i="1"/>
  <c r="C24325" i="1"/>
  <c r="B24325" i="1"/>
  <c r="A24325" i="1"/>
  <c r="F24324" i="1"/>
  <c r="E24324" i="1"/>
  <c r="D24324" i="1"/>
  <c r="C24324" i="1"/>
  <c r="B24324" i="1"/>
  <c r="A24324" i="1"/>
  <c r="F24323" i="1"/>
  <c r="E24323" i="1"/>
  <c r="D24323" i="1"/>
  <c r="C24323" i="1"/>
  <c r="B24323" i="1"/>
  <c r="A24323" i="1"/>
  <c r="F24322" i="1"/>
  <c r="E24322" i="1"/>
  <c r="D24322" i="1"/>
  <c r="C24322" i="1"/>
  <c r="B24322" i="1"/>
  <c r="A24322" i="1"/>
  <c r="F24321" i="1"/>
  <c r="E24321" i="1"/>
  <c r="D24321" i="1"/>
  <c r="C24321" i="1"/>
  <c r="B24321" i="1"/>
  <c r="A24321" i="1"/>
  <c r="F24320" i="1"/>
  <c r="E24320" i="1"/>
  <c r="D24320" i="1"/>
  <c r="C24320" i="1"/>
  <c r="B24320" i="1"/>
  <c r="A24320" i="1"/>
  <c r="F24319" i="1"/>
  <c r="E24319" i="1"/>
  <c r="D24319" i="1"/>
  <c r="C24319" i="1"/>
  <c r="B24319" i="1"/>
  <c r="A24319" i="1"/>
  <c r="F24318" i="1"/>
  <c r="E24318" i="1"/>
  <c r="D24318" i="1"/>
  <c r="C24318" i="1"/>
  <c r="B24318" i="1"/>
  <c r="A24318" i="1"/>
  <c r="F24317" i="1"/>
  <c r="E24317" i="1"/>
  <c r="D24317" i="1"/>
  <c r="C24317" i="1"/>
  <c r="B24317" i="1"/>
  <c r="A24317" i="1"/>
  <c r="F24316" i="1"/>
  <c r="E24316" i="1"/>
  <c r="D24316" i="1"/>
  <c r="C24316" i="1"/>
  <c r="B24316" i="1"/>
  <c r="A24316" i="1"/>
  <c r="F24315" i="1"/>
  <c r="E24315" i="1"/>
  <c r="D24315" i="1"/>
  <c r="C24315" i="1"/>
  <c r="B24315" i="1"/>
  <c r="A24315" i="1"/>
  <c r="F24314" i="1"/>
  <c r="E24314" i="1"/>
  <c r="D24314" i="1"/>
  <c r="C24314" i="1"/>
  <c r="B24314" i="1"/>
  <c r="A24314" i="1"/>
  <c r="F24313" i="1"/>
  <c r="E24313" i="1"/>
  <c r="D24313" i="1"/>
  <c r="C24313" i="1"/>
  <c r="B24313" i="1"/>
  <c r="A24313" i="1"/>
  <c r="F24312" i="1"/>
  <c r="E24312" i="1"/>
  <c r="D24312" i="1"/>
  <c r="C24312" i="1"/>
  <c r="B24312" i="1"/>
  <c r="A24312" i="1"/>
  <c r="F24311" i="1"/>
  <c r="E24311" i="1"/>
  <c r="D24311" i="1"/>
  <c r="C24311" i="1"/>
  <c r="B24311" i="1"/>
  <c r="A24311" i="1"/>
  <c r="F24310" i="1"/>
  <c r="E24310" i="1"/>
  <c r="D24310" i="1"/>
  <c r="C24310" i="1"/>
  <c r="B24310" i="1"/>
  <c r="A24310" i="1"/>
  <c r="F24309" i="1"/>
  <c r="E24309" i="1"/>
  <c r="D24309" i="1"/>
  <c r="C24309" i="1"/>
  <c r="B24309" i="1"/>
  <c r="A24309" i="1"/>
  <c r="F24308" i="1"/>
  <c r="E24308" i="1"/>
  <c r="D24308" i="1"/>
  <c r="C24308" i="1"/>
  <c r="B24308" i="1"/>
  <c r="A24308" i="1"/>
  <c r="F24307" i="1"/>
  <c r="E24307" i="1"/>
  <c r="D24307" i="1"/>
  <c r="C24307" i="1"/>
  <c r="B24307" i="1"/>
  <c r="A24307" i="1"/>
  <c r="F24306" i="1"/>
  <c r="E24306" i="1"/>
  <c r="D24306" i="1"/>
  <c r="C24306" i="1"/>
  <c r="B24306" i="1"/>
  <c r="A24306" i="1"/>
  <c r="F24305" i="1"/>
  <c r="E24305" i="1"/>
  <c r="D24305" i="1"/>
  <c r="C24305" i="1"/>
  <c r="B24305" i="1"/>
  <c r="A24305" i="1"/>
  <c r="F24304" i="1"/>
  <c r="E24304" i="1"/>
  <c r="D24304" i="1"/>
  <c r="C24304" i="1"/>
  <c r="B24304" i="1"/>
  <c r="A24304" i="1"/>
  <c r="F24303" i="1"/>
  <c r="E24303" i="1"/>
  <c r="D24303" i="1"/>
  <c r="C24303" i="1"/>
  <c r="B24303" i="1"/>
  <c r="A24303" i="1"/>
  <c r="F24302" i="1"/>
  <c r="E24302" i="1"/>
  <c r="D24302" i="1"/>
  <c r="C24302" i="1"/>
  <c r="B24302" i="1"/>
  <c r="A24302" i="1"/>
  <c r="F24301" i="1"/>
  <c r="E24301" i="1"/>
  <c r="D24301" i="1"/>
  <c r="C24301" i="1"/>
  <c r="B24301" i="1"/>
  <c r="A24301" i="1"/>
  <c r="F24300" i="1"/>
  <c r="E24300" i="1"/>
  <c r="D24300" i="1"/>
  <c r="C24300" i="1"/>
  <c r="B24300" i="1"/>
  <c r="A24300" i="1"/>
  <c r="F24299" i="1"/>
  <c r="E24299" i="1"/>
  <c r="D24299" i="1"/>
  <c r="C24299" i="1"/>
  <c r="B24299" i="1"/>
  <c r="A24299" i="1"/>
  <c r="F24298" i="1"/>
  <c r="E24298" i="1"/>
  <c r="D24298" i="1"/>
  <c r="C24298" i="1"/>
  <c r="B24298" i="1"/>
  <c r="A24298" i="1"/>
  <c r="F24297" i="1"/>
  <c r="E24297" i="1"/>
  <c r="D24297" i="1"/>
  <c r="C24297" i="1"/>
  <c r="B24297" i="1"/>
  <c r="A24297" i="1"/>
  <c r="F24296" i="1"/>
  <c r="E24296" i="1"/>
  <c r="D24296" i="1"/>
  <c r="C24296" i="1"/>
  <c r="B24296" i="1"/>
  <c r="A24296" i="1"/>
  <c r="F24295" i="1"/>
  <c r="E24295" i="1"/>
  <c r="D24295" i="1"/>
  <c r="C24295" i="1"/>
  <c r="B24295" i="1"/>
  <c r="A24295" i="1"/>
  <c r="F24294" i="1"/>
  <c r="E24294" i="1"/>
  <c r="D24294" i="1"/>
  <c r="C24294" i="1"/>
  <c r="B24294" i="1"/>
  <c r="A24294" i="1"/>
  <c r="F24293" i="1"/>
  <c r="E24293" i="1"/>
  <c r="D24293" i="1"/>
  <c r="C24293" i="1"/>
  <c r="B24293" i="1"/>
  <c r="A24293" i="1"/>
  <c r="F24292" i="1"/>
  <c r="E24292" i="1"/>
  <c r="D24292" i="1"/>
  <c r="C24292" i="1"/>
  <c r="B24292" i="1"/>
  <c r="A24292" i="1"/>
  <c r="F24291" i="1"/>
  <c r="E24291" i="1"/>
  <c r="D24291" i="1"/>
  <c r="C24291" i="1"/>
  <c r="B24291" i="1"/>
  <c r="A24291" i="1"/>
  <c r="F24290" i="1"/>
  <c r="E24290" i="1"/>
  <c r="D24290" i="1"/>
  <c r="C24290" i="1"/>
  <c r="B24290" i="1"/>
  <c r="A24290" i="1"/>
  <c r="F24289" i="1"/>
  <c r="E24289" i="1"/>
  <c r="D24289" i="1"/>
  <c r="C24289" i="1"/>
  <c r="B24289" i="1"/>
  <c r="A24289" i="1"/>
  <c r="F24288" i="1"/>
  <c r="E24288" i="1"/>
  <c r="D24288" i="1"/>
  <c r="C24288" i="1"/>
  <c r="B24288" i="1"/>
  <c r="A24288" i="1"/>
  <c r="F24287" i="1"/>
  <c r="E24287" i="1"/>
  <c r="D24287" i="1"/>
  <c r="C24287" i="1"/>
  <c r="B24287" i="1"/>
  <c r="A24287" i="1"/>
  <c r="F24286" i="1"/>
  <c r="E24286" i="1"/>
  <c r="D24286" i="1"/>
  <c r="C24286" i="1"/>
  <c r="B24286" i="1"/>
  <c r="A24286" i="1"/>
  <c r="F24285" i="1"/>
  <c r="E24285" i="1"/>
  <c r="D24285" i="1"/>
  <c r="C24285" i="1"/>
  <c r="B24285" i="1"/>
  <c r="A24285" i="1"/>
  <c r="F24284" i="1"/>
  <c r="E24284" i="1"/>
  <c r="D24284" i="1"/>
  <c r="C24284" i="1"/>
  <c r="B24284" i="1"/>
  <c r="A24284" i="1"/>
  <c r="F24283" i="1"/>
  <c r="E24283" i="1"/>
  <c r="D24283" i="1"/>
  <c r="C24283" i="1"/>
  <c r="B24283" i="1"/>
  <c r="A24283" i="1"/>
  <c r="F24282" i="1"/>
  <c r="E24282" i="1"/>
  <c r="D24282" i="1"/>
  <c r="C24282" i="1"/>
  <c r="B24282" i="1"/>
  <c r="A24282" i="1"/>
  <c r="F24281" i="1"/>
  <c r="E24281" i="1"/>
  <c r="D24281" i="1"/>
  <c r="C24281" i="1"/>
  <c r="B24281" i="1"/>
  <c r="A24281" i="1"/>
  <c r="F24280" i="1"/>
  <c r="E24280" i="1"/>
  <c r="D24280" i="1"/>
  <c r="C24280" i="1"/>
  <c r="B24280" i="1"/>
  <c r="A24280" i="1"/>
  <c r="F24279" i="1"/>
  <c r="E24279" i="1"/>
  <c r="D24279" i="1"/>
  <c r="C24279" i="1"/>
  <c r="B24279" i="1"/>
  <c r="A24279" i="1"/>
  <c r="F24278" i="1"/>
  <c r="E24278" i="1"/>
  <c r="D24278" i="1"/>
  <c r="C24278" i="1"/>
  <c r="B24278" i="1"/>
  <c r="A24278" i="1"/>
  <c r="F24277" i="1"/>
  <c r="E24277" i="1"/>
  <c r="D24277" i="1"/>
  <c r="C24277" i="1"/>
  <c r="B24277" i="1"/>
  <c r="A24277" i="1"/>
  <c r="F24276" i="1"/>
  <c r="E24276" i="1"/>
  <c r="D24276" i="1"/>
  <c r="C24276" i="1"/>
  <c r="B24276" i="1"/>
  <c r="A24276" i="1"/>
  <c r="F24275" i="1"/>
  <c r="E24275" i="1"/>
  <c r="D24275" i="1"/>
  <c r="C24275" i="1"/>
  <c r="B24275" i="1"/>
  <c r="A24275" i="1"/>
  <c r="F24274" i="1"/>
  <c r="E24274" i="1"/>
  <c r="D24274" i="1"/>
  <c r="C24274" i="1"/>
  <c r="B24274" i="1"/>
  <c r="A24274" i="1"/>
  <c r="F24273" i="1"/>
  <c r="E24273" i="1"/>
  <c r="D24273" i="1"/>
  <c r="C24273" i="1"/>
  <c r="B24273" i="1"/>
  <c r="A24273" i="1"/>
  <c r="F24272" i="1"/>
  <c r="E24272" i="1"/>
  <c r="D24272" i="1"/>
  <c r="C24272" i="1"/>
  <c r="B24272" i="1"/>
  <c r="A24272" i="1"/>
  <c r="F24271" i="1"/>
  <c r="E24271" i="1"/>
  <c r="D24271" i="1"/>
  <c r="C24271" i="1"/>
  <c r="B24271" i="1"/>
  <c r="A24271" i="1"/>
  <c r="F24270" i="1"/>
  <c r="E24270" i="1"/>
  <c r="D24270" i="1"/>
  <c r="C24270" i="1"/>
  <c r="B24270" i="1"/>
  <c r="A24270" i="1"/>
  <c r="F24269" i="1"/>
  <c r="E24269" i="1"/>
  <c r="D24269" i="1"/>
  <c r="C24269" i="1"/>
  <c r="B24269" i="1"/>
  <c r="A24269" i="1"/>
  <c r="F24268" i="1"/>
  <c r="E24268" i="1"/>
  <c r="D24268" i="1"/>
  <c r="C24268" i="1"/>
  <c r="B24268" i="1"/>
  <c r="A24268" i="1"/>
  <c r="F24267" i="1"/>
  <c r="E24267" i="1"/>
  <c r="D24267" i="1"/>
  <c r="C24267" i="1"/>
  <c r="B24267" i="1"/>
  <c r="A24267" i="1"/>
  <c r="F24266" i="1"/>
  <c r="E24266" i="1"/>
  <c r="D24266" i="1"/>
  <c r="C24266" i="1"/>
  <c r="B24266" i="1"/>
  <c r="A24266" i="1"/>
  <c r="F24265" i="1"/>
  <c r="E24265" i="1"/>
  <c r="D24265" i="1"/>
  <c r="C24265" i="1"/>
  <c r="B24265" i="1"/>
  <c r="A24265" i="1"/>
  <c r="F24264" i="1"/>
  <c r="E24264" i="1"/>
  <c r="D24264" i="1"/>
  <c r="C24264" i="1"/>
  <c r="B24264" i="1"/>
  <c r="A24264" i="1"/>
  <c r="F24263" i="1"/>
  <c r="E24263" i="1"/>
  <c r="D24263" i="1"/>
  <c r="C24263" i="1"/>
  <c r="B24263" i="1"/>
  <c r="A24263" i="1"/>
  <c r="F24262" i="1"/>
  <c r="E24262" i="1"/>
  <c r="D24262" i="1"/>
  <c r="C24262" i="1"/>
  <c r="B24262" i="1"/>
  <c r="A24262" i="1"/>
  <c r="F24261" i="1"/>
  <c r="E24261" i="1"/>
  <c r="D24261" i="1"/>
  <c r="C24261" i="1"/>
  <c r="B24261" i="1"/>
  <c r="A24261" i="1"/>
  <c r="F24260" i="1"/>
  <c r="E24260" i="1"/>
  <c r="D24260" i="1"/>
  <c r="C24260" i="1"/>
  <c r="B24260" i="1"/>
  <c r="A24260" i="1"/>
  <c r="F24259" i="1"/>
  <c r="E24259" i="1"/>
  <c r="D24259" i="1"/>
  <c r="C24259" i="1"/>
  <c r="B24259" i="1"/>
  <c r="A24259" i="1"/>
  <c r="F24258" i="1"/>
  <c r="E24258" i="1"/>
  <c r="D24258" i="1"/>
  <c r="C24258" i="1"/>
  <c r="B24258" i="1"/>
  <c r="A24258" i="1"/>
  <c r="F24257" i="1"/>
  <c r="E24257" i="1"/>
  <c r="D24257" i="1"/>
  <c r="C24257" i="1"/>
  <c r="B24257" i="1"/>
  <c r="A24257" i="1"/>
  <c r="F24256" i="1"/>
  <c r="E24256" i="1"/>
  <c r="D24256" i="1"/>
  <c r="C24256" i="1"/>
  <c r="B24256" i="1"/>
  <c r="A24256" i="1"/>
  <c r="F24255" i="1"/>
  <c r="E24255" i="1"/>
  <c r="D24255" i="1"/>
  <c r="C24255" i="1"/>
  <c r="B24255" i="1"/>
  <c r="A24255" i="1"/>
  <c r="F24254" i="1"/>
  <c r="E24254" i="1"/>
  <c r="D24254" i="1"/>
  <c r="C24254" i="1"/>
  <c r="B24254" i="1"/>
  <c r="A24254" i="1"/>
  <c r="F24253" i="1"/>
  <c r="E24253" i="1"/>
  <c r="D24253" i="1"/>
  <c r="C24253" i="1"/>
  <c r="B24253" i="1"/>
  <c r="A24253" i="1"/>
  <c r="F24252" i="1"/>
  <c r="E24252" i="1"/>
  <c r="D24252" i="1"/>
  <c r="C24252" i="1"/>
  <c r="B24252" i="1"/>
  <c r="A24252" i="1"/>
  <c r="F24251" i="1"/>
  <c r="E24251" i="1"/>
  <c r="D24251" i="1"/>
  <c r="C24251" i="1"/>
  <c r="B24251" i="1"/>
  <c r="A24251" i="1"/>
  <c r="F24250" i="1"/>
  <c r="E24250" i="1"/>
  <c r="D24250" i="1"/>
  <c r="C24250" i="1"/>
  <c r="B24250" i="1"/>
  <c r="A24250" i="1"/>
  <c r="F24249" i="1"/>
  <c r="E24249" i="1"/>
  <c r="D24249" i="1"/>
  <c r="C24249" i="1"/>
  <c r="B24249" i="1"/>
  <c r="A24249" i="1"/>
  <c r="F24248" i="1"/>
  <c r="E24248" i="1"/>
  <c r="D24248" i="1"/>
  <c r="C24248" i="1"/>
  <c r="B24248" i="1"/>
  <c r="A24248" i="1"/>
  <c r="F24247" i="1"/>
  <c r="E24247" i="1"/>
  <c r="D24247" i="1"/>
  <c r="C24247" i="1"/>
  <c r="B24247" i="1"/>
  <c r="A24247" i="1"/>
  <c r="F24246" i="1"/>
  <c r="E24246" i="1"/>
  <c r="D24246" i="1"/>
  <c r="C24246" i="1"/>
  <c r="B24246" i="1"/>
  <c r="A24246" i="1"/>
  <c r="F24245" i="1"/>
  <c r="E24245" i="1"/>
  <c r="D24245" i="1"/>
  <c r="C24245" i="1"/>
  <c r="B24245" i="1"/>
  <c r="A24245" i="1"/>
  <c r="F24244" i="1"/>
  <c r="E24244" i="1"/>
  <c r="D24244" i="1"/>
  <c r="C24244" i="1"/>
  <c r="B24244" i="1"/>
  <c r="A24244" i="1"/>
  <c r="F24243" i="1"/>
  <c r="E24243" i="1"/>
  <c r="D24243" i="1"/>
  <c r="C24243" i="1"/>
  <c r="B24243" i="1"/>
  <c r="A24243" i="1"/>
  <c r="F24242" i="1"/>
  <c r="E24242" i="1"/>
  <c r="D24242" i="1"/>
  <c r="C24242" i="1"/>
  <c r="B24242" i="1"/>
  <c r="A24242" i="1"/>
  <c r="F24241" i="1"/>
  <c r="E24241" i="1"/>
  <c r="D24241" i="1"/>
  <c r="C24241" i="1"/>
  <c r="B24241" i="1"/>
  <c r="A24241" i="1"/>
  <c r="F24240" i="1"/>
  <c r="E24240" i="1"/>
  <c r="D24240" i="1"/>
  <c r="C24240" i="1"/>
  <c r="B24240" i="1"/>
  <c r="A24240" i="1"/>
  <c r="F24239" i="1"/>
  <c r="E24239" i="1"/>
  <c r="D24239" i="1"/>
  <c r="C24239" i="1"/>
  <c r="B24239" i="1"/>
  <c r="A24239" i="1"/>
  <c r="F24238" i="1"/>
  <c r="E24238" i="1"/>
  <c r="D24238" i="1"/>
  <c r="C24238" i="1"/>
  <c r="B24238" i="1"/>
  <c r="A24238" i="1"/>
  <c r="F24237" i="1"/>
  <c r="E24237" i="1"/>
  <c r="D24237" i="1"/>
  <c r="C24237" i="1"/>
  <c r="B24237" i="1"/>
  <c r="A24237" i="1"/>
  <c r="F24236" i="1"/>
  <c r="E24236" i="1"/>
  <c r="D24236" i="1"/>
  <c r="C24236" i="1"/>
  <c r="B24236" i="1"/>
  <c r="A24236" i="1"/>
  <c r="F24235" i="1"/>
  <c r="E24235" i="1"/>
  <c r="D24235" i="1"/>
  <c r="C24235" i="1"/>
  <c r="B24235" i="1"/>
  <c r="A24235" i="1"/>
  <c r="F24234" i="1"/>
  <c r="E24234" i="1"/>
  <c r="D24234" i="1"/>
  <c r="C24234" i="1"/>
  <c r="B24234" i="1"/>
  <c r="A24234" i="1"/>
  <c r="F24233" i="1"/>
  <c r="E24233" i="1"/>
  <c r="D24233" i="1"/>
  <c r="C24233" i="1"/>
  <c r="B24233" i="1"/>
  <c r="A24233" i="1"/>
  <c r="F24232" i="1"/>
  <c r="E24232" i="1"/>
  <c r="D24232" i="1"/>
  <c r="C24232" i="1"/>
  <c r="B24232" i="1"/>
  <c r="A24232" i="1"/>
  <c r="F24231" i="1"/>
  <c r="E24231" i="1"/>
  <c r="D24231" i="1"/>
  <c r="C24231" i="1"/>
  <c r="B24231" i="1"/>
  <c r="A24231" i="1"/>
  <c r="F24230" i="1"/>
  <c r="E24230" i="1"/>
  <c r="D24230" i="1"/>
  <c r="C24230" i="1"/>
  <c r="B24230" i="1"/>
  <c r="A24230" i="1"/>
  <c r="F24229" i="1"/>
  <c r="E24229" i="1"/>
  <c r="D24229" i="1"/>
  <c r="C24229" i="1"/>
  <c r="B24229" i="1"/>
  <c r="A24229" i="1"/>
  <c r="F24228" i="1"/>
  <c r="E24228" i="1"/>
  <c r="D24228" i="1"/>
  <c r="C24228" i="1"/>
  <c r="B24228" i="1"/>
  <c r="A24228" i="1"/>
  <c r="F24227" i="1"/>
  <c r="E24227" i="1"/>
  <c r="D24227" i="1"/>
  <c r="C24227" i="1"/>
  <c r="B24227" i="1"/>
  <c r="A24227" i="1"/>
  <c r="F24226" i="1"/>
  <c r="E24226" i="1"/>
  <c r="D24226" i="1"/>
  <c r="C24226" i="1"/>
  <c r="B24226" i="1"/>
  <c r="A24226" i="1"/>
  <c r="F24225" i="1"/>
  <c r="E24225" i="1"/>
  <c r="D24225" i="1"/>
  <c r="C24225" i="1"/>
  <c r="B24225" i="1"/>
  <c r="A24225" i="1"/>
  <c r="F24224" i="1"/>
  <c r="E24224" i="1"/>
  <c r="D24224" i="1"/>
  <c r="C24224" i="1"/>
  <c r="B24224" i="1"/>
  <c r="A24224" i="1"/>
  <c r="F24223" i="1"/>
  <c r="E24223" i="1"/>
  <c r="D24223" i="1"/>
  <c r="C24223" i="1"/>
  <c r="B24223" i="1"/>
  <c r="A24223" i="1"/>
  <c r="F24222" i="1"/>
  <c r="E24222" i="1"/>
  <c r="D24222" i="1"/>
  <c r="C24222" i="1"/>
  <c r="B24222" i="1"/>
  <c r="A24222" i="1"/>
  <c r="F24221" i="1"/>
  <c r="E24221" i="1"/>
  <c r="D24221" i="1"/>
  <c r="C24221" i="1"/>
  <c r="B24221" i="1"/>
  <c r="A24221" i="1"/>
  <c r="F24220" i="1"/>
  <c r="E24220" i="1"/>
  <c r="D24220" i="1"/>
  <c r="C24220" i="1"/>
  <c r="B24220" i="1"/>
  <c r="A24220" i="1"/>
  <c r="F24219" i="1"/>
  <c r="E24219" i="1"/>
  <c r="D24219" i="1"/>
  <c r="C24219" i="1"/>
  <c r="B24219" i="1"/>
  <c r="A24219" i="1"/>
  <c r="F24218" i="1"/>
  <c r="E24218" i="1"/>
  <c r="D24218" i="1"/>
  <c r="C24218" i="1"/>
  <c r="B24218" i="1"/>
  <c r="A24218" i="1"/>
  <c r="F24217" i="1"/>
  <c r="E24217" i="1"/>
  <c r="D24217" i="1"/>
  <c r="C24217" i="1"/>
  <c r="B24217" i="1"/>
  <c r="A24217" i="1"/>
  <c r="F24216" i="1"/>
  <c r="E24216" i="1"/>
  <c r="D24216" i="1"/>
  <c r="C24216" i="1"/>
  <c r="B24216" i="1"/>
  <c r="A24216" i="1"/>
  <c r="F24215" i="1"/>
  <c r="E24215" i="1"/>
  <c r="D24215" i="1"/>
  <c r="C24215" i="1"/>
  <c r="B24215" i="1"/>
  <c r="A24215" i="1"/>
  <c r="F24214" i="1"/>
  <c r="E24214" i="1"/>
  <c r="D24214" i="1"/>
  <c r="C24214" i="1"/>
  <c r="B24214" i="1"/>
  <c r="A24214" i="1"/>
  <c r="F24213" i="1"/>
  <c r="E24213" i="1"/>
  <c r="D24213" i="1"/>
  <c r="C24213" i="1"/>
  <c r="B24213" i="1"/>
  <c r="A24213" i="1"/>
  <c r="F24212" i="1"/>
  <c r="E24212" i="1"/>
  <c r="D24212" i="1"/>
  <c r="C24212" i="1"/>
  <c r="B24212" i="1"/>
  <c r="A24212" i="1"/>
  <c r="F24211" i="1"/>
  <c r="E24211" i="1"/>
  <c r="D24211" i="1"/>
  <c r="C24211" i="1"/>
  <c r="B24211" i="1"/>
  <c r="A24211" i="1"/>
  <c r="F24210" i="1"/>
  <c r="E24210" i="1"/>
  <c r="D24210" i="1"/>
  <c r="C24210" i="1"/>
  <c r="B24210" i="1"/>
  <c r="A24210" i="1"/>
  <c r="F24209" i="1"/>
  <c r="E24209" i="1"/>
  <c r="D24209" i="1"/>
  <c r="C24209" i="1"/>
  <c r="B24209" i="1"/>
  <c r="A24209" i="1"/>
  <c r="F24208" i="1"/>
  <c r="E24208" i="1"/>
  <c r="D24208" i="1"/>
  <c r="C24208" i="1"/>
  <c r="B24208" i="1"/>
  <c r="A24208" i="1"/>
  <c r="F24207" i="1"/>
  <c r="E24207" i="1"/>
  <c r="D24207" i="1"/>
  <c r="C24207" i="1"/>
  <c r="B24207" i="1"/>
  <c r="A24207" i="1"/>
  <c r="F24206" i="1"/>
  <c r="E24206" i="1"/>
  <c r="D24206" i="1"/>
  <c r="C24206" i="1"/>
  <c r="B24206" i="1"/>
  <c r="A24206" i="1"/>
  <c r="F24205" i="1"/>
  <c r="E24205" i="1"/>
  <c r="D24205" i="1"/>
  <c r="C24205" i="1"/>
  <c r="B24205" i="1"/>
  <c r="A24205" i="1"/>
  <c r="F24204" i="1"/>
  <c r="E24204" i="1"/>
  <c r="D24204" i="1"/>
  <c r="C24204" i="1"/>
  <c r="B24204" i="1"/>
  <c r="A24204" i="1"/>
  <c r="F24203" i="1"/>
  <c r="E24203" i="1"/>
  <c r="D24203" i="1"/>
  <c r="C24203" i="1"/>
  <c r="B24203" i="1"/>
  <c r="A24203" i="1"/>
  <c r="F24202" i="1"/>
  <c r="E24202" i="1"/>
  <c r="D24202" i="1"/>
  <c r="C24202" i="1"/>
  <c r="B24202" i="1"/>
  <c r="A24202" i="1"/>
  <c r="F24201" i="1"/>
  <c r="E24201" i="1"/>
  <c r="D24201" i="1"/>
  <c r="C24201" i="1"/>
  <c r="B24201" i="1"/>
  <c r="A24201" i="1"/>
  <c r="F24200" i="1"/>
  <c r="E24200" i="1"/>
  <c r="D24200" i="1"/>
  <c r="C24200" i="1"/>
  <c r="B24200" i="1"/>
  <c r="A24200" i="1"/>
  <c r="F24199" i="1"/>
  <c r="E24199" i="1"/>
  <c r="D24199" i="1"/>
  <c r="C24199" i="1"/>
  <c r="B24199" i="1"/>
  <c r="A24199" i="1"/>
  <c r="F24198" i="1"/>
  <c r="E24198" i="1"/>
  <c r="D24198" i="1"/>
  <c r="C24198" i="1"/>
  <c r="B24198" i="1"/>
  <c r="A24198" i="1"/>
  <c r="F24197" i="1"/>
  <c r="E24197" i="1"/>
  <c r="D24197" i="1"/>
  <c r="C24197" i="1"/>
  <c r="B24197" i="1"/>
  <c r="A24197" i="1"/>
  <c r="F24196" i="1"/>
  <c r="E24196" i="1"/>
  <c r="D24196" i="1"/>
  <c r="C24196" i="1"/>
  <c r="B24196" i="1"/>
  <c r="A24196" i="1"/>
  <c r="F24195" i="1"/>
  <c r="E24195" i="1"/>
  <c r="D24195" i="1"/>
  <c r="C24195" i="1"/>
  <c r="B24195" i="1"/>
  <c r="A24195" i="1"/>
  <c r="F24194" i="1"/>
  <c r="E24194" i="1"/>
  <c r="D24194" i="1"/>
  <c r="C24194" i="1"/>
  <c r="B24194" i="1"/>
  <c r="A24194" i="1"/>
  <c r="F24193" i="1"/>
  <c r="E24193" i="1"/>
  <c r="D24193" i="1"/>
  <c r="C24193" i="1"/>
  <c r="B24193" i="1"/>
  <c r="A24193" i="1"/>
  <c r="F24192" i="1"/>
  <c r="E24192" i="1"/>
  <c r="D24192" i="1"/>
  <c r="C24192" i="1"/>
  <c r="B24192" i="1"/>
  <c r="A24192" i="1"/>
  <c r="F24191" i="1"/>
  <c r="E24191" i="1"/>
  <c r="D24191" i="1"/>
  <c r="C24191" i="1"/>
  <c r="B24191" i="1"/>
  <c r="A24191" i="1"/>
  <c r="F24190" i="1"/>
  <c r="E24190" i="1"/>
  <c r="D24190" i="1"/>
  <c r="C24190" i="1"/>
  <c r="B24190" i="1"/>
  <c r="A24190" i="1"/>
  <c r="F24189" i="1"/>
  <c r="E24189" i="1"/>
  <c r="D24189" i="1"/>
  <c r="C24189" i="1"/>
  <c r="B24189" i="1"/>
  <c r="A24189" i="1"/>
  <c r="F24188" i="1"/>
  <c r="E24188" i="1"/>
  <c r="D24188" i="1"/>
  <c r="C24188" i="1"/>
  <c r="B24188" i="1"/>
  <c r="A24188" i="1"/>
  <c r="F24187" i="1"/>
  <c r="E24187" i="1"/>
  <c r="D24187" i="1"/>
  <c r="C24187" i="1"/>
  <c r="B24187" i="1"/>
  <c r="A24187" i="1"/>
  <c r="F24186" i="1"/>
  <c r="E24186" i="1"/>
  <c r="D24186" i="1"/>
  <c r="C24186" i="1"/>
  <c r="B24186" i="1"/>
  <c r="A24186" i="1"/>
  <c r="F24185" i="1"/>
  <c r="E24185" i="1"/>
  <c r="D24185" i="1"/>
  <c r="C24185" i="1"/>
  <c r="B24185" i="1"/>
  <c r="A24185" i="1"/>
  <c r="F24184" i="1"/>
  <c r="E24184" i="1"/>
  <c r="D24184" i="1"/>
  <c r="C24184" i="1"/>
  <c r="B24184" i="1"/>
  <c r="A24184" i="1"/>
  <c r="F24183" i="1"/>
  <c r="E24183" i="1"/>
  <c r="D24183" i="1"/>
  <c r="C24183" i="1"/>
  <c r="B24183" i="1"/>
  <c r="A24183" i="1"/>
  <c r="F24182" i="1"/>
  <c r="E24182" i="1"/>
  <c r="D24182" i="1"/>
  <c r="C24182" i="1"/>
  <c r="B24182" i="1"/>
  <c r="A24182" i="1"/>
  <c r="F24181" i="1"/>
  <c r="E24181" i="1"/>
  <c r="D24181" i="1"/>
  <c r="C24181" i="1"/>
  <c r="B24181" i="1"/>
  <c r="A24181" i="1"/>
  <c r="F24180" i="1"/>
  <c r="E24180" i="1"/>
  <c r="D24180" i="1"/>
  <c r="C24180" i="1"/>
  <c r="B24180" i="1"/>
  <c r="A24180" i="1"/>
  <c r="F24179" i="1"/>
  <c r="E24179" i="1"/>
  <c r="D24179" i="1"/>
  <c r="C24179" i="1"/>
  <c r="B24179" i="1"/>
  <c r="A24179" i="1"/>
  <c r="F24178" i="1"/>
  <c r="E24178" i="1"/>
  <c r="D24178" i="1"/>
  <c r="C24178" i="1"/>
  <c r="B24178" i="1"/>
  <c r="A24178" i="1"/>
  <c r="F24177" i="1"/>
  <c r="E24177" i="1"/>
  <c r="D24177" i="1"/>
  <c r="C24177" i="1"/>
  <c r="B24177" i="1"/>
  <c r="A24177" i="1"/>
  <c r="F24176" i="1"/>
  <c r="E24176" i="1"/>
  <c r="D24176" i="1"/>
  <c r="C24176" i="1"/>
  <c r="B24176" i="1"/>
  <c r="A24176" i="1"/>
  <c r="F24175" i="1"/>
  <c r="E24175" i="1"/>
  <c r="D24175" i="1"/>
  <c r="C24175" i="1"/>
  <c r="B24175" i="1"/>
  <c r="A24175" i="1"/>
  <c r="F24174" i="1"/>
  <c r="E24174" i="1"/>
  <c r="D24174" i="1"/>
  <c r="C24174" i="1"/>
  <c r="B24174" i="1"/>
  <c r="A24174" i="1"/>
  <c r="F24173" i="1"/>
  <c r="E24173" i="1"/>
  <c r="D24173" i="1"/>
  <c r="C24173" i="1"/>
  <c r="B24173" i="1"/>
  <c r="A24173" i="1"/>
  <c r="F24172" i="1"/>
  <c r="E24172" i="1"/>
  <c r="D24172" i="1"/>
  <c r="C24172" i="1"/>
  <c r="B24172" i="1"/>
  <c r="A24172" i="1"/>
  <c r="F24171" i="1"/>
  <c r="E24171" i="1"/>
  <c r="D24171" i="1"/>
  <c r="C24171" i="1"/>
  <c r="B24171" i="1"/>
  <c r="A24171" i="1"/>
  <c r="F24170" i="1"/>
  <c r="E24170" i="1"/>
  <c r="D24170" i="1"/>
  <c r="C24170" i="1"/>
  <c r="B24170" i="1"/>
  <c r="A24170" i="1"/>
  <c r="F24169" i="1"/>
  <c r="E24169" i="1"/>
  <c r="D24169" i="1"/>
  <c r="C24169" i="1"/>
  <c r="B24169" i="1"/>
  <c r="A24169" i="1"/>
  <c r="F24168" i="1"/>
  <c r="E24168" i="1"/>
  <c r="D24168" i="1"/>
  <c r="C24168" i="1"/>
  <c r="B24168" i="1"/>
  <c r="A24168" i="1"/>
  <c r="F24167" i="1"/>
  <c r="E24167" i="1"/>
  <c r="D24167" i="1"/>
  <c r="C24167" i="1"/>
  <c r="B24167" i="1"/>
  <c r="A24167" i="1"/>
  <c r="F24166" i="1"/>
  <c r="E24166" i="1"/>
  <c r="D24166" i="1"/>
  <c r="C24166" i="1"/>
  <c r="B24166" i="1"/>
  <c r="A24166" i="1"/>
  <c r="F24165" i="1"/>
  <c r="E24165" i="1"/>
  <c r="D24165" i="1"/>
  <c r="C24165" i="1"/>
  <c r="B24165" i="1"/>
  <c r="A24165" i="1"/>
  <c r="F24164" i="1"/>
  <c r="E24164" i="1"/>
  <c r="D24164" i="1"/>
  <c r="C24164" i="1"/>
  <c r="B24164" i="1"/>
  <c r="A24164" i="1"/>
  <c r="F24163" i="1"/>
  <c r="E24163" i="1"/>
  <c r="D24163" i="1"/>
  <c r="C24163" i="1"/>
  <c r="B24163" i="1"/>
  <c r="A24163" i="1"/>
  <c r="F24162" i="1"/>
  <c r="E24162" i="1"/>
  <c r="D24162" i="1"/>
  <c r="C24162" i="1"/>
  <c r="B24162" i="1"/>
  <c r="A24162" i="1"/>
  <c r="F24161" i="1"/>
  <c r="E24161" i="1"/>
  <c r="D24161" i="1"/>
  <c r="C24161" i="1"/>
  <c r="B24161" i="1"/>
  <c r="A24161" i="1"/>
  <c r="F24160" i="1"/>
  <c r="E24160" i="1"/>
  <c r="D24160" i="1"/>
  <c r="C24160" i="1"/>
  <c r="B24160" i="1"/>
  <c r="A24160" i="1"/>
  <c r="F24159" i="1"/>
  <c r="E24159" i="1"/>
  <c r="D24159" i="1"/>
  <c r="C24159" i="1"/>
  <c r="B24159" i="1"/>
  <c r="A24159" i="1"/>
  <c r="F24158" i="1"/>
  <c r="E24158" i="1"/>
  <c r="D24158" i="1"/>
  <c r="C24158" i="1"/>
  <c r="B24158" i="1"/>
  <c r="A24158" i="1"/>
  <c r="F24157" i="1"/>
  <c r="E24157" i="1"/>
  <c r="D24157" i="1"/>
  <c r="C24157" i="1"/>
  <c r="B24157" i="1"/>
  <c r="A24157" i="1"/>
  <c r="F24156" i="1"/>
  <c r="E24156" i="1"/>
  <c r="D24156" i="1"/>
  <c r="C24156" i="1"/>
  <c r="B24156" i="1"/>
  <c r="A24156" i="1"/>
  <c r="F24155" i="1"/>
  <c r="E24155" i="1"/>
  <c r="D24155" i="1"/>
  <c r="C24155" i="1"/>
  <c r="B24155" i="1"/>
  <c r="A24155" i="1"/>
  <c r="F24154" i="1"/>
  <c r="E24154" i="1"/>
  <c r="D24154" i="1"/>
  <c r="C24154" i="1"/>
  <c r="B24154" i="1"/>
  <c r="A24154" i="1"/>
  <c r="F24153" i="1"/>
  <c r="E24153" i="1"/>
  <c r="D24153" i="1"/>
  <c r="C24153" i="1"/>
  <c r="B24153" i="1"/>
  <c r="A24153" i="1"/>
  <c r="F24152" i="1"/>
  <c r="E24152" i="1"/>
  <c r="D24152" i="1"/>
  <c r="C24152" i="1"/>
  <c r="B24152" i="1"/>
  <c r="A24152" i="1"/>
  <c r="F24151" i="1"/>
  <c r="E24151" i="1"/>
  <c r="D24151" i="1"/>
  <c r="C24151" i="1"/>
  <c r="B24151" i="1"/>
  <c r="A24151" i="1"/>
  <c r="F24150" i="1"/>
  <c r="E24150" i="1"/>
  <c r="D24150" i="1"/>
  <c r="C24150" i="1"/>
  <c r="B24150" i="1"/>
  <c r="A24150" i="1"/>
  <c r="F24149" i="1"/>
  <c r="E24149" i="1"/>
  <c r="D24149" i="1"/>
  <c r="C24149" i="1"/>
  <c r="B24149" i="1"/>
  <c r="A24149" i="1"/>
  <c r="F24148" i="1"/>
  <c r="E24148" i="1"/>
  <c r="D24148" i="1"/>
  <c r="C24148" i="1"/>
  <c r="B24148" i="1"/>
  <c r="A24148" i="1"/>
  <c r="F24147" i="1"/>
  <c r="E24147" i="1"/>
  <c r="D24147" i="1"/>
  <c r="C24147" i="1"/>
  <c r="B24147" i="1"/>
  <c r="A24147" i="1"/>
  <c r="F24146" i="1"/>
  <c r="E24146" i="1"/>
  <c r="D24146" i="1"/>
  <c r="C24146" i="1"/>
  <c r="B24146" i="1"/>
  <c r="A24146" i="1"/>
  <c r="F24145" i="1"/>
  <c r="E24145" i="1"/>
  <c r="D24145" i="1"/>
  <c r="C24145" i="1"/>
  <c r="B24145" i="1"/>
  <c r="A24145" i="1"/>
  <c r="F24144" i="1"/>
  <c r="E24144" i="1"/>
  <c r="D24144" i="1"/>
  <c r="C24144" i="1"/>
  <c r="B24144" i="1"/>
  <c r="A24144" i="1"/>
  <c r="F24143" i="1"/>
  <c r="E24143" i="1"/>
  <c r="D24143" i="1"/>
  <c r="C24143" i="1"/>
  <c r="B24143" i="1"/>
  <c r="A24143" i="1"/>
  <c r="F24142" i="1"/>
  <c r="E24142" i="1"/>
  <c r="D24142" i="1"/>
  <c r="C24142" i="1"/>
  <c r="B24142" i="1"/>
  <c r="A24142" i="1"/>
  <c r="F24141" i="1"/>
  <c r="E24141" i="1"/>
  <c r="D24141" i="1"/>
  <c r="C24141" i="1"/>
  <c r="B24141" i="1"/>
  <c r="A24141" i="1"/>
  <c r="F24140" i="1"/>
  <c r="E24140" i="1"/>
  <c r="D24140" i="1"/>
  <c r="C24140" i="1"/>
  <c r="B24140" i="1"/>
  <c r="A24140" i="1"/>
  <c r="F24139" i="1"/>
  <c r="E24139" i="1"/>
  <c r="D24139" i="1"/>
  <c r="C24139" i="1"/>
  <c r="B24139" i="1"/>
  <c r="A24139" i="1"/>
  <c r="F24138" i="1"/>
  <c r="E24138" i="1"/>
  <c r="D24138" i="1"/>
  <c r="C24138" i="1"/>
  <c r="B24138" i="1"/>
  <c r="A24138" i="1"/>
  <c r="F24137" i="1"/>
  <c r="E24137" i="1"/>
  <c r="D24137" i="1"/>
  <c r="C24137" i="1"/>
  <c r="B24137" i="1"/>
  <c r="A24137" i="1"/>
  <c r="F24136" i="1"/>
  <c r="E24136" i="1"/>
  <c r="D24136" i="1"/>
  <c r="C24136" i="1"/>
  <c r="B24136" i="1"/>
  <c r="A24136" i="1"/>
  <c r="F24135" i="1"/>
  <c r="E24135" i="1"/>
  <c r="D24135" i="1"/>
  <c r="C24135" i="1"/>
  <c r="B24135" i="1"/>
  <c r="A24135" i="1"/>
  <c r="F24134" i="1"/>
  <c r="E24134" i="1"/>
  <c r="D24134" i="1"/>
  <c r="C24134" i="1"/>
  <c r="B24134" i="1"/>
  <c r="A24134" i="1"/>
  <c r="F24133" i="1"/>
  <c r="E24133" i="1"/>
  <c r="D24133" i="1"/>
  <c r="C24133" i="1"/>
  <c r="B24133" i="1"/>
  <c r="A24133" i="1"/>
  <c r="F24132" i="1"/>
  <c r="E24132" i="1"/>
  <c r="D24132" i="1"/>
  <c r="C24132" i="1"/>
  <c r="B24132" i="1"/>
  <c r="A24132" i="1"/>
  <c r="F24131" i="1"/>
  <c r="E24131" i="1"/>
  <c r="D24131" i="1"/>
  <c r="C24131" i="1"/>
  <c r="B24131" i="1"/>
  <c r="A24131" i="1"/>
  <c r="F24130" i="1"/>
  <c r="E24130" i="1"/>
  <c r="D24130" i="1"/>
  <c r="C24130" i="1"/>
  <c r="B24130" i="1"/>
  <c r="A24130" i="1"/>
  <c r="F24129" i="1"/>
  <c r="E24129" i="1"/>
  <c r="D24129" i="1"/>
  <c r="C24129" i="1"/>
  <c r="B24129" i="1"/>
  <c r="A24129" i="1"/>
  <c r="F24128" i="1"/>
  <c r="E24128" i="1"/>
  <c r="D24128" i="1"/>
  <c r="C24128" i="1"/>
  <c r="B24128" i="1"/>
  <c r="A24128" i="1"/>
  <c r="F24127" i="1"/>
  <c r="E24127" i="1"/>
  <c r="D24127" i="1"/>
  <c r="C24127" i="1"/>
  <c r="B24127" i="1"/>
  <c r="A24127" i="1"/>
  <c r="F24126" i="1"/>
  <c r="E24126" i="1"/>
  <c r="D24126" i="1"/>
  <c r="C24126" i="1"/>
  <c r="B24126" i="1"/>
  <c r="A24126" i="1"/>
  <c r="F24125" i="1"/>
  <c r="E24125" i="1"/>
  <c r="D24125" i="1"/>
  <c r="C24125" i="1"/>
  <c r="B24125" i="1"/>
  <c r="A24125" i="1"/>
  <c r="F24124" i="1"/>
  <c r="E24124" i="1"/>
  <c r="D24124" i="1"/>
  <c r="C24124" i="1"/>
  <c r="B24124" i="1"/>
  <c r="A24124" i="1"/>
  <c r="F24123" i="1"/>
  <c r="E24123" i="1"/>
  <c r="D24123" i="1"/>
  <c r="C24123" i="1"/>
  <c r="B24123" i="1"/>
  <c r="A24123" i="1"/>
  <c r="F24122" i="1"/>
  <c r="E24122" i="1"/>
  <c r="D24122" i="1"/>
  <c r="C24122" i="1"/>
  <c r="B24122" i="1"/>
  <c r="A24122" i="1"/>
  <c r="F24121" i="1"/>
  <c r="E24121" i="1"/>
  <c r="D24121" i="1"/>
  <c r="C24121" i="1"/>
  <c r="B24121" i="1"/>
  <c r="A24121" i="1"/>
  <c r="F24120" i="1"/>
  <c r="E24120" i="1"/>
  <c r="D24120" i="1"/>
  <c r="C24120" i="1"/>
  <c r="B24120" i="1"/>
  <c r="A24120" i="1"/>
  <c r="F24119" i="1"/>
  <c r="E24119" i="1"/>
  <c r="D24119" i="1"/>
  <c r="C24119" i="1"/>
  <c r="B24119" i="1"/>
  <c r="A24119" i="1"/>
  <c r="F24118" i="1"/>
  <c r="E24118" i="1"/>
  <c r="D24118" i="1"/>
  <c r="C24118" i="1"/>
  <c r="B24118" i="1"/>
  <c r="A24118" i="1"/>
  <c r="F24117" i="1"/>
  <c r="E24117" i="1"/>
  <c r="D24117" i="1"/>
  <c r="C24117" i="1"/>
  <c r="B24117" i="1"/>
  <c r="A24117" i="1"/>
  <c r="F24116" i="1"/>
  <c r="E24116" i="1"/>
  <c r="D24116" i="1"/>
  <c r="C24116" i="1"/>
  <c r="B24116" i="1"/>
  <c r="A24116" i="1"/>
  <c r="F24115" i="1"/>
  <c r="E24115" i="1"/>
  <c r="D24115" i="1"/>
  <c r="C24115" i="1"/>
  <c r="B24115" i="1"/>
  <c r="A24115" i="1"/>
  <c r="F24114" i="1"/>
  <c r="E24114" i="1"/>
  <c r="D24114" i="1"/>
  <c r="C24114" i="1"/>
  <c r="B24114" i="1"/>
  <c r="A24114" i="1"/>
  <c r="F24113" i="1"/>
  <c r="E24113" i="1"/>
  <c r="D24113" i="1"/>
  <c r="C24113" i="1"/>
  <c r="B24113" i="1"/>
  <c r="A24113" i="1"/>
  <c r="F24112" i="1"/>
  <c r="E24112" i="1"/>
  <c r="D24112" i="1"/>
  <c r="C24112" i="1"/>
  <c r="B24112" i="1"/>
  <c r="A24112" i="1"/>
  <c r="F24111" i="1"/>
  <c r="E24111" i="1"/>
  <c r="D24111" i="1"/>
  <c r="C24111" i="1"/>
  <c r="B24111" i="1"/>
  <c r="A24111" i="1"/>
  <c r="F24110" i="1"/>
  <c r="E24110" i="1"/>
  <c r="D24110" i="1"/>
  <c r="C24110" i="1"/>
  <c r="B24110" i="1"/>
  <c r="A24110" i="1"/>
  <c r="F24109" i="1"/>
  <c r="E24109" i="1"/>
  <c r="D24109" i="1"/>
  <c r="C24109" i="1"/>
  <c r="B24109" i="1"/>
  <c r="A24109" i="1"/>
  <c r="F24108" i="1"/>
  <c r="E24108" i="1"/>
  <c r="D24108" i="1"/>
  <c r="C24108" i="1"/>
  <c r="B24108" i="1"/>
  <c r="A24108" i="1"/>
  <c r="F24107" i="1"/>
  <c r="E24107" i="1"/>
  <c r="D24107" i="1"/>
  <c r="C24107" i="1"/>
  <c r="B24107" i="1"/>
  <c r="A24107" i="1"/>
  <c r="F24106" i="1"/>
  <c r="E24106" i="1"/>
  <c r="D24106" i="1"/>
  <c r="C24106" i="1"/>
  <c r="B24106" i="1"/>
  <c r="A24106" i="1"/>
  <c r="F24105" i="1"/>
  <c r="E24105" i="1"/>
  <c r="D24105" i="1"/>
  <c r="C24105" i="1"/>
  <c r="B24105" i="1"/>
  <c r="A24105" i="1"/>
  <c r="F24104" i="1"/>
  <c r="E24104" i="1"/>
  <c r="D24104" i="1"/>
  <c r="C24104" i="1"/>
  <c r="B24104" i="1"/>
  <c r="A24104" i="1"/>
  <c r="F24103" i="1"/>
  <c r="E24103" i="1"/>
  <c r="D24103" i="1"/>
  <c r="C24103" i="1"/>
  <c r="B24103" i="1"/>
  <c r="A24103" i="1"/>
  <c r="F24102" i="1"/>
  <c r="E24102" i="1"/>
  <c r="D24102" i="1"/>
  <c r="C24102" i="1"/>
  <c r="B24102" i="1"/>
  <c r="A24102" i="1"/>
  <c r="F24101" i="1"/>
  <c r="E24101" i="1"/>
  <c r="D24101" i="1"/>
  <c r="C24101" i="1"/>
  <c r="B24101" i="1"/>
  <c r="A24101" i="1"/>
  <c r="F24100" i="1"/>
  <c r="E24100" i="1"/>
  <c r="D24100" i="1"/>
  <c r="C24100" i="1"/>
  <c r="B24100" i="1"/>
  <c r="A24100" i="1"/>
  <c r="F24099" i="1"/>
  <c r="E24099" i="1"/>
  <c r="D24099" i="1"/>
  <c r="C24099" i="1"/>
  <c r="B24099" i="1"/>
  <c r="A24099" i="1"/>
  <c r="F24098" i="1"/>
  <c r="E24098" i="1"/>
  <c r="D24098" i="1"/>
  <c r="C24098" i="1"/>
  <c r="B24098" i="1"/>
  <c r="A24098" i="1"/>
  <c r="F24097" i="1"/>
  <c r="E24097" i="1"/>
  <c r="D24097" i="1"/>
  <c r="C24097" i="1"/>
  <c r="B24097" i="1"/>
  <c r="A24097" i="1"/>
  <c r="F24096" i="1"/>
  <c r="E24096" i="1"/>
  <c r="D24096" i="1"/>
  <c r="C24096" i="1"/>
  <c r="B24096" i="1"/>
  <c r="A24096" i="1"/>
  <c r="F24095" i="1"/>
  <c r="E24095" i="1"/>
  <c r="D24095" i="1"/>
  <c r="C24095" i="1"/>
  <c r="B24095" i="1"/>
  <c r="A24095" i="1"/>
  <c r="F24094" i="1"/>
  <c r="E24094" i="1"/>
  <c r="D24094" i="1"/>
  <c r="C24094" i="1"/>
  <c r="B24094" i="1"/>
  <c r="A24094" i="1"/>
  <c r="F24093" i="1"/>
  <c r="E24093" i="1"/>
  <c r="D24093" i="1"/>
  <c r="C24093" i="1"/>
  <c r="B24093" i="1"/>
  <c r="A24093" i="1"/>
  <c r="F24092" i="1"/>
  <c r="E24092" i="1"/>
  <c r="D24092" i="1"/>
  <c r="C24092" i="1"/>
  <c r="B24092" i="1"/>
  <c r="A24092" i="1"/>
  <c r="F24091" i="1"/>
  <c r="E24091" i="1"/>
  <c r="D24091" i="1"/>
  <c r="C24091" i="1"/>
  <c r="B24091" i="1"/>
  <c r="A24091" i="1"/>
  <c r="F24090" i="1"/>
  <c r="E24090" i="1"/>
  <c r="D24090" i="1"/>
  <c r="C24090" i="1"/>
  <c r="B24090" i="1"/>
  <c r="A24090" i="1"/>
  <c r="F24089" i="1"/>
  <c r="E24089" i="1"/>
  <c r="D24089" i="1"/>
  <c r="C24089" i="1"/>
  <c r="B24089" i="1"/>
  <c r="A24089" i="1"/>
  <c r="F24088" i="1"/>
  <c r="E24088" i="1"/>
  <c r="D24088" i="1"/>
  <c r="C24088" i="1"/>
  <c r="B24088" i="1"/>
  <c r="A24088" i="1"/>
  <c r="F24087" i="1"/>
  <c r="E24087" i="1"/>
  <c r="D24087" i="1"/>
  <c r="C24087" i="1"/>
  <c r="B24087" i="1"/>
  <c r="A24087" i="1"/>
  <c r="F24086" i="1"/>
  <c r="E24086" i="1"/>
  <c r="D24086" i="1"/>
  <c r="C24086" i="1"/>
  <c r="B24086" i="1"/>
  <c r="A24086" i="1"/>
  <c r="F24085" i="1"/>
  <c r="E24085" i="1"/>
  <c r="D24085" i="1"/>
  <c r="C24085" i="1"/>
  <c r="B24085" i="1"/>
  <c r="A24085" i="1"/>
  <c r="F24084" i="1"/>
  <c r="E24084" i="1"/>
  <c r="D24084" i="1"/>
  <c r="C24084" i="1"/>
  <c r="B24084" i="1"/>
  <c r="A24084" i="1"/>
  <c r="F24083" i="1"/>
  <c r="E24083" i="1"/>
  <c r="D24083" i="1"/>
  <c r="C24083" i="1"/>
  <c r="B24083" i="1"/>
  <c r="A24083" i="1"/>
  <c r="F24082" i="1"/>
  <c r="E24082" i="1"/>
  <c r="D24082" i="1"/>
  <c r="C24082" i="1"/>
  <c r="B24082" i="1"/>
  <c r="A24082" i="1"/>
  <c r="F24081" i="1"/>
  <c r="E24081" i="1"/>
  <c r="D24081" i="1"/>
  <c r="C24081" i="1"/>
  <c r="B24081" i="1"/>
  <c r="A24081" i="1"/>
  <c r="F24080" i="1"/>
  <c r="E24080" i="1"/>
  <c r="D24080" i="1"/>
  <c r="C24080" i="1"/>
  <c r="B24080" i="1"/>
  <c r="A24080" i="1"/>
  <c r="F24079" i="1"/>
  <c r="E24079" i="1"/>
  <c r="D24079" i="1"/>
  <c r="C24079" i="1"/>
  <c r="B24079" i="1"/>
  <c r="A24079" i="1"/>
  <c r="F24078" i="1"/>
  <c r="E24078" i="1"/>
  <c r="D24078" i="1"/>
  <c r="C24078" i="1"/>
  <c r="B24078" i="1"/>
  <c r="A24078" i="1"/>
  <c r="F24077" i="1"/>
  <c r="E24077" i="1"/>
  <c r="D24077" i="1"/>
  <c r="C24077" i="1"/>
  <c r="B24077" i="1"/>
  <c r="A24077" i="1"/>
  <c r="F24076" i="1"/>
  <c r="E24076" i="1"/>
  <c r="D24076" i="1"/>
  <c r="C24076" i="1"/>
  <c r="B24076" i="1"/>
  <c r="A24076" i="1"/>
  <c r="F24075" i="1"/>
  <c r="E24075" i="1"/>
  <c r="D24075" i="1"/>
  <c r="C24075" i="1"/>
  <c r="B24075" i="1"/>
  <c r="A24075" i="1"/>
  <c r="F24074" i="1"/>
  <c r="E24074" i="1"/>
  <c r="D24074" i="1"/>
  <c r="C24074" i="1"/>
  <c r="B24074" i="1"/>
  <c r="A24074" i="1"/>
  <c r="F24073" i="1"/>
  <c r="E24073" i="1"/>
  <c r="D24073" i="1"/>
  <c r="C24073" i="1"/>
  <c r="B24073" i="1"/>
  <c r="A24073" i="1"/>
  <c r="F24072" i="1"/>
  <c r="E24072" i="1"/>
  <c r="D24072" i="1"/>
  <c r="C24072" i="1"/>
  <c r="B24072" i="1"/>
  <c r="A24072" i="1"/>
  <c r="F24071" i="1"/>
  <c r="E24071" i="1"/>
  <c r="D24071" i="1"/>
  <c r="C24071" i="1"/>
  <c r="B24071" i="1"/>
  <c r="A24071" i="1"/>
  <c r="F24070" i="1"/>
  <c r="E24070" i="1"/>
  <c r="D24070" i="1"/>
  <c r="C24070" i="1"/>
  <c r="B24070" i="1"/>
  <c r="A24070" i="1"/>
  <c r="F24069" i="1"/>
  <c r="E24069" i="1"/>
  <c r="D24069" i="1"/>
  <c r="C24069" i="1"/>
  <c r="B24069" i="1"/>
  <c r="A24069" i="1"/>
  <c r="F24068" i="1"/>
  <c r="E24068" i="1"/>
  <c r="D24068" i="1"/>
  <c r="C24068" i="1"/>
  <c r="B24068" i="1"/>
  <c r="A24068" i="1"/>
  <c r="F24067" i="1"/>
  <c r="E24067" i="1"/>
  <c r="D24067" i="1"/>
  <c r="C24067" i="1"/>
  <c r="B24067" i="1"/>
  <c r="A24067" i="1"/>
  <c r="F24066" i="1"/>
  <c r="E24066" i="1"/>
  <c r="D24066" i="1"/>
  <c r="C24066" i="1"/>
  <c r="B24066" i="1"/>
  <c r="A24066" i="1"/>
  <c r="F24065" i="1"/>
  <c r="E24065" i="1"/>
  <c r="D24065" i="1"/>
  <c r="C24065" i="1"/>
  <c r="B24065" i="1"/>
  <c r="A24065" i="1"/>
  <c r="F24064" i="1"/>
  <c r="E24064" i="1"/>
  <c r="D24064" i="1"/>
  <c r="C24064" i="1"/>
  <c r="B24064" i="1"/>
  <c r="A24064" i="1"/>
  <c r="F24063" i="1"/>
  <c r="E24063" i="1"/>
  <c r="D24063" i="1"/>
  <c r="C24063" i="1"/>
  <c r="B24063" i="1"/>
  <c r="A24063" i="1"/>
  <c r="F24062" i="1"/>
  <c r="E24062" i="1"/>
  <c r="D24062" i="1"/>
  <c r="C24062" i="1"/>
  <c r="B24062" i="1"/>
  <c r="A24062" i="1"/>
  <c r="F24061" i="1"/>
  <c r="E24061" i="1"/>
  <c r="D24061" i="1"/>
  <c r="C24061" i="1"/>
  <c r="B24061" i="1"/>
  <c r="A24061" i="1"/>
  <c r="F24060" i="1"/>
  <c r="E24060" i="1"/>
  <c r="D24060" i="1"/>
  <c r="C24060" i="1"/>
  <c r="B24060" i="1"/>
  <c r="A24060" i="1"/>
  <c r="F24059" i="1"/>
  <c r="E24059" i="1"/>
  <c r="D24059" i="1"/>
  <c r="C24059" i="1"/>
  <c r="B24059" i="1"/>
  <c r="A24059" i="1"/>
  <c r="F24058" i="1"/>
  <c r="E24058" i="1"/>
  <c r="D24058" i="1"/>
  <c r="C24058" i="1"/>
  <c r="B24058" i="1"/>
  <c r="A24058" i="1"/>
  <c r="F24057" i="1"/>
  <c r="E24057" i="1"/>
  <c r="D24057" i="1"/>
  <c r="C24057" i="1"/>
  <c r="B24057" i="1"/>
  <c r="A24057" i="1"/>
  <c r="F24056" i="1"/>
  <c r="E24056" i="1"/>
  <c r="D24056" i="1"/>
  <c r="C24056" i="1"/>
  <c r="B24056" i="1"/>
  <c r="A24056" i="1"/>
  <c r="F24055" i="1"/>
  <c r="E24055" i="1"/>
  <c r="D24055" i="1"/>
  <c r="C24055" i="1"/>
  <c r="B24055" i="1"/>
  <c r="A24055" i="1"/>
  <c r="F24054" i="1"/>
  <c r="E24054" i="1"/>
  <c r="D24054" i="1"/>
  <c r="C24054" i="1"/>
  <c r="B24054" i="1"/>
  <c r="A24054" i="1"/>
  <c r="F24053" i="1"/>
  <c r="E24053" i="1"/>
  <c r="D24053" i="1"/>
  <c r="C24053" i="1"/>
  <c r="B24053" i="1"/>
  <c r="A24053" i="1"/>
  <c r="F24052" i="1"/>
  <c r="E24052" i="1"/>
  <c r="D24052" i="1"/>
  <c r="C24052" i="1"/>
  <c r="B24052" i="1"/>
  <c r="A24052" i="1"/>
  <c r="F24051" i="1"/>
  <c r="E24051" i="1"/>
  <c r="D24051" i="1"/>
  <c r="C24051" i="1"/>
  <c r="B24051" i="1"/>
  <c r="A24051" i="1"/>
  <c r="F24050" i="1"/>
  <c r="E24050" i="1"/>
  <c r="D24050" i="1"/>
  <c r="C24050" i="1"/>
  <c r="B24050" i="1"/>
  <c r="A24050" i="1"/>
  <c r="F24049" i="1"/>
  <c r="E24049" i="1"/>
  <c r="D24049" i="1"/>
  <c r="C24049" i="1"/>
  <c r="B24049" i="1"/>
  <c r="A24049" i="1"/>
  <c r="F24048" i="1"/>
  <c r="E24048" i="1"/>
  <c r="D24048" i="1"/>
  <c r="C24048" i="1"/>
  <c r="B24048" i="1"/>
  <c r="A24048" i="1"/>
  <c r="F24047" i="1"/>
  <c r="E24047" i="1"/>
  <c r="D24047" i="1"/>
  <c r="C24047" i="1"/>
  <c r="B24047" i="1"/>
  <c r="A24047" i="1"/>
  <c r="F24046" i="1"/>
  <c r="E24046" i="1"/>
  <c r="D24046" i="1"/>
  <c r="C24046" i="1"/>
  <c r="B24046" i="1"/>
  <c r="A24046" i="1"/>
  <c r="F24045" i="1"/>
  <c r="E24045" i="1"/>
  <c r="D24045" i="1"/>
  <c r="C24045" i="1"/>
  <c r="B24045" i="1"/>
  <c r="A24045" i="1"/>
  <c r="F24044" i="1"/>
  <c r="E24044" i="1"/>
  <c r="D24044" i="1"/>
  <c r="C24044" i="1"/>
  <c r="B24044" i="1"/>
  <c r="A24044" i="1"/>
  <c r="F24043" i="1"/>
  <c r="E24043" i="1"/>
  <c r="D24043" i="1"/>
  <c r="C24043" i="1"/>
  <c r="B24043" i="1"/>
  <c r="A24043" i="1"/>
  <c r="F24042" i="1"/>
  <c r="E24042" i="1"/>
  <c r="D24042" i="1"/>
  <c r="C24042" i="1"/>
  <c r="B24042" i="1"/>
  <c r="A24042" i="1"/>
  <c r="F24041" i="1"/>
  <c r="E24041" i="1"/>
  <c r="D24041" i="1"/>
  <c r="C24041" i="1"/>
  <c r="B24041" i="1"/>
  <c r="A24041" i="1"/>
  <c r="F24040" i="1"/>
  <c r="E24040" i="1"/>
  <c r="D24040" i="1"/>
  <c r="C24040" i="1"/>
  <c r="B24040" i="1"/>
  <c r="A24040" i="1"/>
  <c r="F24039" i="1"/>
  <c r="E24039" i="1"/>
  <c r="D24039" i="1"/>
  <c r="C24039" i="1"/>
  <c r="B24039" i="1"/>
  <c r="A24039" i="1"/>
  <c r="F24038" i="1"/>
  <c r="E24038" i="1"/>
  <c r="D24038" i="1"/>
  <c r="C24038" i="1"/>
  <c r="B24038" i="1"/>
  <c r="A24038" i="1"/>
  <c r="F24037" i="1"/>
  <c r="E24037" i="1"/>
  <c r="D24037" i="1"/>
  <c r="C24037" i="1"/>
  <c r="B24037" i="1"/>
  <c r="A24037" i="1"/>
  <c r="F24036" i="1"/>
  <c r="E24036" i="1"/>
  <c r="D24036" i="1"/>
  <c r="C24036" i="1"/>
  <c r="B24036" i="1"/>
  <c r="A24036" i="1"/>
  <c r="F24035" i="1"/>
  <c r="E24035" i="1"/>
  <c r="D24035" i="1"/>
  <c r="C24035" i="1"/>
  <c r="B24035" i="1"/>
  <c r="A24035" i="1"/>
  <c r="F24034" i="1"/>
  <c r="E24034" i="1"/>
  <c r="D24034" i="1"/>
  <c r="C24034" i="1"/>
  <c r="B24034" i="1"/>
  <c r="A24034" i="1"/>
  <c r="F24033" i="1"/>
  <c r="E24033" i="1"/>
  <c r="D24033" i="1"/>
  <c r="C24033" i="1"/>
  <c r="B24033" i="1"/>
  <c r="A24033" i="1"/>
  <c r="F24032" i="1"/>
  <c r="E24032" i="1"/>
  <c r="D24032" i="1"/>
  <c r="C24032" i="1"/>
  <c r="B24032" i="1"/>
  <c r="A24032" i="1"/>
  <c r="F24031" i="1"/>
  <c r="E24031" i="1"/>
  <c r="D24031" i="1"/>
  <c r="C24031" i="1"/>
  <c r="B24031" i="1"/>
  <c r="A24031" i="1"/>
  <c r="F24030" i="1"/>
  <c r="E24030" i="1"/>
  <c r="D24030" i="1"/>
  <c r="C24030" i="1"/>
  <c r="B24030" i="1"/>
  <c r="A24030" i="1"/>
  <c r="F24029" i="1"/>
  <c r="E24029" i="1"/>
  <c r="D24029" i="1"/>
  <c r="C24029" i="1"/>
  <c r="B24029" i="1"/>
  <c r="A24029" i="1"/>
  <c r="F24028" i="1"/>
  <c r="E24028" i="1"/>
  <c r="D24028" i="1"/>
  <c r="C24028" i="1"/>
  <c r="B24028" i="1"/>
  <c r="A24028" i="1"/>
  <c r="F24027" i="1"/>
  <c r="E24027" i="1"/>
  <c r="D24027" i="1"/>
  <c r="C24027" i="1"/>
  <c r="B24027" i="1"/>
  <c r="A24027" i="1"/>
  <c r="F24026" i="1"/>
  <c r="E24026" i="1"/>
  <c r="D24026" i="1"/>
  <c r="C24026" i="1"/>
  <c r="B24026" i="1"/>
  <c r="A24026" i="1"/>
  <c r="F24025" i="1"/>
  <c r="E24025" i="1"/>
  <c r="D24025" i="1"/>
  <c r="C24025" i="1"/>
  <c r="B24025" i="1"/>
  <c r="A24025" i="1"/>
  <c r="F24024" i="1"/>
  <c r="E24024" i="1"/>
  <c r="D24024" i="1"/>
  <c r="C24024" i="1"/>
  <c r="B24024" i="1"/>
  <c r="A24024" i="1"/>
  <c r="F24023" i="1"/>
  <c r="E24023" i="1"/>
  <c r="D24023" i="1"/>
  <c r="C24023" i="1"/>
  <c r="B24023" i="1"/>
  <c r="A24023" i="1"/>
  <c r="F24022" i="1"/>
  <c r="E24022" i="1"/>
  <c r="D24022" i="1"/>
  <c r="C24022" i="1"/>
  <c r="B24022" i="1"/>
  <c r="A24022" i="1"/>
  <c r="F24021" i="1"/>
  <c r="E24021" i="1"/>
  <c r="D24021" i="1"/>
  <c r="C24021" i="1"/>
  <c r="B24021" i="1"/>
  <c r="A24021" i="1"/>
  <c r="F24020" i="1"/>
  <c r="E24020" i="1"/>
  <c r="D24020" i="1"/>
  <c r="C24020" i="1"/>
  <c r="B24020" i="1"/>
  <c r="A24020" i="1"/>
  <c r="F24019" i="1"/>
  <c r="E24019" i="1"/>
  <c r="D24019" i="1"/>
  <c r="C24019" i="1"/>
  <c r="B24019" i="1"/>
  <c r="A24019" i="1"/>
  <c r="F24018" i="1"/>
  <c r="E24018" i="1"/>
  <c r="D24018" i="1"/>
  <c r="C24018" i="1"/>
  <c r="B24018" i="1"/>
  <c r="A24018" i="1"/>
  <c r="F24017" i="1"/>
  <c r="E24017" i="1"/>
  <c r="D24017" i="1"/>
  <c r="C24017" i="1"/>
  <c r="B24017" i="1"/>
  <c r="A24017" i="1"/>
  <c r="F24016" i="1"/>
  <c r="E24016" i="1"/>
  <c r="D24016" i="1"/>
  <c r="C24016" i="1"/>
  <c r="B24016" i="1"/>
  <c r="A24016" i="1"/>
  <c r="F24015" i="1"/>
  <c r="E24015" i="1"/>
  <c r="D24015" i="1"/>
  <c r="C24015" i="1"/>
  <c r="B24015" i="1"/>
  <c r="A24015" i="1"/>
  <c r="F24014" i="1"/>
  <c r="E24014" i="1"/>
  <c r="D24014" i="1"/>
  <c r="C24014" i="1"/>
  <c r="B24014" i="1"/>
  <c r="A24014" i="1"/>
  <c r="F24013" i="1"/>
  <c r="E24013" i="1"/>
  <c r="D24013" i="1"/>
  <c r="C24013" i="1"/>
  <c r="B24013" i="1"/>
  <c r="A24013" i="1"/>
  <c r="F24012" i="1"/>
  <c r="E24012" i="1"/>
  <c r="D24012" i="1"/>
  <c r="C24012" i="1"/>
  <c r="B24012" i="1"/>
  <c r="A24012" i="1"/>
  <c r="F24011" i="1"/>
  <c r="E24011" i="1"/>
  <c r="D24011" i="1"/>
  <c r="C24011" i="1"/>
  <c r="B24011" i="1"/>
  <c r="A24011" i="1"/>
  <c r="F24010" i="1"/>
  <c r="E24010" i="1"/>
  <c r="D24010" i="1"/>
  <c r="C24010" i="1"/>
  <c r="B24010" i="1"/>
  <c r="A24010" i="1"/>
  <c r="F24009" i="1"/>
  <c r="E24009" i="1"/>
  <c r="D24009" i="1"/>
  <c r="C24009" i="1"/>
  <c r="B24009" i="1"/>
  <c r="A24009" i="1"/>
  <c r="F24008" i="1"/>
  <c r="E24008" i="1"/>
  <c r="D24008" i="1"/>
  <c r="C24008" i="1"/>
  <c r="B24008" i="1"/>
  <c r="A24008" i="1"/>
  <c r="F24007" i="1"/>
  <c r="E24007" i="1"/>
  <c r="D24007" i="1"/>
  <c r="C24007" i="1"/>
  <c r="B24007" i="1"/>
  <c r="A24007" i="1"/>
  <c r="F24006" i="1"/>
  <c r="E24006" i="1"/>
  <c r="D24006" i="1"/>
  <c r="C24006" i="1"/>
  <c r="B24006" i="1"/>
  <c r="A24006" i="1"/>
  <c r="F24005" i="1"/>
  <c r="E24005" i="1"/>
  <c r="D24005" i="1"/>
  <c r="C24005" i="1"/>
  <c r="B24005" i="1"/>
  <c r="A24005" i="1"/>
  <c r="F24004" i="1"/>
  <c r="E24004" i="1"/>
  <c r="D24004" i="1"/>
  <c r="C24004" i="1"/>
  <c r="B24004" i="1"/>
  <c r="A24004" i="1"/>
  <c r="F24003" i="1"/>
  <c r="E24003" i="1"/>
  <c r="D24003" i="1"/>
  <c r="C24003" i="1"/>
  <c r="B24003" i="1"/>
  <c r="A24003" i="1"/>
  <c r="F24002" i="1"/>
  <c r="E24002" i="1"/>
  <c r="D24002" i="1"/>
  <c r="C24002" i="1"/>
  <c r="B24002" i="1"/>
  <c r="A24002" i="1"/>
  <c r="F24001" i="1"/>
  <c r="E24001" i="1"/>
  <c r="D24001" i="1"/>
  <c r="C24001" i="1"/>
  <c r="B24001" i="1"/>
  <c r="A24001" i="1"/>
  <c r="F24000" i="1"/>
  <c r="E24000" i="1"/>
  <c r="D24000" i="1"/>
  <c r="C24000" i="1"/>
  <c r="B24000" i="1"/>
  <c r="A24000" i="1"/>
  <c r="F23999" i="1"/>
  <c r="E23999" i="1"/>
  <c r="D23999" i="1"/>
  <c r="C23999" i="1"/>
  <c r="B23999" i="1"/>
  <c r="A23999" i="1"/>
  <c r="F23998" i="1"/>
  <c r="E23998" i="1"/>
  <c r="D23998" i="1"/>
  <c r="C23998" i="1"/>
  <c r="B23998" i="1"/>
  <c r="A23998" i="1"/>
  <c r="F23997" i="1"/>
  <c r="E23997" i="1"/>
  <c r="D23997" i="1"/>
  <c r="C23997" i="1"/>
  <c r="B23997" i="1"/>
  <c r="A23997" i="1"/>
  <c r="F23996" i="1"/>
  <c r="E23996" i="1"/>
  <c r="D23996" i="1"/>
  <c r="C23996" i="1"/>
  <c r="B23996" i="1"/>
  <c r="A23996" i="1"/>
  <c r="F23995" i="1"/>
  <c r="E23995" i="1"/>
  <c r="D23995" i="1"/>
  <c r="C23995" i="1"/>
  <c r="B23995" i="1"/>
  <c r="A23995" i="1"/>
  <c r="F23994" i="1"/>
  <c r="E23994" i="1"/>
  <c r="D23994" i="1"/>
  <c r="C23994" i="1"/>
  <c r="B23994" i="1"/>
  <c r="A23994" i="1"/>
  <c r="F23993" i="1"/>
  <c r="E23993" i="1"/>
  <c r="D23993" i="1"/>
  <c r="C23993" i="1"/>
  <c r="B23993" i="1"/>
  <c r="A23993" i="1"/>
  <c r="F23992" i="1"/>
  <c r="E23992" i="1"/>
  <c r="D23992" i="1"/>
  <c r="C23992" i="1"/>
  <c r="B23992" i="1"/>
  <c r="A23992" i="1"/>
  <c r="F23991" i="1"/>
  <c r="E23991" i="1"/>
  <c r="D23991" i="1"/>
  <c r="C23991" i="1"/>
  <c r="B23991" i="1"/>
  <c r="A23991" i="1"/>
  <c r="F23990" i="1"/>
  <c r="E23990" i="1"/>
  <c r="D23990" i="1"/>
  <c r="C23990" i="1"/>
  <c r="B23990" i="1"/>
  <c r="A23990" i="1"/>
  <c r="F23989" i="1"/>
  <c r="E23989" i="1"/>
  <c r="D23989" i="1"/>
  <c r="C23989" i="1"/>
  <c r="B23989" i="1"/>
  <c r="A23989" i="1"/>
  <c r="F23988" i="1"/>
  <c r="E23988" i="1"/>
  <c r="D23988" i="1"/>
  <c r="C23988" i="1"/>
  <c r="B23988" i="1"/>
  <c r="A23988" i="1"/>
  <c r="F23987" i="1"/>
  <c r="E23987" i="1"/>
  <c r="D23987" i="1"/>
  <c r="C23987" i="1"/>
  <c r="B23987" i="1"/>
  <c r="A23987" i="1"/>
  <c r="F23986" i="1"/>
  <c r="E23986" i="1"/>
  <c r="D23986" i="1"/>
  <c r="C23986" i="1"/>
  <c r="B23986" i="1"/>
  <c r="A23986" i="1"/>
  <c r="F23985" i="1"/>
  <c r="E23985" i="1"/>
  <c r="D23985" i="1"/>
  <c r="C23985" i="1"/>
  <c r="B23985" i="1"/>
  <c r="A23985" i="1"/>
  <c r="F23984" i="1"/>
  <c r="E23984" i="1"/>
  <c r="D23984" i="1"/>
  <c r="C23984" i="1"/>
  <c r="B23984" i="1"/>
  <c r="A23984" i="1"/>
  <c r="F23983" i="1"/>
  <c r="E23983" i="1"/>
  <c r="D23983" i="1"/>
  <c r="C23983" i="1"/>
  <c r="B23983" i="1"/>
  <c r="A23983" i="1"/>
  <c r="F23982" i="1"/>
  <c r="E23982" i="1"/>
  <c r="D23982" i="1"/>
  <c r="C23982" i="1"/>
  <c r="B23982" i="1"/>
  <c r="A23982" i="1"/>
  <c r="F23981" i="1"/>
  <c r="E23981" i="1"/>
  <c r="D23981" i="1"/>
  <c r="C23981" i="1"/>
  <c r="B23981" i="1"/>
  <c r="A23981" i="1"/>
  <c r="F23980" i="1"/>
  <c r="E23980" i="1"/>
  <c r="D23980" i="1"/>
  <c r="C23980" i="1"/>
  <c r="B23980" i="1"/>
  <c r="A23980" i="1"/>
  <c r="F23979" i="1"/>
  <c r="E23979" i="1"/>
  <c r="D23979" i="1"/>
  <c r="C23979" i="1"/>
  <c r="B23979" i="1"/>
  <c r="A23979" i="1"/>
  <c r="F23978" i="1"/>
  <c r="E23978" i="1"/>
  <c r="D23978" i="1"/>
  <c r="C23978" i="1"/>
  <c r="B23978" i="1"/>
  <c r="A23978" i="1"/>
  <c r="F23977" i="1"/>
  <c r="E23977" i="1"/>
  <c r="D23977" i="1"/>
  <c r="C23977" i="1"/>
  <c r="B23977" i="1"/>
  <c r="A23977" i="1"/>
  <c r="F23976" i="1"/>
  <c r="E23976" i="1"/>
  <c r="D23976" i="1"/>
  <c r="C23976" i="1"/>
  <c r="B23976" i="1"/>
  <c r="A23976" i="1"/>
  <c r="F23975" i="1"/>
  <c r="E23975" i="1"/>
  <c r="D23975" i="1"/>
  <c r="C23975" i="1"/>
  <c r="B23975" i="1"/>
  <c r="A23975" i="1"/>
  <c r="F23974" i="1"/>
  <c r="E23974" i="1"/>
  <c r="D23974" i="1"/>
  <c r="C23974" i="1"/>
  <c r="B23974" i="1"/>
  <c r="A23974" i="1"/>
  <c r="F23973" i="1"/>
  <c r="E23973" i="1"/>
  <c r="D23973" i="1"/>
  <c r="C23973" i="1"/>
  <c r="B23973" i="1"/>
  <c r="A23973" i="1"/>
  <c r="F23972" i="1"/>
  <c r="E23972" i="1"/>
  <c r="D23972" i="1"/>
  <c r="C23972" i="1"/>
  <c r="B23972" i="1"/>
  <c r="A23972" i="1"/>
  <c r="F23971" i="1"/>
  <c r="E23971" i="1"/>
  <c r="D23971" i="1"/>
  <c r="C23971" i="1"/>
  <c r="B23971" i="1"/>
  <c r="A23971" i="1"/>
  <c r="F23970" i="1"/>
  <c r="E23970" i="1"/>
  <c r="D23970" i="1"/>
  <c r="C23970" i="1"/>
  <c r="B23970" i="1"/>
  <c r="A23970" i="1"/>
  <c r="F23969" i="1"/>
  <c r="E23969" i="1"/>
  <c r="D23969" i="1"/>
  <c r="C23969" i="1"/>
  <c r="B23969" i="1"/>
  <c r="A23969" i="1"/>
  <c r="F23968" i="1"/>
  <c r="E23968" i="1"/>
  <c r="D23968" i="1"/>
  <c r="C23968" i="1"/>
  <c r="B23968" i="1"/>
  <c r="A23968" i="1"/>
  <c r="F23967" i="1"/>
  <c r="E23967" i="1"/>
  <c r="D23967" i="1"/>
  <c r="C23967" i="1"/>
  <c r="B23967" i="1"/>
  <c r="A23967" i="1"/>
  <c r="F23966" i="1"/>
  <c r="E23966" i="1"/>
  <c r="D23966" i="1"/>
  <c r="C23966" i="1"/>
  <c r="B23966" i="1"/>
  <c r="A23966" i="1"/>
  <c r="F23965" i="1"/>
  <c r="E23965" i="1"/>
  <c r="D23965" i="1"/>
  <c r="C23965" i="1"/>
  <c r="B23965" i="1"/>
  <c r="A23965" i="1"/>
  <c r="F23964" i="1"/>
  <c r="E23964" i="1"/>
  <c r="D23964" i="1"/>
  <c r="C23964" i="1"/>
  <c r="B23964" i="1"/>
  <c r="A23964" i="1"/>
  <c r="F23963" i="1"/>
  <c r="E23963" i="1"/>
  <c r="D23963" i="1"/>
  <c r="C23963" i="1"/>
  <c r="B23963" i="1"/>
  <c r="A23963" i="1"/>
  <c r="F23962" i="1"/>
  <c r="E23962" i="1"/>
  <c r="D23962" i="1"/>
  <c r="C23962" i="1"/>
  <c r="B23962" i="1"/>
  <c r="A23962" i="1"/>
  <c r="F23961" i="1"/>
  <c r="E23961" i="1"/>
  <c r="D23961" i="1"/>
  <c r="C23961" i="1"/>
  <c r="B23961" i="1"/>
  <c r="A23961" i="1"/>
  <c r="F23960" i="1"/>
  <c r="E23960" i="1"/>
  <c r="D23960" i="1"/>
  <c r="C23960" i="1"/>
  <c r="B23960" i="1"/>
  <c r="A23960" i="1"/>
  <c r="F23959" i="1"/>
  <c r="E23959" i="1"/>
  <c r="D23959" i="1"/>
  <c r="C23959" i="1"/>
  <c r="B23959" i="1"/>
  <c r="A23959" i="1"/>
  <c r="F23958" i="1"/>
  <c r="E23958" i="1"/>
  <c r="D23958" i="1"/>
  <c r="C23958" i="1"/>
  <c r="B23958" i="1"/>
  <c r="A23958" i="1"/>
  <c r="F23957" i="1"/>
  <c r="E23957" i="1"/>
  <c r="D23957" i="1"/>
  <c r="C23957" i="1"/>
  <c r="B23957" i="1"/>
  <c r="A23957" i="1"/>
  <c r="F23956" i="1"/>
  <c r="E23956" i="1"/>
  <c r="D23956" i="1"/>
  <c r="C23956" i="1"/>
  <c r="B23956" i="1"/>
  <c r="A23956" i="1"/>
  <c r="F23955" i="1"/>
  <c r="E23955" i="1"/>
  <c r="D23955" i="1"/>
  <c r="C23955" i="1"/>
  <c r="B23955" i="1"/>
  <c r="A23955" i="1"/>
  <c r="F23954" i="1"/>
  <c r="E23954" i="1"/>
  <c r="D23954" i="1"/>
  <c r="C23954" i="1"/>
  <c r="B23954" i="1"/>
  <c r="A23954" i="1"/>
  <c r="F23953" i="1"/>
  <c r="E23953" i="1"/>
  <c r="D23953" i="1"/>
  <c r="C23953" i="1"/>
  <c r="B23953" i="1"/>
  <c r="A23953" i="1"/>
  <c r="F23952" i="1"/>
  <c r="E23952" i="1"/>
  <c r="D23952" i="1"/>
  <c r="C23952" i="1"/>
  <c r="B23952" i="1"/>
  <c r="A23952" i="1"/>
  <c r="F23951" i="1"/>
  <c r="E23951" i="1"/>
  <c r="D23951" i="1"/>
  <c r="C23951" i="1"/>
  <c r="B23951" i="1"/>
  <c r="A23951" i="1"/>
  <c r="F23950" i="1"/>
  <c r="E23950" i="1"/>
  <c r="D23950" i="1"/>
  <c r="C23950" i="1"/>
  <c r="B23950" i="1"/>
  <c r="A23950" i="1"/>
  <c r="F23949" i="1"/>
  <c r="E23949" i="1"/>
  <c r="D23949" i="1"/>
  <c r="C23949" i="1"/>
  <c r="B23949" i="1"/>
  <c r="A23949" i="1"/>
  <c r="F23948" i="1"/>
  <c r="E23948" i="1"/>
  <c r="D23948" i="1"/>
  <c r="C23948" i="1"/>
  <c r="B23948" i="1"/>
  <c r="A23948" i="1"/>
  <c r="F23947" i="1"/>
  <c r="E23947" i="1"/>
  <c r="D23947" i="1"/>
  <c r="C23947" i="1"/>
  <c r="B23947" i="1"/>
  <c r="A23947" i="1"/>
  <c r="F23946" i="1"/>
  <c r="E23946" i="1"/>
  <c r="D23946" i="1"/>
  <c r="C23946" i="1"/>
  <c r="B23946" i="1"/>
  <c r="A23946" i="1"/>
  <c r="F23945" i="1"/>
  <c r="E23945" i="1"/>
  <c r="D23945" i="1"/>
  <c r="C23945" i="1"/>
  <c r="B23945" i="1"/>
  <c r="A23945" i="1"/>
  <c r="F23944" i="1"/>
  <c r="E23944" i="1"/>
  <c r="D23944" i="1"/>
  <c r="C23944" i="1"/>
  <c r="B23944" i="1"/>
  <c r="A23944" i="1"/>
  <c r="F23943" i="1"/>
  <c r="E23943" i="1"/>
  <c r="D23943" i="1"/>
  <c r="C23943" i="1"/>
  <c r="B23943" i="1"/>
  <c r="A23943" i="1"/>
  <c r="F23942" i="1"/>
  <c r="E23942" i="1"/>
  <c r="D23942" i="1"/>
  <c r="C23942" i="1"/>
  <c r="B23942" i="1"/>
  <c r="A23942" i="1"/>
  <c r="F23941" i="1"/>
  <c r="E23941" i="1"/>
  <c r="D23941" i="1"/>
  <c r="C23941" i="1"/>
  <c r="B23941" i="1"/>
  <c r="A23941" i="1"/>
  <c r="F23940" i="1"/>
  <c r="E23940" i="1"/>
  <c r="D23940" i="1"/>
  <c r="C23940" i="1"/>
  <c r="B23940" i="1"/>
  <c r="A23940" i="1"/>
  <c r="F23939" i="1"/>
  <c r="E23939" i="1"/>
  <c r="D23939" i="1"/>
  <c r="C23939" i="1"/>
  <c r="B23939" i="1"/>
  <c r="A23939" i="1"/>
  <c r="F23938" i="1"/>
  <c r="E23938" i="1"/>
  <c r="D23938" i="1"/>
  <c r="C23938" i="1"/>
  <c r="B23938" i="1"/>
  <c r="A23938" i="1"/>
  <c r="F23937" i="1"/>
  <c r="E23937" i="1"/>
  <c r="D23937" i="1"/>
  <c r="C23937" i="1"/>
  <c r="B23937" i="1"/>
  <c r="A23937" i="1"/>
  <c r="F23936" i="1"/>
  <c r="E23936" i="1"/>
  <c r="D23936" i="1"/>
  <c r="C23936" i="1"/>
  <c r="B23936" i="1"/>
  <c r="A23936" i="1"/>
  <c r="F23935" i="1"/>
  <c r="E23935" i="1"/>
  <c r="D23935" i="1"/>
  <c r="C23935" i="1"/>
  <c r="B23935" i="1"/>
  <c r="A23935" i="1"/>
  <c r="F23934" i="1"/>
  <c r="E23934" i="1"/>
  <c r="D23934" i="1"/>
  <c r="C23934" i="1"/>
  <c r="B23934" i="1"/>
  <c r="A23934" i="1"/>
  <c r="F23933" i="1"/>
  <c r="E23933" i="1"/>
  <c r="D23933" i="1"/>
  <c r="C23933" i="1"/>
  <c r="B23933" i="1"/>
  <c r="A23933" i="1"/>
  <c r="F23932" i="1"/>
  <c r="E23932" i="1"/>
  <c r="D23932" i="1"/>
  <c r="C23932" i="1"/>
  <c r="B23932" i="1"/>
  <c r="A23932" i="1"/>
  <c r="F23931" i="1"/>
  <c r="E23931" i="1"/>
  <c r="D23931" i="1"/>
  <c r="C23931" i="1"/>
  <c r="B23931" i="1"/>
  <c r="A23931" i="1"/>
  <c r="F23930" i="1"/>
  <c r="E23930" i="1"/>
  <c r="D23930" i="1"/>
  <c r="C23930" i="1"/>
  <c r="B23930" i="1"/>
  <c r="A23930" i="1"/>
  <c r="F23929" i="1"/>
  <c r="E23929" i="1"/>
  <c r="D23929" i="1"/>
  <c r="C23929" i="1"/>
  <c r="B23929" i="1"/>
  <c r="A23929" i="1"/>
  <c r="F23928" i="1"/>
  <c r="E23928" i="1"/>
  <c r="D23928" i="1"/>
  <c r="C23928" i="1"/>
  <c r="B23928" i="1"/>
  <c r="A23928" i="1"/>
  <c r="F23927" i="1"/>
  <c r="E23927" i="1"/>
  <c r="D23927" i="1"/>
  <c r="C23927" i="1"/>
  <c r="B23927" i="1"/>
  <c r="A23927" i="1"/>
  <c r="F23926" i="1"/>
  <c r="E23926" i="1"/>
  <c r="D23926" i="1"/>
  <c r="C23926" i="1"/>
  <c r="B23926" i="1"/>
  <c r="A23926" i="1"/>
  <c r="F23925" i="1"/>
  <c r="E23925" i="1"/>
  <c r="D23925" i="1"/>
  <c r="C23925" i="1"/>
  <c r="B23925" i="1"/>
  <c r="A23925" i="1"/>
  <c r="F23924" i="1"/>
  <c r="E23924" i="1"/>
  <c r="D23924" i="1"/>
  <c r="C23924" i="1"/>
  <c r="B23924" i="1"/>
  <c r="A23924" i="1"/>
  <c r="F23923" i="1"/>
  <c r="E23923" i="1"/>
  <c r="D23923" i="1"/>
  <c r="C23923" i="1"/>
  <c r="B23923" i="1"/>
  <c r="A23923" i="1"/>
  <c r="F23922" i="1"/>
  <c r="E23922" i="1"/>
  <c r="D23922" i="1"/>
  <c r="C23922" i="1"/>
  <c r="B23922" i="1"/>
  <c r="A23922" i="1"/>
  <c r="F23921" i="1"/>
  <c r="E23921" i="1"/>
  <c r="D23921" i="1"/>
  <c r="C23921" i="1"/>
  <c r="B23921" i="1"/>
  <c r="A23921" i="1"/>
  <c r="F23920" i="1"/>
  <c r="E23920" i="1"/>
  <c r="D23920" i="1"/>
  <c r="C23920" i="1"/>
  <c r="B23920" i="1"/>
  <c r="A23920" i="1"/>
  <c r="F23919" i="1"/>
  <c r="E23919" i="1"/>
  <c r="D23919" i="1"/>
  <c r="C23919" i="1"/>
  <c r="B23919" i="1"/>
  <c r="A23919" i="1"/>
  <c r="F23918" i="1"/>
  <c r="E23918" i="1"/>
  <c r="D23918" i="1"/>
  <c r="C23918" i="1"/>
  <c r="B23918" i="1"/>
  <c r="A23918" i="1"/>
  <c r="F23917" i="1"/>
  <c r="E23917" i="1"/>
  <c r="D23917" i="1"/>
  <c r="C23917" i="1"/>
  <c r="B23917" i="1"/>
  <c r="A23917" i="1"/>
  <c r="F23916" i="1"/>
  <c r="E23916" i="1"/>
  <c r="D23916" i="1"/>
  <c r="C23916" i="1"/>
  <c r="B23916" i="1"/>
  <c r="A23916" i="1"/>
  <c r="F23915" i="1"/>
  <c r="E23915" i="1"/>
  <c r="D23915" i="1"/>
  <c r="C23915" i="1"/>
  <c r="B23915" i="1"/>
  <c r="A23915" i="1"/>
  <c r="F23914" i="1"/>
  <c r="E23914" i="1"/>
  <c r="D23914" i="1"/>
  <c r="C23914" i="1"/>
  <c r="B23914" i="1"/>
  <c r="A23914" i="1"/>
  <c r="F23913" i="1"/>
  <c r="E23913" i="1"/>
  <c r="D23913" i="1"/>
  <c r="C23913" i="1"/>
  <c r="B23913" i="1"/>
  <c r="A23913" i="1"/>
  <c r="F23912" i="1"/>
  <c r="E23912" i="1"/>
  <c r="D23912" i="1"/>
  <c r="C23912" i="1"/>
  <c r="B23912" i="1"/>
  <c r="A23912" i="1"/>
  <c r="F23911" i="1"/>
  <c r="E23911" i="1"/>
  <c r="D23911" i="1"/>
  <c r="C23911" i="1"/>
  <c r="B23911" i="1"/>
  <c r="A23911" i="1"/>
  <c r="F23910" i="1"/>
  <c r="E23910" i="1"/>
  <c r="D23910" i="1"/>
  <c r="C23910" i="1"/>
  <c r="B23910" i="1"/>
  <c r="A23910" i="1"/>
  <c r="F23909" i="1"/>
  <c r="E23909" i="1"/>
  <c r="D23909" i="1"/>
  <c r="C23909" i="1"/>
  <c r="B23909" i="1"/>
  <c r="A23909" i="1"/>
  <c r="F23908" i="1"/>
  <c r="E23908" i="1"/>
  <c r="D23908" i="1"/>
  <c r="C23908" i="1"/>
  <c r="B23908" i="1"/>
  <c r="A23908" i="1"/>
  <c r="F23907" i="1"/>
  <c r="E23907" i="1"/>
  <c r="D23907" i="1"/>
  <c r="C23907" i="1"/>
  <c r="B23907" i="1"/>
  <c r="A23907" i="1"/>
  <c r="F23906" i="1"/>
  <c r="E23906" i="1"/>
  <c r="D23906" i="1"/>
  <c r="C23906" i="1"/>
  <c r="B23906" i="1"/>
  <c r="A23906" i="1"/>
  <c r="F23905" i="1"/>
  <c r="E23905" i="1"/>
  <c r="D23905" i="1"/>
  <c r="C23905" i="1"/>
  <c r="B23905" i="1"/>
  <c r="A23905" i="1"/>
  <c r="F23904" i="1"/>
  <c r="E23904" i="1"/>
  <c r="D23904" i="1"/>
  <c r="C23904" i="1"/>
  <c r="B23904" i="1"/>
  <c r="A23904" i="1"/>
  <c r="F23903" i="1"/>
  <c r="E23903" i="1"/>
  <c r="D23903" i="1"/>
  <c r="C23903" i="1"/>
  <c r="B23903" i="1"/>
  <c r="A23903" i="1"/>
  <c r="F23902" i="1"/>
  <c r="E23902" i="1"/>
  <c r="D23902" i="1"/>
  <c r="C23902" i="1"/>
  <c r="B23902" i="1"/>
  <c r="A23902" i="1"/>
  <c r="F23901" i="1"/>
  <c r="E23901" i="1"/>
  <c r="D23901" i="1"/>
  <c r="C23901" i="1"/>
  <c r="B23901" i="1"/>
  <c r="A23901" i="1"/>
  <c r="F23900" i="1"/>
  <c r="E23900" i="1"/>
  <c r="D23900" i="1"/>
  <c r="C23900" i="1"/>
  <c r="B23900" i="1"/>
  <c r="A23900" i="1"/>
  <c r="F23899" i="1"/>
  <c r="E23899" i="1"/>
  <c r="D23899" i="1"/>
  <c r="C23899" i="1"/>
  <c r="B23899" i="1"/>
  <c r="A23899" i="1"/>
  <c r="F23898" i="1"/>
  <c r="E23898" i="1"/>
  <c r="D23898" i="1"/>
  <c r="C23898" i="1"/>
  <c r="B23898" i="1"/>
  <c r="A23898" i="1"/>
  <c r="F23897" i="1"/>
  <c r="E23897" i="1"/>
  <c r="D23897" i="1"/>
  <c r="C23897" i="1"/>
  <c r="B23897" i="1"/>
  <c r="A23897" i="1"/>
  <c r="F23896" i="1"/>
  <c r="E23896" i="1"/>
  <c r="D23896" i="1"/>
  <c r="C23896" i="1"/>
  <c r="B23896" i="1"/>
  <c r="A23896" i="1"/>
  <c r="F23895" i="1"/>
  <c r="E23895" i="1"/>
  <c r="D23895" i="1"/>
  <c r="C23895" i="1"/>
  <c r="B23895" i="1"/>
  <c r="A23895" i="1"/>
  <c r="F23894" i="1"/>
  <c r="E23894" i="1"/>
  <c r="D23894" i="1"/>
  <c r="C23894" i="1"/>
  <c r="B23894" i="1"/>
  <c r="A23894" i="1"/>
  <c r="F23893" i="1"/>
  <c r="E23893" i="1"/>
  <c r="D23893" i="1"/>
  <c r="C23893" i="1"/>
  <c r="B23893" i="1"/>
  <c r="A23893" i="1"/>
  <c r="F23892" i="1"/>
  <c r="E23892" i="1"/>
  <c r="D23892" i="1"/>
  <c r="C23892" i="1"/>
  <c r="B23892" i="1"/>
  <c r="A23892" i="1"/>
  <c r="F23891" i="1"/>
  <c r="E23891" i="1"/>
  <c r="D23891" i="1"/>
  <c r="C23891" i="1"/>
  <c r="B23891" i="1"/>
  <c r="A23891" i="1"/>
  <c r="F23890" i="1"/>
  <c r="E23890" i="1"/>
  <c r="D23890" i="1"/>
  <c r="C23890" i="1"/>
  <c r="B23890" i="1"/>
  <c r="A23890" i="1"/>
  <c r="F23889" i="1"/>
  <c r="E23889" i="1"/>
  <c r="D23889" i="1"/>
  <c r="C23889" i="1"/>
  <c r="B23889" i="1"/>
  <c r="A23889" i="1"/>
  <c r="F23888" i="1"/>
  <c r="E23888" i="1"/>
  <c r="D23888" i="1"/>
  <c r="C23888" i="1"/>
  <c r="B23888" i="1"/>
  <c r="A23888" i="1"/>
  <c r="F23887" i="1"/>
  <c r="E23887" i="1"/>
  <c r="D23887" i="1"/>
  <c r="C23887" i="1"/>
  <c r="B23887" i="1"/>
  <c r="A23887" i="1"/>
  <c r="F23886" i="1"/>
  <c r="E23886" i="1"/>
  <c r="D23886" i="1"/>
  <c r="C23886" i="1"/>
  <c r="B23886" i="1"/>
  <c r="A23886" i="1"/>
  <c r="F23885" i="1"/>
  <c r="E23885" i="1"/>
  <c r="D23885" i="1"/>
  <c r="C23885" i="1"/>
  <c r="B23885" i="1"/>
  <c r="A23885" i="1"/>
  <c r="F23884" i="1"/>
  <c r="E23884" i="1"/>
  <c r="D23884" i="1"/>
  <c r="C23884" i="1"/>
  <c r="B23884" i="1"/>
  <c r="A23884" i="1"/>
  <c r="F23883" i="1"/>
  <c r="E23883" i="1"/>
  <c r="D23883" i="1"/>
  <c r="C23883" i="1"/>
  <c r="B23883" i="1"/>
  <c r="A23883" i="1"/>
  <c r="F23882" i="1"/>
  <c r="E23882" i="1"/>
  <c r="D23882" i="1"/>
  <c r="C23882" i="1"/>
  <c r="B23882" i="1"/>
  <c r="A23882" i="1"/>
  <c r="F23881" i="1"/>
  <c r="E23881" i="1"/>
  <c r="D23881" i="1"/>
  <c r="C23881" i="1"/>
  <c r="B23881" i="1"/>
  <c r="A23881" i="1"/>
  <c r="F23880" i="1"/>
  <c r="E23880" i="1"/>
  <c r="D23880" i="1"/>
  <c r="C23880" i="1"/>
  <c r="B23880" i="1"/>
  <c r="A23880" i="1"/>
  <c r="F23879" i="1"/>
  <c r="E23879" i="1"/>
  <c r="D23879" i="1"/>
  <c r="C23879" i="1"/>
  <c r="B23879" i="1"/>
  <c r="A23879" i="1"/>
  <c r="F23878" i="1"/>
  <c r="E23878" i="1"/>
  <c r="D23878" i="1"/>
  <c r="C23878" i="1"/>
  <c r="B23878" i="1"/>
  <c r="A23878" i="1"/>
  <c r="F23877" i="1"/>
  <c r="E23877" i="1"/>
  <c r="D23877" i="1"/>
  <c r="C23877" i="1"/>
  <c r="B23877" i="1"/>
  <c r="A23877" i="1"/>
  <c r="F23876" i="1"/>
  <c r="E23876" i="1"/>
  <c r="D23876" i="1"/>
  <c r="C23876" i="1"/>
  <c r="B23876" i="1"/>
  <c r="A23876" i="1"/>
  <c r="F23875" i="1"/>
  <c r="E23875" i="1"/>
  <c r="D23875" i="1"/>
  <c r="C23875" i="1"/>
  <c r="B23875" i="1"/>
  <c r="A23875" i="1"/>
  <c r="F23874" i="1"/>
  <c r="E23874" i="1"/>
  <c r="D23874" i="1"/>
  <c r="C23874" i="1"/>
  <c r="B23874" i="1"/>
  <c r="A23874" i="1"/>
  <c r="F23873" i="1"/>
  <c r="E23873" i="1"/>
  <c r="D23873" i="1"/>
  <c r="C23873" i="1"/>
  <c r="B23873" i="1"/>
  <c r="A23873" i="1"/>
  <c r="F23872" i="1"/>
  <c r="E23872" i="1"/>
  <c r="D23872" i="1"/>
  <c r="C23872" i="1"/>
  <c r="B23872" i="1"/>
  <c r="A23872" i="1"/>
  <c r="F23871" i="1"/>
  <c r="E23871" i="1"/>
  <c r="D23871" i="1"/>
  <c r="C23871" i="1"/>
  <c r="B23871" i="1"/>
  <c r="A23871" i="1"/>
  <c r="F23870" i="1"/>
  <c r="E23870" i="1"/>
  <c r="D23870" i="1"/>
  <c r="C23870" i="1"/>
  <c r="B23870" i="1"/>
  <c r="A23870" i="1"/>
  <c r="F23869" i="1"/>
  <c r="E23869" i="1"/>
  <c r="D23869" i="1"/>
  <c r="C23869" i="1"/>
  <c r="B23869" i="1"/>
  <c r="A23869" i="1"/>
  <c r="F23868" i="1"/>
  <c r="E23868" i="1"/>
  <c r="D23868" i="1"/>
  <c r="C23868" i="1"/>
  <c r="B23868" i="1"/>
  <c r="A23868" i="1"/>
  <c r="F23867" i="1"/>
  <c r="E23867" i="1"/>
  <c r="D23867" i="1"/>
  <c r="C23867" i="1"/>
  <c r="B23867" i="1"/>
  <c r="A23867" i="1"/>
  <c r="F23866" i="1"/>
  <c r="E23866" i="1"/>
  <c r="D23866" i="1"/>
  <c r="C23866" i="1"/>
  <c r="B23866" i="1"/>
  <c r="A23866" i="1"/>
  <c r="F23865" i="1"/>
  <c r="E23865" i="1"/>
  <c r="D23865" i="1"/>
  <c r="C23865" i="1"/>
  <c r="B23865" i="1"/>
  <c r="A23865" i="1"/>
  <c r="F23864" i="1"/>
  <c r="E23864" i="1"/>
  <c r="D23864" i="1"/>
  <c r="C23864" i="1"/>
  <c r="B23864" i="1"/>
  <c r="A23864" i="1"/>
  <c r="F23863" i="1"/>
  <c r="E23863" i="1"/>
  <c r="D23863" i="1"/>
  <c r="C23863" i="1"/>
  <c r="B23863" i="1"/>
  <c r="A23863" i="1"/>
  <c r="F23862" i="1"/>
  <c r="E23862" i="1"/>
  <c r="D23862" i="1"/>
  <c r="C23862" i="1"/>
  <c r="B23862" i="1"/>
  <c r="A23862" i="1"/>
  <c r="F23861" i="1"/>
  <c r="E23861" i="1"/>
  <c r="D23861" i="1"/>
  <c r="C23861" i="1"/>
  <c r="B23861" i="1"/>
  <c r="A23861" i="1"/>
  <c r="F23860" i="1"/>
  <c r="E23860" i="1"/>
  <c r="D23860" i="1"/>
  <c r="C23860" i="1"/>
  <c r="B23860" i="1"/>
  <c r="A23860" i="1"/>
  <c r="F23859" i="1"/>
  <c r="E23859" i="1"/>
  <c r="D23859" i="1"/>
  <c r="C23859" i="1"/>
  <c r="B23859" i="1"/>
  <c r="A23859" i="1"/>
  <c r="F23858" i="1"/>
  <c r="E23858" i="1"/>
  <c r="D23858" i="1"/>
  <c r="C23858" i="1"/>
  <c r="B23858" i="1"/>
  <c r="A23858" i="1"/>
  <c r="F23857" i="1"/>
  <c r="E23857" i="1"/>
  <c r="D23857" i="1"/>
  <c r="C23857" i="1"/>
  <c r="B23857" i="1"/>
  <c r="A23857" i="1"/>
  <c r="F23856" i="1"/>
  <c r="E23856" i="1"/>
  <c r="D23856" i="1"/>
  <c r="C23856" i="1"/>
  <c r="B23856" i="1"/>
  <c r="A23856" i="1"/>
  <c r="F23855" i="1"/>
  <c r="E23855" i="1"/>
  <c r="D23855" i="1"/>
  <c r="C23855" i="1"/>
  <c r="B23855" i="1"/>
  <c r="A23855" i="1"/>
  <c r="F23854" i="1"/>
  <c r="E23854" i="1"/>
  <c r="D23854" i="1"/>
  <c r="C23854" i="1"/>
  <c r="B23854" i="1"/>
  <c r="A23854" i="1"/>
  <c r="F23853" i="1"/>
  <c r="E23853" i="1"/>
  <c r="D23853" i="1"/>
  <c r="C23853" i="1"/>
  <c r="B23853" i="1"/>
  <c r="A23853" i="1"/>
  <c r="F23852" i="1"/>
  <c r="E23852" i="1"/>
  <c r="D23852" i="1"/>
  <c r="C23852" i="1"/>
  <c r="B23852" i="1"/>
  <c r="A23852" i="1"/>
  <c r="F23851" i="1"/>
  <c r="E23851" i="1"/>
  <c r="D23851" i="1"/>
  <c r="C23851" i="1"/>
  <c r="B23851" i="1"/>
  <c r="A23851" i="1"/>
  <c r="F23850" i="1"/>
  <c r="E23850" i="1"/>
  <c r="D23850" i="1"/>
  <c r="C23850" i="1"/>
  <c r="B23850" i="1"/>
  <c r="A23850" i="1"/>
  <c r="F23849" i="1"/>
  <c r="E23849" i="1"/>
  <c r="D23849" i="1"/>
  <c r="C23849" i="1"/>
  <c r="B23849" i="1"/>
  <c r="A23849" i="1"/>
  <c r="F23848" i="1"/>
  <c r="E23848" i="1"/>
  <c r="D23848" i="1"/>
  <c r="C23848" i="1"/>
  <c r="B23848" i="1"/>
  <c r="A23848" i="1"/>
  <c r="F23847" i="1"/>
  <c r="E23847" i="1"/>
  <c r="D23847" i="1"/>
  <c r="C23847" i="1"/>
  <c r="B23847" i="1"/>
  <c r="A23847" i="1"/>
  <c r="F23846" i="1"/>
  <c r="E23846" i="1"/>
  <c r="D23846" i="1"/>
  <c r="C23846" i="1"/>
  <c r="B23846" i="1"/>
  <c r="A23846" i="1"/>
  <c r="F23845" i="1"/>
  <c r="E23845" i="1"/>
  <c r="D23845" i="1"/>
  <c r="C23845" i="1"/>
  <c r="B23845" i="1"/>
  <c r="A23845" i="1"/>
  <c r="F23844" i="1"/>
  <c r="E23844" i="1"/>
  <c r="D23844" i="1"/>
  <c r="C23844" i="1"/>
  <c r="B23844" i="1"/>
  <c r="A23844" i="1"/>
  <c r="F23843" i="1"/>
  <c r="E23843" i="1"/>
  <c r="D23843" i="1"/>
  <c r="C23843" i="1"/>
  <c r="B23843" i="1"/>
  <c r="A23843" i="1"/>
  <c r="F23842" i="1"/>
  <c r="E23842" i="1"/>
  <c r="D23842" i="1"/>
  <c r="C23842" i="1"/>
  <c r="B23842" i="1"/>
  <c r="A23842" i="1"/>
  <c r="F23841" i="1"/>
  <c r="E23841" i="1"/>
  <c r="D23841" i="1"/>
  <c r="C23841" i="1"/>
  <c r="B23841" i="1"/>
  <c r="A23841" i="1"/>
  <c r="F23840" i="1"/>
  <c r="E23840" i="1"/>
  <c r="D23840" i="1"/>
  <c r="C23840" i="1"/>
  <c r="B23840" i="1"/>
  <c r="A23840" i="1"/>
  <c r="F23839" i="1"/>
  <c r="E23839" i="1"/>
  <c r="D23839" i="1"/>
  <c r="C23839" i="1"/>
  <c r="B23839" i="1"/>
  <c r="A23839" i="1"/>
  <c r="F23838" i="1"/>
  <c r="E23838" i="1"/>
  <c r="D23838" i="1"/>
  <c r="C23838" i="1"/>
  <c r="B23838" i="1"/>
  <c r="A23838" i="1"/>
  <c r="F23837" i="1"/>
  <c r="E23837" i="1"/>
  <c r="D23837" i="1"/>
  <c r="C23837" i="1"/>
  <c r="B23837" i="1"/>
  <c r="A23837" i="1"/>
  <c r="F23836" i="1"/>
  <c r="E23836" i="1"/>
  <c r="D23836" i="1"/>
  <c r="C23836" i="1"/>
  <c r="B23836" i="1"/>
  <c r="A23836" i="1"/>
  <c r="F23835" i="1"/>
  <c r="E23835" i="1"/>
  <c r="D23835" i="1"/>
  <c r="C23835" i="1"/>
  <c r="B23835" i="1"/>
  <c r="A23835" i="1"/>
  <c r="F23834" i="1"/>
  <c r="E23834" i="1"/>
  <c r="D23834" i="1"/>
  <c r="C23834" i="1"/>
  <c r="B23834" i="1"/>
  <c r="A23834" i="1"/>
  <c r="F23833" i="1"/>
  <c r="E23833" i="1"/>
  <c r="D23833" i="1"/>
  <c r="C23833" i="1"/>
  <c r="B23833" i="1"/>
  <c r="A23833" i="1"/>
  <c r="F23832" i="1"/>
  <c r="E23832" i="1"/>
  <c r="D23832" i="1"/>
  <c r="C23832" i="1"/>
  <c r="B23832" i="1"/>
  <c r="A23832" i="1"/>
  <c r="F23831" i="1"/>
  <c r="E23831" i="1"/>
  <c r="D23831" i="1"/>
  <c r="C23831" i="1"/>
  <c r="B23831" i="1"/>
  <c r="A23831" i="1"/>
  <c r="F23830" i="1"/>
  <c r="E23830" i="1"/>
  <c r="D23830" i="1"/>
  <c r="C23830" i="1"/>
  <c r="B23830" i="1"/>
  <c r="A23830" i="1"/>
  <c r="F23829" i="1"/>
  <c r="E23829" i="1"/>
  <c r="D23829" i="1"/>
  <c r="C23829" i="1"/>
  <c r="B23829" i="1"/>
  <c r="A23829" i="1"/>
  <c r="F23828" i="1"/>
  <c r="E23828" i="1"/>
  <c r="D23828" i="1"/>
  <c r="C23828" i="1"/>
  <c r="B23828" i="1"/>
  <c r="A23828" i="1"/>
  <c r="F23827" i="1"/>
  <c r="E23827" i="1"/>
  <c r="D23827" i="1"/>
  <c r="C23827" i="1"/>
  <c r="B23827" i="1"/>
  <c r="A23827" i="1"/>
  <c r="F23826" i="1"/>
  <c r="E23826" i="1"/>
  <c r="D23826" i="1"/>
  <c r="C23826" i="1"/>
  <c r="B23826" i="1"/>
  <c r="A23826" i="1"/>
  <c r="F23825" i="1"/>
  <c r="E23825" i="1"/>
  <c r="D23825" i="1"/>
  <c r="C23825" i="1"/>
  <c r="B23825" i="1"/>
  <c r="A23825" i="1"/>
  <c r="F23824" i="1"/>
  <c r="E23824" i="1"/>
  <c r="D23824" i="1"/>
  <c r="C23824" i="1"/>
  <c r="B23824" i="1"/>
  <c r="A23824" i="1"/>
  <c r="F23823" i="1"/>
  <c r="E23823" i="1"/>
  <c r="D23823" i="1"/>
  <c r="C23823" i="1"/>
  <c r="B23823" i="1"/>
  <c r="A23823" i="1"/>
  <c r="F23822" i="1"/>
  <c r="E23822" i="1"/>
  <c r="D23822" i="1"/>
  <c r="C23822" i="1"/>
  <c r="B23822" i="1"/>
  <c r="A23822" i="1"/>
  <c r="F23821" i="1"/>
  <c r="E23821" i="1"/>
  <c r="D23821" i="1"/>
  <c r="C23821" i="1"/>
  <c r="B23821" i="1"/>
  <c r="A23821" i="1"/>
  <c r="F23820" i="1"/>
  <c r="E23820" i="1"/>
  <c r="D23820" i="1"/>
  <c r="C23820" i="1"/>
  <c r="B23820" i="1"/>
  <c r="A23820" i="1"/>
  <c r="F23819" i="1"/>
  <c r="E23819" i="1"/>
  <c r="D23819" i="1"/>
  <c r="C23819" i="1"/>
  <c r="B23819" i="1"/>
  <c r="A23819" i="1"/>
  <c r="F23818" i="1"/>
  <c r="E23818" i="1"/>
  <c r="D23818" i="1"/>
  <c r="C23818" i="1"/>
  <c r="B23818" i="1"/>
  <c r="A23818" i="1"/>
  <c r="F23817" i="1"/>
  <c r="E23817" i="1"/>
  <c r="D23817" i="1"/>
  <c r="C23817" i="1"/>
  <c r="B23817" i="1"/>
  <c r="A23817" i="1"/>
  <c r="F23816" i="1"/>
  <c r="E23816" i="1"/>
  <c r="D23816" i="1"/>
  <c r="C23816" i="1"/>
  <c r="B23816" i="1"/>
  <c r="A23816" i="1"/>
  <c r="F23815" i="1"/>
  <c r="E23815" i="1"/>
  <c r="D23815" i="1"/>
  <c r="C23815" i="1"/>
  <c r="B23815" i="1"/>
  <c r="A23815" i="1"/>
  <c r="F23814" i="1"/>
  <c r="E23814" i="1"/>
  <c r="D23814" i="1"/>
  <c r="C23814" i="1"/>
  <c r="B23814" i="1"/>
  <c r="A23814" i="1"/>
  <c r="F23813" i="1"/>
  <c r="E23813" i="1"/>
  <c r="D23813" i="1"/>
  <c r="C23813" i="1"/>
  <c r="B23813" i="1"/>
  <c r="A23813" i="1"/>
  <c r="F23812" i="1"/>
  <c r="E23812" i="1"/>
  <c r="D23812" i="1"/>
  <c r="C23812" i="1"/>
  <c r="B23812" i="1"/>
  <c r="A23812" i="1"/>
  <c r="F23811" i="1"/>
  <c r="E23811" i="1"/>
  <c r="D23811" i="1"/>
  <c r="C23811" i="1"/>
  <c r="B23811" i="1"/>
  <c r="A23811" i="1"/>
  <c r="F23810" i="1"/>
  <c r="E23810" i="1"/>
  <c r="D23810" i="1"/>
  <c r="C23810" i="1"/>
  <c r="B23810" i="1"/>
  <c r="A23810" i="1"/>
  <c r="F23809" i="1"/>
  <c r="E23809" i="1"/>
  <c r="D23809" i="1"/>
  <c r="C23809" i="1"/>
  <c r="B23809" i="1"/>
  <c r="A23809" i="1"/>
  <c r="F23808" i="1"/>
  <c r="E23808" i="1"/>
  <c r="D23808" i="1"/>
  <c r="C23808" i="1"/>
  <c r="B23808" i="1"/>
  <c r="A23808" i="1"/>
  <c r="F23807" i="1"/>
  <c r="E23807" i="1"/>
  <c r="D23807" i="1"/>
  <c r="C23807" i="1"/>
  <c r="B23807" i="1"/>
  <c r="A23807" i="1"/>
  <c r="F23806" i="1"/>
  <c r="E23806" i="1"/>
  <c r="D23806" i="1"/>
  <c r="C23806" i="1"/>
  <c r="B23806" i="1"/>
  <c r="A23806" i="1"/>
  <c r="F23805" i="1"/>
  <c r="E23805" i="1"/>
  <c r="D23805" i="1"/>
  <c r="C23805" i="1"/>
  <c r="B23805" i="1"/>
  <c r="A23805" i="1"/>
  <c r="F23804" i="1"/>
  <c r="E23804" i="1"/>
  <c r="D23804" i="1"/>
  <c r="C23804" i="1"/>
  <c r="B23804" i="1"/>
  <c r="A23804" i="1"/>
  <c r="F23803" i="1"/>
  <c r="E23803" i="1"/>
  <c r="D23803" i="1"/>
  <c r="C23803" i="1"/>
  <c r="B23803" i="1"/>
  <c r="A23803" i="1"/>
  <c r="F23802" i="1"/>
  <c r="E23802" i="1"/>
  <c r="D23802" i="1"/>
  <c r="C23802" i="1"/>
  <c r="B23802" i="1"/>
  <c r="A23802" i="1"/>
  <c r="F23801" i="1"/>
  <c r="E23801" i="1"/>
  <c r="D23801" i="1"/>
  <c r="C23801" i="1"/>
  <c r="B23801" i="1"/>
  <c r="A23801" i="1"/>
  <c r="F23800" i="1"/>
  <c r="E23800" i="1"/>
  <c r="D23800" i="1"/>
  <c r="C23800" i="1"/>
  <c r="B23800" i="1"/>
  <c r="A23800" i="1"/>
  <c r="F23799" i="1"/>
  <c r="E23799" i="1"/>
  <c r="D23799" i="1"/>
  <c r="C23799" i="1"/>
  <c r="B23799" i="1"/>
  <c r="A23799" i="1"/>
  <c r="F23798" i="1"/>
  <c r="E23798" i="1"/>
  <c r="D23798" i="1"/>
  <c r="C23798" i="1"/>
  <c r="B23798" i="1"/>
  <c r="A23798" i="1"/>
  <c r="F23797" i="1"/>
  <c r="E23797" i="1"/>
  <c r="D23797" i="1"/>
  <c r="C23797" i="1"/>
  <c r="B23797" i="1"/>
  <c r="A23797" i="1"/>
  <c r="F23796" i="1"/>
  <c r="E23796" i="1"/>
  <c r="D23796" i="1"/>
  <c r="C23796" i="1"/>
  <c r="B23796" i="1"/>
  <c r="A23796" i="1"/>
  <c r="F23795" i="1"/>
  <c r="E23795" i="1"/>
  <c r="D23795" i="1"/>
  <c r="C23795" i="1"/>
  <c r="B23795" i="1"/>
  <c r="A23795" i="1"/>
  <c r="F23794" i="1"/>
  <c r="E23794" i="1"/>
  <c r="D23794" i="1"/>
  <c r="C23794" i="1"/>
  <c r="B23794" i="1"/>
  <c r="A23794" i="1"/>
  <c r="F23793" i="1"/>
  <c r="E23793" i="1"/>
  <c r="D23793" i="1"/>
  <c r="C23793" i="1"/>
  <c r="B23793" i="1"/>
  <c r="A23793" i="1"/>
  <c r="F23792" i="1"/>
  <c r="E23792" i="1"/>
  <c r="D23792" i="1"/>
  <c r="C23792" i="1"/>
  <c r="B23792" i="1"/>
  <c r="A23792" i="1"/>
  <c r="F23791" i="1"/>
  <c r="E23791" i="1"/>
  <c r="D23791" i="1"/>
  <c r="C23791" i="1"/>
  <c r="B23791" i="1"/>
  <c r="A23791" i="1"/>
  <c r="F23790" i="1"/>
  <c r="E23790" i="1"/>
  <c r="D23790" i="1"/>
  <c r="C23790" i="1"/>
  <c r="B23790" i="1"/>
  <c r="A23790" i="1"/>
  <c r="F23789" i="1"/>
  <c r="E23789" i="1"/>
  <c r="D23789" i="1"/>
  <c r="C23789" i="1"/>
  <c r="B23789" i="1"/>
  <c r="A23789" i="1"/>
  <c r="F23788" i="1"/>
  <c r="E23788" i="1"/>
  <c r="D23788" i="1"/>
  <c r="C23788" i="1"/>
  <c r="B23788" i="1"/>
  <c r="A23788" i="1"/>
  <c r="F23787" i="1"/>
  <c r="E23787" i="1"/>
  <c r="D23787" i="1"/>
  <c r="C23787" i="1"/>
  <c r="B23787" i="1"/>
  <c r="A23787" i="1"/>
  <c r="F23786" i="1"/>
  <c r="E23786" i="1"/>
  <c r="D23786" i="1"/>
  <c r="C23786" i="1"/>
  <c r="B23786" i="1"/>
  <c r="A23786" i="1"/>
  <c r="F23785" i="1"/>
  <c r="E23785" i="1"/>
  <c r="D23785" i="1"/>
  <c r="C23785" i="1"/>
  <c r="B23785" i="1"/>
  <c r="A23785" i="1"/>
  <c r="F23784" i="1"/>
  <c r="E23784" i="1"/>
  <c r="D23784" i="1"/>
  <c r="C23784" i="1"/>
  <c r="B23784" i="1"/>
  <c r="A23784" i="1"/>
  <c r="F23783" i="1"/>
  <c r="E23783" i="1"/>
  <c r="D23783" i="1"/>
  <c r="C23783" i="1"/>
  <c r="B23783" i="1"/>
  <c r="A23783" i="1"/>
  <c r="F23782" i="1"/>
  <c r="E23782" i="1"/>
  <c r="D23782" i="1"/>
  <c r="C23782" i="1"/>
  <c r="B23782" i="1"/>
  <c r="A23782" i="1"/>
  <c r="F23781" i="1"/>
  <c r="E23781" i="1"/>
  <c r="D23781" i="1"/>
  <c r="C23781" i="1"/>
  <c r="B23781" i="1"/>
  <c r="A23781" i="1"/>
  <c r="F23780" i="1"/>
  <c r="E23780" i="1"/>
  <c r="D23780" i="1"/>
  <c r="C23780" i="1"/>
  <c r="B23780" i="1"/>
  <c r="A23780" i="1"/>
  <c r="F23779" i="1"/>
  <c r="E23779" i="1"/>
  <c r="D23779" i="1"/>
  <c r="C23779" i="1"/>
  <c r="B23779" i="1"/>
  <c r="A23779" i="1"/>
  <c r="F23778" i="1"/>
  <c r="E23778" i="1"/>
  <c r="D23778" i="1"/>
  <c r="C23778" i="1"/>
  <c r="B23778" i="1"/>
  <c r="A23778" i="1"/>
  <c r="F23777" i="1"/>
  <c r="E23777" i="1"/>
  <c r="D23777" i="1"/>
  <c r="C23777" i="1"/>
  <c r="B23777" i="1"/>
  <c r="A23777" i="1"/>
  <c r="F23776" i="1"/>
  <c r="E23776" i="1"/>
  <c r="D23776" i="1"/>
  <c r="C23776" i="1"/>
  <c r="B23776" i="1"/>
  <c r="A23776" i="1"/>
  <c r="F23775" i="1"/>
  <c r="E23775" i="1"/>
  <c r="D23775" i="1"/>
  <c r="C23775" i="1"/>
  <c r="B23775" i="1"/>
  <c r="A23775" i="1"/>
  <c r="F23774" i="1"/>
  <c r="E23774" i="1"/>
  <c r="D23774" i="1"/>
  <c r="C23774" i="1"/>
  <c r="B23774" i="1"/>
  <c r="A23774" i="1"/>
  <c r="F23773" i="1"/>
  <c r="E23773" i="1"/>
  <c r="D23773" i="1"/>
  <c r="C23773" i="1"/>
  <c r="B23773" i="1"/>
  <c r="A23773" i="1"/>
  <c r="F23772" i="1"/>
  <c r="E23772" i="1"/>
  <c r="D23772" i="1"/>
  <c r="C23772" i="1"/>
  <c r="B23772" i="1"/>
  <c r="A23772" i="1"/>
  <c r="F23771" i="1"/>
  <c r="E23771" i="1"/>
  <c r="D23771" i="1"/>
  <c r="C23771" i="1"/>
  <c r="B23771" i="1"/>
  <c r="A23771" i="1"/>
  <c r="F23770" i="1"/>
  <c r="E23770" i="1"/>
  <c r="D23770" i="1"/>
  <c r="C23770" i="1"/>
  <c r="B23770" i="1"/>
  <c r="A23770" i="1"/>
  <c r="F23769" i="1"/>
  <c r="E23769" i="1"/>
  <c r="D23769" i="1"/>
  <c r="C23769" i="1"/>
  <c r="B23769" i="1"/>
  <c r="A23769" i="1"/>
  <c r="F23768" i="1"/>
  <c r="E23768" i="1"/>
  <c r="D23768" i="1"/>
  <c r="C23768" i="1"/>
  <c r="B23768" i="1"/>
  <c r="A23768" i="1"/>
  <c r="F23767" i="1"/>
  <c r="E23767" i="1"/>
  <c r="D23767" i="1"/>
  <c r="C23767" i="1"/>
  <c r="B23767" i="1"/>
  <c r="A23767" i="1"/>
  <c r="F23766" i="1"/>
  <c r="E23766" i="1"/>
  <c r="D23766" i="1"/>
  <c r="C23766" i="1"/>
  <c r="B23766" i="1"/>
  <c r="A23766" i="1"/>
  <c r="F23765" i="1"/>
  <c r="E23765" i="1"/>
  <c r="D23765" i="1"/>
  <c r="C23765" i="1"/>
  <c r="B23765" i="1"/>
  <c r="A23765" i="1"/>
  <c r="F23764" i="1"/>
  <c r="E23764" i="1"/>
  <c r="D23764" i="1"/>
  <c r="C23764" i="1"/>
  <c r="B23764" i="1"/>
  <c r="A23764" i="1"/>
  <c r="F23763" i="1"/>
  <c r="E23763" i="1"/>
  <c r="D23763" i="1"/>
  <c r="C23763" i="1"/>
  <c r="B23763" i="1"/>
  <c r="A23763" i="1"/>
  <c r="F23762" i="1"/>
  <c r="E23762" i="1"/>
  <c r="D23762" i="1"/>
  <c r="C23762" i="1"/>
  <c r="B23762" i="1"/>
  <c r="A23762" i="1"/>
  <c r="F23761" i="1"/>
  <c r="E23761" i="1"/>
  <c r="D23761" i="1"/>
  <c r="C23761" i="1"/>
  <c r="B23761" i="1"/>
  <c r="A23761" i="1"/>
  <c r="F23760" i="1"/>
  <c r="E23760" i="1"/>
  <c r="D23760" i="1"/>
  <c r="C23760" i="1"/>
  <c r="B23760" i="1"/>
  <c r="A23760" i="1"/>
  <c r="F23759" i="1"/>
  <c r="E23759" i="1"/>
  <c r="D23759" i="1"/>
  <c r="C23759" i="1"/>
  <c r="B23759" i="1"/>
  <c r="A23759" i="1"/>
  <c r="F23758" i="1"/>
  <c r="E23758" i="1"/>
  <c r="D23758" i="1"/>
  <c r="C23758" i="1"/>
  <c r="B23758" i="1"/>
  <c r="A23758" i="1"/>
  <c r="F23757" i="1"/>
  <c r="E23757" i="1"/>
  <c r="D23757" i="1"/>
  <c r="C23757" i="1"/>
  <c r="B23757" i="1"/>
  <c r="A23757" i="1"/>
  <c r="F23756" i="1"/>
  <c r="E23756" i="1"/>
  <c r="D23756" i="1"/>
  <c r="C23756" i="1"/>
  <c r="B23756" i="1"/>
  <c r="A23756" i="1"/>
  <c r="F23755" i="1"/>
  <c r="E23755" i="1"/>
  <c r="D23755" i="1"/>
  <c r="C23755" i="1"/>
  <c r="B23755" i="1"/>
  <c r="A23755" i="1"/>
  <c r="F23754" i="1"/>
  <c r="E23754" i="1"/>
  <c r="D23754" i="1"/>
  <c r="C23754" i="1"/>
  <c r="B23754" i="1"/>
  <c r="A23754" i="1"/>
  <c r="F23753" i="1"/>
  <c r="E23753" i="1"/>
  <c r="D23753" i="1"/>
  <c r="C23753" i="1"/>
  <c r="B23753" i="1"/>
  <c r="A23753" i="1"/>
  <c r="F23752" i="1"/>
  <c r="E23752" i="1"/>
  <c r="D23752" i="1"/>
  <c r="C23752" i="1"/>
  <c r="B23752" i="1"/>
  <c r="A23752" i="1"/>
  <c r="F23751" i="1"/>
  <c r="E23751" i="1"/>
  <c r="D23751" i="1"/>
  <c r="C23751" i="1"/>
  <c r="B23751" i="1"/>
  <c r="A23751" i="1"/>
  <c r="F23750" i="1"/>
  <c r="E23750" i="1"/>
  <c r="D23750" i="1"/>
  <c r="C23750" i="1"/>
  <c r="B23750" i="1"/>
  <c r="A23750" i="1"/>
  <c r="F23749" i="1"/>
  <c r="E23749" i="1"/>
  <c r="D23749" i="1"/>
  <c r="C23749" i="1"/>
  <c r="B23749" i="1"/>
  <c r="A23749" i="1"/>
  <c r="F23748" i="1"/>
  <c r="E23748" i="1"/>
  <c r="D23748" i="1"/>
  <c r="C23748" i="1"/>
  <c r="B23748" i="1"/>
  <c r="A23748" i="1"/>
  <c r="F23747" i="1"/>
  <c r="E23747" i="1"/>
  <c r="D23747" i="1"/>
  <c r="C23747" i="1"/>
  <c r="B23747" i="1"/>
  <c r="A23747" i="1"/>
  <c r="F23746" i="1"/>
  <c r="E23746" i="1"/>
  <c r="D23746" i="1"/>
  <c r="C23746" i="1"/>
  <c r="B23746" i="1"/>
  <c r="A23746" i="1"/>
  <c r="F23745" i="1"/>
  <c r="E23745" i="1"/>
  <c r="D23745" i="1"/>
  <c r="C23745" i="1"/>
  <c r="B23745" i="1"/>
  <c r="A23745" i="1"/>
  <c r="F23744" i="1"/>
  <c r="E23744" i="1"/>
  <c r="D23744" i="1"/>
  <c r="C23744" i="1"/>
  <c r="B23744" i="1"/>
  <c r="A23744" i="1"/>
  <c r="F23743" i="1"/>
  <c r="E23743" i="1"/>
  <c r="D23743" i="1"/>
  <c r="C23743" i="1"/>
  <c r="B23743" i="1"/>
  <c r="A23743" i="1"/>
  <c r="F23742" i="1"/>
  <c r="E23742" i="1"/>
  <c r="D23742" i="1"/>
  <c r="C23742" i="1"/>
  <c r="B23742" i="1"/>
  <c r="A23742" i="1"/>
  <c r="F23741" i="1"/>
  <c r="E23741" i="1"/>
  <c r="D23741" i="1"/>
  <c r="C23741" i="1"/>
  <c r="B23741" i="1"/>
  <c r="A23741" i="1"/>
  <c r="F23740" i="1"/>
  <c r="E23740" i="1"/>
  <c r="D23740" i="1"/>
  <c r="C23740" i="1"/>
  <c r="B23740" i="1"/>
  <c r="A23740" i="1"/>
  <c r="F23739" i="1"/>
  <c r="E23739" i="1"/>
  <c r="D23739" i="1"/>
  <c r="C23739" i="1"/>
  <c r="B23739" i="1"/>
  <c r="A23739" i="1"/>
  <c r="F23738" i="1"/>
  <c r="E23738" i="1"/>
  <c r="D23738" i="1"/>
  <c r="C23738" i="1"/>
  <c r="B23738" i="1"/>
  <c r="A23738" i="1"/>
  <c r="F23737" i="1"/>
  <c r="E23737" i="1"/>
  <c r="D23737" i="1"/>
  <c r="C23737" i="1"/>
  <c r="B23737" i="1"/>
  <c r="A23737" i="1"/>
  <c r="F23736" i="1"/>
  <c r="E23736" i="1"/>
  <c r="D23736" i="1"/>
  <c r="C23736" i="1"/>
  <c r="B23736" i="1"/>
  <c r="A23736" i="1"/>
  <c r="F23735" i="1"/>
  <c r="E23735" i="1"/>
  <c r="D23735" i="1"/>
  <c r="C23735" i="1"/>
  <c r="B23735" i="1"/>
  <c r="A23735" i="1"/>
  <c r="F23734" i="1"/>
  <c r="E23734" i="1"/>
  <c r="D23734" i="1"/>
  <c r="C23734" i="1"/>
  <c r="B23734" i="1"/>
  <c r="A23734" i="1"/>
  <c r="F23733" i="1"/>
  <c r="E23733" i="1"/>
  <c r="D23733" i="1"/>
  <c r="C23733" i="1"/>
  <c r="B23733" i="1"/>
  <c r="A23733" i="1"/>
  <c r="F23732" i="1"/>
  <c r="E23732" i="1"/>
  <c r="D23732" i="1"/>
  <c r="C23732" i="1"/>
  <c r="B23732" i="1"/>
  <c r="A23732" i="1"/>
  <c r="F23731" i="1"/>
  <c r="E23731" i="1"/>
  <c r="D23731" i="1"/>
  <c r="C23731" i="1"/>
  <c r="B23731" i="1"/>
  <c r="A23731" i="1"/>
  <c r="F23730" i="1"/>
  <c r="E23730" i="1"/>
  <c r="D23730" i="1"/>
  <c r="C23730" i="1"/>
  <c r="B23730" i="1"/>
  <c r="A23730" i="1"/>
  <c r="F23729" i="1"/>
  <c r="E23729" i="1"/>
  <c r="D23729" i="1"/>
  <c r="C23729" i="1"/>
  <c r="B23729" i="1"/>
  <c r="A23729" i="1"/>
  <c r="F23728" i="1"/>
  <c r="E23728" i="1"/>
  <c r="D23728" i="1"/>
  <c r="C23728" i="1"/>
  <c r="B23728" i="1"/>
  <c r="A23728" i="1"/>
  <c r="F23727" i="1"/>
  <c r="E23727" i="1"/>
  <c r="D23727" i="1"/>
  <c r="C23727" i="1"/>
  <c r="B23727" i="1"/>
  <c r="A23727" i="1"/>
  <c r="F23726" i="1"/>
  <c r="E23726" i="1"/>
  <c r="D23726" i="1"/>
  <c r="C23726" i="1"/>
  <c r="B23726" i="1"/>
  <c r="A23726" i="1"/>
  <c r="F23725" i="1"/>
  <c r="E23725" i="1"/>
  <c r="D23725" i="1"/>
  <c r="C23725" i="1"/>
  <c r="B23725" i="1"/>
  <c r="A23725" i="1"/>
  <c r="F23724" i="1"/>
  <c r="E23724" i="1"/>
  <c r="D23724" i="1"/>
  <c r="C23724" i="1"/>
  <c r="B23724" i="1"/>
  <c r="A23724" i="1"/>
  <c r="F23723" i="1"/>
  <c r="E23723" i="1"/>
  <c r="D23723" i="1"/>
  <c r="C23723" i="1"/>
  <c r="B23723" i="1"/>
  <c r="A23723" i="1"/>
  <c r="F23722" i="1"/>
  <c r="E23722" i="1"/>
  <c r="D23722" i="1"/>
  <c r="C23722" i="1"/>
  <c r="B23722" i="1"/>
  <c r="A23722" i="1"/>
  <c r="F23721" i="1"/>
  <c r="E23721" i="1"/>
  <c r="D23721" i="1"/>
  <c r="C23721" i="1"/>
  <c r="B23721" i="1"/>
  <c r="A23721" i="1"/>
  <c r="F23720" i="1"/>
  <c r="E23720" i="1"/>
  <c r="D23720" i="1"/>
  <c r="C23720" i="1"/>
  <c r="B23720" i="1"/>
  <c r="A23720" i="1"/>
  <c r="F23719" i="1"/>
  <c r="E23719" i="1"/>
  <c r="D23719" i="1"/>
  <c r="C23719" i="1"/>
  <c r="B23719" i="1"/>
  <c r="A23719" i="1"/>
  <c r="F23718" i="1"/>
  <c r="E23718" i="1"/>
  <c r="D23718" i="1"/>
  <c r="C23718" i="1"/>
  <c r="B23718" i="1"/>
  <c r="A23718" i="1"/>
  <c r="F23717" i="1"/>
  <c r="E23717" i="1"/>
  <c r="D23717" i="1"/>
  <c r="C23717" i="1"/>
  <c r="B23717" i="1"/>
  <c r="A23717" i="1"/>
  <c r="F23716" i="1"/>
  <c r="E23716" i="1"/>
  <c r="D23716" i="1"/>
  <c r="C23716" i="1"/>
  <c r="B23716" i="1"/>
  <c r="A23716" i="1"/>
  <c r="F23715" i="1"/>
  <c r="E23715" i="1"/>
  <c r="D23715" i="1"/>
  <c r="C23715" i="1"/>
  <c r="B23715" i="1"/>
  <c r="A23715" i="1"/>
  <c r="F23714" i="1"/>
  <c r="E23714" i="1"/>
  <c r="D23714" i="1"/>
  <c r="C23714" i="1"/>
  <c r="B23714" i="1"/>
  <c r="A23714" i="1"/>
  <c r="F23713" i="1"/>
  <c r="E23713" i="1"/>
  <c r="D23713" i="1"/>
  <c r="C23713" i="1"/>
  <c r="B23713" i="1"/>
  <c r="A23713" i="1"/>
  <c r="F23712" i="1"/>
  <c r="E23712" i="1"/>
  <c r="D23712" i="1"/>
  <c r="C23712" i="1"/>
  <c r="B23712" i="1"/>
  <c r="A23712" i="1"/>
  <c r="F23711" i="1"/>
  <c r="E23711" i="1"/>
  <c r="D23711" i="1"/>
  <c r="C23711" i="1"/>
  <c r="B23711" i="1"/>
  <c r="A23711" i="1"/>
  <c r="F23710" i="1"/>
  <c r="E23710" i="1"/>
  <c r="D23710" i="1"/>
  <c r="C23710" i="1"/>
  <c r="B23710" i="1"/>
  <c r="A23710" i="1"/>
  <c r="F23709" i="1"/>
  <c r="E23709" i="1"/>
  <c r="D23709" i="1"/>
  <c r="C23709" i="1"/>
  <c r="B23709" i="1"/>
  <c r="A23709" i="1"/>
  <c r="F23708" i="1"/>
  <c r="E23708" i="1"/>
  <c r="D23708" i="1"/>
  <c r="C23708" i="1"/>
  <c r="B23708" i="1"/>
  <c r="A23708" i="1"/>
  <c r="F23707" i="1"/>
  <c r="E23707" i="1"/>
  <c r="D23707" i="1"/>
  <c r="C23707" i="1"/>
  <c r="B23707" i="1"/>
  <c r="A23707" i="1"/>
  <c r="F23706" i="1"/>
  <c r="E23706" i="1"/>
  <c r="D23706" i="1"/>
  <c r="C23706" i="1"/>
  <c r="B23706" i="1"/>
  <c r="A23706" i="1"/>
  <c r="F23705" i="1"/>
  <c r="E23705" i="1"/>
  <c r="D23705" i="1"/>
  <c r="C23705" i="1"/>
  <c r="B23705" i="1"/>
  <c r="A23705" i="1"/>
  <c r="F23704" i="1"/>
  <c r="E23704" i="1"/>
  <c r="D23704" i="1"/>
  <c r="C23704" i="1"/>
  <c r="B23704" i="1"/>
  <c r="A23704" i="1"/>
  <c r="F23703" i="1"/>
  <c r="E23703" i="1"/>
  <c r="D23703" i="1"/>
  <c r="C23703" i="1"/>
  <c r="B23703" i="1"/>
  <c r="A23703" i="1"/>
  <c r="F23702" i="1"/>
  <c r="E23702" i="1"/>
  <c r="D23702" i="1"/>
  <c r="C23702" i="1"/>
  <c r="B23702" i="1"/>
  <c r="A23702" i="1"/>
  <c r="F23701" i="1"/>
  <c r="E23701" i="1"/>
  <c r="D23701" i="1"/>
  <c r="C23701" i="1"/>
  <c r="B23701" i="1"/>
  <c r="A23701" i="1"/>
  <c r="F23700" i="1"/>
  <c r="E23700" i="1"/>
  <c r="D23700" i="1"/>
  <c r="C23700" i="1"/>
  <c r="B23700" i="1"/>
  <c r="A23700" i="1"/>
  <c r="F23699" i="1"/>
  <c r="E23699" i="1"/>
  <c r="D23699" i="1"/>
  <c r="C23699" i="1"/>
  <c r="B23699" i="1"/>
  <c r="A23699" i="1"/>
  <c r="F23698" i="1"/>
  <c r="E23698" i="1"/>
  <c r="D23698" i="1"/>
  <c r="C23698" i="1"/>
  <c r="B23698" i="1"/>
  <c r="A23698" i="1"/>
  <c r="F23697" i="1"/>
  <c r="E23697" i="1"/>
  <c r="D23697" i="1"/>
  <c r="C23697" i="1"/>
  <c r="B23697" i="1"/>
  <c r="A23697" i="1"/>
  <c r="F23696" i="1"/>
  <c r="E23696" i="1"/>
  <c r="D23696" i="1"/>
  <c r="C23696" i="1"/>
  <c r="B23696" i="1"/>
  <c r="A23696" i="1"/>
  <c r="F23695" i="1"/>
  <c r="E23695" i="1"/>
  <c r="D23695" i="1"/>
  <c r="C23695" i="1"/>
  <c r="B23695" i="1"/>
  <c r="A23695" i="1"/>
  <c r="F23694" i="1"/>
  <c r="E23694" i="1"/>
  <c r="D23694" i="1"/>
  <c r="C23694" i="1"/>
  <c r="B23694" i="1"/>
  <c r="A23694" i="1"/>
  <c r="F23693" i="1"/>
  <c r="E23693" i="1"/>
  <c r="D23693" i="1"/>
  <c r="C23693" i="1"/>
  <c r="B23693" i="1"/>
  <c r="A23693" i="1"/>
  <c r="F23692" i="1"/>
  <c r="E23692" i="1"/>
  <c r="D23692" i="1"/>
  <c r="C23692" i="1"/>
  <c r="B23692" i="1"/>
  <c r="A23692" i="1"/>
  <c r="F23691" i="1"/>
  <c r="E23691" i="1"/>
  <c r="D23691" i="1"/>
  <c r="C23691" i="1"/>
  <c r="B23691" i="1"/>
  <c r="A23691" i="1"/>
  <c r="F23690" i="1"/>
  <c r="E23690" i="1"/>
  <c r="D23690" i="1"/>
  <c r="C23690" i="1"/>
  <c r="B23690" i="1"/>
  <c r="A23690" i="1"/>
  <c r="F23689" i="1"/>
  <c r="E23689" i="1"/>
  <c r="D23689" i="1"/>
  <c r="C23689" i="1"/>
  <c r="B23689" i="1"/>
  <c r="A23689" i="1"/>
  <c r="F23688" i="1"/>
  <c r="E23688" i="1"/>
  <c r="D23688" i="1"/>
  <c r="C23688" i="1"/>
  <c r="B23688" i="1"/>
  <c r="A23688" i="1"/>
  <c r="F23687" i="1"/>
  <c r="E23687" i="1"/>
  <c r="D23687" i="1"/>
  <c r="C23687" i="1"/>
  <c r="B23687" i="1"/>
  <c r="A23687" i="1"/>
  <c r="F23686" i="1"/>
  <c r="E23686" i="1"/>
  <c r="D23686" i="1"/>
  <c r="C23686" i="1"/>
  <c r="B23686" i="1"/>
  <c r="A23686" i="1"/>
  <c r="F23685" i="1"/>
  <c r="E23685" i="1"/>
  <c r="D23685" i="1"/>
  <c r="C23685" i="1"/>
  <c r="B23685" i="1"/>
  <c r="A23685" i="1"/>
  <c r="F23684" i="1"/>
  <c r="E23684" i="1"/>
  <c r="D23684" i="1"/>
  <c r="C23684" i="1"/>
  <c r="B23684" i="1"/>
  <c r="A23684" i="1"/>
  <c r="F23683" i="1"/>
  <c r="E23683" i="1"/>
  <c r="D23683" i="1"/>
  <c r="C23683" i="1"/>
  <c r="B23683" i="1"/>
  <c r="A23683" i="1"/>
  <c r="F23682" i="1"/>
  <c r="E23682" i="1"/>
  <c r="D23682" i="1"/>
  <c r="C23682" i="1"/>
  <c r="B23682" i="1"/>
  <c r="A23682" i="1"/>
  <c r="F23681" i="1"/>
  <c r="E23681" i="1"/>
  <c r="D23681" i="1"/>
  <c r="C23681" i="1"/>
  <c r="B23681" i="1"/>
  <c r="A23681" i="1"/>
  <c r="F23680" i="1"/>
  <c r="E23680" i="1"/>
  <c r="D23680" i="1"/>
  <c r="C23680" i="1"/>
  <c r="B23680" i="1"/>
  <c r="A23680" i="1"/>
  <c r="F23679" i="1"/>
  <c r="E23679" i="1"/>
  <c r="D23679" i="1"/>
  <c r="C23679" i="1"/>
  <c r="B23679" i="1"/>
  <c r="A23679" i="1"/>
  <c r="F23678" i="1"/>
  <c r="E23678" i="1"/>
  <c r="D23678" i="1"/>
  <c r="C23678" i="1"/>
  <c r="B23678" i="1"/>
  <c r="A23678" i="1"/>
  <c r="F23677" i="1"/>
  <c r="E23677" i="1"/>
  <c r="D23677" i="1"/>
  <c r="C23677" i="1"/>
  <c r="B23677" i="1"/>
  <c r="A23677" i="1"/>
  <c r="F23676" i="1"/>
  <c r="E23676" i="1"/>
  <c r="D23676" i="1"/>
  <c r="C23676" i="1"/>
  <c r="B23676" i="1"/>
  <c r="A23676" i="1"/>
  <c r="F23675" i="1"/>
  <c r="E23675" i="1"/>
  <c r="D23675" i="1"/>
  <c r="C23675" i="1"/>
  <c r="B23675" i="1"/>
  <c r="A23675" i="1"/>
  <c r="F23674" i="1"/>
  <c r="E23674" i="1"/>
  <c r="D23674" i="1"/>
  <c r="C23674" i="1"/>
  <c r="B23674" i="1"/>
  <c r="A23674" i="1"/>
  <c r="F23673" i="1"/>
  <c r="E23673" i="1"/>
  <c r="D23673" i="1"/>
  <c r="C23673" i="1"/>
  <c r="B23673" i="1"/>
  <c r="A23673" i="1"/>
  <c r="F23672" i="1"/>
  <c r="E23672" i="1"/>
  <c r="D23672" i="1"/>
  <c r="C23672" i="1"/>
  <c r="B23672" i="1"/>
  <c r="A23672" i="1"/>
  <c r="F23671" i="1"/>
  <c r="E23671" i="1"/>
  <c r="D23671" i="1"/>
  <c r="C23671" i="1"/>
  <c r="B23671" i="1"/>
  <c r="A23671" i="1"/>
  <c r="F23670" i="1"/>
  <c r="E23670" i="1"/>
  <c r="D23670" i="1"/>
  <c r="C23670" i="1"/>
  <c r="B23670" i="1"/>
  <c r="A23670" i="1"/>
  <c r="F23669" i="1"/>
  <c r="E23669" i="1"/>
  <c r="D23669" i="1"/>
  <c r="C23669" i="1"/>
  <c r="B23669" i="1"/>
  <c r="A23669" i="1"/>
  <c r="F23668" i="1"/>
  <c r="E23668" i="1"/>
  <c r="D23668" i="1"/>
  <c r="C23668" i="1"/>
  <c r="B23668" i="1"/>
  <c r="A23668" i="1"/>
  <c r="F23667" i="1"/>
  <c r="E23667" i="1"/>
  <c r="D23667" i="1"/>
  <c r="C23667" i="1"/>
  <c r="B23667" i="1"/>
  <c r="A23667" i="1"/>
  <c r="F23666" i="1"/>
  <c r="E23666" i="1"/>
  <c r="D23666" i="1"/>
  <c r="C23666" i="1"/>
  <c r="B23666" i="1"/>
  <c r="A23666" i="1"/>
  <c r="F23665" i="1"/>
  <c r="E23665" i="1"/>
  <c r="D23665" i="1"/>
  <c r="C23665" i="1"/>
  <c r="B23665" i="1"/>
  <c r="A23665" i="1"/>
  <c r="F23664" i="1"/>
  <c r="E23664" i="1"/>
  <c r="D23664" i="1"/>
  <c r="C23664" i="1"/>
  <c r="B23664" i="1"/>
  <c r="A23664" i="1"/>
  <c r="F23663" i="1"/>
  <c r="E23663" i="1"/>
  <c r="D23663" i="1"/>
  <c r="C23663" i="1"/>
  <c r="B23663" i="1"/>
  <c r="A23663" i="1"/>
  <c r="F23662" i="1"/>
  <c r="E23662" i="1"/>
  <c r="D23662" i="1"/>
  <c r="C23662" i="1"/>
  <c r="B23662" i="1"/>
  <c r="A23662" i="1"/>
  <c r="F23661" i="1"/>
  <c r="E23661" i="1"/>
  <c r="D23661" i="1"/>
  <c r="C23661" i="1"/>
  <c r="B23661" i="1"/>
  <c r="A23661" i="1"/>
  <c r="F23660" i="1"/>
  <c r="E23660" i="1"/>
  <c r="D23660" i="1"/>
  <c r="C23660" i="1"/>
  <c r="B23660" i="1"/>
  <c r="A23660" i="1"/>
  <c r="F23659" i="1"/>
  <c r="E23659" i="1"/>
  <c r="D23659" i="1"/>
  <c r="C23659" i="1"/>
  <c r="B23659" i="1"/>
  <c r="A23659" i="1"/>
  <c r="F23658" i="1"/>
  <c r="E23658" i="1"/>
  <c r="D23658" i="1"/>
  <c r="C23658" i="1"/>
  <c r="B23658" i="1"/>
  <c r="A23658" i="1"/>
  <c r="F23657" i="1"/>
  <c r="E23657" i="1"/>
  <c r="D23657" i="1"/>
  <c r="C23657" i="1"/>
  <c r="B23657" i="1"/>
  <c r="A23657" i="1"/>
  <c r="F23656" i="1"/>
  <c r="E23656" i="1"/>
  <c r="D23656" i="1"/>
  <c r="C23656" i="1"/>
  <c r="B23656" i="1"/>
  <c r="A23656" i="1"/>
  <c r="F23655" i="1"/>
  <c r="E23655" i="1"/>
  <c r="D23655" i="1"/>
  <c r="C23655" i="1"/>
  <c r="B23655" i="1"/>
  <c r="A23655" i="1"/>
  <c r="F23654" i="1"/>
  <c r="E23654" i="1"/>
  <c r="D23654" i="1"/>
  <c r="C23654" i="1"/>
  <c r="B23654" i="1"/>
  <c r="A23654" i="1"/>
  <c r="F23653" i="1"/>
  <c r="E23653" i="1"/>
  <c r="D23653" i="1"/>
  <c r="C23653" i="1"/>
  <c r="B23653" i="1"/>
  <c r="A23653" i="1"/>
  <c r="F23652" i="1"/>
  <c r="E23652" i="1"/>
  <c r="D23652" i="1"/>
  <c r="C23652" i="1"/>
  <c r="B23652" i="1"/>
  <c r="A23652" i="1"/>
  <c r="F23651" i="1"/>
  <c r="E23651" i="1"/>
  <c r="D23651" i="1"/>
  <c r="C23651" i="1"/>
  <c r="B23651" i="1"/>
  <c r="A23651" i="1"/>
  <c r="F23650" i="1"/>
  <c r="E23650" i="1"/>
  <c r="D23650" i="1"/>
  <c r="C23650" i="1"/>
  <c r="B23650" i="1"/>
  <c r="A23650" i="1"/>
  <c r="F23649" i="1"/>
  <c r="E23649" i="1"/>
  <c r="D23649" i="1"/>
  <c r="C23649" i="1"/>
  <c r="B23649" i="1"/>
  <c r="A23649" i="1"/>
  <c r="F23648" i="1"/>
  <c r="E23648" i="1"/>
  <c r="D23648" i="1"/>
  <c r="C23648" i="1"/>
  <c r="B23648" i="1"/>
  <c r="A23648" i="1"/>
  <c r="F23647" i="1"/>
  <c r="E23647" i="1"/>
  <c r="D23647" i="1"/>
  <c r="C23647" i="1"/>
  <c r="B23647" i="1"/>
  <c r="A23647" i="1"/>
  <c r="F23646" i="1"/>
  <c r="E23646" i="1"/>
  <c r="D23646" i="1"/>
  <c r="C23646" i="1"/>
  <c r="B23646" i="1"/>
  <c r="A23646" i="1"/>
  <c r="F23645" i="1"/>
  <c r="E23645" i="1"/>
  <c r="D23645" i="1"/>
  <c r="C23645" i="1"/>
  <c r="B23645" i="1"/>
  <c r="A23645" i="1"/>
  <c r="F23644" i="1"/>
  <c r="E23644" i="1"/>
  <c r="D23644" i="1"/>
  <c r="C23644" i="1"/>
  <c r="B23644" i="1"/>
  <c r="A23644" i="1"/>
  <c r="F23643" i="1"/>
  <c r="E23643" i="1"/>
  <c r="D23643" i="1"/>
  <c r="C23643" i="1"/>
  <c r="B23643" i="1"/>
  <c r="A23643" i="1"/>
  <c r="F23642" i="1"/>
  <c r="E23642" i="1"/>
  <c r="D23642" i="1"/>
  <c r="C23642" i="1"/>
  <c r="B23642" i="1"/>
  <c r="A23642" i="1"/>
  <c r="F23641" i="1"/>
  <c r="E23641" i="1"/>
  <c r="D23641" i="1"/>
  <c r="C23641" i="1"/>
  <c r="B23641" i="1"/>
  <c r="A23641" i="1"/>
  <c r="F23640" i="1"/>
  <c r="E23640" i="1"/>
  <c r="D23640" i="1"/>
  <c r="C23640" i="1"/>
  <c r="B23640" i="1"/>
  <c r="A23640" i="1"/>
  <c r="F23639" i="1"/>
  <c r="E23639" i="1"/>
  <c r="D23639" i="1"/>
  <c r="C23639" i="1"/>
  <c r="B23639" i="1"/>
  <c r="A23639" i="1"/>
  <c r="F23638" i="1"/>
  <c r="E23638" i="1"/>
  <c r="D23638" i="1"/>
  <c r="C23638" i="1"/>
  <c r="B23638" i="1"/>
  <c r="A23638" i="1"/>
  <c r="F23637" i="1"/>
  <c r="E23637" i="1"/>
  <c r="D23637" i="1"/>
  <c r="C23637" i="1"/>
  <c r="B23637" i="1"/>
  <c r="A23637" i="1"/>
  <c r="F23636" i="1"/>
  <c r="E23636" i="1"/>
  <c r="D23636" i="1"/>
  <c r="C23636" i="1"/>
  <c r="B23636" i="1"/>
  <c r="A23636" i="1"/>
  <c r="F23635" i="1"/>
  <c r="E23635" i="1"/>
  <c r="D23635" i="1"/>
  <c r="C23635" i="1"/>
  <c r="B23635" i="1"/>
  <c r="A23635" i="1"/>
  <c r="F23634" i="1"/>
  <c r="E23634" i="1"/>
  <c r="D23634" i="1"/>
  <c r="C23634" i="1"/>
  <c r="B23634" i="1"/>
  <c r="A23634" i="1"/>
  <c r="F23633" i="1"/>
  <c r="E23633" i="1"/>
  <c r="D23633" i="1"/>
  <c r="C23633" i="1"/>
  <c r="B23633" i="1"/>
  <c r="A23633" i="1"/>
  <c r="F23632" i="1"/>
  <c r="E23632" i="1"/>
  <c r="D23632" i="1"/>
  <c r="C23632" i="1"/>
  <c r="B23632" i="1"/>
  <c r="A23632" i="1"/>
  <c r="F23631" i="1"/>
  <c r="E23631" i="1"/>
  <c r="D23631" i="1"/>
  <c r="C23631" i="1"/>
  <c r="B23631" i="1"/>
  <c r="A23631" i="1"/>
  <c r="F23630" i="1"/>
  <c r="E23630" i="1"/>
  <c r="D23630" i="1"/>
  <c r="C23630" i="1"/>
  <c r="B23630" i="1"/>
  <c r="A23630" i="1"/>
  <c r="F23629" i="1"/>
  <c r="E23629" i="1"/>
  <c r="D23629" i="1"/>
  <c r="C23629" i="1"/>
  <c r="B23629" i="1"/>
  <c r="A23629" i="1"/>
  <c r="F23628" i="1"/>
  <c r="E23628" i="1"/>
  <c r="D23628" i="1"/>
  <c r="C23628" i="1"/>
  <c r="B23628" i="1"/>
  <c r="A23628" i="1"/>
  <c r="F23627" i="1"/>
  <c r="E23627" i="1"/>
  <c r="D23627" i="1"/>
  <c r="C23627" i="1"/>
  <c r="B23627" i="1"/>
  <c r="A23627" i="1"/>
  <c r="F23626" i="1"/>
  <c r="E23626" i="1"/>
  <c r="D23626" i="1"/>
  <c r="C23626" i="1"/>
  <c r="B23626" i="1"/>
  <c r="A23626" i="1"/>
  <c r="F23625" i="1"/>
  <c r="E23625" i="1"/>
  <c r="D23625" i="1"/>
  <c r="C23625" i="1"/>
  <c r="B23625" i="1"/>
  <c r="A23625" i="1"/>
  <c r="F23624" i="1"/>
  <c r="E23624" i="1"/>
  <c r="D23624" i="1"/>
  <c r="C23624" i="1"/>
  <c r="B23624" i="1"/>
  <c r="A23624" i="1"/>
  <c r="F23623" i="1"/>
  <c r="E23623" i="1"/>
  <c r="D23623" i="1"/>
  <c r="C23623" i="1"/>
  <c r="B23623" i="1"/>
  <c r="A23623" i="1"/>
  <c r="F23622" i="1"/>
  <c r="E23622" i="1"/>
  <c r="D23622" i="1"/>
  <c r="C23622" i="1"/>
  <c r="B23622" i="1"/>
  <c r="A23622" i="1"/>
  <c r="F23621" i="1"/>
  <c r="E23621" i="1"/>
  <c r="D23621" i="1"/>
  <c r="C23621" i="1"/>
  <c r="B23621" i="1"/>
  <c r="A23621" i="1"/>
  <c r="F23620" i="1"/>
  <c r="E23620" i="1"/>
  <c r="D23620" i="1"/>
  <c r="C23620" i="1"/>
  <c r="B23620" i="1"/>
  <c r="A23620" i="1"/>
  <c r="F23619" i="1"/>
  <c r="E23619" i="1"/>
  <c r="D23619" i="1"/>
  <c r="C23619" i="1"/>
  <c r="B23619" i="1"/>
  <c r="A23619" i="1"/>
  <c r="F23618" i="1"/>
  <c r="E23618" i="1"/>
  <c r="D23618" i="1"/>
  <c r="C23618" i="1"/>
  <c r="B23618" i="1"/>
  <c r="A23618" i="1"/>
  <c r="F23617" i="1"/>
  <c r="E23617" i="1"/>
  <c r="D23617" i="1"/>
  <c r="C23617" i="1"/>
  <c r="B23617" i="1"/>
  <c r="A23617" i="1"/>
  <c r="F23616" i="1"/>
  <c r="E23616" i="1"/>
  <c r="D23616" i="1"/>
  <c r="C23616" i="1"/>
  <c r="B23616" i="1"/>
  <c r="A23616" i="1"/>
  <c r="F23615" i="1"/>
  <c r="E23615" i="1"/>
  <c r="D23615" i="1"/>
  <c r="C23615" i="1"/>
  <c r="B23615" i="1"/>
  <c r="A23615" i="1"/>
  <c r="F23614" i="1"/>
  <c r="E23614" i="1"/>
  <c r="D23614" i="1"/>
  <c r="C23614" i="1"/>
  <c r="B23614" i="1"/>
  <c r="A23614" i="1"/>
  <c r="F23613" i="1"/>
  <c r="E23613" i="1"/>
  <c r="D23613" i="1"/>
  <c r="C23613" i="1"/>
  <c r="B23613" i="1"/>
  <c r="A23613" i="1"/>
  <c r="F23612" i="1"/>
  <c r="E23612" i="1"/>
  <c r="D23612" i="1"/>
  <c r="C23612" i="1"/>
  <c r="B23612" i="1"/>
  <c r="A23612" i="1"/>
  <c r="F23611" i="1"/>
  <c r="E23611" i="1"/>
  <c r="D23611" i="1"/>
  <c r="C23611" i="1"/>
  <c r="B23611" i="1"/>
  <c r="A23611" i="1"/>
  <c r="F23610" i="1"/>
  <c r="E23610" i="1"/>
  <c r="D23610" i="1"/>
  <c r="C23610" i="1"/>
  <c r="B23610" i="1"/>
  <c r="A23610" i="1"/>
  <c r="F23609" i="1"/>
  <c r="E23609" i="1"/>
  <c r="D23609" i="1"/>
  <c r="C23609" i="1"/>
  <c r="B23609" i="1"/>
  <c r="A23609" i="1"/>
  <c r="F23608" i="1"/>
  <c r="E23608" i="1"/>
  <c r="D23608" i="1"/>
  <c r="C23608" i="1"/>
  <c r="B23608" i="1"/>
  <c r="A23608" i="1"/>
  <c r="F23607" i="1"/>
  <c r="E23607" i="1"/>
  <c r="D23607" i="1"/>
  <c r="C23607" i="1"/>
  <c r="B23607" i="1"/>
  <c r="A23607" i="1"/>
  <c r="F23606" i="1"/>
  <c r="E23606" i="1"/>
  <c r="D23606" i="1"/>
  <c r="C23606" i="1"/>
  <c r="B23606" i="1"/>
  <c r="A23606" i="1"/>
  <c r="F23605" i="1"/>
  <c r="E23605" i="1"/>
  <c r="D23605" i="1"/>
  <c r="C23605" i="1"/>
  <c r="B23605" i="1"/>
  <c r="A23605" i="1"/>
  <c r="F23604" i="1"/>
  <c r="E23604" i="1"/>
  <c r="D23604" i="1"/>
  <c r="C23604" i="1"/>
  <c r="B23604" i="1"/>
  <c r="A23604" i="1"/>
  <c r="F23603" i="1"/>
  <c r="E23603" i="1"/>
  <c r="D23603" i="1"/>
  <c r="C23603" i="1"/>
  <c r="B23603" i="1"/>
  <c r="A23603" i="1"/>
  <c r="F23602" i="1"/>
  <c r="E23602" i="1"/>
  <c r="D23602" i="1"/>
  <c r="C23602" i="1"/>
  <c r="B23602" i="1"/>
  <c r="A23602" i="1"/>
  <c r="F23601" i="1"/>
  <c r="E23601" i="1"/>
  <c r="D23601" i="1"/>
  <c r="C23601" i="1"/>
  <c r="B23601" i="1"/>
  <c r="A23601" i="1"/>
  <c r="F23600" i="1"/>
  <c r="E23600" i="1"/>
  <c r="D23600" i="1"/>
  <c r="C23600" i="1"/>
  <c r="B23600" i="1"/>
  <c r="A23600" i="1"/>
  <c r="F23599" i="1"/>
  <c r="E23599" i="1"/>
  <c r="D23599" i="1"/>
  <c r="C23599" i="1"/>
  <c r="B23599" i="1"/>
  <c r="A23599" i="1"/>
  <c r="F23598" i="1"/>
  <c r="E23598" i="1"/>
  <c r="D23598" i="1"/>
  <c r="C23598" i="1"/>
  <c r="B23598" i="1"/>
  <c r="A23598" i="1"/>
  <c r="F23597" i="1"/>
  <c r="E23597" i="1"/>
  <c r="D23597" i="1"/>
  <c r="C23597" i="1"/>
  <c r="B23597" i="1"/>
  <c r="A23597" i="1"/>
  <c r="F23596" i="1"/>
  <c r="E23596" i="1"/>
  <c r="D23596" i="1"/>
  <c r="C23596" i="1"/>
  <c r="B23596" i="1"/>
  <c r="A23596" i="1"/>
  <c r="F23595" i="1"/>
  <c r="E23595" i="1"/>
  <c r="D23595" i="1"/>
  <c r="C23595" i="1"/>
  <c r="B23595" i="1"/>
  <c r="A23595" i="1"/>
  <c r="F23594" i="1"/>
  <c r="E23594" i="1"/>
  <c r="D23594" i="1"/>
  <c r="C23594" i="1"/>
  <c r="B23594" i="1"/>
  <c r="A23594" i="1"/>
  <c r="F23593" i="1"/>
  <c r="E23593" i="1"/>
  <c r="D23593" i="1"/>
  <c r="C23593" i="1"/>
  <c r="B23593" i="1"/>
  <c r="A23593" i="1"/>
  <c r="F23592" i="1"/>
  <c r="E23592" i="1"/>
  <c r="D23592" i="1"/>
  <c r="C23592" i="1"/>
  <c r="B23592" i="1"/>
  <c r="A23592" i="1"/>
  <c r="F23591" i="1"/>
  <c r="E23591" i="1"/>
  <c r="D23591" i="1"/>
  <c r="C23591" i="1"/>
  <c r="B23591" i="1"/>
  <c r="A23591" i="1"/>
  <c r="F23590" i="1"/>
  <c r="E23590" i="1"/>
  <c r="D23590" i="1"/>
  <c r="C23590" i="1"/>
  <c r="B23590" i="1"/>
  <c r="A23590" i="1"/>
  <c r="F23589" i="1"/>
  <c r="E23589" i="1"/>
  <c r="D23589" i="1"/>
  <c r="C23589" i="1"/>
  <c r="B23589" i="1"/>
  <c r="A23589" i="1"/>
  <c r="F23588" i="1"/>
  <c r="E23588" i="1"/>
  <c r="D23588" i="1"/>
  <c r="C23588" i="1"/>
  <c r="B23588" i="1"/>
  <c r="A23588" i="1"/>
  <c r="F23587" i="1"/>
  <c r="E23587" i="1"/>
  <c r="D23587" i="1"/>
  <c r="C23587" i="1"/>
  <c r="B23587" i="1"/>
  <c r="A23587" i="1"/>
  <c r="F23586" i="1"/>
  <c r="E23586" i="1"/>
  <c r="D23586" i="1"/>
  <c r="C23586" i="1"/>
  <c r="B23586" i="1"/>
  <c r="A23586" i="1"/>
  <c r="F23585" i="1"/>
  <c r="E23585" i="1"/>
  <c r="D23585" i="1"/>
  <c r="C23585" i="1"/>
  <c r="B23585" i="1"/>
  <c r="A23585" i="1"/>
  <c r="F23584" i="1"/>
  <c r="E23584" i="1"/>
  <c r="D23584" i="1"/>
  <c r="C23584" i="1"/>
  <c r="B23584" i="1"/>
  <c r="A23584" i="1"/>
  <c r="F23583" i="1"/>
  <c r="E23583" i="1"/>
  <c r="D23583" i="1"/>
  <c r="C23583" i="1"/>
  <c r="B23583" i="1"/>
  <c r="A23583" i="1"/>
  <c r="F23582" i="1"/>
  <c r="E23582" i="1"/>
  <c r="D23582" i="1"/>
  <c r="C23582" i="1"/>
  <c r="B23582" i="1"/>
  <c r="A23582" i="1"/>
  <c r="F23581" i="1"/>
  <c r="E23581" i="1"/>
  <c r="D23581" i="1"/>
  <c r="C23581" i="1"/>
  <c r="B23581" i="1"/>
  <c r="A23581" i="1"/>
  <c r="F23580" i="1"/>
  <c r="E23580" i="1"/>
  <c r="D23580" i="1"/>
  <c r="C23580" i="1"/>
  <c r="B23580" i="1"/>
  <c r="A23580" i="1"/>
  <c r="F23579" i="1"/>
  <c r="E23579" i="1"/>
  <c r="D23579" i="1"/>
  <c r="C23579" i="1"/>
  <c r="B23579" i="1"/>
  <c r="A23579" i="1"/>
  <c r="F23578" i="1"/>
  <c r="E23578" i="1"/>
  <c r="D23578" i="1"/>
  <c r="C23578" i="1"/>
  <c r="B23578" i="1"/>
  <c r="A23578" i="1"/>
  <c r="F23577" i="1"/>
  <c r="E23577" i="1"/>
  <c r="D23577" i="1"/>
  <c r="C23577" i="1"/>
  <c r="B23577" i="1"/>
  <c r="A23577" i="1"/>
  <c r="F23576" i="1"/>
  <c r="E23576" i="1"/>
  <c r="D23576" i="1"/>
  <c r="C23576" i="1"/>
  <c r="B23576" i="1"/>
  <c r="A23576" i="1"/>
  <c r="F23575" i="1"/>
  <c r="E23575" i="1"/>
  <c r="D23575" i="1"/>
  <c r="C23575" i="1"/>
  <c r="B23575" i="1"/>
  <c r="A23575" i="1"/>
  <c r="F23574" i="1"/>
  <c r="E23574" i="1"/>
  <c r="D23574" i="1"/>
  <c r="C23574" i="1"/>
  <c r="B23574" i="1"/>
  <c r="A23574" i="1"/>
  <c r="F23573" i="1"/>
  <c r="E23573" i="1"/>
  <c r="D23573" i="1"/>
  <c r="C23573" i="1"/>
  <c r="B23573" i="1"/>
  <c r="A23573" i="1"/>
  <c r="F23572" i="1"/>
  <c r="E23572" i="1"/>
  <c r="D23572" i="1"/>
  <c r="C23572" i="1"/>
  <c r="B23572" i="1"/>
  <c r="A23572" i="1"/>
  <c r="F23571" i="1"/>
  <c r="E23571" i="1"/>
  <c r="D23571" i="1"/>
  <c r="C23571" i="1"/>
  <c r="B23571" i="1"/>
  <c r="A23571" i="1"/>
  <c r="F23570" i="1"/>
  <c r="E23570" i="1"/>
  <c r="D23570" i="1"/>
  <c r="C23570" i="1"/>
  <c r="B23570" i="1"/>
  <c r="A23570" i="1"/>
  <c r="F23569" i="1"/>
  <c r="E23569" i="1"/>
  <c r="D23569" i="1"/>
  <c r="C23569" i="1"/>
  <c r="B23569" i="1"/>
  <c r="A23569" i="1"/>
  <c r="F23568" i="1"/>
  <c r="E23568" i="1"/>
  <c r="D23568" i="1"/>
  <c r="C23568" i="1"/>
  <c r="B23568" i="1"/>
  <c r="A23568" i="1"/>
  <c r="F23567" i="1"/>
  <c r="E23567" i="1"/>
  <c r="D23567" i="1"/>
  <c r="C23567" i="1"/>
  <c r="B23567" i="1"/>
  <c r="A23567" i="1"/>
  <c r="F23566" i="1"/>
  <c r="E23566" i="1"/>
  <c r="D23566" i="1"/>
  <c r="C23566" i="1"/>
  <c r="B23566" i="1"/>
  <c r="A23566" i="1"/>
  <c r="F23565" i="1"/>
  <c r="E23565" i="1"/>
  <c r="D23565" i="1"/>
  <c r="C23565" i="1"/>
  <c r="B23565" i="1"/>
  <c r="A23565" i="1"/>
  <c r="F23564" i="1"/>
  <c r="E23564" i="1"/>
  <c r="D23564" i="1"/>
  <c r="C23564" i="1"/>
  <c r="B23564" i="1"/>
  <c r="A23564" i="1"/>
  <c r="F23563" i="1"/>
  <c r="E23563" i="1"/>
  <c r="D23563" i="1"/>
  <c r="C23563" i="1"/>
  <c r="B23563" i="1"/>
  <c r="A23563" i="1"/>
  <c r="F23562" i="1"/>
  <c r="E23562" i="1"/>
  <c r="D23562" i="1"/>
  <c r="C23562" i="1"/>
  <c r="B23562" i="1"/>
  <c r="A23562" i="1"/>
  <c r="F23561" i="1"/>
  <c r="E23561" i="1"/>
  <c r="D23561" i="1"/>
  <c r="C23561" i="1"/>
  <c r="B23561" i="1"/>
  <c r="A23561" i="1"/>
  <c r="F23560" i="1"/>
  <c r="E23560" i="1"/>
  <c r="D23560" i="1"/>
  <c r="C23560" i="1"/>
  <c r="B23560" i="1"/>
  <c r="A23560" i="1"/>
  <c r="F23559" i="1"/>
  <c r="E23559" i="1"/>
  <c r="D23559" i="1"/>
  <c r="C23559" i="1"/>
  <c r="B23559" i="1"/>
  <c r="A23559" i="1"/>
  <c r="F23558" i="1"/>
  <c r="E23558" i="1"/>
  <c r="D23558" i="1"/>
  <c r="C23558" i="1"/>
  <c r="B23558" i="1"/>
  <c r="A23558" i="1"/>
  <c r="F23557" i="1"/>
  <c r="E23557" i="1"/>
  <c r="D23557" i="1"/>
  <c r="C23557" i="1"/>
  <c r="B23557" i="1"/>
  <c r="A23557" i="1"/>
  <c r="F23556" i="1"/>
  <c r="E23556" i="1"/>
  <c r="D23556" i="1"/>
  <c r="C23556" i="1"/>
  <c r="B23556" i="1"/>
  <c r="A23556" i="1"/>
  <c r="F23555" i="1"/>
  <c r="E23555" i="1"/>
  <c r="D23555" i="1"/>
  <c r="C23555" i="1"/>
  <c r="B23555" i="1"/>
  <c r="A23555" i="1"/>
  <c r="F23554" i="1"/>
  <c r="E23554" i="1"/>
  <c r="D23554" i="1"/>
  <c r="C23554" i="1"/>
  <c r="B23554" i="1"/>
  <c r="A23554" i="1"/>
  <c r="F23553" i="1"/>
  <c r="E23553" i="1"/>
  <c r="D23553" i="1"/>
  <c r="C23553" i="1"/>
  <c r="B23553" i="1"/>
  <c r="A23553" i="1"/>
  <c r="F23552" i="1"/>
  <c r="E23552" i="1"/>
  <c r="D23552" i="1"/>
  <c r="C23552" i="1"/>
  <c r="B23552" i="1"/>
  <c r="A23552" i="1"/>
  <c r="F23551" i="1"/>
  <c r="E23551" i="1"/>
  <c r="D23551" i="1"/>
  <c r="C23551" i="1"/>
  <c r="B23551" i="1"/>
  <c r="A23551" i="1"/>
  <c r="F23550" i="1"/>
  <c r="E23550" i="1"/>
  <c r="D23550" i="1"/>
  <c r="C23550" i="1"/>
  <c r="B23550" i="1"/>
  <c r="A23550" i="1"/>
  <c r="F23549" i="1"/>
  <c r="E23549" i="1"/>
  <c r="D23549" i="1"/>
  <c r="C23549" i="1"/>
  <c r="B23549" i="1"/>
  <c r="A23549" i="1"/>
  <c r="F23548" i="1"/>
  <c r="E23548" i="1"/>
  <c r="D23548" i="1"/>
  <c r="C23548" i="1"/>
  <c r="B23548" i="1"/>
  <c r="A23548" i="1"/>
  <c r="F23547" i="1"/>
  <c r="E23547" i="1"/>
  <c r="D23547" i="1"/>
  <c r="C23547" i="1"/>
  <c r="B23547" i="1"/>
  <c r="A23547" i="1"/>
  <c r="F23546" i="1"/>
  <c r="E23546" i="1"/>
  <c r="D23546" i="1"/>
  <c r="C23546" i="1"/>
  <c r="B23546" i="1"/>
  <c r="A23546" i="1"/>
  <c r="F23545" i="1"/>
  <c r="E23545" i="1"/>
  <c r="D23545" i="1"/>
  <c r="C23545" i="1"/>
  <c r="B23545" i="1"/>
  <c r="A23545" i="1"/>
  <c r="F23544" i="1"/>
  <c r="E23544" i="1"/>
  <c r="D23544" i="1"/>
  <c r="C23544" i="1"/>
  <c r="B23544" i="1"/>
  <c r="A23544" i="1"/>
  <c r="F23543" i="1"/>
  <c r="E23543" i="1"/>
  <c r="D23543" i="1"/>
  <c r="C23543" i="1"/>
  <c r="B23543" i="1"/>
  <c r="A23543" i="1"/>
  <c r="F23542" i="1"/>
  <c r="E23542" i="1"/>
  <c r="D23542" i="1"/>
  <c r="C23542" i="1"/>
  <c r="B23542" i="1"/>
  <c r="A23542" i="1"/>
  <c r="F23541" i="1"/>
  <c r="E23541" i="1"/>
  <c r="D23541" i="1"/>
  <c r="C23541" i="1"/>
  <c r="B23541" i="1"/>
  <c r="A23541" i="1"/>
  <c r="F23540" i="1"/>
  <c r="E23540" i="1"/>
  <c r="D23540" i="1"/>
  <c r="C23540" i="1"/>
  <c r="B23540" i="1"/>
  <c r="A23540" i="1"/>
  <c r="F23539" i="1"/>
  <c r="E23539" i="1"/>
  <c r="D23539" i="1"/>
  <c r="C23539" i="1"/>
  <c r="B23539" i="1"/>
  <c r="A23539" i="1"/>
  <c r="F23538" i="1"/>
  <c r="E23538" i="1"/>
  <c r="D23538" i="1"/>
  <c r="C23538" i="1"/>
  <c r="B23538" i="1"/>
  <c r="A23538" i="1"/>
  <c r="F23537" i="1"/>
  <c r="E23537" i="1"/>
  <c r="D23537" i="1"/>
  <c r="C23537" i="1"/>
  <c r="B23537" i="1"/>
  <c r="A23537" i="1"/>
  <c r="F23536" i="1"/>
  <c r="E23536" i="1"/>
  <c r="D23536" i="1"/>
  <c r="C23536" i="1"/>
  <c r="B23536" i="1"/>
  <c r="A23536" i="1"/>
  <c r="F23535" i="1"/>
  <c r="E23535" i="1"/>
  <c r="D23535" i="1"/>
  <c r="C23535" i="1"/>
  <c r="B23535" i="1"/>
  <c r="A23535" i="1"/>
  <c r="F23534" i="1"/>
  <c r="E23534" i="1"/>
  <c r="D23534" i="1"/>
  <c r="C23534" i="1"/>
  <c r="B23534" i="1"/>
  <c r="A23534" i="1"/>
  <c r="F23533" i="1"/>
  <c r="E23533" i="1"/>
  <c r="D23533" i="1"/>
  <c r="C23533" i="1"/>
  <c r="B23533" i="1"/>
  <c r="A23533" i="1"/>
  <c r="F23532" i="1"/>
  <c r="E23532" i="1"/>
  <c r="D23532" i="1"/>
  <c r="C23532" i="1"/>
  <c r="B23532" i="1"/>
  <c r="A23532" i="1"/>
  <c r="F23531" i="1"/>
  <c r="E23531" i="1"/>
  <c r="D23531" i="1"/>
  <c r="C23531" i="1"/>
  <c r="B23531" i="1"/>
  <c r="A23531" i="1"/>
  <c r="F23530" i="1"/>
  <c r="E23530" i="1"/>
  <c r="D23530" i="1"/>
  <c r="C23530" i="1"/>
  <c r="B23530" i="1"/>
  <c r="A23530" i="1"/>
  <c r="F23529" i="1"/>
  <c r="E23529" i="1"/>
  <c r="D23529" i="1"/>
  <c r="C23529" i="1"/>
  <c r="B23529" i="1"/>
  <c r="A23529" i="1"/>
  <c r="F23528" i="1"/>
  <c r="E23528" i="1"/>
  <c r="D23528" i="1"/>
  <c r="C23528" i="1"/>
  <c r="B23528" i="1"/>
  <c r="A23528" i="1"/>
  <c r="F23527" i="1"/>
  <c r="E23527" i="1"/>
  <c r="D23527" i="1"/>
  <c r="C23527" i="1"/>
  <c r="B23527" i="1"/>
  <c r="A23527" i="1"/>
  <c r="F23526" i="1"/>
  <c r="E23526" i="1"/>
  <c r="D23526" i="1"/>
  <c r="C23526" i="1"/>
  <c r="B23526" i="1"/>
  <c r="A23526" i="1"/>
  <c r="F23525" i="1"/>
  <c r="E23525" i="1"/>
  <c r="D23525" i="1"/>
  <c r="C23525" i="1"/>
  <c r="B23525" i="1"/>
  <c r="A23525" i="1"/>
  <c r="F23524" i="1"/>
  <c r="E23524" i="1"/>
  <c r="D23524" i="1"/>
  <c r="C23524" i="1"/>
  <c r="B23524" i="1"/>
  <c r="A23524" i="1"/>
  <c r="F23523" i="1"/>
  <c r="E23523" i="1"/>
  <c r="D23523" i="1"/>
  <c r="C23523" i="1"/>
  <c r="B23523" i="1"/>
  <c r="A23523" i="1"/>
  <c r="F23522" i="1"/>
  <c r="E23522" i="1"/>
  <c r="D23522" i="1"/>
  <c r="C23522" i="1"/>
  <c r="B23522" i="1"/>
  <c r="A23522" i="1"/>
  <c r="F23521" i="1"/>
  <c r="E23521" i="1"/>
  <c r="D23521" i="1"/>
  <c r="C23521" i="1"/>
  <c r="B23521" i="1"/>
  <c r="A23521" i="1"/>
  <c r="F23520" i="1"/>
  <c r="E23520" i="1"/>
  <c r="D23520" i="1"/>
  <c r="C23520" i="1"/>
  <c r="B23520" i="1"/>
  <c r="A23520" i="1"/>
  <c r="F23519" i="1"/>
  <c r="E23519" i="1"/>
  <c r="D23519" i="1"/>
  <c r="C23519" i="1"/>
  <c r="B23519" i="1"/>
  <c r="A23519" i="1"/>
  <c r="F23518" i="1"/>
  <c r="E23518" i="1"/>
  <c r="D23518" i="1"/>
  <c r="C23518" i="1"/>
  <c r="B23518" i="1"/>
  <c r="A23518" i="1"/>
  <c r="F23517" i="1"/>
  <c r="E23517" i="1"/>
  <c r="D23517" i="1"/>
  <c r="C23517" i="1"/>
  <c r="B23517" i="1"/>
  <c r="A23517" i="1"/>
  <c r="F23516" i="1"/>
  <c r="E23516" i="1"/>
  <c r="D23516" i="1"/>
  <c r="C23516" i="1"/>
  <c r="B23516" i="1"/>
  <c r="A23516" i="1"/>
  <c r="F23515" i="1"/>
  <c r="E23515" i="1"/>
  <c r="D23515" i="1"/>
  <c r="C23515" i="1"/>
  <c r="B23515" i="1"/>
  <c r="A23515" i="1"/>
  <c r="F23514" i="1"/>
  <c r="E23514" i="1"/>
  <c r="D23514" i="1"/>
  <c r="C23514" i="1"/>
  <c r="B23514" i="1"/>
  <c r="A23514" i="1"/>
  <c r="F23513" i="1"/>
  <c r="E23513" i="1"/>
  <c r="D23513" i="1"/>
  <c r="C23513" i="1"/>
  <c r="B23513" i="1"/>
  <c r="A23513" i="1"/>
  <c r="F23512" i="1"/>
  <c r="E23512" i="1"/>
  <c r="D23512" i="1"/>
  <c r="C23512" i="1"/>
  <c r="B23512" i="1"/>
  <c r="A23512" i="1"/>
  <c r="F23511" i="1"/>
  <c r="E23511" i="1"/>
  <c r="D23511" i="1"/>
  <c r="C23511" i="1"/>
  <c r="B23511" i="1"/>
  <c r="A23511" i="1"/>
  <c r="F23510" i="1"/>
  <c r="E23510" i="1"/>
  <c r="D23510" i="1"/>
  <c r="C23510" i="1"/>
  <c r="B23510" i="1"/>
  <c r="A23510" i="1"/>
  <c r="F23509" i="1"/>
  <c r="E23509" i="1"/>
  <c r="D23509" i="1"/>
  <c r="C23509" i="1"/>
  <c r="B23509" i="1"/>
  <c r="A23509" i="1"/>
  <c r="F23508" i="1"/>
  <c r="E23508" i="1"/>
  <c r="D23508" i="1"/>
  <c r="C23508" i="1"/>
  <c r="B23508" i="1"/>
  <c r="A23508" i="1"/>
  <c r="F23507" i="1"/>
  <c r="E23507" i="1"/>
  <c r="D23507" i="1"/>
  <c r="C23507" i="1"/>
  <c r="B23507" i="1"/>
  <c r="A23507" i="1"/>
  <c r="F23506" i="1"/>
  <c r="E23506" i="1"/>
  <c r="D23506" i="1"/>
  <c r="C23506" i="1"/>
  <c r="B23506" i="1"/>
  <c r="A23506" i="1"/>
  <c r="F23505" i="1"/>
  <c r="E23505" i="1"/>
  <c r="D23505" i="1"/>
  <c r="C23505" i="1"/>
  <c r="B23505" i="1"/>
  <c r="A23505" i="1"/>
  <c r="F23504" i="1"/>
  <c r="E23504" i="1"/>
  <c r="D23504" i="1"/>
  <c r="C23504" i="1"/>
  <c r="B23504" i="1"/>
  <c r="A23504" i="1"/>
  <c r="F23503" i="1"/>
  <c r="E23503" i="1"/>
  <c r="D23503" i="1"/>
  <c r="C23503" i="1"/>
  <c r="B23503" i="1"/>
  <c r="A23503" i="1"/>
  <c r="F23502" i="1"/>
  <c r="E23502" i="1"/>
  <c r="D23502" i="1"/>
  <c r="C23502" i="1"/>
  <c r="B23502" i="1"/>
  <c r="A23502" i="1"/>
  <c r="F23501" i="1"/>
  <c r="E23501" i="1"/>
  <c r="D23501" i="1"/>
  <c r="C23501" i="1"/>
  <c r="B23501" i="1"/>
  <c r="A23501" i="1"/>
  <c r="F23500" i="1"/>
  <c r="E23500" i="1"/>
  <c r="D23500" i="1"/>
  <c r="C23500" i="1"/>
  <c r="B23500" i="1"/>
  <c r="A23500" i="1"/>
  <c r="F23499" i="1"/>
  <c r="E23499" i="1"/>
  <c r="D23499" i="1"/>
  <c r="C23499" i="1"/>
  <c r="B23499" i="1"/>
  <c r="A23499" i="1"/>
  <c r="F23498" i="1"/>
  <c r="E23498" i="1"/>
  <c r="D23498" i="1"/>
  <c r="C23498" i="1"/>
  <c r="B23498" i="1"/>
  <c r="A23498" i="1"/>
  <c r="F23497" i="1"/>
  <c r="E23497" i="1"/>
  <c r="D23497" i="1"/>
  <c r="C23497" i="1"/>
  <c r="B23497" i="1"/>
  <c r="A23497" i="1"/>
  <c r="F23496" i="1"/>
  <c r="E23496" i="1"/>
  <c r="D23496" i="1"/>
  <c r="C23496" i="1"/>
  <c r="B23496" i="1"/>
  <c r="A23496" i="1"/>
  <c r="F23495" i="1"/>
  <c r="E23495" i="1"/>
  <c r="D23495" i="1"/>
  <c r="C23495" i="1"/>
  <c r="B23495" i="1"/>
  <c r="A23495" i="1"/>
  <c r="F23494" i="1"/>
  <c r="E23494" i="1"/>
  <c r="D23494" i="1"/>
  <c r="C23494" i="1"/>
  <c r="B23494" i="1"/>
  <c r="A23494" i="1"/>
  <c r="F23493" i="1"/>
  <c r="E23493" i="1"/>
  <c r="D23493" i="1"/>
  <c r="C23493" i="1"/>
  <c r="B23493" i="1"/>
  <c r="A23493" i="1"/>
  <c r="F23492" i="1"/>
  <c r="E23492" i="1"/>
  <c r="D23492" i="1"/>
  <c r="C23492" i="1"/>
  <c r="B23492" i="1"/>
  <c r="A23492" i="1"/>
  <c r="F23491" i="1"/>
  <c r="E23491" i="1"/>
  <c r="D23491" i="1"/>
  <c r="C23491" i="1"/>
  <c r="B23491" i="1"/>
  <c r="A23491" i="1"/>
  <c r="F23490" i="1"/>
  <c r="E23490" i="1"/>
  <c r="D23490" i="1"/>
  <c r="C23490" i="1"/>
  <c r="B23490" i="1"/>
  <c r="A23490" i="1"/>
  <c r="F23489" i="1"/>
  <c r="E23489" i="1"/>
  <c r="D23489" i="1"/>
  <c r="C23489" i="1"/>
  <c r="B23489" i="1"/>
  <c r="A23489" i="1"/>
  <c r="F23488" i="1"/>
  <c r="E23488" i="1"/>
  <c r="D23488" i="1"/>
  <c r="C23488" i="1"/>
  <c r="B23488" i="1"/>
  <c r="A23488" i="1"/>
  <c r="F23487" i="1"/>
  <c r="E23487" i="1"/>
  <c r="D23487" i="1"/>
  <c r="C23487" i="1"/>
  <c r="B23487" i="1"/>
  <c r="A23487" i="1"/>
  <c r="F23486" i="1"/>
  <c r="E23486" i="1"/>
  <c r="D23486" i="1"/>
  <c r="C23486" i="1"/>
  <c r="B23486" i="1"/>
  <c r="A23486" i="1"/>
  <c r="F23485" i="1"/>
  <c r="E23485" i="1"/>
  <c r="D23485" i="1"/>
  <c r="C23485" i="1"/>
  <c r="B23485" i="1"/>
  <c r="A23485" i="1"/>
  <c r="F23484" i="1"/>
  <c r="E23484" i="1"/>
  <c r="D23484" i="1"/>
  <c r="C23484" i="1"/>
  <c r="B23484" i="1"/>
  <c r="A23484" i="1"/>
  <c r="F23483" i="1"/>
  <c r="E23483" i="1"/>
  <c r="D23483" i="1"/>
  <c r="C23483" i="1"/>
  <c r="B23483" i="1"/>
  <c r="A23483" i="1"/>
  <c r="F23482" i="1"/>
  <c r="E23482" i="1"/>
  <c r="D23482" i="1"/>
  <c r="C23482" i="1"/>
  <c r="B23482" i="1"/>
  <c r="A23482" i="1"/>
  <c r="F23481" i="1"/>
  <c r="E23481" i="1"/>
  <c r="D23481" i="1"/>
  <c r="C23481" i="1"/>
  <c r="B23481" i="1"/>
  <c r="A23481" i="1"/>
  <c r="F23480" i="1"/>
  <c r="E23480" i="1"/>
  <c r="D23480" i="1"/>
  <c r="C23480" i="1"/>
  <c r="B23480" i="1"/>
  <c r="A23480" i="1"/>
  <c r="F23479" i="1"/>
  <c r="E23479" i="1"/>
  <c r="D23479" i="1"/>
  <c r="C23479" i="1"/>
  <c r="B23479" i="1"/>
  <c r="A23479" i="1"/>
  <c r="F23478" i="1"/>
  <c r="E23478" i="1"/>
  <c r="D23478" i="1"/>
  <c r="C23478" i="1"/>
  <c r="B23478" i="1"/>
  <c r="A23478" i="1"/>
  <c r="F23477" i="1"/>
  <c r="E23477" i="1"/>
  <c r="D23477" i="1"/>
  <c r="C23477" i="1"/>
  <c r="B23477" i="1"/>
  <c r="A23477" i="1"/>
  <c r="F23476" i="1"/>
  <c r="E23476" i="1"/>
  <c r="D23476" i="1"/>
  <c r="C23476" i="1"/>
  <c r="B23476" i="1"/>
  <c r="A23476" i="1"/>
  <c r="F23475" i="1"/>
  <c r="E23475" i="1"/>
  <c r="D23475" i="1"/>
  <c r="C23475" i="1"/>
  <c r="B23475" i="1"/>
  <c r="A23475" i="1"/>
  <c r="F23474" i="1"/>
  <c r="E23474" i="1"/>
  <c r="D23474" i="1"/>
  <c r="C23474" i="1"/>
  <c r="B23474" i="1"/>
  <c r="A23474" i="1"/>
  <c r="F23473" i="1"/>
  <c r="E23473" i="1"/>
  <c r="D23473" i="1"/>
  <c r="C23473" i="1"/>
  <c r="B23473" i="1"/>
  <c r="A23473" i="1"/>
  <c r="F23472" i="1"/>
  <c r="E23472" i="1"/>
  <c r="D23472" i="1"/>
  <c r="C23472" i="1"/>
  <c r="B23472" i="1"/>
  <c r="A23472" i="1"/>
  <c r="F23471" i="1"/>
  <c r="E23471" i="1"/>
  <c r="D23471" i="1"/>
  <c r="C23471" i="1"/>
  <c r="B23471" i="1"/>
  <c r="A23471" i="1"/>
  <c r="F23470" i="1"/>
  <c r="E23470" i="1"/>
  <c r="D23470" i="1"/>
  <c r="C23470" i="1"/>
  <c r="B23470" i="1"/>
  <c r="A23470" i="1"/>
  <c r="F23469" i="1"/>
  <c r="E23469" i="1"/>
  <c r="D23469" i="1"/>
  <c r="C23469" i="1"/>
  <c r="B23469" i="1"/>
  <c r="A23469" i="1"/>
  <c r="F23468" i="1"/>
  <c r="E23468" i="1"/>
  <c r="D23468" i="1"/>
  <c r="C23468" i="1"/>
  <c r="B23468" i="1"/>
  <c r="A23468" i="1"/>
  <c r="F23467" i="1"/>
  <c r="E23467" i="1"/>
  <c r="D23467" i="1"/>
  <c r="C23467" i="1"/>
  <c r="B23467" i="1"/>
  <c r="A23467" i="1"/>
  <c r="F23466" i="1"/>
  <c r="E23466" i="1"/>
  <c r="D23466" i="1"/>
  <c r="C23466" i="1"/>
  <c r="B23466" i="1"/>
  <c r="A23466" i="1"/>
  <c r="F23465" i="1"/>
  <c r="E23465" i="1"/>
  <c r="D23465" i="1"/>
  <c r="C23465" i="1"/>
  <c r="B23465" i="1"/>
  <c r="A23465" i="1"/>
  <c r="F23464" i="1"/>
  <c r="E23464" i="1"/>
  <c r="D23464" i="1"/>
  <c r="C23464" i="1"/>
  <c r="B23464" i="1"/>
  <c r="A23464" i="1"/>
  <c r="F23463" i="1"/>
  <c r="E23463" i="1"/>
  <c r="D23463" i="1"/>
  <c r="C23463" i="1"/>
  <c r="B23463" i="1"/>
  <c r="A23463" i="1"/>
  <c r="F23462" i="1"/>
  <c r="E23462" i="1"/>
  <c r="D23462" i="1"/>
  <c r="C23462" i="1"/>
  <c r="B23462" i="1"/>
  <c r="A23462" i="1"/>
  <c r="F23461" i="1"/>
  <c r="E23461" i="1"/>
  <c r="D23461" i="1"/>
  <c r="C23461" i="1"/>
  <c r="B23461" i="1"/>
  <c r="A23461" i="1"/>
  <c r="F23460" i="1"/>
  <c r="E23460" i="1"/>
  <c r="D23460" i="1"/>
  <c r="C23460" i="1"/>
  <c r="B23460" i="1"/>
  <c r="A23460" i="1"/>
  <c r="F23459" i="1"/>
  <c r="E23459" i="1"/>
  <c r="D23459" i="1"/>
  <c r="C23459" i="1"/>
  <c r="B23459" i="1"/>
  <c r="A23459" i="1"/>
  <c r="F23458" i="1"/>
  <c r="E23458" i="1"/>
  <c r="D23458" i="1"/>
  <c r="C23458" i="1"/>
  <c r="B23458" i="1"/>
  <c r="A23458" i="1"/>
  <c r="F23457" i="1"/>
  <c r="E23457" i="1"/>
  <c r="D23457" i="1"/>
  <c r="C23457" i="1"/>
  <c r="B23457" i="1"/>
  <c r="A23457" i="1"/>
  <c r="F23456" i="1"/>
  <c r="E23456" i="1"/>
  <c r="D23456" i="1"/>
  <c r="C23456" i="1"/>
  <c r="B23456" i="1"/>
  <c r="A23456" i="1"/>
  <c r="F23455" i="1"/>
  <c r="E23455" i="1"/>
  <c r="D23455" i="1"/>
  <c r="C23455" i="1"/>
  <c r="B23455" i="1"/>
  <c r="A23455" i="1"/>
  <c r="F23454" i="1"/>
  <c r="E23454" i="1"/>
  <c r="D23454" i="1"/>
  <c r="C23454" i="1"/>
  <c r="B23454" i="1"/>
  <c r="A23454" i="1"/>
  <c r="F23453" i="1"/>
  <c r="E23453" i="1"/>
  <c r="D23453" i="1"/>
  <c r="C23453" i="1"/>
  <c r="B23453" i="1"/>
  <c r="A23453" i="1"/>
  <c r="F23452" i="1"/>
  <c r="E23452" i="1"/>
  <c r="D23452" i="1"/>
  <c r="C23452" i="1"/>
  <c r="B23452" i="1"/>
  <c r="A23452" i="1"/>
  <c r="F23451" i="1"/>
  <c r="E23451" i="1"/>
  <c r="D23451" i="1"/>
  <c r="C23451" i="1"/>
  <c r="B23451" i="1"/>
  <c r="A23451" i="1"/>
  <c r="F23450" i="1"/>
  <c r="E23450" i="1"/>
  <c r="D23450" i="1"/>
  <c r="C23450" i="1"/>
  <c r="B23450" i="1"/>
  <c r="A23450" i="1"/>
  <c r="F23449" i="1"/>
  <c r="E23449" i="1"/>
  <c r="D23449" i="1"/>
  <c r="C23449" i="1"/>
  <c r="B23449" i="1"/>
  <c r="A23449" i="1"/>
  <c r="F23448" i="1"/>
  <c r="E23448" i="1"/>
  <c r="D23448" i="1"/>
  <c r="C23448" i="1"/>
  <c r="B23448" i="1"/>
  <c r="A23448" i="1"/>
  <c r="F23447" i="1"/>
  <c r="E23447" i="1"/>
  <c r="D23447" i="1"/>
  <c r="C23447" i="1"/>
  <c r="B23447" i="1"/>
  <c r="A23447" i="1"/>
  <c r="F23446" i="1"/>
  <c r="E23446" i="1"/>
  <c r="D23446" i="1"/>
  <c r="C23446" i="1"/>
  <c r="B23446" i="1"/>
  <c r="A23446" i="1"/>
  <c r="F23445" i="1"/>
  <c r="E23445" i="1"/>
  <c r="D23445" i="1"/>
  <c r="C23445" i="1"/>
  <c r="B23445" i="1"/>
  <c r="A23445" i="1"/>
  <c r="F23444" i="1"/>
  <c r="E23444" i="1"/>
  <c r="D23444" i="1"/>
  <c r="C23444" i="1"/>
  <c r="B23444" i="1"/>
  <c r="A23444" i="1"/>
  <c r="F23443" i="1"/>
  <c r="E23443" i="1"/>
  <c r="D23443" i="1"/>
  <c r="C23443" i="1"/>
  <c r="B23443" i="1"/>
  <c r="A23443" i="1"/>
  <c r="F23442" i="1"/>
  <c r="E23442" i="1"/>
  <c r="D23442" i="1"/>
  <c r="C23442" i="1"/>
  <c r="B23442" i="1"/>
  <c r="A23442" i="1"/>
  <c r="F23441" i="1"/>
  <c r="E23441" i="1"/>
  <c r="D23441" i="1"/>
  <c r="C23441" i="1"/>
  <c r="B23441" i="1"/>
  <c r="A23441" i="1"/>
  <c r="F23440" i="1"/>
  <c r="E23440" i="1"/>
  <c r="D23440" i="1"/>
  <c r="C23440" i="1"/>
  <c r="B23440" i="1"/>
  <c r="A23440" i="1"/>
  <c r="F23439" i="1"/>
  <c r="E23439" i="1"/>
  <c r="D23439" i="1"/>
  <c r="C23439" i="1"/>
  <c r="B23439" i="1"/>
  <c r="A23439" i="1"/>
  <c r="F23438" i="1"/>
  <c r="E23438" i="1"/>
  <c r="D23438" i="1"/>
  <c r="C23438" i="1"/>
  <c r="B23438" i="1"/>
  <c r="A23438" i="1"/>
  <c r="F23437" i="1"/>
  <c r="E23437" i="1"/>
  <c r="D23437" i="1"/>
  <c r="C23437" i="1"/>
  <c r="B23437" i="1"/>
  <c r="A23437" i="1"/>
  <c r="F23436" i="1"/>
  <c r="E23436" i="1"/>
  <c r="D23436" i="1"/>
  <c r="C23436" i="1"/>
  <c r="B23436" i="1"/>
  <c r="A23436" i="1"/>
  <c r="F23435" i="1"/>
  <c r="E23435" i="1"/>
  <c r="D23435" i="1"/>
  <c r="C23435" i="1"/>
  <c r="B23435" i="1"/>
  <c r="A23435" i="1"/>
  <c r="F23434" i="1"/>
  <c r="E23434" i="1"/>
  <c r="D23434" i="1"/>
  <c r="C23434" i="1"/>
  <c r="B23434" i="1"/>
  <c r="A23434" i="1"/>
  <c r="F23433" i="1"/>
  <c r="E23433" i="1"/>
  <c r="D23433" i="1"/>
  <c r="C23433" i="1"/>
  <c r="B23433" i="1"/>
  <c r="A23433" i="1"/>
  <c r="F23432" i="1"/>
  <c r="E23432" i="1"/>
  <c r="D23432" i="1"/>
  <c r="C23432" i="1"/>
  <c r="B23432" i="1"/>
  <c r="A23432" i="1"/>
  <c r="F23431" i="1"/>
  <c r="E23431" i="1"/>
  <c r="D23431" i="1"/>
  <c r="C23431" i="1"/>
  <c r="B23431" i="1"/>
  <c r="A23431" i="1"/>
  <c r="F23430" i="1"/>
  <c r="E23430" i="1"/>
  <c r="D23430" i="1"/>
  <c r="C23430" i="1"/>
  <c r="B23430" i="1"/>
  <c r="A23430" i="1"/>
  <c r="F23429" i="1"/>
  <c r="E23429" i="1"/>
  <c r="D23429" i="1"/>
  <c r="C23429" i="1"/>
  <c r="B23429" i="1"/>
  <c r="A23429" i="1"/>
  <c r="F23428" i="1"/>
  <c r="E23428" i="1"/>
  <c r="D23428" i="1"/>
  <c r="C23428" i="1"/>
  <c r="B23428" i="1"/>
  <c r="A23428" i="1"/>
  <c r="F23427" i="1"/>
  <c r="E23427" i="1"/>
  <c r="D23427" i="1"/>
  <c r="C23427" i="1"/>
  <c r="B23427" i="1"/>
  <c r="A23427" i="1"/>
  <c r="F23426" i="1"/>
  <c r="E23426" i="1"/>
  <c r="D23426" i="1"/>
  <c r="C23426" i="1"/>
  <c r="B23426" i="1"/>
  <c r="A23426" i="1"/>
  <c r="F23425" i="1"/>
  <c r="E23425" i="1"/>
  <c r="D23425" i="1"/>
  <c r="C23425" i="1"/>
  <c r="B23425" i="1"/>
  <c r="A23425" i="1"/>
  <c r="F23424" i="1"/>
  <c r="E23424" i="1"/>
  <c r="D23424" i="1"/>
  <c r="C23424" i="1"/>
  <c r="B23424" i="1"/>
  <c r="A23424" i="1"/>
  <c r="F23423" i="1"/>
  <c r="E23423" i="1"/>
  <c r="D23423" i="1"/>
  <c r="C23423" i="1"/>
  <c r="B23423" i="1"/>
  <c r="A23423" i="1"/>
  <c r="F23422" i="1"/>
  <c r="E23422" i="1"/>
  <c r="D23422" i="1"/>
  <c r="C23422" i="1"/>
  <c r="B23422" i="1"/>
  <c r="A23422" i="1"/>
  <c r="F23421" i="1"/>
  <c r="E23421" i="1"/>
  <c r="D23421" i="1"/>
  <c r="C23421" i="1"/>
  <c r="B23421" i="1"/>
  <c r="A23421" i="1"/>
  <c r="F23420" i="1"/>
  <c r="E23420" i="1"/>
  <c r="D23420" i="1"/>
  <c r="C23420" i="1"/>
  <c r="B23420" i="1"/>
  <c r="A23420" i="1"/>
  <c r="F23419" i="1"/>
  <c r="E23419" i="1"/>
  <c r="D23419" i="1"/>
  <c r="C23419" i="1"/>
  <c r="B23419" i="1"/>
  <c r="A23419" i="1"/>
  <c r="F23418" i="1"/>
  <c r="E23418" i="1"/>
  <c r="D23418" i="1"/>
  <c r="C23418" i="1"/>
  <c r="B23418" i="1"/>
  <c r="A23418" i="1"/>
  <c r="F23417" i="1"/>
  <c r="E23417" i="1"/>
  <c r="D23417" i="1"/>
  <c r="C23417" i="1"/>
  <c r="B23417" i="1"/>
  <c r="A23417" i="1"/>
  <c r="F23416" i="1"/>
  <c r="E23416" i="1"/>
  <c r="D23416" i="1"/>
  <c r="C23416" i="1"/>
  <c r="B23416" i="1"/>
  <c r="A23416" i="1"/>
  <c r="F23415" i="1"/>
  <c r="E23415" i="1"/>
  <c r="D23415" i="1"/>
  <c r="C23415" i="1"/>
  <c r="B23415" i="1"/>
  <c r="A23415" i="1"/>
  <c r="F23414" i="1"/>
  <c r="E23414" i="1"/>
  <c r="D23414" i="1"/>
  <c r="C23414" i="1"/>
  <c r="B23414" i="1"/>
  <c r="A23414" i="1"/>
  <c r="F23413" i="1"/>
  <c r="E23413" i="1"/>
  <c r="D23413" i="1"/>
  <c r="C23413" i="1"/>
  <c r="B23413" i="1"/>
  <c r="A23413" i="1"/>
  <c r="F23412" i="1"/>
  <c r="E23412" i="1"/>
  <c r="D23412" i="1"/>
  <c r="C23412" i="1"/>
  <c r="B23412" i="1"/>
  <c r="A23412" i="1"/>
  <c r="F23411" i="1"/>
  <c r="E23411" i="1"/>
  <c r="D23411" i="1"/>
  <c r="C23411" i="1"/>
  <c r="B23411" i="1"/>
  <c r="A23411" i="1"/>
  <c r="F23410" i="1"/>
  <c r="E23410" i="1"/>
  <c r="D23410" i="1"/>
  <c r="C23410" i="1"/>
  <c r="B23410" i="1"/>
  <c r="A23410" i="1"/>
  <c r="F23409" i="1"/>
  <c r="E23409" i="1"/>
  <c r="D23409" i="1"/>
  <c r="C23409" i="1"/>
  <c r="B23409" i="1"/>
  <c r="A23409" i="1"/>
  <c r="F23408" i="1"/>
  <c r="E23408" i="1"/>
  <c r="D23408" i="1"/>
  <c r="C23408" i="1"/>
  <c r="B23408" i="1"/>
  <c r="A23408" i="1"/>
  <c r="F23407" i="1"/>
  <c r="E23407" i="1"/>
  <c r="D23407" i="1"/>
  <c r="C23407" i="1"/>
  <c r="B23407" i="1"/>
  <c r="A23407" i="1"/>
  <c r="F23406" i="1"/>
  <c r="E23406" i="1"/>
  <c r="D23406" i="1"/>
  <c r="C23406" i="1"/>
  <c r="B23406" i="1"/>
  <c r="A23406" i="1"/>
  <c r="F23405" i="1"/>
  <c r="E23405" i="1"/>
  <c r="D23405" i="1"/>
  <c r="C23405" i="1"/>
  <c r="B23405" i="1"/>
  <c r="A23405" i="1"/>
  <c r="F23404" i="1"/>
  <c r="E23404" i="1"/>
  <c r="D23404" i="1"/>
  <c r="C23404" i="1"/>
  <c r="B23404" i="1"/>
  <c r="A23404" i="1"/>
  <c r="F23403" i="1"/>
  <c r="E23403" i="1"/>
  <c r="D23403" i="1"/>
  <c r="C23403" i="1"/>
  <c r="B23403" i="1"/>
  <c r="A23403" i="1"/>
  <c r="F23402" i="1"/>
  <c r="E23402" i="1"/>
  <c r="D23402" i="1"/>
  <c r="C23402" i="1"/>
  <c r="B23402" i="1"/>
  <c r="A23402" i="1"/>
  <c r="F23401" i="1"/>
  <c r="E23401" i="1"/>
  <c r="D23401" i="1"/>
  <c r="C23401" i="1"/>
  <c r="B23401" i="1"/>
  <c r="A23401" i="1"/>
  <c r="F23400" i="1"/>
  <c r="E23400" i="1"/>
  <c r="D23400" i="1"/>
  <c r="C23400" i="1"/>
  <c r="B23400" i="1"/>
  <c r="A23400" i="1"/>
  <c r="F23399" i="1"/>
  <c r="E23399" i="1"/>
  <c r="D23399" i="1"/>
  <c r="C23399" i="1"/>
  <c r="B23399" i="1"/>
  <c r="A23399" i="1"/>
  <c r="F23398" i="1"/>
  <c r="E23398" i="1"/>
  <c r="D23398" i="1"/>
  <c r="C23398" i="1"/>
  <c r="B23398" i="1"/>
  <c r="A23398" i="1"/>
  <c r="F23397" i="1"/>
  <c r="E23397" i="1"/>
  <c r="D23397" i="1"/>
  <c r="C23397" i="1"/>
  <c r="B23397" i="1"/>
  <c r="A23397" i="1"/>
  <c r="F23396" i="1"/>
  <c r="E23396" i="1"/>
  <c r="D23396" i="1"/>
  <c r="C23396" i="1"/>
  <c r="B23396" i="1"/>
  <c r="A23396" i="1"/>
  <c r="F23395" i="1"/>
  <c r="E23395" i="1"/>
  <c r="D23395" i="1"/>
  <c r="C23395" i="1"/>
  <c r="B23395" i="1"/>
  <c r="A23395" i="1"/>
  <c r="F23394" i="1"/>
  <c r="E23394" i="1"/>
  <c r="D23394" i="1"/>
  <c r="C23394" i="1"/>
  <c r="B23394" i="1"/>
  <c r="A23394" i="1"/>
  <c r="F23393" i="1"/>
  <c r="E23393" i="1"/>
  <c r="D23393" i="1"/>
  <c r="C23393" i="1"/>
  <c r="B23393" i="1"/>
  <c r="A23393" i="1"/>
  <c r="F23392" i="1"/>
  <c r="E23392" i="1"/>
  <c r="D23392" i="1"/>
  <c r="C23392" i="1"/>
  <c r="B23392" i="1"/>
  <c r="A23392" i="1"/>
  <c r="F23391" i="1"/>
  <c r="E23391" i="1"/>
  <c r="D23391" i="1"/>
  <c r="C23391" i="1"/>
  <c r="B23391" i="1"/>
  <c r="A23391" i="1"/>
  <c r="F23390" i="1"/>
  <c r="E23390" i="1"/>
  <c r="D23390" i="1"/>
  <c r="C23390" i="1"/>
  <c r="B23390" i="1"/>
  <c r="A23390" i="1"/>
  <c r="F23389" i="1"/>
  <c r="E23389" i="1"/>
  <c r="D23389" i="1"/>
  <c r="C23389" i="1"/>
  <c r="B23389" i="1"/>
  <c r="A23389" i="1"/>
  <c r="F23388" i="1"/>
  <c r="E23388" i="1"/>
  <c r="D23388" i="1"/>
  <c r="C23388" i="1"/>
  <c r="B23388" i="1"/>
  <c r="A23388" i="1"/>
  <c r="F23387" i="1"/>
  <c r="E23387" i="1"/>
  <c r="D23387" i="1"/>
  <c r="C23387" i="1"/>
  <c r="B23387" i="1"/>
  <c r="A23387" i="1"/>
  <c r="F23386" i="1"/>
  <c r="E23386" i="1"/>
  <c r="D23386" i="1"/>
  <c r="C23386" i="1"/>
  <c r="B23386" i="1"/>
  <c r="A23386" i="1"/>
  <c r="F23385" i="1"/>
  <c r="E23385" i="1"/>
  <c r="D23385" i="1"/>
  <c r="C23385" i="1"/>
  <c r="B23385" i="1"/>
  <c r="A23385" i="1"/>
  <c r="F23384" i="1"/>
  <c r="E23384" i="1"/>
  <c r="D23384" i="1"/>
  <c r="C23384" i="1"/>
  <c r="B23384" i="1"/>
  <c r="A23384" i="1"/>
  <c r="F23383" i="1"/>
  <c r="E23383" i="1"/>
  <c r="D23383" i="1"/>
  <c r="C23383" i="1"/>
  <c r="B23383" i="1"/>
  <c r="A23383" i="1"/>
  <c r="F23382" i="1"/>
  <c r="E23382" i="1"/>
  <c r="D23382" i="1"/>
  <c r="C23382" i="1"/>
  <c r="B23382" i="1"/>
  <c r="A23382" i="1"/>
  <c r="F23381" i="1"/>
  <c r="E23381" i="1"/>
  <c r="D23381" i="1"/>
  <c r="C23381" i="1"/>
  <c r="B23381" i="1"/>
  <c r="A23381" i="1"/>
  <c r="F23380" i="1"/>
  <c r="E23380" i="1"/>
  <c r="D23380" i="1"/>
  <c r="C23380" i="1"/>
  <c r="B23380" i="1"/>
  <c r="A23380" i="1"/>
  <c r="F23379" i="1"/>
  <c r="E23379" i="1"/>
  <c r="D23379" i="1"/>
  <c r="C23379" i="1"/>
  <c r="B23379" i="1"/>
  <c r="A23379" i="1"/>
  <c r="F23378" i="1"/>
  <c r="E23378" i="1"/>
  <c r="D23378" i="1"/>
  <c r="C23378" i="1"/>
  <c r="B23378" i="1"/>
  <c r="A23378" i="1"/>
  <c r="F23377" i="1"/>
  <c r="E23377" i="1"/>
  <c r="D23377" i="1"/>
  <c r="C23377" i="1"/>
  <c r="B23377" i="1"/>
  <c r="A23377" i="1"/>
  <c r="F23376" i="1"/>
  <c r="E23376" i="1"/>
  <c r="D23376" i="1"/>
  <c r="C23376" i="1"/>
  <c r="B23376" i="1"/>
  <c r="A23376" i="1"/>
  <c r="F23375" i="1"/>
  <c r="E23375" i="1"/>
  <c r="D23375" i="1"/>
  <c r="C23375" i="1"/>
  <c r="B23375" i="1"/>
  <c r="A23375" i="1"/>
  <c r="F23374" i="1"/>
  <c r="E23374" i="1"/>
  <c r="D23374" i="1"/>
  <c r="C23374" i="1"/>
  <c r="B23374" i="1"/>
  <c r="A23374" i="1"/>
  <c r="F23373" i="1"/>
  <c r="E23373" i="1"/>
  <c r="D23373" i="1"/>
  <c r="C23373" i="1"/>
  <c r="B23373" i="1"/>
  <c r="A23373" i="1"/>
  <c r="F23372" i="1"/>
  <c r="E23372" i="1"/>
  <c r="D23372" i="1"/>
  <c r="C23372" i="1"/>
  <c r="B23372" i="1"/>
  <c r="A23372" i="1"/>
  <c r="F23371" i="1"/>
  <c r="E23371" i="1"/>
  <c r="D23371" i="1"/>
  <c r="C23371" i="1"/>
  <c r="B23371" i="1"/>
  <c r="A23371" i="1"/>
  <c r="F23370" i="1"/>
  <c r="E23370" i="1"/>
  <c r="D23370" i="1"/>
  <c r="C23370" i="1"/>
  <c r="B23370" i="1"/>
  <c r="A23370" i="1"/>
  <c r="F23369" i="1"/>
  <c r="E23369" i="1"/>
  <c r="D23369" i="1"/>
  <c r="C23369" i="1"/>
  <c r="B23369" i="1"/>
  <c r="A23369" i="1"/>
  <c r="F23368" i="1"/>
  <c r="E23368" i="1"/>
  <c r="D23368" i="1"/>
  <c r="C23368" i="1"/>
  <c r="B23368" i="1"/>
  <c r="A23368" i="1"/>
  <c r="F23367" i="1"/>
  <c r="E23367" i="1"/>
  <c r="D23367" i="1"/>
  <c r="C23367" i="1"/>
  <c r="B23367" i="1"/>
  <c r="A23367" i="1"/>
  <c r="F23366" i="1"/>
  <c r="E23366" i="1"/>
  <c r="D23366" i="1"/>
  <c r="C23366" i="1"/>
  <c r="B23366" i="1"/>
  <c r="A23366" i="1"/>
  <c r="F23365" i="1"/>
  <c r="E23365" i="1"/>
  <c r="D23365" i="1"/>
  <c r="C23365" i="1"/>
  <c r="B23365" i="1"/>
  <c r="A23365" i="1"/>
  <c r="F23364" i="1"/>
  <c r="E23364" i="1"/>
  <c r="D23364" i="1"/>
  <c r="C23364" i="1"/>
  <c r="B23364" i="1"/>
  <c r="A23364" i="1"/>
  <c r="F23363" i="1"/>
  <c r="E23363" i="1"/>
  <c r="D23363" i="1"/>
  <c r="C23363" i="1"/>
  <c r="B23363" i="1"/>
  <c r="A23363" i="1"/>
  <c r="F23362" i="1"/>
  <c r="E23362" i="1"/>
  <c r="D23362" i="1"/>
  <c r="C23362" i="1"/>
  <c r="B23362" i="1"/>
  <c r="A23362" i="1"/>
  <c r="F23361" i="1"/>
  <c r="E23361" i="1"/>
  <c r="D23361" i="1"/>
  <c r="C23361" i="1"/>
  <c r="B23361" i="1"/>
  <c r="A23361" i="1"/>
  <c r="F23360" i="1"/>
  <c r="E23360" i="1"/>
  <c r="D23360" i="1"/>
  <c r="C23360" i="1"/>
  <c r="B23360" i="1"/>
  <c r="A23360" i="1"/>
  <c r="F23359" i="1"/>
  <c r="E23359" i="1"/>
  <c r="D23359" i="1"/>
  <c r="C23359" i="1"/>
  <c r="B23359" i="1"/>
  <c r="A23359" i="1"/>
  <c r="F23358" i="1"/>
  <c r="E23358" i="1"/>
  <c r="D23358" i="1"/>
  <c r="C23358" i="1"/>
  <c r="B23358" i="1"/>
  <c r="A23358" i="1"/>
  <c r="F23357" i="1"/>
  <c r="E23357" i="1"/>
  <c r="D23357" i="1"/>
  <c r="C23357" i="1"/>
  <c r="B23357" i="1"/>
  <c r="A23357" i="1"/>
  <c r="F23356" i="1"/>
  <c r="E23356" i="1"/>
  <c r="D23356" i="1"/>
  <c r="C23356" i="1"/>
  <c r="B23356" i="1"/>
  <c r="A23356" i="1"/>
  <c r="F23355" i="1"/>
  <c r="E23355" i="1"/>
  <c r="D23355" i="1"/>
  <c r="C23355" i="1"/>
  <c r="B23355" i="1"/>
  <c r="A23355" i="1"/>
  <c r="F23354" i="1"/>
  <c r="E23354" i="1"/>
  <c r="D23354" i="1"/>
  <c r="C23354" i="1"/>
  <c r="B23354" i="1"/>
  <c r="A23354" i="1"/>
  <c r="F23353" i="1"/>
  <c r="E23353" i="1"/>
  <c r="D23353" i="1"/>
  <c r="C23353" i="1"/>
  <c r="B23353" i="1"/>
  <c r="A23353" i="1"/>
  <c r="F23352" i="1"/>
  <c r="E23352" i="1"/>
  <c r="D23352" i="1"/>
  <c r="C23352" i="1"/>
  <c r="B23352" i="1"/>
  <c r="A23352" i="1"/>
  <c r="F23351" i="1"/>
  <c r="E23351" i="1"/>
  <c r="D23351" i="1"/>
  <c r="C23351" i="1"/>
  <c r="B23351" i="1"/>
  <c r="A23351" i="1"/>
  <c r="F23350" i="1"/>
  <c r="E23350" i="1"/>
  <c r="D23350" i="1"/>
  <c r="C23350" i="1"/>
  <c r="B23350" i="1"/>
  <c r="A23350" i="1"/>
  <c r="F23349" i="1"/>
  <c r="E23349" i="1"/>
  <c r="D23349" i="1"/>
  <c r="C23349" i="1"/>
  <c r="B23349" i="1"/>
  <c r="A23349" i="1"/>
  <c r="F23348" i="1"/>
  <c r="E23348" i="1"/>
  <c r="D23348" i="1"/>
  <c r="C23348" i="1"/>
  <c r="B23348" i="1"/>
  <c r="A23348" i="1"/>
  <c r="F23347" i="1"/>
  <c r="E23347" i="1"/>
  <c r="D23347" i="1"/>
  <c r="C23347" i="1"/>
  <c r="B23347" i="1"/>
  <c r="A23347" i="1"/>
  <c r="F23346" i="1"/>
  <c r="E23346" i="1"/>
  <c r="D23346" i="1"/>
  <c r="C23346" i="1"/>
  <c r="B23346" i="1"/>
  <c r="A23346" i="1"/>
  <c r="F23345" i="1"/>
  <c r="E23345" i="1"/>
  <c r="D23345" i="1"/>
  <c r="C23345" i="1"/>
  <c r="B23345" i="1"/>
  <c r="A23345" i="1"/>
  <c r="F23344" i="1"/>
  <c r="E23344" i="1"/>
  <c r="D23344" i="1"/>
  <c r="C23344" i="1"/>
  <c r="B23344" i="1"/>
  <c r="A23344" i="1"/>
  <c r="F23343" i="1"/>
  <c r="E23343" i="1"/>
  <c r="D23343" i="1"/>
  <c r="C23343" i="1"/>
  <c r="B23343" i="1"/>
  <c r="A23343" i="1"/>
  <c r="F23342" i="1"/>
  <c r="E23342" i="1"/>
  <c r="D23342" i="1"/>
  <c r="C23342" i="1"/>
  <c r="B23342" i="1"/>
  <c r="A23342" i="1"/>
  <c r="F23341" i="1"/>
  <c r="E23341" i="1"/>
  <c r="D23341" i="1"/>
  <c r="C23341" i="1"/>
  <c r="B23341" i="1"/>
  <c r="A23341" i="1"/>
  <c r="F23340" i="1"/>
  <c r="E23340" i="1"/>
  <c r="D23340" i="1"/>
  <c r="C23340" i="1"/>
  <c r="B23340" i="1"/>
  <c r="A23340" i="1"/>
  <c r="F23339" i="1"/>
  <c r="E23339" i="1"/>
  <c r="D23339" i="1"/>
  <c r="C23339" i="1"/>
  <c r="B23339" i="1"/>
  <c r="A23339" i="1"/>
  <c r="F23338" i="1"/>
  <c r="E23338" i="1"/>
  <c r="D23338" i="1"/>
  <c r="C23338" i="1"/>
  <c r="B23338" i="1"/>
  <c r="A23338" i="1"/>
  <c r="F23337" i="1"/>
  <c r="E23337" i="1"/>
  <c r="D23337" i="1"/>
  <c r="C23337" i="1"/>
  <c r="B23337" i="1"/>
  <c r="A23337" i="1"/>
  <c r="F23336" i="1"/>
  <c r="E23336" i="1"/>
  <c r="D23336" i="1"/>
  <c r="C23336" i="1"/>
  <c r="B23336" i="1"/>
  <c r="A23336" i="1"/>
  <c r="F23335" i="1"/>
  <c r="E23335" i="1"/>
  <c r="D23335" i="1"/>
  <c r="C23335" i="1"/>
  <c r="B23335" i="1"/>
  <c r="A23335" i="1"/>
  <c r="F23334" i="1"/>
  <c r="E23334" i="1"/>
  <c r="D23334" i="1"/>
  <c r="C23334" i="1"/>
  <c r="B23334" i="1"/>
  <c r="A23334" i="1"/>
  <c r="F23333" i="1"/>
  <c r="E23333" i="1"/>
  <c r="D23333" i="1"/>
  <c r="C23333" i="1"/>
  <c r="B23333" i="1"/>
  <c r="A23333" i="1"/>
  <c r="F23332" i="1"/>
  <c r="E23332" i="1"/>
  <c r="D23332" i="1"/>
  <c r="C23332" i="1"/>
  <c r="B23332" i="1"/>
  <c r="A23332" i="1"/>
  <c r="F23331" i="1"/>
  <c r="E23331" i="1"/>
  <c r="D23331" i="1"/>
  <c r="C23331" i="1"/>
  <c r="B23331" i="1"/>
  <c r="A23331" i="1"/>
  <c r="F23330" i="1"/>
  <c r="E23330" i="1"/>
  <c r="D23330" i="1"/>
  <c r="C23330" i="1"/>
  <c r="B23330" i="1"/>
  <c r="A23330" i="1"/>
  <c r="F23329" i="1"/>
  <c r="E23329" i="1"/>
  <c r="D23329" i="1"/>
  <c r="C23329" i="1"/>
  <c r="B23329" i="1"/>
  <c r="A23329" i="1"/>
  <c r="F23328" i="1"/>
  <c r="E23328" i="1"/>
  <c r="D23328" i="1"/>
  <c r="C23328" i="1"/>
  <c r="B23328" i="1"/>
  <c r="A23328" i="1"/>
  <c r="F23327" i="1"/>
  <c r="E23327" i="1"/>
  <c r="D23327" i="1"/>
  <c r="C23327" i="1"/>
  <c r="B23327" i="1"/>
  <c r="A23327" i="1"/>
  <c r="F23326" i="1"/>
  <c r="E23326" i="1"/>
  <c r="D23326" i="1"/>
  <c r="C23326" i="1"/>
  <c r="B23326" i="1"/>
  <c r="A23326" i="1"/>
  <c r="F23325" i="1"/>
  <c r="E23325" i="1"/>
  <c r="D23325" i="1"/>
  <c r="C23325" i="1"/>
  <c r="B23325" i="1"/>
  <c r="A23325" i="1"/>
  <c r="F23324" i="1"/>
  <c r="E23324" i="1"/>
  <c r="D23324" i="1"/>
  <c r="C23324" i="1"/>
  <c r="B23324" i="1"/>
  <c r="A23324" i="1"/>
  <c r="F23323" i="1"/>
  <c r="E23323" i="1"/>
  <c r="D23323" i="1"/>
  <c r="C23323" i="1"/>
  <c r="B23323" i="1"/>
  <c r="A23323" i="1"/>
  <c r="F23322" i="1"/>
  <c r="E23322" i="1"/>
  <c r="D23322" i="1"/>
  <c r="C23322" i="1"/>
  <c r="B23322" i="1"/>
  <c r="A23322" i="1"/>
  <c r="F23321" i="1"/>
  <c r="E23321" i="1"/>
  <c r="D23321" i="1"/>
  <c r="C23321" i="1"/>
  <c r="B23321" i="1"/>
  <c r="A23321" i="1"/>
  <c r="F23320" i="1"/>
  <c r="E23320" i="1"/>
  <c r="D23320" i="1"/>
  <c r="C23320" i="1"/>
  <c r="B23320" i="1"/>
  <c r="A23320" i="1"/>
  <c r="F23319" i="1"/>
  <c r="E23319" i="1"/>
  <c r="D23319" i="1"/>
  <c r="C23319" i="1"/>
  <c r="B23319" i="1"/>
  <c r="A23319" i="1"/>
  <c r="F23318" i="1"/>
  <c r="E23318" i="1"/>
  <c r="D23318" i="1"/>
  <c r="C23318" i="1"/>
  <c r="B23318" i="1"/>
  <c r="A23318" i="1"/>
  <c r="F23317" i="1"/>
  <c r="E23317" i="1"/>
  <c r="D23317" i="1"/>
  <c r="C23317" i="1"/>
  <c r="B23317" i="1"/>
  <c r="A23317" i="1"/>
  <c r="F23316" i="1"/>
  <c r="E23316" i="1"/>
  <c r="D23316" i="1"/>
  <c r="C23316" i="1"/>
  <c r="B23316" i="1"/>
  <c r="A23316" i="1"/>
  <c r="F23315" i="1"/>
  <c r="E23315" i="1"/>
  <c r="D23315" i="1"/>
  <c r="C23315" i="1"/>
  <c r="B23315" i="1"/>
  <c r="A23315" i="1"/>
  <c r="F23314" i="1"/>
  <c r="E23314" i="1"/>
  <c r="D23314" i="1"/>
  <c r="C23314" i="1"/>
  <c r="B23314" i="1"/>
  <c r="A23314" i="1"/>
  <c r="F23313" i="1"/>
  <c r="E23313" i="1"/>
  <c r="D23313" i="1"/>
  <c r="C23313" i="1"/>
  <c r="B23313" i="1"/>
  <c r="A23313" i="1"/>
  <c r="F23312" i="1"/>
  <c r="E23312" i="1"/>
  <c r="D23312" i="1"/>
  <c r="C23312" i="1"/>
  <c r="B23312" i="1"/>
  <c r="A23312" i="1"/>
  <c r="F23311" i="1"/>
  <c r="E23311" i="1"/>
  <c r="D23311" i="1"/>
  <c r="C23311" i="1"/>
  <c r="B23311" i="1"/>
  <c r="A23311" i="1"/>
  <c r="F23310" i="1"/>
  <c r="E23310" i="1"/>
  <c r="D23310" i="1"/>
  <c r="C23310" i="1"/>
  <c r="B23310" i="1"/>
  <c r="A23310" i="1"/>
  <c r="F23309" i="1"/>
  <c r="E23309" i="1"/>
  <c r="D23309" i="1"/>
  <c r="C23309" i="1"/>
  <c r="B23309" i="1"/>
  <c r="A23309" i="1"/>
  <c r="F23308" i="1"/>
  <c r="E23308" i="1"/>
  <c r="D23308" i="1"/>
  <c r="C23308" i="1"/>
  <c r="B23308" i="1"/>
  <c r="A23308" i="1"/>
  <c r="F23307" i="1"/>
  <c r="E23307" i="1"/>
  <c r="D23307" i="1"/>
  <c r="C23307" i="1"/>
  <c r="B23307" i="1"/>
  <c r="A23307" i="1"/>
  <c r="F23306" i="1"/>
  <c r="E23306" i="1"/>
  <c r="D23306" i="1"/>
  <c r="C23306" i="1"/>
  <c r="B23306" i="1"/>
  <c r="A23306" i="1"/>
  <c r="F23305" i="1"/>
  <c r="E23305" i="1"/>
  <c r="D23305" i="1"/>
  <c r="C23305" i="1"/>
  <c r="B23305" i="1"/>
  <c r="A23305" i="1"/>
  <c r="F23304" i="1"/>
  <c r="E23304" i="1"/>
  <c r="D23304" i="1"/>
  <c r="C23304" i="1"/>
  <c r="B23304" i="1"/>
  <c r="A23304" i="1"/>
  <c r="F23303" i="1"/>
  <c r="E23303" i="1"/>
  <c r="D23303" i="1"/>
  <c r="C23303" i="1"/>
  <c r="B23303" i="1"/>
  <c r="A23303" i="1"/>
  <c r="F23302" i="1"/>
  <c r="E23302" i="1"/>
  <c r="D23302" i="1"/>
  <c r="C23302" i="1"/>
  <c r="B23302" i="1"/>
  <c r="A23302" i="1"/>
  <c r="F23301" i="1"/>
  <c r="E23301" i="1"/>
  <c r="D23301" i="1"/>
  <c r="C23301" i="1"/>
  <c r="B23301" i="1"/>
  <c r="A23301" i="1"/>
  <c r="F23300" i="1"/>
  <c r="E23300" i="1"/>
  <c r="D23300" i="1"/>
  <c r="C23300" i="1"/>
  <c r="B23300" i="1"/>
  <c r="A23300" i="1"/>
  <c r="F23299" i="1"/>
  <c r="E23299" i="1"/>
  <c r="D23299" i="1"/>
  <c r="C23299" i="1"/>
  <c r="B23299" i="1"/>
  <c r="A23299" i="1"/>
  <c r="F23298" i="1"/>
  <c r="E23298" i="1"/>
  <c r="D23298" i="1"/>
  <c r="C23298" i="1"/>
  <c r="B23298" i="1"/>
  <c r="A23298" i="1"/>
  <c r="F23297" i="1"/>
  <c r="E23297" i="1"/>
  <c r="D23297" i="1"/>
  <c r="C23297" i="1"/>
  <c r="B23297" i="1"/>
  <c r="A23297" i="1"/>
  <c r="F23296" i="1"/>
  <c r="E23296" i="1"/>
  <c r="D23296" i="1"/>
  <c r="C23296" i="1"/>
  <c r="B23296" i="1"/>
  <c r="A23296" i="1"/>
  <c r="F23295" i="1"/>
  <c r="E23295" i="1"/>
  <c r="D23295" i="1"/>
  <c r="C23295" i="1"/>
  <c r="B23295" i="1"/>
  <c r="A23295" i="1"/>
  <c r="F23294" i="1"/>
  <c r="E23294" i="1"/>
  <c r="D23294" i="1"/>
  <c r="C23294" i="1"/>
  <c r="B23294" i="1"/>
  <c r="A23294" i="1"/>
  <c r="F23293" i="1"/>
  <c r="E23293" i="1"/>
  <c r="D23293" i="1"/>
  <c r="C23293" i="1"/>
  <c r="B23293" i="1"/>
  <c r="A23293" i="1"/>
  <c r="F23292" i="1"/>
  <c r="E23292" i="1"/>
  <c r="D23292" i="1"/>
  <c r="C23292" i="1"/>
  <c r="B23292" i="1"/>
  <c r="A23292" i="1"/>
  <c r="F23291" i="1"/>
  <c r="E23291" i="1"/>
  <c r="D23291" i="1"/>
  <c r="C23291" i="1"/>
  <c r="B23291" i="1"/>
  <c r="A23291" i="1"/>
  <c r="F23290" i="1"/>
  <c r="E23290" i="1"/>
  <c r="D23290" i="1"/>
  <c r="C23290" i="1"/>
  <c r="B23290" i="1"/>
  <c r="A23290" i="1"/>
  <c r="F23289" i="1"/>
  <c r="E23289" i="1"/>
  <c r="D23289" i="1"/>
  <c r="C23289" i="1"/>
  <c r="B23289" i="1"/>
  <c r="A23289" i="1"/>
  <c r="F23288" i="1"/>
  <c r="E23288" i="1"/>
  <c r="D23288" i="1"/>
  <c r="C23288" i="1"/>
  <c r="B23288" i="1"/>
  <c r="A23288" i="1"/>
  <c r="F23287" i="1"/>
  <c r="E23287" i="1"/>
  <c r="D23287" i="1"/>
  <c r="C23287" i="1"/>
  <c r="B23287" i="1"/>
  <c r="A23287" i="1"/>
  <c r="F23286" i="1"/>
  <c r="E23286" i="1"/>
  <c r="D23286" i="1"/>
  <c r="C23286" i="1"/>
  <c r="B23286" i="1"/>
  <c r="A23286" i="1"/>
  <c r="F23285" i="1"/>
  <c r="E23285" i="1"/>
  <c r="D23285" i="1"/>
  <c r="C23285" i="1"/>
  <c r="B23285" i="1"/>
  <c r="A23285" i="1"/>
  <c r="F23284" i="1"/>
  <c r="E23284" i="1"/>
  <c r="D23284" i="1"/>
  <c r="C23284" i="1"/>
  <c r="B23284" i="1"/>
  <c r="A23284" i="1"/>
  <c r="F23283" i="1"/>
  <c r="E23283" i="1"/>
  <c r="D23283" i="1"/>
  <c r="C23283" i="1"/>
  <c r="B23283" i="1"/>
  <c r="A23283" i="1"/>
  <c r="F23282" i="1"/>
  <c r="E23282" i="1"/>
  <c r="D23282" i="1"/>
  <c r="C23282" i="1"/>
  <c r="B23282" i="1"/>
  <c r="A23282" i="1"/>
  <c r="F23281" i="1"/>
  <c r="E23281" i="1"/>
  <c r="D23281" i="1"/>
  <c r="C23281" i="1"/>
  <c r="B23281" i="1"/>
  <c r="A23281" i="1"/>
  <c r="F23280" i="1"/>
  <c r="E23280" i="1"/>
  <c r="D23280" i="1"/>
  <c r="C23280" i="1"/>
  <c r="B23280" i="1"/>
  <c r="A23280" i="1"/>
  <c r="F23279" i="1"/>
  <c r="E23279" i="1"/>
  <c r="D23279" i="1"/>
  <c r="C23279" i="1"/>
  <c r="B23279" i="1"/>
  <c r="A23279" i="1"/>
  <c r="F23278" i="1"/>
  <c r="E23278" i="1"/>
  <c r="D23278" i="1"/>
  <c r="C23278" i="1"/>
  <c r="B23278" i="1"/>
  <c r="A23278" i="1"/>
  <c r="F23277" i="1"/>
  <c r="E23277" i="1"/>
  <c r="D23277" i="1"/>
  <c r="C23277" i="1"/>
  <c r="B23277" i="1"/>
  <c r="A23277" i="1"/>
  <c r="F23276" i="1"/>
  <c r="E23276" i="1"/>
  <c r="D23276" i="1"/>
  <c r="C23276" i="1"/>
  <c r="B23276" i="1"/>
  <c r="A23276" i="1"/>
  <c r="F23275" i="1"/>
  <c r="E23275" i="1"/>
  <c r="D23275" i="1"/>
  <c r="C23275" i="1"/>
  <c r="B23275" i="1"/>
  <c r="A23275" i="1"/>
  <c r="F23274" i="1"/>
  <c r="E23274" i="1"/>
  <c r="D23274" i="1"/>
  <c r="C23274" i="1"/>
  <c r="B23274" i="1"/>
  <c r="A23274" i="1"/>
  <c r="F23273" i="1"/>
  <c r="E23273" i="1"/>
  <c r="D23273" i="1"/>
  <c r="C23273" i="1"/>
  <c r="B23273" i="1"/>
  <c r="A23273" i="1"/>
  <c r="F23272" i="1"/>
  <c r="E23272" i="1"/>
  <c r="D23272" i="1"/>
  <c r="C23272" i="1"/>
  <c r="B23272" i="1"/>
  <c r="A23272" i="1"/>
  <c r="F23271" i="1"/>
  <c r="E23271" i="1"/>
  <c r="D23271" i="1"/>
  <c r="C23271" i="1"/>
  <c r="B23271" i="1"/>
  <c r="A23271" i="1"/>
  <c r="F23270" i="1"/>
  <c r="E23270" i="1"/>
  <c r="D23270" i="1"/>
  <c r="C23270" i="1"/>
  <c r="B23270" i="1"/>
  <c r="A23270" i="1"/>
  <c r="F23269" i="1"/>
  <c r="E23269" i="1"/>
  <c r="D23269" i="1"/>
  <c r="C23269" i="1"/>
  <c r="B23269" i="1"/>
  <c r="A23269" i="1"/>
  <c r="F23268" i="1"/>
  <c r="E23268" i="1"/>
  <c r="D23268" i="1"/>
  <c r="C23268" i="1"/>
  <c r="B23268" i="1"/>
  <c r="A23268" i="1"/>
  <c r="F23267" i="1"/>
  <c r="E23267" i="1"/>
  <c r="D23267" i="1"/>
  <c r="C23267" i="1"/>
  <c r="B23267" i="1"/>
  <c r="A23267" i="1"/>
  <c r="F23266" i="1"/>
  <c r="E23266" i="1"/>
  <c r="D23266" i="1"/>
  <c r="C23266" i="1"/>
  <c r="B23266" i="1"/>
  <c r="A23266" i="1"/>
  <c r="F23265" i="1"/>
  <c r="E23265" i="1"/>
  <c r="D23265" i="1"/>
  <c r="C23265" i="1"/>
  <c r="B23265" i="1"/>
  <c r="A23265" i="1"/>
  <c r="F23264" i="1"/>
  <c r="E23264" i="1"/>
  <c r="D23264" i="1"/>
  <c r="C23264" i="1"/>
  <c r="B23264" i="1"/>
  <c r="A23264" i="1"/>
  <c r="F23263" i="1"/>
  <c r="E23263" i="1"/>
  <c r="D23263" i="1"/>
  <c r="C23263" i="1"/>
  <c r="B23263" i="1"/>
  <c r="A23263" i="1"/>
  <c r="F23262" i="1"/>
  <c r="E23262" i="1"/>
  <c r="D23262" i="1"/>
  <c r="C23262" i="1"/>
  <c r="B23262" i="1"/>
  <c r="A23262" i="1"/>
  <c r="F23261" i="1"/>
  <c r="E23261" i="1"/>
  <c r="D23261" i="1"/>
  <c r="C23261" i="1"/>
  <c r="B23261" i="1"/>
  <c r="A23261" i="1"/>
  <c r="F23260" i="1"/>
  <c r="E23260" i="1"/>
  <c r="D23260" i="1"/>
  <c r="C23260" i="1"/>
  <c r="B23260" i="1"/>
  <c r="A23260" i="1"/>
  <c r="F23259" i="1"/>
  <c r="E23259" i="1"/>
  <c r="D23259" i="1"/>
  <c r="C23259" i="1"/>
  <c r="B23259" i="1"/>
  <c r="A23259" i="1"/>
  <c r="F23258" i="1"/>
  <c r="E23258" i="1"/>
  <c r="D23258" i="1"/>
  <c r="C23258" i="1"/>
  <c r="B23258" i="1"/>
  <c r="A23258" i="1"/>
  <c r="F23257" i="1"/>
  <c r="E23257" i="1"/>
  <c r="D23257" i="1"/>
  <c r="C23257" i="1"/>
  <c r="B23257" i="1"/>
  <c r="A23257" i="1"/>
  <c r="F23256" i="1"/>
  <c r="E23256" i="1"/>
  <c r="D23256" i="1"/>
  <c r="C23256" i="1"/>
  <c r="B23256" i="1"/>
  <c r="A23256" i="1"/>
  <c r="F23255" i="1"/>
  <c r="E23255" i="1"/>
  <c r="D23255" i="1"/>
  <c r="C23255" i="1"/>
  <c r="B23255" i="1"/>
  <c r="A23255" i="1"/>
  <c r="F23254" i="1"/>
  <c r="E23254" i="1"/>
  <c r="D23254" i="1"/>
  <c r="C23254" i="1"/>
  <c r="B23254" i="1"/>
  <c r="A23254" i="1"/>
  <c r="F23253" i="1"/>
  <c r="E23253" i="1"/>
  <c r="D23253" i="1"/>
  <c r="C23253" i="1"/>
  <c r="B23253" i="1"/>
  <c r="A23253" i="1"/>
  <c r="F23252" i="1"/>
  <c r="E23252" i="1"/>
  <c r="D23252" i="1"/>
  <c r="C23252" i="1"/>
  <c r="B23252" i="1"/>
  <c r="A23252" i="1"/>
  <c r="F23251" i="1"/>
  <c r="E23251" i="1"/>
  <c r="D23251" i="1"/>
  <c r="C23251" i="1"/>
  <c r="B23251" i="1"/>
  <c r="A23251" i="1"/>
  <c r="F23250" i="1"/>
  <c r="E23250" i="1"/>
  <c r="D23250" i="1"/>
  <c r="C23250" i="1"/>
  <c r="B23250" i="1"/>
  <c r="A23250" i="1"/>
  <c r="F23249" i="1"/>
  <c r="E23249" i="1"/>
  <c r="D23249" i="1"/>
  <c r="C23249" i="1"/>
  <c r="B23249" i="1"/>
  <c r="A23249" i="1"/>
  <c r="F23248" i="1"/>
  <c r="E23248" i="1"/>
  <c r="D23248" i="1"/>
  <c r="C23248" i="1"/>
  <c r="B23248" i="1"/>
  <c r="A23248" i="1"/>
  <c r="F23247" i="1"/>
  <c r="E23247" i="1"/>
  <c r="D23247" i="1"/>
  <c r="C23247" i="1"/>
  <c r="B23247" i="1"/>
  <c r="A23247" i="1"/>
  <c r="F23246" i="1"/>
  <c r="E23246" i="1"/>
  <c r="D23246" i="1"/>
  <c r="C23246" i="1"/>
  <c r="B23246" i="1"/>
  <c r="A23246" i="1"/>
  <c r="F23245" i="1"/>
  <c r="E23245" i="1"/>
  <c r="D23245" i="1"/>
  <c r="C23245" i="1"/>
  <c r="B23245" i="1"/>
  <c r="A23245" i="1"/>
  <c r="F23244" i="1"/>
  <c r="E23244" i="1"/>
  <c r="D23244" i="1"/>
  <c r="C23244" i="1"/>
  <c r="B23244" i="1"/>
  <c r="A23244" i="1"/>
  <c r="F23243" i="1"/>
  <c r="E23243" i="1"/>
  <c r="D23243" i="1"/>
  <c r="C23243" i="1"/>
  <c r="B23243" i="1"/>
  <c r="A23243" i="1"/>
  <c r="F23242" i="1"/>
  <c r="E23242" i="1"/>
  <c r="D23242" i="1"/>
  <c r="C23242" i="1"/>
  <c r="B23242" i="1"/>
  <c r="A23242" i="1"/>
  <c r="F23241" i="1"/>
  <c r="E23241" i="1"/>
  <c r="D23241" i="1"/>
  <c r="C23241" i="1"/>
  <c r="B23241" i="1"/>
  <c r="A23241" i="1"/>
  <c r="F23240" i="1"/>
  <c r="E23240" i="1"/>
  <c r="D23240" i="1"/>
  <c r="C23240" i="1"/>
  <c r="B23240" i="1"/>
  <c r="A23240" i="1"/>
  <c r="F23239" i="1"/>
  <c r="E23239" i="1"/>
  <c r="D23239" i="1"/>
  <c r="C23239" i="1"/>
  <c r="B23239" i="1"/>
  <c r="A23239" i="1"/>
  <c r="F23238" i="1"/>
  <c r="E23238" i="1"/>
  <c r="D23238" i="1"/>
  <c r="C23238" i="1"/>
  <c r="B23238" i="1"/>
  <c r="A23238" i="1"/>
  <c r="F23237" i="1"/>
  <c r="E23237" i="1"/>
  <c r="D23237" i="1"/>
  <c r="C23237" i="1"/>
  <c r="B23237" i="1"/>
  <c r="A23237" i="1"/>
  <c r="F23236" i="1"/>
  <c r="E23236" i="1"/>
  <c r="D23236" i="1"/>
  <c r="C23236" i="1"/>
  <c r="B23236" i="1"/>
  <c r="A23236" i="1"/>
  <c r="F23235" i="1"/>
  <c r="E23235" i="1"/>
  <c r="D23235" i="1"/>
  <c r="C23235" i="1"/>
  <c r="B23235" i="1"/>
  <c r="A23235" i="1"/>
  <c r="F23234" i="1"/>
  <c r="E23234" i="1"/>
  <c r="D23234" i="1"/>
  <c r="C23234" i="1"/>
  <c r="B23234" i="1"/>
  <c r="A23234" i="1"/>
  <c r="F23233" i="1"/>
  <c r="E23233" i="1"/>
  <c r="D23233" i="1"/>
  <c r="C23233" i="1"/>
  <c r="B23233" i="1"/>
  <c r="A23233" i="1"/>
  <c r="F23232" i="1"/>
  <c r="E23232" i="1"/>
  <c r="D23232" i="1"/>
  <c r="C23232" i="1"/>
  <c r="B23232" i="1"/>
  <c r="A23232" i="1"/>
  <c r="F23231" i="1"/>
  <c r="E23231" i="1"/>
  <c r="D23231" i="1"/>
  <c r="C23231" i="1"/>
  <c r="B23231" i="1"/>
  <c r="A23231" i="1"/>
  <c r="F23230" i="1"/>
  <c r="E23230" i="1"/>
  <c r="D23230" i="1"/>
  <c r="C23230" i="1"/>
  <c r="B23230" i="1"/>
  <c r="A23230" i="1"/>
  <c r="F23229" i="1"/>
  <c r="E23229" i="1"/>
  <c r="D23229" i="1"/>
  <c r="C23229" i="1"/>
  <c r="B23229" i="1"/>
  <c r="A23229" i="1"/>
  <c r="F23228" i="1"/>
  <c r="E23228" i="1"/>
  <c r="D23228" i="1"/>
  <c r="C23228" i="1"/>
  <c r="B23228" i="1"/>
  <c r="A23228" i="1"/>
  <c r="F23227" i="1"/>
  <c r="E23227" i="1"/>
  <c r="D23227" i="1"/>
  <c r="C23227" i="1"/>
  <c r="B23227" i="1"/>
  <c r="A23227" i="1"/>
  <c r="F23226" i="1"/>
  <c r="E23226" i="1"/>
  <c r="D23226" i="1"/>
  <c r="C23226" i="1"/>
  <c r="B23226" i="1"/>
  <c r="A23226" i="1"/>
  <c r="F23225" i="1"/>
  <c r="E23225" i="1"/>
  <c r="D23225" i="1"/>
  <c r="C23225" i="1"/>
  <c r="B23225" i="1"/>
  <c r="A23225" i="1"/>
  <c r="F23224" i="1"/>
  <c r="E23224" i="1"/>
  <c r="D23224" i="1"/>
  <c r="C23224" i="1"/>
  <c r="B23224" i="1"/>
  <c r="A23224" i="1"/>
  <c r="F23223" i="1"/>
  <c r="E23223" i="1"/>
  <c r="D23223" i="1"/>
  <c r="C23223" i="1"/>
  <c r="B23223" i="1"/>
  <c r="A23223" i="1"/>
  <c r="F23222" i="1"/>
  <c r="E23222" i="1"/>
  <c r="D23222" i="1"/>
  <c r="C23222" i="1"/>
  <c r="B23222" i="1"/>
  <c r="A23222" i="1"/>
  <c r="F23221" i="1"/>
  <c r="E23221" i="1"/>
  <c r="D23221" i="1"/>
  <c r="C23221" i="1"/>
  <c r="B23221" i="1"/>
  <c r="A23221" i="1"/>
  <c r="F23220" i="1"/>
  <c r="E23220" i="1"/>
  <c r="D23220" i="1"/>
  <c r="C23220" i="1"/>
  <c r="B23220" i="1"/>
  <c r="A23220" i="1"/>
  <c r="F23219" i="1"/>
  <c r="E23219" i="1"/>
  <c r="D23219" i="1"/>
  <c r="C23219" i="1"/>
  <c r="B23219" i="1"/>
  <c r="A23219" i="1"/>
  <c r="F23218" i="1"/>
  <c r="E23218" i="1"/>
  <c r="D23218" i="1"/>
  <c r="C23218" i="1"/>
  <c r="B23218" i="1"/>
  <c r="A23218" i="1"/>
  <c r="F23217" i="1"/>
  <c r="E23217" i="1"/>
  <c r="D23217" i="1"/>
  <c r="C23217" i="1"/>
  <c r="B23217" i="1"/>
  <c r="A23217" i="1"/>
  <c r="F23216" i="1"/>
  <c r="E23216" i="1"/>
  <c r="D23216" i="1"/>
  <c r="C23216" i="1"/>
  <c r="B23216" i="1"/>
  <c r="A23216" i="1"/>
  <c r="F23215" i="1"/>
  <c r="E23215" i="1"/>
  <c r="D23215" i="1"/>
  <c r="C23215" i="1"/>
  <c r="B23215" i="1"/>
  <c r="A23215" i="1"/>
  <c r="F23214" i="1"/>
  <c r="E23214" i="1"/>
  <c r="D23214" i="1"/>
  <c r="C23214" i="1"/>
  <c r="B23214" i="1"/>
  <c r="A23214" i="1"/>
  <c r="F23213" i="1"/>
  <c r="E23213" i="1"/>
  <c r="D23213" i="1"/>
  <c r="C23213" i="1"/>
  <c r="B23213" i="1"/>
  <c r="A23213" i="1"/>
  <c r="F23212" i="1"/>
  <c r="E23212" i="1"/>
  <c r="D23212" i="1"/>
  <c r="C23212" i="1"/>
  <c r="B23212" i="1"/>
  <c r="A23212" i="1"/>
  <c r="F23211" i="1"/>
  <c r="E23211" i="1"/>
  <c r="D23211" i="1"/>
  <c r="C23211" i="1"/>
  <c r="B23211" i="1"/>
  <c r="A23211" i="1"/>
  <c r="F23210" i="1"/>
  <c r="E23210" i="1"/>
  <c r="D23210" i="1"/>
  <c r="C23210" i="1"/>
  <c r="B23210" i="1"/>
  <c r="A23210" i="1"/>
  <c r="F23209" i="1"/>
  <c r="E23209" i="1"/>
  <c r="D23209" i="1"/>
  <c r="C23209" i="1"/>
  <c r="B23209" i="1"/>
  <c r="A23209" i="1"/>
  <c r="F23208" i="1"/>
  <c r="E23208" i="1"/>
  <c r="D23208" i="1"/>
  <c r="C23208" i="1"/>
  <c r="B23208" i="1"/>
  <c r="A23208" i="1"/>
  <c r="F23207" i="1"/>
  <c r="E23207" i="1"/>
  <c r="D23207" i="1"/>
  <c r="C23207" i="1"/>
  <c r="B23207" i="1"/>
  <c r="A23207" i="1"/>
  <c r="F23206" i="1"/>
  <c r="E23206" i="1"/>
  <c r="D23206" i="1"/>
  <c r="C23206" i="1"/>
  <c r="B23206" i="1"/>
  <c r="A23206" i="1"/>
  <c r="F23205" i="1"/>
  <c r="E23205" i="1"/>
  <c r="D23205" i="1"/>
  <c r="C23205" i="1"/>
  <c r="B23205" i="1"/>
  <c r="A23205" i="1"/>
  <c r="F23204" i="1"/>
  <c r="E23204" i="1"/>
  <c r="D23204" i="1"/>
  <c r="C23204" i="1"/>
  <c r="B23204" i="1"/>
  <c r="A23204" i="1"/>
  <c r="F23203" i="1"/>
  <c r="E23203" i="1"/>
  <c r="D23203" i="1"/>
  <c r="C23203" i="1"/>
  <c r="B23203" i="1"/>
  <c r="A23203" i="1"/>
  <c r="F23202" i="1"/>
  <c r="E23202" i="1"/>
  <c r="D23202" i="1"/>
  <c r="C23202" i="1"/>
  <c r="B23202" i="1"/>
  <c r="A23202" i="1"/>
  <c r="F23201" i="1"/>
  <c r="E23201" i="1"/>
  <c r="D23201" i="1"/>
  <c r="C23201" i="1"/>
  <c r="B23201" i="1"/>
  <c r="A23201" i="1"/>
  <c r="F23200" i="1"/>
  <c r="E23200" i="1"/>
  <c r="D23200" i="1"/>
  <c r="C23200" i="1"/>
  <c r="B23200" i="1"/>
  <c r="A23200" i="1"/>
  <c r="F23199" i="1"/>
  <c r="E23199" i="1"/>
  <c r="D23199" i="1"/>
  <c r="C23199" i="1"/>
  <c r="B23199" i="1"/>
  <c r="A23199" i="1"/>
  <c r="F23198" i="1"/>
  <c r="E23198" i="1"/>
  <c r="D23198" i="1"/>
  <c r="C23198" i="1"/>
  <c r="B23198" i="1"/>
  <c r="A23198" i="1"/>
  <c r="F23197" i="1"/>
  <c r="E23197" i="1"/>
  <c r="D23197" i="1"/>
  <c r="C23197" i="1"/>
  <c r="B23197" i="1"/>
  <c r="A23197" i="1"/>
  <c r="F23196" i="1"/>
  <c r="E23196" i="1"/>
  <c r="D23196" i="1"/>
  <c r="C23196" i="1"/>
  <c r="B23196" i="1"/>
  <c r="A23196" i="1"/>
  <c r="F23195" i="1"/>
  <c r="E23195" i="1"/>
  <c r="D23195" i="1"/>
  <c r="C23195" i="1"/>
  <c r="B23195" i="1"/>
  <c r="A23195" i="1"/>
  <c r="F23194" i="1"/>
  <c r="E23194" i="1"/>
  <c r="D23194" i="1"/>
  <c r="C23194" i="1"/>
  <c r="B23194" i="1"/>
  <c r="A23194" i="1"/>
  <c r="F23193" i="1"/>
  <c r="E23193" i="1"/>
  <c r="D23193" i="1"/>
  <c r="C23193" i="1"/>
  <c r="B23193" i="1"/>
  <c r="A23193" i="1"/>
  <c r="F23192" i="1"/>
  <c r="E23192" i="1"/>
  <c r="D23192" i="1"/>
  <c r="C23192" i="1"/>
  <c r="B23192" i="1"/>
  <c r="A23192" i="1"/>
  <c r="F23191" i="1"/>
  <c r="E23191" i="1"/>
  <c r="D23191" i="1"/>
  <c r="C23191" i="1"/>
  <c r="B23191" i="1"/>
  <c r="A23191" i="1"/>
  <c r="F23190" i="1"/>
  <c r="E23190" i="1"/>
  <c r="D23190" i="1"/>
  <c r="C23190" i="1"/>
  <c r="B23190" i="1"/>
  <c r="A23190" i="1"/>
  <c r="F23189" i="1"/>
  <c r="E23189" i="1"/>
  <c r="D23189" i="1"/>
  <c r="C23189" i="1"/>
  <c r="B23189" i="1"/>
  <c r="A23189" i="1"/>
  <c r="F23188" i="1"/>
  <c r="E23188" i="1"/>
  <c r="D23188" i="1"/>
  <c r="C23188" i="1"/>
  <c r="B23188" i="1"/>
  <c r="A23188" i="1"/>
  <c r="F23187" i="1"/>
  <c r="E23187" i="1"/>
  <c r="D23187" i="1"/>
  <c r="C23187" i="1"/>
  <c r="B23187" i="1"/>
  <c r="A23187" i="1"/>
  <c r="F23186" i="1"/>
  <c r="E23186" i="1"/>
  <c r="D23186" i="1"/>
  <c r="C23186" i="1"/>
  <c r="B23186" i="1"/>
  <c r="A23186" i="1"/>
  <c r="F23185" i="1"/>
  <c r="E23185" i="1"/>
  <c r="D23185" i="1"/>
  <c r="C23185" i="1"/>
  <c r="B23185" i="1"/>
  <c r="A23185" i="1"/>
  <c r="F23184" i="1"/>
  <c r="E23184" i="1"/>
  <c r="D23184" i="1"/>
  <c r="C23184" i="1"/>
  <c r="B23184" i="1"/>
  <c r="A23184" i="1"/>
  <c r="F23183" i="1"/>
  <c r="E23183" i="1"/>
  <c r="D23183" i="1"/>
  <c r="C23183" i="1"/>
  <c r="B23183" i="1"/>
  <c r="A23183" i="1"/>
  <c r="F23182" i="1"/>
  <c r="E23182" i="1"/>
  <c r="D23182" i="1"/>
  <c r="C23182" i="1"/>
  <c r="B23182" i="1"/>
  <c r="A23182" i="1"/>
  <c r="F23181" i="1"/>
  <c r="E23181" i="1"/>
  <c r="D23181" i="1"/>
  <c r="C23181" i="1"/>
  <c r="B23181" i="1"/>
  <c r="A23181" i="1"/>
  <c r="F23180" i="1"/>
  <c r="E23180" i="1"/>
  <c r="D23180" i="1"/>
  <c r="C23180" i="1"/>
  <c r="B23180" i="1"/>
  <c r="A23180" i="1"/>
  <c r="F23179" i="1"/>
  <c r="E23179" i="1"/>
  <c r="D23179" i="1"/>
  <c r="C23179" i="1"/>
  <c r="B23179" i="1"/>
  <c r="A23179" i="1"/>
  <c r="F23178" i="1"/>
  <c r="E23178" i="1"/>
  <c r="D23178" i="1"/>
  <c r="C23178" i="1"/>
  <c r="B23178" i="1"/>
  <c r="A23178" i="1"/>
  <c r="F23177" i="1"/>
  <c r="E23177" i="1"/>
  <c r="D23177" i="1"/>
  <c r="C23177" i="1"/>
  <c r="B23177" i="1"/>
  <c r="A23177" i="1"/>
  <c r="F23176" i="1"/>
  <c r="E23176" i="1"/>
  <c r="D23176" i="1"/>
  <c r="C23176" i="1"/>
  <c r="B23176" i="1"/>
  <c r="A23176" i="1"/>
  <c r="F23175" i="1"/>
  <c r="E23175" i="1"/>
  <c r="D23175" i="1"/>
  <c r="C23175" i="1"/>
  <c r="B23175" i="1"/>
  <c r="A23175" i="1"/>
  <c r="F23174" i="1"/>
  <c r="E23174" i="1"/>
  <c r="D23174" i="1"/>
  <c r="C23174" i="1"/>
  <c r="B23174" i="1"/>
  <c r="A23174" i="1"/>
  <c r="F23173" i="1"/>
  <c r="E23173" i="1"/>
  <c r="D23173" i="1"/>
  <c r="C23173" i="1"/>
  <c r="B23173" i="1"/>
  <c r="A23173" i="1"/>
  <c r="F23172" i="1"/>
  <c r="E23172" i="1"/>
  <c r="D23172" i="1"/>
  <c r="C23172" i="1"/>
  <c r="B23172" i="1"/>
  <c r="A23172" i="1"/>
  <c r="F23171" i="1"/>
  <c r="E23171" i="1"/>
  <c r="D23171" i="1"/>
  <c r="C23171" i="1"/>
  <c r="B23171" i="1"/>
  <c r="A23171" i="1"/>
  <c r="F23170" i="1"/>
  <c r="E23170" i="1"/>
  <c r="D23170" i="1"/>
  <c r="C23170" i="1"/>
  <c r="B23170" i="1"/>
  <c r="A23170" i="1"/>
  <c r="F23169" i="1"/>
  <c r="E23169" i="1"/>
  <c r="D23169" i="1"/>
  <c r="C23169" i="1"/>
  <c r="B23169" i="1"/>
  <c r="A23169" i="1"/>
  <c r="F23168" i="1"/>
  <c r="E23168" i="1"/>
  <c r="D23168" i="1"/>
  <c r="C23168" i="1"/>
  <c r="B23168" i="1"/>
  <c r="A23168" i="1"/>
  <c r="F23167" i="1"/>
  <c r="E23167" i="1"/>
  <c r="D23167" i="1"/>
  <c r="C23167" i="1"/>
  <c r="B23167" i="1"/>
  <c r="A23167" i="1"/>
  <c r="F23166" i="1"/>
  <c r="E23166" i="1"/>
  <c r="D23166" i="1"/>
  <c r="C23166" i="1"/>
  <c r="B23166" i="1"/>
  <c r="A23166" i="1"/>
  <c r="F23165" i="1"/>
  <c r="E23165" i="1"/>
  <c r="D23165" i="1"/>
  <c r="C23165" i="1"/>
  <c r="B23165" i="1"/>
  <c r="A23165" i="1"/>
  <c r="F23164" i="1"/>
  <c r="E23164" i="1"/>
  <c r="D23164" i="1"/>
  <c r="C23164" i="1"/>
  <c r="B23164" i="1"/>
  <c r="A23164" i="1"/>
  <c r="F23163" i="1"/>
  <c r="E23163" i="1"/>
  <c r="D23163" i="1"/>
  <c r="C23163" i="1"/>
  <c r="B23163" i="1"/>
  <c r="A23163" i="1"/>
  <c r="F23162" i="1"/>
  <c r="E23162" i="1"/>
  <c r="D23162" i="1"/>
  <c r="C23162" i="1"/>
  <c r="B23162" i="1"/>
  <c r="A23162" i="1"/>
  <c r="F23161" i="1"/>
  <c r="E23161" i="1"/>
  <c r="D23161" i="1"/>
  <c r="C23161" i="1"/>
  <c r="B23161" i="1"/>
  <c r="A23161" i="1"/>
  <c r="F23160" i="1"/>
  <c r="E23160" i="1"/>
  <c r="D23160" i="1"/>
  <c r="C23160" i="1"/>
  <c r="B23160" i="1"/>
  <c r="A23160" i="1"/>
  <c r="F23159" i="1"/>
  <c r="E23159" i="1"/>
  <c r="D23159" i="1"/>
  <c r="C23159" i="1"/>
  <c r="B23159" i="1"/>
  <c r="A23159" i="1"/>
  <c r="F23158" i="1"/>
  <c r="E23158" i="1"/>
  <c r="D23158" i="1"/>
  <c r="C23158" i="1"/>
  <c r="B23158" i="1"/>
  <c r="A23158" i="1"/>
  <c r="F23157" i="1"/>
  <c r="E23157" i="1"/>
  <c r="D23157" i="1"/>
  <c r="C23157" i="1"/>
  <c r="B23157" i="1"/>
  <c r="A23157" i="1"/>
  <c r="F23156" i="1"/>
  <c r="E23156" i="1"/>
  <c r="D23156" i="1"/>
  <c r="C23156" i="1"/>
  <c r="B23156" i="1"/>
  <c r="A23156" i="1"/>
  <c r="F23155" i="1"/>
  <c r="E23155" i="1"/>
  <c r="D23155" i="1"/>
  <c r="C23155" i="1"/>
  <c r="B23155" i="1"/>
  <c r="A23155" i="1"/>
  <c r="F23154" i="1"/>
  <c r="E23154" i="1"/>
  <c r="D23154" i="1"/>
  <c r="C23154" i="1"/>
  <c r="B23154" i="1"/>
  <c r="A23154" i="1"/>
  <c r="F23153" i="1"/>
  <c r="E23153" i="1"/>
  <c r="D23153" i="1"/>
  <c r="C23153" i="1"/>
  <c r="B23153" i="1"/>
  <c r="A23153" i="1"/>
  <c r="F23152" i="1"/>
  <c r="E23152" i="1"/>
  <c r="D23152" i="1"/>
  <c r="C23152" i="1"/>
  <c r="B23152" i="1"/>
  <c r="A23152" i="1"/>
  <c r="F23151" i="1"/>
  <c r="E23151" i="1"/>
  <c r="D23151" i="1"/>
  <c r="C23151" i="1"/>
  <c r="B23151" i="1"/>
  <c r="A23151" i="1"/>
  <c r="F23150" i="1"/>
  <c r="E23150" i="1"/>
  <c r="D23150" i="1"/>
  <c r="C23150" i="1"/>
  <c r="B23150" i="1"/>
  <c r="A23150" i="1"/>
  <c r="F23149" i="1"/>
  <c r="E23149" i="1"/>
  <c r="D23149" i="1"/>
  <c r="C23149" i="1"/>
  <c r="B23149" i="1"/>
  <c r="A23149" i="1"/>
  <c r="F23148" i="1"/>
  <c r="E23148" i="1"/>
  <c r="D23148" i="1"/>
  <c r="C23148" i="1"/>
  <c r="B23148" i="1"/>
  <c r="A23148" i="1"/>
  <c r="F23147" i="1"/>
  <c r="E23147" i="1"/>
  <c r="D23147" i="1"/>
  <c r="C23147" i="1"/>
  <c r="B23147" i="1"/>
  <c r="A23147" i="1"/>
  <c r="F23146" i="1"/>
  <c r="E23146" i="1"/>
  <c r="D23146" i="1"/>
  <c r="C23146" i="1"/>
  <c r="B23146" i="1"/>
  <c r="A23146" i="1"/>
  <c r="F23145" i="1"/>
  <c r="E23145" i="1"/>
  <c r="D23145" i="1"/>
  <c r="C23145" i="1"/>
  <c r="B23145" i="1"/>
  <c r="A23145" i="1"/>
  <c r="F23144" i="1"/>
  <c r="E23144" i="1"/>
  <c r="D23144" i="1"/>
  <c r="C23144" i="1"/>
  <c r="B23144" i="1"/>
  <c r="A23144" i="1"/>
  <c r="F23143" i="1"/>
  <c r="E23143" i="1"/>
  <c r="D23143" i="1"/>
  <c r="C23143" i="1"/>
  <c r="B23143" i="1"/>
  <c r="A23143" i="1"/>
  <c r="F23142" i="1"/>
  <c r="E23142" i="1"/>
  <c r="D23142" i="1"/>
  <c r="C23142" i="1"/>
  <c r="B23142" i="1"/>
  <c r="A23142" i="1"/>
  <c r="F23141" i="1"/>
  <c r="E23141" i="1"/>
  <c r="D23141" i="1"/>
  <c r="C23141" i="1"/>
  <c r="B23141" i="1"/>
  <c r="A23141" i="1"/>
  <c r="F23140" i="1"/>
  <c r="E23140" i="1"/>
  <c r="D23140" i="1"/>
  <c r="C23140" i="1"/>
  <c r="B23140" i="1"/>
  <c r="A23140" i="1"/>
  <c r="F23139" i="1"/>
  <c r="E23139" i="1"/>
  <c r="D23139" i="1"/>
  <c r="C23139" i="1"/>
  <c r="B23139" i="1"/>
  <c r="A23139" i="1"/>
  <c r="F23138" i="1"/>
  <c r="E23138" i="1"/>
  <c r="D23138" i="1"/>
  <c r="C23138" i="1"/>
  <c r="B23138" i="1"/>
  <c r="A23138" i="1"/>
  <c r="F23137" i="1"/>
  <c r="E23137" i="1"/>
  <c r="D23137" i="1"/>
  <c r="C23137" i="1"/>
  <c r="B23137" i="1"/>
  <c r="A23137" i="1"/>
  <c r="F23136" i="1"/>
  <c r="E23136" i="1"/>
  <c r="D23136" i="1"/>
  <c r="C23136" i="1"/>
  <c r="B23136" i="1"/>
  <c r="A23136" i="1"/>
  <c r="F23135" i="1"/>
  <c r="E23135" i="1"/>
  <c r="D23135" i="1"/>
  <c r="C23135" i="1"/>
  <c r="B23135" i="1"/>
  <c r="A23135" i="1"/>
  <c r="F23134" i="1"/>
  <c r="E23134" i="1"/>
  <c r="D23134" i="1"/>
  <c r="C23134" i="1"/>
  <c r="B23134" i="1"/>
  <c r="A23134" i="1"/>
  <c r="F23133" i="1"/>
  <c r="E23133" i="1"/>
  <c r="D23133" i="1"/>
  <c r="C23133" i="1"/>
  <c r="B23133" i="1"/>
  <c r="A23133" i="1"/>
  <c r="F23132" i="1"/>
  <c r="E23132" i="1"/>
  <c r="D23132" i="1"/>
  <c r="C23132" i="1"/>
  <c r="B23132" i="1"/>
  <c r="A23132" i="1"/>
  <c r="F23131" i="1"/>
  <c r="E23131" i="1"/>
  <c r="D23131" i="1"/>
  <c r="C23131" i="1"/>
  <c r="B23131" i="1"/>
  <c r="A23131" i="1"/>
  <c r="F23130" i="1"/>
  <c r="E23130" i="1"/>
  <c r="D23130" i="1"/>
  <c r="C23130" i="1"/>
  <c r="B23130" i="1"/>
  <c r="A23130" i="1"/>
  <c r="F23129" i="1"/>
  <c r="E23129" i="1"/>
  <c r="D23129" i="1"/>
  <c r="C23129" i="1"/>
  <c r="B23129" i="1"/>
  <c r="A23129" i="1"/>
  <c r="F23128" i="1"/>
  <c r="E23128" i="1"/>
  <c r="D23128" i="1"/>
  <c r="C23128" i="1"/>
  <c r="B23128" i="1"/>
  <c r="A23128" i="1"/>
  <c r="F23127" i="1"/>
  <c r="E23127" i="1"/>
  <c r="D23127" i="1"/>
  <c r="C23127" i="1"/>
  <c r="B23127" i="1"/>
  <c r="A23127" i="1"/>
  <c r="F23126" i="1"/>
  <c r="E23126" i="1"/>
  <c r="D23126" i="1"/>
  <c r="C23126" i="1"/>
  <c r="B23126" i="1"/>
  <c r="A23126" i="1"/>
  <c r="F23125" i="1"/>
  <c r="E23125" i="1"/>
  <c r="D23125" i="1"/>
  <c r="C23125" i="1"/>
  <c r="B23125" i="1"/>
  <c r="A23125" i="1"/>
  <c r="F23124" i="1"/>
  <c r="E23124" i="1"/>
  <c r="D23124" i="1"/>
  <c r="C23124" i="1"/>
  <c r="B23124" i="1"/>
  <c r="A23124" i="1"/>
  <c r="F23123" i="1"/>
  <c r="E23123" i="1"/>
  <c r="D23123" i="1"/>
  <c r="C23123" i="1"/>
  <c r="B23123" i="1"/>
  <c r="A23123" i="1"/>
  <c r="F23122" i="1"/>
  <c r="E23122" i="1"/>
  <c r="D23122" i="1"/>
  <c r="C23122" i="1"/>
  <c r="B23122" i="1"/>
  <c r="A23122" i="1"/>
  <c r="F23121" i="1"/>
  <c r="E23121" i="1"/>
  <c r="D23121" i="1"/>
  <c r="C23121" i="1"/>
  <c r="B23121" i="1"/>
  <c r="A23121" i="1"/>
  <c r="F23120" i="1"/>
  <c r="E23120" i="1"/>
  <c r="D23120" i="1"/>
  <c r="C23120" i="1"/>
  <c r="B23120" i="1"/>
  <c r="A23120" i="1"/>
  <c r="F23119" i="1"/>
  <c r="E23119" i="1"/>
  <c r="D23119" i="1"/>
  <c r="C23119" i="1"/>
  <c r="B23119" i="1"/>
  <c r="A23119" i="1"/>
  <c r="F23118" i="1"/>
  <c r="E23118" i="1"/>
  <c r="D23118" i="1"/>
  <c r="C23118" i="1"/>
  <c r="B23118" i="1"/>
  <c r="A23118" i="1"/>
  <c r="F23117" i="1"/>
  <c r="E23117" i="1"/>
  <c r="D23117" i="1"/>
  <c r="C23117" i="1"/>
  <c r="B23117" i="1"/>
  <c r="A23117" i="1"/>
  <c r="F23116" i="1"/>
  <c r="E23116" i="1"/>
  <c r="D23116" i="1"/>
  <c r="C23116" i="1"/>
  <c r="B23116" i="1"/>
  <c r="A23116" i="1"/>
  <c r="F23115" i="1"/>
  <c r="E23115" i="1"/>
  <c r="D23115" i="1"/>
  <c r="C23115" i="1"/>
  <c r="B23115" i="1"/>
  <c r="A23115" i="1"/>
  <c r="F23114" i="1"/>
  <c r="E23114" i="1"/>
  <c r="D23114" i="1"/>
  <c r="C23114" i="1"/>
  <c r="B23114" i="1"/>
  <c r="A23114" i="1"/>
  <c r="F23113" i="1"/>
  <c r="E23113" i="1"/>
  <c r="D23113" i="1"/>
  <c r="C23113" i="1"/>
  <c r="B23113" i="1"/>
  <c r="A23113" i="1"/>
  <c r="F23112" i="1"/>
  <c r="E23112" i="1"/>
  <c r="D23112" i="1"/>
  <c r="C23112" i="1"/>
  <c r="B23112" i="1"/>
  <c r="A23112" i="1"/>
  <c r="F23111" i="1"/>
  <c r="E23111" i="1"/>
  <c r="D23111" i="1"/>
  <c r="C23111" i="1"/>
  <c r="B23111" i="1"/>
  <c r="A23111" i="1"/>
  <c r="F23110" i="1"/>
  <c r="E23110" i="1"/>
  <c r="D23110" i="1"/>
  <c r="C23110" i="1"/>
  <c r="B23110" i="1"/>
  <c r="A23110" i="1"/>
  <c r="F23109" i="1"/>
  <c r="E23109" i="1"/>
  <c r="D23109" i="1"/>
  <c r="C23109" i="1"/>
  <c r="B23109" i="1"/>
  <c r="A23109" i="1"/>
  <c r="F23108" i="1"/>
  <c r="E23108" i="1"/>
  <c r="D23108" i="1"/>
  <c r="C23108" i="1"/>
  <c r="B23108" i="1"/>
  <c r="A23108" i="1"/>
  <c r="F23107" i="1"/>
  <c r="E23107" i="1"/>
  <c r="D23107" i="1"/>
  <c r="C23107" i="1"/>
  <c r="B23107" i="1"/>
  <c r="A23107" i="1"/>
  <c r="F23106" i="1"/>
  <c r="E23106" i="1"/>
  <c r="D23106" i="1"/>
  <c r="C23106" i="1"/>
  <c r="B23106" i="1"/>
  <c r="A23106" i="1"/>
  <c r="F23105" i="1"/>
  <c r="E23105" i="1"/>
  <c r="D23105" i="1"/>
  <c r="C23105" i="1"/>
  <c r="B23105" i="1"/>
  <c r="A23105" i="1"/>
  <c r="F23104" i="1"/>
  <c r="E23104" i="1"/>
  <c r="D23104" i="1"/>
  <c r="C23104" i="1"/>
  <c r="B23104" i="1"/>
  <c r="A23104" i="1"/>
  <c r="F23103" i="1"/>
  <c r="E23103" i="1"/>
  <c r="D23103" i="1"/>
  <c r="C23103" i="1"/>
  <c r="B23103" i="1"/>
  <c r="A23103" i="1"/>
  <c r="F23102" i="1"/>
  <c r="E23102" i="1"/>
  <c r="D23102" i="1"/>
  <c r="C23102" i="1"/>
  <c r="B23102" i="1"/>
  <c r="A23102" i="1"/>
  <c r="F23101" i="1"/>
  <c r="E23101" i="1"/>
  <c r="D23101" i="1"/>
  <c r="C23101" i="1"/>
  <c r="B23101" i="1"/>
  <c r="A23101" i="1"/>
  <c r="F23100" i="1"/>
  <c r="E23100" i="1"/>
  <c r="D23100" i="1"/>
  <c r="C23100" i="1"/>
  <c r="B23100" i="1"/>
  <c r="A23100" i="1"/>
  <c r="F23099" i="1"/>
  <c r="E23099" i="1"/>
  <c r="D23099" i="1"/>
  <c r="C23099" i="1"/>
  <c r="B23099" i="1"/>
  <c r="A23099" i="1"/>
  <c r="F23098" i="1"/>
  <c r="E23098" i="1"/>
  <c r="D23098" i="1"/>
  <c r="C23098" i="1"/>
  <c r="B23098" i="1"/>
  <c r="A23098" i="1"/>
  <c r="F23097" i="1"/>
  <c r="E23097" i="1"/>
  <c r="D23097" i="1"/>
  <c r="C23097" i="1"/>
  <c r="B23097" i="1"/>
  <c r="A23097" i="1"/>
  <c r="F23096" i="1"/>
  <c r="E23096" i="1"/>
  <c r="D23096" i="1"/>
  <c r="C23096" i="1"/>
  <c r="B23096" i="1"/>
  <c r="A23096" i="1"/>
  <c r="F23095" i="1"/>
  <c r="E23095" i="1"/>
  <c r="D23095" i="1"/>
  <c r="C23095" i="1"/>
  <c r="B23095" i="1"/>
  <c r="A23095" i="1"/>
  <c r="F23094" i="1"/>
  <c r="E23094" i="1"/>
  <c r="D23094" i="1"/>
  <c r="C23094" i="1"/>
  <c r="B23094" i="1"/>
  <c r="A23094" i="1"/>
  <c r="F23093" i="1"/>
  <c r="E23093" i="1"/>
  <c r="D23093" i="1"/>
  <c r="C23093" i="1"/>
  <c r="B23093" i="1"/>
  <c r="A23093" i="1"/>
  <c r="F23092" i="1"/>
  <c r="E23092" i="1"/>
  <c r="D23092" i="1"/>
  <c r="C23092" i="1"/>
  <c r="B23092" i="1"/>
  <c r="A23092" i="1"/>
  <c r="F23091" i="1"/>
  <c r="E23091" i="1"/>
  <c r="D23091" i="1"/>
  <c r="C23091" i="1"/>
  <c r="B23091" i="1"/>
  <c r="A23091" i="1"/>
  <c r="F23090" i="1"/>
  <c r="E23090" i="1"/>
  <c r="D23090" i="1"/>
  <c r="C23090" i="1"/>
  <c r="B23090" i="1"/>
  <c r="A23090" i="1"/>
  <c r="F23089" i="1"/>
  <c r="E23089" i="1"/>
  <c r="D23089" i="1"/>
  <c r="C23089" i="1"/>
  <c r="B23089" i="1"/>
  <c r="A23089" i="1"/>
  <c r="F23088" i="1"/>
  <c r="E23088" i="1"/>
  <c r="D23088" i="1"/>
  <c r="C23088" i="1"/>
  <c r="B23088" i="1"/>
  <c r="A23088" i="1"/>
  <c r="F23087" i="1"/>
  <c r="E23087" i="1"/>
  <c r="D23087" i="1"/>
  <c r="C23087" i="1"/>
  <c r="B23087" i="1"/>
  <c r="A23087" i="1"/>
  <c r="F23086" i="1"/>
  <c r="E23086" i="1"/>
  <c r="D23086" i="1"/>
  <c r="C23086" i="1"/>
  <c r="B23086" i="1"/>
  <c r="A23086" i="1"/>
  <c r="F23085" i="1"/>
  <c r="E23085" i="1"/>
  <c r="D23085" i="1"/>
  <c r="C23085" i="1"/>
  <c r="B23085" i="1"/>
  <c r="A23085" i="1"/>
  <c r="F23084" i="1"/>
  <c r="E23084" i="1"/>
  <c r="D23084" i="1"/>
  <c r="C23084" i="1"/>
  <c r="B23084" i="1"/>
  <c r="A23084" i="1"/>
  <c r="F23083" i="1"/>
  <c r="E23083" i="1"/>
  <c r="D23083" i="1"/>
  <c r="C23083" i="1"/>
  <c r="B23083" i="1"/>
  <c r="A23083" i="1"/>
  <c r="F23082" i="1"/>
  <c r="E23082" i="1"/>
  <c r="D23082" i="1"/>
  <c r="C23082" i="1"/>
  <c r="B23082" i="1"/>
  <c r="A23082" i="1"/>
  <c r="F23081" i="1"/>
  <c r="E23081" i="1"/>
  <c r="D23081" i="1"/>
  <c r="C23081" i="1"/>
  <c r="B23081" i="1"/>
  <c r="A23081" i="1"/>
  <c r="F23080" i="1"/>
  <c r="E23080" i="1"/>
  <c r="D23080" i="1"/>
  <c r="C23080" i="1"/>
  <c r="B23080" i="1"/>
  <c r="A23080" i="1"/>
  <c r="F23079" i="1"/>
  <c r="E23079" i="1"/>
  <c r="D23079" i="1"/>
  <c r="C23079" i="1"/>
  <c r="B23079" i="1"/>
  <c r="A23079" i="1"/>
  <c r="F23078" i="1"/>
  <c r="E23078" i="1"/>
  <c r="D23078" i="1"/>
  <c r="C23078" i="1"/>
  <c r="B23078" i="1"/>
  <c r="A23078" i="1"/>
  <c r="F23077" i="1"/>
  <c r="E23077" i="1"/>
  <c r="D23077" i="1"/>
  <c r="C23077" i="1"/>
  <c r="B23077" i="1"/>
  <c r="A23077" i="1"/>
  <c r="F23076" i="1"/>
  <c r="E23076" i="1"/>
  <c r="D23076" i="1"/>
  <c r="C23076" i="1"/>
  <c r="B23076" i="1"/>
  <c r="A23076" i="1"/>
  <c r="F23075" i="1"/>
  <c r="E23075" i="1"/>
  <c r="D23075" i="1"/>
  <c r="C23075" i="1"/>
  <c r="B23075" i="1"/>
  <c r="A23075" i="1"/>
  <c r="F23074" i="1"/>
  <c r="E23074" i="1"/>
  <c r="D23074" i="1"/>
  <c r="C23074" i="1"/>
  <c r="B23074" i="1"/>
  <c r="A23074" i="1"/>
  <c r="F23073" i="1"/>
  <c r="E23073" i="1"/>
  <c r="D23073" i="1"/>
  <c r="C23073" i="1"/>
  <c r="B23073" i="1"/>
  <c r="A23073" i="1"/>
  <c r="F23072" i="1"/>
  <c r="E23072" i="1"/>
  <c r="D23072" i="1"/>
  <c r="C23072" i="1"/>
  <c r="B23072" i="1"/>
  <c r="A23072" i="1"/>
  <c r="F23071" i="1"/>
  <c r="E23071" i="1"/>
  <c r="D23071" i="1"/>
  <c r="C23071" i="1"/>
  <c r="B23071" i="1"/>
  <c r="A23071" i="1"/>
  <c r="F23070" i="1"/>
  <c r="E23070" i="1"/>
  <c r="D23070" i="1"/>
  <c r="C23070" i="1"/>
  <c r="B23070" i="1"/>
  <c r="A23070" i="1"/>
  <c r="F23069" i="1"/>
  <c r="E23069" i="1"/>
  <c r="D23069" i="1"/>
  <c r="C23069" i="1"/>
  <c r="B23069" i="1"/>
  <c r="A23069" i="1"/>
  <c r="F23068" i="1"/>
  <c r="E23068" i="1"/>
  <c r="D23068" i="1"/>
  <c r="C23068" i="1"/>
  <c r="B23068" i="1"/>
  <c r="A23068" i="1"/>
  <c r="F23067" i="1"/>
  <c r="E23067" i="1"/>
  <c r="D23067" i="1"/>
  <c r="C23067" i="1"/>
  <c r="B23067" i="1"/>
  <c r="A23067" i="1"/>
  <c r="F23066" i="1"/>
  <c r="E23066" i="1"/>
  <c r="D23066" i="1"/>
  <c r="C23066" i="1"/>
  <c r="B23066" i="1"/>
  <c r="A23066" i="1"/>
  <c r="F23065" i="1"/>
  <c r="E23065" i="1"/>
  <c r="D23065" i="1"/>
  <c r="C23065" i="1"/>
  <c r="B23065" i="1"/>
  <c r="A23065" i="1"/>
  <c r="F23064" i="1"/>
  <c r="E23064" i="1"/>
  <c r="D23064" i="1"/>
  <c r="C23064" i="1"/>
  <c r="B23064" i="1"/>
  <c r="A23064" i="1"/>
  <c r="F23063" i="1"/>
  <c r="E23063" i="1"/>
  <c r="D23063" i="1"/>
  <c r="C23063" i="1"/>
  <c r="B23063" i="1"/>
  <c r="A23063" i="1"/>
  <c r="F23062" i="1"/>
  <c r="E23062" i="1"/>
  <c r="D23062" i="1"/>
  <c r="C23062" i="1"/>
  <c r="B23062" i="1"/>
  <c r="A23062" i="1"/>
  <c r="F23061" i="1"/>
  <c r="E23061" i="1"/>
  <c r="D23061" i="1"/>
  <c r="C23061" i="1"/>
  <c r="B23061" i="1"/>
  <c r="A23061" i="1"/>
  <c r="F23060" i="1"/>
  <c r="E23060" i="1"/>
  <c r="D23060" i="1"/>
  <c r="C23060" i="1"/>
  <c r="B23060" i="1"/>
  <c r="A23060" i="1"/>
  <c r="F23059" i="1"/>
  <c r="E23059" i="1"/>
  <c r="D23059" i="1"/>
  <c r="C23059" i="1"/>
  <c r="B23059" i="1"/>
  <c r="A23059" i="1"/>
  <c r="F23058" i="1"/>
  <c r="E23058" i="1"/>
  <c r="D23058" i="1"/>
  <c r="C23058" i="1"/>
  <c r="B23058" i="1"/>
  <c r="A23058" i="1"/>
  <c r="F23057" i="1"/>
  <c r="E23057" i="1"/>
  <c r="D23057" i="1"/>
  <c r="C23057" i="1"/>
  <c r="B23057" i="1"/>
  <c r="A23057" i="1"/>
  <c r="F23056" i="1"/>
  <c r="E23056" i="1"/>
  <c r="D23056" i="1"/>
  <c r="C23056" i="1"/>
  <c r="B23056" i="1"/>
  <c r="A23056" i="1"/>
  <c r="F23055" i="1"/>
  <c r="E23055" i="1"/>
  <c r="D23055" i="1"/>
  <c r="C23055" i="1"/>
  <c r="B23055" i="1"/>
  <c r="A23055" i="1"/>
  <c r="F23054" i="1"/>
  <c r="E23054" i="1"/>
  <c r="D23054" i="1"/>
  <c r="C23054" i="1"/>
  <c r="B23054" i="1"/>
  <c r="A23054" i="1"/>
  <c r="F23053" i="1"/>
  <c r="E23053" i="1"/>
  <c r="D23053" i="1"/>
  <c r="C23053" i="1"/>
  <c r="B23053" i="1"/>
  <c r="A23053" i="1"/>
  <c r="F23052" i="1"/>
  <c r="E23052" i="1"/>
  <c r="D23052" i="1"/>
  <c r="C23052" i="1"/>
  <c r="B23052" i="1"/>
  <c r="A23052" i="1"/>
  <c r="F23051" i="1"/>
  <c r="E23051" i="1"/>
  <c r="D23051" i="1"/>
  <c r="C23051" i="1"/>
  <c r="B23051" i="1"/>
  <c r="A23051" i="1"/>
  <c r="F23050" i="1"/>
  <c r="E23050" i="1"/>
  <c r="D23050" i="1"/>
  <c r="C23050" i="1"/>
  <c r="B23050" i="1"/>
  <c r="A23050" i="1"/>
  <c r="F23049" i="1"/>
  <c r="E23049" i="1"/>
  <c r="D23049" i="1"/>
  <c r="C23049" i="1"/>
  <c r="B23049" i="1"/>
  <c r="A23049" i="1"/>
  <c r="F23048" i="1"/>
  <c r="E23048" i="1"/>
  <c r="D23048" i="1"/>
  <c r="C23048" i="1"/>
  <c r="B23048" i="1"/>
  <c r="A23048" i="1"/>
  <c r="F23047" i="1"/>
  <c r="E23047" i="1"/>
  <c r="D23047" i="1"/>
  <c r="C23047" i="1"/>
  <c r="B23047" i="1"/>
  <c r="A23047" i="1"/>
  <c r="F23046" i="1"/>
  <c r="E23046" i="1"/>
  <c r="D23046" i="1"/>
  <c r="C23046" i="1"/>
  <c r="B23046" i="1"/>
  <c r="A23046" i="1"/>
  <c r="F23045" i="1"/>
  <c r="E23045" i="1"/>
  <c r="D23045" i="1"/>
  <c r="C23045" i="1"/>
  <c r="B23045" i="1"/>
  <c r="A23045" i="1"/>
  <c r="F23044" i="1"/>
  <c r="E23044" i="1"/>
  <c r="D23044" i="1"/>
  <c r="C23044" i="1"/>
  <c r="B23044" i="1"/>
  <c r="A23044" i="1"/>
  <c r="F23043" i="1"/>
  <c r="E23043" i="1"/>
  <c r="D23043" i="1"/>
  <c r="C23043" i="1"/>
  <c r="B23043" i="1"/>
  <c r="A23043" i="1"/>
  <c r="F23042" i="1"/>
  <c r="E23042" i="1"/>
  <c r="D23042" i="1"/>
  <c r="C23042" i="1"/>
  <c r="B23042" i="1"/>
  <c r="A23042" i="1"/>
  <c r="F23041" i="1"/>
  <c r="E23041" i="1"/>
  <c r="D23041" i="1"/>
  <c r="C23041" i="1"/>
  <c r="B23041" i="1"/>
  <c r="A23041" i="1"/>
  <c r="F23040" i="1"/>
  <c r="E23040" i="1"/>
  <c r="D23040" i="1"/>
  <c r="C23040" i="1"/>
  <c r="B23040" i="1"/>
  <c r="A23040" i="1"/>
  <c r="F23039" i="1"/>
  <c r="E23039" i="1"/>
  <c r="D23039" i="1"/>
  <c r="C23039" i="1"/>
  <c r="B23039" i="1"/>
  <c r="A23039" i="1"/>
  <c r="F23038" i="1"/>
  <c r="E23038" i="1"/>
  <c r="D23038" i="1"/>
  <c r="C23038" i="1"/>
  <c r="B23038" i="1"/>
  <c r="A23038" i="1"/>
  <c r="F23037" i="1"/>
  <c r="E23037" i="1"/>
  <c r="D23037" i="1"/>
  <c r="C23037" i="1"/>
  <c r="B23037" i="1"/>
  <c r="A23037" i="1"/>
  <c r="F23036" i="1"/>
  <c r="E23036" i="1"/>
  <c r="D23036" i="1"/>
  <c r="C23036" i="1"/>
  <c r="B23036" i="1"/>
  <c r="A23036" i="1"/>
  <c r="F23035" i="1"/>
  <c r="E23035" i="1"/>
  <c r="D23035" i="1"/>
  <c r="C23035" i="1"/>
  <c r="B23035" i="1"/>
  <c r="A23035" i="1"/>
  <c r="F23034" i="1"/>
  <c r="E23034" i="1"/>
  <c r="D23034" i="1"/>
  <c r="C23034" i="1"/>
  <c r="B23034" i="1"/>
  <c r="A23034" i="1"/>
  <c r="F23033" i="1"/>
  <c r="E23033" i="1"/>
  <c r="D23033" i="1"/>
  <c r="C23033" i="1"/>
  <c r="B23033" i="1"/>
  <c r="A23033" i="1"/>
  <c r="F23032" i="1"/>
  <c r="E23032" i="1"/>
  <c r="D23032" i="1"/>
  <c r="C23032" i="1"/>
  <c r="B23032" i="1"/>
  <c r="A23032" i="1"/>
  <c r="F23031" i="1"/>
  <c r="E23031" i="1"/>
  <c r="D23031" i="1"/>
  <c r="C23031" i="1"/>
  <c r="B23031" i="1"/>
  <c r="A23031" i="1"/>
  <c r="F23030" i="1"/>
  <c r="E23030" i="1"/>
  <c r="D23030" i="1"/>
  <c r="C23030" i="1"/>
  <c r="B23030" i="1"/>
  <c r="A23030" i="1"/>
  <c r="F23029" i="1"/>
  <c r="E23029" i="1"/>
  <c r="D23029" i="1"/>
  <c r="C23029" i="1"/>
  <c r="B23029" i="1"/>
  <c r="A23029" i="1"/>
  <c r="F23028" i="1"/>
  <c r="E23028" i="1"/>
  <c r="D23028" i="1"/>
  <c r="C23028" i="1"/>
  <c r="B23028" i="1"/>
  <c r="A23028" i="1"/>
  <c r="F23027" i="1"/>
  <c r="E23027" i="1"/>
  <c r="D23027" i="1"/>
  <c r="C23027" i="1"/>
  <c r="B23027" i="1"/>
  <c r="A23027" i="1"/>
  <c r="F23026" i="1"/>
  <c r="E23026" i="1"/>
  <c r="D23026" i="1"/>
  <c r="C23026" i="1"/>
  <c r="B23026" i="1"/>
  <c r="A23026" i="1"/>
  <c r="F23025" i="1"/>
  <c r="E23025" i="1"/>
  <c r="D23025" i="1"/>
  <c r="C23025" i="1"/>
  <c r="B23025" i="1"/>
  <c r="A23025" i="1"/>
  <c r="F23024" i="1"/>
  <c r="E23024" i="1"/>
  <c r="D23024" i="1"/>
  <c r="C23024" i="1"/>
  <c r="B23024" i="1"/>
  <c r="A23024" i="1"/>
  <c r="F23023" i="1"/>
  <c r="E23023" i="1"/>
  <c r="D23023" i="1"/>
  <c r="C23023" i="1"/>
  <c r="B23023" i="1"/>
  <c r="A23023" i="1"/>
  <c r="F23022" i="1"/>
  <c r="E23022" i="1"/>
  <c r="D23022" i="1"/>
  <c r="C23022" i="1"/>
  <c r="B23022" i="1"/>
  <c r="A23022" i="1"/>
  <c r="F23021" i="1"/>
  <c r="E23021" i="1"/>
  <c r="D23021" i="1"/>
  <c r="C23021" i="1"/>
  <c r="B23021" i="1"/>
  <c r="A23021" i="1"/>
  <c r="F23020" i="1"/>
  <c r="E23020" i="1"/>
  <c r="D23020" i="1"/>
  <c r="C23020" i="1"/>
  <c r="B23020" i="1"/>
  <c r="A23020" i="1"/>
  <c r="F23019" i="1"/>
  <c r="E23019" i="1"/>
  <c r="D23019" i="1"/>
  <c r="C23019" i="1"/>
  <c r="B23019" i="1"/>
  <c r="A23019" i="1"/>
  <c r="F23018" i="1"/>
  <c r="E23018" i="1"/>
  <c r="D23018" i="1"/>
  <c r="C23018" i="1"/>
  <c r="B23018" i="1"/>
  <c r="A23018" i="1"/>
  <c r="F23017" i="1"/>
  <c r="E23017" i="1"/>
  <c r="D23017" i="1"/>
  <c r="C23017" i="1"/>
  <c r="B23017" i="1"/>
  <c r="A23017" i="1"/>
  <c r="F23016" i="1"/>
  <c r="E23016" i="1"/>
  <c r="D23016" i="1"/>
  <c r="C23016" i="1"/>
  <c r="B23016" i="1"/>
  <c r="A23016" i="1"/>
  <c r="F23015" i="1"/>
  <c r="E23015" i="1"/>
  <c r="D23015" i="1"/>
  <c r="C23015" i="1"/>
  <c r="B23015" i="1"/>
  <c r="A23015" i="1"/>
  <c r="F23014" i="1"/>
  <c r="E23014" i="1"/>
  <c r="D23014" i="1"/>
  <c r="C23014" i="1"/>
  <c r="B23014" i="1"/>
  <c r="A23014" i="1"/>
  <c r="F23013" i="1"/>
  <c r="E23013" i="1"/>
  <c r="D23013" i="1"/>
  <c r="C23013" i="1"/>
  <c r="B23013" i="1"/>
  <c r="A23013" i="1"/>
  <c r="F23012" i="1"/>
  <c r="E23012" i="1"/>
  <c r="D23012" i="1"/>
  <c r="C23012" i="1"/>
  <c r="B23012" i="1"/>
  <c r="A23012" i="1"/>
  <c r="F23011" i="1"/>
  <c r="E23011" i="1"/>
  <c r="D23011" i="1"/>
  <c r="C23011" i="1"/>
  <c r="B23011" i="1"/>
  <c r="A23011" i="1"/>
  <c r="F23010" i="1"/>
  <c r="E23010" i="1"/>
  <c r="D23010" i="1"/>
  <c r="C23010" i="1"/>
  <c r="B23010" i="1"/>
  <c r="A23010" i="1"/>
  <c r="F23009" i="1"/>
  <c r="E23009" i="1"/>
  <c r="D23009" i="1"/>
  <c r="C23009" i="1"/>
  <c r="B23009" i="1"/>
  <c r="A23009" i="1"/>
  <c r="F23008" i="1"/>
  <c r="E23008" i="1"/>
  <c r="D23008" i="1"/>
  <c r="C23008" i="1"/>
  <c r="B23008" i="1"/>
  <c r="A23008" i="1"/>
  <c r="F23007" i="1"/>
  <c r="E23007" i="1"/>
  <c r="D23007" i="1"/>
  <c r="C23007" i="1"/>
  <c r="B23007" i="1"/>
  <c r="A23007" i="1"/>
  <c r="F23006" i="1"/>
  <c r="E23006" i="1"/>
  <c r="D23006" i="1"/>
  <c r="C23006" i="1"/>
  <c r="B23006" i="1"/>
  <c r="A23006" i="1"/>
  <c r="F23005" i="1"/>
  <c r="E23005" i="1"/>
  <c r="D23005" i="1"/>
  <c r="C23005" i="1"/>
  <c r="B23005" i="1"/>
  <c r="A23005" i="1"/>
  <c r="F23004" i="1"/>
  <c r="E23004" i="1"/>
  <c r="D23004" i="1"/>
  <c r="C23004" i="1"/>
  <c r="B23004" i="1"/>
  <c r="A23004" i="1"/>
  <c r="F23003" i="1"/>
  <c r="E23003" i="1"/>
  <c r="D23003" i="1"/>
  <c r="C23003" i="1"/>
  <c r="B23003" i="1"/>
  <c r="A23003" i="1"/>
  <c r="F23002" i="1"/>
  <c r="E23002" i="1"/>
  <c r="D23002" i="1"/>
  <c r="C23002" i="1"/>
  <c r="B23002" i="1"/>
  <c r="A23002" i="1"/>
  <c r="F23001" i="1"/>
  <c r="E23001" i="1"/>
  <c r="D23001" i="1"/>
  <c r="C23001" i="1"/>
  <c r="B23001" i="1"/>
  <c r="A23001" i="1"/>
  <c r="F23000" i="1"/>
  <c r="E23000" i="1"/>
  <c r="D23000" i="1"/>
  <c r="C23000" i="1"/>
  <c r="B23000" i="1"/>
  <c r="A23000" i="1"/>
  <c r="F22999" i="1"/>
  <c r="E22999" i="1"/>
  <c r="D22999" i="1"/>
  <c r="C22999" i="1"/>
  <c r="B22999" i="1"/>
  <c r="A22999" i="1"/>
  <c r="F22998" i="1"/>
  <c r="E22998" i="1"/>
  <c r="D22998" i="1"/>
  <c r="C22998" i="1"/>
  <c r="B22998" i="1"/>
  <c r="A22998" i="1"/>
  <c r="F22997" i="1"/>
  <c r="E22997" i="1"/>
  <c r="D22997" i="1"/>
  <c r="C22997" i="1"/>
  <c r="B22997" i="1"/>
  <c r="A22997" i="1"/>
  <c r="F22996" i="1"/>
  <c r="E22996" i="1"/>
  <c r="D22996" i="1"/>
  <c r="C22996" i="1"/>
  <c r="B22996" i="1"/>
  <c r="A22996" i="1"/>
  <c r="F22995" i="1"/>
  <c r="E22995" i="1"/>
  <c r="D22995" i="1"/>
  <c r="C22995" i="1"/>
  <c r="B22995" i="1"/>
  <c r="A22995" i="1"/>
  <c r="F22994" i="1"/>
  <c r="E22994" i="1"/>
  <c r="D22994" i="1"/>
  <c r="C22994" i="1"/>
  <c r="B22994" i="1"/>
  <c r="A22994" i="1"/>
  <c r="F22993" i="1"/>
  <c r="E22993" i="1"/>
  <c r="D22993" i="1"/>
  <c r="C22993" i="1"/>
  <c r="B22993" i="1"/>
  <c r="A22993" i="1"/>
  <c r="F22992" i="1"/>
  <c r="E22992" i="1"/>
  <c r="D22992" i="1"/>
  <c r="C22992" i="1"/>
  <c r="B22992" i="1"/>
  <c r="A22992" i="1"/>
  <c r="F22991" i="1"/>
  <c r="E22991" i="1"/>
  <c r="D22991" i="1"/>
  <c r="C22991" i="1"/>
  <c r="B22991" i="1"/>
  <c r="A22991" i="1"/>
  <c r="F22990" i="1"/>
  <c r="E22990" i="1"/>
  <c r="D22990" i="1"/>
  <c r="C22990" i="1"/>
  <c r="B22990" i="1"/>
  <c r="A22990" i="1"/>
  <c r="F22989" i="1"/>
  <c r="E22989" i="1"/>
  <c r="D22989" i="1"/>
  <c r="C22989" i="1"/>
  <c r="B22989" i="1"/>
  <c r="A22989" i="1"/>
  <c r="F22988" i="1"/>
  <c r="E22988" i="1"/>
  <c r="D22988" i="1"/>
  <c r="C22988" i="1"/>
  <c r="B22988" i="1"/>
  <c r="A22988" i="1"/>
  <c r="F22987" i="1"/>
  <c r="E22987" i="1"/>
  <c r="D22987" i="1"/>
  <c r="C22987" i="1"/>
  <c r="B22987" i="1"/>
  <c r="A22987" i="1"/>
  <c r="F22986" i="1"/>
  <c r="E22986" i="1"/>
  <c r="D22986" i="1"/>
  <c r="C22986" i="1"/>
  <c r="B22986" i="1"/>
  <c r="A22986" i="1"/>
  <c r="F22985" i="1"/>
  <c r="E22985" i="1"/>
  <c r="D22985" i="1"/>
  <c r="C22985" i="1"/>
  <c r="B22985" i="1"/>
  <c r="A22985" i="1"/>
  <c r="F22984" i="1"/>
  <c r="E22984" i="1"/>
  <c r="D22984" i="1"/>
  <c r="C22984" i="1"/>
  <c r="B22984" i="1"/>
  <c r="A22984" i="1"/>
  <c r="F22983" i="1"/>
  <c r="E22983" i="1"/>
  <c r="D22983" i="1"/>
  <c r="C22983" i="1"/>
  <c r="B22983" i="1"/>
  <c r="A22983" i="1"/>
  <c r="F22982" i="1"/>
  <c r="E22982" i="1"/>
  <c r="D22982" i="1"/>
  <c r="C22982" i="1"/>
  <c r="B22982" i="1"/>
  <c r="A22982" i="1"/>
  <c r="F22981" i="1"/>
  <c r="E22981" i="1"/>
  <c r="D22981" i="1"/>
  <c r="C22981" i="1"/>
  <c r="B22981" i="1"/>
  <c r="A22981" i="1"/>
  <c r="F22980" i="1"/>
  <c r="E22980" i="1"/>
  <c r="D22980" i="1"/>
  <c r="C22980" i="1"/>
  <c r="B22980" i="1"/>
  <c r="A22980" i="1"/>
  <c r="F22979" i="1"/>
  <c r="E22979" i="1"/>
  <c r="D22979" i="1"/>
  <c r="C22979" i="1"/>
  <c r="B22979" i="1"/>
  <c r="A22979" i="1"/>
  <c r="F22978" i="1"/>
  <c r="E22978" i="1"/>
  <c r="D22978" i="1"/>
  <c r="C22978" i="1"/>
  <c r="B22978" i="1"/>
  <c r="A22978" i="1"/>
  <c r="F22977" i="1"/>
  <c r="E22977" i="1"/>
  <c r="D22977" i="1"/>
  <c r="C22977" i="1"/>
  <c r="B22977" i="1"/>
  <c r="A22977" i="1"/>
  <c r="F22976" i="1"/>
  <c r="E22976" i="1"/>
  <c r="D22976" i="1"/>
  <c r="C22976" i="1"/>
  <c r="B22976" i="1"/>
  <c r="A22976" i="1"/>
  <c r="F22975" i="1"/>
  <c r="E22975" i="1"/>
  <c r="D22975" i="1"/>
  <c r="C22975" i="1"/>
  <c r="B22975" i="1"/>
  <c r="A22975" i="1"/>
  <c r="F22974" i="1"/>
  <c r="E22974" i="1"/>
  <c r="D22974" i="1"/>
  <c r="C22974" i="1"/>
  <c r="B22974" i="1"/>
  <c r="A22974" i="1"/>
  <c r="F22973" i="1"/>
  <c r="E22973" i="1"/>
  <c r="D22973" i="1"/>
  <c r="C22973" i="1"/>
  <c r="B22973" i="1"/>
  <c r="A22973" i="1"/>
  <c r="F22972" i="1"/>
  <c r="E22972" i="1"/>
  <c r="D22972" i="1"/>
  <c r="C22972" i="1"/>
  <c r="B22972" i="1"/>
  <c r="A22972" i="1"/>
  <c r="F22971" i="1"/>
  <c r="E22971" i="1"/>
  <c r="D22971" i="1"/>
  <c r="C22971" i="1"/>
  <c r="B22971" i="1"/>
  <c r="A22971" i="1"/>
  <c r="F22970" i="1"/>
  <c r="E22970" i="1"/>
  <c r="D22970" i="1"/>
  <c r="C22970" i="1"/>
  <c r="B22970" i="1"/>
  <c r="A22970" i="1"/>
  <c r="F22969" i="1"/>
  <c r="E22969" i="1"/>
  <c r="D22969" i="1"/>
  <c r="C22969" i="1"/>
  <c r="B22969" i="1"/>
  <c r="A22969" i="1"/>
  <c r="F22968" i="1"/>
  <c r="E22968" i="1"/>
  <c r="D22968" i="1"/>
  <c r="C22968" i="1"/>
  <c r="B22968" i="1"/>
  <c r="A22968" i="1"/>
  <c r="F22967" i="1"/>
  <c r="E22967" i="1"/>
  <c r="D22967" i="1"/>
  <c r="C22967" i="1"/>
  <c r="B22967" i="1"/>
  <c r="A22967" i="1"/>
  <c r="F22966" i="1"/>
  <c r="E22966" i="1"/>
  <c r="D22966" i="1"/>
  <c r="C22966" i="1"/>
  <c r="B22966" i="1"/>
  <c r="A22966" i="1"/>
  <c r="F22965" i="1"/>
  <c r="E22965" i="1"/>
  <c r="D22965" i="1"/>
  <c r="C22965" i="1"/>
  <c r="B22965" i="1"/>
  <c r="A22965" i="1"/>
  <c r="F22964" i="1"/>
  <c r="E22964" i="1"/>
  <c r="D22964" i="1"/>
  <c r="C22964" i="1"/>
  <c r="B22964" i="1"/>
  <c r="A22964" i="1"/>
  <c r="F22963" i="1"/>
  <c r="E22963" i="1"/>
  <c r="D22963" i="1"/>
  <c r="C22963" i="1"/>
  <c r="B22963" i="1"/>
  <c r="A22963" i="1"/>
  <c r="F22962" i="1"/>
  <c r="E22962" i="1"/>
  <c r="D22962" i="1"/>
  <c r="C22962" i="1"/>
  <c r="B22962" i="1"/>
  <c r="A22962" i="1"/>
  <c r="F22961" i="1"/>
  <c r="E22961" i="1"/>
  <c r="D22961" i="1"/>
  <c r="C22961" i="1"/>
  <c r="B22961" i="1"/>
  <c r="A22961" i="1"/>
  <c r="F22960" i="1"/>
  <c r="E22960" i="1"/>
  <c r="D22960" i="1"/>
  <c r="C22960" i="1"/>
  <c r="B22960" i="1"/>
  <c r="A22960" i="1"/>
  <c r="F22959" i="1"/>
  <c r="E22959" i="1"/>
  <c r="D22959" i="1"/>
  <c r="C22959" i="1"/>
  <c r="B22959" i="1"/>
  <c r="A22959" i="1"/>
  <c r="F22958" i="1"/>
  <c r="E22958" i="1"/>
  <c r="D22958" i="1"/>
  <c r="C22958" i="1"/>
  <c r="B22958" i="1"/>
  <c r="A22958" i="1"/>
  <c r="F22957" i="1"/>
  <c r="E22957" i="1"/>
  <c r="D22957" i="1"/>
  <c r="C22957" i="1"/>
  <c r="B22957" i="1"/>
  <c r="A22957" i="1"/>
  <c r="F22956" i="1"/>
  <c r="E22956" i="1"/>
  <c r="D22956" i="1"/>
  <c r="C22956" i="1"/>
  <c r="B22956" i="1"/>
  <c r="A22956" i="1"/>
  <c r="F22955" i="1"/>
  <c r="E22955" i="1"/>
  <c r="D22955" i="1"/>
  <c r="C22955" i="1"/>
  <c r="B22955" i="1"/>
  <c r="A22955" i="1"/>
  <c r="F22954" i="1"/>
  <c r="E22954" i="1"/>
  <c r="D22954" i="1"/>
  <c r="C22954" i="1"/>
  <c r="B22954" i="1"/>
  <c r="A22954" i="1"/>
  <c r="F22953" i="1"/>
  <c r="E22953" i="1"/>
  <c r="D22953" i="1"/>
  <c r="C22953" i="1"/>
  <c r="B22953" i="1"/>
  <c r="A22953" i="1"/>
  <c r="F22952" i="1"/>
  <c r="E22952" i="1"/>
  <c r="D22952" i="1"/>
  <c r="C22952" i="1"/>
  <c r="B22952" i="1"/>
  <c r="A22952" i="1"/>
  <c r="F22951" i="1"/>
  <c r="E22951" i="1"/>
  <c r="D22951" i="1"/>
  <c r="C22951" i="1"/>
  <c r="B22951" i="1"/>
  <c r="A22951" i="1"/>
  <c r="F22950" i="1"/>
  <c r="E22950" i="1"/>
  <c r="D22950" i="1"/>
  <c r="C22950" i="1"/>
  <c r="B22950" i="1"/>
  <c r="A22950" i="1"/>
  <c r="F22949" i="1"/>
  <c r="E22949" i="1"/>
  <c r="D22949" i="1"/>
  <c r="C22949" i="1"/>
  <c r="B22949" i="1"/>
  <c r="A22949" i="1"/>
  <c r="F22948" i="1"/>
  <c r="E22948" i="1"/>
  <c r="D22948" i="1"/>
  <c r="C22948" i="1"/>
  <c r="B22948" i="1"/>
  <c r="A22948" i="1"/>
  <c r="F22947" i="1"/>
  <c r="E22947" i="1"/>
  <c r="D22947" i="1"/>
  <c r="C22947" i="1"/>
  <c r="B22947" i="1"/>
  <c r="A22947" i="1"/>
  <c r="F22946" i="1"/>
  <c r="E22946" i="1"/>
  <c r="D22946" i="1"/>
  <c r="C22946" i="1"/>
  <c r="B22946" i="1"/>
  <c r="A22946" i="1"/>
  <c r="F22945" i="1"/>
  <c r="E22945" i="1"/>
  <c r="D22945" i="1"/>
  <c r="C22945" i="1"/>
  <c r="B22945" i="1"/>
  <c r="A22945" i="1"/>
  <c r="F22944" i="1"/>
  <c r="E22944" i="1"/>
  <c r="D22944" i="1"/>
  <c r="C22944" i="1"/>
  <c r="B22944" i="1"/>
  <c r="A22944" i="1"/>
  <c r="F22943" i="1"/>
  <c r="E22943" i="1"/>
  <c r="D22943" i="1"/>
  <c r="C22943" i="1"/>
  <c r="B22943" i="1"/>
  <c r="A22943" i="1"/>
  <c r="F22942" i="1"/>
  <c r="E22942" i="1"/>
  <c r="D22942" i="1"/>
  <c r="C22942" i="1"/>
  <c r="B22942" i="1"/>
  <c r="A22942" i="1"/>
  <c r="F22941" i="1"/>
  <c r="E22941" i="1"/>
  <c r="D22941" i="1"/>
  <c r="C22941" i="1"/>
  <c r="B22941" i="1"/>
  <c r="A22941" i="1"/>
  <c r="F22940" i="1"/>
  <c r="E22940" i="1"/>
  <c r="D22940" i="1"/>
  <c r="C22940" i="1"/>
  <c r="B22940" i="1"/>
  <c r="A22940" i="1"/>
  <c r="F22939" i="1"/>
  <c r="E22939" i="1"/>
  <c r="D22939" i="1"/>
  <c r="C22939" i="1"/>
  <c r="B22939" i="1"/>
  <c r="A22939" i="1"/>
  <c r="F22938" i="1"/>
  <c r="E22938" i="1"/>
  <c r="D22938" i="1"/>
  <c r="C22938" i="1"/>
  <c r="B22938" i="1"/>
  <c r="A22938" i="1"/>
  <c r="F22937" i="1"/>
  <c r="E22937" i="1"/>
  <c r="D22937" i="1"/>
  <c r="C22937" i="1"/>
  <c r="B22937" i="1"/>
  <c r="A22937" i="1"/>
  <c r="F22936" i="1"/>
  <c r="E22936" i="1"/>
  <c r="D22936" i="1"/>
  <c r="C22936" i="1"/>
  <c r="B22936" i="1"/>
  <c r="A22936" i="1"/>
  <c r="F22935" i="1"/>
  <c r="E22935" i="1"/>
  <c r="D22935" i="1"/>
  <c r="C22935" i="1"/>
  <c r="B22935" i="1"/>
  <c r="A22935" i="1"/>
  <c r="F22934" i="1"/>
  <c r="E22934" i="1"/>
  <c r="D22934" i="1"/>
  <c r="C22934" i="1"/>
  <c r="B22934" i="1"/>
  <c r="A22934" i="1"/>
  <c r="F22933" i="1"/>
  <c r="E22933" i="1"/>
  <c r="D22933" i="1"/>
  <c r="C22933" i="1"/>
  <c r="B22933" i="1"/>
  <c r="A22933" i="1"/>
  <c r="F22932" i="1"/>
  <c r="E22932" i="1"/>
  <c r="D22932" i="1"/>
  <c r="C22932" i="1"/>
  <c r="B22932" i="1"/>
  <c r="A22932" i="1"/>
  <c r="F22931" i="1"/>
  <c r="E22931" i="1"/>
  <c r="D22931" i="1"/>
  <c r="C22931" i="1"/>
  <c r="B22931" i="1"/>
  <c r="A22931" i="1"/>
  <c r="F22930" i="1"/>
  <c r="E22930" i="1"/>
  <c r="D22930" i="1"/>
  <c r="C22930" i="1"/>
  <c r="B22930" i="1"/>
  <c r="A22930" i="1"/>
  <c r="F22929" i="1"/>
  <c r="E22929" i="1"/>
  <c r="D22929" i="1"/>
  <c r="C22929" i="1"/>
  <c r="B22929" i="1"/>
  <c r="A22929" i="1"/>
  <c r="F22928" i="1"/>
  <c r="E22928" i="1"/>
  <c r="D22928" i="1"/>
  <c r="C22928" i="1"/>
  <c r="B22928" i="1"/>
  <c r="A22928" i="1"/>
  <c r="F22927" i="1"/>
  <c r="E22927" i="1"/>
  <c r="D22927" i="1"/>
  <c r="C22927" i="1"/>
  <c r="B22927" i="1"/>
  <c r="A22927" i="1"/>
  <c r="F22926" i="1"/>
  <c r="E22926" i="1"/>
  <c r="D22926" i="1"/>
  <c r="C22926" i="1"/>
  <c r="B22926" i="1"/>
  <c r="A22926" i="1"/>
  <c r="F22925" i="1"/>
  <c r="E22925" i="1"/>
  <c r="D22925" i="1"/>
  <c r="C22925" i="1"/>
  <c r="B22925" i="1"/>
  <c r="A22925" i="1"/>
  <c r="F22924" i="1"/>
  <c r="E22924" i="1"/>
  <c r="D22924" i="1"/>
  <c r="C22924" i="1"/>
  <c r="B22924" i="1"/>
  <c r="A22924" i="1"/>
  <c r="F22923" i="1"/>
  <c r="E22923" i="1"/>
  <c r="D22923" i="1"/>
  <c r="C22923" i="1"/>
  <c r="B22923" i="1"/>
  <c r="A22923" i="1"/>
  <c r="F22922" i="1"/>
  <c r="E22922" i="1"/>
  <c r="D22922" i="1"/>
  <c r="C22922" i="1"/>
  <c r="B22922" i="1"/>
  <c r="A22922" i="1"/>
  <c r="F22921" i="1"/>
  <c r="E22921" i="1"/>
  <c r="D22921" i="1"/>
  <c r="C22921" i="1"/>
  <c r="B22921" i="1"/>
  <c r="A22921" i="1"/>
  <c r="F22920" i="1"/>
  <c r="E22920" i="1"/>
  <c r="D22920" i="1"/>
  <c r="C22920" i="1"/>
  <c r="B22920" i="1"/>
  <c r="A22920" i="1"/>
  <c r="F22919" i="1"/>
  <c r="E22919" i="1"/>
  <c r="D22919" i="1"/>
  <c r="C22919" i="1"/>
  <c r="B22919" i="1"/>
  <c r="A22919" i="1"/>
  <c r="F22918" i="1"/>
  <c r="E22918" i="1"/>
  <c r="D22918" i="1"/>
  <c r="C22918" i="1"/>
  <c r="B22918" i="1"/>
  <c r="A22918" i="1"/>
  <c r="F22917" i="1"/>
  <c r="E22917" i="1"/>
  <c r="D22917" i="1"/>
  <c r="C22917" i="1"/>
  <c r="B22917" i="1"/>
  <c r="A22917" i="1"/>
  <c r="F22916" i="1"/>
  <c r="E22916" i="1"/>
  <c r="D22916" i="1"/>
  <c r="C22916" i="1"/>
  <c r="B22916" i="1"/>
  <c r="A22916" i="1"/>
  <c r="F22915" i="1"/>
  <c r="E22915" i="1"/>
  <c r="D22915" i="1"/>
  <c r="C22915" i="1"/>
  <c r="B22915" i="1"/>
  <c r="A22915" i="1"/>
  <c r="F22914" i="1"/>
  <c r="E22914" i="1"/>
  <c r="D22914" i="1"/>
  <c r="C22914" i="1"/>
  <c r="B22914" i="1"/>
  <c r="A22914" i="1"/>
  <c r="F22913" i="1"/>
  <c r="E22913" i="1"/>
  <c r="D22913" i="1"/>
  <c r="C22913" i="1"/>
  <c r="B22913" i="1"/>
  <c r="A22913" i="1"/>
  <c r="F22912" i="1"/>
  <c r="E22912" i="1"/>
  <c r="D22912" i="1"/>
  <c r="C22912" i="1"/>
  <c r="B22912" i="1"/>
  <c r="A22912" i="1"/>
  <c r="F22911" i="1"/>
  <c r="E22911" i="1"/>
  <c r="D22911" i="1"/>
  <c r="C22911" i="1"/>
  <c r="B22911" i="1"/>
  <c r="A22911" i="1"/>
  <c r="F22910" i="1"/>
  <c r="E22910" i="1"/>
  <c r="D22910" i="1"/>
  <c r="C22910" i="1"/>
  <c r="B22910" i="1"/>
  <c r="A22910" i="1"/>
  <c r="F22909" i="1"/>
  <c r="E22909" i="1"/>
  <c r="D22909" i="1"/>
  <c r="C22909" i="1"/>
  <c r="B22909" i="1"/>
  <c r="A22909" i="1"/>
  <c r="F22908" i="1"/>
  <c r="E22908" i="1"/>
  <c r="D22908" i="1"/>
  <c r="C22908" i="1"/>
  <c r="B22908" i="1"/>
  <c r="A22908" i="1"/>
  <c r="F22907" i="1"/>
  <c r="E22907" i="1"/>
  <c r="D22907" i="1"/>
  <c r="C22907" i="1"/>
  <c r="B22907" i="1"/>
  <c r="A22907" i="1"/>
  <c r="F22906" i="1"/>
  <c r="E22906" i="1"/>
  <c r="D22906" i="1"/>
  <c r="C22906" i="1"/>
  <c r="B22906" i="1"/>
  <c r="A22906" i="1"/>
  <c r="F22905" i="1"/>
  <c r="E22905" i="1"/>
  <c r="D22905" i="1"/>
  <c r="C22905" i="1"/>
  <c r="B22905" i="1"/>
  <c r="A22905" i="1"/>
  <c r="F22904" i="1"/>
  <c r="E22904" i="1"/>
  <c r="D22904" i="1"/>
  <c r="C22904" i="1"/>
  <c r="B22904" i="1"/>
  <c r="A22904" i="1"/>
  <c r="F22903" i="1"/>
  <c r="E22903" i="1"/>
  <c r="D22903" i="1"/>
  <c r="C22903" i="1"/>
  <c r="B22903" i="1"/>
  <c r="A22903" i="1"/>
  <c r="F22902" i="1"/>
  <c r="E22902" i="1"/>
  <c r="D22902" i="1"/>
  <c r="C22902" i="1"/>
  <c r="B22902" i="1"/>
  <c r="A22902" i="1"/>
  <c r="F22901" i="1"/>
  <c r="E22901" i="1"/>
  <c r="D22901" i="1"/>
  <c r="C22901" i="1"/>
  <c r="B22901" i="1"/>
  <c r="A22901" i="1"/>
  <c r="F22900" i="1"/>
  <c r="E22900" i="1"/>
  <c r="D22900" i="1"/>
  <c r="C22900" i="1"/>
  <c r="B22900" i="1"/>
  <c r="A22900" i="1"/>
  <c r="F22899" i="1"/>
  <c r="E22899" i="1"/>
  <c r="D22899" i="1"/>
  <c r="C22899" i="1"/>
  <c r="B22899" i="1"/>
  <c r="A22899" i="1"/>
  <c r="F22898" i="1"/>
  <c r="E22898" i="1"/>
  <c r="D22898" i="1"/>
  <c r="C22898" i="1"/>
  <c r="B22898" i="1"/>
  <c r="A22898" i="1"/>
  <c r="F22897" i="1"/>
  <c r="E22897" i="1"/>
  <c r="D22897" i="1"/>
  <c r="C22897" i="1"/>
  <c r="B22897" i="1"/>
  <c r="A22897" i="1"/>
  <c r="F22896" i="1"/>
  <c r="E22896" i="1"/>
  <c r="D22896" i="1"/>
  <c r="C22896" i="1"/>
  <c r="B22896" i="1"/>
  <c r="A22896" i="1"/>
  <c r="F22895" i="1"/>
  <c r="E22895" i="1"/>
  <c r="D22895" i="1"/>
  <c r="C22895" i="1"/>
  <c r="B22895" i="1"/>
  <c r="A22895" i="1"/>
  <c r="F22894" i="1"/>
  <c r="E22894" i="1"/>
  <c r="D22894" i="1"/>
  <c r="C22894" i="1"/>
  <c r="B22894" i="1"/>
  <c r="A22894" i="1"/>
  <c r="F22893" i="1"/>
  <c r="E22893" i="1"/>
  <c r="D22893" i="1"/>
  <c r="C22893" i="1"/>
  <c r="B22893" i="1"/>
  <c r="A22893" i="1"/>
  <c r="F22892" i="1"/>
  <c r="E22892" i="1"/>
  <c r="D22892" i="1"/>
  <c r="C22892" i="1"/>
  <c r="B22892" i="1"/>
  <c r="A22892" i="1"/>
  <c r="F22891" i="1"/>
  <c r="E22891" i="1"/>
  <c r="D22891" i="1"/>
  <c r="C22891" i="1"/>
  <c r="B22891" i="1"/>
  <c r="A22891" i="1"/>
  <c r="F22890" i="1"/>
  <c r="E22890" i="1"/>
  <c r="D22890" i="1"/>
  <c r="C22890" i="1"/>
  <c r="B22890" i="1"/>
  <c r="A22890" i="1"/>
  <c r="F22889" i="1"/>
  <c r="E22889" i="1"/>
  <c r="D22889" i="1"/>
  <c r="C22889" i="1"/>
  <c r="B22889" i="1"/>
  <c r="A22889" i="1"/>
  <c r="F22888" i="1"/>
  <c r="E22888" i="1"/>
  <c r="D22888" i="1"/>
  <c r="C22888" i="1"/>
  <c r="B22888" i="1"/>
  <c r="A22888" i="1"/>
  <c r="F22887" i="1"/>
  <c r="E22887" i="1"/>
  <c r="D22887" i="1"/>
  <c r="C22887" i="1"/>
  <c r="B22887" i="1"/>
  <c r="A22887" i="1"/>
  <c r="F22886" i="1"/>
  <c r="E22886" i="1"/>
  <c r="D22886" i="1"/>
  <c r="C22886" i="1"/>
  <c r="B22886" i="1"/>
  <c r="A22886" i="1"/>
  <c r="F22885" i="1"/>
  <c r="E22885" i="1"/>
  <c r="D22885" i="1"/>
  <c r="C22885" i="1"/>
  <c r="B22885" i="1"/>
  <c r="A22885" i="1"/>
  <c r="F22884" i="1"/>
  <c r="E22884" i="1"/>
  <c r="D22884" i="1"/>
  <c r="C22884" i="1"/>
  <c r="B22884" i="1"/>
  <c r="A22884" i="1"/>
  <c r="F22883" i="1"/>
  <c r="E22883" i="1"/>
  <c r="D22883" i="1"/>
  <c r="C22883" i="1"/>
  <c r="B22883" i="1"/>
  <c r="A22883" i="1"/>
  <c r="F22882" i="1"/>
  <c r="E22882" i="1"/>
  <c r="D22882" i="1"/>
  <c r="C22882" i="1"/>
  <c r="B22882" i="1"/>
  <c r="A22882" i="1"/>
  <c r="F22881" i="1"/>
  <c r="E22881" i="1"/>
  <c r="D22881" i="1"/>
  <c r="C22881" i="1"/>
  <c r="B22881" i="1"/>
  <c r="A22881" i="1"/>
  <c r="F22880" i="1"/>
  <c r="E22880" i="1"/>
  <c r="D22880" i="1"/>
  <c r="C22880" i="1"/>
  <c r="B22880" i="1"/>
  <c r="A22880" i="1"/>
  <c r="F22879" i="1"/>
  <c r="E22879" i="1"/>
  <c r="D22879" i="1"/>
  <c r="C22879" i="1"/>
  <c r="B22879" i="1"/>
  <c r="A22879" i="1"/>
  <c r="F22878" i="1"/>
  <c r="E22878" i="1"/>
  <c r="D22878" i="1"/>
  <c r="C22878" i="1"/>
  <c r="B22878" i="1"/>
  <c r="A22878" i="1"/>
  <c r="F22877" i="1"/>
  <c r="E22877" i="1"/>
  <c r="D22877" i="1"/>
  <c r="C22877" i="1"/>
  <c r="B22877" i="1"/>
  <c r="A22877" i="1"/>
  <c r="F22876" i="1"/>
  <c r="E22876" i="1"/>
  <c r="D22876" i="1"/>
  <c r="C22876" i="1"/>
  <c r="B22876" i="1"/>
  <c r="A22876" i="1"/>
  <c r="F22875" i="1"/>
  <c r="E22875" i="1"/>
  <c r="D22875" i="1"/>
  <c r="C22875" i="1"/>
  <c r="B22875" i="1"/>
  <c r="A22875" i="1"/>
  <c r="F22874" i="1"/>
  <c r="E22874" i="1"/>
  <c r="D22874" i="1"/>
  <c r="C22874" i="1"/>
  <c r="B22874" i="1"/>
  <c r="A22874" i="1"/>
  <c r="F22873" i="1"/>
  <c r="E22873" i="1"/>
  <c r="D22873" i="1"/>
  <c r="C22873" i="1"/>
  <c r="B22873" i="1"/>
  <c r="A22873" i="1"/>
  <c r="F22872" i="1"/>
  <c r="E22872" i="1"/>
  <c r="D22872" i="1"/>
  <c r="C22872" i="1"/>
  <c r="B22872" i="1"/>
  <c r="A22872" i="1"/>
  <c r="F22871" i="1"/>
  <c r="E22871" i="1"/>
  <c r="D22871" i="1"/>
  <c r="C22871" i="1"/>
  <c r="B22871" i="1"/>
  <c r="A22871" i="1"/>
  <c r="F22870" i="1"/>
  <c r="E22870" i="1"/>
  <c r="D22870" i="1"/>
  <c r="C22870" i="1"/>
  <c r="B22870" i="1"/>
  <c r="A22870" i="1"/>
  <c r="F22869" i="1"/>
  <c r="E22869" i="1"/>
  <c r="D22869" i="1"/>
  <c r="C22869" i="1"/>
  <c r="B22869" i="1"/>
  <c r="A22869" i="1"/>
  <c r="F22868" i="1"/>
  <c r="E22868" i="1"/>
  <c r="D22868" i="1"/>
  <c r="C22868" i="1"/>
  <c r="B22868" i="1"/>
  <c r="A22868" i="1"/>
  <c r="F22867" i="1"/>
  <c r="E22867" i="1"/>
  <c r="D22867" i="1"/>
  <c r="C22867" i="1"/>
  <c r="B22867" i="1"/>
  <c r="A22867" i="1"/>
  <c r="F22866" i="1"/>
  <c r="E22866" i="1"/>
  <c r="D22866" i="1"/>
  <c r="C22866" i="1"/>
  <c r="B22866" i="1"/>
  <c r="A22866" i="1"/>
  <c r="F22865" i="1"/>
  <c r="E22865" i="1"/>
  <c r="D22865" i="1"/>
  <c r="C22865" i="1"/>
  <c r="B22865" i="1"/>
  <c r="A22865" i="1"/>
  <c r="F22864" i="1"/>
  <c r="E22864" i="1"/>
  <c r="D22864" i="1"/>
  <c r="C22864" i="1"/>
  <c r="B22864" i="1"/>
  <c r="A22864" i="1"/>
  <c r="F22863" i="1"/>
  <c r="E22863" i="1"/>
  <c r="D22863" i="1"/>
  <c r="C22863" i="1"/>
  <c r="B22863" i="1"/>
  <c r="A22863" i="1"/>
  <c r="F22862" i="1"/>
  <c r="E22862" i="1"/>
  <c r="D22862" i="1"/>
  <c r="C22862" i="1"/>
  <c r="B22862" i="1"/>
  <c r="A22862" i="1"/>
  <c r="F22861" i="1"/>
  <c r="E22861" i="1"/>
  <c r="D22861" i="1"/>
  <c r="C22861" i="1"/>
  <c r="B22861" i="1"/>
  <c r="A22861" i="1"/>
  <c r="F22860" i="1"/>
  <c r="E22860" i="1"/>
  <c r="D22860" i="1"/>
  <c r="C22860" i="1"/>
  <c r="B22860" i="1"/>
  <c r="A22860" i="1"/>
  <c r="F22859" i="1"/>
  <c r="E22859" i="1"/>
  <c r="D22859" i="1"/>
  <c r="C22859" i="1"/>
  <c r="B22859" i="1"/>
  <c r="A22859" i="1"/>
  <c r="F22858" i="1"/>
  <c r="E22858" i="1"/>
  <c r="D22858" i="1"/>
  <c r="C22858" i="1"/>
  <c r="B22858" i="1"/>
  <c r="A22858" i="1"/>
  <c r="F22857" i="1"/>
  <c r="E22857" i="1"/>
  <c r="D22857" i="1"/>
  <c r="C22857" i="1"/>
  <c r="B22857" i="1"/>
  <c r="A22857" i="1"/>
  <c r="F22856" i="1"/>
  <c r="E22856" i="1"/>
  <c r="D22856" i="1"/>
  <c r="C22856" i="1"/>
  <c r="B22856" i="1"/>
  <c r="A22856" i="1"/>
  <c r="F22855" i="1"/>
  <c r="E22855" i="1"/>
  <c r="D22855" i="1"/>
  <c r="C22855" i="1"/>
  <c r="B22855" i="1"/>
  <c r="A22855" i="1"/>
  <c r="F22854" i="1"/>
  <c r="E22854" i="1"/>
  <c r="D22854" i="1"/>
  <c r="C22854" i="1"/>
  <c r="B22854" i="1"/>
  <c r="A22854" i="1"/>
  <c r="F22853" i="1"/>
  <c r="E22853" i="1"/>
  <c r="D22853" i="1"/>
  <c r="C22853" i="1"/>
  <c r="B22853" i="1"/>
  <c r="A22853" i="1"/>
  <c r="F22852" i="1"/>
  <c r="E22852" i="1"/>
  <c r="D22852" i="1"/>
  <c r="C22852" i="1"/>
  <c r="B22852" i="1"/>
  <c r="A22852" i="1"/>
  <c r="F22851" i="1"/>
  <c r="E22851" i="1"/>
  <c r="D22851" i="1"/>
  <c r="C22851" i="1"/>
  <c r="B22851" i="1"/>
  <c r="A22851" i="1"/>
  <c r="F22850" i="1"/>
  <c r="E22850" i="1"/>
  <c r="D22850" i="1"/>
  <c r="C22850" i="1"/>
  <c r="B22850" i="1"/>
  <c r="A22850" i="1"/>
  <c r="F22849" i="1"/>
  <c r="E22849" i="1"/>
  <c r="D22849" i="1"/>
  <c r="C22849" i="1"/>
  <c r="B22849" i="1"/>
  <c r="A22849" i="1"/>
  <c r="F22848" i="1"/>
  <c r="E22848" i="1"/>
  <c r="D22848" i="1"/>
  <c r="C22848" i="1"/>
  <c r="B22848" i="1"/>
  <c r="A22848" i="1"/>
  <c r="F22847" i="1"/>
  <c r="E22847" i="1"/>
  <c r="D22847" i="1"/>
  <c r="C22847" i="1"/>
  <c r="B22847" i="1"/>
  <c r="A22847" i="1"/>
  <c r="F22846" i="1"/>
  <c r="E22846" i="1"/>
  <c r="D22846" i="1"/>
  <c r="C22846" i="1"/>
  <c r="B22846" i="1"/>
  <c r="A22846" i="1"/>
  <c r="F22845" i="1"/>
  <c r="E22845" i="1"/>
  <c r="D22845" i="1"/>
  <c r="C22845" i="1"/>
  <c r="B22845" i="1"/>
  <c r="A22845" i="1"/>
  <c r="F22844" i="1"/>
  <c r="E22844" i="1"/>
  <c r="D22844" i="1"/>
  <c r="C22844" i="1"/>
  <c r="B22844" i="1"/>
  <c r="A22844" i="1"/>
  <c r="F22843" i="1"/>
  <c r="E22843" i="1"/>
  <c r="D22843" i="1"/>
  <c r="C22843" i="1"/>
  <c r="B22843" i="1"/>
  <c r="A22843" i="1"/>
  <c r="F22842" i="1"/>
  <c r="E22842" i="1"/>
  <c r="D22842" i="1"/>
  <c r="C22842" i="1"/>
  <c r="B22842" i="1"/>
  <c r="A22842" i="1"/>
  <c r="F22841" i="1"/>
  <c r="E22841" i="1"/>
  <c r="D22841" i="1"/>
  <c r="C22841" i="1"/>
  <c r="B22841" i="1"/>
  <c r="A22841" i="1"/>
  <c r="F22840" i="1"/>
  <c r="E22840" i="1"/>
  <c r="D22840" i="1"/>
  <c r="C22840" i="1"/>
  <c r="B22840" i="1"/>
  <c r="A22840" i="1"/>
  <c r="F22839" i="1"/>
  <c r="E22839" i="1"/>
  <c r="D22839" i="1"/>
  <c r="C22839" i="1"/>
  <c r="B22839" i="1"/>
  <c r="A22839" i="1"/>
  <c r="F22838" i="1"/>
  <c r="E22838" i="1"/>
  <c r="D22838" i="1"/>
  <c r="C22838" i="1"/>
  <c r="B22838" i="1"/>
  <c r="A22838" i="1"/>
  <c r="F22837" i="1"/>
  <c r="E22837" i="1"/>
  <c r="D22837" i="1"/>
  <c r="C22837" i="1"/>
  <c r="B22837" i="1"/>
  <c r="A22837" i="1"/>
  <c r="F22836" i="1"/>
  <c r="E22836" i="1"/>
  <c r="D22836" i="1"/>
  <c r="C22836" i="1"/>
  <c r="B22836" i="1"/>
  <c r="A22836" i="1"/>
  <c r="F22835" i="1"/>
  <c r="E22835" i="1"/>
  <c r="D22835" i="1"/>
  <c r="C22835" i="1"/>
  <c r="B22835" i="1"/>
  <c r="A22835" i="1"/>
  <c r="F22834" i="1"/>
  <c r="E22834" i="1"/>
  <c r="D22834" i="1"/>
  <c r="C22834" i="1"/>
  <c r="B22834" i="1"/>
  <c r="A22834" i="1"/>
  <c r="F22833" i="1"/>
  <c r="E22833" i="1"/>
  <c r="D22833" i="1"/>
  <c r="C22833" i="1"/>
  <c r="B22833" i="1"/>
  <c r="A22833" i="1"/>
  <c r="F22832" i="1"/>
  <c r="E22832" i="1"/>
  <c r="D22832" i="1"/>
  <c r="C22832" i="1"/>
  <c r="B22832" i="1"/>
  <c r="A22832" i="1"/>
  <c r="F22831" i="1"/>
  <c r="E22831" i="1"/>
  <c r="D22831" i="1"/>
  <c r="C22831" i="1"/>
  <c r="B22831" i="1"/>
  <c r="A22831" i="1"/>
  <c r="F22830" i="1"/>
  <c r="E22830" i="1"/>
  <c r="D22830" i="1"/>
  <c r="C22830" i="1"/>
  <c r="B22830" i="1"/>
  <c r="A22830" i="1"/>
  <c r="F22829" i="1"/>
  <c r="E22829" i="1"/>
  <c r="D22829" i="1"/>
  <c r="C22829" i="1"/>
  <c r="B22829" i="1"/>
  <c r="A22829" i="1"/>
  <c r="F22828" i="1"/>
  <c r="E22828" i="1"/>
  <c r="D22828" i="1"/>
  <c r="C22828" i="1"/>
  <c r="B22828" i="1"/>
  <c r="A22828" i="1"/>
  <c r="F22827" i="1"/>
  <c r="E22827" i="1"/>
  <c r="D22827" i="1"/>
  <c r="C22827" i="1"/>
  <c r="B22827" i="1"/>
  <c r="A22827" i="1"/>
  <c r="F22826" i="1"/>
  <c r="E22826" i="1"/>
  <c r="D22826" i="1"/>
  <c r="C22826" i="1"/>
  <c r="B22826" i="1"/>
  <c r="A22826" i="1"/>
  <c r="F22825" i="1"/>
  <c r="E22825" i="1"/>
  <c r="D22825" i="1"/>
  <c r="C22825" i="1"/>
  <c r="B22825" i="1"/>
  <c r="A22825" i="1"/>
  <c r="F22824" i="1"/>
  <c r="E22824" i="1"/>
  <c r="D22824" i="1"/>
  <c r="C22824" i="1"/>
  <c r="B22824" i="1"/>
  <c r="A22824" i="1"/>
  <c r="F22823" i="1"/>
  <c r="E22823" i="1"/>
  <c r="D22823" i="1"/>
  <c r="C22823" i="1"/>
  <c r="B22823" i="1"/>
  <c r="A22823" i="1"/>
  <c r="F22822" i="1"/>
  <c r="E22822" i="1"/>
  <c r="D22822" i="1"/>
  <c r="C22822" i="1"/>
  <c r="B22822" i="1"/>
  <c r="A22822" i="1"/>
  <c r="F22821" i="1"/>
  <c r="E22821" i="1"/>
  <c r="D22821" i="1"/>
  <c r="C22821" i="1"/>
  <c r="B22821" i="1"/>
  <c r="A22821" i="1"/>
  <c r="F22820" i="1"/>
  <c r="E22820" i="1"/>
  <c r="D22820" i="1"/>
  <c r="C22820" i="1"/>
  <c r="B22820" i="1"/>
  <c r="A22820" i="1"/>
  <c r="F22819" i="1"/>
  <c r="E22819" i="1"/>
  <c r="D22819" i="1"/>
  <c r="C22819" i="1"/>
  <c r="B22819" i="1"/>
  <c r="A22819" i="1"/>
  <c r="F22818" i="1"/>
  <c r="E22818" i="1"/>
  <c r="D22818" i="1"/>
  <c r="C22818" i="1"/>
  <c r="B22818" i="1"/>
  <c r="A22818" i="1"/>
  <c r="F22817" i="1"/>
  <c r="E22817" i="1"/>
  <c r="D22817" i="1"/>
  <c r="C22817" i="1"/>
  <c r="B22817" i="1"/>
  <c r="A22817" i="1"/>
  <c r="F22816" i="1"/>
  <c r="E22816" i="1"/>
  <c r="D22816" i="1"/>
  <c r="C22816" i="1"/>
  <c r="B22816" i="1"/>
  <c r="A22816" i="1"/>
  <c r="F22815" i="1"/>
  <c r="E22815" i="1"/>
  <c r="D22815" i="1"/>
  <c r="C22815" i="1"/>
  <c r="B22815" i="1"/>
  <c r="A22815" i="1"/>
  <c r="F22814" i="1"/>
  <c r="E22814" i="1"/>
  <c r="D22814" i="1"/>
  <c r="C22814" i="1"/>
  <c r="B22814" i="1"/>
  <c r="A22814" i="1"/>
  <c r="F22813" i="1"/>
  <c r="E22813" i="1"/>
  <c r="D22813" i="1"/>
  <c r="C22813" i="1"/>
  <c r="B22813" i="1"/>
  <c r="A22813" i="1"/>
  <c r="F22812" i="1"/>
  <c r="E22812" i="1"/>
  <c r="D22812" i="1"/>
  <c r="C22812" i="1"/>
  <c r="B22812" i="1"/>
  <c r="A22812" i="1"/>
  <c r="F22811" i="1"/>
  <c r="E22811" i="1"/>
  <c r="D22811" i="1"/>
  <c r="C22811" i="1"/>
  <c r="B22811" i="1"/>
  <c r="A22811" i="1"/>
  <c r="F22810" i="1"/>
  <c r="E22810" i="1"/>
  <c r="D22810" i="1"/>
  <c r="C22810" i="1"/>
  <c r="B22810" i="1"/>
  <c r="A22810" i="1"/>
  <c r="F22809" i="1"/>
  <c r="E22809" i="1"/>
  <c r="D22809" i="1"/>
  <c r="C22809" i="1"/>
  <c r="B22809" i="1"/>
  <c r="A22809" i="1"/>
  <c r="F22808" i="1"/>
  <c r="E22808" i="1"/>
  <c r="D22808" i="1"/>
  <c r="C22808" i="1"/>
  <c r="B22808" i="1"/>
  <c r="A22808" i="1"/>
  <c r="F22807" i="1"/>
  <c r="E22807" i="1"/>
  <c r="D22807" i="1"/>
  <c r="C22807" i="1"/>
  <c r="B22807" i="1"/>
  <c r="A22807" i="1"/>
  <c r="F22806" i="1"/>
  <c r="E22806" i="1"/>
  <c r="D22806" i="1"/>
  <c r="C22806" i="1"/>
  <c r="B22806" i="1"/>
  <c r="A22806" i="1"/>
  <c r="F22805" i="1"/>
  <c r="E22805" i="1"/>
  <c r="D22805" i="1"/>
  <c r="C22805" i="1"/>
  <c r="B22805" i="1"/>
  <c r="A22805" i="1"/>
  <c r="F22804" i="1"/>
  <c r="E22804" i="1"/>
  <c r="D22804" i="1"/>
  <c r="C22804" i="1"/>
  <c r="B22804" i="1"/>
  <c r="A22804" i="1"/>
  <c r="F22803" i="1"/>
  <c r="E22803" i="1"/>
  <c r="D22803" i="1"/>
  <c r="C22803" i="1"/>
  <c r="B22803" i="1"/>
  <c r="A22803" i="1"/>
  <c r="F22802" i="1"/>
  <c r="E22802" i="1"/>
  <c r="D22802" i="1"/>
  <c r="C22802" i="1"/>
  <c r="B22802" i="1"/>
  <c r="A22802" i="1"/>
  <c r="F22801" i="1"/>
  <c r="E22801" i="1"/>
  <c r="D22801" i="1"/>
  <c r="C22801" i="1"/>
  <c r="B22801" i="1"/>
  <c r="A22801" i="1"/>
  <c r="F22800" i="1"/>
  <c r="E22800" i="1"/>
  <c r="D22800" i="1"/>
  <c r="C22800" i="1"/>
  <c r="B22800" i="1"/>
  <c r="A22800" i="1"/>
  <c r="F22799" i="1"/>
  <c r="E22799" i="1"/>
  <c r="D22799" i="1"/>
  <c r="C22799" i="1"/>
  <c r="B22799" i="1"/>
  <c r="A22799" i="1"/>
  <c r="F22798" i="1"/>
  <c r="E22798" i="1"/>
  <c r="D22798" i="1"/>
  <c r="C22798" i="1"/>
  <c r="B22798" i="1"/>
  <c r="A22798" i="1"/>
  <c r="F22797" i="1"/>
  <c r="E22797" i="1"/>
  <c r="D22797" i="1"/>
  <c r="C22797" i="1"/>
  <c r="B22797" i="1"/>
  <c r="A22797" i="1"/>
  <c r="F22796" i="1"/>
  <c r="E22796" i="1"/>
  <c r="D22796" i="1"/>
  <c r="C22796" i="1"/>
  <c r="B22796" i="1"/>
  <c r="A22796" i="1"/>
  <c r="F22795" i="1"/>
  <c r="E22795" i="1"/>
  <c r="D22795" i="1"/>
  <c r="C22795" i="1"/>
  <c r="B22795" i="1"/>
  <c r="A22795" i="1"/>
  <c r="F22794" i="1"/>
  <c r="E22794" i="1"/>
  <c r="D22794" i="1"/>
  <c r="C22794" i="1"/>
  <c r="B22794" i="1"/>
  <c r="A22794" i="1"/>
  <c r="F22793" i="1"/>
  <c r="E22793" i="1"/>
  <c r="D22793" i="1"/>
  <c r="C22793" i="1"/>
  <c r="B22793" i="1"/>
  <c r="A22793" i="1"/>
  <c r="F22792" i="1"/>
  <c r="E22792" i="1"/>
  <c r="D22792" i="1"/>
  <c r="C22792" i="1"/>
  <c r="B22792" i="1"/>
  <c r="A22792" i="1"/>
  <c r="F22791" i="1"/>
  <c r="E22791" i="1"/>
  <c r="D22791" i="1"/>
  <c r="C22791" i="1"/>
  <c r="B22791" i="1"/>
  <c r="A22791" i="1"/>
  <c r="F22790" i="1"/>
  <c r="E22790" i="1"/>
  <c r="D22790" i="1"/>
  <c r="C22790" i="1"/>
  <c r="B22790" i="1"/>
  <c r="A22790" i="1"/>
  <c r="F22789" i="1"/>
  <c r="E22789" i="1"/>
  <c r="D22789" i="1"/>
  <c r="C22789" i="1"/>
  <c r="B22789" i="1"/>
  <c r="A22789" i="1"/>
  <c r="F22788" i="1"/>
  <c r="E22788" i="1"/>
  <c r="D22788" i="1"/>
  <c r="C22788" i="1"/>
  <c r="B22788" i="1"/>
  <c r="A22788" i="1"/>
  <c r="F22787" i="1"/>
  <c r="E22787" i="1"/>
  <c r="D22787" i="1"/>
  <c r="C22787" i="1"/>
  <c r="B22787" i="1"/>
  <c r="A22787" i="1"/>
  <c r="F22786" i="1"/>
  <c r="E22786" i="1"/>
  <c r="D22786" i="1"/>
  <c r="C22786" i="1"/>
  <c r="B22786" i="1"/>
  <c r="A22786" i="1"/>
  <c r="F22785" i="1"/>
  <c r="E22785" i="1"/>
  <c r="D22785" i="1"/>
  <c r="C22785" i="1"/>
  <c r="B22785" i="1"/>
  <c r="A22785" i="1"/>
  <c r="F22784" i="1"/>
  <c r="E22784" i="1"/>
  <c r="D22784" i="1"/>
  <c r="C22784" i="1"/>
  <c r="B22784" i="1"/>
  <c r="A22784" i="1"/>
  <c r="F22783" i="1"/>
  <c r="E22783" i="1"/>
  <c r="D22783" i="1"/>
  <c r="C22783" i="1"/>
  <c r="B22783" i="1"/>
  <c r="A22783" i="1"/>
  <c r="F22782" i="1"/>
  <c r="E22782" i="1"/>
  <c r="D22782" i="1"/>
  <c r="C22782" i="1"/>
  <c r="B22782" i="1"/>
  <c r="A22782" i="1"/>
  <c r="F22781" i="1"/>
  <c r="E22781" i="1"/>
  <c r="D22781" i="1"/>
  <c r="C22781" i="1"/>
  <c r="B22781" i="1"/>
  <c r="A22781" i="1"/>
  <c r="F22780" i="1"/>
  <c r="E22780" i="1"/>
  <c r="D22780" i="1"/>
  <c r="C22780" i="1"/>
  <c r="B22780" i="1"/>
  <c r="A22780" i="1"/>
  <c r="F22779" i="1"/>
  <c r="E22779" i="1"/>
  <c r="D22779" i="1"/>
  <c r="C22779" i="1"/>
  <c r="B22779" i="1"/>
  <c r="A22779" i="1"/>
  <c r="F22778" i="1"/>
  <c r="E22778" i="1"/>
  <c r="D22778" i="1"/>
  <c r="C22778" i="1"/>
  <c r="B22778" i="1"/>
  <c r="A22778" i="1"/>
  <c r="F22777" i="1"/>
  <c r="E22777" i="1"/>
  <c r="D22777" i="1"/>
  <c r="C22777" i="1"/>
  <c r="B22777" i="1"/>
  <c r="A22777" i="1"/>
  <c r="F22776" i="1"/>
  <c r="E22776" i="1"/>
  <c r="D22776" i="1"/>
  <c r="C22776" i="1"/>
  <c r="B22776" i="1"/>
  <c r="A22776" i="1"/>
  <c r="F22775" i="1"/>
  <c r="E22775" i="1"/>
  <c r="D22775" i="1"/>
  <c r="C22775" i="1"/>
  <c r="B22775" i="1"/>
  <c r="A22775" i="1"/>
  <c r="F22774" i="1"/>
  <c r="E22774" i="1"/>
  <c r="D22774" i="1"/>
  <c r="C22774" i="1"/>
  <c r="B22774" i="1"/>
  <c r="A22774" i="1"/>
  <c r="F22773" i="1"/>
  <c r="E22773" i="1"/>
  <c r="D22773" i="1"/>
  <c r="C22773" i="1"/>
  <c r="B22773" i="1"/>
  <c r="A22773" i="1"/>
  <c r="F22772" i="1"/>
  <c r="E22772" i="1"/>
  <c r="D22772" i="1"/>
  <c r="C22772" i="1"/>
  <c r="B22772" i="1"/>
  <c r="A22772" i="1"/>
  <c r="F22771" i="1"/>
  <c r="E22771" i="1"/>
  <c r="D22771" i="1"/>
  <c r="C22771" i="1"/>
  <c r="B22771" i="1"/>
  <c r="A22771" i="1"/>
  <c r="F22770" i="1"/>
  <c r="E22770" i="1"/>
  <c r="D22770" i="1"/>
  <c r="C22770" i="1"/>
  <c r="B22770" i="1"/>
  <c r="A22770" i="1"/>
  <c r="F22769" i="1"/>
  <c r="E22769" i="1"/>
  <c r="D22769" i="1"/>
  <c r="C22769" i="1"/>
  <c r="B22769" i="1"/>
  <c r="A22769" i="1"/>
  <c r="F22768" i="1"/>
  <c r="E22768" i="1"/>
  <c r="D22768" i="1"/>
  <c r="C22768" i="1"/>
  <c r="B22768" i="1"/>
  <c r="A22768" i="1"/>
  <c r="F22767" i="1"/>
  <c r="E22767" i="1"/>
  <c r="D22767" i="1"/>
  <c r="C22767" i="1"/>
  <c r="B22767" i="1"/>
  <c r="A22767" i="1"/>
  <c r="F22766" i="1"/>
  <c r="E22766" i="1"/>
  <c r="D22766" i="1"/>
  <c r="C22766" i="1"/>
  <c r="B22766" i="1"/>
  <c r="A22766" i="1"/>
  <c r="F22765" i="1"/>
  <c r="E22765" i="1"/>
  <c r="D22765" i="1"/>
  <c r="C22765" i="1"/>
  <c r="B22765" i="1"/>
  <c r="A22765" i="1"/>
  <c r="F22764" i="1"/>
  <c r="E22764" i="1"/>
  <c r="D22764" i="1"/>
  <c r="C22764" i="1"/>
  <c r="B22764" i="1"/>
  <c r="A22764" i="1"/>
  <c r="F22763" i="1"/>
  <c r="E22763" i="1"/>
  <c r="D22763" i="1"/>
  <c r="C22763" i="1"/>
  <c r="B22763" i="1"/>
  <c r="A22763" i="1"/>
  <c r="F22762" i="1"/>
  <c r="E22762" i="1"/>
  <c r="D22762" i="1"/>
  <c r="C22762" i="1"/>
  <c r="B22762" i="1"/>
  <c r="A22762" i="1"/>
  <c r="F22761" i="1"/>
  <c r="E22761" i="1"/>
  <c r="D22761" i="1"/>
  <c r="C22761" i="1"/>
  <c r="B22761" i="1"/>
  <c r="A22761" i="1"/>
  <c r="F22760" i="1"/>
  <c r="E22760" i="1"/>
  <c r="D22760" i="1"/>
  <c r="C22760" i="1"/>
  <c r="B22760" i="1"/>
  <c r="A22760" i="1"/>
  <c r="F22759" i="1"/>
  <c r="E22759" i="1"/>
  <c r="D22759" i="1"/>
  <c r="C22759" i="1"/>
  <c r="B22759" i="1"/>
  <c r="A22759" i="1"/>
  <c r="F22758" i="1"/>
  <c r="E22758" i="1"/>
  <c r="D22758" i="1"/>
  <c r="C22758" i="1"/>
  <c r="B22758" i="1"/>
  <c r="A22758" i="1"/>
  <c r="F22757" i="1"/>
  <c r="E22757" i="1"/>
  <c r="D22757" i="1"/>
  <c r="C22757" i="1"/>
  <c r="B22757" i="1"/>
  <c r="A22757" i="1"/>
  <c r="F22756" i="1"/>
  <c r="E22756" i="1"/>
  <c r="D22756" i="1"/>
  <c r="C22756" i="1"/>
  <c r="B22756" i="1"/>
  <c r="A22756" i="1"/>
  <c r="F22755" i="1"/>
  <c r="E22755" i="1"/>
  <c r="D22755" i="1"/>
  <c r="C22755" i="1"/>
  <c r="B22755" i="1"/>
  <c r="A22755" i="1"/>
  <c r="F22754" i="1"/>
  <c r="E22754" i="1"/>
  <c r="D22754" i="1"/>
  <c r="C22754" i="1"/>
  <c r="B22754" i="1"/>
  <c r="A22754" i="1"/>
  <c r="F22753" i="1"/>
  <c r="E22753" i="1"/>
  <c r="D22753" i="1"/>
  <c r="C22753" i="1"/>
  <c r="B22753" i="1"/>
  <c r="A22753" i="1"/>
  <c r="F22752" i="1"/>
  <c r="E22752" i="1"/>
  <c r="D22752" i="1"/>
  <c r="C22752" i="1"/>
  <c r="B22752" i="1"/>
  <c r="A22752" i="1"/>
  <c r="F22751" i="1"/>
  <c r="E22751" i="1"/>
  <c r="D22751" i="1"/>
  <c r="C22751" i="1"/>
  <c r="B22751" i="1"/>
  <c r="A22751" i="1"/>
  <c r="F22750" i="1"/>
  <c r="E22750" i="1"/>
  <c r="D22750" i="1"/>
  <c r="C22750" i="1"/>
  <c r="B22750" i="1"/>
  <c r="A22750" i="1"/>
  <c r="F22749" i="1"/>
  <c r="E22749" i="1"/>
  <c r="D22749" i="1"/>
  <c r="C22749" i="1"/>
  <c r="B22749" i="1"/>
  <c r="A22749" i="1"/>
  <c r="F22748" i="1"/>
  <c r="E22748" i="1"/>
  <c r="D22748" i="1"/>
  <c r="C22748" i="1"/>
  <c r="B22748" i="1"/>
  <c r="A22748" i="1"/>
  <c r="F22747" i="1"/>
  <c r="E22747" i="1"/>
  <c r="D22747" i="1"/>
  <c r="C22747" i="1"/>
  <c r="B22747" i="1"/>
  <c r="A22747" i="1"/>
  <c r="F22746" i="1"/>
  <c r="E22746" i="1"/>
  <c r="D22746" i="1"/>
  <c r="C22746" i="1"/>
  <c r="B22746" i="1"/>
  <c r="A22746" i="1"/>
  <c r="F22745" i="1"/>
  <c r="E22745" i="1"/>
  <c r="D22745" i="1"/>
  <c r="C22745" i="1"/>
  <c r="B22745" i="1"/>
  <c r="A22745" i="1"/>
  <c r="F22744" i="1"/>
  <c r="E22744" i="1"/>
  <c r="D22744" i="1"/>
  <c r="C22744" i="1"/>
  <c r="B22744" i="1"/>
  <c r="A22744" i="1"/>
  <c r="F22743" i="1"/>
  <c r="E22743" i="1"/>
  <c r="D22743" i="1"/>
  <c r="C22743" i="1"/>
  <c r="B22743" i="1"/>
  <c r="A22743" i="1"/>
  <c r="F22742" i="1"/>
  <c r="E22742" i="1"/>
  <c r="D22742" i="1"/>
  <c r="C22742" i="1"/>
  <c r="B22742" i="1"/>
  <c r="A22742" i="1"/>
  <c r="F22741" i="1"/>
  <c r="E22741" i="1"/>
  <c r="D22741" i="1"/>
  <c r="C22741" i="1"/>
  <c r="B22741" i="1"/>
  <c r="A22741" i="1"/>
  <c r="F22740" i="1"/>
  <c r="E22740" i="1"/>
  <c r="D22740" i="1"/>
  <c r="C22740" i="1"/>
  <c r="B22740" i="1"/>
  <c r="A22740" i="1"/>
  <c r="F22739" i="1"/>
  <c r="E22739" i="1"/>
  <c r="D22739" i="1"/>
  <c r="C22739" i="1"/>
  <c r="B22739" i="1"/>
  <c r="A22739" i="1"/>
  <c r="F22738" i="1"/>
  <c r="E22738" i="1"/>
  <c r="D22738" i="1"/>
  <c r="C22738" i="1"/>
  <c r="B22738" i="1"/>
  <c r="A22738" i="1"/>
  <c r="F22737" i="1"/>
  <c r="E22737" i="1"/>
  <c r="D22737" i="1"/>
  <c r="C22737" i="1"/>
  <c r="B22737" i="1"/>
  <c r="A22737" i="1"/>
  <c r="F22736" i="1"/>
  <c r="E22736" i="1"/>
  <c r="D22736" i="1"/>
  <c r="C22736" i="1"/>
  <c r="B22736" i="1"/>
  <c r="A22736" i="1"/>
  <c r="F22735" i="1"/>
  <c r="E22735" i="1"/>
  <c r="D22735" i="1"/>
  <c r="C22735" i="1"/>
  <c r="B22735" i="1"/>
  <c r="A22735" i="1"/>
  <c r="F22734" i="1"/>
  <c r="E22734" i="1"/>
  <c r="D22734" i="1"/>
  <c r="C22734" i="1"/>
  <c r="B22734" i="1"/>
  <c r="A22734" i="1"/>
  <c r="F22733" i="1"/>
  <c r="E22733" i="1"/>
  <c r="D22733" i="1"/>
  <c r="C22733" i="1"/>
  <c r="B22733" i="1"/>
  <c r="A22733" i="1"/>
  <c r="F22732" i="1"/>
  <c r="E22732" i="1"/>
  <c r="D22732" i="1"/>
  <c r="C22732" i="1"/>
  <c r="B22732" i="1"/>
  <c r="A22732" i="1"/>
  <c r="F22731" i="1"/>
  <c r="E22731" i="1"/>
  <c r="D22731" i="1"/>
  <c r="C22731" i="1"/>
  <c r="B22731" i="1"/>
  <c r="A22731" i="1"/>
  <c r="F22730" i="1"/>
  <c r="E22730" i="1"/>
  <c r="D22730" i="1"/>
  <c r="C22730" i="1"/>
  <c r="B22730" i="1"/>
  <c r="A22730" i="1"/>
  <c r="F22729" i="1"/>
  <c r="E22729" i="1"/>
  <c r="D22729" i="1"/>
  <c r="C22729" i="1"/>
  <c r="B22729" i="1"/>
  <c r="A22729" i="1"/>
  <c r="F22728" i="1"/>
  <c r="E22728" i="1"/>
  <c r="D22728" i="1"/>
  <c r="C22728" i="1"/>
  <c r="B22728" i="1"/>
  <c r="A22728" i="1"/>
  <c r="F22727" i="1"/>
  <c r="E22727" i="1"/>
  <c r="D22727" i="1"/>
  <c r="C22727" i="1"/>
  <c r="B22727" i="1"/>
  <c r="A22727" i="1"/>
  <c r="F22726" i="1"/>
  <c r="E22726" i="1"/>
  <c r="D22726" i="1"/>
  <c r="C22726" i="1"/>
  <c r="B22726" i="1"/>
  <c r="A22726" i="1"/>
  <c r="F22725" i="1"/>
  <c r="E22725" i="1"/>
  <c r="D22725" i="1"/>
  <c r="C22725" i="1"/>
  <c r="B22725" i="1"/>
  <c r="A22725" i="1"/>
  <c r="F22724" i="1"/>
  <c r="E22724" i="1"/>
  <c r="D22724" i="1"/>
  <c r="C22724" i="1"/>
  <c r="B22724" i="1"/>
  <c r="A22724" i="1"/>
  <c r="F22723" i="1"/>
  <c r="E22723" i="1"/>
  <c r="D22723" i="1"/>
  <c r="C22723" i="1"/>
  <c r="B22723" i="1"/>
  <c r="A22723" i="1"/>
  <c r="F22722" i="1"/>
  <c r="E22722" i="1"/>
  <c r="D22722" i="1"/>
  <c r="C22722" i="1"/>
  <c r="B22722" i="1"/>
  <c r="A22722" i="1"/>
  <c r="F22721" i="1"/>
  <c r="E22721" i="1"/>
  <c r="D22721" i="1"/>
  <c r="C22721" i="1"/>
  <c r="B22721" i="1"/>
  <c r="A22721" i="1"/>
  <c r="F22720" i="1"/>
  <c r="E22720" i="1"/>
  <c r="D22720" i="1"/>
  <c r="C22720" i="1"/>
  <c r="B22720" i="1"/>
  <c r="A22720" i="1"/>
  <c r="F22719" i="1"/>
  <c r="E22719" i="1"/>
  <c r="D22719" i="1"/>
  <c r="C22719" i="1"/>
  <c r="B22719" i="1"/>
  <c r="A22719" i="1"/>
  <c r="F22718" i="1"/>
  <c r="E22718" i="1"/>
  <c r="D22718" i="1"/>
  <c r="C22718" i="1"/>
  <c r="B22718" i="1"/>
  <c r="A22718" i="1"/>
  <c r="F22717" i="1"/>
  <c r="E22717" i="1"/>
  <c r="D22717" i="1"/>
  <c r="C22717" i="1"/>
  <c r="B22717" i="1"/>
  <c r="A22717" i="1"/>
  <c r="F22716" i="1"/>
  <c r="E22716" i="1"/>
  <c r="D22716" i="1"/>
  <c r="C22716" i="1"/>
  <c r="B22716" i="1"/>
  <c r="A22716" i="1"/>
  <c r="F22715" i="1"/>
  <c r="E22715" i="1"/>
  <c r="D22715" i="1"/>
  <c r="C22715" i="1"/>
  <c r="B22715" i="1"/>
  <c r="A22715" i="1"/>
  <c r="F22714" i="1"/>
  <c r="E22714" i="1"/>
  <c r="D22714" i="1"/>
  <c r="C22714" i="1"/>
  <c r="B22714" i="1"/>
  <c r="A22714" i="1"/>
  <c r="F22713" i="1"/>
  <c r="E22713" i="1"/>
  <c r="D22713" i="1"/>
  <c r="C22713" i="1"/>
  <c r="B22713" i="1"/>
  <c r="A22713" i="1"/>
  <c r="F22712" i="1"/>
  <c r="E22712" i="1"/>
  <c r="D22712" i="1"/>
  <c r="C22712" i="1"/>
  <c r="B22712" i="1"/>
  <c r="A22712" i="1"/>
  <c r="F22711" i="1"/>
  <c r="E22711" i="1"/>
  <c r="D22711" i="1"/>
  <c r="C22711" i="1"/>
  <c r="B22711" i="1"/>
  <c r="A22711" i="1"/>
  <c r="F22710" i="1"/>
  <c r="E22710" i="1"/>
  <c r="D22710" i="1"/>
  <c r="C22710" i="1"/>
  <c r="B22710" i="1"/>
  <c r="A22710" i="1"/>
  <c r="F22709" i="1"/>
  <c r="E22709" i="1"/>
  <c r="D22709" i="1"/>
  <c r="C22709" i="1"/>
  <c r="B22709" i="1"/>
  <c r="A22709" i="1"/>
  <c r="F22708" i="1"/>
  <c r="E22708" i="1"/>
  <c r="D22708" i="1"/>
  <c r="C22708" i="1"/>
  <c r="B22708" i="1"/>
  <c r="A22708" i="1"/>
  <c r="F22707" i="1"/>
  <c r="E22707" i="1"/>
  <c r="D22707" i="1"/>
  <c r="C22707" i="1"/>
  <c r="B22707" i="1"/>
  <c r="A22707" i="1"/>
  <c r="F22706" i="1"/>
  <c r="E22706" i="1"/>
  <c r="D22706" i="1"/>
  <c r="C22706" i="1"/>
  <c r="B22706" i="1"/>
  <c r="A22706" i="1"/>
  <c r="F22705" i="1"/>
  <c r="E22705" i="1"/>
  <c r="D22705" i="1"/>
  <c r="C22705" i="1"/>
  <c r="B22705" i="1"/>
  <c r="A22705" i="1"/>
  <c r="F22704" i="1"/>
  <c r="E22704" i="1"/>
  <c r="D22704" i="1"/>
  <c r="C22704" i="1"/>
  <c r="B22704" i="1"/>
  <c r="A22704" i="1"/>
  <c r="F22703" i="1"/>
  <c r="E22703" i="1"/>
  <c r="D22703" i="1"/>
  <c r="C22703" i="1"/>
  <c r="B22703" i="1"/>
  <c r="A22703" i="1"/>
  <c r="F22702" i="1"/>
  <c r="E22702" i="1"/>
  <c r="D22702" i="1"/>
  <c r="C22702" i="1"/>
  <c r="B22702" i="1"/>
  <c r="A22702" i="1"/>
  <c r="F22701" i="1"/>
  <c r="E22701" i="1"/>
  <c r="D22701" i="1"/>
  <c r="C22701" i="1"/>
  <c r="B22701" i="1"/>
  <c r="A22701" i="1"/>
  <c r="F22700" i="1"/>
  <c r="E22700" i="1"/>
  <c r="D22700" i="1"/>
  <c r="C22700" i="1"/>
  <c r="B22700" i="1"/>
  <c r="A22700" i="1"/>
  <c r="F22699" i="1"/>
  <c r="E22699" i="1"/>
  <c r="D22699" i="1"/>
  <c r="C22699" i="1"/>
  <c r="B22699" i="1"/>
  <c r="A22699" i="1"/>
  <c r="F22698" i="1"/>
  <c r="E22698" i="1"/>
  <c r="D22698" i="1"/>
  <c r="C22698" i="1"/>
  <c r="B22698" i="1"/>
  <c r="A22698" i="1"/>
  <c r="F22697" i="1"/>
  <c r="E22697" i="1"/>
  <c r="D22697" i="1"/>
  <c r="C22697" i="1"/>
  <c r="B22697" i="1"/>
  <c r="A22697" i="1"/>
  <c r="F22696" i="1"/>
  <c r="E22696" i="1"/>
  <c r="D22696" i="1"/>
  <c r="C22696" i="1"/>
  <c r="B22696" i="1"/>
  <c r="A22696" i="1"/>
  <c r="F22695" i="1"/>
  <c r="E22695" i="1"/>
  <c r="D22695" i="1"/>
  <c r="C22695" i="1"/>
  <c r="B22695" i="1"/>
  <c r="A22695" i="1"/>
  <c r="F22694" i="1"/>
  <c r="E22694" i="1"/>
  <c r="D22694" i="1"/>
  <c r="C22694" i="1"/>
  <c r="B22694" i="1"/>
  <c r="A22694" i="1"/>
  <c r="F22693" i="1"/>
  <c r="E22693" i="1"/>
  <c r="D22693" i="1"/>
  <c r="C22693" i="1"/>
  <c r="B22693" i="1"/>
  <c r="A22693" i="1"/>
  <c r="F22692" i="1"/>
  <c r="E22692" i="1"/>
  <c r="D22692" i="1"/>
  <c r="C22692" i="1"/>
  <c r="B22692" i="1"/>
  <c r="A22692" i="1"/>
  <c r="F22691" i="1"/>
  <c r="E22691" i="1"/>
  <c r="D22691" i="1"/>
  <c r="C22691" i="1"/>
  <c r="B22691" i="1"/>
  <c r="A22691" i="1"/>
  <c r="F22690" i="1"/>
  <c r="E22690" i="1"/>
  <c r="D22690" i="1"/>
  <c r="C22690" i="1"/>
  <c r="B22690" i="1"/>
  <c r="A22690" i="1"/>
  <c r="F22689" i="1"/>
  <c r="E22689" i="1"/>
  <c r="D22689" i="1"/>
  <c r="C22689" i="1"/>
  <c r="B22689" i="1"/>
  <c r="A22689" i="1"/>
  <c r="F22688" i="1"/>
  <c r="E22688" i="1"/>
  <c r="D22688" i="1"/>
  <c r="C22688" i="1"/>
  <c r="B22688" i="1"/>
  <c r="A22688" i="1"/>
  <c r="F22687" i="1"/>
  <c r="E22687" i="1"/>
  <c r="D22687" i="1"/>
  <c r="C22687" i="1"/>
  <c r="B22687" i="1"/>
  <c r="A22687" i="1"/>
  <c r="F22686" i="1"/>
  <c r="E22686" i="1"/>
  <c r="D22686" i="1"/>
  <c r="C22686" i="1"/>
  <c r="B22686" i="1"/>
  <c r="A22686" i="1"/>
  <c r="F22685" i="1"/>
  <c r="E22685" i="1"/>
  <c r="D22685" i="1"/>
  <c r="C22685" i="1"/>
  <c r="B22685" i="1"/>
  <c r="A22685" i="1"/>
  <c r="F22684" i="1"/>
  <c r="E22684" i="1"/>
  <c r="D22684" i="1"/>
  <c r="C22684" i="1"/>
  <c r="B22684" i="1"/>
  <c r="A22684" i="1"/>
  <c r="F22683" i="1"/>
  <c r="E22683" i="1"/>
  <c r="D22683" i="1"/>
  <c r="C22683" i="1"/>
  <c r="B22683" i="1"/>
  <c r="A22683" i="1"/>
  <c r="F22682" i="1"/>
  <c r="E22682" i="1"/>
  <c r="D22682" i="1"/>
  <c r="C22682" i="1"/>
  <c r="B22682" i="1"/>
  <c r="A22682" i="1"/>
  <c r="F22681" i="1"/>
  <c r="E22681" i="1"/>
  <c r="D22681" i="1"/>
  <c r="C22681" i="1"/>
  <c r="B22681" i="1"/>
  <c r="A22681" i="1"/>
  <c r="F22680" i="1"/>
  <c r="E22680" i="1"/>
  <c r="D22680" i="1"/>
  <c r="C22680" i="1"/>
  <c r="B22680" i="1"/>
  <c r="A22680" i="1"/>
  <c r="F22679" i="1"/>
  <c r="E22679" i="1"/>
  <c r="D22679" i="1"/>
  <c r="C22679" i="1"/>
  <c r="B22679" i="1"/>
  <c r="A22679" i="1"/>
  <c r="F22678" i="1"/>
  <c r="E22678" i="1"/>
  <c r="D22678" i="1"/>
  <c r="C22678" i="1"/>
  <c r="B22678" i="1"/>
  <c r="A22678" i="1"/>
  <c r="F22677" i="1"/>
  <c r="E22677" i="1"/>
  <c r="D22677" i="1"/>
  <c r="C22677" i="1"/>
  <c r="B22677" i="1"/>
  <c r="A22677" i="1"/>
  <c r="F22676" i="1"/>
  <c r="E22676" i="1"/>
  <c r="D22676" i="1"/>
  <c r="C22676" i="1"/>
  <c r="B22676" i="1"/>
  <c r="A22676" i="1"/>
  <c r="F22675" i="1"/>
  <c r="E22675" i="1"/>
  <c r="D22675" i="1"/>
  <c r="C22675" i="1"/>
  <c r="B22675" i="1"/>
  <c r="A22675" i="1"/>
  <c r="F22674" i="1"/>
  <c r="E22674" i="1"/>
  <c r="D22674" i="1"/>
  <c r="C22674" i="1"/>
  <c r="B22674" i="1"/>
  <c r="A22674" i="1"/>
  <c r="F22673" i="1"/>
  <c r="E22673" i="1"/>
  <c r="D22673" i="1"/>
  <c r="C22673" i="1"/>
  <c r="B22673" i="1"/>
  <c r="A22673" i="1"/>
  <c r="F22672" i="1"/>
  <c r="E22672" i="1"/>
  <c r="D22672" i="1"/>
  <c r="C22672" i="1"/>
  <c r="B22672" i="1"/>
  <c r="A22672" i="1"/>
  <c r="F22671" i="1"/>
  <c r="E22671" i="1"/>
  <c r="D22671" i="1"/>
  <c r="C22671" i="1"/>
  <c r="B22671" i="1"/>
  <c r="A22671" i="1"/>
  <c r="F22670" i="1"/>
  <c r="E22670" i="1"/>
  <c r="D22670" i="1"/>
  <c r="C22670" i="1"/>
  <c r="B22670" i="1"/>
  <c r="A22670" i="1"/>
  <c r="F22669" i="1"/>
  <c r="E22669" i="1"/>
  <c r="D22669" i="1"/>
  <c r="C22669" i="1"/>
  <c r="B22669" i="1"/>
  <c r="A22669" i="1"/>
  <c r="F22668" i="1"/>
  <c r="E22668" i="1"/>
  <c r="D22668" i="1"/>
  <c r="C22668" i="1"/>
  <c r="B22668" i="1"/>
  <c r="A22668" i="1"/>
  <c r="F22667" i="1"/>
  <c r="E22667" i="1"/>
  <c r="D22667" i="1"/>
  <c r="C22667" i="1"/>
  <c r="B22667" i="1"/>
  <c r="A22667" i="1"/>
  <c r="F22666" i="1"/>
  <c r="E22666" i="1"/>
  <c r="D22666" i="1"/>
  <c r="C22666" i="1"/>
  <c r="B22666" i="1"/>
  <c r="A22666" i="1"/>
  <c r="F22665" i="1"/>
  <c r="E22665" i="1"/>
  <c r="D22665" i="1"/>
  <c r="C22665" i="1"/>
  <c r="B22665" i="1"/>
  <c r="A22665" i="1"/>
  <c r="F22664" i="1"/>
  <c r="E22664" i="1"/>
  <c r="D22664" i="1"/>
  <c r="C22664" i="1"/>
  <c r="B22664" i="1"/>
  <c r="A22664" i="1"/>
  <c r="F22663" i="1"/>
  <c r="E22663" i="1"/>
  <c r="D22663" i="1"/>
  <c r="C22663" i="1"/>
  <c r="B22663" i="1"/>
  <c r="A22663" i="1"/>
  <c r="F22662" i="1"/>
  <c r="E22662" i="1"/>
  <c r="D22662" i="1"/>
  <c r="C22662" i="1"/>
  <c r="B22662" i="1"/>
  <c r="A22662" i="1"/>
  <c r="F22661" i="1"/>
  <c r="E22661" i="1"/>
  <c r="D22661" i="1"/>
  <c r="C22661" i="1"/>
  <c r="B22661" i="1"/>
  <c r="A22661" i="1"/>
  <c r="F22660" i="1"/>
  <c r="E22660" i="1"/>
  <c r="D22660" i="1"/>
  <c r="C22660" i="1"/>
  <c r="B22660" i="1"/>
  <c r="A22660" i="1"/>
  <c r="F22659" i="1"/>
  <c r="E22659" i="1"/>
  <c r="D22659" i="1"/>
  <c r="C22659" i="1"/>
  <c r="B22659" i="1"/>
  <c r="A22659" i="1"/>
  <c r="F22658" i="1"/>
  <c r="E22658" i="1"/>
  <c r="D22658" i="1"/>
  <c r="C22658" i="1"/>
  <c r="B22658" i="1"/>
  <c r="A22658" i="1"/>
  <c r="F22657" i="1"/>
  <c r="E22657" i="1"/>
  <c r="D22657" i="1"/>
  <c r="C22657" i="1"/>
  <c r="B22657" i="1"/>
  <c r="A22657" i="1"/>
  <c r="F22656" i="1"/>
  <c r="E22656" i="1"/>
  <c r="D22656" i="1"/>
  <c r="C22656" i="1"/>
  <c r="B22656" i="1"/>
  <c r="A22656" i="1"/>
  <c r="F22655" i="1"/>
  <c r="E22655" i="1"/>
  <c r="D22655" i="1"/>
  <c r="C22655" i="1"/>
  <c r="B22655" i="1"/>
  <c r="A22655" i="1"/>
  <c r="F22654" i="1"/>
  <c r="E22654" i="1"/>
  <c r="D22654" i="1"/>
  <c r="C22654" i="1"/>
  <c r="B22654" i="1"/>
  <c r="A22654" i="1"/>
  <c r="F22653" i="1"/>
  <c r="E22653" i="1"/>
  <c r="D22653" i="1"/>
  <c r="C22653" i="1"/>
  <c r="B22653" i="1"/>
  <c r="A22653" i="1"/>
  <c r="F22652" i="1"/>
  <c r="E22652" i="1"/>
  <c r="D22652" i="1"/>
  <c r="C22652" i="1"/>
  <c r="B22652" i="1"/>
  <c r="A22652" i="1"/>
  <c r="F22651" i="1"/>
  <c r="E22651" i="1"/>
  <c r="D22651" i="1"/>
  <c r="C22651" i="1"/>
  <c r="B22651" i="1"/>
  <c r="A22651" i="1"/>
  <c r="F22650" i="1"/>
  <c r="E22650" i="1"/>
  <c r="D22650" i="1"/>
  <c r="C22650" i="1"/>
  <c r="B22650" i="1"/>
  <c r="A22650" i="1"/>
  <c r="F22649" i="1"/>
  <c r="E22649" i="1"/>
  <c r="D22649" i="1"/>
  <c r="C22649" i="1"/>
  <c r="B22649" i="1"/>
  <c r="A22649" i="1"/>
  <c r="F22648" i="1"/>
  <c r="E22648" i="1"/>
  <c r="D22648" i="1"/>
  <c r="C22648" i="1"/>
  <c r="B22648" i="1"/>
  <c r="A22648" i="1"/>
  <c r="F22647" i="1"/>
  <c r="E22647" i="1"/>
  <c r="D22647" i="1"/>
  <c r="C22647" i="1"/>
  <c r="B22647" i="1"/>
  <c r="A22647" i="1"/>
  <c r="F22646" i="1"/>
  <c r="E22646" i="1"/>
  <c r="D22646" i="1"/>
  <c r="C22646" i="1"/>
  <c r="B22646" i="1"/>
  <c r="A22646" i="1"/>
  <c r="F22645" i="1"/>
  <c r="E22645" i="1"/>
  <c r="D22645" i="1"/>
  <c r="C22645" i="1"/>
  <c r="B22645" i="1"/>
  <c r="A22645" i="1"/>
  <c r="F22644" i="1"/>
  <c r="E22644" i="1"/>
  <c r="D22644" i="1"/>
  <c r="C22644" i="1"/>
  <c r="B22644" i="1"/>
  <c r="A22644" i="1"/>
  <c r="F22643" i="1"/>
  <c r="E22643" i="1"/>
  <c r="D22643" i="1"/>
  <c r="C22643" i="1"/>
  <c r="B22643" i="1"/>
  <c r="A22643" i="1"/>
  <c r="F22642" i="1"/>
  <c r="E22642" i="1"/>
  <c r="D22642" i="1"/>
  <c r="C22642" i="1"/>
  <c r="B22642" i="1"/>
  <c r="A22642" i="1"/>
  <c r="F22641" i="1"/>
  <c r="E22641" i="1"/>
  <c r="D22641" i="1"/>
  <c r="C22641" i="1"/>
  <c r="B22641" i="1"/>
  <c r="A22641" i="1"/>
  <c r="F22640" i="1"/>
  <c r="E22640" i="1"/>
  <c r="D22640" i="1"/>
  <c r="C22640" i="1"/>
  <c r="B22640" i="1"/>
  <c r="A22640" i="1"/>
  <c r="F22639" i="1"/>
  <c r="E22639" i="1"/>
  <c r="D22639" i="1"/>
  <c r="C22639" i="1"/>
  <c r="B22639" i="1"/>
  <c r="A22639" i="1"/>
  <c r="F22638" i="1"/>
  <c r="E22638" i="1"/>
  <c r="D22638" i="1"/>
  <c r="C22638" i="1"/>
  <c r="B22638" i="1"/>
  <c r="A22638" i="1"/>
  <c r="F22637" i="1"/>
  <c r="E22637" i="1"/>
  <c r="D22637" i="1"/>
  <c r="C22637" i="1"/>
  <c r="B22637" i="1"/>
  <c r="A22637" i="1"/>
  <c r="F22636" i="1"/>
  <c r="E22636" i="1"/>
  <c r="D22636" i="1"/>
  <c r="C22636" i="1"/>
  <c r="B22636" i="1"/>
  <c r="A22636" i="1"/>
  <c r="F22635" i="1"/>
  <c r="E22635" i="1"/>
  <c r="D22635" i="1"/>
  <c r="C22635" i="1"/>
  <c r="B22635" i="1"/>
  <c r="A22635" i="1"/>
  <c r="F22634" i="1"/>
  <c r="E22634" i="1"/>
  <c r="D22634" i="1"/>
  <c r="C22634" i="1"/>
  <c r="B22634" i="1"/>
  <c r="A22634" i="1"/>
  <c r="F22633" i="1"/>
  <c r="E22633" i="1"/>
  <c r="D22633" i="1"/>
  <c r="C22633" i="1"/>
  <c r="B22633" i="1"/>
  <c r="A22633" i="1"/>
  <c r="F22632" i="1"/>
  <c r="E22632" i="1"/>
  <c r="D22632" i="1"/>
  <c r="C22632" i="1"/>
  <c r="B22632" i="1"/>
  <c r="A22632" i="1"/>
  <c r="F22631" i="1"/>
  <c r="E22631" i="1"/>
  <c r="D22631" i="1"/>
  <c r="C22631" i="1"/>
  <c r="B22631" i="1"/>
  <c r="A22631" i="1"/>
  <c r="F22630" i="1"/>
  <c r="E22630" i="1"/>
  <c r="D22630" i="1"/>
  <c r="C22630" i="1"/>
  <c r="B22630" i="1"/>
  <c r="A22630" i="1"/>
  <c r="F22629" i="1"/>
  <c r="E22629" i="1"/>
  <c r="D22629" i="1"/>
  <c r="C22629" i="1"/>
  <c r="B22629" i="1"/>
  <c r="A22629" i="1"/>
  <c r="F22628" i="1"/>
  <c r="E22628" i="1"/>
  <c r="D22628" i="1"/>
  <c r="C22628" i="1"/>
  <c r="B22628" i="1"/>
  <c r="A22628" i="1"/>
  <c r="F22627" i="1"/>
  <c r="E22627" i="1"/>
  <c r="D22627" i="1"/>
  <c r="C22627" i="1"/>
  <c r="B22627" i="1"/>
  <c r="A22627" i="1"/>
  <c r="F22626" i="1"/>
  <c r="E22626" i="1"/>
  <c r="D22626" i="1"/>
  <c r="C22626" i="1"/>
  <c r="B22626" i="1"/>
  <c r="A22626" i="1"/>
  <c r="F22625" i="1"/>
  <c r="E22625" i="1"/>
  <c r="D22625" i="1"/>
  <c r="C22625" i="1"/>
  <c r="B22625" i="1"/>
  <c r="A22625" i="1"/>
  <c r="F22624" i="1"/>
  <c r="E22624" i="1"/>
  <c r="D22624" i="1"/>
  <c r="C22624" i="1"/>
  <c r="B22624" i="1"/>
  <c r="A22624" i="1"/>
  <c r="F22623" i="1"/>
  <c r="E22623" i="1"/>
  <c r="D22623" i="1"/>
  <c r="C22623" i="1"/>
  <c r="B22623" i="1"/>
  <c r="A22623" i="1"/>
  <c r="F22622" i="1"/>
  <c r="E22622" i="1"/>
  <c r="D22622" i="1"/>
  <c r="C22622" i="1"/>
  <c r="B22622" i="1"/>
  <c r="A22622" i="1"/>
  <c r="F22621" i="1"/>
  <c r="E22621" i="1"/>
  <c r="D22621" i="1"/>
  <c r="C22621" i="1"/>
  <c r="B22621" i="1"/>
  <c r="A22621" i="1"/>
  <c r="F22620" i="1"/>
  <c r="E22620" i="1"/>
  <c r="D22620" i="1"/>
  <c r="C22620" i="1"/>
  <c r="B22620" i="1"/>
  <c r="A22620" i="1"/>
  <c r="F22619" i="1"/>
  <c r="E22619" i="1"/>
  <c r="D22619" i="1"/>
  <c r="C22619" i="1"/>
  <c r="B22619" i="1"/>
  <c r="A22619" i="1"/>
  <c r="F22618" i="1"/>
  <c r="E22618" i="1"/>
  <c r="D22618" i="1"/>
  <c r="C22618" i="1"/>
  <c r="B22618" i="1"/>
  <c r="A22618" i="1"/>
  <c r="F22617" i="1"/>
  <c r="E22617" i="1"/>
  <c r="D22617" i="1"/>
  <c r="C22617" i="1"/>
  <c r="B22617" i="1"/>
  <c r="A22617" i="1"/>
  <c r="F22616" i="1"/>
  <c r="E22616" i="1"/>
  <c r="D22616" i="1"/>
  <c r="C22616" i="1"/>
  <c r="B22616" i="1"/>
  <c r="A22616" i="1"/>
  <c r="F22615" i="1"/>
  <c r="E22615" i="1"/>
  <c r="D22615" i="1"/>
  <c r="C22615" i="1"/>
  <c r="B22615" i="1"/>
  <c r="A22615" i="1"/>
  <c r="F22614" i="1"/>
  <c r="E22614" i="1"/>
  <c r="D22614" i="1"/>
  <c r="C22614" i="1"/>
  <c r="B22614" i="1"/>
  <c r="A22614" i="1"/>
  <c r="F22613" i="1"/>
  <c r="E22613" i="1"/>
  <c r="D22613" i="1"/>
  <c r="C22613" i="1"/>
  <c r="B22613" i="1"/>
  <c r="A22613" i="1"/>
  <c r="F22612" i="1"/>
  <c r="E22612" i="1"/>
  <c r="D22612" i="1"/>
  <c r="C22612" i="1"/>
  <c r="B22612" i="1"/>
  <c r="A22612" i="1"/>
  <c r="F22611" i="1"/>
  <c r="E22611" i="1"/>
  <c r="D22611" i="1"/>
  <c r="C22611" i="1"/>
  <c r="B22611" i="1"/>
  <c r="A22611" i="1"/>
  <c r="F22610" i="1"/>
  <c r="E22610" i="1"/>
  <c r="D22610" i="1"/>
  <c r="C22610" i="1"/>
  <c r="B22610" i="1"/>
  <c r="A22610" i="1"/>
  <c r="F22609" i="1"/>
  <c r="E22609" i="1"/>
  <c r="D22609" i="1"/>
  <c r="C22609" i="1"/>
  <c r="B22609" i="1"/>
  <c r="A22609" i="1"/>
  <c r="F22608" i="1"/>
  <c r="E22608" i="1"/>
  <c r="D22608" i="1"/>
  <c r="C22608" i="1"/>
  <c r="B22608" i="1"/>
  <c r="A22608" i="1"/>
  <c r="F22607" i="1"/>
  <c r="E22607" i="1"/>
  <c r="D22607" i="1"/>
  <c r="C22607" i="1"/>
  <c r="B22607" i="1"/>
  <c r="A22607" i="1"/>
  <c r="F22606" i="1"/>
  <c r="E22606" i="1"/>
  <c r="D22606" i="1"/>
  <c r="C22606" i="1"/>
  <c r="B22606" i="1"/>
  <c r="A22606" i="1"/>
  <c r="F22605" i="1"/>
  <c r="E22605" i="1"/>
  <c r="D22605" i="1"/>
  <c r="C22605" i="1"/>
  <c r="B22605" i="1"/>
  <c r="A22605" i="1"/>
  <c r="F22604" i="1"/>
  <c r="E22604" i="1"/>
  <c r="D22604" i="1"/>
  <c r="C22604" i="1"/>
  <c r="B22604" i="1"/>
  <c r="A22604" i="1"/>
  <c r="F22603" i="1"/>
  <c r="E22603" i="1"/>
  <c r="D22603" i="1"/>
  <c r="C22603" i="1"/>
  <c r="B22603" i="1"/>
  <c r="A22603" i="1"/>
  <c r="F22602" i="1"/>
  <c r="E22602" i="1"/>
  <c r="D22602" i="1"/>
  <c r="C22602" i="1"/>
  <c r="B22602" i="1"/>
  <c r="A22602" i="1"/>
  <c r="F22601" i="1"/>
  <c r="E22601" i="1"/>
  <c r="D22601" i="1"/>
  <c r="C22601" i="1"/>
  <c r="B22601" i="1"/>
  <c r="A22601" i="1"/>
  <c r="F22600" i="1"/>
  <c r="E22600" i="1"/>
  <c r="D22600" i="1"/>
  <c r="C22600" i="1"/>
  <c r="B22600" i="1"/>
  <c r="A22600" i="1"/>
  <c r="F22599" i="1"/>
  <c r="E22599" i="1"/>
  <c r="D22599" i="1"/>
  <c r="C22599" i="1"/>
  <c r="B22599" i="1"/>
  <c r="A22599" i="1"/>
  <c r="F22598" i="1"/>
  <c r="E22598" i="1"/>
  <c r="D22598" i="1"/>
  <c r="C22598" i="1"/>
  <c r="B22598" i="1"/>
  <c r="A22598" i="1"/>
  <c r="F22597" i="1"/>
  <c r="E22597" i="1"/>
  <c r="D22597" i="1"/>
  <c r="C22597" i="1"/>
  <c r="B22597" i="1"/>
  <c r="A22597" i="1"/>
  <c r="F22596" i="1"/>
  <c r="E22596" i="1"/>
  <c r="D22596" i="1"/>
  <c r="C22596" i="1"/>
  <c r="B22596" i="1"/>
  <c r="A22596" i="1"/>
  <c r="F22595" i="1"/>
  <c r="E22595" i="1"/>
  <c r="D22595" i="1"/>
  <c r="C22595" i="1"/>
  <c r="B22595" i="1"/>
  <c r="A22595" i="1"/>
  <c r="F22594" i="1"/>
  <c r="E22594" i="1"/>
  <c r="D22594" i="1"/>
  <c r="C22594" i="1"/>
  <c r="B22594" i="1"/>
  <c r="A22594" i="1"/>
  <c r="F22593" i="1"/>
  <c r="E22593" i="1"/>
  <c r="D22593" i="1"/>
  <c r="C22593" i="1"/>
  <c r="B22593" i="1"/>
  <c r="A22593" i="1"/>
  <c r="F22592" i="1"/>
  <c r="E22592" i="1"/>
  <c r="D22592" i="1"/>
  <c r="C22592" i="1"/>
  <c r="B22592" i="1"/>
  <c r="A22592" i="1"/>
  <c r="F22591" i="1"/>
  <c r="E22591" i="1"/>
  <c r="D22591" i="1"/>
  <c r="C22591" i="1"/>
  <c r="B22591" i="1"/>
  <c r="A22591" i="1"/>
  <c r="F22590" i="1"/>
  <c r="E22590" i="1"/>
  <c r="D22590" i="1"/>
  <c r="C22590" i="1"/>
  <c r="B22590" i="1"/>
  <c r="A22590" i="1"/>
  <c r="F22589" i="1"/>
  <c r="E22589" i="1"/>
  <c r="D22589" i="1"/>
  <c r="C22589" i="1"/>
  <c r="B22589" i="1"/>
  <c r="A22589" i="1"/>
  <c r="F22588" i="1"/>
  <c r="E22588" i="1"/>
  <c r="D22588" i="1"/>
  <c r="C22588" i="1"/>
  <c r="B22588" i="1"/>
  <c r="A22588" i="1"/>
  <c r="F22587" i="1"/>
  <c r="E22587" i="1"/>
  <c r="D22587" i="1"/>
  <c r="C22587" i="1"/>
  <c r="B22587" i="1"/>
  <c r="A22587" i="1"/>
  <c r="F22586" i="1"/>
  <c r="E22586" i="1"/>
  <c r="D22586" i="1"/>
  <c r="C22586" i="1"/>
  <c r="B22586" i="1"/>
  <c r="A22586" i="1"/>
  <c r="F22585" i="1"/>
  <c r="E22585" i="1"/>
  <c r="D22585" i="1"/>
  <c r="C22585" i="1"/>
  <c r="B22585" i="1"/>
  <c r="A22585" i="1"/>
  <c r="F22584" i="1"/>
  <c r="E22584" i="1"/>
  <c r="D22584" i="1"/>
  <c r="C22584" i="1"/>
  <c r="B22584" i="1"/>
  <c r="A22584" i="1"/>
  <c r="F22583" i="1"/>
  <c r="E22583" i="1"/>
  <c r="D22583" i="1"/>
  <c r="C22583" i="1"/>
  <c r="B22583" i="1"/>
  <c r="A22583" i="1"/>
  <c r="F22582" i="1"/>
  <c r="E22582" i="1"/>
  <c r="D22582" i="1"/>
  <c r="C22582" i="1"/>
  <c r="B22582" i="1"/>
  <c r="A22582" i="1"/>
  <c r="F22581" i="1"/>
  <c r="E22581" i="1"/>
  <c r="D22581" i="1"/>
  <c r="C22581" i="1"/>
  <c r="B22581" i="1"/>
  <c r="A22581" i="1"/>
  <c r="F22580" i="1"/>
  <c r="E22580" i="1"/>
  <c r="D22580" i="1"/>
  <c r="C22580" i="1"/>
  <c r="B22580" i="1"/>
  <c r="A22580" i="1"/>
  <c r="F22579" i="1"/>
  <c r="E22579" i="1"/>
  <c r="D22579" i="1"/>
  <c r="C22579" i="1"/>
  <c r="B22579" i="1"/>
  <c r="A22579" i="1"/>
  <c r="F22578" i="1"/>
  <c r="E22578" i="1"/>
  <c r="D22578" i="1"/>
  <c r="C22578" i="1"/>
  <c r="B22578" i="1"/>
  <c r="A22578" i="1"/>
  <c r="F22577" i="1"/>
  <c r="E22577" i="1"/>
  <c r="D22577" i="1"/>
  <c r="C22577" i="1"/>
  <c r="B22577" i="1"/>
  <c r="A22577" i="1"/>
  <c r="F22576" i="1"/>
  <c r="E22576" i="1"/>
  <c r="D22576" i="1"/>
  <c r="C22576" i="1"/>
  <c r="B22576" i="1"/>
  <c r="A22576" i="1"/>
  <c r="F22575" i="1"/>
  <c r="E22575" i="1"/>
  <c r="D22575" i="1"/>
  <c r="C22575" i="1"/>
  <c r="B22575" i="1"/>
  <c r="A22575" i="1"/>
  <c r="F22574" i="1"/>
  <c r="E22574" i="1"/>
  <c r="D22574" i="1"/>
  <c r="C22574" i="1"/>
  <c r="B22574" i="1"/>
  <c r="A22574" i="1"/>
  <c r="F22573" i="1"/>
  <c r="E22573" i="1"/>
  <c r="D22573" i="1"/>
  <c r="C22573" i="1"/>
  <c r="B22573" i="1"/>
  <c r="A22573" i="1"/>
  <c r="F22572" i="1"/>
  <c r="E22572" i="1"/>
  <c r="D22572" i="1"/>
  <c r="C22572" i="1"/>
  <c r="B22572" i="1"/>
  <c r="A22572" i="1"/>
  <c r="F22571" i="1"/>
  <c r="E22571" i="1"/>
  <c r="D22571" i="1"/>
  <c r="C22571" i="1"/>
  <c r="B22571" i="1"/>
  <c r="A22571" i="1"/>
  <c r="F22570" i="1"/>
  <c r="E22570" i="1"/>
  <c r="D22570" i="1"/>
  <c r="C22570" i="1"/>
  <c r="B22570" i="1"/>
  <c r="A22570" i="1"/>
  <c r="F22569" i="1"/>
  <c r="E22569" i="1"/>
  <c r="D22569" i="1"/>
  <c r="C22569" i="1"/>
  <c r="B22569" i="1"/>
  <c r="A22569" i="1"/>
  <c r="F22568" i="1"/>
  <c r="E22568" i="1"/>
  <c r="D22568" i="1"/>
  <c r="C22568" i="1"/>
  <c r="B22568" i="1"/>
  <c r="A22568" i="1"/>
  <c r="F22567" i="1"/>
  <c r="E22567" i="1"/>
  <c r="D22567" i="1"/>
  <c r="C22567" i="1"/>
  <c r="B22567" i="1"/>
  <c r="A22567" i="1"/>
  <c r="F22566" i="1"/>
  <c r="E22566" i="1"/>
  <c r="D22566" i="1"/>
  <c r="C22566" i="1"/>
  <c r="B22566" i="1"/>
  <c r="A22566" i="1"/>
  <c r="F22565" i="1"/>
  <c r="E22565" i="1"/>
  <c r="D22565" i="1"/>
  <c r="C22565" i="1"/>
  <c r="B22565" i="1"/>
  <c r="A22565" i="1"/>
  <c r="F22564" i="1"/>
  <c r="E22564" i="1"/>
  <c r="D22564" i="1"/>
  <c r="C22564" i="1"/>
  <c r="B22564" i="1"/>
  <c r="A22564" i="1"/>
  <c r="F22563" i="1"/>
  <c r="E22563" i="1"/>
  <c r="D22563" i="1"/>
  <c r="C22563" i="1"/>
  <c r="B22563" i="1"/>
  <c r="A22563" i="1"/>
  <c r="F22562" i="1"/>
  <c r="E22562" i="1"/>
  <c r="D22562" i="1"/>
  <c r="C22562" i="1"/>
  <c r="B22562" i="1"/>
  <c r="A22562" i="1"/>
  <c r="F22561" i="1"/>
  <c r="E22561" i="1"/>
  <c r="D22561" i="1"/>
  <c r="C22561" i="1"/>
  <c r="B22561" i="1"/>
  <c r="A22561" i="1"/>
  <c r="F22560" i="1"/>
  <c r="E22560" i="1"/>
  <c r="D22560" i="1"/>
  <c r="C22560" i="1"/>
  <c r="B22560" i="1"/>
  <c r="A22560" i="1"/>
  <c r="F22559" i="1"/>
  <c r="E22559" i="1"/>
  <c r="D22559" i="1"/>
  <c r="C22559" i="1"/>
  <c r="B22559" i="1"/>
  <c r="A22559" i="1"/>
  <c r="F22558" i="1"/>
  <c r="E22558" i="1"/>
  <c r="D22558" i="1"/>
  <c r="C22558" i="1"/>
  <c r="B22558" i="1"/>
  <c r="A22558" i="1"/>
  <c r="F22557" i="1"/>
  <c r="E22557" i="1"/>
  <c r="D22557" i="1"/>
  <c r="C22557" i="1"/>
  <c r="B22557" i="1"/>
  <c r="A22557" i="1"/>
  <c r="F22556" i="1"/>
  <c r="E22556" i="1"/>
  <c r="D22556" i="1"/>
  <c r="C22556" i="1"/>
  <c r="B22556" i="1"/>
  <c r="A22556" i="1"/>
  <c r="F22555" i="1"/>
  <c r="E22555" i="1"/>
  <c r="D22555" i="1"/>
  <c r="C22555" i="1"/>
  <c r="B22555" i="1"/>
  <c r="A22555" i="1"/>
  <c r="F22554" i="1"/>
  <c r="E22554" i="1"/>
  <c r="D22554" i="1"/>
  <c r="C22554" i="1"/>
  <c r="B22554" i="1"/>
  <c r="A22554" i="1"/>
  <c r="F22553" i="1"/>
  <c r="E22553" i="1"/>
  <c r="D22553" i="1"/>
  <c r="C22553" i="1"/>
  <c r="B22553" i="1"/>
  <c r="A22553" i="1"/>
  <c r="F22552" i="1"/>
  <c r="E22552" i="1"/>
  <c r="D22552" i="1"/>
  <c r="C22552" i="1"/>
  <c r="B22552" i="1"/>
  <c r="A22552" i="1"/>
  <c r="F22551" i="1"/>
  <c r="E22551" i="1"/>
  <c r="D22551" i="1"/>
  <c r="C22551" i="1"/>
  <c r="B22551" i="1"/>
  <c r="A22551" i="1"/>
  <c r="F22550" i="1"/>
  <c r="E22550" i="1"/>
  <c r="D22550" i="1"/>
  <c r="C22550" i="1"/>
  <c r="B22550" i="1"/>
  <c r="A22550" i="1"/>
  <c r="F22549" i="1"/>
  <c r="E22549" i="1"/>
  <c r="D22549" i="1"/>
  <c r="C22549" i="1"/>
  <c r="B22549" i="1"/>
  <c r="A22549" i="1"/>
  <c r="F22548" i="1"/>
  <c r="E22548" i="1"/>
  <c r="D22548" i="1"/>
  <c r="C22548" i="1"/>
  <c r="B22548" i="1"/>
  <c r="A22548" i="1"/>
  <c r="F22547" i="1"/>
  <c r="E22547" i="1"/>
  <c r="D22547" i="1"/>
  <c r="C22547" i="1"/>
  <c r="B22547" i="1"/>
  <c r="A22547" i="1"/>
  <c r="F22546" i="1"/>
  <c r="E22546" i="1"/>
  <c r="D22546" i="1"/>
  <c r="C22546" i="1"/>
  <c r="B22546" i="1"/>
  <c r="A22546" i="1"/>
  <c r="F22545" i="1"/>
  <c r="E22545" i="1"/>
  <c r="D22545" i="1"/>
  <c r="C22545" i="1"/>
  <c r="B22545" i="1"/>
  <c r="A22545" i="1"/>
  <c r="F22544" i="1"/>
  <c r="E22544" i="1"/>
  <c r="D22544" i="1"/>
  <c r="C22544" i="1"/>
  <c r="B22544" i="1"/>
  <c r="A22544" i="1"/>
  <c r="F22543" i="1"/>
  <c r="E22543" i="1"/>
  <c r="D22543" i="1"/>
  <c r="C22543" i="1"/>
  <c r="B22543" i="1"/>
  <c r="A22543" i="1"/>
  <c r="F22542" i="1"/>
  <c r="E22542" i="1"/>
  <c r="D22542" i="1"/>
  <c r="C22542" i="1"/>
  <c r="B22542" i="1"/>
  <c r="A22542" i="1"/>
  <c r="F22541" i="1"/>
  <c r="E22541" i="1"/>
  <c r="D22541" i="1"/>
  <c r="C22541" i="1"/>
  <c r="B22541" i="1"/>
  <c r="A22541" i="1"/>
  <c r="F22540" i="1"/>
  <c r="E22540" i="1"/>
  <c r="D22540" i="1"/>
  <c r="C22540" i="1"/>
  <c r="B22540" i="1"/>
  <c r="A22540" i="1"/>
  <c r="F22539" i="1"/>
  <c r="E22539" i="1"/>
  <c r="D22539" i="1"/>
  <c r="C22539" i="1"/>
  <c r="B22539" i="1"/>
  <c r="A22539" i="1"/>
  <c r="F22538" i="1"/>
  <c r="E22538" i="1"/>
  <c r="D22538" i="1"/>
  <c r="C22538" i="1"/>
  <c r="B22538" i="1"/>
  <c r="A22538" i="1"/>
  <c r="F22537" i="1"/>
  <c r="E22537" i="1"/>
  <c r="D22537" i="1"/>
  <c r="C22537" i="1"/>
  <c r="B22537" i="1"/>
  <c r="A22537" i="1"/>
  <c r="F22536" i="1"/>
  <c r="E22536" i="1"/>
  <c r="D22536" i="1"/>
  <c r="C22536" i="1"/>
  <c r="B22536" i="1"/>
  <c r="A22536" i="1"/>
  <c r="F22535" i="1"/>
  <c r="E22535" i="1"/>
  <c r="D22535" i="1"/>
  <c r="C22535" i="1"/>
  <c r="B22535" i="1"/>
  <c r="A22535" i="1"/>
  <c r="F22534" i="1"/>
  <c r="E22534" i="1"/>
  <c r="D22534" i="1"/>
  <c r="C22534" i="1"/>
  <c r="B22534" i="1"/>
  <c r="A22534" i="1"/>
  <c r="F22533" i="1"/>
  <c r="E22533" i="1"/>
  <c r="D22533" i="1"/>
  <c r="C22533" i="1"/>
  <c r="B22533" i="1"/>
  <c r="A22533" i="1"/>
  <c r="F22532" i="1"/>
  <c r="E22532" i="1"/>
  <c r="D22532" i="1"/>
  <c r="C22532" i="1"/>
  <c r="B22532" i="1"/>
  <c r="A22532" i="1"/>
  <c r="F22531" i="1"/>
  <c r="E22531" i="1"/>
  <c r="D22531" i="1"/>
  <c r="C22531" i="1"/>
  <c r="B22531" i="1"/>
  <c r="A22531" i="1"/>
  <c r="F22530" i="1"/>
  <c r="E22530" i="1"/>
  <c r="D22530" i="1"/>
  <c r="C22530" i="1"/>
  <c r="B22530" i="1"/>
  <c r="A22530" i="1"/>
  <c r="F22529" i="1"/>
  <c r="E22529" i="1"/>
  <c r="D22529" i="1"/>
  <c r="C22529" i="1"/>
  <c r="B22529" i="1"/>
  <c r="A22529" i="1"/>
  <c r="F22528" i="1"/>
  <c r="E22528" i="1"/>
  <c r="D22528" i="1"/>
  <c r="C22528" i="1"/>
  <c r="B22528" i="1"/>
  <c r="A22528" i="1"/>
  <c r="F22527" i="1"/>
  <c r="E22527" i="1"/>
  <c r="D22527" i="1"/>
  <c r="C22527" i="1"/>
  <c r="B22527" i="1"/>
  <c r="A22527" i="1"/>
  <c r="F22526" i="1"/>
  <c r="E22526" i="1"/>
  <c r="D22526" i="1"/>
  <c r="C22526" i="1"/>
  <c r="B22526" i="1"/>
  <c r="A22526" i="1"/>
  <c r="F22525" i="1"/>
  <c r="E22525" i="1"/>
  <c r="D22525" i="1"/>
  <c r="C22525" i="1"/>
  <c r="B22525" i="1"/>
  <c r="A22525" i="1"/>
  <c r="F22524" i="1"/>
  <c r="E22524" i="1"/>
  <c r="D22524" i="1"/>
  <c r="C22524" i="1"/>
  <c r="B22524" i="1"/>
  <c r="A22524" i="1"/>
  <c r="F22523" i="1"/>
  <c r="E22523" i="1"/>
  <c r="D22523" i="1"/>
  <c r="C22523" i="1"/>
  <c r="B22523" i="1"/>
  <c r="A22523" i="1"/>
  <c r="F22522" i="1"/>
  <c r="E22522" i="1"/>
  <c r="D22522" i="1"/>
  <c r="C22522" i="1"/>
  <c r="B22522" i="1"/>
  <c r="A22522" i="1"/>
  <c r="F22521" i="1"/>
  <c r="E22521" i="1"/>
  <c r="D22521" i="1"/>
  <c r="C22521" i="1"/>
  <c r="B22521" i="1"/>
  <c r="A22521" i="1"/>
  <c r="F22520" i="1"/>
  <c r="E22520" i="1"/>
  <c r="D22520" i="1"/>
  <c r="C22520" i="1"/>
  <c r="B22520" i="1"/>
  <c r="A22520" i="1"/>
  <c r="F22519" i="1"/>
  <c r="E22519" i="1"/>
  <c r="D22519" i="1"/>
  <c r="C22519" i="1"/>
  <c r="B22519" i="1"/>
  <c r="A22519" i="1"/>
  <c r="F22518" i="1"/>
  <c r="E22518" i="1"/>
  <c r="D22518" i="1"/>
  <c r="C22518" i="1"/>
  <c r="B22518" i="1"/>
  <c r="A22518" i="1"/>
  <c r="F22517" i="1"/>
  <c r="E22517" i="1"/>
  <c r="D22517" i="1"/>
  <c r="C22517" i="1"/>
  <c r="B22517" i="1"/>
  <c r="A22517" i="1"/>
  <c r="F22516" i="1"/>
  <c r="E22516" i="1"/>
  <c r="D22516" i="1"/>
  <c r="C22516" i="1"/>
  <c r="B22516" i="1"/>
  <c r="A22516" i="1"/>
  <c r="F22515" i="1"/>
  <c r="E22515" i="1"/>
  <c r="D22515" i="1"/>
  <c r="C22515" i="1"/>
  <c r="B22515" i="1"/>
  <c r="A22515" i="1"/>
  <c r="F22514" i="1"/>
  <c r="E22514" i="1"/>
  <c r="D22514" i="1"/>
  <c r="C22514" i="1"/>
  <c r="B22514" i="1"/>
  <c r="A22514" i="1"/>
  <c r="F22513" i="1"/>
  <c r="E22513" i="1"/>
  <c r="D22513" i="1"/>
  <c r="C22513" i="1"/>
  <c r="B22513" i="1"/>
  <c r="A22513" i="1"/>
  <c r="F22512" i="1"/>
  <c r="E22512" i="1"/>
  <c r="D22512" i="1"/>
  <c r="C22512" i="1"/>
  <c r="B22512" i="1"/>
  <c r="A22512" i="1"/>
  <c r="F22511" i="1"/>
  <c r="E22511" i="1"/>
  <c r="D22511" i="1"/>
  <c r="C22511" i="1"/>
  <c r="B22511" i="1"/>
  <c r="A22511" i="1"/>
  <c r="F22510" i="1"/>
  <c r="E22510" i="1"/>
  <c r="D22510" i="1"/>
  <c r="C22510" i="1"/>
  <c r="B22510" i="1"/>
  <c r="A22510" i="1"/>
  <c r="F22509" i="1"/>
  <c r="E22509" i="1"/>
  <c r="D22509" i="1"/>
  <c r="C22509" i="1"/>
  <c r="B22509" i="1"/>
  <c r="A22509" i="1"/>
  <c r="F22508" i="1"/>
  <c r="E22508" i="1"/>
  <c r="D22508" i="1"/>
  <c r="C22508" i="1"/>
  <c r="B22508" i="1"/>
  <c r="A22508" i="1"/>
  <c r="F22507" i="1"/>
  <c r="E22507" i="1"/>
  <c r="D22507" i="1"/>
  <c r="C22507" i="1"/>
  <c r="B22507" i="1"/>
  <c r="A22507" i="1"/>
  <c r="F22506" i="1"/>
  <c r="E22506" i="1"/>
  <c r="D22506" i="1"/>
  <c r="C22506" i="1"/>
  <c r="B22506" i="1"/>
  <c r="A22506" i="1"/>
  <c r="F22505" i="1"/>
  <c r="E22505" i="1"/>
  <c r="D22505" i="1"/>
  <c r="C22505" i="1"/>
  <c r="B22505" i="1"/>
  <c r="A22505" i="1"/>
  <c r="F22504" i="1"/>
  <c r="E22504" i="1"/>
  <c r="D22504" i="1"/>
  <c r="C22504" i="1"/>
  <c r="B22504" i="1"/>
  <c r="A22504" i="1"/>
  <c r="F22503" i="1"/>
  <c r="E22503" i="1"/>
  <c r="D22503" i="1"/>
  <c r="C22503" i="1"/>
  <c r="B22503" i="1"/>
  <c r="A22503" i="1"/>
  <c r="F22502" i="1"/>
  <c r="E22502" i="1"/>
  <c r="D22502" i="1"/>
  <c r="C22502" i="1"/>
  <c r="B22502" i="1"/>
  <c r="A22502" i="1"/>
  <c r="F22501" i="1"/>
  <c r="E22501" i="1"/>
  <c r="D22501" i="1"/>
  <c r="C22501" i="1"/>
  <c r="B22501" i="1"/>
  <c r="A22501" i="1"/>
  <c r="F22500" i="1"/>
  <c r="E22500" i="1"/>
  <c r="D22500" i="1"/>
  <c r="C22500" i="1"/>
  <c r="B22500" i="1"/>
  <c r="A22500" i="1"/>
  <c r="F22499" i="1"/>
  <c r="E22499" i="1"/>
  <c r="D22499" i="1"/>
  <c r="C22499" i="1"/>
  <c r="B22499" i="1"/>
  <c r="A22499" i="1"/>
  <c r="F22498" i="1"/>
  <c r="E22498" i="1"/>
  <c r="D22498" i="1"/>
  <c r="C22498" i="1"/>
  <c r="B22498" i="1"/>
  <c r="A22498" i="1"/>
  <c r="F22497" i="1"/>
  <c r="E22497" i="1"/>
  <c r="D22497" i="1"/>
  <c r="C22497" i="1"/>
  <c r="B22497" i="1"/>
  <c r="A22497" i="1"/>
  <c r="F22496" i="1"/>
  <c r="E22496" i="1"/>
  <c r="D22496" i="1"/>
  <c r="C22496" i="1"/>
  <c r="B22496" i="1"/>
  <c r="A22496" i="1"/>
  <c r="F22495" i="1"/>
  <c r="E22495" i="1"/>
  <c r="D22495" i="1"/>
  <c r="C22495" i="1"/>
  <c r="B22495" i="1"/>
  <c r="A22495" i="1"/>
  <c r="F22494" i="1"/>
  <c r="E22494" i="1"/>
  <c r="D22494" i="1"/>
  <c r="C22494" i="1"/>
  <c r="B22494" i="1"/>
  <c r="A22494" i="1"/>
  <c r="F22493" i="1"/>
  <c r="E22493" i="1"/>
  <c r="D22493" i="1"/>
  <c r="C22493" i="1"/>
  <c r="B22493" i="1"/>
  <c r="A22493" i="1"/>
  <c r="F22492" i="1"/>
  <c r="E22492" i="1"/>
  <c r="D22492" i="1"/>
  <c r="C22492" i="1"/>
  <c r="B22492" i="1"/>
  <c r="A22492" i="1"/>
  <c r="F22491" i="1"/>
  <c r="E22491" i="1"/>
  <c r="D22491" i="1"/>
  <c r="C22491" i="1"/>
  <c r="B22491" i="1"/>
  <c r="A22491" i="1"/>
  <c r="F22490" i="1"/>
  <c r="E22490" i="1"/>
  <c r="D22490" i="1"/>
  <c r="C22490" i="1"/>
  <c r="B22490" i="1"/>
  <c r="A22490" i="1"/>
  <c r="F22489" i="1"/>
  <c r="E22489" i="1"/>
  <c r="D22489" i="1"/>
  <c r="C22489" i="1"/>
  <c r="B22489" i="1"/>
  <c r="A22489" i="1"/>
  <c r="F22488" i="1"/>
  <c r="E22488" i="1"/>
  <c r="D22488" i="1"/>
  <c r="C22488" i="1"/>
  <c r="B22488" i="1"/>
  <c r="A22488" i="1"/>
  <c r="F22487" i="1"/>
  <c r="E22487" i="1"/>
  <c r="D22487" i="1"/>
  <c r="C22487" i="1"/>
  <c r="B22487" i="1"/>
  <c r="A22487" i="1"/>
  <c r="F22486" i="1"/>
  <c r="E22486" i="1"/>
  <c r="D22486" i="1"/>
  <c r="C22486" i="1"/>
  <c r="B22486" i="1"/>
  <c r="A22486" i="1"/>
  <c r="F22485" i="1"/>
  <c r="E22485" i="1"/>
  <c r="D22485" i="1"/>
  <c r="C22485" i="1"/>
  <c r="B22485" i="1"/>
  <c r="A22485" i="1"/>
  <c r="F22484" i="1"/>
  <c r="E22484" i="1"/>
  <c r="D22484" i="1"/>
  <c r="C22484" i="1"/>
  <c r="B22484" i="1"/>
  <c r="A22484" i="1"/>
  <c r="F22483" i="1"/>
  <c r="E22483" i="1"/>
  <c r="D22483" i="1"/>
  <c r="C22483" i="1"/>
  <c r="B22483" i="1"/>
  <c r="A22483" i="1"/>
  <c r="F22482" i="1"/>
  <c r="E22482" i="1"/>
  <c r="D22482" i="1"/>
  <c r="C22482" i="1"/>
  <c r="B22482" i="1"/>
  <c r="A22482" i="1"/>
  <c r="F22481" i="1"/>
  <c r="E22481" i="1"/>
  <c r="D22481" i="1"/>
  <c r="C22481" i="1"/>
  <c r="B22481" i="1"/>
  <c r="A22481" i="1"/>
  <c r="F22480" i="1"/>
  <c r="E22480" i="1"/>
  <c r="D22480" i="1"/>
  <c r="C22480" i="1"/>
  <c r="B22480" i="1"/>
  <c r="A22480" i="1"/>
  <c r="F22479" i="1"/>
  <c r="E22479" i="1"/>
  <c r="D22479" i="1"/>
  <c r="C22479" i="1"/>
  <c r="B22479" i="1"/>
  <c r="A22479" i="1"/>
  <c r="F22478" i="1"/>
  <c r="E22478" i="1"/>
  <c r="D22478" i="1"/>
  <c r="C22478" i="1"/>
  <c r="B22478" i="1"/>
  <c r="A22478" i="1"/>
  <c r="F22477" i="1"/>
  <c r="E22477" i="1"/>
  <c r="D22477" i="1"/>
  <c r="C22477" i="1"/>
  <c r="B22477" i="1"/>
  <c r="A22477" i="1"/>
  <c r="F22476" i="1"/>
  <c r="E22476" i="1"/>
  <c r="D22476" i="1"/>
  <c r="C22476" i="1"/>
  <c r="B22476" i="1"/>
  <c r="A22476" i="1"/>
  <c r="F22475" i="1"/>
  <c r="E22475" i="1"/>
  <c r="D22475" i="1"/>
  <c r="C22475" i="1"/>
  <c r="B22475" i="1"/>
  <c r="A22475" i="1"/>
  <c r="F22474" i="1"/>
  <c r="E22474" i="1"/>
  <c r="D22474" i="1"/>
  <c r="C22474" i="1"/>
  <c r="B22474" i="1"/>
  <c r="A22474" i="1"/>
  <c r="F22473" i="1"/>
  <c r="E22473" i="1"/>
  <c r="D22473" i="1"/>
  <c r="C22473" i="1"/>
  <c r="B22473" i="1"/>
  <c r="A22473" i="1"/>
  <c r="F22472" i="1"/>
  <c r="E22472" i="1"/>
  <c r="D22472" i="1"/>
  <c r="C22472" i="1"/>
  <c r="B22472" i="1"/>
  <c r="A22472" i="1"/>
  <c r="F22471" i="1"/>
  <c r="E22471" i="1"/>
  <c r="D22471" i="1"/>
  <c r="C22471" i="1"/>
  <c r="B22471" i="1"/>
  <c r="A22471" i="1"/>
  <c r="F22470" i="1"/>
  <c r="E22470" i="1"/>
  <c r="D22470" i="1"/>
  <c r="C22470" i="1"/>
  <c r="B22470" i="1"/>
  <c r="A22470" i="1"/>
  <c r="F22469" i="1"/>
  <c r="E22469" i="1"/>
  <c r="D22469" i="1"/>
  <c r="C22469" i="1"/>
  <c r="B22469" i="1"/>
  <c r="A22469" i="1"/>
  <c r="F22468" i="1"/>
  <c r="E22468" i="1"/>
  <c r="D22468" i="1"/>
  <c r="C22468" i="1"/>
  <c r="B22468" i="1"/>
  <c r="A22468" i="1"/>
  <c r="F22467" i="1"/>
  <c r="E22467" i="1"/>
  <c r="D22467" i="1"/>
  <c r="C22467" i="1"/>
  <c r="B22467" i="1"/>
  <c r="A22467" i="1"/>
  <c r="F22466" i="1"/>
  <c r="E22466" i="1"/>
  <c r="D22466" i="1"/>
  <c r="C22466" i="1"/>
  <c r="B22466" i="1"/>
  <c r="A22466" i="1"/>
  <c r="F22465" i="1"/>
  <c r="E22465" i="1"/>
  <c r="D22465" i="1"/>
  <c r="C22465" i="1"/>
  <c r="B22465" i="1"/>
  <c r="A22465" i="1"/>
  <c r="F22464" i="1"/>
  <c r="E22464" i="1"/>
  <c r="D22464" i="1"/>
  <c r="C22464" i="1"/>
  <c r="B22464" i="1"/>
  <c r="A22464" i="1"/>
  <c r="F22463" i="1"/>
  <c r="E22463" i="1"/>
  <c r="D22463" i="1"/>
  <c r="C22463" i="1"/>
  <c r="B22463" i="1"/>
  <c r="A22463" i="1"/>
  <c r="F22462" i="1"/>
  <c r="E22462" i="1"/>
  <c r="D22462" i="1"/>
  <c r="C22462" i="1"/>
  <c r="B22462" i="1"/>
  <c r="A22462" i="1"/>
  <c r="F22461" i="1"/>
  <c r="E22461" i="1"/>
  <c r="D22461" i="1"/>
  <c r="C22461" i="1"/>
  <c r="B22461" i="1"/>
  <c r="A22461" i="1"/>
  <c r="F22460" i="1"/>
  <c r="E22460" i="1"/>
  <c r="D22460" i="1"/>
  <c r="C22460" i="1"/>
  <c r="B22460" i="1"/>
  <c r="A22460" i="1"/>
  <c r="F22459" i="1"/>
  <c r="E22459" i="1"/>
  <c r="D22459" i="1"/>
  <c r="C22459" i="1"/>
  <c r="B22459" i="1"/>
  <c r="A22459" i="1"/>
  <c r="F22458" i="1"/>
  <c r="E22458" i="1"/>
  <c r="D22458" i="1"/>
  <c r="C22458" i="1"/>
  <c r="B22458" i="1"/>
  <c r="A22458" i="1"/>
  <c r="F22457" i="1"/>
  <c r="E22457" i="1"/>
  <c r="D22457" i="1"/>
  <c r="C22457" i="1"/>
  <c r="B22457" i="1"/>
  <c r="A22457" i="1"/>
  <c r="F22456" i="1"/>
  <c r="E22456" i="1"/>
  <c r="D22456" i="1"/>
  <c r="C22456" i="1"/>
  <c r="B22456" i="1"/>
  <c r="A22456" i="1"/>
  <c r="F22455" i="1"/>
  <c r="E22455" i="1"/>
  <c r="D22455" i="1"/>
  <c r="C22455" i="1"/>
  <c r="B22455" i="1"/>
  <c r="A22455" i="1"/>
  <c r="F22454" i="1"/>
  <c r="E22454" i="1"/>
  <c r="D22454" i="1"/>
  <c r="C22454" i="1"/>
  <c r="B22454" i="1"/>
  <c r="A22454" i="1"/>
  <c r="F22453" i="1"/>
  <c r="E22453" i="1"/>
  <c r="D22453" i="1"/>
  <c r="C22453" i="1"/>
  <c r="B22453" i="1"/>
  <c r="A22453" i="1"/>
  <c r="F22452" i="1"/>
  <c r="E22452" i="1"/>
  <c r="D22452" i="1"/>
  <c r="C22452" i="1"/>
  <c r="B22452" i="1"/>
  <c r="A22452" i="1"/>
  <c r="F22451" i="1"/>
  <c r="E22451" i="1"/>
  <c r="D22451" i="1"/>
  <c r="C22451" i="1"/>
  <c r="B22451" i="1"/>
  <c r="A22451" i="1"/>
  <c r="F22450" i="1"/>
  <c r="E22450" i="1"/>
  <c r="D22450" i="1"/>
  <c r="C22450" i="1"/>
  <c r="B22450" i="1"/>
  <c r="A22450" i="1"/>
  <c r="F22449" i="1"/>
  <c r="E22449" i="1"/>
  <c r="D22449" i="1"/>
  <c r="C22449" i="1"/>
  <c r="B22449" i="1"/>
  <c r="A22449" i="1"/>
  <c r="F22448" i="1"/>
  <c r="E22448" i="1"/>
  <c r="D22448" i="1"/>
  <c r="C22448" i="1"/>
  <c r="B22448" i="1"/>
  <c r="A22448" i="1"/>
  <c r="F22447" i="1"/>
  <c r="E22447" i="1"/>
  <c r="D22447" i="1"/>
  <c r="C22447" i="1"/>
  <c r="B22447" i="1"/>
  <c r="A22447" i="1"/>
  <c r="F22446" i="1"/>
  <c r="E22446" i="1"/>
  <c r="D22446" i="1"/>
  <c r="C22446" i="1"/>
  <c r="B22446" i="1"/>
  <c r="A22446" i="1"/>
  <c r="F22445" i="1"/>
  <c r="E22445" i="1"/>
  <c r="D22445" i="1"/>
  <c r="C22445" i="1"/>
  <c r="B22445" i="1"/>
  <c r="A22445" i="1"/>
  <c r="F22444" i="1"/>
  <c r="E22444" i="1"/>
  <c r="D22444" i="1"/>
  <c r="C22444" i="1"/>
  <c r="B22444" i="1"/>
  <c r="A22444" i="1"/>
  <c r="F22443" i="1"/>
  <c r="E22443" i="1"/>
  <c r="D22443" i="1"/>
  <c r="C22443" i="1"/>
  <c r="B22443" i="1"/>
  <c r="A22443" i="1"/>
  <c r="F22442" i="1"/>
  <c r="E22442" i="1"/>
  <c r="D22442" i="1"/>
  <c r="C22442" i="1"/>
  <c r="B22442" i="1"/>
  <c r="A22442" i="1"/>
  <c r="F22441" i="1"/>
  <c r="E22441" i="1"/>
  <c r="D22441" i="1"/>
  <c r="C22441" i="1"/>
  <c r="B22441" i="1"/>
  <c r="A22441" i="1"/>
  <c r="F22440" i="1"/>
  <c r="E22440" i="1"/>
  <c r="D22440" i="1"/>
  <c r="C22440" i="1"/>
  <c r="B22440" i="1"/>
  <c r="A22440" i="1"/>
  <c r="F22439" i="1"/>
  <c r="E22439" i="1"/>
  <c r="D22439" i="1"/>
  <c r="C22439" i="1"/>
  <c r="B22439" i="1"/>
  <c r="A22439" i="1"/>
  <c r="F22438" i="1"/>
  <c r="E22438" i="1"/>
  <c r="D22438" i="1"/>
  <c r="C22438" i="1"/>
  <c r="B22438" i="1"/>
  <c r="A22438" i="1"/>
  <c r="F22437" i="1"/>
  <c r="E22437" i="1"/>
  <c r="D22437" i="1"/>
  <c r="C22437" i="1"/>
  <c r="B22437" i="1"/>
  <c r="A22437" i="1"/>
  <c r="F22436" i="1"/>
  <c r="E22436" i="1"/>
  <c r="D22436" i="1"/>
  <c r="C22436" i="1"/>
  <c r="B22436" i="1"/>
  <c r="A22436" i="1"/>
  <c r="F22435" i="1"/>
  <c r="E22435" i="1"/>
  <c r="D22435" i="1"/>
  <c r="C22435" i="1"/>
  <c r="B22435" i="1"/>
  <c r="A22435" i="1"/>
  <c r="F22434" i="1"/>
  <c r="E22434" i="1"/>
  <c r="D22434" i="1"/>
  <c r="C22434" i="1"/>
  <c r="B22434" i="1"/>
  <c r="A22434" i="1"/>
  <c r="F22433" i="1"/>
  <c r="E22433" i="1"/>
  <c r="D22433" i="1"/>
  <c r="C22433" i="1"/>
  <c r="B22433" i="1"/>
  <c r="A22433" i="1"/>
  <c r="F22432" i="1"/>
  <c r="E22432" i="1"/>
  <c r="D22432" i="1"/>
  <c r="C22432" i="1"/>
  <c r="B22432" i="1"/>
  <c r="A22432" i="1"/>
  <c r="F22431" i="1"/>
  <c r="E22431" i="1"/>
  <c r="D22431" i="1"/>
  <c r="C22431" i="1"/>
  <c r="B22431" i="1"/>
  <c r="A22431" i="1"/>
  <c r="F22430" i="1"/>
  <c r="E22430" i="1"/>
  <c r="D22430" i="1"/>
  <c r="C22430" i="1"/>
  <c r="B22430" i="1"/>
  <c r="A22430" i="1"/>
  <c r="F22429" i="1"/>
  <c r="E22429" i="1"/>
  <c r="D22429" i="1"/>
  <c r="C22429" i="1"/>
  <c r="B22429" i="1"/>
  <c r="A22429" i="1"/>
  <c r="F22428" i="1"/>
  <c r="E22428" i="1"/>
  <c r="D22428" i="1"/>
  <c r="C22428" i="1"/>
  <c r="B22428" i="1"/>
  <c r="A22428" i="1"/>
  <c r="F22427" i="1"/>
  <c r="E22427" i="1"/>
  <c r="D22427" i="1"/>
  <c r="C22427" i="1"/>
  <c r="B22427" i="1"/>
  <c r="A22427" i="1"/>
  <c r="F22426" i="1"/>
  <c r="E22426" i="1"/>
  <c r="D22426" i="1"/>
  <c r="C22426" i="1"/>
  <c r="B22426" i="1"/>
  <c r="A22426" i="1"/>
  <c r="F22425" i="1"/>
  <c r="E22425" i="1"/>
  <c r="D22425" i="1"/>
  <c r="C22425" i="1"/>
  <c r="B22425" i="1"/>
  <c r="A22425" i="1"/>
  <c r="F22424" i="1"/>
  <c r="E22424" i="1"/>
  <c r="D22424" i="1"/>
  <c r="C22424" i="1"/>
  <c r="B22424" i="1"/>
  <c r="A22424" i="1"/>
  <c r="F22423" i="1"/>
  <c r="E22423" i="1"/>
  <c r="D22423" i="1"/>
  <c r="C22423" i="1"/>
  <c r="B22423" i="1"/>
  <c r="A22423" i="1"/>
  <c r="F22422" i="1"/>
  <c r="E22422" i="1"/>
  <c r="D22422" i="1"/>
  <c r="C22422" i="1"/>
  <c r="B22422" i="1"/>
  <c r="A22422" i="1"/>
  <c r="F22421" i="1"/>
  <c r="E22421" i="1"/>
  <c r="D22421" i="1"/>
  <c r="C22421" i="1"/>
  <c r="B22421" i="1"/>
  <c r="A22421" i="1"/>
  <c r="F22420" i="1"/>
  <c r="E22420" i="1"/>
  <c r="D22420" i="1"/>
  <c r="C22420" i="1"/>
  <c r="B22420" i="1"/>
  <c r="A22420" i="1"/>
  <c r="F22419" i="1"/>
  <c r="E22419" i="1"/>
  <c r="D22419" i="1"/>
  <c r="C22419" i="1"/>
  <c r="B22419" i="1"/>
  <c r="A22419" i="1"/>
  <c r="F22418" i="1"/>
  <c r="E22418" i="1"/>
  <c r="D22418" i="1"/>
  <c r="C22418" i="1"/>
  <c r="B22418" i="1"/>
  <c r="A22418" i="1"/>
  <c r="F22417" i="1"/>
  <c r="E22417" i="1"/>
  <c r="D22417" i="1"/>
  <c r="C22417" i="1"/>
  <c r="B22417" i="1"/>
  <c r="A22417" i="1"/>
  <c r="F22416" i="1"/>
  <c r="E22416" i="1"/>
  <c r="D22416" i="1"/>
  <c r="C22416" i="1"/>
  <c r="B22416" i="1"/>
  <c r="A22416" i="1"/>
  <c r="F22415" i="1"/>
  <c r="E22415" i="1"/>
  <c r="D22415" i="1"/>
  <c r="C22415" i="1"/>
  <c r="B22415" i="1"/>
  <c r="A22415" i="1"/>
  <c r="F22414" i="1"/>
  <c r="E22414" i="1"/>
  <c r="D22414" i="1"/>
  <c r="C22414" i="1"/>
  <c r="B22414" i="1"/>
  <c r="A22414" i="1"/>
  <c r="F22413" i="1"/>
  <c r="E22413" i="1"/>
  <c r="D22413" i="1"/>
  <c r="C22413" i="1"/>
  <c r="B22413" i="1"/>
  <c r="A22413" i="1"/>
  <c r="F22412" i="1"/>
  <c r="E22412" i="1"/>
  <c r="D22412" i="1"/>
  <c r="C22412" i="1"/>
  <c r="B22412" i="1"/>
  <c r="A22412" i="1"/>
  <c r="F22411" i="1"/>
  <c r="E22411" i="1"/>
  <c r="D22411" i="1"/>
  <c r="C22411" i="1"/>
  <c r="B22411" i="1"/>
  <c r="A22411" i="1"/>
  <c r="F22410" i="1"/>
  <c r="E22410" i="1"/>
  <c r="D22410" i="1"/>
  <c r="C22410" i="1"/>
  <c r="B22410" i="1"/>
  <c r="A22410" i="1"/>
  <c r="F22409" i="1"/>
  <c r="E22409" i="1"/>
  <c r="D22409" i="1"/>
  <c r="C22409" i="1"/>
  <c r="B22409" i="1"/>
  <c r="A22409" i="1"/>
  <c r="F22408" i="1"/>
  <c r="E22408" i="1"/>
  <c r="D22408" i="1"/>
  <c r="C22408" i="1"/>
  <c r="B22408" i="1"/>
  <c r="A22408" i="1"/>
  <c r="F22407" i="1"/>
  <c r="E22407" i="1"/>
  <c r="D22407" i="1"/>
  <c r="C22407" i="1"/>
  <c r="B22407" i="1"/>
  <c r="A22407" i="1"/>
  <c r="F22406" i="1"/>
  <c r="E22406" i="1"/>
  <c r="D22406" i="1"/>
  <c r="C22406" i="1"/>
  <c r="B22406" i="1"/>
  <c r="A22406" i="1"/>
  <c r="F22405" i="1"/>
  <c r="E22405" i="1"/>
  <c r="D22405" i="1"/>
  <c r="C22405" i="1"/>
  <c r="B22405" i="1"/>
  <c r="A22405" i="1"/>
  <c r="F22404" i="1"/>
  <c r="E22404" i="1"/>
  <c r="D22404" i="1"/>
  <c r="C22404" i="1"/>
  <c r="B22404" i="1"/>
  <c r="A22404" i="1"/>
  <c r="F22403" i="1"/>
  <c r="E22403" i="1"/>
  <c r="D22403" i="1"/>
  <c r="C22403" i="1"/>
  <c r="B22403" i="1"/>
  <c r="A22403" i="1"/>
  <c r="F22402" i="1"/>
  <c r="E22402" i="1"/>
  <c r="D22402" i="1"/>
  <c r="C22402" i="1"/>
  <c r="B22402" i="1"/>
  <c r="A22402" i="1"/>
  <c r="F22401" i="1"/>
  <c r="E22401" i="1"/>
  <c r="D22401" i="1"/>
  <c r="C22401" i="1"/>
  <c r="B22401" i="1"/>
  <c r="A22401" i="1"/>
  <c r="F22400" i="1"/>
  <c r="E22400" i="1"/>
  <c r="D22400" i="1"/>
  <c r="C22400" i="1"/>
  <c r="B22400" i="1"/>
  <c r="A22400" i="1"/>
  <c r="F22399" i="1"/>
  <c r="E22399" i="1"/>
  <c r="D22399" i="1"/>
  <c r="C22399" i="1"/>
  <c r="B22399" i="1"/>
  <c r="A22399" i="1"/>
  <c r="F22398" i="1"/>
  <c r="E22398" i="1"/>
  <c r="D22398" i="1"/>
  <c r="C22398" i="1"/>
  <c r="B22398" i="1"/>
  <c r="A22398" i="1"/>
  <c r="F22397" i="1"/>
  <c r="E22397" i="1"/>
  <c r="D22397" i="1"/>
  <c r="C22397" i="1"/>
  <c r="B22397" i="1"/>
  <c r="A22397" i="1"/>
  <c r="F22396" i="1"/>
  <c r="E22396" i="1"/>
  <c r="D22396" i="1"/>
  <c r="C22396" i="1"/>
  <c r="B22396" i="1"/>
  <c r="A22396" i="1"/>
  <c r="F22395" i="1"/>
  <c r="E22395" i="1"/>
  <c r="D22395" i="1"/>
  <c r="C22395" i="1"/>
  <c r="B22395" i="1"/>
  <c r="A22395" i="1"/>
  <c r="F22394" i="1"/>
  <c r="E22394" i="1"/>
  <c r="D22394" i="1"/>
  <c r="C22394" i="1"/>
  <c r="B22394" i="1"/>
  <c r="A22394" i="1"/>
  <c r="F22393" i="1"/>
  <c r="E22393" i="1"/>
  <c r="D22393" i="1"/>
  <c r="C22393" i="1"/>
  <c r="B22393" i="1"/>
  <c r="A22393" i="1"/>
  <c r="F22392" i="1"/>
  <c r="E22392" i="1"/>
  <c r="D22392" i="1"/>
  <c r="C22392" i="1"/>
  <c r="B22392" i="1"/>
  <c r="A22392" i="1"/>
  <c r="F22391" i="1"/>
  <c r="E22391" i="1"/>
  <c r="D22391" i="1"/>
  <c r="C22391" i="1"/>
  <c r="B22391" i="1"/>
  <c r="A22391" i="1"/>
  <c r="F22390" i="1"/>
  <c r="E22390" i="1"/>
  <c r="D22390" i="1"/>
  <c r="C22390" i="1"/>
  <c r="B22390" i="1"/>
  <c r="A22390" i="1"/>
  <c r="F22389" i="1"/>
  <c r="E22389" i="1"/>
  <c r="D22389" i="1"/>
  <c r="C22389" i="1"/>
  <c r="B22389" i="1"/>
  <c r="A22389" i="1"/>
  <c r="F22388" i="1"/>
  <c r="E22388" i="1"/>
  <c r="D22388" i="1"/>
  <c r="C22388" i="1"/>
  <c r="B22388" i="1"/>
  <c r="A22388" i="1"/>
  <c r="F22387" i="1"/>
  <c r="E22387" i="1"/>
  <c r="D22387" i="1"/>
  <c r="C22387" i="1"/>
  <c r="B22387" i="1"/>
  <c r="A22387" i="1"/>
  <c r="F22386" i="1"/>
  <c r="E22386" i="1"/>
  <c r="D22386" i="1"/>
  <c r="C22386" i="1"/>
  <c r="B22386" i="1"/>
  <c r="A22386" i="1"/>
  <c r="F22385" i="1"/>
  <c r="E22385" i="1"/>
  <c r="D22385" i="1"/>
  <c r="C22385" i="1"/>
  <c r="B22385" i="1"/>
  <c r="A22385" i="1"/>
  <c r="F22384" i="1"/>
  <c r="E22384" i="1"/>
  <c r="D22384" i="1"/>
  <c r="C22384" i="1"/>
  <c r="B22384" i="1"/>
  <c r="A22384" i="1"/>
  <c r="F22383" i="1"/>
  <c r="E22383" i="1"/>
  <c r="D22383" i="1"/>
  <c r="C22383" i="1"/>
  <c r="B22383" i="1"/>
  <c r="A22383" i="1"/>
  <c r="F22382" i="1"/>
  <c r="E22382" i="1"/>
  <c r="D22382" i="1"/>
  <c r="C22382" i="1"/>
  <c r="B22382" i="1"/>
  <c r="A22382" i="1"/>
  <c r="F22381" i="1"/>
  <c r="E22381" i="1"/>
  <c r="D22381" i="1"/>
  <c r="C22381" i="1"/>
  <c r="B22381" i="1"/>
  <c r="A22381" i="1"/>
  <c r="F22380" i="1"/>
  <c r="E22380" i="1"/>
  <c r="D22380" i="1"/>
  <c r="C22380" i="1"/>
  <c r="B22380" i="1"/>
  <c r="A22380" i="1"/>
  <c r="F22379" i="1"/>
  <c r="E22379" i="1"/>
  <c r="D22379" i="1"/>
  <c r="C22379" i="1"/>
  <c r="B22379" i="1"/>
  <c r="A22379" i="1"/>
  <c r="F22378" i="1"/>
  <c r="E22378" i="1"/>
  <c r="D22378" i="1"/>
  <c r="C22378" i="1"/>
  <c r="B22378" i="1"/>
  <c r="A22378" i="1"/>
  <c r="F22377" i="1"/>
  <c r="E22377" i="1"/>
  <c r="D22377" i="1"/>
  <c r="C22377" i="1"/>
  <c r="B22377" i="1"/>
  <c r="A22377" i="1"/>
  <c r="F22376" i="1"/>
  <c r="E22376" i="1"/>
  <c r="D22376" i="1"/>
  <c r="C22376" i="1"/>
  <c r="B22376" i="1"/>
  <c r="A22376" i="1"/>
  <c r="F22375" i="1"/>
  <c r="E22375" i="1"/>
  <c r="D22375" i="1"/>
  <c r="C22375" i="1"/>
  <c r="B22375" i="1"/>
  <c r="A22375" i="1"/>
  <c r="F22374" i="1"/>
  <c r="E22374" i="1"/>
  <c r="D22374" i="1"/>
  <c r="C22374" i="1"/>
  <c r="B22374" i="1"/>
  <c r="A22374" i="1"/>
  <c r="F22373" i="1"/>
  <c r="E22373" i="1"/>
  <c r="D22373" i="1"/>
  <c r="C22373" i="1"/>
  <c r="B22373" i="1"/>
  <c r="A22373" i="1"/>
  <c r="F22372" i="1"/>
  <c r="E22372" i="1"/>
  <c r="D22372" i="1"/>
  <c r="C22372" i="1"/>
  <c r="B22372" i="1"/>
  <c r="A22372" i="1"/>
  <c r="F22371" i="1"/>
  <c r="E22371" i="1"/>
  <c r="D22371" i="1"/>
  <c r="C22371" i="1"/>
  <c r="B22371" i="1"/>
  <c r="A22371" i="1"/>
  <c r="F22370" i="1"/>
  <c r="E22370" i="1"/>
  <c r="D22370" i="1"/>
  <c r="C22370" i="1"/>
  <c r="B22370" i="1"/>
  <c r="A22370" i="1"/>
  <c r="F22369" i="1"/>
  <c r="E22369" i="1"/>
  <c r="D22369" i="1"/>
  <c r="C22369" i="1"/>
  <c r="B22369" i="1"/>
  <c r="A22369" i="1"/>
  <c r="F22368" i="1"/>
  <c r="E22368" i="1"/>
  <c r="D22368" i="1"/>
  <c r="C22368" i="1"/>
  <c r="B22368" i="1"/>
  <c r="A22368" i="1"/>
  <c r="F22367" i="1"/>
  <c r="E22367" i="1"/>
  <c r="D22367" i="1"/>
  <c r="C22367" i="1"/>
  <c r="B22367" i="1"/>
  <c r="A22367" i="1"/>
  <c r="F22366" i="1"/>
  <c r="E22366" i="1"/>
  <c r="D22366" i="1"/>
  <c r="C22366" i="1"/>
  <c r="B22366" i="1"/>
  <c r="A22366" i="1"/>
  <c r="F22365" i="1"/>
  <c r="E22365" i="1"/>
  <c r="D22365" i="1"/>
  <c r="C22365" i="1"/>
  <c r="B22365" i="1"/>
  <c r="A22365" i="1"/>
  <c r="F22364" i="1"/>
  <c r="E22364" i="1"/>
  <c r="D22364" i="1"/>
  <c r="C22364" i="1"/>
  <c r="B22364" i="1"/>
  <c r="A22364" i="1"/>
  <c r="F22363" i="1"/>
  <c r="E22363" i="1"/>
  <c r="D22363" i="1"/>
  <c r="C22363" i="1"/>
  <c r="B22363" i="1"/>
  <c r="A22363" i="1"/>
  <c r="F22362" i="1"/>
  <c r="E22362" i="1"/>
  <c r="D22362" i="1"/>
  <c r="C22362" i="1"/>
  <c r="B22362" i="1"/>
  <c r="A22362" i="1"/>
  <c r="F22361" i="1"/>
  <c r="E22361" i="1"/>
  <c r="D22361" i="1"/>
  <c r="C22361" i="1"/>
  <c r="B22361" i="1"/>
  <c r="A22361" i="1"/>
  <c r="F22360" i="1"/>
  <c r="E22360" i="1"/>
  <c r="D22360" i="1"/>
  <c r="C22360" i="1"/>
  <c r="B22360" i="1"/>
  <c r="A22360" i="1"/>
  <c r="F22359" i="1"/>
  <c r="E22359" i="1"/>
  <c r="D22359" i="1"/>
  <c r="C22359" i="1"/>
  <c r="B22359" i="1"/>
  <c r="A22359" i="1"/>
  <c r="F22358" i="1"/>
  <c r="E22358" i="1"/>
  <c r="D22358" i="1"/>
  <c r="C22358" i="1"/>
  <c r="B22358" i="1"/>
  <c r="A22358" i="1"/>
  <c r="F22357" i="1"/>
  <c r="E22357" i="1"/>
  <c r="D22357" i="1"/>
  <c r="C22357" i="1"/>
  <c r="B22357" i="1"/>
  <c r="A22357" i="1"/>
  <c r="F22356" i="1"/>
  <c r="E22356" i="1"/>
  <c r="D22356" i="1"/>
  <c r="C22356" i="1"/>
  <c r="B22356" i="1"/>
  <c r="A22356" i="1"/>
  <c r="F22355" i="1"/>
  <c r="E22355" i="1"/>
  <c r="D22355" i="1"/>
  <c r="C22355" i="1"/>
  <c r="B22355" i="1"/>
  <c r="A22355" i="1"/>
  <c r="F22354" i="1"/>
  <c r="E22354" i="1"/>
  <c r="D22354" i="1"/>
  <c r="C22354" i="1"/>
  <c r="B22354" i="1"/>
  <c r="A22354" i="1"/>
  <c r="F22353" i="1"/>
  <c r="E22353" i="1"/>
  <c r="D22353" i="1"/>
  <c r="C22353" i="1"/>
  <c r="B22353" i="1"/>
  <c r="A22353" i="1"/>
  <c r="F22352" i="1"/>
  <c r="E22352" i="1"/>
  <c r="D22352" i="1"/>
  <c r="C22352" i="1"/>
  <c r="B22352" i="1"/>
  <c r="A22352" i="1"/>
  <c r="F22351" i="1"/>
  <c r="E22351" i="1"/>
  <c r="D22351" i="1"/>
  <c r="C22351" i="1"/>
  <c r="B22351" i="1"/>
  <c r="A22351" i="1"/>
  <c r="F22350" i="1"/>
  <c r="E22350" i="1"/>
  <c r="D22350" i="1"/>
  <c r="C22350" i="1"/>
  <c r="B22350" i="1"/>
  <c r="A22350" i="1"/>
  <c r="F22349" i="1"/>
  <c r="E22349" i="1"/>
  <c r="D22349" i="1"/>
  <c r="C22349" i="1"/>
  <c r="B22349" i="1"/>
  <c r="A22349" i="1"/>
  <c r="F22348" i="1"/>
  <c r="E22348" i="1"/>
  <c r="D22348" i="1"/>
  <c r="C22348" i="1"/>
  <c r="B22348" i="1"/>
  <c r="A22348" i="1"/>
  <c r="F22347" i="1"/>
  <c r="E22347" i="1"/>
  <c r="D22347" i="1"/>
  <c r="C22347" i="1"/>
  <c r="B22347" i="1"/>
  <c r="A22347" i="1"/>
  <c r="F22346" i="1"/>
  <c r="E22346" i="1"/>
  <c r="D22346" i="1"/>
  <c r="C22346" i="1"/>
  <c r="B22346" i="1"/>
  <c r="A22346" i="1"/>
  <c r="F22345" i="1"/>
  <c r="E22345" i="1"/>
  <c r="D22345" i="1"/>
  <c r="C22345" i="1"/>
  <c r="B22345" i="1"/>
  <c r="A22345" i="1"/>
  <c r="F22344" i="1"/>
  <c r="E22344" i="1"/>
  <c r="D22344" i="1"/>
  <c r="C22344" i="1"/>
  <c r="B22344" i="1"/>
  <c r="A22344" i="1"/>
  <c r="F22343" i="1"/>
  <c r="E22343" i="1"/>
  <c r="D22343" i="1"/>
  <c r="C22343" i="1"/>
  <c r="B22343" i="1"/>
  <c r="A22343" i="1"/>
  <c r="F22342" i="1"/>
  <c r="E22342" i="1"/>
  <c r="D22342" i="1"/>
  <c r="C22342" i="1"/>
  <c r="B22342" i="1"/>
  <c r="A22342" i="1"/>
  <c r="F22341" i="1"/>
  <c r="E22341" i="1"/>
  <c r="D22341" i="1"/>
  <c r="C22341" i="1"/>
  <c r="B22341" i="1"/>
  <c r="A22341" i="1"/>
  <c r="F22340" i="1"/>
  <c r="E22340" i="1"/>
  <c r="D22340" i="1"/>
  <c r="C22340" i="1"/>
  <c r="B22340" i="1"/>
  <c r="A22340" i="1"/>
  <c r="F22339" i="1"/>
  <c r="E22339" i="1"/>
  <c r="D22339" i="1"/>
  <c r="C22339" i="1"/>
  <c r="B22339" i="1"/>
  <c r="A22339" i="1"/>
  <c r="F22338" i="1"/>
  <c r="E22338" i="1"/>
  <c r="D22338" i="1"/>
  <c r="C22338" i="1"/>
  <c r="B22338" i="1"/>
  <c r="A22338" i="1"/>
  <c r="F22337" i="1"/>
  <c r="E22337" i="1"/>
  <c r="D22337" i="1"/>
  <c r="C22337" i="1"/>
  <c r="B22337" i="1"/>
  <c r="A22337" i="1"/>
  <c r="F22336" i="1"/>
  <c r="E22336" i="1"/>
  <c r="D22336" i="1"/>
  <c r="C22336" i="1"/>
  <c r="B22336" i="1"/>
  <c r="A22336" i="1"/>
  <c r="F22335" i="1"/>
  <c r="E22335" i="1"/>
  <c r="D22335" i="1"/>
  <c r="C22335" i="1"/>
  <c r="B22335" i="1"/>
  <c r="A22335" i="1"/>
  <c r="F22334" i="1"/>
  <c r="E22334" i="1"/>
  <c r="D22334" i="1"/>
  <c r="C22334" i="1"/>
  <c r="B22334" i="1"/>
  <c r="A22334" i="1"/>
  <c r="F22333" i="1"/>
  <c r="E22333" i="1"/>
  <c r="D22333" i="1"/>
  <c r="C22333" i="1"/>
  <c r="B22333" i="1"/>
  <c r="A22333" i="1"/>
  <c r="F22332" i="1"/>
  <c r="E22332" i="1"/>
  <c r="D22332" i="1"/>
  <c r="C22332" i="1"/>
  <c r="B22332" i="1"/>
  <c r="A22332" i="1"/>
  <c r="F22331" i="1"/>
  <c r="E22331" i="1"/>
  <c r="D22331" i="1"/>
  <c r="C22331" i="1"/>
  <c r="B22331" i="1"/>
  <c r="A22331" i="1"/>
  <c r="F22330" i="1"/>
  <c r="E22330" i="1"/>
  <c r="D22330" i="1"/>
  <c r="C22330" i="1"/>
  <c r="B22330" i="1"/>
  <c r="A22330" i="1"/>
  <c r="F22329" i="1"/>
  <c r="E22329" i="1"/>
  <c r="D22329" i="1"/>
  <c r="C22329" i="1"/>
  <c r="B22329" i="1"/>
  <c r="A22329" i="1"/>
  <c r="F22328" i="1"/>
  <c r="E22328" i="1"/>
  <c r="D22328" i="1"/>
  <c r="C22328" i="1"/>
  <c r="B22328" i="1"/>
  <c r="A22328" i="1"/>
  <c r="F22327" i="1"/>
  <c r="E22327" i="1"/>
  <c r="D22327" i="1"/>
  <c r="C22327" i="1"/>
  <c r="B22327" i="1"/>
  <c r="A22327" i="1"/>
  <c r="F22326" i="1"/>
  <c r="E22326" i="1"/>
  <c r="D22326" i="1"/>
  <c r="C22326" i="1"/>
  <c r="B22326" i="1"/>
  <c r="A22326" i="1"/>
  <c r="F22325" i="1"/>
  <c r="E22325" i="1"/>
  <c r="D22325" i="1"/>
  <c r="C22325" i="1"/>
  <c r="B22325" i="1"/>
  <c r="A22325" i="1"/>
  <c r="F22324" i="1"/>
  <c r="E22324" i="1"/>
  <c r="D22324" i="1"/>
  <c r="C22324" i="1"/>
  <c r="B22324" i="1"/>
  <c r="A22324" i="1"/>
  <c r="F22323" i="1"/>
  <c r="E22323" i="1"/>
  <c r="D22323" i="1"/>
  <c r="C22323" i="1"/>
  <c r="B22323" i="1"/>
  <c r="A22323" i="1"/>
  <c r="F22322" i="1"/>
  <c r="E22322" i="1"/>
  <c r="D22322" i="1"/>
  <c r="C22322" i="1"/>
  <c r="B22322" i="1"/>
  <c r="A22322" i="1"/>
  <c r="F22321" i="1"/>
  <c r="E22321" i="1"/>
  <c r="D22321" i="1"/>
  <c r="C22321" i="1"/>
  <c r="B22321" i="1"/>
  <c r="A22321" i="1"/>
  <c r="F22320" i="1"/>
  <c r="E22320" i="1"/>
  <c r="D22320" i="1"/>
  <c r="C22320" i="1"/>
  <c r="B22320" i="1"/>
  <c r="A22320" i="1"/>
  <c r="F22319" i="1"/>
  <c r="E22319" i="1"/>
  <c r="D22319" i="1"/>
  <c r="C22319" i="1"/>
  <c r="B22319" i="1"/>
  <c r="A22319" i="1"/>
  <c r="F22318" i="1"/>
  <c r="E22318" i="1"/>
  <c r="D22318" i="1"/>
  <c r="C22318" i="1"/>
  <c r="B22318" i="1"/>
  <c r="A22318" i="1"/>
  <c r="F22317" i="1"/>
  <c r="E22317" i="1"/>
  <c r="D22317" i="1"/>
  <c r="C22317" i="1"/>
  <c r="B22317" i="1"/>
  <c r="A22317" i="1"/>
  <c r="F22316" i="1"/>
  <c r="E22316" i="1"/>
  <c r="D22316" i="1"/>
  <c r="C22316" i="1"/>
  <c r="B22316" i="1"/>
  <c r="A22316" i="1"/>
  <c r="F22315" i="1"/>
  <c r="E22315" i="1"/>
  <c r="D22315" i="1"/>
  <c r="C22315" i="1"/>
  <c r="B22315" i="1"/>
  <c r="A22315" i="1"/>
  <c r="F22314" i="1"/>
  <c r="E22314" i="1"/>
  <c r="D22314" i="1"/>
  <c r="C22314" i="1"/>
  <c r="B22314" i="1"/>
  <c r="A22314" i="1"/>
  <c r="F22313" i="1"/>
  <c r="E22313" i="1"/>
  <c r="D22313" i="1"/>
  <c r="C22313" i="1"/>
  <c r="B22313" i="1"/>
  <c r="A22313" i="1"/>
  <c r="F22312" i="1"/>
  <c r="E22312" i="1"/>
  <c r="D22312" i="1"/>
  <c r="C22312" i="1"/>
  <c r="B22312" i="1"/>
  <c r="A22312" i="1"/>
  <c r="F22311" i="1"/>
  <c r="E22311" i="1"/>
  <c r="D22311" i="1"/>
  <c r="C22311" i="1"/>
  <c r="B22311" i="1"/>
  <c r="A22311" i="1"/>
  <c r="F22310" i="1"/>
  <c r="E22310" i="1"/>
  <c r="D22310" i="1"/>
  <c r="C22310" i="1"/>
  <c r="B22310" i="1"/>
  <c r="A22310" i="1"/>
  <c r="F22309" i="1"/>
  <c r="E22309" i="1"/>
  <c r="D22309" i="1"/>
  <c r="C22309" i="1"/>
  <c r="B22309" i="1"/>
  <c r="A22309" i="1"/>
  <c r="F22308" i="1"/>
  <c r="E22308" i="1"/>
  <c r="D22308" i="1"/>
  <c r="C22308" i="1"/>
  <c r="B22308" i="1"/>
  <c r="A22308" i="1"/>
  <c r="F22307" i="1"/>
  <c r="E22307" i="1"/>
  <c r="D22307" i="1"/>
  <c r="C22307" i="1"/>
  <c r="B22307" i="1"/>
  <c r="A22307" i="1"/>
  <c r="F22306" i="1"/>
  <c r="E22306" i="1"/>
  <c r="D22306" i="1"/>
  <c r="C22306" i="1"/>
  <c r="B22306" i="1"/>
  <c r="A22306" i="1"/>
  <c r="F22305" i="1"/>
  <c r="E22305" i="1"/>
  <c r="D22305" i="1"/>
  <c r="C22305" i="1"/>
  <c r="B22305" i="1"/>
  <c r="A22305" i="1"/>
  <c r="F22304" i="1"/>
  <c r="E22304" i="1"/>
  <c r="D22304" i="1"/>
  <c r="C22304" i="1"/>
  <c r="B22304" i="1"/>
  <c r="A22304" i="1"/>
  <c r="F22303" i="1"/>
  <c r="E22303" i="1"/>
  <c r="D22303" i="1"/>
  <c r="C22303" i="1"/>
  <c r="B22303" i="1"/>
  <c r="A22303" i="1"/>
  <c r="F22302" i="1"/>
  <c r="E22302" i="1"/>
  <c r="D22302" i="1"/>
  <c r="C22302" i="1"/>
  <c r="B22302" i="1"/>
  <c r="A22302" i="1"/>
  <c r="F22301" i="1"/>
  <c r="E22301" i="1"/>
  <c r="D22301" i="1"/>
  <c r="C22301" i="1"/>
  <c r="B22301" i="1"/>
  <c r="A22301" i="1"/>
  <c r="F22300" i="1"/>
  <c r="E22300" i="1"/>
  <c r="D22300" i="1"/>
  <c r="C22300" i="1"/>
  <c r="B22300" i="1"/>
  <c r="A22300" i="1"/>
  <c r="F22299" i="1"/>
  <c r="E22299" i="1"/>
  <c r="D22299" i="1"/>
  <c r="C22299" i="1"/>
  <c r="B22299" i="1"/>
  <c r="A22299" i="1"/>
  <c r="F22298" i="1"/>
  <c r="E22298" i="1"/>
  <c r="D22298" i="1"/>
  <c r="C22298" i="1"/>
  <c r="B22298" i="1"/>
  <c r="A22298" i="1"/>
  <c r="F22297" i="1"/>
  <c r="E22297" i="1"/>
  <c r="D22297" i="1"/>
  <c r="C22297" i="1"/>
  <c r="B22297" i="1"/>
  <c r="A22297" i="1"/>
  <c r="F22296" i="1"/>
  <c r="E22296" i="1"/>
  <c r="D22296" i="1"/>
  <c r="C22296" i="1"/>
  <c r="B22296" i="1"/>
  <c r="A22296" i="1"/>
  <c r="F22295" i="1"/>
  <c r="E22295" i="1"/>
  <c r="D22295" i="1"/>
  <c r="C22295" i="1"/>
  <c r="B22295" i="1"/>
  <c r="A22295" i="1"/>
  <c r="F22294" i="1"/>
  <c r="E22294" i="1"/>
  <c r="D22294" i="1"/>
  <c r="C22294" i="1"/>
  <c r="B22294" i="1"/>
  <c r="A22294" i="1"/>
  <c r="F22293" i="1"/>
  <c r="E22293" i="1"/>
  <c r="D22293" i="1"/>
  <c r="C22293" i="1"/>
  <c r="B22293" i="1"/>
  <c r="A22293" i="1"/>
  <c r="F22292" i="1"/>
  <c r="E22292" i="1"/>
  <c r="D22292" i="1"/>
  <c r="C22292" i="1"/>
  <c r="B22292" i="1"/>
  <c r="A22292" i="1"/>
  <c r="F22291" i="1"/>
  <c r="E22291" i="1"/>
  <c r="D22291" i="1"/>
  <c r="C22291" i="1"/>
  <c r="B22291" i="1"/>
  <c r="A22291" i="1"/>
  <c r="F22290" i="1"/>
  <c r="E22290" i="1"/>
  <c r="D22290" i="1"/>
  <c r="C22290" i="1"/>
  <c r="B22290" i="1"/>
  <c r="A22290" i="1"/>
  <c r="F22289" i="1"/>
  <c r="E22289" i="1"/>
  <c r="D22289" i="1"/>
  <c r="C22289" i="1"/>
  <c r="B22289" i="1"/>
  <c r="A22289" i="1"/>
  <c r="F22288" i="1"/>
  <c r="E22288" i="1"/>
  <c r="D22288" i="1"/>
  <c r="C22288" i="1"/>
  <c r="B22288" i="1"/>
  <c r="A22288" i="1"/>
  <c r="F22287" i="1"/>
  <c r="E22287" i="1"/>
  <c r="D22287" i="1"/>
  <c r="C22287" i="1"/>
  <c r="B22287" i="1"/>
  <c r="A22287" i="1"/>
  <c r="F22286" i="1"/>
  <c r="E22286" i="1"/>
  <c r="D22286" i="1"/>
  <c r="C22286" i="1"/>
  <c r="B22286" i="1"/>
  <c r="A22286" i="1"/>
  <c r="F22285" i="1"/>
  <c r="E22285" i="1"/>
  <c r="D22285" i="1"/>
  <c r="C22285" i="1"/>
  <c r="B22285" i="1"/>
  <c r="A22285" i="1"/>
  <c r="F22284" i="1"/>
  <c r="E22284" i="1"/>
  <c r="D22284" i="1"/>
  <c r="C22284" i="1"/>
  <c r="B22284" i="1"/>
  <c r="A22284" i="1"/>
  <c r="F22283" i="1"/>
  <c r="E22283" i="1"/>
  <c r="D22283" i="1"/>
  <c r="C22283" i="1"/>
  <c r="B22283" i="1"/>
  <c r="A22283" i="1"/>
  <c r="F22282" i="1"/>
  <c r="E22282" i="1"/>
  <c r="D22282" i="1"/>
  <c r="C22282" i="1"/>
  <c r="B22282" i="1"/>
  <c r="A22282" i="1"/>
  <c r="F22281" i="1"/>
  <c r="E22281" i="1"/>
  <c r="D22281" i="1"/>
  <c r="C22281" i="1"/>
  <c r="B22281" i="1"/>
  <c r="A22281" i="1"/>
  <c r="F22280" i="1"/>
  <c r="E22280" i="1"/>
  <c r="D22280" i="1"/>
  <c r="C22280" i="1"/>
  <c r="B22280" i="1"/>
  <c r="A22280" i="1"/>
  <c r="F22279" i="1"/>
  <c r="E22279" i="1"/>
  <c r="D22279" i="1"/>
  <c r="C22279" i="1"/>
  <c r="B22279" i="1"/>
  <c r="A22279" i="1"/>
  <c r="F22278" i="1"/>
  <c r="E22278" i="1"/>
  <c r="D22278" i="1"/>
  <c r="C22278" i="1"/>
  <c r="B22278" i="1"/>
  <c r="A22278" i="1"/>
  <c r="F22277" i="1"/>
  <c r="E22277" i="1"/>
  <c r="D22277" i="1"/>
  <c r="C22277" i="1"/>
  <c r="B22277" i="1"/>
  <c r="A22277" i="1"/>
  <c r="F22276" i="1"/>
  <c r="E22276" i="1"/>
  <c r="D22276" i="1"/>
  <c r="C22276" i="1"/>
  <c r="B22276" i="1"/>
  <c r="A22276" i="1"/>
  <c r="F22275" i="1"/>
  <c r="E22275" i="1"/>
  <c r="D22275" i="1"/>
  <c r="C22275" i="1"/>
  <c r="B22275" i="1"/>
  <c r="A22275" i="1"/>
  <c r="F22274" i="1"/>
  <c r="E22274" i="1"/>
  <c r="D22274" i="1"/>
  <c r="C22274" i="1"/>
  <c r="B22274" i="1"/>
  <c r="A22274" i="1"/>
  <c r="F22273" i="1"/>
  <c r="E22273" i="1"/>
  <c r="D22273" i="1"/>
  <c r="C22273" i="1"/>
  <c r="B22273" i="1"/>
  <c r="A22273" i="1"/>
  <c r="F22272" i="1"/>
  <c r="E22272" i="1"/>
  <c r="D22272" i="1"/>
  <c r="C22272" i="1"/>
  <c r="B22272" i="1"/>
  <c r="A22272" i="1"/>
  <c r="F22271" i="1"/>
  <c r="E22271" i="1"/>
  <c r="D22271" i="1"/>
  <c r="C22271" i="1"/>
  <c r="B22271" i="1"/>
  <c r="A22271" i="1"/>
  <c r="F22270" i="1"/>
  <c r="E22270" i="1"/>
  <c r="D22270" i="1"/>
  <c r="C22270" i="1"/>
  <c r="B22270" i="1"/>
  <c r="A22270" i="1"/>
  <c r="F22269" i="1"/>
  <c r="E22269" i="1"/>
  <c r="D22269" i="1"/>
  <c r="C22269" i="1"/>
  <c r="B22269" i="1"/>
  <c r="A22269" i="1"/>
  <c r="F22268" i="1"/>
  <c r="E22268" i="1"/>
  <c r="D22268" i="1"/>
  <c r="C22268" i="1"/>
  <c r="B22268" i="1"/>
  <c r="A22268" i="1"/>
  <c r="F22267" i="1"/>
  <c r="E22267" i="1"/>
  <c r="D22267" i="1"/>
  <c r="C22267" i="1"/>
  <c r="B22267" i="1"/>
  <c r="A22267" i="1"/>
  <c r="F22266" i="1"/>
  <c r="E22266" i="1"/>
  <c r="D22266" i="1"/>
  <c r="C22266" i="1"/>
  <c r="B22266" i="1"/>
  <c r="A22266" i="1"/>
  <c r="F22265" i="1"/>
  <c r="E22265" i="1"/>
  <c r="D22265" i="1"/>
  <c r="C22265" i="1"/>
  <c r="B22265" i="1"/>
  <c r="A22265" i="1"/>
  <c r="F22264" i="1"/>
  <c r="E22264" i="1"/>
  <c r="D22264" i="1"/>
  <c r="C22264" i="1"/>
  <c r="B22264" i="1"/>
  <c r="A22264" i="1"/>
  <c r="F22263" i="1"/>
  <c r="E22263" i="1"/>
  <c r="D22263" i="1"/>
  <c r="C22263" i="1"/>
  <c r="B22263" i="1"/>
  <c r="A22263" i="1"/>
  <c r="F22262" i="1"/>
  <c r="E22262" i="1"/>
  <c r="D22262" i="1"/>
  <c r="C22262" i="1"/>
  <c r="B22262" i="1"/>
  <c r="A22262" i="1"/>
  <c r="F22261" i="1"/>
  <c r="E22261" i="1"/>
  <c r="D22261" i="1"/>
  <c r="C22261" i="1"/>
  <c r="B22261" i="1"/>
  <c r="A22261" i="1"/>
  <c r="F22260" i="1"/>
  <c r="E22260" i="1"/>
  <c r="D22260" i="1"/>
  <c r="C22260" i="1"/>
  <c r="B22260" i="1"/>
  <c r="A22260" i="1"/>
  <c r="F22259" i="1"/>
  <c r="E22259" i="1"/>
  <c r="D22259" i="1"/>
  <c r="C22259" i="1"/>
  <c r="B22259" i="1"/>
  <c r="A22259" i="1"/>
  <c r="F22258" i="1"/>
  <c r="E22258" i="1"/>
  <c r="D22258" i="1"/>
  <c r="C22258" i="1"/>
  <c r="B22258" i="1"/>
  <c r="A22258" i="1"/>
  <c r="F22257" i="1"/>
  <c r="E22257" i="1"/>
  <c r="D22257" i="1"/>
  <c r="C22257" i="1"/>
  <c r="B22257" i="1"/>
  <c r="A22257" i="1"/>
  <c r="F22256" i="1"/>
  <c r="E22256" i="1"/>
  <c r="D22256" i="1"/>
  <c r="C22256" i="1"/>
  <c r="B22256" i="1"/>
  <c r="A22256" i="1"/>
  <c r="F22255" i="1"/>
  <c r="E22255" i="1"/>
  <c r="D22255" i="1"/>
  <c r="C22255" i="1"/>
  <c r="B22255" i="1"/>
  <c r="A22255" i="1"/>
  <c r="F22254" i="1"/>
  <c r="E22254" i="1"/>
  <c r="D22254" i="1"/>
  <c r="C22254" i="1"/>
  <c r="B22254" i="1"/>
  <c r="A22254" i="1"/>
  <c r="F22253" i="1"/>
  <c r="E22253" i="1"/>
  <c r="D22253" i="1"/>
  <c r="C22253" i="1"/>
  <c r="B22253" i="1"/>
  <c r="A22253" i="1"/>
  <c r="F22252" i="1"/>
  <c r="E22252" i="1"/>
  <c r="D22252" i="1"/>
  <c r="C22252" i="1"/>
  <c r="B22252" i="1"/>
  <c r="A22252" i="1"/>
  <c r="F22251" i="1"/>
  <c r="E22251" i="1"/>
  <c r="D22251" i="1"/>
  <c r="C22251" i="1"/>
  <c r="B22251" i="1"/>
  <c r="A22251" i="1"/>
  <c r="F22250" i="1"/>
  <c r="E22250" i="1"/>
  <c r="D22250" i="1"/>
  <c r="C22250" i="1"/>
  <c r="B22250" i="1"/>
  <c r="A22250" i="1"/>
  <c r="F22249" i="1"/>
  <c r="E22249" i="1"/>
  <c r="D22249" i="1"/>
  <c r="C22249" i="1"/>
  <c r="B22249" i="1"/>
  <c r="A22249" i="1"/>
  <c r="F22248" i="1"/>
  <c r="E22248" i="1"/>
  <c r="D22248" i="1"/>
  <c r="C22248" i="1"/>
  <c r="B22248" i="1"/>
  <c r="A22248" i="1"/>
  <c r="F22247" i="1"/>
  <c r="E22247" i="1"/>
  <c r="D22247" i="1"/>
  <c r="C22247" i="1"/>
  <c r="B22247" i="1"/>
  <c r="A22247" i="1"/>
  <c r="F22246" i="1"/>
  <c r="E22246" i="1"/>
  <c r="D22246" i="1"/>
  <c r="C22246" i="1"/>
  <c r="B22246" i="1"/>
  <c r="A22246" i="1"/>
  <c r="F22245" i="1"/>
  <c r="E22245" i="1"/>
  <c r="D22245" i="1"/>
  <c r="C22245" i="1"/>
  <c r="B22245" i="1"/>
  <c r="A22245" i="1"/>
  <c r="F22244" i="1"/>
  <c r="E22244" i="1"/>
  <c r="D22244" i="1"/>
  <c r="C22244" i="1"/>
  <c r="B22244" i="1"/>
  <c r="A22244" i="1"/>
  <c r="F22243" i="1"/>
  <c r="E22243" i="1"/>
  <c r="D22243" i="1"/>
  <c r="C22243" i="1"/>
  <c r="B22243" i="1"/>
  <c r="A22243" i="1"/>
  <c r="F22242" i="1"/>
  <c r="E22242" i="1"/>
  <c r="D22242" i="1"/>
  <c r="C22242" i="1"/>
  <c r="B22242" i="1"/>
  <c r="A22242" i="1"/>
  <c r="F22241" i="1"/>
  <c r="E22241" i="1"/>
  <c r="D22241" i="1"/>
  <c r="C22241" i="1"/>
  <c r="B22241" i="1"/>
  <c r="A22241" i="1"/>
  <c r="F22240" i="1"/>
  <c r="E22240" i="1"/>
  <c r="D22240" i="1"/>
  <c r="C22240" i="1"/>
  <c r="B22240" i="1"/>
  <c r="A22240" i="1"/>
  <c r="F22239" i="1"/>
  <c r="E22239" i="1"/>
  <c r="D22239" i="1"/>
  <c r="C22239" i="1"/>
  <c r="B22239" i="1"/>
  <c r="A22239" i="1"/>
  <c r="F22238" i="1"/>
  <c r="E22238" i="1"/>
  <c r="D22238" i="1"/>
  <c r="C22238" i="1"/>
  <c r="B22238" i="1"/>
  <c r="A22238" i="1"/>
  <c r="F22237" i="1"/>
  <c r="E22237" i="1"/>
  <c r="D22237" i="1"/>
  <c r="C22237" i="1"/>
  <c r="B22237" i="1"/>
  <c r="A22237" i="1"/>
  <c r="F22236" i="1"/>
  <c r="E22236" i="1"/>
  <c r="D22236" i="1"/>
  <c r="C22236" i="1"/>
  <c r="B22236" i="1"/>
  <c r="A22236" i="1"/>
  <c r="F22235" i="1"/>
  <c r="E22235" i="1"/>
  <c r="D22235" i="1"/>
  <c r="C22235" i="1"/>
  <c r="B22235" i="1"/>
  <c r="A22235" i="1"/>
  <c r="F22234" i="1"/>
  <c r="E22234" i="1"/>
  <c r="D22234" i="1"/>
  <c r="C22234" i="1"/>
  <c r="B22234" i="1"/>
  <c r="A22234" i="1"/>
  <c r="F22233" i="1"/>
  <c r="E22233" i="1"/>
  <c r="D22233" i="1"/>
  <c r="C22233" i="1"/>
  <c r="B22233" i="1"/>
  <c r="A22233" i="1"/>
  <c r="F22232" i="1"/>
  <c r="E22232" i="1"/>
  <c r="D22232" i="1"/>
  <c r="C22232" i="1"/>
  <c r="B22232" i="1"/>
  <c r="A22232" i="1"/>
  <c r="F22231" i="1"/>
  <c r="E22231" i="1"/>
  <c r="D22231" i="1"/>
  <c r="C22231" i="1"/>
  <c r="B22231" i="1"/>
  <c r="A22231" i="1"/>
  <c r="F22230" i="1"/>
  <c r="E22230" i="1"/>
  <c r="D22230" i="1"/>
  <c r="C22230" i="1"/>
  <c r="B22230" i="1"/>
  <c r="A22230" i="1"/>
  <c r="F22229" i="1"/>
  <c r="E22229" i="1"/>
  <c r="D22229" i="1"/>
  <c r="C22229" i="1"/>
  <c r="B22229" i="1"/>
  <c r="A22229" i="1"/>
  <c r="F22228" i="1"/>
  <c r="E22228" i="1"/>
  <c r="D22228" i="1"/>
  <c r="C22228" i="1"/>
  <c r="B22228" i="1"/>
  <c r="A22228" i="1"/>
  <c r="F22227" i="1"/>
  <c r="E22227" i="1"/>
  <c r="D22227" i="1"/>
  <c r="C22227" i="1"/>
  <c r="B22227" i="1"/>
  <c r="A22227" i="1"/>
  <c r="F22226" i="1"/>
  <c r="E22226" i="1"/>
  <c r="D22226" i="1"/>
  <c r="C22226" i="1"/>
  <c r="B22226" i="1"/>
  <c r="A22226" i="1"/>
  <c r="F22225" i="1"/>
  <c r="E22225" i="1"/>
  <c r="D22225" i="1"/>
  <c r="C22225" i="1"/>
  <c r="B22225" i="1"/>
  <c r="A22225" i="1"/>
  <c r="F22224" i="1"/>
  <c r="E22224" i="1"/>
  <c r="D22224" i="1"/>
  <c r="C22224" i="1"/>
  <c r="B22224" i="1"/>
  <c r="A22224" i="1"/>
  <c r="F22223" i="1"/>
  <c r="E22223" i="1"/>
  <c r="D22223" i="1"/>
  <c r="C22223" i="1"/>
  <c r="B22223" i="1"/>
  <c r="A22223" i="1"/>
  <c r="F22222" i="1"/>
  <c r="E22222" i="1"/>
  <c r="D22222" i="1"/>
  <c r="C22222" i="1"/>
  <c r="B22222" i="1"/>
  <c r="A22222" i="1"/>
  <c r="F22221" i="1"/>
  <c r="E22221" i="1"/>
  <c r="D22221" i="1"/>
  <c r="C22221" i="1"/>
  <c r="B22221" i="1"/>
  <c r="A22221" i="1"/>
  <c r="F22220" i="1"/>
  <c r="E22220" i="1"/>
  <c r="D22220" i="1"/>
  <c r="C22220" i="1"/>
  <c r="B22220" i="1"/>
  <c r="A22220" i="1"/>
  <c r="F22219" i="1"/>
  <c r="E22219" i="1"/>
  <c r="D22219" i="1"/>
  <c r="C22219" i="1"/>
  <c r="B22219" i="1"/>
  <c r="A22219" i="1"/>
  <c r="F22218" i="1"/>
  <c r="E22218" i="1"/>
  <c r="D22218" i="1"/>
  <c r="C22218" i="1"/>
  <c r="B22218" i="1"/>
  <c r="A22218" i="1"/>
  <c r="F22217" i="1"/>
  <c r="E22217" i="1"/>
  <c r="D22217" i="1"/>
  <c r="C22217" i="1"/>
  <c r="B22217" i="1"/>
  <c r="A22217" i="1"/>
  <c r="F22216" i="1"/>
  <c r="E22216" i="1"/>
  <c r="D22216" i="1"/>
  <c r="C22216" i="1"/>
  <c r="B22216" i="1"/>
  <c r="A22216" i="1"/>
  <c r="F22215" i="1"/>
  <c r="E22215" i="1"/>
  <c r="D22215" i="1"/>
  <c r="C22215" i="1"/>
  <c r="B22215" i="1"/>
  <c r="A22215" i="1"/>
  <c r="F22214" i="1"/>
  <c r="E22214" i="1"/>
  <c r="D22214" i="1"/>
  <c r="C22214" i="1"/>
  <c r="B22214" i="1"/>
  <c r="A22214" i="1"/>
  <c r="F22213" i="1"/>
  <c r="E22213" i="1"/>
  <c r="D22213" i="1"/>
  <c r="C22213" i="1"/>
  <c r="B22213" i="1"/>
  <c r="A22213" i="1"/>
  <c r="F22212" i="1"/>
  <c r="E22212" i="1"/>
  <c r="D22212" i="1"/>
  <c r="C22212" i="1"/>
  <c r="B22212" i="1"/>
  <c r="A22212" i="1"/>
  <c r="F22211" i="1"/>
  <c r="E22211" i="1"/>
  <c r="D22211" i="1"/>
  <c r="C22211" i="1"/>
  <c r="B22211" i="1"/>
  <c r="A22211" i="1"/>
  <c r="F22210" i="1"/>
  <c r="E22210" i="1"/>
  <c r="D22210" i="1"/>
  <c r="C22210" i="1"/>
  <c r="B22210" i="1"/>
  <c r="A22210" i="1"/>
  <c r="F22209" i="1"/>
  <c r="E22209" i="1"/>
  <c r="D22209" i="1"/>
  <c r="C22209" i="1"/>
  <c r="B22209" i="1"/>
  <c r="A22209" i="1"/>
  <c r="F22208" i="1"/>
  <c r="E22208" i="1"/>
  <c r="D22208" i="1"/>
  <c r="C22208" i="1"/>
  <c r="B22208" i="1"/>
  <c r="A22208" i="1"/>
  <c r="F22207" i="1"/>
  <c r="E22207" i="1"/>
  <c r="D22207" i="1"/>
  <c r="C22207" i="1"/>
  <c r="B22207" i="1"/>
  <c r="A22207" i="1"/>
  <c r="F22206" i="1"/>
  <c r="E22206" i="1"/>
  <c r="D22206" i="1"/>
  <c r="C22206" i="1"/>
  <c r="B22206" i="1"/>
  <c r="A22206" i="1"/>
  <c r="F22205" i="1"/>
  <c r="E22205" i="1"/>
  <c r="D22205" i="1"/>
  <c r="C22205" i="1"/>
  <c r="B22205" i="1"/>
  <c r="A22205" i="1"/>
  <c r="F22204" i="1"/>
  <c r="E22204" i="1"/>
  <c r="D22204" i="1"/>
  <c r="C22204" i="1"/>
  <c r="B22204" i="1"/>
  <c r="A22204" i="1"/>
  <c r="F22203" i="1"/>
  <c r="E22203" i="1"/>
  <c r="D22203" i="1"/>
  <c r="C22203" i="1"/>
  <c r="B22203" i="1"/>
  <c r="A22203" i="1"/>
  <c r="F22202" i="1"/>
  <c r="E22202" i="1"/>
  <c r="D22202" i="1"/>
  <c r="C22202" i="1"/>
  <c r="B22202" i="1"/>
  <c r="A22202" i="1"/>
  <c r="F22201" i="1"/>
  <c r="E22201" i="1"/>
  <c r="D22201" i="1"/>
  <c r="C22201" i="1"/>
  <c r="B22201" i="1"/>
  <c r="A22201" i="1"/>
  <c r="F22200" i="1"/>
  <c r="E22200" i="1"/>
  <c r="D22200" i="1"/>
  <c r="C22200" i="1"/>
  <c r="B22200" i="1"/>
  <c r="A22200" i="1"/>
  <c r="F22199" i="1"/>
  <c r="E22199" i="1"/>
  <c r="D22199" i="1"/>
  <c r="C22199" i="1"/>
  <c r="B22199" i="1"/>
  <c r="A22199" i="1"/>
  <c r="F22198" i="1"/>
  <c r="E22198" i="1"/>
  <c r="D22198" i="1"/>
  <c r="C22198" i="1"/>
  <c r="B22198" i="1"/>
  <c r="A22198" i="1"/>
  <c r="F22197" i="1"/>
  <c r="E22197" i="1"/>
  <c r="D22197" i="1"/>
  <c r="C22197" i="1"/>
  <c r="B22197" i="1"/>
  <c r="A22197" i="1"/>
  <c r="F22196" i="1"/>
  <c r="E22196" i="1"/>
  <c r="D22196" i="1"/>
  <c r="C22196" i="1"/>
  <c r="B22196" i="1"/>
  <c r="A22196" i="1"/>
  <c r="F22195" i="1"/>
  <c r="E22195" i="1"/>
  <c r="D22195" i="1"/>
  <c r="C22195" i="1"/>
  <c r="B22195" i="1"/>
  <c r="A22195" i="1"/>
  <c r="F22194" i="1"/>
  <c r="E22194" i="1"/>
  <c r="D22194" i="1"/>
  <c r="C22194" i="1"/>
  <c r="B22194" i="1"/>
  <c r="A22194" i="1"/>
  <c r="F22193" i="1"/>
  <c r="E22193" i="1"/>
  <c r="D22193" i="1"/>
  <c r="C22193" i="1"/>
  <c r="B22193" i="1"/>
  <c r="A22193" i="1"/>
  <c r="F22192" i="1"/>
  <c r="E22192" i="1"/>
  <c r="D22192" i="1"/>
  <c r="C22192" i="1"/>
  <c r="B22192" i="1"/>
  <c r="A22192" i="1"/>
  <c r="F22191" i="1"/>
  <c r="E22191" i="1"/>
  <c r="D22191" i="1"/>
  <c r="C22191" i="1"/>
  <c r="B22191" i="1"/>
  <c r="A22191" i="1"/>
  <c r="F22190" i="1"/>
  <c r="E22190" i="1"/>
  <c r="D22190" i="1"/>
  <c r="C22190" i="1"/>
  <c r="B22190" i="1"/>
  <c r="A22190" i="1"/>
  <c r="F22189" i="1"/>
  <c r="E22189" i="1"/>
  <c r="D22189" i="1"/>
  <c r="C22189" i="1"/>
  <c r="B22189" i="1"/>
  <c r="A22189" i="1"/>
  <c r="F22188" i="1"/>
  <c r="E22188" i="1"/>
  <c r="D22188" i="1"/>
  <c r="C22188" i="1"/>
  <c r="B22188" i="1"/>
  <c r="A22188" i="1"/>
  <c r="F22187" i="1"/>
  <c r="E22187" i="1"/>
  <c r="D22187" i="1"/>
  <c r="C22187" i="1"/>
  <c r="B22187" i="1"/>
  <c r="A22187" i="1"/>
  <c r="F22186" i="1"/>
  <c r="E22186" i="1"/>
  <c r="D22186" i="1"/>
  <c r="C22186" i="1"/>
  <c r="B22186" i="1"/>
  <c r="A22186" i="1"/>
  <c r="F22185" i="1"/>
  <c r="E22185" i="1"/>
  <c r="D22185" i="1"/>
  <c r="C22185" i="1"/>
  <c r="B22185" i="1"/>
  <c r="A22185" i="1"/>
  <c r="F22184" i="1"/>
  <c r="E22184" i="1"/>
  <c r="D22184" i="1"/>
  <c r="C22184" i="1"/>
  <c r="B22184" i="1"/>
  <c r="A22184" i="1"/>
  <c r="F22183" i="1"/>
  <c r="E22183" i="1"/>
  <c r="D22183" i="1"/>
  <c r="C22183" i="1"/>
  <c r="B22183" i="1"/>
  <c r="A22183" i="1"/>
  <c r="F22182" i="1"/>
  <c r="E22182" i="1"/>
  <c r="D22182" i="1"/>
  <c r="C22182" i="1"/>
  <c r="B22182" i="1"/>
  <c r="A22182" i="1"/>
  <c r="F22181" i="1"/>
  <c r="E22181" i="1"/>
  <c r="D22181" i="1"/>
  <c r="C22181" i="1"/>
  <c r="B22181" i="1"/>
  <c r="A22181" i="1"/>
  <c r="F22180" i="1"/>
  <c r="E22180" i="1"/>
  <c r="D22180" i="1"/>
  <c r="C22180" i="1"/>
  <c r="B22180" i="1"/>
  <c r="A22180" i="1"/>
  <c r="F22179" i="1"/>
  <c r="E22179" i="1"/>
  <c r="D22179" i="1"/>
  <c r="C22179" i="1"/>
  <c r="B22179" i="1"/>
  <c r="A22179" i="1"/>
  <c r="F22178" i="1"/>
  <c r="E22178" i="1"/>
  <c r="D22178" i="1"/>
  <c r="C22178" i="1"/>
  <c r="B22178" i="1"/>
  <c r="A22178" i="1"/>
  <c r="F22177" i="1"/>
  <c r="E22177" i="1"/>
  <c r="D22177" i="1"/>
  <c r="C22177" i="1"/>
  <c r="B22177" i="1"/>
  <c r="A22177" i="1"/>
  <c r="F22176" i="1"/>
  <c r="E22176" i="1"/>
  <c r="D22176" i="1"/>
  <c r="C22176" i="1"/>
  <c r="B22176" i="1"/>
  <c r="A22176" i="1"/>
  <c r="F22175" i="1"/>
  <c r="E22175" i="1"/>
  <c r="D22175" i="1"/>
  <c r="C22175" i="1"/>
  <c r="B22175" i="1"/>
  <c r="A22175" i="1"/>
  <c r="F22174" i="1"/>
  <c r="E22174" i="1"/>
  <c r="D22174" i="1"/>
  <c r="C22174" i="1"/>
  <c r="B22174" i="1"/>
  <c r="A22174" i="1"/>
  <c r="F22173" i="1"/>
  <c r="E22173" i="1"/>
  <c r="D22173" i="1"/>
  <c r="C22173" i="1"/>
  <c r="B22173" i="1"/>
  <c r="A22173" i="1"/>
  <c r="F22172" i="1"/>
  <c r="E22172" i="1"/>
  <c r="D22172" i="1"/>
  <c r="C22172" i="1"/>
  <c r="B22172" i="1"/>
  <c r="A22172" i="1"/>
  <c r="F22171" i="1"/>
  <c r="E22171" i="1"/>
  <c r="D22171" i="1"/>
  <c r="C22171" i="1"/>
  <c r="B22171" i="1"/>
  <c r="A22171" i="1"/>
  <c r="F22170" i="1"/>
  <c r="E22170" i="1"/>
  <c r="D22170" i="1"/>
  <c r="C22170" i="1"/>
  <c r="B22170" i="1"/>
  <c r="A22170" i="1"/>
  <c r="F22169" i="1"/>
  <c r="E22169" i="1"/>
  <c r="D22169" i="1"/>
  <c r="C22169" i="1"/>
  <c r="B22169" i="1"/>
  <c r="A22169" i="1"/>
  <c r="F22168" i="1"/>
  <c r="E22168" i="1"/>
  <c r="D22168" i="1"/>
  <c r="C22168" i="1"/>
  <c r="B22168" i="1"/>
  <c r="A22168" i="1"/>
  <c r="F22167" i="1"/>
  <c r="E22167" i="1"/>
  <c r="D22167" i="1"/>
  <c r="C22167" i="1"/>
  <c r="B22167" i="1"/>
  <c r="A22167" i="1"/>
  <c r="F22166" i="1"/>
  <c r="E22166" i="1"/>
  <c r="D22166" i="1"/>
  <c r="C22166" i="1"/>
  <c r="B22166" i="1"/>
  <c r="A22166" i="1"/>
  <c r="F22165" i="1"/>
  <c r="E22165" i="1"/>
  <c r="D22165" i="1"/>
  <c r="C22165" i="1"/>
  <c r="B22165" i="1"/>
  <c r="A22165" i="1"/>
  <c r="F22164" i="1"/>
  <c r="E22164" i="1"/>
  <c r="D22164" i="1"/>
  <c r="C22164" i="1"/>
  <c r="B22164" i="1"/>
  <c r="A22164" i="1"/>
  <c r="F22163" i="1"/>
  <c r="E22163" i="1"/>
  <c r="D22163" i="1"/>
  <c r="C22163" i="1"/>
  <c r="B22163" i="1"/>
  <c r="A22163" i="1"/>
  <c r="F22162" i="1"/>
  <c r="E22162" i="1"/>
  <c r="D22162" i="1"/>
  <c r="C22162" i="1"/>
  <c r="B22162" i="1"/>
  <c r="A22162" i="1"/>
  <c r="F22161" i="1"/>
  <c r="E22161" i="1"/>
  <c r="D22161" i="1"/>
  <c r="C22161" i="1"/>
  <c r="B22161" i="1"/>
  <c r="A22161" i="1"/>
  <c r="F22160" i="1"/>
  <c r="E22160" i="1"/>
  <c r="D22160" i="1"/>
  <c r="C22160" i="1"/>
  <c r="B22160" i="1"/>
  <c r="A22160" i="1"/>
  <c r="F22159" i="1"/>
  <c r="E22159" i="1"/>
  <c r="D22159" i="1"/>
  <c r="C22159" i="1"/>
  <c r="B22159" i="1"/>
  <c r="A22159" i="1"/>
  <c r="F22158" i="1"/>
  <c r="E22158" i="1"/>
  <c r="D22158" i="1"/>
  <c r="C22158" i="1"/>
  <c r="B22158" i="1"/>
  <c r="A22158" i="1"/>
  <c r="F22157" i="1"/>
  <c r="E22157" i="1"/>
  <c r="D22157" i="1"/>
  <c r="C22157" i="1"/>
  <c r="B22157" i="1"/>
  <c r="A22157" i="1"/>
  <c r="F22156" i="1"/>
  <c r="E22156" i="1"/>
  <c r="D22156" i="1"/>
  <c r="C22156" i="1"/>
  <c r="B22156" i="1"/>
  <c r="A22156" i="1"/>
  <c r="F22155" i="1"/>
  <c r="E22155" i="1"/>
  <c r="D22155" i="1"/>
  <c r="C22155" i="1"/>
  <c r="B22155" i="1"/>
  <c r="A22155" i="1"/>
  <c r="F22154" i="1"/>
  <c r="E22154" i="1"/>
  <c r="D22154" i="1"/>
  <c r="C22154" i="1"/>
  <c r="B22154" i="1"/>
  <c r="A22154" i="1"/>
  <c r="F22153" i="1"/>
  <c r="E22153" i="1"/>
  <c r="D22153" i="1"/>
  <c r="C22153" i="1"/>
  <c r="B22153" i="1"/>
  <c r="A22153" i="1"/>
  <c r="F22152" i="1"/>
  <c r="E22152" i="1"/>
  <c r="D22152" i="1"/>
  <c r="C22152" i="1"/>
  <c r="B22152" i="1"/>
  <c r="A22152" i="1"/>
  <c r="F22151" i="1"/>
  <c r="E22151" i="1"/>
  <c r="D22151" i="1"/>
  <c r="C22151" i="1"/>
  <c r="B22151" i="1"/>
  <c r="A22151" i="1"/>
  <c r="F22150" i="1"/>
  <c r="E22150" i="1"/>
  <c r="D22150" i="1"/>
  <c r="C22150" i="1"/>
  <c r="B22150" i="1"/>
  <c r="A22150" i="1"/>
  <c r="F22149" i="1"/>
  <c r="E22149" i="1"/>
  <c r="D22149" i="1"/>
  <c r="C22149" i="1"/>
  <c r="B22149" i="1"/>
  <c r="A22149" i="1"/>
  <c r="F22148" i="1"/>
  <c r="E22148" i="1"/>
  <c r="D22148" i="1"/>
  <c r="C22148" i="1"/>
  <c r="B22148" i="1"/>
  <c r="A22148" i="1"/>
  <c r="F22147" i="1"/>
  <c r="E22147" i="1"/>
  <c r="D22147" i="1"/>
  <c r="C22147" i="1"/>
  <c r="B22147" i="1"/>
  <c r="A22147" i="1"/>
  <c r="F22146" i="1"/>
  <c r="E22146" i="1"/>
  <c r="D22146" i="1"/>
  <c r="C22146" i="1"/>
  <c r="B22146" i="1"/>
  <c r="A22146" i="1"/>
  <c r="F22145" i="1"/>
  <c r="E22145" i="1"/>
  <c r="D22145" i="1"/>
  <c r="C22145" i="1"/>
  <c r="B22145" i="1"/>
  <c r="A22145" i="1"/>
  <c r="F22144" i="1"/>
  <c r="E22144" i="1"/>
  <c r="D22144" i="1"/>
  <c r="C22144" i="1"/>
  <c r="B22144" i="1"/>
  <c r="A22144" i="1"/>
  <c r="F22143" i="1"/>
  <c r="E22143" i="1"/>
  <c r="D22143" i="1"/>
  <c r="C22143" i="1"/>
  <c r="B22143" i="1"/>
  <c r="A22143" i="1"/>
  <c r="F22142" i="1"/>
  <c r="E22142" i="1"/>
  <c r="D22142" i="1"/>
  <c r="C22142" i="1"/>
  <c r="B22142" i="1"/>
  <c r="A22142" i="1"/>
  <c r="F22141" i="1"/>
  <c r="E22141" i="1"/>
  <c r="D22141" i="1"/>
  <c r="C22141" i="1"/>
  <c r="B22141" i="1"/>
  <c r="A22141" i="1"/>
  <c r="F22140" i="1"/>
  <c r="E22140" i="1"/>
  <c r="D22140" i="1"/>
  <c r="C22140" i="1"/>
  <c r="B22140" i="1"/>
  <c r="A22140" i="1"/>
  <c r="F22139" i="1"/>
  <c r="E22139" i="1"/>
  <c r="D22139" i="1"/>
  <c r="C22139" i="1"/>
  <c r="B22139" i="1"/>
  <c r="A22139" i="1"/>
  <c r="F22138" i="1"/>
  <c r="E22138" i="1"/>
  <c r="D22138" i="1"/>
  <c r="C22138" i="1"/>
  <c r="B22138" i="1"/>
  <c r="A22138" i="1"/>
  <c r="F22137" i="1"/>
  <c r="E22137" i="1"/>
  <c r="D22137" i="1"/>
  <c r="C22137" i="1"/>
  <c r="B22137" i="1"/>
  <c r="A22137" i="1"/>
  <c r="F22136" i="1"/>
  <c r="E22136" i="1"/>
  <c r="D22136" i="1"/>
  <c r="C22136" i="1"/>
  <c r="B22136" i="1"/>
  <c r="A22136" i="1"/>
  <c r="F22135" i="1"/>
  <c r="E22135" i="1"/>
  <c r="D22135" i="1"/>
  <c r="C22135" i="1"/>
  <c r="B22135" i="1"/>
  <c r="A22135" i="1"/>
  <c r="F22134" i="1"/>
  <c r="E22134" i="1"/>
  <c r="D22134" i="1"/>
  <c r="C22134" i="1"/>
  <c r="B22134" i="1"/>
  <c r="A22134" i="1"/>
  <c r="F22133" i="1"/>
  <c r="E22133" i="1"/>
  <c r="D22133" i="1"/>
  <c r="C22133" i="1"/>
  <c r="B22133" i="1"/>
  <c r="A22133" i="1"/>
  <c r="F22132" i="1"/>
  <c r="E22132" i="1"/>
  <c r="D22132" i="1"/>
  <c r="C22132" i="1"/>
  <c r="B22132" i="1"/>
  <c r="A22132" i="1"/>
  <c r="F22131" i="1"/>
  <c r="E22131" i="1"/>
  <c r="D22131" i="1"/>
  <c r="C22131" i="1"/>
  <c r="B22131" i="1"/>
  <c r="A22131" i="1"/>
  <c r="F22130" i="1"/>
  <c r="E22130" i="1"/>
  <c r="D22130" i="1"/>
  <c r="C22130" i="1"/>
  <c r="B22130" i="1"/>
  <c r="A22130" i="1"/>
  <c r="F22129" i="1"/>
  <c r="E22129" i="1"/>
  <c r="D22129" i="1"/>
  <c r="C22129" i="1"/>
  <c r="B22129" i="1"/>
  <c r="A22129" i="1"/>
  <c r="F22128" i="1"/>
  <c r="E22128" i="1"/>
  <c r="D22128" i="1"/>
  <c r="C22128" i="1"/>
  <c r="B22128" i="1"/>
  <c r="A22128" i="1"/>
  <c r="F22127" i="1"/>
  <c r="E22127" i="1"/>
  <c r="D22127" i="1"/>
  <c r="C22127" i="1"/>
  <c r="B22127" i="1"/>
  <c r="A22127" i="1"/>
  <c r="F22126" i="1"/>
  <c r="E22126" i="1"/>
  <c r="D22126" i="1"/>
  <c r="C22126" i="1"/>
  <c r="B22126" i="1"/>
  <c r="A22126" i="1"/>
  <c r="F22125" i="1"/>
  <c r="E22125" i="1"/>
  <c r="D22125" i="1"/>
  <c r="C22125" i="1"/>
  <c r="B22125" i="1"/>
  <c r="A22125" i="1"/>
  <c r="F22124" i="1"/>
  <c r="E22124" i="1"/>
  <c r="D22124" i="1"/>
  <c r="C22124" i="1"/>
  <c r="B22124" i="1"/>
  <c r="A22124" i="1"/>
  <c r="F22123" i="1"/>
  <c r="E22123" i="1"/>
  <c r="D22123" i="1"/>
  <c r="C22123" i="1"/>
  <c r="B22123" i="1"/>
  <c r="A22123" i="1"/>
  <c r="F22122" i="1"/>
  <c r="E22122" i="1"/>
  <c r="D22122" i="1"/>
  <c r="C22122" i="1"/>
  <c r="B22122" i="1"/>
  <c r="A22122" i="1"/>
  <c r="F22121" i="1"/>
  <c r="E22121" i="1"/>
  <c r="D22121" i="1"/>
  <c r="C22121" i="1"/>
  <c r="B22121" i="1"/>
  <c r="A22121" i="1"/>
  <c r="F22120" i="1"/>
  <c r="E22120" i="1"/>
  <c r="D22120" i="1"/>
  <c r="C22120" i="1"/>
  <c r="B22120" i="1"/>
  <c r="A22120" i="1"/>
  <c r="F22119" i="1"/>
  <c r="E22119" i="1"/>
  <c r="D22119" i="1"/>
  <c r="C22119" i="1"/>
  <c r="B22119" i="1"/>
  <c r="A22119" i="1"/>
  <c r="F22118" i="1"/>
  <c r="E22118" i="1"/>
  <c r="D22118" i="1"/>
  <c r="C22118" i="1"/>
  <c r="B22118" i="1"/>
  <c r="A22118" i="1"/>
  <c r="F22117" i="1"/>
  <c r="E22117" i="1"/>
  <c r="D22117" i="1"/>
  <c r="C22117" i="1"/>
  <c r="B22117" i="1"/>
  <c r="A22117" i="1"/>
  <c r="F22116" i="1"/>
  <c r="E22116" i="1"/>
  <c r="D22116" i="1"/>
  <c r="C22116" i="1"/>
  <c r="B22116" i="1"/>
  <c r="A22116" i="1"/>
  <c r="F22115" i="1"/>
  <c r="E22115" i="1"/>
  <c r="D22115" i="1"/>
  <c r="C22115" i="1"/>
  <c r="B22115" i="1"/>
  <c r="A22115" i="1"/>
  <c r="F22114" i="1"/>
  <c r="E22114" i="1"/>
  <c r="D22114" i="1"/>
  <c r="C22114" i="1"/>
  <c r="B22114" i="1"/>
  <c r="A22114" i="1"/>
  <c r="F22113" i="1"/>
  <c r="E22113" i="1"/>
  <c r="D22113" i="1"/>
  <c r="C22113" i="1"/>
  <c r="B22113" i="1"/>
  <c r="A22113" i="1"/>
  <c r="F22112" i="1"/>
  <c r="E22112" i="1"/>
  <c r="D22112" i="1"/>
  <c r="C22112" i="1"/>
  <c r="B22112" i="1"/>
  <c r="A22112" i="1"/>
  <c r="F22111" i="1"/>
  <c r="E22111" i="1"/>
  <c r="D22111" i="1"/>
  <c r="C22111" i="1"/>
  <c r="B22111" i="1"/>
  <c r="A22111" i="1"/>
  <c r="F22110" i="1"/>
  <c r="E22110" i="1"/>
  <c r="D22110" i="1"/>
  <c r="C22110" i="1"/>
  <c r="B22110" i="1"/>
  <c r="A22110" i="1"/>
  <c r="F22109" i="1"/>
  <c r="E22109" i="1"/>
  <c r="D22109" i="1"/>
  <c r="C22109" i="1"/>
  <c r="B22109" i="1"/>
  <c r="A22109" i="1"/>
  <c r="F22108" i="1"/>
  <c r="E22108" i="1"/>
  <c r="D22108" i="1"/>
  <c r="C22108" i="1"/>
  <c r="B22108" i="1"/>
  <c r="A22108" i="1"/>
  <c r="F22107" i="1"/>
  <c r="E22107" i="1"/>
  <c r="D22107" i="1"/>
  <c r="C22107" i="1"/>
  <c r="B22107" i="1"/>
  <c r="A22107" i="1"/>
  <c r="F22106" i="1"/>
  <c r="E22106" i="1"/>
  <c r="D22106" i="1"/>
  <c r="C22106" i="1"/>
  <c r="B22106" i="1"/>
  <c r="A22106" i="1"/>
  <c r="F22105" i="1"/>
  <c r="E22105" i="1"/>
  <c r="D22105" i="1"/>
  <c r="C22105" i="1"/>
  <c r="B22105" i="1"/>
  <c r="A22105" i="1"/>
  <c r="F22104" i="1"/>
  <c r="E22104" i="1"/>
  <c r="D22104" i="1"/>
  <c r="C22104" i="1"/>
  <c r="B22104" i="1"/>
  <c r="A22104" i="1"/>
  <c r="F22103" i="1"/>
  <c r="E22103" i="1"/>
  <c r="D22103" i="1"/>
  <c r="C22103" i="1"/>
  <c r="B22103" i="1"/>
  <c r="A22103" i="1"/>
  <c r="F22102" i="1"/>
  <c r="E22102" i="1"/>
  <c r="D22102" i="1"/>
  <c r="C22102" i="1"/>
  <c r="B22102" i="1"/>
  <c r="A22102" i="1"/>
  <c r="F22101" i="1"/>
  <c r="E22101" i="1"/>
  <c r="D22101" i="1"/>
  <c r="C22101" i="1"/>
  <c r="B22101" i="1"/>
  <c r="A22101" i="1"/>
  <c r="F22100" i="1"/>
  <c r="E22100" i="1"/>
  <c r="D22100" i="1"/>
  <c r="C22100" i="1"/>
  <c r="B22100" i="1"/>
  <c r="A22100" i="1"/>
  <c r="F22099" i="1"/>
  <c r="E22099" i="1"/>
  <c r="D22099" i="1"/>
  <c r="C22099" i="1"/>
  <c r="B22099" i="1"/>
  <c r="A22099" i="1"/>
  <c r="F22098" i="1"/>
  <c r="E22098" i="1"/>
  <c r="D22098" i="1"/>
  <c r="C22098" i="1"/>
  <c r="B22098" i="1"/>
  <c r="A22098" i="1"/>
  <c r="F22097" i="1"/>
  <c r="E22097" i="1"/>
  <c r="D22097" i="1"/>
  <c r="C22097" i="1"/>
  <c r="B22097" i="1"/>
  <c r="A22097" i="1"/>
  <c r="F22096" i="1"/>
  <c r="E22096" i="1"/>
  <c r="D22096" i="1"/>
  <c r="C22096" i="1"/>
  <c r="B22096" i="1"/>
  <c r="A22096" i="1"/>
  <c r="F22095" i="1"/>
  <c r="E22095" i="1"/>
  <c r="D22095" i="1"/>
  <c r="C22095" i="1"/>
  <c r="B22095" i="1"/>
  <c r="A22095" i="1"/>
  <c r="F22094" i="1"/>
  <c r="E22094" i="1"/>
  <c r="D22094" i="1"/>
  <c r="C22094" i="1"/>
  <c r="B22094" i="1"/>
  <c r="A22094" i="1"/>
  <c r="F22093" i="1"/>
  <c r="E22093" i="1"/>
  <c r="D22093" i="1"/>
  <c r="C22093" i="1"/>
  <c r="B22093" i="1"/>
  <c r="A22093" i="1"/>
  <c r="F22092" i="1"/>
  <c r="E22092" i="1"/>
  <c r="D22092" i="1"/>
  <c r="C22092" i="1"/>
  <c r="B22092" i="1"/>
  <c r="A22092" i="1"/>
  <c r="F22091" i="1"/>
  <c r="E22091" i="1"/>
  <c r="D22091" i="1"/>
  <c r="C22091" i="1"/>
  <c r="B22091" i="1"/>
  <c r="A22091" i="1"/>
  <c r="F22090" i="1"/>
  <c r="E22090" i="1"/>
  <c r="D22090" i="1"/>
  <c r="C22090" i="1"/>
  <c r="B22090" i="1"/>
  <c r="A22090" i="1"/>
  <c r="F22089" i="1"/>
  <c r="E22089" i="1"/>
  <c r="D22089" i="1"/>
  <c r="C22089" i="1"/>
  <c r="B22089" i="1"/>
  <c r="A22089" i="1"/>
  <c r="F22088" i="1"/>
  <c r="E22088" i="1"/>
  <c r="D22088" i="1"/>
  <c r="C22088" i="1"/>
  <c r="B22088" i="1"/>
  <c r="A22088" i="1"/>
  <c r="F22087" i="1"/>
  <c r="E22087" i="1"/>
  <c r="D22087" i="1"/>
  <c r="C22087" i="1"/>
  <c r="B22087" i="1"/>
  <c r="A22087" i="1"/>
  <c r="F22086" i="1"/>
  <c r="E22086" i="1"/>
  <c r="D22086" i="1"/>
  <c r="C22086" i="1"/>
  <c r="B22086" i="1"/>
  <c r="A22086" i="1"/>
  <c r="F22085" i="1"/>
  <c r="E22085" i="1"/>
  <c r="D22085" i="1"/>
  <c r="C22085" i="1"/>
  <c r="B22085" i="1"/>
  <c r="A22085" i="1"/>
  <c r="F22084" i="1"/>
  <c r="E22084" i="1"/>
  <c r="D22084" i="1"/>
  <c r="C22084" i="1"/>
  <c r="B22084" i="1"/>
  <c r="A22084" i="1"/>
  <c r="F22083" i="1"/>
  <c r="E22083" i="1"/>
  <c r="D22083" i="1"/>
  <c r="C22083" i="1"/>
  <c r="B22083" i="1"/>
  <c r="A22083" i="1"/>
  <c r="F22082" i="1"/>
  <c r="E22082" i="1"/>
  <c r="D22082" i="1"/>
  <c r="C22082" i="1"/>
  <c r="B22082" i="1"/>
  <c r="A22082" i="1"/>
  <c r="F22081" i="1"/>
  <c r="E22081" i="1"/>
  <c r="D22081" i="1"/>
  <c r="C22081" i="1"/>
  <c r="B22081" i="1"/>
  <c r="A22081" i="1"/>
  <c r="F22080" i="1"/>
  <c r="E22080" i="1"/>
  <c r="D22080" i="1"/>
  <c r="C22080" i="1"/>
  <c r="B22080" i="1"/>
  <c r="A22080" i="1"/>
  <c r="F22079" i="1"/>
  <c r="E22079" i="1"/>
  <c r="D22079" i="1"/>
  <c r="C22079" i="1"/>
  <c r="B22079" i="1"/>
  <c r="A22079" i="1"/>
  <c r="F22078" i="1"/>
  <c r="E22078" i="1"/>
  <c r="D22078" i="1"/>
  <c r="C22078" i="1"/>
  <c r="B22078" i="1"/>
  <c r="A22078" i="1"/>
  <c r="F22077" i="1"/>
  <c r="E22077" i="1"/>
  <c r="D22077" i="1"/>
  <c r="C22077" i="1"/>
  <c r="B22077" i="1"/>
  <c r="A22077" i="1"/>
  <c r="F22076" i="1"/>
  <c r="E22076" i="1"/>
  <c r="D22076" i="1"/>
  <c r="C22076" i="1"/>
  <c r="B22076" i="1"/>
  <c r="A22076" i="1"/>
  <c r="F22075" i="1"/>
  <c r="E22075" i="1"/>
  <c r="D22075" i="1"/>
  <c r="C22075" i="1"/>
  <c r="B22075" i="1"/>
  <c r="A22075" i="1"/>
  <c r="F22074" i="1"/>
  <c r="E22074" i="1"/>
  <c r="D22074" i="1"/>
  <c r="C22074" i="1"/>
  <c r="B22074" i="1"/>
  <c r="A22074" i="1"/>
  <c r="F22073" i="1"/>
  <c r="E22073" i="1"/>
  <c r="D22073" i="1"/>
  <c r="C22073" i="1"/>
  <c r="B22073" i="1"/>
  <c r="A22073" i="1"/>
  <c r="F22072" i="1"/>
  <c r="E22072" i="1"/>
  <c r="D22072" i="1"/>
  <c r="C22072" i="1"/>
  <c r="B22072" i="1"/>
  <c r="A22072" i="1"/>
  <c r="F22071" i="1"/>
  <c r="E22071" i="1"/>
  <c r="D22071" i="1"/>
  <c r="C22071" i="1"/>
  <c r="B22071" i="1"/>
  <c r="A22071" i="1"/>
  <c r="F22070" i="1"/>
  <c r="E22070" i="1"/>
  <c r="D22070" i="1"/>
  <c r="C22070" i="1"/>
  <c r="B22070" i="1"/>
  <c r="A22070" i="1"/>
  <c r="F22069" i="1"/>
  <c r="E22069" i="1"/>
  <c r="D22069" i="1"/>
  <c r="C22069" i="1"/>
  <c r="B22069" i="1"/>
  <c r="A22069" i="1"/>
  <c r="F22068" i="1"/>
  <c r="E22068" i="1"/>
  <c r="D22068" i="1"/>
  <c r="C22068" i="1"/>
  <c r="B22068" i="1"/>
  <c r="A22068" i="1"/>
  <c r="F22067" i="1"/>
  <c r="E22067" i="1"/>
  <c r="D22067" i="1"/>
  <c r="C22067" i="1"/>
  <c r="B22067" i="1"/>
  <c r="A22067" i="1"/>
  <c r="F22066" i="1"/>
  <c r="E22066" i="1"/>
  <c r="D22066" i="1"/>
  <c r="C22066" i="1"/>
  <c r="B22066" i="1"/>
  <c r="A22066" i="1"/>
  <c r="F22065" i="1"/>
  <c r="E22065" i="1"/>
  <c r="D22065" i="1"/>
  <c r="C22065" i="1"/>
  <c r="B22065" i="1"/>
  <c r="A22065" i="1"/>
  <c r="F22064" i="1"/>
  <c r="E22064" i="1"/>
  <c r="D22064" i="1"/>
  <c r="C22064" i="1"/>
  <c r="B22064" i="1"/>
  <c r="A22064" i="1"/>
  <c r="F22063" i="1"/>
  <c r="E22063" i="1"/>
  <c r="D22063" i="1"/>
  <c r="C22063" i="1"/>
  <c r="B22063" i="1"/>
  <c r="A22063" i="1"/>
  <c r="F22062" i="1"/>
  <c r="E22062" i="1"/>
  <c r="D22062" i="1"/>
  <c r="C22062" i="1"/>
  <c r="B22062" i="1"/>
  <c r="A22062" i="1"/>
  <c r="F22061" i="1"/>
  <c r="E22061" i="1"/>
  <c r="D22061" i="1"/>
  <c r="C22061" i="1"/>
  <c r="B22061" i="1"/>
  <c r="A22061" i="1"/>
  <c r="F22060" i="1"/>
  <c r="E22060" i="1"/>
  <c r="D22060" i="1"/>
  <c r="C22060" i="1"/>
  <c r="B22060" i="1"/>
  <c r="A22060" i="1"/>
  <c r="F22059" i="1"/>
  <c r="E22059" i="1"/>
  <c r="D22059" i="1"/>
  <c r="C22059" i="1"/>
  <c r="B22059" i="1"/>
  <c r="A22059" i="1"/>
  <c r="F22058" i="1"/>
  <c r="E22058" i="1"/>
  <c r="D22058" i="1"/>
  <c r="C22058" i="1"/>
  <c r="B22058" i="1"/>
  <c r="A22058" i="1"/>
  <c r="F22057" i="1"/>
  <c r="E22057" i="1"/>
  <c r="D22057" i="1"/>
  <c r="C22057" i="1"/>
  <c r="B22057" i="1"/>
  <c r="A22057" i="1"/>
  <c r="F22056" i="1"/>
  <c r="E22056" i="1"/>
  <c r="D22056" i="1"/>
  <c r="C22056" i="1"/>
  <c r="B22056" i="1"/>
  <c r="A22056" i="1"/>
  <c r="F22055" i="1"/>
  <c r="E22055" i="1"/>
  <c r="D22055" i="1"/>
  <c r="C22055" i="1"/>
  <c r="B22055" i="1"/>
  <c r="A22055" i="1"/>
  <c r="F22054" i="1"/>
  <c r="E22054" i="1"/>
  <c r="D22054" i="1"/>
  <c r="C22054" i="1"/>
  <c r="B22054" i="1"/>
  <c r="A22054" i="1"/>
  <c r="F22053" i="1"/>
  <c r="E22053" i="1"/>
  <c r="D22053" i="1"/>
  <c r="C22053" i="1"/>
  <c r="B22053" i="1"/>
  <c r="A22053" i="1"/>
  <c r="F22052" i="1"/>
  <c r="E22052" i="1"/>
  <c r="D22052" i="1"/>
  <c r="C22052" i="1"/>
  <c r="B22052" i="1"/>
  <c r="A22052" i="1"/>
  <c r="F22051" i="1"/>
  <c r="E22051" i="1"/>
  <c r="D22051" i="1"/>
  <c r="C22051" i="1"/>
  <c r="B22051" i="1"/>
  <c r="A22051" i="1"/>
  <c r="F22050" i="1"/>
  <c r="E22050" i="1"/>
  <c r="D22050" i="1"/>
  <c r="C22050" i="1"/>
  <c r="B22050" i="1"/>
  <c r="A22050" i="1"/>
  <c r="F22049" i="1"/>
  <c r="E22049" i="1"/>
  <c r="D22049" i="1"/>
  <c r="C22049" i="1"/>
  <c r="B22049" i="1"/>
  <c r="A22049" i="1"/>
  <c r="F22048" i="1"/>
  <c r="E22048" i="1"/>
  <c r="D22048" i="1"/>
  <c r="C22048" i="1"/>
  <c r="B22048" i="1"/>
  <c r="A22048" i="1"/>
  <c r="F22047" i="1"/>
  <c r="E22047" i="1"/>
  <c r="D22047" i="1"/>
  <c r="C22047" i="1"/>
  <c r="B22047" i="1"/>
  <c r="A22047" i="1"/>
  <c r="F22046" i="1"/>
  <c r="E22046" i="1"/>
  <c r="D22046" i="1"/>
  <c r="C22046" i="1"/>
  <c r="B22046" i="1"/>
  <c r="A22046" i="1"/>
  <c r="F22045" i="1"/>
  <c r="E22045" i="1"/>
  <c r="D22045" i="1"/>
  <c r="C22045" i="1"/>
  <c r="B22045" i="1"/>
  <c r="A22045" i="1"/>
  <c r="F22044" i="1"/>
  <c r="E22044" i="1"/>
  <c r="D22044" i="1"/>
  <c r="C22044" i="1"/>
  <c r="B22044" i="1"/>
  <c r="A22044" i="1"/>
  <c r="F22043" i="1"/>
  <c r="E22043" i="1"/>
  <c r="D22043" i="1"/>
  <c r="C22043" i="1"/>
  <c r="B22043" i="1"/>
  <c r="A22043" i="1"/>
  <c r="F22042" i="1"/>
  <c r="E22042" i="1"/>
  <c r="D22042" i="1"/>
  <c r="C22042" i="1"/>
  <c r="B22042" i="1"/>
  <c r="A22042" i="1"/>
  <c r="F22041" i="1"/>
  <c r="E22041" i="1"/>
  <c r="D22041" i="1"/>
  <c r="C22041" i="1"/>
  <c r="B22041" i="1"/>
  <c r="A22041" i="1"/>
  <c r="F22040" i="1"/>
  <c r="E22040" i="1"/>
  <c r="D22040" i="1"/>
  <c r="C22040" i="1"/>
  <c r="B22040" i="1"/>
  <c r="A22040" i="1"/>
  <c r="F22039" i="1"/>
  <c r="E22039" i="1"/>
  <c r="D22039" i="1"/>
  <c r="C22039" i="1"/>
  <c r="B22039" i="1"/>
  <c r="A22039" i="1"/>
  <c r="F22038" i="1"/>
  <c r="E22038" i="1"/>
  <c r="D22038" i="1"/>
  <c r="C22038" i="1"/>
  <c r="B22038" i="1"/>
  <c r="A22038" i="1"/>
  <c r="F22037" i="1"/>
  <c r="E22037" i="1"/>
  <c r="D22037" i="1"/>
  <c r="C22037" i="1"/>
  <c r="B22037" i="1"/>
  <c r="A22037" i="1"/>
  <c r="F22036" i="1"/>
  <c r="E22036" i="1"/>
  <c r="D22036" i="1"/>
  <c r="C22036" i="1"/>
  <c r="B22036" i="1"/>
  <c r="A22036" i="1"/>
  <c r="F22035" i="1"/>
  <c r="E22035" i="1"/>
  <c r="D22035" i="1"/>
  <c r="C22035" i="1"/>
  <c r="B22035" i="1"/>
  <c r="A22035" i="1"/>
  <c r="F22034" i="1"/>
  <c r="E22034" i="1"/>
  <c r="D22034" i="1"/>
  <c r="C22034" i="1"/>
  <c r="B22034" i="1"/>
  <c r="A22034" i="1"/>
  <c r="F22033" i="1"/>
  <c r="E22033" i="1"/>
  <c r="D22033" i="1"/>
  <c r="C22033" i="1"/>
  <c r="B22033" i="1"/>
  <c r="A22033" i="1"/>
  <c r="F22032" i="1"/>
  <c r="E22032" i="1"/>
  <c r="D22032" i="1"/>
  <c r="C22032" i="1"/>
  <c r="B22032" i="1"/>
  <c r="A22032" i="1"/>
  <c r="F22031" i="1"/>
  <c r="E22031" i="1"/>
  <c r="D22031" i="1"/>
  <c r="C22031" i="1"/>
  <c r="B22031" i="1"/>
  <c r="A22031" i="1"/>
  <c r="F22030" i="1"/>
  <c r="E22030" i="1"/>
  <c r="D22030" i="1"/>
  <c r="C22030" i="1"/>
  <c r="B22030" i="1"/>
  <c r="A22030" i="1"/>
  <c r="F22029" i="1"/>
  <c r="E22029" i="1"/>
  <c r="D22029" i="1"/>
  <c r="C22029" i="1"/>
  <c r="B22029" i="1"/>
  <c r="A22029" i="1"/>
  <c r="F22028" i="1"/>
  <c r="E22028" i="1"/>
  <c r="D22028" i="1"/>
  <c r="C22028" i="1"/>
  <c r="B22028" i="1"/>
  <c r="A22028" i="1"/>
  <c r="F22027" i="1"/>
  <c r="E22027" i="1"/>
  <c r="D22027" i="1"/>
  <c r="C22027" i="1"/>
  <c r="B22027" i="1"/>
  <c r="A22027" i="1"/>
  <c r="F22026" i="1"/>
  <c r="E22026" i="1"/>
  <c r="D22026" i="1"/>
  <c r="C22026" i="1"/>
  <c r="B22026" i="1"/>
  <c r="A22026" i="1"/>
  <c r="F22025" i="1"/>
  <c r="E22025" i="1"/>
  <c r="D22025" i="1"/>
  <c r="C22025" i="1"/>
  <c r="B22025" i="1"/>
  <c r="A22025" i="1"/>
  <c r="F22024" i="1"/>
  <c r="E22024" i="1"/>
  <c r="D22024" i="1"/>
  <c r="C22024" i="1"/>
  <c r="B22024" i="1"/>
  <c r="A22024" i="1"/>
  <c r="F22023" i="1"/>
  <c r="E22023" i="1"/>
  <c r="D22023" i="1"/>
  <c r="C22023" i="1"/>
  <c r="B22023" i="1"/>
  <c r="A22023" i="1"/>
  <c r="F22022" i="1"/>
  <c r="E22022" i="1"/>
  <c r="D22022" i="1"/>
  <c r="C22022" i="1"/>
  <c r="B22022" i="1"/>
  <c r="A22022" i="1"/>
  <c r="F22021" i="1"/>
  <c r="E22021" i="1"/>
  <c r="D22021" i="1"/>
  <c r="C22021" i="1"/>
  <c r="B22021" i="1"/>
  <c r="A22021" i="1"/>
  <c r="F22020" i="1"/>
  <c r="E22020" i="1"/>
  <c r="D22020" i="1"/>
  <c r="C22020" i="1"/>
  <c r="B22020" i="1"/>
  <c r="A22020" i="1"/>
  <c r="F22019" i="1"/>
  <c r="E22019" i="1"/>
  <c r="D22019" i="1"/>
  <c r="C22019" i="1"/>
  <c r="B22019" i="1"/>
  <c r="A22019" i="1"/>
  <c r="F22018" i="1"/>
  <c r="E22018" i="1"/>
  <c r="D22018" i="1"/>
  <c r="C22018" i="1"/>
  <c r="B22018" i="1"/>
  <c r="A22018" i="1"/>
  <c r="F22017" i="1"/>
  <c r="E22017" i="1"/>
  <c r="D22017" i="1"/>
  <c r="C22017" i="1"/>
  <c r="B22017" i="1"/>
  <c r="A22017" i="1"/>
  <c r="F22016" i="1"/>
  <c r="E22016" i="1"/>
  <c r="D22016" i="1"/>
  <c r="C22016" i="1"/>
  <c r="B22016" i="1"/>
  <c r="A22016" i="1"/>
  <c r="F22015" i="1"/>
  <c r="E22015" i="1"/>
  <c r="D22015" i="1"/>
  <c r="C22015" i="1"/>
  <c r="B22015" i="1"/>
  <c r="A22015" i="1"/>
  <c r="F22014" i="1"/>
  <c r="E22014" i="1"/>
  <c r="D22014" i="1"/>
  <c r="C22014" i="1"/>
  <c r="B22014" i="1"/>
  <c r="A22014" i="1"/>
  <c r="F22013" i="1"/>
  <c r="E22013" i="1"/>
  <c r="D22013" i="1"/>
  <c r="C22013" i="1"/>
  <c r="B22013" i="1"/>
  <c r="A22013" i="1"/>
  <c r="F22012" i="1"/>
  <c r="E22012" i="1"/>
  <c r="D22012" i="1"/>
  <c r="C22012" i="1"/>
  <c r="B22012" i="1"/>
  <c r="A22012" i="1"/>
  <c r="F22011" i="1"/>
  <c r="E22011" i="1"/>
  <c r="D22011" i="1"/>
  <c r="C22011" i="1"/>
  <c r="B22011" i="1"/>
  <c r="A22011" i="1"/>
  <c r="F22010" i="1"/>
  <c r="E22010" i="1"/>
  <c r="D22010" i="1"/>
  <c r="C22010" i="1"/>
  <c r="B22010" i="1"/>
  <c r="A22010" i="1"/>
  <c r="F22009" i="1"/>
  <c r="E22009" i="1"/>
  <c r="D22009" i="1"/>
  <c r="C22009" i="1"/>
  <c r="B22009" i="1"/>
  <c r="A22009" i="1"/>
  <c r="F22008" i="1"/>
  <c r="E22008" i="1"/>
  <c r="D22008" i="1"/>
  <c r="C22008" i="1"/>
  <c r="B22008" i="1"/>
  <c r="A22008" i="1"/>
  <c r="F22007" i="1"/>
  <c r="E22007" i="1"/>
  <c r="D22007" i="1"/>
  <c r="C22007" i="1"/>
  <c r="B22007" i="1"/>
  <c r="A22007" i="1"/>
  <c r="F22006" i="1"/>
  <c r="E22006" i="1"/>
  <c r="D22006" i="1"/>
  <c r="C22006" i="1"/>
  <c r="B22006" i="1"/>
  <c r="A22006" i="1"/>
  <c r="F22005" i="1"/>
  <c r="E22005" i="1"/>
  <c r="D22005" i="1"/>
  <c r="C22005" i="1"/>
  <c r="B22005" i="1"/>
  <c r="A22005" i="1"/>
  <c r="F22004" i="1"/>
  <c r="E22004" i="1"/>
  <c r="D22004" i="1"/>
  <c r="C22004" i="1"/>
  <c r="B22004" i="1"/>
  <c r="A22004" i="1"/>
  <c r="F22003" i="1"/>
  <c r="E22003" i="1"/>
  <c r="D22003" i="1"/>
  <c r="C22003" i="1"/>
  <c r="B22003" i="1"/>
  <c r="A22003" i="1"/>
  <c r="F22002" i="1"/>
  <c r="E22002" i="1"/>
  <c r="D22002" i="1"/>
  <c r="C22002" i="1"/>
  <c r="B22002" i="1"/>
  <c r="A22002" i="1"/>
  <c r="F22001" i="1"/>
  <c r="E22001" i="1"/>
  <c r="D22001" i="1"/>
  <c r="C22001" i="1"/>
  <c r="B22001" i="1"/>
  <c r="A22001" i="1"/>
  <c r="F22000" i="1"/>
  <c r="E22000" i="1"/>
  <c r="D22000" i="1"/>
  <c r="C22000" i="1"/>
  <c r="B22000" i="1"/>
  <c r="A22000" i="1"/>
  <c r="F21999" i="1"/>
  <c r="E21999" i="1"/>
  <c r="D21999" i="1"/>
  <c r="C21999" i="1"/>
  <c r="B21999" i="1"/>
  <c r="A21999" i="1"/>
  <c r="F21998" i="1"/>
  <c r="E21998" i="1"/>
  <c r="D21998" i="1"/>
  <c r="C21998" i="1"/>
  <c r="B21998" i="1"/>
  <c r="A21998" i="1"/>
  <c r="F21997" i="1"/>
  <c r="E21997" i="1"/>
  <c r="D21997" i="1"/>
  <c r="C21997" i="1"/>
  <c r="B21997" i="1"/>
  <c r="A21997" i="1"/>
  <c r="F21996" i="1"/>
  <c r="E21996" i="1"/>
  <c r="D21996" i="1"/>
  <c r="C21996" i="1"/>
  <c r="B21996" i="1"/>
  <c r="A21996" i="1"/>
  <c r="F21995" i="1"/>
  <c r="E21995" i="1"/>
  <c r="D21995" i="1"/>
  <c r="C21995" i="1"/>
  <c r="B21995" i="1"/>
  <c r="A21995" i="1"/>
  <c r="F21994" i="1"/>
  <c r="E21994" i="1"/>
  <c r="D21994" i="1"/>
  <c r="C21994" i="1"/>
  <c r="B21994" i="1"/>
  <c r="A21994" i="1"/>
  <c r="F21993" i="1"/>
  <c r="E21993" i="1"/>
  <c r="D21993" i="1"/>
  <c r="C21993" i="1"/>
  <c r="B21993" i="1"/>
  <c r="A21993" i="1"/>
  <c r="F21992" i="1"/>
  <c r="E21992" i="1"/>
  <c r="D21992" i="1"/>
  <c r="C21992" i="1"/>
  <c r="B21992" i="1"/>
  <c r="A21992" i="1"/>
  <c r="F21991" i="1"/>
  <c r="E21991" i="1"/>
  <c r="D21991" i="1"/>
  <c r="C21991" i="1"/>
  <c r="B21991" i="1"/>
  <c r="A21991" i="1"/>
  <c r="F21990" i="1"/>
  <c r="E21990" i="1"/>
  <c r="D21990" i="1"/>
  <c r="C21990" i="1"/>
  <c r="B21990" i="1"/>
  <c r="A21990" i="1"/>
  <c r="F21989" i="1"/>
  <c r="E21989" i="1"/>
  <c r="D21989" i="1"/>
  <c r="C21989" i="1"/>
  <c r="B21989" i="1"/>
  <c r="A21989" i="1"/>
  <c r="F21988" i="1"/>
  <c r="E21988" i="1"/>
  <c r="D21988" i="1"/>
  <c r="C21988" i="1"/>
  <c r="B21988" i="1"/>
  <c r="A21988" i="1"/>
  <c r="F21987" i="1"/>
  <c r="E21987" i="1"/>
  <c r="D21987" i="1"/>
  <c r="C21987" i="1"/>
  <c r="B21987" i="1"/>
  <c r="A21987" i="1"/>
  <c r="F21986" i="1"/>
  <c r="E21986" i="1"/>
  <c r="D21986" i="1"/>
  <c r="C21986" i="1"/>
  <c r="B21986" i="1"/>
  <c r="A21986" i="1"/>
  <c r="F21985" i="1"/>
  <c r="E21985" i="1"/>
  <c r="D21985" i="1"/>
  <c r="C21985" i="1"/>
  <c r="B21985" i="1"/>
  <c r="A21985" i="1"/>
  <c r="F21984" i="1"/>
  <c r="E21984" i="1"/>
  <c r="D21984" i="1"/>
  <c r="C21984" i="1"/>
  <c r="B21984" i="1"/>
  <c r="A21984" i="1"/>
  <c r="F21983" i="1"/>
  <c r="E21983" i="1"/>
  <c r="D21983" i="1"/>
  <c r="C21983" i="1"/>
  <c r="B21983" i="1"/>
  <c r="A21983" i="1"/>
  <c r="F21982" i="1"/>
  <c r="E21982" i="1"/>
  <c r="D21982" i="1"/>
  <c r="C21982" i="1"/>
  <c r="B21982" i="1"/>
  <c r="A21982" i="1"/>
  <c r="F21981" i="1"/>
  <c r="E21981" i="1"/>
  <c r="D21981" i="1"/>
  <c r="C21981" i="1"/>
  <c r="B21981" i="1"/>
  <c r="A21981" i="1"/>
  <c r="F21980" i="1"/>
  <c r="E21980" i="1"/>
  <c r="D21980" i="1"/>
  <c r="C21980" i="1"/>
  <c r="B21980" i="1"/>
  <c r="A21980" i="1"/>
  <c r="F21979" i="1"/>
  <c r="E21979" i="1"/>
  <c r="D21979" i="1"/>
  <c r="C21979" i="1"/>
  <c r="B21979" i="1"/>
  <c r="A21979" i="1"/>
  <c r="F21978" i="1"/>
  <c r="E21978" i="1"/>
  <c r="D21978" i="1"/>
  <c r="C21978" i="1"/>
  <c r="B21978" i="1"/>
  <c r="A21978" i="1"/>
  <c r="F21977" i="1"/>
  <c r="E21977" i="1"/>
  <c r="D21977" i="1"/>
  <c r="C21977" i="1"/>
  <c r="B21977" i="1"/>
  <c r="A21977" i="1"/>
  <c r="F21976" i="1"/>
  <c r="E21976" i="1"/>
  <c r="D21976" i="1"/>
  <c r="C21976" i="1"/>
  <c r="B21976" i="1"/>
  <c r="A21976" i="1"/>
  <c r="F21975" i="1"/>
  <c r="E21975" i="1"/>
  <c r="D21975" i="1"/>
  <c r="C21975" i="1"/>
  <c r="B21975" i="1"/>
  <c r="A21975" i="1"/>
  <c r="F21974" i="1"/>
  <c r="E21974" i="1"/>
  <c r="D21974" i="1"/>
  <c r="C21974" i="1"/>
  <c r="B21974" i="1"/>
  <c r="A21974" i="1"/>
  <c r="F21973" i="1"/>
  <c r="E21973" i="1"/>
  <c r="D21973" i="1"/>
  <c r="C21973" i="1"/>
  <c r="B21973" i="1"/>
  <c r="A21973" i="1"/>
  <c r="F21972" i="1"/>
  <c r="E21972" i="1"/>
  <c r="D21972" i="1"/>
  <c r="C21972" i="1"/>
  <c r="B21972" i="1"/>
  <c r="A21972" i="1"/>
  <c r="F21971" i="1"/>
  <c r="E21971" i="1"/>
  <c r="D21971" i="1"/>
  <c r="C21971" i="1"/>
  <c r="B21971" i="1"/>
  <c r="A21971" i="1"/>
  <c r="F21970" i="1"/>
  <c r="E21970" i="1"/>
  <c r="D21970" i="1"/>
  <c r="C21970" i="1"/>
  <c r="B21970" i="1"/>
  <c r="A21970" i="1"/>
  <c r="F21969" i="1"/>
  <c r="E21969" i="1"/>
  <c r="D21969" i="1"/>
  <c r="C21969" i="1"/>
  <c r="B21969" i="1"/>
  <c r="A21969" i="1"/>
  <c r="F21968" i="1"/>
  <c r="E21968" i="1"/>
  <c r="D21968" i="1"/>
  <c r="C21968" i="1"/>
  <c r="B21968" i="1"/>
  <c r="A21968" i="1"/>
  <c r="F21967" i="1"/>
  <c r="E21967" i="1"/>
  <c r="D21967" i="1"/>
  <c r="C21967" i="1"/>
  <c r="B21967" i="1"/>
  <c r="A21967" i="1"/>
  <c r="F21966" i="1"/>
  <c r="E21966" i="1"/>
  <c r="D21966" i="1"/>
  <c r="C21966" i="1"/>
  <c r="B21966" i="1"/>
  <c r="A21966" i="1"/>
  <c r="F21965" i="1"/>
  <c r="E21965" i="1"/>
  <c r="D21965" i="1"/>
  <c r="C21965" i="1"/>
  <c r="B21965" i="1"/>
  <c r="A21965" i="1"/>
  <c r="F21964" i="1"/>
  <c r="E21964" i="1"/>
  <c r="D21964" i="1"/>
  <c r="C21964" i="1"/>
  <c r="B21964" i="1"/>
  <c r="A21964" i="1"/>
  <c r="F21963" i="1"/>
  <c r="E21963" i="1"/>
  <c r="D21963" i="1"/>
  <c r="C21963" i="1"/>
  <c r="B21963" i="1"/>
  <c r="A21963" i="1"/>
  <c r="F21962" i="1"/>
  <c r="E21962" i="1"/>
  <c r="D21962" i="1"/>
  <c r="C21962" i="1"/>
  <c r="B21962" i="1"/>
  <c r="A21962" i="1"/>
  <c r="F21961" i="1"/>
  <c r="E21961" i="1"/>
  <c r="D21961" i="1"/>
  <c r="C21961" i="1"/>
  <c r="B21961" i="1"/>
  <c r="A21961" i="1"/>
  <c r="F21960" i="1"/>
  <c r="E21960" i="1"/>
  <c r="D21960" i="1"/>
  <c r="C21960" i="1"/>
  <c r="B21960" i="1"/>
  <c r="A21960" i="1"/>
  <c r="F21959" i="1"/>
  <c r="E21959" i="1"/>
  <c r="D21959" i="1"/>
  <c r="C21959" i="1"/>
  <c r="B21959" i="1"/>
  <c r="A21959" i="1"/>
  <c r="F21958" i="1"/>
  <c r="E21958" i="1"/>
  <c r="D21958" i="1"/>
  <c r="C21958" i="1"/>
  <c r="B21958" i="1"/>
  <c r="A21958" i="1"/>
  <c r="F21957" i="1"/>
  <c r="E21957" i="1"/>
  <c r="D21957" i="1"/>
  <c r="C21957" i="1"/>
  <c r="B21957" i="1"/>
  <c r="A21957" i="1"/>
  <c r="F21956" i="1"/>
  <c r="E21956" i="1"/>
  <c r="D21956" i="1"/>
  <c r="C21956" i="1"/>
  <c r="B21956" i="1"/>
  <c r="A21956" i="1"/>
  <c r="F21955" i="1"/>
  <c r="E21955" i="1"/>
  <c r="D21955" i="1"/>
  <c r="C21955" i="1"/>
  <c r="B21955" i="1"/>
  <c r="A21955" i="1"/>
  <c r="F21954" i="1"/>
  <c r="E21954" i="1"/>
  <c r="D21954" i="1"/>
  <c r="C21954" i="1"/>
  <c r="B21954" i="1"/>
  <c r="A21954" i="1"/>
  <c r="F21953" i="1"/>
  <c r="E21953" i="1"/>
  <c r="D21953" i="1"/>
  <c r="C21953" i="1"/>
  <c r="B21953" i="1"/>
  <c r="A21953" i="1"/>
  <c r="F21952" i="1"/>
  <c r="E21952" i="1"/>
  <c r="D21952" i="1"/>
  <c r="C21952" i="1"/>
  <c r="B21952" i="1"/>
  <c r="A21952" i="1"/>
  <c r="F21951" i="1"/>
  <c r="E21951" i="1"/>
  <c r="D21951" i="1"/>
  <c r="C21951" i="1"/>
  <c r="B21951" i="1"/>
  <c r="A21951" i="1"/>
  <c r="F21950" i="1"/>
  <c r="E21950" i="1"/>
  <c r="D21950" i="1"/>
  <c r="C21950" i="1"/>
  <c r="B21950" i="1"/>
  <c r="A21950" i="1"/>
  <c r="F21949" i="1"/>
  <c r="E21949" i="1"/>
  <c r="D21949" i="1"/>
  <c r="C21949" i="1"/>
  <c r="B21949" i="1"/>
  <c r="A21949" i="1"/>
  <c r="F21948" i="1"/>
  <c r="E21948" i="1"/>
  <c r="D21948" i="1"/>
  <c r="C21948" i="1"/>
  <c r="B21948" i="1"/>
  <c r="A21948" i="1"/>
  <c r="F21947" i="1"/>
  <c r="E21947" i="1"/>
  <c r="D21947" i="1"/>
  <c r="C21947" i="1"/>
  <c r="B21947" i="1"/>
  <c r="A21947" i="1"/>
  <c r="F21946" i="1"/>
  <c r="E21946" i="1"/>
  <c r="D21946" i="1"/>
  <c r="C21946" i="1"/>
  <c r="B21946" i="1"/>
  <c r="A21946" i="1"/>
  <c r="F21945" i="1"/>
  <c r="E21945" i="1"/>
  <c r="D21945" i="1"/>
  <c r="C21945" i="1"/>
  <c r="B21945" i="1"/>
  <c r="A21945" i="1"/>
  <c r="F21944" i="1"/>
  <c r="E21944" i="1"/>
  <c r="D21944" i="1"/>
  <c r="C21944" i="1"/>
  <c r="B21944" i="1"/>
  <c r="A21944" i="1"/>
  <c r="F21943" i="1"/>
  <c r="E21943" i="1"/>
  <c r="D21943" i="1"/>
  <c r="C21943" i="1"/>
  <c r="B21943" i="1"/>
  <c r="A21943" i="1"/>
  <c r="F21942" i="1"/>
  <c r="E21942" i="1"/>
  <c r="D21942" i="1"/>
  <c r="C21942" i="1"/>
  <c r="B21942" i="1"/>
  <c r="A21942" i="1"/>
  <c r="F21941" i="1"/>
  <c r="E21941" i="1"/>
  <c r="D21941" i="1"/>
  <c r="C21941" i="1"/>
  <c r="B21941" i="1"/>
  <c r="A21941" i="1"/>
  <c r="F21940" i="1"/>
  <c r="E21940" i="1"/>
  <c r="D21940" i="1"/>
  <c r="C21940" i="1"/>
  <c r="B21940" i="1"/>
  <c r="A21940" i="1"/>
  <c r="F21939" i="1"/>
  <c r="E21939" i="1"/>
  <c r="D21939" i="1"/>
  <c r="C21939" i="1"/>
  <c r="B21939" i="1"/>
  <c r="A21939" i="1"/>
  <c r="F21938" i="1"/>
  <c r="E21938" i="1"/>
  <c r="D21938" i="1"/>
  <c r="C21938" i="1"/>
  <c r="B21938" i="1"/>
  <c r="A21938" i="1"/>
  <c r="F21937" i="1"/>
  <c r="E21937" i="1"/>
  <c r="D21937" i="1"/>
  <c r="C21937" i="1"/>
  <c r="B21937" i="1"/>
  <c r="A21937" i="1"/>
  <c r="F21936" i="1"/>
  <c r="E21936" i="1"/>
  <c r="D21936" i="1"/>
  <c r="C21936" i="1"/>
  <c r="B21936" i="1"/>
  <c r="A21936" i="1"/>
  <c r="F21935" i="1"/>
  <c r="E21935" i="1"/>
  <c r="D21935" i="1"/>
  <c r="C21935" i="1"/>
  <c r="B21935" i="1"/>
  <c r="A21935" i="1"/>
  <c r="F21934" i="1"/>
  <c r="E21934" i="1"/>
  <c r="D21934" i="1"/>
  <c r="C21934" i="1"/>
  <c r="B21934" i="1"/>
  <c r="A21934" i="1"/>
  <c r="F21933" i="1"/>
  <c r="E21933" i="1"/>
  <c r="D21933" i="1"/>
  <c r="C21933" i="1"/>
  <c r="B21933" i="1"/>
  <c r="A21933" i="1"/>
  <c r="F21932" i="1"/>
  <c r="E21932" i="1"/>
  <c r="D21932" i="1"/>
  <c r="C21932" i="1"/>
  <c r="B21932" i="1"/>
  <c r="A21932" i="1"/>
  <c r="F21931" i="1"/>
  <c r="E21931" i="1"/>
  <c r="D21931" i="1"/>
  <c r="C21931" i="1"/>
  <c r="B21931" i="1"/>
  <c r="A21931" i="1"/>
  <c r="F21930" i="1"/>
  <c r="E21930" i="1"/>
  <c r="D21930" i="1"/>
  <c r="C21930" i="1"/>
  <c r="B21930" i="1"/>
  <c r="A21930" i="1"/>
  <c r="F21929" i="1"/>
  <c r="E21929" i="1"/>
  <c r="D21929" i="1"/>
  <c r="C21929" i="1"/>
  <c r="B21929" i="1"/>
  <c r="A21929" i="1"/>
  <c r="F21928" i="1"/>
  <c r="E21928" i="1"/>
  <c r="D21928" i="1"/>
  <c r="C21928" i="1"/>
  <c r="B21928" i="1"/>
  <c r="A21928" i="1"/>
  <c r="F21927" i="1"/>
  <c r="E21927" i="1"/>
  <c r="D21927" i="1"/>
  <c r="C21927" i="1"/>
  <c r="B21927" i="1"/>
  <c r="A21927" i="1"/>
  <c r="F21926" i="1"/>
  <c r="E21926" i="1"/>
  <c r="D21926" i="1"/>
  <c r="C21926" i="1"/>
  <c r="B21926" i="1"/>
  <c r="A21926" i="1"/>
  <c r="F21925" i="1"/>
  <c r="E21925" i="1"/>
  <c r="D21925" i="1"/>
  <c r="C21925" i="1"/>
  <c r="B21925" i="1"/>
  <c r="A21925" i="1"/>
  <c r="F21924" i="1"/>
  <c r="E21924" i="1"/>
  <c r="D21924" i="1"/>
  <c r="C21924" i="1"/>
  <c r="B21924" i="1"/>
  <c r="A21924" i="1"/>
  <c r="F21923" i="1"/>
  <c r="E21923" i="1"/>
  <c r="D21923" i="1"/>
  <c r="C21923" i="1"/>
  <c r="B21923" i="1"/>
  <c r="A21923" i="1"/>
  <c r="F21922" i="1"/>
  <c r="E21922" i="1"/>
  <c r="D21922" i="1"/>
  <c r="C21922" i="1"/>
  <c r="B21922" i="1"/>
  <c r="A21922" i="1"/>
  <c r="F21921" i="1"/>
  <c r="E21921" i="1"/>
  <c r="D21921" i="1"/>
  <c r="C21921" i="1"/>
  <c r="B21921" i="1"/>
  <c r="A21921" i="1"/>
  <c r="F21920" i="1"/>
  <c r="E21920" i="1"/>
  <c r="D21920" i="1"/>
  <c r="C21920" i="1"/>
  <c r="B21920" i="1"/>
  <c r="A21920" i="1"/>
  <c r="F21919" i="1"/>
  <c r="E21919" i="1"/>
  <c r="D21919" i="1"/>
  <c r="C21919" i="1"/>
  <c r="B21919" i="1"/>
  <c r="A21919" i="1"/>
  <c r="F21918" i="1"/>
  <c r="E21918" i="1"/>
  <c r="D21918" i="1"/>
  <c r="C21918" i="1"/>
  <c r="B21918" i="1"/>
  <c r="A21918" i="1"/>
  <c r="F21917" i="1"/>
  <c r="E21917" i="1"/>
  <c r="D21917" i="1"/>
  <c r="C21917" i="1"/>
  <c r="B21917" i="1"/>
  <c r="A21917" i="1"/>
  <c r="F21916" i="1"/>
  <c r="E21916" i="1"/>
  <c r="D21916" i="1"/>
  <c r="C21916" i="1"/>
  <c r="B21916" i="1"/>
  <c r="A21916" i="1"/>
  <c r="F21915" i="1"/>
  <c r="E21915" i="1"/>
  <c r="D21915" i="1"/>
  <c r="C21915" i="1"/>
  <c r="B21915" i="1"/>
  <c r="A21915" i="1"/>
  <c r="F21914" i="1"/>
  <c r="E21914" i="1"/>
  <c r="D21914" i="1"/>
  <c r="C21914" i="1"/>
  <c r="B21914" i="1"/>
  <c r="A21914" i="1"/>
  <c r="F21913" i="1"/>
  <c r="E21913" i="1"/>
  <c r="D21913" i="1"/>
  <c r="C21913" i="1"/>
  <c r="B21913" i="1"/>
  <c r="A21913" i="1"/>
  <c r="F21912" i="1"/>
  <c r="E21912" i="1"/>
  <c r="D21912" i="1"/>
  <c r="C21912" i="1"/>
  <c r="B21912" i="1"/>
  <c r="A21912" i="1"/>
  <c r="F21911" i="1"/>
  <c r="E21911" i="1"/>
  <c r="D21911" i="1"/>
  <c r="C21911" i="1"/>
  <c r="B21911" i="1"/>
  <c r="A21911" i="1"/>
  <c r="F21910" i="1"/>
  <c r="E21910" i="1"/>
  <c r="D21910" i="1"/>
  <c r="C21910" i="1"/>
  <c r="B21910" i="1"/>
  <c r="A21910" i="1"/>
  <c r="F21909" i="1"/>
  <c r="E21909" i="1"/>
  <c r="D21909" i="1"/>
  <c r="C21909" i="1"/>
  <c r="B21909" i="1"/>
  <c r="A21909" i="1"/>
  <c r="F21908" i="1"/>
  <c r="E21908" i="1"/>
  <c r="D21908" i="1"/>
  <c r="C21908" i="1"/>
  <c r="B21908" i="1"/>
  <c r="A21908" i="1"/>
  <c r="F21907" i="1"/>
  <c r="E21907" i="1"/>
  <c r="D21907" i="1"/>
  <c r="C21907" i="1"/>
  <c r="B21907" i="1"/>
  <c r="A21907" i="1"/>
  <c r="F21906" i="1"/>
  <c r="E21906" i="1"/>
  <c r="D21906" i="1"/>
  <c r="C21906" i="1"/>
  <c r="B21906" i="1"/>
  <c r="A21906" i="1"/>
  <c r="F21905" i="1"/>
  <c r="E21905" i="1"/>
  <c r="D21905" i="1"/>
  <c r="C21905" i="1"/>
  <c r="B21905" i="1"/>
  <c r="A21905" i="1"/>
  <c r="F21904" i="1"/>
  <c r="E21904" i="1"/>
  <c r="D21904" i="1"/>
  <c r="C21904" i="1"/>
  <c r="B21904" i="1"/>
  <c r="A21904" i="1"/>
  <c r="F21903" i="1"/>
  <c r="E21903" i="1"/>
  <c r="D21903" i="1"/>
  <c r="C21903" i="1"/>
  <c r="B21903" i="1"/>
  <c r="A21903" i="1"/>
  <c r="F21902" i="1"/>
  <c r="E21902" i="1"/>
  <c r="D21902" i="1"/>
  <c r="C21902" i="1"/>
  <c r="B21902" i="1"/>
  <c r="A21902" i="1"/>
  <c r="F21901" i="1"/>
  <c r="E21901" i="1"/>
  <c r="D21901" i="1"/>
  <c r="C21901" i="1"/>
  <c r="B21901" i="1"/>
  <c r="A21901" i="1"/>
  <c r="F21900" i="1"/>
  <c r="E21900" i="1"/>
  <c r="D21900" i="1"/>
  <c r="C21900" i="1"/>
  <c r="B21900" i="1"/>
  <c r="A21900" i="1"/>
  <c r="F21899" i="1"/>
  <c r="E21899" i="1"/>
  <c r="D21899" i="1"/>
  <c r="C21899" i="1"/>
  <c r="B21899" i="1"/>
  <c r="A21899" i="1"/>
  <c r="F21898" i="1"/>
  <c r="E21898" i="1"/>
  <c r="D21898" i="1"/>
  <c r="C21898" i="1"/>
  <c r="B21898" i="1"/>
  <c r="A21898" i="1"/>
  <c r="F21897" i="1"/>
  <c r="E21897" i="1"/>
  <c r="D21897" i="1"/>
  <c r="C21897" i="1"/>
  <c r="B21897" i="1"/>
  <c r="A21897" i="1"/>
  <c r="F21896" i="1"/>
  <c r="E21896" i="1"/>
  <c r="D21896" i="1"/>
  <c r="C21896" i="1"/>
  <c r="B21896" i="1"/>
  <c r="A21896" i="1"/>
  <c r="F21895" i="1"/>
  <c r="E21895" i="1"/>
  <c r="D21895" i="1"/>
  <c r="C21895" i="1"/>
  <c r="B21895" i="1"/>
  <c r="A21895" i="1"/>
  <c r="F21894" i="1"/>
  <c r="E21894" i="1"/>
  <c r="D21894" i="1"/>
  <c r="C21894" i="1"/>
  <c r="B21894" i="1"/>
  <c r="A21894" i="1"/>
  <c r="F21893" i="1"/>
  <c r="E21893" i="1"/>
  <c r="D21893" i="1"/>
  <c r="C21893" i="1"/>
  <c r="B21893" i="1"/>
  <c r="A21893" i="1"/>
  <c r="F21892" i="1"/>
  <c r="E21892" i="1"/>
  <c r="D21892" i="1"/>
  <c r="C21892" i="1"/>
  <c r="B21892" i="1"/>
  <c r="A21892" i="1"/>
  <c r="F21891" i="1"/>
  <c r="E21891" i="1"/>
  <c r="D21891" i="1"/>
  <c r="C21891" i="1"/>
  <c r="B21891" i="1"/>
  <c r="A21891" i="1"/>
  <c r="F21890" i="1"/>
  <c r="E21890" i="1"/>
  <c r="D21890" i="1"/>
  <c r="C21890" i="1"/>
  <c r="B21890" i="1"/>
  <c r="A21890" i="1"/>
  <c r="F21889" i="1"/>
  <c r="E21889" i="1"/>
  <c r="D21889" i="1"/>
  <c r="C21889" i="1"/>
  <c r="B21889" i="1"/>
  <c r="A21889" i="1"/>
  <c r="F21888" i="1"/>
  <c r="E21888" i="1"/>
  <c r="D21888" i="1"/>
  <c r="C21888" i="1"/>
  <c r="B21888" i="1"/>
  <c r="A21888" i="1"/>
  <c r="F21887" i="1"/>
  <c r="E21887" i="1"/>
  <c r="D21887" i="1"/>
  <c r="C21887" i="1"/>
  <c r="B21887" i="1"/>
  <c r="A21887" i="1"/>
  <c r="F21886" i="1"/>
  <c r="E21886" i="1"/>
  <c r="D21886" i="1"/>
  <c r="C21886" i="1"/>
  <c r="B21886" i="1"/>
  <c r="A21886" i="1"/>
  <c r="F21885" i="1"/>
  <c r="E21885" i="1"/>
  <c r="D21885" i="1"/>
  <c r="C21885" i="1"/>
  <c r="B21885" i="1"/>
  <c r="A21885" i="1"/>
  <c r="F21884" i="1"/>
  <c r="E21884" i="1"/>
  <c r="D21884" i="1"/>
  <c r="C21884" i="1"/>
  <c r="B21884" i="1"/>
  <c r="A21884" i="1"/>
  <c r="F21883" i="1"/>
  <c r="E21883" i="1"/>
  <c r="D21883" i="1"/>
  <c r="C21883" i="1"/>
  <c r="B21883" i="1"/>
  <c r="A21883" i="1"/>
  <c r="F21882" i="1"/>
  <c r="E21882" i="1"/>
  <c r="D21882" i="1"/>
  <c r="C21882" i="1"/>
  <c r="B21882" i="1"/>
  <c r="A21882" i="1"/>
  <c r="F21881" i="1"/>
  <c r="E21881" i="1"/>
  <c r="D21881" i="1"/>
  <c r="C21881" i="1"/>
  <c r="B21881" i="1"/>
  <c r="A21881" i="1"/>
  <c r="F21880" i="1"/>
  <c r="E21880" i="1"/>
  <c r="D21880" i="1"/>
  <c r="C21880" i="1"/>
  <c r="B21880" i="1"/>
  <c r="A21880" i="1"/>
  <c r="F21879" i="1"/>
  <c r="E21879" i="1"/>
  <c r="D21879" i="1"/>
  <c r="C21879" i="1"/>
  <c r="B21879" i="1"/>
  <c r="A21879" i="1"/>
  <c r="F21878" i="1"/>
  <c r="E21878" i="1"/>
  <c r="D21878" i="1"/>
  <c r="C21878" i="1"/>
  <c r="B21878" i="1"/>
  <c r="A21878" i="1"/>
  <c r="F21877" i="1"/>
  <c r="E21877" i="1"/>
  <c r="D21877" i="1"/>
  <c r="C21877" i="1"/>
  <c r="B21877" i="1"/>
  <c r="A21877" i="1"/>
  <c r="F21876" i="1"/>
  <c r="E21876" i="1"/>
  <c r="D21876" i="1"/>
  <c r="C21876" i="1"/>
  <c r="B21876" i="1"/>
  <c r="A21876" i="1"/>
  <c r="F21875" i="1"/>
  <c r="E21875" i="1"/>
  <c r="D21875" i="1"/>
  <c r="C21875" i="1"/>
  <c r="B21875" i="1"/>
  <c r="A21875" i="1"/>
  <c r="F21874" i="1"/>
  <c r="E21874" i="1"/>
  <c r="D21874" i="1"/>
  <c r="C21874" i="1"/>
  <c r="B21874" i="1"/>
  <c r="A21874" i="1"/>
  <c r="F21873" i="1"/>
  <c r="E21873" i="1"/>
  <c r="D21873" i="1"/>
  <c r="C21873" i="1"/>
  <c r="B21873" i="1"/>
  <c r="A21873" i="1"/>
  <c r="F21872" i="1"/>
  <c r="E21872" i="1"/>
  <c r="D21872" i="1"/>
  <c r="C21872" i="1"/>
  <c r="B21872" i="1"/>
  <c r="A21872" i="1"/>
  <c r="F21871" i="1"/>
  <c r="E21871" i="1"/>
  <c r="D21871" i="1"/>
  <c r="C21871" i="1"/>
  <c r="B21871" i="1"/>
  <c r="A21871" i="1"/>
  <c r="F21870" i="1"/>
  <c r="E21870" i="1"/>
  <c r="D21870" i="1"/>
  <c r="C21870" i="1"/>
  <c r="B21870" i="1"/>
  <c r="A21870" i="1"/>
  <c r="F21869" i="1"/>
  <c r="E21869" i="1"/>
  <c r="D21869" i="1"/>
  <c r="C21869" i="1"/>
  <c r="B21869" i="1"/>
  <c r="A21869" i="1"/>
  <c r="F21868" i="1"/>
  <c r="E21868" i="1"/>
  <c r="D21868" i="1"/>
  <c r="C21868" i="1"/>
  <c r="B21868" i="1"/>
  <c r="A21868" i="1"/>
  <c r="F21867" i="1"/>
  <c r="E21867" i="1"/>
  <c r="D21867" i="1"/>
  <c r="C21867" i="1"/>
  <c r="B21867" i="1"/>
  <c r="A21867" i="1"/>
  <c r="F21866" i="1"/>
  <c r="E21866" i="1"/>
  <c r="D21866" i="1"/>
  <c r="C21866" i="1"/>
  <c r="B21866" i="1"/>
  <c r="A21866" i="1"/>
  <c r="F21865" i="1"/>
  <c r="E21865" i="1"/>
  <c r="D21865" i="1"/>
  <c r="C21865" i="1"/>
  <c r="B21865" i="1"/>
  <c r="A21865" i="1"/>
  <c r="F21864" i="1"/>
  <c r="E21864" i="1"/>
  <c r="D21864" i="1"/>
  <c r="C21864" i="1"/>
  <c r="B21864" i="1"/>
  <c r="A21864" i="1"/>
  <c r="F21863" i="1"/>
  <c r="E21863" i="1"/>
  <c r="D21863" i="1"/>
  <c r="C21863" i="1"/>
  <c r="B21863" i="1"/>
  <c r="A21863" i="1"/>
  <c r="F21862" i="1"/>
  <c r="E21862" i="1"/>
  <c r="D21862" i="1"/>
  <c r="C21862" i="1"/>
  <c r="B21862" i="1"/>
  <c r="A21862" i="1"/>
  <c r="F21861" i="1"/>
  <c r="E21861" i="1"/>
  <c r="D21861" i="1"/>
  <c r="C21861" i="1"/>
  <c r="B21861" i="1"/>
  <c r="A21861" i="1"/>
  <c r="F21860" i="1"/>
  <c r="E21860" i="1"/>
  <c r="D21860" i="1"/>
  <c r="C21860" i="1"/>
  <c r="B21860" i="1"/>
  <c r="A21860" i="1"/>
  <c r="F21859" i="1"/>
  <c r="E21859" i="1"/>
  <c r="D21859" i="1"/>
  <c r="C21859" i="1"/>
  <c r="B21859" i="1"/>
  <c r="A21859" i="1"/>
  <c r="F21858" i="1"/>
  <c r="E21858" i="1"/>
  <c r="D21858" i="1"/>
  <c r="C21858" i="1"/>
  <c r="B21858" i="1"/>
  <c r="A21858" i="1"/>
  <c r="F21857" i="1"/>
  <c r="E21857" i="1"/>
  <c r="D21857" i="1"/>
  <c r="C21857" i="1"/>
  <c r="B21857" i="1"/>
  <c r="A21857" i="1"/>
  <c r="F21856" i="1"/>
  <c r="E21856" i="1"/>
  <c r="D21856" i="1"/>
  <c r="C21856" i="1"/>
  <c r="B21856" i="1"/>
  <c r="A21856" i="1"/>
  <c r="F21855" i="1"/>
  <c r="E21855" i="1"/>
  <c r="D21855" i="1"/>
  <c r="C21855" i="1"/>
  <c r="B21855" i="1"/>
  <c r="A21855" i="1"/>
  <c r="F21854" i="1"/>
  <c r="E21854" i="1"/>
  <c r="D21854" i="1"/>
  <c r="C21854" i="1"/>
  <c r="B21854" i="1"/>
  <c r="A21854" i="1"/>
  <c r="F21853" i="1"/>
  <c r="E21853" i="1"/>
  <c r="D21853" i="1"/>
  <c r="C21853" i="1"/>
  <c r="B21853" i="1"/>
  <c r="A21853" i="1"/>
  <c r="F21852" i="1"/>
  <c r="E21852" i="1"/>
  <c r="D21852" i="1"/>
  <c r="C21852" i="1"/>
  <c r="B21852" i="1"/>
  <c r="A21852" i="1"/>
  <c r="F21851" i="1"/>
  <c r="E21851" i="1"/>
  <c r="D21851" i="1"/>
  <c r="C21851" i="1"/>
  <c r="B21851" i="1"/>
  <c r="A21851" i="1"/>
  <c r="F21850" i="1"/>
  <c r="E21850" i="1"/>
  <c r="D21850" i="1"/>
  <c r="C21850" i="1"/>
  <c r="B21850" i="1"/>
  <c r="A21850" i="1"/>
  <c r="F21849" i="1"/>
  <c r="E21849" i="1"/>
  <c r="D21849" i="1"/>
  <c r="C21849" i="1"/>
  <c r="B21849" i="1"/>
  <c r="A21849" i="1"/>
  <c r="F21848" i="1"/>
  <c r="E21848" i="1"/>
  <c r="D21848" i="1"/>
  <c r="C21848" i="1"/>
  <c r="B21848" i="1"/>
  <c r="A21848" i="1"/>
  <c r="F21847" i="1"/>
  <c r="E21847" i="1"/>
  <c r="D21847" i="1"/>
  <c r="C21847" i="1"/>
  <c r="B21847" i="1"/>
  <c r="A21847" i="1"/>
  <c r="F21846" i="1"/>
  <c r="E21846" i="1"/>
  <c r="D21846" i="1"/>
  <c r="C21846" i="1"/>
  <c r="B21846" i="1"/>
  <c r="A21846" i="1"/>
  <c r="F21845" i="1"/>
  <c r="E21845" i="1"/>
  <c r="D21845" i="1"/>
  <c r="C21845" i="1"/>
  <c r="B21845" i="1"/>
  <c r="A21845" i="1"/>
  <c r="F21844" i="1"/>
  <c r="E21844" i="1"/>
  <c r="D21844" i="1"/>
  <c r="C21844" i="1"/>
  <c r="B21844" i="1"/>
  <c r="A21844" i="1"/>
  <c r="F21843" i="1"/>
  <c r="E21843" i="1"/>
  <c r="D21843" i="1"/>
  <c r="C21843" i="1"/>
  <c r="B21843" i="1"/>
  <c r="A21843" i="1"/>
  <c r="F21842" i="1"/>
  <c r="E21842" i="1"/>
  <c r="D21842" i="1"/>
  <c r="C21842" i="1"/>
  <c r="B21842" i="1"/>
  <c r="A21842" i="1"/>
  <c r="F21841" i="1"/>
  <c r="E21841" i="1"/>
  <c r="D21841" i="1"/>
  <c r="C21841" i="1"/>
  <c r="B21841" i="1"/>
  <c r="A21841" i="1"/>
  <c r="F21840" i="1"/>
  <c r="E21840" i="1"/>
  <c r="D21840" i="1"/>
  <c r="C21840" i="1"/>
  <c r="B21840" i="1"/>
  <c r="A21840" i="1"/>
  <c r="F21839" i="1"/>
  <c r="E21839" i="1"/>
  <c r="D21839" i="1"/>
  <c r="C21839" i="1"/>
  <c r="B21839" i="1"/>
  <c r="A21839" i="1"/>
  <c r="F21838" i="1"/>
  <c r="E21838" i="1"/>
  <c r="D21838" i="1"/>
  <c r="C21838" i="1"/>
  <c r="B21838" i="1"/>
  <c r="A21838" i="1"/>
  <c r="F21837" i="1"/>
  <c r="E21837" i="1"/>
  <c r="D21837" i="1"/>
  <c r="C21837" i="1"/>
  <c r="B21837" i="1"/>
  <c r="A21837" i="1"/>
  <c r="F21836" i="1"/>
  <c r="E21836" i="1"/>
  <c r="D21836" i="1"/>
  <c r="C21836" i="1"/>
  <c r="B21836" i="1"/>
  <c r="A21836" i="1"/>
  <c r="F21835" i="1"/>
  <c r="E21835" i="1"/>
  <c r="D21835" i="1"/>
  <c r="C21835" i="1"/>
  <c r="B21835" i="1"/>
  <c r="A21835" i="1"/>
  <c r="F21834" i="1"/>
  <c r="E21834" i="1"/>
  <c r="D21834" i="1"/>
  <c r="C21834" i="1"/>
  <c r="B21834" i="1"/>
  <c r="A21834" i="1"/>
  <c r="F21833" i="1"/>
  <c r="E21833" i="1"/>
  <c r="D21833" i="1"/>
  <c r="C21833" i="1"/>
  <c r="B21833" i="1"/>
  <c r="A21833" i="1"/>
  <c r="F21832" i="1"/>
  <c r="E21832" i="1"/>
  <c r="D21832" i="1"/>
  <c r="C21832" i="1"/>
  <c r="B21832" i="1"/>
  <c r="A21832" i="1"/>
  <c r="F21831" i="1"/>
  <c r="E21831" i="1"/>
  <c r="D21831" i="1"/>
  <c r="C21831" i="1"/>
  <c r="B21831" i="1"/>
  <c r="A21831" i="1"/>
  <c r="F21830" i="1"/>
  <c r="E21830" i="1"/>
  <c r="D21830" i="1"/>
  <c r="C21830" i="1"/>
  <c r="B21830" i="1"/>
  <c r="A21830" i="1"/>
  <c r="F21829" i="1"/>
  <c r="E21829" i="1"/>
  <c r="D21829" i="1"/>
  <c r="C21829" i="1"/>
  <c r="B21829" i="1"/>
  <c r="A21829" i="1"/>
  <c r="F21828" i="1"/>
  <c r="E21828" i="1"/>
  <c r="D21828" i="1"/>
  <c r="C21828" i="1"/>
  <c r="B21828" i="1"/>
  <c r="A21828" i="1"/>
  <c r="F21827" i="1"/>
  <c r="E21827" i="1"/>
  <c r="D21827" i="1"/>
  <c r="C21827" i="1"/>
  <c r="B21827" i="1"/>
  <c r="A21827" i="1"/>
  <c r="F21826" i="1"/>
  <c r="E21826" i="1"/>
  <c r="D21826" i="1"/>
  <c r="C21826" i="1"/>
  <c r="B21826" i="1"/>
  <c r="A21826" i="1"/>
  <c r="F21825" i="1"/>
  <c r="E21825" i="1"/>
  <c r="D21825" i="1"/>
  <c r="C21825" i="1"/>
  <c r="B21825" i="1"/>
  <c r="A21825" i="1"/>
  <c r="F21824" i="1"/>
  <c r="E21824" i="1"/>
  <c r="D21824" i="1"/>
  <c r="C21824" i="1"/>
  <c r="B21824" i="1"/>
  <c r="A21824" i="1"/>
  <c r="F21823" i="1"/>
  <c r="E21823" i="1"/>
  <c r="D21823" i="1"/>
  <c r="C21823" i="1"/>
  <c r="B21823" i="1"/>
  <c r="A21823" i="1"/>
  <c r="F21822" i="1"/>
  <c r="E21822" i="1"/>
  <c r="D21822" i="1"/>
  <c r="C21822" i="1"/>
  <c r="B21822" i="1"/>
  <c r="A21822" i="1"/>
  <c r="F21821" i="1"/>
  <c r="E21821" i="1"/>
  <c r="D21821" i="1"/>
  <c r="C21821" i="1"/>
  <c r="B21821" i="1"/>
  <c r="A21821" i="1"/>
  <c r="F21820" i="1"/>
  <c r="E21820" i="1"/>
  <c r="D21820" i="1"/>
  <c r="C21820" i="1"/>
  <c r="B21820" i="1"/>
  <c r="A21820" i="1"/>
  <c r="F21819" i="1"/>
  <c r="E21819" i="1"/>
  <c r="D21819" i="1"/>
  <c r="C21819" i="1"/>
  <c r="B21819" i="1"/>
  <c r="A21819" i="1"/>
  <c r="F21818" i="1"/>
  <c r="E21818" i="1"/>
  <c r="D21818" i="1"/>
  <c r="C21818" i="1"/>
  <c r="B21818" i="1"/>
  <c r="A21818" i="1"/>
  <c r="F21817" i="1"/>
  <c r="E21817" i="1"/>
  <c r="D21817" i="1"/>
  <c r="C21817" i="1"/>
  <c r="B21817" i="1"/>
  <c r="A21817" i="1"/>
  <c r="F21816" i="1"/>
  <c r="E21816" i="1"/>
  <c r="D21816" i="1"/>
  <c r="C21816" i="1"/>
  <c r="B21816" i="1"/>
  <c r="A21816" i="1"/>
  <c r="F21815" i="1"/>
  <c r="E21815" i="1"/>
  <c r="D21815" i="1"/>
  <c r="C21815" i="1"/>
  <c r="B21815" i="1"/>
  <c r="A21815" i="1"/>
  <c r="F21814" i="1"/>
  <c r="E21814" i="1"/>
  <c r="D21814" i="1"/>
  <c r="C21814" i="1"/>
  <c r="B21814" i="1"/>
  <c r="A21814" i="1"/>
  <c r="F21813" i="1"/>
  <c r="E21813" i="1"/>
  <c r="D21813" i="1"/>
  <c r="C21813" i="1"/>
  <c r="B21813" i="1"/>
  <c r="A21813" i="1"/>
  <c r="F21812" i="1"/>
  <c r="E21812" i="1"/>
  <c r="D21812" i="1"/>
  <c r="C21812" i="1"/>
  <c r="B21812" i="1"/>
  <c r="A21812" i="1"/>
  <c r="F21811" i="1"/>
  <c r="E21811" i="1"/>
  <c r="D21811" i="1"/>
  <c r="C21811" i="1"/>
  <c r="B21811" i="1"/>
  <c r="A21811" i="1"/>
  <c r="F21810" i="1"/>
  <c r="E21810" i="1"/>
  <c r="D21810" i="1"/>
  <c r="C21810" i="1"/>
  <c r="B21810" i="1"/>
  <c r="A21810" i="1"/>
  <c r="F21809" i="1"/>
  <c r="E21809" i="1"/>
  <c r="D21809" i="1"/>
  <c r="C21809" i="1"/>
  <c r="B21809" i="1"/>
  <c r="A21809" i="1"/>
  <c r="F21808" i="1"/>
  <c r="E21808" i="1"/>
  <c r="D21808" i="1"/>
  <c r="C21808" i="1"/>
  <c r="B21808" i="1"/>
  <c r="A21808" i="1"/>
  <c r="F21807" i="1"/>
  <c r="E21807" i="1"/>
  <c r="D21807" i="1"/>
  <c r="C21807" i="1"/>
  <c r="B21807" i="1"/>
  <c r="A21807" i="1"/>
  <c r="F21806" i="1"/>
  <c r="E21806" i="1"/>
  <c r="D21806" i="1"/>
  <c r="C21806" i="1"/>
  <c r="B21806" i="1"/>
  <c r="A21806" i="1"/>
  <c r="F21805" i="1"/>
  <c r="E21805" i="1"/>
  <c r="D21805" i="1"/>
  <c r="C21805" i="1"/>
  <c r="B21805" i="1"/>
  <c r="A21805" i="1"/>
  <c r="F21804" i="1"/>
  <c r="E21804" i="1"/>
  <c r="D21804" i="1"/>
  <c r="C21804" i="1"/>
  <c r="B21804" i="1"/>
  <c r="A21804" i="1"/>
  <c r="F21803" i="1"/>
  <c r="E21803" i="1"/>
  <c r="D21803" i="1"/>
  <c r="C21803" i="1"/>
  <c r="B21803" i="1"/>
  <c r="A21803" i="1"/>
  <c r="F21802" i="1"/>
  <c r="E21802" i="1"/>
  <c r="D21802" i="1"/>
  <c r="C21802" i="1"/>
  <c r="B21802" i="1"/>
  <c r="A21802" i="1"/>
  <c r="F21801" i="1"/>
  <c r="E21801" i="1"/>
  <c r="D21801" i="1"/>
  <c r="C21801" i="1"/>
  <c r="B21801" i="1"/>
  <c r="A21801" i="1"/>
  <c r="F21800" i="1"/>
  <c r="E21800" i="1"/>
  <c r="D21800" i="1"/>
  <c r="C21800" i="1"/>
  <c r="B21800" i="1"/>
  <c r="A21800" i="1"/>
  <c r="F21799" i="1"/>
  <c r="E21799" i="1"/>
  <c r="D21799" i="1"/>
  <c r="C21799" i="1"/>
  <c r="B21799" i="1"/>
  <c r="A21799" i="1"/>
  <c r="F21798" i="1"/>
  <c r="E21798" i="1"/>
  <c r="D21798" i="1"/>
  <c r="C21798" i="1"/>
  <c r="B21798" i="1"/>
  <c r="A21798" i="1"/>
  <c r="F21797" i="1"/>
  <c r="E21797" i="1"/>
  <c r="D21797" i="1"/>
  <c r="C21797" i="1"/>
  <c r="B21797" i="1"/>
  <c r="A21797" i="1"/>
  <c r="F21796" i="1"/>
  <c r="E21796" i="1"/>
  <c r="D21796" i="1"/>
  <c r="C21796" i="1"/>
  <c r="B21796" i="1"/>
  <c r="A21796" i="1"/>
  <c r="F21795" i="1"/>
  <c r="E21795" i="1"/>
  <c r="D21795" i="1"/>
  <c r="C21795" i="1"/>
  <c r="B21795" i="1"/>
  <c r="A21795" i="1"/>
  <c r="F21794" i="1"/>
  <c r="E21794" i="1"/>
  <c r="D21794" i="1"/>
  <c r="C21794" i="1"/>
  <c r="B21794" i="1"/>
  <c r="A21794" i="1"/>
  <c r="F21793" i="1"/>
  <c r="E21793" i="1"/>
  <c r="D21793" i="1"/>
  <c r="C21793" i="1"/>
  <c r="B21793" i="1"/>
  <c r="A21793" i="1"/>
  <c r="F21792" i="1"/>
  <c r="E21792" i="1"/>
  <c r="D21792" i="1"/>
  <c r="C21792" i="1"/>
  <c r="B21792" i="1"/>
  <c r="A21792" i="1"/>
  <c r="F21791" i="1"/>
  <c r="E21791" i="1"/>
  <c r="D21791" i="1"/>
  <c r="C21791" i="1"/>
  <c r="B21791" i="1"/>
  <c r="A21791" i="1"/>
  <c r="F21790" i="1"/>
  <c r="E21790" i="1"/>
  <c r="D21790" i="1"/>
  <c r="C21790" i="1"/>
  <c r="B21790" i="1"/>
  <c r="A21790" i="1"/>
  <c r="F21789" i="1"/>
  <c r="E21789" i="1"/>
  <c r="D21789" i="1"/>
  <c r="C21789" i="1"/>
  <c r="B21789" i="1"/>
  <c r="A21789" i="1"/>
  <c r="F21788" i="1"/>
  <c r="E21788" i="1"/>
  <c r="D21788" i="1"/>
  <c r="C21788" i="1"/>
  <c r="B21788" i="1"/>
  <c r="A21788" i="1"/>
  <c r="F21787" i="1"/>
  <c r="E21787" i="1"/>
  <c r="D21787" i="1"/>
  <c r="C21787" i="1"/>
  <c r="B21787" i="1"/>
  <c r="A21787" i="1"/>
  <c r="F21786" i="1"/>
  <c r="E21786" i="1"/>
  <c r="D21786" i="1"/>
  <c r="C21786" i="1"/>
  <c r="B21786" i="1"/>
  <c r="A21786" i="1"/>
  <c r="F21785" i="1"/>
  <c r="E21785" i="1"/>
  <c r="D21785" i="1"/>
  <c r="C21785" i="1"/>
  <c r="B21785" i="1"/>
  <c r="A21785" i="1"/>
  <c r="F21784" i="1"/>
  <c r="E21784" i="1"/>
  <c r="D21784" i="1"/>
  <c r="C21784" i="1"/>
  <c r="B21784" i="1"/>
  <c r="A21784" i="1"/>
  <c r="F21783" i="1"/>
  <c r="E21783" i="1"/>
  <c r="D21783" i="1"/>
  <c r="C21783" i="1"/>
  <c r="B21783" i="1"/>
  <c r="A21783" i="1"/>
  <c r="F21782" i="1"/>
  <c r="E21782" i="1"/>
  <c r="D21782" i="1"/>
  <c r="C21782" i="1"/>
  <c r="B21782" i="1"/>
  <c r="A21782" i="1"/>
  <c r="F21781" i="1"/>
  <c r="E21781" i="1"/>
  <c r="D21781" i="1"/>
  <c r="C21781" i="1"/>
  <c r="B21781" i="1"/>
  <c r="A21781" i="1"/>
  <c r="F21780" i="1"/>
  <c r="E21780" i="1"/>
  <c r="D21780" i="1"/>
  <c r="C21780" i="1"/>
  <c r="B21780" i="1"/>
  <c r="A21780" i="1"/>
  <c r="F21779" i="1"/>
  <c r="E21779" i="1"/>
  <c r="D21779" i="1"/>
  <c r="C21779" i="1"/>
  <c r="B21779" i="1"/>
  <c r="A21779" i="1"/>
  <c r="F21778" i="1"/>
  <c r="E21778" i="1"/>
  <c r="D21778" i="1"/>
  <c r="C21778" i="1"/>
  <c r="B21778" i="1"/>
  <c r="A21778" i="1"/>
  <c r="F21777" i="1"/>
  <c r="E21777" i="1"/>
  <c r="D21777" i="1"/>
  <c r="C21777" i="1"/>
  <c r="B21777" i="1"/>
  <c r="A21777" i="1"/>
  <c r="F21776" i="1"/>
  <c r="E21776" i="1"/>
  <c r="D21776" i="1"/>
  <c r="C21776" i="1"/>
  <c r="B21776" i="1"/>
  <c r="A21776" i="1"/>
  <c r="F21775" i="1"/>
  <c r="E21775" i="1"/>
  <c r="D21775" i="1"/>
  <c r="C21775" i="1"/>
  <c r="B21775" i="1"/>
  <c r="A21775" i="1"/>
  <c r="F21774" i="1"/>
  <c r="E21774" i="1"/>
  <c r="D21774" i="1"/>
  <c r="C21774" i="1"/>
  <c r="B21774" i="1"/>
  <c r="A21774" i="1"/>
  <c r="F21773" i="1"/>
  <c r="E21773" i="1"/>
  <c r="D21773" i="1"/>
  <c r="C21773" i="1"/>
  <c r="B21773" i="1"/>
  <c r="A21773" i="1"/>
  <c r="F21772" i="1"/>
  <c r="E21772" i="1"/>
  <c r="D21772" i="1"/>
  <c r="C21772" i="1"/>
  <c r="B21772" i="1"/>
  <c r="A21772" i="1"/>
  <c r="F21771" i="1"/>
  <c r="E21771" i="1"/>
  <c r="D21771" i="1"/>
  <c r="C21771" i="1"/>
  <c r="B21771" i="1"/>
  <c r="A21771" i="1"/>
  <c r="F21770" i="1"/>
  <c r="E21770" i="1"/>
  <c r="D21770" i="1"/>
  <c r="C21770" i="1"/>
  <c r="B21770" i="1"/>
  <c r="A21770" i="1"/>
  <c r="F21769" i="1"/>
  <c r="E21769" i="1"/>
  <c r="D21769" i="1"/>
  <c r="C21769" i="1"/>
  <c r="B21769" i="1"/>
  <c r="A21769" i="1"/>
  <c r="F21768" i="1"/>
  <c r="E21768" i="1"/>
  <c r="D21768" i="1"/>
  <c r="C21768" i="1"/>
  <c r="B21768" i="1"/>
  <c r="A21768" i="1"/>
  <c r="F21767" i="1"/>
  <c r="E21767" i="1"/>
  <c r="D21767" i="1"/>
  <c r="C21767" i="1"/>
  <c r="B21767" i="1"/>
  <c r="A21767" i="1"/>
  <c r="F21766" i="1"/>
  <c r="E21766" i="1"/>
  <c r="D21766" i="1"/>
  <c r="C21766" i="1"/>
  <c r="B21766" i="1"/>
  <c r="A21766" i="1"/>
  <c r="F21765" i="1"/>
  <c r="E21765" i="1"/>
  <c r="D21765" i="1"/>
  <c r="C21765" i="1"/>
  <c r="B21765" i="1"/>
  <c r="A21765" i="1"/>
  <c r="F21764" i="1"/>
  <c r="E21764" i="1"/>
  <c r="D21764" i="1"/>
  <c r="C21764" i="1"/>
  <c r="B21764" i="1"/>
  <c r="A21764" i="1"/>
  <c r="F21763" i="1"/>
  <c r="E21763" i="1"/>
  <c r="D21763" i="1"/>
  <c r="C21763" i="1"/>
  <c r="B21763" i="1"/>
  <c r="A21763" i="1"/>
  <c r="F21762" i="1"/>
  <c r="E21762" i="1"/>
  <c r="D21762" i="1"/>
  <c r="C21762" i="1"/>
  <c r="B21762" i="1"/>
  <c r="A21762" i="1"/>
  <c r="F21761" i="1"/>
  <c r="E21761" i="1"/>
  <c r="D21761" i="1"/>
  <c r="C21761" i="1"/>
  <c r="B21761" i="1"/>
  <c r="A21761" i="1"/>
  <c r="F21760" i="1"/>
  <c r="E21760" i="1"/>
  <c r="D21760" i="1"/>
  <c r="C21760" i="1"/>
  <c r="B21760" i="1"/>
  <c r="A21760" i="1"/>
  <c r="F21759" i="1"/>
  <c r="E21759" i="1"/>
  <c r="D21759" i="1"/>
  <c r="C21759" i="1"/>
  <c r="B21759" i="1"/>
  <c r="A21759" i="1"/>
  <c r="F21758" i="1"/>
  <c r="E21758" i="1"/>
  <c r="D21758" i="1"/>
  <c r="C21758" i="1"/>
  <c r="B21758" i="1"/>
  <c r="A21758" i="1"/>
  <c r="F21757" i="1"/>
  <c r="E21757" i="1"/>
  <c r="D21757" i="1"/>
  <c r="C21757" i="1"/>
  <c r="B21757" i="1"/>
  <c r="A21757" i="1"/>
  <c r="F21756" i="1"/>
  <c r="E21756" i="1"/>
  <c r="D21756" i="1"/>
  <c r="C21756" i="1"/>
  <c r="B21756" i="1"/>
  <c r="A21756" i="1"/>
  <c r="F21755" i="1"/>
  <c r="E21755" i="1"/>
  <c r="D21755" i="1"/>
  <c r="C21755" i="1"/>
  <c r="B21755" i="1"/>
  <c r="A21755" i="1"/>
  <c r="F21754" i="1"/>
  <c r="E21754" i="1"/>
  <c r="D21754" i="1"/>
  <c r="C21754" i="1"/>
  <c r="B21754" i="1"/>
  <c r="A21754" i="1"/>
  <c r="F21753" i="1"/>
  <c r="E21753" i="1"/>
  <c r="D21753" i="1"/>
  <c r="C21753" i="1"/>
  <c r="B21753" i="1"/>
  <c r="A21753" i="1"/>
  <c r="F21752" i="1"/>
  <c r="E21752" i="1"/>
  <c r="D21752" i="1"/>
  <c r="C21752" i="1"/>
  <c r="B21752" i="1"/>
  <c r="A21752" i="1"/>
  <c r="F21751" i="1"/>
  <c r="E21751" i="1"/>
  <c r="D21751" i="1"/>
  <c r="C21751" i="1"/>
  <c r="B21751" i="1"/>
  <c r="A21751" i="1"/>
  <c r="F21750" i="1"/>
  <c r="E21750" i="1"/>
  <c r="D21750" i="1"/>
  <c r="C21750" i="1"/>
  <c r="B21750" i="1"/>
  <c r="A21750" i="1"/>
  <c r="F21749" i="1"/>
  <c r="E21749" i="1"/>
  <c r="D21749" i="1"/>
  <c r="C21749" i="1"/>
  <c r="B21749" i="1"/>
  <c r="A21749" i="1"/>
  <c r="F21748" i="1"/>
  <c r="E21748" i="1"/>
  <c r="D21748" i="1"/>
  <c r="C21748" i="1"/>
  <c r="B21748" i="1"/>
  <c r="A21748" i="1"/>
  <c r="F21747" i="1"/>
  <c r="E21747" i="1"/>
  <c r="D21747" i="1"/>
  <c r="C21747" i="1"/>
  <c r="B21747" i="1"/>
  <c r="A21747" i="1"/>
  <c r="F21746" i="1"/>
  <c r="E21746" i="1"/>
  <c r="D21746" i="1"/>
  <c r="C21746" i="1"/>
  <c r="B21746" i="1"/>
  <c r="A21746" i="1"/>
  <c r="F21745" i="1"/>
  <c r="E21745" i="1"/>
  <c r="D21745" i="1"/>
  <c r="C21745" i="1"/>
  <c r="B21745" i="1"/>
  <c r="A21745" i="1"/>
  <c r="F21744" i="1"/>
  <c r="E21744" i="1"/>
  <c r="D21744" i="1"/>
  <c r="C21744" i="1"/>
  <c r="B21744" i="1"/>
  <c r="A21744" i="1"/>
  <c r="F21743" i="1"/>
  <c r="E21743" i="1"/>
  <c r="D21743" i="1"/>
  <c r="C21743" i="1"/>
  <c r="B21743" i="1"/>
  <c r="A21743" i="1"/>
  <c r="F21742" i="1"/>
  <c r="E21742" i="1"/>
  <c r="D21742" i="1"/>
  <c r="C21742" i="1"/>
  <c r="B21742" i="1"/>
  <c r="A21742" i="1"/>
  <c r="F21741" i="1"/>
  <c r="E21741" i="1"/>
  <c r="D21741" i="1"/>
  <c r="C21741" i="1"/>
  <c r="B21741" i="1"/>
  <c r="A21741" i="1"/>
  <c r="F21740" i="1"/>
  <c r="E21740" i="1"/>
  <c r="D21740" i="1"/>
  <c r="C21740" i="1"/>
  <c r="B21740" i="1"/>
  <c r="A21740" i="1"/>
  <c r="F21739" i="1"/>
  <c r="E21739" i="1"/>
  <c r="D21739" i="1"/>
  <c r="C21739" i="1"/>
  <c r="B21739" i="1"/>
  <c r="A21739" i="1"/>
  <c r="F21738" i="1"/>
  <c r="E21738" i="1"/>
  <c r="D21738" i="1"/>
  <c r="C21738" i="1"/>
  <c r="B21738" i="1"/>
  <c r="A21738" i="1"/>
  <c r="F21737" i="1"/>
  <c r="E21737" i="1"/>
  <c r="D21737" i="1"/>
  <c r="C21737" i="1"/>
  <c r="B21737" i="1"/>
  <c r="A21737" i="1"/>
  <c r="F21736" i="1"/>
  <c r="E21736" i="1"/>
  <c r="D21736" i="1"/>
  <c r="C21736" i="1"/>
  <c r="B21736" i="1"/>
  <c r="A21736" i="1"/>
  <c r="F21735" i="1"/>
  <c r="E21735" i="1"/>
  <c r="D21735" i="1"/>
  <c r="C21735" i="1"/>
  <c r="B21735" i="1"/>
  <c r="A21735" i="1"/>
  <c r="F21734" i="1"/>
  <c r="E21734" i="1"/>
  <c r="D21734" i="1"/>
  <c r="C21734" i="1"/>
  <c r="B21734" i="1"/>
  <c r="A21734" i="1"/>
  <c r="F21733" i="1"/>
  <c r="E21733" i="1"/>
  <c r="D21733" i="1"/>
  <c r="C21733" i="1"/>
  <c r="B21733" i="1"/>
  <c r="A21733" i="1"/>
  <c r="F21732" i="1"/>
  <c r="E21732" i="1"/>
  <c r="D21732" i="1"/>
  <c r="C21732" i="1"/>
  <c r="B21732" i="1"/>
  <c r="A21732" i="1"/>
  <c r="F21731" i="1"/>
  <c r="E21731" i="1"/>
  <c r="D21731" i="1"/>
  <c r="C21731" i="1"/>
  <c r="B21731" i="1"/>
  <c r="A21731" i="1"/>
  <c r="F21730" i="1"/>
  <c r="E21730" i="1"/>
  <c r="D21730" i="1"/>
  <c r="C21730" i="1"/>
  <c r="B21730" i="1"/>
  <c r="A21730" i="1"/>
  <c r="F21729" i="1"/>
  <c r="E21729" i="1"/>
  <c r="D21729" i="1"/>
  <c r="C21729" i="1"/>
  <c r="B21729" i="1"/>
  <c r="A21729" i="1"/>
  <c r="F21728" i="1"/>
  <c r="E21728" i="1"/>
  <c r="D21728" i="1"/>
  <c r="C21728" i="1"/>
  <c r="B21728" i="1"/>
  <c r="A21728" i="1"/>
  <c r="F21727" i="1"/>
  <c r="E21727" i="1"/>
  <c r="D21727" i="1"/>
  <c r="C21727" i="1"/>
  <c r="B21727" i="1"/>
  <c r="A21727" i="1"/>
  <c r="F21726" i="1"/>
  <c r="E21726" i="1"/>
  <c r="D21726" i="1"/>
  <c r="C21726" i="1"/>
  <c r="B21726" i="1"/>
  <c r="A21726" i="1"/>
  <c r="F21725" i="1"/>
  <c r="E21725" i="1"/>
  <c r="D21725" i="1"/>
  <c r="C21725" i="1"/>
  <c r="B21725" i="1"/>
  <c r="A21725" i="1"/>
  <c r="F21724" i="1"/>
  <c r="E21724" i="1"/>
  <c r="D21724" i="1"/>
  <c r="C21724" i="1"/>
  <c r="B21724" i="1"/>
  <c r="A21724" i="1"/>
  <c r="F21723" i="1"/>
  <c r="E21723" i="1"/>
  <c r="D21723" i="1"/>
  <c r="C21723" i="1"/>
  <c r="B21723" i="1"/>
  <c r="A21723" i="1"/>
  <c r="F21722" i="1"/>
  <c r="E21722" i="1"/>
  <c r="D21722" i="1"/>
  <c r="C21722" i="1"/>
  <c r="B21722" i="1"/>
  <c r="A21722" i="1"/>
  <c r="F21721" i="1"/>
  <c r="E21721" i="1"/>
  <c r="D21721" i="1"/>
  <c r="C21721" i="1"/>
  <c r="B21721" i="1"/>
  <c r="A21721" i="1"/>
  <c r="F21720" i="1"/>
  <c r="E21720" i="1"/>
  <c r="D21720" i="1"/>
  <c r="C21720" i="1"/>
  <c r="B21720" i="1"/>
  <c r="A21720" i="1"/>
  <c r="F21719" i="1"/>
  <c r="E21719" i="1"/>
  <c r="D21719" i="1"/>
  <c r="C21719" i="1"/>
  <c r="B21719" i="1"/>
  <c r="A21719" i="1"/>
  <c r="F21718" i="1"/>
  <c r="E21718" i="1"/>
  <c r="D21718" i="1"/>
  <c r="C21718" i="1"/>
  <c r="B21718" i="1"/>
  <c r="A21718" i="1"/>
  <c r="F21717" i="1"/>
  <c r="E21717" i="1"/>
  <c r="D21717" i="1"/>
  <c r="C21717" i="1"/>
  <c r="B21717" i="1"/>
  <c r="A21717" i="1"/>
  <c r="F21716" i="1"/>
  <c r="E21716" i="1"/>
  <c r="D21716" i="1"/>
  <c r="C21716" i="1"/>
  <c r="B21716" i="1"/>
  <c r="A21716" i="1"/>
  <c r="F21715" i="1"/>
  <c r="E21715" i="1"/>
  <c r="D21715" i="1"/>
  <c r="C21715" i="1"/>
  <c r="B21715" i="1"/>
  <c r="A21715" i="1"/>
  <c r="F21714" i="1"/>
  <c r="E21714" i="1"/>
  <c r="D21714" i="1"/>
  <c r="C21714" i="1"/>
  <c r="B21714" i="1"/>
  <c r="A21714" i="1"/>
  <c r="F21713" i="1"/>
  <c r="E21713" i="1"/>
  <c r="D21713" i="1"/>
  <c r="C21713" i="1"/>
  <c r="B21713" i="1"/>
  <c r="A21713" i="1"/>
  <c r="F21712" i="1"/>
  <c r="E21712" i="1"/>
  <c r="D21712" i="1"/>
  <c r="C21712" i="1"/>
  <c r="B21712" i="1"/>
  <c r="A21712" i="1"/>
  <c r="F21711" i="1"/>
  <c r="E21711" i="1"/>
  <c r="D21711" i="1"/>
  <c r="C21711" i="1"/>
  <c r="B21711" i="1"/>
  <c r="A21711" i="1"/>
  <c r="F21710" i="1"/>
  <c r="E21710" i="1"/>
  <c r="D21710" i="1"/>
  <c r="C21710" i="1"/>
  <c r="B21710" i="1"/>
  <c r="A21710" i="1"/>
  <c r="F21709" i="1"/>
  <c r="E21709" i="1"/>
  <c r="D21709" i="1"/>
  <c r="C21709" i="1"/>
  <c r="B21709" i="1"/>
  <c r="A21709" i="1"/>
  <c r="F21708" i="1"/>
  <c r="E21708" i="1"/>
  <c r="D21708" i="1"/>
  <c r="C21708" i="1"/>
  <c r="B21708" i="1"/>
  <c r="A21708" i="1"/>
  <c r="F21707" i="1"/>
  <c r="E21707" i="1"/>
  <c r="D21707" i="1"/>
  <c r="C21707" i="1"/>
  <c r="B21707" i="1"/>
  <c r="A21707" i="1"/>
  <c r="F21706" i="1"/>
  <c r="E21706" i="1"/>
  <c r="D21706" i="1"/>
  <c r="C21706" i="1"/>
  <c r="B21706" i="1"/>
  <c r="A21706" i="1"/>
  <c r="F21705" i="1"/>
  <c r="E21705" i="1"/>
  <c r="D21705" i="1"/>
  <c r="C21705" i="1"/>
  <c r="B21705" i="1"/>
  <c r="A21705" i="1"/>
  <c r="F21704" i="1"/>
  <c r="E21704" i="1"/>
  <c r="D21704" i="1"/>
  <c r="C21704" i="1"/>
  <c r="B21704" i="1"/>
  <c r="A21704" i="1"/>
  <c r="F21703" i="1"/>
  <c r="E21703" i="1"/>
  <c r="D21703" i="1"/>
  <c r="C21703" i="1"/>
  <c r="B21703" i="1"/>
  <c r="A21703" i="1"/>
  <c r="F21702" i="1"/>
  <c r="E21702" i="1"/>
  <c r="D21702" i="1"/>
  <c r="C21702" i="1"/>
  <c r="B21702" i="1"/>
  <c r="A21702" i="1"/>
  <c r="F21701" i="1"/>
  <c r="E21701" i="1"/>
  <c r="D21701" i="1"/>
  <c r="C21701" i="1"/>
  <c r="B21701" i="1"/>
  <c r="A21701" i="1"/>
  <c r="F21700" i="1"/>
  <c r="E21700" i="1"/>
  <c r="D21700" i="1"/>
  <c r="C21700" i="1"/>
  <c r="B21700" i="1"/>
  <c r="A21700" i="1"/>
  <c r="F21699" i="1"/>
  <c r="E21699" i="1"/>
  <c r="D21699" i="1"/>
  <c r="C21699" i="1"/>
  <c r="B21699" i="1"/>
  <c r="A21699" i="1"/>
  <c r="F21698" i="1"/>
  <c r="E21698" i="1"/>
  <c r="D21698" i="1"/>
  <c r="C21698" i="1"/>
  <c r="B21698" i="1"/>
  <c r="A21698" i="1"/>
  <c r="F21697" i="1"/>
  <c r="E21697" i="1"/>
  <c r="D21697" i="1"/>
  <c r="C21697" i="1"/>
  <c r="B21697" i="1"/>
  <c r="A21697" i="1"/>
  <c r="F21696" i="1"/>
  <c r="E21696" i="1"/>
  <c r="D21696" i="1"/>
  <c r="C21696" i="1"/>
  <c r="B21696" i="1"/>
  <c r="A21696" i="1"/>
  <c r="F21695" i="1"/>
  <c r="E21695" i="1"/>
  <c r="D21695" i="1"/>
  <c r="C21695" i="1"/>
  <c r="B21695" i="1"/>
  <c r="A21695" i="1"/>
  <c r="F21694" i="1"/>
  <c r="E21694" i="1"/>
  <c r="D21694" i="1"/>
  <c r="C21694" i="1"/>
  <c r="B21694" i="1"/>
  <c r="A21694" i="1"/>
  <c r="F21693" i="1"/>
  <c r="E21693" i="1"/>
  <c r="D21693" i="1"/>
  <c r="C21693" i="1"/>
  <c r="B21693" i="1"/>
  <c r="A21693" i="1"/>
  <c r="F21692" i="1"/>
  <c r="E21692" i="1"/>
  <c r="D21692" i="1"/>
  <c r="C21692" i="1"/>
  <c r="B21692" i="1"/>
  <c r="A21692" i="1"/>
  <c r="F21691" i="1"/>
  <c r="E21691" i="1"/>
  <c r="D21691" i="1"/>
  <c r="C21691" i="1"/>
  <c r="B21691" i="1"/>
  <c r="A21691" i="1"/>
  <c r="F21690" i="1"/>
  <c r="E21690" i="1"/>
  <c r="D21690" i="1"/>
  <c r="C21690" i="1"/>
  <c r="B21690" i="1"/>
  <c r="A21690" i="1"/>
  <c r="F21689" i="1"/>
  <c r="E21689" i="1"/>
  <c r="D21689" i="1"/>
  <c r="C21689" i="1"/>
  <c r="B21689" i="1"/>
  <c r="A21689" i="1"/>
  <c r="F21688" i="1"/>
  <c r="E21688" i="1"/>
  <c r="D21688" i="1"/>
  <c r="C21688" i="1"/>
  <c r="B21688" i="1"/>
  <c r="A21688" i="1"/>
  <c r="F21687" i="1"/>
  <c r="E21687" i="1"/>
  <c r="D21687" i="1"/>
  <c r="C21687" i="1"/>
  <c r="B21687" i="1"/>
  <c r="A21687" i="1"/>
  <c r="F21686" i="1"/>
  <c r="E21686" i="1"/>
  <c r="D21686" i="1"/>
  <c r="C21686" i="1"/>
  <c r="B21686" i="1"/>
  <c r="A21686" i="1"/>
  <c r="F21685" i="1"/>
  <c r="E21685" i="1"/>
  <c r="D21685" i="1"/>
  <c r="C21685" i="1"/>
  <c r="B21685" i="1"/>
  <c r="A21685" i="1"/>
  <c r="F21684" i="1"/>
  <c r="E21684" i="1"/>
  <c r="D21684" i="1"/>
  <c r="C21684" i="1"/>
  <c r="B21684" i="1"/>
  <c r="A21684" i="1"/>
  <c r="F21683" i="1"/>
  <c r="E21683" i="1"/>
  <c r="D21683" i="1"/>
  <c r="C21683" i="1"/>
  <c r="B21683" i="1"/>
  <c r="A21683" i="1"/>
  <c r="F21682" i="1"/>
  <c r="E21682" i="1"/>
  <c r="D21682" i="1"/>
  <c r="C21682" i="1"/>
  <c r="B21682" i="1"/>
  <c r="A21682" i="1"/>
  <c r="F21681" i="1"/>
  <c r="E21681" i="1"/>
  <c r="D21681" i="1"/>
  <c r="C21681" i="1"/>
  <c r="B21681" i="1"/>
  <c r="A21681" i="1"/>
  <c r="F21680" i="1"/>
  <c r="E21680" i="1"/>
  <c r="D21680" i="1"/>
  <c r="C21680" i="1"/>
  <c r="B21680" i="1"/>
  <c r="A21680" i="1"/>
  <c r="F21679" i="1"/>
  <c r="E21679" i="1"/>
  <c r="D21679" i="1"/>
  <c r="C21679" i="1"/>
  <c r="B21679" i="1"/>
  <c r="A21679" i="1"/>
  <c r="F21678" i="1"/>
  <c r="E21678" i="1"/>
  <c r="D21678" i="1"/>
  <c r="C21678" i="1"/>
  <c r="B21678" i="1"/>
  <c r="A21678" i="1"/>
  <c r="F21677" i="1"/>
  <c r="E21677" i="1"/>
  <c r="D21677" i="1"/>
  <c r="C21677" i="1"/>
  <c r="B21677" i="1"/>
  <c r="A21677" i="1"/>
  <c r="F21676" i="1"/>
  <c r="E21676" i="1"/>
  <c r="D21676" i="1"/>
  <c r="C21676" i="1"/>
  <c r="B21676" i="1"/>
  <c r="A21676" i="1"/>
  <c r="F21675" i="1"/>
  <c r="E21675" i="1"/>
  <c r="D21675" i="1"/>
  <c r="C21675" i="1"/>
  <c r="B21675" i="1"/>
  <c r="A21675" i="1"/>
  <c r="F21674" i="1"/>
  <c r="E21674" i="1"/>
  <c r="D21674" i="1"/>
  <c r="C21674" i="1"/>
  <c r="B21674" i="1"/>
  <c r="A21674" i="1"/>
  <c r="F21673" i="1"/>
  <c r="E21673" i="1"/>
  <c r="D21673" i="1"/>
  <c r="C21673" i="1"/>
  <c r="B21673" i="1"/>
  <c r="A21673" i="1"/>
  <c r="F21672" i="1"/>
  <c r="E21672" i="1"/>
  <c r="D21672" i="1"/>
  <c r="C21672" i="1"/>
  <c r="B21672" i="1"/>
  <c r="A21672" i="1"/>
  <c r="F21671" i="1"/>
  <c r="E21671" i="1"/>
  <c r="D21671" i="1"/>
  <c r="C21671" i="1"/>
  <c r="B21671" i="1"/>
  <c r="A21671" i="1"/>
  <c r="F21670" i="1"/>
  <c r="E21670" i="1"/>
  <c r="D21670" i="1"/>
  <c r="C21670" i="1"/>
  <c r="B21670" i="1"/>
  <c r="A21670" i="1"/>
  <c r="F21669" i="1"/>
  <c r="E21669" i="1"/>
  <c r="D21669" i="1"/>
  <c r="C21669" i="1"/>
  <c r="B21669" i="1"/>
  <c r="A21669" i="1"/>
  <c r="F21668" i="1"/>
  <c r="E21668" i="1"/>
  <c r="D21668" i="1"/>
  <c r="C21668" i="1"/>
  <c r="B21668" i="1"/>
  <c r="A21668" i="1"/>
  <c r="F21667" i="1"/>
  <c r="E21667" i="1"/>
  <c r="D21667" i="1"/>
  <c r="C21667" i="1"/>
  <c r="B21667" i="1"/>
  <c r="A21667" i="1"/>
  <c r="F21666" i="1"/>
  <c r="E21666" i="1"/>
  <c r="D21666" i="1"/>
  <c r="C21666" i="1"/>
  <c r="B21666" i="1"/>
  <c r="A21666" i="1"/>
  <c r="F21665" i="1"/>
  <c r="E21665" i="1"/>
  <c r="D21665" i="1"/>
  <c r="C21665" i="1"/>
  <c r="B21665" i="1"/>
  <c r="A21665" i="1"/>
  <c r="F21664" i="1"/>
  <c r="E21664" i="1"/>
  <c r="D21664" i="1"/>
  <c r="C21664" i="1"/>
  <c r="B21664" i="1"/>
  <c r="A21664" i="1"/>
  <c r="F21663" i="1"/>
  <c r="E21663" i="1"/>
  <c r="D21663" i="1"/>
  <c r="C21663" i="1"/>
  <c r="B21663" i="1"/>
  <c r="A21663" i="1"/>
  <c r="F21662" i="1"/>
  <c r="E21662" i="1"/>
  <c r="D21662" i="1"/>
  <c r="C21662" i="1"/>
  <c r="B21662" i="1"/>
  <c r="A21662" i="1"/>
  <c r="F21661" i="1"/>
  <c r="E21661" i="1"/>
  <c r="D21661" i="1"/>
  <c r="C21661" i="1"/>
  <c r="B21661" i="1"/>
  <c r="A21661" i="1"/>
  <c r="F21660" i="1"/>
  <c r="E21660" i="1"/>
  <c r="D21660" i="1"/>
  <c r="C21660" i="1"/>
  <c r="B21660" i="1"/>
  <c r="A21660" i="1"/>
  <c r="F21659" i="1"/>
  <c r="E21659" i="1"/>
  <c r="D21659" i="1"/>
  <c r="C21659" i="1"/>
  <c r="B21659" i="1"/>
  <c r="A21659" i="1"/>
  <c r="F21658" i="1"/>
  <c r="E21658" i="1"/>
  <c r="D21658" i="1"/>
  <c r="C21658" i="1"/>
  <c r="B21658" i="1"/>
  <c r="A21658" i="1"/>
  <c r="F21657" i="1"/>
  <c r="E21657" i="1"/>
  <c r="D21657" i="1"/>
  <c r="C21657" i="1"/>
  <c r="B21657" i="1"/>
  <c r="A21657" i="1"/>
  <c r="F21656" i="1"/>
  <c r="E21656" i="1"/>
  <c r="D21656" i="1"/>
  <c r="C21656" i="1"/>
  <c r="B21656" i="1"/>
  <c r="A21656" i="1"/>
  <c r="F21655" i="1"/>
  <c r="E21655" i="1"/>
  <c r="D21655" i="1"/>
  <c r="C21655" i="1"/>
  <c r="B21655" i="1"/>
  <c r="A21655" i="1"/>
  <c r="F21654" i="1"/>
  <c r="E21654" i="1"/>
  <c r="D21654" i="1"/>
  <c r="C21654" i="1"/>
  <c r="B21654" i="1"/>
  <c r="A21654" i="1"/>
  <c r="F21653" i="1"/>
  <c r="E21653" i="1"/>
  <c r="D21653" i="1"/>
  <c r="C21653" i="1"/>
  <c r="B21653" i="1"/>
  <c r="A21653" i="1"/>
  <c r="F21652" i="1"/>
  <c r="E21652" i="1"/>
  <c r="D21652" i="1"/>
  <c r="C21652" i="1"/>
  <c r="B21652" i="1"/>
  <c r="A21652" i="1"/>
  <c r="F21651" i="1"/>
  <c r="E21651" i="1"/>
  <c r="D21651" i="1"/>
  <c r="C21651" i="1"/>
  <c r="B21651" i="1"/>
  <c r="A21651" i="1"/>
  <c r="F21650" i="1"/>
  <c r="E21650" i="1"/>
  <c r="D21650" i="1"/>
  <c r="C21650" i="1"/>
  <c r="B21650" i="1"/>
  <c r="A21650" i="1"/>
  <c r="F21649" i="1"/>
  <c r="E21649" i="1"/>
  <c r="D21649" i="1"/>
  <c r="C21649" i="1"/>
  <c r="B21649" i="1"/>
  <c r="A21649" i="1"/>
  <c r="F21648" i="1"/>
  <c r="E21648" i="1"/>
  <c r="D21648" i="1"/>
  <c r="C21648" i="1"/>
  <c r="B21648" i="1"/>
  <c r="A21648" i="1"/>
  <c r="F21647" i="1"/>
  <c r="E21647" i="1"/>
  <c r="D21647" i="1"/>
  <c r="C21647" i="1"/>
  <c r="B21647" i="1"/>
  <c r="A21647" i="1"/>
  <c r="F21646" i="1"/>
  <c r="E21646" i="1"/>
  <c r="D21646" i="1"/>
  <c r="C21646" i="1"/>
  <c r="B21646" i="1"/>
  <c r="A21646" i="1"/>
  <c r="F21645" i="1"/>
  <c r="E21645" i="1"/>
  <c r="D21645" i="1"/>
  <c r="C21645" i="1"/>
  <c r="B21645" i="1"/>
  <c r="A21645" i="1"/>
  <c r="F21644" i="1"/>
  <c r="E21644" i="1"/>
  <c r="D21644" i="1"/>
  <c r="C21644" i="1"/>
  <c r="B21644" i="1"/>
  <c r="A21644" i="1"/>
  <c r="F21643" i="1"/>
  <c r="E21643" i="1"/>
  <c r="D21643" i="1"/>
  <c r="C21643" i="1"/>
  <c r="B21643" i="1"/>
  <c r="A21643" i="1"/>
  <c r="F21642" i="1"/>
  <c r="E21642" i="1"/>
  <c r="D21642" i="1"/>
  <c r="C21642" i="1"/>
  <c r="B21642" i="1"/>
  <c r="A21642" i="1"/>
  <c r="F21641" i="1"/>
  <c r="E21641" i="1"/>
  <c r="D21641" i="1"/>
  <c r="C21641" i="1"/>
  <c r="B21641" i="1"/>
  <c r="A21641" i="1"/>
  <c r="F21640" i="1"/>
  <c r="E21640" i="1"/>
  <c r="D21640" i="1"/>
  <c r="C21640" i="1"/>
  <c r="B21640" i="1"/>
  <c r="A21640" i="1"/>
  <c r="F21639" i="1"/>
  <c r="E21639" i="1"/>
  <c r="D21639" i="1"/>
  <c r="C21639" i="1"/>
  <c r="B21639" i="1"/>
  <c r="A21639" i="1"/>
  <c r="F21638" i="1"/>
  <c r="E21638" i="1"/>
  <c r="D21638" i="1"/>
  <c r="C21638" i="1"/>
  <c r="B21638" i="1"/>
  <c r="A21638" i="1"/>
  <c r="F21637" i="1"/>
  <c r="E21637" i="1"/>
  <c r="D21637" i="1"/>
  <c r="C21637" i="1"/>
  <c r="B21637" i="1"/>
  <c r="A21637" i="1"/>
  <c r="F21636" i="1"/>
  <c r="E21636" i="1"/>
  <c r="D21636" i="1"/>
  <c r="C21636" i="1"/>
  <c r="B21636" i="1"/>
  <c r="A21636" i="1"/>
  <c r="F21635" i="1"/>
  <c r="E21635" i="1"/>
  <c r="D21635" i="1"/>
  <c r="C21635" i="1"/>
  <c r="B21635" i="1"/>
  <c r="A21635" i="1"/>
  <c r="F21634" i="1"/>
  <c r="E21634" i="1"/>
  <c r="D21634" i="1"/>
  <c r="C21634" i="1"/>
  <c r="B21634" i="1"/>
  <c r="A21634" i="1"/>
  <c r="F21633" i="1"/>
  <c r="E21633" i="1"/>
  <c r="D21633" i="1"/>
  <c r="C21633" i="1"/>
  <c r="B21633" i="1"/>
  <c r="A21633" i="1"/>
  <c r="F21632" i="1"/>
  <c r="E21632" i="1"/>
  <c r="D21632" i="1"/>
  <c r="C21632" i="1"/>
  <c r="B21632" i="1"/>
  <c r="A21632" i="1"/>
  <c r="F21631" i="1"/>
  <c r="E21631" i="1"/>
  <c r="D21631" i="1"/>
  <c r="C21631" i="1"/>
  <c r="B21631" i="1"/>
  <c r="A21631" i="1"/>
  <c r="F21630" i="1"/>
  <c r="E21630" i="1"/>
  <c r="D21630" i="1"/>
  <c r="C21630" i="1"/>
  <c r="B21630" i="1"/>
  <c r="A21630" i="1"/>
  <c r="F21629" i="1"/>
  <c r="E21629" i="1"/>
  <c r="D21629" i="1"/>
  <c r="C21629" i="1"/>
  <c r="B21629" i="1"/>
  <c r="A21629" i="1"/>
  <c r="F21628" i="1"/>
  <c r="E21628" i="1"/>
  <c r="D21628" i="1"/>
  <c r="C21628" i="1"/>
  <c r="B21628" i="1"/>
  <c r="A21628" i="1"/>
  <c r="F21627" i="1"/>
  <c r="E21627" i="1"/>
  <c r="D21627" i="1"/>
  <c r="C21627" i="1"/>
  <c r="B21627" i="1"/>
  <c r="A21627" i="1"/>
  <c r="F21626" i="1"/>
  <c r="E21626" i="1"/>
  <c r="D21626" i="1"/>
  <c r="C21626" i="1"/>
  <c r="B21626" i="1"/>
  <c r="A21626" i="1"/>
  <c r="F21625" i="1"/>
  <c r="E21625" i="1"/>
  <c r="D21625" i="1"/>
  <c r="C21625" i="1"/>
  <c r="B21625" i="1"/>
  <c r="A21625" i="1"/>
  <c r="F21624" i="1"/>
  <c r="E21624" i="1"/>
  <c r="D21624" i="1"/>
  <c r="C21624" i="1"/>
  <c r="B21624" i="1"/>
  <c r="A21624" i="1"/>
  <c r="F21623" i="1"/>
  <c r="E21623" i="1"/>
  <c r="D21623" i="1"/>
  <c r="C21623" i="1"/>
  <c r="B21623" i="1"/>
  <c r="A21623" i="1"/>
  <c r="F21622" i="1"/>
  <c r="E21622" i="1"/>
  <c r="D21622" i="1"/>
  <c r="C21622" i="1"/>
  <c r="B21622" i="1"/>
  <c r="A21622" i="1"/>
  <c r="F21621" i="1"/>
  <c r="E21621" i="1"/>
  <c r="D21621" i="1"/>
  <c r="C21621" i="1"/>
  <c r="B21621" i="1"/>
  <c r="A21621" i="1"/>
  <c r="F21620" i="1"/>
  <c r="E21620" i="1"/>
  <c r="D21620" i="1"/>
  <c r="C21620" i="1"/>
  <c r="B21620" i="1"/>
  <c r="A21620" i="1"/>
  <c r="F21619" i="1"/>
  <c r="E21619" i="1"/>
  <c r="D21619" i="1"/>
  <c r="C21619" i="1"/>
  <c r="B21619" i="1"/>
  <c r="A21619" i="1"/>
  <c r="F21618" i="1"/>
  <c r="E21618" i="1"/>
  <c r="D21618" i="1"/>
  <c r="C21618" i="1"/>
  <c r="B21618" i="1"/>
  <c r="A21618" i="1"/>
  <c r="F21617" i="1"/>
  <c r="E21617" i="1"/>
  <c r="D21617" i="1"/>
  <c r="C21617" i="1"/>
  <c r="B21617" i="1"/>
  <c r="A21617" i="1"/>
  <c r="F21616" i="1"/>
  <c r="E21616" i="1"/>
  <c r="D21616" i="1"/>
  <c r="C21616" i="1"/>
  <c r="B21616" i="1"/>
  <c r="A21616" i="1"/>
  <c r="F21615" i="1"/>
  <c r="E21615" i="1"/>
  <c r="D21615" i="1"/>
  <c r="C21615" i="1"/>
  <c r="B21615" i="1"/>
  <c r="A21615" i="1"/>
  <c r="F21614" i="1"/>
  <c r="E21614" i="1"/>
  <c r="D21614" i="1"/>
  <c r="C21614" i="1"/>
  <c r="B21614" i="1"/>
  <c r="A21614" i="1"/>
  <c r="F21613" i="1"/>
  <c r="E21613" i="1"/>
  <c r="D21613" i="1"/>
  <c r="C21613" i="1"/>
  <c r="B21613" i="1"/>
  <c r="A21613" i="1"/>
  <c r="F21612" i="1"/>
  <c r="E21612" i="1"/>
  <c r="D21612" i="1"/>
  <c r="C21612" i="1"/>
  <c r="B21612" i="1"/>
  <c r="A21612" i="1"/>
  <c r="F21611" i="1"/>
  <c r="E21611" i="1"/>
  <c r="D21611" i="1"/>
  <c r="C21611" i="1"/>
  <c r="B21611" i="1"/>
  <c r="A21611" i="1"/>
  <c r="F21610" i="1"/>
  <c r="E21610" i="1"/>
  <c r="D21610" i="1"/>
  <c r="C21610" i="1"/>
  <c r="B21610" i="1"/>
  <c r="A21610" i="1"/>
  <c r="F21609" i="1"/>
  <c r="E21609" i="1"/>
  <c r="D21609" i="1"/>
  <c r="C21609" i="1"/>
  <c r="B21609" i="1"/>
  <c r="A21609" i="1"/>
  <c r="F21608" i="1"/>
  <c r="E21608" i="1"/>
  <c r="D21608" i="1"/>
  <c r="C21608" i="1"/>
  <c r="B21608" i="1"/>
  <c r="A21608" i="1"/>
  <c r="F21607" i="1"/>
  <c r="E21607" i="1"/>
  <c r="D21607" i="1"/>
  <c r="C21607" i="1"/>
  <c r="B21607" i="1"/>
  <c r="A21607" i="1"/>
  <c r="F21606" i="1"/>
  <c r="E21606" i="1"/>
  <c r="D21606" i="1"/>
  <c r="C21606" i="1"/>
  <c r="B21606" i="1"/>
  <c r="A21606" i="1"/>
  <c r="F21605" i="1"/>
  <c r="E21605" i="1"/>
  <c r="D21605" i="1"/>
  <c r="C21605" i="1"/>
  <c r="B21605" i="1"/>
  <c r="A21605" i="1"/>
  <c r="F21604" i="1"/>
  <c r="E21604" i="1"/>
  <c r="D21604" i="1"/>
  <c r="C21604" i="1"/>
  <c r="B21604" i="1"/>
  <c r="A21604" i="1"/>
  <c r="F21603" i="1"/>
  <c r="E21603" i="1"/>
  <c r="D21603" i="1"/>
  <c r="C21603" i="1"/>
  <c r="B21603" i="1"/>
  <c r="A21603" i="1"/>
  <c r="F21602" i="1"/>
  <c r="E21602" i="1"/>
  <c r="D21602" i="1"/>
  <c r="C21602" i="1"/>
  <c r="B21602" i="1"/>
  <c r="A21602" i="1"/>
  <c r="F21601" i="1"/>
  <c r="E21601" i="1"/>
  <c r="D21601" i="1"/>
  <c r="C21601" i="1"/>
  <c r="B21601" i="1"/>
  <c r="A21601" i="1"/>
  <c r="F21600" i="1"/>
  <c r="E21600" i="1"/>
  <c r="D21600" i="1"/>
  <c r="C21600" i="1"/>
  <c r="B21600" i="1"/>
  <c r="A21600" i="1"/>
  <c r="F21599" i="1"/>
  <c r="E21599" i="1"/>
  <c r="D21599" i="1"/>
  <c r="C21599" i="1"/>
  <c r="B21599" i="1"/>
  <c r="A21599" i="1"/>
  <c r="F21598" i="1"/>
  <c r="E21598" i="1"/>
  <c r="D21598" i="1"/>
  <c r="C21598" i="1"/>
  <c r="B21598" i="1"/>
  <c r="A21598" i="1"/>
  <c r="F21597" i="1"/>
  <c r="E21597" i="1"/>
  <c r="D21597" i="1"/>
  <c r="C21597" i="1"/>
  <c r="B21597" i="1"/>
  <c r="A21597" i="1"/>
  <c r="F21596" i="1"/>
  <c r="E21596" i="1"/>
  <c r="D21596" i="1"/>
  <c r="C21596" i="1"/>
  <c r="B21596" i="1"/>
  <c r="A21596" i="1"/>
  <c r="F21595" i="1"/>
  <c r="E21595" i="1"/>
  <c r="D21595" i="1"/>
  <c r="C21595" i="1"/>
  <c r="B21595" i="1"/>
  <c r="A21595" i="1"/>
  <c r="F21594" i="1"/>
  <c r="E21594" i="1"/>
  <c r="D21594" i="1"/>
  <c r="C21594" i="1"/>
  <c r="B21594" i="1"/>
  <c r="A21594" i="1"/>
  <c r="F21593" i="1"/>
  <c r="E21593" i="1"/>
  <c r="D21593" i="1"/>
  <c r="C21593" i="1"/>
  <c r="B21593" i="1"/>
  <c r="A21593" i="1"/>
  <c r="F21592" i="1"/>
  <c r="E21592" i="1"/>
  <c r="D21592" i="1"/>
  <c r="C21592" i="1"/>
  <c r="B21592" i="1"/>
  <c r="A21592" i="1"/>
  <c r="F21591" i="1"/>
  <c r="E21591" i="1"/>
  <c r="D21591" i="1"/>
  <c r="C21591" i="1"/>
  <c r="B21591" i="1"/>
  <c r="A21591" i="1"/>
  <c r="F21590" i="1"/>
  <c r="E21590" i="1"/>
  <c r="D21590" i="1"/>
  <c r="C21590" i="1"/>
  <c r="B21590" i="1"/>
  <c r="A21590" i="1"/>
  <c r="F21589" i="1"/>
  <c r="E21589" i="1"/>
  <c r="D21589" i="1"/>
  <c r="C21589" i="1"/>
  <c r="B21589" i="1"/>
  <c r="A21589" i="1"/>
  <c r="F21588" i="1"/>
  <c r="E21588" i="1"/>
  <c r="D21588" i="1"/>
  <c r="C21588" i="1"/>
  <c r="B21588" i="1"/>
  <c r="A21588" i="1"/>
  <c r="F21587" i="1"/>
  <c r="E21587" i="1"/>
  <c r="D21587" i="1"/>
  <c r="C21587" i="1"/>
  <c r="B21587" i="1"/>
  <c r="A21587" i="1"/>
  <c r="F21586" i="1"/>
  <c r="E21586" i="1"/>
  <c r="D21586" i="1"/>
  <c r="C21586" i="1"/>
  <c r="B21586" i="1"/>
  <c r="A21586" i="1"/>
  <c r="F21585" i="1"/>
  <c r="E21585" i="1"/>
  <c r="D21585" i="1"/>
  <c r="C21585" i="1"/>
  <c r="B21585" i="1"/>
  <c r="A21585" i="1"/>
  <c r="F21584" i="1"/>
  <c r="E21584" i="1"/>
  <c r="D21584" i="1"/>
  <c r="C21584" i="1"/>
  <c r="B21584" i="1"/>
  <c r="A21584" i="1"/>
  <c r="F21583" i="1"/>
  <c r="E21583" i="1"/>
  <c r="D21583" i="1"/>
  <c r="C21583" i="1"/>
  <c r="B21583" i="1"/>
  <c r="A21583" i="1"/>
  <c r="F21582" i="1"/>
  <c r="E21582" i="1"/>
  <c r="D21582" i="1"/>
  <c r="C21582" i="1"/>
  <c r="B21582" i="1"/>
  <c r="A21582" i="1"/>
  <c r="F21581" i="1"/>
  <c r="E21581" i="1"/>
  <c r="D21581" i="1"/>
  <c r="C21581" i="1"/>
  <c r="B21581" i="1"/>
  <c r="A21581" i="1"/>
  <c r="F21580" i="1"/>
  <c r="E21580" i="1"/>
  <c r="D21580" i="1"/>
  <c r="C21580" i="1"/>
  <c r="B21580" i="1"/>
  <c r="A21580" i="1"/>
  <c r="F21579" i="1"/>
  <c r="E21579" i="1"/>
  <c r="D21579" i="1"/>
  <c r="C21579" i="1"/>
  <c r="B21579" i="1"/>
  <c r="A21579" i="1"/>
  <c r="F21578" i="1"/>
  <c r="E21578" i="1"/>
  <c r="D21578" i="1"/>
  <c r="C21578" i="1"/>
  <c r="B21578" i="1"/>
  <c r="A21578" i="1"/>
  <c r="F21577" i="1"/>
  <c r="E21577" i="1"/>
  <c r="D21577" i="1"/>
  <c r="C21577" i="1"/>
  <c r="B21577" i="1"/>
  <c r="A21577" i="1"/>
  <c r="F21576" i="1"/>
  <c r="E21576" i="1"/>
  <c r="D21576" i="1"/>
  <c r="C21576" i="1"/>
  <c r="B21576" i="1"/>
  <c r="A21576" i="1"/>
  <c r="F21575" i="1"/>
  <c r="E21575" i="1"/>
  <c r="D21575" i="1"/>
  <c r="C21575" i="1"/>
  <c r="B21575" i="1"/>
  <c r="A21575" i="1"/>
  <c r="F21574" i="1"/>
  <c r="E21574" i="1"/>
  <c r="D21574" i="1"/>
  <c r="C21574" i="1"/>
  <c r="B21574" i="1"/>
  <c r="A21574" i="1"/>
  <c r="F21573" i="1"/>
  <c r="E21573" i="1"/>
  <c r="D21573" i="1"/>
  <c r="C21573" i="1"/>
  <c r="B21573" i="1"/>
  <c r="A21573" i="1"/>
  <c r="F21572" i="1"/>
  <c r="E21572" i="1"/>
  <c r="D21572" i="1"/>
  <c r="C21572" i="1"/>
  <c r="B21572" i="1"/>
  <c r="A21572" i="1"/>
  <c r="F21571" i="1"/>
  <c r="E21571" i="1"/>
  <c r="D21571" i="1"/>
  <c r="C21571" i="1"/>
  <c r="B21571" i="1"/>
  <c r="A21571" i="1"/>
  <c r="F21570" i="1"/>
  <c r="E21570" i="1"/>
  <c r="D21570" i="1"/>
  <c r="C21570" i="1"/>
  <c r="B21570" i="1"/>
  <c r="A21570" i="1"/>
  <c r="F21569" i="1"/>
  <c r="E21569" i="1"/>
  <c r="D21569" i="1"/>
  <c r="C21569" i="1"/>
  <c r="B21569" i="1"/>
  <c r="A21569" i="1"/>
  <c r="F21568" i="1"/>
  <c r="E21568" i="1"/>
  <c r="D21568" i="1"/>
  <c r="C21568" i="1"/>
  <c r="B21568" i="1"/>
  <c r="A21568" i="1"/>
  <c r="F21567" i="1"/>
  <c r="E21567" i="1"/>
  <c r="D21567" i="1"/>
  <c r="C21567" i="1"/>
  <c r="B21567" i="1"/>
  <c r="A21567" i="1"/>
  <c r="F21566" i="1"/>
  <c r="E21566" i="1"/>
  <c r="D21566" i="1"/>
  <c r="C21566" i="1"/>
  <c r="B21566" i="1"/>
  <c r="A21566" i="1"/>
  <c r="F21565" i="1"/>
  <c r="E21565" i="1"/>
  <c r="D21565" i="1"/>
  <c r="C21565" i="1"/>
  <c r="B21565" i="1"/>
  <c r="A21565" i="1"/>
  <c r="F21564" i="1"/>
  <c r="E21564" i="1"/>
  <c r="D21564" i="1"/>
  <c r="C21564" i="1"/>
  <c r="B21564" i="1"/>
  <c r="A21564" i="1"/>
  <c r="F21563" i="1"/>
  <c r="E21563" i="1"/>
  <c r="D21563" i="1"/>
  <c r="C21563" i="1"/>
  <c r="B21563" i="1"/>
  <c r="A21563" i="1"/>
  <c r="F21562" i="1"/>
  <c r="E21562" i="1"/>
  <c r="D21562" i="1"/>
  <c r="C21562" i="1"/>
  <c r="B21562" i="1"/>
  <c r="A21562" i="1"/>
  <c r="F21561" i="1"/>
  <c r="E21561" i="1"/>
  <c r="D21561" i="1"/>
  <c r="C21561" i="1"/>
  <c r="B21561" i="1"/>
  <c r="A21561" i="1"/>
  <c r="F21560" i="1"/>
  <c r="E21560" i="1"/>
  <c r="D21560" i="1"/>
  <c r="C21560" i="1"/>
  <c r="B21560" i="1"/>
  <c r="A21560" i="1"/>
  <c r="F21559" i="1"/>
  <c r="E21559" i="1"/>
  <c r="D21559" i="1"/>
  <c r="C21559" i="1"/>
  <c r="B21559" i="1"/>
  <c r="A21559" i="1"/>
  <c r="F21558" i="1"/>
  <c r="E21558" i="1"/>
  <c r="D21558" i="1"/>
  <c r="C21558" i="1"/>
  <c r="B21558" i="1"/>
  <c r="A21558" i="1"/>
  <c r="F21557" i="1"/>
  <c r="E21557" i="1"/>
  <c r="D21557" i="1"/>
  <c r="C21557" i="1"/>
  <c r="B21557" i="1"/>
  <c r="A21557" i="1"/>
  <c r="F21556" i="1"/>
  <c r="E21556" i="1"/>
  <c r="D21556" i="1"/>
  <c r="C21556" i="1"/>
  <c r="B21556" i="1"/>
  <c r="A21556" i="1"/>
  <c r="F21555" i="1"/>
  <c r="E21555" i="1"/>
  <c r="D21555" i="1"/>
  <c r="C21555" i="1"/>
  <c r="B21555" i="1"/>
  <c r="A21555" i="1"/>
  <c r="F21554" i="1"/>
  <c r="E21554" i="1"/>
  <c r="D21554" i="1"/>
  <c r="C21554" i="1"/>
  <c r="B21554" i="1"/>
  <c r="A21554" i="1"/>
  <c r="F21553" i="1"/>
  <c r="E21553" i="1"/>
  <c r="D21553" i="1"/>
  <c r="C21553" i="1"/>
  <c r="B21553" i="1"/>
  <c r="A21553" i="1"/>
  <c r="F21552" i="1"/>
  <c r="E21552" i="1"/>
  <c r="D21552" i="1"/>
  <c r="C21552" i="1"/>
  <c r="B21552" i="1"/>
  <c r="A21552" i="1"/>
  <c r="F21551" i="1"/>
  <c r="E21551" i="1"/>
  <c r="D21551" i="1"/>
  <c r="C21551" i="1"/>
  <c r="B21551" i="1"/>
  <c r="A21551" i="1"/>
  <c r="F21550" i="1"/>
  <c r="E21550" i="1"/>
  <c r="D21550" i="1"/>
  <c r="C21550" i="1"/>
  <c r="B21550" i="1"/>
  <c r="A21550" i="1"/>
  <c r="F21549" i="1"/>
  <c r="E21549" i="1"/>
  <c r="D21549" i="1"/>
  <c r="C21549" i="1"/>
  <c r="B21549" i="1"/>
  <c r="A21549" i="1"/>
  <c r="F21548" i="1"/>
  <c r="E21548" i="1"/>
  <c r="D21548" i="1"/>
  <c r="C21548" i="1"/>
  <c r="B21548" i="1"/>
  <c r="A21548" i="1"/>
  <c r="F21547" i="1"/>
  <c r="E21547" i="1"/>
  <c r="D21547" i="1"/>
  <c r="C21547" i="1"/>
  <c r="B21547" i="1"/>
  <c r="A21547" i="1"/>
  <c r="F21546" i="1"/>
  <c r="E21546" i="1"/>
  <c r="D21546" i="1"/>
  <c r="C21546" i="1"/>
  <c r="B21546" i="1"/>
  <c r="A21546" i="1"/>
  <c r="F21545" i="1"/>
  <c r="E21545" i="1"/>
  <c r="D21545" i="1"/>
  <c r="C21545" i="1"/>
  <c r="B21545" i="1"/>
  <c r="A21545" i="1"/>
  <c r="F21544" i="1"/>
  <c r="E21544" i="1"/>
  <c r="D21544" i="1"/>
  <c r="C21544" i="1"/>
  <c r="B21544" i="1"/>
  <c r="A21544" i="1"/>
  <c r="F21543" i="1"/>
  <c r="E21543" i="1"/>
  <c r="D21543" i="1"/>
  <c r="C21543" i="1"/>
  <c r="B21543" i="1"/>
  <c r="A21543" i="1"/>
  <c r="F21542" i="1"/>
  <c r="E21542" i="1"/>
  <c r="D21542" i="1"/>
  <c r="C21542" i="1"/>
  <c r="B21542" i="1"/>
  <c r="A21542" i="1"/>
  <c r="F21541" i="1"/>
  <c r="E21541" i="1"/>
  <c r="D21541" i="1"/>
  <c r="C21541" i="1"/>
  <c r="B21541" i="1"/>
  <c r="A21541" i="1"/>
  <c r="F21540" i="1"/>
  <c r="E21540" i="1"/>
  <c r="D21540" i="1"/>
  <c r="C21540" i="1"/>
  <c r="B21540" i="1"/>
  <c r="A21540" i="1"/>
  <c r="F21539" i="1"/>
  <c r="E21539" i="1"/>
  <c r="D21539" i="1"/>
  <c r="C21539" i="1"/>
  <c r="B21539" i="1"/>
  <c r="A21539" i="1"/>
  <c r="F21538" i="1"/>
  <c r="E21538" i="1"/>
  <c r="D21538" i="1"/>
  <c r="C21538" i="1"/>
  <c r="B21538" i="1"/>
  <c r="A21538" i="1"/>
  <c r="F21537" i="1"/>
  <c r="E21537" i="1"/>
  <c r="D21537" i="1"/>
  <c r="C21537" i="1"/>
  <c r="B21537" i="1"/>
  <c r="A21537" i="1"/>
  <c r="F21536" i="1"/>
  <c r="E21536" i="1"/>
  <c r="D21536" i="1"/>
  <c r="C21536" i="1"/>
  <c r="B21536" i="1"/>
  <c r="A21536" i="1"/>
  <c r="F21535" i="1"/>
  <c r="E21535" i="1"/>
  <c r="D21535" i="1"/>
  <c r="C21535" i="1"/>
  <c r="B21535" i="1"/>
  <c r="A21535" i="1"/>
  <c r="F21534" i="1"/>
  <c r="E21534" i="1"/>
  <c r="D21534" i="1"/>
  <c r="C21534" i="1"/>
  <c r="B21534" i="1"/>
  <c r="A21534" i="1"/>
  <c r="F21533" i="1"/>
  <c r="E21533" i="1"/>
  <c r="D21533" i="1"/>
  <c r="C21533" i="1"/>
  <c r="B21533" i="1"/>
  <c r="A21533" i="1"/>
  <c r="F21532" i="1"/>
  <c r="E21532" i="1"/>
  <c r="D21532" i="1"/>
  <c r="C21532" i="1"/>
  <c r="B21532" i="1"/>
  <c r="A21532" i="1"/>
  <c r="F21531" i="1"/>
  <c r="E21531" i="1"/>
  <c r="D21531" i="1"/>
  <c r="C21531" i="1"/>
  <c r="B21531" i="1"/>
  <c r="A21531" i="1"/>
  <c r="F21530" i="1"/>
  <c r="E21530" i="1"/>
  <c r="D21530" i="1"/>
  <c r="C21530" i="1"/>
  <c r="B21530" i="1"/>
  <c r="A21530" i="1"/>
  <c r="F21529" i="1"/>
  <c r="E21529" i="1"/>
  <c r="D21529" i="1"/>
  <c r="C21529" i="1"/>
  <c r="B21529" i="1"/>
  <c r="A21529" i="1"/>
  <c r="F21528" i="1"/>
  <c r="E21528" i="1"/>
  <c r="D21528" i="1"/>
  <c r="C21528" i="1"/>
  <c r="B21528" i="1"/>
  <c r="A21528" i="1"/>
  <c r="F21527" i="1"/>
  <c r="E21527" i="1"/>
  <c r="D21527" i="1"/>
  <c r="C21527" i="1"/>
  <c r="B21527" i="1"/>
  <c r="A21527" i="1"/>
  <c r="F21526" i="1"/>
  <c r="E21526" i="1"/>
  <c r="D21526" i="1"/>
  <c r="C21526" i="1"/>
  <c r="B21526" i="1"/>
  <c r="A21526" i="1"/>
  <c r="F21525" i="1"/>
  <c r="E21525" i="1"/>
  <c r="D21525" i="1"/>
  <c r="C21525" i="1"/>
  <c r="B21525" i="1"/>
  <c r="A21525" i="1"/>
  <c r="F21524" i="1"/>
  <c r="E21524" i="1"/>
  <c r="D21524" i="1"/>
  <c r="C21524" i="1"/>
  <c r="B21524" i="1"/>
  <c r="A21524" i="1"/>
  <c r="F21523" i="1"/>
  <c r="E21523" i="1"/>
  <c r="D21523" i="1"/>
  <c r="C21523" i="1"/>
  <c r="B21523" i="1"/>
  <c r="A21523" i="1"/>
  <c r="F21522" i="1"/>
  <c r="E21522" i="1"/>
  <c r="D21522" i="1"/>
  <c r="C21522" i="1"/>
  <c r="B21522" i="1"/>
  <c r="A21522" i="1"/>
  <c r="F21521" i="1"/>
  <c r="E21521" i="1"/>
  <c r="D21521" i="1"/>
  <c r="C21521" i="1"/>
  <c r="B21521" i="1"/>
  <c r="A21521" i="1"/>
  <c r="F21520" i="1"/>
  <c r="E21520" i="1"/>
  <c r="D21520" i="1"/>
  <c r="C21520" i="1"/>
  <c r="B21520" i="1"/>
  <c r="A21520" i="1"/>
  <c r="F21519" i="1"/>
  <c r="E21519" i="1"/>
  <c r="D21519" i="1"/>
  <c r="C21519" i="1"/>
  <c r="B21519" i="1"/>
  <c r="A21519" i="1"/>
  <c r="F21518" i="1"/>
  <c r="E21518" i="1"/>
  <c r="D21518" i="1"/>
  <c r="C21518" i="1"/>
  <c r="B21518" i="1"/>
  <c r="A21518" i="1"/>
  <c r="F21517" i="1"/>
  <c r="E21517" i="1"/>
  <c r="D21517" i="1"/>
  <c r="C21517" i="1"/>
  <c r="B21517" i="1"/>
  <c r="A21517" i="1"/>
  <c r="F21516" i="1"/>
  <c r="E21516" i="1"/>
  <c r="D21516" i="1"/>
  <c r="C21516" i="1"/>
  <c r="B21516" i="1"/>
  <c r="A21516" i="1"/>
  <c r="F21515" i="1"/>
  <c r="E21515" i="1"/>
  <c r="D21515" i="1"/>
  <c r="C21515" i="1"/>
  <c r="B21515" i="1"/>
  <c r="A21515" i="1"/>
  <c r="F21514" i="1"/>
  <c r="E21514" i="1"/>
  <c r="D21514" i="1"/>
  <c r="C21514" i="1"/>
  <c r="B21514" i="1"/>
  <c r="A21514" i="1"/>
  <c r="F21513" i="1"/>
  <c r="E21513" i="1"/>
  <c r="D21513" i="1"/>
  <c r="C21513" i="1"/>
  <c r="B21513" i="1"/>
  <c r="A21513" i="1"/>
  <c r="F21512" i="1"/>
  <c r="E21512" i="1"/>
  <c r="D21512" i="1"/>
  <c r="C21512" i="1"/>
  <c r="B21512" i="1"/>
  <c r="A21512" i="1"/>
  <c r="F21511" i="1"/>
  <c r="E21511" i="1"/>
  <c r="D21511" i="1"/>
  <c r="C21511" i="1"/>
  <c r="B21511" i="1"/>
  <c r="A21511" i="1"/>
  <c r="F21510" i="1"/>
  <c r="E21510" i="1"/>
  <c r="D21510" i="1"/>
  <c r="C21510" i="1"/>
  <c r="B21510" i="1"/>
  <c r="A21510" i="1"/>
  <c r="F21509" i="1"/>
  <c r="E21509" i="1"/>
  <c r="D21509" i="1"/>
  <c r="C21509" i="1"/>
  <c r="B21509" i="1"/>
  <c r="A21509" i="1"/>
  <c r="F21508" i="1"/>
  <c r="E21508" i="1"/>
  <c r="D21508" i="1"/>
  <c r="C21508" i="1"/>
  <c r="B21508" i="1"/>
  <c r="A21508" i="1"/>
  <c r="F21507" i="1"/>
  <c r="E21507" i="1"/>
  <c r="D21507" i="1"/>
  <c r="C21507" i="1"/>
  <c r="B21507" i="1"/>
  <c r="A21507" i="1"/>
  <c r="F21506" i="1"/>
  <c r="E21506" i="1"/>
  <c r="D21506" i="1"/>
  <c r="C21506" i="1"/>
  <c r="B21506" i="1"/>
  <c r="A21506" i="1"/>
  <c r="F21505" i="1"/>
  <c r="E21505" i="1"/>
  <c r="D21505" i="1"/>
  <c r="C21505" i="1"/>
  <c r="B21505" i="1"/>
  <c r="A21505" i="1"/>
  <c r="F21504" i="1"/>
  <c r="E21504" i="1"/>
  <c r="D21504" i="1"/>
  <c r="C21504" i="1"/>
  <c r="B21504" i="1"/>
  <c r="A21504" i="1"/>
  <c r="F21503" i="1"/>
  <c r="E21503" i="1"/>
  <c r="D21503" i="1"/>
  <c r="C21503" i="1"/>
  <c r="B21503" i="1"/>
  <c r="A21503" i="1"/>
  <c r="F21502" i="1"/>
  <c r="E21502" i="1"/>
  <c r="D21502" i="1"/>
  <c r="C21502" i="1"/>
  <c r="B21502" i="1"/>
  <c r="A21502" i="1"/>
  <c r="F21501" i="1"/>
  <c r="E21501" i="1"/>
  <c r="D21501" i="1"/>
  <c r="C21501" i="1"/>
  <c r="B21501" i="1"/>
  <c r="A21501" i="1"/>
  <c r="F21500" i="1"/>
  <c r="E21500" i="1"/>
  <c r="D21500" i="1"/>
  <c r="C21500" i="1"/>
  <c r="B21500" i="1"/>
  <c r="A21500" i="1"/>
  <c r="F21499" i="1"/>
  <c r="E21499" i="1"/>
  <c r="D21499" i="1"/>
  <c r="C21499" i="1"/>
  <c r="B21499" i="1"/>
  <c r="A21499" i="1"/>
  <c r="F21498" i="1"/>
  <c r="E21498" i="1"/>
  <c r="D21498" i="1"/>
  <c r="C21498" i="1"/>
  <c r="B21498" i="1"/>
  <c r="A21498" i="1"/>
  <c r="F21497" i="1"/>
  <c r="E21497" i="1"/>
  <c r="D21497" i="1"/>
  <c r="C21497" i="1"/>
  <c r="B21497" i="1"/>
  <c r="A21497" i="1"/>
  <c r="F21496" i="1"/>
  <c r="E21496" i="1"/>
  <c r="D21496" i="1"/>
  <c r="C21496" i="1"/>
  <c r="B21496" i="1"/>
  <c r="A21496" i="1"/>
  <c r="F21495" i="1"/>
  <c r="E21495" i="1"/>
  <c r="D21495" i="1"/>
  <c r="C21495" i="1"/>
  <c r="B21495" i="1"/>
  <c r="A21495" i="1"/>
  <c r="F21494" i="1"/>
  <c r="E21494" i="1"/>
  <c r="D21494" i="1"/>
  <c r="C21494" i="1"/>
  <c r="B21494" i="1"/>
  <c r="A21494" i="1"/>
  <c r="F21493" i="1"/>
  <c r="E21493" i="1"/>
  <c r="D21493" i="1"/>
  <c r="C21493" i="1"/>
  <c r="B21493" i="1"/>
  <c r="A21493" i="1"/>
  <c r="F21492" i="1"/>
  <c r="E21492" i="1"/>
  <c r="D21492" i="1"/>
  <c r="C21492" i="1"/>
  <c r="B21492" i="1"/>
  <c r="A21492" i="1"/>
  <c r="F21491" i="1"/>
  <c r="E21491" i="1"/>
  <c r="D21491" i="1"/>
  <c r="C21491" i="1"/>
  <c r="B21491" i="1"/>
  <c r="A21491" i="1"/>
  <c r="F21490" i="1"/>
  <c r="E21490" i="1"/>
  <c r="D21490" i="1"/>
  <c r="C21490" i="1"/>
  <c r="B21490" i="1"/>
  <c r="A21490" i="1"/>
  <c r="F21489" i="1"/>
  <c r="E21489" i="1"/>
  <c r="D21489" i="1"/>
  <c r="C21489" i="1"/>
  <c r="B21489" i="1"/>
  <c r="A21489" i="1"/>
  <c r="F21488" i="1"/>
  <c r="E21488" i="1"/>
  <c r="D21488" i="1"/>
  <c r="C21488" i="1"/>
  <c r="B21488" i="1"/>
  <c r="A21488" i="1"/>
  <c r="F21487" i="1"/>
  <c r="E21487" i="1"/>
  <c r="D21487" i="1"/>
  <c r="C21487" i="1"/>
  <c r="B21487" i="1"/>
  <c r="A21487" i="1"/>
  <c r="F21486" i="1"/>
  <c r="E21486" i="1"/>
  <c r="D21486" i="1"/>
  <c r="C21486" i="1"/>
  <c r="B21486" i="1"/>
  <c r="A21486" i="1"/>
  <c r="F21485" i="1"/>
  <c r="E21485" i="1"/>
  <c r="D21485" i="1"/>
  <c r="C21485" i="1"/>
  <c r="B21485" i="1"/>
  <c r="A21485" i="1"/>
  <c r="F21484" i="1"/>
  <c r="E21484" i="1"/>
  <c r="D21484" i="1"/>
  <c r="C21484" i="1"/>
  <c r="B21484" i="1"/>
  <c r="A21484" i="1"/>
  <c r="F21483" i="1"/>
  <c r="E21483" i="1"/>
  <c r="D21483" i="1"/>
  <c r="C21483" i="1"/>
  <c r="B21483" i="1"/>
  <c r="A21483" i="1"/>
  <c r="F21482" i="1"/>
  <c r="E21482" i="1"/>
  <c r="D21482" i="1"/>
  <c r="C21482" i="1"/>
  <c r="B21482" i="1"/>
  <c r="A21482" i="1"/>
  <c r="F21481" i="1"/>
  <c r="E21481" i="1"/>
  <c r="D21481" i="1"/>
  <c r="C21481" i="1"/>
  <c r="B21481" i="1"/>
  <c r="A21481" i="1"/>
  <c r="F21480" i="1"/>
  <c r="E21480" i="1"/>
  <c r="D21480" i="1"/>
  <c r="C21480" i="1"/>
  <c r="B21480" i="1"/>
  <c r="A21480" i="1"/>
  <c r="F21479" i="1"/>
  <c r="E21479" i="1"/>
  <c r="D21479" i="1"/>
  <c r="C21479" i="1"/>
  <c r="B21479" i="1"/>
  <c r="A21479" i="1"/>
  <c r="F21478" i="1"/>
  <c r="E21478" i="1"/>
  <c r="D21478" i="1"/>
  <c r="C21478" i="1"/>
  <c r="B21478" i="1"/>
  <c r="A21478" i="1"/>
  <c r="F21477" i="1"/>
  <c r="E21477" i="1"/>
  <c r="D21477" i="1"/>
  <c r="C21477" i="1"/>
  <c r="B21477" i="1"/>
  <c r="A21477" i="1"/>
  <c r="F21476" i="1"/>
  <c r="E21476" i="1"/>
  <c r="D21476" i="1"/>
  <c r="C21476" i="1"/>
  <c r="B21476" i="1"/>
  <c r="A21476" i="1"/>
  <c r="F21475" i="1"/>
  <c r="E21475" i="1"/>
  <c r="D21475" i="1"/>
  <c r="C21475" i="1"/>
  <c r="B21475" i="1"/>
  <c r="A21475" i="1"/>
  <c r="F21474" i="1"/>
  <c r="E21474" i="1"/>
  <c r="D21474" i="1"/>
  <c r="C21474" i="1"/>
  <c r="B21474" i="1"/>
  <c r="A21474" i="1"/>
  <c r="F21473" i="1"/>
  <c r="E21473" i="1"/>
  <c r="D21473" i="1"/>
  <c r="C21473" i="1"/>
  <c r="B21473" i="1"/>
  <c r="A21473" i="1"/>
  <c r="F21472" i="1"/>
  <c r="E21472" i="1"/>
  <c r="D21472" i="1"/>
  <c r="C21472" i="1"/>
  <c r="B21472" i="1"/>
  <c r="A21472" i="1"/>
  <c r="F21471" i="1"/>
  <c r="E21471" i="1"/>
  <c r="D21471" i="1"/>
  <c r="C21471" i="1"/>
  <c r="B21471" i="1"/>
  <c r="A21471" i="1"/>
  <c r="F21470" i="1"/>
  <c r="E21470" i="1"/>
  <c r="D21470" i="1"/>
  <c r="C21470" i="1"/>
  <c r="B21470" i="1"/>
  <c r="A21470" i="1"/>
  <c r="F21469" i="1"/>
  <c r="E21469" i="1"/>
  <c r="D21469" i="1"/>
  <c r="C21469" i="1"/>
  <c r="B21469" i="1"/>
  <c r="A21469" i="1"/>
  <c r="F21468" i="1"/>
  <c r="E21468" i="1"/>
  <c r="D21468" i="1"/>
  <c r="C21468" i="1"/>
  <c r="B21468" i="1"/>
  <c r="A21468" i="1"/>
  <c r="F21467" i="1"/>
  <c r="E21467" i="1"/>
  <c r="D21467" i="1"/>
  <c r="C21467" i="1"/>
  <c r="B21467" i="1"/>
  <c r="A21467" i="1"/>
  <c r="F21466" i="1"/>
  <c r="E21466" i="1"/>
  <c r="D21466" i="1"/>
  <c r="C21466" i="1"/>
  <c r="B21466" i="1"/>
  <c r="A21466" i="1"/>
  <c r="F21465" i="1"/>
  <c r="E21465" i="1"/>
  <c r="D21465" i="1"/>
  <c r="C21465" i="1"/>
  <c r="B21465" i="1"/>
  <c r="A21465" i="1"/>
  <c r="F21464" i="1"/>
  <c r="E21464" i="1"/>
  <c r="D21464" i="1"/>
  <c r="C21464" i="1"/>
  <c r="B21464" i="1"/>
  <c r="A21464" i="1"/>
  <c r="F21463" i="1"/>
  <c r="E21463" i="1"/>
  <c r="D21463" i="1"/>
  <c r="C21463" i="1"/>
  <c r="B21463" i="1"/>
  <c r="A21463" i="1"/>
  <c r="F21462" i="1"/>
  <c r="E21462" i="1"/>
  <c r="D21462" i="1"/>
  <c r="C21462" i="1"/>
  <c r="B21462" i="1"/>
  <c r="A21462" i="1"/>
  <c r="F21461" i="1"/>
  <c r="E21461" i="1"/>
  <c r="D21461" i="1"/>
  <c r="C21461" i="1"/>
  <c r="B21461" i="1"/>
  <c r="A21461" i="1"/>
  <c r="F21460" i="1"/>
  <c r="E21460" i="1"/>
  <c r="D21460" i="1"/>
  <c r="C21460" i="1"/>
  <c r="B21460" i="1"/>
  <c r="A21460" i="1"/>
  <c r="F21459" i="1"/>
  <c r="E21459" i="1"/>
  <c r="D21459" i="1"/>
  <c r="C21459" i="1"/>
  <c r="B21459" i="1"/>
  <c r="A21459" i="1"/>
  <c r="F21458" i="1"/>
  <c r="E21458" i="1"/>
  <c r="D21458" i="1"/>
  <c r="C21458" i="1"/>
  <c r="B21458" i="1"/>
  <c r="A21458" i="1"/>
  <c r="F21457" i="1"/>
  <c r="E21457" i="1"/>
  <c r="D21457" i="1"/>
  <c r="C21457" i="1"/>
  <c r="B21457" i="1"/>
  <c r="A21457" i="1"/>
  <c r="F21456" i="1"/>
  <c r="E21456" i="1"/>
  <c r="D21456" i="1"/>
  <c r="C21456" i="1"/>
  <c r="B21456" i="1"/>
  <c r="A21456" i="1"/>
  <c r="F21455" i="1"/>
  <c r="E21455" i="1"/>
  <c r="D21455" i="1"/>
  <c r="C21455" i="1"/>
  <c r="B21455" i="1"/>
  <c r="A21455" i="1"/>
  <c r="F21454" i="1"/>
  <c r="E21454" i="1"/>
  <c r="D21454" i="1"/>
  <c r="C21454" i="1"/>
  <c r="B21454" i="1"/>
  <c r="A21454" i="1"/>
  <c r="F21453" i="1"/>
  <c r="E21453" i="1"/>
  <c r="D21453" i="1"/>
  <c r="C21453" i="1"/>
  <c r="B21453" i="1"/>
  <c r="A21453" i="1"/>
  <c r="F21452" i="1"/>
  <c r="E21452" i="1"/>
  <c r="D21452" i="1"/>
  <c r="C21452" i="1"/>
  <c r="B21452" i="1"/>
  <c r="A21452" i="1"/>
  <c r="F21451" i="1"/>
  <c r="E21451" i="1"/>
  <c r="D21451" i="1"/>
  <c r="C21451" i="1"/>
  <c r="B21451" i="1"/>
  <c r="A21451" i="1"/>
  <c r="F21450" i="1"/>
  <c r="E21450" i="1"/>
  <c r="D21450" i="1"/>
  <c r="C21450" i="1"/>
  <c r="B21450" i="1"/>
  <c r="A21450" i="1"/>
  <c r="F21449" i="1"/>
  <c r="E21449" i="1"/>
  <c r="D21449" i="1"/>
  <c r="C21449" i="1"/>
  <c r="B21449" i="1"/>
  <c r="A21449" i="1"/>
  <c r="F21448" i="1"/>
  <c r="E21448" i="1"/>
  <c r="D21448" i="1"/>
  <c r="C21448" i="1"/>
  <c r="B21448" i="1"/>
  <c r="A21448" i="1"/>
  <c r="F21447" i="1"/>
  <c r="E21447" i="1"/>
  <c r="D21447" i="1"/>
  <c r="C21447" i="1"/>
  <c r="B21447" i="1"/>
  <c r="A21447" i="1"/>
  <c r="F21446" i="1"/>
  <c r="E21446" i="1"/>
  <c r="D21446" i="1"/>
  <c r="C21446" i="1"/>
  <c r="B21446" i="1"/>
  <c r="A21446" i="1"/>
  <c r="F21445" i="1"/>
  <c r="E21445" i="1"/>
  <c r="D21445" i="1"/>
  <c r="C21445" i="1"/>
  <c r="B21445" i="1"/>
  <c r="A21445" i="1"/>
  <c r="F21444" i="1"/>
  <c r="E21444" i="1"/>
  <c r="D21444" i="1"/>
  <c r="C21444" i="1"/>
  <c r="B21444" i="1"/>
  <c r="A21444" i="1"/>
  <c r="F21443" i="1"/>
  <c r="E21443" i="1"/>
  <c r="D21443" i="1"/>
  <c r="C21443" i="1"/>
  <c r="B21443" i="1"/>
  <c r="A21443" i="1"/>
  <c r="F21442" i="1"/>
  <c r="E21442" i="1"/>
  <c r="D21442" i="1"/>
  <c r="C21442" i="1"/>
  <c r="B21442" i="1"/>
  <c r="A21442" i="1"/>
  <c r="F21441" i="1"/>
  <c r="E21441" i="1"/>
  <c r="D21441" i="1"/>
  <c r="C21441" i="1"/>
  <c r="B21441" i="1"/>
  <c r="A21441" i="1"/>
  <c r="F21440" i="1"/>
  <c r="E21440" i="1"/>
  <c r="D21440" i="1"/>
  <c r="C21440" i="1"/>
  <c r="B21440" i="1"/>
  <c r="A21440" i="1"/>
  <c r="F21439" i="1"/>
  <c r="E21439" i="1"/>
  <c r="D21439" i="1"/>
  <c r="C21439" i="1"/>
  <c r="B21439" i="1"/>
  <c r="A21439" i="1"/>
  <c r="F21438" i="1"/>
  <c r="E21438" i="1"/>
  <c r="D21438" i="1"/>
  <c r="C21438" i="1"/>
  <c r="B21438" i="1"/>
  <c r="A21438" i="1"/>
  <c r="F21437" i="1"/>
  <c r="E21437" i="1"/>
  <c r="D21437" i="1"/>
  <c r="C21437" i="1"/>
  <c r="B21437" i="1"/>
  <c r="A21437" i="1"/>
  <c r="F21436" i="1"/>
  <c r="E21436" i="1"/>
  <c r="D21436" i="1"/>
  <c r="C21436" i="1"/>
  <c r="B21436" i="1"/>
  <c r="A21436" i="1"/>
  <c r="F21435" i="1"/>
  <c r="E21435" i="1"/>
  <c r="D21435" i="1"/>
  <c r="C21435" i="1"/>
  <c r="B21435" i="1"/>
  <c r="A21435" i="1"/>
  <c r="F21434" i="1"/>
  <c r="E21434" i="1"/>
  <c r="D21434" i="1"/>
  <c r="C21434" i="1"/>
  <c r="B21434" i="1"/>
  <c r="A21434" i="1"/>
  <c r="F21433" i="1"/>
  <c r="E21433" i="1"/>
  <c r="D21433" i="1"/>
  <c r="C21433" i="1"/>
  <c r="B21433" i="1"/>
  <c r="A21433" i="1"/>
  <c r="F21432" i="1"/>
  <c r="E21432" i="1"/>
  <c r="D21432" i="1"/>
  <c r="C21432" i="1"/>
  <c r="B21432" i="1"/>
  <c r="A21432" i="1"/>
  <c r="F21431" i="1"/>
  <c r="E21431" i="1"/>
  <c r="D21431" i="1"/>
  <c r="C21431" i="1"/>
  <c r="B21431" i="1"/>
  <c r="A21431" i="1"/>
  <c r="F21430" i="1"/>
  <c r="E21430" i="1"/>
  <c r="D21430" i="1"/>
  <c r="C21430" i="1"/>
  <c r="B21430" i="1"/>
  <c r="A21430" i="1"/>
  <c r="F21429" i="1"/>
  <c r="E21429" i="1"/>
  <c r="D21429" i="1"/>
  <c r="C21429" i="1"/>
  <c r="B21429" i="1"/>
  <c r="A21429" i="1"/>
  <c r="F21428" i="1"/>
  <c r="E21428" i="1"/>
  <c r="D21428" i="1"/>
  <c r="C21428" i="1"/>
  <c r="B21428" i="1"/>
  <c r="A21428" i="1"/>
  <c r="F21427" i="1"/>
  <c r="E21427" i="1"/>
  <c r="D21427" i="1"/>
  <c r="C21427" i="1"/>
  <c r="B21427" i="1"/>
  <c r="A21427" i="1"/>
  <c r="F21426" i="1"/>
  <c r="E21426" i="1"/>
  <c r="D21426" i="1"/>
  <c r="C21426" i="1"/>
  <c r="B21426" i="1"/>
  <c r="A21426" i="1"/>
  <c r="F21425" i="1"/>
  <c r="E21425" i="1"/>
  <c r="D21425" i="1"/>
  <c r="C21425" i="1"/>
  <c r="B21425" i="1"/>
  <c r="A21425" i="1"/>
  <c r="F21424" i="1"/>
  <c r="E21424" i="1"/>
  <c r="D21424" i="1"/>
  <c r="C21424" i="1"/>
  <c r="B21424" i="1"/>
  <c r="A21424" i="1"/>
  <c r="F21423" i="1"/>
  <c r="E21423" i="1"/>
  <c r="D21423" i="1"/>
  <c r="C21423" i="1"/>
  <c r="B21423" i="1"/>
  <c r="A21423" i="1"/>
  <c r="F21422" i="1"/>
  <c r="E21422" i="1"/>
  <c r="D21422" i="1"/>
  <c r="C21422" i="1"/>
  <c r="B21422" i="1"/>
  <c r="A21422" i="1"/>
  <c r="F21421" i="1"/>
  <c r="E21421" i="1"/>
  <c r="D21421" i="1"/>
  <c r="C21421" i="1"/>
  <c r="B21421" i="1"/>
  <c r="A21421" i="1"/>
  <c r="F21420" i="1"/>
  <c r="E21420" i="1"/>
  <c r="D21420" i="1"/>
  <c r="C21420" i="1"/>
  <c r="B21420" i="1"/>
  <c r="A21420" i="1"/>
  <c r="F21419" i="1"/>
  <c r="E21419" i="1"/>
  <c r="D21419" i="1"/>
  <c r="C21419" i="1"/>
  <c r="B21419" i="1"/>
  <c r="A21419" i="1"/>
  <c r="F21418" i="1"/>
  <c r="E21418" i="1"/>
  <c r="D21418" i="1"/>
  <c r="C21418" i="1"/>
  <c r="B21418" i="1"/>
  <c r="A21418" i="1"/>
  <c r="F21417" i="1"/>
  <c r="E21417" i="1"/>
  <c r="D21417" i="1"/>
  <c r="C21417" i="1"/>
  <c r="B21417" i="1"/>
  <c r="A21417" i="1"/>
  <c r="F21416" i="1"/>
  <c r="E21416" i="1"/>
  <c r="D21416" i="1"/>
  <c r="C21416" i="1"/>
  <c r="B21416" i="1"/>
  <c r="A21416" i="1"/>
  <c r="F21415" i="1"/>
  <c r="E21415" i="1"/>
  <c r="D21415" i="1"/>
  <c r="C21415" i="1"/>
  <c r="B21415" i="1"/>
  <c r="A21415" i="1"/>
  <c r="F21414" i="1"/>
  <c r="E21414" i="1"/>
  <c r="D21414" i="1"/>
  <c r="C21414" i="1"/>
  <c r="B21414" i="1"/>
  <c r="A21414" i="1"/>
  <c r="F21413" i="1"/>
  <c r="E21413" i="1"/>
  <c r="D21413" i="1"/>
  <c r="C21413" i="1"/>
  <c r="B21413" i="1"/>
  <c r="A21413" i="1"/>
  <c r="F21412" i="1"/>
  <c r="E21412" i="1"/>
  <c r="D21412" i="1"/>
  <c r="C21412" i="1"/>
  <c r="B21412" i="1"/>
  <c r="A21412" i="1"/>
  <c r="F21411" i="1"/>
  <c r="E21411" i="1"/>
  <c r="D21411" i="1"/>
  <c r="C21411" i="1"/>
  <c r="B21411" i="1"/>
  <c r="A21411" i="1"/>
  <c r="F21410" i="1"/>
  <c r="E21410" i="1"/>
  <c r="D21410" i="1"/>
  <c r="C21410" i="1"/>
  <c r="B21410" i="1"/>
  <c r="A21410" i="1"/>
  <c r="F21409" i="1"/>
  <c r="E21409" i="1"/>
  <c r="D21409" i="1"/>
  <c r="C21409" i="1"/>
  <c r="B21409" i="1"/>
  <c r="A21409" i="1"/>
  <c r="F21408" i="1"/>
  <c r="E21408" i="1"/>
  <c r="D21408" i="1"/>
  <c r="C21408" i="1"/>
  <c r="B21408" i="1"/>
  <c r="A21408" i="1"/>
  <c r="F21407" i="1"/>
  <c r="E21407" i="1"/>
  <c r="D21407" i="1"/>
  <c r="C21407" i="1"/>
  <c r="B21407" i="1"/>
  <c r="A21407" i="1"/>
  <c r="F21406" i="1"/>
  <c r="E21406" i="1"/>
  <c r="D21406" i="1"/>
  <c r="C21406" i="1"/>
  <c r="B21406" i="1"/>
  <c r="A21406" i="1"/>
  <c r="F21405" i="1"/>
  <c r="E21405" i="1"/>
  <c r="D21405" i="1"/>
  <c r="C21405" i="1"/>
  <c r="B21405" i="1"/>
  <c r="A21405" i="1"/>
  <c r="F21404" i="1"/>
  <c r="E21404" i="1"/>
  <c r="D21404" i="1"/>
  <c r="C21404" i="1"/>
  <c r="B21404" i="1"/>
  <c r="A21404" i="1"/>
  <c r="F21403" i="1"/>
  <c r="E21403" i="1"/>
  <c r="D21403" i="1"/>
  <c r="C21403" i="1"/>
  <c r="B21403" i="1"/>
  <c r="A21403" i="1"/>
  <c r="F21402" i="1"/>
  <c r="E21402" i="1"/>
  <c r="D21402" i="1"/>
  <c r="C21402" i="1"/>
  <c r="B21402" i="1"/>
  <c r="A21402" i="1"/>
  <c r="F21401" i="1"/>
  <c r="E21401" i="1"/>
  <c r="D21401" i="1"/>
  <c r="C21401" i="1"/>
  <c r="B21401" i="1"/>
  <c r="A21401" i="1"/>
  <c r="F21400" i="1"/>
  <c r="E21400" i="1"/>
  <c r="D21400" i="1"/>
  <c r="C21400" i="1"/>
  <c r="B21400" i="1"/>
  <c r="A21400" i="1"/>
  <c r="F21399" i="1"/>
  <c r="E21399" i="1"/>
  <c r="D21399" i="1"/>
  <c r="C21399" i="1"/>
  <c r="B21399" i="1"/>
  <c r="A21399" i="1"/>
  <c r="F21398" i="1"/>
  <c r="E21398" i="1"/>
  <c r="D21398" i="1"/>
  <c r="C21398" i="1"/>
  <c r="B21398" i="1"/>
  <c r="A21398" i="1"/>
  <c r="F21397" i="1"/>
  <c r="E21397" i="1"/>
  <c r="D21397" i="1"/>
  <c r="C21397" i="1"/>
  <c r="B21397" i="1"/>
  <c r="A21397" i="1"/>
  <c r="F21396" i="1"/>
  <c r="E21396" i="1"/>
  <c r="D21396" i="1"/>
  <c r="C21396" i="1"/>
  <c r="B21396" i="1"/>
  <c r="A21396" i="1"/>
  <c r="F21395" i="1"/>
  <c r="E21395" i="1"/>
  <c r="D21395" i="1"/>
  <c r="C21395" i="1"/>
  <c r="B21395" i="1"/>
  <c r="A21395" i="1"/>
  <c r="F21394" i="1"/>
  <c r="E21394" i="1"/>
  <c r="D21394" i="1"/>
  <c r="C21394" i="1"/>
  <c r="B21394" i="1"/>
  <c r="A21394" i="1"/>
  <c r="F21393" i="1"/>
  <c r="E21393" i="1"/>
  <c r="D21393" i="1"/>
  <c r="C21393" i="1"/>
  <c r="B21393" i="1"/>
  <c r="A21393" i="1"/>
  <c r="F21392" i="1"/>
  <c r="E21392" i="1"/>
  <c r="D21392" i="1"/>
  <c r="C21392" i="1"/>
  <c r="B21392" i="1"/>
  <c r="A21392" i="1"/>
  <c r="F21391" i="1"/>
  <c r="E21391" i="1"/>
  <c r="D21391" i="1"/>
  <c r="C21391" i="1"/>
  <c r="B21391" i="1"/>
  <c r="A21391" i="1"/>
  <c r="F21390" i="1"/>
  <c r="E21390" i="1"/>
  <c r="D21390" i="1"/>
  <c r="C21390" i="1"/>
  <c r="B21390" i="1"/>
  <c r="A21390" i="1"/>
  <c r="F21389" i="1"/>
  <c r="E21389" i="1"/>
  <c r="D21389" i="1"/>
  <c r="C21389" i="1"/>
  <c r="B21389" i="1"/>
  <c r="A21389" i="1"/>
  <c r="F21388" i="1"/>
  <c r="E21388" i="1"/>
  <c r="D21388" i="1"/>
  <c r="C21388" i="1"/>
  <c r="B21388" i="1"/>
  <c r="A21388" i="1"/>
  <c r="F21387" i="1"/>
  <c r="E21387" i="1"/>
  <c r="D21387" i="1"/>
  <c r="C21387" i="1"/>
  <c r="B21387" i="1"/>
  <c r="A21387" i="1"/>
  <c r="F21386" i="1"/>
  <c r="E21386" i="1"/>
  <c r="D21386" i="1"/>
  <c r="C21386" i="1"/>
  <c r="B21386" i="1"/>
  <c r="A21386" i="1"/>
  <c r="F21385" i="1"/>
  <c r="E21385" i="1"/>
  <c r="D21385" i="1"/>
  <c r="C21385" i="1"/>
  <c r="B21385" i="1"/>
  <c r="A21385" i="1"/>
  <c r="F21384" i="1"/>
  <c r="E21384" i="1"/>
  <c r="D21384" i="1"/>
  <c r="C21384" i="1"/>
  <c r="B21384" i="1"/>
  <c r="A21384" i="1"/>
  <c r="F21383" i="1"/>
  <c r="E21383" i="1"/>
  <c r="D21383" i="1"/>
  <c r="C21383" i="1"/>
  <c r="B21383" i="1"/>
  <c r="A21383" i="1"/>
  <c r="F21382" i="1"/>
  <c r="E21382" i="1"/>
  <c r="D21382" i="1"/>
  <c r="C21382" i="1"/>
  <c r="B21382" i="1"/>
  <c r="A21382" i="1"/>
  <c r="F21381" i="1"/>
  <c r="E21381" i="1"/>
  <c r="D21381" i="1"/>
  <c r="C21381" i="1"/>
  <c r="B21381" i="1"/>
  <c r="A21381" i="1"/>
  <c r="F21380" i="1"/>
  <c r="E21380" i="1"/>
  <c r="D21380" i="1"/>
  <c r="C21380" i="1"/>
  <c r="B21380" i="1"/>
  <c r="A21380" i="1"/>
  <c r="F21379" i="1"/>
  <c r="E21379" i="1"/>
  <c r="D21379" i="1"/>
  <c r="C21379" i="1"/>
  <c r="B21379" i="1"/>
  <c r="A21379" i="1"/>
  <c r="F21378" i="1"/>
  <c r="E21378" i="1"/>
  <c r="D21378" i="1"/>
  <c r="C21378" i="1"/>
  <c r="B21378" i="1"/>
  <c r="A21378" i="1"/>
  <c r="F21377" i="1"/>
  <c r="E21377" i="1"/>
  <c r="D21377" i="1"/>
  <c r="C21377" i="1"/>
  <c r="B21377" i="1"/>
  <c r="A21377" i="1"/>
  <c r="F21376" i="1"/>
  <c r="E21376" i="1"/>
  <c r="D21376" i="1"/>
  <c r="C21376" i="1"/>
  <c r="B21376" i="1"/>
  <c r="A21376" i="1"/>
  <c r="F21375" i="1"/>
  <c r="E21375" i="1"/>
  <c r="D21375" i="1"/>
  <c r="C21375" i="1"/>
  <c r="B21375" i="1"/>
  <c r="A21375" i="1"/>
  <c r="F21374" i="1"/>
  <c r="E21374" i="1"/>
  <c r="D21374" i="1"/>
  <c r="C21374" i="1"/>
  <c r="B21374" i="1"/>
  <c r="A21374" i="1"/>
  <c r="F21373" i="1"/>
  <c r="E21373" i="1"/>
  <c r="D21373" i="1"/>
  <c r="C21373" i="1"/>
  <c r="B21373" i="1"/>
  <c r="A21373" i="1"/>
  <c r="F21372" i="1"/>
  <c r="E21372" i="1"/>
  <c r="D21372" i="1"/>
  <c r="C21372" i="1"/>
  <c r="B21372" i="1"/>
  <c r="A21372" i="1"/>
  <c r="F21371" i="1"/>
  <c r="E21371" i="1"/>
  <c r="D21371" i="1"/>
  <c r="C21371" i="1"/>
  <c r="B21371" i="1"/>
  <c r="A21371" i="1"/>
  <c r="F21370" i="1"/>
  <c r="E21370" i="1"/>
  <c r="D21370" i="1"/>
  <c r="C21370" i="1"/>
  <c r="B21370" i="1"/>
  <c r="A21370" i="1"/>
  <c r="F21369" i="1"/>
  <c r="E21369" i="1"/>
  <c r="D21369" i="1"/>
  <c r="C21369" i="1"/>
  <c r="B21369" i="1"/>
  <c r="A21369" i="1"/>
  <c r="F21368" i="1"/>
  <c r="E21368" i="1"/>
  <c r="D21368" i="1"/>
  <c r="C21368" i="1"/>
  <c r="B21368" i="1"/>
  <c r="A21368" i="1"/>
  <c r="F21367" i="1"/>
  <c r="E21367" i="1"/>
  <c r="D21367" i="1"/>
  <c r="C21367" i="1"/>
  <c r="B21367" i="1"/>
  <c r="A21367" i="1"/>
  <c r="F21366" i="1"/>
  <c r="E21366" i="1"/>
  <c r="D21366" i="1"/>
  <c r="C21366" i="1"/>
  <c r="B21366" i="1"/>
  <c r="A21366" i="1"/>
  <c r="F21365" i="1"/>
  <c r="E21365" i="1"/>
  <c r="D21365" i="1"/>
  <c r="C21365" i="1"/>
  <c r="B21365" i="1"/>
  <c r="A21365" i="1"/>
  <c r="F21364" i="1"/>
  <c r="E21364" i="1"/>
  <c r="D21364" i="1"/>
  <c r="C21364" i="1"/>
  <c r="B21364" i="1"/>
  <c r="A21364" i="1"/>
  <c r="F21363" i="1"/>
  <c r="E21363" i="1"/>
  <c r="D21363" i="1"/>
  <c r="C21363" i="1"/>
  <c r="B21363" i="1"/>
  <c r="A21363" i="1"/>
  <c r="F21362" i="1"/>
  <c r="E21362" i="1"/>
  <c r="D21362" i="1"/>
  <c r="C21362" i="1"/>
  <c r="B21362" i="1"/>
  <c r="A21362" i="1"/>
  <c r="F21361" i="1"/>
  <c r="E21361" i="1"/>
  <c r="D21361" i="1"/>
  <c r="C21361" i="1"/>
  <c r="B21361" i="1"/>
  <c r="A21361" i="1"/>
  <c r="F21360" i="1"/>
  <c r="E21360" i="1"/>
  <c r="D21360" i="1"/>
  <c r="C21360" i="1"/>
  <c r="B21360" i="1"/>
  <c r="A21360" i="1"/>
  <c r="F21359" i="1"/>
  <c r="E21359" i="1"/>
  <c r="D21359" i="1"/>
  <c r="C21359" i="1"/>
  <c r="B21359" i="1"/>
  <c r="A21359" i="1"/>
  <c r="F21358" i="1"/>
  <c r="E21358" i="1"/>
  <c r="D21358" i="1"/>
  <c r="C21358" i="1"/>
  <c r="B21358" i="1"/>
  <c r="A21358" i="1"/>
  <c r="F21357" i="1"/>
  <c r="E21357" i="1"/>
  <c r="D21357" i="1"/>
  <c r="C21357" i="1"/>
  <c r="B21357" i="1"/>
  <c r="A21357" i="1"/>
  <c r="F21356" i="1"/>
  <c r="E21356" i="1"/>
  <c r="D21356" i="1"/>
  <c r="C21356" i="1"/>
  <c r="B21356" i="1"/>
  <c r="A21356" i="1"/>
  <c r="F21355" i="1"/>
  <c r="E21355" i="1"/>
  <c r="D21355" i="1"/>
  <c r="C21355" i="1"/>
  <c r="B21355" i="1"/>
  <c r="A21355" i="1"/>
  <c r="F21354" i="1"/>
  <c r="E21354" i="1"/>
  <c r="D21354" i="1"/>
  <c r="C21354" i="1"/>
  <c r="B21354" i="1"/>
  <c r="A21354" i="1"/>
  <c r="F21353" i="1"/>
  <c r="E21353" i="1"/>
  <c r="D21353" i="1"/>
  <c r="C21353" i="1"/>
  <c r="B21353" i="1"/>
  <c r="A21353" i="1"/>
  <c r="F21352" i="1"/>
  <c r="E21352" i="1"/>
  <c r="D21352" i="1"/>
  <c r="C21352" i="1"/>
  <c r="B21352" i="1"/>
  <c r="A21352" i="1"/>
  <c r="F21351" i="1"/>
  <c r="E21351" i="1"/>
  <c r="D21351" i="1"/>
  <c r="C21351" i="1"/>
  <c r="B21351" i="1"/>
  <c r="A21351" i="1"/>
  <c r="F21350" i="1"/>
  <c r="E21350" i="1"/>
  <c r="D21350" i="1"/>
  <c r="C21350" i="1"/>
  <c r="B21350" i="1"/>
  <c r="A21350" i="1"/>
  <c r="F21349" i="1"/>
  <c r="E21349" i="1"/>
  <c r="D21349" i="1"/>
  <c r="C21349" i="1"/>
  <c r="B21349" i="1"/>
  <c r="A21349" i="1"/>
  <c r="F21348" i="1"/>
  <c r="E21348" i="1"/>
  <c r="D21348" i="1"/>
  <c r="C21348" i="1"/>
  <c r="B21348" i="1"/>
  <c r="A21348" i="1"/>
  <c r="F21347" i="1"/>
  <c r="E21347" i="1"/>
  <c r="D21347" i="1"/>
  <c r="C21347" i="1"/>
  <c r="B21347" i="1"/>
  <c r="A21347" i="1"/>
  <c r="F21346" i="1"/>
  <c r="E21346" i="1"/>
  <c r="D21346" i="1"/>
  <c r="C21346" i="1"/>
  <c r="B21346" i="1"/>
  <c r="A21346" i="1"/>
  <c r="F21345" i="1"/>
  <c r="E21345" i="1"/>
  <c r="D21345" i="1"/>
  <c r="C21345" i="1"/>
  <c r="B21345" i="1"/>
  <c r="A21345" i="1"/>
  <c r="F21344" i="1"/>
  <c r="E21344" i="1"/>
  <c r="D21344" i="1"/>
  <c r="C21344" i="1"/>
  <c r="B21344" i="1"/>
  <c r="A21344" i="1"/>
  <c r="F21343" i="1"/>
  <c r="E21343" i="1"/>
  <c r="D21343" i="1"/>
  <c r="C21343" i="1"/>
  <c r="B21343" i="1"/>
  <c r="A21343" i="1"/>
  <c r="F21342" i="1"/>
  <c r="E21342" i="1"/>
  <c r="D21342" i="1"/>
  <c r="C21342" i="1"/>
  <c r="B21342" i="1"/>
  <c r="A21342" i="1"/>
  <c r="F21341" i="1"/>
  <c r="E21341" i="1"/>
  <c r="D21341" i="1"/>
  <c r="C21341" i="1"/>
  <c r="B21341" i="1"/>
  <c r="A21341" i="1"/>
  <c r="F21340" i="1"/>
  <c r="E21340" i="1"/>
  <c r="D21340" i="1"/>
  <c r="C21340" i="1"/>
  <c r="B21340" i="1"/>
  <c r="A21340" i="1"/>
  <c r="F21339" i="1"/>
  <c r="E21339" i="1"/>
  <c r="D21339" i="1"/>
  <c r="C21339" i="1"/>
  <c r="B21339" i="1"/>
  <c r="A21339" i="1"/>
  <c r="F21338" i="1"/>
  <c r="E21338" i="1"/>
  <c r="D21338" i="1"/>
  <c r="C21338" i="1"/>
  <c r="B21338" i="1"/>
  <c r="A21338" i="1"/>
  <c r="F21337" i="1"/>
  <c r="E21337" i="1"/>
  <c r="D21337" i="1"/>
  <c r="C21337" i="1"/>
  <c r="B21337" i="1"/>
  <c r="A21337" i="1"/>
  <c r="F21336" i="1"/>
  <c r="E21336" i="1"/>
  <c r="D21336" i="1"/>
  <c r="C21336" i="1"/>
  <c r="B21336" i="1"/>
  <c r="A21336" i="1"/>
  <c r="F21335" i="1"/>
  <c r="E21335" i="1"/>
  <c r="D21335" i="1"/>
  <c r="C21335" i="1"/>
  <c r="B21335" i="1"/>
  <c r="A21335" i="1"/>
  <c r="F21334" i="1"/>
  <c r="E21334" i="1"/>
  <c r="D21334" i="1"/>
  <c r="C21334" i="1"/>
  <c r="B21334" i="1"/>
  <c r="A21334" i="1"/>
  <c r="F21333" i="1"/>
  <c r="E21333" i="1"/>
  <c r="D21333" i="1"/>
  <c r="C21333" i="1"/>
  <c r="B21333" i="1"/>
  <c r="A21333" i="1"/>
  <c r="F21332" i="1"/>
  <c r="E21332" i="1"/>
  <c r="D21332" i="1"/>
  <c r="C21332" i="1"/>
  <c r="B21332" i="1"/>
  <c r="A21332" i="1"/>
  <c r="F21331" i="1"/>
  <c r="E21331" i="1"/>
  <c r="D21331" i="1"/>
  <c r="C21331" i="1"/>
  <c r="B21331" i="1"/>
  <c r="A21331" i="1"/>
  <c r="F21330" i="1"/>
  <c r="E21330" i="1"/>
  <c r="D21330" i="1"/>
  <c r="C21330" i="1"/>
  <c r="B21330" i="1"/>
  <c r="A21330" i="1"/>
  <c r="F21329" i="1"/>
  <c r="E21329" i="1"/>
  <c r="D21329" i="1"/>
  <c r="C21329" i="1"/>
  <c r="B21329" i="1"/>
  <c r="A21329" i="1"/>
  <c r="F21328" i="1"/>
  <c r="E21328" i="1"/>
  <c r="D21328" i="1"/>
  <c r="C21328" i="1"/>
  <c r="B21328" i="1"/>
  <c r="A21328" i="1"/>
  <c r="F21327" i="1"/>
  <c r="E21327" i="1"/>
  <c r="D21327" i="1"/>
  <c r="C21327" i="1"/>
  <c r="B21327" i="1"/>
  <c r="A21327" i="1"/>
  <c r="F21326" i="1"/>
  <c r="E21326" i="1"/>
  <c r="D21326" i="1"/>
  <c r="C21326" i="1"/>
  <c r="B21326" i="1"/>
  <c r="A21326" i="1"/>
  <c r="F21325" i="1"/>
  <c r="E21325" i="1"/>
  <c r="D21325" i="1"/>
  <c r="C21325" i="1"/>
  <c r="B21325" i="1"/>
  <c r="A21325" i="1"/>
  <c r="F21324" i="1"/>
  <c r="E21324" i="1"/>
  <c r="D21324" i="1"/>
  <c r="C21324" i="1"/>
  <c r="B21324" i="1"/>
  <c r="A21324" i="1"/>
  <c r="F21323" i="1"/>
  <c r="E21323" i="1"/>
  <c r="D21323" i="1"/>
  <c r="C21323" i="1"/>
  <c r="B21323" i="1"/>
  <c r="A21323" i="1"/>
  <c r="F21322" i="1"/>
  <c r="E21322" i="1"/>
  <c r="D21322" i="1"/>
  <c r="C21322" i="1"/>
  <c r="B21322" i="1"/>
  <c r="A21322" i="1"/>
  <c r="F21321" i="1"/>
  <c r="E21321" i="1"/>
  <c r="D21321" i="1"/>
  <c r="C21321" i="1"/>
  <c r="B21321" i="1"/>
  <c r="A21321" i="1"/>
  <c r="F21320" i="1"/>
  <c r="E21320" i="1"/>
  <c r="D21320" i="1"/>
  <c r="C21320" i="1"/>
  <c r="B21320" i="1"/>
  <c r="A21320" i="1"/>
  <c r="F21319" i="1"/>
  <c r="E21319" i="1"/>
  <c r="D21319" i="1"/>
  <c r="C21319" i="1"/>
  <c r="B21319" i="1"/>
  <c r="A21319" i="1"/>
  <c r="F21318" i="1"/>
  <c r="E21318" i="1"/>
  <c r="D21318" i="1"/>
  <c r="C21318" i="1"/>
  <c r="B21318" i="1"/>
  <c r="A21318" i="1"/>
  <c r="F21317" i="1"/>
  <c r="E21317" i="1"/>
  <c r="D21317" i="1"/>
  <c r="C21317" i="1"/>
  <c r="B21317" i="1"/>
  <c r="A21317" i="1"/>
  <c r="F21316" i="1"/>
  <c r="E21316" i="1"/>
  <c r="D21316" i="1"/>
  <c r="C21316" i="1"/>
  <c r="B21316" i="1"/>
  <c r="A21316" i="1"/>
  <c r="F21315" i="1"/>
  <c r="E21315" i="1"/>
  <c r="D21315" i="1"/>
  <c r="C21315" i="1"/>
  <c r="B21315" i="1"/>
  <c r="A21315" i="1"/>
  <c r="F21314" i="1"/>
  <c r="E21314" i="1"/>
  <c r="D21314" i="1"/>
  <c r="C21314" i="1"/>
  <c r="B21314" i="1"/>
  <c r="A21314" i="1"/>
  <c r="F21313" i="1"/>
  <c r="E21313" i="1"/>
  <c r="D21313" i="1"/>
  <c r="C21313" i="1"/>
  <c r="B21313" i="1"/>
  <c r="A21313" i="1"/>
  <c r="F21312" i="1"/>
  <c r="E21312" i="1"/>
  <c r="D21312" i="1"/>
  <c r="C21312" i="1"/>
  <c r="B21312" i="1"/>
  <c r="A21312" i="1"/>
  <c r="F21311" i="1"/>
  <c r="E21311" i="1"/>
  <c r="D21311" i="1"/>
  <c r="C21311" i="1"/>
  <c r="B21311" i="1"/>
  <c r="A21311" i="1"/>
  <c r="F21310" i="1"/>
  <c r="E21310" i="1"/>
  <c r="D21310" i="1"/>
  <c r="C21310" i="1"/>
  <c r="B21310" i="1"/>
  <c r="A21310" i="1"/>
  <c r="F21309" i="1"/>
  <c r="E21309" i="1"/>
  <c r="D21309" i="1"/>
  <c r="C21309" i="1"/>
  <c r="B21309" i="1"/>
  <c r="A21309" i="1"/>
  <c r="F21308" i="1"/>
  <c r="E21308" i="1"/>
  <c r="D21308" i="1"/>
  <c r="C21308" i="1"/>
  <c r="B21308" i="1"/>
  <c r="A21308" i="1"/>
  <c r="F21307" i="1"/>
  <c r="E21307" i="1"/>
  <c r="D21307" i="1"/>
  <c r="C21307" i="1"/>
  <c r="B21307" i="1"/>
  <c r="A21307" i="1"/>
  <c r="F21306" i="1"/>
  <c r="E21306" i="1"/>
  <c r="D21306" i="1"/>
  <c r="C21306" i="1"/>
  <c r="B21306" i="1"/>
  <c r="A21306" i="1"/>
  <c r="F21305" i="1"/>
  <c r="E21305" i="1"/>
  <c r="D21305" i="1"/>
  <c r="C21305" i="1"/>
  <c r="B21305" i="1"/>
  <c r="A21305" i="1"/>
  <c r="F21304" i="1"/>
  <c r="E21304" i="1"/>
  <c r="D21304" i="1"/>
  <c r="C21304" i="1"/>
  <c r="B21304" i="1"/>
  <c r="A21304" i="1"/>
  <c r="F21303" i="1"/>
  <c r="E21303" i="1"/>
  <c r="D21303" i="1"/>
  <c r="C21303" i="1"/>
  <c r="B21303" i="1"/>
  <c r="A21303" i="1"/>
  <c r="F21302" i="1"/>
  <c r="E21302" i="1"/>
  <c r="D21302" i="1"/>
  <c r="C21302" i="1"/>
  <c r="B21302" i="1"/>
  <c r="A21302" i="1"/>
  <c r="F21301" i="1"/>
  <c r="E21301" i="1"/>
  <c r="D21301" i="1"/>
  <c r="C21301" i="1"/>
  <c r="B21301" i="1"/>
  <c r="A21301" i="1"/>
  <c r="F21300" i="1"/>
  <c r="E21300" i="1"/>
  <c r="D21300" i="1"/>
  <c r="C21300" i="1"/>
  <c r="B21300" i="1"/>
  <c r="A21300" i="1"/>
  <c r="F21299" i="1"/>
  <c r="E21299" i="1"/>
  <c r="D21299" i="1"/>
  <c r="C21299" i="1"/>
  <c r="B21299" i="1"/>
  <c r="A21299" i="1"/>
  <c r="F21298" i="1"/>
  <c r="E21298" i="1"/>
  <c r="D21298" i="1"/>
  <c r="C21298" i="1"/>
  <c r="B21298" i="1"/>
  <c r="A21298" i="1"/>
  <c r="F21297" i="1"/>
  <c r="E21297" i="1"/>
  <c r="D21297" i="1"/>
  <c r="C21297" i="1"/>
  <c r="B21297" i="1"/>
  <c r="A21297" i="1"/>
  <c r="F21296" i="1"/>
  <c r="E21296" i="1"/>
  <c r="D21296" i="1"/>
  <c r="C21296" i="1"/>
  <c r="B21296" i="1"/>
  <c r="A21296" i="1"/>
  <c r="F21295" i="1"/>
  <c r="E21295" i="1"/>
  <c r="D21295" i="1"/>
  <c r="C21295" i="1"/>
  <c r="B21295" i="1"/>
  <c r="A21295" i="1"/>
  <c r="F21294" i="1"/>
  <c r="E21294" i="1"/>
  <c r="D21294" i="1"/>
  <c r="C21294" i="1"/>
  <c r="B21294" i="1"/>
  <c r="A21294" i="1"/>
  <c r="F21293" i="1"/>
  <c r="E21293" i="1"/>
  <c r="D21293" i="1"/>
  <c r="C21293" i="1"/>
  <c r="B21293" i="1"/>
  <c r="A21293" i="1"/>
  <c r="F21292" i="1"/>
  <c r="E21292" i="1"/>
  <c r="D21292" i="1"/>
  <c r="C21292" i="1"/>
  <c r="B21292" i="1"/>
  <c r="A21292" i="1"/>
  <c r="F21291" i="1"/>
  <c r="E21291" i="1"/>
  <c r="D21291" i="1"/>
  <c r="C21291" i="1"/>
  <c r="B21291" i="1"/>
  <c r="A21291" i="1"/>
  <c r="F21290" i="1"/>
  <c r="E21290" i="1"/>
  <c r="D21290" i="1"/>
  <c r="C21290" i="1"/>
  <c r="B21290" i="1"/>
  <c r="A21290" i="1"/>
  <c r="F21289" i="1"/>
  <c r="E21289" i="1"/>
  <c r="D21289" i="1"/>
  <c r="C21289" i="1"/>
  <c r="B21289" i="1"/>
  <c r="A21289" i="1"/>
  <c r="F21288" i="1"/>
  <c r="E21288" i="1"/>
  <c r="D21288" i="1"/>
  <c r="C21288" i="1"/>
  <c r="B21288" i="1"/>
  <c r="A21288" i="1"/>
  <c r="F21287" i="1"/>
  <c r="E21287" i="1"/>
  <c r="D21287" i="1"/>
  <c r="C21287" i="1"/>
  <c r="B21287" i="1"/>
  <c r="A21287" i="1"/>
  <c r="F21286" i="1"/>
  <c r="E21286" i="1"/>
  <c r="D21286" i="1"/>
  <c r="C21286" i="1"/>
  <c r="B21286" i="1"/>
  <c r="A21286" i="1"/>
  <c r="F21285" i="1"/>
  <c r="E21285" i="1"/>
  <c r="D21285" i="1"/>
  <c r="C21285" i="1"/>
  <c r="B21285" i="1"/>
  <c r="A21285" i="1"/>
  <c r="F21284" i="1"/>
  <c r="E21284" i="1"/>
  <c r="D21284" i="1"/>
  <c r="C21284" i="1"/>
  <c r="B21284" i="1"/>
  <c r="A21284" i="1"/>
  <c r="F21283" i="1"/>
  <c r="E21283" i="1"/>
  <c r="D21283" i="1"/>
  <c r="C21283" i="1"/>
  <c r="B21283" i="1"/>
  <c r="A21283" i="1"/>
  <c r="F21282" i="1"/>
  <c r="E21282" i="1"/>
  <c r="D21282" i="1"/>
  <c r="C21282" i="1"/>
  <c r="B21282" i="1"/>
  <c r="A21282" i="1"/>
  <c r="F21281" i="1"/>
  <c r="E21281" i="1"/>
  <c r="D21281" i="1"/>
  <c r="C21281" i="1"/>
  <c r="B21281" i="1"/>
  <c r="A21281" i="1"/>
  <c r="F21280" i="1"/>
  <c r="E21280" i="1"/>
  <c r="D21280" i="1"/>
  <c r="C21280" i="1"/>
  <c r="B21280" i="1"/>
  <c r="A21280" i="1"/>
  <c r="F21279" i="1"/>
  <c r="E21279" i="1"/>
  <c r="D21279" i="1"/>
  <c r="C21279" i="1"/>
  <c r="B21279" i="1"/>
  <c r="A21279" i="1"/>
  <c r="F21278" i="1"/>
  <c r="E21278" i="1"/>
  <c r="D21278" i="1"/>
  <c r="C21278" i="1"/>
  <c r="B21278" i="1"/>
  <c r="A21278" i="1"/>
  <c r="F21277" i="1"/>
  <c r="E21277" i="1"/>
  <c r="D21277" i="1"/>
  <c r="C21277" i="1"/>
  <c r="B21277" i="1"/>
  <c r="A21277" i="1"/>
  <c r="F21276" i="1"/>
  <c r="E21276" i="1"/>
  <c r="D21276" i="1"/>
  <c r="C21276" i="1"/>
  <c r="B21276" i="1"/>
  <c r="A21276" i="1"/>
  <c r="F21275" i="1"/>
  <c r="E21275" i="1"/>
  <c r="D21275" i="1"/>
  <c r="C21275" i="1"/>
  <c r="B21275" i="1"/>
  <c r="A21275" i="1"/>
  <c r="F21274" i="1"/>
  <c r="E21274" i="1"/>
  <c r="D21274" i="1"/>
  <c r="C21274" i="1"/>
  <c r="B21274" i="1"/>
  <c r="A21274" i="1"/>
  <c r="F21273" i="1"/>
  <c r="E21273" i="1"/>
  <c r="D21273" i="1"/>
  <c r="C21273" i="1"/>
  <c r="B21273" i="1"/>
  <c r="A21273" i="1"/>
  <c r="F21272" i="1"/>
  <c r="E21272" i="1"/>
  <c r="D21272" i="1"/>
  <c r="C21272" i="1"/>
  <c r="B21272" i="1"/>
  <c r="A21272" i="1"/>
  <c r="F21271" i="1"/>
  <c r="E21271" i="1"/>
  <c r="D21271" i="1"/>
  <c r="C21271" i="1"/>
  <c r="B21271" i="1"/>
  <c r="A21271" i="1"/>
  <c r="F21270" i="1"/>
  <c r="E21270" i="1"/>
  <c r="D21270" i="1"/>
  <c r="C21270" i="1"/>
  <c r="B21270" i="1"/>
  <c r="A21270" i="1"/>
  <c r="F21269" i="1"/>
  <c r="E21269" i="1"/>
  <c r="D21269" i="1"/>
  <c r="C21269" i="1"/>
  <c r="B21269" i="1"/>
  <c r="A21269" i="1"/>
  <c r="F21268" i="1"/>
  <c r="E21268" i="1"/>
  <c r="D21268" i="1"/>
  <c r="C21268" i="1"/>
  <c r="B21268" i="1"/>
  <c r="A21268" i="1"/>
  <c r="F21267" i="1"/>
  <c r="E21267" i="1"/>
  <c r="D21267" i="1"/>
  <c r="C21267" i="1"/>
  <c r="B21267" i="1"/>
  <c r="A21267" i="1"/>
  <c r="F21266" i="1"/>
  <c r="E21266" i="1"/>
  <c r="D21266" i="1"/>
  <c r="C21266" i="1"/>
  <c r="B21266" i="1"/>
  <c r="A21266" i="1"/>
  <c r="F21265" i="1"/>
  <c r="E21265" i="1"/>
  <c r="D21265" i="1"/>
  <c r="C21265" i="1"/>
  <c r="B21265" i="1"/>
  <c r="A21265" i="1"/>
  <c r="F21264" i="1"/>
  <c r="E21264" i="1"/>
  <c r="D21264" i="1"/>
  <c r="C21264" i="1"/>
  <c r="B21264" i="1"/>
  <c r="A21264" i="1"/>
  <c r="F21263" i="1"/>
  <c r="E21263" i="1"/>
  <c r="D21263" i="1"/>
  <c r="C21263" i="1"/>
  <c r="B21263" i="1"/>
  <c r="A21263" i="1"/>
  <c r="F21262" i="1"/>
  <c r="E21262" i="1"/>
  <c r="D21262" i="1"/>
  <c r="C21262" i="1"/>
  <c r="B21262" i="1"/>
  <c r="A21262" i="1"/>
  <c r="F21261" i="1"/>
  <c r="E21261" i="1"/>
  <c r="D21261" i="1"/>
  <c r="C21261" i="1"/>
  <c r="B21261" i="1"/>
  <c r="A21261" i="1"/>
  <c r="F21260" i="1"/>
  <c r="E21260" i="1"/>
  <c r="D21260" i="1"/>
  <c r="C21260" i="1"/>
  <c r="B21260" i="1"/>
  <c r="A21260" i="1"/>
  <c r="F21259" i="1"/>
  <c r="E21259" i="1"/>
  <c r="D21259" i="1"/>
  <c r="C21259" i="1"/>
  <c r="B21259" i="1"/>
  <c r="A21259" i="1"/>
  <c r="F21258" i="1"/>
  <c r="E21258" i="1"/>
  <c r="D21258" i="1"/>
  <c r="C21258" i="1"/>
  <c r="B21258" i="1"/>
  <c r="A21258" i="1"/>
  <c r="F21257" i="1"/>
  <c r="E21257" i="1"/>
  <c r="D21257" i="1"/>
  <c r="C21257" i="1"/>
  <c r="B21257" i="1"/>
  <c r="A21257" i="1"/>
  <c r="F21256" i="1"/>
  <c r="E21256" i="1"/>
  <c r="D21256" i="1"/>
  <c r="C21256" i="1"/>
  <c r="B21256" i="1"/>
  <c r="A21256" i="1"/>
  <c r="F21255" i="1"/>
  <c r="E21255" i="1"/>
  <c r="D21255" i="1"/>
  <c r="C21255" i="1"/>
  <c r="B21255" i="1"/>
  <c r="A21255" i="1"/>
  <c r="F21254" i="1"/>
  <c r="E21254" i="1"/>
  <c r="D21254" i="1"/>
  <c r="C21254" i="1"/>
  <c r="B21254" i="1"/>
  <c r="A21254" i="1"/>
  <c r="F21253" i="1"/>
  <c r="E21253" i="1"/>
  <c r="D21253" i="1"/>
  <c r="C21253" i="1"/>
  <c r="B21253" i="1"/>
  <c r="A21253" i="1"/>
  <c r="F21252" i="1"/>
  <c r="E21252" i="1"/>
  <c r="D21252" i="1"/>
  <c r="C21252" i="1"/>
  <c r="B21252" i="1"/>
  <c r="A21252" i="1"/>
  <c r="F21251" i="1"/>
  <c r="E21251" i="1"/>
  <c r="D21251" i="1"/>
  <c r="C21251" i="1"/>
  <c r="B21251" i="1"/>
  <c r="A21251" i="1"/>
  <c r="F21250" i="1"/>
  <c r="E21250" i="1"/>
  <c r="D21250" i="1"/>
  <c r="C21250" i="1"/>
  <c r="B21250" i="1"/>
  <c r="A21250" i="1"/>
  <c r="F21249" i="1"/>
  <c r="E21249" i="1"/>
  <c r="D21249" i="1"/>
  <c r="C21249" i="1"/>
  <c r="B21249" i="1"/>
  <c r="A21249" i="1"/>
  <c r="F21248" i="1"/>
  <c r="E21248" i="1"/>
  <c r="D21248" i="1"/>
  <c r="C21248" i="1"/>
  <c r="B21248" i="1"/>
  <c r="A21248" i="1"/>
  <c r="F21247" i="1"/>
  <c r="E21247" i="1"/>
  <c r="D21247" i="1"/>
  <c r="C21247" i="1"/>
  <c r="B21247" i="1"/>
  <c r="A21247" i="1"/>
  <c r="F21246" i="1"/>
  <c r="E21246" i="1"/>
  <c r="D21246" i="1"/>
  <c r="C21246" i="1"/>
  <c r="B21246" i="1"/>
  <c r="A21246" i="1"/>
  <c r="F21245" i="1"/>
  <c r="E21245" i="1"/>
  <c r="D21245" i="1"/>
  <c r="C21245" i="1"/>
  <c r="B21245" i="1"/>
  <c r="A21245" i="1"/>
  <c r="F21244" i="1"/>
  <c r="E21244" i="1"/>
  <c r="D21244" i="1"/>
  <c r="C21244" i="1"/>
  <c r="B21244" i="1"/>
  <c r="A21244" i="1"/>
  <c r="F21243" i="1"/>
  <c r="E21243" i="1"/>
  <c r="D21243" i="1"/>
  <c r="C21243" i="1"/>
  <c r="B21243" i="1"/>
  <c r="A21243" i="1"/>
  <c r="F21242" i="1"/>
  <c r="E21242" i="1"/>
  <c r="D21242" i="1"/>
  <c r="C21242" i="1"/>
  <c r="B21242" i="1"/>
  <c r="A21242" i="1"/>
  <c r="F21241" i="1"/>
  <c r="E21241" i="1"/>
  <c r="D21241" i="1"/>
  <c r="C21241" i="1"/>
  <c r="B21241" i="1"/>
  <c r="A21241" i="1"/>
  <c r="F21240" i="1"/>
  <c r="E21240" i="1"/>
  <c r="D21240" i="1"/>
  <c r="C21240" i="1"/>
  <c r="B21240" i="1"/>
  <c r="A21240" i="1"/>
  <c r="F21239" i="1"/>
  <c r="E21239" i="1"/>
  <c r="D21239" i="1"/>
  <c r="C21239" i="1"/>
  <c r="B21239" i="1"/>
  <c r="A21239" i="1"/>
  <c r="F21238" i="1"/>
  <c r="E21238" i="1"/>
  <c r="D21238" i="1"/>
  <c r="C21238" i="1"/>
  <c r="B21238" i="1"/>
  <c r="A21238" i="1"/>
  <c r="F21237" i="1"/>
  <c r="E21237" i="1"/>
  <c r="D21237" i="1"/>
  <c r="C21237" i="1"/>
  <c r="B21237" i="1"/>
  <c r="A21237" i="1"/>
  <c r="F21236" i="1"/>
  <c r="E21236" i="1"/>
  <c r="D21236" i="1"/>
  <c r="C21236" i="1"/>
  <c r="B21236" i="1"/>
  <c r="A21236" i="1"/>
  <c r="F21235" i="1"/>
  <c r="E21235" i="1"/>
  <c r="D21235" i="1"/>
  <c r="C21235" i="1"/>
  <c r="B21235" i="1"/>
  <c r="A21235" i="1"/>
  <c r="F21234" i="1"/>
  <c r="E21234" i="1"/>
  <c r="D21234" i="1"/>
  <c r="C21234" i="1"/>
  <c r="B21234" i="1"/>
  <c r="A21234" i="1"/>
  <c r="F21233" i="1"/>
  <c r="E21233" i="1"/>
  <c r="D21233" i="1"/>
  <c r="C21233" i="1"/>
  <c r="B21233" i="1"/>
  <c r="A21233" i="1"/>
  <c r="F21232" i="1"/>
  <c r="E21232" i="1"/>
  <c r="D21232" i="1"/>
  <c r="C21232" i="1"/>
  <c r="B21232" i="1"/>
  <c r="A21232" i="1"/>
  <c r="F21231" i="1"/>
  <c r="E21231" i="1"/>
  <c r="D21231" i="1"/>
  <c r="C21231" i="1"/>
  <c r="B21231" i="1"/>
  <c r="A21231" i="1"/>
  <c r="F21230" i="1"/>
  <c r="E21230" i="1"/>
  <c r="D21230" i="1"/>
  <c r="C21230" i="1"/>
  <c r="B21230" i="1"/>
  <c r="A21230" i="1"/>
  <c r="F21229" i="1"/>
  <c r="E21229" i="1"/>
  <c r="D21229" i="1"/>
  <c r="C21229" i="1"/>
  <c r="B21229" i="1"/>
  <c r="A21229" i="1"/>
  <c r="F21228" i="1"/>
  <c r="E21228" i="1"/>
  <c r="D21228" i="1"/>
  <c r="C21228" i="1"/>
  <c r="B21228" i="1"/>
  <c r="A21228" i="1"/>
  <c r="F21227" i="1"/>
  <c r="E21227" i="1"/>
  <c r="D21227" i="1"/>
  <c r="C21227" i="1"/>
  <c r="B21227" i="1"/>
  <c r="A21227" i="1"/>
  <c r="F21226" i="1"/>
  <c r="E21226" i="1"/>
  <c r="D21226" i="1"/>
  <c r="C21226" i="1"/>
  <c r="B21226" i="1"/>
  <c r="A21226" i="1"/>
  <c r="F21225" i="1"/>
  <c r="E21225" i="1"/>
  <c r="D21225" i="1"/>
  <c r="C21225" i="1"/>
  <c r="B21225" i="1"/>
  <c r="A21225" i="1"/>
  <c r="F21224" i="1"/>
  <c r="E21224" i="1"/>
  <c r="D21224" i="1"/>
  <c r="C21224" i="1"/>
  <c r="B21224" i="1"/>
  <c r="A21224" i="1"/>
  <c r="F21223" i="1"/>
  <c r="E21223" i="1"/>
  <c r="D21223" i="1"/>
  <c r="C21223" i="1"/>
  <c r="B21223" i="1"/>
  <c r="A21223" i="1"/>
  <c r="F21222" i="1"/>
  <c r="E21222" i="1"/>
  <c r="D21222" i="1"/>
  <c r="C21222" i="1"/>
  <c r="B21222" i="1"/>
  <c r="A21222" i="1"/>
  <c r="F21221" i="1"/>
  <c r="E21221" i="1"/>
  <c r="D21221" i="1"/>
  <c r="C21221" i="1"/>
  <c r="B21221" i="1"/>
  <c r="A21221" i="1"/>
  <c r="F21220" i="1"/>
  <c r="E21220" i="1"/>
  <c r="D21220" i="1"/>
  <c r="C21220" i="1"/>
  <c r="B21220" i="1"/>
  <c r="A21220" i="1"/>
  <c r="F21219" i="1"/>
  <c r="E21219" i="1"/>
  <c r="D21219" i="1"/>
  <c r="C21219" i="1"/>
  <c r="B21219" i="1"/>
  <c r="A21219" i="1"/>
  <c r="F21218" i="1"/>
  <c r="E21218" i="1"/>
  <c r="D21218" i="1"/>
  <c r="C21218" i="1"/>
  <c r="B21218" i="1"/>
  <c r="A21218" i="1"/>
  <c r="F21217" i="1"/>
  <c r="E21217" i="1"/>
  <c r="D21217" i="1"/>
  <c r="C21217" i="1"/>
  <c r="B21217" i="1"/>
  <c r="A21217" i="1"/>
  <c r="F21216" i="1"/>
  <c r="E21216" i="1"/>
  <c r="D21216" i="1"/>
  <c r="C21216" i="1"/>
  <c r="B21216" i="1"/>
  <c r="A21216" i="1"/>
  <c r="F21215" i="1"/>
  <c r="E21215" i="1"/>
  <c r="D21215" i="1"/>
  <c r="C21215" i="1"/>
  <c r="B21215" i="1"/>
  <c r="A21215" i="1"/>
  <c r="F21214" i="1"/>
  <c r="E21214" i="1"/>
  <c r="D21214" i="1"/>
  <c r="C21214" i="1"/>
  <c r="B21214" i="1"/>
  <c r="A21214" i="1"/>
  <c r="F21213" i="1"/>
  <c r="E21213" i="1"/>
  <c r="D21213" i="1"/>
  <c r="C21213" i="1"/>
  <c r="B21213" i="1"/>
  <c r="A21213" i="1"/>
  <c r="F21212" i="1"/>
  <c r="E21212" i="1"/>
  <c r="D21212" i="1"/>
  <c r="C21212" i="1"/>
  <c r="B21212" i="1"/>
  <c r="A21212" i="1"/>
  <c r="F21211" i="1"/>
  <c r="E21211" i="1"/>
  <c r="D21211" i="1"/>
  <c r="C21211" i="1"/>
  <c r="B21211" i="1"/>
  <c r="A21211" i="1"/>
  <c r="F21210" i="1"/>
  <c r="E21210" i="1"/>
  <c r="D21210" i="1"/>
  <c r="C21210" i="1"/>
  <c r="B21210" i="1"/>
  <c r="A21210" i="1"/>
  <c r="F21209" i="1"/>
  <c r="E21209" i="1"/>
  <c r="D21209" i="1"/>
  <c r="C21209" i="1"/>
  <c r="B21209" i="1"/>
  <c r="A21209" i="1"/>
  <c r="F21208" i="1"/>
  <c r="E21208" i="1"/>
  <c r="D21208" i="1"/>
  <c r="C21208" i="1"/>
  <c r="B21208" i="1"/>
  <c r="A21208" i="1"/>
  <c r="F21207" i="1"/>
  <c r="E21207" i="1"/>
  <c r="D21207" i="1"/>
  <c r="C21207" i="1"/>
  <c r="B21207" i="1"/>
  <c r="A21207" i="1"/>
  <c r="F21206" i="1"/>
  <c r="E21206" i="1"/>
  <c r="D21206" i="1"/>
  <c r="C21206" i="1"/>
  <c r="B21206" i="1"/>
  <c r="A21206" i="1"/>
  <c r="F21205" i="1"/>
  <c r="E21205" i="1"/>
  <c r="D21205" i="1"/>
  <c r="C21205" i="1"/>
  <c r="B21205" i="1"/>
  <c r="A21205" i="1"/>
  <c r="F21204" i="1"/>
  <c r="E21204" i="1"/>
  <c r="D21204" i="1"/>
  <c r="C21204" i="1"/>
  <c r="B21204" i="1"/>
  <c r="A21204" i="1"/>
  <c r="F21203" i="1"/>
  <c r="E21203" i="1"/>
  <c r="D21203" i="1"/>
  <c r="C21203" i="1"/>
  <c r="B21203" i="1"/>
  <c r="A21203" i="1"/>
  <c r="F21202" i="1"/>
  <c r="E21202" i="1"/>
  <c r="D21202" i="1"/>
  <c r="C21202" i="1"/>
  <c r="B21202" i="1"/>
  <c r="A21202" i="1"/>
  <c r="F21201" i="1"/>
  <c r="E21201" i="1"/>
  <c r="D21201" i="1"/>
  <c r="C21201" i="1"/>
  <c r="B21201" i="1"/>
  <c r="A21201" i="1"/>
  <c r="F21200" i="1"/>
  <c r="E21200" i="1"/>
  <c r="D21200" i="1"/>
  <c r="C21200" i="1"/>
  <c r="B21200" i="1"/>
  <c r="A21200" i="1"/>
  <c r="F21199" i="1"/>
  <c r="E21199" i="1"/>
  <c r="D21199" i="1"/>
  <c r="C21199" i="1"/>
  <c r="B21199" i="1"/>
  <c r="A21199" i="1"/>
  <c r="F21198" i="1"/>
  <c r="E21198" i="1"/>
  <c r="D21198" i="1"/>
  <c r="C21198" i="1"/>
  <c r="B21198" i="1"/>
  <c r="A21198" i="1"/>
  <c r="F21197" i="1"/>
  <c r="E21197" i="1"/>
  <c r="D21197" i="1"/>
  <c r="C21197" i="1"/>
  <c r="B21197" i="1"/>
  <c r="A21197" i="1"/>
  <c r="F21196" i="1"/>
  <c r="E21196" i="1"/>
  <c r="D21196" i="1"/>
  <c r="C21196" i="1"/>
  <c r="B21196" i="1"/>
  <c r="A21196" i="1"/>
  <c r="F21195" i="1"/>
  <c r="E21195" i="1"/>
  <c r="D21195" i="1"/>
  <c r="C21195" i="1"/>
  <c r="B21195" i="1"/>
  <c r="A21195" i="1"/>
  <c r="F21194" i="1"/>
  <c r="E21194" i="1"/>
  <c r="D21194" i="1"/>
  <c r="C21194" i="1"/>
  <c r="B21194" i="1"/>
  <c r="A21194" i="1"/>
  <c r="F21193" i="1"/>
  <c r="E21193" i="1"/>
  <c r="D21193" i="1"/>
  <c r="C21193" i="1"/>
  <c r="B21193" i="1"/>
  <c r="A21193" i="1"/>
  <c r="F21192" i="1"/>
  <c r="E21192" i="1"/>
  <c r="D21192" i="1"/>
  <c r="C21192" i="1"/>
  <c r="B21192" i="1"/>
  <c r="A21192" i="1"/>
  <c r="F21191" i="1"/>
  <c r="E21191" i="1"/>
  <c r="D21191" i="1"/>
  <c r="C21191" i="1"/>
  <c r="B21191" i="1"/>
  <c r="A21191" i="1"/>
  <c r="F21190" i="1"/>
  <c r="E21190" i="1"/>
  <c r="D21190" i="1"/>
  <c r="C21190" i="1"/>
  <c r="B21190" i="1"/>
  <c r="A21190" i="1"/>
  <c r="F21189" i="1"/>
  <c r="E21189" i="1"/>
  <c r="D21189" i="1"/>
  <c r="C21189" i="1"/>
  <c r="B21189" i="1"/>
  <c r="A21189" i="1"/>
  <c r="F21188" i="1"/>
  <c r="E21188" i="1"/>
  <c r="D21188" i="1"/>
  <c r="C21188" i="1"/>
  <c r="B21188" i="1"/>
  <c r="A21188" i="1"/>
  <c r="F21187" i="1"/>
  <c r="E21187" i="1"/>
  <c r="D21187" i="1"/>
  <c r="C21187" i="1"/>
  <c r="B21187" i="1"/>
  <c r="A21187" i="1"/>
  <c r="F21186" i="1"/>
  <c r="E21186" i="1"/>
  <c r="D21186" i="1"/>
  <c r="C21186" i="1"/>
  <c r="B21186" i="1"/>
  <c r="A21186" i="1"/>
  <c r="F21185" i="1"/>
  <c r="E21185" i="1"/>
  <c r="D21185" i="1"/>
  <c r="C21185" i="1"/>
  <c r="B21185" i="1"/>
  <c r="A21185" i="1"/>
  <c r="F21184" i="1"/>
  <c r="E21184" i="1"/>
  <c r="D21184" i="1"/>
  <c r="C21184" i="1"/>
  <c r="B21184" i="1"/>
  <c r="A21184" i="1"/>
  <c r="F21183" i="1"/>
  <c r="E21183" i="1"/>
  <c r="D21183" i="1"/>
  <c r="C21183" i="1"/>
  <c r="B21183" i="1"/>
  <c r="A21183" i="1"/>
  <c r="F21182" i="1"/>
  <c r="E21182" i="1"/>
  <c r="D21182" i="1"/>
  <c r="C21182" i="1"/>
  <c r="B21182" i="1"/>
  <c r="A21182" i="1"/>
  <c r="F21181" i="1"/>
  <c r="E21181" i="1"/>
  <c r="D21181" i="1"/>
  <c r="C21181" i="1"/>
  <c r="B21181" i="1"/>
  <c r="A21181" i="1"/>
  <c r="F21180" i="1"/>
  <c r="E21180" i="1"/>
  <c r="D21180" i="1"/>
  <c r="C21180" i="1"/>
  <c r="B21180" i="1"/>
  <c r="A21180" i="1"/>
  <c r="F21179" i="1"/>
  <c r="E21179" i="1"/>
  <c r="D21179" i="1"/>
  <c r="C21179" i="1"/>
  <c r="B21179" i="1"/>
  <c r="A21179" i="1"/>
  <c r="F21178" i="1"/>
  <c r="E21178" i="1"/>
  <c r="D21178" i="1"/>
  <c r="C21178" i="1"/>
  <c r="B21178" i="1"/>
  <c r="A21178" i="1"/>
  <c r="F21177" i="1"/>
  <c r="E21177" i="1"/>
  <c r="D21177" i="1"/>
  <c r="C21177" i="1"/>
  <c r="B21177" i="1"/>
  <c r="A21177" i="1"/>
  <c r="F21176" i="1"/>
  <c r="E21176" i="1"/>
  <c r="D21176" i="1"/>
  <c r="C21176" i="1"/>
  <c r="B21176" i="1"/>
  <c r="A21176" i="1"/>
  <c r="F21175" i="1"/>
  <c r="E21175" i="1"/>
  <c r="D21175" i="1"/>
  <c r="C21175" i="1"/>
  <c r="B21175" i="1"/>
  <c r="A21175" i="1"/>
  <c r="F21174" i="1"/>
  <c r="E21174" i="1"/>
  <c r="D21174" i="1"/>
  <c r="C21174" i="1"/>
  <c r="B21174" i="1"/>
  <c r="A21174" i="1"/>
  <c r="F21173" i="1"/>
  <c r="E21173" i="1"/>
  <c r="D21173" i="1"/>
  <c r="C21173" i="1"/>
  <c r="B21173" i="1"/>
  <c r="A21173" i="1"/>
  <c r="F21172" i="1"/>
  <c r="E21172" i="1"/>
  <c r="D21172" i="1"/>
  <c r="C21172" i="1"/>
  <c r="B21172" i="1"/>
  <c r="A21172" i="1"/>
  <c r="F21171" i="1"/>
  <c r="E21171" i="1"/>
  <c r="D21171" i="1"/>
  <c r="C21171" i="1"/>
  <c r="B21171" i="1"/>
  <c r="A21171" i="1"/>
  <c r="F21170" i="1"/>
  <c r="E21170" i="1"/>
  <c r="D21170" i="1"/>
  <c r="C21170" i="1"/>
  <c r="B21170" i="1"/>
  <c r="A21170" i="1"/>
  <c r="F21169" i="1"/>
  <c r="E21169" i="1"/>
  <c r="D21169" i="1"/>
  <c r="C21169" i="1"/>
  <c r="B21169" i="1"/>
  <c r="A21169" i="1"/>
  <c r="F21168" i="1"/>
  <c r="E21168" i="1"/>
  <c r="D21168" i="1"/>
  <c r="C21168" i="1"/>
  <c r="B21168" i="1"/>
  <c r="A21168" i="1"/>
  <c r="F21167" i="1"/>
  <c r="E21167" i="1"/>
  <c r="D21167" i="1"/>
  <c r="C21167" i="1"/>
  <c r="B21167" i="1"/>
  <c r="A21167" i="1"/>
  <c r="F21166" i="1"/>
  <c r="E21166" i="1"/>
  <c r="D21166" i="1"/>
  <c r="C21166" i="1"/>
  <c r="B21166" i="1"/>
  <c r="A21166" i="1"/>
  <c r="F21165" i="1"/>
  <c r="E21165" i="1"/>
  <c r="D21165" i="1"/>
  <c r="C21165" i="1"/>
  <c r="B21165" i="1"/>
  <c r="A21165" i="1"/>
  <c r="F21164" i="1"/>
  <c r="E21164" i="1"/>
  <c r="D21164" i="1"/>
  <c r="C21164" i="1"/>
  <c r="B21164" i="1"/>
  <c r="A21164" i="1"/>
  <c r="F21163" i="1"/>
  <c r="E21163" i="1"/>
  <c r="D21163" i="1"/>
  <c r="C21163" i="1"/>
  <c r="B21163" i="1"/>
  <c r="A21163" i="1"/>
  <c r="F21162" i="1"/>
  <c r="E21162" i="1"/>
  <c r="D21162" i="1"/>
  <c r="C21162" i="1"/>
  <c r="B21162" i="1"/>
  <c r="A21162" i="1"/>
  <c r="F21161" i="1"/>
  <c r="E21161" i="1"/>
  <c r="D21161" i="1"/>
  <c r="C21161" i="1"/>
  <c r="B21161" i="1"/>
  <c r="A21161" i="1"/>
  <c r="F21160" i="1"/>
  <c r="E21160" i="1"/>
  <c r="D21160" i="1"/>
  <c r="C21160" i="1"/>
  <c r="B21160" i="1"/>
  <c r="A21160" i="1"/>
  <c r="F21159" i="1"/>
  <c r="E21159" i="1"/>
  <c r="D21159" i="1"/>
  <c r="C21159" i="1"/>
  <c r="B21159" i="1"/>
  <c r="A21159" i="1"/>
  <c r="F21158" i="1"/>
  <c r="E21158" i="1"/>
  <c r="D21158" i="1"/>
  <c r="C21158" i="1"/>
  <c r="B21158" i="1"/>
  <c r="A21158" i="1"/>
  <c r="F21157" i="1"/>
  <c r="E21157" i="1"/>
  <c r="D21157" i="1"/>
  <c r="C21157" i="1"/>
  <c r="B21157" i="1"/>
  <c r="A21157" i="1"/>
  <c r="F21156" i="1"/>
  <c r="E21156" i="1"/>
  <c r="D21156" i="1"/>
  <c r="C21156" i="1"/>
  <c r="B21156" i="1"/>
  <c r="A21156" i="1"/>
  <c r="F21155" i="1"/>
  <c r="E21155" i="1"/>
  <c r="D21155" i="1"/>
  <c r="C21155" i="1"/>
  <c r="B21155" i="1"/>
  <c r="A21155" i="1"/>
  <c r="F21154" i="1"/>
  <c r="E21154" i="1"/>
  <c r="D21154" i="1"/>
  <c r="C21154" i="1"/>
  <c r="B21154" i="1"/>
  <c r="A21154" i="1"/>
  <c r="F21153" i="1"/>
  <c r="E21153" i="1"/>
  <c r="D21153" i="1"/>
  <c r="C21153" i="1"/>
  <c r="B21153" i="1"/>
  <c r="A21153" i="1"/>
  <c r="F21152" i="1"/>
  <c r="E21152" i="1"/>
  <c r="D21152" i="1"/>
  <c r="C21152" i="1"/>
  <c r="B21152" i="1"/>
  <c r="A21152" i="1"/>
  <c r="F21151" i="1"/>
  <c r="E21151" i="1"/>
  <c r="D21151" i="1"/>
  <c r="C21151" i="1"/>
  <c r="B21151" i="1"/>
  <c r="A21151" i="1"/>
  <c r="F21150" i="1"/>
  <c r="E21150" i="1"/>
  <c r="D21150" i="1"/>
  <c r="C21150" i="1"/>
  <c r="B21150" i="1"/>
  <c r="A21150" i="1"/>
  <c r="F21149" i="1"/>
  <c r="E21149" i="1"/>
  <c r="D21149" i="1"/>
  <c r="C21149" i="1"/>
  <c r="B21149" i="1"/>
  <c r="A21149" i="1"/>
  <c r="F21148" i="1"/>
  <c r="E21148" i="1"/>
  <c r="D21148" i="1"/>
  <c r="C21148" i="1"/>
  <c r="B21148" i="1"/>
  <c r="A21148" i="1"/>
  <c r="F21147" i="1"/>
  <c r="E21147" i="1"/>
  <c r="D21147" i="1"/>
  <c r="C21147" i="1"/>
  <c r="B21147" i="1"/>
  <c r="A21147" i="1"/>
  <c r="F21146" i="1"/>
  <c r="E21146" i="1"/>
  <c r="D21146" i="1"/>
  <c r="C21146" i="1"/>
  <c r="B21146" i="1"/>
  <c r="A21146" i="1"/>
  <c r="F21145" i="1"/>
  <c r="E21145" i="1"/>
  <c r="D21145" i="1"/>
  <c r="C21145" i="1"/>
  <c r="B21145" i="1"/>
  <c r="A21145" i="1"/>
  <c r="F21144" i="1"/>
  <c r="E21144" i="1"/>
  <c r="D21144" i="1"/>
  <c r="C21144" i="1"/>
  <c r="B21144" i="1"/>
  <c r="A21144" i="1"/>
  <c r="F21143" i="1"/>
  <c r="E21143" i="1"/>
  <c r="D21143" i="1"/>
  <c r="C21143" i="1"/>
  <c r="B21143" i="1"/>
  <c r="A21143" i="1"/>
  <c r="F21142" i="1"/>
  <c r="E21142" i="1"/>
  <c r="D21142" i="1"/>
  <c r="C21142" i="1"/>
  <c r="B21142" i="1"/>
  <c r="A21142" i="1"/>
  <c r="F21141" i="1"/>
  <c r="E21141" i="1"/>
  <c r="D21141" i="1"/>
  <c r="C21141" i="1"/>
  <c r="B21141" i="1"/>
  <c r="A21141" i="1"/>
  <c r="F21140" i="1"/>
  <c r="E21140" i="1"/>
  <c r="D21140" i="1"/>
  <c r="C21140" i="1"/>
  <c r="B21140" i="1"/>
  <c r="A21140" i="1"/>
  <c r="F21139" i="1"/>
  <c r="E21139" i="1"/>
  <c r="D21139" i="1"/>
  <c r="C21139" i="1"/>
  <c r="B21139" i="1"/>
  <c r="A21139" i="1"/>
  <c r="F21138" i="1"/>
  <c r="E21138" i="1"/>
  <c r="D21138" i="1"/>
  <c r="C21138" i="1"/>
  <c r="B21138" i="1"/>
  <c r="A21138" i="1"/>
  <c r="F21137" i="1"/>
  <c r="E21137" i="1"/>
  <c r="D21137" i="1"/>
  <c r="C21137" i="1"/>
  <c r="B21137" i="1"/>
  <c r="A21137" i="1"/>
  <c r="F21136" i="1"/>
  <c r="E21136" i="1"/>
  <c r="D21136" i="1"/>
  <c r="C21136" i="1"/>
  <c r="B21136" i="1"/>
  <c r="A21136" i="1"/>
  <c r="F21135" i="1"/>
  <c r="E21135" i="1"/>
  <c r="D21135" i="1"/>
  <c r="C21135" i="1"/>
  <c r="B21135" i="1"/>
  <c r="A21135" i="1"/>
  <c r="F21134" i="1"/>
  <c r="E21134" i="1"/>
  <c r="D21134" i="1"/>
  <c r="C21134" i="1"/>
  <c r="B21134" i="1"/>
  <c r="A21134" i="1"/>
  <c r="F21133" i="1"/>
  <c r="E21133" i="1"/>
  <c r="D21133" i="1"/>
  <c r="C21133" i="1"/>
  <c r="B21133" i="1"/>
  <c r="A21133" i="1"/>
  <c r="F21132" i="1"/>
  <c r="E21132" i="1"/>
  <c r="D21132" i="1"/>
  <c r="C21132" i="1"/>
  <c r="B21132" i="1"/>
  <c r="A21132" i="1"/>
  <c r="F21131" i="1"/>
  <c r="E21131" i="1"/>
  <c r="D21131" i="1"/>
  <c r="C21131" i="1"/>
  <c r="B21131" i="1"/>
  <c r="A21131" i="1"/>
  <c r="F21130" i="1"/>
  <c r="E21130" i="1"/>
  <c r="D21130" i="1"/>
  <c r="C21130" i="1"/>
  <c r="B21130" i="1"/>
  <c r="A21130" i="1"/>
  <c r="F21129" i="1"/>
  <c r="E21129" i="1"/>
  <c r="D21129" i="1"/>
  <c r="C21129" i="1"/>
  <c r="B21129" i="1"/>
  <c r="A21129" i="1"/>
  <c r="F21128" i="1"/>
  <c r="E21128" i="1"/>
  <c r="D21128" i="1"/>
  <c r="C21128" i="1"/>
  <c r="B21128" i="1"/>
  <c r="A21128" i="1"/>
  <c r="F21127" i="1"/>
  <c r="E21127" i="1"/>
  <c r="D21127" i="1"/>
  <c r="C21127" i="1"/>
  <c r="B21127" i="1"/>
  <c r="A21127" i="1"/>
  <c r="F21126" i="1"/>
  <c r="E21126" i="1"/>
  <c r="D21126" i="1"/>
  <c r="C21126" i="1"/>
  <c r="B21126" i="1"/>
  <c r="A21126" i="1"/>
  <c r="F21125" i="1"/>
  <c r="E21125" i="1"/>
  <c r="D21125" i="1"/>
  <c r="C21125" i="1"/>
  <c r="B21125" i="1"/>
  <c r="A21125" i="1"/>
  <c r="F21124" i="1"/>
  <c r="E21124" i="1"/>
  <c r="D21124" i="1"/>
  <c r="C21124" i="1"/>
  <c r="B21124" i="1"/>
  <c r="A21124" i="1"/>
  <c r="F21123" i="1"/>
  <c r="E21123" i="1"/>
  <c r="D21123" i="1"/>
  <c r="C21123" i="1"/>
  <c r="B21123" i="1"/>
  <c r="A21123" i="1"/>
  <c r="F21122" i="1"/>
  <c r="E21122" i="1"/>
  <c r="D21122" i="1"/>
  <c r="C21122" i="1"/>
  <c r="B21122" i="1"/>
  <c r="A21122" i="1"/>
  <c r="F21121" i="1"/>
  <c r="E21121" i="1"/>
  <c r="D21121" i="1"/>
  <c r="C21121" i="1"/>
  <c r="B21121" i="1"/>
  <c r="A21121" i="1"/>
  <c r="F21120" i="1"/>
  <c r="E21120" i="1"/>
  <c r="D21120" i="1"/>
  <c r="C21120" i="1"/>
  <c r="B21120" i="1"/>
  <c r="A21120" i="1"/>
  <c r="F21119" i="1"/>
  <c r="E21119" i="1"/>
  <c r="D21119" i="1"/>
  <c r="C21119" i="1"/>
  <c r="B21119" i="1"/>
  <c r="A21119" i="1"/>
  <c r="F21118" i="1"/>
  <c r="E21118" i="1"/>
  <c r="D21118" i="1"/>
  <c r="C21118" i="1"/>
  <c r="B21118" i="1"/>
  <c r="A21118" i="1"/>
  <c r="F21117" i="1"/>
  <c r="E21117" i="1"/>
  <c r="D21117" i="1"/>
  <c r="C21117" i="1"/>
  <c r="B21117" i="1"/>
  <c r="A21117" i="1"/>
  <c r="F21116" i="1"/>
  <c r="E21116" i="1"/>
  <c r="D21116" i="1"/>
  <c r="C21116" i="1"/>
  <c r="B21116" i="1"/>
  <c r="A21116" i="1"/>
  <c r="F21115" i="1"/>
  <c r="E21115" i="1"/>
  <c r="D21115" i="1"/>
  <c r="C21115" i="1"/>
  <c r="B21115" i="1"/>
  <c r="A21115" i="1"/>
  <c r="F21114" i="1"/>
  <c r="E21114" i="1"/>
  <c r="D21114" i="1"/>
  <c r="C21114" i="1"/>
  <c r="B21114" i="1"/>
  <c r="A21114" i="1"/>
  <c r="F21113" i="1"/>
  <c r="E21113" i="1"/>
  <c r="D21113" i="1"/>
  <c r="C21113" i="1"/>
  <c r="B21113" i="1"/>
  <c r="A21113" i="1"/>
  <c r="F21112" i="1"/>
  <c r="E21112" i="1"/>
  <c r="D21112" i="1"/>
  <c r="C21112" i="1"/>
  <c r="B21112" i="1"/>
  <c r="A21112" i="1"/>
  <c r="F21111" i="1"/>
  <c r="E21111" i="1"/>
  <c r="D21111" i="1"/>
  <c r="C21111" i="1"/>
  <c r="B21111" i="1"/>
  <c r="A21111" i="1"/>
  <c r="F21110" i="1"/>
  <c r="E21110" i="1"/>
  <c r="D21110" i="1"/>
  <c r="C21110" i="1"/>
  <c r="B21110" i="1"/>
  <c r="A21110" i="1"/>
  <c r="F21109" i="1"/>
  <c r="E21109" i="1"/>
  <c r="D21109" i="1"/>
  <c r="C21109" i="1"/>
  <c r="B21109" i="1"/>
  <c r="A21109" i="1"/>
  <c r="F21108" i="1"/>
  <c r="E21108" i="1"/>
  <c r="D21108" i="1"/>
  <c r="C21108" i="1"/>
  <c r="B21108" i="1"/>
  <c r="A21108" i="1"/>
  <c r="F21107" i="1"/>
  <c r="E21107" i="1"/>
  <c r="D21107" i="1"/>
  <c r="C21107" i="1"/>
  <c r="B21107" i="1"/>
  <c r="A21107" i="1"/>
  <c r="F21106" i="1"/>
  <c r="E21106" i="1"/>
  <c r="D21106" i="1"/>
  <c r="C21106" i="1"/>
  <c r="B21106" i="1"/>
  <c r="A21106" i="1"/>
  <c r="F21105" i="1"/>
  <c r="E21105" i="1"/>
  <c r="D21105" i="1"/>
  <c r="C21105" i="1"/>
  <c r="B21105" i="1"/>
  <c r="A21105" i="1"/>
  <c r="F21104" i="1"/>
  <c r="E21104" i="1"/>
  <c r="D21104" i="1"/>
  <c r="C21104" i="1"/>
  <c r="B21104" i="1"/>
  <c r="A21104" i="1"/>
  <c r="F21103" i="1"/>
  <c r="E21103" i="1"/>
  <c r="D21103" i="1"/>
  <c r="C21103" i="1"/>
  <c r="B21103" i="1"/>
  <c r="A21103" i="1"/>
  <c r="F21102" i="1"/>
  <c r="E21102" i="1"/>
  <c r="D21102" i="1"/>
  <c r="C21102" i="1"/>
  <c r="B21102" i="1"/>
  <c r="A21102" i="1"/>
  <c r="F21101" i="1"/>
  <c r="E21101" i="1"/>
  <c r="D21101" i="1"/>
  <c r="C21101" i="1"/>
  <c r="B21101" i="1"/>
  <c r="A21101" i="1"/>
  <c r="F21100" i="1"/>
  <c r="E21100" i="1"/>
  <c r="D21100" i="1"/>
  <c r="C21100" i="1"/>
  <c r="B21100" i="1"/>
  <c r="A21100" i="1"/>
  <c r="F21099" i="1"/>
  <c r="E21099" i="1"/>
  <c r="D21099" i="1"/>
  <c r="C21099" i="1"/>
  <c r="B21099" i="1"/>
  <c r="A21099" i="1"/>
  <c r="F21098" i="1"/>
  <c r="E21098" i="1"/>
  <c r="D21098" i="1"/>
  <c r="C21098" i="1"/>
  <c r="B21098" i="1"/>
  <c r="A21098" i="1"/>
  <c r="F21097" i="1"/>
  <c r="E21097" i="1"/>
  <c r="D21097" i="1"/>
  <c r="C21097" i="1"/>
  <c r="B21097" i="1"/>
  <c r="A21097" i="1"/>
  <c r="F21096" i="1"/>
  <c r="E21096" i="1"/>
  <c r="D21096" i="1"/>
  <c r="C21096" i="1"/>
  <c r="B21096" i="1"/>
  <c r="A21096" i="1"/>
  <c r="F21095" i="1"/>
  <c r="E21095" i="1"/>
  <c r="D21095" i="1"/>
  <c r="C21095" i="1"/>
  <c r="B21095" i="1"/>
  <c r="A21095" i="1"/>
  <c r="F21094" i="1"/>
  <c r="E21094" i="1"/>
  <c r="D21094" i="1"/>
  <c r="C21094" i="1"/>
  <c r="B21094" i="1"/>
  <c r="A21094" i="1"/>
  <c r="F21093" i="1"/>
  <c r="E21093" i="1"/>
  <c r="D21093" i="1"/>
  <c r="C21093" i="1"/>
  <c r="B21093" i="1"/>
  <c r="A21093" i="1"/>
  <c r="F21092" i="1"/>
  <c r="E21092" i="1"/>
  <c r="D21092" i="1"/>
  <c r="C21092" i="1"/>
  <c r="B21092" i="1"/>
  <c r="A21092" i="1"/>
  <c r="F21091" i="1"/>
  <c r="E21091" i="1"/>
  <c r="D21091" i="1"/>
  <c r="C21091" i="1"/>
  <c r="B21091" i="1"/>
  <c r="A21091" i="1"/>
  <c r="F21090" i="1"/>
  <c r="E21090" i="1"/>
  <c r="D21090" i="1"/>
  <c r="C21090" i="1"/>
  <c r="B21090" i="1"/>
  <c r="A21090" i="1"/>
  <c r="F21089" i="1"/>
  <c r="E21089" i="1"/>
  <c r="D21089" i="1"/>
  <c r="C21089" i="1"/>
  <c r="B21089" i="1"/>
  <c r="A21089" i="1"/>
  <c r="F21088" i="1"/>
  <c r="E21088" i="1"/>
  <c r="D21088" i="1"/>
  <c r="C21088" i="1"/>
  <c r="B21088" i="1"/>
  <c r="A21088" i="1"/>
  <c r="F21087" i="1"/>
  <c r="E21087" i="1"/>
  <c r="D21087" i="1"/>
  <c r="C21087" i="1"/>
  <c r="B21087" i="1"/>
  <c r="A21087" i="1"/>
  <c r="F21086" i="1"/>
  <c r="E21086" i="1"/>
  <c r="D21086" i="1"/>
  <c r="C21086" i="1"/>
  <c r="B21086" i="1"/>
  <c r="A21086" i="1"/>
  <c r="F21085" i="1"/>
  <c r="E21085" i="1"/>
  <c r="D21085" i="1"/>
  <c r="C21085" i="1"/>
  <c r="B21085" i="1"/>
  <c r="A21085" i="1"/>
  <c r="F21084" i="1"/>
  <c r="E21084" i="1"/>
  <c r="D21084" i="1"/>
  <c r="C21084" i="1"/>
  <c r="B21084" i="1"/>
  <c r="A21084" i="1"/>
  <c r="F21083" i="1"/>
  <c r="E21083" i="1"/>
  <c r="D21083" i="1"/>
  <c r="C21083" i="1"/>
  <c r="B21083" i="1"/>
  <c r="A21083" i="1"/>
  <c r="F21082" i="1"/>
  <c r="E21082" i="1"/>
  <c r="D21082" i="1"/>
  <c r="C21082" i="1"/>
  <c r="B21082" i="1"/>
  <c r="A21082" i="1"/>
  <c r="F21081" i="1"/>
  <c r="E21081" i="1"/>
  <c r="D21081" i="1"/>
  <c r="C21081" i="1"/>
  <c r="B21081" i="1"/>
  <c r="A21081" i="1"/>
  <c r="F21080" i="1"/>
  <c r="E21080" i="1"/>
  <c r="D21080" i="1"/>
  <c r="C21080" i="1"/>
  <c r="B21080" i="1"/>
  <c r="A21080" i="1"/>
  <c r="F21079" i="1"/>
  <c r="E21079" i="1"/>
  <c r="D21079" i="1"/>
  <c r="C21079" i="1"/>
  <c r="B21079" i="1"/>
  <c r="A21079" i="1"/>
  <c r="F21078" i="1"/>
  <c r="E21078" i="1"/>
  <c r="D21078" i="1"/>
  <c r="C21078" i="1"/>
  <c r="B21078" i="1"/>
  <c r="A21078" i="1"/>
  <c r="F21077" i="1"/>
  <c r="E21077" i="1"/>
  <c r="D21077" i="1"/>
  <c r="C21077" i="1"/>
  <c r="B21077" i="1"/>
  <c r="A21077" i="1"/>
  <c r="F21076" i="1"/>
  <c r="E21076" i="1"/>
  <c r="D21076" i="1"/>
  <c r="C21076" i="1"/>
  <c r="B21076" i="1"/>
  <c r="A21076" i="1"/>
  <c r="F21075" i="1"/>
  <c r="E21075" i="1"/>
  <c r="D21075" i="1"/>
  <c r="C21075" i="1"/>
  <c r="B21075" i="1"/>
  <c r="A21075" i="1"/>
  <c r="F21074" i="1"/>
  <c r="E21074" i="1"/>
  <c r="D21074" i="1"/>
  <c r="C21074" i="1"/>
  <c r="B21074" i="1"/>
  <c r="A21074" i="1"/>
  <c r="F21073" i="1"/>
  <c r="E21073" i="1"/>
  <c r="D21073" i="1"/>
  <c r="C21073" i="1"/>
  <c r="B21073" i="1"/>
  <c r="A21073" i="1"/>
  <c r="F21072" i="1"/>
  <c r="E21072" i="1"/>
  <c r="D21072" i="1"/>
  <c r="C21072" i="1"/>
  <c r="B21072" i="1"/>
  <c r="A21072" i="1"/>
  <c r="F21071" i="1"/>
  <c r="E21071" i="1"/>
  <c r="D21071" i="1"/>
  <c r="C21071" i="1"/>
  <c r="B21071" i="1"/>
  <c r="A21071" i="1"/>
  <c r="F21070" i="1"/>
  <c r="E21070" i="1"/>
  <c r="D21070" i="1"/>
  <c r="C21070" i="1"/>
  <c r="B21070" i="1"/>
  <c r="A21070" i="1"/>
  <c r="F21069" i="1"/>
  <c r="E21069" i="1"/>
  <c r="D21069" i="1"/>
  <c r="C21069" i="1"/>
  <c r="B21069" i="1"/>
  <c r="A21069" i="1"/>
  <c r="F21068" i="1"/>
  <c r="E21068" i="1"/>
  <c r="D21068" i="1"/>
  <c r="C21068" i="1"/>
  <c r="B21068" i="1"/>
  <c r="A21068" i="1"/>
  <c r="F21067" i="1"/>
  <c r="E21067" i="1"/>
  <c r="D21067" i="1"/>
  <c r="C21067" i="1"/>
  <c r="B21067" i="1"/>
  <c r="A21067" i="1"/>
  <c r="F21066" i="1"/>
  <c r="E21066" i="1"/>
  <c r="D21066" i="1"/>
  <c r="C21066" i="1"/>
  <c r="B21066" i="1"/>
  <c r="A21066" i="1"/>
  <c r="F21065" i="1"/>
  <c r="E21065" i="1"/>
  <c r="D21065" i="1"/>
  <c r="C21065" i="1"/>
  <c r="B21065" i="1"/>
  <c r="A21065" i="1"/>
  <c r="F21064" i="1"/>
  <c r="E21064" i="1"/>
  <c r="D21064" i="1"/>
  <c r="C21064" i="1"/>
  <c r="B21064" i="1"/>
  <c r="A21064" i="1"/>
  <c r="F21063" i="1"/>
  <c r="E21063" i="1"/>
  <c r="D21063" i="1"/>
  <c r="C21063" i="1"/>
  <c r="B21063" i="1"/>
  <c r="A21063" i="1"/>
  <c r="F21062" i="1"/>
  <c r="E21062" i="1"/>
  <c r="D21062" i="1"/>
  <c r="C21062" i="1"/>
  <c r="B21062" i="1"/>
  <c r="A21062" i="1"/>
  <c r="F21061" i="1"/>
  <c r="E21061" i="1"/>
  <c r="D21061" i="1"/>
  <c r="C21061" i="1"/>
  <c r="B21061" i="1"/>
  <c r="A21061" i="1"/>
  <c r="F21060" i="1"/>
  <c r="E21060" i="1"/>
  <c r="D21060" i="1"/>
  <c r="C21060" i="1"/>
  <c r="B21060" i="1"/>
  <c r="A21060" i="1"/>
  <c r="F21059" i="1"/>
  <c r="E21059" i="1"/>
  <c r="D21059" i="1"/>
  <c r="C21059" i="1"/>
  <c r="B21059" i="1"/>
  <c r="A21059" i="1"/>
  <c r="F21058" i="1"/>
  <c r="E21058" i="1"/>
  <c r="D21058" i="1"/>
  <c r="C21058" i="1"/>
  <c r="B21058" i="1"/>
  <c r="A21058" i="1"/>
  <c r="F21057" i="1"/>
  <c r="E21057" i="1"/>
  <c r="D21057" i="1"/>
  <c r="C21057" i="1"/>
  <c r="B21057" i="1"/>
  <c r="A21057" i="1"/>
  <c r="F21056" i="1"/>
  <c r="E21056" i="1"/>
  <c r="D21056" i="1"/>
  <c r="C21056" i="1"/>
  <c r="B21056" i="1"/>
  <c r="A21056" i="1"/>
  <c r="F21055" i="1"/>
  <c r="E21055" i="1"/>
  <c r="D21055" i="1"/>
  <c r="C21055" i="1"/>
  <c r="B21055" i="1"/>
  <c r="A21055" i="1"/>
  <c r="F21054" i="1"/>
  <c r="E21054" i="1"/>
  <c r="D21054" i="1"/>
  <c r="C21054" i="1"/>
  <c r="B21054" i="1"/>
  <c r="A21054" i="1"/>
  <c r="F21053" i="1"/>
  <c r="E21053" i="1"/>
  <c r="D21053" i="1"/>
  <c r="C21053" i="1"/>
  <c r="B21053" i="1"/>
  <c r="A21053" i="1"/>
  <c r="F21052" i="1"/>
  <c r="E21052" i="1"/>
  <c r="D21052" i="1"/>
  <c r="C21052" i="1"/>
  <c r="B21052" i="1"/>
  <c r="A21052" i="1"/>
  <c r="F21051" i="1"/>
  <c r="E21051" i="1"/>
  <c r="D21051" i="1"/>
  <c r="C21051" i="1"/>
  <c r="B21051" i="1"/>
  <c r="A21051" i="1"/>
  <c r="F21050" i="1"/>
  <c r="E21050" i="1"/>
  <c r="D21050" i="1"/>
  <c r="C21050" i="1"/>
  <c r="B21050" i="1"/>
  <c r="A21050" i="1"/>
  <c r="F21049" i="1"/>
  <c r="E21049" i="1"/>
  <c r="D21049" i="1"/>
  <c r="C21049" i="1"/>
  <c r="B21049" i="1"/>
  <c r="A21049" i="1"/>
  <c r="F21048" i="1"/>
  <c r="E21048" i="1"/>
  <c r="D21048" i="1"/>
  <c r="C21048" i="1"/>
  <c r="B21048" i="1"/>
  <c r="A21048" i="1"/>
  <c r="F21047" i="1"/>
  <c r="E21047" i="1"/>
  <c r="D21047" i="1"/>
  <c r="C21047" i="1"/>
  <c r="B21047" i="1"/>
  <c r="A21047" i="1"/>
  <c r="F21046" i="1"/>
  <c r="E21046" i="1"/>
  <c r="D21046" i="1"/>
  <c r="C21046" i="1"/>
  <c r="B21046" i="1"/>
  <c r="A21046" i="1"/>
  <c r="F21045" i="1"/>
  <c r="E21045" i="1"/>
  <c r="D21045" i="1"/>
  <c r="C21045" i="1"/>
  <c r="B21045" i="1"/>
  <c r="A21045" i="1"/>
  <c r="F21044" i="1"/>
  <c r="E21044" i="1"/>
  <c r="D21044" i="1"/>
  <c r="C21044" i="1"/>
  <c r="B21044" i="1"/>
  <c r="A21044" i="1"/>
  <c r="F21043" i="1"/>
  <c r="E21043" i="1"/>
  <c r="D21043" i="1"/>
  <c r="C21043" i="1"/>
  <c r="B21043" i="1"/>
  <c r="A21043" i="1"/>
  <c r="F21042" i="1"/>
  <c r="E21042" i="1"/>
  <c r="D21042" i="1"/>
  <c r="C21042" i="1"/>
  <c r="B21042" i="1"/>
  <c r="A21042" i="1"/>
  <c r="F21041" i="1"/>
  <c r="E21041" i="1"/>
  <c r="D21041" i="1"/>
  <c r="C21041" i="1"/>
  <c r="B21041" i="1"/>
  <c r="A21041" i="1"/>
  <c r="F21040" i="1"/>
  <c r="E21040" i="1"/>
  <c r="D21040" i="1"/>
  <c r="C21040" i="1"/>
  <c r="B21040" i="1"/>
  <c r="A21040" i="1"/>
  <c r="F21039" i="1"/>
  <c r="E21039" i="1"/>
  <c r="D21039" i="1"/>
  <c r="C21039" i="1"/>
  <c r="B21039" i="1"/>
  <c r="A21039" i="1"/>
  <c r="F21038" i="1"/>
  <c r="E21038" i="1"/>
  <c r="D21038" i="1"/>
  <c r="C21038" i="1"/>
  <c r="B21038" i="1"/>
  <c r="A21038" i="1"/>
  <c r="F21037" i="1"/>
  <c r="E21037" i="1"/>
  <c r="D21037" i="1"/>
  <c r="C21037" i="1"/>
  <c r="B21037" i="1"/>
  <c r="A21037" i="1"/>
  <c r="F21036" i="1"/>
  <c r="E21036" i="1"/>
  <c r="D21036" i="1"/>
  <c r="C21036" i="1"/>
  <c r="B21036" i="1"/>
  <c r="A21036" i="1"/>
  <c r="F21035" i="1"/>
  <c r="E21035" i="1"/>
  <c r="D21035" i="1"/>
  <c r="C21035" i="1"/>
  <c r="B21035" i="1"/>
  <c r="A21035" i="1"/>
  <c r="F21034" i="1"/>
  <c r="E21034" i="1"/>
  <c r="D21034" i="1"/>
  <c r="C21034" i="1"/>
  <c r="B21034" i="1"/>
  <c r="A21034" i="1"/>
  <c r="F21033" i="1"/>
  <c r="E21033" i="1"/>
  <c r="D21033" i="1"/>
  <c r="C21033" i="1"/>
  <c r="B21033" i="1"/>
  <c r="A21033" i="1"/>
  <c r="F21032" i="1"/>
  <c r="E21032" i="1"/>
  <c r="D21032" i="1"/>
  <c r="C21032" i="1"/>
  <c r="B21032" i="1"/>
  <c r="A21032" i="1"/>
  <c r="F21031" i="1"/>
  <c r="E21031" i="1"/>
  <c r="D21031" i="1"/>
  <c r="C21031" i="1"/>
  <c r="B21031" i="1"/>
  <c r="A21031" i="1"/>
  <c r="F21030" i="1"/>
  <c r="E21030" i="1"/>
  <c r="D21030" i="1"/>
  <c r="C21030" i="1"/>
  <c r="B21030" i="1"/>
  <c r="A21030" i="1"/>
  <c r="F21029" i="1"/>
  <c r="E21029" i="1"/>
  <c r="D21029" i="1"/>
  <c r="C21029" i="1"/>
  <c r="B21029" i="1"/>
  <c r="A21029" i="1"/>
  <c r="F21028" i="1"/>
  <c r="E21028" i="1"/>
  <c r="D21028" i="1"/>
  <c r="C21028" i="1"/>
  <c r="B21028" i="1"/>
  <c r="A21028" i="1"/>
  <c r="F21027" i="1"/>
  <c r="E21027" i="1"/>
  <c r="D21027" i="1"/>
  <c r="C21027" i="1"/>
  <c r="B21027" i="1"/>
  <c r="A21027" i="1"/>
  <c r="F21026" i="1"/>
  <c r="E21026" i="1"/>
  <c r="D21026" i="1"/>
  <c r="C21026" i="1"/>
  <c r="B21026" i="1"/>
  <c r="A21026" i="1"/>
  <c r="F21025" i="1"/>
  <c r="E21025" i="1"/>
  <c r="D21025" i="1"/>
  <c r="C21025" i="1"/>
  <c r="B21025" i="1"/>
  <c r="A21025" i="1"/>
  <c r="F21024" i="1"/>
  <c r="E21024" i="1"/>
  <c r="D21024" i="1"/>
  <c r="C21024" i="1"/>
  <c r="B21024" i="1"/>
  <c r="A21024" i="1"/>
  <c r="F21023" i="1"/>
  <c r="E21023" i="1"/>
  <c r="D21023" i="1"/>
  <c r="C21023" i="1"/>
  <c r="B21023" i="1"/>
  <c r="A21023" i="1"/>
  <c r="F21022" i="1"/>
  <c r="E21022" i="1"/>
  <c r="D21022" i="1"/>
  <c r="C21022" i="1"/>
  <c r="B21022" i="1"/>
  <c r="A21022" i="1"/>
  <c r="F21021" i="1"/>
  <c r="E21021" i="1"/>
  <c r="D21021" i="1"/>
  <c r="C21021" i="1"/>
  <c r="B21021" i="1"/>
  <c r="A21021" i="1"/>
  <c r="F21020" i="1"/>
  <c r="E21020" i="1"/>
  <c r="D21020" i="1"/>
  <c r="C21020" i="1"/>
  <c r="B21020" i="1"/>
  <c r="A21020" i="1"/>
  <c r="F21019" i="1"/>
  <c r="E21019" i="1"/>
  <c r="D21019" i="1"/>
  <c r="C21019" i="1"/>
  <c r="B21019" i="1"/>
  <c r="A21019" i="1"/>
  <c r="F21018" i="1"/>
  <c r="E21018" i="1"/>
  <c r="D21018" i="1"/>
  <c r="C21018" i="1"/>
  <c r="B21018" i="1"/>
  <c r="A21018" i="1"/>
  <c r="F21017" i="1"/>
  <c r="E21017" i="1"/>
  <c r="D21017" i="1"/>
  <c r="C21017" i="1"/>
  <c r="B21017" i="1"/>
  <c r="A21017" i="1"/>
  <c r="F21016" i="1"/>
  <c r="E21016" i="1"/>
  <c r="D21016" i="1"/>
  <c r="C21016" i="1"/>
  <c r="B21016" i="1"/>
  <c r="A21016" i="1"/>
  <c r="F21015" i="1"/>
  <c r="E21015" i="1"/>
  <c r="D21015" i="1"/>
  <c r="C21015" i="1"/>
  <c r="B21015" i="1"/>
  <c r="A21015" i="1"/>
  <c r="F21014" i="1"/>
  <c r="E21014" i="1"/>
  <c r="D21014" i="1"/>
  <c r="C21014" i="1"/>
  <c r="B21014" i="1"/>
  <c r="A21014" i="1"/>
  <c r="F21013" i="1"/>
  <c r="E21013" i="1"/>
  <c r="D21013" i="1"/>
  <c r="C21013" i="1"/>
  <c r="B21013" i="1"/>
  <c r="A21013" i="1"/>
  <c r="F21012" i="1"/>
  <c r="E21012" i="1"/>
  <c r="D21012" i="1"/>
  <c r="C21012" i="1"/>
  <c r="B21012" i="1"/>
  <c r="A21012" i="1"/>
  <c r="F21011" i="1"/>
  <c r="E21011" i="1"/>
  <c r="D21011" i="1"/>
  <c r="C21011" i="1"/>
  <c r="B21011" i="1"/>
  <c r="A21011" i="1"/>
  <c r="F21010" i="1"/>
  <c r="E21010" i="1"/>
  <c r="D21010" i="1"/>
  <c r="C21010" i="1"/>
  <c r="B21010" i="1"/>
  <c r="A21010" i="1"/>
  <c r="F21009" i="1"/>
  <c r="E21009" i="1"/>
  <c r="D21009" i="1"/>
  <c r="C21009" i="1"/>
  <c r="B21009" i="1"/>
  <c r="A21009" i="1"/>
  <c r="F21008" i="1"/>
  <c r="E21008" i="1"/>
  <c r="D21008" i="1"/>
  <c r="C21008" i="1"/>
  <c r="B21008" i="1"/>
  <c r="A21008" i="1"/>
  <c r="F21007" i="1"/>
  <c r="E21007" i="1"/>
  <c r="D21007" i="1"/>
  <c r="C21007" i="1"/>
  <c r="B21007" i="1"/>
  <c r="A21007" i="1"/>
  <c r="F21006" i="1"/>
  <c r="E21006" i="1"/>
  <c r="D21006" i="1"/>
  <c r="C21006" i="1"/>
  <c r="B21006" i="1"/>
  <c r="A21006" i="1"/>
  <c r="F21005" i="1"/>
  <c r="E21005" i="1"/>
  <c r="D21005" i="1"/>
  <c r="C21005" i="1"/>
  <c r="B21005" i="1"/>
  <c r="A21005" i="1"/>
  <c r="F21004" i="1"/>
  <c r="E21004" i="1"/>
  <c r="D21004" i="1"/>
  <c r="C21004" i="1"/>
  <c r="B21004" i="1"/>
  <c r="A21004" i="1"/>
  <c r="F21003" i="1"/>
  <c r="E21003" i="1"/>
  <c r="D21003" i="1"/>
  <c r="C21003" i="1"/>
  <c r="B21003" i="1"/>
  <c r="A21003" i="1"/>
  <c r="F21002" i="1"/>
  <c r="E21002" i="1"/>
  <c r="D21002" i="1"/>
  <c r="C21002" i="1"/>
  <c r="B21002" i="1"/>
  <c r="A21002" i="1"/>
  <c r="F21001" i="1"/>
  <c r="E21001" i="1"/>
  <c r="D21001" i="1"/>
  <c r="C21001" i="1"/>
  <c r="B21001" i="1"/>
  <c r="A21001" i="1"/>
  <c r="F21000" i="1"/>
  <c r="E21000" i="1"/>
  <c r="D21000" i="1"/>
  <c r="C21000" i="1"/>
  <c r="B21000" i="1"/>
  <c r="A21000" i="1"/>
  <c r="F20999" i="1"/>
  <c r="E20999" i="1"/>
  <c r="D20999" i="1"/>
  <c r="C20999" i="1"/>
  <c r="B20999" i="1"/>
  <c r="A20999" i="1"/>
  <c r="F20998" i="1"/>
  <c r="E20998" i="1"/>
  <c r="D20998" i="1"/>
  <c r="C20998" i="1"/>
  <c r="B20998" i="1"/>
  <c r="A20998" i="1"/>
  <c r="F20997" i="1"/>
  <c r="E20997" i="1"/>
  <c r="D20997" i="1"/>
  <c r="C20997" i="1"/>
  <c r="B20997" i="1"/>
  <c r="A20997" i="1"/>
  <c r="F20996" i="1"/>
  <c r="E20996" i="1"/>
  <c r="D20996" i="1"/>
  <c r="C20996" i="1"/>
  <c r="B20996" i="1"/>
  <c r="A20996" i="1"/>
  <c r="F20995" i="1"/>
  <c r="E20995" i="1"/>
  <c r="D20995" i="1"/>
  <c r="C20995" i="1"/>
  <c r="B20995" i="1"/>
  <c r="A20995" i="1"/>
  <c r="F20994" i="1"/>
  <c r="E20994" i="1"/>
  <c r="D20994" i="1"/>
  <c r="C20994" i="1"/>
  <c r="B20994" i="1"/>
  <c r="A20994" i="1"/>
  <c r="F20993" i="1"/>
  <c r="E20993" i="1"/>
  <c r="D20993" i="1"/>
  <c r="C20993" i="1"/>
  <c r="B20993" i="1"/>
  <c r="A20993" i="1"/>
  <c r="F20992" i="1"/>
  <c r="E20992" i="1"/>
  <c r="D20992" i="1"/>
  <c r="C20992" i="1"/>
  <c r="B20992" i="1"/>
  <c r="A20992" i="1"/>
  <c r="F20991" i="1"/>
  <c r="E20991" i="1"/>
  <c r="D20991" i="1"/>
  <c r="C20991" i="1"/>
  <c r="B20991" i="1"/>
  <c r="A20991" i="1"/>
  <c r="F20990" i="1"/>
  <c r="E20990" i="1"/>
  <c r="D20990" i="1"/>
  <c r="C20990" i="1"/>
  <c r="B20990" i="1"/>
  <c r="A20990" i="1"/>
  <c r="F20989" i="1"/>
  <c r="E20989" i="1"/>
  <c r="D20989" i="1"/>
  <c r="C20989" i="1"/>
  <c r="B20989" i="1"/>
  <c r="A20989" i="1"/>
  <c r="F20988" i="1"/>
  <c r="E20988" i="1"/>
  <c r="D20988" i="1"/>
  <c r="C20988" i="1"/>
  <c r="B20988" i="1"/>
  <c r="A20988" i="1"/>
  <c r="F20987" i="1"/>
  <c r="E20987" i="1"/>
  <c r="D20987" i="1"/>
  <c r="C20987" i="1"/>
  <c r="B20987" i="1"/>
  <c r="A20987" i="1"/>
  <c r="F20986" i="1"/>
  <c r="E20986" i="1"/>
  <c r="D20986" i="1"/>
  <c r="C20986" i="1"/>
  <c r="B20986" i="1"/>
  <c r="A20986" i="1"/>
  <c r="F20985" i="1"/>
  <c r="E20985" i="1"/>
  <c r="D20985" i="1"/>
  <c r="C20985" i="1"/>
  <c r="B20985" i="1"/>
  <c r="A20985" i="1"/>
  <c r="F20984" i="1"/>
  <c r="E20984" i="1"/>
  <c r="D20984" i="1"/>
  <c r="C20984" i="1"/>
  <c r="B20984" i="1"/>
  <c r="A20984" i="1"/>
  <c r="F20983" i="1"/>
  <c r="E20983" i="1"/>
  <c r="D20983" i="1"/>
  <c r="C20983" i="1"/>
  <c r="B20983" i="1"/>
  <c r="A20983" i="1"/>
  <c r="F20982" i="1"/>
  <c r="E20982" i="1"/>
  <c r="D20982" i="1"/>
  <c r="C20982" i="1"/>
  <c r="B20982" i="1"/>
  <c r="A20982" i="1"/>
  <c r="F20981" i="1"/>
  <c r="E20981" i="1"/>
  <c r="D20981" i="1"/>
  <c r="C20981" i="1"/>
  <c r="B20981" i="1"/>
  <c r="A20981" i="1"/>
  <c r="F20980" i="1"/>
  <c r="E20980" i="1"/>
  <c r="D20980" i="1"/>
  <c r="C20980" i="1"/>
  <c r="B20980" i="1"/>
  <c r="A20980" i="1"/>
  <c r="F20979" i="1"/>
  <c r="E20979" i="1"/>
  <c r="D20979" i="1"/>
  <c r="C20979" i="1"/>
  <c r="B20979" i="1"/>
  <c r="A20979" i="1"/>
  <c r="F20978" i="1"/>
  <c r="E20978" i="1"/>
  <c r="D20978" i="1"/>
  <c r="C20978" i="1"/>
  <c r="B20978" i="1"/>
  <c r="A20978" i="1"/>
  <c r="F20977" i="1"/>
  <c r="E20977" i="1"/>
  <c r="D20977" i="1"/>
  <c r="C20977" i="1"/>
  <c r="B20977" i="1"/>
  <c r="A20977" i="1"/>
  <c r="F20976" i="1"/>
  <c r="E20976" i="1"/>
  <c r="D20976" i="1"/>
  <c r="C20976" i="1"/>
  <c r="B20976" i="1"/>
  <c r="A20976" i="1"/>
  <c r="F20975" i="1"/>
  <c r="E20975" i="1"/>
  <c r="D20975" i="1"/>
  <c r="C20975" i="1"/>
  <c r="B20975" i="1"/>
  <c r="A20975" i="1"/>
  <c r="F20974" i="1"/>
  <c r="E20974" i="1"/>
  <c r="D20974" i="1"/>
  <c r="C20974" i="1"/>
  <c r="B20974" i="1"/>
  <c r="A20974" i="1"/>
  <c r="F20973" i="1"/>
  <c r="E20973" i="1"/>
  <c r="D20973" i="1"/>
  <c r="C20973" i="1"/>
  <c r="B20973" i="1"/>
  <c r="A20973" i="1"/>
  <c r="F20972" i="1"/>
  <c r="E20972" i="1"/>
  <c r="D20972" i="1"/>
  <c r="C20972" i="1"/>
  <c r="B20972" i="1"/>
  <c r="A20972" i="1"/>
  <c r="F20971" i="1"/>
  <c r="E20971" i="1"/>
  <c r="D20971" i="1"/>
  <c r="C20971" i="1"/>
  <c r="B20971" i="1"/>
  <c r="A20971" i="1"/>
  <c r="F20970" i="1"/>
  <c r="E20970" i="1"/>
  <c r="D20970" i="1"/>
  <c r="C20970" i="1"/>
  <c r="B20970" i="1"/>
  <c r="A20970" i="1"/>
  <c r="F20969" i="1"/>
  <c r="E20969" i="1"/>
  <c r="D20969" i="1"/>
  <c r="C20969" i="1"/>
  <c r="B20969" i="1"/>
  <c r="A20969" i="1"/>
  <c r="F20968" i="1"/>
  <c r="E20968" i="1"/>
  <c r="D20968" i="1"/>
  <c r="C20968" i="1"/>
  <c r="B20968" i="1"/>
  <c r="A20968" i="1"/>
  <c r="F20967" i="1"/>
  <c r="E20967" i="1"/>
  <c r="D20967" i="1"/>
  <c r="C20967" i="1"/>
  <c r="B20967" i="1"/>
  <c r="A20967" i="1"/>
  <c r="F20966" i="1"/>
  <c r="E20966" i="1"/>
  <c r="D20966" i="1"/>
  <c r="C20966" i="1"/>
  <c r="B20966" i="1"/>
  <c r="A20966" i="1"/>
  <c r="F20965" i="1"/>
  <c r="E20965" i="1"/>
  <c r="D20965" i="1"/>
  <c r="C20965" i="1"/>
  <c r="B20965" i="1"/>
  <c r="A20965" i="1"/>
  <c r="F20964" i="1"/>
  <c r="E20964" i="1"/>
  <c r="D20964" i="1"/>
  <c r="C20964" i="1"/>
  <c r="B20964" i="1"/>
  <c r="A20964" i="1"/>
  <c r="F20963" i="1"/>
  <c r="E20963" i="1"/>
  <c r="D20963" i="1"/>
  <c r="C20963" i="1"/>
  <c r="B20963" i="1"/>
  <c r="A20963" i="1"/>
  <c r="F20962" i="1"/>
  <c r="E20962" i="1"/>
  <c r="D20962" i="1"/>
  <c r="C20962" i="1"/>
  <c r="B20962" i="1"/>
  <c r="A20962" i="1"/>
  <c r="F20961" i="1"/>
  <c r="E20961" i="1"/>
  <c r="D20961" i="1"/>
  <c r="C20961" i="1"/>
  <c r="B20961" i="1"/>
  <c r="A20961" i="1"/>
  <c r="F20960" i="1"/>
  <c r="E20960" i="1"/>
  <c r="D20960" i="1"/>
  <c r="C20960" i="1"/>
  <c r="B20960" i="1"/>
  <c r="A20960" i="1"/>
  <c r="F20959" i="1"/>
  <c r="E20959" i="1"/>
  <c r="D20959" i="1"/>
  <c r="C20959" i="1"/>
  <c r="B20959" i="1"/>
  <c r="A20959" i="1"/>
  <c r="F20958" i="1"/>
  <c r="E20958" i="1"/>
  <c r="D20958" i="1"/>
  <c r="C20958" i="1"/>
  <c r="B20958" i="1"/>
  <c r="A20958" i="1"/>
  <c r="F20957" i="1"/>
  <c r="E20957" i="1"/>
  <c r="D20957" i="1"/>
  <c r="C20957" i="1"/>
  <c r="B20957" i="1"/>
  <c r="A20957" i="1"/>
  <c r="F20956" i="1"/>
  <c r="E20956" i="1"/>
  <c r="D20956" i="1"/>
  <c r="C20956" i="1"/>
  <c r="B20956" i="1"/>
  <c r="A20956" i="1"/>
  <c r="F20955" i="1"/>
  <c r="E20955" i="1"/>
  <c r="D20955" i="1"/>
  <c r="C20955" i="1"/>
  <c r="B20955" i="1"/>
  <c r="A20955" i="1"/>
  <c r="F20954" i="1"/>
  <c r="E20954" i="1"/>
  <c r="D20954" i="1"/>
  <c r="C20954" i="1"/>
  <c r="B20954" i="1"/>
  <c r="A20954" i="1"/>
  <c r="F20953" i="1"/>
  <c r="E20953" i="1"/>
  <c r="D20953" i="1"/>
  <c r="C20953" i="1"/>
  <c r="B20953" i="1"/>
  <c r="A20953" i="1"/>
  <c r="F20952" i="1"/>
  <c r="E20952" i="1"/>
  <c r="D20952" i="1"/>
  <c r="C20952" i="1"/>
  <c r="B20952" i="1"/>
  <c r="A20952" i="1"/>
  <c r="F20951" i="1"/>
  <c r="E20951" i="1"/>
  <c r="D20951" i="1"/>
  <c r="C20951" i="1"/>
  <c r="B20951" i="1"/>
  <c r="A20951" i="1"/>
  <c r="F20950" i="1"/>
  <c r="E20950" i="1"/>
  <c r="D20950" i="1"/>
  <c r="C20950" i="1"/>
  <c r="B20950" i="1"/>
  <c r="A20950" i="1"/>
  <c r="F20949" i="1"/>
  <c r="E20949" i="1"/>
  <c r="D20949" i="1"/>
  <c r="C20949" i="1"/>
  <c r="B20949" i="1"/>
  <c r="A20949" i="1"/>
  <c r="F20948" i="1"/>
  <c r="E20948" i="1"/>
  <c r="D20948" i="1"/>
  <c r="C20948" i="1"/>
  <c r="B20948" i="1"/>
  <c r="A20948" i="1"/>
  <c r="F20947" i="1"/>
  <c r="E20947" i="1"/>
  <c r="D20947" i="1"/>
  <c r="C20947" i="1"/>
  <c r="B20947" i="1"/>
  <c r="A20947" i="1"/>
  <c r="F20946" i="1"/>
  <c r="E20946" i="1"/>
  <c r="D20946" i="1"/>
  <c r="C20946" i="1"/>
  <c r="B20946" i="1"/>
  <c r="A20946" i="1"/>
  <c r="F20945" i="1"/>
  <c r="E20945" i="1"/>
  <c r="D20945" i="1"/>
  <c r="C20945" i="1"/>
  <c r="B20945" i="1"/>
  <c r="A20945" i="1"/>
  <c r="F20944" i="1"/>
  <c r="E20944" i="1"/>
  <c r="D20944" i="1"/>
  <c r="C20944" i="1"/>
  <c r="B20944" i="1"/>
  <c r="A20944" i="1"/>
  <c r="F20943" i="1"/>
  <c r="E20943" i="1"/>
  <c r="D20943" i="1"/>
  <c r="C20943" i="1"/>
  <c r="B20943" i="1"/>
  <c r="A20943" i="1"/>
  <c r="F20942" i="1"/>
  <c r="E20942" i="1"/>
  <c r="D20942" i="1"/>
  <c r="C20942" i="1"/>
  <c r="B20942" i="1"/>
  <c r="A20942" i="1"/>
  <c r="F20941" i="1"/>
  <c r="E20941" i="1"/>
  <c r="D20941" i="1"/>
  <c r="C20941" i="1"/>
  <c r="B20941" i="1"/>
  <c r="A20941" i="1"/>
  <c r="F20940" i="1"/>
  <c r="E20940" i="1"/>
  <c r="D20940" i="1"/>
  <c r="C20940" i="1"/>
  <c r="B20940" i="1"/>
  <c r="A20940" i="1"/>
  <c r="F20939" i="1"/>
  <c r="E20939" i="1"/>
  <c r="D20939" i="1"/>
  <c r="C20939" i="1"/>
  <c r="B20939" i="1"/>
  <c r="A20939" i="1"/>
  <c r="F20938" i="1"/>
  <c r="E20938" i="1"/>
  <c r="D20938" i="1"/>
  <c r="C20938" i="1"/>
  <c r="B20938" i="1"/>
  <c r="A20938" i="1"/>
  <c r="F20937" i="1"/>
  <c r="E20937" i="1"/>
  <c r="D20937" i="1"/>
  <c r="C20937" i="1"/>
  <c r="B20937" i="1"/>
  <c r="A20937" i="1"/>
  <c r="F20936" i="1"/>
  <c r="E20936" i="1"/>
  <c r="D20936" i="1"/>
  <c r="C20936" i="1"/>
  <c r="B20936" i="1"/>
  <c r="A20936" i="1"/>
  <c r="F20935" i="1"/>
  <c r="E20935" i="1"/>
  <c r="D20935" i="1"/>
  <c r="C20935" i="1"/>
  <c r="B20935" i="1"/>
  <c r="A20935" i="1"/>
  <c r="F20934" i="1"/>
  <c r="E20934" i="1"/>
  <c r="D20934" i="1"/>
  <c r="C20934" i="1"/>
  <c r="B20934" i="1"/>
  <c r="A20934" i="1"/>
  <c r="F20933" i="1"/>
  <c r="E20933" i="1"/>
  <c r="D20933" i="1"/>
  <c r="C20933" i="1"/>
  <c r="B20933" i="1"/>
  <c r="A20933" i="1"/>
  <c r="F20932" i="1"/>
  <c r="E20932" i="1"/>
  <c r="D20932" i="1"/>
  <c r="C20932" i="1"/>
  <c r="B20932" i="1"/>
  <c r="A20932" i="1"/>
  <c r="F20931" i="1"/>
  <c r="E20931" i="1"/>
  <c r="D20931" i="1"/>
  <c r="C20931" i="1"/>
  <c r="B20931" i="1"/>
  <c r="A20931" i="1"/>
  <c r="F20930" i="1"/>
  <c r="E20930" i="1"/>
  <c r="D20930" i="1"/>
  <c r="C20930" i="1"/>
  <c r="B20930" i="1"/>
  <c r="A20930" i="1"/>
  <c r="F20929" i="1"/>
  <c r="E20929" i="1"/>
  <c r="D20929" i="1"/>
  <c r="C20929" i="1"/>
  <c r="B20929" i="1"/>
  <c r="A20929" i="1"/>
  <c r="F20928" i="1"/>
  <c r="E20928" i="1"/>
  <c r="D20928" i="1"/>
  <c r="C20928" i="1"/>
  <c r="B20928" i="1"/>
  <c r="A20928" i="1"/>
  <c r="F20927" i="1"/>
  <c r="E20927" i="1"/>
  <c r="D20927" i="1"/>
  <c r="C20927" i="1"/>
  <c r="B20927" i="1"/>
  <c r="A20927" i="1"/>
  <c r="F20926" i="1"/>
  <c r="E20926" i="1"/>
  <c r="D20926" i="1"/>
  <c r="C20926" i="1"/>
  <c r="B20926" i="1"/>
  <c r="A20926" i="1"/>
  <c r="F20925" i="1"/>
  <c r="E20925" i="1"/>
  <c r="D20925" i="1"/>
  <c r="C20925" i="1"/>
  <c r="B20925" i="1"/>
  <c r="A20925" i="1"/>
  <c r="F20924" i="1"/>
  <c r="E20924" i="1"/>
  <c r="D20924" i="1"/>
  <c r="C20924" i="1"/>
  <c r="B20924" i="1"/>
  <c r="A20924" i="1"/>
  <c r="F20923" i="1"/>
  <c r="E20923" i="1"/>
  <c r="D20923" i="1"/>
  <c r="C20923" i="1"/>
  <c r="B20923" i="1"/>
  <c r="A20923" i="1"/>
  <c r="F20922" i="1"/>
  <c r="E20922" i="1"/>
  <c r="D20922" i="1"/>
  <c r="C20922" i="1"/>
  <c r="B20922" i="1"/>
  <c r="A20922" i="1"/>
  <c r="F20921" i="1"/>
  <c r="E20921" i="1"/>
  <c r="D20921" i="1"/>
  <c r="C20921" i="1"/>
  <c r="B20921" i="1"/>
  <c r="A20921" i="1"/>
  <c r="F20920" i="1"/>
  <c r="E20920" i="1"/>
  <c r="D20920" i="1"/>
  <c r="C20920" i="1"/>
  <c r="B20920" i="1"/>
  <c r="A20920" i="1"/>
  <c r="F20919" i="1"/>
  <c r="E20919" i="1"/>
  <c r="D20919" i="1"/>
  <c r="C20919" i="1"/>
  <c r="B20919" i="1"/>
  <c r="A20919" i="1"/>
  <c r="F20918" i="1"/>
  <c r="E20918" i="1"/>
  <c r="D20918" i="1"/>
  <c r="C20918" i="1"/>
  <c r="B20918" i="1"/>
  <c r="A20918" i="1"/>
  <c r="F20917" i="1"/>
  <c r="E20917" i="1"/>
  <c r="D20917" i="1"/>
  <c r="C20917" i="1"/>
  <c r="B20917" i="1"/>
  <c r="A20917" i="1"/>
  <c r="F20916" i="1"/>
  <c r="E20916" i="1"/>
  <c r="D20916" i="1"/>
  <c r="C20916" i="1"/>
  <c r="B20916" i="1"/>
  <c r="A20916" i="1"/>
  <c r="F20915" i="1"/>
  <c r="E20915" i="1"/>
  <c r="D20915" i="1"/>
  <c r="C20915" i="1"/>
  <c r="B20915" i="1"/>
  <c r="A20915" i="1"/>
  <c r="F20914" i="1"/>
  <c r="E20914" i="1"/>
  <c r="D20914" i="1"/>
  <c r="C20914" i="1"/>
  <c r="B20914" i="1"/>
  <c r="A20914" i="1"/>
  <c r="F20913" i="1"/>
  <c r="E20913" i="1"/>
  <c r="D20913" i="1"/>
  <c r="C20913" i="1"/>
  <c r="B20913" i="1"/>
  <c r="A20913" i="1"/>
  <c r="F20912" i="1"/>
  <c r="E20912" i="1"/>
  <c r="D20912" i="1"/>
  <c r="C20912" i="1"/>
  <c r="B20912" i="1"/>
  <c r="A20912" i="1"/>
  <c r="F20911" i="1"/>
  <c r="E20911" i="1"/>
  <c r="D20911" i="1"/>
  <c r="C20911" i="1"/>
  <c r="B20911" i="1"/>
  <c r="A20911" i="1"/>
  <c r="F20910" i="1"/>
  <c r="E20910" i="1"/>
  <c r="D20910" i="1"/>
  <c r="C20910" i="1"/>
  <c r="B20910" i="1"/>
  <c r="A20910" i="1"/>
  <c r="F20909" i="1"/>
  <c r="E20909" i="1"/>
  <c r="D20909" i="1"/>
  <c r="C20909" i="1"/>
  <c r="B20909" i="1"/>
  <c r="A20909" i="1"/>
  <c r="F20908" i="1"/>
  <c r="E20908" i="1"/>
  <c r="D20908" i="1"/>
  <c r="C20908" i="1"/>
  <c r="B20908" i="1"/>
  <c r="A20908" i="1"/>
  <c r="F20907" i="1"/>
  <c r="E20907" i="1"/>
  <c r="D20907" i="1"/>
  <c r="C20907" i="1"/>
  <c r="B20907" i="1"/>
  <c r="A20907" i="1"/>
  <c r="F20906" i="1"/>
  <c r="E20906" i="1"/>
  <c r="D20906" i="1"/>
  <c r="C20906" i="1"/>
  <c r="B20906" i="1"/>
  <c r="A20906" i="1"/>
  <c r="F20905" i="1"/>
  <c r="E20905" i="1"/>
  <c r="D20905" i="1"/>
  <c r="C20905" i="1"/>
  <c r="B20905" i="1"/>
  <c r="A20905" i="1"/>
  <c r="F20904" i="1"/>
  <c r="E20904" i="1"/>
  <c r="D20904" i="1"/>
  <c r="C20904" i="1"/>
  <c r="B20904" i="1"/>
  <c r="A20904" i="1"/>
  <c r="F20903" i="1"/>
  <c r="E20903" i="1"/>
  <c r="D20903" i="1"/>
  <c r="C20903" i="1"/>
  <c r="B20903" i="1"/>
  <c r="A20903" i="1"/>
  <c r="F20902" i="1"/>
  <c r="E20902" i="1"/>
  <c r="D20902" i="1"/>
  <c r="C20902" i="1"/>
  <c r="B20902" i="1"/>
  <c r="A20902" i="1"/>
  <c r="F20901" i="1"/>
  <c r="E20901" i="1"/>
  <c r="D20901" i="1"/>
  <c r="C20901" i="1"/>
  <c r="B20901" i="1"/>
  <c r="A20901" i="1"/>
  <c r="F20900" i="1"/>
  <c r="E20900" i="1"/>
  <c r="D20900" i="1"/>
  <c r="C20900" i="1"/>
  <c r="B20900" i="1"/>
  <c r="A20900" i="1"/>
  <c r="F20899" i="1"/>
  <c r="E20899" i="1"/>
  <c r="D20899" i="1"/>
  <c r="C20899" i="1"/>
  <c r="B20899" i="1"/>
  <c r="A20899" i="1"/>
  <c r="F20898" i="1"/>
  <c r="E20898" i="1"/>
  <c r="D20898" i="1"/>
  <c r="C20898" i="1"/>
  <c r="B20898" i="1"/>
  <c r="A20898" i="1"/>
  <c r="F20897" i="1"/>
  <c r="E20897" i="1"/>
  <c r="D20897" i="1"/>
  <c r="C20897" i="1"/>
  <c r="B20897" i="1"/>
  <c r="A20897" i="1"/>
  <c r="F20896" i="1"/>
  <c r="E20896" i="1"/>
  <c r="D20896" i="1"/>
  <c r="C20896" i="1"/>
  <c r="B20896" i="1"/>
  <c r="A20896" i="1"/>
  <c r="F20895" i="1"/>
  <c r="E20895" i="1"/>
  <c r="D20895" i="1"/>
  <c r="C20895" i="1"/>
  <c r="B20895" i="1"/>
  <c r="A20895" i="1"/>
  <c r="F20894" i="1"/>
  <c r="E20894" i="1"/>
  <c r="D20894" i="1"/>
  <c r="C20894" i="1"/>
  <c r="B20894" i="1"/>
  <c r="A20894" i="1"/>
  <c r="F20893" i="1"/>
  <c r="E20893" i="1"/>
  <c r="D20893" i="1"/>
  <c r="C20893" i="1"/>
  <c r="B20893" i="1"/>
  <c r="A20893" i="1"/>
  <c r="F20892" i="1"/>
  <c r="E20892" i="1"/>
  <c r="D20892" i="1"/>
  <c r="C20892" i="1"/>
  <c r="B20892" i="1"/>
  <c r="A20892" i="1"/>
  <c r="F20891" i="1"/>
  <c r="E20891" i="1"/>
  <c r="D20891" i="1"/>
  <c r="C20891" i="1"/>
  <c r="B20891" i="1"/>
  <c r="A20891" i="1"/>
  <c r="F20890" i="1"/>
  <c r="E20890" i="1"/>
  <c r="D20890" i="1"/>
  <c r="C20890" i="1"/>
  <c r="B20890" i="1"/>
  <c r="A20890" i="1"/>
  <c r="F20889" i="1"/>
  <c r="E20889" i="1"/>
  <c r="D20889" i="1"/>
  <c r="C20889" i="1"/>
  <c r="B20889" i="1"/>
  <c r="A20889" i="1"/>
  <c r="F20888" i="1"/>
  <c r="E20888" i="1"/>
  <c r="D20888" i="1"/>
  <c r="C20888" i="1"/>
  <c r="B20888" i="1"/>
  <c r="A20888" i="1"/>
  <c r="F20887" i="1"/>
  <c r="E20887" i="1"/>
  <c r="D20887" i="1"/>
  <c r="C20887" i="1"/>
  <c r="B20887" i="1"/>
  <c r="A20887" i="1"/>
  <c r="F20886" i="1"/>
  <c r="E20886" i="1"/>
  <c r="D20886" i="1"/>
  <c r="C20886" i="1"/>
  <c r="B20886" i="1"/>
  <c r="A20886" i="1"/>
  <c r="F20885" i="1"/>
  <c r="E20885" i="1"/>
  <c r="D20885" i="1"/>
  <c r="C20885" i="1"/>
  <c r="B20885" i="1"/>
  <c r="A20885" i="1"/>
  <c r="F20884" i="1"/>
  <c r="E20884" i="1"/>
  <c r="D20884" i="1"/>
  <c r="C20884" i="1"/>
  <c r="B20884" i="1"/>
  <c r="A20884" i="1"/>
  <c r="F20883" i="1"/>
  <c r="E20883" i="1"/>
  <c r="D20883" i="1"/>
  <c r="C20883" i="1"/>
  <c r="B20883" i="1"/>
  <c r="A20883" i="1"/>
  <c r="F20882" i="1"/>
  <c r="E20882" i="1"/>
  <c r="D20882" i="1"/>
  <c r="C20882" i="1"/>
  <c r="B20882" i="1"/>
  <c r="A20882" i="1"/>
  <c r="F20881" i="1"/>
  <c r="E20881" i="1"/>
  <c r="D20881" i="1"/>
  <c r="C20881" i="1"/>
  <c r="B20881" i="1"/>
  <c r="A20881" i="1"/>
  <c r="F20880" i="1"/>
  <c r="E20880" i="1"/>
  <c r="D20880" i="1"/>
  <c r="C20880" i="1"/>
  <c r="B20880" i="1"/>
  <c r="A20880" i="1"/>
  <c r="F20879" i="1"/>
  <c r="E20879" i="1"/>
  <c r="D20879" i="1"/>
  <c r="C20879" i="1"/>
  <c r="B20879" i="1"/>
  <c r="A20879" i="1"/>
  <c r="F20878" i="1"/>
  <c r="E20878" i="1"/>
  <c r="D20878" i="1"/>
  <c r="C20878" i="1"/>
  <c r="B20878" i="1"/>
  <c r="A20878" i="1"/>
  <c r="F20877" i="1"/>
  <c r="E20877" i="1"/>
  <c r="D20877" i="1"/>
  <c r="C20877" i="1"/>
  <c r="B20877" i="1"/>
  <c r="A20877" i="1"/>
  <c r="F20876" i="1"/>
  <c r="E20876" i="1"/>
  <c r="D20876" i="1"/>
  <c r="C20876" i="1"/>
  <c r="B20876" i="1"/>
  <c r="A20876" i="1"/>
  <c r="F20875" i="1"/>
  <c r="E20875" i="1"/>
  <c r="D20875" i="1"/>
  <c r="C20875" i="1"/>
  <c r="B20875" i="1"/>
  <c r="A20875" i="1"/>
  <c r="F20874" i="1"/>
  <c r="E20874" i="1"/>
  <c r="D20874" i="1"/>
  <c r="C20874" i="1"/>
  <c r="B20874" i="1"/>
  <c r="A20874" i="1"/>
  <c r="F20873" i="1"/>
  <c r="E20873" i="1"/>
  <c r="D20873" i="1"/>
  <c r="C20873" i="1"/>
  <c r="B20873" i="1"/>
  <c r="A20873" i="1"/>
  <c r="F20872" i="1"/>
  <c r="E20872" i="1"/>
  <c r="D20872" i="1"/>
  <c r="C20872" i="1"/>
  <c r="B20872" i="1"/>
  <c r="A20872" i="1"/>
  <c r="F20871" i="1"/>
  <c r="E20871" i="1"/>
  <c r="D20871" i="1"/>
  <c r="C20871" i="1"/>
  <c r="B20871" i="1"/>
  <c r="A20871" i="1"/>
  <c r="F20870" i="1"/>
  <c r="E20870" i="1"/>
  <c r="D20870" i="1"/>
  <c r="C20870" i="1"/>
  <c r="B20870" i="1"/>
  <c r="A20870" i="1"/>
  <c r="F20869" i="1"/>
  <c r="E20869" i="1"/>
  <c r="D20869" i="1"/>
  <c r="C20869" i="1"/>
  <c r="B20869" i="1"/>
  <c r="A20869" i="1"/>
  <c r="F20868" i="1"/>
  <c r="E20868" i="1"/>
  <c r="D20868" i="1"/>
  <c r="C20868" i="1"/>
  <c r="B20868" i="1"/>
  <c r="A20868" i="1"/>
  <c r="F20867" i="1"/>
  <c r="E20867" i="1"/>
  <c r="D20867" i="1"/>
  <c r="C20867" i="1"/>
  <c r="B20867" i="1"/>
  <c r="A20867" i="1"/>
  <c r="F20866" i="1"/>
  <c r="E20866" i="1"/>
  <c r="D20866" i="1"/>
  <c r="C20866" i="1"/>
  <c r="B20866" i="1"/>
  <c r="A20866" i="1"/>
  <c r="F20865" i="1"/>
  <c r="E20865" i="1"/>
  <c r="D20865" i="1"/>
  <c r="C20865" i="1"/>
  <c r="B20865" i="1"/>
  <c r="A20865" i="1"/>
  <c r="F20864" i="1"/>
  <c r="E20864" i="1"/>
  <c r="D20864" i="1"/>
  <c r="C20864" i="1"/>
  <c r="B20864" i="1"/>
  <c r="A20864" i="1"/>
  <c r="F20863" i="1"/>
  <c r="E20863" i="1"/>
  <c r="D20863" i="1"/>
  <c r="C20863" i="1"/>
  <c r="B20863" i="1"/>
  <c r="A20863" i="1"/>
  <c r="F20862" i="1"/>
  <c r="E20862" i="1"/>
  <c r="D20862" i="1"/>
  <c r="C20862" i="1"/>
  <c r="B20862" i="1"/>
  <c r="A20862" i="1"/>
  <c r="F20861" i="1"/>
  <c r="E20861" i="1"/>
  <c r="D20861" i="1"/>
  <c r="C20861" i="1"/>
  <c r="B20861" i="1"/>
  <c r="A20861" i="1"/>
  <c r="F20860" i="1"/>
  <c r="E20860" i="1"/>
  <c r="D20860" i="1"/>
  <c r="C20860" i="1"/>
  <c r="B20860" i="1"/>
  <c r="A20860" i="1"/>
  <c r="F20859" i="1"/>
  <c r="E20859" i="1"/>
  <c r="D20859" i="1"/>
  <c r="C20859" i="1"/>
  <c r="B20859" i="1"/>
  <c r="A20859" i="1"/>
  <c r="F20858" i="1"/>
  <c r="E20858" i="1"/>
  <c r="D20858" i="1"/>
  <c r="C20858" i="1"/>
  <c r="B20858" i="1"/>
  <c r="A20858" i="1"/>
  <c r="F20857" i="1"/>
  <c r="E20857" i="1"/>
  <c r="D20857" i="1"/>
  <c r="C20857" i="1"/>
  <c r="B20857" i="1"/>
  <c r="A20857" i="1"/>
  <c r="F20856" i="1"/>
  <c r="E20856" i="1"/>
  <c r="D20856" i="1"/>
  <c r="C20856" i="1"/>
  <c r="B20856" i="1"/>
  <c r="A20856" i="1"/>
  <c r="F20855" i="1"/>
  <c r="E20855" i="1"/>
  <c r="D20855" i="1"/>
  <c r="C20855" i="1"/>
  <c r="B20855" i="1"/>
  <c r="A20855" i="1"/>
  <c r="F20854" i="1"/>
  <c r="E20854" i="1"/>
  <c r="D20854" i="1"/>
  <c r="C20854" i="1"/>
  <c r="B20854" i="1"/>
  <c r="A20854" i="1"/>
  <c r="F20853" i="1"/>
  <c r="E20853" i="1"/>
  <c r="D20853" i="1"/>
  <c r="C20853" i="1"/>
  <c r="B20853" i="1"/>
  <c r="A20853" i="1"/>
  <c r="F20852" i="1"/>
  <c r="E20852" i="1"/>
  <c r="D20852" i="1"/>
  <c r="C20852" i="1"/>
  <c r="B20852" i="1"/>
  <c r="A20852" i="1"/>
  <c r="F20851" i="1"/>
  <c r="E20851" i="1"/>
  <c r="D20851" i="1"/>
  <c r="C20851" i="1"/>
  <c r="B20851" i="1"/>
  <c r="A20851" i="1"/>
  <c r="F20850" i="1"/>
  <c r="E20850" i="1"/>
  <c r="D20850" i="1"/>
  <c r="C20850" i="1"/>
  <c r="B20850" i="1"/>
  <c r="A20850" i="1"/>
  <c r="F20849" i="1"/>
  <c r="E20849" i="1"/>
  <c r="D20849" i="1"/>
  <c r="C20849" i="1"/>
  <c r="B20849" i="1"/>
  <c r="A20849" i="1"/>
  <c r="F20848" i="1"/>
  <c r="E20848" i="1"/>
  <c r="D20848" i="1"/>
  <c r="C20848" i="1"/>
  <c r="B20848" i="1"/>
  <c r="A20848" i="1"/>
  <c r="F20847" i="1"/>
  <c r="E20847" i="1"/>
  <c r="D20847" i="1"/>
  <c r="C20847" i="1"/>
  <c r="B20847" i="1"/>
  <c r="A20847" i="1"/>
  <c r="F20846" i="1"/>
  <c r="E20846" i="1"/>
  <c r="D20846" i="1"/>
  <c r="C20846" i="1"/>
  <c r="B20846" i="1"/>
  <c r="A20846" i="1"/>
  <c r="F20845" i="1"/>
  <c r="E20845" i="1"/>
  <c r="D20845" i="1"/>
  <c r="C20845" i="1"/>
  <c r="B20845" i="1"/>
  <c r="A20845" i="1"/>
  <c r="F20844" i="1"/>
  <c r="E20844" i="1"/>
  <c r="D20844" i="1"/>
  <c r="C20844" i="1"/>
  <c r="B20844" i="1"/>
  <c r="A20844" i="1"/>
  <c r="F20843" i="1"/>
  <c r="E20843" i="1"/>
  <c r="D20843" i="1"/>
  <c r="C20843" i="1"/>
  <c r="B20843" i="1"/>
  <c r="A20843" i="1"/>
  <c r="F20842" i="1"/>
  <c r="E20842" i="1"/>
  <c r="D20842" i="1"/>
  <c r="C20842" i="1"/>
  <c r="B20842" i="1"/>
  <c r="A20842" i="1"/>
  <c r="F20841" i="1"/>
  <c r="E20841" i="1"/>
  <c r="D20841" i="1"/>
  <c r="C20841" i="1"/>
  <c r="B20841" i="1"/>
  <c r="A20841" i="1"/>
  <c r="F20840" i="1"/>
  <c r="E20840" i="1"/>
  <c r="D20840" i="1"/>
  <c r="C20840" i="1"/>
  <c r="B20840" i="1"/>
  <c r="A20840" i="1"/>
  <c r="F20839" i="1"/>
  <c r="E20839" i="1"/>
  <c r="D20839" i="1"/>
  <c r="C20839" i="1"/>
  <c r="B20839" i="1"/>
  <c r="A20839" i="1"/>
  <c r="F20838" i="1"/>
  <c r="E20838" i="1"/>
  <c r="D20838" i="1"/>
  <c r="C20838" i="1"/>
  <c r="B20838" i="1"/>
  <c r="A20838" i="1"/>
  <c r="F20837" i="1"/>
  <c r="E20837" i="1"/>
  <c r="D20837" i="1"/>
  <c r="C20837" i="1"/>
  <c r="B20837" i="1"/>
  <c r="A20837" i="1"/>
  <c r="F20836" i="1"/>
  <c r="E20836" i="1"/>
  <c r="D20836" i="1"/>
  <c r="C20836" i="1"/>
  <c r="B20836" i="1"/>
  <c r="A20836" i="1"/>
  <c r="F20835" i="1"/>
  <c r="E20835" i="1"/>
  <c r="D20835" i="1"/>
  <c r="C20835" i="1"/>
  <c r="B20835" i="1"/>
  <c r="A20835" i="1"/>
  <c r="F20834" i="1"/>
  <c r="E20834" i="1"/>
  <c r="D20834" i="1"/>
  <c r="C20834" i="1"/>
  <c r="B20834" i="1"/>
  <c r="A20834" i="1"/>
  <c r="F20833" i="1"/>
  <c r="E20833" i="1"/>
  <c r="D20833" i="1"/>
  <c r="C20833" i="1"/>
  <c r="B20833" i="1"/>
  <c r="A20833" i="1"/>
  <c r="F20832" i="1"/>
  <c r="E20832" i="1"/>
  <c r="D20832" i="1"/>
  <c r="C20832" i="1"/>
  <c r="B20832" i="1"/>
  <c r="A20832" i="1"/>
  <c r="F20831" i="1"/>
  <c r="E20831" i="1"/>
  <c r="D20831" i="1"/>
  <c r="C20831" i="1"/>
  <c r="B20831" i="1"/>
  <c r="A20831" i="1"/>
  <c r="F20830" i="1"/>
  <c r="E20830" i="1"/>
  <c r="D20830" i="1"/>
  <c r="C20830" i="1"/>
  <c r="B20830" i="1"/>
  <c r="A20830" i="1"/>
  <c r="F20829" i="1"/>
  <c r="E20829" i="1"/>
  <c r="D20829" i="1"/>
  <c r="C20829" i="1"/>
  <c r="B20829" i="1"/>
  <c r="A20829" i="1"/>
  <c r="F20828" i="1"/>
  <c r="E20828" i="1"/>
  <c r="D20828" i="1"/>
  <c r="C20828" i="1"/>
  <c r="B20828" i="1"/>
  <c r="A20828" i="1"/>
  <c r="F20827" i="1"/>
  <c r="E20827" i="1"/>
  <c r="D20827" i="1"/>
  <c r="C20827" i="1"/>
  <c r="B20827" i="1"/>
  <c r="A20827" i="1"/>
  <c r="F20826" i="1"/>
  <c r="E20826" i="1"/>
  <c r="D20826" i="1"/>
  <c r="C20826" i="1"/>
  <c r="B20826" i="1"/>
  <c r="A20826" i="1"/>
  <c r="F20825" i="1"/>
  <c r="E20825" i="1"/>
  <c r="D20825" i="1"/>
  <c r="C20825" i="1"/>
  <c r="B20825" i="1"/>
  <c r="A20825" i="1"/>
  <c r="F20824" i="1"/>
  <c r="E20824" i="1"/>
  <c r="D20824" i="1"/>
  <c r="C20824" i="1"/>
  <c r="B20824" i="1"/>
  <c r="A20824" i="1"/>
  <c r="F20823" i="1"/>
  <c r="E20823" i="1"/>
  <c r="D20823" i="1"/>
  <c r="C20823" i="1"/>
  <c r="B20823" i="1"/>
  <c r="A20823" i="1"/>
  <c r="F20822" i="1"/>
  <c r="E20822" i="1"/>
  <c r="D20822" i="1"/>
  <c r="C20822" i="1"/>
  <c r="B20822" i="1"/>
  <c r="A20822" i="1"/>
  <c r="F20821" i="1"/>
  <c r="E20821" i="1"/>
  <c r="D20821" i="1"/>
  <c r="C20821" i="1"/>
  <c r="B20821" i="1"/>
  <c r="A20821" i="1"/>
  <c r="F20820" i="1"/>
  <c r="E20820" i="1"/>
  <c r="D20820" i="1"/>
  <c r="C20820" i="1"/>
  <c r="B20820" i="1"/>
  <c r="A20820" i="1"/>
  <c r="F20819" i="1"/>
  <c r="E20819" i="1"/>
  <c r="D20819" i="1"/>
  <c r="C20819" i="1"/>
  <c r="B20819" i="1"/>
  <c r="A20819" i="1"/>
  <c r="F20818" i="1"/>
  <c r="E20818" i="1"/>
  <c r="D20818" i="1"/>
  <c r="C20818" i="1"/>
  <c r="B20818" i="1"/>
  <c r="A20818" i="1"/>
  <c r="F20817" i="1"/>
  <c r="E20817" i="1"/>
  <c r="D20817" i="1"/>
  <c r="C20817" i="1"/>
  <c r="B20817" i="1"/>
  <c r="A20817" i="1"/>
  <c r="F20816" i="1"/>
  <c r="E20816" i="1"/>
  <c r="D20816" i="1"/>
  <c r="C20816" i="1"/>
  <c r="B20816" i="1"/>
  <c r="A20816" i="1"/>
  <c r="F20815" i="1"/>
  <c r="E20815" i="1"/>
  <c r="D20815" i="1"/>
  <c r="C20815" i="1"/>
  <c r="B20815" i="1"/>
  <c r="A20815" i="1"/>
  <c r="F20814" i="1"/>
  <c r="E20814" i="1"/>
  <c r="D20814" i="1"/>
  <c r="C20814" i="1"/>
  <c r="B20814" i="1"/>
  <c r="A20814" i="1"/>
  <c r="F20813" i="1"/>
  <c r="E20813" i="1"/>
  <c r="D20813" i="1"/>
  <c r="C20813" i="1"/>
  <c r="B20813" i="1"/>
  <c r="A20813" i="1"/>
  <c r="F20812" i="1"/>
  <c r="E20812" i="1"/>
  <c r="D20812" i="1"/>
  <c r="C20812" i="1"/>
  <c r="B20812" i="1"/>
  <c r="A20812" i="1"/>
  <c r="F20811" i="1"/>
  <c r="E20811" i="1"/>
  <c r="D20811" i="1"/>
  <c r="C20811" i="1"/>
  <c r="B20811" i="1"/>
  <c r="A20811" i="1"/>
  <c r="F20810" i="1"/>
  <c r="E20810" i="1"/>
  <c r="D20810" i="1"/>
  <c r="C20810" i="1"/>
  <c r="B20810" i="1"/>
  <c r="A20810" i="1"/>
  <c r="F20809" i="1"/>
  <c r="E20809" i="1"/>
  <c r="D20809" i="1"/>
  <c r="C20809" i="1"/>
  <c r="B20809" i="1"/>
  <c r="A20809" i="1"/>
  <c r="F20808" i="1"/>
  <c r="E20808" i="1"/>
  <c r="D20808" i="1"/>
  <c r="C20808" i="1"/>
  <c r="B20808" i="1"/>
  <c r="A20808" i="1"/>
  <c r="F20807" i="1"/>
  <c r="E20807" i="1"/>
  <c r="D20807" i="1"/>
  <c r="C20807" i="1"/>
  <c r="B20807" i="1"/>
  <c r="A20807" i="1"/>
  <c r="F20806" i="1"/>
  <c r="E20806" i="1"/>
  <c r="D20806" i="1"/>
  <c r="C20806" i="1"/>
  <c r="B20806" i="1"/>
  <c r="A20806" i="1"/>
  <c r="F20805" i="1"/>
  <c r="E20805" i="1"/>
  <c r="D20805" i="1"/>
  <c r="C20805" i="1"/>
  <c r="B20805" i="1"/>
  <c r="A20805" i="1"/>
  <c r="F20804" i="1"/>
  <c r="E20804" i="1"/>
  <c r="D20804" i="1"/>
  <c r="C20804" i="1"/>
  <c r="B20804" i="1"/>
  <c r="A20804" i="1"/>
  <c r="F20803" i="1"/>
  <c r="E20803" i="1"/>
  <c r="D20803" i="1"/>
  <c r="C20803" i="1"/>
  <c r="B20803" i="1"/>
  <c r="A20803" i="1"/>
  <c r="F20802" i="1"/>
  <c r="E20802" i="1"/>
  <c r="D20802" i="1"/>
  <c r="C20802" i="1"/>
  <c r="B20802" i="1"/>
  <c r="A20802" i="1"/>
  <c r="F20801" i="1"/>
  <c r="E20801" i="1"/>
  <c r="D20801" i="1"/>
  <c r="C20801" i="1"/>
  <c r="B20801" i="1"/>
  <c r="A20801" i="1"/>
  <c r="F20800" i="1"/>
  <c r="E20800" i="1"/>
  <c r="D20800" i="1"/>
  <c r="C20800" i="1"/>
  <c r="B20800" i="1"/>
  <c r="A20800" i="1"/>
  <c r="F20799" i="1"/>
  <c r="E20799" i="1"/>
  <c r="D20799" i="1"/>
  <c r="C20799" i="1"/>
  <c r="B20799" i="1"/>
  <c r="A20799" i="1"/>
  <c r="F20798" i="1"/>
  <c r="E20798" i="1"/>
  <c r="D20798" i="1"/>
  <c r="C20798" i="1"/>
  <c r="B20798" i="1"/>
  <c r="A20798" i="1"/>
  <c r="F20797" i="1"/>
  <c r="E20797" i="1"/>
  <c r="D20797" i="1"/>
  <c r="C20797" i="1"/>
  <c r="B20797" i="1"/>
  <c r="A20797" i="1"/>
  <c r="F20796" i="1"/>
  <c r="E20796" i="1"/>
  <c r="D20796" i="1"/>
  <c r="C20796" i="1"/>
  <c r="B20796" i="1"/>
  <c r="A20796" i="1"/>
  <c r="F20795" i="1"/>
  <c r="E20795" i="1"/>
  <c r="D20795" i="1"/>
  <c r="C20795" i="1"/>
  <c r="B20795" i="1"/>
  <c r="A20795" i="1"/>
  <c r="F20794" i="1"/>
  <c r="E20794" i="1"/>
  <c r="D20794" i="1"/>
  <c r="C20794" i="1"/>
  <c r="B20794" i="1"/>
  <c r="A20794" i="1"/>
  <c r="F20793" i="1"/>
  <c r="E20793" i="1"/>
  <c r="D20793" i="1"/>
  <c r="C20793" i="1"/>
  <c r="B20793" i="1"/>
  <c r="A20793" i="1"/>
  <c r="F20792" i="1"/>
  <c r="E20792" i="1"/>
  <c r="D20792" i="1"/>
  <c r="C20792" i="1"/>
  <c r="B20792" i="1"/>
  <c r="A20792" i="1"/>
  <c r="F20791" i="1"/>
  <c r="E20791" i="1"/>
  <c r="D20791" i="1"/>
  <c r="C20791" i="1"/>
  <c r="B20791" i="1"/>
  <c r="A20791" i="1"/>
  <c r="F20790" i="1"/>
  <c r="E20790" i="1"/>
  <c r="D20790" i="1"/>
  <c r="C20790" i="1"/>
  <c r="B20790" i="1"/>
  <c r="A20790" i="1"/>
  <c r="F20789" i="1"/>
  <c r="E20789" i="1"/>
  <c r="D20789" i="1"/>
  <c r="C20789" i="1"/>
  <c r="B20789" i="1"/>
  <c r="A20789" i="1"/>
  <c r="F20788" i="1"/>
  <c r="E20788" i="1"/>
  <c r="D20788" i="1"/>
  <c r="C20788" i="1"/>
  <c r="B20788" i="1"/>
  <c r="A20788" i="1"/>
  <c r="F20787" i="1"/>
  <c r="E20787" i="1"/>
  <c r="D20787" i="1"/>
  <c r="C20787" i="1"/>
  <c r="B20787" i="1"/>
  <c r="A20787" i="1"/>
  <c r="F20786" i="1"/>
  <c r="E20786" i="1"/>
  <c r="D20786" i="1"/>
  <c r="C20786" i="1"/>
  <c r="B20786" i="1"/>
  <c r="A20786" i="1"/>
  <c r="F20785" i="1"/>
  <c r="E20785" i="1"/>
  <c r="D20785" i="1"/>
  <c r="C20785" i="1"/>
  <c r="B20785" i="1"/>
  <c r="A20785" i="1"/>
  <c r="F20784" i="1"/>
  <c r="E20784" i="1"/>
  <c r="D20784" i="1"/>
  <c r="C20784" i="1"/>
  <c r="B20784" i="1"/>
  <c r="A20784" i="1"/>
  <c r="F20783" i="1"/>
  <c r="E20783" i="1"/>
  <c r="D20783" i="1"/>
  <c r="C20783" i="1"/>
  <c r="B20783" i="1"/>
  <c r="A20783" i="1"/>
  <c r="F20782" i="1"/>
  <c r="E20782" i="1"/>
  <c r="D20782" i="1"/>
  <c r="C20782" i="1"/>
  <c r="B20782" i="1"/>
  <c r="A20782" i="1"/>
  <c r="F20781" i="1"/>
  <c r="E20781" i="1"/>
  <c r="D20781" i="1"/>
  <c r="C20781" i="1"/>
  <c r="B20781" i="1"/>
  <c r="A20781" i="1"/>
  <c r="F20780" i="1"/>
  <c r="E20780" i="1"/>
  <c r="D20780" i="1"/>
  <c r="C20780" i="1"/>
  <c r="B20780" i="1"/>
  <c r="A20780" i="1"/>
  <c r="F20779" i="1"/>
  <c r="E20779" i="1"/>
  <c r="D20779" i="1"/>
  <c r="C20779" i="1"/>
  <c r="B20779" i="1"/>
  <c r="A20779" i="1"/>
  <c r="F20778" i="1"/>
  <c r="E20778" i="1"/>
  <c r="D20778" i="1"/>
  <c r="C20778" i="1"/>
  <c r="B20778" i="1"/>
  <c r="A20778" i="1"/>
  <c r="F20777" i="1"/>
  <c r="E20777" i="1"/>
  <c r="D20777" i="1"/>
  <c r="C20777" i="1"/>
  <c r="B20777" i="1"/>
  <c r="A20777" i="1"/>
  <c r="F20776" i="1"/>
  <c r="E20776" i="1"/>
  <c r="D20776" i="1"/>
  <c r="C20776" i="1"/>
  <c r="B20776" i="1"/>
  <c r="A20776" i="1"/>
  <c r="F20775" i="1"/>
  <c r="E20775" i="1"/>
  <c r="D20775" i="1"/>
  <c r="C20775" i="1"/>
  <c r="B20775" i="1"/>
  <c r="A20775" i="1"/>
  <c r="F20774" i="1"/>
  <c r="E20774" i="1"/>
  <c r="D20774" i="1"/>
  <c r="C20774" i="1"/>
  <c r="B20774" i="1"/>
  <c r="A20774" i="1"/>
  <c r="F20773" i="1"/>
  <c r="E20773" i="1"/>
  <c r="D20773" i="1"/>
  <c r="C20773" i="1"/>
  <c r="B20773" i="1"/>
  <c r="A20773" i="1"/>
  <c r="F20772" i="1"/>
  <c r="E20772" i="1"/>
  <c r="D20772" i="1"/>
  <c r="C20772" i="1"/>
  <c r="B20772" i="1"/>
  <c r="A20772" i="1"/>
  <c r="F20771" i="1"/>
  <c r="E20771" i="1"/>
  <c r="D20771" i="1"/>
  <c r="C20771" i="1"/>
  <c r="B20771" i="1"/>
  <c r="A20771" i="1"/>
  <c r="F20770" i="1"/>
  <c r="E20770" i="1"/>
  <c r="D20770" i="1"/>
  <c r="C20770" i="1"/>
  <c r="B20770" i="1"/>
  <c r="A20770" i="1"/>
  <c r="F20769" i="1"/>
  <c r="E20769" i="1"/>
  <c r="D20769" i="1"/>
  <c r="C20769" i="1"/>
  <c r="B20769" i="1"/>
  <c r="A20769" i="1"/>
  <c r="F20768" i="1"/>
  <c r="E20768" i="1"/>
  <c r="D20768" i="1"/>
  <c r="C20768" i="1"/>
  <c r="B20768" i="1"/>
  <c r="A20768" i="1"/>
  <c r="F20767" i="1"/>
  <c r="E20767" i="1"/>
  <c r="D20767" i="1"/>
  <c r="C20767" i="1"/>
  <c r="B20767" i="1"/>
  <c r="A20767" i="1"/>
  <c r="F20766" i="1"/>
  <c r="E20766" i="1"/>
  <c r="D20766" i="1"/>
  <c r="C20766" i="1"/>
  <c r="B20766" i="1"/>
  <c r="A20766" i="1"/>
  <c r="F20765" i="1"/>
  <c r="E20765" i="1"/>
  <c r="D20765" i="1"/>
  <c r="C20765" i="1"/>
  <c r="B20765" i="1"/>
  <c r="A20765" i="1"/>
  <c r="F20764" i="1"/>
  <c r="E20764" i="1"/>
  <c r="D20764" i="1"/>
  <c r="C20764" i="1"/>
  <c r="B20764" i="1"/>
  <c r="A20764" i="1"/>
  <c r="F20763" i="1"/>
  <c r="E20763" i="1"/>
  <c r="D20763" i="1"/>
  <c r="C20763" i="1"/>
  <c r="B20763" i="1"/>
  <c r="A20763" i="1"/>
  <c r="F20762" i="1"/>
  <c r="E20762" i="1"/>
  <c r="D20762" i="1"/>
  <c r="C20762" i="1"/>
  <c r="B20762" i="1"/>
  <c r="A20762" i="1"/>
  <c r="F20761" i="1"/>
  <c r="E20761" i="1"/>
  <c r="D20761" i="1"/>
  <c r="C20761" i="1"/>
  <c r="B20761" i="1"/>
  <c r="A20761" i="1"/>
  <c r="F20760" i="1"/>
  <c r="E20760" i="1"/>
  <c r="D20760" i="1"/>
  <c r="C20760" i="1"/>
  <c r="B20760" i="1"/>
  <c r="A20760" i="1"/>
  <c r="F20759" i="1"/>
  <c r="E20759" i="1"/>
  <c r="D20759" i="1"/>
  <c r="C20759" i="1"/>
  <c r="B20759" i="1"/>
  <c r="A20759" i="1"/>
  <c r="F20758" i="1"/>
  <c r="E20758" i="1"/>
  <c r="D20758" i="1"/>
  <c r="C20758" i="1"/>
  <c r="B20758" i="1"/>
  <c r="A20758" i="1"/>
  <c r="F20757" i="1"/>
  <c r="E20757" i="1"/>
  <c r="D20757" i="1"/>
  <c r="C20757" i="1"/>
  <c r="B20757" i="1"/>
  <c r="A20757" i="1"/>
  <c r="F20756" i="1"/>
  <c r="E20756" i="1"/>
  <c r="D20756" i="1"/>
  <c r="C20756" i="1"/>
  <c r="B20756" i="1"/>
  <c r="A20756" i="1"/>
  <c r="F20755" i="1"/>
  <c r="E20755" i="1"/>
  <c r="D20755" i="1"/>
  <c r="C20755" i="1"/>
  <c r="B20755" i="1"/>
  <c r="A20755" i="1"/>
  <c r="F20754" i="1"/>
  <c r="E20754" i="1"/>
  <c r="D20754" i="1"/>
  <c r="C20754" i="1"/>
  <c r="B20754" i="1"/>
  <c r="A20754" i="1"/>
  <c r="F20753" i="1"/>
  <c r="E20753" i="1"/>
  <c r="D20753" i="1"/>
  <c r="C20753" i="1"/>
  <c r="B20753" i="1"/>
  <c r="A20753" i="1"/>
  <c r="F20752" i="1"/>
  <c r="E20752" i="1"/>
  <c r="D20752" i="1"/>
  <c r="C20752" i="1"/>
  <c r="B20752" i="1"/>
  <c r="A20752" i="1"/>
  <c r="F20751" i="1"/>
  <c r="E20751" i="1"/>
  <c r="D20751" i="1"/>
  <c r="C20751" i="1"/>
  <c r="B20751" i="1"/>
  <c r="A20751" i="1"/>
  <c r="F20750" i="1"/>
  <c r="E20750" i="1"/>
  <c r="D20750" i="1"/>
  <c r="C20750" i="1"/>
  <c r="B20750" i="1"/>
  <c r="A20750" i="1"/>
  <c r="F20749" i="1"/>
  <c r="E20749" i="1"/>
  <c r="D20749" i="1"/>
  <c r="C20749" i="1"/>
  <c r="B20749" i="1"/>
  <c r="A20749" i="1"/>
  <c r="F20748" i="1"/>
  <c r="E20748" i="1"/>
  <c r="D20748" i="1"/>
  <c r="C20748" i="1"/>
  <c r="B20748" i="1"/>
  <c r="A20748" i="1"/>
  <c r="F20747" i="1"/>
  <c r="E20747" i="1"/>
  <c r="D20747" i="1"/>
  <c r="C20747" i="1"/>
  <c r="B20747" i="1"/>
  <c r="A20747" i="1"/>
  <c r="F20746" i="1"/>
  <c r="E20746" i="1"/>
  <c r="D20746" i="1"/>
  <c r="C20746" i="1"/>
  <c r="B20746" i="1"/>
  <c r="A20746" i="1"/>
  <c r="F20745" i="1"/>
  <c r="E20745" i="1"/>
  <c r="D20745" i="1"/>
  <c r="C20745" i="1"/>
  <c r="B20745" i="1"/>
  <c r="A20745" i="1"/>
  <c r="F20744" i="1"/>
  <c r="E20744" i="1"/>
  <c r="D20744" i="1"/>
  <c r="C20744" i="1"/>
  <c r="B20744" i="1"/>
  <c r="A20744" i="1"/>
  <c r="F20743" i="1"/>
  <c r="E20743" i="1"/>
  <c r="D20743" i="1"/>
  <c r="C20743" i="1"/>
  <c r="B20743" i="1"/>
  <c r="A20743" i="1"/>
  <c r="F20742" i="1"/>
  <c r="E20742" i="1"/>
  <c r="D20742" i="1"/>
  <c r="C20742" i="1"/>
  <c r="B20742" i="1"/>
  <c r="A20742" i="1"/>
  <c r="F20741" i="1"/>
  <c r="E20741" i="1"/>
  <c r="D20741" i="1"/>
  <c r="C20741" i="1"/>
  <c r="B20741" i="1"/>
  <c r="A20741" i="1"/>
  <c r="F20740" i="1"/>
  <c r="E20740" i="1"/>
  <c r="D20740" i="1"/>
  <c r="C20740" i="1"/>
  <c r="B20740" i="1"/>
  <c r="A20740" i="1"/>
  <c r="F20739" i="1"/>
  <c r="E20739" i="1"/>
  <c r="D20739" i="1"/>
  <c r="C20739" i="1"/>
  <c r="B20739" i="1"/>
  <c r="A20739" i="1"/>
  <c r="F20738" i="1"/>
  <c r="E20738" i="1"/>
  <c r="D20738" i="1"/>
  <c r="C20738" i="1"/>
  <c r="B20738" i="1"/>
  <c r="A20738" i="1"/>
  <c r="F20737" i="1"/>
  <c r="E20737" i="1"/>
  <c r="D20737" i="1"/>
  <c r="C20737" i="1"/>
  <c r="B20737" i="1"/>
  <c r="A20737" i="1"/>
  <c r="F20736" i="1"/>
  <c r="E20736" i="1"/>
  <c r="D20736" i="1"/>
  <c r="C20736" i="1"/>
  <c r="B20736" i="1"/>
  <c r="A20736" i="1"/>
  <c r="F20735" i="1"/>
  <c r="E20735" i="1"/>
  <c r="D20735" i="1"/>
  <c r="C20735" i="1"/>
  <c r="B20735" i="1"/>
  <c r="A20735" i="1"/>
  <c r="F20734" i="1"/>
  <c r="E20734" i="1"/>
  <c r="D20734" i="1"/>
  <c r="C20734" i="1"/>
  <c r="B20734" i="1"/>
  <c r="A20734" i="1"/>
  <c r="F20733" i="1"/>
  <c r="E20733" i="1"/>
  <c r="D20733" i="1"/>
  <c r="C20733" i="1"/>
  <c r="B20733" i="1"/>
  <c r="A20733" i="1"/>
  <c r="F20732" i="1"/>
  <c r="E20732" i="1"/>
  <c r="D20732" i="1"/>
  <c r="C20732" i="1"/>
  <c r="B20732" i="1"/>
  <c r="A20732" i="1"/>
  <c r="F20731" i="1"/>
  <c r="E20731" i="1"/>
  <c r="D20731" i="1"/>
  <c r="C20731" i="1"/>
  <c r="B20731" i="1"/>
  <c r="A20731" i="1"/>
  <c r="F20730" i="1"/>
  <c r="E20730" i="1"/>
  <c r="D20730" i="1"/>
  <c r="C20730" i="1"/>
  <c r="B20730" i="1"/>
  <c r="A20730" i="1"/>
  <c r="F20729" i="1"/>
  <c r="E20729" i="1"/>
  <c r="D20729" i="1"/>
  <c r="C20729" i="1"/>
  <c r="B20729" i="1"/>
  <c r="A20729" i="1"/>
  <c r="F20728" i="1"/>
  <c r="E20728" i="1"/>
  <c r="D20728" i="1"/>
  <c r="C20728" i="1"/>
  <c r="B20728" i="1"/>
  <c r="A20728" i="1"/>
  <c r="F20727" i="1"/>
  <c r="E20727" i="1"/>
  <c r="D20727" i="1"/>
  <c r="C20727" i="1"/>
  <c r="B20727" i="1"/>
  <c r="A20727" i="1"/>
  <c r="F20726" i="1"/>
  <c r="E20726" i="1"/>
  <c r="D20726" i="1"/>
  <c r="C20726" i="1"/>
  <c r="B20726" i="1"/>
  <c r="A20726" i="1"/>
  <c r="F20725" i="1"/>
  <c r="E20725" i="1"/>
  <c r="D20725" i="1"/>
  <c r="C20725" i="1"/>
  <c r="B20725" i="1"/>
  <c r="A20725" i="1"/>
  <c r="F20724" i="1"/>
  <c r="E20724" i="1"/>
  <c r="D20724" i="1"/>
  <c r="C20724" i="1"/>
  <c r="B20724" i="1"/>
  <c r="A20724" i="1"/>
  <c r="F20723" i="1"/>
  <c r="E20723" i="1"/>
  <c r="D20723" i="1"/>
  <c r="C20723" i="1"/>
  <c r="B20723" i="1"/>
  <c r="A20723" i="1"/>
  <c r="F20722" i="1"/>
  <c r="E20722" i="1"/>
  <c r="D20722" i="1"/>
  <c r="C20722" i="1"/>
  <c r="B20722" i="1"/>
  <c r="A20722" i="1"/>
  <c r="F20721" i="1"/>
  <c r="E20721" i="1"/>
  <c r="D20721" i="1"/>
  <c r="C20721" i="1"/>
  <c r="B20721" i="1"/>
  <c r="A20721" i="1"/>
  <c r="F20720" i="1"/>
  <c r="E20720" i="1"/>
  <c r="D20720" i="1"/>
  <c r="C20720" i="1"/>
  <c r="B20720" i="1"/>
  <c r="A20720" i="1"/>
  <c r="F20719" i="1"/>
  <c r="E20719" i="1"/>
  <c r="D20719" i="1"/>
  <c r="C20719" i="1"/>
  <c r="B20719" i="1"/>
  <c r="A20719" i="1"/>
  <c r="F20718" i="1"/>
  <c r="E20718" i="1"/>
  <c r="D20718" i="1"/>
  <c r="C20718" i="1"/>
  <c r="B20718" i="1"/>
  <c r="A20718" i="1"/>
  <c r="F20717" i="1"/>
  <c r="E20717" i="1"/>
  <c r="D20717" i="1"/>
  <c r="C20717" i="1"/>
  <c r="B20717" i="1"/>
  <c r="A20717" i="1"/>
  <c r="F20716" i="1"/>
  <c r="E20716" i="1"/>
  <c r="D20716" i="1"/>
  <c r="C20716" i="1"/>
  <c r="B20716" i="1"/>
  <c r="A20716" i="1"/>
  <c r="F20715" i="1"/>
  <c r="E20715" i="1"/>
  <c r="D20715" i="1"/>
  <c r="C20715" i="1"/>
  <c r="B20715" i="1"/>
  <c r="A20715" i="1"/>
  <c r="F20714" i="1"/>
  <c r="E20714" i="1"/>
  <c r="D20714" i="1"/>
  <c r="C20714" i="1"/>
  <c r="B20714" i="1"/>
  <c r="A20714" i="1"/>
  <c r="F20713" i="1"/>
  <c r="E20713" i="1"/>
  <c r="D20713" i="1"/>
  <c r="C20713" i="1"/>
  <c r="B20713" i="1"/>
  <c r="A20713" i="1"/>
  <c r="F20712" i="1"/>
  <c r="E20712" i="1"/>
  <c r="D20712" i="1"/>
  <c r="C20712" i="1"/>
  <c r="B20712" i="1"/>
  <c r="A20712" i="1"/>
  <c r="F20711" i="1"/>
  <c r="E20711" i="1"/>
  <c r="D20711" i="1"/>
  <c r="C20711" i="1"/>
  <c r="B20711" i="1"/>
  <c r="A20711" i="1"/>
  <c r="F20710" i="1"/>
  <c r="E20710" i="1"/>
  <c r="D20710" i="1"/>
  <c r="C20710" i="1"/>
  <c r="B20710" i="1"/>
  <c r="A20710" i="1"/>
  <c r="F20709" i="1"/>
  <c r="E20709" i="1"/>
  <c r="D20709" i="1"/>
  <c r="C20709" i="1"/>
  <c r="B20709" i="1"/>
  <c r="A20709" i="1"/>
  <c r="F20708" i="1"/>
  <c r="E20708" i="1"/>
  <c r="D20708" i="1"/>
  <c r="C20708" i="1"/>
  <c r="B20708" i="1"/>
  <c r="A20708" i="1"/>
  <c r="F20707" i="1"/>
  <c r="E20707" i="1"/>
  <c r="D20707" i="1"/>
  <c r="C20707" i="1"/>
  <c r="B20707" i="1"/>
  <c r="A20707" i="1"/>
  <c r="F20706" i="1"/>
  <c r="E20706" i="1"/>
  <c r="D20706" i="1"/>
  <c r="C20706" i="1"/>
  <c r="B20706" i="1"/>
  <c r="A20706" i="1"/>
  <c r="F20705" i="1"/>
  <c r="E20705" i="1"/>
  <c r="D20705" i="1"/>
  <c r="C20705" i="1"/>
  <c r="B20705" i="1"/>
  <c r="A20705" i="1"/>
  <c r="F20704" i="1"/>
  <c r="E20704" i="1"/>
  <c r="D20704" i="1"/>
  <c r="C20704" i="1"/>
  <c r="B20704" i="1"/>
  <c r="A20704" i="1"/>
  <c r="F20703" i="1"/>
  <c r="E20703" i="1"/>
  <c r="D20703" i="1"/>
  <c r="C20703" i="1"/>
  <c r="B20703" i="1"/>
  <c r="A20703" i="1"/>
  <c r="F20702" i="1"/>
  <c r="E20702" i="1"/>
  <c r="D20702" i="1"/>
  <c r="C20702" i="1"/>
  <c r="B20702" i="1"/>
  <c r="A20702" i="1"/>
  <c r="F20701" i="1"/>
  <c r="E20701" i="1"/>
  <c r="D20701" i="1"/>
  <c r="C20701" i="1"/>
  <c r="B20701" i="1"/>
  <c r="A20701" i="1"/>
  <c r="F20700" i="1"/>
  <c r="E20700" i="1"/>
  <c r="D20700" i="1"/>
  <c r="C20700" i="1"/>
  <c r="B20700" i="1"/>
  <c r="A20700" i="1"/>
  <c r="F20699" i="1"/>
  <c r="E20699" i="1"/>
  <c r="D20699" i="1"/>
  <c r="C20699" i="1"/>
  <c r="B20699" i="1"/>
  <c r="A20699" i="1"/>
  <c r="F20698" i="1"/>
  <c r="E20698" i="1"/>
  <c r="D20698" i="1"/>
  <c r="C20698" i="1"/>
  <c r="B20698" i="1"/>
  <c r="A20698" i="1"/>
  <c r="F20697" i="1"/>
  <c r="E20697" i="1"/>
  <c r="D20697" i="1"/>
  <c r="C20697" i="1"/>
  <c r="B20697" i="1"/>
  <c r="A20697" i="1"/>
  <c r="F20696" i="1"/>
  <c r="E20696" i="1"/>
  <c r="D20696" i="1"/>
  <c r="C20696" i="1"/>
  <c r="B20696" i="1"/>
  <c r="A20696" i="1"/>
  <c r="F20695" i="1"/>
  <c r="E20695" i="1"/>
  <c r="D20695" i="1"/>
  <c r="C20695" i="1"/>
  <c r="B20695" i="1"/>
  <c r="A20695" i="1"/>
  <c r="F20694" i="1"/>
  <c r="E20694" i="1"/>
  <c r="D20694" i="1"/>
  <c r="C20694" i="1"/>
  <c r="B20694" i="1"/>
  <c r="A20694" i="1"/>
  <c r="F20693" i="1"/>
  <c r="E20693" i="1"/>
  <c r="D20693" i="1"/>
  <c r="C20693" i="1"/>
  <c r="B20693" i="1"/>
  <c r="A20693" i="1"/>
  <c r="F20692" i="1"/>
  <c r="E20692" i="1"/>
  <c r="D20692" i="1"/>
  <c r="C20692" i="1"/>
  <c r="B20692" i="1"/>
  <c r="A20692" i="1"/>
  <c r="F20691" i="1"/>
  <c r="E20691" i="1"/>
  <c r="D20691" i="1"/>
  <c r="C20691" i="1"/>
  <c r="B20691" i="1"/>
  <c r="A20691" i="1"/>
  <c r="F20690" i="1"/>
  <c r="E20690" i="1"/>
  <c r="D20690" i="1"/>
  <c r="C20690" i="1"/>
  <c r="B20690" i="1"/>
  <c r="A20690" i="1"/>
  <c r="F20689" i="1"/>
  <c r="E20689" i="1"/>
  <c r="D20689" i="1"/>
  <c r="C20689" i="1"/>
  <c r="B20689" i="1"/>
  <c r="A20689" i="1"/>
  <c r="F20688" i="1"/>
  <c r="E20688" i="1"/>
  <c r="D20688" i="1"/>
  <c r="C20688" i="1"/>
  <c r="B20688" i="1"/>
  <c r="A20688" i="1"/>
  <c r="F20687" i="1"/>
  <c r="E20687" i="1"/>
  <c r="D20687" i="1"/>
  <c r="C20687" i="1"/>
  <c r="B20687" i="1"/>
  <c r="A20687" i="1"/>
  <c r="F20686" i="1"/>
  <c r="E20686" i="1"/>
  <c r="D20686" i="1"/>
  <c r="C20686" i="1"/>
  <c r="B20686" i="1"/>
  <c r="A20686" i="1"/>
  <c r="F20685" i="1"/>
  <c r="E20685" i="1"/>
  <c r="D20685" i="1"/>
  <c r="C20685" i="1"/>
  <c r="B20685" i="1"/>
  <c r="A20685" i="1"/>
  <c r="F20684" i="1"/>
  <c r="E20684" i="1"/>
  <c r="D20684" i="1"/>
  <c r="C20684" i="1"/>
  <c r="B20684" i="1"/>
  <c r="A20684" i="1"/>
  <c r="F20683" i="1"/>
  <c r="E20683" i="1"/>
  <c r="D20683" i="1"/>
  <c r="C20683" i="1"/>
  <c r="B20683" i="1"/>
  <c r="A20683" i="1"/>
  <c r="F20682" i="1"/>
  <c r="E20682" i="1"/>
  <c r="D20682" i="1"/>
  <c r="C20682" i="1"/>
  <c r="B20682" i="1"/>
  <c r="A20682" i="1"/>
  <c r="F20681" i="1"/>
  <c r="E20681" i="1"/>
  <c r="D20681" i="1"/>
  <c r="C20681" i="1"/>
  <c r="B20681" i="1"/>
  <c r="A20681" i="1"/>
  <c r="F20680" i="1"/>
  <c r="E20680" i="1"/>
  <c r="D20680" i="1"/>
  <c r="C20680" i="1"/>
  <c r="B20680" i="1"/>
  <c r="A20680" i="1"/>
  <c r="F20679" i="1"/>
  <c r="E20679" i="1"/>
  <c r="D20679" i="1"/>
  <c r="C20679" i="1"/>
  <c r="B20679" i="1"/>
  <c r="A20679" i="1"/>
  <c r="F20678" i="1"/>
  <c r="E20678" i="1"/>
  <c r="D20678" i="1"/>
  <c r="C20678" i="1"/>
  <c r="B20678" i="1"/>
  <c r="A20678" i="1"/>
  <c r="F20677" i="1"/>
  <c r="E20677" i="1"/>
  <c r="D20677" i="1"/>
  <c r="C20677" i="1"/>
  <c r="B20677" i="1"/>
  <c r="A20677" i="1"/>
  <c r="F20676" i="1"/>
  <c r="E20676" i="1"/>
  <c r="D20676" i="1"/>
  <c r="C20676" i="1"/>
  <c r="B20676" i="1"/>
  <c r="A20676" i="1"/>
  <c r="F20675" i="1"/>
  <c r="E20675" i="1"/>
  <c r="D20675" i="1"/>
  <c r="C20675" i="1"/>
  <c r="B20675" i="1"/>
  <c r="A20675" i="1"/>
  <c r="F20674" i="1"/>
  <c r="E20674" i="1"/>
  <c r="D20674" i="1"/>
  <c r="C20674" i="1"/>
  <c r="B20674" i="1"/>
  <c r="A20674" i="1"/>
  <c r="F20673" i="1"/>
  <c r="E20673" i="1"/>
  <c r="D20673" i="1"/>
  <c r="C20673" i="1"/>
  <c r="B20673" i="1"/>
  <c r="A20673" i="1"/>
  <c r="F20672" i="1"/>
  <c r="E20672" i="1"/>
  <c r="D20672" i="1"/>
  <c r="C20672" i="1"/>
  <c r="B20672" i="1"/>
  <c r="A20672" i="1"/>
  <c r="F20671" i="1"/>
  <c r="E20671" i="1"/>
  <c r="D20671" i="1"/>
  <c r="C20671" i="1"/>
  <c r="B20671" i="1"/>
  <c r="A20671" i="1"/>
  <c r="F20670" i="1"/>
  <c r="E20670" i="1"/>
  <c r="D20670" i="1"/>
  <c r="C20670" i="1"/>
  <c r="B20670" i="1"/>
  <c r="A20670" i="1"/>
  <c r="F20669" i="1"/>
  <c r="E20669" i="1"/>
  <c r="D20669" i="1"/>
  <c r="C20669" i="1"/>
  <c r="B20669" i="1"/>
  <c r="A20669" i="1"/>
  <c r="F20668" i="1"/>
  <c r="E20668" i="1"/>
  <c r="D20668" i="1"/>
  <c r="C20668" i="1"/>
  <c r="B20668" i="1"/>
  <c r="A20668" i="1"/>
  <c r="F20667" i="1"/>
  <c r="E20667" i="1"/>
  <c r="D20667" i="1"/>
  <c r="C20667" i="1"/>
  <c r="B20667" i="1"/>
  <c r="A20667" i="1"/>
  <c r="F20666" i="1"/>
  <c r="E20666" i="1"/>
  <c r="D20666" i="1"/>
  <c r="C20666" i="1"/>
  <c r="B20666" i="1"/>
  <c r="A20666" i="1"/>
  <c r="F20665" i="1"/>
  <c r="E20665" i="1"/>
  <c r="D20665" i="1"/>
  <c r="C20665" i="1"/>
  <c r="B20665" i="1"/>
  <c r="A20665" i="1"/>
  <c r="F20664" i="1"/>
  <c r="E20664" i="1"/>
  <c r="D20664" i="1"/>
  <c r="C20664" i="1"/>
  <c r="B20664" i="1"/>
  <c r="A20664" i="1"/>
  <c r="F20663" i="1"/>
  <c r="E20663" i="1"/>
  <c r="D20663" i="1"/>
  <c r="C20663" i="1"/>
  <c r="B20663" i="1"/>
  <c r="A20663" i="1"/>
  <c r="F20662" i="1"/>
  <c r="E20662" i="1"/>
  <c r="D20662" i="1"/>
  <c r="C20662" i="1"/>
  <c r="B20662" i="1"/>
  <c r="A20662" i="1"/>
  <c r="F20661" i="1"/>
  <c r="E20661" i="1"/>
  <c r="D20661" i="1"/>
  <c r="C20661" i="1"/>
  <c r="B20661" i="1"/>
  <c r="A20661" i="1"/>
  <c r="F20660" i="1"/>
  <c r="E20660" i="1"/>
  <c r="D20660" i="1"/>
  <c r="C20660" i="1"/>
  <c r="B20660" i="1"/>
  <c r="A20660" i="1"/>
  <c r="F20659" i="1"/>
  <c r="E20659" i="1"/>
  <c r="D20659" i="1"/>
  <c r="C20659" i="1"/>
  <c r="B20659" i="1"/>
  <c r="A20659" i="1"/>
  <c r="F20658" i="1"/>
  <c r="E20658" i="1"/>
  <c r="D20658" i="1"/>
  <c r="C20658" i="1"/>
  <c r="B20658" i="1"/>
  <c r="A20658" i="1"/>
  <c r="F20657" i="1"/>
  <c r="E20657" i="1"/>
  <c r="D20657" i="1"/>
  <c r="C20657" i="1"/>
  <c r="B20657" i="1"/>
  <c r="A20657" i="1"/>
  <c r="F20656" i="1"/>
  <c r="E20656" i="1"/>
  <c r="D20656" i="1"/>
  <c r="C20656" i="1"/>
  <c r="B20656" i="1"/>
  <c r="A20656" i="1"/>
  <c r="F20655" i="1"/>
  <c r="E20655" i="1"/>
  <c r="D20655" i="1"/>
  <c r="C20655" i="1"/>
  <c r="B20655" i="1"/>
  <c r="A20655" i="1"/>
  <c r="F20654" i="1"/>
  <c r="E20654" i="1"/>
  <c r="D20654" i="1"/>
  <c r="C20654" i="1"/>
  <c r="B20654" i="1"/>
  <c r="A20654" i="1"/>
  <c r="F20653" i="1"/>
  <c r="E20653" i="1"/>
  <c r="D20653" i="1"/>
  <c r="C20653" i="1"/>
  <c r="B20653" i="1"/>
  <c r="A20653" i="1"/>
  <c r="F20652" i="1"/>
  <c r="E20652" i="1"/>
  <c r="D20652" i="1"/>
  <c r="C20652" i="1"/>
  <c r="B20652" i="1"/>
  <c r="A20652" i="1"/>
  <c r="F20651" i="1"/>
  <c r="E20651" i="1"/>
  <c r="D20651" i="1"/>
  <c r="C20651" i="1"/>
  <c r="B20651" i="1"/>
  <c r="A20651" i="1"/>
  <c r="F20650" i="1"/>
  <c r="E20650" i="1"/>
  <c r="D20650" i="1"/>
  <c r="C20650" i="1"/>
  <c r="B20650" i="1"/>
  <c r="A20650" i="1"/>
  <c r="F20649" i="1"/>
  <c r="E20649" i="1"/>
  <c r="D20649" i="1"/>
  <c r="C20649" i="1"/>
  <c r="B20649" i="1"/>
  <c r="A20649" i="1"/>
  <c r="F20648" i="1"/>
  <c r="E20648" i="1"/>
  <c r="D20648" i="1"/>
  <c r="C20648" i="1"/>
  <c r="B20648" i="1"/>
  <c r="A20648" i="1"/>
  <c r="F20647" i="1"/>
  <c r="E20647" i="1"/>
  <c r="D20647" i="1"/>
  <c r="C20647" i="1"/>
  <c r="B20647" i="1"/>
  <c r="A20647" i="1"/>
  <c r="F20646" i="1"/>
  <c r="E20646" i="1"/>
  <c r="D20646" i="1"/>
  <c r="C20646" i="1"/>
  <c r="B20646" i="1"/>
  <c r="A20646" i="1"/>
  <c r="F20645" i="1"/>
  <c r="E20645" i="1"/>
  <c r="D20645" i="1"/>
  <c r="C20645" i="1"/>
  <c r="B20645" i="1"/>
  <c r="A20645" i="1"/>
  <c r="F20644" i="1"/>
  <c r="E20644" i="1"/>
  <c r="D20644" i="1"/>
  <c r="C20644" i="1"/>
  <c r="B20644" i="1"/>
  <c r="A20644" i="1"/>
  <c r="F20643" i="1"/>
  <c r="E20643" i="1"/>
  <c r="D20643" i="1"/>
  <c r="C20643" i="1"/>
  <c r="B20643" i="1"/>
  <c r="A20643" i="1"/>
  <c r="F20642" i="1"/>
  <c r="E20642" i="1"/>
  <c r="D20642" i="1"/>
  <c r="C20642" i="1"/>
  <c r="B20642" i="1"/>
  <c r="A20642" i="1"/>
  <c r="F20641" i="1"/>
  <c r="E20641" i="1"/>
  <c r="D20641" i="1"/>
  <c r="C20641" i="1"/>
  <c r="B20641" i="1"/>
  <c r="A20641" i="1"/>
  <c r="F20640" i="1"/>
  <c r="E20640" i="1"/>
  <c r="D20640" i="1"/>
  <c r="C20640" i="1"/>
  <c r="B20640" i="1"/>
  <c r="A20640" i="1"/>
  <c r="F20639" i="1"/>
  <c r="E20639" i="1"/>
  <c r="D20639" i="1"/>
  <c r="C20639" i="1"/>
  <c r="B20639" i="1"/>
  <c r="A20639" i="1"/>
  <c r="F20638" i="1"/>
  <c r="E20638" i="1"/>
  <c r="D20638" i="1"/>
  <c r="C20638" i="1"/>
  <c r="B20638" i="1"/>
  <c r="A20638" i="1"/>
  <c r="F20637" i="1"/>
  <c r="E20637" i="1"/>
  <c r="D20637" i="1"/>
  <c r="C20637" i="1"/>
  <c r="B20637" i="1"/>
  <c r="A20637" i="1"/>
  <c r="F20636" i="1"/>
  <c r="E20636" i="1"/>
  <c r="D20636" i="1"/>
  <c r="C20636" i="1"/>
  <c r="B20636" i="1"/>
  <c r="A20636" i="1"/>
  <c r="F20635" i="1"/>
  <c r="E20635" i="1"/>
  <c r="D20635" i="1"/>
  <c r="C20635" i="1"/>
  <c r="B20635" i="1"/>
  <c r="A20635" i="1"/>
  <c r="F20634" i="1"/>
  <c r="E20634" i="1"/>
  <c r="D20634" i="1"/>
  <c r="C20634" i="1"/>
  <c r="B20634" i="1"/>
  <c r="A20634" i="1"/>
  <c r="F20633" i="1"/>
  <c r="E20633" i="1"/>
  <c r="D20633" i="1"/>
  <c r="C20633" i="1"/>
  <c r="B20633" i="1"/>
  <c r="A20633" i="1"/>
  <c r="F20632" i="1"/>
  <c r="E20632" i="1"/>
  <c r="D20632" i="1"/>
  <c r="C20632" i="1"/>
  <c r="B20632" i="1"/>
  <c r="A20632" i="1"/>
  <c r="F20631" i="1"/>
  <c r="E20631" i="1"/>
  <c r="D20631" i="1"/>
  <c r="C20631" i="1"/>
  <c r="B20631" i="1"/>
  <c r="A20631" i="1"/>
  <c r="F20630" i="1"/>
  <c r="E20630" i="1"/>
  <c r="D20630" i="1"/>
  <c r="C20630" i="1"/>
  <c r="B20630" i="1"/>
  <c r="A20630" i="1"/>
  <c r="F20629" i="1"/>
  <c r="E20629" i="1"/>
  <c r="D20629" i="1"/>
  <c r="C20629" i="1"/>
  <c r="B20629" i="1"/>
  <c r="A20629" i="1"/>
  <c r="F20628" i="1"/>
  <c r="E20628" i="1"/>
  <c r="D20628" i="1"/>
  <c r="C20628" i="1"/>
  <c r="B20628" i="1"/>
  <c r="A20628" i="1"/>
  <c r="F20627" i="1"/>
  <c r="E20627" i="1"/>
  <c r="D20627" i="1"/>
  <c r="C20627" i="1"/>
  <c r="B20627" i="1"/>
  <c r="A20627" i="1"/>
  <c r="F20626" i="1"/>
  <c r="E20626" i="1"/>
  <c r="D20626" i="1"/>
  <c r="C20626" i="1"/>
  <c r="B20626" i="1"/>
  <c r="A20626" i="1"/>
  <c r="F20625" i="1"/>
  <c r="E20625" i="1"/>
  <c r="D20625" i="1"/>
  <c r="C20625" i="1"/>
  <c r="B20625" i="1"/>
  <c r="A20625" i="1"/>
  <c r="F20624" i="1"/>
  <c r="E20624" i="1"/>
  <c r="D20624" i="1"/>
  <c r="C20624" i="1"/>
  <c r="B20624" i="1"/>
  <c r="A20624" i="1"/>
  <c r="F20623" i="1"/>
  <c r="E20623" i="1"/>
  <c r="D20623" i="1"/>
  <c r="C20623" i="1"/>
  <c r="B20623" i="1"/>
  <c r="A20623" i="1"/>
  <c r="F20622" i="1"/>
  <c r="E20622" i="1"/>
  <c r="D20622" i="1"/>
  <c r="C20622" i="1"/>
  <c r="B20622" i="1"/>
  <c r="A20622" i="1"/>
  <c r="F20621" i="1"/>
  <c r="E20621" i="1"/>
  <c r="D20621" i="1"/>
  <c r="C20621" i="1"/>
  <c r="B20621" i="1"/>
  <c r="A20621" i="1"/>
  <c r="F20620" i="1"/>
  <c r="E20620" i="1"/>
  <c r="D20620" i="1"/>
  <c r="C20620" i="1"/>
  <c r="B20620" i="1"/>
  <c r="A20620" i="1"/>
  <c r="F20619" i="1"/>
  <c r="E20619" i="1"/>
  <c r="D20619" i="1"/>
  <c r="C20619" i="1"/>
  <c r="B20619" i="1"/>
  <c r="A20619" i="1"/>
  <c r="F20618" i="1"/>
  <c r="E20618" i="1"/>
  <c r="D20618" i="1"/>
  <c r="C20618" i="1"/>
  <c r="B20618" i="1"/>
  <c r="A20618" i="1"/>
  <c r="F20617" i="1"/>
  <c r="E20617" i="1"/>
  <c r="D20617" i="1"/>
  <c r="C20617" i="1"/>
  <c r="B20617" i="1"/>
  <c r="A20617" i="1"/>
  <c r="F20616" i="1"/>
  <c r="E20616" i="1"/>
  <c r="D20616" i="1"/>
  <c r="C20616" i="1"/>
  <c r="B20616" i="1"/>
  <c r="A20616" i="1"/>
  <c r="F20615" i="1"/>
  <c r="E20615" i="1"/>
  <c r="D20615" i="1"/>
  <c r="C20615" i="1"/>
  <c r="B20615" i="1"/>
  <c r="A20615" i="1"/>
  <c r="F20614" i="1"/>
  <c r="E20614" i="1"/>
  <c r="D20614" i="1"/>
  <c r="C20614" i="1"/>
  <c r="B20614" i="1"/>
  <c r="A20614" i="1"/>
  <c r="F20613" i="1"/>
  <c r="E20613" i="1"/>
  <c r="D20613" i="1"/>
  <c r="C20613" i="1"/>
  <c r="B20613" i="1"/>
  <c r="A20613" i="1"/>
  <c r="F20612" i="1"/>
  <c r="E20612" i="1"/>
  <c r="D20612" i="1"/>
  <c r="C20612" i="1"/>
  <c r="B20612" i="1"/>
  <c r="A20612" i="1"/>
  <c r="F20611" i="1"/>
  <c r="E20611" i="1"/>
  <c r="D20611" i="1"/>
  <c r="C20611" i="1"/>
  <c r="B20611" i="1"/>
  <c r="A20611" i="1"/>
  <c r="F20610" i="1"/>
  <c r="E20610" i="1"/>
  <c r="D20610" i="1"/>
  <c r="C20610" i="1"/>
  <c r="B20610" i="1"/>
  <c r="A20610" i="1"/>
  <c r="F20609" i="1"/>
  <c r="E20609" i="1"/>
  <c r="D20609" i="1"/>
  <c r="C20609" i="1"/>
  <c r="B20609" i="1"/>
  <c r="A20609" i="1"/>
  <c r="F20608" i="1"/>
  <c r="E20608" i="1"/>
  <c r="D20608" i="1"/>
  <c r="C20608" i="1"/>
  <c r="B20608" i="1"/>
  <c r="A20608" i="1"/>
  <c r="F20607" i="1"/>
  <c r="E20607" i="1"/>
  <c r="D20607" i="1"/>
  <c r="C20607" i="1"/>
  <c r="B20607" i="1"/>
  <c r="A20607" i="1"/>
  <c r="F20606" i="1"/>
  <c r="E20606" i="1"/>
  <c r="D20606" i="1"/>
  <c r="C20606" i="1"/>
  <c r="B20606" i="1"/>
  <c r="A20606" i="1"/>
  <c r="F20605" i="1"/>
  <c r="E20605" i="1"/>
  <c r="D20605" i="1"/>
  <c r="C20605" i="1"/>
  <c r="B20605" i="1"/>
  <c r="A20605" i="1"/>
  <c r="F20604" i="1"/>
  <c r="E20604" i="1"/>
  <c r="D20604" i="1"/>
  <c r="C20604" i="1"/>
  <c r="B20604" i="1"/>
  <c r="A20604" i="1"/>
  <c r="F20603" i="1"/>
  <c r="E20603" i="1"/>
  <c r="D20603" i="1"/>
  <c r="C20603" i="1"/>
  <c r="B20603" i="1"/>
  <c r="A20603" i="1"/>
  <c r="F20602" i="1"/>
  <c r="E20602" i="1"/>
  <c r="D20602" i="1"/>
  <c r="C20602" i="1"/>
  <c r="B20602" i="1"/>
  <c r="A20602" i="1"/>
  <c r="F20601" i="1"/>
  <c r="E20601" i="1"/>
  <c r="D20601" i="1"/>
  <c r="C20601" i="1"/>
  <c r="B20601" i="1"/>
  <c r="A20601" i="1"/>
  <c r="F20600" i="1"/>
  <c r="E20600" i="1"/>
  <c r="D20600" i="1"/>
  <c r="C20600" i="1"/>
  <c r="B20600" i="1"/>
  <c r="A20600" i="1"/>
  <c r="F20599" i="1"/>
  <c r="E20599" i="1"/>
  <c r="D20599" i="1"/>
  <c r="C20599" i="1"/>
  <c r="B20599" i="1"/>
  <c r="A20599" i="1"/>
  <c r="F20598" i="1"/>
  <c r="E20598" i="1"/>
  <c r="D20598" i="1"/>
  <c r="C20598" i="1"/>
  <c r="B20598" i="1"/>
  <c r="A20598" i="1"/>
  <c r="F20597" i="1"/>
  <c r="E20597" i="1"/>
  <c r="D20597" i="1"/>
  <c r="C20597" i="1"/>
  <c r="B20597" i="1"/>
  <c r="A20597" i="1"/>
  <c r="F20596" i="1"/>
  <c r="E20596" i="1"/>
  <c r="D20596" i="1"/>
  <c r="C20596" i="1"/>
  <c r="B20596" i="1"/>
  <c r="A20596" i="1"/>
  <c r="F20595" i="1"/>
  <c r="E20595" i="1"/>
  <c r="D20595" i="1"/>
  <c r="C20595" i="1"/>
  <c r="B20595" i="1"/>
  <c r="A20595" i="1"/>
  <c r="F20594" i="1"/>
  <c r="E20594" i="1"/>
  <c r="D20594" i="1"/>
  <c r="C20594" i="1"/>
  <c r="B20594" i="1"/>
  <c r="A20594" i="1"/>
  <c r="F20593" i="1"/>
  <c r="E20593" i="1"/>
  <c r="D20593" i="1"/>
  <c r="C20593" i="1"/>
  <c r="B20593" i="1"/>
  <c r="A20593" i="1"/>
  <c r="F20592" i="1"/>
  <c r="E20592" i="1"/>
  <c r="D20592" i="1"/>
  <c r="C20592" i="1"/>
  <c r="B20592" i="1"/>
  <c r="A20592" i="1"/>
  <c r="F20591" i="1"/>
  <c r="E20591" i="1"/>
  <c r="D20591" i="1"/>
  <c r="C20591" i="1"/>
  <c r="B20591" i="1"/>
  <c r="A20591" i="1"/>
  <c r="F20590" i="1"/>
  <c r="E20590" i="1"/>
  <c r="D20590" i="1"/>
  <c r="C20590" i="1"/>
  <c r="B20590" i="1"/>
  <c r="A20590" i="1"/>
  <c r="F20589" i="1"/>
  <c r="E20589" i="1"/>
  <c r="D20589" i="1"/>
  <c r="C20589" i="1"/>
  <c r="B20589" i="1"/>
  <c r="A20589" i="1"/>
  <c r="F20588" i="1"/>
  <c r="E20588" i="1"/>
  <c r="D20588" i="1"/>
  <c r="C20588" i="1"/>
  <c r="B20588" i="1"/>
  <c r="A20588" i="1"/>
  <c r="F20587" i="1"/>
  <c r="E20587" i="1"/>
  <c r="D20587" i="1"/>
  <c r="C20587" i="1"/>
  <c r="B20587" i="1"/>
  <c r="A20587" i="1"/>
  <c r="F20586" i="1"/>
  <c r="E20586" i="1"/>
  <c r="D20586" i="1"/>
  <c r="C20586" i="1"/>
  <c r="B20586" i="1"/>
  <c r="A20586" i="1"/>
  <c r="F20585" i="1"/>
  <c r="E20585" i="1"/>
  <c r="D20585" i="1"/>
  <c r="C20585" i="1"/>
  <c r="B20585" i="1"/>
  <c r="A20585" i="1"/>
  <c r="F20584" i="1"/>
  <c r="E20584" i="1"/>
  <c r="D20584" i="1"/>
  <c r="C20584" i="1"/>
  <c r="B20584" i="1"/>
  <c r="A20584" i="1"/>
  <c r="F20583" i="1"/>
  <c r="E20583" i="1"/>
  <c r="D20583" i="1"/>
  <c r="C20583" i="1"/>
  <c r="B20583" i="1"/>
  <c r="A20583" i="1"/>
  <c r="F20582" i="1"/>
  <c r="E20582" i="1"/>
  <c r="D20582" i="1"/>
  <c r="C20582" i="1"/>
  <c r="B20582" i="1"/>
  <c r="A20582" i="1"/>
  <c r="F20581" i="1"/>
  <c r="E20581" i="1"/>
  <c r="D20581" i="1"/>
  <c r="C20581" i="1"/>
  <c r="B20581" i="1"/>
  <c r="A20581" i="1"/>
  <c r="F20580" i="1"/>
  <c r="E20580" i="1"/>
  <c r="D20580" i="1"/>
  <c r="C20580" i="1"/>
  <c r="B20580" i="1"/>
  <c r="A20580" i="1"/>
  <c r="F20579" i="1"/>
  <c r="E20579" i="1"/>
  <c r="D20579" i="1"/>
  <c r="C20579" i="1"/>
  <c r="B20579" i="1"/>
  <c r="A20579" i="1"/>
  <c r="F20578" i="1"/>
  <c r="E20578" i="1"/>
  <c r="D20578" i="1"/>
  <c r="C20578" i="1"/>
  <c r="B20578" i="1"/>
  <c r="A20578" i="1"/>
  <c r="F20577" i="1"/>
  <c r="E20577" i="1"/>
  <c r="D20577" i="1"/>
  <c r="C20577" i="1"/>
  <c r="B20577" i="1"/>
  <c r="A20577" i="1"/>
  <c r="F20576" i="1"/>
  <c r="E20576" i="1"/>
  <c r="D20576" i="1"/>
  <c r="C20576" i="1"/>
  <c r="B20576" i="1"/>
  <c r="A20576" i="1"/>
  <c r="F20575" i="1"/>
  <c r="E20575" i="1"/>
  <c r="D20575" i="1"/>
  <c r="C20575" i="1"/>
  <c r="B20575" i="1"/>
  <c r="A20575" i="1"/>
  <c r="F20574" i="1"/>
  <c r="E20574" i="1"/>
  <c r="D20574" i="1"/>
  <c r="C20574" i="1"/>
  <c r="B20574" i="1"/>
  <c r="A20574" i="1"/>
  <c r="F20573" i="1"/>
  <c r="E20573" i="1"/>
  <c r="D20573" i="1"/>
  <c r="C20573" i="1"/>
  <c r="B20573" i="1"/>
  <c r="A20573" i="1"/>
  <c r="F20572" i="1"/>
  <c r="E20572" i="1"/>
  <c r="D20572" i="1"/>
  <c r="C20572" i="1"/>
  <c r="B20572" i="1"/>
  <c r="A20572" i="1"/>
  <c r="F20571" i="1"/>
  <c r="E20571" i="1"/>
  <c r="D20571" i="1"/>
  <c r="C20571" i="1"/>
  <c r="B20571" i="1"/>
  <c r="A20571" i="1"/>
  <c r="F20570" i="1"/>
  <c r="E20570" i="1"/>
  <c r="D20570" i="1"/>
  <c r="C20570" i="1"/>
  <c r="B20570" i="1"/>
  <c r="A20570" i="1"/>
  <c r="F20569" i="1"/>
  <c r="E20569" i="1"/>
  <c r="D20569" i="1"/>
  <c r="C20569" i="1"/>
  <c r="B20569" i="1"/>
  <c r="A20569" i="1"/>
  <c r="F20568" i="1"/>
  <c r="E20568" i="1"/>
  <c r="D20568" i="1"/>
  <c r="C20568" i="1"/>
  <c r="B20568" i="1"/>
  <c r="A20568" i="1"/>
  <c r="F20567" i="1"/>
  <c r="E20567" i="1"/>
  <c r="D20567" i="1"/>
  <c r="C20567" i="1"/>
  <c r="B20567" i="1"/>
  <c r="A20567" i="1"/>
  <c r="F20566" i="1"/>
  <c r="E20566" i="1"/>
  <c r="D20566" i="1"/>
  <c r="C20566" i="1"/>
  <c r="B20566" i="1"/>
  <c r="A20566" i="1"/>
  <c r="F20565" i="1"/>
  <c r="E20565" i="1"/>
  <c r="D20565" i="1"/>
  <c r="C20565" i="1"/>
  <c r="B20565" i="1"/>
  <c r="A20565" i="1"/>
  <c r="F20564" i="1"/>
  <c r="E20564" i="1"/>
  <c r="D20564" i="1"/>
  <c r="C20564" i="1"/>
  <c r="B20564" i="1"/>
  <c r="A20564" i="1"/>
  <c r="F20563" i="1"/>
  <c r="E20563" i="1"/>
  <c r="D20563" i="1"/>
  <c r="C20563" i="1"/>
  <c r="B20563" i="1"/>
  <c r="A20563" i="1"/>
  <c r="F20562" i="1"/>
  <c r="E20562" i="1"/>
  <c r="D20562" i="1"/>
  <c r="C20562" i="1"/>
  <c r="B20562" i="1"/>
  <c r="A20562" i="1"/>
  <c r="F20561" i="1"/>
  <c r="E20561" i="1"/>
  <c r="D20561" i="1"/>
  <c r="C20561" i="1"/>
  <c r="B20561" i="1"/>
  <c r="A20561" i="1"/>
  <c r="F20560" i="1"/>
  <c r="E20560" i="1"/>
  <c r="D20560" i="1"/>
  <c r="C20560" i="1"/>
  <c r="B20560" i="1"/>
  <c r="A20560" i="1"/>
  <c r="F20559" i="1"/>
  <c r="E20559" i="1"/>
  <c r="D20559" i="1"/>
  <c r="C20559" i="1"/>
  <c r="B20559" i="1"/>
  <c r="A20559" i="1"/>
  <c r="F20558" i="1"/>
  <c r="E20558" i="1"/>
  <c r="D20558" i="1"/>
  <c r="C20558" i="1"/>
  <c r="B20558" i="1"/>
  <c r="A20558" i="1"/>
  <c r="F20557" i="1"/>
  <c r="E20557" i="1"/>
  <c r="D20557" i="1"/>
  <c r="C20557" i="1"/>
  <c r="B20557" i="1"/>
  <c r="A20557" i="1"/>
  <c r="F20556" i="1"/>
  <c r="E20556" i="1"/>
  <c r="D20556" i="1"/>
  <c r="C20556" i="1"/>
  <c r="B20556" i="1"/>
  <c r="A20556" i="1"/>
  <c r="F20555" i="1"/>
  <c r="E20555" i="1"/>
  <c r="D20555" i="1"/>
  <c r="C20555" i="1"/>
  <c r="B20555" i="1"/>
  <c r="A20555" i="1"/>
  <c r="F20554" i="1"/>
  <c r="E20554" i="1"/>
  <c r="D20554" i="1"/>
  <c r="C20554" i="1"/>
  <c r="B20554" i="1"/>
  <c r="A20554" i="1"/>
  <c r="F20553" i="1"/>
  <c r="E20553" i="1"/>
  <c r="D20553" i="1"/>
  <c r="C20553" i="1"/>
  <c r="B20553" i="1"/>
  <c r="A20553" i="1"/>
  <c r="F20552" i="1"/>
  <c r="E20552" i="1"/>
  <c r="D20552" i="1"/>
  <c r="C20552" i="1"/>
  <c r="B20552" i="1"/>
  <c r="A20552" i="1"/>
  <c r="F20551" i="1"/>
  <c r="E20551" i="1"/>
  <c r="D20551" i="1"/>
  <c r="C20551" i="1"/>
  <c r="B20551" i="1"/>
  <c r="A20551" i="1"/>
  <c r="F20550" i="1"/>
  <c r="E20550" i="1"/>
  <c r="D20550" i="1"/>
  <c r="C20550" i="1"/>
  <c r="B20550" i="1"/>
  <c r="A20550" i="1"/>
  <c r="F20549" i="1"/>
  <c r="E20549" i="1"/>
  <c r="D20549" i="1"/>
  <c r="C20549" i="1"/>
  <c r="B20549" i="1"/>
  <c r="A20549" i="1"/>
  <c r="F20548" i="1"/>
  <c r="E20548" i="1"/>
  <c r="D20548" i="1"/>
  <c r="C20548" i="1"/>
  <c r="B20548" i="1"/>
  <c r="A20548" i="1"/>
  <c r="F20547" i="1"/>
  <c r="E20547" i="1"/>
  <c r="D20547" i="1"/>
  <c r="C20547" i="1"/>
  <c r="B20547" i="1"/>
  <c r="A20547" i="1"/>
  <c r="F20546" i="1"/>
  <c r="E20546" i="1"/>
  <c r="D20546" i="1"/>
  <c r="C20546" i="1"/>
  <c r="B20546" i="1"/>
  <c r="A20546" i="1"/>
  <c r="F20545" i="1"/>
  <c r="E20545" i="1"/>
  <c r="D20545" i="1"/>
  <c r="C20545" i="1"/>
  <c r="B20545" i="1"/>
  <c r="A20545" i="1"/>
  <c r="F20544" i="1"/>
  <c r="E20544" i="1"/>
  <c r="D20544" i="1"/>
  <c r="C20544" i="1"/>
  <c r="B20544" i="1"/>
  <c r="A20544" i="1"/>
  <c r="F20543" i="1"/>
  <c r="E20543" i="1"/>
  <c r="D20543" i="1"/>
  <c r="C20543" i="1"/>
  <c r="B20543" i="1"/>
  <c r="A20543" i="1"/>
  <c r="F20542" i="1"/>
  <c r="E20542" i="1"/>
  <c r="D20542" i="1"/>
  <c r="C20542" i="1"/>
  <c r="B20542" i="1"/>
  <c r="A20542" i="1"/>
  <c r="F20541" i="1"/>
  <c r="E20541" i="1"/>
  <c r="D20541" i="1"/>
  <c r="C20541" i="1"/>
  <c r="B20541" i="1"/>
  <c r="A20541" i="1"/>
  <c r="F20540" i="1"/>
  <c r="E20540" i="1"/>
  <c r="D20540" i="1"/>
  <c r="C20540" i="1"/>
  <c r="B20540" i="1"/>
  <c r="A20540" i="1"/>
  <c r="F20539" i="1"/>
  <c r="E20539" i="1"/>
  <c r="D20539" i="1"/>
  <c r="C20539" i="1"/>
  <c r="B20539" i="1"/>
  <c r="A20539" i="1"/>
  <c r="F20538" i="1"/>
  <c r="E20538" i="1"/>
  <c r="D20538" i="1"/>
  <c r="C20538" i="1"/>
  <c r="B20538" i="1"/>
  <c r="A20538" i="1"/>
  <c r="F20537" i="1"/>
  <c r="E20537" i="1"/>
  <c r="D20537" i="1"/>
  <c r="C20537" i="1"/>
  <c r="B20537" i="1"/>
  <c r="A20537" i="1"/>
  <c r="F20536" i="1"/>
  <c r="E20536" i="1"/>
  <c r="D20536" i="1"/>
  <c r="C20536" i="1"/>
  <c r="B20536" i="1"/>
  <c r="A20536" i="1"/>
  <c r="F20535" i="1"/>
  <c r="E20535" i="1"/>
  <c r="D20535" i="1"/>
  <c r="C20535" i="1"/>
  <c r="B20535" i="1"/>
  <c r="A20535" i="1"/>
  <c r="F20534" i="1"/>
  <c r="E20534" i="1"/>
  <c r="D20534" i="1"/>
  <c r="C20534" i="1"/>
  <c r="B20534" i="1"/>
  <c r="A20534" i="1"/>
  <c r="F20533" i="1"/>
  <c r="E20533" i="1"/>
  <c r="D20533" i="1"/>
  <c r="C20533" i="1"/>
  <c r="B20533" i="1"/>
  <c r="A20533" i="1"/>
  <c r="F20532" i="1"/>
  <c r="E20532" i="1"/>
  <c r="D20532" i="1"/>
  <c r="C20532" i="1"/>
  <c r="B20532" i="1"/>
  <c r="A20532" i="1"/>
  <c r="F20531" i="1"/>
  <c r="E20531" i="1"/>
  <c r="D20531" i="1"/>
  <c r="C20531" i="1"/>
  <c r="B20531" i="1"/>
  <c r="A20531" i="1"/>
  <c r="F20530" i="1"/>
  <c r="E20530" i="1"/>
  <c r="D20530" i="1"/>
  <c r="C20530" i="1"/>
  <c r="B20530" i="1"/>
  <c r="A20530" i="1"/>
  <c r="F20529" i="1"/>
  <c r="E20529" i="1"/>
  <c r="D20529" i="1"/>
  <c r="C20529" i="1"/>
  <c r="B20529" i="1"/>
  <c r="A20529" i="1"/>
  <c r="F20528" i="1"/>
  <c r="E20528" i="1"/>
  <c r="D20528" i="1"/>
  <c r="C20528" i="1"/>
  <c r="B20528" i="1"/>
  <c r="A20528" i="1"/>
  <c r="F20527" i="1"/>
  <c r="E20527" i="1"/>
  <c r="D20527" i="1"/>
  <c r="C20527" i="1"/>
  <c r="B20527" i="1"/>
  <c r="A20527" i="1"/>
  <c r="F20526" i="1"/>
  <c r="E20526" i="1"/>
  <c r="D20526" i="1"/>
  <c r="C20526" i="1"/>
  <c r="B20526" i="1"/>
  <c r="A20526" i="1"/>
  <c r="F20525" i="1"/>
  <c r="E20525" i="1"/>
  <c r="D20525" i="1"/>
  <c r="C20525" i="1"/>
  <c r="B20525" i="1"/>
  <c r="A20525" i="1"/>
  <c r="F20524" i="1"/>
  <c r="E20524" i="1"/>
  <c r="D20524" i="1"/>
  <c r="C20524" i="1"/>
  <c r="B20524" i="1"/>
  <c r="A20524" i="1"/>
  <c r="F20523" i="1"/>
  <c r="E20523" i="1"/>
  <c r="D20523" i="1"/>
  <c r="C20523" i="1"/>
  <c r="B20523" i="1"/>
  <c r="A20523" i="1"/>
  <c r="F20522" i="1"/>
  <c r="E20522" i="1"/>
  <c r="D20522" i="1"/>
  <c r="C20522" i="1"/>
  <c r="B20522" i="1"/>
  <c r="A20522" i="1"/>
  <c r="F20521" i="1"/>
  <c r="E20521" i="1"/>
  <c r="D20521" i="1"/>
  <c r="C20521" i="1"/>
  <c r="B20521" i="1"/>
  <c r="A20521" i="1"/>
  <c r="F20520" i="1"/>
  <c r="E20520" i="1"/>
  <c r="D20520" i="1"/>
  <c r="C20520" i="1"/>
  <c r="B20520" i="1"/>
  <c r="A20520" i="1"/>
  <c r="F20519" i="1"/>
  <c r="E20519" i="1"/>
  <c r="D20519" i="1"/>
  <c r="C20519" i="1"/>
  <c r="B20519" i="1"/>
  <c r="A20519" i="1"/>
  <c r="F20518" i="1"/>
  <c r="E20518" i="1"/>
  <c r="D20518" i="1"/>
  <c r="C20518" i="1"/>
  <c r="B20518" i="1"/>
  <c r="A20518" i="1"/>
  <c r="F20517" i="1"/>
  <c r="E20517" i="1"/>
  <c r="D20517" i="1"/>
  <c r="C20517" i="1"/>
  <c r="B20517" i="1"/>
  <c r="A20517" i="1"/>
  <c r="F20516" i="1"/>
  <c r="E20516" i="1"/>
  <c r="D20516" i="1"/>
  <c r="C20516" i="1"/>
  <c r="B20516" i="1"/>
  <c r="A20516" i="1"/>
  <c r="F20515" i="1"/>
  <c r="E20515" i="1"/>
  <c r="D20515" i="1"/>
  <c r="C20515" i="1"/>
  <c r="B20515" i="1"/>
  <c r="A20515" i="1"/>
  <c r="F20514" i="1"/>
  <c r="E20514" i="1"/>
  <c r="D20514" i="1"/>
  <c r="C20514" i="1"/>
  <c r="B20514" i="1"/>
  <c r="A20514" i="1"/>
  <c r="F20513" i="1"/>
  <c r="E20513" i="1"/>
  <c r="D20513" i="1"/>
  <c r="C20513" i="1"/>
  <c r="B20513" i="1"/>
  <c r="A20513" i="1"/>
  <c r="F20512" i="1"/>
  <c r="E20512" i="1"/>
  <c r="D20512" i="1"/>
  <c r="C20512" i="1"/>
  <c r="B20512" i="1"/>
  <c r="A20512" i="1"/>
  <c r="F20511" i="1"/>
  <c r="E20511" i="1"/>
  <c r="D20511" i="1"/>
  <c r="C20511" i="1"/>
  <c r="B20511" i="1"/>
  <c r="A20511" i="1"/>
  <c r="F20510" i="1"/>
  <c r="E20510" i="1"/>
  <c r="D20510" i="1"/>
  <c r="C20510" i="1"/>
  <c r="B20510" i="1"/>
  <c r="A20510" i="1"/>
  <c r="F20509" i="1"/>
  <c r="E20509" i="1"/>
  <c r="D20509" i="1"/>
  <c r="C20509" i="1"/>
  <c r="B20509" i="1"/>
  <c r="A20509" i="1"/>
  <c r="F20508" i="1"/>
  <c r="E20508" i="1"/>
  <c r="D20508" i="1"/>
  <c r="C20508" i="1"/>
  <c r="B20508" i="1"/>
  <c r="A20508" i="1"/>
  <c r="F20507" i="1"/>
  <c r="E20507" i="1"/>
  <c r="D20507" i="1"/>
  <c r="C20507" i="1"/>
  <c r="B20507" i="1"/>
  <c r="A20507" i="1"/>
  <c r="F20506" i="1"/>
  <c r="E20506" i="1"/>
  <c r="D20506" i="1"/>
  <c r="C20506" i="1"/>
  <c r="B20506" i="1"/>
  <c r="A20506" i="1"/>
  <c r="F20505" i="1"/>
  <c r="E20505" i="1"/>
  <c r="D20505" i="1"/>
  <c r="C20505" i="1"/>
  <c r="B20505" i="1"/>
  <c r="A20505" i="1"/>
  <c r="F20504" i="1"/>
  <c r="E20504" i="1"/>
  <c r="D20504" i="1"/>
  <c r="C20504" i="1"/>
  <c r="B20504" i="1"/>
  <c r="A20504" i="1"/>
  <c r="F20503" i="1"/>
  <c r="E20503" i="1"/>
  <c r="D20503" i="1"/>
  <c r="C20503" i="1"/>
  <c r="B20503" i="1"/>
  <c r="A20503" i="1"/>
  <c r="F20502" i="1"/>
  <c r="E20502" i="1"/>
  <c r="D20502" i="1"/>
  <c r="C20502" i="1"/>
  <c r="B20502" i="1"/>
  <c r="A20502" i="1"/>
  <c r="F20501" i="1"/>
  <c r="E20501" i="1"/>
  <c r="D20501" i="1"/>
  <c r="C20501" i="1"/>
  <c r="B20501" i="1"/>
  <c r="A20501" i="1"/>
  <c r="F20500" i="1"/>
  <c r="E20500" i="1"/>
  <c r="D20500" i="1"/>
  <c r="C20500" i="1"/>
  <c r="B20500" i="1"/>
  <c r="A20500" i="1"/>
  <c r="F20499" i="1"/>
  <c r="E20499" i="1"/>
  <c r="D20499" i="1"/>
  <c r="C20499" i="1"/>
  <c r="B20499" i="1"/>
  <c r="A20499" i="1"/>
  <c r="F20498" i="1"/>
  <c r="E20498" i="1"/>
  <c r="D20498" i="1"/>
  <c r="C20498" i="1"/>
  <c r="B20498" i="1"/>
  <c r="A20498" i="1"/>
  <c r="F20497" i="1"/>
  <c r="E20497" i="1"/>
  <c r="D20497" i="1"/>
  <c r="C20497" i="1"/>
  <c r="B20497" i="1"/>
  <c r="A20497" i="1"/>
  <c r="F20496" i="1"/>
  <c r="E20496" i="1"/>
  <c r="D20496" i="1"/>
  <c r="C20496" i="1"/>
  <c r="B20496" i="1"/>
  <c r="A20496" i="1"/>
  <c r="F20495" i="1"/>
  <c r="E20495" i="1"/>
  <c r="D20495" i="1"/>
  <c r="C20495" i="1"/>
  <c r="B20495" i="1"/>
  <c r="A20495" i="1"/>
  <c r="F20494" i="1"/>
  <c r="E20494" i="1"/>
  <c r="D20494" i="1"/>
  <c r="C20494" i="1"/>
  <c r="B20494" i="1"/>
  <c r="A20494" i="1"/>
  <c r="F20493" i="1"/>
  <c r="E20493" i="1"/>
  <c r="D20493" i="1"/>
  <c r="C20493" i="1"/>
  <c r="B20493" i="1"/>
  <c r="A20493" i="1"/>
  <c r="F20492" i="1"/>
  <c r="E20492" i="1"/>
  <c r="D20492" i="1"/>
  <c r="C20492" i="1"/>
  <c r="B20492" i="1"/>
  <c r="A20492" i="1"/>
  <c r="F20491" i="1"/>
  <c r="E20491" i="1"/>
  <c r="D20491" i="1"/>
  <c r="C20491" i="1"/>
  <c r="B20491" i="1"/>
  <c r="A20491" i="1"/>
  <c r="F20490" i="1"/>
  <c r="E20490" i="1"/>
  <c r="D20490" i="1"/>
  <c r="C20490" i="1"/>
  <c r="B20490" i="1"/>
  <c r="A20490" i="1"/>
  <c r="F20489" i="1"/>
  <c r="E20489" i="1"/>
  <c r="D20489" i="1"/>
  <c r="C20489" i="1"/>
  <c r="B20489" i="1"/>
  <c r="A20489" i="1"/>
  <c r="F20488" i="1"/>
  <c r="E20488" i="1"/>
  <c r="D20488" i="1"/>
  <c r="C20488" i="1"/>
  <c r="B20488" i="1"/>
  <c r="A20488" i="1"/>
  <c r="F20487" i="1"/>
  <c r="E20487" i="1"/>
  <c r="D20487" i="1"/>
  <c r="C20487" i="1"/>
  <c r="B20487" i="1"/>
  <c r="A20487" i="1"/>
  <c r="F20486" i="1"/>
  <c r="E20486" i="1"/>
  <c r="D20486" i="1"/>
  <c r="C20486" i="1"/>
  <c r="B20486" i="1"/>
  <c r="A20486" i="1"/>
  <c r="F20485" i="1"/>
  <c r="E20485" i="1"/>
  <c r="D20485" i="1"/>
  <c r="C20485" i="1"/>
  <c r="B20485" i="1"/>
  <c r="A20485" i="1"/>
  <c r="F20484" i="1"/>
  <c r="E20484" i="1"/>
  <c r="D20484" i="1"/>
  <c r="C20484" i="1"/>
  <c r="B20484" i="1"/>
  <c r="A20484" i="1"/>
  <c r="F20483" i="1"/>
  <c r="E20483" i="1"/>
  <c r="D20483" i="1"/>
  <c r="C20483" i="1"/>
  <c r="B20483" i="1"/>
  <c r="A20483" i="1"/>
  <c r="F20482" i="1"/>
  <c r="E20482" i="1"/>
  <c r="D20482" i="1"/>
  <c r="C20482" i="1"/>
  <c r="B20482" i="1"/>
  <c r="A20482" i="1"/>
  <c r="F20481" i="1"/>
  <c r="E20481" i="1"/>
  <c r="D20481" i="1"/>
  <c r="C20481" i="1"/>
  <c r="B20481" i="1"/>
  <c r="A20481" i="1"/>
  <c r="F20480" i="1"/>
  <c r="E20480" i="1"/>
  <c r="D20480" i="1"/>
  <c r="C20480" i="1"/>
  <c r="B20480" i="1"/>
  <c r="A20480" i="1"/>
  <c r="F20479" i="1"/>
  <c r="E20479" i="1"/>
  <c r="D20479" i="1"/>
  <c r="C20479" i="1"/>
  <c r="B20479" i="1"/>
  <c r="A20479" i="1"/>
  <c r="F20478" i="1"/>
  <c r="E20478" i="1"/>
  <c r="D20478" i="1"/>
  <c r="C20478" i="1"/>
  <c r="B20478" i="1"/>
  <c r="A20478" i="1"/>
  <c r="F20477" i="1"/>
  <c r="E20477" i="1"/>
  <c r="D20477" i="1"/>
  <c r="C20477" i="1"/>
  <c r="B20477" i="1"/>
  <c r="A20477" i="1"/>
  <c r="F20476" i="1"/>
  <c r="E20476" i="1"/>
  <c r="D20476" i="1"/>
  <c r="C20476" i="1"/>
  <c r="B20476" i="1"/>
  <c r="A20476" i="1"/>
  <c r="F20475" i="1"/>
  <c r="E20475" i="1"/>
  <c r="D20475" i="1"/>
  <c r="C20475" i="1"/>
  <c r="B20475" i="1"/>
  <c r="A20475" i="1"/>
  <c r="F20474" i="1"/>
  <c r="E20474" i="1"/>
  <c r="D20474" i="1"/>
  <c r="C20474" i="1"/>
  <c r="B20474" i="1"/>
  <c r="A20474" i="1"/>
  <c r="F20473" i="1"/>
  <c r="E20473" i="1"/>
  <c r="D20473" i="1"/>
  <c r="C20473" i="1"/>
  <c r="B20473" i="1"/>
  <c r="A20473" i="1"/>
  <c r="F20472" i="1"/>
  <c r="E20472" i="1"/>
  <c r="D20472" i="1"/>
  <c r="C20472" i="1"/>
  <c r="B20472" i="1"/>
  <c r="A20472" i="1"/>
  <c r="F20471" i="1"/>
  <c r="E20471" i="1"/>
  <c r="D20471" i="1"/>
  <c r="C20471" i="1"/>
  <c r="B20471" i="1"/>
  <c r="A20471" i="1"/>
  <c r="F20470" i="1"/>
  <c r="E20470" i="1"/>
  <c r="D20470" i="1"/>
  <c r="C20470" i="1"/>
  <c r="B20470" i="1"/>
  <c r="A20470" i="1"/>
  <c r="F20469" i="1"/>
  <c r="E20469" i="1"/>
  <c r="D20469" i="1"/>
  <c r="C20469" i="1"/>
  <c r="B20469" i="1"/>
  <c r="A20469" i="1"/>
  <c r="F20468" i="1"/>
  <c r="E20468" i="1"/>
  <c r="D20468" i="1"/>
  <c r="C20468" i="1"/>
  <c r="B20468" i="1"/>
  <c r="A20468" i="1"/>
  <c r="F20467" i="1"/>
  <c r="E20467" i="1"/>
  <c r="D20467" i="1"/>
  <c r="C20467" i="1"/>
  <c r="B20467" i="1"/>
  <c r="A20467" i="1"/>
  <c r="F20466" i="1"/>
  <c r="E20466" i="1"/>
  <c r="D20466" i="1"/>
  <c r="C20466" i="1"/>
  <c r="B20466" i="1"/>
  <c r="A20466" i="1"/>
  <c r="F20465" i="1"/>
  <c r="E20465" i="1"/>
  <c r="D20465" i="1"/>
  <c r="C20465" i="1"/>
  <c r="B20465" i="1"/>
  <c r="A20465" i="1"/>
  <c r="F20464" i="1"/>
  <c r="E20464" i="1"/>
  <c r="D20464" i="1"/>
  <c r="C20464" i="1"/>
  <c r="B20464" i="1"/>
  <c r="A20464" i="1"/>
  <c r="F20463" i="1"/>
  <c r="E20463" i="1"/>
  <c r="D20463" i="1"/>
  <c r="C20463" i="1"/>
  <c r="B20463" i="1"/>
  <c r="A20463" i="1"/>
  <c r="F20462" i="1"/>
  <c r="E20462" i="1"/>
  <c r="D20462" i="1"/>
  <c r="C20462" i="1"/>
  <c r="B20462" i="1"/>
  <c r="A20462" i="1"/>
  <c r="F20461" i="1"/>
  <c r="E20461" i="1"/>
  <c r="D20461" i="1"/>
  <c r="C20461" i="1"/>
  <c r="B20461" i="1"/>
  <c r="A20461" i="1"/>
  <c r="F20460" i="1"/>
  <c r="E20460" i="1"/>
  <c r="D20460" i="1"/>
  <c r="C20460" i="1"/>
  <c r="B20460" i="1"/>
  <c r="A20460" i="1"/>
  <c r="F20459" i="1"/>
  <c r="E20459" i="1"/>
  <c r="D20459" i="1"/>
  <c r="C20459" i="1"/>
  <c r="B20459" i="1"/>
  <c r="A20459" i="1"/>
  <c r="F20458" i="1"/>
  <c r="E20458" i="1"/>
  <c r="D20458" i="1"/>
  <c r="C20458" i="1"/>
  <c r="B20458" i="1"/>
  <c r="A20458" i="1"/>
  <c r="F20457" i="1"/>
  <c r="E20457" i="1"/>
  <c r="D20457" i="1"/>
  <c r="C20457" i="1"/>
  <c r="B20457" i="1"/>
  <c r="A20457" i="1"/>
  <c r="F20456" i="1"/>
  <c r="E20456" i="1"/>
  <c r="D20456" i="1"/>
  <c r="C20456" i="1"/>
  <c r="B20456" i="1"/>
  <c r="A20456" i="1"/>
  <c r="F20455" i="1"/>
  <c r="E20455" i="1"/>
  <c r="D20455" i="1"/>
  <c r="C20455" i="1"/>
  <c r="B20455" i="1"/>
  <c r="A20455" i="1"/>
  <c r="F20454" i="1"/>
  <c r="E20454" i="1"/>
  <c r="D20454" i="1"/>
  <c r="C20454" i="1"/>
  <c r="B20454" i="1"/>
  <c r="A20454" i="1"/>
  <c r="F20453" i="1"/>
  <c r="E20453" i="1"/>
  <c r="D20453" i="1"/>
  <c r="C20453" i="1"/>
  <c r="B20453" i="1"/>
  <c r="A20453" i="1"/>
  <c r="F20452" i="1"/>
  <c r="E20452" i="1"/>
  <c r="D20452" i="1"/>
  <c r="C20452" i="1"/>
  <c r="B20452" i="1"/>
  <c r="A20452" i="1"/>
  <c r="F20451" i="1"/>
  <c r="E20451" i="1"/>
  <c r="D20451" i="1"/>
  <c r="C20451" i="1"/>
  <c r="B20451" i="1"/>
  <c r="A20451" i="1"/>
  <c r="F20450" i="1"/>
  <c r="E20450" i="1"/>
  <c r="D20450" i="1"/>
  <c r="C20450" i="1"/>
  <c r="B20450" i="1"/>
  <c r="A20450" i="1"/>
  <c r="F20449" i="1"/>
  <c r="E20449" i="1"/>
  <c r="D20449" i="1"/>
  <c r="C20449" i="1"/>
  <c r="B20449" i="1"/>
  <c r="A20449" i="1"/>
  <c r="F20448" i="1"/>
  <c r="E20448" i="1"/>
  <c r="D20448" i="1"/>
  <c r="C20448" i="1"/>
  <c r="B20448" i="1"/>
  <c r="A20448" i="1"/>
  <c r="F20447" i="1"/>
  <c r="E20447" i="1"/>
  <c r="D20447" i="1"/>
  <c r="C20447" i="1"/>
  <c r="B20447" i="1"/>
  <c r="A20447" i="1"/>
  <c r="F20446" i="1"/>
  <c r="E20446" i="1"/>
  <c r="D20446" i="1"/>
  <c r="C20446" i="1"/>
  <c r="B20446" i="1"/>
  <c r="A20446" i="1"/>
  <c r="F20445" i="1"/>
  <c r="E20445" i="1"/>
  <c r="D20445" i="1"/>
  <c r="C20445" i="1"/>
  <c r="B20445" i="1"/>
  <c r="A20445" i="1"/>
  <c r="F20444" i="1"/>
  <c r="E20444" i="1"/>
  <c r="D20444" i="1"/>
  <c r="C20444" i="1"/>
  <c r="B20444" i="1"/>
  <c r="A20444" i="1"/>
  <c r="F20443" i="1"/>
  <c r="E20443" i="1"/>
  <c r="D20443" i="1"/>
  <c r="C20443" i="1"/>
  <c r="B20443" i="1"/>
  <c r="A20443" i="1"/>
  <c r="F20442" i="1"/>
  <c r="E20442" i="1"/>
  <c r="D20442" i="1"/>
  <c r="C20442" i="1"/>
  <c r="B20442" i="1"/>
  <c r="A20442" i="1"/>
  <c r="F20441" i="1"/>
  <c r="E20441" i="1"/>
  <c r="D20441" i="1"/>
  <c r="C20441" i="1"/>
  <c r="B20441" i="1"/>
  <c r="A20441" i="1"/>
  <c r="F20440" i="1"/>
  <c r="E20440" i="1"/>
  <c r="D20440" i="1"/>
  <c r="C20440" i="1"/>
  <c r="B20440" i="1"/>
  <c r="A20440" i="1"/>
  <c r="F20439" i="1"/>
  <c r="E20439" i="1"/>
  <c r="D20439" i="1"/>
  <c r="C20439" i="1"/>
  <c r="B20439" i="1"/>
  <c r="A20439" i="1"/>
  <c r="F20438" i="1"/>
  <c r="E20438" i="1"/>
  <c r="D20438" i="1"/>
  <c r="C20438" i="1"/>
  <c r="B20438" i="1"/>
  <c r="A20438" i="1"/>
  <c r="F20437" i="1"/>
  <c r="E20437" i="1"/>
  <c r="D20437" i="1"/>
  <c r="C20437" i="1"/>
  <c r="B20437" i="1"/>
  <c r="A20437" i="1"/>
  <c r="F20436" i="1"/>
  <c r="E20436" i="1"/>
  <c r="D20436" i="1"/>
  <c r="C20436" i="1"/>
  <c r="B20436" i="1"/>
  <c r="A20436" i="1"/>
  <c r="F20435" i="1"/>
  <c r="E20435" i="1"/>
  <c r="D20435" i="1"/>
  <c r="C20435" i="1"/>
  <c r="B20435" i="1"/>
  <c r="A20435" i="1"/>
  <c r="F20434" i="1"/>
  <c r="E20434" i="1"/>
  <c r="D20434" i="1"/>
  <c r="C20434" i="1"/>
  <c r="B20434" i="1"/>
  <c r="A20434" i="1"/>
  <c r="F20433" i="1"/>
  <c r="E20433" i="1"/>
  <c r="D20433" i="1"/>
  <c r="C20433" i="1"/>
  <c r="B20433" i="1"/>
  <c r="A20433" i="1"/>
  <c r="F20432" i="1"/>
  <c r="E20432" i="1"/>
  <c r="D20432" i="1"/>
  <c r="C20432" i="1"/>
  <c r="B20432" i="1"/>
  <c r="A20432" i="1"/>
  <c r="F20431" i="1"/>
  <c r="E20431" i="1"/>
  <c r="D20431" i="1"/>
  <c r="C20431" i="1"/>
  <c r="B20431" i="1"/>
  <c r="A20431" i="1"/>
  <c r="F20430" i="1"/>
  <c r="E20430" i="1"/>
  <c r="D20430" i="1"/>
  <c r="C20430" i="1"/>
  <c r="B20430" i="1"/>
  <c r="A20430" i="1"/>
  <c r="F20429" i="1"/>
  <c r="E20429" i="1"/>
  <c r="D20429" i="1"/>
  <c r="C20429" i="1"/>
  <c r="B20429" i="1"/>
  <c r="A20429" i="1"/>
  <c r="F20428" i="1"/>
  <c r="E20428" i="1"/>
  <c r="D20428" i="1"/>
  <c r="C20428" i="1"/>
  <c r="B20428" i="1"/>
  <c r="A20428" i="1"/>
  <c r="F20427" i="1"/>
  <c r="E20427" i="1"/>
  <c r="D20427" i="1"/>
  <c r="C20427" i="1"/>
  <c r="B20427" i="1"/>
  <c r="A20427" i="1"/>
  <c r="F20426" i="1"/>
  <c r="E20426" i="1"/>
  <c r="D20426" i="1"/>
  <c r="C20426" i="1"/>
  <c r="B20426" i="1"/>
  <c r="A20426" i="1"/>
  <c r="F20425" i="1"/>
  <c r="E20425" i="1"/>
  <c r="D20425" i="1"/>
  <c r="C20425" i="1"/>
  <c r="B20425" i="1"/>
  <c r="A20425" i="1"/>
  <c r="F20424" i="1"/>
  <c r="E20424" i="1"/>
  <c r="D20424" i="1"/>
  <c r="C20424" i="1"/>
  <c r="B20424" i="1"/>
  <c r="A20424" i="1"/>
  <c r="F20423" i="1"/>
  <c r="E20423" i="1"/>
  <c r="D20423" i="1"/>
  <c r="C20423" i="1"/>
  <c r="B20423" i="1"/>
  <c r="A20423" i="1"/>
  <c r="F20422" i="1"/>
  <c r="E20422" i="1"/>
  <c r="D20422" i="1"/>
  <c r="C20422" i="1"/>
  <c r="B20422" i="1"/>
  <c r="A20422" i="1"/>
  <c r="F20421" i="1"/>
  <c r="E20421" i="1"/>
  <c r="D20421" i="1"/>
  <c r="C20421" i="1"/>
  <c r="B20421" i="1"/>
  <c r="A20421" i="1"/>
  <c r="F20420" i="1"/>
  <c r="E20420" i="1"/>
  <c r="D20420" i="1"/>
  <c r="C20420" i="1"/>
  <c r="B20420" i="1"/>
  <c r="A20420" i="1"/>
  <c r="F20419" i="1"/>
  <c r="E20419" i="1"/>
  <c r="D20419" i="1"/>
  <c r="C20419" i="1"/>
  <c r="B20419" i="1"/>
  <c r="A20419" i="1"/>
  <c r="F20418" i="1"/>
  <c r="E20418" i="1"/>
  <c r="D20418" i="1"/>
  <c r="C20418" i="1"/>
  <c r="B20418" i="1"/>
  <c r="A20418" i="1"/>
  <c r="F20417" i="1"/>
  <c r="E20417" i="1"/>
  <c r="D20417" i="1"/>
  <c r="C20417" i="1"/>
  <c r="B20417" i="1"/>
  <c r="A20417" i="1"/>
  <c r="F20416" i="1"/>
  <c r="E20416" i="1"/>
  <c r="D20416" i="1"/>
  <c r="C20416" i="1"/>
  <c r="B20416" i="1"/>
  <c r="A20416" i="1"/>
  <c r="F20415" i="1"/>
  <c r="E20415" i="1"/>
  <c r="D20415" i="1"/>
  <c r="C20415" i="1"/>
  <c r="B20415" i="1"/>
  <c r="A20415" i="1"/>
  <c r="F20414" i="1"/>
  <c r="E20414" i="1"/>
  <c r="D20414" i="1"/>
  <c r="C20414" i="1"/>
  <c r="B20414" i="1"/>
  <c r="A20414" i="1"/>
  <c r="F20413" i="1"/>
  <c r="E20413" i="1"/>
  <c r="D20413" i="1"/>
  <c r="C20413" i="1"/>
  <c r="B20413" i="1"/>
  <c r="A20413" i="1"/>
  <c r="F20412" i="1"/>
  <c r="E20412" i="1"/>
  <c r="D20412" i="1"/>
  <c r="C20412" i="1"/>
  <c r="B20412" i="1"/>
  <c r="A20412" i="1"/>
  <c r="F20411" i="1"/>
  <c r="E20411" i="1"/>
  <c r="D20411" i="1"/>
  <c r="C20411" i="1"/>
  <c r="B20411" i="1"/>
  <c r="A20411" i="1"/>
  <c r="F20410" i="1"/>
  <c r="E20410" i="1"/>
  <c r="D20410" i="1"/>
  <c r="C20410" i="1"/>
  <c r="B20410" i="1"/>
  <c r="A20410" i="1"/>
  <c r="F20409" i="1"/>
  <c r="E20409" i="1"/>
  <c r="D20409" i="1"/>
  <c r="C20409" i="1"/>
  <c r="B20409" i="1"/>
  <c r="A20409" i="1"/>
  <c r="F20408" i="1"/>
  <c r="E20408" i="1"/>
  <c r="D20408" i="1"/>
  <c r="C20408" i="1"/>
  <c r="B20408" i="1"/>
  <c r="A20408" i="1"/>
  <c r="F20407" i="1"/>
  <c r="E20407" i="1"/>
  <c r="D20407" i="1"/>
  <c r="C20407" i="1"/>
  <c r="B20407" i="1"/>
  <c r="A20407" i="1"/>
  <c r="F20406" i="1"/>
  <c r="E20406" i="1"/>
  <c r="D20406" i="1"/>
  <c r="C20406" i="1"/>
  <c r="B20406" i="1"/>
  <c r="A20406" i="1"/>
  <c r="F20405" i="1"/>
  <c r="E20405" i="1"/>
  <c r="D20405" i="1"/>
  <c r="C20405" i="1"/>
  <c r="B20405" i="1"/>
  <c r="A20405" i="1"/>
  <c r="F20404" i="1"/>
  <c r="E20404" i="1"/>
  <c r="D20404" i="1"/>
  <c r="C20404" i="1"/>
  <c r="B20404" i="1"/>
  <c r="A20404" i="1"/>
  <c r="F20403" i="1"/>
  <c r="E20403" i="1"/>
  <c r="D20403" i="1"/>
  <c r="C20403" i="1"/>
  <c r="B20403" i="1"/>
  <c r="A20403" i="1"/>
  <c r="F20402" i="1"/>
  <c r="E20402" i="1"/>
  <c r="D20402" i="1"/>
  <c r="C20402" i="1"/>
  <c r="B20402" i="1"/>
  <c r="A20402" i="1"/>
  <c r="F20401" i="1"/>
  <c r="E20401" i="1"/>
  <c r="D20401" i="1"/>
  <c r="C20401" i="1"/>
  <c r="B20401" i="1"/>
  <c r="A20401" i="1"/>
  <c r="F20400" i="1"/>
  <c r="E20400" i="1"/>
  <c r="D20400" i="1"/>
  <c r="C20400" i="1"/>
  <c r="B20400" i="1"/>
  <c r="A20400" i="1"/>
  <c r="F20399" i="1"/>
  <c r="E20399" i="1"/>
  <c r="D20399" i="1"/>
  <c r="C20399" i="1"/>
  <c r="B20399" i="1"/>
  <c r="A20399" i="1"/>
  <c r="F20398" i="1"/>
  <c r="E20398" i="1"/>
  <c r="D20398" i="1"/>
  <c r="C20398" i="1"/>
  <c r="B20398" i="1"/>
  <c r="A20398" i="1"/>
  <c r="F20397" i="1"/>
  <c r="E20397" i="1"/>
  <c r="D20397" i="1"/>
  <c r="C20397" i="1"/>
  <c r="B20397" i="1"/>
  <c r="A20397" i="1"/>
  <c r="F20396" i="1"/>
  <c r="E20396" i="1"/>
  <c r="D20396" i="1"/>
  <c r="C20396" i="1"/>
  <c r="B20396" i="1"/>
  <c r="A20396" i="1"/>
  <c r="F20395" i="1"/>
  <c r="E20395" i="1"/>
  <c r="D20395" i="1"/>
  <c r="C20395" i="1"/>
  <c r="B20395" i="1"/>
  <c r="A20395" i="1"/>
  <c r="F20394" i="1"/>
  <c r="E20394" i="1"/>
  <c r="D20394" i="1"/>
  <c r="C20394" i="1"/>
  <c r="B20394" i="1"/>
  <c r="A20394" i="1"/>
  <c r="F20393" i="1"/>
  <c r="E20393" i="1"/>
  <c r="D20393" i="1"/>
  <c r="C20393" i="1"/>
  <c r="B20393" i="1"/>
  <c r="A20393" i="1"/>
  <c r="F20392" i="1"/>
  <c r="E20392" i="1"/>
  <c r="D20392" i="1"/>
  <c r="C20392" i="1"/>
  <c r="B20392" i="1"/>
  <c r="A20392" i="1"/>
  <c r="F20391" i="1"/>
  <c r="E20391" i="1"/>
  <c r="D20391" i="1"/>
  <c r="C20391" i="1"/>
  <c r="B20391" i="1"/>
  <c r="A20391" i="1"/>
  <c r="F20390" i="1"/>
  <c r="E20390" i="1"/>
  <c r="D20390" i="1"/>
  <c r="C20390" i="1"/>
  <c r="B20390" i="1"/>
  <c r="A20390" i="1"/>
  <c r="F20389" i="1"/>
  <c r="E20389" i="1"/>
  <c r="D20389" i="1"/>
  <c r="C20389" i="1"/>
  <c r="B20389" i="1"/>
  <c r="A20389" i="1"/>
  <c r="F20388" i="1"/>
  <c r="E20388" i="1"/>
  <c r="D20388" i="1"/>
  <c r="C20388" i="1"/>
  <c r="B20388" i="1"/>
  <c r="A20388" i="1"/>
  <c r="F20387" i="1"/>
  <c r="E20387" i="1"/>
  <c r="D20387" i="1"/>
  <c r="C20387" i="1"/>
  <c r="B20387" i="1"/>
  <c r="A20387" i="1"/>
  <c r="F20386" i="1"/>
  <c r="E20386" i="1"/>
  <c r="D20386" i="1"/>
  <c r="C20386" i="1"/>
  <c r="B20386" i="1"/>
  <c r="A20386" i="1"/>
  <c r="F20385" i="1"/>
  <c r="E20385" i="1"/>
  <c r="D20385" i="1"/>
  <c r="C20385" i="1"/>
  <c r="B20385" i="1"/>
  <c r="A20385" i="1"/>
  <c r="F20384" i="1"/>
  <c r="E20384" i="1"/>
  <c r="D20384" i="1"/>
  <c r="C20384" i="1"/>
  <c r="B20384" i="1"/>
  <c r="A20384" i="1"/>
  <c r="F20383" i="1"/>
  <c r="E20383" i="1"/>
  <c r="D20383" i="1"/>
  <c r="C20383" i="1"/>
  <c r="B20383" i="1"/>
  <c r="A20383" i="1"/>
  <c r="F20382" i="1"/>
  <c r="E20382" i="1"/>
  <c r="D20382" i="1"/>
  <c r="C20382" i="1"/>
  <c r="B20382" i="1"/>
  <c r="A20382" i="1"/>
  <c r="F20381" i="1"/>
  <c r="E20381" i="1"/>
  <c r="D20381" i="1"/>
  <c r="C20381" i="1"/>
  <c r="B20381" i="1"/>
  <c r="A20381" i="1"/>
  <c r="F20380" i="1"/>
  <c r="E20380" i="1"/>
  <c r="D20380" i="1"/>
  <c r="C20380" i="1"/>
  <c r="B20380" i="1"/>
  <c r="A20380" i="1"/>
  <c r="F20379" i="1"/>
  <c r="E20379" i="1"/>
  <c r="D20379" i="1"/>
  <c r="C20379" i="1"/>
  <c r="B20379" i="1"/>
  <c r="A20379" i="1"/>
  <c r="F20378" i="1"/>
  <c r="E20378" i="1"/>
  <c r="D20378" i="1"/>
  <c r="C20378" i="1"/>
  <c r="B20378" i="1"/>
  <c r="A20378" i="1"/>
  <c r="F20377" i="1"/>
  <c r="E20377" i="1"/>
  <c r="D20377" i="1"/>
  <c r="C20377" i="1"/>
  <c r="B20377" i="1"/>
  <c r="A20377" i="1"/>
  <c r="F20376" i="1"/>
  <c r="E20376" i="1"/>
  <c r="D20376" i="1"/>
  <c r="C20376" i="1"/>
  <c r="B20376" i="1"/>
  <c r="A20376" i="1"/>
  <c r="F20375" i="1"/>
  <c r="E20375" i="1"/>
  <c r="D20375" i="1"/>
  <c r="C20375" i="1"/>
  <c r="B20375" i="1"/>
  <c r="A20375" i="1"/>
  <c r="F20374" i="1"/>
  <c r="E20374" i="1"/>
  <c r="D20374" i="1"/>
  <c r="C20374" i="1"/>
  <c r="B20374" i="1"/>
  <c r="A20374" i="1"/>
  <c r="F20373" i="1"/>
  <c r="E20373" i="1"/>
  <c r="D20373" i="1"/>
  <c r="C20373" i="1"/>
  <c r="B20373" i="1"/>
  <c r="A20373" i="1"/>
  <c r="F20372" i="1"/>
  <c r="E20372" i="1"/>
  <c r="D20372" i="1"/>
  <c r="C20372" i="1"/>
  <c r="B20372" i="1"/>
  <c r="A20372" i="1"/>
  <c r="F20371" i="1"/>
  <c r="E20371" i="1"/>
  <c r="D20371" i="1"/>
  <c r="C20371" i="1"/>
  <c r="B20371" i="1"/>
  <c r="A20371" i="1"/>
  <c r="F20370" i="1"/>
  <c r="E20370" i="1"/>
  <c r="D20370" i="1"/>
  <c r="C20370" i="1"/>
  <c r="B20370" i="1"/>
  <c r="A20370" i="1"/>
  <c r="F20369" i="1"/>
  <c r="E20369" i="1"/>
  <c r="D20369" i="1"/>
  <c r="C20369" i="1"/>
  <c r="B20369" i="1"/>
  <c r="A20369" i="1"/>
  <c r="F20368" i="1"/>
  <c r="E20368" i="1"/>
  <c r="D20368" i="1"/>
  <c r="C20368" i="1"/>
  <c r="B20368" i="1"/>
  <c r="A20368" i="1"/>
  <c r="F20367" i="1"/>
  <c r="E20367" i="1"/>
  <c r="D20367" i="1"/>
  <c r="C20367" i="1"/>
  <c r="B20367" i="1"/>
  <c r="A20367" i="1"/>
  <c r="F20366" i="1"/>
  <c r="E20366" i="1"/>
  <c r="D20366" i="1"/>
  <c r="C20366" i="1"/>
  <c r="B20366" i="1"/>
  <c r="A20366" i="1"/>
  <c r="F20365" i="1"/>
  <c r="E20365" i="1"/>
  <c r="D20365" i="1"/>
  <c r="C20365" i="1"/>
  <c r="B20365" i="1"/>
  <c r="A20365" i="1"/>
  <c r="F20364" i="1"/>
  <c r="E20364" i="1"/>
  <c r="D20364" i="1"/>
  <c r="C20364" i="1"/>
  <c r="B20364" i="1"/>
  <c r="A20364" i="1"/>
  <c r="F20363" i="1"/>
  <c r="E20363" i="1"/>
  <c r="D20363" i="1"/>
  <c r="C20363" i="1"/>
  <c r="B20363" i="1"/>
  <c r="A20363" i="1"/>
  <c r="F20362" i="1"/>
  <c r="E20362" i="1"/>
  <c r="D20362" i="1"/>
  <c r="C20362" i="1"/>
  <c r="B20362" i="1"/>
  <c r="A20362" i="1"/>
  <c r="F20361" i="1"/>
  <c r="E20361" i="1"/>
  <c r="D20361" i="1"/>
  <c r="C20361" i="1"/>
  <c r="B20361" i="1"/>
  <c r="A20361" i="1"/>
  <c r="F20360" i="1"/>
  <c r="E20360" i="1"/>
  <c r="D20360" i="1"/>
  <c r="C20360" i="1"/>
  <c r="B20360" i="1"/>
  <c r="A20360" i="1"/>
  <c r="F20359" i="1"/>
  <c r="E20359" i="1"/>
  <c r="D20359" i="1"/>
  <c r="C20359" i="1"/>
  <c r="B20359" i="1"/>
  <c r="A20359" i="1"/>
  <c r="F20358" i="1"/>
  <c r="E20358" i="1"/>
  <c r="D20358" i="1"/>
  <c r="C20358" i="1"/>
  <c r="B20358" i="1"/>
  <c r="A20358" i="1"/>
  <c r="F20357" i="1"/>
  <c r="E20357" i="1"/>
  <c r="D20357" i="1"/>
  <c r="C20357" i="1"/>
  <c r="B20357" i="1"/>
  <c r="A20357" i="1"/>
  <c r="F20356" i="1"/>
  <c r="E20356" i="1"/>
  <c r="D20356" i="1"/>
  <c r="C20356" i="1"/>
  <c r="B20356" i="1"/>
  <c r="A20356" i="1"/>
  <c r="F20355" i="1"/>
  <c r="E20355" i="1"/>
  <c r="D20355" i="1"/>
  <c r="C20355" i="1"/>
  <c r="B20355" i="1"/>
  <c r="A20355" i="1"/>
  <c r="F20354" i="1"/>
  <c r="E20354" i="1"/>
  <c r="D20354" i="1"/>
  <c r="C20354" i="1"/>
  <c r="B20354" i="1"/>
  <c r="A20354" i="1"/>
  <c r="F20353" i="1"/>
  <c r="E20353" i="1"/>
  <c r="D20353" i="1"/>
  <c r="C20353" i="1"/>
  <c r="B20353" i="1"/>
  <c r="A20353" i="1"/>
  <c r="F20352" i="1"/>
  <c r="E20352" i="1"/>
  <c r="D20352" i="1"/>
  <c r="C20352" i="1"/>
  <c r="B20352" i="1"/>
  <c r="A20352" i="1"/>
  <c r="F20351" i="1"/>
  <c r="E20351" i="1"/>
  <c r="D20351" i="1"/>
  <c r="C20351" i="1"/>
  <c r="B20351" i="1"/>
  <c r="A20351" i="1"/>
  <c r="F20350" i="1"/>
  <c r="E20350" i="1"/>
  <c r="D20350" i="1"/>
  <c r="C20350" i="1"/>
  <c r="B20350" i="1"/>
  <c r="A20350" i="1"/>
  <c r="F20349" i="1"/>
  <c r="E20349" i="1"/>
  <c r="D20349" i="1"/>
  <c r="C20349" i="1"/>
  <c r="B20349" i="1"/>
  <c r="A20349" i="1"/>
  <c r="F20348" i="1"/>
  <c r="E20348" i="1"/>
  <c r="D20348" i="1"/>
  <c r="C20348" i="1"/>
  <c r="B20348" i="1"/>
  <c r="A20348" i="1"/>
  <c r="F20347" i="1"/>
  <c r="E20347" i="1"/>
  <c r="D20347" i="1"/>
  <c r="C20347" i="1"/>
  <c r="B20347" i="1"/>
  <c r="A20347" i="1"/>
  <c r="F20346" i="1"/>
  <c r="E20346" i="1"/>
  <c r="D20346" i="1"/>
  <c r="C20346" i="1"/>
  <c r="B20346" i="1"/>
  <c r="A20346" i="1"/>
  <c r="F20345" i="1"/>
  <c r="E20345" i="1"/>
  <c r="D20345" i="1"/>
  <c r="C20345" i="1"/>
  <c r="B20345" i="1"/>
  <c r="A20345" i="1"/>
  <c r="F20344" i="1"/>
  <c r="E20344" i="1"/>
  <c r="D20344" i="1"/>
  <c r="C20344" i="1"/>
  <c r="B20344" i="1"/>
  <c r="A20344" i="1"/>
  <c r="F20343" i="1"/>
  <c r="E20343" i="1"/>
  <c r="D20343" i="1"/>
  <c r="C20343" i="1"/>
  <c r="B20343" i="1"/>
  <c r="A20343" i="1"/>
  <c r="F20342" i="1"/>
  <c r="E20342" i="1"/>
  <c r="D20342" i="1"/>
  <c r="C20342" i="1"/>
  <c r="B20342" i="1"/>
  <c r="A20342" i="1"/>
  <c r="F20341" i="1"/>
  <c r="E20341" i="1"/>
  <c r="D20341" i="1"/>
  <c r="C20341" i="1"/>
  <c r="B20341" i="1"/>
  <c r="A20341" i="1"/>
  <c r="F20340" i="1"/>
  <c r="E20340" i="1"/>
  <c r="D20340" i="1"/>
  <c r="C20340" i="1"/>
  <c r="B20340" i="1"/>
  <c r="A20340" i="1"/>
  <c r="F20339" i="1"/>
  <c r="E20339" i="1"/>
  <c r="D20339" i="1"/>
  <c r="C20339" i="1"/>
  <c r="B20339" i="1"/>
  <c r="A20339" i="1"/>
  <c r="F20338" i="1"/>
  <c r="E20338" i="1"/>
  <c r="D20338" i="1"/>
  <c r="C20338" i="1"/>
  <c r="B20338" i="1"/>
  <c r="A20338" i="1"/>
  <c r="F20337" i="1"/>
  <c r="E20337" i="1"/>
  <c r="D20337" i="1"/>
  <c r="C20337" i="1"/>
  <c r="B20337" i="1"/>
  <c r="A20337" i="1"/>
  <c r="F20336" i="1"/>
  <c r="E20336" i="1"/>
  <c r="D20336" i="1"/>
  <c r="C20336" i="1"/>
  <c r="B20336" i="1"/>
  <c r="A20336" i="1"/>
  <c r="F20335" i="1"/>
  <c r="E20335" i="1"/>
  <c r="D20335" i="1"/>
  <c r="C20335" i="1"/>
  <c r="B20335" i="1"/>
  <c r="A20335" i="1"/>
  <c r="F20334" i="1"/>
  <c r="E20334" i="1"/>
  <c r="D20334" i="1"/>
  <c r="C20334" i="1"/>
  <c r="B20334" i="1"/>
  <c r="A20334" i="1"/>
  <c r="F20333" i="1"/>
  <c r="E20333" i="1"/>
  <c r="D20333" i="1"/>
  <c r="C20333" i="1"/>
  <c r="B20333" i="1"/>
  <c r="A20333" i="1"/>
  <c r="F20332" i="1"/>
  <c r="E20332" i="1"/>
  <c r="D20332" i="1"/>
  <c r="C20332" i="1"/>
  <c r="B20332" i="1"/>
  <c r="A20332" i="1"/>
  <c r="F20331" i="1"/>
  <c r="E20331" i="1"/>
  <c r="D20331" i="1"/>
  <c r="C20331" i="1"/>
  <c r="B20331" i="1"/>
  <c r="A20331" i="1"/>
  <c r="F20330" i="1"/>
  <c r="E20330" i="1"/>
  <c r="D20330" i="1"/>
  <c r="C20330" i="1"/>
  <c r="B20330" i="1"/>
  <c r="A20330" i="1"/>
  <c r="F20329" i="1"/>
  <c r="E20329" i="1"/>
  <c r="D20329" i="1"/>
  <c r="C20329" i="1"/>
  <c r="B20329" i="1"/>
  <c r="A20329" i="1"/>
  <c r="F20328" i="1"/>
  <c r="E20328" i="1"/>
  <c r="D20328" i="1"/>
  <c r="C20328" i="1"/>
  <c r="B20328" i="1"/>
  <c r="A20328" i="1"/>
  <c r="F20327" i="1"/>
  <c r="E20327" i="1"/>
  <c r="D20327" i="1"/>
  <c r="C20327" i="1"/>
  <c r="B20327" i="1"/>
  <c r="A20327" i="1"/>
  <c r="F20326" i="1"/>
  <c r="E20326" i="1"/>
  <c r="D20326" i="1"/>
  <c r="C20326" i="1"/>
  <c r="B20326" i="1"/>
  <c r="A20326" i="1"/>
  <c r="F20325" i="1"/>
  <c r="E20325" i="1"/>
  <c r="D20325" i="1"/>
  <c r="C20325" i="1"/>
  <c r="B20325" i="1"/>
  <c r="A20325" i="1"/>
  <c r="F20324" i="1"/>
  <c r="E20324" i="1"/>
  <c r="D20324" i="1"/>
  <c r="C20324" i="1"/>
  <c r="B20324" i="1"/>
  <c r="A20324" i="1"/>
  <c r="F20323" i="1"/>
  <c r="E20323" i="1"/>
  <c r="D20323" i="1"/>
  <c r="C20323" i="1"/>
  <c r="B20323" i="1"/>
  <c r="A20323" i="1"/>
  <c r="F20322" i="1"/>
  <c r="E20322" i="1"/>
  <c r="D20322" i="1"/>
  <c r="C20322" i="1"/>
  <c r="B20322" i="1"/>
  <c r="A20322" i="1"/>
  <c r="F20321" i="1"/>
  <c r="E20321" i="1"/>
  <c r="D20321" i="1"/>
  <c r="C20321" i="1"/>
  <c r="B20321" i="1"/>
  <c r="A20321" i="1"/>
  <c r="F20320" i="1"/>
  <c r="E20320" i="1"/>
  <c r="D20320" i="1"/>
  <c r="C20320" i="1"/>
  <c r="B20320" i="1"/>
  <c r="A20320" i="1"/>
  <c r="F20319" i="1"/>
  <c r="E20319" i="1"/>
  <c r="D20319" i="1"/>
  <c r="C20319" i="1"/>
  <c r="B20319" i="1"/>
  <c r="A20319" i="1"/>
  <c r="F20318" i="1"/>
  <c r="E20318" i="1"/>
  <c r="D20318" i="1"/>
  <c r="C20318" i="1"/>
  <c r="B20318" i="1"/>
  <c r="A20318" i="1"/>
  <c r="F20317" i="1"/>
  <c r="E20317" i="1"/>
  <c r="D20317" i="1"/>
  <c r="C20317" i="1"/>
  <c r="B20317" i="1"/>
  <c r="A20317" i="1"/>
  <c r="F20316" i="1"/>
  <c r="E20316" i="1"/>
  <c r="D20316" i="1"/>
  <c r="C20316" i="1"/>
  <c r="B20316" i="1"/>
  <c r="A20316" i="1"/>
  <c r="F20315" i="1"/>
  <c r="E20315" i="1"/>
  <c r="D20315" i="1"/>
  <c r="C20315" i="1"/>
  <c r="B20315" i="1"/>
  <c r="A20315" i="1"/>
  <c r="F20314" i="1"/>
  <c r="E20314" i="1"/>
  <c r="D20314" i="1"/>
  <c r="C20314" i="1"/>
  <c r="B20314" i="1"/>
  <c r="A20314" i="1"/>
  <c r="F20313" i="1"/>
  <c r="E20313" i="1"/>
  <c r="D20313" i="1"/>
  <c r="C20313" i="1"/>
  <c r="B20313" i="1"/>
  <c r="A20313" i="1"/>
  <c r="F20312" i="1"/>
  <c r="E20312" i="1"/>
  <c r="D20312" i="1"/>
  <c r="C20312" i="1"/>
  <c r="B20312" i="1"/>
  <c r="A20312" i="1"/>
  <c r="F20311" i="1"/>
  <c r="E20311" i="1"/>
  <c r="D20311" i="1"/>
  <c r="C20311" i="1"/>
  <c r="B20311" i="1"/>
  <c r="A20311" i="1"/>
  <c r="F20310" i="1"/>
  <c r="E20310" i="1"/>
  <c r="D20310" i="1"/>
  <c r="C20310" i="1"/>
  <c r="B20310" i="1"/>
  <c r="A20310" i="1"/>
  <c r="F20309" i="1"/>
  <c r="E20309" i="1"/>
  <c r="D20309" i="1"/>
  <c r="C20309" i="1"/>
  <c r="B20309" i="1"/>
  <c r="A20309" i="1"/>
  <c r="F20308" i="1"/>
  <c r="E20308" i="1"/>
  <c r="D20308" i="1"/>
  <c r="C20308" i="1"/>
  <c r="B20308" i="1"/>
  <c r="A20308" i="1"/>
  <c r="F20307" i="1"/>
  <c r="E20307" i="1"/>
  <c r="D20307" i="1"/>
  <c r="C20307" i="1"/>
  <c r="B20307" i="1"/>
  <c r="A20307" i="1"/>
  <c r="F20306" i="1"/>
  <c r="E20306" i="1"/>
  <c r="D20306" i="1"/>
  <c r="C20306" i="1"/>
  <c r="B20306" i="1"/>
  <c r="A20306" i="1"/>
  <c r="F20305" i="1"/>
  <c r="E20305" i="1"/>
  <c r="D20305" i="1"/>
  <c r="C20305" i="1"/>
  <c r="B20305" i="1"/>
  <c r="A20305" i="1"/>
  <c r="F20304" i="1"/>
  <c r="E20304" i="1"/>
  <c r="D20304" i="1"/>
  <c r="C20304" i="1"/>
  <c r="B20304" i="1"/>
  <c r="A20304" i="1"/>
  <c r="F20303" i="1"/>
  <c r="E20303" i="1"/>
  <c r="D20303" i="1"/>
  <c r="C20303" i="1"/>
  <c r="B20303" i="1"/>
  <c r="A20303" i="1"/>
  <c r="F20302" i="1"/>
  <c r="E20302" i="1"/>
  <c r="D20302" i="1"/>
  <c r="C20302" i="1"/>
  <c r="B20302" i="1"/>
  <c r="A20302" i="1"/>
  <c r="F20301" i="1"/>
  <c r="E20301" i="1"/>
  <c r="D20301" i="1"/>
  <c r="C20301" i="1"/>
  <c r="B20301" i="1"/>
  <c r="A20301" i="1"/>
  <c r="F20300" i="1"/>
  <c r="E20300" i="1"/>
  <c r="D20300" i="1"/>
  <c r="C20300" i="1"/>
  <c r="B20300" i="1"/>
  <c r="A20300" i="1"/>
  <c r="F20299" i="1"/>
  <c r="E20299" i="1"/>
  <c r="D20299" i="1"/>
  <c r="C20299" i="1"/>
  <c r="B20299" i="1"/>
  <c r="A20299" i="1"/>
  <c r="F20298" i="1"/>
  <c r="E20298" i="1"/>
  <c r="D20298" i="1"/>
  <c r="C20298" i="1"/>
  <c r="B20298" i="1"/>
  <c r="A20298" i="1"/>
  <c r="F20297" i="1"/>
  <c r="E20297" i="1"/>
  <c r="D20297" i="1"/>
  <c r="C20297" i="1"/>
  <c r="B20297" i="1"/>
  <c r="A20297" i="1"/>
  <c r="F20296" i="1"/>
  <c r="E20296" i="1"/>
  <c r="D20296" i="1"/>
  <c r="C20296" i="1"/>
  <c r="B20296" i="1"/>
  <c r="A20296" i="1"/>
  <c r="F20295" i="1"/>
  <c r="E20295" i="1"/>
  <c r="D20295" i="1"/>
  <c r="C20295" i="1"/>
  <c r="B20295" i="1"/>
  <c r="A20295" i="1"/>
  <c r="F20294" i="1"/>
  <c r="E20294" i="1"/>
  <c r="D20294" i="1"/>
  <c r="C20294" i="1"/>
  <c r="B20294" i="1"/>
  <c r="A20294" i="1"/>
  <c r="F20293" i="1"/>
  <c r="E20293" i="1"/>
  <c r="D20293" i="1"/>
  <c r="C20293" i="1"/>
  <c r="B20293" i="1"/>
  <c r="A20293" i="1"/>
  <c r="F20292" i="1"/>
  <c r="E20292" i="1"/>
  <c r="D20292" i="1"/>
  <c r="C20292" i="1"/>
  <c r="B20292" i="1"/>
  <c r="A20292" i="1"/>
  <c r="F20291" i="1"/>
  <c r="E20291" i="1"/>
  <c r="D20291" i="1"/>
  <c r="C20291" i="1"/>
  <c r="B20291" i="1"/>
  <c r="A20291" i="1"/>
  <c r="F20290" i="1"/>
  <c r="E20290" i="1"/>
  <c r="D20290" i="1"/>
  <c r="C20290" i="1"/>
  <c r="B20290" i="1"/>
  <c r="A20290" i="1"/>
  <c r="F20289" i="1"/>
  <c r="E20289" i="1"/>
  <c r="D20289" i="1"/>
  <c r="C20289" i="1"/>
  <c r="B20289" i="1"/>
  <c r="A20289" i="1"/>
  <c r="F20288" i="1"/>
  <c r="E20288" i="1"/>
  <c r="D20288" i="1"/>
  <c r="C20288" i="1"/>
  <c r="B20288" i="1"/>
  <c r="A20288" i="1"/>
  <c r="F20287" i="1"/>
  <c r="E20287" i="1"/>
  <c r="D20287" i="1"/>
  <c r="C20287" i="1"/>
  <c r="B20287" i="1"/>
  <c r="A20287" i="1"/>
  <c r="F20286" i="1"/>
  <c r="E20286" i="1"/>
  <c r="D20286" i="1"/>
  <c r="C20286" i="1"/>
  <c r="B20286" i="1"/>
  <c r="A20286" i="1"/>
  <c r="F20285" i="1"/>
  <c r="E20285" i="1"/>
  <c r="D20285" i="1"/>
  <c r="C20285" i="1"/>
  <c r="B20285" i="1"/>
  <c r="A20285" i="1"/>
  <c r="F20284" i="1"/>
  <c r="E20284" i="1"/>
  <c r="D20284" i="1"/>
  <c r="C20284" i="1"/>
  <c r="B20284" i="1"/>
  <c r="A20284" i="1"/>
  <c r="F20283" i="1"/>
  <c r="E20283" i="1"/>
  <c r="D20283" i="1"/>
  <c r="C20283" i="1"/>
  <c r="B20283" i="1"/>
  <c r="A20283" i="1"/>
  <c r="F20282" i="1"/>
  <c r="E20282" i="1"/>
  <c r="D20282" i="1"/>
  <c r="C20282" i="1"/>
  <c r="B20282" i="1"/>
  <c r="A20282" i="1"/>
  <c r="F20281" i="1"/>
  <c r="E20281" i="1"/>
  <c r="D20281" i="1"/>
  <c r="C20281" i="1"/>
  <c r="B20281" i="1"/>
  <c r="A20281" i="1"/>
  <c r="F20280" i="1"/>
  <c r="E20280" i="1"/>
  <c r="D20280" i="1"/>
  <c r="C20280" i="1"/>
  <c r="B20280" i="1"/>
  <c r="A20280" i="1"/>
  <c r="F20279" i="1"/>
  <c r="E20279" i="1"/>
  <c r="D20279" i="1"/>
  <c r="C20279" i="1"/>
  <c r="B20279" i="1"/>
  <c r="A20279" i="1"/>
  <c r="F20278" i="1"/>
  <c r="E20278" i="1"/>
  <c r="D20278" i="1"/>
  <c r="C20278" i="1"/>
  <c r="B20278" i="1"/>
  <c r="A20278" i="1"/>
  <c r="F20277" i="1"/>
  <c r="E20277" i="1"/>
  <c r="D20277" i="1"/>
  <c r="C20277" i="1"/>
  <c r="B20277" i="1"/>
  <c r="A20277" i="1"/>
  <c r="F20276" i="1"/>
  <c r="E20276" i="1"/>
  <c r="D20276" i="1"/>
  <c r="C20276" i="1"/>
  <c r="B20276" i="1"/>
  <c r="A20276" i="1"/>
  <c r="F20275" i="1"/>
  <c r="E20275" i="1"/>
  <c r="D20275" i="1"/>
  <c r="C20275" i="1"/>
  <c r="B20275" i="1"/>
  <c r="A20275" i="1"/>
  <c r="F20274" i="1"/>
  <c r="E20274" i="1"/>
  <c r="D20274" i="1"/>
  <c r="C20274" i="1"/>
  <c r="B20274" i="1"/>
  <c r="A20274" i="1"/>
  <c r="F20273" i="1"/>
  <c r="E20273" i="1"/>
  <c r="D20273" i="1"/>
  <c r="C20273" i="1"/>
  <c r="B20273" i="1"/>
  <c r="A20273" i="1"/>
  <c r="F20272" i="1"/>
  <c r="E20272" i="1"/>
  <c r="D20272" i="1"/>
  <c r="C20272" i="1"/>
  <c r="B20272" i="1"/>
  <c r="A20272" i="1"/>
  <c r="F20271" i="1"/>
  <c r="E20271" i="1"/>
  <c r="D20271" i="1"/>
  <c r="C20271" i="1"/>
  <c r="B20271" i="1"/>
  <c r="A20271" i="1"/>
  <c r="F20270" i="1"/>
  <c r="E20270" i="1"/>
  <c r="D20270" i="1"/>
  <c r="C20270" i="1"/>
  <c r="B20270" i="1"/>
  <c r="A20270" i="1"/>
  <c r="F20269" i="1"/>
  <c r="E20269" i="1"/>
  <c r="D20269" i="1"/>
  <c r="C20269" i="1"/>
  <c r="B20269" i="1"/>
  <c r="A20269" i="1"/>
  <c r="F20268" i="1"/>
  <c r="E20268" i="1"/>
  <c r="D20268" i="1"/>
  <c r="C20268" i="1"/>
  <c r="B20268" i="1"/>
  <c r="A20268" i="1"/>
  <c r="F20267" i="1"/>
  <c r="E20267" i="1"/>
  <c r="D20267" i="1"/>
  <c r="C20267" i="1"/>
  <c r="B20267" i="1"/>
  <c r="A20267" i="1"/>
  <c r="F20266" i="1"/>
  <c r="E20266" i="1"/>
  <c r="D20266" i="1"/>
  <c r="C20266" i="1"/>
  <c r="B20266" i="1"/>
  <c r="A20266" i="1"/>
  <c r="F20265" i="1"/>
  <c r="E20265" i="1"/>
  <c r="D20265" i="1"/>
  <c r="C20265" i="1"/>
  <c r="B20265" i="1"/>
  <c r="A20265" i="1"/>
  <c r="F20264" i="1"/>
  <c r="E20264" i="1"/>
  <c r="D20264" i="1"/>
  <c r="C20264" i="1"/>
  <c r="B20264" i="1"/>
  <c r="A20264" i="1"/>
  <c r="F20263" i="1"/>
  <c r="E20263" i="1"/>
  <c r="D20263" i="1"/>
  <c r="C20263" i="1"/>
  <c r="B20263" i="1"/>
  <c r="A20263" i="1"/>
  <c r="F20262" i="1"/>
  <c r="E20262" i="1"/>
  <c r="D20262" i="1"/>
  <c r="C20262" i="1"/>
  <c r="B20262" i="1"/>
  <c r="A20262" i="1"/>
  <c r="F20261" i="1"/>
  <c r="E20261" i="1"/>
  <c r="D20261" i="1"/>
  <c r="C20261" i="1"/>
  <c r="B20261" i="1"/>
  <c r="A20261" i="1"/>
  <c r="F20260" i="1"/>
  <c r="E20260" i="1"/>
  <c r="D20260" i="1"/>
  <c r="C20260" i="1"/>
  <c r="B20260" i="1"/>
  <c r="A20260" i="1"/>
  <c r="F20259" i="1"/>
  <c r="E20259" i="1"/>
  <c r="D20259" i="1"/>
  <c r="C20259" i="1"/>
  <c r="B20259" i="1"/>
  <c r="A20259" i="1"/>
  <c r="F20258" i="1"/>
  <c r="E20258" i="1"/>
  <c r="D20258" i="1"/>
  <c r="C20258" i="1"/>
  <c r="B20258" i="1"/>
  <c r="A20258" i="1"/>
  <c r="F20257" i="1"/>
  <c r="E20257" i="1"/>
  <c r="D20257" i="1"/>
  <c r="C20257" i="1"/>
  <c r="B20257" i="1"/>
  <c r="A20257" i="1"/>
  <c r="F20256" i="1"/>
  <c r="E20256" i="1"/>
  <c r="D20256" i="1"/>
  <c r="C20256" i="1"/>
  <c r="B20256" i="1"/>
  <c r="A20256" i="1"/>
  <c r="F20255" i="1"/>
  <c r="E20255" i="1"/>
  <c r="D20255" i="1"/>
  <c r="C20255" i="1"/>
  <c r="B20255" i="1"/>
  <c r="A20255" i="1"/>
  <c r="F20254" i="1"/>
  <c r="E20254" i="1"/>
  <c r="D20254" i="1"/>
  <c r="C20254" i="1"/>
  <c r="B20254" i="1"/>
  <c r="A20254" i="1"/>
  <c r="F20253" i="1"/>
  <c r="E20253" i="1"/>
  <c r="D20253" i="1"/>
  <c r="C20253" i="1"/>
  <c r="B20253" i="1"/>
  <c r="A20253" i="1"/>
  <c r="F20252" i="1"/>
  <c r="E20252" i="1"/>
  <c r="D20252" i="1"/>
  <c r="C20252" i="1"/>
  <c r="B20252" i="1"/>
  <c r="A20252" i="1"/>
  <c r="F20251" i="1"/>
  <c r="E20251" i="1"/>
  <c r="D20251" i="1"/>
  <c r="C20251" i="1"/>
  <c r="B20251" i="1"/>
  <c r="A20251" i="1"/>
  <c r="F20250" i="1"/>
  <c r="E20250" i="1"/>
  <c r="D20250" i="1"/>
  <c r="C20250" i="1"/>
  <c r="B20250" i="1"/>
  <c r="A20250" i="1"/>
  <c r="F20249" i="1"/>
  <c r="E20249" i="1"/>
  <c r="D20249" i="1"/>
  <c r="C20249" i="1"/>
  <c r="B20249" i="1"/>
  <c r="A20249" i="1"/>
  <c r="F20248" i="1"/>
  <c r="E20248" i="1"/>
  <c r="D20248" i="1"/>
  <c r="C20248" i="1"/>
  <c r="B20248" i="1"/>
  <c r="A20248" i="1"/>
  <c r="F20247" i="1"/>
  <c r="E20247" i="1"/>
  <c r="D20247" i="1"/>
  <c r="C20247" i="1"/>
  <c r="B20247" i="1"/>
  <c r="A20247" i="1"/>
  <c r="F20246" i="1"/>
  <c r="E20246" i="1"/>
  <c r="D20246" i="1"/>
  <c r="C20246" i="1"/>
  <c r="B20246" i="1"/>
  <c r="A20246" i="1"/>
  <c r="F20245" i="1"/>
  <c r="E20245" i="1"/>
  <c r="D20245" i="1"/>
  <c r="C20245" i="1"/>
  <c r="B20245" i="1"/>
  <c r="A20245" i="1"/>
  <c r="F20244" i="1"/>
  <c r="E20244" i="1"/>
  <c r="D20244" i="1"/>
  <c r="C20244" i="1"/>
  <c r="B20244" i="1"/>
  <c r="A20244" i="1"/>
  <c r="F20243" i="1"/>
  <c r="E20243" i="1"/>
  <c r="D20243" i="1"/>
  <c r="C20243" i="1"/>
  <c r="B20243" i="1"/>
  <c r="A20243" i="1"/>
  <c r="F20242" i="1"/>
  <c r="E20242" i="1"/>
  <c r="D20242" i="1"/>
  <c r="C20242" i="1"/>
  <c r="B20242" i="1"/>
  <c r="A20242" i="1"/>
  <c r="F20241" i="1"/>
  <c r="E20241" i="1"/>
  <c r="D20241" i="1"/>
  <c r="C20241" i="1"/>
  <c r="B20241" i="1"/>
  <c r="A20241" i="1"/>
  <c r="F20240" i="1"/>
  <c r="E20240" i="1"/>
  <c r="D20240" i="1"/>
  <c r="C20240" i="1"/>
  <c r="B20240" i="1"/>
  <c r="A20240" i="1"/>
  <c r="F20239" i="1"/>
  <c r="E20239" i="1"/>
  <c r="D20239" i="1"/>
  <c r="C20239" i="1"/>
  <c r="B20239" i="1"/>
  <c r="A20239" i="1"/>
  <c r="F20238" i="1"/>
  <c r="E20238" i="1"/>
  <c r="D20238" i="1"/>
  <c r="C20238" i="1"/>
  <c r="B20238" i="1"/>
  <c r="A20238" i="1"/>
  <c r="F20237" i="1"/>
  <c r="E20237" i="1"/>
  <c r="D20237" i="1"/>
  <c r="C20237" i="1"/>
  <c r="B20237" i="1"/>
  <c r="A20237" i="1"/>
  <c r="F20236" i="1"/>
  <c r="E20236" i="1"/>
  <c r="D20236" i="1"/>
  <c r="C20236" i="1"/>
  <c r="B20236" i="1"/>
  <c r="A20236" i="1"/>
  <c r="F20235" i="1"/>
  <c r="E20235" i="1"/>
  <c r="D20235" i="1"/>
  <c r="C20235" i="1"/>
  <c r="B20235" i="1"/>
  <c r="A20235" i="1"/>
  <c r="F20234" i="1"/>
  <c r="E20234" i="1"/>
  <c r="D20234" i="1"/>
  <c r="C20234" i="1"/>
  <c r="B20234" i="1"/>
  <c r="A20234" i="1"/>
  <c r="F20233" i="1"/>
  <c r="E20233" i="1"/>
  <c r="D20233" i="1"/>
  <c r="C20233" i="1"/>
  <c r="B20233" i="1"/>
  <c r="A20233" i="1"/>
  <c r="F20232" i="1"/>
  <c r="E20232" i="1"/>
  <c r="D20232" i="1"/>
  <c r="C20232" i="1"/>
  <c r="B20232" i="1"/>
  <c r="A20232" i="1"/>
  <c r="F20231" i="1"/>
  <c r="E20231" i="1"/>
  <c r="D20231" i="1"/>
  <c r="C20231" i="1"/>
  <c r="B20231" i="1"/>
  <c r="A20231" i="1"/>
  <c r="F20230" i="1"/>
  <c r="E20230" i="1"/>
  <c r="D20230" i="1"/>
  <c r="C20230" i="1"/>
  <c r="B20230" i="1"/>
  <c r="A20230" i="1"/>
  <c r="F20229" i="1"/>
  <c r="E20229" i="1"/>
  <c r="D20229" i="1"/>
  <c r="C20229" i="1"/>
  <c r="B20229" i="1"/>
  <c r="A20229" i="1"/>
  <c r="F20228" i="1"/>
  <c r="E20228" i="1"/>
  <c r="D20228" i="1"/>
  <c r="C20228" i="1"/>
  <c r="B20228" i="1"/>
  <c r="A20228" i="1"/>
  <c r="F20227" i="1"/>
  <c r="E20227" i="1"/>
  <c r="D20227" i="1"/>
  <c r="C20227" i="1"/>
  <c r="B20227" i="1"/>
  <c r="A20227" i="1"/>
  <c r="F20226" i="1"/>
  <c r="E20226" i="1"/>
  <c r="D20226" i="1"/>
  <c r="C20226" i="1"/>
  <c r="B20226" i="1"/>
  <c r="A20226" i="1"/>
  <c r="F20225" i="1"/>
  <c r="E20225" i="1"/>
  <c r="D20225" i="1"/>
  <c r="C20225" i="1"/>
  <c r="B20225" i="1"/>
  <c r="A20225" i="1"/>
  <c r="F20224" i="1"/>
  <c r="E20224" i="1"/>
  <c r="D20224" i="1"/>
  <c r="C20224" i="1"/>
  <c r="B20224" i="1"/>
  <c r="A20224" i="1"/>
  <c r="F20223" i="1"/>
  <c r="E20223" i="1"/>
  <c r="D20223" i="1"/>
  <c r="C20223" i="1"/>
  <c r="B20223" i="1"/>
  <c r="A20223" i="1"/>
  <c r="F20222" i="1"/>
  <c r="E20222" i="1"/>
  <c r="D20222" i="1"/>
  <c r="C20222" i="1"/>
  <c r="B20222" i="1"/>
  <c r="A20222" i="1"/>
  <c r="F20221" i="1"/>
  <c r="E20221" i="1"/>
  <c r="D20221" i="1"/>
  <c r="C20221" i="1"/>
  <c r="B20221" i="1"/>
  <c r="A20221" i="1"/>
  <c r="F20220" i="1"/>
  <c r="E20220" i="1"/>
  <c r="D20220" i="1"/>
  <c r="C20220" i="1"/>
  <c r="B20220" i="1"/>
  <c r="A20220" i="1"/>
  <c r="F20219" i="1"/>
  <c r="E20219" i="1"/>
  <c r="D20219" i="1"/>
  <c r="C20219" i="1"/>
  <c r="B20219" i="1"/>
  <c r="A20219" i="1"/>
  <c r="F20218" i="1"/>
  <c r="E20218" i="1"/>
  <c r="D20218" i="1"/>
  <c r="C20218" i="1"/>
  <c r="B20218" i="1"/>
  <c r="A20218" i="1"/>
  <c r="F20217" i="1"/>
  <c r="E20217" i="1"/>
  <c r="D20217" i="1"/>
  <c r="C20217" i="1"/>
  <c r="B20217" i="1"/>
  <c r="A20217" i="1"/>
  <c r="F20216" i="1"/>
  <c r="E20216" i="1"/>
  <c r="D20216" i="1"/>
  <c r="C20216" i="1"/>
  <c r="B20216" i="1"/>
  <c r="A20216" i="1"/>
  <c r="F20215" i="1"/>
  <c r="E20215" i="1"/>
  <c r="D20215" i="1"/>
  <c r="C20215" i="1"/>
  <c r="B20215" i="1"/>
  <c r="A20215" i="1"/>
  <c r="F20214" i="1"/>
  <c r="E20214" i="1"/>
  <c r="D20214" i="1"/>
  <c r="C20214" i="1"/>
  <c r="B20214" i="1"/>
  <c r="A20214" i="1"/>
  <c r="F20213" i="1"/>
  <c r="E20213" i="1"/>
  <c r="D20213" i="1"/>
  <c r="C20213" i="1"/>
  <c r="B20213" i="1"/>
  <c r="A20213" i="1"/>
  <c r="F20212" i="1"/>
  <c r="E20212" i="1"/>
  <c r="D20212" i="1"/>
  <c r="C20212" i="1"/>
  <c r="B20212" i="1"/>
  <c r="A20212" i="1"/>
  <c r="F20211" i="1"/>
  <c r="E20211" i="1"/>
  <c r="D20211" i="1"/>
  <c r="C20211" i="1"/>
  <c r="B20211" i="1"/>
  <c r="A20211" i="1"/>
  <c r="F20210" i="1"/>
  <c r="E20210" i="1"/>
  <c r="D20210" i="1"/>
  <c r="C20210" i="1"/>
  <c r="B20210" i="1"/>
  <c r="A20210" i="1"/>
  <c r="F20209" i="1"/>
  <c r="E20209" i="1"/>
  <c r="D20209" i="1"/>
  <c r="C20209" i="1"/>
  <c r="B20209" i="1"/>
  <c r="A20209" i="1"/>
  <c r="F20208" i="1"/>
  <c r="E20208" i="1"/>
  <c r="D20208" i="1"/>
  <c r="C20208" i="1"/>
  <c r="B20208" i="1"/>
  <c r="A20208" i="1"/>
  <c r="F20207" i="1"/>
  <c r="E20207" i="1"/>
  <c r="D20207" i="1"/>
  <c r="C20207" i="1"/>
  <c r="B20207" i="1"/>
  <c r="A20207" i="1"/>
  <c r="F20206" i="1"/>
  <c r="E20206" i="1"/>
  <c r="D20206" i="1"/>
  <c r="C20206" i="1"/>
  <c r="B20206" i="1"/>
  <c r="A20206" i="1"/>
  <c r="F20205" i="1"/>
  <c r="E20205" i="1"/>
  <c r="D20205" i="1"/>
  <c r="C20205" i="1"/>
  <c r="B20205" i="1"/>
  <c r="A20205" i="1"/>
  <c r="F20204" i="1"/>
  <c r="E20204" i="1"/>
  <c r="D20204" i="1"/>
  <c r="C20204" i="1"/>
  <c r="B20204" i="1"/>
  <c r="A20204" i="1"/>
  <c r="F20203" i="1"/>
  <c r="E20203" i="1"/>
  <c r="D20203" i="1"/>
  <c r="C20203" i="1"/>
  <c r="B20203" i="1"/>
  <c r="A20203" i="1"/>
  <c r="F20202" i="1"/>
  <c r="E20202" i="1"/>
  <c r="D20202" i="1"/>
  <c r="C20202" i="1"/>
  <c r="B20202" i="1"/>
  <c r="A20202" i="1"/>
  <c r="F20201" i="1"/>
  <c r="E20201" i="1"/>
  <c r="D20201" i="1"/>
  <c r="C20201" i="1"/>
  <c r="B20201" i="1"/>
  <c r="A20201" i="1"/>
  <c r="F20200" i="1"/>
  <c r="E20200" i="1"/>
  <c r="D20200" i="1"/>
  <c r="C20200" i="1"/>
  <c r="B20200" i="1"/>
  <c r="A20200" i="1"/>
  <c r="F20199" i="1"/>
  <c r="E20199" i="1"/>
  <c r="D20199" i="1"/>
  <c r="C20199" i="1"/>
  <c r="B20199" i="1"/>
  <c r="A20199" i="1"/>
  <c r="F20198" i="1"/>
  <c r="E20198" i="1"/>
  <c r="D20198" i="1"/>
  <c r="C20198" i="1"/>
  <c r="B20198" i="1"/>
  <c r="A20198" i="1"/>
  <c r="F20197" i="1"/>
  <c r="E20197" i="1"/>
  <c r="D20197" i="1"/>
  <c r="C20197" i="1"/>
  <c r="B20197" i="1"/>
  <c r="A20197" i="1"/>
  <c r="F20196" i="1"/>
  <c r="E20196" i="1"/>
  <c r="D20196" i="1"/>
  <c r="C20196" i="1"/>
  <c r="B20196" i="1"/>
  <c r="A20196" i="1"/>
  <c r="F20195" i="1"/>
  <c r="E20195" i="1"/>
  <c r="D20195" i="1"/>
  <c r="C20195" i="1"/>
  <c r="B20195" i="1"/>
  <c r="A20195" i="1"/>
  <c r="F20194" i="1"/>
  <c r="E20194" i="1"/>
  <c r="D20194" i="1"/>
  <c r="C20194" i="1"/>
  <c r="B20194" i="1"/>
  <c r="A20194" i="1"/>
  <c r="F20193" i="1"/>
  <c r="E20193" i="1"/>
  <c r="D20193" i="1"/>
  <c r="C20193" i="1"/>
  <c r="B20193" i="1"/>
  <c r="A20193" i="1"/>
  <c r="F20192" i="1"/>
  <c r="E20192" i="1"/>
  <c r="D20192" i="1"/>
  <c r="C20192" i="1"/>
  <c r="B20192" i="1"/>
  <c r="A20192" i="1"/>
  <c r="F20191" i="1"/>
  <c r="E20191" i="1"/>
  <c r="D20191" i="1"/>
  <c r="C20191" i="1"/>
  <c r="B20191" i="1"/>
  <c r="A20191" i="1"/>
  <c r="F20190" i="1"/>
  <c r="E20190" i="1"/>
  <c r="D20190" i="1"/>
  <c r="C20190" i="1"/>
  <c r="B20190" i="1"/>
  <c r="A20190" i="1"/>
  <c r="F20189" i="1"/>
  <c r="E20189" i="1"/>
  <c r="D20189" i="1"/>
  <c r="C20189" i="1"/>
  <c r="B20189" i="1"/>
  <c r="A20189" i="1"/>
  <c r="F20188" i="1"/>
  <c r="E20188" i="1"/>
  <c r="D20188" i="1"/>
  <c r="C20188" i="1"/>
  <c r="B20188" i="1"/>
  <c r="A20188" i="1"/>
  <c r="F20187" i="1"/>
  <c r="E20187" i="1"/>
  <c r="D20187" i="1"/>
  <c r="C20187" i="1"/>
  <c r="B20187" i="1"/>
  <c r="A20187" i="1"/>
  <c r="F20186" i="1"/>
  <c r="E20186" i="1"/>
  <c r="D20186" i="1"/>
  <c r="C20186" i="1"/>
  <c r="B20186" i="1"/>
  <c r="A20186" i="1"/>
  <c r="F20185" i="1"/>
  <c r="E20185" i="1"/>
  <c r="D20185" i="1"/>
  <c r="C20185" i="1"/>
  <c r="B20185" i="1"/>
  <c r="A20185" i="1"/>
  <c r="F20184" i="1"/>
  <c r="E20184" i="1"/>
  <c r="D20184" i="1"/>
  <c r="C20184" i="1"/>
  <c r="B20184" i="1"/>
  <c r="A20184" i="1"/>
  <c r="F20183" i="1"/>
  <c r="E20183" i="1"/>
  <c r="D20183" i="1"/>
  <c r="C20183" i="1"/>
  <c r="B20183" i="1"/>
  <c r="A20183" i="1"/>
  <c r="F20182" i="1"/>
  <c r="E20182" i="1"/>
  <c r="D20182" i="1"/>
  <c r="C20182" i="1"/>
  <c r="B20182" i="1"/>
  <c r="A20182" i="1"/>
  <c r="F20181" i="1"/>
  <c r="E20181" i="1"/>
  <c r="D20181" i="1"/>
  <c r="C20181" i="1"/>
  <c r="B20181" i="1"/>
  <c r="A20181" i="1"/>
  <c r="F20180" i="1"/>
  <c r="E20180" i="1"/>
  <c r="D20180" i="1"/>
  <c r="C20180" i="1"/>
  <c r="B20180" i="1"/>
  <c r="A20180" i="1"/>
  <c r="F20179" i="1"/>
  <c r="E20179" i="1"/>
  <c r="D20179" i="1"/>
  <c r="C20179" i="1"/>
  <c r="B20179" i="1"/>
  <c r="A20179" i="1"/>
  <c r="F20178" i="1"/>
  <c r="E20178" i="1"/>
  <c r="D20178" i="1"/>
  <c r="C20178" i="1"/>
  <c r="B20178" i="1"/>
  <c r="A20178" i="1"/>
  <c r="F20177" i="1"/>
  <c r="E20177" i="1"/>
  <c r="D20177" i="1"/>
  <c r="C20177" i="1"/>
  <c r="B20177" i="1"/>
  <c r="A20177" i="1"/>
  <c r="F20176" i="1"/>
  <c r="E20176" i="1"/>
  <c r="D20176" i="1"/>
  <c r="C20176" i="1"/>
  <c r="B20176" i="1"/>
  <c r="A20176" i="1"/>
  <c r="F20175" i="1"/>
  <c r="E20175" i="1"/>
  <c r="D20175" i="1"/>
  <c r="C20175" i="1"/>
  <c r="B20175" i="1"/>
  <c r="A20175" i="1"/>
  <c r="F20174" i="1"/>
  <c r="E20174" i="1"/>
  <c r="D20174" i="1"/>
  <c r="C20174" i="1"/>
  <c r="B20174" i="1"/>
  <c r="A20174" i="1"/>
  <c r="F20173" i="1"/>
  <c r="E20173" i="1"/>
  <c r="D20173" i="1"/>
  <c r="C20173" i="1"/>
  <c r="B20173" i="1"/>
  <c r="A20173" i="1"/>
  <c r="F20172" i="1"/>
  <c r="E20172" i="1"/>
  <c r="D20172" i="1"/>
  <c r="C20172" i="1"/>
  <c r="B20172" i="1"/>
  <c r="A20172" i="1"/>
  <c r="F20171" i="1"/>
  <c r="E20171" i="1"/>
  <c r="D20171" i="1"/>
  <c r="C20171" i="1"/>
  <c r="B20171" i="1"/>
  <c r="A20171" i="1"/>
  <c r="F20170" i="1"/>
  <c r="E20170" i="1"/>
  <c r="D20170" i="1"/>
  <c r="C20170" i="1"/>
  <c r="B20170" i="1"/>
  <c r="A20170" i="1"/>
  <c r="F20169" i="1"/>
  <c r="E20169" i="1"/>
  <c r="D20169" i="1"/>
  <c r="C20169" i="1"/>
  <c r="B20169" i="1"/>
  <c r="A20169" i="1"/>
  <c r="F20168" i="1"/>
  <c r="E20168" i="1"/>
  <c r="D20168" i="1"/>
  <c r="C20168" i="1"/>
  <c r="B20168" i="1"/>
  <c r="A20168" i="1"/>
  <c r="F20167" i="1"/>
  <c r="E20167" i="1"/>
  <c r="D20167" i="1"/>
  <c r="C20167" i="1"/>
  <c r="B20167" i="1"/>
  <c r="A20167" i="1"/>
  <c r="F20166" i="1"/>
  <c r="E20166" i="1"/>
  <c r="D20166" i="1"/>
  <c r="C20166" i="1"/>
  <c r="B20166" i="1"/>
  <c r="A20166" i="1"/>
  <c r="F20165" i="1"/>
  <c r="E20165" i="1"/>
  <c r="D20165" i="1"/>
  <c r="C20165" i="1"/>
  <c r="B20165" i="1"/>
  <c r="A20165" i="1"/>
  <c r="F20164" i="1"/>
  <c r="E20164" i="1"/>
  <c r="D20164" i="1"/>
  <c r="C20164" i="1"/>
  <c r="B20164" i="1"/>
  <c r="A20164" i="1"/>
  <c r="F20163" i="1"/>
  <c r="E20163" i="1"/>
  <c r="D20163" i="1"/>
  <c r="C20163" i="1"/>
  <c r="B20163" i="1"/>
  <c r="A20163" i="1"/>
  <c r="F20162" i="1"/>
  <c r="E20162" i="1"/>
  <c r="D20162" i="1"/>
  <c r="C20162" i="1"/>
  <c r="B20162" i="1"/>
  <c r="A20162" i="1"/>
  <c r="F20161" i="1"/>
  <c r="E20161" i="1"/>
  <c r="D20161" i="1"/>
  <c r="C20161" i="1"/>
  <c r="B20161" i="1"/>
  <c r="A20161" i="1"/>
  <c r="F20160" i="1"/>
  <c r="E20160" i="1"/>
  <c r="D20160" i="1"/>
  <c r="C20160" i="1"/>
  <c r="B20160" i="1"/>
  <c r="A20160" i="1"/>
  <c r="F20159" i="1"/>
  <c r="E20159" i="1"/>
  <c r="D20159" i="1"/>
  <c r="C20159" i="1"/>
  <c r="B20159" i="1"/>
  <c r="A20159" i="1"/>
  <c r="F20158" i="1"/>
  <c r="E20158" i="1"/>
  <c r="D20158" i="1"/>
  <c r="C20158" i="1"/>
  <c r="B20158" i="1"/>
  <c r="A20158" i="1"/>
  <c r="F20157" i="1"/>
  <c r="E20157" i="1"/>
  <c r="D20157" i="1"/>
  <c r="C20157" i="1"/>
  <c r="B20157" i="1"/>
  <c r="A20157" i="1"/>
  <c r="F20156" i="1"/>
  <c r="E20156" i="1"/>
  <c r="D20156" i="1"/>
  <c r="C20156" i="1"/>
  <c r="B20156" i="1"/>
  <c r="A20156" i="1"/>
  <c r="F20155" i="1"/>
  <c r="E20155" i="1"/>
  <c r="D20155" i="1"/>
  <c r="C20155" i="1"/>
  <c r="B20155" i="1"/>
  <c r="A20155" i="1"/>
  <c r="F20154" i="1"/>
  <c r="E20154" i="1"/>
  <c r="D20154" i="1"/>
  <c r="C20154" i="1"/>
  <c r="B20154" i="1"/>
  <c r="A20154" i="1"/>
  <c r="F20153" i="1"/>
  <c r="E20153" i="1"/>
  <c r="D20153" i="1"/>
  <c r="C20153" i="1"/>
  <c r="B20153" i="1"/>
  <c r="A20153" i="1"/>
  <c r="F20152" i="1"/>
  <c r="E20152" i="1"/>
  <c r="D20152" i="1"/>
  <c r="C20152" i="1"/>
  <c r="B20152" i="1"/>
  <c r="A20152" i="1"/>
  <c r="F20151" i="1"/>
  <c r="E20151" i="1"/>
  <c r="D20151" i="1"/>
  <c r="C20151" i="1"/>
  <c r="B20151" i="1"/>
  <c r="A20151" i="1"/>
  <c r="F20150" i="1"/>
  <c r="E20150" i="1"/>
  <c r="D20150" i="1"/>
  <c r="C20150" i="1"/>
  <c r="B20150" i="1"/>
  <c r="A20150" i="1"/>
  <c r="F20149" i="1"/>
  <c r="E20149" i="1"/>
  <c r="D20149" i="1"/>
  <c r="C20149" i="1"/>
  <c r="B20149" i="1"/>
  <c r="A20149" i="1"/>
  <c r="F20148" i="1"/>
  <c r="E20148" i="1"/>
  <c r="D20148" i="1"/>
  <c r="C20148" i="1"/>
  <c r="B20148" i="1"/>
  <c r="A20148" i="1"/>
  <c r="F20147" i="1"/>
  <c r="E20147" i="1"/>
  <c r="D20147" i="1"/>
  <c r="C20147" i="1"/>
  <c r="B20147" i="1"/>
  <c r="A20147" i="1"/>
  <c r="F20146" i="1"/>
  <c r="E20146" i="1"/>
  <c r="D20146" i="1"/>
  <c r="C20146" i="1"/>
  <c r="B20146" i="1"/>
  <c r="A20146" i="1"/>
  <c r="F20145" i="1"/>
  <c r="E20145" i="1"/>
  <c r="D20145" i="1"/>
  <c r="C20145" i="1"/>
  <c r="B20145" i="1"/>
  <c r="A20145" i="1"/>
  <c r="F20144" i="1"/>
  <c r="E20144" i="1"/>
  <c r="D20144" i="1"/>
  <c r="C20144" i="1"/>
  <c r="B20144" i="1"/>
  <c r="A20144" i="1"/>
  <c r="F20143" i="1"/>
  <c r="E20143" i="1"/>
  <c r="D20143" i="1"/>
  <c r="C20143" i="1"/>
  <c r="B20143" i="1"/>
  <c r="A20143" i="1"/>
  <c r="F20142" i="1"/>
  <c r="E20142" i="1"/>
  <c r="D20142" i="1"/>
  <c r="C20142" i="1"/>
  <c r="B20142" i="1"/>
  <c r="A20142" i="1"/>
  <c r="F20141" i="1"/>
  <c r="E20141" i="1"/>
  <c r="D20141" i="1"/>
  <c r="C20141" i="1"/>
  <c r="B20141" i="1"/>
  <c r="A20141" i="1"/>
  <c r="F20140" i="1"/>
  <c r="E20140" i="1"/>
  <c r="D20140" i="1"/>
  <c r="C20140" i="1"/>
  <c r="B20140" i="1"/>
  <c r="A20140" i="1"/>
  <c r="F20139" i="1"/>
  <c r="E20139" i="1"/>
  <c r="D20139" i="1"/>
  <c r="C20139" i="1"/>
  <c r="B20139" i="1"/>
  <c r="A20139" i="1"/>
  <c r="F20138" i="1"/>
  <c r="E20138" i="1"/>
  <c r="D20138" i="1"/>
  <c r="C20138" i="1"/>
  <c r="B20138" i="1"/>
  <c r="A20138" i="1"/>
  <c r="F20137" i="1"/>
  <c r="E20137" i="1"/>
  <c r="D20137" i="1"/>
  <c r="C20137" i="1"/>
  <c r="B20137" i="1"/>
  <c r="A20137" i="1"/>
  <c r="F20136" i="1"/>
  <c r="E20136" i="1"/>
  <c r="D20136" i="1"/>
  <c r="C20136" i="1"/>
  <c r="B20136" i="1"/>
  <c r="A20136" i="1"/>
  <c r="F20135" i="1"/>
  <c r="E20135" i="1"/>
  <c r="D20135" i="1"/>
  <c r="C20135" i="1"/>
  <c r="B20135" i="1"/>
  <c r="A20135" i="1"/>
  <c r="F20134" i="1"/>
  <c r="E20134" i="1"/>
  <c r="D20134" i="1"/>
  <c r="C20134" i="1"/>
  <c r="B20134" i="1"/>
  <c r="A20134" i="1"/>
  <c r="F20133" i="1"/>
  <c r="E20133" i="1"/>
  <c r="D20133" i="1"/>
  <c r="C20133" i="1"/>
  <c r="B20133" i="1"/>
  <c r="A20133" i="1"/>
  <c r="F20132" i="1"/>
  <c r="E20132" i="1"/>
  <c r="D20132" i="1"/>
  <c r="C20132" i="1"/>
  <c r="B20132" i="1"/>
  <c r="A20132" i="1"/>
  <c r="F20131" i="1"/>
  <c r="E20131" i="1"/>
  <c r="D20131" i="1"/>
  <c r="C20131" i="1"/>
  <c r="B20131" i="1"/>
  <c r="A20131" i="1"/>
  <c r="F20130" i="1"/>
  <c r="E20130" i="1"/>
  <c r="D20130" i="1"/>
  <c r="C20130" i="1"/>
  <c r="B20130" i="1"/>
  <c r="A20130" i="1"/>
  <c r="F20129" i="1"/>
  <c r="E20129" i="1"/>
  <c r="D20129" i="1"/>
  <c r="C20129" i="1"/>
  <c r="B20129" i="1"/>
  <c r="A20129" i="1"/>
  <c r="F20128" i="1"/>
  <c r="E20128" i="1"/>
  <c r="D20128" i="1"/>
  <c r="C20128" i="1"/>
  <c r="B20128" i="1"/>
  <c r="A20128" i="1"/>
  <c r="F20127" i="1"/>
  <c r="E20127" i="1"/>
  <c r="D20127" i="1"/>
  <c r="C20127" i="1"/>
  <c r="B20127" i="1"/>
  <c r="A20127" i="1"/>
  <c r="F20126" i="1"/>
  <c r="E20126" i="1"/>
  <c r="D20126" i="1"/>
  <c r="C20126" i="1"/>
  <c r="B20126" i="1"/>
  <c r="A20126" i="1"/>
  <c r="F20125" i="1"/>
  <c r="E20125" i="1"/>
  <c r="D20125" i="1"/>
  <c r="C20125" i="1"/>
  <c r="B20125" i="1"/>
  <c r="A20125" i="1"/>
  <c r="F20124" i="1"/>
  <c r="E20124" i="1"/>
  <c r="D20124" i="1"/>
  <c r="C20124" i="1"/>
  <c r="B20124" i="1"/>
  <c r="A20124" i="1"/>
  <c r="F20123" i="1"/>
  <c r="E20123" i="1"/>
  <c r="D20123" i="1"/>
  <c r="C20123" i="1"/>
  <c r="B20123" i="1"/>
  <c r="A20123" i="1"/>
  <c r="F20122" i="1"/>
  <c r="E20122" i="1"/>
  <c r="D20122" i="1"/>
  <c r="C20122" i="1"/>
  <c r="B20122" i="1"/>
  <c r="A20122" i="1"/>
  <c r="F20121" i="1"/>
  <c r="E20121" i="1"/>
  <c r="D20121" i="1"/>
  <c r="C20121" i="1"/>
  <c r="B20121" i="1"/>
  <c r="A20121" i="1"/>
  <c r="F20120" i="1"/>
  <c r="E20120" i="1"/>
  <c r="D20120" i="1"/>
  <c r="C20120" i="1"/>
  <c r="B20120" i="1"/>
  <c r="A20120" i="1"/>
  <c r="F20119" i="1"/>
  <c r="E20119" i="1"/>
  <c r="D20119" i="1"/>
  <c r="C20119" i="1"/>
  <c r="B20119" i="1"/>
  <c r="A20119" i="1"/>
  <c r="F20118" i="1"/>
  <c r="E20118" i="1"/>
  <c r="D20118" i="1"/>
  <c r="C20118" i="1"/>
  <c r="B20118" i="1"/>
  <c r="A20118" i="1"/>
  <c r="F20117" i="1"/>
  <c r="E20117" i="1"/>
  <c r="D20117" i="1"/>
  <c r="C20117" i="1"/>
  <c r="B20117" i="1"/>
  <c r="A20117" i="1"/>
  <c r="F20116" i="1"/>
  <c r="E20116" i="1"/>
  <c r="D20116" i="1"/>
  <c r="C20116" i="1"/>
  <c r="B20116" i="1"/>
  <c r="A20116" i="1"/>
  <c r="F20115" i="1"/>
  <c r="E20115" i="1"/>
  <c r="D20115" i="1"/>
  <c r="C20115" i="1"/>
  <c r="B20115" i="1"/>
  <c r="A20115" i="1"/>
  <c r="F20114" i="1"/>
  <c r="E20114" i="1"/>
  <c r="D20114" i="1"/>
  <c r="C20114" i="1"/>
  <c r="B20114" i="1"/>
  <c r="A20114" i="1"/>
  <c r="F20113" i="1"/>
  <c r="E20113" i="1"/>
  <c r="D20113" i="1"/>
  <c r="C20113" i="1"/>
  <c r="B20113" i="1"/>
  <c r="A20113" i="1"/>
  <c r="F20112" i="1"/>
  <c r="E20112" i="1"/>
  <c r="D20112" i="1"/>
  <c r="C20112" i="1"/>
  <c r="B20112" i="1"/>
  <c r="A20112" i="1"/>
  <c r="F20111" i="1"/>
  <c r="E20111" i="1"/>
  <c r="D20111" i="1"/>
  <c r="C20111" i="1"/>
  <c r="B20111" i="1"/>
  <c r="A20111" i="1"/>
  <c r="F20110" i="1"/>
  <c r="E20110" i="1"/>
  <c r="D20110" i="1"/>
  <c r="C20110" i="1"/>
  <c r="B20110" i="1"/>
  <c r="A20110" i="1"/>
  <c r="F20109" i="1"/>
  <c r="E20109" i="1"/>
  <c r="D20109" i="1"/>
  <c r="C20109" i="1"/>
  <c r="B20109" i="1"/>
  <c r="A20109" i="1"/>
  <c r="F20108" i="1"/>
  <c r="E20108" i="1"/>
  <c r="D20108" i="1"/>
  <c r="C20108" i="1"/>
  <c r="B20108" i="1"/>
  <c r="A20108" i="1"/>
  <c r="F20107" i="1"/>
  <c r="E20107" i="1"/>
  <c r="D20107" i="1"/>
  <c r="C20107" i="1"/>
  <c r="B20107" i="1"/>
  <c r="A20107" i="1"/>
  <c r="F20106" i="1"/>
  <c r="E20106" i="1"/>
  <c r="D20106" i="1"/>
  <c r="C20106" i="1"/>
  <c r="B20106" i="1"/>
  <c r="A20106" i="1"/>
  <c r="F20105" i="1"/>
  <c r="E20105" i="1"/>
  <c r="D20105" i="1"/>
  <c r="C20105" i="1"/>
  <c r="B20105" i="1"/>
  <c r="A20105" i="1"/>
  <c r="F20104" i="1"/>
  <c r="E20104" i="1"/>
  <c r="D20104" i="1"/>
  <c r="C20104" i="1"/>
  <c r="B20104" i="1"/>
  <c r="A20104" i="1"/>
  <c r="F20103" i="1"/>
  <c r="E20103" i="1"/>
  <c r="D20103" i="1"/>
  <c r="C20103" i="1"/>
  <c r="B20103" i="1"/>
  <c r="A20103" i="1"/>
  <c r="F20102" i="1"/>
  <c r="E20102" i="1"/>
  <c r="D20102" i="1"/>
  <c r="C20102" i="1"/>
  <c r="B20102" i="1"/>
  <c r="A20102" i="1"/>
  <c r="F20101" i="1"/>
  <c r="E20101" i="1"/>
  <c r="D20101" i="1"/>
  <c r="C20101" i="1"/>
  <c r="B20101" i="1"/>
  <c r="A20101" i="1"/>
  <c r="F20100" i="1"/>
  <c r="E20100" i="1"/>
  <c r="D20100" i="1"/>
  <c r="C20100" i="1"/>
  <c r="B20100" i="1"/>
  <c r="A20100" i="1"/>
  <c r="F20099" i="1"/>
  <c r="E20099" i="1"/>
  <c r="D20099" i="1"/>
  <c r="C20099" i="1"/>
  <c r="B20099" i="1"/>
  <c r="A20099" i="1"/>
  <c r="F20098" i="1"/>
  <c r="E20098" i="1"/>
  <c r="D20098" i="1"/>
  <c r="C20098" i="1"/>
  <c r="B20098" i="1"/>
  <c r="A20098" i="1"/>
  <c r="F20097" i="1"/>
  <c r="E20097" i="1"/>
  <c r="D20097" i="1"/>
  <c r="C20097" i="1"/>
  <c r="B20097" i="1"/>
  <c r="A20097" i="1"/>
  <c r="F20096" i="1"/>
  <c r="E20096" i="1"/>
  <c r="D20096" i="1"/>
  <c r="C20096" i="1"/>
  <c r="B20096" i="1"/>
  <c r="A20096" i="1"/>
  <c r="F20095" i="1"/>
  <c r="E20095" i="1"/>
  <c r="D20095" i="1"/>
  <c r="C20095" i="1"/>
  <c r="B20095" i="1"/>
  <c r="A20095" i="1"/>
  <c r="F20094" i="1"/>
  <c r="E20094" i="1"/>
  <c r="D20094" i="1"/>
  <c r="C20094" i="1"/>
  <c r="B20094" i="1"/>
  <c r="A20094" i="1"/>
  <c r="F20093" i="1"/>
  <c r="E20093" i="1"/>
  <c r="D20093" i="1"/>
  <c r="C20093" i="1"/>
  <c r="B20093" i="1"/>
  <c r="A20093" i="1"/>
  <c r="F20092" i="1"/>
  <c r="E20092" i="1"/>
  <c r="D20092" i="1"/>
  <c r="C20092" i="1"/>
  <c r="B20092" i="1"/>
  <c r="A20092" i="1"/>
  <c r="F20091" i="1"/>
  <c r="E20091" i="1"/>
  <c r="D20091" i="1"/>
  <c r="C20091" i="1"/>
  <c r="B20091" i="1"/>
  <c r="A20091" i="1"/>
  <c r="F20090" i="1"/>
  <c r="E20090" i="1"/>
  <c r="D20090" i="1"/>
  <c r="C20090" i="1"/>
  <c r="B20090" i="1"/>
  <c r="A20090" i="1"/>
  <c r="F20089" i="1"/>
  <c r="E20089" i="1"/>
  <c r="D20089" i="1"/>
  <c r="C20089" i="1"/>
  <c r="B20089" i="1"/>
  <c r="A20089" i="1"/>
  <c r="F20088" i="1"/>
  <c r="E20088" i="1"/>
  <c r="D20088" i="1"/>
  <c r="C20088" i="1"/>
  <c r="B20088" i="1"/>
  <c r="A20088" i="1"/>
  <c r="F20087" i="1"/>
  <c r="E20087" i="1"/>
  <c r="D20087" i="1"/>
  <c r="C20087" i="1"/>
  <c r="B20087" i="1"/>
  <c r="A20087" i="1"/>
  <c r="F20086" i="1"/>
  <c r="E20086" i="1"/>
  <c r="D20086" i="1"/>
  <c r="C20086" i="1"/>
  <c r="B20086" i="1"/>
  <c r="A20086" i="1"/>
  <c r="F20085" i="1"/>
  <c r="E20085" i="1"/>
  <c r="D20085" i="1"/>
  <c r="C20085" i="1"/>
  <c r="B20085" i="1"/>
  <c r="A20085" i="1"/>
  <c r="F20084" i="1"/>
  <c r="E20084" i="1"/>
  <c r="D20084" i="1"/>
  <c r="C20084" i="1"/>
  <c r="B20084" i="1"/>
  <c r="A20084" i="1"/>
  <c r="F20083" i="1"/>
  <c r="E20083" i="1"/>
  <c r="D20083" i="1"/>
  <c r="C20083" i="1"/>
  <c r="B20083" i="1"/>
  <c r="A20083" i="1"/>
  <c r="F20082" i="1"/>
  <c r="E20082" i="1"/>
  <c r="D20082" i="1"/>
  <c r="C20082" i="1"/>
  <c r="B20082" i="1"/>
  <c r="A20082" i="1"/>
  <c r="F20081" i="1"/>
  <c r="E20081" i="1"/>
  <c r="D20081" i="1"/>
  <c r="C20081" i="1"/>
  <c r="B20081" i="1"/>
  <c r="A20081" i="1"/>
  <c r="F20080" i="1"/>
  <c r="E20080" i="1"/>
  <c r="D20080" i="1"/>
  <c r="C20080" i="1"/>
  <c r="B20080" i="1"/>
  <c r="A20080" i="1"/>
  <c r="F20079" i="1"/>
  <c r="E20079" i="1"/>
  <c r="D20079" i="1"/>
  <c r="C20079" i="1"/>
  <c r="B20079" i="1"/>
  <c r="A20079" i="1"/>
  <c r="F20078" i="1"/>
  <c r="E20078" i="1"/>
  <c r="D20078" i="1"/>
  <c r="C20078" i="1"/>
  <c r="B20078" i="1"/>
  <c r="A20078" i="1"/>
  <c r="F20077" i="1"/>
  <c r="E20077" i="1"/>
  <c r="D20077" i="1"/>
  <c r="C20077" i="1"/>
  <c r="B20077" i="1"/>
  <c r="A20077" i="1"/>
  <c r="F20076" i="1"/>
  <c r="E20076" i="1"/>
  <c r="D20076" i="1"/>
  <c r="C20076" i="1"/>
  <c r="B20076" i="1"/>
  <c r="A20076" i="1"/>
  <c r="F20075" i="1"/>
  <c r="E20075" i="1"/>
  <c r="D20075" i="1"/>
  <c r="C20075" i="1"/>
  <c r="B20075" i="1"/>
  <c r="A20075" i="1"/>
  <c r="F20074" i="1"/>
  <c r="E20074" i="1"/>
  <c r="D20074" i="1"/>
  <c r="C20074" i="1"/>
  <c r="B20074" i="1"/>
  <c r="A20074" i="1"/>
  <c r="F20073" i="1"/>
  <c r="E20073" i="1"/>
  <c r="D20073" i="1"/>
  <c r="C20073" i="1"/>
  <c r="B20073" i="1"/>
  <c r="A20073" i="1"/>
  <c r="F20072" i="1"/>
  <c r="E20072" i="1"/>
  <c r="D20072" i="1"/>
  <c r="C20072" i="1"/>
  <c r="B20072" i="1"/>
  <c r="A20072" i="1"/>
  <c r="F20071" i="1"/>
  <c r="E20071" i="1"/>
  <c r="D20071" i="1"/>
  <c r="C20071" i="1"/>
  <c r="B20071" i="1"/>
  <c r="A20071" i="1"/>
  <c r="F20070" i="1"/>
  <c r="E20070" i="1"/>
  <c r="D20070" i="1"/>
  <c r="C20070" i="1"/>
  <c r="B20070" i="1"/>
  <c r="A20070" i="1"/>
  <c r="F20069" i="1"/>
  <c r="E20069" i="1"/>
  <c r="D20069" i="1"/>
  <c r="C20069" i="1"/>
  <c r="B20069" i="1"/>
  <c r="A20069" i="1"/>
  <c r="F20068" i="1"/>
  <c r="E20068" i="1"/>
  <c r="D20068" i="1"/>
  <c r="C20068" i="1"/>
  <c r="B20068" i="1"/>
  <c r="A20068" i="1"/>
  <c r="F20067" i="1"/>
  <c r="E20067" i="1"/>
  <c r="D20067" i="1"/>
  <c r="C20067" i="1"/>
  <c r="B20067" i="1"/>
  <c r="A20067" i="1"/>
  <c r="F20066" i="1"/>
  <c r="E20066" i="1"/>
  <c r="D20066" i="1"/>
  <c r="C20066" i="1"/>
  <c r="B20066" i="1"/>
  <c r="A20066" i="1"/>
  <c r="F20065" i="1"/>
  <c r="E20065" i="1"/>
  <c r="D20065" i="1"/>
  <c r="C20065" i="1"/>
  <c r="B20065" i="1"/>
  <c r="A20065" i="1"/>
  <c r="F20064" i="1"/>
  <c r="E20064" i="1"/>
  <c r="D20064" i="1"/>
  <c r="C20064" i="1"/>
  <c r="B20064" i="1"/>
  <c r="A20064" i="1"/>
  <c r="F20063" i="1"/>
  <c r="E20063" i="1"/>
  <c r="D20063" i="1"/>
  <c r="C20063" i="1"/>
  <c r="B20063" i="1"/>
  <c r="A20063" i="1"/>
  <c r="F20062" i="1"/>
  <c r="E20062" i="1"/>
  <c r="D20062" i="1"/>
  <c r="C20062" i="1"/>
  <c r="B20062" i="1"/>
  <c r="A20062" i="1"/>
  <c r="F20061" i="1"/>
  <c r="E20061" i="1"/>
  <c r="D20061" i="1"/>
  <c r="C20061" i="1"/>
  <c r="B20061" i="1"/>
  <c r="A20061" i="1"/>
  <c r="F20060" i="1"/>
  <c r="E20060" i="1"/>
  <c r="D20060" i="1"/>
  <c r="C20060" i="1"/>
  <c r="B20060" i="1"/>
  <c r="A20060" i="1"/>
  <c r="F20059" i="1"/>
  <c r="E20059" i="1"/>
  <c r="D20059" i="1"/>
  <c r="C20059" i="1"/>
  <c r="B20059" i="1"/>
  <c r="A20059" i="1"/>
  <c r="F20058" i="1"/>
  <c r="E20058" i="1"/>
  <c r="D20058" i="1"/>
  <c r="C20058" i="1"/>
  <c r="B20058" i="1"/>
  <c r="A20058" i="1"/>
  <c r="F20057" i="1"/>
  <c r="E20057" i="1"/>
  <c r="D20057" i="1"/>
  <c r="C20057" i="1"/>
  <c r="B20057" i="1"/>
  <c r="A20057" i="1"/>
  <c r="F20056" i="1"/>
  <c r="E20056" i="1"/>
  <c r="D20056" i="1"/>
  <c r="C20056" i="1"/>
  <c r="B20056" i="1"/>
  <c r="A20056" i="1"/>
  <c r="F20055" i="1"/>
  <c r="E20055" i="1"/>
  <c r="D20055" i="1"/>
  <c r="C20055" i="1"/>
  <c r="B20055" i="1"/>
  <c r="A20055" i="1"/>
  <c r="F20054" i="1"/>
  <c r="E20054" i="1"/>
  <c r="D20054" i="1"/>
  <c r="C20054" i="1"/>
  <c r="B20054" i="1"/>
  <c r="A20054" i="1"/>
  <c r="F20053" i="1"/>
  <c r="E20053" i="1"/>
  <c r="D20053" i="1"/>
  <c r="C20053" i="1"/>
  <c r="B20053" i="1"/>
  <c r="A20053" i="1"/>
  <c r="F20052" i="1"/>
  <c r="E20052" i="1"/>
  <c r="D20052" i="1"/>
  <c r="C20052" i="1"/>
  <c r="B20052" i="1"/>
  <c r="A20052" i="1"/>
  <c r="F20051" i="1"/>
  <c r="E20051" i="1"/>
  <c r="D20051" i="1"/>
  <c r="C20051" i="1"/>
  <c r="B20051" i="1"/>
  <c r="A20051" i="1"/>
  <c r="F20050" i="1"/>
  <c r="E20050" i="1"/>
  <c r="D20050" i="1"/>
  <c r="C20050" i="1"/>
  <c r="B20050" i="1"/>
  <c r="A20050" i="1"/>
  <c r="F20049" i="1"/>
  <c r="E20049" i="1"/>
  <c r="D20049" i="1"/>
  <c r="C20049" i="1"/>
  <c r="B20049" i="1"/>
  <c r="A20049" i="1"/>
  <c r="F20048" i="1"/>
  <c r="E20048" i="1"/>
  <c r="D20048" i="1"/>
  <c r="C20048" i="1"/>
  <c r="B20048" i="1"/>
  <c r="A20048" i="1"/>
  <c r="F20047" i="1"/>
  <c r="E20047" i="1"/>
  <c r="D20047" i="1"/>
  <c r="C20047" i="1"/>
  <c r="B20047" i="1"/>
  <c r="A20047" i="1"/>
  <c r="F20046" i="1"/>
  <c r="E20046" i="1"/>
  <c r="D20046" i="1"/>
  <c r="C20046" i="1"/>
  <c r="B20046" i="1"/>
  <c r="A20046" i="1"/>
  <c r="F20045" i="1"/>
  <c r="E20045" i="1"/>
  <c r="D20045" i="1"/>
  <c r="C20045" i="1"/>
  <c r="B20045" i="1"/>
  <c r="A20045" i="1"/>
  <c r="F20044" i="1"/>
  <c r="E20044" i="1"/>
  <c r="D20044" i="1"/>
  <c r="C20044" i="1"/>
  <c r="B20044" i="1"/>
  <c r="A20044" i="1"/>
  <c r="F20043" i="1"/>
  <c r="E20043" i="1"/>
  <c r="D20043" i="1"/>
  <c r="C20043" i="1"/>
  <c r="B20043" i="1"/>
  <c r="A20043" i="1"/>
  <c r="F20042" i="1"/>
  <c r="E20042" i="1"/>
  <c r="D20042" i="1"/>
  <c r="C20042" i="1"/>
  <c r="B20042" i="1"/>
  <c r="A20042" i="1"/>
  <c r="F20041" i="1"/>
  <c r="E20041" i="1"/>
  <c r="D20041" i="1"/>
  <c r="C20041" i="1"/>
  <c r="B20041" i="1"/>
  <c r="A20041" i="1"/>
  <c r="F20040" i="1"/>
  <c r="E20040" i="1"/>
  <c r="D20040" i="1"/>
  <c r="C20040" i="1"/>
  <c r="B20040" i="1"/>
  <c r="A20040" i="1"/>
  <c r="F20039" i="1"/>
  <c r="E20039" i="1"/>
  <c r="D20039" i="1"/>
  <c r="C20039" i="1"/>
  <c r="B20039" i="1"/>
  <c r="A20039" i="1"/>
  <c r="F20038" i="1"/>
  <c r="E20038" i="1"/>
  <c r="D20038" i="1"/>
  <c r="C20038" i="1"/>
  <c r="B20038" i="1"/>
  <c r="A20038" i="1"/>
  <c r="F20037" i="1"/>
  <c r="E20037" i="1"/>
  <c r="D20037" i="1"/>
  <c r="C20037" i="1"/>
  <c r="B20037" i="1"/>
  <c r="A20037" i="1"/>
  <c r="F20036" i="1"/>
  <c r="E20036" i="1"/>
  <c r="D20036" i="1"/>
  <c r="C20036" i="1"/>
  <c r="B20036" i="1"/>
  <c r="A20036" i="1"/>
  <c r="F20035" i="1"/>
  <c r="E20035" i="1"/>
  <c r="D20035" i="1"/>
  <c r="C20035" i="1"/>
  <c r="B20035" i="1"/>
  <c r="A20035" i="1"/>
  <c r="F20034" i="1"/>
  <c r="E20034" i="1"/>
  <c r="D20034" i="1"/>
  <c r="C20034" i="1"/>
  <c r="B20034" i="1"/>
  <c r="A20034" i="1"/>
  <c r="F20033" i="1"/>
  <c r="E20033" i="1"/>
  <c r="D20033" i="1"/>
  <c r="C20033" i="1"/>
  <c r="B20033" i="1"/>
  <c r="A20033" i="1"/>
  <c r="F20032" i="1"/>
  <c r="E20032" i="1"/>
  <c r="D20032" i="1"/>
  <c r="C20032" i="1"/>
  <c r="B20032" i="1"/>
  <c r="A20032" i="1"/>
  <c r="F20031" i="1"/>
  <c r="E20031" i="1"/>
  <c r="D20031" i="1"/>
  <c r="C20031" i="1"/>
  <c r="B20031" i="1"/>
  <c r="A20031" i="1"/>
  <c r="F20030" i="1"/>
  <c r="E20030" i="1"/>
  <c r="D20030" i="1"/>
  <c r="C20030" i="1"/>
  <c r="B20030" i="1"/>
  <c r="A20030" i="1"/>
  <c r="F20029" i="1"/>
  <c r="E20029" i="1"/>
  <c r="D20029" i="1"/>
  <c r="C20029" i="1"/>
  <c r="B20029" i="1"/>
  <c r="A20029" i="1"/>
  <c r="F20028" i="1"/>
  <c r="E20028" i="1"/>
  <c r="D20028" i="1"/>
  <c r="C20028" i="1"/>
  <c r="B20028" i="1"/>
  <c r="A20028" i="1"/>
  <c r="F20027" i="1"/>
  <c r="E20027" i="1"/>
  <c r="D20027" i="1"/>
  <c r="C20027" i="1"/>
  <c r="B20027" i="1"/>
  <c r="A20027" i="1"/>
  <c r="F20026" i="1"/>
  <c r="E20026" i="1"/>
  <c r="D20026" i="1"/>
  <c r="C20026" i="1"/>
  <c r="B20026" i="1"/>
  <c r="A20026" i="1"/>
  <c r="F20025" i="1"/>
  <c r="E20025" i="1"/>
  <c r="D20025" i="1"/>
  <c r="C20025" i="1"/>
  <c r="B20025" i="1"/>
  <c r="A20025" i="1"/>
  <c r="F20024" i="1"/>
  <c r="E20024" i="1"/>
  <c r="D20024" i="1"/>
  <c r="C20024" i="1"/>
  <c r="B20024" i="1"/>
  <c r="A20024" i="1"/>
  <c r="F20023" i="1"/>
  <c r="E20023" i="1"/>
  <c r="D20023" i="1"/>
  <c r="C20023" i="1"/>
  <c r="B20023" i="1"/>
  <c r="A20023" i="1"/>
  <c r="F20022" i="1"/>
  <c r="E20022" i="1"/>
  <c r="D20022" i="1"/>
  <c r="C20022" i="1"/>
  <c r="B20022" i="1"/>
  <c r="A20022" i="1"/>
  <c r="F20021" i="1"/>
  <c r="E20021" i="1"/>
  <c r="D20021" i="1"/>
  <c r="C20021" i="1"/>
  <c r="B20021" i="1"/>
  <c r="A20021" i="1"/>
  <c r="F20020" i="1"/>
  <c r="E20020" i="1"/>
  <c r="D20020" i="1"/>
  <c r="C20020" i="1"/>
  <c r="B20020" i="1"/>
  <c r="A20020" i="1"/>
  <c r="F20019" i="1"/>
  <c r="E20019" i="1"/>
  <c r="D20019" i="1"/>
  <c r="C20019" i="1"/>
  <c r="B20019" i="1"/>
  <c r="A20019" i="1"/>
  <c r="F20018" i="1"/>
  <c r="E20018" i="1"/>
  <c r="D20018" i="1"/>
  <c r="C20018" i="1"/>
  <c r="B20018" i="1"/>
  <c r="A20018" i="1"/>
  <c r="F20017" i="1"/>
  <c r="E20017" i="1"/>
  <c r="D20017" i="1"/>
  <c r="C20017" i="1"/>
  <c r="B20017" i="1"/>
  <c r="A20017" i="1"/>
  <c r="F20016" i="1"/>
  <c r="E20016" i="1"/>
  <c r="D20016" i="1"/>
  <c r="C20016" i="1"/>
  <c r="B20016" i="1"/>
  <c r="A20016" i="1"/>
  <c r="F20015" i="1"/>
  <c r="E20015" i="1"/>
  <c r="D20015" i="1"/>
  <c r="C20015" i="1"/>
  <c r="B20015" i="1"/>
  <c r="A20015" i="1"/>
  <c r="F20014" i="1"/>
  <c r="E20014" i="1"/>
  <c r="D20014" i="1"/>
  <c r="C20014" i="1"/>
  <c r="B20014" i="1"/>
  <c r="A20014" i="1"/>
  <c r="F20013" i="1"/>
  <c r="E20013" i="1"/>
  <c r="D20013" i="1"/>
  <c r="C20013" i="1"/>
  <c r="B20013" i="1"/>
  <c r="A20013" i="1"/>
  <c r="F20012" i="1"/>
  <c r="E20012" i="1"/>
  <c r="D20012" i="1"/>
  <c r="C20012" i="1"/>
  <c r="B20012" i="1"/>
  <c r="A20012" i="1"/>
  <c r="F20011" i="1"/>
  <c r="E20011" i="1"/>
  <c r="D20011" i="1"/>
  <c r="C20011" i="1"/>
  <c r="B20011" i="1"/>
  <c r="A20011" i="1"/>
  <c r="F20010" i="1"/>
  <c r="E20010" i="1"/>
  <c r="D20010" i="1"/>
  <c r="C20010" i="1"/>
  <c r="B20010" i="1"/>
  <c r="A20010" i="1"/>
  <c r="F20009" i="1"/>
  <c r="E20009" i="1"/>
  <c r="D20009" i="1"/>
  <c r="C20009" i="1"/>
  <c r="B20009" i="1"/>
  <c r="A20009" i="1"/>
  <c r="F20008" i="1"/>
  <c r="E20008" i="1"/>
  <c r="D20008" i="1"/>
  <c r="C20008" i="1"/>
  <c r="B20008" i="1"/>
  <c r="A20008" i="1"/>
  <c r="F20007" i="1"/>
  <c r="E20007" i="1"/>
  <c r="D20007" i="1"/>
  <c r="C20007" i="1"/>
  <c r="B20007" i="1"/>
  <c r="A20007" i="1"/>
  <c r="F20006" i="1"/>
  <c r="E20006" i="1"/>
  <c r="D20006" i="1"/>
  <c r="C20006" i="1"/>
  <c r="B20006" i="1"/>
  <c r="A20006" i="1"/>
  <c r="F20005" i="1"/>
  <c r="E20005" i="1"/>
  <c r="D20005" i="1"/>
  <c r="C20005" i="1"/>
  <c r="B20005" i="1"/>
  <c r="A20005" i="1"/>
  <c r="F20004" i="1"/>
  <c r="E20004" i="1"/>
  <c r="D20004" i="1"/>
  <c r="C20004" i="1"/>
  <c r="B20004" i="1"/>
  <c r="A20004" i="1"/>
  <c r="F20003" i="1"/>
  <c r="E20003" i="1"/>
  <c r="D20003" i="1"/>
  <c r="C20003" i="1"/>
  <c r="B20003" i="1"/>
  <c r="A20003" i="1"/>
  <c r="F20002" i="1"/>
  <c r="E20002" i="1"/>
  <c r="D20002" i="1"/>
  <c r="C20002" i="1"/>
  <c r="B20002" i="1"/>
  <c r="A20002" i="1"/>
  <c r="F20001" i="1"/>
  <c r="E20001" i="1"/>
  <c r="D20001" i="1"/>
  <c r="C20001" i="1"/>
  <c r="B20001" i="1"/>
  <c r="A20001" i="1"/>
  <c r="F20000" i="1"/>
  <c r="E20000" i="1"/>
  <c r="D20000" i="1"/>
  <c r="C20000" i="1"/>
  <c r="B20000" i="1"/>
  <c r="A20000" i="1"/>
  <c r="F19999" i="1"/>
  <c r="E19999" i="1"/>
  <c r="D19999" i="1"/>
  <c r="C19999" i="1"/>
  <c r="B19999" i="1"/>
  <c r="A19999" i="1"/>
  <c r="F19998" i="1"/>
  <c r="E19998" i="1"/>
  <c r="D19998" i="1"/>
  <c r="C19998" i="1"/>
  <c r="B19998" i="1"/>
  <c r="A19998" i="1"/>
  <c r="F19997" i="1"/>
  <c r="E19997" i="1"/>
  <c r="D19997" i="1"/>
  <c r="C19997" i="1"/>
  <c r="B19997" i="1"/>
  <c r="A19997" i="1"/>
  <c r="F19996" i="1"/>
  <c r="E19996" i="1"/>
  <c r="D19996" i="1"/>
  <c r="C19996" i="1"/>
  <c r="B19996" i="1"/>
  <c r="A19996" i="1"/>
  <c r="F19995" i="1"/>
  <c r="E19995" i="1"/>
  <c r="D19995" i="1"/>
  <c r="C19995" i="1"/>
  <c r="B19995" i="1"/>
  <c r="A19995" i="1"/>
  <c r="F19994" i="1"/>
  <c r="E19994" i="1"/>
  <c r="D19994" i="1"/>
  <c r="C19994" i="1"/>
  <c r="B19994" i="1"/>
  <c r="A19994" i="1"/>
  <c r="F19993" i="1"/>
  <c r="E19993" i="1"/>
  <c r="D19993" i="1"/>
  <c r="C19993" i="1"/>
  <c r="B19993" i="1"/>
  <c r="A19993" i="1"/>
  <c r="F19992" i="1"/>
  <c r="E19992" i="1"/>
  <c r="D19992" i="1"/>
  <c r="C19992" i="1"/>
  <c r="B19992" i="1"/>
  <c r="A19992" i="1"/>
  <c r="F19991" i="1"/>
  <c r="E19991" i="1"/>
  <c r="D19991" i="1"/>
  <c r="C19991" i="1"/>
  <c r="B19991" i="1"/>
  <c r="A19991" i="1"/>
  <c r="F19990" i="1"/>
  <c r="E19990" i="1"/>
  <c r="D19990" i="1"/>
  <c r="C19990" i="1"/>
  <c r="B19990" i="1"/>
  <c r="A19990" i="1"/>
  <c r="F19989" i="1"/>
  <c r="E19989" i="1"/>
  <c r="D19989" i="1"/>
  <c r="C19989" i="1"/>
  <c r="B19989" i="1"/>
  <c r="A19989" i="1"/>
  <c r="F19988" i="1"/>
  <c r="E19988" i="1"/>
  <c r="D19988" i="1"/>
  <c r="C19988" i="1"/>
  <c r="B19988" i="1"/>
  <c r="A19988" i="1"/>
  <c r="F19987" i="1"/>
  <c r="E19987" i="1"/>
  <c r="D19987" i="1"/>
  <c r="C19987" i="1"/>
  <c r="B19987" i="1"/>
  <c r="A19987" i="1"/>
  <c r="F19986" i="1"/>
  <c r="E19986" i="1"/>
  <c r="D19986" i="1"/>
  <c r="C19986" i="1"/>
  <c r="B19986" i="1"/>
  <c r="A19986" i="1"/>
  <c r="F19985" i="1"/>
  <c r="E19985" i="1"/>
  <c r="D19985" i="1"/>
  <c r="C19985" i="1"/>
  <c r="B19985" i="1"/>
  <c r="A19985" i="1"/>
  <c r="F19984" i="1"/>
  <c r="E19984" i="1"/>
  <c r="D19984" i="1"/>
  <c r="C19984" i="1"/>
  <c r="B19984" i="1"/>
  <c r="A19984" i="1"/>
  <c r="F19983" i="1"/>
  <c r="E19983" i="1"/>
  <c r="D19983" i="1"/>
  <c r="C19983" i="1"/>
  <c r="B19983" i="1"/>
  <c r="A19983" i="1"/>
  <c r="F19982" i="1"/>
  <c r="E19982" i="1"/>
  <c r="D19982" i="1"/>
  <c r="C19982" i="1"/>
  <c r="B19982" i="1"/>
  <c r="A19982" i="1"/>
  <c r="F19981" i="1"/>
  <c r="E19981" i="1"/>
  <c r="D19981" i="1"/>
  <c r="C19981" i="1"/>
  <c r="B19981" i="1"/>
  <c r="A19981" i="1"/>
  <c r="F19980" i="1"/>
  <c r="E19980" i="1"/>
  <c r="D19980" i="1"/>
  <c r="C19980" i="1"/>
  <c r="B19980" i="1"/>
  <c r="A19980" i="1"/>
  <c r="F19979" i="1"/>
  <c r="E19979" i="1"/>
  <c r="D19979" i="1"/>
  <c r="C19979" i="1"/>
  <c r="B19979" i="1"/>
  <c r="A19979" i="1"/>
  <c r="F19978" i="1"/>
  <c r="E19978" i="1"/>
  <c r="D19978" i="1"/>
  <c r="C19978" i="1"/>
  <c r="B19978" i="1"/>
  <c r="A19978" i="1"/>
  <c r="F19977" i="1"/>
  <c r="E19977" i="1"/>
  <c r="D19977" i="1"/>
  <c r="C19977" i="1"/>
  <c r="B19977" i="1"/>
  <c r="A19977" i="1"/>
  <c r="F19976" i="1"/>
  <c r="E19976" i="1"/>
  <c r="D19976" i="1"/>
  <c r="C19976" i="1"/>
  <c r="B19976" i="1"/>
  <c r="A19976" i="1"/>
  <c r="F19975" i="1"/>
  <c r="E19975" i="1"/>
  <c r="D19975" i="1"/>
  <c r="C19975" i="1"/>
  <c r="B19975" i="1"/>
  <c r="A19975" i="1"/>
  <c r="F19974" i="1"/>
  <c r="E19974" i="1"/>
  <c r="D19974" i="1"/>
  <c r="C19974" i="1"/>
  <c r="B19974" i="1"/>
  <c r="A19974" i="1"/>
  <c r="F19973" i="1"/>
  <c r="E19973" i="1"/>
  <c r="D19973" i="1"/>
  <c r="C19973" i="1"/>
  <c r="B19973" i="1"/>
  <c r="A19973" i="1"/>
  <c r="F19972" i="1"/>
  <c r="E19972" i="1"/>
  <c r="D19972" i="1"/>
  <c r="C19972" i="1"/>
  <c r="B19972" i="1"/>
  <c r="A19972" i="1"/>
  <c r="F19971" i="1"/>
  <c r="E19971" i="1"/>
  <c r="D19971" i="1"/>
  <c r="C19971" i="1"/>
  <c r="B19971" i="1"/>
  <c r="A19971" i="1"/>
  <c r="F19970" i="1"/>
  <c r="E19970" i="1"/>
  <c r="D19970" i="1"/>
  <c r="C19970" i="1"/>
  <c r="B19970" i="1"/>
  <c r="A19970" i="1"/>
  <c r="F19969" i="1"/>
  <c r="E19969" i="1"/>
  <c r="D19969" i="1"/>
  <c r="C19969" i="1"/>
  <c r="B19969" i="1"/>
  <c r="A19969" i="1"/>
  <c r="F19968" i="1"/>
  <c r="E19968" i="1"/>
  <c r="D19968" i="1"/>
  <c r="C19968" i="1"/>
  <c r="B19968" i="1"/>
  <c r="A19968" i="1"/>
  <c r="F19967" i="1"/>
  <c r="E19967" i="1"/>
  <c r="D19967" i="1"/>
  <c r="C19967" i="1"/>
  <c r="B19967" i="1"/>
  <c r="A19967" i="1"/>
  <c r="F19966" i="1"/>
  <c r="E19966" i="1"/>
  <c r="D19966" i="1"/>
  <c r="C19966" i="1"/>
  <c r="B19966" i="1"/>
  <c r="A19966" i="1"/>
  <c r="F19965" i="1"/>
  <c r="E19965" i="1"/>
  <c r="D19965" i="1"/>
  <c r="C19965" i="1"/>
  <c r="B19965" i="1"/>
  <c r="A19965" i="1"/>
  <c r="F19964" i="1"/>
  <c r="E19964" i="1"/>
  <c r="D19964" i="1"/>
  <c r="C19964" i="1"/>
  <c r="B19964" i="1"/>
  <c r="A19964" i="1"/>
  <c r="F19963" i="1"/>
  <c r="E19963" i="1"/>
  <c r="D19963" i="1"/>
  <c r="C19963" i="1"/>
  <c r="B19963" i="1"/>
  <c r="A19963" i="1"/>
  <c r="F19962" i="1"/>
  <c r="E19962" i="1"/>
  <c r="D19962" i="1"/>
  <c r="C19962" i="1"/>
  <c r="B19962" i="1"/>
  <c r="A19962" i="1"/>
  <c r="F19961" i="1"/>
  <c r="E19961" i="1"/>
  <c r="D19961" i="1"/>
  <c r="C19961" i="1"/>
  <c r="B19961" i="1"/>
  <c r="A19961" i="1"/>
  <c r="F19960" i="1"/>
  <c r="E19960" i="1"/>
  <c r="D19960" i="1"/>
  <c r="C19960" i="1"/>
  <c r="B19960" i="1"/>
  <c r="A19960" i="1"/>
  <c r="F19959" i="1"/>
  <c r="E19959" i="1"/>
  <c r="D19959" i="1"/>
  <c r="C19959" i="1"/>
  <c r="B19959" i="1"/>
  <c r="A19959" i="1"/>
  <c r="F19958" i="1"/>
  <c r="E19958" i="1"/>
  <c r="D19958" i="1"/>
  <c r="C19958" i="1"/>
  <c r="B19958" i="1"/>
  <c r="A19958" i="1"/>
  <c r="F19957" i="1"/>
  <c r="E19957" i="1"/>
  <c r="D19957" i="1"/>
  <c r="C19957" i="1"/>
  <c r="B19957" i="1"/>
  <c r="A19957" i="1"/>
  <c r="F19956" i="1"/>
  <c r="E19956" i="1"/>
  <c r="D19956" i="1"/>
  <c r="C19956" i="1"/>
  <c r="B19956" i="1"/>
  <c r="A19956" i="1"/>
  <c r="F19955" i="1"/>
  <c r="E19955" i="1"/>
  <c r="D19955" i="1"/>
  <c r="C19955" i="1"/>
  <c r="B19955" i="1"/>
  <c r="A19955" i="1"/>
  <c r="F19954" i="1"/>
  <c r="E19954" i="1"/>
  <c r="D19954" i="1"/>
  <c r="C19954" i="1"/>
  <c r="B19954" i="1"/>
  <c r="A19954" i="1"/>
  <c r="F19953" i="1"/>
  <c r="E19953" i="1"/>
  <c r="D19953" i="1"/>
  <c r="C19953" i="1"/>
  <c r="B19953" i="1"/>
  <c r="A19953" i="1"/>
  <c r="F19952" i="1"/>
  <c r="E19952" i="1"/>
  <c r="D19952" i="1"/>
  <c r="C19952" i="1"/>
  <c r="B19952" i="1"/>
  <c r="A19952" i="1"/>
  <c r="F19951" i="1"/>
  <c r="E19951" i="1"/>
  <c r="D19951" i="1"/>
  <c r="C19951" i="1"/>
  <c r="B19951" i="1"/>
  <c r="A19951" i="1"/>
  <c r="F19950" i="1"/>
  <c r="E19950" i="1"/>
  <c r="D19950" i="1"/>
  <c r="C19950" i="1"/>
  <c r="B19950" i="1"/>
  <c r="A19950" i="1"/>
  <c r="F19949" i="1"/>
  <c r="E19949" i="1"/>
  <c r="D19949" i="1"/>
  <c r="C19949" i="1"/>
  <c r="B19949" i="1"/>
  <c r="A19949" i="1"/>
  <c r="F19948" i="1"/>
  <c r="E19948" i="1"/>
  <c r="D19948" i="1"/>
  <c r="C19948" i="1"/>
  <c r="B19948" i="1"/>
  <c r="A19948" i="1"/>
  <c r="F19947" i="1"/>
  <c r="E19947" i="1"/>
  <c r="D19947" i="1"/>
  <c r="C19947" i="1"/>
  <c r="B19947" i="1"/>
  <c r="A19947" i="1"/>
  <c r="F19946" i="1"/>
  <c r="E19946" i="1"/>
  <c r="D19946" i="1"/>
  <c r="C19946" i="1"/>
  <c r="B19946" i="1"/>
  <c r="A19946" i="1"/>
  <c r="F19945" i="1"/>
  <c r="E19945" i="1"/>
  <c r="D19945" i="1"/>
  <c r="C19945" i="1"/>
  <c r="B19945" i="1"/>
  <c r="A19945" i="1"/>
  <c r="F19944" i="1"/>
  <c r="E19944" i="1"/>
  <c r="D19944" i="1"/>
  <c r="C19944" i="1"/>
  <c r="B19944" i="1"/>
  <c r="A19944" i="1"/>
  <c r="F19943" i="1"/>
  <c r="E19943" i="1"/>
  <c r="D19943" i="1"/>
  <c r="C19943" i="1"/>
  <c r="B19943" i="1"/>
  <c r="A19943" i="1"/>
  <c r="F19942" i="1"/>
  <c r="E19942" i="1"/>
  <c r="D19942" i="1"/>
  <c r="C19942" i="1"/>
  <c r="B19942" i="1"/>
  <c r="A19942" i="1"/>
  <c r="F19941" i="1"/>
  <c r="E19941" i="1"/>
  <c r="D19941" i="1"/>
  <c r="C19941" i="1"/>
  <c r="B19941" i="1"/>
  <c r="A19941" i="1"/>
  <c r="F19940" i="1"/>
  <c r="E19940" i="1"/>
  <c r="D19940" i="1"/>
  <c r="C19940" i="1"/>
  <c r="B19940" i="1"/>
  <c r="A19940" i="1"/>
  <c r="F19939" i="1"/>
  <c r="E19939" i="1"/>
  <c r="D19939" i="1"/>
  <c r="C19939" i="1"/>
  <c r="B19939" i="1"/>
  <c r="A19939" i="1"/>
  <c r="F19938" i="1"/>
  <c r="E19938" i="1"/>
  <c r="D19938" i="1"/>
  <c r="C19938" i="1"/>
  <c r="B19938" i="1"/>
  <c r="A19938" i="1"/>
  <c r="F19937" i="1"/>
  <c r="E19937" i="1"/>
  <c r="D19937" i="1"/>
  <c r="C19937" i="1"/>
  <c r="B19937" i="1"/>
  <c r="A19937" i="1"/>
  <c r="F19936" i="1"/>
  <c r="E19936" i="1"/>
  <c r="D19936" i="1"/>
  <c r="C19936" i="1"/>
  <c r="B19936" i="1"/>
  <c r="A19936" i="1"/>
  <c r="F19935" i="1"/>
  <c r="E19935" i="1"/>
  <c r="D19935" i="1"/>
  <c r="C19935" i="1"/>
  <c r="B19935" i="1"/>
  <c r="A19935" i="1"/>
  <c r="F19934" i="1"/>
  <c r="E19934" i="1"/>
  <c r="D19934" i="1"/>
  <c r="C19934" i="1"/>
  <c r="B19934" i="1"/>
  <c r="A19934" i="1"/>
  <c r="F19933" i="1"/>
  <c r="E19933" i="1"/>
  <c r="D19933" i="1"/>
  <c r="C19933" i="1"/>
  <c r="B19933" i="1"/>
  <c r="A19933" i="1"/>
  <c r="F19932" i="1"/>
  <c r="E19932" i="1"/>
  <c r="D19932" i="1"/>
  <c r="C19932" i="1"/>
  <c r="B19932" i="1"/>
  <c r="A19932" i="1"/>
  <c r="F19931" i="1"/>
  <c r="E19931" i="1"/>
  <c r="D19931" i="1"/>
  <c r="C19931" i="1"/>
  <c r="B19931" i="1"/>
  <c r="A19931" i="1"/>
  <c r="F19930" i="1"/>
  <c r="E19930" i="1"/>
  <c r="D19930" i="1"/>
  <c r="C19930" i="1"/>
  <c r="B19930" i="1"/>
  <c r="A19930" i="1"/>
  <c r="F19929" i="1"/>
  <c r="E19929" i="1"/>
  <c r="D19929" i="1"/>
  <c r="C19929" i="1"/>
  <c r="B19929" i="1"/>
  <c r="A19929" i="1"/>
  <c r="F19928" i="1"/>
  <c r="E19928" i="1"/>
  <c r="D19928" i="1"/>
  <c r="C19928" i="1"/>
  <c r="B19928" i="1"/>
  <c r="A19928" i="1"/>
  <c r="F19927" i="1"/>
  <c r="E19927" i="1"/>
  <c r="D19927" i="1"/>
  <c r="C19927" i="1"/>
  <c r="B19927" i="1"/>
  <c r="A19927" i="1"/>
  <c r="F19926" i="1"/>
  <c r="E19926" i="1"/>
  <c r="D19926" i="1"/>
  <c r="C19926" i="1"/>
  <c r="B19926" i="1"/>
  <c r="A19926" i="1"/>
  <c r="F19925" i="1"/>
  <c r="E19925" i="1"/>
  <c r="D19925" i="1"/>
  <c r="C19925" i="1"/>
  <c r="B19925" i="1"/>
  <c r="A19925" i="1"/>
  <c r="F19924" i="1"/>
  <c r="E19924" i="1"/>
  <c r="D19924" i="1"/>
  <c r="C19924" i="1"/>
  <c r="B19924" i="1"/>
  <c r="A19924" i="1"/>
  <c r="F19923" i="1"/>
  <c r="E19923" i="1"/>
  <c r="D19923" i="1"/>
  <c r="C19923" i="1"/>
  <c r="B19923" i="1"/>
  <c r="A19923" i="1"/>
  <c r="F19922" i="1"/>
  <c r="E19922" i="1"/>
  <c r="D19922" i="1"/>
  <c r="C19922" i="1"/>
  <c r="B19922" i="1"/>
  <c r="A19922" i="1"/>
  <c r="F19921" i="1"/>
  <c r="E19921" i="1"/>
  <c r="D19921" i="1"/>
  <c r="C19921" i="1"/>
  <c r="B19921" i="1"/>
  <c r="A19921" i="1"/>
  <c r="F19920" i="1"/>
  <c r="E19920" i="1"/>
  <c r="D19920" i="1"/>
  <c r="C19920" i="1"/>
  <c r="B19920" i="1"/>
  <c r="A19920" i="1"/>
  <c r="F19919" i="1"/>
  <c r="E19919" i="1"/>
  <c r="D19919" i="1"/>
  <c r="C19919" i="1"/>
  <c r="B19919" i="1"/>
  <c r="A19919" i="1"/>
  <c r="F19918" i="1"/>
  <c r="E19918" i="1"/>
  <c r="D19918" i="1"/>
  <c r="C19918" i="1"/>
  <c r="B19918" i="1"/>
  <c r="A19918" i="1"/>
  <c r="F19917" i="1"/>
  <c r="E19917" i="1"/>
  <c r="D19917" i="1"/>
  <c r="C19917" i="1"/>
  <c r="B19917" i="1"/>
  <c r="A19917" i="1"/>
  <c r="F19916" i="1"/>
  <c r="E19916" i="1"/>
  <c r="D19916" i="1"/>
  <c r="C19916" i="1"/>
  <c r="B19916" i="1"/>
  <c r="A19916" i="1"/>
  <c r="F19915" i="1"/>
  <c r="E19915" i="1"/>
  <c r="D19915" i="1"/>
  <c r="C19915" i="1"/>
  <c r="B19915" i="1"/>
  <c r="A19915" i="1"/>
  <c r="F19914" i="1"/>
  <c r="E19914" i="1"/>
  <c r="D19914" i="1"/>
  <c r="C19914" i="1"/>
  <c r="B19914" i="1"/>
  <c r="A19914" i="1"/>
  <c r="F19913" i="1"/>
  <c r="E19913" i="1"/>
  <c r="D19913" i="1"/>
  <c r="C19913" i="1"/>
  <c r="B19913" i="1"/>
  <c r="A19913" i="1"/>
  <c r="F19912" i="1"/>
  <c r="E19912" i="1"/>
  <c r="D19912" i="1"/>
  <c r="C19912" i="1"/>
  <c r="B19912" i="1"/>
  <c r="A19912" i="1"/>
  <c r="F19911" i="1"/>
  <c r="E19911" i="1"/>
  <c r="D19911" i="1"/>
  <c r="C19911" i="1"/>
  <c r="B19911" i="1"/>
  <c r="A19911" i="1"/>
  <c r="F19910" i="1"/>
  <c r="E19910" i="1"/>
  <c r="D19910" i="1"/>
  <c r="C19910" i="1"/>
  <c r="B19910" i="1"/>
  <c r="A19910" i="1"/>
  <c r="F19909" i="1"/>
  <c r="E19909" i="1"/>
  <c r="D19909" i="1"/>
  <c r="C19909" i="1"/>
  <c r="B19909" i="1"/>
  <c r="A19909" i="1"/>
  <c r="F19908" i="1"/>
  <c r="E19908" i="1"/>
  <c r="D19908" i="1"/>
  <c r="C19908" i="1"/>
  <c r="B19908" i="1"/>
  <c r="A19908" i="1"/>
  <c r="F19907" i="1"/>
  <c r="E19907" i="1"/>
  <c r="D19907" i="1"/>
  <c r="C19907" i="1"/>
  <c r="B19907" i="1"/>
  <c r="A19907" i="1"/>
  <c r="F19906" i="1"/>
  <c r="E19906" i="1"/>
  <c r="D19906" i="1"/>
  <c r="C19906" i="1"/>
  <c r="B19906" i="1"/>
  <c r="A19906" i="1"/>
  <c r="F19905" i="1"/>
  <c r="E19905" i="1"/>
  <c r="D19905" i="1"/>
  <c r="C19905" i="1"/>
  <c r="B19905" i="1"/>
  <c r="A19905" i="1"/>
  <c r="F19904" i="1"/>
  <c r="E19904" i="1"/>
  <c r="D19904" i="1"/>
  <c r="C19904" i="1"/>
  <c r="B19904" i="1"/>
  <c r="A19904" i="1"/>
  <c r="F19903" i="1"/>
  <c r="E19903" i="1"/>
  <c r="D19903" i="1"/>
  <c r="C19903" i="1"/>
  <c r="B19903" i="1"/>
  <c r="A19903" i="1"/>
  <c r="F19902" i="1"/>
  <c r="E19902" i="1"/>
  <c r="D19902" i="1"/>
  <c r="C19902" i="1"/>
  <c r="B19902" i="1"/>
  <c r="A19902" i="1"/>
  <c r="F19901" i="1"/>
  <c r="E19901" i="1"/>
  <c r="D19901" i="1"/>
  <c r="C19901" i="1"/>
  <c r="B19901" i="1"/>
  <c r="A19901" i="1"/>
  <c r="F19900" i="1"/>
  <c r="E19900" i="1"/>
  <c r="D19900" i="1"/>
  <c r="C19900" i="1"/>
  <c r="B19900" i="1"/>
  <c r="A19900" i="1"/>
  <c r="F19899" i="1"/>
  <c r="E19899" i="1"/>
  <c r="D19899" i="1"/>
  <c r="C19899" i="1"/>
  <c r="B19899" i="1"/>
  <c r="A19899" i="1"/>
  <c r="F19898" i="1"/>
  <c r="E19898" i="1"/>
  <c r="D19898" i="1"/>
  <c r="C19898" i="1"/>
  <c r="B19898" i="1"/>
  <c r="A19898" i="1"/>
  <c r="F19897" i="1"/>
  <c r="E19897" i="1"/>
  <c r="D19897" i="1"/>
  <c r="C19897" i="1"/>
  <c r="B19897" i="1"/>
  <c r="A19897" i="1"/>
  <c r="F19896" i="1"/>
  <c r="E19896" i="1"/>
  <c r="D19896" i="1"/>
  <c r="C19896" i="1"/>
  <c r="B19896" i="1"/>
  <c r="A19896" i="1"/>
  <c r="F19895" i="1"/>
  <c r="E19895" i="1"/>
  <c r="D19895" i="1"/>
  <c r="C19895" i="1"/>
  <c r="B19895" i="1"/>
  <c r="A19895" i="1"/>
  <c r="F19894" i="1"/>
  <c r="E19894" i="1"/>
  <c r="D19894" i="1"/>
  <c r="C19894" i="1"/>
  <c r="B19894" i="1"/>
  <c r="A19894" i="1"/>
  <c r="F19893" i="1"/>
  <c r="E19893" i="1"/>
  <c r="D19893" i="1"/>
  <c r="C19893" i="1"/>
  <c r="B19893" i="1"/>
  <c r="A19893" i="1"/>
  <c r="F19892" i="1"/>
  <c r="E19892" i="1"/>
  <c r="D19892" i="1"/>
  <c r="C19892" i="1"/>
  <c r="B19892" i="1"/>
  <c r="A19892" i="1"/>
  <c r="F19891" i="1"/>
  <c r="E19891" i="1"/>
  <c r="D19891" i="1"/>
  <c r="C19891" i="1"/>
  <c r="B19891" i="1"/>
  <c r="A19891" i="1"/>
  <c r="F19890" i="1"/>
  <c r="E19890" i="1"/>
  <c r="D19890" i="1"/>
  <c r="C19890" i="1"/>
  <c r="B19890" i="1"/>
  <c r="A19890" i="1"/>
  <c r="F19889" i="1"/>
  <c r="E19889" i="1"/>
  <c r="D19889" i="1"/>
  <c r="C19889" i="1"/>
  <c r="B19889" i="1"/>
  <c r="A19889" i="1"/>
  <c r="F19888" i="1"/>
  <c r="E19888" i="1"/>
  <c r="D19888" i="1"/>
  <c r="C19888" i="1"/>
  <c r="B19888" i="1"/>
  <c r="A19888" i="1"/>
  <c r="F19887" i="1"/>
  <c r="E19887" i="1"/>
  <c r="D19887" i="1"/>
  <c r="C19887" i="1"/>
  <c r="B19887" i="1"/>
  <c r="A19887" i="1"/>
  <c r="F19886" i="1"/>
  <c r="E19886" i="1"/>
  <c r="D19886" i="1"/>
  <c r="C19886" i="1"/>
  <c r="B19886" i="1"/>
  <c r="A19886" i="1"/>
  <c r="F19885" i="1"/>
  <c r="E19885" i="1"/>
  <c r="D19885" i="1"/>
  <c r="C19885" i="1"/>
  <c r="B19885" i="1"/>
  <c r="A19885" i="1"/>
  <c r="F19884" i="1"/>
  <c r="E19884" i="1"/>
  <c r="D19884" i="1"/>
  <c r="C19884" i="1"/>
  <c r="B19884" i="1"/>
  <c r="A19884" i="1"/>
  <c r="F19883" i="1"/>
  <c r="E19883" i="1"/>
  <c r="D19883" i="1"/>
  <c r="C19883" i="1"/>
  <c r="B19883" i="1"/>
  <c r="A19883" i="1"/>
  <c r="F19882" i="1"/>
  <c r="E19882" i="1"/>
  <c r="D19882" i="1"/>
  <c r="C19882" i="1"/>
  <c r="B19882" i="1"/>
  <c r="A19882" i="1"/>
  <c r="F19881" i="1"/>
  <c r="E19881" i="1"/>
  <c r="D19881" i="1"/>
  <c r="C19881" i="1"/>
  <c r="B19881" i="1"/>
  <c r="A19881" i="1"/>
  <c r="F19880" i="1"/>
  <c r="E19880" i="1"/>
  <c r="D19880" i="1"/>
  <c r="C19880" i="1"/>
  <c r="B19880" i="1"/>
  <c r="A19880" i="1"/>
  <c r="F19879" i="1"/>
  <c r="E19879" i="1"/>
  <c r="D19879" i="1"/>
  <c r="C19879" i="1"/>
  <c r="B19879" i="1"/>
  <c r="A19879" i="1"/>
  <c r="F19878" i="1"/>
  <c r="E19878" i="1"/>
  <c r="D19878" i="1"/>
  <c r="C19878" i="1"/>
  <c r="B19878" i="1"/>
  <c r="A19878" i="1"/>
  <c r="F19877" i="1"/>
  <c r="E19877" i="1"/>
  <c r="D19877" i="1"/>
  <c r="C19877" i="1"/>
  <c r="B19877" i="1"/>
  <c r="A19877" i="1"/>
  <c r="F19876" i="1"/>
  <c r="E19876" i="1"/>
  <c r="D19876" i="1"/>
  <c r="C19876" i="1"/>
  <c r="B19876" i="1"/>
  <c r="A19876" i="1"/>
  <c r="F19875" i="1"/>
  <c r="E19875" i="1"/>
  <c r="D19875" i="1"/>
  <c r="C19875" i="1"/>
  <c r="B19875" i="1"/>
  <c r="A19875" i="1"/>
  <c r="F19874" i="1"/>
  <c r="E19874" i="1"/>
  <c r="D19874" i="1"/>
  <c r="C19874" i="1"/>
  <c r="B19874" i="1"/>
  <c r="A19874" i="1"/>
  <c r="F19873" i="1"/>
  <c r="E19873" i="1"/>
  <c r="D19873" i="1"/>
  <c r="C19873" i="1"/>
  <c r="B19873" i="1"/>
  <c r="A19873" i="1"/>
  <c r="F19872" i="1"/>
  <c r="E19872" i="1"/>
  <c r="D19872" i="1"/>
  <c r="C19872" i="1"/>
  <c r="B19872" i="1"/>
  <c r="A19872" i="1"/>
  <c r="F19871" i="1"/>
  <c r="E19871" i="1"/>
  <c r="D19871" i="1"/>
  <c r="C19871" i="1"/>
  <c r="B19871" i="1"/>
  <c r="A19871" i="1"/>
  <c r="F19870" i="1"/>
  <c r="E19870" i="1"/>
  <c r="D19870" i="1"/>
  <c r="C19870" i="1"/>
  <c r="B19870" i="1"/>
  <c r="A19870" i="1"/>
  <c r="F19869" i="1"/>
  <c r="E19869" i="1"/>
  <c r="D19869" i="1"/>
  <c r="C19869" i="1"/>
  <c r="B19869" i="1"/>
  <c r="A19869" i="1"/>
  <c r="F19868" i="1"/>
  <c r="E19868" i="1"/>
  <c r="D19868" i="1"/>
  <c r="C19868" i="1"/>
  <c r="B19868" i="1"/>
  <c r="A19868" i="1"/>
  <c r="F19867" i="1"/>
  <c r="E19867" i="1"/>
  <c r="D19867" i="1"/>
  <c r="C19867" i="1"/>
  <c r="B19867" i="1"/>
  <c r="A19867" i="1"/>
  <c r="F19866" i="1"/>
  <c r="E19866" i="1"/>
  <c r="D19866" i="1"/>
  <c r="C19866" i="1"/>
  <c r="B19866" i="1"/>
  <c r="A19866" i="1"/>
  <c r="F19865" i="1"/>
  <c r="E19865" i="1"/>
  <c r="D19865" i="1"/>
  <c r="C19865" i="1"/>
  <c r="B19865" i="1"/>
  <c r="A19865" i="1"/>
  <c r="F19864" i="1"/>
  <c r="E19864" i="1"/>
  <c r="D19864" i="1"/>
  <c r="C19864" i="1"/>
  <c r="B19864" i="1"/>
  <c r="A19864" i="1"/>
  <c r="F19863" i="1"/>
  <c r="E19863" i="1"/>
  <c r="D19863" i="1"/>
  <c r="C19863" i="1"/>
  <c r="B19863" i="1"/>
  <c r="A19863" i="1"/>
  <c r="F19862" i="1"/>
  <c r="E19862" i="1"/>
  <c r="D19862" i="1"/>
  <c r="C19862" i="1"/>
  <c r="B19862" i="1"/>
  <c r="A19862" i="1"/>
  <c r="F19861" i="1"/>
  <c r="E19861" i="1"/>
  <c r="D19861" i="1"/>
  <c r="C19861" i="1"/>
  <c r="B19861" i="1"/>
  <c r="A19861" i="1"/>
  <c r="F19860" i="1"/>
  <c r="E19860" i="1"/>
  <c r="D19860" i="1"/>
  <c r="C19860" i="1"/>
  <c r="B19860" i="1"/>
  <c r="A19860" i="1"/>
  <c r="F19859" i="1"/>
  <c r="E19859" i="1"/>
  <c r="D19859" i="1"/>
  <c r="C19859" i="1"/>
  <c r="B19859" i="1"/>
  <c r="A19859" i="1"/>
  <c r="F19858" i="1"/>
  <c r="E19858" i="1"/>
  <c r="D19858" i="1"/>
  <c r="C19858" i="1"/>
  <c r="B19858" i="1"/>
  <c r="A19858" i="1"/>
  <c r="F19857" i="1"/>
  <c r="E19857" i="1"/>
  <c r="D19857" i="1"/>
  <c r="C19857" i="1"/>
  <c r="B19857" i="1"/>
  <c r="A19857" i="1"/>
  <c r="F19856" i="1"/>
  <c r="E19856" i="1"/>
  <c r="D19856" i="1"/>
  <c r="C19856" i="1"/>
  <c r="B19856" i="1"/>
  <c r="A19856" i="1"/>
  <c r="F19855" i="1"/>
  <c r="E19855" i="1"/>
  <c r="D19855" i="1"/>
  <c r="C19855" i="1"/>
  <c r="B19855" i="1"/>
  <c r="A19855" i="1"/>
  <c r="F19854" i="1"/>
  <c r="E19854" i="1"/>
  <c r="D19854" i="1"/>
  <c r="C19854" i="1"/>
  <c r="B19854" i="1"/>
  <c r="A19854" i="1"/>
  <c r="F19853" i="1"/>
  <c r="E19853" i="1"/>
  <c r="D19853" i="1"/>
  <c r="C19853" i="1"/>
  <c r="B19853" i="1"/>
  <c r="A19853" i="1"/>
  <c r="F19852" i="1"/>
  <c r="E19852" i="1"/>
  <c r="D19852" i="1"/>
  <c r="C19852" i="1"/>
  <c r="B19852" i="1"/>
  <c r="A19852" i="1"/>
  <c r="F19851" i="1"/>
  <c r="E19851" i="1"/>
  <c r="D19851" i="1"/>
  <c r="C19851" i="1"/>
  <c r="B19851" i="1"/>
  <c r="A19851" i="1"/>
  <c r="F19850" i="1"/>
  <c r="E19850" i="1"/>
  <c r="D19850" i="1"/>
  <c r="C19850" i="1"/>
  <c r="B19850" i="1"/>
  <c r="A19850" i="1"/>
  <c r="F19849" i="1"/>
  <c r="E19849" i="1"/>
  <c r="D19849" i="1"/>
  <c r="C19849" i="1"/>
  <c r="B19849" i="1"/>
  <c r="A19849" i="1"/>
  <c r="F19848" i="1"/>
  <c r="E19848" i="1"/>
  <c r="D19848" i="1"/>
  <c r="C19848" i="1"/>
  <c r="B19848" i="1"/>
  <c r="A19848" i="1"/>
  <c r="F19847" i="1"/>
  <c r="E19847" i="1"/>
  <c r="D19847" i="1"/>
  <c r="C19847" i="1"/>
  <c r="B19847" i="1"/>
  <c r="A19847" i="1"/>
  <c r="F19846" i="1"/>
  <c r="E19846" i="1"/>
  <c r="D19846" i="1"/>
  <c r="C19846" i="1"/>
  <c r="B19846" i="1"/>
  <c r="A19846" i="1"/>
  <c r="F19845" i="1"/>
  <c r="E19845" i="1"/>
  <c r="D19845" i="1"/>
  <c r="C19845" i="1"/>
  <c r="B19845" i="1"/>
  <c r="A19845" i="1"/>
  <c r="F19844" i="1"/>
  <c r="E19844" i="1"/>
  <c r="D19844" i="1"/>
  <c r="C19844" i="1"/>
  <c r="B19844" i="1"/>
  <c r="A19844" i="1"/>
  <c r="F19843" i="1"/>
  <c r="E19843" i="1"/>
  <c r="D19843" i="1"/>
  <c r="C19843" i="1"/>
  <c r="B19843" i="1"/>
  <c r="A19843" i="1"/>
  <c r="F19842" i="1"/>
  <c r="E19842" i="1"/>
  <c r="D19842" i="1"/>
  <c r="C19842" i="1"/>
  <c r="B19842" i="1"/>
  <c r="A19842" i="1"/>
  <c r="F19841" i="1"/>
  <c r="E19841" i="1"/>
  <c r="D19841" i="1"/>
  <c r="C19841" i="1"/>
  <c r="B19841" i="1"/>
  <c r="A19841" i="1"/>
  <c r="F19840" i="1"/>
  <c r="E19840" i="1"/>
  <c r="D19840" i="1"/>
  <c r="C19840" i="1"/>
  <c r="B19840" i="1"/>
  <c r="A19840" i="1"/>
  <c r="F19839" i="1"/>
  <c r="E19839" i="1"/>
  <c r="D19839" i="1"/>
  <c r="C19839" i="1"/>
  <c r="B19839" i="1"/>
  <c r="A19839" i="1"/>
  <c r="F19838" i="1"/>
  <c r="E19838" i="1"/>
  <c r="D19838" i="1"/>
  <c r="C19838" i="1"/>
  <c r="B19838" i="1"/>
  <c r="A19838" i="1"/>
  <c r="F19837" i="1"/>
  <c r="E19837" i="1"/>
  <c r="D19837" i="1"/>
  <c r="C19837" i="1"/>
  <c r="B19837" i="1"/>
  <c r="A19837" i="1"/>
  <c r="F19836" i="1"/>
  <c r="E19836" i="1"/>
  <c r="D19836" i="1"/>
  <c r="C19836" i="1"/>
  <c r="B19836" i="1"/>
  <c r="A19836" i="1"/>
  <c r="F19835" i="1"/>
  <c r="E19835" i="1"/>
  <c r="D19835" i="1"/>
  <c r="C19835" i="1"/>
  <c r="B19835" i="1"/>
  <c r="A19835" i="1"/>
  <c r="F19834" i="1"/>
  <c r="E19834" i="1"/>
  <c r="D19834" i="1"/>
  <c r="C19834" i="1"/>
  <c r="B19834" i="1"/>
  <c r="A19834" i="1"/>
  <c r="F19833" i="1"/>
  <c r="E19833" i="1"/>
  <c r="D19833" i="1"/>
  <c r="C19833" i="1"/>
  <c r="B19833" i="1"/>
  <c r="A19833" i="1"/>
  <c r="F19832" i="1"/>
  <c r="E19832" i="1"/>
  <c r="D19832" i="1"/>
  <c r="C19832" i="1"/>
  <c r="B19832" i="1"/>
  <c r="A19832" i="1"/>
  <c r="F19831" i="1"/>
  <c r="E19831" i="1"/>
  <c r="D19831" i="1"/>
  <c r="C19831" i="1"/>
  <c r="B19831" i="1"/>
  <c r="A19831" i="1"/>
  <c r="F19830" i="1"/>
  <c r="E19830" i="1"/>
  <c r="D19830" i="1"/>
  <c r="C19830" i="1"/>
  <c r="B19830" i="1"/>
  <c r="A19830" i="1"/>
  <c r="F19829" i="1"/>
  <c r="E19829" i="1"/>
  <c r="D19829" i="1"/>
  <c r="C19829" i="1"/>
  <c r="B19829" i="1"/>
  <c r="A19829" i="1"/>
  <c r="F19828" i="1"/>
  <c r="E19828" i="1"/>
  <c r="D19828" i="1"/>
  <c r="C19828" i="1"/>
  <c r="B19828" i="1"/>
  <c r="A19828" i="1"/>
  <c r="F19827" i="1"/>
  <c r="E19827" i="1"/>
  <c r="D19827" i="1"/>
  <c r="C19827" i="1"/>
  <c r="B19827" i="1"/>
  <c r="A19827" i="1"/>
  <c r="F19826" i="1"/>
  <c r="E19826" i="1"/>
  <c r="D19826" i="1"/>
  <c r="C19826" i="1"/>
  <c r="B19826" i="1"/>
  <c r="A19826" i="1"/>
  <c r="F19825" i="1"/>
  <c r="E19825" i="1"/>
  <c r="D19825" i="1"/>
  <c r="C19825" i="1"/>
  <c r="B19825" i="1"/>
  <c r="A19825" i="1"/>
  <c r="F19824" i="1"/>
  <c r="E19824" i="1"/>
  <c r="D19824" i="1"/>
  <c r="C19824" i="1"/>
  <c r="B19824" i="1"/>
  <c r="A19824" i="1"/>
  <c r="F19823" i="1"/>
  <c r="E19823" i="1"/>
  <c r="D19823" i="1"/>
  <c r="C19823" i="1"/>
  <c r="B19823" i="1"/>
  <c r="A19823" i="1"/>
  <c r="F19822" i="1"/>
  <c r="E19822" i="1"/>
  <c r="D19822" i="1"/>
  <c r="C19822" i="1"/>
  <c r="B19822" i="1"/>
  <c r="A19822" i="1"/>
  <c r="F19821" i="1"/>
  <c r="E19821" i="1"/>
  <c r="D19821" i="1"/>
  <c r="C19821" i="1"/>
  <c r="B19821" i="1"/>
  <c r="A19821" i="1"/>
  <c r="F19820" i="1"/>
  <c r="E19820" i="1"/>
  <c r="D19820" i="1"/>
  <c r="C19820" i="1"/>
  <c r="B19820" i="1"/>
  <c r="A19820" i="1"/>
  <c r="F19819" i="1"/>
  <c r="E19819" i="1"/>
  <c r="D19819" i="1"/>
  <c r="C19819" i="1"/>
  <c r="B19819" i="1"/>
  <c r="A19819" i="1"/>
  <c r="F19818" i="1"/>
  <c r="E19818" i="1"/>
  <c r="D19818" i="1"/>
  <c r="C19818" i="1"/>
  <c r="B19818" i="1"/>
  <c r="A19818" i="1"/>
  <c r="F19817" i="1"/>
  <c r="E19817" i="1"/>
  <c r="D19817" i="1"/>
  <c r="C19817" i="1"/>
  <c r="B19817" i="1"/>
  <c r="A19817" i="1"/>
  <c r="F19816" i="1"/>
  <c r="E19816" i="1"/>
  <c r="D19816" i="1"/>
  <c r="C19816" i="1"/>
  <c r="B19816" i="1"/>
  <c r="A19816" i="1"/>
  <c r="F19815" i="1"/>
  <c r="E19815" i="1"/>
  <c r="D19815" i="1"/>
  <c r="C19815" i="1"/>
  <c r="B19815" i="1"/>
  <c r="A19815" i="1"/>
  <c r="F19814" i="1"/>
  <c r="E19814" i="1"/>
  <c r="D19814" i="1"/>
  <c r="C19814" i="1"/>
  <c r="B19814" i="1"/>
  <c r="A19814" i="1"/>
  <c r="F19813" i="1"/>
  <c r="E19813" i="1"/>
  <c r="D19813" i="1"/>
  <c r="C19813" i="1"/>
  <c r="B19813" i="1"/>
  <c r="A19813" i="1"/>
  <c r="F19812" i="1"/>
  <c r="E19812" i="1"/>
  <c r="D19812" i="1"/>
  <c r="C19812" i="1"/>
  <c r="B19812" i="1"/>
  <c r="A19812" i="1"/>
  <c r="F19811" i="1"/>
  <c r="E19811" i="1"/>
  <c r="D19811" i="1"/>
  <c r="C19811" i="1"/>
  <c r="B19811" i="1"/>
  <c r="A19811" i="1"/>
  <c r="F19810" i="1"/>
  <c r="E19810" i="1"/>
  <c r="D19810" i="1"/>
  <c r="C19810" i="1"/>
  <c r="B19810" i="1"/>
  <c r="A19810" i="1"/>
  <c r="F19809" i="1"/>
  <c r="E19809" i="1"/>
  <c r="D19809" i="1"/>
  <c r="C19809" i="1"/>
  <c r="B19809" i="1"/>
  <c r="A19809" i="1"/>
  <c r="F19808" i="1"/>
  <c r="E19808" i="1"/>
  <c r="D19808" i="1"/>
  <c r="C19808" i="1"/>
  <c r="B19808" i="1"/>
  <c r="A19808" i="1"/>
  <c r="F19807" i="1"/>
  <c r="E19807" i="1"/>
  <c r="D19807" i="1"/>
  <c r="C19807" i="1"/>
  <c r="B19807" i="1"/>
  <c r="A19807" i="1"/>
  <c r="F19806" i="1"/>
  <c r="E19806" i="1"/>
  <c r="D19806" i="1"/>
  <c r="C19806" i="1"/>
  <c r="B19806" i="1"/>
  <c r="A19806" i="1"/>
  <c r="F19805" i="1"/>
  <c r="E19805" i="1"/>
  <c r="D19805" i="1"/>
  <c r="C19805" i="1"/>
  <c r="B19805" i="1"/>
  <c r="A19805" i="1"/>
  <c r="F19804" i="1"/>
  <c r="E19804" i="1"/>
  <c r="D19804" i="1"/>
  <c r="C19804" i="1"/>
  <c r="B19804" i="1"/>
  <c r="A19804" i="1"/>
  <c r="F19803" i="1"/>
  <c r="E19803" i="1"/>
  <c r="D19803" i="1"/>
  <c r="C19803" i="1"/>
  <c r="B19803" i="1"/>
  <c r="A19803" i="1"/>
  <c r="F19802" i="1"/>
  <c r="E19802" i="1"/>
  <c r="D19802" i="1"/>
  <c r="C19802" i="1"/>
  <c r="B19802" i="1"/>
  <c r="A19802" i="1"/>
  <c r="F19801" i="1"/>
  <c r="E19801" i="1"/>
  <c r="D19801" i="1"/>
  <c r="C19801" i="1"/>
  <c r="B19801" i="1"/>
  <c r="A19801" i="1"/>
  <c r="F19800" i="1"/>
  <c r="E19800" i="1"/>
  <c r="D19800" i="1"/>
  <c r="C19800" i="1"/>
  <c r="B19800" i="1"/>
  <c r="A19800" i="1"/>
  <c r="F19799" i="1"/>
  <c r="E19799" i="1"/>
  <c r="D19799" i="1"/>
  <c r="C19799" i="1"/>
  <c r="B19799" i="1"/>
  <c r="A19799" i="1"/>
  <c r="F19798" i="1"/>
  <c r="E19798" i="1"/>
  <c r="D19798" i="1"/>
  <c r="C19798" i="1"/>
  <c r="B19798" i="1"/>
  <c r="A19798" i="1"/>
  <c r="F19797" i="1"/>
  <c r="E19797" i="1"/>
  <c r="D19797" i="1"/>
  <c r="C19797" i="1"/>
  <c r="B19797" i="1"/>
  <c r="A19797" i="1"/>
  <c r="F19796" i="1"/>
  <c r="E19796" i="1"/>
  <c r="D19796" i="1"/>
  <c r="C19796" i="1"/>
  <c r="B19796" i="1"/>
  <c r="A19796" i="1"/>
  <c r="F19795" i="1"/>
  <c r="E19795" i="1"/>
  <c r="D19795" i="1"/>
  <c r="C19795" i="1"/>
  <c r="B19795" i="1"/>
  <c r="A19795" i="1"/>
  <c r="F19794" i="1"/>
  <c r="E19794" i="1"/>
  <c r="D19794" i="1"/>
  <c r="C19794" i="1"/>
  <c r="B19794" i="1"/>
  <c r="A19794" i="1"/>
  <c r="F19793" i="1"/>
  <c r="E19793" i="1"/>
  <c r="D19793" i="1"/>
  <c r="C19793" i="1"/>
  <c r="B19793" i="1"/>
  <c r="A19793" i="1"/>
  <c r="F19792" i="1"/>
  <c r="E19792" i="1"/>
  <c r="D19792" i="1"/>
  <c r="C19792" i="1"/>
  <c r="B19792" i="1"/>
  <c r="A19792" i="1"/>
  <c r="F19791" i="1"/>
  <c r="E19791" i="1"/>
  <c r="D19791" i="1"/>
  <c r="C19791" i="1"/>
  <c r="B19791" i="1"/>
  <c r="A19791" i="1"/>
  <c r="F19790" i="1"/>
  <c r="E19790" i="1"/>
  <c r="D19790" i="1"/>
  <c r="C19790" i="1"/>
  <c r="B19790" i="1"/>
  <c r="A19790" i="1"/>
  <c r="F19789" i="1"/>
  <c r="E19789" i="1"/>
  <c r="D19789" i="1"/>
  <c r="C19789" i="1"/>
  <c r="B19789" i="1"/>
  <c r="A19789" i="1"/>
  <c r="F19788" i="1"/>
  <c r="E19788" i="1"/>
  <c r="D19788" i="1"/>
  <c r="C19788" i="1"/>
  <c r="B19788" i="1"/>
  <c r="A19788" i="1"/>
  <c r="F19787" i="1"/>
  <c r="E19787" i="1"/>
  <c r="D19787" i="1"/>
  <c r="C19787" i="1"/>
  <c r="B19787" i="1"/>
  <c r="A19787" i="1"/>
  <c r="F19786" i="1"/>
  <c r="E19786" i="1"/>
  <c r="D19786" i="1"/>
  <c r="C19786" i="1"/>
  <c r="B19786" i="1"/>
  <c r="A19786" i="1"/>
  <c r="F19785" i="1"/>
  <c r="E19785" i="1"/>
  <c r="D19785" i="1"/>
  <c r="C19785" i="1"/>
  <c r="B19785" i="1"/>
  <c r="A19785" i="1"/>
  <c r="F19784" i="1"/>
  <c r="E19784" i="1"/>
  <c r="D19784" i="1"/>
  <c r="C19784" i="1"/>
  <c r="B19784" i="1"/>
  <c r="A19784" i="1"/>
  <c r="F19783" i="1"/>
  <c r="E19783" i="1"/>
  <c r="D19783" i="1"/>
  <c r="C19783" i="1"/>
  <c r="B19783" i="1"/>
  <c r="A19783" i="1"/>
  <c r="F19782" i="1"/>
  <c r="E19782" i="1"/>
  <c r="D19782" i="1"/>
  <c r="C19782" i="1"/>
  <c r="B19782" i="1"/>
  <c r="A19782" i="1"/>
  <c r="F19781" i="1"/>
  <c r="E19781" i="1"/>
  <c r="D19781" i="1"/>
  <c r="C19781" i="1"/>
  <c r="B19781" i="1"/>
  <c r="A19781" i="1"/>
  <c r="F19780" i="1"/>
  <c r="E19780" i="1"/>
  <c r="D19780" i="1"/>
  <c r="C19780" i="1"/>
  <c r="B19780" i="1"/>
  <c r="A19780" i="1"/>
  <c r="F19779" i="1"/>
  <c r="E19779" i="1"/>
  <c r="D19779" i="1"/>
  <c r="C19779" i="1"/>
  <c r="B19779" i="1"/>
  <c r="A19779" i="1"/>
  <c r="F19778" i="1"/>
  <c r="E19778" i="1"/>
  <c r="D19778" i="1"/>
  <c r="C19778" i="1"/>
  <c r="B19778" i="1"/>
  <c r="A19778" i="1"/>
  <c r="F19777" i="1"/>
  <c r="E19777" i="1"/>
  <c r="D19777" i="1"/>
  <c r="C19777" i="1"/>
  <c r="B19777" i="1"/>
  <c r="A19777" i="1"/>
  <c r="F19776" i="1"/>
  <c r="E19776" i="1"/>
  <c r="D19776" i="1"/>
  <c r="C19776" i="1"/>
  <c r="B19776" i="1"/>
  <c r="A19776" i="1"/>
  <c r="F19775" i="1"/>
  <c r="E19775" i="1"/>
  <c r="D19775" i="1"/>
  <c r="C19775" i="1"/>
  <c r="B19775" i="1"/>
  <c r="A19775" i="1"/>
  <c r="F19774" i="1"/>
  <c r="E19774" i="1"/>
  <c r="D19774" i="1"/>
  <c r="C19774" i="1"/>
  <c r="B19774" i="1"/>
  <c r="A19774" i="1"/>
  <c r="F19773" i="1"/>
  <c r="E19773" i="1"/>
  <c r="D19773" i="1"/>
  <c r="C19773" i="1"/>
  <c r="B19773" i="1"/>
  <c r="A19773" i="1"/>
  <c r="F19772" i="1"/>
  <c r="E19772" i="1"/>
  <c r="D19772" i="1"/>
  <c r="C19772" i="1"/>
  <c r="B19772" i="1"/>
  <c r="A19772" i="1"/>
  <c r="F19771" i="1"/>
  <c r="E19771" i="1"/>
  <c r="D19771" i="1"/>
  <c r="C19771" i="1"/>
  <c r="B19771" i="1"/>
  <c r="A19771" i="1"/>
  <c r="F19770" i="1"/>
  <c r="E19770" i="1"/>
  <c r="D19770" i="1"/>
  <c r="C19770" i="1"/>
  <c r="B19770" i="1"/>
  <c r="A19770" i="1"/>
  <c r="F19769" i="1"/>
  <c r="E19769" i="1"/>
  <c r="D19769" i="1"/>
  <c r="C19769" i="1"/>
  <c r="B19769" i="1"/>
  <c r="A19769" i="1"/>
  <c r="F19768" i="1"/>
  <c r="E19768" i="1"/>
  <c r="D19768" i="1"/>
  <c r="C19768" i="1"/>
  <c r="B19768" i="1"/>
  <c r="A19768" i="1"/>
  <c r="F19767" i="1"/>
  <c r="E19767" i="1"/>
  <c r="D19767" i="1"/>
  <c r="C19767" i="1"/>
  <c r="B19767" i="1"/>
  <c r="A19767" i="1"/>
  <c r="F19766" i="1"/>
  <c r="E19766" i="1"/>
  <c r="D19766" i="1"/>
  <c r="C19766" i="1"/>
  <c r="B19766" i="1"/>
  <c r="A19766" i="1"/>
  <c r="F19765" i="1"/>
  <c r="E19765" i="1"/>
  <c r="D19765" i="1"/>
  <c r="C19765" i="1"/>
  <c r="B19765" i="1"/>
  <c r="A19765" i="1"/>
  <c r="F19764" i="1"/>
  <c r="E19764" i="1"/>
  <c r="D19764" i="1"/>
  <c r="C19764" i="1"/>
  <c r="B19764" i="1"/>
  <c r="A19764" i="1"/>
  <c r="F19763" i="1"/>
  <c r="E19763" i="1"/>
  <c r="D19763" i="1"/>
  <c r="C19763" i="1"/>
  <c r="B19763" i="1"/>
  <c r="A19763" i="1"/>
  <c r="F19762" i="1"/>
  <c r="E19762" i="1"/>
  <c r="D19762" i="1"/>
  <c r="C19762" i="1"/>
  <c r="B19762" i="1"/>
  <c r="A19762" i="1"/>
  <c r="F19761" i="1"/>
  <c r="E19761" i="1"/>
  <c r="D19761" i="1"/>
  <c r="C19761" i="1"/>
  <c r="B19761" i="1"/>
  <c r="A19761" i="1"/>
  <c r="F19760" i="1"/>
  <c r="E19760" i="1"/>
  <c r="D19760" i="1"/>
  <c r="C19760" i="1"/>
  <c r="B19760" i="1"/>
  <c r="A19760" i="1"/>
  <c r="F19759" i="1"/>
  <c r="E19759" i="1"/>
  <c r="D19759" i="1"/>
  <c r="C19759" i="1"/>
  <c r="B19759" i="1"/>
  <c r="A19759" i="1"/>
  <c r="F19758" i="1"/>
  <c r="E19758" i="1"/>
  <c r="D19758" i="1"/>
  <c r="C19758" i="1"/>
  <c r="B19758" i="1"/>
  <c r="A19758" i="1"/>
  <c r="F19757" i="1"/>
  <c r="E19757" i="1"/>
  <c r="D19757" i="1"/>
  <c r="C19757" i="1"/>
  <c r="B19757" i="1"/>
  <c r="A19757" i="1"/>
  <c r="F19756" i="1"/>
  <c r="E19756" i="1"/>
  <c r="D19756" i="1"/>
  <c r="C19756" i="1"/>
  <c r="B19756" i="1"/>
  <c r="A19756" i="1"/>
  <c r="F19755" i="1"/>
  <c r="E19755" i="1"/>
  <c r="D19755" i="1"/>
  <c r="C19755" i="1"/>
  <c r="B19755" i="1"/>
  <c r="A19755" i="1"/>
  <c r="F19754" i="1"/>
  <c r="E19754" i="1"/>
  <c r="D19754" i="1"/>
  <c r="C19754" i="1"/>
  <c r="B19754" i="1"/>
  <c r="A19754" i="1"/>
  <c r="F19753" i="1"/>
  <c r="E19753" i="1"/>
  <c r="D19753" i="1"/>
  <c r="C19753" i="1"/>
  <c r="B19753" i="1"/>
  <c r="A19753" i="1"/>
  <c r="F19752" i="1"/>
  <c r="E19752" i="1"/>
  <c r="D19752" i="1"/>
  <c r="C19752" i="1"/>
  <c r="B19752" i="1"/>
  <c r="A19752" i="1"/>
  <c r="F19751" i="1"/>
  <c r="E19751" i="1"/>
  <c r="D19751" i="1"/>
  <c r="C19751" i="1"/>
  <c r="B19751" i="1"/>
  <c r="A19751" i="1"/>
  <c r="F19750" i="1"/>
  <c r="E19750" i="1"/>
  <c r="D19750" i="1"/>
  <c r="C19750" i="1"/>
  <c r="B19750" i="1"/>
  <c r="A19750" i="1"/>
  <c r="F19749" i="1"/>
  <c r="E19749" i="1"/>
  <c r="D19749" i="1"/>
  <c r="C19749" i="1"/>
  <c r="B19749" i="1"/>
  <c r="A19749" i="1"/>
  <c r="F19748" i="1"/>
  <c r="E19748" i="1"/>
  <c r="D19748" i="1"/>
  <c r="C19748" i="1"/>
  <c r="B19748" i="1"/>
  <c r="A19748" i="1"/>
  <c r="F19747" i="1"/>
  <c r="E19747" i="1"/>
  <c r="D19747" i="1"/>
  <c r="C19747" i="1"/>
  <c r="B19747" i="1"/>
  <c r="A19747" i="1"/>
  <c r="F19746" i="1"/>
  <c r="E19746" i="1"/>
  <c r="D19746" i="1"/>
  <c r="C19746" i="1"/>
  <c r="B19746" i="1"/>
  <c r="A19746" i="1"/>
  <c r="F19745" i="1"/>
  <c r="E19745" i="1"/>
  <c r="D19745" i="1"/>
  <c r="C19745" i="1"/>
  <c r="B19745" i="1"/>
  <c r="A19745" i="1"/>
  <c r="F19744" i="1"/>
  <c r="E19744" i="1"/>
  <c r="D19744" i="1"/>
  <c r="C19744" i="1"/>
  <c r="B19744" i="1"/>
  <c r="A19744" i="1"/>
  <c r="F19743" i="1"/>
  <c r="E19743" i="1"/>
  <c r="D19743" i="1"/>
  <c r="C19743" i="1"/>
  <c r="B19743" i="1"/>
  <c r="A19743" i="1"/>
  <c r="F19742" i="1"/>
  <c r="E19742" i="1"/>
  <c r="D19742" i="1"/>
  <c r="C19742" i="1"/>
  <c r="B19742" i="1"/>
  <c r="A19742" i="1"/>
  <c r="F19741" i="1"/>
  <c r="E19741" i="1"/>
  <c r="D19741" i="1"/>
  <c r="C19741" i="1"/>
  <c r="B19741" i="1"/>
  <c r="A19741" i="1"/>
  <c r="F19740" i="1"/>
  <c r="E19740" i="1"/>
  <c r="D19740" i="1"/>
  <c r="C19740" i="1"/>
  <c r="B19740" i="1"/>
  <c r="A19740" i="1"/>
  <c r="F19739" i="1"/>
  <c r="E19739" i="1"/>
  <c r="D19739" i="1"/>
  <c r="C19739" i="1"/>
  <c r="B19739" i="1"/>
  <c r="A19739" i="1"/>
  <c r="F19738" i="1"/>
  <c r="E19738" i="1"/>
  <c r="D19738" i="1"/>
  <c r="C19738" i="1"/>
  <c r="B19738" i="1"/>
  <c r="A19738" i="1"/>
  <c r="F19737" i="1"/>
  <c r="E19737" i="1"/>
  <c r="D19737" i="1"/>
  <c r="C19737" i="1"/>
  <c r="B19737" i="1"/>
  <c r="A19737" i="1"/>
  <c r="F19736" i="1"/>
  <c r="E19736" i="1"/>
  <c r="D19736" i="1"/>
  <c r="C19736" i="1"/>
  <c r="B19736" i="1"/>
  <c r="A19736" i="1"/>
  <c r="F19735" i="1"/>
  <c r="E19735" i="1"/>
  <c r="D19735" i="1"/>
  <c r="C19735" i="1"/>
  <c r="B19735" i="1"/>
  <c r="A19735" i="1"/>
  <c r="F19734" i="1"/>
  <c r="E19734" i="1"/>
  <c r="D19734" i="1"/>
  <c r="C19734" i="1"/>
  <c r="B19734" i="1"/>
  <c r="A19734" i="1"/>
  <c r="F19733" i="1"/>
  <c r="E19733" i="1"/>
  <c r="D19733" i="1"/>
  <c r="C19733" i="1"/>
  <c r="B19733" i="1"/>
  <c r="A19733" i="1"/>
  <c r="F19732" i="1"/>
  <c r="E19732" i="1"/>
  <c r="D19732" i="1"/>
  <c r="C19732" i="1"/>
  <c r="B19732" i="1"/>
  <c r="A19732" i="1"/>
  <c r="F19731" i="1"/>
  <c r="E19731" i="1"/>
  <c r="D19731" i="1"/>
  <c r="C19731" i="1"/>
  <c r="B19731" i="1"/>
  <c r="A19731" i="1"/>
  <c r="F19730" i="1"/>
  <c r="E19730" i="1"/>
  <c r="D19730" i="1"/>
  <c r="C19730" i="1"/>
  <c r="B19730" i="1"/>
  <c r="A19730" i="1"/>
  <c r="F19729" i="1"/>
  <c r="E19729" i="1"/>
  <c r="D19729" i="1"/>
  <c r="C19729" i="1"/>
  <c r="B19729" i="1"/>
  <c r="A19729" i="1"/>
  <c r="F19728" i="1"/>
  <c r="E19728" i="1"/>
  <c r="D19728" i="1"/>
  <c r="C19728" i="1"/>
  <c r="B19728" i="1"/>
  <c r="A19728" i="1"/>
  <c r="F19727" i="1"/>
  <c r="E19727" i="1"/>
  <c r="D19727" i="1"/>
  <c r="C19727" i="1"/>
  <c r="B19727" i="1"/>
  <c r="A19727" i="1"/>
  <c r="F19726" i="1"/>
  <c r="E19726" i="1"/>
  <c r="D19726" i="1"/>
  <c r="C19726" i="1"/>
  <c r="B19726" i="1"/>
  <c r="A19726" i="1"/>
  <c r="F19725" i="1"/>
  <c r="E19725" i="1"/>
  <c r="D19725" i="1"/>
  <c r="C19725" i="1"/>
  <c r="B19725" i="1"/>
  <c r="A19725" i="1"/>
  <c r="F19724" i="1"/>
  <c r="E19724" i="1"/>
  <c r="D19724" i="1"/>
  <c r="C19724" i="1"/>
  <c r="B19724" i="1"/>
  <c r="A19724" i="1"/>
  <c r="F19723" i="1"/>
  <c r="E19723" i="1"/>
  <c r="D19723" i="1"/>
  <c r="C19723" i="1"/>
  <c r="B19723" i="1"/>
  <c r="A19723" i="1"/>
  <c r="F19722" i="1"/>
  <c r="E19722" i="1"/>
  <c r="D19722" i="1"/>
  <c r="C19722" i="1"/>
  <c r="B19722" i="1"/>
  <c r="A19722" i="1"/>
  <c r="F19721" i="1"/>
  <c r="E19721" i="1"/>
  <c r="D19721" i="1"/>
  <c r="C19721" i="1"/>
  <c r="B19721" i="1"/>
  <c r="A19721" i="1"/>
  <c r="F19720" i="1"/>
  <c r="E19720" i="1"/>
  <c r="D19720" i="1"/>
  <c r="C19720" i="1"/>
  <c r="B19720" i="1"/>
  <c r="A19720" i="1"/>
  <c r="F19719" i="1"/>
  <c r="E19719" i="1"/>
  <c r="D19719" i="1"/>
  <c r="C19719" i="1"/>
  <c r="B19719" i="1"/>
  <c r="A19719" i="1"/>
  <c r="F19718" i="1"/>
  <c r="E19718" i="1"/>
  <c r="D19718" i="1"/>
  <c r="C19718" i="1"/>
  <c r="B19718" i="1"/>
  <c r="A19718" i="1"/>
  <c r="F19717" i="1"/>
  <c r="E19717" i="1"/>
  <c r="D19717" i="1"/>
  <c r="C19717" i="1"/>
  <c r="B19717" i="1"/>
  <c r="A19717" i="1"/>
  <c r="F19716" i="1"/>
  <c r="E19716" i="1"/>
  <c r="D19716" i="1"/>
  <c r="C19716" i="1"/>
  <c r="B19716" i="1"/>
  <c r="A19716" i="1"/>
  <c r="F19715" i="1"/>
  <c r="E19715" i="1"/>
  <c r="D19715" i="1"/>
  <c r="C19715" i="1"/>
  <c r="B19715" i="1"/>
  <c r="A19715" i="1"/>
  <c r="F19714" i="1"/>
  <c r="E19714" i="1"/>
  <c r="D19714" i="1"/>
  <c r="C19714" i="1"/>
  <c r="B19714" i="1"/>
  <c r="A19714" i="1"/>
  <c r="F19713" i="1"/>
  <c r="E19713" i="1"/>
  <c r="D19713" i="1"/>
  <c r="C19713" i="1"/>
  <c r="B19713" i="1"/>
  <c r="A19713" i="1"/>
  <c r="F19712" i="1"/>
  <c r="E19712" i="1"/>
  <c r="D19712" i="1"/>
  <c r="C19712" i="1"/>
  <c r="B19712" i="1"/>
  <c r="A19712" i="1"/>
  <c r="F19711" i="1"/>
  <c r="E19711" i="1"/>
  <c r="D19711" i="1"/>
  <c r="C19711" i="1"/>
  <c r="B19711" i="1"/>
  <c r="A19711" i="1"/>
  <c r="F19710" i="1"/>
  <c r="E19710" i="1"/>
  <c r="D19710" i="1"/>
  <c r="C19710" i="1"/>
  <c r="B19710" i="1"/>
  <c r="A19710" i="1"/>
  <c r="F19709" i="1"/>
  <c r="E19709" i="1"/>
  <c r="D19709" i="1"/>
  <c r="C19709" i="1"/>
  <c r="B19709" i="1"/>
  <c r="A19709" i="1"/>
  <c r="F19708" i="1"/>
  <c r="E19708" i="1"/>
  <c r="D19708" i="1"/>
  <c r="C19708" i="1"/>
  <c r="B19708" i="1"/>
  <c r="A19708" i="1"/>
  <c r="F19707" i="1"/>
  <c r="E19707" i="1"/>
  <c r="D19707" i="1"/>
  <c r="C19707" i="1"/>
  <c r="B19707" i="1"/>
  <c r="A19707" i="1"/>
  <c r="F19706" i="1"/>
  <c r="E19706" i="1"/>
  <c r="D19706" i="1"/>
  <c r="C19706" i="1"/>
  <c r="B19706" i="1"/>
  <c r="A19706" i="1"/>
  <c r="F19705" i="1"/>
  <c r="E19705" i="1"/>
  <c r="D19705" i="1"/>
  <c r="C19705" i="1"/>
  <c r="B19705" i="1"/>
  <c r="A19705" i="1"/>
  <c r="F19704" i="1"/>
  <c r="E19704" i="1"/>
  <c r="D19704" i="1"/>
  <c r="C19704" i="1"/>
  <c r="B19704" i="1"/>
  <c r="A19704" i="1"/>
  <c r="F19703" i="1"/>
  <c r="E19703" i="1"/>
  <c r="D19703" i="1"/>
  <c r="C19703" i="1"/>
  <c r="B19703" i="1"/>
  <c r="A19703" i="1"/>
  <c r="F19702" i="1"/>
  <c r="E19702" i="1"/>
  <c r="D19702" i="1"/>
  <c r="C19702" i="1"/>
  <c r="B19702" i="1"/>
  <c r="A19702" i="1"/>
  <c r="F19701" i="1"/>
  <c r="E19701" i="1"/>
  <c r="D19701" i="1"/>
  <c r="C19701" i="1"/>
  <c r="B19701" i="1"/>
  <c r="A19701" i="1"/>
  <c r="F19700" i="1"/>
  <c r="E19700" i="1"/>
  <c r="D19700" i="1"/>
  <c r="C19700" i="1"/>
  <c r="B19700" i="1"/>
  <c r="A19700" i="1"/>
  <c r="F19699" i="1"/>
  <c r="E19699" i="1"/>
  <c r="D19699" i="1"/>
  <c r="C19699" i="1"/>
  <c r="B19699" i="1"/>
  <c r="A19699" i="1"/>
  <c r="F19698" i="1"/>
  <c r="E19698" i="1"/>
  <c r="D19698" i="1"/>
  <c r="C19698" i="1"/>
  <c r="B19698" i="1"/>
  <c r="A19698" i="1"/>
  <c r="F19697" i="1"/>
  <c r="E19697" i="1"/>
  <c r="D19697" i="1"/>
  <c r="C19697" i="1"/>
  <c r="B19697" i="1"/>
  <c r="A19697" i="1"/>
  <c r="F19696" i="1"/>
  <c r="E19696" i="1"/>
  <c r="D19696" i="1"/>
  <c r="C19696" i="1"/>
  <c r="B19696" i="1"/>
  <c r="A19696" i="1"/>
  <c r="F19695" i="1"/>
  <c r="E19695" i="1"/>
  <c r="D19695" i="1"/>
  <c r="C19695" i="1"/>
  <c r="B19695" i="1"/>
  <c r="A19695" i="1"/>
  <c r="F19694" i="1"/>
  <c r="E19694" i="1"/>
  <c r="D19694" i="1"/>
  <c r="C19694" i="1"/>
  <c r="B19694" i="1"/>
  <c r="A19694" i="1"/>
  <c r="F19693" i="1"/>
  <c r="E19693" i="1"/>
  <c r="D19693" i="1"/>
  <c r="C19693" i="1"/>
  <c r="B19693" i="1"/>
  <c r="A19693" i="1"/>
  <c r="F19692" i="1"/>
  <c r="E19692" i="1"/>
  <c r="D19692" i="1"/>
  <c r="C19692" i="1"/>
  <c r="B19692" i="1"/>
  <c r="A19692" i="1"/>
  <c r="F19691" i="1"/>
  <c r="E19691" i="1"/>
  <c r="D19691" i="1"/>
  <c r="C19691" i="1"/>
  <c r="B19691" i="1"/>
  <c r="A19691" i="1"/>
  <c r="F19690" i="1"/>
  <c r="E19690" i="1"/>
  <c r="D19690" i="1"/>
  <c r="C19690" i="1"/>
  <c r="B19690" i="1"/>
  <c r="A19690" i="1"/>
  <c r="F19689" i="1"/>
  <c r="E19689" i="1"/>
  <c r="D19689" i="1"/>
  <c r="C19689" i="1"/>
  <c r="B19689" i="1"/>
  <c r="A19689" i="1"/>
  <c r="F19688" i="1"/>
  <c r="E19688" i="1"/>
  <c r="D19688" i="1"/>
  <c r="C19688" i="1"/>
  <c r="B19688" i="1"/>
  <c r="A19688" i="1"/>
  <c r="F19687" i="1"/>
  <c r="E19687" i="1"/>
  <c r="D19687" i="1"/>
  <c r="C19687" i="1"/>
  <c r="B19687" i="1"/>
  <c r="A19687" i="1"/>
  <c r="F19686" i="1"/>
  <c r="E19686" i="1"/>
  <c r="D19686" i="1"/>
  <c r="C19686" i="1"/>
  <c r="B19686" i="1"/>
  <c r="A19686" i="1"/>
  <c r="F19685" i="1"/>
  <c r="E19685" i="1"/>
  <c r="D19685" i="1"/>
  <c r="C19685" i="1"/>
  <c r="B19685" i="1"/>
  <c r="A19685" i="1"/>
  <c r="F19684" i="1"/>
  <c r="E19684" i="1"/>
  <c r="D19684" i="1"/>
  <c r="C19684" i="1"/>
  <c r="B19684" i="1"/>
  <c r="A19684" i="1"/>
  <c r="F19683" i="1"/>
  <c r="E19683" i="1"/>
  <c r="D19683" i="1"/>
  <c r="C19683" i="1"/>
  <c r="B19683" i="1"/>
  <c r="A19683" i="1"/>
  <c r="F19682" i="1"/>
  <c r="E19682" i="1"/>
  <c r="D19682" i="1"/>
  <c r="C19682" i="1"/>
  <c r="B19682" i="1"/>
  <c r="A19682" i="1"/>
  <c r="F19681" i="1"/>
  <c r="E19681" i="1"/>
  <c r="D19681" i="1"/>
  <c r="C19681" i="1"/>
  <c r="B19681" i="1"/>
  <c r="A19681" i="1"/>
  <c r="F19680" i="1"/>
  <c r="E19680" i="1"/>
  <c r="D19680" i="1"/>
  <c r="C19680" i="1"/>
  <c r="B19680" i="1"/>
  <c r="A19680" i="1"/>
  <c r="F19679" i="1"/>
  <c r="E19679" i="1"/>
  <c r="D19679" i="1"/>
  <c r="C19679" i="1"/>
  <c r="B19679" i="1"/>
  <c r="A19679" i="1"/>
  <c r="F19678" i="1"/>
  <c r="E19678" i="1"/>
  <c r="D19678" i="1"/>
  <c r="C19678" i="1"/>
  <c r="B19678" i="1"/>
  <c r="A19678" i="1"/>
  <c r="F19677" i="1"/>
  <c r="E19677" i="1"/>
  <c r="D19677" i="1"/>
  <c r="C19677" i="1"/>
  <c r="B19677" i="1"/>
  <c r="A19677" i="1"/>
  <c r="F19676" i="1"/>
  <c r="E19676" i="1"/>
  <c r="D19676" i="1"/>
  <c r="C19676" i="1"/>
  <c r="B19676" i="1"/>
  <c r="A19676" i="1"/>
  <c r="F19675" i="1"/>
  <c r="E19675" i="1"/>
  <c r="D19675" i="1"/>
  <c r="C19675" i="1"/>
  <c r="B19675" i="1"/>
  <c r="A19675" i="1"/>
  <c r="F19674" i="1"/>
  <c r="E19674" i="1"/>
  <c r="D19674" i="1"/>
  <c r="C19674" i="1"/>
  <c r="B19674" i="1"/>
  <c r="A19674" i="1"/>
  <c r="F19673" i="1"/>
  <c r="E19673" i="1"/>
  <c r="D19673" i="1"/>
  <c r="C19673" i="1"/>
  <c r="B19673" i="1"/>
  <c r="A19673" i="1"/>
  <c r="F19672" i="1"/>
  <c r="E19672" i="1"/>
  <c r="D19672" i="1"/>
  <c r="C19672" i="1"/>
  <c r="B19672" i="1"/>
  <c r="A19672" i="1"/>
  <c r="F19671" i="1"/>
  <c r="E19671" i="1"/>
  <c r="D19671" i="1"/>
  <c r="C19671" i="1"/>
  <c r="B19671" i="1"/>
  <c r="A19671" i="1"/>
  <c r="F19670" i="1"/>
  <c r="E19670" i="1"/>
  <c r="D19670" i="1"/>
  <c r="C19670" i="1"/>
  <c r="B19670" i="1"/>
  <c r="A19670" i="1"/>
  <c r="F19669" i="1"/>
  <c r="E19669" i="1"/>
  <c r="D19669" i="1"/>
  <c r="C19669" i="1"/>
  <c r="B19669" i="1"/>
  <c r="A19669" i="1"/>
  <c r="F19668" i="1"/>
  <c r="E19668" i="1"/>
  <c r="D19668" i="1"/>
  <c r="C19668" i="1"/>
  <c r="B19668" i="1"/>
  <c r="A19668" i="1"/>
  <c r="F19667" i="1"/>
  <c r="E19667" i="1"/>
  <c r="D19667" i="1"/>
  <c r="C19667" i="1"/>
  <c r="B19667" i="1"/>
  <c r="A19667" i="1"/>
  <c r="F19666" i="1"/>
  <c r="E19666" i="1"/>
  <c r="D19666" i="1"/>
  <c r="C19666" i="1"/>
  <c r="B19666" i="1"/>
  <c r="A19666" i="1"/>
  <c r="F19665" i="1"/>
  <c r="E19665" i="1"/>
  <c r="D19665" i="1"/>
  <c r="C19665" i="1"/>
  <c r="B19665" i="1"/>
  <c r="A19665" i="1"/>
  <c r="F19664" i="1"/>
  <c r="E19664" i="1"/>
  <c r="D19664" i="1"/>
  <c r="C19664" i="1"/>
  <c r="B19664" i="1"/>
  <c r="A19664" i="1"/>
  <c r="F19663" i="1"/>
  <c r="E19663" i="1"/>
  <c r="D19663" i="1"/>
  <c r="C19663" i="1"/>
  <c r="B19663" i="1"/>
  <c r="A19663" i="1"/>
  <c r="F19662" i="1"/>
  <c r="E19662" i="1"/>
  <c r="D19662" i="1"/>
  <c r="C19662" i="1"/>
  <c r="B19662" i="1"/>
  <c r="A19662" i="1"/>
  <c r="F19661" i="1"/>
  <c r="E19661" i="1"/>
  <c r="D19661" i="1"/>
  <c r="C19661" i="1"/>
  <c r="B19661" i="1"/>
  <c r="A19661" i="1"/>
  <c r="F19660" i="1"/>
  <c r="E19660" i="1"/>
  <c r="D19660" i="1"/>
  <c r="C19660" i="1"/>
  <c r="B19660" i="1"/>
  <c r="A19660" i="1"/>
  <c r="F19659" i="1"/>
  <c r="E19659" i="1"/>
  <c r="D19659" i="1"/>
  <c r="C19659" i="1"/>
  <c r="B19659" i="1"/>
  <c r="A19659" i="1"/>
  <c r="F19658" i="1"/>
  <c r="E19658" i="1"/>
  <c r="D19658" i="1"/>
  <c r="C19658" i="1"/>
  <c r="B19658" i="1"/>
  <c r="A19658" i="1"/>
  <c r="F19657" i="1"/>
  <c r="E19657" i="1"/>
  <c r="D19657" i="1"/>
  <c r="C19657" i="1"/>
  <c r="B19657" i="1"/>
  <c r="A19657" i="1"/>
  <c r="F19656" i="1"/>
  <c r="E19656" i="1"/>
  <c r="D19656" i="1"/>
  <c r="C19656" i="1"/>
  <c r="B19656" i="1"/>
  <c r="A19656" i="1"/>
  <c r="F19655" i="1"/>
  <c r="E19655" i="1"/>
  <c r="D19655" i="1"/>
  <c r="C19655" i="1"/>
  <c r="B19655" i="1"/>
  <c r="A19655" i="1"/>
  <c r="F19654" i="1"/>
  <c r="E19654" i="1"/>
  <c r="D19654" i="1"/>
  <c r="C19654" i="1"/>
  <c r="B19654" i="1"/>
  <c r="A19654" i="1"/>
  <c r="F19653" i="1"/>
  <c r="E19653" i="1"/>
  <c r="D19653" i="1"/>
  <c r="C19653" i="1"/>
  <c r="B19653" i="1"/>
  <c r="A19653" i="1"/>
  <c r="F19652" i="1"/>
  <c r="E19652" i="1"/>
  <c r="D19652" i="1"/>
  <c r="C19652" i="1"/>
  <c r="B19652" i="1"/>
  <c r="A19652" i="1"/>
  <c r="F19651" i="1"/>
  <c r="E19651" i="1"/>
  <c r="D19651" i="1"/>
  <c r="C19651" i="1"/>
  <c r="B19651" i="1"/>
  <c r="A19651" i="1"/>
  <c r="F19650" i="1"/>
  <c r="E19650" i="1"/>
  <c r="D19650" i="1"/>
  <c r="C19650" i="1"/>
  <c r="B19650" i="1"/>
  <c r="A19650" i="1"/>
  <c r="F19649" i="1"/>
  <c r="E19649" i="1"/>
  <c r="D19649" i="1"/>
  <c r="C19649" i="1"/>
  <c r="B19649" i="1"/>
  <c r="A19649" i="1"/>
  <c r="F19648" i="1"/>
  <c r="E19648" i="1"/>
  <c r="D19648" i="1"/>
  <c r="C19648" i="1"/>
  <c r="B19648" i="1"/>
  <c r="A19648" i="1"/>
  <c r="F19647" i="1"/>
  <c r="E19647" i="1"/>
  <c r="D19647" i="1"/>
  <c r="C19647" i="1"/>
  <c r="B19647" i="1"/>
  <c r="A19647" i="1"/>
  <c r="F19646" i="1"/>
  <c r="E19646" i="1"/>
  <c r="D19646" i="1"/>
  <c r="C19646" i="1"/>
  <c r="B19646" i="1"/>
  <c r="A19646" i="1"/>
  <c r="F19645" i="1"/>
  <c r="E19645" i="1"/>
  <c r="D19645" i="1"/>
  <c r="C19645" i="1"/>
  <c r="B19645" i="1"/>
  <c r="A19645" i="1"/>
  <c r="F19644" i="1"/>
  <c r="E19644" i="1"/>
  <c r="D19644" i="1"/>
  <c r="C19644" i="1"/>
  <c r="B19644" i="1"/>
  <c r="A19644" i="1"/>
  <c r="F19643" i="1"/>
  <c r="E19643" i="1"/>
  <c r="D19643" i="1"/>
  <c r="C19643" i="1"/>
  <c r="B19643" i="1"/>
  <c r="A19643" i="1"/>
  <c r="F19642" i="1"/>
  <c r="E19642" i="1"/>
  <c r="D19642" i="1"/>
  <c r="C19642" i="1"/>
  <c r="B19642" i="1"/>
  <c r="A19642" i="1"/>
  <c r="F19641" i="1"/>
  <c r="E19641" i="1"/>
  <c r="D19641" i="1"/>
  <c r="C19641" i="1"/>
  <c r="B19641" i="1"/>
  <c r="A19641" i="1"/>
  <c r="F19640" i="1"/>
  <c r="E19640" i="1"/>
  <c r="D19640" i="1"/>
  <c r="C19640" i="1"/>
  <c r="B19640" i="1"/>
  <c r="A19640" i="1"/>
  <c r="F19639" i="1"/>
  <c r="E19639" i="1"/>
  <c r="D19639" i="1"/>
  <c r="C19639" i="1"/>
  <c r="B19639" i="1"/>
  <c r="A19639" i="1"/>
  <c r="F19638" i="1"/>
  <c r="E19638" i="1"/>
  <c r="D19638" i="1"/>
  <c r="C19638" i="1"/>
  <c r="B19638" i="1"/>
  <c r="A19638" i="1"/>
  <c r="F19637" i="1"/>
  <c r="E19637" i="1"/>
  <c r="D19637" i="1"/>
  <c r="C19637" i="1"/>
  <c r="B19637" i="1"/>
  <c r="A19637" i="1"/>
  <c r="F19636" i="1"/>
  <c r="E19636" i="1"/>
  <c r="D19636" i="1"/>
  <c r="C19636" i="1"/>
  <c r="B19636" i="1"/>
  <c r="A19636" i="1"/>
  <c r="F19635" i="1"/>
  <c r="E19635" i="1"/>
  <c r="D19635" i="1"/>
  <c r="C19635" i="1"/>
  <c r="B19635" i="1"/>
  <c r="A19635" i="1"/>
  <c r="F19634" i="1"/>
  <c r="E19634" i="1"/>
  <c r="D19634" i="1"/>
  <c r="C19634" i="1"/>
  <c r="B19634" i="1"/>
  <c r="A19634" i="1"/>
  <c r="F19633" i="1"/>
  <c r="E19633" i="1"/>
  <c r="D19633" i="1"/>
  <c r="C19633" i="1"/>
  <c r="B19633" i="1"/>
  <c r="A19633" i="1"/>
  <c r="F19632" i="1"/>
  <c r="E19632" i="1"/>
  <c r="D19632" i="1"/>
  <c r="C19632" i="1"/>
  <c r="B19632" i="1"/>
  <c r="A19632" i="1"/>
  <c r="F19631" i="1"/>
  <c r="E19631" i="1"/>
  <c r="D19631" i="1"/>
  <c r="C19631" i="1"/>
  <c r="B19631" i="1"/>
  <c r="A19631" i="1"/>
  <c r="F19630" i="1"/>
  <c r="E19630" i="1"/>
  <c r="D19630" i="1"/>
  <c r="C19630" i="1"/>
  <c r="B19630" i="1"/>
  <c r="A19630" i="1"/>
  <c r="F19629" i="1"/>
  <c r="E19629" i="1"/>
  <c r="D19629" i="1"/>
  <c r="C19629" i="1"/>
  <c r="B19629" i="1"/>
  <c r="A19629" i="1"/>
  <c r="F19628" i="1"/>
  <c r="E19628" i="1"/>
  <c r="D19628" i="1"/>
  <c r="C19628" i="1"/>
  <c r="B19628" i="1"/>
  <c r="A19628" i="1"/>
  <c r="F19627" i="1"/>
  <c r="E19627" i="1"/>
  <c r="D19627" i="1"/>
  <c r="C19627" i="1"/>
  <c r="B19627" i="1"/>
  <c r="A19627" i="1"/>
  <c r="F19626" i="1"/>
  <c r="E19626" i="1"/>
  <c r="D19626" i="1"/>
  <c r="C19626" i="1"/>
  <c r="B19626" i="1"/>
  <c r="A19626" i="1"/>
  <c r="F19625" i="1"/>
  <c r="E19625" i="1"/>
  <c r="D19625" i="1"/>
  <c r="C19625" i="1"/>
  <c r="B19625" i="1"/>
  <c r="A19625" i="1"/>
  <c r="F19624" i="1"/>
  <c r="E19624" i="1"/>
  <c r="D19624" i="1"/>
  <c r="C19624" i="1"/>
  <c r="B19624" i="1"/>
  <c r="A19624" i="1"/>
  <c r="F19623" i="1"/>
  <c r="E19623" i="1"/>
  <c r="D19623" i="1"/>
  <c r="C19623" i="1"/>
  <c r="B19623" i="1"/>
  <c r="A19623" i="1"/>
  <c r="F19622" i="1"/>
  <c r="E19622" i="1"/>
  <c r="D19622" i="1"/>
  <c r="C19622" i="1"/>
  <c r="B19622" i="1"/>
  <c r="A19622" i="1"/>
  <c r="F19621" i="1"/>
  <c r="E19621" i="1"/>
  <c r="D19621" i="1"/>
  <c r="C19621" i="1"/>
  <c r="B19621" i="1"/>
  <c r="A19621" i="1"/>
  <c r="F19620" i="1"/>
  <c r="E19620" i="1"/>
  <c r="D19620" i="1"/>
  <c r="C19620" i="1"/>
  <c r="B19620" i="1"/>
  <c r="A19620" i="1"/>
  <c r="F19619" i="1"/>
  <c r="E19619" i="1"/>
  <c r="D19619" i="1"/>
  <c r="C19619" i="1"/>
  <c r="B19619" i="1"/>
  <c r="A19619" i="1"/>
  <c r="F19618" i="1"/>
  <c r="E19618" i="1"/>
  <c r="D19618" i="1"/>
  <c r="C19618" i="1"/>
  <c r="B19618" i="1"/>
  <c r="A19618" i="1"/>
  <c r="F19617" i="1"/>
  <c r="E19617" i="1"/>
  <c r="D19617" i="1"/>
  <c r="C19617" i="1"/>
  <c r="B19617" i="1"/>
  <c r="A19617" i="1"/>
  <c r="F19616" i="1"/>
  <c r="E19616" i="1"/>
  <c r="D19616" i="1"/>
  <c r="C19616" i="1"/>
  <c r="B19616" i="1"/>
  <c r="A19616" i="1"/>
  <c r="F19615" i="1"/>
  <c r="E19615" i="1"/>
  <c r="D19615" i="1"/>
  <c r="C19615" i="1"/>
  <c r="B19615" i="1"/>
  <c r="A19615" i="1"/>
  <c r="F19614" i="1"/>
  <c r="E19614" i="1"/>
  <c r="D19614" i="1"/>
  <c r="C19614" i="1"/>
  <c r="B19614" i="1"/>
  <c r="A19614" i="1"/>
  <c r="F19613" i="1"/>
  <c r="E19613" i="1"/>
  <c r="D19613" i="1"/>
  <c r="C19613" i="1"/>
  <c r="B19613" i="1"/>
  <c r="A19613" i="1"/>
  <c r="F19612" i="1"/>
  <c r="E19612" i="1"/>
  <c r="D19612" i="1"/>
  <c r="C19612" i="1"/>
  <c r="B19612" i="1"/>
  <c r="A19612" i="1"/>
  <c r="F19611" i="1"/>
  <c r="E19611" i="1"/>
  <c r="D19611" i="1"/>
  <c r="C19611" i="1"/>
  <c r="B19611" i="1"/>
  <c r="A19611" i="1"/>
  <c r="F19610" i="1"/>
  <c r="E19610" i="1"/>
  <c r="D19610" i="1"/>
  <c r="C19610" i="1"/>
  <c r="B19610" i="1"/>
  <c r="A19610" i="1"/>
  <c r="F19609" i="1"/>
  <c r="E19609" i="1"/>
  <c r="D19609" i="1"/>
  <c r="C19609" i="1"/>
  <c r="B19609" i="1"/>
  <c r="A19609" i="1"/>
  <c r="F19608" i="1"/>
  <c r="E19608" i="1"/>
  <c r="D19608" i="1"/>
  <c r="C19608" i="1"/>
  <c r="B19608" i="1"/>
  <c r="A19608" i="1"/>
  <c r="F19607" i="1"/>
  <c r="E19607" i="1"/>
  <c r="D19607" i="1"/>
  <c r="C19607" i="1"/>
  <c r="B19607" i="1"/>
  <c r="A19607" i="1"/>
  <c r="F19606" i="1"/>
  <c r="E19606" i="1"/>
  <c r="D19606" i="1"/>
  <c r="C19606" i="1"/>
  <c r="B19606" i="1"/>
  <c r="A19606" i="1"/>
  <c r="F19605" i="1"/>
  <c r="E19605" i="1"/>
  <c r="D19605" i="1"/>
  <c r="C19605" i="1"/>
  <c r="B19605" i="1"/>
  <c r="A19605" i="1"/>
  <c r="F19604" i="1"/>
  <c r="E19604" i="1"/>
  <c r="D19604" i="1"/>
  <c r="C19604" i="1"/>
  <c r="B19604" i="1"/>
  <c r="A19604" i="1"/>
  <c r="F19603" i="1"/>
  <c r="E19603" i="1"/>
  <c r="D19603" i="1"/>
  <c r="C19603" i="1"/>
  <c r="B19603" i="1"/>
  <c r="A19603" i="1"/>
  <c r="F19602" i="1"/>
  <c r="E19602" i="1"/>
  <c r="D19602" i="1"/>
  <c r="C19602" i="1"/>
  <c r="B19602" i="1"/>
  <c r="A19602" i="1"/>
  <c r="F19601" i="1"/>
  <c r="E19601" i="1"/>
  <c r="D19601" i="1"/>
  <c r="C19601" i="1"/>
  <c r="B19601" i="1"/>
  <c r="A19601" i="1"/>
  <c r="F19600" i="1"/>
  <c r="E19600" i="1"/>
  <c r="D19600" i="1"/>
  <c r="C19600" i="1"/>
  <c r="B19600" i="1"/>
  <c r="A19600" i="1"/>
  <c r="F19599" i="1"/>
  <c r="E19599" i="1"/>
  <c r="D19599" i="1"/>
  <c r="C19599" i="1"/>
  <c r="B19599" i="1"/>
  <c r="A19599" i="1"/>
  <c r="F19598" i="1"/>
  <c r="E19598" i="1"/>
  <c r="D19598" i="1"/>
  <c r="C19598" i="1"/>
  <c r="B19598" i="1"/>
  <c r="A19598" i="1"/>
  <c r="F19597" i="1"/>
  <c r="E19597" i="1"/>
  <c r="D19597" i="1"/>
  <c r="C19597" i="1"/>
  <c r="B19597" i="1"/>
  <c r="A19597" i="1"/>
  <c r="F19596" i="1"/>
  <c r="E19596" i="1"/>
  <c r="D19596" i="1"/>
  <c r="C19596" i="1"/>
  <c r="B19596" i="1"/>
  <c r="A19596" i="1"/>
  <c r="F19595" i="1"/>
  <c r="E19595" i="1"/>
  <c r="D19595" i="1"/>
  <c r="C19595" i="1"/>
  <c r="B19595" i="1"/>
  <c r="A19595" i="1"/>
  <c r="F19594" i="1"/>
  <c r="E19594" i="1"/>
  <c r="D19594" i="1"/>
  <c r="C19594" i="1"/>
  <c r="B19594" i="1"/>
  <c r="A19594" i="1"/>
  <c r="F19593" i="1"/>
  <c r="E19593" i="1"/>
  <c r="D19593" i="1"/>
  <c r="C19593" i="1"/>
  <c r="B19593" i="1"/>
  <c r="A19593" i="1"/>
  <c r="F19592" i="1"/>
  <c r="E19592" i="1"/>
  <c r="D19592" i="1"/>
  <c r="C19592" i="1"/>
  <c r="B19592" i="1"/>
  <c r="A19592" i="1"/>
  <c r="F19591" i="1"/>
  <c r="E19591" i="1"/>
  <c r="D19591" i="1"/>
  <c r="C19591" i="1"/>
  <c r="B19591" i="1"/>
  <c r="A19591" i="1"/>
  <c r="F19590" i="1"/>
  <c r="E19590" i="1"/>
  <c r="D19590" i="1"/>
  <c r="C19590" i="1"/>
  <c r="B19590" i="1"/>
  <c r="A19590" i="1"/>
  <c r="F19589" i="1"/>
  <c r="E19589" i="1"/>
  <c r="D19589" i="1"/>
  <c r="C19589" i="1"/>
  <c r="B19589" i="1"/>
  <c r="A19589" i="1"/>
  <c r="F19588" i="1"/>
  <c r="E19588" i="1"/>
  <c r="D19588" i="1"/>
  <c r="C19588" i="1"/>
  <c r="B19588" i="1"/>
  <c r="A19588" i="1"/>
  <c r="F19587" i="1"/>
  <c r="E19587" i="1"/>
  <c r="D19587" i="1"/>
  <c r="C19587" i="1"/>
  <c r="B19587" i="1"/>
  <c r="A19587" i="1"/>
  <c r="F19586" i="1"/>
  <c r="E19586" i="1"/>
  <c r="D19586" i="1"/>
  <c r="C19586" i="1"/>
  <c r="B19586" i="1"/>
  <c r="A19586" i="1"/>
  <c r="F19585" i="1"/>
  <c r="E19585" i="1"/>
  <c r="D19585" i="1"/>
  <c r="C19585" i="1"/>
  <c r="B19585" i="1"/>
  <c r="A19585" i="1"/>
  <c r="F19584" i="1"/>
  <c r="E19584" i="1"/>
  <c r="D19584" i="1"/>
  <c r="C19584" i="1"/>
  <c r="B19584" i="1"/>
  <c r="A19584" i="1"/>
  <c r="F19583" i="1"/>
  <c r="E19583" i="1"/>
  <c r="D19583" i="1"/>
  <c r="C19583" i="1"/>
  <c r="B19583" i="1"/>
  <c r="A19583" i="1"/>
  <c r="F19582" i="1"/>
  <c r="E19582" i="1"/>
  <c r="D19582" i="1"/>
  <c r="C19582" i="1"/>
  <c r="B19582" i="1"/>
  <c r="A19582" i="1"/>
  <c r="F19581" i="1"/>
  <c r="E19581" i="1"/>
  <c r="D19581" i="1"/>
  <c r="C19581" i="1"/>
  <c r="B19581" i="1"/>
  <c r="A19581" i="1"/>
  <c r="F19580" i="1"/>
  <c r="E19580" i="1"/>
  <c r="D19580" i="1"/>
  <c r="C19580" i="1"/>
  <c r="B19580" i="1"/>
  <c r="A19580" i="1"/>
  <c r="F19579" i="1"/>
  <c r="E19579" i="1"/>
  <c r="D19579" i="1"/>
  <c r="C19579" i="1"/>
  <c r="B19579" i="1"/>
  <c r="A19579" i="1"/>
  <c r="F19578" i="1"/>
  <c r="E19578" i="1"/>
  <c r="D19578" i="1"/>
  <c r="C19578" i="1"/>
  <c r="B19578" i="1"/>
  <c r="A19578" i="1"/>
  <c r="F19577" i="1"/>
  <c r="E19577" i="1"/>
  <c r="D19577" i="1"/>
  <c r="C19577" i="1"/>
  <c r="B19577" i="1"/>
  <c r="A19577" i="1"/>
  <c r="F19576" i="1"/>
  <c r="E19576" i="1"/>
  <c r="D19576" i="1"/>
  <c r="C19576" i="1"/>
  <c r="B19576" i="1"/>
  <c r="A19576" i="1"/>
  <c r="F19575" i="1"/>
  <c r="E19575" i="1"/>
  <c r="D19575" i="1"/>
  <c r="C19575" i="1"/>
  <c r="B19575" i="1"/>
  <c r="A19575" i="1"/>
  <c r="F19574" i="1"/>
  <c r="E19574" i="1"/>
  <c r="D19574" i="1"/>
  <c r="C19574" i="1"/>
  <c r="B19574" i="1"/>
  <c r="A19574" i="1"/>
  <c r="F19573" i="1"/>
  <c r="E19573" i="1"/>
  <c r="D19573" i="1"/>
  <c r="C19573" i="1"/>
  <c r="B19573" i="1"/>
  <c r="A19573" i="1"/>
  <c r="F19572" i="1"/>
  <c r="E19572" i="1"/>
  <c r="D19572" i="1"/>
  <c r="C19572" i="1"/>
  <c r="B19572" i="1"/>
  <c r="A19572" i="1"/>
  <c r="F19571" i="1"/>
  <c r="E19571" i="1"/>
  <c r="D19571" i="1"/>
  <c r="C19571" i="1"/>
  <c r="B19571" i="1"/>
  <c r="A19571" i="1"/>
  <c r="F19570" i="1"/>
  <c r="E19570" i="1"/>
  <c r="D19570" i="1"/>
  <c r="C19570" i="1"/>
  <c r="B19570" i="1"/>
  <c r="A19570" i="1"/>
  <c r="F19569" i="1"/>
  <c r="E19569" i="1"/>
  <c r="D19569" i="1"/>
  <c r="C19569" i="1"/>
  <c r="B19569" i="1"/>
  <c r="A19569" i="1"/>
  <c r="F19568" i="1"/>
  <c r="E19568" i="1"/>
  <c r="D19568" i="1"/>
  <c r="C19568" i="1"/>
  <c r="B19568" i="1"/>
  <c r="A19568" i="1"/>
  <c r="F19567" i="1"/>
  <c r="E19567" i="1"/>
  <c r="D19567" i="1"/>
  <c r="C19567" i="1"/>
  <c r="B19567" i="1"/>
  <c r="A19567" i="1"/>
  <c r="F19566" i="1"/>
  <c r="E19566" i="1"/>
  <c r="D19566" i="1"/>
  <c r="C19566" i="1"/>
  <c r="B19566" i="1"/>
  <c r="A19566" i="1"/>
  <c r="F19565" i="1"/>
  <c r="E19565" i="1"/>
  <c r="D19565" i="1"/>
  <c r="C19565" i="1"/>
  <c r="B19565" i="1"/>
  <c r="A19565" i="1"/>
  <c r="F19564" i="1"/>
  <c r="E19564" i="1"/>
  <c r="D19564" i="1"/>
  <c r="C19564" i="1"/>
  <c r="B19564" i="1"/>
  <c r="A19564" i="1"/>
  <c r="F19563" i="1"/>
  <c r="E19563" i="1"/>
  <c r="D19563" i="1"/>
  <c r="C19563" i="1"/>
  <c r="B19563" i="1"/>
  <c r="A19563" i="1"/>
  <c r="F19562" i="1"/>
  <c r="E19562" i="1"/>
  <c r="D19562" i="1"/>
  <c r="C19562" i="1"/>
  <c r="B19562" i="1"/>
  <c r="A19562" i="1"/>
  <c r="F19561" i="1"/>
  <c r="E19561" i="1"/>
  <c r="D19561" i="1"/>
  <c r="C19561" i="1"/>
  <c r="B19561" i="1"/>
  <c r="A19561" i="1"/>
  <c r="F19560" i="1"/>
  <c r="E19560" i="1"/>
  <c r="D19560" i="1"/>
  <c r="C19560" i="1"/>
  <c r="B19560" i="1"/>
  <c r="A19560" i="1"/>
  <c r="F19559" i="1"/>
  <c r="E19559" i="1"/>
  <c r="D19559" i="1"/>
  <c r="C19559" i="1"/>
  <c r="B19559" i="1"/>
  <c r="A19559" i="1"/>
  <c r="F19558" i="1"/>
  <c r="E19558" i="1"/>
  <c r="D19558" i="1"/>
  <c r="C19558" i="1"/>
  <c r="B19558" i="1"/>
  <c r="A19558" i="1"/>
  <c r="F19557" i="1"/>
  <c r="E19557" i="1"/>
  <c r="D19557" i="1"/>
  <c r="C19557" i="1"/>
  <c r="B19557" i="1"/>
  <c r="A19557" i="1"/>
  <c r="F19556" i="1"/>
  <c r="E19556" i="1"/>
  <c r="D19556" i="1"/>
  <c r="C19556" i="1"/>
  <c r="B19556" i="1"/>
  <c r="A19556" i="1"/>
  <c r="F19555" i="1"/>
  <c r="E19555" i="1"/>
  <c r="D19555" i="1"/>
  <c r="C19555" i="1"/>
  <c r="B19555" i="1"/>
  <c r="A19555" i="1"/>
  <c r="F19554" i="1"/>
  <c r="E19554" i="1"/>
  <c r="D19554" i="1"/>
  <c r="C19554" i="1"/>
  <c r="B19554" i="1"/>
  <c r="A19554" i="1"/>
  <c r="F19553" i="1"/>
  <c r="E19553" i="1"/>
  <c r="D19553" i="1"/>
  <c r="C19553" i="1"/>
  <c r="B19553" i="1"/>
  <c r="A19553" i="1"/>
  <c r="F19552" i="1"/>
  <c r="E19552" i="1"/>
  <c r="D19552" i="1"/>
  <c r="C19552" i="1"/>
  <c r="B19552" i="1"/>
  <c r="A19552" i="1"/>
  <c r="F19551" i="1"/>
  <c r="E19551" i="1"/>
  <c r="D19551" i="1"/>
  <c r="C19551" i="1"/>
  <c r="B19551" i="1"/>
  <c r="A19551" i="1"/>
  <c r="F19550" i="1"/>
  <c r="E19550" i="1"/>
  <c r="D19550" i="1"/>
  <c r="C19550" i="1"/>
  <c r="B19550" i="1"/>
  <c r="A19550" i="1"/>
  <c r="F19549" i="1"/>
  <c r="E19549" i="1"/>
  <c r="D19549" i="1"/>
  <c r="C19549" i="1"/>
  <c r="B19549" i="1"/>
  <c r="A19549" i="1"/>
  <c r="F19548" i="1"/>
  <c r="E19548" i="1"/>
  <c r="D19548" i="1"/>
  <c r="C19548" i="1"/>
  <c r="B19548" i="1"/>
  <c r="A19548" i="1"/>
  <c r="F19547" i="1"/>
  <c r="E19547" i="1"/>
  <c r="D19547" i="1"/>
  <c r="C19547" i="1"/>
  <c r="B19547" i="1"/>
  <c r="A19547" i="1"/>
  <c r="F19546" i="1"/>
  <c r="E19546" i="1"/>
  <c r="D19546" i="1"/>
  <c r="C19546" i="1"/>
  <c r="B19546" i="1"/>
  <c r="A19546" i="1"/>
  <c r="F19545" i="1"/>
  <c r="E19545" i="1"/>
  <c r="D19545" i="1"/>
  <c r="C19545" i="1"/>
  <c r="B19545" i="1"/>
  <c r="A19545" i="1"/>
  <c r="F19544" i="1"/>
  <c r="E19544" i="1"/>
  <c r="D19544" i="1"/>
  <c r="C19544" i="1"/>
  <c r="B19544" i="1"/>
  <c r="A19544" i="1"/>
  <c r="F19543" i="1"/>
  <c r="E19543" i="1"/>
  <c r="D19543" i="1"/>
  <c r="C19543" i="1"/>
  <c r="B19543" i="1"/>
  <c r="A19543" i="1"/>
  <c r="F19542" i="1"/>
  <c r="E19542" i="1"/>
  <c r="D19542" i="1"/>
  <c r="C19542" i="1"/>
  <c r="B19542" i="1"/>
  <c r="A19542" i="1"/>
  <c r="F19541" i="1"/>
  <c r="E19541" i="1"/>
  <c r="D19541" i="1"/>
  <c r="C19541" i="1"/>
  <c r="B19541" i="1"/>
  <c r="A19541" i="1"/>
  <c r="F19540" i="1"/>
  <c r="E19540" i="1"/>
  <c r="D19540" i="1"/>
  <c r="C19540" i="1"/>
  <c r="B19540" i="1"/>
  <c r="A19540" i="1"/>
  <c r="F19539" i="1"/>
  <c r="E19539" i="1"/>
  <c r="D19539" i="1"/>
  <c r="C19539" i="1"/>
  <c r="B19539" i="1"/>
  <c r="A19539" i="1"/>
  <c r="F19538" i="1"/>
  <c r="E19538" i="1"/>
  <c r="D19538" i="1"/>
  <c r="C19538" i="1"/>
  <c r="B19538" i="1"/>
  <c r="A19538" i="1"/>
  <c r="F19537" i="1"/>
  <c r="E19537" i="1"/>
  <c r="D19537" i="1"/>
  <c r="C19537" i="1"/>
  <c r="B19537" i="1"/>
  <c r="A19537" i="1"/>
  <c r="F19536" i="1"/>
  <c r="E19536" i="1"/>
  <c r="D19536" i="1"/>
  <c r="C19536" i="1"/>
  <c r="B19536" i="1"/>
  <c r="A19536" i="1"/>
  <c r="F19535" i="1"/>
  <c r="E19535" i="1"/>
  <c r="D19535" i="1"/>
  <c r="C19535" i="1"/>
  <c r="B19535" i="1"/>
  <c r="A19535" i="1"/>
  <c r="F19534" i="1"/>
  <c r="E19534" i="1"/>
  <c r="D19534" i="1"/>
  <c r="C19534" i="1"/>
  <c r="B19534" i="1"/>
  <c r="A19534" i="1"/>
  <c r="F19533" i="1"/>
  <c r="E19533" i="1"/>
  <c r="D19533" i="1"/>
  <c r="C19533" i="1"/>
  <c r="B19533" i="1"/>
  <c r="A19533" i="1"/>
  <c r="F19532" i="1"/>
  <c r="E19532" i="1"/>
  <c r="D19532" i="1"/>
  <c r="C19532" i="1"/>
  <c r="B19532" i="1"/>
  <c r="A19532" i="1"/>
  <c r="F19531" i="1"/>
  <c r="E19531" i="1"/>
  <c r="D19531" i="1"/>
  <c r="C19531" i="1"/>
  <c r="B19531" i="1"/>
  <c r="A19531" i="1"/>
  <c r="F19530" i="1"/>
  <c r="E19530" i="1"/>
  <c r="D19530" i="1"/>
  <c r="C19530" i="1"/>
  <c r="B19530" i="1"/>
  <c r="A19530" i="1"/>
  <c r="F19529" i="1"/>
  <c r="E19529" i="1"/>
  <c r="D19529" i="1"/>
  <c r="C19529" i="1"/>
  <c r="B19529" i="1"/>
  <c r="A19529" i="1"/>
  <c r="F19528" i="1"/>
  <c r="E19528" i="1"/>
  <c r="D19528" i="1"/>
  <c r="C19528" i="1"/>
  <c r="B19528" i="1"/>
  <c r="A19528" i="1"/>
  <c r="F19527" i="1"/>
  <c r="E19527" i="1"/>
  <c r="D19527" i="1"/>
  <c r="C19527" i="1"/>
  <c r="B19527" i="1"/>
  <c r="A19527" i="1"/>
  <c r="F19526" i="1"/>
  <c r="E19526" i="1"/>
  <c r="D19526" i="1"/>
  <c r="C19526" i="1"/>
  <c r="B19526" i="1"/>
  <c r="A19526" i="1"/>
  <c r="F19525" i="1"/>
  <c r="E19525" i="1"/>
  <c r="D19525" i="1"/>
  <c r="C19525" i="1"/>
  <c r="B19525" i="1"/>
  <c r="A19525" i="1"/>
  <c r="F19524" i="1"/>
  <c r="E19524" i="1"/>
  <c r="D19524" i="1"/>
  <c r="C19524" i="1"/>
  <c r="B19524" i="1"/>
  <c r="A19524" i="1"/>
  <c r="F19523" i="1"/>
  <c r="E19523" i="1"/>
  <c r="D19523" i="1"/>
  <c r="C19523" i="1"/>
  <c r="B19523" i="1"/>
  <c r="A19523" i="1"/>
  <c r="F19522" i="1"/>
  <c r="E19522" i="1"/>
  <c r="D19522" i="1"/>
  <c r="C19522" i="1"/>
  <c r="B19522" i="1"/>
  <c r="A19522" i="1"/>
  <c r="F19521" i="1"/>
  <c r="E19521" i="1"/>
  <c r="D19521" i="1"/>
  <c r="C19521" i="1"/>
  <c r="B19521" i="1"/>
  <c r="A19521" i="1"/>
  <c r="F19520" i="1"/>
  <c r="E19520" i="1"/>
  <c r="D19520" i="1"/>
  <c r="C19520" i="1"/>
  <c r="B19520" i="1"/>
  <c r="A19520" i="1"/>
  <c r="F19519" i="1"/>
  <c r="E19519" i="1"/>
  <c r="D19519" i="1"/>
  <c r="C19519" i="1"/>
  <c r="B19519" i="1"/>
  <c r="A19519" i="1"/>
  <c r="F19518" i="1"/>
  <c r="E19518" i="1"/>
  <c r="D19518" i="1"/>
  <c r="C19518" i="1"/>
  <c r="B19518" i="1"/>
  <c r="A19518" i="1"/>
  <c r="F19517" i="1"/>
  <c r="E19517" i="1"/>
  <c r="D19517" i="1"/>
  <c r="C19517" i="1"/>
  <c r="B19517" i="1"/>
  <c r="A19517" i="1"/>
  <c r="F19516" i="1"/>
  <c r="E19516" i="1"/>
  <c r="D19516" i="1"/>
  <c r="C19516" i="1"/>
  <c r="B19516" i="1"/>
  <c r="A19516" i="1"/>
  <c r="F19515" i="1"/>
  <c r="E19515" i="1"/>
  <c r="D19515" i="1"/>
  <c r="C19515" i="1"/>
  <c r="B19515" i="1"/>
  <c r="A19515" i="1"/>
  <c r="F19514" i="1"/>
  <c r="E19514" i="1"/>
  <c r="D19514" i="1"/>
  <c r="C19514" i="1"/>
  <c r="B19514" i="1"/>
  <c r="A19514" i="1"/>
  <c r="F19513" i="1"/>
  <c r="E19513" i="1"/>
  <c r="D19513" i="1"/>
  <c r="C19513" i="1"/>
  <c r="B19513" i="1"/>
  <c r="A19513" i="1"/>
  <c r="F19512" i="1"/>
  <c r="E19512" i="1"/>
  <c r="D19512" i="1"/>
  <c r="C19512" i="1"/>
  <c r="B19512" i="1"/>
  <c r="A19512" i="1"/>
  <c r="F19511" i="1"/>
  <c r="E19511" i="1"/>
  <c r="D19511" i="1"/>
  <c r="C19511" i="1"/>
  <c r="B19511" i="1"/>
  <c r="A19511" i="1"/>
  <c r="F19510" i="1"/>
  <c r="E19510" i="1"/>
  <c r="D19510" i="1"/>
  <c r="C19510" i="1"/>
  <c r="B19510" i="1"/>
  <c r="A19510" i="1"/>
  <c r="F19509" i="1"/>
  <c r="E19509" i="1"/>
  <c r="D19509" i="1"/>
  <c r="C19509" i="1"/>
  <c r="B19509" i="1"/>
  <c r="A19509" i="1"/>
  <c r="F19508" i="1"/>
  <c r="E19508" i="1"/>
  <c r="D19508" i="1"/>
  <c r="C19508" i="1"/>
  <c r="B19508" i="1"/>
  <c r="A19508" i="1"/>
  <c r="F19507" i="1"/>
  <c r="E19507" i="1"/>
  <c r="D19507" i="1"/>
  <c r="C19507" i="1"/>
  <c r="B19507" i="1"/>
  <c r="A19507" i="1"/>
  <c r="F19506" i="1"/>
  <c r="E19506" i="1"/>
  <c r="D19506" i="1"/>
  <c r="C19506" i="1"/>
  <c r="B19506" i="1"/>
  <c r="A19506" i="1"/>
  <c r="F19505" i="1"/>
  <c r="E19505" i="1"/>
  <c r="D19505" i="1"/>
  <c r="C19505" i="1"/>
  <c r="B19505" i="1"/>
  <c r="A19505" i="1"/>
  <c r="F19504" i="1"/>
  <c r="E19504" i="1"/>
  <c r="D19504" i="1"/>
  <c r="C19504" i="1"/>
  <c r="B19504" i="1"/>
  <c r="A19504" i="1"/>
  <c r="F19503" i="1"/>
  <c r="E19503" i="1"/>
  <c r="D19503" i="1"/>
  <c r="C19503" i="1"/>
  <c r="B19503" i="1"/>
  <c r="A19503" i="1"/>
  <c r="F19502" i="1"/>
  <c r="E19502" i="1"/>
  <c r="D19502" i="1"/>
  <c r="C19502" i="1"/>
  <c r="B19502" i="1"/>
  <c r="A19502" i="1"/>
  <c r="F19501" i="1"/>
  <c r="E19501" i="1"/>
  <c r="D19501" i="1"/>
  <c r="C19501" i="1"/>
  <c r="B19501" i="1"/>
  <c r="A19501" i="1"/>
  <c r="F19500" i="1"/>
  <c r="E19500" i="1"/>
  <c r="D19500" i="1"/>
  <c r="C19500" i="1"/>
  <c r="B19500" i="1"/>
  <c r="A19500" i="1"/>
  <c r="F19499" i="1"/>
  <c r="E19499" i="1"/>
  <c r="D19499" i="1"/>
  <c r="C19499" i="1"/>
  <c r="B19499" i="1"/>
  <c r="A19499" i="1"/>
  <c r="F19498" i="1"/>
  <c r="E19498" i="1"/>
  <c r="D19498" i="1"/>
  <c r="C19498" i="1"/>
  <c r="B19498" i="1"/>
  <c r="A19498" i="1"/>
  <c r="F19497" i="1"/>
  <c r="E19497" i="1"/>
  <c r="D19497" i="1"/>
  <c r="C19497" i="1"/>
  <c r="B19497" i="1"/>
  <c r="A19497" i="1"/>
  <c r="F19496" i="1"/>
  <c r="E19496" i="1"/>
  <c r="D19496" i="1"/>
  <c r="C19496" i="1"/>
  <c r="B19496" i="1"/>
  <c r="A19496" i="1"/>
  <c r="F19495" i="1"/>
  <c r="E19495" i="1"/>
  <c r="D19495" i="1"/>
  <c r="C19495" i="1"/>
  <c r="B19495" i="1"/>
  <c r="A19495" i="1"/>
  <c r="F19494" i="1"/>
  <c r="E19494" i="1"/>
  <c r="D19494" i="1"/>
  <c r="C19494" i="1"/>
  <c r="B19494" i="1"/>
  <c r="A19494" i="1"/>
  <c r="F19493" i="1"/>
  <c r="E19493" i="1"/>
  <c r="D19493" i="1"/>
  <c r="C19493" i="1"/>
  <c r="B19493" i="1"/>
  <c r="A19493" i="1"/>
  <c r="F19492" i="1"/>
  <c r="E19492" i="1"/>
  <c r="D19492" i="1"/>
  <c r="C19492" i="1"/>
  <c r="B19492" i="1"/>
  <c r="A19492" i="1"/>
  <c r="F19491" i="1"/>
  <c r="E19491" i="1"/>
  <c r="D19491" i="1"/>
  <c r="C19491" i="1"/>
  <c r="B19491" i="1"/>
  <c r="A19491" i="1"/>
  <c r="F19490" i="1"/>
  <c r="E19490" i="1"/>
  <c r="D19490" i="1"/>
  <c r="C19490" i="1"/>
  <c r="B19490" i="1"/>
  <c r="A19490" i="1"/>
  <c r="F19489" i="1"/>
  <c r="E19489" i="1"/>
  <c r="D19489" i="1"/>
  <c r="C19489" i="1"/>
  <c r="B19489" i="1"/>
  <c r="A19489" i="1"/>
  <c r="F19488" i="1"/>
  <c r="E19488" i="1"/>
  <c r="D19488" i="1"/>
  <c r="C19488" i="1"/>
  <c r="B19488" i="1"/>
  <c r="A19488" i="1"/>
  <c r="F19487" i="1"/>
  <c r="E19487" i="1"/>
  <c r="D19487" i="1"/>
  <c r="C19487" i="1"/>
  <c r="B19487" i="1"/>
  <c r="A19487" i="1"/>
  <c r="F19486" i="1"/>
  <c r="E19486" i="1"/>
  <c r="D19486" i="1"/>
  <c r="C19486" i="1"/>
  <c r="B19486" i="1"/>
  <c r="A19486" i="1"/>
  <c r="F19485" i="1"/>
  <c r="E19485" i="1"/>
  <c r="D19485" i="1"/>
  <c r="C19485" i="1"/>
  <c r="B19485" i="1"/>
  <c r="A19485" i="1"/>
  <c r="F19484" i="1"/>
  <c r="E19484" i="1"/>
  <c r="D19484" i="1"/>
  <c r="C19484" i="1"/>
  <c r="B19484" i="1"/>
  <c r="A19484" i="1"/>
  <c r="F19483" i="1"/>
  <c r="E19483" i="1"/>
  <c r="D19483" i="1"/>
  <c r="C19483" i="1"/>
  <c r="B19483" i="1"/>
  <c r="A19483" i="1"/>
  <c r="F19482" i="1"/>
  <c r="E19482" i="1"/>
  <c r="D19482" i="1"/>
  <c r="C19482" i="1"/>
  <c r="B19482" i="1"/>
  <c r="A19482" i="1"/>
  <c r="F19481" i="1"/>
  <c r="E19481" i="1"/>
  <c r="D19481" i="1"/>
  <c r="C19481" i="1"/>
  <c r="B19481" i="1"/>
  <c r="A19481" i="1"/>
  <c r="F19480" i="1"/>
  <c r="E19480" i="1"/>
  <c r="D19480" i="1"/>
  <c r="C19480" i="1"/>
  <c r="B19480" i="1"/>
  <c r="A19480" i="1"/>
  <c r="F19479" i="1"/>
  <c r="E19479" i="1"/>
  <c r="D19479" i="1"/>
  <c r="C19479" i="1"/>
  <c r="B19479" i="1"/>
  <c r="A19479" i="1"/>
  <c r="F19478" i="1"/>
  <c r="E19478" i="1"/>
  <c r="D19478" i="1"/>
  <c r="C19478" i="1"/>
  <c r="B19478" i="1"/>
  <c r="A19478" i="1"/>
  <c r="F19477" i="1"/>
  <c r="E19477" i="1"/>
  <c r="D19477" i="1"/>
  <c r="C19477" i="1"/>
  <c r="B19477" i="1"/>
  <c r="A19477" i="1"/>
  <c r="F19476" i="1"/>
  <c r="E19476" i="1"/>
  <c r="D19476" i="1"/>
  <c r="C19476" i="1"/>
  <c r="B19476" i="1"/>
  <c r="A19476" i="1"/>
  <c r="F19475" i="1"/>
  <c r="E19475" i="1"/>
  <c r="D19475" i="1"/>
  <c r="C19475" i="1"/>
  <c r="B19475" i="1"/>
  <c r="A19475" i="1"/>
  <c r="F19474" i="1"/>
  <c r="E19474" i="1"/>
  <c r="D19474" i="1"/>
  <c r="C19474" i="1"/>
  <c r="B19474" i="1"/>
  <c r="A19474" i="1"/>
  <c r="F19473" i="1"/>
  <c r="E19473" i="1"/>
  <c r="D19473" i="1"/>
  <c r="C19473" i="1"/>
  <c r="B19473" i="1"/>
  <c r="A19473" i="1"/>
  <c r="F19472" i="1"/>
  <c r="E19472" i="1"/>
  <c r="D19472" i="1"/>
  <c r="C19472" i="1"/>
  <c r="B19472" i="1"/>
  <c r="A19472" i="1"/>
  <c r="F19471" i="1"/>
  <c r="E19471" i="1"/>
  <c r="D19471" i="1"/>
  <c r="C19471" i="1"/>
  <c r="B19471" i="1"/>
  <c r="A19471" i="1"/>
  <c r="F19470" i="1"/>
  <c r="E19470" i="1"/>
  <c r="D19470" i="1"/>
  <c r="C19470" i="1"/>
  <c r="B19470" i="1"/>
  <c r="A19470" i="1"/>
  <c r="F19469" i="1"/>
  <c r="E19469" i="1"/>
  <c r="D19469" i="1"/>
  <c r="C19469" i="1"/>
  <c r="B19469" i="1"/>
  <c r="A19469" i="1"/>
  <c r="F19468" i="1"/>
  <c r="E19468" i="1"/>
  <c r="D19468" i="1"/>
  <c r="C19468" i="1"/>
  <c r="B19468" i="1"/>
  <c r="A19468" i="1"/>
  <c r="F19467" i="1"/>
  <c r="E19467" i="1"/>
  <c r="D19467" i="1"/>
  <c r="C19467" i="1"/>
  <c r="B19467" i="1"/>
  <c r="A19467" i="1"/>
  <c r="F19466" i="1"/>
  <c r="E19466" i="1"/>
  <c r="D19466" i="1"/>
  <c r="C19466" i="1"/>
  <c r="B19466" i="1"/>
  <c r="A19466" i="1"/>
  <c r="F19465" i="1"/>
  <c r="E19465" i="1"/>
  <c r="D19465" i="1"/>
  <c r="C19465" i="1"/>
  <c r="B19465" i="1"/>
  <c r="A19465" i="1"/>
  <c r="F19464" i="1"/>
  <c r="E19464" i="1"/>
  <c r="D19464" i="1"/>
  <c r="C19464" i="1"/>
  <c r="B19464" i="1"/>
  <c r="A19464" i="1"/>
  <c r="F19463" i="1"/>
  <c r="E19463" i="1"/>
  <c r="D19463" i="1"/>
  <c r="C19463" i="1"/>
  <c r="B19463" i="1"/>
  <c r="A19463" i="1"/>
  <c r="F19462" i="1"/>
  <c r="E19462" i="1"/>
  <c r="D19462" i="1"/>
  <c r="C19462" i="1"/>
  <c r="B19462" i="1"/>
  <c r="A19462" i="1"/>
  <c r="F19461" i="1"/>
  <c r="E19461" i="1"/>
  <c r="D19461" i="1"/>
  <c r="C19461" i="1"/>
  <c r="B19461" i="1"/>
  <c r="A19461" i="1"/>
  <c r="F19460" i="1"/>
  <c r="E19460" i="1"/>
  <c r="D19460" i="1"/>
  <c r="C19460" i="1"/>
  <c r="B19460" i="1"/>
  <c r="A19460" i="1"/>
  <c r="F19459" i="1"/>
  <c r="E19459" i="1"/>
  <c r="D19459" i="1"/>
  <c r="C19459" i="1"/>
  <c r="B19459" i="1"/>
  <c r="A19459" i="1"/>
  <c r="F19458" i="1"/>
  <c r="E19458" i="1"/>
  <c r="D19458" i="1"/>
  <c r="C19458" i="1"/>
  <c r="B19458" i="1"/>
  <c r="A19458" i="1"/>
  <c r="F19457" i="1"/>
  <c r="E19457" i="1"/>
  <c r="D19457" i="1"/>
  <c r="C19457" i="1"/>
  <c r="B19457" i="1"/>
  <c r="A19457" i="1"/>
  <c r="F19456" i="1"/>
  <c r="E19456" i="1"/>
  <c r="D19456" i="1"/>
  <c r="C19456" i="1"/>
  <c r="B19456" i="1"/>
  <c r="A19456" i="1"/>
  <c r="F19455" i="1"/>
  <c r="E19455" i="1"/>
  <c r="D19455" i="1"/>
  <c r="C19455" i="1"/>
  <c r="B19455" i="1"/>
  <c r="A19455" i="1"/>
  <c r="F19454" i="1"/>
  <c r="E19454" i="1"/>
  <c r="D19454" i="1"/>
  <c r="C19454" i="1"/>
  <c r="B19454" i="1"/>
  <c r="A19454" i="1"/>
  <c r="F19453" i="1"/>
  <c r="E19453" i="1"/>
  <c r="D19453" i="1"/>
  <c r="C19453" i="1"/>
  <c r="B19453" i="1"/>
  <c r="A19453" i="1"/>
  <c r="F19452" i="1"/>
  <c r="E19452" i="1"/>
  <c r="D19452" i="1"/>
  <c r="C19452" i="1"/>
  <c r="B19452" i="1"/>
  <c r="A19452" i="1"/>
  <c r="F19451" i="1"/>
  <c r="E19451" i="1"/>
  <c r="D19451" i="1"/>
  <c r="C19451" i="1"/>
  <c r="B19451" i="1"/>
  <c r="A19451" i="1"/>
  <c r="F19450" i="1"/>
  <c r="E19450" i="1"/>
  <c r="D19450" i="1"/>
  <c r="C19450" i="1"/>
  <c r="B19450" i="1"/>
  <c r="A19450" i="1"/>
  <c r="F19449" i="1"/>
  <c r="E19449" i="1"/>
  <c r="D19449" i="1"/>
  <c r="C19449" i="1"/>
  <c r="B19449" i="1"/>
  <c r="A19449" i="1"/>
  <c r="F19448" i="1"/>
  <c r="E19448" i="1"/>
  <c r="D19448" i="1"/>
  <c r="C19448" i="1"/>
  <c r="B19448" i="1"/>
  <c r="A19448" i="1"/>
  <c r="F19447" i="1"/>
  <c r="E19447" i="1"/>
  <c r="D19447" i="1"/>
  <c r="C19447" i="1"/>
  <c r="B19447" i="1"/>
  <c r="A19447" i="1"/>
  <c r="F19446" i="1"/>
  <c r="E19446" i="1"/>
  <c r="D19446" i="1"/>
  <c r="C19446" i="1"/>
  <c r="B19446" i="1"/>
  <c r="A19446" i="1"/>
  <c r="F19445" i="1"/>
  <c r="E19445" i="1"/>
  <c r="D19445" i="1"/>
  <c r="C19445" i="1"/>
  <c r="B19445" i="1"/>
  <c r="A19445" i="1"/>
  <c r="F19444" i="1"/>
  <c r="E19444" i="1"/>
  <c r="D19444" i="1"/>
  <c r="C19444" i="1"/>
  <c r="B19444" i="1"/>
  <c r="A19444" i="1"/>
  <c r="F19443" i="1"/>
  <c r="E19443" i="1"/>
  <c r="D19443" i="1"/>
  <c r="C19443" i="1"/>
  <c r="B19443" i="1"/>
  <c r="A19443" i="1"/>
  <c r="F19442" i="1"/>
  <c r="E19442" i="1"/>
  <c r="D19442" i="1"/>
  <c r="C19442" i="1"/>
  <c r="B19442" i="1"/>
  <c r="A19442" i="1"/>
  <c r="F19441" i="1"/>
  <c r="E19441" i="1"/>
  <c r="D19441" i="1"/>
  <c r="C19441" i="1"/>
  <c r="B19441" i="1"/>
  <c r="A19441" i="1"/>
  <c r="F19440" i="1"/>
  <c r="E19440" i="1"/>
  <c r="D19440" i="1"/>
  <c r="C19440" i="1"/>
  <c r="B19440" i="1"/>
  <c r="A19440" i="1"/>
  <c r="F19439" i="1"/>
  <c r="E19439" i="1"/>
  <c r="D19439" i="1"/>
  <c r="C19439" i="1"/>
  <c r="B19439" i="1"/>
  <c r="A19439" i="1"/>
  <c r="F19438" i="1"/>
  <c r="E19438" i="1"/>
  <c r="D19438" i="1"/>
  <c r="C19438" i="1"/>
  <c r="B19438" i="1"/>
  <c r="A19438" i="1"/>
  <c r="F19437" i="1"/>
  <c r="E19437" i="1"/>
  <c r="D19437" i="1"/>
  <c r="C19437" i="1"/>
  <c r="B19437" i="1"/>
  <c r="A19437" i="1"/>
  <c r="F19436" i="1"/>
  <c r="E19436" i="1"/>
  <c r="D19436" i="1"/>
  <c r="C19436" i="1"/>
  <c r="B19436" i="1"/>
  <c r="A19436" i="1"/>
  <c r="F19435" i="1"/>
  <c r="E19435" i="1"/>
  <c r="D19435" i="1"/>
  <c r="C19435" i="1"/>
  <c r="B19435" i="1"/>
  <c r="A19435" i="1"/>
  <c r="F19434" i="1"/>
  <c r="E19434" i="1"/>
  <c r="D19434" i="1"/>
  <c r="C19434" i="1"/>
  <c r="B19434" i="1"/>
  <c r="A19434" i="1"/>
  <c r="F19433" i="1"/>
  <c r="E19433" i="1"/>
  <c r="D19433" i="1"/>
  <c r="C19433" i="1"/>
  <c r="B19433" i="1"/>
  <c r="A19433" i="1"/>
  <c r="F19432" i="1"/>
  <c r="E19432" i="1"/>
  <c r="D19432" i="1"/>
  <c r="C19432" i="1"/>
  <c r="B19432" i="1"/>
  <c r="A19432" i="1"/>
  <c r="F19431" i="1"/>
  <c r="E19431" i="1"/>
  <c r="D19431" i="1"/>
  <c r="C19431" i="1"/>
  <c r="B19431" i="1"/>
  <c r="A19431" i="1"/>
  <c r="F19430" i="1"/>
  <c r="E19430" i="1"/>
  <c r="D19430" i="1"/>
  <c r="C19430" i="1"/>
  <c r="B19430" i="1"/>
  <c r="A19430" i="1"/>
  <c r="F19429" i="1"/>
  <c r="E19429" i="1"/>
  <c r="D19429" i="1"/>
  <c r="C19429" i="1"/>
  <c r="B19429" i="1"/>
  <c r="A19429" i="1"/>
  <c r="F19428" i="1"/>
  <c r="E19428" i="1"/>
  <c r="D19428" i="1"/>
  <c r="C19428" i="1"/>
  <c r="B19428" i="1"/>
  <c r="A19428" i="1"/>
  <c r="F19427" i="1"/>
  <c r="E19427" i="1"/>
  <c r="D19427" i="1"/>
  <c r="C19427" i="1"/>
  <c r="B19427" i="1"/>
  <c r="A19427" i="1"/>
  <c r="F19426" i="1"/>
  <c r="E19426" i="1"/>
  <c r="D19426" i="1"/>
  <c r="C19426" i="1"/>
  <c r="B19426" i="1"/>
  <c r="A19426" i="1"/>
  <c r="F19425" i="1"/>
  <c r="E19425" i="1"/>
  <c r="D19425" i="1"/>
  <c r="C19425" i="1"/>
  <c r="B19425" i="1"/>
  <c r="A19425" i="1"/>
  <c r="F19424" i="1"/>
  <c r="E19424" i="1"/>
  <c r="D19424" i="1"/>
  <c r="C19424" i="1"/>
  <c r="B19424" i="1"/>
  <c r="A19424" i="1"/>
  <c r="F19423" i="1"/>
  <c r="E19423" i="1"/>
  <c r="D19423" i="1"/>
  <c r="C19423" i="1"/>
  <c r="B19423" i="1"/>
  <c r="A19423" i="1"/>
  <c r="F19422" i="1"/>
  <c r="E19422" i="1"/>
  <c r="D19422" i="1"/>
  <c r="C19422" i="1"/>
  <c r="B19422" i="1"/>
  <c r="A19422" i="1"/>
  <c r="F19421" i="1"/>
  <c r="E19421" i="1"/>
  <c r="D19421" i="1"/>
  <c r="C19421" i="1"/>
  <c r="B19421" i="1"/>
  <c r="A19421" i="1"/>
  <c r="F19420" i="1"/>
  <c r="E19420" i="1"/>
  <c r="D19420" i="1"/>
  <c r="C19420" i="1"/>
  <c r="B19420" i="1"/>
  <c r="A19420" i="1"/>
  <c r="F19419" i="1"/>
  <c r="E19419" i="1"/>
  <c r="D19419" i="1"/>
  <c r="C19419" i="1"/>
  <c r="B19419" i="1"/>
  <c r="A19419" i="1"/>
  <c r="F19418" i="1"/>
  <c r="E19418" i="1"/>
  <c r="D19418" i="1"/>
  <c r="C19418" i="1"/>
  <c r="B19418" i="1"/>
  <c r="A19418" i="1"/>
  <c r="F19417" i="1"/>
  <c r="E19417" i="1"/>
  <c r="D19417" i="1"/>
  <c r="C19417" i="1"/>
  <c r="B19417" i="1"/>
  <c r="A19417" i="1"/>
  <c r="F19416" i="1"/>
  <c r="E19416" i="1"/>
  <c r="D19416" i="1"/>
  <c r="C19416" i="1"/>
  <c r="B19416" i="1"/>
  <c r="A19416" i="1"/>
  <c r="F19415" i="1"/>
  <c r="E19415" i="1"/>
  <c r="D19415" i="1"/>
  <c r="C19415" i="1"/>
  <c r="B19415" i="1"/>
  <c r="A19415" i="1"/>
  <c r="F19414" i="1"/>
  <c r="E19414" i="1"/>
  <c r="D19414" i="1"/>
  <c r="C19414" i="1"/>
  <c r="B19414" i="1"/>
  <c r="A19414" i="1"/>
  <c r="F19413" i="1"/>
  <c r="E19413" i="1"/>
  <c r="D19413" i="1"/>
  <c r="C19413" i="1"/>
  <c r="B19413" i="1"/>
  <c r="A19413" i="1"/>
  <c r="F19412" i="1"/>
  <c r="E19412" i="1"/>
  <c r="D19412" i="1"/>
  <c r="C19412" i="1"/>
  <c r="B19412" i="1"/>
  <c r="A19412" i="1"/>
  <c r="F19411" i="1"/>
  <c r="E19411" i="1"/>
  <c r="D19411" i="1"/>
  <c r="C19411" i="1"/>
  <c r="B19411" i="1"/>
  <c r="A19411" i="1"/>
  <c r="F19410" i="1"/>
  <c r="E19410" i="1"/>
  <c r="D19410" i="1"/>
  <c r="C19410" i="1"/>
  <c r="B19410" i="1"/>
  <c r="A19410" i="1"/>
  <c r="F19409" i="1"/>
  <c r="E19409" i="1"/>
  <c r="D19409" i="1"/>
  <c r="C19409" i="1"/>
  <c r="B19409" i="1"/>
  <c r="A19409" i="1"/>
  <c r="F19408" i="1"/>
  <c r="E19408" i="1"/>
  <c r="D19408" i="1"/>
  <c r="C19408" i="1"/>
  <c r="B19408" i="1"/>
  <c r="A19408" i="1"/>
  <c r="F19407" i="1"/>
  <c r="E19407" i="1"/>
  <c r="D19407" i="1"/>
  <c r="C19407" i="1"/>
  <c r="B19407" i="1"/>
  <c r="A19407" i="1"/>
  <c r="F19406" i="1"/>
  <c r="E19406" i="1"/>
  <c r="D19406" i="1"/>
  <c r="C19406" i="1"/>
  <c r="B19406" i="1"/>
  <c r="A19406" i="1"/>
  <c r="F19405" i="1"/>
  <c r="E19405" i="1"/>
  <c r="D19405" i="1"/>
  <c r="C19405" i="1"/>
  <c r="B19405" i="1"/>
  <c r="A19405" i="1"/>
  <c r="F19404" i="1"/>
  <c r="E19404" i="1"/>
  <c r="D19404" i="1"/>
  <c r="C19404" i="1"/>
  <c r="B19404" i="1"/>
  <c r="A19404" i="1"/>
  <c r="F19403" i="1"/>
  <c r="E19403" i="1"/>
  <c r="D19403" i="1"/>
  <c r="C19403" i="1"/>
  <c r="B19403" i="1"/>
  <c r="A19403" i="1"/>
  <c r="F19402" i="1"/>
  <c r="E19402" i="1"/>
  <c r="D19402" i="1"/>
  <c r="C19402" i="1"/>
  <c r="B19402" i="1"/>
  <c r="A19402" i="1"/>
  <c r="F19401" i="1"/>
  <c r="E19401" i="1"/>
  <c r="D19401" i="1"/>
  <c r="C19401" i="1"/>
  <c r="B19401" i="1"/>
  <c r="A19401" i="1"/>
  <c r="F19400" i="1"/>
  <c r="E19400" i="1"/>
  <c r="D19400" i="1"/>
  <c r="C19400" i="1"/>
  <c r="B19400" i="1"/>
  <c r="A19400" i="1"/>
  <c r="F19399" i="1"/>
  <c r="E19399" i="1"/>
  <c r="D19399" i="1"/>
  <c r="C19399" i="1"/>
  <c r="B19399" i="1"/>
  <c r="A19399" i="1"/>
  <c r="F19398" i="1"/>
  <c r="E19398" i="1"/>
  <c r="D19398" i="1"/>
  <c r="C19398" i="1"/>
  <c r="B19398" i="1"/>
  <c r="A19398" i="1"/>
  <c r="F19397" i="1"/>
  <c r="E19397" i="1"/>
  <c r="D19397" i="1"/>
  <c r="C19397" i="1"/>
  <c r="B19397" i="1"/>
  <c r="A19397" i="1"/>
  <c r="F19396" i="1"/>
  <c r="E19396" i="1"/>
  <c r="D19396" i="1"/>
  <c r="C19396" i="1"/>
  <c r="B19396" i="1"/>
  <c r="A19396" i="1"/>
  <c r="F19395" i="1"/>
  <c r="E19395" i="1"/>
  <c r="D19395" i="1"/>
  <c r="C19395" i="1"/>
  <c r="B19395" i="1"/>
  <c r="A19395" i="1"/>
  <c r="F19394" i="1"/>
  <c r="E19394" i="1"/>
  <c r="D19394" i="1"/>
  <c r="C19394" i="1"/>
  <c r="B19394" i="1"/>
  <c r="A19394" i="1"/>
  <c r="F19393" i="1"/>
  <c r="E19393" i="1"/>
  <c r="D19393" i="1"/>
  <c r="C19393" i="1"/>
  <c r="B19393" i="1"/>
  <c r="A19393" i="1"/>
  <c r="F19392" i="1"/>
  <c r="E19392" i="1"/>
  <c r="D19392" i="1"/>
  <c r="C19392" i="1"/>
  <c r="B19392" i="1"/>
  <c r="A19392" i="1"/>
  <c r="F19391" i="1"/>
  <c r="E19391" i="1"/>
  <c r="D19391" i="1"/>
  <c r="C19391" i="1"/>
  <c r="B19391" i="1"/>
  <c r="A19391" i="1"/>
  <c r="F19390" i="1"/>
  <c r="E19390" i="1"/>
  <c r="D19390" i="1"/>
  <c r="C19390" i="1"/>
  <c r="B19390" i="1"/>
  <c r="A19390" i="1"/>
  <c r="F19389" i="1"/>
  <c r="E19389" i="1"/>
  <c r="D19389" i="1"/>
  <c r="C19389" i="1"/>
  <c r="B19389" i="1"/>
  <c r="A19389" i="1"/>
  <c r="F19388" i="1"/>
  <c r="E19388" i="1"/>
  <c r="D19388" i="1"/>
  <c r="C19388" i="1"/>
  <c r="B19388" i="1"/>
  <c r="A19388" i="1"/>
  <c r="F19387" i="1"/>
  <c r="E19387" i="1"/>
  <c r="D19387" i="1"/>
  <c r="C19387" i="1"/>
  <c r="B19387" i="1"/>
  <c r="A19387" i="1"/>
  <c r="F19386" i="1"/>
  <c r="E19386" i="1"/>
  <c r="D19386" i="1"/>
  <c r="C19386" i="1"/>
  <c r="B19386" i="1"/>
  <c r="A19386" i="1"/>
  <c r="F19385" i="1"/>
  <c r="E19385" i="1"/>
  <c r="D19385" i="1"/>
  <c r="C19385" i="1"/>
  <c r="B19385" i="1"/>
  <c r="A19385" i="1"/>
  <c r="F19384" i="1"/>
  <c r="E19384" i="1"/>
  <c r="D19384" i="1"/>
  <c r="C19384" i="1"/>
  <c r="B19384" i="1"/>
  <c r="A19384" i="1"/>
  <c r="F19383" i="1"/>
  <c r="E19383" i="1"/>
  <c r="D19383" i="1"/>
  <c r="C19383" i="1"/>
  <c r="B19383" i="1"/>
  <c r="A19383" i="1"/>
  <c r="F19382" i="1"/>
  <c r="E19382" i="1"/>
  <c r="D19382" i="1"/>
  <c r="C19382" i="1"/>
  <c r="B19382" i="1"/>
  <c r="A19382" i="1"/>
  <c r="F19381" i="1"/>
  <c r="E19381" i="1"/>
  <c r="D19381" i="1"/>
  <c r="C19381" i="1"/>
  <c r="B19381" i="1"/>
  <c r="A19381" i="1"/>
  <c r="F19380" i="1"/>
  <c r="E19380" i="1"/>
  <c r="D19380" i="1"/>
  <c r="C19380" i="1"/>
  <c r="B19380" i="1"/>
  <c r="A19380" i="1"/>
  <c r="F19379" i="1"/>
  <c r="E19379" i="1"/>
  <c r="D19379" i="1"/>
  <c r="C19379" i="1"/>
  <c r="B19379" i="1"/>
  <c r="A19379" i="1"/>
  <c r="F19378" i="1"/>
  <c r="E19378" i="1"/>
  <c r="D19378" i="1"/>
  <c r="C19378" i="1"/>
  <c r="B19378" i="1"/>
  <c r="A19378" i="1"/>
  <c r="F19377" i="1"/>
  <c r="E19377" i="1"/>
  <c r="D19377" i="1"/>
  <c r="C19377" i="1"/>
  <c r="B19377" i="1"/>
  <c r="A19377" i="1"/>
  <c r="F19376" i="1"/>
  <c r="E19376" i="1"/>
  <c r="D19376" i="1"/>
  <c r="C19376" i="1"/>
  <c r="B19376" i="1"/>
  <c r="A19376" i="1"/>
  <c r="F19375" i="1"/>
  <c r="E19375" i="1"/>
  <c r="D19375" i="1"/>
  <c r="C19375" i="1"/>
  <c r="B19375" i="1"/>
  <c r="A19375" i="1"/>
  <c r="F19374" i="1"/>
  <c r="E19374" i="1"/>
  <c r="D19374" i="1"/>
  <c r="C19374" i="1"/>
  <c r="B19374" i="1"/>
  <c r="A19374" i="1"/>
  <c r="F19373" i="1"/>
  <c r="E19373" i="1"/>
  <c r="D19373" i="1"/>
  <c r="C19373" i="1"/>
  <c r="B19373" i="1"/>
  <c r="A19373" i="1"/>
  <c r="F19372" i="1"/>
  <c r="E19372" i="1"/>
  <c r="D19372" i="1"/>
  <c r="C19372" i="1"/>
  <c r="B19372" i="1"/>
  <c r="A19372" i="1"/>
  <c r="F19371" i="1"/>
  <c r="E19371" i="1"/>
  <c r="D19371" i="1"/>
  <c r="C19371" i="1"/>
  <c r="B19371" i="1"/>
  <c r="A19371" i="1"/>
  <c r="F19370" i="1"/>
  <c r="E19370" i="1"/>
  <c r="D19370" i="1"/>
  <c r="C19370" i="1"/>
  <c r="B19370" i="1"/>
  <c r="A19370" i="1"/>
  <c r="F19369" i="1"/>
  <c r="E19369" i="1"/>
  <c r="D19369" i="1"/>
  <c r="C19369" i="1"/>
  <c r="B19369" i="1"/>
  <c r="A19369" i="1"/>
  <c r="F19368" i="1"/>
  <c r="E19368" i="1"/>
  <c r="D19368" i="1"/>
  <c r="C19368" i="1"/>
  <c r="B19368" i="1"/>
  <c r="A19368" i="1"/>
  <c r="F19367" i="1"/>
  <c r="E19367" i="1"/>
  <c r="D19367" i="1"/>
  <c r="C19367" i="1"/>
  <c r="B19367" i="1"/>
  <c r="A19367" i="1"/>
  <c r="F19366" i="1"/>
  <c r="E19366" i="1"/>
  <c r="D19366" i="1"/>
  <c r="C19366" i="1"/>
  <c r="B19366" i="1"/>
  <c r="A19366" i="1"/>
  <c r="F19365" i="1"/>
  <c r="E19365" i="1"/>
  <c r="D19365" i="1"/>
  <c r="C19365" i="1"/>
  <c r="B19365" i="1"/>
  <c r="A19365" i="1"/>
  <c r="F19364" i="1"/>
  <c r="E19364" i="1"/>
  <c r="D19364" i="1"/>
  <c r="C19364" i="1"/>
  <c r="B19364" i="1"/>
  <c r="A19364" i="1"/>
  <c r="F19363" i="1"/>
  <c r="E19363" i="1"/>
  <c r="D19363" i="1"/>
  <c r="C19363" i="1"/>
  <c r="B19363" i="1"/>
  <c r="A19363" i="1"/>
  <c r="F19362" i="1"/>
  <c r="E19362" i="1"/>
  <c r="D19362" i="1"/>
  <c r="C19362" i="1"/>
  <c r="B19362" i="1"/>
  <c r="A19362" i="1"/>
  <c r="F19361" i="1"/>
  <c r="E19361" i="1"/>
  <c r="D19361" i="1"/>
  <c r="C19361" i="1"/>
  <c r="B19361" i="1"/>
  <c r="A19361" i="1"/>
  <c r="F19360" i="1"/>
  <c r="E19360" i="1"/>
  <c r="D19360" i="1"/>
  <c r="C19360" i="1"/>
  <c r="B19360" i="1"/>
  <c r="A19360" i="1"/>
  <c r="F19359" i="1"/>
  <c r="E19359" i="1"/>
  <c r="D19359" i="1"/>
  <c r="C19359" i="1"/>
  <c r="B19359" i="1"/>
  <c r="A19359" i="1"/>
  <c r="F19358" i="1"/>
  <c r="E19358" i="1"/>
  <c r="D19358" i="1"/>
  <c r="C19358" i="1"/>
  <c r="B19358" i="1"/>
  <c r="A19358" i="1"/>
  <c r="F19357" i="1"/>
  <c r="E19357" i="1"/>
  <c r="D19357" i="1"/>
  <c r="C19357" i="1"/>
  <c r="B19357" i="1"/>
  <c r="A19357" i="1"/>
  <c r="F19356" i="1"/>
  <c r="E19356" i="1"/>
  <c r="D19356" i="1"/>
  <c r="C19356" i="1"/>
  <c r="B19356" i="1"/>
  <c r="A19356" i="1"/>
  <c r="F19355" i="1"/>
  <c r="E19355" i="1"/>
  <c r="D19355" i="1"/>
  <c r="C19355" i="1"/>
  <c r="B19355" i="1"/>
  <c r="A19355" i="1"/>
  <c r="F19354" i="1"/>
  <c r="E19354" i="1"/>
  <c r="D19354" i="1"/>
  <c r="C19354" i="1"/>
  <c r="B19354" i="1"/>
  <c r="A19354" i="1"/>
  <c r="F19353" i="1"/>
  <c r="E19353" i="1"/>
  <c r="D19353" i="1"/>
  <c r="C19353" i="1"/>
  <c r="B19353" i="1"/>
  <c r="A19353" i="1"/>
  <c r="F19352" i="1"/>
  <c r="E19352" i="1"/>
  <c r="D19352" i="1"/>
  <c r="C19352" i="1"/>
  <c r="B19352" i="1"/>
  <c r="A19352" i="1"/>
  <c r="F19351" i="1"/>
  <c r="E19351" i="1"/>
  <c r="D19351" i="1"/>
  <c r="C19351" i="1"/>
  <c r="B19351" i="1"/>
  <c r="A19351" i="1"/>
  <c r="F19350" i="1"/>
  <c r="E19350" i="1"/>
  <c r="D19350" i="1"/>
  <c r="C19350" i="1"/>
  <c r="B19350" i="1"/>
  <c r="A19350" i="1"/>
  <c r="F19349" i="1"/>
  <c r="E19349" i="1"/>
  <c r="D19349" i="1"/>
  <c r="C19349" i="1"/>
  <c r="B19349" i="1"/>
  <c r="A19349" i="1"/>
  <c r="F19348" i="1"/>
  <c r="E19348" i="1"/>
  <c r="D19348" i="1"/>
  <c r="C19348" i="1"/>
  <c r="B19348" i="1"/>
  <c r="A19348" i="1"/>
  <c r="F19347" i="1"/>
  <c r="E19347" i="1"/>
  <c r="D19347" i="1"/>
  <c r="C19347" i="1"/>
  <c r="B19347" i="1"/>
  <c r="A19347" i="1"/>
  <c r="F19346" i="1"/>
  <c r="E19346" i="1"/>
  <c r="D19346" i="1"/>
  <c r="C19346" i="1"/>
  <c r="B19346" i="1"/>
  <c r="A19346" i="1"/>
  <c r="F19345" i="1"/>
  <c r="E19345" i="1"/>
  <c r="D19345" i="1"/>
  <c r="C19345" i="1"/>
  <c r="B19345" i="1"/>
  <c r="A19345" i="1"/>
  <c r="F19344" i="1"/>
  <c r="E19344" i="1"/>
  <c r="D19344" i="1"/>
  <c r="C19344" i="1"/>
  <c r="B19344" i="1"/>
  <c r="A19344" i="1"/>
  <c r="F19343" i="1"/>
  <c r="E19343" i="1"/>
  <c r="D19343" i="1"/>
  <c r="C19343" i="1"/>
  <c r="B19343" i="1"/>
  <c r="A19343" i="1"/>
  <c r="F19342" i="1"/>
  <c r="E19342" i="1"/>
  <c r="D19342" i="1"/>
  <c r="C19342" i="1"/>
  <c r="B19342" i="1"/>
  <c r="A19342" i="1"/>
  <c r="F19341" i="1"/>
  <c r="E19341" i="1"/>
  <c r="D19341" i="1"/>
  <c r="C19341" i="1"/>
  <c r="B19341" i="1"/>
  <c r="A19341" i="1"/>
  <c r="F19340" i="1"/>
  <c r="E19340" i="1"/>
  <c r="D19340" i="1"/>
  <c r="C19340" i="1"/>
  <c r="B19340" i="1"/>
  <c r="A19340" i="1"/>
  <c r="F19339" i="1"/>
  <c r="E19339" i="1"/>
  <c r="D19339" i="1"/>
  <c r="C19339" i="1"/>
  <c r="B19339" i="1"/>
  <c r="A19339" i="1"/>
  <c r="F19338" i="1"/>
  <c r="E19338" i="1"/>
  <c r="D19338" i="1"/>
  <c r="C19338" i="1"/>
  <c r="B19338" i="1"/>
  <c r="A19338" i="1"/>
  <c r="F19337" i="1"/>
  <c r="E19337" i="1"/>
  <c r="D19337" i="1"/>
  <c r="C19337" i="1"/>
  <c r="B19337" i="1"/>
  <c r="A19337" i="1"/>
  <c r="F19336" i="1"/>
  <c r="E19336" i="1"/>
  <c r="D19336" i="1"/>
  <c r="C19336" i="1"/>
  <c r="B19336" i="1"/>
  <c r="A19336" i="1"/>
  <c r="F19335" i="1"/>
  <c r="E19335" i="1"/>
  <c r="D19335" i="1"/>
  <c r="C19335" i="1"/>
  <c r="B19335" i="1"/>
  <c r="A19335" i="1"/>
  <c r="F19334" i="1"/>
  <c r="E19334" i="1"/>
  <c r="D19334" i="1"/>
  <c r="C19334" i="1"/>
  <c r="B19334" i="1"/>
  <c r="A19334" i="1"/>
  <c r="F19333" i="1"/>
  <c r="E19333" i="1"/>
  <c r="D19333" i="1"/>
  <c r="C19333" i="1"/>
  <c r="B19333" i="1"/>
  <c r="A19333" i="1"/>
  <c r="F19332" i="1"/>
  <c r="E19332" i="1"/>
  <c r="D19332" i="1"/>
  <c r="C19332" i="1"/>
  <c r="B19332" i="1"/>
  <c r="A19332" i="1"/>
  <c r="F19331" i="1"/>
  <c r="E19331" i="1"/>
  <c r="D19331" i="1"/>
  <c r="C19331" i="1"/>
  <c r="B19331" i="1"/>
  <c r="A19331" i="1"/>
  <c r="F19330" i="1"/>
  <c r="E19330" i="1"/>
  <c r="D19330" i="1"/>
  <c r="C19330" i="1"/>
  <c r="B19330" i="1"/>
  <c r="A19330" i="1"/>
  <c r="F19329" i="1"/>
  <c r="E19329" i="1"/>
  <c r="D19329" i="1"/>
  <c r="C19329" i="1"/>
  <c r="B19329" i="1"/>
  <c r="A19329" i="1"/>
  <c r="F19328" i="1"/>
  <c r="E19328" i="1"/>
  <c r="D19328" i="1"/>
  <c r="C19328" i="1"/>
  <c r="B19328" i="1"/>
  <c r="A19328" i="1"/>
  <c r="F19327" i="1"/>
  <c r="E19327" i="1"/>
  <c r="D19327" i="1"/>
  <c r="C19327" i="1"/>
  <c r="B19327" i="1"/>
  <c r="A19327" i="1"/>
  <c r="F19326" i="1"/>
  <c r="E19326" i="1"/>
  <c r="D19326" i="1"/>
  <c r="C19326" i="1"/>
  <c r="B19326" i="1"/>
  <c r="A19326" i="1"/>
  <c r="F19325" i="1"/>
  <c r="E19325" i="1"/>
  <c r="D19325" i="1"/>
  <c r="C19325" i="1"/>
  <c r="B19325" i="1"/>
  <c r="A19325" i="1"/>
  <c r="F19324" i="1"/>
  <c r="E19324" i="1"/>
  <c r="D19324" i="1"/>
  <c r="C19324" i="1"/>
  <c r="B19324" i="1"/>
  <c r="A19324" i="1"/>
  <c r="F19323" i="1"/>
  <c r="E19323" i="1"/>
  <c r="D19323" i="1"/>
  <c r="C19323" i="1"/>
  <c r="B19323" i="1"/>
  <c r="A19323" i="1"/>
  <c r="F19322" i="1"/>
  <c r="E19322" i="1"/>
  <c r="D19322" i="1"/>
  <c r="C19322" i="1"/>
  <c r="B19322" i="1"/>
  <c r="A19322" i="1"/>
  <c r="F19321" i="1"/>
  <c r="E19321" i="1"/>
  <c r="D19321" i="1"/>
  <c r="C19321" i="1"/>
  <c r="B19321" i="1"/>
  <c r="A19321" i="1"/>
  <c r="F19320" i="1"/>
  <c r="E19320" i="1"/>
  <c r="D19320" i="1"/>
  <c r="C19320" i="1"/>
  <c r="B19320" i="1"/>
  <c r="A19320" i="1"/>
  <c r="F19319" i="1"/>
  <c r="E19319" i="1"/>
  <c r="D19319" i="1"/>
  <c r="C19319" i="1"/>
  <c r="B19319" i="1"/>
  <c r="A19319" i="1"/>
  <c r="F19318" i="1"/>
  <c r="E19318" i="1"/>
  <c r="D19318" i="1"/>
  <c r="C19318" i="1"/>
  <c r="B19318" i="1"/>
  <c r="A19318" i="1"/>
  <c r="F19317" i="1"/>
  <c r="E19317" i="1"/>
  <c r="D19317" i="1"/>
  <c r="C19317" i="1"/>
  <c r="B19317" i="1"/>
  <c r="A19317" i="1"/>
  <c r="F19316" i="1"/>
  <c r="E19316" i="1"/>
  <c r="D19316" i="1"/>
  <c r="C19316" i="1"/>
  <c r="B19316" i="1"/>
  <c r="A19316" i="1"/>
  <c r="F19315" i="1"/>
  <c r="E19315" i="1"/>
  <c r="D19315" i="1"/>
  <c r="C19315" i="1"/>
  <c r="B19315" i="1"/>
  <c r="A19315" i="1"/>
  <c r="F19314" i="1"/>
  <c r="E19314" i="1"/>
  <c r="D19314" i="1"/>
  <c r="C19314" i="1"/>
  <c r="B19314" i="1"/>
  <c r="A19314" i="1"/>
  <c r="F19313" i="1"/>
  <c r="E19313" i="1"/>
  <c r="D19313" i="1"/>
  <c r="C19313" i="1"/>
  <c r="B19313" i="1"/>
  <c r="A19313" i="1"/>
  <c r="F19312" i="1"/>
  <c r="E19312" i="1"/>
  <c r="D19312" i="1"/>
  <c r="C19312" i="1"/>
  <c r="B19312" i="1"/>
  <c r="A19312" i="1"/>
  <c r="F19311" i="1"/>
  <c r="E19311" i="1"/>
  <c r="D19311" i="1"/>
  <c r="C19311" i="1"/>
  <c r="B19311" i="1"/>
  <c r="A19311" i="1"/>
  <c r="F19310" i="1"/>
  <c r="E19310" i="1"/>
  <c r="D19310" i="1"/>
  <c r="C19310" i="1"/>
  <c r="B19310" i="1"/>
  <c r="A19310" i="1"/>
  <c r="F19309" i="1"/>
  <c r="E19309" i="1"/>
  <c r="D19309" i="1"/>
  <c r="C19309" i="1"/>
  <c r="B19309" i="1"/>
  <c r="A19309" i="1"/>
  <c r="F19308" i="1"/>
  <c r="E19308" i="1"/>
  <c r="D19308" i="1"/>
  <c r="C19308" i="1"/>
  <c r="B19308" i="1"/>
  <c r="A19308" i="1"/>
  <c r="F19307" i="1"/>
  <c r="E19307" i="1"/>
  <c r="D19307" i="1"/>
  <c r="C19307" i="1"/>
  <c r="B19307" i="1"/>
  <c r="A19307" i="1"/>
  <c r="F19306" i="1"/>
  <c r="E19306" i="1"/>
  <c r="D19306" i="1"/>
  <c r="C19306" i="1"/>
  <c r="B19306" i="1"/>
  <c r="A19306" i="1"/>
  <c r="F19305" i="1"/>
  <c r="E19305" i="1"/>
  <c r="D19305" i="1"/>
  <c r="C19305" i="1"/>
  <c r="B19305" i="1"/>
  <c r="A19305" i="1"/>
  <c r="F19304" i="1"/>
  <c r="E19304" i="1"/>
  <c r="D19304" i="1"/>
  <c r="C19304" i="1"/>
  <c r="B19304" i="1"/>
  <c r="A19304" i="1"/>
  <c r="F19303" i="1"/>
  <c r="E19303" i="1"/>
  <c r="D19303" i="1"/>
  <c r="C19303" i="1"/>
  <c r="B19303" i="1"/>
  <c r="A19303" i="1"/>
  <c r="F19302" i="1"/>
  <c r="E19302" i="1"/>
  <c r="D19302" i="1"/>
  <c r="C19302" i="1"/>
  <c r="B19302" i="1"/>
  <c r="A19302" i="1"/>
  <c r="F19301" i="1"/>
  <c r="E19301" i="1"/>
  <c r="D19301" i="1"/>
  <c r="C19301" i="1"/>
  <c r="B19301" i="1"/>
  <c r="A19301" i="1"/>
  <c r="F19300" i="1"/>
  <c r="E19300" i="1"/>
  <c r="D19300" i="1"/>
  <c r="C19300" i="1"/>
  <c r="B19300" i="1"/>
  <c r="A19300" i="1"/>
  <c r="F19299" i="1"/>
  <c r="E19299" i="1"/>
  <c r="D19299" i="1"/>
  <c r="C19299" i="1"/>
  <c r="B19299" i="1"/>
  <c r="A19299" i="1"/>
  <c r="F19298" i="1"/>
  <c r="E19298" i="1"/>
  <c r="D19298" i="1"/>
  <c r="C19298" i="1"/>
  <c r="B19298" i="1"/>
  <c r="A19298" i="1"/>
  <c r="F19297" i="1"/>
  <c r="E19297" i="1"/>
  <c r="D19297" i="1"/>
  <c r="C19297" i="1"/>
  <c r="B19297" i="1"/>
  <c r="A19297" i="1"/>
  <c r="F19296" i="1"/>
  <c r="E19296" i="1"/>
  <c r="D19296" i="1"/>
  <c r="C19296" i="1"/>
  <c r="B19296" i="1"/>
  <c r="A19296" i="1"/>
  <c r="F19295" i="1"/>
  <c r="E19295" i="1"/>
  <c r="D19295" i="1"/>
  <c r="C19295" i="1"/>
  <c r="B19295" i="1"/>
  <c r="A19295" i="1"/>
  <c r="F19294" i="1"/>
  <c r="E19294" i="1"/>
  <c r="D19294" i="1"/>
  <c r="C19294" i="1"/>
  <c r="B19294" i="1"/>
  <c r="A19294" i="1"/>
  <c r="F19293" i="1"/>
  <c r="E19293" i="1"/>
  <c r="D19293" i="1"/>
  <c r="C19293" i="1"/>
  <c r="B19293" i="1"/>
  <c r="A19293" i="1"/>
  <c r="F19292" i="1"/>
  <c r="E19292" i="1"/>
  <c r="D19292" i="1"/>
  <c r="C19292" i="1"/>
  <c r="B19292" i="1"/>
  <c r="A19292" i="1"/>
  <c r="F19291" i="1"/>
  <c r="E19291" i="1"/>
  <c r="D19291" i="1"/>
  <c r="C19291" i="1"/>
  <c r="B19291" i="1"/>
  <c r="A19291" i="1"/>
  <c r="F19290" i="1"/>
  <c r="E19290" i="1"/>
  <c r="D19290" i="1"/>
  <c r="C19290" i="1"/>
  <c r="B19290" i="1"/>
  <c r="A19290" i="1"/>
  <c r="F19289" i="1"/>
  <c r="E19289" i="1"/>
  <c r="D19289" i="1"/>
  <c r="C19289" i="1"/>
  <c r="B19289" i="1"/>
  <c r="A19289" i="1"/>
  <c r="F19288" i="1"/>
  <c r="E19288" i="1"/>
  <c r="D19288" i="1"/>
  <c r="C19288" i="1"/>
  <c r="B19288" i="1"/>
  <c r="A19288" i="1"/>
  <c r="F19287" i="1"/>
  <c r="E19287" i="1"/>
  <c r="D19287" i="1"/>
  <c r="C19287" i="1"/>
  <c r="B19287" i="1"/>
  <c r="A19287" i="1"/>
  <c r="F19286" i="1"/>
  <c r="E19286" i="1"/>
  <c r="D19286" i="1"/>
  <c r="C19286" i="1"/>
  <c r="B19286" i="1"/>
  <c r="A19286" i="1"/>
  <c r="F19285" i="1"/>
  <c r="E19285" i="1"/>
  <c r="D19285" i="1"/>
  <c r="C19285" i="1"/>
  <c r="B19285" i="1"/>
  <c r="A19285" i="1"/>
  <c r="F19284" i="1"/>
  <c r="E19284" i="1"/>
  <c r="D19284" i="1"/>
  <c r="C19284" i="1"/>
  <c r="B19284" i="1"/>
  <c r="A19284" i="1"/>
  <c r="F19283" i="1"/>
  <c r="E19283" i="1"/>
  <c r="D19283" i="1"/>
  <c r="C19283" i="1"/>
  <c r="B19283" i="1"/>
  <c r="A19283" i="1"/>
  <c r="F19282" i="1"/>
  <c r="E19282" i="1"/>
  <c r="D19282" i="1"/>
  <c r="C19282" i="1"/>
  <c r="B19282" i="1"/>
  <c r="A19282" i="1"/>
  <c r="F19281" i="1"/>
  <c r="E19281" i="1"/>
  <c r="D19281" i="1"/>
  <c r="C19281" i="1"/>
  <c r="B19281" i="1"/>
  <c r="A19281" i="1"/>
  <c r="F19280" i="1"/>
  <c r="E19280" i="1"/>
  <c r="D19280" i="1"/>
  <c r="C19280" i="1"/>
  <c r="B19280" i="1"/>
  <c r="A19280" i="1"/>
  <c r="F19279" i="1"/>
  <c r="E19279" i="1"/>
  <c r="D19279" i="1"/>
  <c r="C19279" i="1"/>
  <c r="B19279" i="1"/>
  <c r="A19279" i="1"/>
  <c r="F19278" i="1"/>
  <c r="E19278" i="1"/>
  <c r="D19278" i="1"/>
  <c r="C19278" i="1"/>
  <c r="B19278" i="1"/>
  <c r="A19278" i="1"/>
  <c r="F19277" i="1"/>
  <c r="E19277" i="1"/>
  <c r="D19277" i="1"/>
  <c r="C19277" i="1"/>
  <c r="B19277" i="1"/>
  <c r="A19277" i="1"/>
  <c r="F19276" i="1"/>
  <c r="E19276" i="1"/>
  <c r="D19276" i="1"/>
  <c r="C19276" i="1"/>
  <c r="B19276" i="1"/>
  <c r="A19276" i="1"/>
  <c r="F19275" i="1"/>
  <c r="E19275" i="1"/>
  <c r="D19275" i="1"/>
  <c r="C19275" i="1"/>
  <c r="B19275" i="1"/>
  <c r="A19275" i="1"/>
  <c r="F19274" i="1"/>
  <c r="E19274" i="1"/>
  <c r="D19274" i="1"/>
  <c r="C19274" i="1"/>
  <c r="B19274" i="1"/>
  <c r="A19274" i="1"/>
  <c r="F19273" i="1"/>
  <c r="E19273" i="1"/>
  <c r="D19273" i="1"/>
  <c r="C19273" i="1"/>
  <c r="B19273" i="1"/>
  <c r="A19273" i="1"/>
  <c r="F19272" i="1"/>
  <c r="E19272" i="1"/>
  <c r="D19272" i="1"/>
  <c r="C19272" i="1"/>
  <c r="B19272" i="1"/>
  <c r="A19272" i="1"/>
  <c r="F19271" i="1"/>
  <c r="E19271" i="1"/>
  <c r="D19271" i="1"/>
  <c r="C19271" i="1"/>
  <c r="B19271" i="1"/>
  <c r="A19271" i="1"/>
  <c r="F19270" i="1"/>
  <c r="E19270" i="1"/>
  <c r="D19270" i="1"/>
  <c r="C19270" i="1"/>
  <c r="B19270" i="1"/>
  <c r="A19270" i="1"/>
  <c r="F19269" i="1"/>
  <c r="E19269" i="1"/>
  <c r="D19269" i="1"/>
  <c r="C19269" i="1"/>
  <c r="B19269" i="1"/>
  <c r="A19269" i="1"/>
  <c r="F19268" i="1"/>
  <c r="E19268" i="1"/>
  <c r="D19268" i="1"/>
  <c r="C19268" i="1"/>
  <c r="B19268" i="1"/>
  <c r="A19268" i="1"/>
  <c r="F19267" i="1"/>
  <c r="E19267" i="1"/>
  <c r="D19267" i="1"/>
  <c r="C19267" i="1"/>
  <c r="B19267" i="1"/>
  <c r="A19267" i="1"/>
  <c r="F19266" i="1"/>
  <c r="E19266" i="1"/>
  <c r="D19266" i="1"/>
  <c r="C19266" i="1"/>
  <c r="B19266" i="1"/>
  <c r="A19266" i="1"/>
  <c r="F19265" i="1"/>
  <c r="E19265" i="1"/>
  <c r="D19265" i="1"/>
  <c r="C19265" i="1"/>
  <c r="B19265" i="1"/>
  <c r="A19265" i="1"/>
  <c r="F19264" i="1"/>
  <c r="E19264" i="1"/>
  <c r="D19264" i="1"/>
  <c r="C19264" i="1"/>
  <c r="B19264" i="1"/>
  <c r="A19264" i="1"/>
  <c r="F19263" i="1"/>
  <c r="E19263" i="1"/>
  <c r="D19263" i="1"/>
  <c r="C19263" i="1"/>
  <c r="B19263" i="1"/>
  <c r="A19263" i="1"/>
  <c r="F19262" i="1"/>
  <c r="E19262" i="1"/>
  <c r="D19262" i="1"/>
  <c r="C19262" i="1"/>
  <c r="B19262" i="1"/>
  <c r="A19262" i="1"/>
  <c r="F19261" i="1"/>
  <c r="E19261" i="1"/>
  <c r="D19261" i="1"/>
  <c r="C19261" i="1"/>
  <c r="B19261" i="1"/>
  <c r="A19261" i="1"/>
  <c r="F19260" i="1"/>
  <c r="E19260" i="1"/>
  <c r="D19260" i="1"/>
  <c r="C19260" i="1"/>
  <c r="B19260" i="1"/>
  <c r="A19260" i="1"/>
  <c r="F19259" i="1"/>
  <c r="E19259" i="1"/>
  <c r="D19259" i="1"/>
  <c r="C19259" i="1"/>
  <c r="B19259" i="1"/>
  <c r="A19259" i="1"/>
  <c r="F19258" i="1"/>
  <c r="E19258" i="1"/>
  <c r="D19258" i="1"/>
  <c r="C19258" i="1"/>
  <c r="B19258" i="1"/>
  <c r="A19258" i="1"/>
  <c r="F19257" i="1"/>
  <c r="E19257" i="1"/>
  <c r="D19257" i="1"/>
  <c r="C19257" i="1"/>
  <c r="B19257" i="1"/>
  <c r="A19257" i="1"/>
  <c r="F19256" i="1"/>
  <c r="E19256" i="1"/>
  <c r="D19256" i="1"/>
  <c r="C19256" i="1"/>
  <c r="B19256" i="1"/>
  <c r="A19256" i="1"/>
  <c r="F19255" i="1"/>
  <c r="E19255" i="1"/>
  <c r="D19255" i="1"/>
  <c r="C19255" i="1"/>
  <c r="B19255" i="1"/>
  <c r="A19255" i="1"/>
  <c r="F19254" i="1"/>
  <c r="E19254" i="1"/>
  <c r="D19254" i="1"/>
  <c r="C19254" i="1"/>
  <c r="B19254" i="1"/>
  <c r="A19254" i="1"/>
  <c r="F19253" i="1"/>
  <c r="E19253" i="1"/>
  <c r="D19253" i="1"/>
  <c r="C19253" i="1"/>
  <c r="B19253" i="1"/>
  <c r="A19253" i="1"/>
  <c r="F19252" i="1"/>
  <c r="E19252" i="1"/>
  <c r="D19252" i="1"/>
  <c r="C19252" i="1"/>
  <c r="B19252" i="1"/>
  <c r="A19252" i="1"/>
  <c r="F19251" i="1"/>
  <c r="E19251" i="1"/>
  <c r="D19251" i="1"/>
  <c r="C19251" i="1"/>
  <c r="B19251" i="1"/>
  <c r="A19251" i="1"/>
  <c r="F19250" i="1"/>
  <c r="E19250" i="1"/>
  <c r="D19250" i="1"/>
  <c r="C19250" i="1"/>
  <c r="B19250" i="1"/>
  <c r="A19250" i="1"/>
  <c r="F19249" i="1"/>
  <c r="E19249" i="1"/>
  <c r="D19249" i="1"/>
  <c r="C19249" i="1"/>
  <c r="B19249" i="1"/>
  <c r="A19249" i="1"/>
  <c r="F19248" i="1"/>
  <c r="E19248" i="1"/>
  <c r="D19248" i="1"/>
  <c r="C19248" i="1"/>
  <c r="B19248" i="1"/>
  <c r="A19248" i="1"/>
  <c r="F19247" i="1"/>
  <c r="E19247" i="1"/>
  <c r="D19247" i="1"/>
  <c r="C19247" i="1"/>
  <c r="B19247" i="1"/>
  <c r="A19247" i="1"/>
  <c r="F19246" i="1"/>
  <c r="E19246" i="1"/>
  <c r="D19246" i="1"/>
  <c r="C19246" i="1"/>
  <c r="B19246" i="1"/>
  <c r="A19246" i="1"/>
  <c r="F19245" i="1"/>
  <c r="E19245" i="1"/>
  <c r="D19245" i="1"/>
  <c r="C19245" i="1"/>
  <c r="B19245" i="1"/>
  <c r="A19245" i="1"/>
  <c r="F19244" i="1"/>
  <c r="E19244" i="1"/>
  <c r="D19244" i="1"/>
  <c r="C19244" i="1"/>
  <c r="B19244" i="1"/>
  <c r="A19244" i="1"/>
  <c r="F19243" i="1"/>
  <c r="E19243" i="1"/>
  <c r="D19243" i="1"/>
  <c r="C19243" i="1"/>
  <c r="B19243" i="1"/>
  <c r="A19243" i="1"/>
  <c r="F19242" i="1"/>
  <c r="E19242" i="1"/>
  <c r="D19242" i="1"/>
  <c r="C19242" i="1"/>
  <c r="B19242" i="1"/>
  <c r="A19242" i="1"/>
  <c r="F19241" i="1"/>
  <c r="E19241" i="1"/>
  <c r="D19241" i="1"/>
  <c r="C19241" i="1"/>
  <c r="B19241" i="1"/>
  <c r="A19241" i="1"/>
  <c r="F19240" i="1"/>
  <c r="E19240" i="1"/>
  <c r="D19240" i="1"/>
  <c r="C19240" i="1"/>
  <c r="B19240" i="1"/>
  <c r="A19240" i="1"/>
  <c r="F19239" i="1"/>
  <c r="E19239" i="1"/>
  <c r="D19239" i="1"/>
  <c r="C19239" i="1"/>
  <c r="B19239" i="1"/>
  <c r="A19239" i="1"/>
  <c r="F19238" i="1"/>
  <c r="E19238" i="1"/>
  <c r="D19238" i="1"/>
  <c r="C19238" i="1"/>
  <c r="B19238" i="1"/>
  <c r="A19238" i="1"/>
  <c r="F19237" i="1"/>
  <c r="E19237" i="1"/>
  <c r="D19237" i="1"/>
  <c r="C19237" i="1"/>
  <c r="B19237" i="1"/>
  <c r="A19237" i="1"/>
  <c r="F19236" i="1"/>
  <c r="E19236" i="1"/>
  <c r="D19236" i="1"/>
  <c r="C19236" i="1"/>
  <c r="B19236" i="1"/>
  <c r="A19236" i="1"/>
  <c r="F19235" i="1"/>
  <c r="E19235" i="1"/>
  <c r="D19235" i="1"/>
  <c r="C19235" i="1"/>
  <c r="B19235" i="1"/>
  <c r="A19235" i="1"/>
  <c r="F19234" i="1"/>
  <c r="E19234" i="1"/>
  <c r="D19234" i="1"/>
  <c r="C19234" i="1"/>
  <c r="B19234" i="1"/>
  <c r="A19234" i="1"/>
  <c r="F19233" i="1"/>
  <c r="E19233" i="1"/>
  <c r="D19233" i="1"/>
  <c r="C19233" i="1"/>
  <c r="B19233" i="1"/>
  <c r="A19233" i="1"/>
  <c r="F19232" i="1"/>
  <c r="E19232" i="1"/>
  <c r="D19232" i="1"/>
  <c r="C19232" i="1"/>
  <c r="B19232" i="1"/>
  <c r="A19232" i="1"/>
  <c r="F19231" i="1"/>
  <c r="E19231" i="1"/>
  <c r="D19231" i="1"/>
  <c r="C19231" i="1"/>
  <c r="B19231" i="1"/>
  <c r="A19231" i="1"/>
  <c r="F19230" i="1"/>
  <c r="E19230" i="1"/>
  <c r="D19230" i="1"/>
  <c r="C19230" i="1"/>
  <c r="B19230" i="1"/>
  <c r="A19230" i="1"/>
  <c r="F19229" i="1"/>
  <c r="E19229" i="1"/>
  <c r="D19229" i="1"/>
  <c r="C19229" i="1"/>
  <c r="B19229" i="1"/>
  <c r="A19229" i="1"/>
  <c r="F19228" i="1"/>
  <c r="E19228" i="1"/>
  <c r="D19228" i="1"/>
  <c r="C19228" i="1"/>
  <c r="B19228" i="1"/>
  <c r="A19228" i="1"/>
  <c r="F19227" i="1"/>
  <c r="E19227" i="1"/>
  <c r="D19227" i="1"/>
  <c r="C19227" i="1"/>
  <c r="B19227" i="1"/>
  <c r="A19227" i="1"/>
  <c r="F19226" i="1"/>
  <c r="E19226" i="1"/>
  <c r="D19226" i="1"/>
  <c r="C19226" i="1"/>
  <c r="B19226" i="1"/>
  <c r="A19226" i="1"/>
  <c r="F19225" i="1"/>
  <c r="E19225" i="1"/>
  <c r="D19225" i="1"/>
  <c r="C19225" i="1"/>
  <c r="B19225" i="1"/>
  <c r="A19225" i="1"/>
  <c r="F19224" i="1"/>
  <c r="E19224" i="1"/>
  <c r="D19224" i="1"/>
  <c r="C19224" i="1"/>
  <c r="B19224" i="1"/>
  <c r="A19224" i="1"/>
  <c r="F19223" i="1"/>
  <c r="E19223" i="1"/>
  <c r="D19223" i="1"/>
  <c r="C19223" i="1"/>
  <c r="B19223" i="1"/>
  <c r="A19223" i="1"/>
  <c r="F19222" i="1"/>
  <c r="E19222" i="1"/>
  <c r="D19222" i="1"/>
  <c r="C19222" i="1"/>
  <c r="B19222" i="1"/>
  <c r="A19222" i="1"/>
  <c r="F19221" i="1"/>
  <c r="E19221" i="1"/>
  <c r="D19221" i="1"/>
  <c r="C19221" i="1"/>
  <c r="B19221" i="1"/>
  <c r="A19221" i="1"/>
  <c r="F19220" i="1"/>
  <c r="E19220" i="1"/>
  <c r="D19220" i="1"/>
  <c r="C19220" i="1"/>
  <c r="B19220" i="1"/>
  <c r="A19220" i="1"/>
  <c r="F19219" i="1"/>
  <c r="E19219" i="1"/>
  <c r="D19219" i="1"/>
  <c r="C19219" i="1"/>
  <c r="B19219" i="1"/>
  <c r="A19219" i="1"/>
  <c r="F19218" i="1"/>
  <c r="E19218" i="1"/>
  <c r="D19218" i="1"/>
  <c r="C19218" i="1"/>
  <c r="B19218" i="1"/>
  <c r="A19218" i="1"/>
  <c r="F19217" i="1"/>
  <c r="E19217" i="1"/>
  <c r="D19217" i="1"/>
  <c r="C19217" i="1"/>
  <c r="B19217" i="1"/>
  <c r="A19217" i="1"/>
  <c r="F19216" i="1"/>
  <c r="E19216" i="1"/>
  <c r="D19216" i="1"/>
  <c r="C19216" i="1"/>
  <c r="B19216" i="1"/>
  <c r="A19216" i="1"/>
  <c r="F19215" i="1"/>
  <c r="E19215" i="1"/>
  <c r="D19215" i="1"/>
  <c r="C19215" i="1"/>
  <c r="B19215" i="1"/>
  <c r="A19215" i="1"/>
  <c r="F19214" i="1"/>
  <c r="E19214" i="1"/>
  <c r="D19214" i="1"/>
  <c r="C19214" i="1"/>
  <c r="B19214" i="1"/>
  <c r="A19214" i="1"/>
  <c r="F19213" i="1"/>
  <c r="E19213" i="1"/>
  <c r="D19213" i="1"/>
  <c r="C19213" i="1"/>
  <c r="B19213" i="1"/>
  <c r="A19213" i="1"/>
  <c r="F19212" i="1"/>
  <c r="E19212" i="1"/>
  <c r="D19212" i="1"/>
  <c r="C19212" i="1"/>
  <c r="B19212" i="1"/>
  <c r="A19212" i="1"/>
  <c r="F19211" i="1"/>
  <c r="E19211" i="1"/>
  <c r="D19211" i="1"/>
  <c r="C19211" i="1"/>
  <c r="B19211" i="1"/>
  <c r="A19211" i="1"/>
  <c r="F19210" i="1"/>
  <c r="E19210" i="1"/>
  <c r="D19210" i="1"/>
  <c r="C19210" i="1"/>
  <c r="B19210" i="1"/>
  <c r="A19210" i="1"/>
  <c r="F19209" i="1"/>
  <c r="E19209" i="1"/>
  <c r="D19209" i="1"/>
  <c r="C19209" i="1"/>
  <c r="B19209" i="1"/>
  <c r="A19209" i="1"/>
  <c r="F19208" i="1"/>
  <c r="E19208" i="1"/>
  <c r="D19208" i="1"/>
  <c r="C19208" i="1"/>
  <c r="B19208" i="1"/>
  <c r="A19208" i="1"/>
  <c r="F19207" i="1"/>
  <c r="E19207" i="1"/>
  <c r="D19207" i="1"/>
  <c r="C19207" i="1"/>
  <c r="B19207" i="1"/>
  <c r="A19207" i="1"/>
  <c r="F19206" i="1"/>
  <c r="E19206" i="1"/>
  <c r="D19206" i="1"/>
  <c r="C19206" i="1"/>
  <c r="B19206" i="1"/>
  <c r="A19206" i="1"/>
  <c r="F19205" i="1"/>
  <c r="E19205" i="1"/>
  <c r="D19205" i="1"/>
  <c r="C19205" i="1"/>
  <c r="B19205" i="1"/>
  <c r="A19205" i="1"/>
  <c r="F19204" i="1"/>
  <c r="E19204" i="1"/>
  <c r="D19204" i="1"/>
  <c r="C19204" i="1"/>
  <c r="B19204" i="1"/>
  <c r="A19204" i="1"/>
  <c r="F19203" i="1"/>
  <c r="E19203" i="1"/>
  <c r="D19203" i="1"/>
  <c r="C19203" i="1"/>
  <c r="B19203" i="1"/>
  <c r="A19203" i="1"/>
  <c r="F19202" i="1"/>
  <c r="E19202" i="1"/>
  <c r="D19202" i="1"/>
  <c r="C19202" i="1"/>
  <c r="B19202" i="1"/>
  <c r="A19202" i="1"/>
  <c r="F19201" i="1"/>
  <c r="E19201" i="1"/>
  <c r="D19201" i="1"/>
  <c r="C19201" i="1"/>
  <c r="B19201" i="1"/>
  <c r="A19201" i="1"/>
  <c r="F19200" i="1"/>
  <c r="E19200" i="1"/>
  <c r="D19200" i="1"/>
  <c r="C19200" i="1"/>
  <c r="B19200" i="1"/>
  <c r="A19200" i="1"/>
  <c r="F19199" i="1"/>
  <c r="E19199" i="1"/>
  <c r="D19199" i="1"/>
  <c r="C19199" i="1"/>
  <c r="B19199" i="1"/>
  <c r="A19199" i="1"/>
  <c r="F19198" i="1"/>
  <c r="E19198" i="1"/>
  <c r="D19198" i="1"/>
  <c r="C19198" i="1"/>
  <c r="B19198" i="1"/>
  <c r="A19198" i="1"/>
  <c r="F19197" i="1"/>
  <c r="E19197" i="1"/>
  <c r="D19197" i="1"/>
  <c r="C19197" i="1"/>
  <c r="B19197" i="1"/>
  <c r="A19197" i="1"/>
  <c r="F19196" i="1"/>
  <c r="E19196" i="1"/>
  <c r="D19196" i="1"/>
  <c r="C19196" i="1"/>
  <c r="B19196" i="1"/>
  <c r="A19196" i="1"/>
  <c r="F19195" i="1"/>
  <c r="E19195" i="1"/>
  <c r="D19195" i="1"/>
  <c r="C19195" i="1"/>
  <c r="B19195" i="1"/>
  <c r="A19195" i="1"/>
  <c r="F19194" i="1"/>
  <c r="E19194" i="1"/>
  <c r="D19194" i="1"/>
  <c r="C19194" i="1"/>
  <c r="B19194" i="1"/>
  <c r="A19194" i="1"/>
  <c r="F19193" i="1"/>
  <c r="E19193" i="1"/>
  <c r="D19193" i="1"/>
  <c r="C19193" i="1"/>
  <c r="B19193" i="1"/>
  <c r="A19193" i="1"/>
  <c r="F19192" i="1"/>
  <c r="E19192" i="1"/>
  <c r="D19192" i="1"/>
  <c r="C19192" i="1"/>
  <c r="B19192" i="1"/>
  <c r="A19192" i="1"/>
  <c r="F19191" i="1"/>
  <c r="E19191" i="1"/>
  <c r="D19191" i="1"/>
  <c r="C19191" i="1"/>
  <c r="B19191" i="1"/>
  <c r="A19191" i="1"/>
  <c r="F19190" i="1"/>
  <c r="E19190" i="1"/>
  <c r="D19190" i="1"/>
  <c r="C19190" i="1"/>
  <c r="B19190" i="1"/>
  <c r="A19190" i="1"/>
  <c r="F19189" i="1"/>
  <c r="E19189" i="1"/>
  <c r="D19189" i="1"/>
  <c r="C19189" i="1"/>
  <c r="B19189" i="1"/>
  <c r="A19189" i="1"/>
  <c r="F19188" i="1"/>
  <c r="E19188" i="1"/>
  <c r="D19188" i="1"/>
  <c r="C19188" i="1"/>
  <c r="B19188" i="1"/>
  <c r="A19188" i="1"/>
  <c r="F19187" i="1"/>
  <c r="E19187" i="1"/>
  <c r="D19187" i="1"/>
  <c r="C19187" i="1"/>
  <c r="B19187" i="1"/>
  <c r="A19187" i="1"/>
  <c r="F19186" i="1"/>
  <c r="E19186" i="1"/>
  <c r="D19186" i="1"/>
  <c r="C19186" i="1"/>
  <c r="B19186" i="1"/>
  <c r="A19186" i="1"/>
  <c r="F19185" i="1"/>
  <c r="E19185" i="1"/>
  <c r="D19185" i="1"/>
  <c r="C19185" i="1"/>
  <c r="B19185" i="1"/>
  <c r="A19185" i="1"/>
  <c r="F19184" i="1"/>
  <c r="E19184" i="1"/>
  <c r="D19184" i="1"/>
  <c r="C19184" i="1"/>
  <c r="B19184" i="1"/>
  <c r="A19184" i="1"/>
  <c r="F19183" i="1"/>
  <c r="E19183" i="1"/>
  <c r="D19183" i="1"/>
  <c r="C19183" i="1"/>
  <c r="B19183" i="1"/>
  <c r="A19183" i="1"/>
  <c r="F19182" i="1"/>
  <c r="E19182" i="1"/>
  <c r="D19182" i="1"/>
  <c r="C19182" i="1"/>
  <c r="B19182" i="1"/>
  <c r="A19182" i="1"/>
  <c r="F19181" i="1"/>
  <c r="E19181" i="1"/>
  <c r="D19181" i="1"/>
  <c r="C19181" i="1"/>
  <c r="B19181" i="1"/>
  <c r="A19181" i="1"/>
  <c r="F19180" i="1"/>
  <c r="E19180" i="1"/>
  <c r="D19180" i="1"/>
  <c r="C19180" i="1"/>
  <c r="B19180" i="1"/>
  <c r="A19180" i="1"/>
  <c r="F19179" i="1"/>
  <c r="E19179" i="1"/>
  <c r="D19179" i="1"/>
  <c r="C19179" i="1"/>
  <c r="B19179" i="1"/>
  <c r="A19179" i="1"/>
  <c r="F19178" i="1"/>
  <c r="E19178" i="1"/>
  <c r="D19178" i="1"/>
  <c r="C19178" i="1"/>
  <c r="B19178" i="1"/>
  <c r="A19178" i="1"/>
  <c r="F19177" i="1"/>
  <c r="E19177" i="1"/>
  <c r="D19177" i="1"/>
  <c r="C19177" i="1"/>
  <c r="B19177" i="1"/>
  <c r="A19177" i="1"/>
  <c r="F19176" i="1"/>
  <c r="E19176" i="1"/>
  <c r="D19176" i="1"/>
  <c r="C19176" i="1"/>
  <c r="B19176" i="1"/>
  <c r="A19176" i="1"/>
  <c r="F19175" i="1"/>
  <c r="E19175" i="1"/>
  <c r="D19175" i="1"/>
  <c r="C19175" i="1"/>
  <c r="B19175" i="1"/>
  <c r="A19175" i="1"/>
  <c r="F19174" i="1"/>
  <c r="E19174" i="1"/>
  <c r="D19174" i="1"/>
  <c r="C19174" i="1"/>
  <c r="B19174" i="1"/>
  <c r="A19174" i="1"/>
  <c r="F19173" i="1"/>
  <c r="E19173" i="1"/>
  <c r="D19173" i="1"/>
  <c r="C19173" i="1"/>
  <c r="B19173" i="1"/>
  <c r="A19173" i="1"/>
  <c r="F19172" i="1"/>
  <c r="E19172" i="1"/>
  <c r="D19172" i="1"/>
  <c r="C19172" i="1"/>
  <c r="B19172" i="1"/>
  <c r="A19172" i="1"/>
  <c r="F19171" i="1"/>
  <c r="E19171" i="1"/>
  <c r="D19171" i="1"/>
  <c r="C19171" i="1"/>
  <c r="B19171" i="1"/>
  <c r="A19171" i="1"/>
  <c r="F19170" i="1"/>
  <c r="E19170" i="1"/>
  <c r="D19170" i="1"/>
  <c r="C19170" i="1"/>
  <c r="B19170" i="1"/>
  <c r="A19170" i="1"/>
  <c r="F19169" i="1"/>
  <c r="E19169" i="1"/>
  <c r="D19169" i="1"/>
  <c r="C19169" i="1"/>
  <c r="B19169" i="1"/>
  <c r="A19169" i="1"/>
  <c r="F19168" i="1"/>
  <c r="E19168" i="1"/>
  <c r="D19168" i="1"/>
  <c r="C19168" i="1"/>
  <c r="B19168" i="1"/>
  <c r="A19168" i="1"/>
  <c r="F19167" i="1"/>
  <c r="E19167" i="1"/>
  <c r="D19167" i="1"/>
  <c r="C19167" i="1"/>
  <c r="B19167" i="1"/>
  <c r="A19167" i="1"/>
  <c r="F19166" i="1"/>
  <c r="E19166" i="1"/>
  <c r="D19166" i="1"/>
  <c r="C19166" i="1"/>
  <c r="B19166" i="1"/>
  <c r="A19166" i="1"/>
  <c r="F19165" i="1"/>
  <c r="E19165" i="1"/>
  <c r="D19165" i="1"/>
  <c r="C19165" i="1"/>
  <c r="B19165" i="1"/>
  <c r="A19165" i="1"/>
  <c r="F19164" i="1"/>
  <c r="E19164" i="1"/>
  <c r="D19164" i="1"/>
  <c r="C19164" i="1"/>
  <c r="B19164" i="1"/>
  <c r="A19164" i="1"/>
  <c r="F19163" i="1"/>
  <c r="E19163" i="1"/>
  <c r="D19163" i="1"/>
  <c r="C19163" i="1"/>
  <c r="B19163" i="1"/>
  <c r="A19163" i="1"/>
  <c r="F19162" i="1"/>
  <c r="E19162" i="1"/>
  <c r="D19162" i="1"/>
  <c r="C19162" i="1"/>
  <c r="B19162" i="1"/>
  <c r="A19162" i="1"/>
  <c r="F19161" i="1"/>
  <c r="E19161" i="1"/>
  <c r="D19161" i="1"/>
  <c r="C19161" i="1"/>
  <c r="B19161" i="1"/>
  <c r="A19161" i="1"/>
  <c r="F19160" i="1"/>
  <c r="E19160" i="1"/>
  <c r="D19160" i="1"/>
  <c r="C19160" i="1"/>
  <c r="B19160" i="1"/>
  <c r="A19160" i="1"/>
  <c r="F19159" i="1"/>
  <c r="E19159" i="1"/>
  <c r="D19159" i="1"/>
  <c r="C19159" i="1"/>
  <c r="B19159" i="1"/>
  <c r="A19159" i="1"/>
  <c r="F19158" i="1"/>
  <c r="E19158" i="1"/>
  <c r="D19158" i="1"/>
  <c r="C19158" i="1"/>
  <c r="B19158" i="1"/>
  <c r="A19158" i="1"/>
  <c r="F19157" i="1"/>
  <c r="E19157" i="1"/>
  <c r="D19157" i="1"/>
  <c r="C19157" i="1"/>
  <c r="B19157" i="1"/>
  <c r="A19157" i="1"/>
  <c r="F19156" i="1"/>
  <c r="E19156" i="1"/>
  <c r="D19156" i="1"/>
  <c r="C19156" i="1"/>
  <c r="B19156" i="1"/>
  <c r="A19156" i="1"/>
  <c r="F19155" i="1"/>
  <c r="E19155" i="1"/>
  <c r="D19155" i="1"/>
  <c r="C19155" i="1"/>
  <c r="B19155" i="1"/>
  <c r="A19155" i="1"/>
  <c r="F19154" i="1"/>
  <c r="E19154" i="1"/>
  <c r="D19154" i="1"/>
  <c r="C19154" i="1"/>
  <c r="B19154" i="1"/>
  <c r="A19154" i="1"/>
  <c r="F19153" i="1"/>
  <c r="E19153" i="1"/>
  <c r="D19153" i="1"/>
  <c r="C19153" i="1"/>
  <c r="B19153" i="1"/>
  <c r="A19153" i="1"/>
  <c r="F19152" i="1"/>
  <c r="E19152" i="1"/>
  <c r="D19152" i="1"/>
  <c r="C19152" i="1"/>
  <c r="B19152" i="1"/>
  <c r="A19152" i="1"/>
  <c r="F19151" i="1"/>
  <c r="E19151" i="1"/>
  <c r="D19151" i="1"/>
  <c r="C19151" i="1"/>
  <c r="B19151" i="1"/>
  <c r="A19151" i="1"/>
  <c r="F19150" i="1"/>
  <c r="E19150" i="1"/>
  <c r="D19150" i="1"/>
  <c r="C19150" i="1"/>
  <c r="B19150" i="1"/>
  <c r="A19150" i="1"/>
  <c r="F19149" i="1"/>
  <c r="E19149" i="1"/>
  <c r="D19149" i="1"/>
  <c r="C19149" i="1"/>
  <c r="B19149" i="1"/>
  <c r="A19149" i="1"/>
  <c r="F19148" i="1"/>
  <c r="E19148" i="1"/>
  <c r="D19148" i="1"/>
  <c r="C19148" i="1"/>
  <c r="B19148" i="1"/>
  <c r="A19148" i="1"/>
  <c r="F19147" i="1"/>
  <c r="E19147" i="1"/>
  <c r="D19147" i="1"/>
  <c r="C19147" i="1"/>
  <c r="B19147" i="1"/>
  <c r="A19147" i="1"/>
  <c r="F19146" i="1"/>
  <c r="E19146" i="1"/>
  <c r="D19146" i="1"/>
  <c r="C19146" i="1"/>
  <c r="B19146" i="1"/>
  <c r="A19146" i="1"/>
  <c r="F19145" i="1"/>
  <c r="E19145" i="1"/>
  <c r="D19145" i="1"/>
  <c r="C19145" i="1"/>
  <c r="B19145" i="1"/>
  <c r="A19145" i="1"/>
  <c r="F19144" i="1"/>
  <c r="E19144" i="1"/>
  <c r="D19144" i="1"/>
  <c r="C19144" i="1"/>
  <c r="B19144" i="1"/>
  <c r="A19144" i="1"/>
  <c r="F19143" i="1"/>
  <c r="E19143" i="1"/>
  <c r="D19143" i="1"/>
  <c r="C19143" i="1"/>
  <c r="B19143" i="1"/>
  <c r="A19143" i="1"/>
  <c r="F19142" i="1"/>
  <c r="E19142" i="1"/>
  <c r="D19142" i="1"/>
  <c r="C19142" i="1"/>
  <c r="B19142" i="1"/>
  <c r="A19142" i="1"/>
  <c r="F19141" i="1"/>
  <c r="E19141" i="1"/>
  <c r="D19141" i="1"/>
  <c r="C19141" i="1"/>
  <c r="B19141" i="1"/>
  <c r="A19141" i="1"/>
  <c r="F19140" i="1"/>
  <c r="E19140" i="1"/>
  <c r="D19140" i="1"/>
  <c r="C19140" i="1"/>
  <c r="B19140" i="1"/>
  <c r="A19140" i="1"/>
  <c r="F19139" i="1"/>
  <c r="E19139" i="1"/>
  <c r="D19139" i="1"/>
  <c r="C19139" i="1"/>
  <c r="B19139" i="1"/>
  <c r="A19139" i="1"/>
  <c r="F19138" i="1"/>
  <c r="E19138" i="1"/>
  <c r="D19138" i="1"/>
  <c r="C19138" i="1"/>
  <c r="B19138" i="1"/>
  <c r="A19138" i="1"/>
  <c r="F19137" i="1"/>
  <c r="E19137" i="1"/>
  <c r="D19137" i="1"/>
  <c r="C19137" i="1"/>
  <c r="B19137" i="1"/>
  <c r="A19137" i="1"/>
  <c r="F19136" i="1"/>
  <c r="E19136" i="1"/>
  <c r="D19136" i="1"/>
  <c r="C19136" i="1"/>
  <c r="B19136" i="1"/>
  <c r="A19136" i="1"/>
  <c r="F19135" i="1"/>
  <c r="E19135" i="1"/>
  <c r="D19135" i="1"/>
  <c r="C19135" i="1"/>
  <c r="B19135" i="1"/>
  <c r="A19135" i="1"/>
  <c r="F19134" i="1"/>
  <c r="E19134" i="1"/>
  <c r="D19134" i="1"/>
  <c r="C19134" i="1"/>
  <c r="B19134" i="1"/>
  <c r="A19134" i="1"/>
  <c r="F19133" i="1"/>
  <c r="E19133" i="1"/>
  <c r="D19133" i="1"/>
  <c r="C19133" i="1"/>
  <c r="B19133" i="1"/>
  <c r="A19133" i="1"/>
  <c r="F19132" i="1"/>
  <c r="E19132" i="1"/>
  <c r="D19132" i="1"/>
  <c r="C19132" i="1"/>
  <c r="B19132" i="1"/>
  <c r="A19132" i="1"/>
  <c r="F19131" i="1"/>
  <c r="E19131" i="1"/>
  <c r="D19131" i="1"/>
  <c r="C19131" i="1"/>
  <c r="B19131" i="1"/>
  <c r="A19131" i="1"/>
  <c r="F19130" i="1"/>
  <c r="E19130" i="1"/>
  <c r="D19130" i="1"/>
  <c r="C19130" i="1"/>
  <c r="B19130" i="1"/>
  <c r="A19130" i="1"/>
  <c r="F19129" i="1"/>
  <c r="E19129" i="1"/>
  <c r="D19129" i="1"/>
  <c r="C19129" i="1"/>
  <c r="B19129" i="1"/>
  <c r="A19129" i="1"/>
  <c r="F19128" i="1"/>
  <c r="E19128" i="1"/>
  <c r="D19128" i="1"/>
  <c r="C19128" i="1"/>
  <c r="B19128" i="1"/>
  <c r="A19128" i="1"/>
  <c r="F19127" i="1"/>
  <c r="E19127" i="1"/>
  <c r="D19127" i="1"/>
  <c r="C19127" i="1"/>
  <c r="B19127" i="1"/>
  <c r="A19127" i="1"/>
  <c r="F19126" i="1"/>
  <c r="E19126" i="1"/>
  <c r="D19126" i="1"/>
  <c r="C19126" i="1"/>
  <c r="B19126" i="1"/>
  <c r="A19126" i="1"/>
  <c r="F19125" i="1"/>
  <c r="E19125" i="1"/>
  <c r="D19125" i="1"/>
  <c r="C19125" i="1"/>
  <c r="B19125" i="1"/>
  <c r="A19125" i="1"/>
  <c r="F19124" i="1"/>
  <c r="E19124" i="1"/>
  <c r="D19124" i="1"/>
  <c r="C19124" i="1"/>
  <c r="B19124" i="1"/>
  <c r="A19124" i="1"/>
  <c r="F19123" i="1"/>
  <c r="E19123" i="1"/>
  <c r="D19123" i="1"/>
  <c r="C19123" i="1"/>
  <c r="B19123" i="1"/>
  <c r="A19123" i="1"/>
  <c r="F19122" i="1"/>
  <c r="E19122" i="1"/>
  <c r="D19122" i="1"/>
  <c r="C19122" i="1"/>
  <c r="B19122" i="1"/>
  <c r="A19122" i="1"/>
  <c r="F19121" i="1"/>
  <c r="E19121" i="1"/>
  <c r="D19121" i="1"/>
  <c r="C19121" i="1"/>
  <c r="B19121" i="1"/>
  <c r="A19121" i="1"/>
  <c r="F19120" i="1"/>
  <c r="E19120" i="1"/>
  <c r="D19120" i="1"/>
  <c r="C19120" i="1"/>
  <c r="B19120" i="1"/>
  <c r="A19120" i="1"/>
  <c r="F19119" i="1"/>
  <c r="E19119" i="1"/>
  <c r="D19119" i="1"/>
  <c r="C19119" i="1"/>
  <c r="B19119" i="1"/>
  <c r="A19119" i="1"/>
  <c r="F19118" i="1"/>
  <c r="E19118" i="1"/>
  <c r="D19118" i="1"/>
  <c r="C19118" i="1"/>
  <c r="B19118" i="1"/>
  <c r="A19118" i="1"/>
  <c r="F19117" i="1"/>
  <c r="E19117" i="1"/>
  <c r="D19117" i="1"/>
  <c r="C19117" i="1"/>
  <c r="B19117" i="1"/>
  <c r="A19117" i="1"/>
  <c r="F19116" i="1"/>
  <c r="E19116" i="1"/>
  <c r="D19116" i="1"/>
  <c r="C19116" i="1"/>
  <c r="B19116" i="1"/>
  <c r="A19116" i="1"/>
  <c r="F19115" i="1"/>
  <c r="E19115" i="1"/>
  <c r="D19115" i="1"/>
  <c r="C19115" i="1"/>
  <c r="B19115" i="1"/>
  <c r="A19115" i="1"/>
  <c r="F19114" i="1"/>
  <c r="E19114" i="1"/>
  <c r="D19114" i="1"/>
  <c r="C19114" i="1"/>
  <c r="B19114" i="1"/>
  <c r="A19114" i="1"/>
  <c r="F19113" i="1"/>
  <c r="E19113" i="1"/>
  <c r="D19113" i="1"/>
  <c r="C19113" i="1"/>
  <c r="B19113" i="1"/>
  <c r="A19113" i="1"/>
  <c r="F19112" i="1"/>
  <c r="E19112" i="1"/>
  <c r="D19112" i="1"/>
  <c r="C19112" i="1"/>
  <c r="B19112" i="1"/>
  <c r="A19112" i="1"/>
  <c r="F19111" i="1"/>
  <c r="E19111" i="1"/>
  <c r="D19111" i="1"/>
  <c r="C19111" i="1"/>
  <c r="B19111" i="1"/>
  <c r="A19111" i="1"/>
  <c r="F19110" i="1"/>
  <c r="E19110" i="1"/>
  <c r="D19110" i="1"/>
  <c r="C19110" i="1"/>
  <c r="B19110" i="1"/>
  <c r="A19110" i="1"/>
  <c r="F19109" i="1"/>
  <c r="E19109" i="1"/>
  <c r="D19109" i="1"/>
  <c r="C19109" i="1"/>
  <c r="B19109" i="1"/>
  <c r="A19109" i="1"/>
  <c r="F19108" i="1"/>
  <c r="E19108" i="1"/>
  <c r="D19108" i="1"/>
  <c r="C19108" i="1"/>
  <c r="B19108" i="1"/>
  <c r="A19108" i="1"/>
  <c r="F19107" i="1"/>
  <c r="E19107" i="1"/>
  <c r="D19107" i="1"/>
  <c r="C19107" i="1"/>
  <c r="B19107" i="1"/>
  <c r="A19107" i="1"/>
  <c r="F19106" i="1"/>
  <c r="E19106" i="1"/>
  <c r="D19106" i="1"/>
  <c r="C19106" i="1"/>
  <c r="B19106" i="1"/>
  <c r="A19106" i="1"/>
  <c r="F19105" i="1"/>
  <c r="E19105" i="1"/>
  <c r="D19105" i="1"/>
  <c r="C19105" i="1"/>
  <c r="B19105" i="1"/>
  <c r="A19105" i="1"/>
  <c r="F19104" i="1"/>
  <c r="E19104" i="1"/>
  <c r="D19104" i="1"/>
  <c r="C19104" i="1"/>
  <c r="B19104" i="1"/>
  <c r="A19104" i="1"/>
  <c r="F19103" i="1"/>
  <c r="E19103" i="1"/>
  <c r="D19103" i="1"/>
  <c r="C19103" i="1"/>
  <c r="B19103" i="1"/>
  <c r="A19103" i="1"/>
  <c r="F19102" i="1"/>
  <c r="E19102" i="1"/>
  <c r="D19102" i="1"/>
  <c r="C19102" i="1"/>
  <c r="B19102" i="1"/>
  <c r="A19102" i="1"/>
  <c r="F19101" i="1"/>
  <c r="E19101" i="1"/>
  <c r="D19101" i="1"/>
  <c r="C19101" i="1"/>
  <c r="B19101" i="1"/>
  <c r="A19101" i="1"/>
  <c r="F19100" i="1"/>
  <c r="E19100" i="1"/>
  <c r="D19100" i="1"/>
  <c r="C19100" i="1"/>
  <c r="B19100" i="1"/>
  <c r="A19100" i="1"/>
  <c r="F19099" i="1"/>
  <c r="E19099" i="1"/>
  <c r="D19099" i="1"/>
  <c r="C19099" i="1"/>
  <c r="B19099" i="1"/>
  <c r="A19099" i="1"/>
  <c r="F19098" i="1"/>
  <c r="E19098" i="1"/>
  <c r="D19098" i="1"/>
  <c r="C19098" i="1"/>
  <c r="B19098" i="1"/>
  <c r="A19098" i="1"/>
  <c r="F19097" i="1"/>
  <c r="E19097" i="1"/>
  <c r="D19097" i="1"/>
  <c r="C19097" i="1"/>
  <c r="B19097" i="1"/>
  <c r="A19097" i="1"/>
  <c r="F19096" i="1"/>
  <c r="E19096" i="1"/>
  <c r="D19096" i="1"/>
  <c r="C19096" i="1"/>
  <c r="B19096" i="1"/>
  <c r="A19096" i="1"/>
  <c r="F19095" i="1"/>
  <c r="E19095" i="1"/>
  <c r="D19095" i="1"/>
  <c r="C19095" i="1"/>
  <c r="B19095" i="1"/>
  <c r="A19095" i="1"/>
  <c r="F19094" i="1"/>
  <c r="E19094" i="1"/>
  <c r="D19094" i="1"/>
  <c r="C19094" i="1"/>
  <c r="B19094" i="1"/>
  <c r="A19094" i="1"/>
  <c r="F19093" i="1"/>
  <c r="E19093" i="1"/>
  <c r="D19093" i="1"/>
  <c r="C19093" i="1"/>
  <c r="B19093" i="1"/>
  <c r="A19093" i="1"/>
  <c r="F19092" i="1"/>
  <c r="E19092" i="1"/>
  <c r="D19092" i="1"/>
  <c r="C19092" i="1"/>
  <c r="B19092" i="1"/>
  <c r="A19092" i="1"/>
  <c r="F19091" i="1"/>
  <c r="E19091" i="1"/>
  <c r="D19091" i="1"/>
  <c r="C19091" i="1"/>
  <c r="B19091" i="1"/>
  <c r="A19091" i="1"/>
  <c r="F19090" i="1"/>
  <c r="E19090" i="1"/>
  <c r="D19090" i="1"/>
  <c r="C19090" i="1"/>
  <c r="B19090" i="1"/>
  <c r="A19090" i="1"/>
  <c r="F19089" i="1"/>
  <c r="E19089" i="1"/>
  <c r="D19089" i="1"/>
  <c r="C19089" i="1"/>
  <c r="B19089" i="1"/>
  <c r="A19089" i="1"/>
  <c r="F19088" i="1"/>
  <c r="E19088" i="1"/>
  <c r="D19088" i="1"/>
  <c r="C19088" i="1"/>
  <c r="B19088" i="1"/>
  <c r="A19088" i="1"/>
  <c r="F19087" i="1"/>
  <c r="E19087" i="1"/>
  <c r="D19087" i="1"/>
  <c r="C19087" i="1"/>
  <c r="B19087" i="1"/>
  <c r="A19087" i="1"/>
  <c r="F19086" i="1"/>
  <c r="E19086" i="1"/>
  <c r="D19086" i="1"/>
  <c r="C19086" i="1"/>
  <c r="B19086" i="1"/>
  <c r="A19086" i="1"/>
  <c r="F19085" i="1"/>
  <c r="E19085" i="1"/>
  <c r="D19085" i="1"/>
  <c r="C19085" i="1"/>
  <c r="B19085" i="1"/>
  <c r="A19085" i="1"/>
  <c r="F19084" i="1"/>
  <c r="E19084" i="1"/>
  <c r="D19084" i="1"/>
  <c r="C19084" i="1"/>
  <c r="B19084" i="1"/>
  <c r="A19084" i="1"/>
  <c r="F19083" i="1"/>
  <c r="E19083" i="1"/>
  <c r="D19083" i="1"/>
  <c r="C19083" i="1"/>
  <c r="B19083" i="1"/>
  <c r="A19083" i="1"/>
  <c r="F19082" i="1"/>
  <c r="E19082" i="1"/>
  <c r="D19082" i="1"/>
  <c r="C19082" i="1"/>
  <c r="B19082" i="1"/>
  <c r="A19082" i="1"/>
  <c r="F19081" i="1"/>
  <c r="E19081" i="1"/>
  <c r="D19081" i="1"/>
  <c r="C19081" i="1"/>
  <c r="B19081" i="1"/>
  <c r="A19081" i="1"/>
  <c r="F19080" i="1"/>
  <c r="E19080" i="1"/>
  <c r="D19080" i="1"/>
  <c r="C19080" i="1"/>
  <c r="B19080" i="1"/>
  <c r="A19080" i="1"/>
  <c r="F19079" i="1"/>
  <c r="E19079" i="1"/>
  <c r="D19079" i="1"/>
  <c r="C19079" i="1"/>
  <c r="B19079" i="1"/>
  <c r="A19079" i="1"/>
  <c r="F19078" i="1"/>
  <c r="E19078" i="1"/>
  <c r="D19078" i="1"/>
  <c r="C19078" i="1"/>
  <c r="B19078" i="1"/>
  <c r="A19078" i="1"/>
  <c r="F19077" i="1"/>
  <c r="E19077" i="1"/>
  <c r="D19077" i="1"/>
  <c r="C19077" i="1"/>
  <c r="B19077" i="1"/>
  <c r="A19077" i="1"/>
  <c r="F19076" i="1"/>
  <c r="E19076" i="1"/>
  <c r="D19076" i="1"/>
  <c r="C19076" i="1"/>
  <c r="B19076" i="1"/>
  <c r="A19076" i="1"/>
  <c r="F19075" i="1"/>
  <c r="E19075" i="1"/>
  <c r="D19075" i="1"/>
  <c r="C19075" i="1"/>
  <c r="B19075" i="1"/>
  <c r="A19075" i="1"/>
  <c r="F19074" i="1"/>
  <c r="E19074" i="1"/>
  <c r="D19074" i="1"/>
  <c r="C19074" i="1"/>
  <c r="B19074" i="1"/>
  <c r="A19074" i="1"/>
  <c r="F19073" i="1"/>
  <c r="E19073" i="1"/>
  <c r="D19073" i="1"/>
  <c r="C19073" i="1"/>
  <c r="B19073" i="1"/>
  <c r="A19073" i="1"/>
  <c r="F19072" i="1"/>
  <c r="E19072" i="1"/>
  <c r="D19072" i="1"/>
  <c r="C19072" i="1"/>
  <c r="B19072" i="1"/>
  <c r="A19072" i="1"/>
  <c r="F19071" i="1"/>
  <c r="E19071" i="1"/>
  <c r="D19071" i="1"/>
  <c r="C19071" i="1"/>
  <c r="B19071" i="1"/>
  <c r="A19071" i="1"/>
  <c r="F19070" i="1"/>
  <c r="E19070" i="1"/>
  <c r="D19070" i="1"/>
  <c r="C19070" i="1"/>
  <c r="B19070" i="1"/>
  <c r="A19070" i="1"/>
  <c r="F19069" i="1"/>
  <c r="E19069" i="1"/>
  <c r="D19069" i="1"/>
  <c r="C19069" i="1"/>
  <c r="B19069" i="1"/>
  <c r="A19069" i="1"/>
  <c r="F19068" i="1"/>
  <c r="E19068" i="1"/>
  <c r="D19068" i="1"/>
  <c r="C19068" i="1"/>
  <c r="B19068" i="1"/>
  <c r="A19068" i="1"/>
  <c r="F19067" i="1"/>
  <c r="E19067" i="1"/>
  <c r="D19067" i="1"/>
  <c r="C19067" i="1"/>
  <c r="B19067" i="1"/>
  <c r="A19067" i="1"/>
  <c r="F19066" i="1"/>
  <c r="E19066" i="1"/>
  <c r="D19066" i="1"/>
  <c r="C19066" i="1"/>
  <c r="B19066" i="1"/>
  <c r="A19066" i="1"/>
  <c r="F19065" i="1"/>
  <c r="E19065" i="1"/>
  <c r="D19065" i="1"/>
  <c r="C19065" i="1"/>
  <c r="B19065" i="1"/>
  <c r="A19065" i="1"/>
  <c r="F19064" i="1"/>
  <c r="E19064" i="1"/>
  <c r="D19064" i="1"/>
  <c r="C19064" i="1"/>
  <c r="B19064" i="1"/>
  <c r="A19064" i="1"/>
  <c r="F19063" i="1"/>
  <c r="E19063" i="1"/>
  <c r="D19063" i="1"/>
  <c r="C19063" i="1"/>
  <c r="B19063" i="1"/>
  <c r="A19063" i="1"/>
  <c r="F19062" i="1"/>
  <c r="E19062" i="1"/>
  <c r="D19062" i="1"/>
  <c r="C19062" i="1"/>
  <c r="B19062" i="1"/>
  <c r="A19062" i="1"/>
  <c r="F19061" i="1"/>
  <c r="E19061" i="1"/>
  <c r="D19061" i="1"/>
  <c r="C19061" i="1"/>
  <c r="B19061" i="1"/>
  <c r="A19061" i="1"/>
  <c r="F19060" i="1"/>
  <c r="E19060" i="1"/>
  <c r="D19060" i="1"/>
  <c r="C19060" i="1"/>
  <c r="B19060" i="1"/>
  <c r="A19060" i="1"/>
  <c r="F19059" i="1"/>
  <c r="E19059" i="1"/>
  <c r="D19059" i="1"/>
  <c r="C19059" i="1"/>
  <c r="B19059" i="1"/>
  <c r="A19059" i="1"/>
  <c r="F19058" i="1"/>
  <c r="E19058" i="1"/>
  <c r="D19058" i="1"/>
  <c r="C19058" i="1"/>
  <c r="B19058" i="1"/>
  <c r="A19058" i="1"/>
  <c r="F19057" i="1"/>
  <c r="E19057" i="1"/>
  <c r="D19057" i="1"/>
  <c r="C19057" i="1"/>
  <c r="B19057" i="1"/>
  <c r="A19057" i="1"/>
  <c r="F19056" i="1"/>
  <c r="E19056" i="1"/>
  <c r="D19056" i="1"/>
  <c r="C19056" i="1"/>
  <c r="B19056" i="1"/>
  <c r="A19056" i="1"/>
  <c r="F19055" i="1"/>
  <c r="E19055" i="1"/>
  <c r="D19055" i="1"/>
  <c r="C19055" i="1"/>
  <c r="B19055" i="1"/>
  <c r="A19055" i="1"/>
  <c r="F19054" i="1"/>
  <c r="E19054" i="1"/>
  <c r="D19054" i="1"/>
  <c r="C19054" i="1"/>
  <c r="B19054" i="1"/>
  <c r="A19054" i="1"/>
  <c r="F19053" i="1"/>
  <c r="E19053" i="1"/>
  <c r="D19053" i="1"/>
  <c r="C19053" i="1"/>
  <c r="B19053" i="1"/>
  <c r="A19053" i="1"/>
  <c r="F19052" i="1"/>
  <c r="E19052" i="1"/>
  <c r="D19052" i="1"/>
  <c r="C19052" i="1"/>
  <c r="B19052" i="1"/>
  <c r="A19052" i="1"/>
  <c r="F19051" i="1"/>
  <c r="E19051" i="1"/>
  <c r="D19051" i="1"/>
  <c r="C19051" i="1"/>
  <c r="B19051" i="1"/>
  <c r="A19051" i="1"/>
  <c r="F19050" i="1"/>
  <c r="E19050" i="1"/>
  <c r="D19050" i="1"/>
  <c r="C19050" i="1"/>
  <c r="B19050" i="1"/>
  <c r="A19050" i="1"/>
  <c r="F19049" i="1"/>
  <c r="E19049" i="1"/>
  <c r="D19049" i="1"/>
  <c r="C19049" i="1"/>
  <c r="B19049" i="1"/>
  <c r="A19049" i="1"/>
  <c r="F19048" i="1"/>
  <c r="E19048" i="1"/>
  <c r="D19048" i="1"/>
  <c r="C19048" i="1"/>
  <c r="B19048" i="1"/>
  <c r="A19048" i="1"/>
  <c r="F19047" i="1"/>
  <c r="E19047" i="1"/>
  <c r="D19047" i="1"/>
  <c r="C19047" i="1"/>
  <c r="B19047" i="1"/>
  <c r="A19047" i="1"/>
  <c r="F19046" i="1"/>
  <c r="E19046" i="1"/>
  <c r="D19046" i="1"/>
  <c r="C19046" i="1"/>
  <c r="B19046" i="1"/>
  <c r="A19046" i="1"/>
  <c r="F19045" i="1"/>
  <c r="E19045" i="1"/>
  <c r="D19045" i="1"/>
  <c r="C19045" i="1"/>
  <c r="B19045" i="1"/>
  <c r="A19045" i="1"/>
  <c r="F19044" i="1"/>
  <c r="E19044" i="1"/>
  <c r="D19044" i="1"/>
  <c r="C19044" i="1"/>
  <c r="B19044" i="1"/>
  <c r="A19044" i="1"/>
  <c r="F19043" i="1"/>
  <c r="E19043" i="1"/>
  <c r="D19043" i="1"/>
  <c r="C19043" i="1"/>
  <c r="B19043" i="1"/>
  <c r="A19043" i="1"/>
  <c r="F19042" i="1"/>
  <c r="E19042" i="1"/>
  <c r="D19042" i="1"/>
  <c r="C19042" i="1"/>
  <c r="B19042" i="1"/>
  <c r="A19042" i="1"/>
  <c r="F19041" i="1"/>
  <c r="E19041" i="1"/>
  <c r="D19041" i="1"/>
  <c r="C19041" i="1"/>
  <c r="B19041" i="1"/>
  <c r="A19041" i="1"/>
  <c r="F19040" i="1"/>
  <c r="E19040" i="1"/>
  <c r="D19040" i="1"/>
  <c r="C19040" i="1"/>
  <c r="B19040" i="1"/>
  <c r="A19040" i="1"/>
  <c r="F19039" i="1"/>
  <c r="E19039" i="1"/>
  <c r="D19039" i="1"/>
  <c r="C19039" i="1"/>
  <c r="B19039" i="1"/>
  <c r="A19039" i="1"/>
  <c r="F19038" i="1"/>
  <c r="E19038" i="1"/>
  <c r="D19038" i="1"/>
  <c r="C19038" i="1"/>
  <c r="B19038" i="1"/>
  <c r="A19038" i="1"/>
  <c r="F19037" i="1"/>
  <c r="E19037" i="1"/>
  <c r="D19037" i="1"/>
  <c r="C19037" i="1"/>
  <c r="B19037" i="1"/>
  <c r="A19037" i="1"/>
  <c r="F19036" i="1"/>
  <c r="E19036" i="1"/>
  <c r="D19036" i="1"/>
  <c r="C19036" i="1"/>
  <c r="B19036" i="1"/>
  <c r="A19036" i="1"/>
  <c r="F19035" i="1"/>
  <c r="E19035" i="1"/>
  <c r="D19035" i="1"/>
  <c r="C19035" i="1"/>
  <c r="B19035" i="1"/>
  <c r="A19035" i="1"/>
  <c r="F19034" i="1"/>
  <c r="E19034" i="1"/>
  <c r="D19034" i="1"/>
  <c r="C19034" i="1"/>
  <c r="B19034" i="1"/>
  <c r="A19034" i="1"/>
  <c r="F19033" i="1"/>
  <c r="E19033" i="1"/>
  <c r="D19033" i="1"/>
  <c r="C19033" i="1"/>
  <c r="B19033" i="1"/>
  <c r="A19033" i="1"/>
  <c r="F19032" i="1"/>
  <c r="E19032" i="1"/>
  <c r="D19032" i="1"/>
  <c r="C19032" i="1"/>
  <c r="B19032" i="1"/>
  <c r="A19032" i="1"/>
  <c r="F19031" i="1"/>
  <c r="E19031" i="1"/>
  <c r="D19031" i="1"/>
  <c r="C19031" i="1"/>
  <c r="B19031" i="1"/>
  <c r="A19031" i="1"/>
  <c r="F19030" i="1"/>
  <c r="E19030" i="1"/>
  <c r="D19030" i="1"/>
  <c r="C19030" i="1"/>
  <c r="B19030" i="1"/>
  <c r="A19030" i="1"/>
  <c r="F19029" i="1"/>
  <c r="E19029" i="1"/>
  <c r="D19029" i="1"/>
  <c r="C19029" i="1"/>
  <c r="B19029" i="1"/>
  <c r="A19029" i="1"/>
  <c r="F19028" i="1"/>
  <c r="E19028" i="1"/>
  <c r="D19028" i="1"/>
  <c r="C19028" i="1"/>
  <c r="B19028" i="1"/>
  <c r="A19028" i="1"/>
  <c r="F19027" i="1"/>
  <c r="E19027" i="1"/>
  <c r="D19027" i="1"/>
  <c r="C19027" i="1"/>
  <c r="B19027" i="1"/>
  <c r="A19027" i="1"/>
  <c r="F19026" i="1"/>
  <c r="E19026" i="1"/>
  <c r="D19026" i="1"/>
  <c r="C19026" i="1"/>
  <c r="B19026" i="1"/>
  <c r="A19026" i="1"/>
  <c r="F19025" i="1"/>
  <c r="E19025" i="1"/>
  <c r="D19025" i="1"/>
  <c r="C19025" i="1"/>
  <c r="B19025" i="1"/>
  <c r="A19025" i="1"/>
  <c r="F19024" i="1"/>
  <c r="E19024" i="1"/>
  <c r="D19024" i="1"/>
  <c r="C19024" i="1"/>
  <c r="B19024" i="1"/>
  <c r="A19024" i="1"/>
  <c r="F19023" i="1"/>
  <c r="E19023" i="1"/>
  <c r="D19023" i="1"/>
  <c r="C19023" i="1"/>
  <c r="B19023" i="1"/>
  <c r="A19023" i="1"/>
  <c r="F19022" i="1"/>
  <c r="E19022" i="1"/>
  <c r="D19022" i="1"/>
  <c r="C19022" i="1"/>
  <c r="B19022" i="1"/>
  <c r="A19022" i="1"/>
  <c r="F19021" i="1"/>
  <c r="E19021" i="1"/>
  <c r="D19021" i="1"/>
  <c r="C19021" i="1"/>
  <c r="B19021" i="1"/>
  <c r="A19021" i="1"/>
  <c r="F19020" i="1"/>
  <c r="E19020" i="1"/>
  <c r="D19020" i="1"/>
  <c r="C19020" i="1"/>
  <c r="B19020" i="1"/>
  <c r="A19020" i="1"/>
  <c r="F19019" i="1"/>
  <c r="E19019" i="1"/>
  <c r="D19019" i="1"/>
  <c r="C19019" i="1"/>
  <c r="B19019" i="1"/>
  <c r="A19019" i="1"/>
  <c r="F19018" i="1"/>
  <c r="E19018" i="1"/>
  <c r="D19018" i="1"/>
  <c r="C19018" i="1"/>
  <c r="B19018" i="1"/>
  <c r="A19018" i="1"/>
  <c r="F19017" i="1"/>
  <c r="E19017" i="1"/>
  <c r="D19017" i="1"/>
  <c r="C19017" i="1"/>
  <c r="B19017" i="1"/>
  <c r="A19017" i="1"/>
  <c r="F19016" i="1"/>
  <c r="E19016" i="1"/>
  <c r="D19016" i="1"/>
  <c r="C19016" i="1"/>
  <c r="B19016" i="1"/>
  <c r="A19016" i="1"/>
  <c r="F19015" i="1"/>
  <c r="E19015" i="1"/>
  <c r="D19015" i="1"/>
  <c r="C19015" i="1"/>
  <c r="B19015" i="1"/>
  <c r="A19015" i="1"/>
  <c r="F19014" i="1"/>
  <c r="E19014" i="1"/>
  <c r="D19014" i="1"/>
  <c r="C19014" i="1"/>
  <c r="B19014" i="1"/>
  <c r="A19014" i="1"/>
  <c r="F19013" i="1"/>
  <c r="E19013" i="1"/>
  <c r="D19013" i="1"/>
  <c r="C19013" i="1"/>
  <c r="B19013" i="1"/>
  <c r="A19013" i="1"/>
  <c r="F19012" i="1"/>
  <c r="E19012" i="1"/>
  <c r="D19012" i="1"/>
  <c r="C19012" i="1"/>
  <c r="B19012" i="1"/>
  <c r="A19012" i="1"/>
  <c r="F19011" i="1"/>
  <c r="E19011" i="1"/>
  <c r="D19011" i="1"/>
  <c r="C19011" i="1"/>
  <c r="B19011" i="1"/>
  <c r="A19011" i="1"/>
  <c r="F19010" i="1"/>
  <c r="E19010" i="1"/>
  <c r="D19010" i="1"/>
  <c r="C19010" i="1"/>
  <c r="B19010" i="1"/>
  <c r="A19010" i="1"/>
  <c r="F19009" i="1"/>
  <c r="E19009" i="1"/>
  <c r="D19009" i="1"/>
  <c r="C19009" i="1"/>
  <c r="B19009" i="1"/>
  <c r="A19009" i="1"/>
  <c r="F19008" i="1"/>
  <c r="E19008" i="1"/>
  <c r="D19008" i="1"/>
  <c r="C19008" i="1"/>
  <c r="B19008" i="1"/>
  <c r="A19008" i="1"/>
  <c r="F19007" i="1"/>
  <c r="E19007" i="1"/>
  <c r="D19007" i="1"/>
  <c r="C19007" i="1"/>
  <c r="B19007" i="1"/>
  <c r="A19007" i="1"/>
  <c r="F19006" i="1"/>
  <c r="E19006" i="1"/>
  <c r="D19006" i="1"/>
  <c r="C19006" i="1"/>
  <c r="B19006" i="1"/>
  <c r="A19006" i="1"/>
  <c r="F19005" i="1"/>
  <c r="E19005" i="1"/>
  <c r="D19005" i="1"/>
  <c r="C19005" i="1"/>
  <c r="B19005" i="1"/>
  <c r="A19005" i="1"/>
  <c r="F19004" i="1"/>
  <c r="E19004" i="1"/>
  <c r="D19004" i="1"/>
  <c r="C19004" i="1"/>
  <c r="B19004" i="1"/>
  <c r="A19004" i="1"/>
  <c r="F19003" i="1"/>
  <c r="E19003" i="1"/>
  <c r="D19003" i="1"/>
  <c r="C19003" i="1"/>
  <c r="B19003" i="1"/>
  <c r="A19003" i="1"/>
  <c r="F19002" i="1"/>
  <c r="E19002" i="1"/>
  <c r="D19002" i="1"/>
  <c r="C19002" i="1"/>
  <c r="B19002" i="1"/>
  <c r="A19002" i="1"/>
  <c r="F19001" i="1"/>
  <c r="E19001" i="1"/>
  <c r="D19001" i="1"/>
  <c r="C19001" i="1"/>
  <c r="B19001" i="1"/>
  <c r="A19001" i="1"/>
  <c r="F19000" i="1"/>
  <c r="E19000" i="1"/>
  <c r="D19000" i="1"/>
  <c r="C19000" i="1"/>
  <c r="B19000" i="1"/>
  <c r="A19000" i="1"/>
  <c r="F18999" i="1"/>
  <c r="E18999" i="1"/>
  <c r="D18999" i="1"/>
  <c r="C18999" i="1"/>
  <c r="B18999" i="1"/>
  <c r="A18999" i="1"/>
  <c r="F18998" i="1"/>
  <c r="E18998" i="1"/>
  <c r="D18998" i="1"/>
  <c r="C18998" i="1"/>
  <c r="B18998" i="1"/>
  <c r="A18998" i="1"/>
  <c r="F18997" i="1"/>
  <c r="E18997" i="1"/>
  <c r="D18997" i="1"/>
  <c r="C18997" i="1"/>
  <c r="B18997" i="1"/>
  <c r="A18997" i="1"/>
  <c r="F18996" i="1"/>
  <c r="E18996" i="1"/>
  <c r="D18996" i="1"/>
  <c r="C18996" i="1"/>
  <c r="B18996" i="1"/>
  <c r="A18996" i="1"/>
  <c r="F18995" i="1"/>
  <c r="E18995" i="1"/>
  <c r="D18995" i="1"/>
  <c r="C18995" i="1"/>
  <c r="B18995" i="1"/>
  <c r="A18995" i="1"/>
  <c r="F18994" i="1"/>
  <c r="E18994" i="1"/>
  <c r="D18994" i="1"/>
  <c r="C18994" i="1"/>
  <c r="B18994" i="1"/>
  <c r="A18994" i="1"/>
  <c r="F18993" i="1"/>
  <c r="E18993" i="1"/>
  <c r="D18993" i="1"/>
  <c r="C18993" i="1"/>
  <c r="B18993" i="1"/>
  <c r="A18993" i="1"/>
  <c r="F18992" i="1"/>
  <c r="E18992" i="1"/>
  <c r="D18992" i="1"/>
  <c r="C18992" i="1"/>
  <c r="B18992" i="1"/>
  <c r="A18992" i="1"/>
  <c r="F18991" i="1"/>
  <c r="E18991" i="1"/>
  <c r="D18991" i="1"/>
  <c r="C18991" i="1"/>
  <c r="B18991" i="1"/>
  <c r="A18991" i="1"/>
  <c r="F18990" i="1"/>
  <c r="E18990" i="1"/>
  <c r="D18990" i="1"/>
  <c r="C18990" i="1"/>
  <c r="B18990" i="1"/>
  <c r="A18990" i="1"/>
  <c r="F18989" i="1"/>
  <c r="E18989" i="1"/>
  <c r="D18989" i="1"/>
  <c r="C18989" i="1"/>
  <c r="B18989" i="1"/>
  <c r="A18989" i="1"/>
  <c r="F18988" i="1"/>
  <c r="E18988" i="1"/>
  <c r="D18988" i="1"/>
  <c r="C18988" i="1"/>
  <c r="B18988" i="1"/>
  <c r="A18988" i="1"/>
  <c r="F18987" i="1"/>
  <c r="E18987" i="1"/>
  <c r="D18987" i="1"/>
  <c r="C18987" i="1"/>
  <c r="B18987" i="1"/>
  <c r="A18987" i="1"/>
  <c r="F18986" i="1"/>
  <c r="E18986" i="1"/>
  <c r="D18986" i="1"/>
  <c r="C18986" i="1"/>
  <c r="B18986" i="1"/>
  <c r="A18986" i="1"/>
  <c r="F18985" i="1"/>
  <c r="E18985" i="1"/>
  <c r="D18985" i="1"/>
  <c r="C18985" i="1"/>
  <c r="B18985" i="1"/>
  <c r="A18985" i="1"/>
  <c r="F18984" i="1"/>
  <c r="E18984" i="1"/>
  <c r="D18984" i="1"/>
  <c r="C18984" i="1"/>
  <c r="B18984" i="1"/>
  <c r="A18984" i="1"/>
  <c r="F18983" i="1"/>
  <c r="E18983" i="1"/>
  <c r="D18983" i="1"/>
  <c r="C18983" i="1"/>
  <c r="B18983" i="1"/>
  <c r="A18983" i="1"/>
  <c r="F18982" i="1"/>
  <c r="E18982" i="1"/>
  <c r="D18982" i="1"/>
  <c r="C18982" i="1"/>
  <c r="B18982" i="1"/>
  <c r="A18982" i="1"/>
  <c r="F18981" i="1"/>
  <c r="E18981" i="1"/>
  <c r="D18981" i="1"/>
  <c r="C18981" i="1"/>
  <c r="B18981" i="1"/>
  <c r="A18981" i="1"/>
  <c r="F18980" i="1"/>
  <c r="E18980" i="1"/>
  <c r="D18980" i="1"/>
  <c r="C18980" i="1"/>
  <c r="B18980" i="1"/>
  <c r="A18980" i="1"/>
  <c r="F18979" i="1"/>
  <c r="E18979" i="1"/>
  <c r="D18979" i="1"/>
  <c r="C18979" i="1"/>
  <c r="B18979" i="1"/>
  <c r="A18979" i="1"/>
  <c r="F18978" i="1"/>
  <c r="E18978" i="1"/>
  <c r="D18978" i="1"/>
  <c r="C18978" i="1"/>
  <c r="B18978" i="1"/>
  <c r="A18978" i="1"/>
  <c r="F18977" i="1"/>
  <c r="E18977" i="1"/>
  <c r="D18977" i="1"/>
  <c r="C18977" i="1"/>
  <c r="B18977" i="1"/>
  <c r="A18977" i="1"/>
  <c r="F18976" i="1"/>
  <c r="E18976" i="1"/>
  <c r="D18976" i="1"/>
  <c r="C18976" i="1"/>
  <c r="B18976" i="1"/>
  <c r="A18976" i="1"/>
  <c r="F18975" i="1"/>
  <c r="E18975" i="1"/>
  <c r="D18975" i="1"/>
  <c r="C18975" i="1"/>
  <c r="B18975" i="1"/>
  <c r="A18975" i="1"/>
  <c r="F18974" i="1"/>
  <c r="E18974" i="1"/>
  <c r="D18974" i="1"/>
  <c r="C18974" i="1"/>
  <c r="B18974" i="1"/>
  <c r="A18974" i="1"/>
  <c r="F18973" i="1"/>
  <c r="E18973" i="1"/>
  <c r="D18973" i="1"/>
  <c r="C18973" i="1"/>
  <c r="B18973" i="1"/>
  <c r="A18973" i="1"/>
  <c r="F18972" i="1"/>
  <c r="E18972" i="1"/>
  <c r="D18972" i="1"/>
  <c r="C18972" i="1"/>
  <c r="B18972" i="1"/>
  <c r="A18972" i="1"/>
  <c r="F18971" i="1"/>
  <c r="E18971" i="1"/>
  <c r="D18971" i="1"/>
  <c r="C18971" i="1"/>
  <c r="B18971" i="1"/>
  <c r="A18971" i="1"/>
  <c r="F18970" i="1"/>
  <c r="E18970" i="1"/>
  <c r="D18970" i="1"/>
  <c r="C18970" i="1"/>
  <c r="B18970" i="1"/>
  <c r="A18970" i="1"/>
  <c r="F18969" i="1"/>
  <c r="E18969" i="1"/>
  <c r="D18969" i="1"/>
  <c r="C18969" i="1"/>
  <c r="B18969" i="1"/>
  <c r="A18969" i="1"/>
  <c r="F18968" i="1"/>
  <c r="E18968" i="1"/>
  <c r="D18968" i="1"/>
  <c r="C18968" i="1"/>
  <c r="B18968" i="1"/>
  <c r="A18968" i="1"/>
  <c r="F18967" i="1"/>
  <c r="E18967" i="1"/>
  <c r="D18967" i="1"/>
  <c r="C18967" i="1"/>
  <c r="B18967" i="1"/>
  <c r="A18967" i="1"/>
  <c r="F18966" i="1"/>
  <c r="E18966" i="1"/>
  <c r="D18966" i="1"/>
  <c r="C18966" i="1"/>
  <c r="B18966" i="1"/>
  <c r="A18966" i="1"/>
  <c r="F18965" i="1"/>
  <c r="E18965" i="1"/>
  <c r="D18965" i="1"/>
  <c r="C18965" i="1"/>
  <c r="B18965" i="1"/>
  <c r="A18965" i="1"/>
  <c r="F18964" i="1"/>
  <c r="E18964" i="1"/>
  <c r="D18964" i="1"/>
  <c r="C18964" i="1"/>
  <c r="B18964" i="1"/>
  <c r="A18964" i="1"/>
  <c r="F18963" i="1"/>
  <c r="E18963" i="1"/>
  <c r="D18963" i="1"/>
  <c r="C18963" i="1"/>
  <c r="B18963" i="1"/>
  <c r="A18963" i="1"/>
  <c r="F18962" i="1"/>
  <c r="E18962" i="1"/>
  <c r="D18962" i="1"/>
  <c r="C18962" i="1"/>
  <c r="B18962" i="1"/>
  <c r="A18962" i="1"/>
  <c r="F18961" i="1"/>
  <c r="E18961" i="1"/>
  <c r="D18961" i="1"/>
  <c r="C18961" i="1"/>
  <c r="B18961" i="1"/>
  <c r="A18961" i="1"/>
  <c r="F18960" i="1"/>
  <c r="E18960" i="1"/>
  <c r="D18960" i="1"/>
  <c r="C18960" i="1"/>
  <c r="B18960" i="1"/>
  <c r="A18960" i="1"/>
  <c r="F18959" i="1"/>
  <c r="E18959" i="1"/>
  <c r="D18959" i="1"/>
  <c r="C18959" i="1"/>
  <c r="B18959" i="1"/>
  <c r="A18959" i="1"/>
  <c r="F18958" i="1"/>
  <c r="E18958" i="1"/>
  <c r="D18958" i="1"/>
  <c r="C18958" i="1"/>
  <c r="B18958" i="1"/>
  <c r="A18958" i="1"/>
  <c r="F18957" i="1"/>
  <c r="E18957" i="1"/>
  <c r="D18957" i="1"/>
  <c r="C18957" i="1"/>
  <c r="B18957" i="1"/>
  <c r="A18957" i="1"/>
  <c r="F18956" i="1"/>
  <c r="E18956" i="1"/>
  <c r="D18956" i="1"/>
  <c r="C18956" i="1"/>
  <c r="B18956" i="1"/>
  <c r="A18956" i="1"/>
  <c r="F18955" i="1"/>
  <c r="E18955" i="1"/>
  <c r="D18955" i="1"/>
  <c r="C18955" i="1"/>
  <c r="B18955" i="1"/>
  <c r="A18955" i="1"/>
  <c r="F18954" i="1"/>
  <c r="E18954" i="1"/>
  <c r="D18954" i="1"/>
  <c r="C18954" i="1"/>
  <c r="B18954" i="1"/>
  <c r="A18954" i="1"/>
  <c r="F18953" i="1"/>
  <c r="E18953" i="1"/>
  <c r="D18953" i="1"/>
  <c r="C18953" i="1"/>
  <c r="B18953" i="1"/>
  <c r="A18953" i="1"/>
  <c r="F18952" i="1"/>
  <c r="E18952" i="1"/>
  <c r="D18952" i="1"/>
  <c r="C18952" i="1"/>
  <c r="B18952" i="1"/>
  <c r="A18952" i="1"/>
  <c r="F18951" i="1"/>
  <c r="E18951" i="1"/>
  <c r="D18951" i="1"/>
  <c r="C18951" i="1"/>
  <c r="B18951" i="1"/>
  <c r="A18951" i="1"/>
  <c r="F18950" i="1"/>
  <c r="E18950" i="1"/>
  <c r="D18950" i="1"/>
  <c r="C18950" i="1"/>
  <c r="B18950" i="1"/>
  <c r="A18950" i="1"/>
  <c r="F18949" i="1"/>
  <c r="E18949" i="1"/>
  <c r="D18949" i="1"/>
  <c r="C18949" i="1"/>
  <c r="B18949" i="1"/>
  <c r="A18949" i="1"/>
  <c r="F18948" i="1"/>
  <c r="E18948" i="1"/>
  <c r="D18948" i="1"/>
  <c r="C18948" i="1"/>
  <c r="B18948" i="1"/>
  <c r="A18948" i="1"/>
  <c r="F18947" i="1"/>
  <c r="E18947" i="1"/>
  <c r="D18947" i="1"/>
  <c r="C18947" i="1"/>
  <c r="B18947" i="1"/>
  <c r="A18947" i="1"/>
  <c r="F18946" i="1"/>
  <c r="E18946" i="1"/>
  <c r="D18946" i="1"/>
  <c r="C18946" i="1"/>
  <c r="B18946" i="1"/>
  <c r="A18946" i="1"/>
  <c r="F18945" i="1"/>
  <c r="E18945" i="1"/>
  <c r="D18945" i="1"/>
  <c r="C18945" i="1"/>
  <c r="B18945" i="1"/>
  <c r="A18945" i="1"/>
  <c r="F18944" i="1"/>
  <c r="E18944" i="1"/>
  <c r="D18944" i="1"/>
  <c r="C18944" i="1"/>
  <c r="B18944" i="1"/>
  <c r="A18944" i="1"/>
  <c r="F18943" i="1"/>
  <c r="E18943" i="1"/>
  <c r="D18943" i="1"/>
  <c r="C18943" i="1"/>
  <c r="B18943" i="1"/>
  <c r="A18943" i="1"/>
  <c r="F18942" i="1"/>
  <c r="E18942" i="1"/>
  <c r="D18942" i="1"/>
  <c r="C18942" i="1"/>
  <c r="B18942" i="1"/>
  <c r="A18942" i="1"/>
  <c r="F18941" i="1"/>
  <c r="E18941" i="1"/>
  <c r="D18941" i="1"/>
  <c r="C18941" i="1"/>
  <c r="B18941" i="1"/>
  <c r="A18941" i="1"/>
  <c r="F18940" i="1"/>
  <c r="E18940" i="1"/>
  <c r="D18940" i="1"/>
  <c r="C18940" i="1"/>
  <c r="B18940" i="1"/>
  <c r="A18940" i="1"/>
  <c r="F18939" i="1"/>
  <c r="E18939" i="1"/>
  <c r="D18939" i="1"/>
  <c r="C18939" i="1"/>
  <c r="B18939" i="1"/>
  <c r="A18939" i="1"/>
  <c r="F18938" i="1"/>
  <c r="E18938" i="1"/>
  <c r="D18938" i="1"/>
  <c r="C18938" i="1"/>
  <c r="B18938" i="1"/>
  <c r="A18938" i="1"/>
  <c r="F18937" i="1"/>
  <c r="E18937" i="1"/>
  <c r="D18937" i="1"/>
  <c r="C18937" i="1"/>
  <c r="B18937" i="1"/>
  <c r="A18937" i="1"/>
  <c r="F18936" i="1"/>
  <c r="E18936" i="1"/>
  <c r="D18936" i="1"/>
  <c r="C18936" i="1"/>
  <c r="B18936" i="1"/>
  <c r="A18936" i="1"/>
  <c r="F18935" i="1"/>
  <c r="E18935" i="1"/>
  <c r="D18935" i="1"/>
  <c r="C18935" i="1"/>
  <c r="B18935" i="1"/>
  <c r="A18935" i="1"/>
  <c r="F18934" i="1"/>
  <c r="E18934" i="1"/>
  <c r="D18934" i="1"/>
  <c r="C18934" i="1"/>
  <c r="B18934" i="1"/>
  <c r="A18934" i="1"/>
  <c r="F18933" i="1"/>
  <c r="E18933" i="1"/>
  <c r="D18933" i="1"/>
  <c r="C18933" i="1"/>
  <c r="B18933" i="1"/>
  <c r="A18933" i="1"/>
  <c r="F18932" i="1"/>
  <c r="E18932" i="1"/>
  <c r="D18932" i="1"/>
  <c r="C18932" i="1"/>
  <c r="B18932" i="1"/>
  <c r="A18932" i="1"/>
  <c r="F18931" i="1"/>
  <c r="E18931" i="1"/>
  <c r="D18931" i="1"/>
  <c r="C18931" i="1"/>
  <c r="B18931" i="1"/>
  <c r="A18931" i="1"/>
  <c r="F18930" i="1"/>
  <c r="E18930" i="1"/>
  <c r="D18930" i="1"/>
  <c r="C18930" i="1"/>
  <c r="B18930" i="1"/>
  <c r="A18930" i="1"/>
  <c r="F18929" i="1"/>
  <c r="E18929" i="1"/>
  <c r="D18929" i="1"/>
  <c r="C18929" i="1"/>
  <c r="B18929" i="1"/>
  <c r="A18929" i="1"/>
  <c r="F18928" i="1"/>
  <c r="E18928" i="1"/>
  <c r="D18928" i="1"/>
  <c r="C18928" i="1"/>
  <c r="B18928" i="1"/>
  <c r="A18928" i="1"/>
  <c r="F18927" i="1"/>
  <c r="E18927" i="1"/>
  <c r="D18927" i="1"/>
  <c r="C18927" i="1"/>
  <c r="B18927" i="1"/>
  <c r="A18927" i="1"/>
  <c r="F18926" i="1"/>
  <c r="E18926" i="1"/>
  <c r="D18926" i="1"/>
  <c r="C18926" i="1"/>
  <c r="B18926" i="1"/>
  <c r="A18926" i="1"/>
  <c r="F18925" i="1"/>
  <c r="E18925" i="1"/>
  <c r="D18925" i="1"/>
  <c r="C18925" i="1"/>
  <c r="B18925" i="1"/>
  <c r="A18925" i="1"/>
  <c r="F18924" i="1"/>
  <c r="E18924" i="1"/>
  <c r="D18924" i="1"/>
  <c r="C18924" i="1"/>
  <c r="B18924" i="1"/>
  <c r="A18924" i="1"/>
  <c r="F18923" i="1"/>
  <c r="E18923" i="1"/>
  <c r="D18923" i="1"/>
  <c r="C18923" i="1"/>
  <c r="B18923" i="1"/>
  <c r="A18923" i="1"/>
  <c r="F18922" i="1"/>
  <c r="E18922" i="1"/>
  <c r="D18922" i="1"/>
  <c r="C18922" i="1"/>
  <c r="B18922" i="1"/>
  <c r="A18922" i="1"/>
  <c r="F18921" i="1"/>
  <c r="E18921" i="1"/>
  <c r="D18921" i="1"/>
  <c r="C18921" i="1"/>
  <c r="B18921" i="1"/>
  <c r="A18921" i="1"/>
  <c r="F18920" i="1"/>
  <c r="E18920" i="1"/>
  <c r="D18920" i="1"/>
  <c r="C18920" i="1"/>
  <c r="B18920" i="1"/>
  <c r="A18920" i="1"/>
  <c r="F18919" i="1"/>
  <c r="E18919" i="1"/>
  <c r="D18919" i="1"/>
  <c r="C18919" i="1"/>
  <c r="B18919" i="1"/>
  <c r="A18919" i="1"/>
  <c r="F18918" i="1"/>
  <c r="E18918" i="1"/>
  <c r="D18918" i="1"/>
  <c r="C18918" i="1"/>
  <c r="B18918" i="1"/>
  <c r="A18918" i="1"/>
  <c r="F18917" i="1"/>
  <c r="E18917" i="1"/>
  <c r="D18917" i="1"/>
  <c r="C18917" i="1"/>
  <c r="B18917" i="1"/>
  <c r="A18917" i="1"/>
  <c r="F18916" i="1"/>
  <c r="E18916" i="1"/>
  <c r="D18916" i="1"/>
  <c r="C18916" i="1"/>
  <c r="B18916" i="1"/>
  <c r="A18916" i="1"/>
  <c r="F18915" i="1"/>
  <c r="E18915" i="1"/>
  <c r="D18915" i="1"/>
  <c r="C18915" i="1"/>
  <c r="B18915" i="1"/>
  <c r="A18915" i="1"/>
  <c r="F18914" i="1"/>
  <c r="E18914" i="1"/>
  <c r="D18914" i="1"/>
  <c r="C18914" i="1"/>
  <c r="B18914" i="1"/>
  <c r="A18914" i="1"/>
  <c r="F18913" i="1"/>
  <c r="E18913" i="1"/>
  <c r="D18913" i="1"/>
  <c r="C18913" i="1"/>
  <c r="B18913" i="1"/>
  <c r="A18913" i="1"/>
  <c r="F18912" i="1"/>
  <c r="E18912" i="1"/>
  <c r="D18912" i="1"/>
  <c r="C18912" i="1"/>
  <c r="B18912" i="1"/>
  <c r="A18912" i="1"/>
  <c r="F18911" i="1"/>
  <c r="E18911" i="1"/>
  <c r="D18911" i="1"/>
  <c r="C18911" i="1"/>
  <c r="B18911" i="1"/>
  <c r="A18911" i="1"/>
  <c r="F18910" i="1"/>
  <c r="E18910" i="1"/>
  <c r="D18910" i="1"/>
  <c r="C18910" i="1"/>
  <c r="B18910" i="1"/>
  <c r="A18910" i="1"/>
  <c r="F18909" i="1"/>
  <c r="E18909" i="1"/>
  <c r="D18909" i="1"/>
  <c r="C18909" i="1"/>
  <c r="B18909" i="1"/>
  <c r="A18909" i="1"/>
  <c r="F18908" i="1"/>
  <c r="E18908" i="1"/>
  <c r="D18908" i="1"/>
  <c r="C18908" i="1"/>
  <c r="B18908" i="1"/>
  <c r="A18908" i="1"/>
  <c r="F18907" i="1"/>
  <c r="E18907" i="1"/>
  <c r="D18907" i="1"/>
  <c r="C18907" i="1"/>
  <c r="B18907" i="1"/>
  <c r="A18907" i="1"/>
  <c r="F18906" i="1"/>
  <c r="E18906" i="1"/>
  <c r="D18906" i="1"/>
  <c r="C18906" i="1"/>
  <c r="B18906" i="1"/>
  <c r="A18906" i="1"/>
  <c r="F18905" i="1"/>
  <c r="E18905" i="1"/>
  <c r="D18905" i="1"/>
  <c r="C18905" i="1"/>
  <c r="B18905" i="1"/>
  <c r="A18905" i="1"/>
  <c r="F18904" i="1"/>
  <c r="E18904" i="1"/>
  <c r="D18904" i="1"/>
  <c r="C18904" i="1"/>
  <c r="B18904" i="1"/>
  <c r="A18904" i="1"/>
  <c r="F18903" i="1"/>
  <c r="E18903" i="1"/>
  <c r="D18903" i="1"/>
  <c r="C18903" i="1"/>
  <c r="B18903" i="1"/>
  <c r="A18903" i="1"/>
  <c r="F18902" i="1"/>
  <c r="E18902" i="1"/>
  <c r="D18902" i="1"/>
  <c r="C18902" i="1"/>
  <c r="B18902" i="1"/>
  <c r="A18902" i="1"/>
  <c r="F18901" i="1"/>
  <c r="E18901" i="1"/>
  <c r="D18901" i="1"/>
  <c r="C18901" i="1"/>
  <c r="B18901" i="1"/>
  <c r="A18901" i="1"/>
  <c r="F18900" i="1"/>
  <c r="E18900" i="1"/>
  <c r="D18900" i="1"/>
  <c r="C18900" i="1"/>
  <c r="B18900" i="1"/>
  <c r="A18900" i="1"/>
  <c r="F18899" i="1"/>
  <c r="E18899" i="1"/>
  <c r="D18899" i="1"/>
  <c r="C18899" i="1"/>
  <c r="B18899" i="1"/>
  <c r="A18899" i="1"/>
  <c r="F18898" i="1"/>
  <c r="E18898" i="1"/>
  <c r="D18898" i="1"/>
  <c r="C18898" i="1"/>
  <c r="B18898" i="1"/>
  <c r="A18898" i="1"/>
  <c r="F18897" i="1"/>
  <c r="E18897" i="1"/>
  <c r="D18897" i="1"/>
  <c r="C18897" i="1"/>
  <c r="B18897" i="1"/>
  <c r="A18897" i="1"/>
  <c r="F18896" i="1"/>
  <c r="E18896" i="1"/>
  <c r="D18896" i="1"/>
  <c r="C18896" i="1"/>
  <c r="B18896" i="1"/>
  <c r="A18896" i="1"/>
  <c r="F18895" i="1"/>
  <c r="E18895" i="1"/>
  <c r="D18895" i="1"/>
  <c r="C18895" i="1"/>
  <c r="B18895" i="1"/>
  <c r="A18895" i="1"/>
  <c r="F18894" i="1"/>
  <c r="E18894" i="1"/>
  <c r="D18894" i="1"/>
  <c r="C18894" i="1"/>
  <c r="B18894" i="1"/>
  <c r="A18894" i="1"/>
  <c r="F18893" i="1"/>
  <c r="E18893" i="1"/>
  <c r="D18893" i="1"/>
  <c r="C18893" i="1"/>
  <c r="B18893" i="1"/>
  <c r="A18893" i="1"/>
  <c r="F18892" i="1"/>
  <c r="E18892" i="1"/>
  <c r="D18892" i="1"/>
  <c r="C18892" i="1"/>
  <c r="B18892" i="1"/>
  <c r="A18892" i="1"/>
  <c r="F18891" i="1"/>
  <c r="E18891" i="1"/>
  <c r="D18891" i="1"/>
  <c r="C18891" i="1"/>
  <c r="B18891" i="1"/>
  <c r="A18891" i="1"/>
  <c r="F18890" i="1"/>
  <c r="E18890" i="1"/>
  <c r="D18890" i="1"/>
  <c r="C18890" i="1"/>
  <c r="B18890" i="1"/>
  <c r="A18890" i="1"/>
  <c r="F18889" i="1"/>
  <c r="E18889" i="1"/>
  <c r="D18889" i="1"/>
  <c r="C18889" i="1"/>
  <c r="B18889" i="1"/>
  <c r="A18889" i="1"/>
  <c r="F18888" i="1"/>
  <c r="E18888" i="1"/>
  <c r="D18888" i="1"/>
  <c r="C18888" i="1"/>
  <c r="B18888" i="1"/>
  <c r="A18888" i="1"/>
  <c r="F18887" i="1"/>
  <c r="E18887" i="1"/>
  <c r="D18887" i="1"/>
  <c r="C18887" i="1"/>
  <c r="B18887" i="1"/>
  <c r="A18887" i="1"/>
  <c r="F18886" i="1"/>
  <c r="E18886" i="1"/>
  <c r="D18886" i="1"/>
  <c r="C18886" i="1"/>
  <c r="B18886" i="1"/>
  <c r="A18886" i="1"/>
  <c r="F18885" i="1"/>
  <c r="E18885" i="1"/>
  <c r="D18885" i="1"/>
  <c r="C18885" i="1"/>
  <c r="B18885" i="1"/>
  <c r="A18885" i="1"/>
  <c r="F18884" i="1"/>
  <c r="E18884" i="1"/>
  <c r="D18884" i="1"/>
  <c r="C18884" i="1"/>
  <c r="B18884" i="1"/>
  <c r="A18884" i="1"/>
  <c r="F18883" i="1"/>
  <c r="E18883" i="1"/>
  <c r="D18883" i="1"/>
  <c r="C18883" i="1"/>
  <c r="B18883" i="1"/>
  <c r="A18883" i="1"/>
  <c r="F18882" i="1"/>
  <c r="E18882" i="1"/>
  <c r="D18882" i="1"/>
  <c r="C18882" i="1"/>
  <c r="B18882" i="1"/>
  <c r="A18882" i="1"/>
  <c r="F18881" i="1"/>
  <c r="E18881" i="1"/>
  <c r="D18881" i="1"/>
  <c r="C18881" i="1"/>
  <c r="B18881" i="1"/>
  <c r="A18881" i="1"/>
  <c r="F18880" i="1"/>
  <c r="E18880" i="1"/>
  <c r="D18880" i="1"/>
  <c r="C18880" i="1"/>
  <c r="B18880" i="1"/>
  <c r="A18880" i="1"/>
  <c r="F18879" i="1"/>
  <c r="E18879" i="1"/>
  <c r="D18879" i="1"/>
  <c r="C18879" i="1"/>
  <c r="B18879" i="1"/>
  <c r="A18879" i="1"/>
  <c r="F18878" i="1"/>
  <c r="E18878" i="1"/>
  <c r="D18878" i="1"/>
  <c r="C18878" i="1"/>
  <c r="B18878" i="1"/>
  <c r="A18878" i="1"/>
  <c r="F18877" i="1"/>
  <c r="E18877" i="1"/>
  <c r="D18877" i="1"/>
  <c r="C18877" i="1"/>
  <c r="B18877" i="1"/>
  <c r="A18877" i="1"/>
  <c r="F18876" i="1"/>
  <c r="E18876" i="1"/>
  <c r="D18876" i="1"/>
  <c r="C18876" i="1"/>
  <c r="B18876" i="1"/>
  <c r="A18876" i="1"/>
  <c r="F18875" i="1"/>
  <c r="E18875" i="1"/>
  <c r="D18875" i="1"/>
  <c r="C18875" i="1"/>
  <c r="B18875" i="1"/>
  <c r="A18875" i="1"/>
  <c r="F18874" i="1"/>
  <c r="E18874" i="1"/>
  <c r="D18874" i="1"/>
  <c r="C18874" i="1"/>
  <c r="B18874" i="1"/>
  <c r="A18874" i="1"/>
  <c r="F18873" i="1"/>
  <c r="E18873" i="1"/>
  <c r="D18873" i="1"/>
  <c r="C18873" i="1"/>
  <c r="B18873" i="1"/>
  <c r="A18873" i="1"/>
  <c r="F18872" i="1"/>
  <c r="E18872" i="1"/>
  <c r="D18872" i="1"/>
  <c r="C18872" i="1"/>
  <c r="B18872" i="1"/>
  <c r="A18872" i="1"/>
  <c r="F18871" i="1"/>
  <c r="E18871" i="1"/>
  <c r="D18871" i="1"/>
  <c r="C18871" i="1"/>
  <c r="B18871" i="1"/>
  <c r="A18871" i="1"/>
  <c r="F18870" i="1"/>
  <c r="E18870" i="1"/>
  <c r="D18870" i="1"/>
  <c r="C18870" i="1"/>
  <c r="B18870" i="1"/>
  <c r="A18870" i="1"/>
  <c r="F18869" i="1"/>
  <c r="E18869" i="1"/>
  <c r="D18869" i="1"/>
  <c r="C18869" i="1"/>
  <c r="B18869" i="1"/>
  <c r="A18869" i="1"/>
  <c r="F18868" i="1"/>
  <c r="E18868" i="1"/>
  <c r="D18868" i="1"/>
  <c r="C18868" i="1"/>
  <c r="B18868" i="1"/>
  <c r="A18868" i="1"/>
  <c r="F18867" i="1"/>
  <c r="E18867" i="1"/>
  <c r="D18867" i="1"/>
  <c r="C18867" i="1"/>
  <c r="B18867" i="1"/>
  <c r="A18867" i="1"/>
  <c r="F18866" i="1"/>
  <c r="E18866" i="1"/>
  <c r="D18866" i="1"/>
  <c r="C18866" i="1"/>
  <c r="B18866" i="1"/>
  <c r="A18866" i="1"/>
  <c r="F18865" i="1"/>
  <c r="E18865" i="1"/>
  <c r="D18865" i="1"/>
  <c r="C18865" i="1"/>
  <c r="B18865" i="1"/>
  <c r="A18865" i="1"/>
  <c r="F18864" i="1"/>
  <c r="E18864" i="1"/>
  <c r="D18864" i="1"/>
  <c r="C18864" i="1"/>
  <c r="B18864" i="1"/>
  <c r="A18864" i="1"/>
  <c r="F18863" i="1"/>
  <c r="E18863" i="1"/>
  <c r="D18863" i="1"/>
  <c r="C18863" i="1"/>
  <c r="B18863" i="1"/>
  <c r="A18863" i="1"/>
  <c r="F18862" i="1"/>
  <c r="E18862" i="1"/>
  <c r="D18862" i="1"/>
  <c r="C18862" i="1"/>
  <c r="B18862" i="1"/>
  <c r="A18862" i="1"/>
  <c r="F18861" i="1"/>
  <c r="E18861" i="1"/>
  <c r="D18861" i="1"/>
  <c r="C18861" i="1"/>
  <c r="B18861" i="1"/>
  <c r="A18861" i="1"/>
  <c r="F18860" i="1"/>
  <c r="E18860" i="1"/>
  <c r="D18860" i="1"/>
  <c r="C18860" i="1"/>
  <c r="B18860" i="1"/>
  <c r="A18860" i="1"/>
  <c r="F18859" i="1"/>
  <c r="E18859" i="1"/>
  <c r="D18859" i="1"/>
  <c r="C18859" i="1"/>
  <c r="B18859" i="1"/>
  <c r="A18859" i="1"/>
  <c r="F18858" i="1"/>
  <c r="E18858" i="1"/>
  <c r="D18858" i="1"/>
  <c r="C18858" i="1"/>
  <c r="B18858" i="1"/>
  <c r="A18858" i="1"/>
  <c r="F18857" i="1"/>
  <c r="E18857" i="1"/>
  <c r="D18857" i="1"/>
  <c r="C18857" i="1"/>
  <c r="B18857" i="1"/>
  <c r="A18857" i="1"/>
  <c r="F18856" i="1"/>
  <c r="E18856" i="1"/>
  <c r="D18856" i="1"/>
  <c r="C18856" i="1"/>
  <c r="B18856" i="1"/>
  <c r="A18856" i="1"/>
  <c r="F18855" i="1"/>
  <c r="E18855" i="1"/>
  <c r="D18855" i="1"/>
  <c r="C18855" i="1"/>
  <c r="B18855" i="1"/>
  <c r="A18855" i="1"/>
  <c r="F18854" i="1"/>
  <c r="E18854" i="1"/>
  <c r="D18854" i="1"/>
  <c r="C18854" i="1"/>
  <c r="B18854" i="1"/>
  <c r="A18854" i="1"/>
  <c r="F18853" i="1"/>
  <c r="E18853" i="1"/>
  <c r="D18853" i="1"/>
  <c r="C18853" i="1"/>
  <c r="B18853" i="1"/>
  <c r="A18853" i="1"/>
  <c r="F18852" i="1"/>
  <c r="E18852" i="1"/>
  <c r="D18852" i="1"/>
  <c r="C18852" i="1"/>
  <c r="B18852" i="1"/>
  <c r="A18852" i="1"/>
  <c r="F18851" i="1"/>
  <c r="E18851" i="1"/>
  <c r="D18851" i="1"/>
  <c r="C18851" i="1"/>
  <c r="B18851" i="1"/>
  <c r="A18851" i="1"/>
  <c r="F18850" i="1"/>
  <c r="E18850" i="1"/>
  <c r="D18850" i="1"/>
  <c r="C18850" i="1"/>
  <c r="B18850" i="1"/>
  <c r="A18850" i="1"/>
  <c r="F18849" i="1"/>
  <c r="E18849" i="1"/>
  <c r="D18849" i="1"/>
  <c r="C18849" i="1"/>
  <c r="B18849" i="1"/>
  <c r="A18849" i="1"/>
  <c r="F18848" i="1"/>
  <c r="E18848" i="1"/>
  <c r="D18848" i="1"/>
  <c r="C18848" i="1"/>
  <c r="B18848" i="1"/>
  <c r="A18848" i="1"/>
  <c r="F18847" i="1"/>
  <c r="E18847" i="1"/>
  <c r="D18847" i="1"/>
  <c r="C18847" i="1"/>
  <c r="B18847" i="1"/>
  <c r="A18847" i="1"/>
  <c r="F18846" i="1"/>
  <c r="E18846" i="1"/>
  <c r="D18846" i="1"/>
  <c r="C18846" i="1"/>
  <c r="B18846" i="1"/>
  <c r="A18846" i="1"/>
  <c r="F18845" i="1"/>
  <c r="E18845" i="1"/>
  <c r="D18845" i="1"/>
  <c r="C18845" i="1"/>
  <c r="B18845" i="1"/>
  <c r="A18845" i="1"/>
  <c r="F18844" i="1"/>
  <c r="E18844" i="1"/>
  <c r="D18844" i="1"/>
  <c r="C18844" i="1"/>
  <c r="B18844" i="1"/>
  <c r="A18844" i="1"/>
  <c r="F18843" i="1"/>
  <c r="E18843" i="1"/>
  <c r="D18843" i="1"/>
  <c r="C18843" i="1"/>
  <c r="B18843" i="1"/>
  <c r="A18843" i="1"/>
  <c r="F18842" i="1"/>
  <c r="E18842" i="1"/>
  <c r="D18842" i="1"/>
  <c r="C18842" i="1"/>
  <c r="B18842" i="1"/>
  <c r="A18842" i="1"/>
  <c r="F18841" i="1"/>
  <c r="E18841" i="1"/>
  <c r="D18841" i="1"/>
  <c r="C18841" i="1"/>
  <c r="B18841" i="1"/>
  <c r="A18841" i="1"/>
  <c r="F18840" i="1"/>
  <c r="E18840" i="1"/>
  <c r="D18840" i="1"/>
  <c r="C18840" i="1"/>
  <c r="B18840" i="1"/>
  <c r="A18840" i="1"/>
  <c r="F18839" i="1"/>
  <c r="E18839" i="1"/>
  <c r="D18839" i="1"/>
  <c r="C18839" i="1"/>
  <c r="B18839" i="1"/>
  <c r="A18839" i="1"/>
  <c r="F18838" i="1"/>
  <c r="E18838" i="1"/>
  <c r="D18838" i="1"/>
  <c r="C18838" i="1"/>
  <c r="B18838" i="1"/>
  <c r="A18838" i="1"/>
  <c r="F18837" i="1"/>
  <c r="E18837" i="1"/>
  <c r="D18837" i="1"/>
  <c r="C18837" i="1"/>
  <c r="B18837" i="1"/>
  <c r="A18837" i="1"/>
  <c r="F18836" i="1"/>
  <c r="E18836" i="1"/>
  <c r="D18836" i="1"/>
  <c r="C18836" i="1"/>
  <c r="B18836" i="1"/>
  <c r="A18836" i="1"/>
  <c r="F18835" i="1"/>
  <c r="E18835" i="1"/>
  <c r="D18835" i="1"/>
  <c r="C18835" i="1"/>
  <c r="B18835" i="1"/>
  <c r="A18835" i="1"/>
  <c r="F18834" i="1"/>
  <c r="E18834" i="1"/>
  <c r="D18834" i="1"/>
  <c r="C18834" i="1"/>
  <c r="B18834" i="1"/>
  <c r="A18834" i="1"/>
  <c r="F18833" i="1"/>
  <c r="E18833" i="1"/>
  <c r="D18833" i="1"/>
  <c r="C18833" i="1"/>
  <c r="B18833" i="1"/>
  <c r="A18833" i="1"/>
  <c r="F18832" i="1"/>
  <c r="E18832" i="1"/>
  <c r="D18832" i="1"/>
  <c r="C18832" i="1"/>
  <c r="B18832" i="1"/>
  <c r="A18832" i="1"/>
  <c r="F18831" i="1"/>
  <c r="E18831" i="1"/>
  <c r="D18831" i="1"/>
  <c r="C18831" i="1"/>
  <c r="B18831" i="1"/>
  <c r="A18831" i="1"/>
  <c r="F18830" i="1"/>
  <c r="E18830" i="1"/>
  <c r="D18830" i="1"/>
  <c r="C18830" i="1"/>
  <c r="B18830" i="1"/>
  <c r="A18830" i="1"/>
  <c r="F18829" i="1"/>
  <c r="E18829" i="1"/>
  <c r="D18829" i="1"/>
  <c r="C18829" i="1"/>
  <c r="B18829" i="1"/>
  <c r="A18829" i="1"/>
  <c r="F18828" i="1"/>
  <c r="E18828" i="1"/>
  <c r="D18828" i="1"/>
  <c r="C18828" i="1"/>
  <c r="B18828" i="1"/>
  <c r="A18828" i="1"/>
  <c r="F18827" i="1"/>
  <c r="E18827" i="1"/>
  <c r="D18827" i="1"/>
  <c r="C18827" i="1"/>
  <c r="B18827" i="1"/>
  <c r="A18827" i="1"/>
  <c r="F18826" i="1"/>
  <c r="E18826" i="1"/>
  <c r="D18826" i="1"/>
  <c r="C18826" i="1"/>
  <c r="B18826" i="1"/>
  <c r="A18826" i="1"/>
  <c r="F18825" i="1"/>
  <c r="E18825" i="1"/>
  <c r="D18825" i="1"/>
  <c r="C18825" i="1"/>
  <c r="B18825" i="1"/>
  <c r="A18825" i="1"/>
  <c r="F18824" i="1"/>
  <c r="E18824" i="1"/>
  <c r="D18824" i="1"/>
  <c r="C18824" i="1"/>
  <c r="B18824" i="1"/>
  <c r="A18824" i="1"/>
  <c r="F18823" i="1"/>
  <c r="E18823" i="1"/>
  <c r="D18823" i="1"/>
  <c r="C18823" i="1"/>
  <c r="B18823" i="1"/>
  <c r="A18823" i="1"/>
  <c r="F18822" i="1"/>
  <c r="E18822" i="1"/>
  <c r="D18822" i="1"/>
  <c r="C18822" i="1"/>
  <c r="B18822" i="1"/>
  <c r="A18822" i="1"/>
  <c r="F18821" i="1"/>
  <c r="E18821" i="1"/>
  <c r="D18821" i="1"/>
  <c r="C18821" i="1"/>
  <c r="B18821" i="1"/>
  <c r="A18821" i="1"/>
  <c r="F18820" i="1"/>
  <c r="E18820" i="1"/>
  <c r="D18820" i="1"/>
  <c r="C18820" i="1"/>
  <c r="B18820" i="1"/>
  <c r="A18820" i="1"/>
  <c r="F18819" i="1"/>
  <c r="E18819" i="1"/>
  <c r="D18819" i="1"/>
  <c r="C18819" i="1"/>
  <c r="B18819" i="1"/>
  <c r="A18819" i="1"/>
  <c r="F18818" i="1"/>
  <c r="E18818" i="1"/>
  <c r="D18818" i="1"/>
  <c r="C18818" i="1"/>
  <c r="B18818" i="1"/>
  <c r="A18818" i="1"/>
  <c r="F18817" i="1"/>
  <c r="E18817" i="1"/>
  <c r="D18817" i="1"/>
  <c r="C18817" i="1"/>
  <c r="B18817" i="1"/>
  <c r="A18817" i="1"/>
  <c r="F18816" i="1"/>
  <c r="E18816" i="1"/>
  <c r="D18816" i="1"/>
  <c r="C18816" i="1"/>
  <c r="B18816" i="1"/>
  <c r="A18816" i="1"/>
  <c r="F18815" i="1"/>
  <c r="E18815" i="1"/>
  <c r="D18815" i="1"/>
  <c r="C18815" i="1"/>
  <c r="B18815" i="1"/>
  <c r="A18815" i="1"/>
  <c r="F18814" i="1"/>
  <c r="E18814" i="1"/>
  <c r="D18814" i="1"/>
  <c r="C18814" i="1"/>
  <c r="B18814" i="1"/>
  <c r="A18814" i="1"/>
  <c r="F18813" i="1"/>
  <c r="E18813" i="1"/>
  <c r="D18813" i="1"/>
  <c r="C18813" i="1"/>
  <c r="B18813" i="1"/>
  <c r="A18813" i="1"/>
  <c r="F18812" i="1"/>
  <c r="E18812" i="1"/>
  <c r="D18812" i="1"/>
  <c r="C18812" i="1"/>
  <c r="B18812" i="1"/>
  <c r="A18812" i="1"/>
  <c r="F18811" i="1"/>
  <c r="E18811" i="1"/>
  <c r="D18811" i="1"/>
  <c r="C18811" i="1"/>
  <c r="B18811" i="1"/>
  <c r="A18811" i="1"/>
  <c r="F18810" i="1"/>
  <c r="E18810" i="1"/>
  <c r="D18810" i="1"/>
  <c r="C18810" i="1"/>
  <c r="B18810" i="1"/>
  <c r="A18810" i="1"/>
  <c r="F18809" i="1"/>
  <c r="E18809" i="1"/>
  <c r="D18809" i="1"/>
  <c r="C18809" i="1"/>
  <c r="B18809" i="1"/>
  <c r="A18809" i="1"/>
  <c r="F18808" i="1"/>
  <c r="E18808" i="1"/>
  <c r="D18808" i="1"/>
  <c r="C18808" i="1"/>
  <c r="B18808" i="1"/>
  <c r="A18808" i="1"/>
  <c r="F18807" i="1"/>
  <c r="E18807" i="1"/>
  <c r="D18807" i="1"/>
  <c r="C18807" i="1"/>
  <c r="B18807" i="1"/>
  <c r="A18807" i="1"/>
  <c r="F18806" i="1"/>
  <c r="E18806" i="1"/>
  <c r="D18806" i="1"/>
  <c r="C18806" i="1"/>
  <c r="B18806" i="1"/>
  <c r="A18806" i="1"/>
  <c r="F18805" i="1"/>
  <c r="E18805" i="1"/>
  <c r="D18805" i="1"/>
  <c r="C18805" i="1"/>
  <c r="B18805" i="1"/>
  <c r="A18805" i="1"/>
  <c r="F18804" i="1"/>
  <c r="E18804" i="1"/>
  <c r="D18804" i="1"/>
  <c r="C18804" i="1"/>
  <c r="B18804" i="1"/>
  <c r="A18804" i="1"/>
  <c r="F18803" i="1"/>
  <c r="E18803" i="1"/>
  <c r="D18803" i="1"/>
  <c r="C18803" i="1"/>
  <c r="B18803" i="1"/>
  <c r="A18803" i="1"/>
  <c r="F18802" i="1"/>
  <c r="E18802" i="1"/>
  <c r="D18802" i="1"/>
  <c r="C18802" i="1"/>
  <c r="B18802" i="1"/>
  <c r="A18802" i="1"/>
  <c r="F18801" i="1"/>
  <c r="E18801" i="1"/>
  <c r="D18801" i="1"/>
  <c r="C18801" i="1"/>
  <c r="B18801" i="1"/>
  <c r="A18801" i="1"/>
  <c r="F18800" i="1"/>
  <c r="E18800" i="1"/>
  <c r="D18800" i="1"/>
  <c r="C18800" i="1"/>
  <c r="B18800" i="1"/>
  <c r="A18800" i="1"/>
  <c r="F18799" i="1"/>
  <c r="E18799" i="1"/>
  <c r="D18799" i="1"/>
  <c r="C18799" i="1"/>
  <c r="B18799" i="1"/>
  <c r="A18799" i="1"/>
  <c r="F18798" i="1"/>
  <c r="E18798" i="1"/>
  <c r="D18798" i="1"/>
  <c r="C18798" i="1"/>
  <c r="B18798" i="1"/>
  <c r="A18798" i="1"/>
  <c r="F18797" i="1"/>
  <c r="E18797" i="1"/>
  <c r="D18797" i="1"/>
  <c r="C18797" i="1"/>
  <c r="B18797" i="1"/>
  <c r="A18797" i="1"/>
  <c r="F18796" i="1"/>
  <c r="E18796" i="1"/>
  <c r="D18796" i="1"/>
  <c r="C18796" i="1"/>
  <c r="B18796" i="1"/>
  <c r="A18796" i="1"/>
  <c r="F18795" i="1"/>
  <c r="E18795" i="1"/>
  <c r="D18795" i="1"/>
  <c r="C18795" i="1"/>
  <c r="B18795" i="1"/>
  <c r="A18795" i="1"/>
  <c r="F18794" i="1"/>
  <c r="E18794" i="1"/>
  <c r="D18794" i="1"/>
  <c r="C18794" i="1"/>
  <c r="B18794" i="1"/>
  <c r="A18794" i="1"/>
  <c r="F18793" i="1"/>
  <c r="E18793" i="1"/>
  <c r="D18793" i="1"/>
  <c r="C18793" i="1"/>
  <c r="B18793" i="1"/>
  <c r="A18793" i="1"/>
  <c r="F18792" i="1"/>
  <c r="E18792" i="1"/>
  <c r="D18792" i="1"/>
  <c r="C18792" i="1"/>
  <c r="B18792" i="1"/>
  <c r="A18792" i="1"/>
  <c r="F18791" i="1"/>
  <c r="E18791" i="1"/>
  <c r="D18791" i="1"/>
  <c r="C18791" i="1"/>
  <c r="B18791" i="1"/>
  <c r="A18791" i="1"/>
  <c r="F18790" i="1"/>
  <c r="E18790" i="1"/>
  <c r="D18790" i="1"/>
  <c r="C18790" i="1"/>
  <c r="B18790" i="1"/>
  <c r="A18790" i="1"/>
  <c r="F18789" i="1"/>
  <c r="E18789" i="1"/>
  <c r="D18789" i="1"/>
  <c r="C18789" i="1"/>
  <c r="B18789" i="1"/>
  <c r="A18789" i="1"/>
  <c r="F18788" i="1"/>
  <c r="E18788" i="1"/>
  <c r="D18788" i="1"/>
  <c r="C18788" i="1"/>
  <c r="B18788" i="1"/>
  <c r="A18788" i="1"/>
  <c r="F18787" i="1"/>
  <c r="E18787" i="1"/>
  <c r="D18787" i="1"/>
  <c r="C18787" i="1"/>
  <c r="B18787" i="1"/>
  <c r="A18787" i="1"/>
  <c r="F18786" i="1"/>
  <c r="E18786" i="1"/>
  <c r="D18786" i="1"/>
  <c r="C18786" i="1"/>
  <c r="B18786" i="1"/>
  <c r="A18786" i="1"/>
  <c r="F18785" i="1"/>
  <c r="E18785" i="1"/>
  <c r="D18785" i="1"/>
  <c r="C18785" i="1"/>
  <c r="B18785" i="1"/>
  <c r="A18785" i="1"/>
  <c r="F18784" i="1"/>
  <c r="E18784" i="1"/>
  <c r="D18784" i="1"/>
  <c r="C18784" i="1"/>
  <c r="B18784" i="1"/>
  <c r="A18784" i="1"/>
  <c r="F18783" i="1"/>
  <c r="E18783" i="1"/>
  <c r="D18783" i="1"/>
  <c r="C18783" i="1"/>
  <c r="B18783" i="1"/>
  <c r="A18783" i="1"/>
  <c r="F18782" i="1"/>
  <c r="E18782" i="1"/>
  <c r="D18782" i="1"/>
  <c r="C18782" i="1"/>
  <c r="B18782" i="1"/>
  <c r="A18782" i="1"/>
  <c r="F18781" i="1"/>
  <c r="E18781" i="1"/>
  <c r="D18781" i="1"/>
  <c r="C18781" i="1"/>
  <c r="B18781" i="1"/>
  <c r="A18781" i="1"/>
  <c r="F18780" i="1"/>
  <c r="E18780" i="1"/>
  <c r="D18780" i="1"/>
  <c r="C18780" i="1"/>
  <c r="B18780" i="1"/>
  <c r="A18780" i="1"/>
  <c r="F18779" i="1"/>
  <c r="E18779" i="1"/>
  <c r="D18779" i="1"/>
  <c r="C18779" i="1"/>
  <c r="B18779" i="1"/>
  <c r="A18779" i="1"/>
  <c r="F18778" i="1"/>
  <c r="E18778" i="1"/>
  <c r="D18778" i="1"/>
  <c r="C18778" i="1"/>
  <c r="B18778" i="1"/>
  <c r="A18778" i="1"/>
  <c r="F18777" i="1"/>
  <c r="E18777" i="1"/>
  <c r="D18777" i="1"/>
  <c r="C18777" i="1"/>
  <c r="B18777" i="1"/>
  <c r="A18777" i="1"/>
  <c r="F18776" i="1"/>
  <c r="E18776" i="1"/>
  <c r="D18776" i="1"/>
  <c r="C18776" i="1"/>
  <c r="B18776" i="1"/>
  <c r="A18776" i="1"/>
  <c r="F18775" i="1"/>
  <c r="E18775" i="1"/>
  <c r="D18775" i="1"/>
  <c r="C18775" i="1"/>
  <c r="B18775" i="1"/>
  <c r="A18775" i="1"/>
  <c r="F18774" i="1"/>
  <c r="E18774" i="1"/>
  <c r="D18774" i="1"/>
  <c r="C18774" i="1"/>
  <c r="B18774" i="1"/>
  <c r="A18774" i="1"/>
  <c r="F18773" i="1"/>
  <c r="E18773" i="1"/>
  <c r="D18773" i="1"/>
  <c r="C18773" i="1"/>
  <c r="B18773" i="1"/>
  <c r="A18773" i="1"/>
  <c r="F18772" i="1"/>
  <c r="E18772" i="1"/>
  <c r="D18772" i="1"/>
  <c r="C18772" i="1"/>
  <c r="B18772" i="1"/>
  <c r="A18772" i="1"/>
  <c r="F18771" i="1"/>
  <c r="E18771" i="1"/>
  <c r="D18771" i="1"/>
  <c r="C18771" i="1"/>
  <c r="B18771" i="1"/>
  <c r="A18771" i="1"/>
  <c r="F18770" i="1"/>
  <c r="E18770" i="1"/>
  <c r="D18770" i="1"/>
  <c r="C18770" i="1"/>
  <c r="B18770" i="1"/>
  <c r="A18770" i="1"/>
  <c r="F18769" i="1"/>
  <c r="E18769" i="1"/>
  <c r="D18769" i="1"/>
  <c r="C18769" i="1"/>
  <c r="B18769" i="1"/>
  <c r="A18769" i="1"/>
  <c r="F18768" i="1"/>
  <c r="E18768" i="1"/>
  <c r="D18768" i="1"/>
  <c r="C18768" i="1"/>
  <c r="B18768" i="1"/>
  <c r="A18768" i="1"/>
  <c r="F18767" i="1"/>
  <c r="E18767" i="1"/>
  <c r="D18767" i="1"/>
  <c r="C18767" i="1"/>
  <c r="B18767" i="1"/>
  <c r="A18767" i="1"/>
  <c r="F18766" i="1"/>
  <c r="E18766" i="1"/>
  <c r="D18766" i="1"/>
  <c r="C18766" i="1"/>
  <c r="B18766" i="1"/>
  <c r="A18766" i="1"/>
  <c r="F18765" i="1"/>
  <c r="E18765" i="1"/>
  <c r="D18765" i="1"/>
  <c r="C18765" i="1"/>
  <c r="B18765" i="1"/>
  <c r="A18765" i="1"/>
  <c r="F18764" i="1"/>
  <c r="E18764" i="1"/>
  <c r="D18764" i="1"/>
  <c r="C18764" i="1"/>
  <c r="B18764" i="1"/>
  <c r="A18764" i="1"/>
  <c r="F18763" i="1"/>
  <c r="E18763" i="1"/>
  <c r="D18763" i="1"/>
  <c r="C18763" i="1"/>
  <c r="B18763" i="1"/>
  <c r="A18763" i="1"/>
  <c r="F18762" i="1"/>
  <c r="E18762" i="1"/>
  <c r="D18762" i="1"/>
  <c r="C18762" i="1"/>
  <c r="B18762" i="1"/>
  <c r="A18762" i="1"/>
  <c r="F18761" i="1"/>
  <c r="E18761" i="1"/>
  <c r="D18761" i="1"/>
  <c r="C18761" i="1"/>
  <c r="B18761" i="1"/>
  <c r="A18761" i="1"/>
  <c r="F18760" i="1"/>
  <c r="E18760" i="1"/>
  <c r="D18760" i="1"/>
  <c r="C18760" i="1"/>
  <c r="B18760" i="1"/>
  <c r="A18760" i="1"/>
  <c r="F18759" i="1"/>
  <c r="E18759" i="1"/>
  <c r="D18759" i="1"/>
  <c r="C18759" i="1"/>
  <c r="B18759" i="1"/>
  <c r="A18759" i="1"/>
  <c r="F18758" i="1"/>
  <c r="E18758" i="1"/>
  <c r="D18758" i="1"/>
  <c r="C18758" i="1"/>
  <c r="B18758" i="1"/>
  <c r="A18758" i="1"/>
  <c r="F18757" i="1"/>
  <c r="E18757" i="1"/>
  <c r="D18757" i="1"/>
  <c r="C18757" i="1"/>
  <c r="B18757" i="1"/>
  <c r="A18757" i="1"/>
  <c r="F18756" i="1"/>
  <c r="E18756" i="1"/>
  <c r="D18756" i="1"/>
  <c r="C18756" i="1"/>
  <c r="B18756" i="1"/>
  <c r="A18756" i="1"/>
  <c r="F18755" i="1"/>
  <c r="E18755" i="1"/>
  <c r="D18755" i="1"/>
  <c r="C18755" i="1"/>
  <c r="B18755" i="1"/>
  <c r="A18755" i="1"/>
  <c r="F18754" i="1"/>
  <c r="E18754" i="1"/>
  <c r="D18754" i="1"/>
  <c r="C18754" i="1"/>
  <c r="B18754" i="1"/>
  <c r="A18754" i="1"/>
  <c r="F18753" i="1"/>
  <c r="E18753" i="1"/>
  <c r="D18753" i="1"/>
  <c r="C18753" i="1"/>
  <c r="B18753" i="1"/>
  <c r="A18753" i="1"/>
  <c r="F18752" i="1"/>
  <c r="E18752" i="1"/>
  <c r="D18752" i="1"/>
  <c r="C18752" i="1"/>
  <c r="B18752" i="1"/>
  <c r="A18752" i="1"/>
  <c r="F18751" i="1"/>
  <c r="E18751" i="1"/>
  <c r="D18751" i="1"/>
  <c r="C18751" i="1"/>
  <c r="B18751" i="1"/>
  <c r="A18751" i="1"/>
  <c r="F18750" i="1"/>
  <c r="E18750" i="1"/>
  <c r="D18750" i="1"/>
  <c r="C18750" i="1"/>
  <c r="B18750" i="1"/>
  <c r="A18750" i="1"/>
  <c r="F18749" i="1"/>
  <c r="E18749" i="1"/>
  <c r="D18749" i="1"/>
  <c r="C18749" i="1"/>
  <c r="B18749" i="1"/>
  <c r="A18749" i="1"/>
  <c r="F18748" i="1"/>
  <c r="E18748" i="1"/>
  <c r="D18748" i="1"/>
  <c r="C18748" i="1"/>
  <c r="B18748" i="1"/>
  <c r="A18748" i="1"/>
  <c r="F18747" i="1"/>
  <c r="E18747" i="1"/>
  <c r="D18747" i="1"/>
  <c r="C18747" i="1"/>
  <c r="B18747" i="1"/>
  <c r="A18747" i="1"/>
  <c r="F18746" i="1"/>
  <c r="E18746" i="1"/>
  <c r="D18746" i="1"/>
  <c r="C18746" i="1"/>
  <c r="B18746" i="1"/>
  <c r="A18746" i="1"/>
  <c r="F18745" i="1"/>
  <c r="E18745" i="1"/>
  <c r="D18745" i="1"/>
  <c r="C18745" i="1"/>
  <c r="B18745" i="1"/>
  <c r="A18745" i="1"/>
  <c r="F18744" i="1"/>
  <c r="E18744" i="1"/>
  <c r="D18744" i="1"/>
  <c r="C18744" i="1"/>
  <c r="B18744" i="1"/>
  <c r="A18744" i="1"/>
  <c r="F18743" i="1"/>
  <c r="E18743" i="1"/>
  <c r="D18743" i="1"/>
  <c r="C18743" i="1"/>
  <c r="B18743" i="1"/>
  <c r="A18743" i="1"/>
  <c r="F18742" i="1"/>
  <c r="E18742" i="1"/>
  <c r="D18742" i="1"/>
  <c r="C18742" i="1"/>
  <c r="B18742" i="1"/>
  <c r="A18742" i="1"/>
  <c r="F18741" i="1"/>
  <c r="E18741" i="1"/>
  <c r="D18741" i="1"/>
  <c r="C18741" i="1"/>
  <c r="B18741" i="1"/>
  <c r="A18741" i="1"/>
  <c r="F18740" i="1"/>
  <c r="E18740" i="1"/>
  <c r="D18740" i="1"/>
  <c r="C18740" i="1"/>
  <c r="B18740" i="1"/>
  <c r="A18740" i="1"/>
  <c r="F18739" i="1"/>
  <c r="E18739" i="1"/>
  <c r="D18739" i="1"/>
  <c r="C18739" i="1"/>
  <c r="B18739" i="1"/>
  <c r="A18739" i="1"/>
  <c r="F18738" i="1"/>
  <c r="E18738" i="1"/>
  <c r="D18738" i="1"/>
  <c r="C18738" i="1"/>
  <c r="B18738" i="1"/>
  <c r="A18738" i="1"/>
  <c r="F18737" i="1"/>
  <c r="E18737" i="1"/>
  <c r="D18737" i="1"/>
  <c r="C18737" i="1"/>
  <c r="B18737" i="1"/>
  <c r="A18737" i="1"/>
  <c r="F18736" i="1"/>
  <c r="E18736" i="1"/>
  <c r="D18736" i="1"/>
  <c r="C18736" i="1"/>
  <c r="B18736" i="1"/>
  <c r="A18736" i="1"/>
  <c r="F18735" i="1"/>
  <c r="E18735" i="1"/>
  <c r="D18735" i="1"/>
  <c r="C18735" i="1"/>
  <c r="B18735" i="1"/>
  <c r="A18735" i="1"/>
  <c r="F18734" i="1"/>
  <c r="E18734" i="1"/>
  <c r="D18734" i="1"/>
  <c r="C18734" i="1"/>
  <c r="B18734" i="1"/>
  <c r="A18734" i="1"/>
  <c r="F18733" i="1"/>
  <c r="E18733" i="1"/>
  <c r="D18733" i="1"/>
  <c r="C18733" i="1"/>
  <c r="B18733" i="1"/>
  <c r="A18733" i="1"/>
  <c r="F18732" i="1"/>
  <c r="E18732" i="1"/>
  <c r="D18732" i="1"/>
  <c r="C18732" i="1"/>
  <c r="B18732" i="1"/>
  <c r="A18732" i="1"/>
  <c r="F18731" i="1"/>
  <c r="E18731" i="1"/>
  <c r="D18731" i="1"/>
  <c r="C18731" i="1"/>
  <c r="B18731" i="1"/>
  <c r="A18731" i="1"/>
  <c r="F18730" i="1"/>
  <c r="E18730" i="1"/>
  <c r="D18730" i="1"/>
  <c r="C18730" i="1"/>
  <c r="B18730" i="1"/>
  <c r="A18730" i="1"/>
  <c r="F18729" i="1"/>
  <c r="E18729" i="1"/>
  <c r="D18729" i="1"/>
  <c r="C18729" i="1"/>
  <c r="B18729" i="1"/>
  <c r="A18729" i="1"/>
  <c r="F18728" i="1"/>
  <c r="E18728" i="1"/>
  <c r="D18728" i="1"/>
  <c r="C18728" i="1"/>
  <c r="B18728" i="1"/>
  <c r="A18728" i="1"/>
  <c r="F18727" i="1"/>
  <c r="E18727" i="1"/>
  <c r="D18727" i="1"/>
  <c r="C18727" i="1"/>
  <c r="B18727" i="1"/>
  <c r="A18727" i="1"/>
  <c r="F18726" i="1"/>
  <c r="E18726" i="1"/>
  <c r="D18726" i="1"/>
  <c r="C18726" i="1"/>
  <c r="B18726" i="1"/>
  <c r="A18726" i="1"/>
  <c r="F18725" i="1"/>
  <c r="E18725" i="1"/>
  <c r="D18725" i="1"/>
  <c r="C18725" i="1"/>
  <c r="B18725" i="1"/>
  <c r="A18725" i="1"/>
  <c r="F18724" i="1"/>
  <c r="E18724" i="1"/>
  <c r="D18724" i="1"/>
  <c r="C18724" i="1"/>
  <c r="B18724" i="1"/>
  <c r="A18724" i="1"/>
  <c r="F18723" i="1"/>
  <c r="E18723" i="1"/>
  <c r="D18723" i="1"/>
  <c r="C18723" i="1"/>
  <c r="B18723" i="1"/>
  <c r="A18723" i="1"/>
  <c r="F18722" i="1"/>
  <c r="E18722" i="1"/>
  <c r="D18722" i="1"/>
  <c r="C18722" i="1"/>
  <c r="B18722" i="1"/>
  <c r="A18722" i="1"/>
  <c r="F18721" i="1"/>
  <c r="E18721" i="1"/>
  <c r="D18721" i="1"/>
  <c r="C18721" i="1"/>
  <c r="B18721" i="1"/>
  <c r="A18721" i="1"/>
  <c r="F18720" i="1"/>
  <c r="E18720" i="1"/>
  <c r="D18720" i="1"/>
  <c r="C18720" i="1"/>
  <c r="B18720" i="1"/>
  <c r="A18720" i="1"/>
  <c r="F18719" i="1"/>
  <c r="E18719" i="1"/>
  <c r="D18719" i="1"/>
  <c r="C18719" i="1"/>
  <c r="B18719" i="1"/>
  <c r="A18719" i="1"/>
  <c r="F18718" i="1"/>
  <c r="E18718" i="1"/>
  <c r="D18718" i="1"/>
  <c r="C18718" i="1"/>
  <c r="B18718" i="1"/>
  <c r="A18718" i="1"/>
  <c r="F18717" i="1"/>
  <c r="E18717" i="1"/>
  <c r="D18717" i="1"/>
  <c r="C18717" i="1"/>
  <c r="B18717" i="1"/>
  <c r="A18717" i="1"/>
  <c r="F18716" i="1"/>
  <c r="E18716" i="1"/>
  <c r="D18716" i="1"/>
  <c r="C18716" i="1"/>
  <c r="B18716" i="1"/>
  <c r="A18716" i="1"/>
  <c r="F18715" i="1"/>
  <c r="E18715" i="1"/>
  <c r="D18715" i="1"/>
  <c r="C18715" i="1"/>
  <c r="B18715" i="1"/>
  <c r="A18715" i="1"/>
  <c r="F18714" i="1"/>
  <c r="E18714" i="1"/>
  <c r="D18714" i="1"/>
  <c r="C18714" i="1"/>
  <c r="B18714" i="1"/>
  <c r="A18714" i="1"/>
  <c r="F18713" i="1"/>
  <c r="E18713" i="1"/>
  <c r="D18713" i="1"/>
  <c r="C18713" i="1"/>
  <c r="B18713" i="1"/>
  <c r="A18713" i="1"/>
  <c r="F18712" i="1"/>
  <c r="E18712" i="1"/>
  <c r="D18712" i="1"/>
  <c r="C18712" i="1"/>
  <c r="B18712" i="1"/>
  <c r="A18712" i="1"/>
  <c r="F18711" i="1"/>
  <c r="E18711" i="1"/>
  <c r="D18711" i="1"/>
  <c r="C18711" i="1"/>
  <c r="B18711" i="1"/>
  <c r="A18711" i="1"/>
  <c r="F18710" i="1"/>
  <c r="E18710" i="1"/>
  <c r="D18710" i="1"/>
  <c r="C18710" i="1"/>
  <c r="B18710" i="1"/>
  <c r="A18710" i="1"/>
  <c r="F18709" i="1"/>
  <c r="E18709" i="1"/>
  <c r="D18709" i="1"/>
  <c r="C18709" i="1"/>
  <c r="B18709" i="1"/>
  <c r="A18709" i="1"/>
  <c r="F18708" i="1"/>
  <c r="E18708" i="1"/>
  <c r="D18708" i="1"/>
  <c r="C18708" i="1"/>
  <c r="B18708" i="1"/>
  <c r="A18708" i="1"/>
  <c r="F18707" i="1"/>
  <c r="E18707" i="1"/>
  <c r="D18707" i="1"/>
  <c r="C18707" i="1"/>
  <c r="B18707" i="1"/>
  <c r="A18707" i="1"/>
  <c r="F18706" i="1"/>
  <c r="E18706" i="1"/>
  <c r="D18706" i="1"/>
  <c r="C18706" i="1"/>
  <c r="B18706" i="1"/>
  <c r="A18706" i="1"/>
  <c r="F18705" i="1"/>
  <c r="E18705" i="1"/>
  <c r="D18705" i="1"/>
  <c r="C18705" i="1"/>
  <c r="B18705" i="1"/>
  <c r="A18705" i="1"/>
  <c r="F18704" i="1"/>
  <c r="E18704" i="1"/>
  <c r="D18704" i="1"/>
  <c r="C18704" i="1"/>
  <c r="B18704" i="1"/>
  <c r="A18704" i="1"/>
  <c r="F18703" i="1"/>
  <c r="E18703" i="1"/>
  <c r="D18703" i="1"/>
  <c r="C18703" i="1"/>
  <c r="B18703" i="1"/>
  <c r="A18703" i="1"/>
  <c r="F18702" i="1"/>
  <c r="E18702" i="1"/>
  <c r="D18702" i="1"/>
  <c r="C18702" i="1"/>
  <c r="B18702" i="1"/>
  <c r="A18702" i="1"/>
  <c r="F18701" i="1"/>
  <c r="E18701" i="1"/>
  <c r="D18701" i="1"/>
  <c r="C18701" i="1"/>
  <c r="B18701" i="1"/>
  <c r="A18701" i="1"/>
  <c r="F18700" i="1"/>
  <c r="E18700" i="1"/>
  <c r="D18700" i="1"/>
  <c r="C18700" i="1"/>
  <c r="B18700" i="1"/>
  <c r="A18700" i="1"/>
  <c r="F18699" i="1"/>
  <c r="E18699" i="1"/>
  <c r="D18699" i="1"/>
  <c r="C18699" i="1"/>
  <c r="B18699" i="1"/>
  <c r="A18699" i="1"/>
  <c r="F18698" i="1"/>
  <c r="E18698" i="1"/>
  <c r="D18698" i="1"/>
  <c r="C18698" i="1"/>
  <c r="B18698" i="1"/>
  <c r="A18698" i="1"/>
  <c r="F18697" i="1"/>
  <c r="E18697" i="1"/>
  <c r="D18697" i="1"/>
  <c r="C18697" i="1"/>
  <c r="B18697" i="1"/>
  <c r="A18697" i="1"/>
  <c r="F18696" i="1"/>
  <c r="E18696" i="1"/>
  <c r="D18696" i="1"/>
  <c r="C18696" i="1"/>
  <c r="B18696" i="1"/>
  <c r="A18696" i="1"/>
  <c r="F18695" i="1"/>
  <c r="E18695" i="1"/>
  <c r="D18695" i="1"/>
  <c r="C18695" i="1"/>
  <c r="B18695" i="1"/>
  <c r="A18695" i="1"/>
  <c r="F18694" i="1"/>
  <c r="E18694" i="1"/>
  <c r="D18694" i="1"/>
  <c r="C18694" i="1"/>
  <c r="B18694" i="1"/>
  <c r="A18694" i="1"/>
  <c r="F18693" i="1"/>
  <c r="E18693" i="1"/>
  <c r="D18693" i="1"/>
  <c r="C18693" i="1"/>
  <c r="B18693" i="1"/>
  <c r="A18693" i="1"/>
  <c r="F18692" i="1"/>
  <c r="E18692" i="1"/>
  <c r="D18692" i="1"/>
  <c r="C18692" i="1"/>
  <c r="B18692" i="1"/>
  <c r="A18692" i="1"/>
  <c r="F18691" i="1"/>
  <c r="E18691" i="1"/>
  <c r="D18691" i="1"/>
  <c r="C18691" i="1"/>
  <c r="B18691" i="1"/>
  <c r="A18691" i="1"/>
  <c r="F18690" i="1"/>
  <c r="E18690" i="1"/>
  <c r="D18690" i="1"/>
  <c r="C18690" i="1"/>
  <c r="B18690" i="1"/>
  <c r="A18690" i="1"/>
  <c r="F18689" i="1"/>
  <c r="E18689" i="1"/>
  <c r="D18689" i="1"/>
  <c r="C18689" i="1"/>
  <c r="B18689" i="1"/>
  <c r="A18689" i="1"/>
  <c r="F18688" i="1"/>
  <c r="E18688" i="1"/>
  <c r="D18688" i="1"/>
  <c r="C18688" i="1"/>
  <c r="B18688" i="1"/>
  <c r="A18688" i="1"/>
  <c r="F18687" i="1"/>
  <c r="E18687" i="1"/>
  <c r="D18687" i="1"/>
  <c r="C18687" i="1"/>
  <c r="B18687" i="1"/>
  <c r="A18687" i="1"/>
  <c r="F18686" i="1"/>
  <c r="E18686" i="1"/>
  <c r="D18686" i="1"/>
  <c r="C18686" i="1"/>
  <c r="B18686" i="1"/>
  <c r="A18686" i="1"/>
  <c r="F18685" i="1"/>
  <c r="E18685" i="1"/>
  <c r="D18685" i="1"/>
  <c r="C18685" i="1"/>
  <c r="B18685" i="1"/>
  <c r="A18685" i="1"/>
  <c r="F18684" i="1"/>
  <c r="E18684" i="1"/>
  <c r="D18684" i="1"/>
  <c r="C18684" i="1"/>
  <c r="B18684" i="1"/>
  <c r="A18684" i="1"/>
  <c r="F18683" i="1"/>
  <c r="E18683" i="1"/>
  <c r="D18683" i="1"/>
  <c r="C18683" i="1"/>
  <c r="B18683" i="1"/>
  <c r="A18683" i="1"/>
  <c r="F18682" i="1"/>
  <c r="E18682" i="1"/>
  <c r="D18682" i="1"/>
  <c r="C18682" i="1"/>
  <c r="B18682" i="1"/>
  <c r="A18682" i="1"/>
  <c r="F18681" i="1"/>
  <c r="E18681" i="1"/>
  <c r="D18681" i="1"/>
  <c r="C18681" i="1"/>
  <c r="B18681" i="1"/>
  <c r="A18681" i="1"/>
  <c r="F18680" i="1"/>
  <c r="E18680" i="1"/>
  <c r="D18680" i="1"/>
  <c r="C18680" i="1"/>
  <c r="B18680" i="1"/>
  <c r="A18680" i="1"/>
  <c r="F18679" i="1"/>
  <c r="E18679" i="1"/>
  <c r="D18679" i="1"/>
  <c r="C18679" i="1"/>
  <c r="B18679" i="1"/>
  <c r="A18679" i="1"/>
  <c r="F18678" i="1"/>
  <c r="E18678" i="1"/>
  <c r="D18678" i="1"/>
  <c r="C18678" i="1"/>
  <c r="B18678" i="1"/>
  <c r="A18678" i="1"/>
  <c r="F18677" i="1"/>
  <c r="E18677" i="1"/>
  <c r="D18677" i="1"/>
  <c r="C18677" i="1"/>
  <c r="B18677" i="1"/>
  <c r="A18677" i="1"/>
  <c r="F18676" i="1"/>
  <c r="E18676" i="1"/>
  <c r="D18676" i="1"/>
  <c r="C18676" i="1"/>
  <c r="B18676" i="1"/>
  <c r="A18676" i="1"/>
  <c r="F18675" i="1"/>
  <c r="E18675" i="1"/>
  <c r="D18675" i="1"/>
  <c r="C18675" i="1"/>
  <c r="B18675" i="1"/>
  <c r="A18675" i="1"/>
  <c r="F18674" i="1"/>
  <c r="E18674" i="1"/>
  <c r="D18674" i="1"/>
  <c r="C18674" i="1"/>
  <c r="B18674" i="1"/>
  <c r="A18674" i="1"/>
  <c r="F18673" i="1"/>
  <c r="E18673" i="1"/>
  <c r="D18673" i="1"/>
  <c r="C18673" i="1"/>
  <c r="B18673" i="1"/>
  <c r="A18673" i="1"/>
  <c r="F18672" i="1"/>
  <c r="E18672" i="1"/>
  <c r="D18672" i="1"/>
  <c r="C18672" i="1"/>
  <c r="B18672" i="1"/>
  <c r="A18672" i="1"/>
  <c r="F18671" i="1"/>
  <c r="E18671" i="1"/>
  <c r="D18671" i="1"/>
  <c r="C18671" i="1"/>
  <c r="B18671" i="1"/>
  <c r="A18671" i="1"/>
  <c r="F18670" i="1"/>
  <c r="E18670" i="1"/>
  <c r="D18670" i="1"/>
  <c r="C18670" i="1"/>
  <c r="B18670" i="1"/>
  <c r="A18670" i="1"/>
  <c r="F18669" i="1"/>
  <c r="E18669" i="1"/>
  <c r="D18669" i="1"/>
  <c r="C18669" i="1"/>
  <c r="B18669" i="1"/>
  <c r="A18669" i="1"/>
  <c r="F18668" i="1"/>
  <c r="E18668" i="1"/>
  <c r="D18668" i="1"/>
  <c r="C18668" i="1"/>
  <c r="B18668" i="1"/>
  <c r="A18668" i="1"/>
  <c r="F18667" i="1"/>
  <c r="E18667" i="1"/>
  <c r="D18667" i="1"/>
  <c r="C18667" i="1"/>
  <c r="B18667" i="1"/>
  <c r="A18667" i="1"/>
  <c r="F18666" i="1"/>
  <c r="E18666" i="1"/>
  <c r="D18666" i="1"/>
  <c r="C18666" i="1"/>
  <c r="B18666" i="1"/>
  <c r="A18666" i="1"/>
  <c r="F18665" i="1"/>
  <c r="E18665" i="1"/>
  <c r="D18665" i="1"/>
  <c r="C18665" i="1"/>
  <c r="B18665" i="1"/>
  <c r="A18665" i="1"/>
  <c r="F18664" i="1"/>
  <c r="E18664" i="1"/>
  <c r="D18664" i="1"/>
  <c r="C18664" i="1"/>
  <c r="B18664" i="1"/>
  <c r="A18664" i="1"/>
  <c r="F18663" i="1"/>
  <c r="E18663" i="1"/>
  <c r="D18663" i="1"/>
  <c r="C18663" i="1"/>
  <c r="B18663" i="1"/>
  <c r="A18663" i="1"/>
  <c r="F18662" i="1"/>
  <c r="E18662" i="1"/>
  <c r="D18662" i="1"/>
  <c r="C18662" i="1"/>
  <c r="B18662" i="1"/>
  <c r="A18662" i="1"/>
  <c r="F18661" i="1"/>
  <c r="E18661" i="1"/>
  <c r="D18661" i="1"/>
  <c r="C18661" i="1"/>
  <c r="B18661" i="1"/>
  <c r="A18661" i="1"/>
  <c r="F18660" i="1"/>
  <c r="E18660" i="1"/>
  <c r="D18660" i="1"/>
  <c r="C18660" i="1"/>
  <c r="B18660" i="1"/>
  <c r="A18660" i="1"/>
  <c r="F18659" i="1"/>
  <c r="E18659" i="1"/>
  <c r="D18659" i="1"/>
  <c r="C18659" i="1"/>
  <c r="B18659" i="1"/>
  <c r="A18659" i="1"/>
  <c r="F18658" i="1"/>
  <c r="E18658" i="1"/>
  <c r="D18658" i="1"/>
  <c r="C18658" i="1"/>
  <c r="B18658" i="1"/>
  <c r="A18658" i="1"/>
  <c r="F18657" i="1"/>
  <c r="E18657" i="1"/>
  <c r="D18657" i="1"/>
  <c r="C18657" i="1"/>
  <c r="B18657" i="1"/>
  <c r="A18657" i="1"/>
  <c r="F18656" i="1"/>
  <c r="E18656" i="1"/>
  <c r="D18656" i="1"/>
  <c r="C18656" i="1"/>
  <c r="B18656" i="1"/>
  <c r="A18656" i="1"/>
  <c r="F18655" i="1"/>
  <c r="E18655" i="1"/>
  <c r="D18655" i="1"/>
  <c r="C18655" i="1"/>
  <c r="B18655" i="1"/>
  <c r="A18655" i="1"/>
  <c r="F18654" i="1"/>
  <c r="E18654" i="1"/>
  <c r="D18654" i="1"/>
  <c r="C18654" i="1"/>
  <c r="B18654" i="1"/>
  <c r="A18654" i="1"/>
  <c r="F18653" i="1"/>
  <c r="E18653" i="1"/>
  <c r="D18653" i="1"/>
  <c r="C18653" i="1"/>
  <c r="B18653" i="1"/>
  <c r="A18653" i="1"/>
  <c r="F18652" i="1"/>
  <c r="E18652" i="1"/>
  <c r="D18652" i="1"/>
  <c r="C18652" i="1"/>
  <c r="B18652" i="1"/>
  <c r="A18652" i="1"/>
  <c r="F18651" i="1"/>
  <c r="E18651" i="1"/>
  <c r="D18651" i="1"/>
  <c r="C18651" i="1"/>
  <c r="B18651" i="1"/>
  <c r="A18651" i="1"/>
  <c r="F18650" i="1"/>
  <c r="E18650" i="1"/>
  <c r="D18650" i="1"/>
  <c r="C18650" i="1"/>
  <c r="B18650" i="1"/>
  <c r="A18650" i="1"/>
  <c r="F18649" i="1"/>
  <c r="E18649" i="1"/>
  <c r="D18649" i="1"/>
  <c r="C18649" i="1"/>
  <c r="B18649" i="1"/>
  <c r="A18649" i="1"/>
  <c r="F18648" i="1"/>
  <c r="E18648" i="1"/>
  <c r="D18648" i="1"/>
  <c r="C18648" i="1"/>
  <c r="B18648" i="1"/>
  <c r="A18648" i="1"/>
  <c r="F18647" i="1"/>
  <c r="E18647" i="1"/>
  <c r="D18647" i="1"/>
  <c r="C18647" i="1"/>
  <c r="B18647" i="1"/>
  <c r="A18647" i="1"/>
  <c r="F18646" i="1"/>
  <c r="E18646" i="1"/>
  <c r="D18646" i="1"/>
  <c r="C18646" i="1"/>
  <c r="B18646" i="1"/>
  <c r="A18646" i="1"/>
  <c r="F18645" i="1"/>
  <c r="E18645" i="1"/>
  <c r="D18645" i="1"/>
  <c r="C18645" i="1"/>
  <c r="B18645" i="1"/>
  <c r="A18645" i="1"/>
  <c r="F18644" i="1"/>
  <c r="E18644" i="1"/>
  <c r="D18644" i="1"/>
  <c r="C18644" i="1"/>
  <c r="B18644" i="1"/>
  <c r="A18644" i="1"/>
  <c r="F18643" i="1"/>
  <c r="E18643" i="1"/>
  <c r="D18643" i="1"/>
  <c r="C18643" i="1"/>
  <c r="B18643" i="1"/>
  <c r="A18643" i="1"/>
  <c r="F18642" i="1"/>
  <c r="E18642" i="1"/>
  <c r="D18642" i="1"/>
  <c r="C18642" i="1"/>
  <c r="B18642" i="1"/>
  <c r="A18642" i="1"/>
  <c r="F18641" i="1"/>
  <c r="E18641" i="1"/>
  <c r="D18641" i="1"/>
  <c r="C18641" i="1"/>
  <c r="B18641" i="1"/>
  <c r="A18641" i="1"/>
  <c r="F18640" i="1"/>
  <c r="E18640" i="1"/>
  <c r="D18640" i="1"/>
  <c r="C18640" i="1"/>
  <c r="B18640" i="1"/>
  <c r="A18640" i="1"/>
  <c r="F18639" i="1"/>
  <c r="E18639" i="1"/>
  <c r="D18639" i="1"/>
  <c r="C18639" i="1"/>
  <c r="B18639" i="1"/>
  <c r="A18639" i="1"/>
  <c r="F18638" i="1"/>
  <c r="E18638" i="1"/>
  <c r="D18638" i="1"/>
  <c r="C18638" i="1"/>
  <c r="B18638" i="1"/>
  <c r="A18638" i="1"/>
  <c r="F18637" i="1"/>
  <c r="E18637" i="1"/>
  <c r="D18637" i="1"/>
  <c r="C18637" i="1"/>
  <c r="B18637" i="1"/>
  <c r="A18637" i="1"/>
  <c r="F18636" i="1"/>
  <c r="E18636" i="1"/>
  <c r="D18636" i="1"/>
  <c r="C18636" i="1"/>
  <c r="B18636" i="1"/>
  <c r="A18636" i="1"/>
  <c r="F18635" i="1"/>
  <c r="E18635" i="1"/>
  <c r="D18635" i="1"/>
  <c r="C18635" i="1"/>
  <c r="B18635" i="1"/>
  <c r="A18635" i="1"/>
  <c r="F18634" i="1"/>
  <c r="E18634" i="1"/>
  <c r="D18634" i="1"/>
  <c r="C18634" i="1"/>
  <c r="B18634" i="1"/>
  <c r="A18634" i="1"/>
  <c r="F18633" i="1"/>
  <c r="E18633" i="1"/>
  <c r="D18633" i="1"/>
  <c r="C18633" i="1"/>
  <c r="B18633" i="1"/>
  <c r="A18633" i="1"/>
  <c r="F18632" i="1"/>
  <c r="E18632" i="1"/>
  <c r="D18632" i="1"/>
  <c r="C18632" i="1"/>
  <c r="B18632" i="1"/>
  <c r="A18632" i="1"/>
  <c r="F18631" i="1"/>
  <c r="E18631" i="1"/>
  <c r="D18631" i="1"/>
  <c r="C18631" i="1"/>
  <c r="B18631" i="1"/>
  <c r="A18631" i="1"/>
  <c r="F18630" i="1"/>
  <c r="E18630" i="1"/>
  <c r="D18630" i="1"/>
  <c r="C18630" i="1"/>
  <c r="B18630" i="1"/>
  <c r="A18630" i="1"/>
  <c r="F18629" i="1"/>
  <c r="E18629" i="1"/>
  <c r="D18629" i="1"/>
  <c r="C18629" i="1"/>
  <c r="B18629" i="1"/>
  <c r="A18629" i="1"/>
  <c r="F18628" i="1"/>
  <c r="E18628" i="1"/>
  <c r="D18628" i="1"/>
  <c r="C18628" i="1"/>
  <c r="B18628" i="1"/>
  <c r="A18628" i="1"/>
  <c r="F18627" i="1"/>
  <c r="E18627" i="1"/>
  <c r="D18627" i="1"/>
  <c r="C18627" i="1"/>
  <c r="B18627" i="1"/>
  <c r="A18627" i="1"/>
  <c r="F18626" i="1"/>
  <c r="E18626" i="1"/>
  <c r="D18626" i="1"/>
  <c r="C18626" i="1"/>
  <c r="B18626" i="1"/>
  <c r="A18626" i="1"/>
  <c r="F18625" i="1"/>
  <c r="E18625" i="1"/>
  <c r="D18625" i="1"/>
  <c r="C18625" i="1"/>
  <c r="B18625" i="1"/>
  <c r="A18625" i="1"/>
  <c r="F18624" i="1"/>
  <c r="E18624" i="1"/>
  <c r="D18624" i="1"/>
  <c r="C18624" i="1"/>
  <c r="B18624" i="1"/>
  <c r="A18624" i="1"/>
  <c r="F18623" i="1"/>
  <c r="E18623" i="1"/>
  <c r="D18623" i="1"/>
  <c r="C18623" i="1"/>
  <c r="B18623" i="1"/>
  <c r="A18623" i="1"/>
  <c r="F18622" i="1"/>
  <c r="E18622" i="1"/>
  <c r="D18622" i="1"/>
  <c r="C18622" i="1"/>
  <c r="B18622" i="1"/>
  <c r="A18622" i="1"/>
  <c r="F18621" i="1"/>
  <c r="E18621" i="1"/>
  <c r="D18621" i="1"/>
  <c r="C18621" i="1"/>
  <c r="B18621" i="1"/>
  <c r="A18621" i="1"/>
  <c r="F18620" i="1"/>
  <c r="E18620" i="1"/>
  <c r="D18620" i="1"/>
  <c r="C18620" i="1"/>
  <c r="B18620" i="1"/>
  <c r="A18620" i="1"/>
  <c r="F18619" i="1"/>
  <c r="E18619" i="1"/>
  <c r="D18619" i="1"/>
  <c r="C18619" i="1"/>
  <c r="B18619" i="1"/>
  <c r="A18619" i="1"/>
  <c r="F18618" i="1"/>
  <c r="E18618" i="1"/>
  <c r="D18618" i="1"/>
  <c r="C18618" i="1"/>
  <c r="B18618" i="1"/>
  <c r="A18618" i="1"/>
  <c r="F18617" i="1"/>
  <c r="E18617" i="1"/>
  <c r="D18617" i="1"/>
  <c r="C18617" i="1"/>
  <c r="B18617" i="1"/>
  <c r="A18617" i="1"/>
  <c r="F18616" i="1"/>
  <c r="E18616" i="1"/>
  <c r="D18616" i="1"/>
  <c r="C18616" i="1"/>
  <c r="B18616" i="1"/>
  <c r="A18616" i="1"/>
  <c r="F18615" i="1"/>
  <c r="E18615" i="1"/>
  <c r="D18615" i="1"/>
  <c r="C18615" i="1"/>
  <c r="B18615" i="1"/>
  <c r="A18615" i="1"/>
  <c r="F18614" i="1"/>
  <c r="E18614" i="1"/>
  <c r="D18614" i="1"/>
  <c r="C18614" i="1"/>
  <c r="B18614" i="1"/>
  <c r="A18614" i="1"/>
  <c r="F18613" i="1"/>
  <c r="E18613" i="1"/>
  <c r="D18613" i="1"/>
  <c r="C18613" i="1"/>
  <c r="B18613" i="1"/>
  <c r="A18613" i="1"/>
  <c r="F18612" i="1"/>
  <c r="E18612" i="1"/>
  <c r="D18612" i="1"/>
  <c r="C18612" i="1"/>
  <c r="B18612" i="1"/>
  <c r="A18612" i="1"/>
  <c r="F18611" i="1"/>
  <c r="E18611" i="1"/>
  <c r="D18611" i="1"/>
  <c r="C18611" i="1"/>
  <c r="B18611" i="1"/>
  <c r="A18611" i="1"/>
  <c r="F18610" i="1"/>
  <c r="E18610" i="1"/>
  <c r="D18610" i="1"/>
  <c r="C18610" i="1"/>
  <c r="B18610" i="1"/>
  <c r="A18610" i="1"/>
  <c r="F18609" i="1"/>
  <c r="E18609" i="1"/>
  <c r="D18609" i="1"/>
  <c r="C18609" i="1"/>
  <c r="B18609" i="1"/>
  <c r="A18609" i="1"/>
  <c r="F18608" i="1"/>
  <c r="E18608" i="1"/>
  <c r="D18608" i="1"/>
  <c r="C18608" i="1"/>
  <c r="B18608" i="1"/>
  <c r="A18608" i="1"/>
  <c r="F18607" i="1"/>
  <c r="E18607" i="1"/>
  <c r="D18607" i="1"/>
  <c r="C18607" i="1"/>
  <c r="B18607" i="1"/>
  <c r="A18607" i="1"/>
  <c r="F18606" i="1"/>
  <c r="E18606" i="1"/>
  <c r="D18606" i="1"/>
  <c r="C18606" i="1"/>
  <c r="B18606" i="1"/>
  <c r="A18606" i="1"/>
  <c r="F18605" i="1"/>
  <c r="E18605" i="1"/>
  <c r="D18605" i="1"/>
  <c r="C18605" i="1"/>
  <c r="B18605" i="1"/>
  <c r="A18605" i="1"/>
  <c r="F18604" i="1"/>
  <c r="E18604" i="1"/>
  <c r="D18604" i="1"/>
  <c r="C18604" i="1"/>
  <c r="B18604" i="1"/>
  <c r="A18604" i="1"/>
  <c r="F18603" i="1"/>
  <c r="E18603" i="1"/>
  <c r="D18603" i="1"/>
  <c r="C18603" i="1"/>
  <c r="B18603" i="1"/>
  <c r="A18603" i="1"/>
  <c r="F18602" i="1"/>
  <c r="E18602" i="1"/>
  <c r="D18602" i="1"/>
  <c r="C18602" i="1"/>
  <c r="B18602" i="1"/>
  <c r="A18602" i="1"/>
  <c r="F18601" i="1"/>
  <c r="E18601" i="1"/>
  <c r="D18601" i="1"/>
  <c r="C18601" i="1"/>
  <c r="B18601" i="1"/>
  <c r="A18601" i="1"/>
  <c r="F18600" i="1"/>
  <c r="E18600" i="1"/>
  <c r="D18600" i="1"/>
  <c r="C18600" i="1"/>
  <c r="B18600" i="1"/>
  <c r="A18600" i="1"/>
  <c r="F18599" i="1"/>
  <c r="E18599" i="1"/>
  <c r="D18599" i="1"/>
  <c r="C18599" i="1"/>
  <c r="B18599" i="1"/>
  <c r="A18599" i="1"/>
  <c r="F18598" i="1"/>
  <c r="E18598" i="1"/>
  <c r="D18598" i="1"/>
  <c r="C18598" i="1"/>
  <c r="B18598" i="1"/>
  <c r="A18598" i="1"/>
  <c r="F18597" i="1"/>
  <c r="E18597" i="1"/>
  <c r="D18597" i="1"/>
  <c r="C18597" i="1"/>
  <c r="B18597" i="1"/>
  <c r="A18597" i="1"/>
  <c r="F18596" i="1"/>
  <c r="E18596" i="1"/>
  <c r="D18596" i="1"/>
  <c r="C18596" i="1"/>
  <c r="B18596" i="1"/>
  <c r="A18596" i="1"/>
  <c r="F18595" i="1"/>
  <c r="E18595" i="1"/>
  <c r="D18595" i="1"/>
  <c r="C18595" i="1"/>
  <c r="B18595" i="1"/>
  <c r="A18595" i="1"/>
  <c r="F18594" i="1"/>
  <c r="E18594" i="1"/>
  <c r="D18594" i="1"/>
  <c r="C18594" i="1"/>
  <c r="B18594" i="1"/>
  <c r="A18594" i="1"/>
  <c r="F18593" i="1"/>
  <c r="E18593" i="1"/>
  <c r="D18593" i="1"/>
  <c r="C18593" i="1"/>
  <c r="B18593" i="1"/>
  <c r="A18593" i="1"/>
  <c r="F18592" i="1"/>
  <c r="E18592" i="1"/>
  <c r="D18592" i="1"/>
  <c r="C18592" i="1"/>
  <c r="B18592" i="1"/>
  <c r="A18592" i="1"/>
  <c r="F18591" i="1"/>
  <c r="E18591" i="1"/>
  <c r="D18591" i="1"/>
  <c r="C18591" i="1"/>
  <c r="B18591" i="1"/>
  <c r="A18591" i="1"/>
  <c r="F18590" i="1"/>
  <c r="E18590" i="1"/>
  <c r="D18590" i="1"/>
  <c r="C18590" i="1"/>
  <c r="B18590" i="1"/>
  <c r="A18590" i="1"/>
  <c r="F18589" i="1"/>
  <c r="E18589" i="1"/>
  <c r="D18589" i="1"/>
  <c r="C18589" i="1"/>
  <c r="B18589" i="1"/>
  <c r="A18589" i="1"/>
  <c r="F18588" i="1"/>
  <c r="E18588" i="1"/>
  <c r="D18588" i="1"/>
  <c r="C18588" i="1"/>
  <c r="B18588" i="1"/>
  <c r="A18588" i="1"/>
  <c r="F18587" i="1"/>
  <c r="E18587" i="1"/>
  <c r="D18587" i="1"/>
  <c r="C18587" i="1"/>
  <c r="B18587" i="1"/>
  <c r="A18587" i="1"/>
  <c r="F18586" i="1"/>
  <c r="E18586" i="1"/>
  <c r="D18586" i="1"/>
  <c r="C18586" i="1"/>
  <c r="B18586" i="1"/>
  <c r="A18586" i="1"/>
  <c r="F18585" i="1"/>
  <c r="E18585" i="1"/>
  <c r="D18585" i="1"/>
  <c r="C18585" i="1"/>
  <c r="B18585" i="1"/>
  <c r="A18585" i="1"/>
  <c r="F18584" i="1"/>
  <c r="E18584" i="1"/>
  <c r="D18584" i="1"/>
  <c r="C18584" i="1"/>
  <c r="B18584" i="1"/>
  <c r="A18584" i="1"/>
  <c r="F18583" i="1"/>
  <c r="E18583" i="1"/>
  <c r="D18583" i="1"/>
  <c r="C18583" i="1"/>
  <c r="B18583" i="1"/>
  <c r="A18583" i="1"/>
  <c r="F18582" i="1"/>
  <c r="E18582" i="1"/>
  <c r="D18582" i="1"/>
  <c r="C18582" i="1"/>
  <c r="B18582" i="1"/>
  <c r="A18582" i="1"/>
  <c r="F18581" i="1"/>
  <c r="E18581" i="1"/>
  <c r="D18581" i="1"/>
  <c r="C18581" i="1"/>
  <c r="B18581" i="1"/>
  <c r="A18581" i="1"/>
  <c r="F18580" i="1"/>
  <c r="E18580" i="1"/>
  <c r="D18580" i="1"/>
  <c r="C18580" i="1"/>
  <c r="B18580" i="1"/>
  <c r="A18580" i="1"/>
  <c r="F18579" i="1"/>
  <c r="E18579" i="1"/>
  <c r="D18579" i="1"/>
  <c r="C18579" i="1"/>
  <c r="B18579" i="1"/>
  <c r="A18579" i="1"/>
  <c r="F18578" i="1"/>
  <c r="E18578" i="1"/>
  <c r="D18578" i="1"/>
  <c r="C18578" i="1"/>
  <c r="B18578" i="1"/>
  <c r="A18578" i="1"/>
  <c r="F18577" i="1"/>
  <c r="E18577" i="1"/>
  <c r="D18577" i="1"/>
  <c r="C18577" i="1"/>
  <c r="B18577" i="1"/>
  <c r="A18577" i="1"/>
  <c r="F18576" i="1"/>
  <c r="E18576" i="1"/>
  <c r="D18576" i="1"/>
  <c r="C18576" i="1"/>
  <c r="B18576" i="1"/>
  <c r="A18576" i="1"/>
  <c r="F18575" i="1"/>
  <c r="E18575" i="1"/>
  <c r="D18575" i="1"/>
  <c r="C18575" i="1"/>
  <c r="B18575" i="1"/>
  <c r="A18575" i="1"/>
  <c r="F18574" i="1"/>
  <c r="E18574" i="1"/>
  <c r="D18574" i="1"/>
  <c r="C18574" i="1"/>
  <c r="B18574" i="1"/>
  <c r="A18574" i="1"/>
  <c r="F18573" i="1"/>
  <c r="E18573" i="1"/>
  <c r="D18573" i="1"/>
  <c r="C18573" i="1"/>
  <c r="B18573" i="1"/>
  <c r="A18573" i="1"/>
  <c r="F18572" i="1"/>
  <c r="E18572" i="1"/>
  <c r="D18572" i="1"/>
  <c r="C18572" i="1"/>
  <c r="B18572" i="1"/>
  <c r="A18572" i="1"/>
  <c r="F18571" i="1"/>
  <c r="E18571" i="1"/>
  <c r="D18571" i="1"/>
  <c r="C18571" i="1"/>
  <c r="B18571" i="1"/>
  <c r="A18571" i="1"/>
  <c r="F18570" i="1"/>
  <c r="E18570" i="1"/>
  <c r="D18570" i="1"/>
  <c r="C18570" i="1"/>
  <c r="B18570" i="1"/>
  <c r="A18570" i="1"/>
  <c r="F18569" i="1"/>
  <c r="E18569" i="1"/>
  <c r="D18569" i="1"/>
  <c r="C18569" i="1"/>
  <c r="B18569" i="1"/>
  <c r="A18569" i="1"/>
  <c r="F18568" i="1"/>
  <c r="E18568" i="1"/>
  <c r="D18568" i="1"/>
  <c r="C18568" i="1"/>
  <c r="B18568" i="1"/>
  <c r="A18568" i="1"/>
  <c r="F18567" i="1"/>
  <c r="E18567" i="1"/>
  <c r="D18567" i="1"/>
  <c r="C18567" i="1"/>
  <c r="B18567" i="1"/>
  <c r="A18567" i="1"/>
  <c r="F18566" i="1"/>
  <c r="E18566" i="1"/>
  <c r="D18566" i="1"/>
  <c r="C18566" i="1"/>
  <c r="B18566" i="1"/>
  <c r="A18566" i="1"/>
  <c r="F18565" i="1"/>
  <c r="E18565" i="1"/>
  <c r="D18565" i="1"/>
  <c r="C18565" i="1"/>
  <c r="B18565" i="1"/>
  <c r="A18565" i="1"/>
  <c r="F18564" i="1"/>
  <c r="E18564" i="1"/>
  <c r="D18564" i="1"/>
  <c r="C18564" i="1"/>
  <c r="B18564" i="1"/>
  <c r="A18564" i="1"/>
  <c r="F18563" i="1"/>
  <c r="E18563" i="1"/>
  <c r="D18563" i="1"/>
  <c r="C18563" i="1"/>
  <c r="B18563" i="1"/>
  <c r="A18563" i="1"/>
  <c r="F18562" i="1"/>
  <c r="E18562" i="1"/>
  <c r="D18562" i="1"/>
  <c r="C18562" i="1"/>
  <c r="B18562" i="1"/>
  <c r="A18562" i="1"/>
  <c r="F18561" i="1"/>
  <c r="E18561" i="1"/>
  <c r="D18561" i="1"/>
  <c r="C18561" i="1"/>
  <c r="B18561" i="1"/>
  <c r="A18561" i="1"/>
  <c r="F18560" i="1"/>
  <c r="E18560" i="1"/>
  <c r="D18560" i="1"/>
  <c r="C18560" i="1"/>
  <c r="B18560" i="1"/>
  <c r="A18560" i="1"/>
  <c r="F18559" i="1"/>
  <c r="E18559" i="1"/>
  <c r="D18559" i="1"/>
  <c r="C18559" i="1"/>
  <c r="B18559" i="1"/>
  <c r="A18559" i="1"/>
  <c r="F18558" i="1"/>
  <c r="E18558" i="1"/>
  <c r="D18558" i="1"/>
  <c r="C18558" i="1"/>
  <c r="B18558" i="1"/>
  <c r="A18558" i="1"/>
  <c r="F18557" i="1"/>
  <c r="E18557" i="1"/>
  <c r="D18557" i="1"/>
  <c r="C18557" i="1"/>
  <c r="B18557" i="1"/>
  <c r="A18557" i="1"/>
  <c r="F18556" i="1"/>
  <c r="E18556" i="1"/>
  <c r="D18556" i="1"/>
  <c r="C18556" i="1"/>
  <c r="B18556" i="1"/>
  <c r="A18556" i="1"/>
  <c r="F18555" i="1"/>
  <c r="E18555" i="1"/>
  <c r="D18555" i="1"/>
  <c r="C18555" i="1"/>
  <c r="B18555" i="1"/>
  <c r="A18555" i="1"/>
  <c r="F18554" i="1"/>
  <c r="E18554" i="1"/>
  <c r="D18554" i="1"/>
  <c r="C18554" i="1"/>
  <c r="B18554" i="1"/>
  <c r="A18554" i="1"/>
  <c r="F18553" i="1"/>
  <c r="E18553" i="1"/>
  <c r="D18553" i="1"/>
  <c r="C18553" i="1"/>
  <c r="B18553" i="1"/>
  <c r="A18553" i="1"/>
  <c r="F18552" i="1"/>
  <c r="E18552" i="1"/>
  <c r="D18552" i="1"/>
  <c r="C18552" i="1"/>
  <c r="B18552" i="1"/>
  <c r="A18552" i="1"/>
  <c r="F18551" i="1"/>
  <c r="E18551" i="1"/>
  <c r="D18551" i="1"/>
  <c r="C18551" i="1"/>
  <c r="B18551" i="1"/>
  <c r="A18551" i="1"/>
  <c r="F18550" i="1"/>
  <c r="E18550" i="1"/>
  <c r="D18550" i="1"/>
  <c r="C18550" i="1"/>
  <c r="B18550" i="1"/>
  <c r="A18550" i="1"/>
  <c r="F18549" i="1"/>
  <c r="E18549" i="1"/>
  <c r="D18549" i="1"/>
  <c r="C18549" i="1"/>
  <c r="B18549" i="1"/>
  <c r="A18549" i="1"/>
  <c r="F18548" i="1"/>
  <c r="E18548" i="1"/>
  <c r="D18548" i="1"/>
  <c r="C18548" i="1"/>
  <c r="B18548" i="1"/>
  <c r="A18548" i="1"/>
  <c r="F18547" i="1"/>
  <c r="E18547" i="1"/>
  <c r="D18547" i="1"/>
  <c r="C18547" i="1"/>
  <c r="B18547" i="1"/>
  <c r="A18547" i="1"/>
  <c r="F18546" i="1"/>
  <c r="E18546" i="1"/>
  <c r="D18546" i="1"/>
  <c r="C18546" i="1"/>
  <c r="B18546" i="1"/>
  <c r="A18546" i="1"/>
  <c r="F18545" i="1"/>
  <c r="E18545" i="1"/>
  <c r="D18545" i="1"/>
  <c r="C18545" i="1"/>
  <c r="B18545" i="1"/>
  <c r="A18545" i="1"/>
  <c r="F18544" i="1"/>
  <c r="E18544" i="1"/>
  <c r="D18544" i="1"/>
  <c r="C18544" i="1"/>
  <c r="B18544" i="1"/>
  <c r="A18544" i="1"/>
  <c r="F18543" i="1"/>
  <c r="E18543" i="1"/>
  <c r="D18543" i="1"/>
  <c r="C18543" i="1"/>
  <c r="B18543" i="1"/>
  <c r="A18543" i="1"/>
  <c r="F18542" i="1"/>
  <c r="E18542" i="1"/>
  <c r="D18542" i="1"/>
  <c r="C18542" i="1"/>
  <c r="B18542" i="1"/>
  <c r="A18542" i="1"/>
  <c r="F18541" i="1"/>
  <c r="E18541" i="1"/>
  <c r="D18541" i="1"/>
  <c r="C18541" i="1"/>
  <c r="B18541" i="1"/>
  <c r="A18541" i="1"/>
  <c r="F18540" i="1"/>
  <c r="E18540" i="1"/>
  <c r="D18540" i="1"/>
  <c r="C18540" i="1"/>
  <c r="B18540" i="1"/>
  <c r="A18540" i="1"/>
  <c r="F18539" i="1"/>
  <c r="E18539" i="1"/>
  <c r="D18539" i="1"/>
  <c r="C18539" i="1"/>
  <c r="B18539" i="1"/>
  <c r="A18539" i="1"/>
  <c r="F18538" i="1"/>
  <c r="E18538" i="1"/>
  <c r="D18538" i="1"/>
  <c r="C18538" i="1"/>
  <c r="B18538" i="1"/>
  <c r="A18538" i="1"/>
  <c r="F18537" i="1"/>
  <c r="E18537" i="1"/>
  <c r="D18537" i="1"/>
  <c r="C18537" i="1"/>
  <c r="B18537" i="1"/>
  <c r="A18537" i="1"/>
  <c r="F18536" i="1"/>
  <c r="E18536" i="1"/>
  <c r="D18536" i="1"/>
  <c r="C18536" i="1"/>
  <c r="B18536" i="1"/>
  <c r="A18536" i="1"/>
  <c r="F18535" i="1"/>
  <c r="E18535" i="1"/>
  <c r="D18535" i="1"/>
  <c r="C18535" i="1"/>
  <c r="B18535" i="1"/>
  <c r="A18535" i="1"/>
  <c r="F18534" i="1"/>
  <c r="E18534" i="1"/>
  <c r="D18534" i="1"/>
  <c r="C18534" i="1"/>
  <c r="B18534" i="1"/>
  <c r="A18534" i="1"/>
  <c r="F18533" i="1"/>
  <c r="E18533" i="1"/>
  <c r="D18533" i="1"/>
  <c r="C18533" i="1"/>
  <c r="B18533" i="1"/>
  <c r="A18533" i="1"/>
  <c r="F18532" i="1"/>
  <c r="E18532" i="1"/>
  <c r="D18532" i="1"/>
  <c r="C18532" i="1"/>
  <c r="B18532" i="1"/>
  <c r="A18532" i="1"/>
  <c r="F18531" i="1"/>
  <c r="E18531" i="1"/>
  <c r="D18531" i="1"/>
  <c r="C18531" i="1"/>
  <c r="B18531" i="1"/>
  <c r="A18531" i="1"/>
  <c r="F18530" i="1"/>
  <c r="E18530" i="1"/>
  <c r="D18530" i="1"/>
  <c r="C18530" i="1"/>
  <c r="B18530" i="1"/>
  <c r="A18530" i="1"/>
  <c r="F18529" i="1"/>
  <c r="E18529" i="1"/>
  <c r="D18529" i="1"/>
  <c r="C18529" i="1"/>
  <c r="B18529" i="1"/>
  <c r="A18529" i="1"/>
  <c r="F18528" i="1"/>
  <c r="E18528" i="1"/>
  <c r="D18528" i="1"/>
  <c r="C18528" i="1"/>
  <c r="B18528" i="1"/>
  <c r="A18528" i="1"/>
  <c r="F18527" i="1"/>
  <c r="E18527" i="1"/>
  <c r="D18527" i="1"/>
  <c r="C18527" i="1"/>
  <c r="B18527" i="1"/>
  <c r="A18527" i="1"/>
  <c r="F18526" i="1"/>
  <c r="E18526" i="1"/>
  <c r="D18526" i="1"/>
  <c r="C18526" i="1"/>
  <c r="B18526" i="1"/>
  <c r="A18526" i="1"/>
  <c r="F18525" i="1"/>
  <c r="E18525" i="1"/>
  <c r="D18525" i="1"/>
  <c r="C18525" i="1"/>
  <c r="B18525" i="1"/>
  <c r="A18525" i="1"/>
  <c r="F18524" i="1"/>
  <c r="E18524" i="1"/>
  <c r="D18524" i="1"/>
  <c r="C18524" i="1"/>
  <c r="B18524" i="1"/>
  <c r="A18524" i="1"/>
  <c r="F18523" i="1"/>
  <c r="E18523" i="1"/>
  <c r="D18523" i="1"/>
  <c r="C18523" i="1"/>
  <c r="B18523" i="1"/>
  <c r="A18523" i="1"/>
  <c r="F18522" i="1"/>
  <c r="E18522" i="1"/>
  <c r="D18522" i="1"/>
  <c r="C18522" i="1"/>
  <c r="B18522" i="1"/>
  <c r="A18522" i="1"/>
  <c r="F18521" i="1"/>
  <c r="E18521" i="1"/>
  <c r="D18521" i="1"/>
  <c r="C18521" i="1"/>
  <c r="B18521" i="1"/>
  <c r="A18521" i="1"/>
  <c r="F18520" i="1"/>
  <c r="E18520" i="1"/>
  <c r="D18520" i="1"/>
  <c r="C18520" i="1"/>
  <c r="B18520" i="1"/>
  <c r="A18520" i="1"/>
  <c r="F18519" i="1"/>
  <c r="E18519" i="1"/>
  <c r="D18519" i="1"/>
  <c r="C18519" i="1"/>
  <c r="B18519" i="1"/>
  <c r="A18519" i="1"/>
  <c r="F18518" i="1"/>
  <c r="E18518" i="1"/>
  <c r="D18518" i="1"/>
  <c r="C18518" i="1"/>
  <c r="B18518" i="1"/>
  <c r="A18518" i="1"/>
  <c r="F18517" i="1"/>
  <c r="E18517" i="1"/>
  <c r="D18517" i="1"/>
  <c r="C18517" i="1"/>
  <c r="B18517" i="1"/>
  <c r="A18517" i="1"/>
  <c r="F18516" i="1"/>
  <c r="E18516" i="1"/>
  <c r="D18516" i="1"/>
  <c r="C18516" i="1"/>
  <c r="B18516" i="1"/>
  <c r="A18516" i="1"/>
  <c r="F18515" i="1"/>
  <c r="E18515" i="1"/>
  <c r="D18515" i="1"/>
  <c r="C18515" i="1"/>
  <c r="B18515" i="1"/>
  <c r="A18515" i="1"/>
  <c r="F18514" i="1"/>
  <c r="E18514" i="1"/>
  <c r="D18514" i="1"/>
  <c r="C18514" i="1"/>
  <c r="B18514" i="1"/>
  <c r="A18514" i="1"/>
  <c r="F18513" i="1"/>
  <c r="E18513" i="1"/>
  <c r="D18513" i="1"/>
  <c r="C18513" i="1"/>
  <c r="B18513" i="1"/>
  <c r="A18513" i="1"/>
  <c r="F18512" i="1"/>
  <c r="E18512" i="1"/>
  <c r="D18512" i="1"/>
  <c r="C18512" i="1"/>
  <c r="B18512" i="1"/>
  <c r="A18512" i="1"/>
  <c r="F18511" i="1"/>
  <c r="E18511" i="1"/>
  <c r="D18511" i="1"/>
  <c r="C18511" i="1"/>
  <c r="B18511" i="1"/>
  <c r="A18511" i="1"/>
  <c r="F18510" i="1"/>
  <c r="E18510" i="1"/>
  <c r="D18510" i="1"/>
  <c r="C18510" i="1"/>
  <c r="B18510" i="1"/>
  <c r="A18510" i="1"/>
  <c r="F18509" i="1"/>
  <c r="E18509" i="1"/>
  <c r="D18509" i="1"/>
  <c r="C18509" i="1"/>
  <c r="B18509" i="1"/>
  <c r="A18509" i="1"/>
  <c r="F18508" i="1"/>
  <c r="E18508" i="1"/>
  <c r="D18508" i="1"/>
  <c r="C18508" i="1"/>
  <c r="B18508" i="1"/>
  <c r="A18508" i="1"/>
  <c r="F18507" i="1"/>
  <c r="E18507" i="1"/>
  <c r="D18507" i="1"/>
  <c r="C18507" i="1"/>
  <c r="B18507" i="1"/>
  <c r="A18507" i="1"/>
  <c r="F18506" i="1"/>
  <c r="E18506" i="1"/>
  <c r="D18506" i="1"/>
  <c r="C18506" i="1"/>
  <c r="B18506" i="1"/>
  <c r="A18506" i="1"/>
  <c r="F18505" i="1"/>
  <c r="E18505" i="1"/>
  <c r="D18505" i="1"/>
  <c r="C18505" i="1"/>
  <c r="B18505" i="1"/>
  <c r="A18505" i="1"/>
  <c r="F18504" i="1"/>
  <c r="E18504" i="1"/>
  <c r="D18504" i="1"/>
  <c r="C18504" i="1"/>
  <c r="B18504" i="1"/>
  <c r="A18504" i="1"/>
  <c r="F18503" i="1"/>
  <c r="E18503" i="1"/>
  <c r="D18503" i="1"/>
  <c r="C18503" i="1"/>
  <c r="B18503" i="1"/>
  <c r="A18503" i="1"/>
  <c r="F18502" i="1"/>
  <c r="E18502" i="1"/>
  <c r="D18502" i="1"/>
  <c r="C18502" i="1"/>
  <c r="B18502" i="1"/>
  <c r="A18502" i="1"/>
  <c r="F18501" i="1"/>
  <c r="E18501" i="1"/>
  <c r="D18501" i="1"/>
  <c r="C18501" i="1"/>
  <c r="B18501" i="1"/>
  <c r="A18501" i="1"/>
  <c r="F18500" i="1"/>
  <c r="E18500" i="1"/>
  <c r="D18500" i="1"/>
  <c r="C18500" i="1"/>
  <c r="B18500" i="1"/>
  <c r="A18500" i="1"/>
  <c r="F18499" i="1"/>
  <c r="E18499" i="1"/>
  <c r="D18499" i="1"/>
  <c r="C18499" i="1"/>
  <c r="B18499" i="1"/>
  <c r="A18499" i="1"/>
  <c r="F18498" i="1"/>
  <c r="E18498" i="1"/>
  <c r="D18498" i="1"/>
  <c r="C18498" i="1"/>
  <c r="B18498" i="1"/>
  <c r="A18498" i="1"/>
  <c r="F18497" i="1"/>
  <c r="E18497" i="1"/>
  <c r="D18497" i="1"/>
  <c r="C18497" i="1"/>
  <c r="B18497" i="1"/>
  <c r="A18497" i="1"/>
  <c r="F18496" i="1"/>
  <c r="E18496" i="1"/>
  <c r="D18496" i="1"/>
  <c r="C18496" i="1"/>
  <c r="B18496" i="1"/>
  <c r="A18496" i="1"/>
  <c r="F18495" i="1"/>
  <c r="E18495" i="1"/>
  <c r="D18495" i="1"/>
  <c r="C18495" i="1"/>
  <c r="B18495" i="1"/>
  <c r="A18495" i="1"/>
  <c r="F18494" i="1"/>
  <c r="E18494" i="1"/>
  <c r="D18494" i="1"/>
  <c r="C18494" i="1"/>
  <c r="B18494" i="1"/>
  <c r="A18494" i="1"/>
  <c r="F18493" i="1"/>
  <c r="E18493" i="1"/>
  <c r="D18493" i="1"/>
  <c r="C18493" i="1"/>
  <c r="B18493" i="1"/>
  <c r="A18493" i="1"/>
  <c r="F18492" i="1"/>
  <c r="E18492" i="1"/>
  <c r="D18492" i="1"/>
  <c r="C18492" i="1"/>
  <c r="B18492" i="1"/>
  <c r="A18492" i="1"/>
  <c r="F18491" i="1"/>
  <c r="E18491" i="1"/>
  <c r="D18491" i="1"/>
  <c r="C18491" i="1"/>
  <c r="B18491" i="1"/>
  <c r="A18491" i="1"/>
  <c r="F18490" i="1"/>
  <c r="E18490" i="1"/>
  <c r="D18490" i="1"/>
  <c r="C18490" i="1"/>
  <c r="B18490" i="1"/>
  <c r="A18490" i="1"/>
  <c r="F18489" i="1"/>
  <c r="E18489" i="1"/>
  <c r="D18489" i="1"/>
  <c r="C18489" i="1"/>
  <c r="B18489" i="1"/>
  <c r="A18489" i="1"/>
  <c r="F18488" i="1"/>
  <c r="E18488" i="1"/>
  <c r="D18488" i="1"/>
  <c r="C18488" i="1"/>
  <c r="B18488" i="1"/>
  <c r="A18488" i="1"/>
  <c r="F18487" i="1"/>
  <c r="E18487" i="1"/>
  <c r="D18487" i="1"/>
  <c r="C18487" i="1"/>
  <c r="B18487" i="1"/>
  <c r="A18487" i="1"/>
  <c r="F18486" i="1"/>
  <c r="E18486" i="1"/>
  <c r="D18486" i="1"/>
  <c r="C18486" i="1"/>
  <c r="B18486" i="1"/>
  <c r="A18486" i="1"/>
  <c r="F18485" i="1"/>
  <c r="E18485" i="1"/>
  <c r="D18485" i="1"/>
  <c r="C18485" i="1"/>
  <c r="B18485" i="1"/>
  <c r="A18485" i="1"/>
  <c r="F18484" i="1"/>
  <c r="E18484" i="1"/>
  <c r="D18484" i="1"/>
  <c r="C18484" i="1"/>
  <c r="B18484" i="1"/>
  <c r="A18484" i="1"/>
  <c r="F18483" i="1"/>
  <c r="E18483" i="1"/>
  <c r="D18483" i="1"/>
  <c r="C18483" i="1"/>
  <c r="B18483" i="1"/>
  <c r="A18483" i="1"/>
  <c r="F18482" i="1"/>
  <c r="E18482" i="1"/>
  <c r="D18482" i="1"/>
  <c r="C18482" i="1"/>
  <c r="B18482" i="1"/>
  <c r="A18482" i="1"/>
  <c r="F18481" i="1"/>
  <c r="E18481" i="1"/>
  <c r="D18481" i="1"/>
  <c r="C18481" i="1"/>
  <c r="B18481" i="1"/>
  <c r="A18481" i="1"/>
  <c r="F18480" i="1"/>
  <c r="E18480" i="1"/>
  <c r="D18480" i="1"/>
  <c r="C18480" i="1"/>
  <c r="B18480" i="1"/>
  <c r="A18480" i="1"/>
  <c r="F18479" i="1"/>
  <c r="E18479" i="1"/>
  <c r="D18479" i="1"/>
  <c r="C18479" i="1"/>
  <c r="B18479" i="1"/>
  <c r="A18479" i="1"/>
  <c r="F18478" i="1"/>
  <c r="E18478" i="1"/>
  <c r="D18478" i="1"/>
  <c r="C18478" i="1"/>
  <c r="B18478" i="1"/>
  <c r="A18478" i="1"/>
  <c r="F18477" i="1"/>
  <c r="E18477" i="1"/>
  <c r="D18477" i="1"/>
  <c r="C18477" i="1"/>
  <c r="B18477" i="1"/>
  <c r="A18477" i="1"/>
  <c r="F18476" i="1"/>
  <c r="E18476" i="1"/>
  <c r="D18476" i="1"/>
  <c r="C18476" i="1"/>
  <c r="B18476" i="1"/>
  <c r="A18476" i="1"/>
  <c r="F18475" i="1"/>
  <c r="E18475" i="1"/>
  <c r="D18475" i="1"/>
  <c r="C18475" i="1"/>
  <c r="B18475" i="1"/>
  <c r="A18475" i="1"/>
  <c r="F18474" i="1"/>
  <c r="E18474" i="1"/>
  <c r="D18474" i="1"/>
  <c r="C18474" i="1"/>
  <c r="B18474" i="1"/>
  <c r="A18474" i="1"/>
  <c r="F18473" i="1"/>
  <c r="E18473" i="1"/>
  <c r="D18473" i="1"/>
  <c r="C18473" i="1"/>
  <c r="B18473" i="1"/>
  <c r="A18473" i="1"/>
  <c r="F18472" i="1"/>
  <c r="E18472" i="1"/>
  <c r="D18472" i="1"/>
  <c r="C18472" i="1"/>
  <c r="B18472" i="1"/>
  <c r="A18472" i="1"/>
  <c r="F18471" i="1"/>
  <c r="E18471" i="1"/>
  <c r="D18471" i="1"/>
  <c r="C18471" i="1"/>
  <c r="B18471" i="1"/>
  <c r="A18471" i="1"/>
  <c r="F18470" i="1"/>
  <c r="E18470" i="1"/>
  <c r="D18470" i="1"/>
  <c r="C18470" i="1"/>
  <c r="B18470" i="1"/>
  <c r="A18470" i="1"/>
  <c r="F18469" i="1"/>
  <c r="E18469" i="1"/>
  <c r="D18469" i="1"/>
  <c r="C18469" i="1"/>
  <c r="B18469" i="1"/>
  <c r="A18469" i="1"/>
  <c r="F18468" i="1"/>
  <c r="E18468" i="1"/>
  <c r="D18468" i="1"/>
  <c r="C18468" i="1"/>
  <c r="B18468" i="1"/>
  <c r="A18468" i="1"/>
  <c r="F18467" i="1"/>
  <c r="E18467" i="1"/>
  <c r="D18467" i="1"/>
  <c r="C18467" i="1"/>
  <c r="B18467" i="1"/>
  <c r="A18467" i="1"/>
  <c r="F18466" i="1"/>
  <c r="E18466" i="1"/>
  <c r="D18466" i="1"/>
  <c r="C18466" i="1"/>
  <c r="B18466" i="1"/>
  <c r="A18466" i="1"/>
  <c r="F18465" i="1"/>
  <c r="E18465" i="1"/>
  <c r="D18465" i="1"/>
  <c r="C18465" i="1"/>
  <c r="B18465" i="1"/>
  <c r="A18465" i="1"/>
  <c r="F18464" i="1"/>
  <c r="E18464" i="1"/>
  <c r="D18464" i="1"/>
  <c r="C18464" i="1"/>
  <c r="B18464" i="1"/>
  <c r="A18464" i="1"/>
  <c r="F18463" i="1"/>
  <c r="E18463" i="1"/>
  <c r="D18463" i="1"/>
  <c r="C18463" i="1"/>
  <c r="B18463" i="1"/>
  <c r="A18463" i="1"/>
  <c r="F18462" i="1"/>
  <c r="E18462" i="1"/>
  <c r="D18462" i="1"/>
  <c r="C18462" i="1"/>
  <c r="B18462" i="1"/>
  <c r="A18462" i="1"/>
  <c r="F18461" i="1"/>
  <c r="E18461" i="1"/>
  <c r="D18461" i="1"/>
  <c r="C18461" i="1"/>
  <c r="B18461" i="1"/>
  <c r="A18461" i="1"/>
  <c r="F18460" i="1"/>
  <c r="E18460" i="1"/>
  <c r="D18460" i="1"/>
  <c r="C18460" i="1"/>
  <c r="B18460" i="1"/>
  <c r="A18460" i="1"/>
  <c r="F18459" i="1"/>
  <c r="E18459" i="1"/>
  <c r="D18459" i="1"/>
  <c r="C18459" i="1"/>
  <c r="B18459" i="1"/>
  <c r="A18459" i="1"/>
  <c r="F18458" i="1"/>
  <c r="E18458" i="1"/>
  <c r="D18458" i="1"/>
  <c r="C18458" i="1"/>
  <c r="B18458" i="1"/>
  <c r="A18458" i="1"/>
  <c r="F18457" i="1"/>
  <c r="E18457" i="1"/>
  <c r="D18457" i="1"/>
  <c r="C18457" i="1"/>
  <c r="B18457" i="1"/>
  <c r="A18457" i="1"/>
  <c r="F18456" i="1"/>
  <c r="E18456" i="1"/>
  <c r="D18456" i="1"/>
  <c r="C18456" i="1"/>
  <c r="B18456" i="1"/>
  <c r="A18456" i="1"/>
  <c r="F18455" i="1"/>
  <c r="E18455" i="1"/>
  <c r="D18455" i="1"/>
  <c r="C18455" i="1"/>
  <c r="B18455" i="1"/>
  <c r="A18455" i="1"/>
  <c r="F18454" i="1"/>
  <c r="E18454" i="1"/>
  <c r="D18454" i="1"/>
  <c r="C18454" i="1"/>
  <c r="B18454" i="1"/>
  <c r="A18454" i="1"/>
  <c r="F18453" i="1"/>
  <c r="E18453" i="1"/>
  <c r="D18453" i="1"/>
  <c r="C18453" i="1"/>
  <c r="B18453" i="1"/>
  <c r="A18453" i="1"/>
  <c r="F18452" i="1"/>
  <c r="E18452" i="1"/>
  <c r="D18452" i="1"/>
  <c r="C18452" i="1"/>
  <c r="B18452" i="1"/>
  <c r="A18452" i="1"/>
  <c r="F18451" i="1"/>
  <c r="E18451" i="1"/>
  <c r="D18451" i="1"/>
  <c r="C18451" i="1"/>
  <c r="B18451" i="1"/>
  <c r="A18451" i="1"/>
  <c r="F18450" i="1"/>
  <c r="E18450" i="1"/>
  <c r="D18450" i="1"/>
  <c r="C18450" i="1"/>
  <c r="B18450" i="1"/>
  <c r="A18450" i="1"/>
  <c r="F18449" i="1"/>
  <c r="E18449" i="1"/>
  <c r="D18449" i="1"/>
  <c r="C18449" i="1"/>
  <c r="B18449" i="1"/>
  <c r="A18449" i="1"/>
  <c r="F18448" i="1"/>
  <c r="E18448" i="1"/>
  <c r="D18448" i="1"/>
  <c r="C18448" i="1"/>
  <c r="B18448" i="1"/>
  <c r="A18448" i="1"/>
  <c r="F18447" i="1"/>
  <c r="E18447" i="1"/>
  <c r="D18447" i="1"/>
  <c r="C18447" i="1"/>
  <c r="B18447" i="1"/>
  <c r="A18447" i="1"/>
  <c r="F18446" i="1"/>
  <c r="E18446" i="1"/>
  <c r="D18446" i="1"/>
  <c r="C18446" i="1"/>
  <c r="B18446" i="1"/>
  <c r="A18446" i="1"/>
  <c r="F18445" i="1"/>
  <c r="E18445" i="1"/>
  <c r="D18445" i="1"/>
  <c r="C18445" i="1"/>
  <c r="B18445" i="1"/>
  <c r="A18445" i="1"/>
  <c r="F18444" i="1"/>
  <c r="E18444" i="1"/>
  <c r="D18444" i="1"/>
  <c r="C18444" i="1"/>
  <c r="B18444" i="1"/>
  <c r="A18444" i="1"/>
  <c r="F18443" i="1"/>
  <c r="E18443" i="1"/>
  <c r="D18443" i="1"/>
  <c r="C18443" i="1"/>
  <c r="B18443" i="1"/>
  <c r="A18443" i="1"/>
  <c r="F18442" i="1"/>
  <c r="E18442" i="1"/>
  <c r="D18442" i="1"/>
  <c r="C18442" i="1"/>
  <c r="B18442" i="1"/>
  <c r="A18442" i="1"/>
  <c r="F18441" i="1"/>
  <c r="E18441" i="1"/>
  <c r="D18441" i="1"/>
  <c r="C18441" i="1"/>
  <c r="B18441" i="1"/>
  <c r="A18441" i="1"/>
  <c r="F18440" i="1"/>
  <c r="E18440" i="1"/>
  <c r="D18440" i="1"/>
  <c r="C18440" i="1"/>
  <c r="B18440" i="1"/>
  <c r="A18440" i="1"/>
  <c r="F18439" i="1"/>
  <c r="E18439" i="1"/>
  <c r="D18439" i="1"/>
  <c r="C18439" i="1"/>
  <c r="B18439" i="1"/>
  <c r="A18439" i="1"/>
  <c r="F18438" i="1"/>
  <c r="E18438" i="1"/>
  <c r="D18438" i="1"/>
  <c r="C18438" i="1"/>
  <c r="B18438" i="1"/>
  <c r="A18438" i="1"/>
  <c r="F18437" i="1"/>
  <c r="E18437" i="1"/>
  <c r="D18437" i="1"/>
  <c r="C18437" i="1"/>
  <c r="B18437" i="1"/>
  <c r="A18437" i="1"/>
  <c r="F18436" i="1"/>
  <c r="E18436" i="1"/>
  <c r="D18436" i="1"/>
  <c r="C18436" i="1"/>
  <c r="B18436" i="1"/>
  <c r="A18436" i="1"/>
  <c r="F18435" i="1"/>
  <c r="E18435" i="1"/>
  <c r="D18435" i="1"/>
  <c r="C18435" i="1"/>
  <c r="B18435" i="1"/>
  <c r="A18435" i="1"/>
  <c r="F18434" i="1"/>
  <c r="E18434" i="1"/>
  <c r="D18434" i="1"/>
  <c r="C18434" i="1"/>
  <c r="B18434" i="1"/>
  <c r="A18434" i="1"/>
  <c r="F18433" i="1"/>
  <c r="E18433" i="1"/>
  <c r="D18433" i="1"/>
  <c r="C18433" i="1"/>
  <c r="B18433" i="1"/>
  <c r="A18433" i="1"/>
  <c r="F18432" i="1"/>
  <c r="E18432" i="1"/>
  <c r="D18432" i="1"/>
  <c r="C18432" i="1"/>
  <c r="B18432" i="1"/>
  <c r="A18432" i="1"/>
  <c r="F18431" i="1"/>
  <c r="E18431" i="1"/>
  <c r="D18431" i="1"/>
  <c r="C18431" i="1"/>
  <c r="B18431" i="1"/>
  <c r="A18431" i="1"/>
  <c r="F18430" i="1"/>
  <c r="E18430" i="1"/>
  <c r="D18430" i="1"/>
  <c r="C18430" i="1"/>
  <c r="B18430" i="1"/>
  <c r="A18430" i="1"/>
  <c r="F18429" i="1"/>
  <c r="E18429" i="1"/>
  <c r="D18429" i="1"/>
  <c r="C18429" i="1"/>
  <c r="B18429" i="1"/>
  <c r="A18429" i="1"/>
  <c r="F18428" i="1"/>
  <c r="E18428" i="1"/>
  <c r="D18428" i="1"/>
  <c r="C18428" i="1"/>
  <c r="B18428" i="1"/>
  <c r="A18428" i="1"/>
  <c r="F18427" i="1"/>
  <c r="E18427" i="1"/>
  <c r="D18427" i="1"/>
  <c r="C18427" i="1"/>
  <c r="B18427" i="1"/>
  <c r="A18427" i="1"/>
  <c r="F18426" i="1"/>
  <c r="E18426" i="1"/>
  <c r="D18426" i="1"/>
  <c r="C18426" i="1"/>
  <c r="B18426" i="1"/>
  <c r="A18426" i="1"/>
  <c r="F18425" i="1"/>
  <c r="E18425" i="1"/>
  <c r="D18425" i="1"/>
  <c r="C18425" i="1"/>
  <c r="B18425" i="1"/>
  <c r="A18425" i="1"/>
  <c r="F18424" i="1"/>
  <c r="E18424" i="1"/>
  <c r="D18424" i="1"/>
  <c r="C18424" i="1"/>
  <c r="B18424" i="1"/>
  <c r="A18424" i="1"/>
  <c r="F18423" i="1"/>
  <c r="E18423" i="1"/>
  <c r="D18423" i="1"/>
  <c r="C18423" i="1"/>
  <c r="B18423" i="1"/>
  <c r="A18423" i="1"/>
  <c r="F18422" i="1"/>
  <c r="E18422" i="1"/>
  <c r="D18422" i="1"/>
  <c r="C18422" i="1"/>
  <c r="B18422" i="1"/>
  <c r="A18422" i="1"/>
  <c r="F18421" i="1"/>
  <c r="E18421" i="1"/>
  <c r="D18421" i="1"/>
  <c r="C18421" i="1"/>
  <c r="B18421" i="1"/>
  <c r="A18421" i="1"/>
  <c r="F18420" i="1"/>
  <c r="E18420" i="1"/>
  <c r="D18420" i="1"/>
  <c r="C18420" i="1"/>
  <c r="B18420" i="1"/>
  <c r="A18420" i="1"/>
  <c r="F18419" i="1"/>
  <c r="E18419" i="1"/>
  <c r="D18419" i="1"/>
  <c r="C18419" i="1"/>
  <c r="B18419" i="1"/>
  <c r="A18419" i="1"/>
  <c r="F18418" i="1"/>
  <c r="E18418" i="1"/>
  <c r="D18418" i="1"/>
  <c r="C18418" i="1"/>
  <c r="B18418" i="1"/>
  <c r="A18418" i="1"/>
  <c r="F18417" i="1"/>
  <c r="E18417" i="1"/>
  <c r="D18417" i="1"/>
  <c r="C18417" i="1"/>
  <c r="B18417" i="1"/>
  <c r="A18417" i="1"/>
  <c r="F18416" i="1"/>
  <c r="E18416" i="1"/>
  <c r="D18416" i="1"/>
  <c r="C18416" i="1"/>
  <c r="B18416" i="1"/>
  <c r="A18416" i="1"/>
  <c r="F18415" i="1"/>
  <c r="E18415" i="1"/>
  <c r="D18415" i="1"/>
  <c r="C18415" i="1"/>
  <c r="B18415" i="1"/>
  <c r="A18415" i="1"/>
  <c r="F18414" i="1"/>
  <c r="E18414" i="1"/>
  <c r="D18414" i="1"/>
  <c r="C18414" i="1"/>
  <c r="B18414" i="1"/>
  <c r="A18414" i="1"/>
  <c r="F18413" i="1"/>
  <c r="E18413" i="1"/>
  <c r="D18413" i="1"/>
  <c r="C18413" i="1"/>
  <c r="B18413" i="1"/>
  <c r="A18413" i="1"/>
  <c r="F18412" i="1"/>
  <c r="E18412" i="1"/>
  <c r="D18412" i="1"/>
  <c r="C18412" i="1"/>
  <c r="B18412" i="1"/>
  <c r="A18412" i="1"/>
  <c r="F18411" i="1"/>
  <c r="E18411" i="1"/>
  <c r="D18411" i="1"/>
  <c r="C18411" i="1"/>
  <c r="B18411" i="1"/>
  <c r="A18411" i="1"/>
  <c r="F18410" i="1"/>
  <c r="E18410" i="1"/>
  <c r="D18410" i="1"/>
  <c r="C18410" i="1"/>
  <c r="B18410" i="1"/>
  <c r="A18410" i="1"/>
  <c r="F18409" i="1"/>
  <c r="E18409" i="1"/>
  <c r="D18409" i="1"/>
  <c r="C18409" i="1"/>
  <c r="B18409" i="1"/>
  <c r="A18409" i="1"/>
  <c r="F18408" i="1"/>
  <c r="E18408" i="1"/>
  <c r="D18408" i="1"/>
  <c r="C18408" i="1"/>
  <c r="B18408" i="1"/>
  <c r="A18408" i="1"/>
  <c r="F18407" i="1"/>
  <c r="E18407" i="1"/>
  <c r="D18407" i="1"/>
  <c r="C18407" i="1"/>
  <c r="B18407" i="1"/>
  <c r="A18407" i="1"/>
  <c r="F18406" i="1"/>
  <c r="E18406" i="1"/>
  <c r="D18406" i="1"/>
  <c r="C18406" i="1"/>
  <c r="B18406" i="1"/>
  <c r="A18406" i="1"/>
  <c r="F18405" i="1"/>
  <c r="E18405" i="1"/>
  <c r="D18405" i="1"/>
  <c r="C18405" i="1"/>
  <c r="B18405" i="1"/>
  <c r="A18405" i="1"/>
  <c r="F18404" i="1"/>
  <c r="E18404" i="1"/>
  <c r="D18404" i="1"/>
  <c r="C18404" i="1"/>
  <c r="B18404" i="1"/>
  <c r="A18404" i="1"/>
  <c r="F18403" i="1"/>
  <c r="E18403" i="1"/>
  <c r="D18403" i="1"/>
  <c r="C18403" i="1"/>
  <c r="B18403" i="1"/>
  <c r="A18403" i="1"/>
  <c r="F18402" i="1"/>
  <c r="E18402" i="1"/>
  <c r="D18402" i="1"/>
  <c r="C18402" i="1"/>
  <c r="B18402" i="1"/>
  <c r="A18402" i="1"/>
  <c r="F18401" i="1"/>
  <c r="E18401" i="1"/>
  <c r="D18401" i="1"/>
  <c r="C18401" i="1"/>
  <c r="B18401" i="1"/>
  <c r="A18401" i="1"/>
  <c r="F18400" i="1"/>
  <c r="E18400" i="1"/>
  <c r="D18400" i="1"/>
  <c r="C18400" i="1"/>
  <c r="B18400" i="1"/>
  <c r="A18400" i="1"/>
  <c r="F18399" i="1"/>
  <c r="E18399" i="1"/>
  <c r="D18399" i="1"/>
  <c r="C18399" i="1"/>
  <c r="B18399" i="1"/>
  <c r="A18399" i="1"/>
  <c r="F18398" i="1"/>
  <c r="E18398" i="1"/>
  <c r="D18398" i="1"/>
  <c r="C18398" i="1"/>
  <c r="B18398" i="1"/>
  <c r="A18398" i="1"/>
  <c r="F18397" i="1"/>
  <c r="E18397" i="1"/>
  <c r="D18397" i="1"/>
  <c r="C18397" i="1"/>
  <c r="B18397" i="1"/>
  <c r="A18397" i="1"/>
  <c r="F18396" i="1"/>
  <c r="E18396" i="1"/>
  <c r="D18396" i="1"/>
  <c r="C18396" i="1"/>
  <c r="B18396" i="1"/>
  <c r="A18396" i="1"/>
  <c r="F18395" i="1"/>
  <c r="E18395" i="1"/>
  <c r="D18395" i="1"/>
  <c r="C18395" i="1"/>
  <c r="B18395" i="1"/>
  <c r="A18395" i="1"/>
  <c r="F18394" i="1"/>
  <c r="E18394" i="1"/>
  <c r="D18394" i="1"/>
  <c r="C18394" i="1"/>
  <c r="B18394" i="1"/>
  <c r="A18394" i="1"/>
  <c r="F18393" i="1"/>
  <c r="E18393" i="1"/>
  <c r="D18393" i="1"/>
  <c r="C18393" i="1"/>
  <c r="B18393" i="1"/>
  <c r="A18393" i="1"/>
  <c r="F18392" i="1"/>
  <c r="E18392" i="1"/>
  <c r="D18392" i="1"/>
  <c r="C18392" i="1"/>
  <c r="B18392" i="1"/>
  <c r="A18392" i="1"/>
  <c r="F18391" i="1"/>
  <c r="E18391" i="1"/>
  <c r="D18391" i="1"/>
  <c r="C18391" i="1"/>
  <c r="B18391" i="1"/>
  <c r="A18391" i="1"/>
  <c r="F18390" i="1"/>
  <c r="E18390" i="1"/>
  <c r="D18390" i="1"/>
  <c r="C18390" i="1"/>
  <c r="B18390" i="1"/>
  <c r="A18390" i="1"/>
  <c r="F18389" i="1"/>
  <c r="E18389" i="1"/>
  <c r="D18389" i="1"/>
  <c r="C18389" i="1"/>
  <c r="B18389" i="1"/>
  <c r="A18389" i="1"/>
  <c r="F18388" i="1"/>
  <c r="E18388" i="1"/>
  <c r="D18388" i="1"/>
  <c r="C18388" i="1"/>
  <c r="B18388" i="1"/>
  <c r="A18388" i="1"/>
  <c r="F18387" i="1"/>
  <c r="E18387" i="1"/>
  <c r="D18387" i="1"/>
  <c r="C18387" i="1"/>
  <c r="B18387" i="1"/>
  <c r="A18387" i="1"/>
  <c r="F18386" i="1"/>
  <c r="E18386" i="1"/>
  <c r="D18386" i="1"/>
  <c r="C18386" i="1"/>
  <c r="B18386" i="1"/>
  <c r="A18386" i="1"/>
  <c r="F18385" i="1"/>
  <c r="E18385" i="1"/>
  <c r="D18385" i="1"/>
  <c r="C18385" i="1"/>
  <c r="B18385" i="1"/>
  <c r="A18385" i="1"/>
  <c r="F18384" i="1"/>
  <c r="E18384" i="1"/>
  <c r="D18384" i="1"/>
  <c r="C18384" i="1"/>
  <c r="B18384" i="1"/>
  <c r="A18384" i="1"/>
  <c r="F18383" i="1"/>
  <c r="E18383" i="1"/>
  <c r="D18383" i="1"/>
  <c r="C18383" i="1"/>
  <c r="B18383" i="1"/>
  <c r="A18383" i="1"/>
  <c r="F18382" i="1"/>
  <c r="E18382" i="1"/>
  <c r="D18382" i="1"/>
  <c r="C18382" i="1"/>
  <c r="B18382" i="1"/>
  <c r="A18382" i="1"/>
  <c r="F18381" i="1"/>
  <c r="E18381" i="1"/>
  <c r="D18381" i="1"/>
  <c r="C18381" i="1"/>
  <c r="B18381" i="1"/>
  <c r="A18381" i="1"/>
  <c r="F18380" i="1"/>
  <c r="E18380" i="1"/>
  <c r="D18380" i="1"/>
  <c r="C18380" i="1"/>
  <c r="B18380" i="1"/>
  <c r="A18380" i="1"/>
  <c r="F18379" i="1"/>
  <c r="E18379" i="1"/>
  <c r="D18379" i="1"/>
  <c r="C18379" i="1"/>
  <c r="B18379" i="1"/>
  <c r="A18379" i="1"/>
  <c r="F18378" i="1"/>
  <c r="E18378" i="1"/>
  <c r="D18378" i="1"/>
  <c r="C18378" i="1"/>
  <c r="B18378" i="1"/>
  <c r="A18378" i="1"/>
  <c r="F18377" i="1"/>
  <c r="E18377" i="1"/>
  <c r="D18377" i="1"/>
  <c r="C18377" i="1"/>
  <c r="B18377" i="1"/>
  <c r="A18377" i="1"/>
  <c r="F18376" i="1"/>
  <c r="E18376" i="1"/>
  <c r="D18376" i="1"/>
  <c r="C18376" i="1"/>
  <c r="B18376" i="1"/>
  <c r="A18376" i="1"/>
  <c r="F18375" i="1"/>
  <c r="E18375" i="1"/>
  <c r="D18375" i="1"/>
  <c r="C18375" i="1"/>
  <c r="B18375" i="1"/>
  <c r="A18375" i="1"/>
  <c r="F18374" i="1"/>
  <c r="E18374" i="1"/>
  <c r="D18374" i="1"/>
  <c r="C18374" i="1"/>
  <c r="B18374" i="1"/>
  <c r="A18374" i="1"/>
  <c r="F18373" i="1"/>
  <c r="E18373" i="1"/>
  <c r="D18373" i="1"/>
  <c r="C18373" i="1"/>
  <c r="B18373" i="1"/>
  <c r="A18373" i="1"/>
  <c r="F18372" i="1"/>
  <c r="E18372" i="1"/>
  <c r="D18372" i="1"/>
  <c r="C18372" i="1"/>
  <c r="B18372" i="1"/>
  <c r="A18372" i="1"/>
  <c r="F18371" i="1"/>
  <c r="E18371" i="1"/>
  <c r="D18371" i="1"/>
  <c r="C18371" i="1"/>
  <c r="B18371" i="1"/>
  <c r="A18371" i="1"/>
  <c r="F18370" i="1"/>
  <c r="E18370" i="1"/>
  <c r="D18370" i="1"/>
  <c r="C18370" i="1"/>
  <c r="B18370" i="1"/>
  <c r="A18370" i="1"/>
  <c r="F18369" i="1"/>
  <c r="E18369" i="1"/>
  <c r="D18369" i="1"/>
  <c r="C18369" i="1"/>
  <c r="B18369" i="1"/>
  <c r="A18369" i="1"/>
  <c r="F18368" i="1"/>
  <c r="E18368" i="1"/>
  <c r="D18368" i="1"/>
  <c r="C18368" i="1"/>
  <c r="B18368" i="1"/>
  <c r="A18368" i="1"/>
  <c r="F18367" i="1"/>
  <c r="E18367" i="1"/>
  <c r="D18367" i="1"/>
  <c r="C18367" i="1"/>
  <c r="B18367" i="1"/>
  <c r="A18367" i="1"/>
  <c r="F18366" i="1"/>
  <c r="E18366" i="1"/>
  <c r="D18366" i="1"/>
  <c r="C18366" i="1"/>
  <c r="B18366" i="1"/>
  <c r="A18366" i="1"/>
  <c r="F18365" i="1"/>
  <c r="E18365" i="1"/>
  <c r="D18365" i="1"/>
  <c r="C18365" i="1"/>
  <c r="B18365" i="1"/>
  <c r="A18365" i="1"/>
  <c r="F18364" i="1"/>
  <c r="E18364" i="1"/>
  <c r="D18364" i="1"/>
  <c r="C18364" i="1"/>
  <c r="B18364" i="1"/>
  <c r="A18364" i="1"/>
  <c r="F18363" i="1"/>
  <c r="E18363" i="1"/>
  <c r="D18363" i="1"/>
  <c r="C18363" i="1"/>
  <c r="B18363" i="1"/>
  <c r="A18363" i="1"/>
  <c r="F18362" i="1"/>
  <c r="E18362" i="1"/>
  <c r="D18362" i="1"/>
  <c r="C18362" i="1"/>
  <c r="B18362" i="1"/>
  <c r="A18362" i="1"/>
  <c r="F18361" i="1"/>
  <c r="E18361" i="1"/>
  <c r="D18361" i="1"/>
  <c r="C18361" i="1"/>
  <c r="B18361" i="1"/>
  <c r="A18361" i="1"/>
  <c r="F18360" i="1"/>
  <c r="E18360" i="1"/>
  <c r="D18360" i="1"/>
  <c r="C18360" i="1"/>
  <c r="B18360" i="1"/>
  <c r="A18360" i="1"/>
  <c r="F18359" i="1"/>
  <c r="E18359" i="1"/>
  <c r="D18359" i="1"/>
  <c r="C18359" i="1"/>
  <c r="B18359" i="1"/>
  <c r="A18359" i="1"/>
  <c r="F18358" i="1"/>
  <c r="E18358" i="1"/>
  <c r="D18358" i="1"/>
  <c r="C18358" i="1"/>
  <c r="B18358" i="1"/>
  <c r="A18358" i="1"/>
  <c r="F18357" i="1"/>
  <c r="E18357" i="1"/>
  <c r="D18357" i="1"/>
  <c r="C18357" i="1"/>
  <c r="B18357" i="1"/>
  <c r="A18357" i="1"/>
  <c r="F18356" i="1"/>
  <c r="E18356" i="1"/>
  <c r="D18356" i="1"/>
  <c r="C18356" i="1"/>
  <c r="B18356" i="1"/>
  <c r="A18356" i="1"/>
  <c r="F18355" i="1"/>
  <c r="E18355" i="1"/>
  <c r="D18355" i="1"/>
  <c r="C18355" i="1"/>
  <c r="B18355" i="1"/>
  <c r="A18355" i="1"/>
  <c r="F18354" i="1"/>
  <c r="E18354" i="1"/>
  <c r="D18354" i="1"/>
  <c r="C18354" i="1"/>
  <c r="B18354" i="1"/>
  <c r="A18354" i="1"/>
  <c r="F18353" i="1"/>
  <c r="E18353" i="1"/>
  <c r="D18353" i="1"/>
  <c r="C18353" i="1"/>
  <c r="B18353" i="1"/>
  <c r="A18353" i="1"/>
  <c r="F18352" i="1"/>
  <c r="E18352" i="1"/>
  <c r="D18352" i="1"/>
  <c r="C18352" i="1"/>
  <c r="B18352" i="1"/>
  <c r="A18352" i="1"/>
  <c r="F18351" i="1"/>
  <c r="E18351" i="1"/>
  <c r="D18351" i="1"/>
  <c r="C18351" i="1"/>
  <c r="B18351" i="1"/>
  <c r="A18351" i="1"/>
  <c r="F18350" i="1"/>
  <c r="E18350" i="1"/>
  <c r="D18350" i="1"/>
  <c r="C18350" i="1"/>
  <c r="B18350" i="1"/>
  <c r="A18350" i="1"/>
  <c r="F18349" i="1"/>
  <c r="E18349" i="1"/>
  <c r="D18349" i="1"/>
  <c r="C18349" i="1"/>
  <c r="B18349" i="1"/>
  <c r="A18349" i="1"/>
  <c r="F18348" i="1"/>
  <c r="E18348" i="1"/>
  <c r="D18348" i="1"/>
  <c r="C18348" i="1"/>
  <c r="B18348" i="1"/>
  <c r="A18348" i="1"/>
  <c r="F18347" i="1"/>
  <c r="E18347" i="1"/>
  <c r="D18347" i="1"/>
  <c r="C18347" i="1"/>
  <c r="B18347" i="1"/>
  <c r="A18347" i="1"/>
  <c r="F18346" i="1"/>
  <c r="E18346" i="1"/>
  <c r="D18346" i="1"/>
  <c r="C18346" i="1"/>
  <c r="B18346" i="1"/>
  <c r="A18346" i="1"/>
  <c r="F18345" i="1"/>
  <c r="E18345" i="1"/>
  <c r="D18345" i="1"/>
  <c r="C18345" i="1"/>
  <c r="B18345" i="1"/>
  <c r="A18345" i="1"/>
  <c r="F18344" i="1"/>
  <c r="E18344" i="1"/>
  <c r="D18344" i="1"/>
  <c r="C18344" i="1"/>
  <c r="B18344" i="1"/>
  <c r="A18344" i="1"/>
  <c r="F18343" i="1"/>
  <c r="E18343" i="1"/>
  <c r="D18343" i="1"/>
  <c r="C18343" i="1"/>
  <c r="B18343" i="1"/>
  <c r="A18343" i="1"/>
  <c r="F18342" i="1"/>
  <c r="E18342" i="1"/>
  <c r="D18342" i="1"/>
  <c r="C18342" i="1"/>
  <c r="B18342" i="1"/>
  <c r="A18342" i="1"/>
  <c r="F18341" i="1"/>
  <c r="E18341" i="1"/>
  <c r="D18341" i="1"/>
  <c r="C18341" i="1"/>
  <c r="B18341" i="1"/>
  <c r="A18341" i="1"/>
  <c r="F18340" i="1"/>
  <c r="E18340" i="1"/>
  <c r="D18340" i="1"/>
  <c r="C18340" i="1"/>
  <c r="B18340" i="1"/>
  <c r="A18340" i="1"/>
  <c r="F18339" i="1"/>
  <c r="E18339" i="1"/>
  <c r="D18339" i="1"/>
  <c r="C18339" i="1"/>
  <c r="B18339" i="1"/>
  <c r="A18339" i="1"/>
  <c r="F18338" i="1"/>
  <c r="E18338" i="1"/>
  <c r="D18338" i="1"/>
  <c r="C18338" i="1"/>
  <c r="B18338" i="1"/>
  <c r="A18338" i="1"/>
  <c r="F18337" i="1"/>
  <c r="E18337" i="1"/>
  <c r="D18337" i="1"/>
  <c r="C18337" i="1"/>
  <c r="B18337" i="1"/>
  <c r="A18337" i="1"/>
  <c r="F18336" i="1"/>
  <c r="E18336" i="1"/>
  <c r="D18336" i="1"/>
  <c r="C18336" i="1"/>
  <c r="B18336" i="1"/>
  <c r="A18336" i="1"/>
  <c r="F18335" i="1"/>
  <c r="E18335" i="1"/>
  <c r="D18335" i="1"/>
  <c r="C18335" i="1"/>
  <c r="B18335" i="1"/>
  <c r="A18335" i="1"/>
  <c r="F18334" i="1"/>
  <c r="E18334" i="1"/>
  <c r="D18334" i="1"/>
  <c r="C18334" i="1"/>
  <c r="B18334" i="1"/>
  <c r="A18334" i="1"/>
  <c r="F18333" i="1"/>
  <c r="E18333" i="1"/>
  <c r="D18333" i="1"/>
  <c r="C18333" i="1"/>
  <c r="B18333" i="1"/>
  <c r="A18333" i="1"/>
  <c r="F18332" i="1"/>
  <c r="E18332" i="1"/>
  <c r="D18332" i="1"/>
  <c r="C18332" i="1"/>
  <c r="B18332" i="1"/>
  <c r="A18332" i="1"/>
  <c r="F18331" i="1"/>
  <c r="E18331" i="1"/>
  <c r="D18331" i="1"/>
  <c r="C18331" i="1"/>
  <c r="B18331" i="1"/>
  <c r="A18331" i="1"/>
  <c r="F18330" i="1"/>
  <c r="E18330" i="1"/>
  <c r="D18330" i="1"/>
  <c r="C18330" i="1"/>
  <c r="B18330" i="1"/>
  <c r="A18330" i="1"/>
  <c r="F18329" i="1"/>
  <c r="E18329" i="1"/>
  <c r="D18329" i="1"/>
  <c r="C18329" i="1"/>
  <c r="B18329" i="1"/>
  <c r="A18329" i="1"/>
  <c r="F18328" i="1"/>
  <c r="E18328" i="1"/>
  <c r="D18328" i="1"/>
  <c r="C18328" i="1"/>
  <c r="B18328" i="1"/>
  <c r="A18328" i="1"/>
  <c r="F18327" i="1"/>
  <c r="E18327" i="1"/>
  <c r="D18327" i="1"/>
  <c r="C18327" i="1"/>
  <c r="B18327" i="1"/>
  <c r="A18327" i="1"/>
  <c r="F18326" i="1"/>
  <c r="E18326" i="1"/>
  <c r="D18326" i="1"/>
  <c r="C18326" i="1"/>
  <c r="B18326" i="1"/>
  <c r="A18326" i="1"/>
  <c r="F18325" i="1"/>
  <c r="E18325" i="1"/>
  <c r="D18325" i="1"/>
  <c r="C18325" i="1"/>
  <c r="B18325" i="1"/>
  <c r="A18325" i="1"/>
  <c r="F18324" i="1"/>
  <c r="E18324" i="1"/>
  <c r="D18324" i="1"/>
  <c r="C18324" i="1"/>
  <c r="B18324" i="1"/>
  <c r="A18324" i="1"/>
  <c r="F18323" i="1"/>
  <c r="E18323" i="1"/>
  <c r="D18323" i="1"/>
  <c r="C18323" i="1"/>
  <c r="B18323" i="1"/>
  <c r="A18323" i="1"/>
  <c r="F18322" i="1"/>
  <c r="E18322" i="1"/>
  <c r="D18322" i="1"/>
  <c r="C18322" i="1"/>
  <c r="B18322" i="1"/>
  <c r="A18322" i="1"/>
  <c r="F18321" i="1"/>
  <c r="E18321" i="1"/>
  <c r="D18321" i="1"/>
  <c r="C18321" i="1"/>
  <c r="B18321" i="1"/>
  <c r="A18321" i="1"/>
  <c r="F18320" i="1"/>
  <c r="E18320" i="1"/>
  <c r="D18320" i="1"/>
  <c r="C18320" i="1"/>
  <c r="B18320" i="1"/>
  <c r="A18320" i="1"/>
  <c r="F18319" i="1"/>
  <c r="E18319" i="1"/>
  <c r="D18319" i="1"/>
  <c r="C18319" i="1"/>
  <c r="B18319" i="1"/>
  <c r="A18319" i="1"/>
  <c r="F18318" i="1"/>
  <c r="E18318" i="1"/>
  <c r="D18318" i="1"/>
  <c r="C18318" i="1"/>
  <c r="B18318" i="1"/>
  <c r="A18318" i="1"/>
  <c r="F18317" i="1"/>
  <c r="E18317" i="1"/>
  <c r="D18317" i="1"/>
  <c r="C18317" i="1"/>
  <c r="B18317" i="1"/>
  <c r="A18317" i="1"/>
  <c r="F18316" i="1"/>
  <c r="E18316" i="1"/>
  <c r="D18316" i="1"/>
  <c r="C18316" i="1"/>
  <c r="B18316" i="1"/>
  <c r="A18316" i="1"/>
  <c r="F18315" i="1"/>
  <c r="E18315" i="1"/>
  <c r="D18315" i="1"/>
  <c r="C18315" i="1"/>
  <c r="B18315" i="1"/>
  <c r="A18315" i="1"/>
  <c r="F18314" i="1"/>
  <c r="E18314" i="1"/>
  <c r="D18314" i="1"/>
  <c r="C18314" i="1"/>
  <c r="B18314" i="1"/>
  <c r="A18314" i="1"/>
  <c r="F18313" i="1"/>
  <c r="E18313" i="1"/>
  <c r="D18313" i="1"/>
  <c r="C18313" i="1"/>
  <c r="B18313" i="1"/>
  <c r="A18313" i="1"/>
  <c r="F18312" i="1"/>
  <c r="E18312" i="1"/>
  <c r="D18312" i="1"/>
  <c r="C18312" i="1"/>
  <c r="B18312" i="1"/>
  <c r="A18312" i="1"/>
  <c r="F18311" i="1"/>
  <c r="E18311" i="1"/>
  <c r="D18311" i="1"/>
  <c r="C18311" i="1"/>
  <c r="B18311" i="1"/>
  <c r="A18311" i="1"/>
  <c r="F18310" i="1"/>
  <c r="E18310" i="1"/>
  <c r="D18310" i="1"/>
  <c r="C18310" i="1"/>
  <c r="B18310" i="1"/>
  <c r="A18310" i="1"/>
  <c r="F18309" i="1"/>
  <c r="E18309" i="1"/>
  <c r="D18309" i="1"/>
  <c r="C18309" i="1"/>
  <c r="B18309" i="1"/>
  <c r="A18309" i="1"/>
  <c r="F18308" i="1"/>
  <c r="E18308" i="1"/>
  <c r="D18308" i="1"/>
  <c r="C18308" i="1"/>
  <c r="B18308" i="1"/>
  <c r="A18308" i="1"/>
  <c r="F18307" i="1"/>
  <c r="E18307" i="1"/>
  <c r="D18307" i="1"/>
  <c r="C18307" i="1"/>
  <c r="B18307" i="1"/>
  <c r="A18307" i="1"/>
  <c r="F18306" i="1"/>
  <c r="E18306" i="1"/>
  <c r="D18306" i="1"/>
  <c r="C18306" i="1"/>
  <c r="B18306" i="1"/>
  <c r="A18306" i="1"/>
  <c r="F18305" i="1"/>
  <c r="E18305" i="1"/>
  <c r="D18305" i="1"/>
  <c r="C18305" i="1"/>
  <c r="B18305" i="1"/>
  <c r="A18305" i="1"/>
  <c r="F18304" i="1"/>
  <c r="E18304" i="1"/>
  <c r="D18304" i="1"/>
  <c r="C18304" i="1"/>
  <c r="B18304" i="1"/>
  <c r="A18304" i="1"/>
  <c r="F18303" i="1"/>
  <c r="E18303" i="1"/>
  <c r="D18303" i="1"/>
  <c r="C18303" i="1"/>
  <c r="B18303" i="1"/>
  <c r="A18303" i="1"/>
  <c r="F18302" i="1"/>
  <c r="E18302" i="1"/>
  <c r="D18302" i="1"/>
  <c r="C18302" i="1"/>
  <c r="B18302" i="1"/>
  <c r="A18302" i="1"/>
  <c r="F18301" i="1"/>
  <c r="E18301" i="1"/>
  <c r="D18301" i="1"/>
  <c r="C18301" i="1"/>
  <c r="B18301" i="1"/>
  <c r="A18301" i="1"/>
  <c r="F18300" i="1"/>
  <c r="E18300" i="1"/>
  <c r="D18300" i="1"/>
  <c r="C18300" i="1"/>
  <c r="B18300" i="1"/>
  <c r="A18300" i="1"/>
  <c r="F18299" i="1"/>
  <c r="E18299" i="1"/>
  <c r="D18299" i="1"/>
  <c r="C18299" i="1"/>
  <c r="B18299" i="1"/>
  <c r="A18299" i="1"/>
  <c r="F18298" i="1"/>
  <c r="E18298" i="1"/>
  <c r="D18298" i="1"/>
  <c r="C18298" i="1"/>
  <c r="B18298" i="1"/>
  <c r="A18298" i="1"/>
  <c r="F18297" i="1"/>
  <c r="E18297" i="1"/>
  <c r="D18297" i="1"/>
  <c r="C18297" i="1"/>
  <c r="B18297" i="1"/>
  <c r="A18297" i="1"/>
  <c r="F18296" i="1"/>
  <c r="E18296" i="1"/>
  <c r="D18296" i="1"/>
  <c r="C18296" i="1"/>
  <c r="B18296" i="1"/>
  <c r="A18296" i="1"/>
  <c r="F18295" i="1"/>
  <c r="E18295" i="1"/>
  <c r="D18295" i="1"/>
  <c r="C18295" i="1"/>
  <c r="B18295" i="1"/>
  <c r="A18295" i="1"/>
  <c r="F18294" i="1"/>
  <c r="E18294" i="1"/>
  <c r="D18294" i="1"/>
  <c r="C18294" i="1"/>
  <c r="B18294" i="1"/>
  <c r="A18294" i="1"/>
  <c r="F18293" i="1"/>
  <c r="E18293" i="1"/>
  <c r="D18293" i="1"/>
  <c r="C18293" i="1"/>
  <c r="B18293" i="1"/>
  <c r="A18293" i="1"/>
  <c r="F18292" i="1"/>
  <c r="E18292" i="1"/>
  <c r="D18292" i="1"/>
  <c r="C18292" i="1"/>
  <c r="B18292" i="1"/>
  <c r="A18292" i="1"/>
  <c r="F18291" i="1"/>
  <c r="E18291" i="1"/>
  <c r="D18291" i="1"/>
  <c r="C18291" i="1"/>
  <c r="B18291" i="1"/>
  <c r="A18291" i="1"/>
  <c r="F18290" i="1"/>
  <c r="E18290" i="1"/>
  <c r="D18290" i="1"/>
  <c r="C18290" i="1"/>
  <c r="B18290" i="1"/>
  <c r="A18290" i="1"/>
  <c r="F18289" i="1"/>
  <c r="E18289" i="1"/>
  <c r="D18289" i="1"/>
  <c r="C18289" i="1"/>
  <c r="B18289" i="1"/>
  <c r="A18289" i="1"/>
  <c r="F18288" i="1"/>
  <c r="E18288" i="1"/>
  <c r="D18288" i="1"/>
  <c r="C18288" i="1"/>
  <c r="B18288" i="1"/>
  <c r="A18288" i="1"/>
  <c r="F18287" i="1"/>
  <c r="E18287" i="1"/>
  <c r="D18287" i="1"/>
  <c r="C18287" i="1"/>
  <c r="B18287" i="1"/>
  <c r="A18287" i="1"/>
  <c r="F18286" i="1"/>
  <c r="E18286" i="1"/>
  <c r="D18286" i="1"/>
  <c r="C18286" i="1"/>
  <c r="B18286" i="1"/>
  <c r="A18286" i="1"/>
  <c r="F18285" i="1"/>
  <c r="E18285" i="1"/>
  <c r="D18285" i="1"/>
  <c r="C18285" i="1"/>
  <c r="B18285" i="1"/>
  <c r="A18285" i="1"/>
  <c r="F18284" i="1"/>
  <c r="E18284" i="1"/>
  <c r="D18284" i="1"/>
  <c r="C18284" i="1"/>
  <c r="B18284" i="1"/>
  <c r="A18284" i="1"/>
  <c r="F18283" i="1"/>
  <c r="E18283" i="1"/>
  <c r="D18283" i="1"/>
  <c r="C18283" i="1"/>
  <c r="B18283" i="1"/>
  <c r="A18283" i="1"/>
  <c r="F18282" i="1"/>
  <c r="E18282" i="1"/>
  <c r="D18282" i="1"/>
  <c r="C18282" i="1"/>
  <c r="B18282" i="1"/>
  <c r="A18282" i="1"/>
  <c r="F18281" i="1"/>
  <c r="E18281" i="1"/>
  <c r="D18281" i="1"/>
  <c r="C18281" i="1"/>
  <c r="B18281" i="1"/>
  <c r="A18281" i="1"/>
  <c r="F18280" i="1"/>
  <c r="E18280" i="1"/>
  <c r="D18280" i="1"/>
  <c r="C18280" i="1"/>
  <c r="B18280" i="1"/>
  <c r="A18280" i="1"/>
  <c r="F18279" i="1"/>
  <c r="E18279" i="1"/>
  <c r="D18279" i="1"/>
  <c r="C18279" i="1"/>
  <c r="B18279" i="1"/>
  <c r="A18279" i="1"/>
  <c r="F18278" i="1"/>
  <c r="E18278" i="1"/>
  <c r="D18278" i="1"/>
  <c r="C18278" i="1"/>
  <c r="B18278" i="1"/>
  <c r="A18278" i="1"/>
  <c r="F18277" i="1"/>
  <c r="E18277" i="1"/>
  <c r="D18277" i="1"/>
  <c r="C18277" i="1"/>
  <c r="B18277" i="1"/>
  <c r="A18277" i="1"/>
  <c r="F18276" i="1"/>
  <c r="E18276" i="1"/>
  <c r="D18276" i="1"/>
  <c r="C18276" i="1"/>
  <c r="B18276" i="1"/>
  <c r="A18276" i="1"/>
  <c r="F18275" i="1"/>
  <c r="E18275" i="1"/>
  <c r="D18275" i="1"/>
  <c r="C18275" i="1"/>
  <c r="B18275" i="1"/>
  <c r="A18275" i="1"/>
  <c r="F18274" i="1"/>
  <c r="E18274" i="1"/>
  <c r="D18274" i="1"/>
  <c r="C18274" i="1"/>
  <c r="B18274" i="1"/>
  <c r="A18274" i="1"/>
  <c r="F18273" i="1"/>
  <c r="E18273" i="1"/>
  <c r="D18273" i="1"/>
  <c r="C18273" i="1"/>
  <c r="B18273" i="1"/>
  <c r="A18273" i="1"/>
  <c r="F18272" i="1"/>
  <c r="E18272" i="1"/>
  <c r="D18272" i="1"/>
  <c r="C18272" i="1"/>
  <c r="B18272" i="1"/>
  <c r="A18272" i="1"/>
  <c r="F18271" i="1"/>
  <c r="E18271" i="1"/>
  <c r="D18271" i="1"/>
  <c r="C18271" i="1"/>
  <c r="B18271" i="1"/>
  <c r="A18271" i="1"/>
  <c r="F18270" i="1"/>
  <c r="E18270" i="1"/>
  <c r="D18270" i="1"/>
  <c r="C18270" i="1"/>
  <c r="B18270" i="1"/>
  <c r="A18270" i="1"/>
  <c r="F18269" i="1"/>
  <c r="E18269" i="1"/>
  <c r="D18269" i="1"/>
  <c r="C18269" i="1"/>
  <c r="B18269" i="1"/>
  <c r="A18269" i="1"/>
  <c r="F18268" i="1"/>
  <c r="E18268" i="1"/>
  <c r="D18268" i="1"/>
  <c r="C18268" i="1"/>
  <c r="B18268" i="1"/>
  <c r="A18268" i="1"/>
  <c r="F18267" i="1"/>
  <c r="E18267" i="1"/>
  <c r="D18267" i="1"/>
  <c r="C18267" i="1"/>
  <c r="B18267" i="1"/>
  <c r="A18267" i="1"/>
  <c r="F18266" i="1"/>
  <c r="E18266" i="1"/>
  <c r="D18266" i="1"/>
  <c r="C18266" i="1"/>
  <c r="B18266" i="1"/>
  <c r="A18266" i="1"/>
  <c r="F18265" i="1"/>
  <c r="E18265" i="1"/>
  <c r="D18265" i="1"/>
  <c r="C18265" i="1"/>
  <c r="B18265" i="1"/>
  <c r="A18265" i="1"/>
  <c r="F18264" i="1"/>
  <c r="E18264" i="1"/>
  <c r="D18264" i="1"/>
  <c r="C18264" i="1"/>
  <c r="B18264" i="1"/>
  <c r="A18264" i="1"/>
  <c r="F18263" i="1"/>
  <c r="E18263" i="1"/>
  <c r="D18263" i="1"/>
  <c r="C18263" i="1"/>
  <c r="B18263" i="1"/>
  <c r="A18263" i="1"/>
  <c r="F18262" i="1"/>
  <c r="E18262" i="1"/>
  <c r="D18262" i="1"/>
  <c r="C18262" i="1"/>
  <c r="B18262" i="1"/>
  <c r="A18262" i="1"/>
  <c r="F18261" i="1"/>
  <c r="E18261" i="1"/>
  <c r="D18261" i="1"/>
  <c r="C18261" i="1"/>
  <c r="B18261" i="1"/>
  <c r="A18261" i="1"/>
  <c r="F18260" i="1"/>
  <c r="E18260" i="1"/>
  <c r="D18260" i="1"/>
  <c r="C18260" i="1"/>
  <c r="B18260" i="1"/>
  <c r="A18260" i="1"/>
  <c r="F18259" i="1"/>
  <c r="E18259" i="1"/>
  <c r="D18259" i="1"/>
  <c r="C18259" i="1"/>
  <c r="B18259" i="1"/>
  <c r="A18259" i="1"/>
  <c r="F18258" i="1"/>
  <c r="E18258" i="1"/>
  <c r="D18258" i="1"/>
  <c r="C18258" i="1"/>
  <c r="B18258" i="1"/>
  <c r="A18258" i="1"/>
  <c r="F18257" i="1"/>
  <c r="E18257" i="1"/>
  <c r="D18257" i="1"/>
  <c r="C18257" i="1"/>
  <c r="B18257" i="1"/>
  <c r="A18257" i="1"/>
  <c r="F18256" i="1"/>
  <c r="E18256" i="1"/>
  <c r="D18256" i="1"/>
  <c r="C18256" i="1"/>
  <c r="B18256" i="1"/>
  <c r="A18256" i="1"/>
  <c r="F18255" i="1"/>
  <c r="E18255" i="1"/>
  <c r="D18255" i="1"/>
  <c r="C18255" i="1"/>
  <c r="B18255" i="1"/>
  <c r="A18255" i="1"/>
  <c r="F18254" i="1"/>
  <c r="E18254" i="1"/>
  <c r="D18254" i="1"/>
  <c r="C18254" i="1"/>
  <c r="B18254" i="1"/>
  <c r="A18254" i="1"/>
  <c r="F18253" i="1"/>
  <c r="E18253" i="1"/>
  <c r="D18253" i="1"/>
  <c r="C18253" i="1"/>
  <c r="B18253" i="1"/>
  <c r="A18253" i="1"/>
  <c r="F18252" i="1"/>
  <c r="E18252" i="1"/>
  <c r="D18252" i="1"/>
  <c r="C18252" i="1"/>
  <c r="B18252" i="1"/>
  <c r="A18252" i="1"/>
  <c r="F18251" i="1"/>
  <c r="E18251" i="1"/>
  <c r="D18251" i="1"/>
  <c r="C18251" i="1"/>
  <c r="B18251" i="1"/>
  <c r="A18251" i="1"/>
  <c r="F18250" i="1"/>
  <c r="E18250" i="1"/>
  <c r="D18250" i="1"/>
  <c r="C18250" i="1"/>
  <c r="B18250" i="1"/>
  <c r="A18250" i="1"/>
  <c r="F18249" i="1"/>
  <c r="E18249" i="1"/>
  <c r="D18249" i="1"/>
  <c r="C18249" i="1"/>
  <c r="B18249" i="1"/>
  <c r="A18249" i="1"/>
  <c r="F18248" i="1"/>
  <c r="E18248" i="1"/>
  <c r="D18248" i="1"/>
  <c r="C18248" i="1"/>
  <c r="B18248" i="1"/>
  <c r="A18248" i="1"/>
  <c r="F18247" i="1"/>
  <c r="E18247" i="1"/>
  <c r="D18247" i="1"/>
  <c r="C18247" i="1"/>
  <c r="B18247" i="1"/>
  <c r="A18247" i="1"/>
  <c r="F18246" i="1"/>
  <c r="E18246" i="1"/>
  <c r="D18246" i="1"/>
  <c r="C18246" i="1"/>
  <c r="B18246" i="1"/>
  <c r="A18246" i="1"/>
  <c r="F18245" i="1"/>
  <c r="E18245" i="1"/>
  <c r="D18245" i="1"/>
  <c r="C18245" i="1"/>
  <c r="B18245" i="1"/>
  <c r="A18245" i="1"/>
  <c r="F18244" i="1"/>
  <c r="E18244" i="1"/>
  <c r="D18244" i="1"/>
  <c r="C18244" i="1"/>
  <c r="B18244" i="1"/>
  <c r="A18244" i="1"/>
  <c r="F18243" i="1"/>
  <c r="E18243" i="1"/>
  <c r="D18243" i="1"/>
  <c r="C18243" i="1"/>
  <c r="B18243" i="1"/>
  <c r="A18243" i="1"/>
  <c r="F18242" i="1"/>
  <c r="E18242" i="1"/>
  <c r="D18242" i="1"/>
  <c r="C18242" i="1"/>
  <c r="B18242" i="1"/>
  <c r="A18242" i="1"/>
  <c r="F18241" i="1"/>
  <c r="E18241" i="1"/>
  <c r="D18241" i="1"/>
  <c r="C18241" i="1"/>
  <c r="B18241" i="1"/>
  <c r="A18241" i="1"/>
  <c r="F18240" i="1"/>
  <c r="E18240" i="1"/>
  <c r="D18240" i="1"/>
  <c r="C18240" i="1"/>
  <c r="B18240" i="1"/>
  <c r="A18240" i="1"/>
  <c r="F18239" i="1"/>
  <c r="E18239" i="1"/>
  <c r="D18239" i="1"/>
  <c r="C18239" i="1"/>
  <c r="B18239" i="1"/>
  <c r="A18239" i="1"/>
  <c r="F18238" i="1"/>
  <c r="E18238" i="1"/>
  <c r="D18238" i="1"/>
  <c r="C18238" i="1"/>
  <c r="B18238" i="1"/>
  <c r="A18238" i="1"/>
  <c r="F18237" i="1"/>
  <c r="E18237" i="1"/>
  <c r="D18237" i="1"/>
  <c r="C18237" i="1"/>
  <c r="B18237" i="1"/>
  <c r="A18237" i="1"/>
  <c r="F18236" i="1"/>
  <c r="E18236" i="1"/>
  <c r="D18236" i="1"/>
  <c r="C18236" i="1"/>
  <c r="B18236" i="1"/>
  <c r="A18236" i="1"/>
  <c r="F18235" i="1"/>
  <c r="E18235" i="1"/>
  <c r="D18235" i="1"/>
  <c r="C18235" i="1"/>
  <c r="B18235" i="1"/>
  <c r="A18235" i="1"/>
  <c r="F18234" i="1"/>
  <c r="E18234" i="1"/>
  <c r="D18234" i="1"/>
  <c r="C18234" i="1"/>
  <c r="B18234" i="1"/>
  <c r="A18234" i="1"/>
  <c r="F18233" i="1"/>
  <c r="E18233" i="1"/>
  <c r="D18233" i="1"/>
  <c r="C18233" i="1"/>
  <c r="B18233" i="1"/>
  <c r="A18233" i="1"/>
  <c r="F18232" i="1"/>
  <c r="E18232" i="1"/>
  <c r="D18232" i="1"/>
  <c r="C18232" i="1"/>
  <c r="B18232" i="1"/>
  <c r="A18232" i="1"/>
  <c r="F18231" i="1"/>
  <c r="E18231" i="1"/>
  <c r="D18231" i="1"/>
  <c r="C18231" i="1"/>
  <c r="B18231" i="1"/>
  <c r="A18231" i="1"/>
  <c r="F18230" i="1"/>
  <c r="E18230" i="1"/>
  <c r="D18230" i="1"/>
  <c r="C18230" i="1"/>
  <c r="B18230" i="1"/>
  <c r="A18230" i="1"/>
  <c r="F18229" i="1"/>
  <c r="E18229" i="1"/>
  <c r="D18229" i="1"/>
  <c r="C18229" i="1"/>
  <c r="B18229" i="1"/>
  <c r="A18229" i="1"/>
  <c r="F18228" i="1"/>
  <c r="E18228" i="1"/>
  <c r="D18228" i="1"/>
  <c r="C18228" i="1"/>
  <c r="B18228" i="1"/>
  <c r="A18228" i="1"/>
  <c r="F18227" i="1"/>
  <c r="E18227" i="1"/>
  <c r="D18227" i="1"/>
  <c r="C18227" i="1"/>
  <c r="B18227" i="1"/>
  <c r="A18227" i="1"/>
  <c r="F18226" i="1"/>
  <c r="E18226" i="1"/>
  <c r="D18226" i="1"/>
  <c r="C18226" i="1"/>
  <c r="B18226" i="1"/>
  <c r="A18226" i="1"/>
  <c r="F18225" i="1"/>
  <c r="E18225" i="1"/>
  <c r="D18225" i="1"/>
  <c r="C18225" i="1"/>
  <c r="B18225" i="1"/>
  <c r="A18225" i="1"/>
  <c r="F18224" i="1"/>
  <c r="E18224" i="1"/>
  <c r="D18224" i="1"/>
  <c r="C18224" i="1"/>
  <c r="B18224" i="1"/>
  <c r="A18224" i="1"/>
  <c r="F18223" i="1"/>
  <c r="E18223" i="1"/>
  <c r="D18223" i="1"/>
  <c r="C18223" i="1"/>
  <c r="B18223" i="1"/>
  <c r="A18223" i="1"/>
  <c r="F18222" i="1"/>
  <c r="E18222" i="1"/>
  <c r="D18222" i="1"/>
  <c r="C18222" i="1"/>
  <c r="B18222" i="1"/>
  <c r="A18222" i="1"/>
  <c r="F18221" i="1"/>
  <c r="E18221" i="1"/>
  <c r="D18221" i="1"/>
  <c r="C18221" i="1"/>
  <c r="B18221" i="1"/>
  <c r="A18221" i="1"/>
  <c r="F18220" i="1"/>
  <c r="E18220" i="1"/>
  <c r="D18220" i="1"/>
  <c r="C18220" i="1"/>
  <c r="B18220" i="1"/>
  <c r="A18220" i="1"/>
  <c r="F18219" i="1"/>
  <c r="E18219" i="1"/>
  <c r="D18219" i="1"/>
  <c r="C18219" i="1"/>
  <c r="B18219" i="1"/>
  <c r="A18219" i="1"/>
  <c r="F18218" i="1"/>
  <c r="E18218" i="1"/>
  <c r="D18218" i="1"/>
  <c r="C18218" i="1"/>
  <c r="B18218" i="1"/>
  <c r="A18218" i="1"/>
  <c r="F18217" i="1"/>
  <c r="E18217" i="1"/>
  <c r="D18217" i="1"/>
  <c r="C18217" i="1"/>
  <c r="B18217" i="1"/>
  <c r="A18217" i="1"/>
  <c r="F18216" i="1"/>
  <c r="E18216" i="1"/>
  <c r="D18216" i="1"/>
  <c r="C18216" i="1"/>
  <c r="B18216" i="1"/>
  <c r="A18216" i="1"/>
  <c r="F18215" i="1"/>
  <c r="E18215" i="1"/>
  <c r="D18215" i="1"/>
  <c r="C18215" i="1"/>
  <c r="B18215" i="1"/>
  <c r="A18215" i="1"/>
  <c r="F18214" i="1"/>
  <c r="E18214" i="1"/>
  <c r="D18214" i="1"/>
  <c r="C18214" i="1"/>
  <c r="B18214" i="1"/>
  <c r="A18214" i="1"/>
  <c r="F18213" i="1"/>
  <c r="E18213" i="1"/>
  <c r="D18213" i="1"/>
  <c r="C18213" i="1"/>
  <c r="B18213" i="1"/>
  <c r="A18213" i="1"/>
  <c r="F18212" i="1"/>
  <c r="E18212" i="1"/>
  <c r="D18212" i="1"/>
  <c r="C18212" i="1"/>
  <c r="B18212" i="1"/>
  <c r="A18212" i="1"/>
  <c r="F18211" i="1"/>
  <c r="E18211" i="1"/>
  <c r="D18211" i="1"/>
  <c r="C18211" i="1"/>
  <c r="B18211" i="1"/>
  <c r="A18211" i="1"/>
  <c r="F18210" i="1"/>
  <c r="E18210" i="1"/>
  <c r="D18210" i="1"/>
  <c r="C18210" i="1"/>
  <c r="B18210" i="1"/>
  <c r="A18210" i="1"/>
  <c r="F18209" i="1"/>
  <c r="E18209" i="1"/>
  <c r="D18209" i="1"/>
  <c r="C18209" i="1"/>
  <c r="B18209" i="1"/>
  <c r="A18209" i="1"/>
  <c r="F18208" i="1"/>
  <c r="E18208" i="1"/>
  <c r="D18208" i="1"/>
  <c r="C18208" i="1"/>
  <c r="B18208" i="1"/>
  <c r="A18208" i="1"/>
  <c r="F18207" i="1"/>
  <c r="E18207" i="1"/>
  <c r="D18207" i="1"/>
  <c r="C18207" i="1"/>
  <c r="B18207" i="1"/>
  <c r="A18207" i="1"/>
  <c r="F18206" i="1"/>
  <c r="E18206" i="1"/>
  <c r="D18206" i="1"/>
  <c r="C18206" i="1"/>
  <c r="B18206" i="1"/>
  <c r="A18206" i="1"/>
  <c r="F18205" i="1"/>
  <c r="E18205" i="1"/>
  <c r="D18205" i="1"/>
  <c r="C18205" i="1"/>
  <c r="B18205" i="1"/>
  <c r="A18205" i="1"/>
  <c r="F18204" i="1"/>
  <c r="E18204" i="1"/>
  <c r="D18204" i="1"/>
  <c r="C18204" i="1"/>
  <c r="B18204" i="1"/>
  <c r="A18204" i="1"/>
  <c r="F18203" i="1"/>
  <c r="E18203" i="1"/>
  <c r="D18203" i="1"/>
  <c r="C18203" i="1"/>
  <c r="B18203" i="1"/>
  <c r="A18203" i="1"/>
  <c r="F18202" i="1"/>
  <c r="E18202" i="1"/>
  <c r="D18202" i="1"/>
  <c r="C18202" i="1"/>
  <c r="B18202" i="1"/>
  <c r="A18202" i="1"/>
  <c r="F18201" i="1"/>
  <c r="E18201" i="1"/>
  <c r="D18201" i="1"/>
  <c r="C18201" i="1"/>
  <c r="B18201" i="1"/>
  <c r="A18201" i="1"/>
  <c r="F18200" i="1"/>
  <c r="E18200" i="1"/>
  <c r="D18200" i="1"/>
  <c r="C18200" i="1"/>
  <c r="B18200" i="1"/>
  <c r="A18200" i="1"/>
  <c r="F18199" i="1"/>
  <c r="E18199" i="1"/>
  <c r="D18199" i="1"/>
  <c r="C18199" i="1"/>
  <c r="B18199" i="1"/>
  <c r="A18199" i="1"/>
  <c r="F18198" i="1"/>
  <c r="E18198" i="1"/>
  <c r="D18198" i="1"/>
  <c r="C18198" i="1"/>
  <c r="B18198" i="1"/>
  <c r="A18198" i="1"/>
  <c r="F18197" i="1"/>
  <c r="E18197" i="1"/>
  <c r="D18197" i="1"/>
  <c r="C18197" i="1"/>
  <c r="B18197" i="1"/>
  <c r="A18197" i="1"/>
  <c r="F18196" i="1"/>
  <c r="E18196" i="1"/>
  <c r="D18196" i="1"/>
  <c r="C18196" i="1"/>
  <c r="B18196" i="1"/>
  <c r="A18196" i="1"/>
  <c r="F18195" i="1"/>
  <c r="E18195" i="1"/>
  <c r="D18195" i="1"/>
  <c r="C18195" i="1"/>
  <c r="B18195" i="1"/>
  <c r="A18195" i="1"/>
  <c r="F18194" i="1"/>
  <c r="E18194" i="1"/>
  <c r="D18194" i="1"/>
  <c r="C18194" i="1"/>
  <c r="B18194" i="1"/>
  <c r="A18194" i="1"/>
  <c r="F18193" i="1"/>
  <c r="E18193" i="1"/>
  <c r="D18193" i="1"/>
  <c r="C18193" i="1"/>
  <c r="B18193" i="1"/>
  <c r="A18193" i="1"/>
  <c r="F18192" i="1"/>
  <c r="E18192" i="1"/>
  <c r="D18192" i="1"/>
  <c r="C18192" i="1"/>
  <c r="B18192" i="1"/>
  <c r="A18192" i="1"/>
  <c r="F18191" i="1"/>
  <c r="E18191" i="1"/>
  <c r="D18191" i="1"/>
  <c r="C18191" i="1"/>
  <c r="B18191" i="1"/>
  <c r="A18191" i="1"/>
  <c r="F18190" i="1"/>
  <c r="E18190" i="1"/>
  <c r="D18190" i="1"/>
  <c r="C18190" i="1"/>
  <c r="B18190" i="1"/>
  <c r="A18190" i="1"/>
  <c r="F18189" i="1"/>
  <c r="E18189" i="1"/>
  <c r="D18189" i="1"/>
  <c r="C18189" i="1"/>
  <c r="B18189" i="1"/>
  <c r="A18189" i="1"/>
  <c r="F18188" i="1"/>
  <c r="E18188" i="1"/>
  <c r="D18188" i="1"/>
  <c r="C18188" i="1"/>
  <c r="B18188" i="1"/>
  <c r="A18188" i="1"/>
  <c r="F18187" i="1"/>
  <c r="E18187" i="1"/>
  <c r="D18187" i="1"/>
  <c r="C18187" i="1"/>
  <c r="B18187" i="1"/>
  <c r="A18187" i="1"/>
  <c r="F18186" i="1"/>
  <c r="E18186" i="1"/>
  <c r="D18186" i="1"/>
  <c r="C18186" i="1"/>
  <c r="B18186" i="1"/>
  <c r="A18186" i="1"/>
  <c r="F18185" i="1"/>
  <c r="E18185" i="1"/>
  <c r="D18185" i="1"/>
  <c r="C18185" i="1"/>
  <c r="B18185" i="1"/>
  <c r="A18185" i="1"/>
  <c r="F18184" i="1"/>
  <c r="E18184" i="1"/>
  <c r="D18184" i="1"/>
  <c r="C18184" i="1"/>
  <c r="B18184" i="1"/>
  <c r="A18184" i="1"/>
  <c r="F18183" i="1"/>
  <c r="E18183" i="1"/>
  <c r="D18183" i="1"/>
  <c r="C18183" i="1"/>
  <c r="B18183" i="1"/>
  <c r="A18183" i="1"/>
  <c r="F18182" i="1"/>
  <c r="E18182" i="1"/>
  <c r="D18182" i="1"/>
  <c r="C18182" i="1"/>
  <c r="B18182" i="1"/>
  <c r="A18182" i="1"/>
  <c r="F18181" i="1"/>
  <c r="E18181" i="1"/>
  <c r="D18181" i="1"/>
  <c r="C18181" i="1"/>
  <c r="B18181" i="1"/>
  <c r="A18181" i="1"/>
  <c r="F18180" i="1"/>
  <c r="E18180" i="1"/>
  <c r="D18180" i="1"/>
  <c r="C18180" i="1"/>
  <c r="B18180" i="1"/>
  <c r="A18180" i="1"/>
  <c r="F18179" i="1"/>
  <c r="E18179" i="1"/>
  <c r="D18179" i="1"/>
  <c r="C18179" i="1"/>
  <c r="B18179" i="1"/>
  <c r="A18179" i="1"/>
  <c r="F18178" i="1"/>
  <c r="E18178" i="1"/>
  <c r="D18178" i="1"/>
  <c r="C18178" i="1"/>
  <c r="B18178" i="1"/>
  <c r="A18178" i="1"/>
  <c r="F18177" i="1"/>
  <c r="E18177" i="1"/>
  <c r="D18177" i="1"/>
  <c r="C18177" i="1"/>
  <c r="B18177" i="1"/>
  <c r="A18177" i="1"/>
  <c r="F18176" i="1"/>
  <c r="E18176" i="1"/>
  <c r="D18176" i="1"/>
  <c r="C18176" i="1"/>
  <c r="B18176" i="1"/>
  <c r="A18176" i="1"/>
  <c r="F18175" i="1"/>
  <c r="E18175" i="1"/>
  <c r="D18175" i="1"/>
  <c r="C18175" i="1"/>
  <c r="B18175" i="1"/>
  <c r="A18175" i="1"/>
  <c r="F18174" i="1"/>
  <c r="E18174" i="1"/>
  <c r="D18174" i="1"/>
  <c r="C18174" i="1"/>
  <c r="B18174" i="1"/>
  <c r="A18174" i="1"/>
  <c r="F18173" i="1"/>
  <c r="E18173" i="1"/>
  <c r="D18173" i="1"/>
  <c r="C18173" i="1"/>
  <c r="B18173" i="1"/>
  <c r="A18173" i="1"/>
  <c r="F18172" i="1"/>
  <c r="E18172" i="1"/>
  <c r="D18172" i="1"/>
  <c r="C18172" i="1"/>
  <c r="B18172" i="1"/>
  <c r="A18172" i="1"/>
  <c r="F18171" i="1"/>
  <c r="E18171" i="1"/>
  <c r="D18171" i="1"/>
  <c r="C18171" i="1"/>
  <c r="B18171" i="1"/>
  <c r="A18171" i="1"/>
  <c r="F18170" i="1"/>
  <c r="E18170" i="1"/>
  <c r="D18170" i="1"/>
  <c r="C18170" i="1"/>
  <c r="B18170" i="1"/>
  <c r="A18170" i="1"/>
  <c r="F18169" i="1"/>
  <c r="E18169" i="1"/>
  <c r="D18169" i="1"/>
  <c r="C18169" i="1"/>
  <c r="B18169" i="1"/>
  <c r="A18169" i="1"/>
  <c r="F18168" i="1"/>
  <c r="E18168" i="1"/>
  <c r="D18168" i="1"/>
  <c r="C18168" i="1"/>
  <c r="B18168" i="1"/>
  <c r="A18168" i="1"/>
  <c r="F18167" i="1"/>
  <c r="E18167" i="1"/>
  <c r="D18167" i="1"/>
  <c r="C18167" i="1"/>
  <c r="B18167" i="1"/>
  <c r="A18167" i="1"/>
  <c r="F18166" i="1"/>
  <c r="E18166" i="1"/>
  <c r="D18166" i="1"/>
  <c r="C18166" i="1"/>
  <c r="B18166" i="1"/>
  <c r="A18166" i="1"/>
  <c r="F18165" i="1"/>
  <c r="E18165" i="1"/>
  <c r="D18165" i="1"/>
  <c r="C18165" i="1"/>
  <c r="B18165" i="1"/>
  <c r="A18165" i="1"/>
  <c r="F18164" i="1"/>
  <c r="E18164" i="1"/>
  <c r="D18164" i="1"/>
  <c r="C18164" i="1"/>
  <c r="B18164" i="1"/>
  <c r="A18164" i="1"/>
  <c r="F18163" i="1"/>
  <c r="E18163" i="1"/>
  <c r="D18163" i="1"/>
  <c r="C18163" i="1"/>
  <c r="B18163" i="1"/>
  <c r="A18163" i="1"/>
  <c r="F18162" i="1"/>
  <c r="E18162" i="1"/>
  <c r="D18162" i="1"/>
  <c r="C18162" i="1"/>
  <c r="B18162" i="1"/>
  <c r="A18162" i="1"/>
  <c r="F18161" i="1"/>
  <c r="E18161" i="1"/>
  <c r="D18161" i="1"/>
  <c r="C18161" i="1"/>
  <c r="B18161" i="1"/>
  <c r="A18161" i="1"/>
  <c r="F18160" i="1"/>
  <c r="E18160" i="1"/>
  <c r="D18160" i="1"/>
  <c r="C18160" i="1"/>
  <c r="B18160" i="1"/>
  <c r="A18160" i="1"/>
  <c r="F18159" i="1"/>
  <c r="E18159" i="1"/>
  <c r="D18159" i="1"/>
  <c r="C18159" i="1"/>
  <c r="B18159" i="1"/>
  <c r="A18159" i="1"/>
  <c r="F18158" i="1"/>
  <c r="E18158" i="1"/>
  <c r="D18158" i="1"/>
  <c r="C18158" i="1"/>
  <c r="B18158" i="1"/>
  <c r="A18158" i="1"/>
  <c r="F18157" i="1"/>
  <c r="E18157" i="1"/>
  <c r="D18157" i="1"/>
  <c r="C18157" i="1"/>
  <c r="B18157" i="1"/>
  <c r="A18157" i="1"/>
  <c r="F18156" i="1"/>
  <c r="E18156" i="1"/>
  <c r="D18156" i="1"/>
  <c r="C18156" i="1"/>
  <c r="B18156" i="1"/>
  <c r="A18156" i="1"/>
  <c r="F18155" i="1"/>
  <c r="E18155" i="1"/>
  <c r="D18155" i="1"/>
  <c r="C18155" i="1"/>
  <c r="B18155" i="1"/>
  <c r="A18155" i="1"/>
  <c r="F18154" i="1"/>
  <c r="E18154" i="1"/>
  <c r="D18154" i="1"/>
  <c r="C18154" i="1"/>
  <c r="B18154" i="1"/>
  <c r="A18154" i="1"/>
  <c r="F18153" i="1"/>
  <c r="E18153" i="1"/>
  <c r="D18153" i="1"/>
  <c r="C18153" i="1"/>
  <c r="B18153" i="1"/>
  <c r="A18153" i="1"/>
  <c r="F18152" i="1"/>
  <c r="E18152" i="1"/>
  <c r="D18152" i="1"/>
  <c r="C18152" i="1"/>
  <c r="B18152" i="1"/>
  <c r="A18152" i="1"/>
  <c r="F18151" i="1"/>
  <c r="E18151" i="1"/>
  <c r="D18151" i="1"/>
  <c r="C18151" i="1"/>
  <c r="B18151" i="1"/>
  <c r="A18151" i="1"/>
  <c r="F18150" i="1"/>
  <c r="E18150" i="1"/>
  <c r="D18150" i="1"/>
  <c r="C18150" i="1"/>
  <c r="B18150" i="1"/>
  <c r="A18150" i="1"/>
  <c r="F18149" i="1"/>
  <c r="E18149" i="1"/>
  <c r="D18149" i="1"/>
  <c r="C18149" i="1"/>
  <c r="B18149" i="1"/>
  <c r="A18149" i="1"/>
  <c r="F18148" i="1"/>
  <c r="E18148" i="1"/>
  <c r="D18148" i="1"/>
  <c r="C18148" i="1"/>
  <c r="B18148" i="1"/>
  <c r="A18148" i="1"/>
  <c r="F18147" i="1"/>
  <c r="E18147" i="1"/>
  <c r="D18147" i="1"/>
  <c r="C18147" i="1"/>
  <c r="B18147" i="1"/>
  <c r="A18147" i="1"/>
  <c r="F18146" i="1"/>
  <c r="E18146" i="1"/>
  <c r="D18146" i="1"/>
  <c r="C18146" i="1"/>
  <c r="B18146" i="1"/>
  <c r="A18146" i="1"/>
  <c r="F18145" i="1"/>
  <c r="E18145" i="1"/>
  <c r="D18145" i="1"/>
  <c r="C18145" i="1"/>
  <c r="B18145" i="1"/>
  <c r="A18145" i="1"/>
  <c r="F18144" i="1"/>
  <c r="E18144" i="1"/>
  <c r="D18144" i="1"/>
  <c r="C18144" i="1"/>
  <c r="B18144" i="1"/>
  <c r="A18144" i="1"/>
  <c r="F18143" i="1"/>
  <c r="E18143" i="1"/>
  <c r="D18143" i="1"/>
  <c r="C18143" i="1"/>
  <c r="B18143" i="1"/>
  <c r="A18143" i="1"/>
  <c r="F18142" i="1"/>
  <c r="E18142" i="1"/>
  <c r="D18142" i="1"/>
  <c r="C18142" i="1"/>
  <c r="B18142" i="1"/>
  <c r="A18142" i="1"/>
  <c r="F18141" i="1"/>
  <c r="E18141" i="1"/>
  <c r="D18141" i="1"/>
  <c r="C18141" i="1"/>
  <c r="B18141" i="1"/>
  <c r="A18141" i="1"/>
  <c r="F18140" i="1"/>
  <c r="E18140" i="1"/>
  <c r="D18140" i="1"/>
  <c r="C18140" i="1"/>
  <c r="B18140" i="1"/>
  <c r="A18140" i="1"/>
  <c r="F18139" i="1"/>
  <c r="E18139" i="1"/>
  <c r="D18139" i="1"/>
  <c r="C18139" i="1"/>
  <c r="B18139" i="1"/>
  <c r="A18139" i="1"/>
  <c r="F18138" i="1"/>
  <c r="E18138" i="1"/>
  <c r="D18138" i="1"/>
  <c r="C18138" i="1"/>
  <c r="B18138" i="1"/>
  <c r="A18138" i="1"/>
  <c r="F18137" i="1"/>
  <c r="E18137" i="1"/>
  <c r="D18137" i="1"/>
  <c r="C18137" i="1"/>
  <c r="B18137" i="1"/>
  <c r="A18137" i="1"/>
  <c r="F18136" i="1"/>
  <c r="E18136" i="1"/>
  <c r="D18136" i="1"/>
  <c r="C18136" i="1"/>
  <c r="B18136" i="1"/>
  <c r="A18136" i="1"/>
  <c r="F18135" i="1"/>
  <c r="E18135" i="1"/>
  <c r="D18135" i="1"/>
  <c r="C18135" i="1"/>
  <c r="B18135" i="1"/>
  <c r="A18135" i="1"/>
  <c r="F18134" i="1"/>
  <c r="E18134" i="1"/>
  <c r="D18134" i="1"/>
  <c r="C18134" i="1"/>
  <c r="B18134" i="1"/>
  <c r="A18134" i="1"/>
  <c r="F18133" i="1"/>
  <c r="E18133" i="1"/>
  <c r="D18133" i="1"/>
  <c r="C18133" i="1"/>
  <c r="B18133" i="1"/>
  <c r="A18133" i="1"/>
  <c r="F18132" i="1"/>
  <c r="E18132" i="1"/>
  <c r="D18132" i="1"/>
  <c r="C18132" i="1"/>
  <c r="B18132" i="1"/>
  <c r="A18132" i="1"/>
  <c r="F18131" i="1"/>
  <c r="E18131" i="1"/>
  <c r="D18131" i="1"/>
  <c r="C18131" i="1"/>
  <c r="B18131" i="1"/>
  <c r="A18131" i="1"/>
  <c r="F18130" i="1"/>
  <c r="E18130" i="1"/>
  <c r="D18130" i="1"/>
  <c r="C18130" i="1"/>
  <c r="B18130" i="1"/>
  <c r="A18130" i="1"/>
  <c r="F18129" i="1"/>
  <c r="E18129" i="1"/>
  <c r="D18129" i="1"/>
  <c r="C18129" i="1"/>
  <c r="B18129" i="1"/>
  <c r="A18129" i="1"/>
  <c r="F18128" i="1"/>
  <c r="E18128" i="1"/>
  <c r="D18128" i="1"/>
  <c r="C18128" i="1"/>
  <c r="B18128" i="1"/>
  <c r="A18128" i="1"/>
  <c r="F18127" i="1"/>
  <c r="E18127" i="1"/>
  <c r="D18127" i="1"/>
  <c r="C18127" i="1"/>
  <c r="B18127" i="1"/>
  <c r="A18127" i="1"/>
  <c r="F18126" i="1"/>
  <c r="E18126" i="1"/>
  <c r="D18126" i="1"/>
  <c r="C18126" i="1"/>
  <c r="B18126" i="1"/>
  <c r="A18126" i="1"/>
  <c r="F18125" i="1"/>
  <c r="E18125" i="1"/>
  <c r="D18125" i="1"/>
  <c r="C18125" i="1"/>
  <c r="B18125" i="1"/>
  <c r="A18125" i="1"/>
  <c r="F18124" i="1"/>
  <c r="E18124" i="1"/>
  <c r="D18124" i="1"/>
  <c r="C18124" i="1"/>
  <c r="B18124" i="1"/>
  <c r="A18124" i="1"/>
  <c r="F18123" i="1"/>
  <c r="E18123" i="1"/>
  <c r="D18123" i="1"/>
  <c r="C18123" i="1"/>
  <c r="B18123" i="1"/>
  <c r="A18123" i="1"/>
  <c r="F18122" i="1"/>
  <c r="E18122" i="1"/>
  <c r="D18122" i="1"/>
  <c r="C18122" i="1"/>
  <c r="B18122" i="1"/>
  <c r="A18122" i="1"/>
  <c r="F18121" i="1"/>
  <c r="E18121" i="1"/>
  <c r="D18121" i="1"/>
  <c r="C18121" i="1"/>
  <c r="B18121" i="1"/>
  <c r="A18121" i="1"/>
  <c r="F18120" i="1"/>
  <c r="E18120" i="1"/>
  <c r="D18120" i="1"/>
  <c r="C18120" i="1"/>
  <c r="B18120" i="1"/>
  <c r="A18120" i="1"/>
  <c r="F18119" i="1"/>
  <c r="E18119" i="1"/>
  <c r="D18119" i="1"/>
  <c r="C18119" i="1"/>
  <c r="B18119" i="1"/>
  <c r="A18119" i="1"/>
  <c r="F18118" i="1"/>
  <c r="E18118" i="1"/>
  <c r="D18118" i="1"/>
  <c r="C18118" i="1"/>
  <c r="B18118" i="1"/>
  <c r="A18118" i="1"/>
  <c r="F18117" i="1"/>
  <c r="E18117" i="1"/>
  <c r="D18117" i="1"/>
  <c r="C18117" i="1"/>
  <c r="B18117" i="1"/>
  <c r="A18117" i="1"/>
  <c r="F18116" i="1"/>
  <c r="E18116" i="1"/>
  <c r="D18116" i="1"/>
  <c r="C18116" i="1"/>
  <c r="B18116" i="1"/>
  <c r="A18116" i="1"/>
  <c r="F18115" i="1"/>
  <c r="E18115" i="1"/>
  <c r="D18115" i="1"/>
  <c r="C18115" i="1"/>
  <c r="B18115" i="1"/>
  <c r="A18115" i="1"/>
  <c r="F18114" i="1"/>
  <c r="E18114" i="1"/>
  <c r="D18114" i="1"/>
  <c r="C18114" i="1"/>
  <c r="B18114" i="1"/>
  <c r="A18114" i="1"/>
  <c r="F18113" i="1"/>
  <c r="E18113" i="1"/>
  <c r="D18113" i="1"/>
  <c r="C18113" i="1"/>
  <c r="B18113" i="1"/>
  <c r="A18113" i="1"/>
  <c r="F18112" i="1"/>
  <c r="E18112" i="1"/>
  <c r="D18112" i="1"/>
  <c r="C18112" i="1"/>
  <c r="B18112" i="1"/>
  <c r="A18112" i="1"/>
  <c r="F18111" i="1"/>
  <c r="E18111" i="1"/>
  <c r="D18111" i="1"/>
  <c r="C18111" i="1"/>
  <c r="B18111" i="1"/>
  <c r="A18111" i="1"/>
  <c r="F18110" i="1"/>
  <c r="E18110" i="1"/>
  <c r="D18110" i="1"/>
  <c r="C18110" i="1"/>
  <c r="B18110" i="1"/>
  <c r="A18110" i="1"/>
  <c r="F18109" i="1"/>
  <c r="E18109" i="1"/>
  <c r="D18109" i="1"/>
  <c r="C18109" i="1"/>
  <c r="B18109" i="1"/>
  <c r="A18109" i="1"/>
  <c r="F18108" i="1"/>
  <c r="E18108" i="1"/>
  <c r="D18108" i="1"/>
  <c r="C18108" i="1"/>
  <c r="B18108" i="1"/>
  <c r="A18108" i="1"/>
  <c r="F18107" i="1"/>
  <c r="E18107" i="1"/>
  <c r="D18107" i="1"/>
  <c r="C18107" i="1"/>
  <c r="B18107" i="1"/>
  <c r="A18107" i="1"/>
  <c r="F18106" i="1"/>
  <c r="E18106" i="1"/>
  <c r="D18106" i="1"/>
  <c r="C18106" i="1"/>
  <c r="B18106" i="1"/>
  <c r="A18106" i="1"/>
  <c r="F18105" i="1"/>
  <c r="E18105" i="1"/>
  <c r="D18105" i="1"/>
  <c r="C18105" i="1"/>
  <c r="B18105" i="1"/>
  <c r="A18105" i="1"/>
  <c r="F18104" i="1"/>
  <c r="E18104" i="1"/>
  <c r="D18104" i="1"/>
  <c r="C18104" i="1"/>
  <c r="B18104" i="1"/>
  <c r="A18104" i="1"/>
  <c r="F18103" i="1"/>
  <c r="E18103" i="1"/>
  <c r="D18103" i="1"/>
  <c r="C18103" i="1"/>
  <c r="B18103" i="1"/>
  <c r="A18103" i="1"/>
  <c r="F18102" i="1"/>
  <c r="E18102" i="1"/>
  <c r="D18102" i="1"/>
  <c r="C18102" i="1"/>
  <c r="B18102" i="1"/>
  <c r="A18102" i="1"/>
  <c r="F18101" i="1"/>
  <c r="E18101" i="1"/>
  <c r="D18101" i="1"/>
  <c r="C18101" i="1"/>
  <c r="B18101" i="1"/>
  <c r="A18101" i="1"/>
  <c r="F18100" i="1"/>
  <c r="E18100" i="1"/>
  <c r="D18100" i="1"/>
  <c r="C18100" i="1"/>
  <c r="B18100" i="1"/>
  <c r="A18100" i="1"/>
  <c r="F18099" i="1"/>
  <c r="E18099" i="1"/>
  <c r="D18099" i="1"/>
  <c r="C18099" i="1"/>
  <c r="B18099" i="1"/>
  <c r="A18099" i="1"/>
  <c r="F18098" i="1"/>
  <c r="E18098" i="1"/>
  <c r="D18098" i="1"/>
  <c r="C18098" i="1"/>
  <c r="B18098" i="1"/>
  <c r="A18098" i="1"/>
  <c r="F18097" i="1"/>
  <c r="E18097" i="1"/>
  <c r="D18097" i="1"/>
  <c r="C18097" i="1"/>
  <c r="B18097" i="1"/>
  <c r="A18097" i="1"/>
  <c r="F18096" i="1"/>
  <c r="E18096" i="1"/>
  <c r="D18096" i="1"/>
  <c r="C18096" i="1"/>
  <c r="B18096" i="1"/>
  <c r="A18096" i="1"/>
  <c r="F18095" i="1"/>
  <c r="E18095" i="1"/>
  <c r="D18095" i="1"/>
  <c r="C18095" i="1"/>
  <c r="B18095" i="1"/>
  <c r="A18095" i="1"/>
  <c r="F18094" i="1"/>
  <c r="E18094" i="1"/>
  <c r="D18094" i="1"/>
  <c r="C18094" i="1"/>
  <c r="B18094" i="1"/>
  <c r="A18094" i="1"/>
  <c r="F18093" i="1"/>
  <c r="E18093" i="1"/>
  <c r="D18093" i="1"/>
  <c r="C18093" i="1"/>
  <c r="B18093" i="1"/>
  <c r="A18093" i="1"/>
  <c r="F18092" i="1"/>
  <c r="E18092" i="1"/>
  <c r="D18092" i="1"/>
  <c r="C18092" i="1"/>
  <c r="B18092" i="1"/>
  <c r="A18092" i="1"/>
  <c r="F18091" i="1"/>
  <c r="E18091" i="1"/>
  <c r="D18091" i="1"/>
  <c r="C18091" i="1"/>
  <c r="B18091" i="1"/>
  <c r="A18091" i="1"/>
  <c r="F18090" i="1"/>
  <c r="E18090" i="1"/>
  <c r="D18090" i="1"/>
  <c r="C18090" i="1"/>
  <c r="B18090" i="1"/>
  <c r="A18090" i="1"/>
  <c r="F18089" i="1"/>
  <c r="E18089" i="1"/>
  <c r="D18089" i="1"/>
  <c r="C18089" i="1"/>
  <c r="B18089" i="1"/>
  <c r="A18089" i="1"/>
  <c r="F18088" i="1"/>
  <c r="E18088" i="1"/>
  <c r="D18088" i="1"/>
  <c r="C18088" i="1"/>
  <c r="B18088" i="1"/>
  <c r="A18088" i="1"/>
  <c r="F18087" i="1"/>
  <c r="E18087" i="1"/>
  <c r="D18087" i="1"/>
  <c r="C18087" i="1"/>
  <c r="B18087" i="1"/>
  <c r="A18087" i="1"/>
  <c r="F18086" i="1"/>
  <c r="E18086" i="1"/>
  <c r="D18086" i="1"/>
  <c r="C18086" i="1"/>
  <c r="B18086" i="1"/>
  <c r="A18086" i="1"/>
  <c r="F18085" i="1"/>
  <c r="E18085" i="1"/>
  <c r="D18085" i="1"/>
  <c r="C18085" i="1"/>
  <c r="B18085" i="1"/>
  <c r="A18085" i="1"/>
  <c r="F18084" i="1"/>
  <c r="E18084" i="1"/>
  <c r="D18084" i="1"/>
  <c r="C18084" i="1"/>
  <c r="B18084" i="1"/>
  <c r="A18084" i="1"/>
  <c r="F18083" i="1"/>
  <c r="E18083" i="1"/>
  <c r="D18083" i="1"/>
  <c r="C18083" i="1"/>
  <c r="B18083" i="1"/>
  <c r="A18083" i="1"/>
  <c r="F18082" i="1"/>
  <c r="E18082" i="1"/>
  <c r="D18082" i="1"/>
  <c r="C18082" i="1"/>
  <c r="B18082" i="1"/>
  <c r="A18082" i="1"/>
  <c r="F18081" i="1"/>
  <c r="E18081" i="1"/>
  <c r="D18081" i="1"/>
  <c r="C18081" i="1"/>
  <c r="B18081" i="1"/>
  <c r="A18081" i="1"/>
  <c r="F18080" i="1"/>
  <c r="E18080" i="1"/>
  <c r="D18080" i="1"/>
  <c r="C18080" i="1"/>
  <c r="B18080" i="1"/>
  <c r="A18080" i="1"/>
  <c r="F18079" i="1"/>
  <c r="E18079" i="1"/>
  <c r="D18079" i="1"/>
  <c r="C18079" i="1"/>
  <c r="B18079" i="1"/>
  <c r="A18079" i="1"/>
  <c r="F18078" i="1"/>
  <c r="E18078" i="1"/>
  <c r="D18078" i="1"/>
  <c r="C18078" i="1"/>
  <c r="B18078" i="1"/>
  <c r="A18078" i="1"/>
  <c r="F18077" i="1"/>
  <c r="E18077" i="1"/>
  <c r="D18077" i="1"/>
  <c r="C18077" i="1"/>
  <c r="B18077" i="1"/>
  <c r="A18077" i="1"/>
  <c r="F18076" i="1"/>
  <c r="E18076" i="1"/>
  <c r="D18076" i="1"/>
  <c r="C18076" i="1"/>
  <c r="B18076" i="1"/>
  <c r="A18076" i="1"/>
  <c r="F18075" i="1"/>
  <c r="E18075" i="1"/>
  <c r="D18075" i="1"/>
  <c r="C18075" i="1"/>
  <c r="B18075" i="1"/>
  <c r="A18075" i="1"/>
  <c r="F18074" i="1"/>
  <c r="E18074" i="1"/>
  <c r="D18074" i="1"/>
  <c r="C18074" i="1"/>
  <c r="B18074" i="1"/>
  <c r="A18074" i="1"/>
  <c r="F18073" i="1"/>
  <c r="E18073" i="1"/>
  <c r="D18073" i="1"/>
  <c r="C18073" i="1"/>
  <c r="B18073" i="1"/>
  <c r="A18073" i="1"/>
  <c r="F18072" i="1"/>
  <c r="E18072" i="1"/>
  <c r="D18072" i="1"/>
  <c r="C18072" i="1"/>
  <c r="B18072" i="1"/>
  <c r="A18072" i="1"/>
  <c r="F18071" i="1"/>
  <c r="E18071" i="1"/>
  <c r="D18071" i="1"/>
  <c r="C18071" i="1"/>
  <c r="B18071" i="1"/>
  <c r="A18071" i="1"/>
  <c r="F18070" i="1"/>
  <c r="E18070" i="1"/>
  <c r="D18070" i="1"/>
  <c r="C18070" i="1"/>
  <c r="B18070" i="1"/>
  <c r="A18070" i="1"/>
  <c r="F18069" i="1"/>
  <c r="E18069" i="1"/>
  <c r="D18069" i="1"/>
  <c r="C18069" i="1"/>
  <c r="B18069" i="1"/>
  <c r="A18069" i="1"/>
  <c r="F18068" i="1"/>
  <c r="E18068" i="1"/>
  <c r="D18068" i="1"/>
  <c r="C18068" i="1"/>
  <c r="B18068" i="1"/>
  <c r="A18068" i="1"/>
  <c r="F18067" i="1"/>
  <c r="E18067" i="1"/>
  <c r="D18067" i="1"/>
  <c r="C18067" i="1"/>
  <c r="B18067" i="1"/>
  <c r="A18067" i="1"/>
  <c r="F18066" i="1"/>
  <c r="E18066" i="1"/>
  <c r="D18066" i="1"/>
  <c r="C18066" i="1"/>
  <c r="B18066" i="1"/>
  <c r="A18066" i="1"/>
  <c r="F18065" i="1"/>
  <c r="E18065" i="1"/>
  <c r="D18065" i="1"/>
  <c r="C18065" i="1"/>
  <c r="B18065" i="1"/>
  <c r="A18065" i="1"/>
  <c r="F18064" i="1"/>
  <c r="E18064" i="1"/>
  <c r="D18064" i="1"/>
  <c r="C18064" i="1"/>
  <c r="B18064" i="1"/>
  <c r="A18064" i="1"/>
  <c r="F18063" i="1"/>
  <c r="E18063" i="1"/>
  <c r="D18063" i="1"/>
  <c r="C18063" i="1"/>
  <c r="B18063" i="1"/>
  <c r="A18063" i="1"/>
  <c r="F18062" i="1"/>
  <c r="E18062" i="1"/>
  <c r="D18062" i="1"/>
  <c r="C18062" i="1"/>
  <c r="B18062" i="1"/>
  <c r="A18062" i="1"/>
  <c r="F18061" i="1"/>
  <c r="E18061" i="1"/>
  <c r="D18061" i="1"/>
  <c r="C18061" i="1"/>
  <c r="B18061" i="1"/>
  <c r="A18061" i="1"/>
  <c r="F18060" i="1"/>
  <c r="E18060" i="1"/>
  <c r="D18060" i="1"/>
  <c r="C18060" i="1"/>
  <c r="B18060" i="1"/>
  <c r="A18060" i="1"/>
  <c r="F18059" i="1"/>
  <c r="E18059" i="1"/>
  <c r="D18059" i="1"/>
  <c r="C18059" i="1"/>
  <c r="B18059" i="1"/>
  <c r="A18059" i="1"/>
  <c r="F18058" i="1"/>
  <c r="E18058" i="1"/>
  <c r="D18058" i="1"/>
  <c r="C18058" i="1"/>
  <c r="B18058" i="1"/>
  <c r="A18058" i="1"/>
  <c r="F18057" i="1"/>
  <c r="E18057" i="1"/>
  <c r="D18057" i="1"/>
  <c r="C18057" i="1"/>
  <c r="B18057" i="1"/>
  <c r="A18057" i="1"/>
  <c r="F18056" i="1"/>
  <c r="E18056" i="1"/>
  <c r="D18056" i="1"/>
  <c r="C18056" i="1"/>
  <c r="B18056" i="1"/>
  <c r="A18056" i="1"/>
  <c r="F18055" i="1"/>
  <c r="E18055" i="1"/>
  <c r="D18055" i="1"/>
  <c r="C18055" i="1"/>
  <c r="B18055" i="1"/>
  <c r="A18055" i="1"/>
  <c r="F18054" i="1"/>
  <c r="E18054" i="1"/>
  <c r="D18054" i="1"/>
  <c r="C18054" i="1"/>
  <c r="B18054" i="1"/>
  <c r="A18054" i="1"/>
  <c r="F18053" i="1"/>
  <c r="E18053" i="1"/>
  <c r="D18053" i="1"/>
  <c r="C18053" i="1"/>
  <c r="B18053" i="1"/>
  <c r="A18053" i="1"/>
  <c r="F18052" i="1"/>
  <c r="E18052" i="1"/>
  <c r="D18052" i="1"/>
  <c r="C18052" i="1"/>
  <c r="B18052" i="1"/>
  <c r="A18052" i="1"/>
  <c r="F18051" i="1"/>
  <c r="E18051" i="1"/>
  <c r="D18051" i="1"/>
  <c r="C18051" i="1"/>
  <c r="B18051" i="1"/>
  <c r="A18051" i="1"/>
  <c r="F18050" i="1"/>
  <c r="E18050" i="1"/>
  <c r="D18050" i="1"/>
  <c r="C18050" i="1"/>
  <c r="B18050" i="1"/>
  <c r="A18050" i="1"/>
  <c r="F18049" i="1"/>
  <c r="E18049" i="1"/>
  <c r="D18049" i="1"/>
  <c r="C18049" i="1"/>
  <c r="B18049" i="1"/>
  <c r="A18049" i="1"/>
  <c r="F18048" i="1"/>
  <c r="E18048" i="1"/>
  <c r="D18048" i="1"/>
  <c r="C18048" i="1"/>
  <c r="B18048" i="1"/>
  <c r="A18048" i="1"/>
  <c r="F18047" i="1"/>
  <c r="E18047" i="1"/>
  <c r="D18047" i="1"/>
  <c r="C18047" i="1"/>
  <c r="B18047" i="1"/>
  <c r="A18047" i="1"/>
  <c r="F18046" i="1"/>
  <c r="E18046" i="1"/>
  <c r="D18046" i="1"/>
  <c r="C18046" i="1"/>
  <c r="B18046" i="1"/>
  <c r="A18046" i="1"/>
  <c r="F18045" i="1"/>
  <c r="E18045" i="1"/>
  <c r="D18045" i="1"/>
  <c r="C18045" i="1"/>
  <c r="B18045" i="1"/>
  <c r="A18045" i="1"/>
  <c r="F18044" i="1"/>
  <c r="E18044" i="1"/>
  <c r="D18044" i="1"/>
  <c r="C18044" i="1"/>
  <c r="B18044" i="1"/>
  <c r="A18044" i="1"/>
  <c r="F18043" i="1"/>
  <c r="E18043" i="1"/>
  <c r="D18043" i="1"/>
  <c r="C18043" i="1"/>
  <c r="B18043" i="1"/>
  <c r="A18043" i="1"/>
  <c r="F18042" i="1"/>
  <c r="E18042" i="1"/>
  <c r="D18042" i="1"/>
  <c r="C18042" i="1"/>
  <c r="B18042" i="1"/>
  <c r="A18042" i="1"/>
  <c r="F18041" i="1"/>
  <c r="E18041" i="1"/>
  <c r="D18041" i="1"/>
  <c r="C18041" i="1"/>
  <c r="B18041" i="1"/>
  <c r="A18041" i="1"/>
  <c r="F18040" i="1"/>
  <c r="E18040" i="1"/>
  <c r="D18040" i="1"/>
  <c r="C18040" i="1"/>
  <c r="B18040" i="1"/>
  <c r="A18040" i="1"/>
  <c r="F18039" i="1"/>
  <c r="E18039" i="1"/>
  <c r="D18039" i="1"/>
  <c r="C18039" i="1"/>
  <c r="B18039" i="1"/>
  <c r="A18039" i="1"/>
  <c r="F18038" i="1"/>
  <c r="E18038" i="1"/>
  <c r="D18038" i="1"/>
  <c r="C18038" i="1"/>
  <c r="B18038" i="1"/>
  <c r="A18038" i="1"/>
  <c r="F18037" i="1"/>
  <c r="E18037" i="1"/>
  <c r="D18037" i="1"/>
  <c r="C18037" i="1"/>
  <c r="B18037" i="1"/>
  <c r="A18037" i="1"/>
  <c r="F18036" i="1"/>
  <c r="E18036" i="1"/>
  <c r="D18036" i="1"/>
  <c r="C18036" i="1"/>
  <c r="B18036" i="1"/>
  <c r="A18036" i="1"/>
  <c r="F18035" i="1"/>
  <c r="E18035" i="1"/>
  <c r="D18035" i="1"/>
  <c r="C18035" i="1"/>
  <c r="B18035" i="1"/>
  <c r="A18035" i="1"/>
  <c r="F18034" i="1"/>
  <c r="E18034" i="1"/>
  <c r="D18034" i="1"/>
  <c r="C18034" i="1"/>
  <c r="B18034" i="1"/>
  <c r="A18034" i="1"/>
  <c r="F18033" i="1"/>
  <c r="E18033" i="1"/>
  <c r="D18033" i="1"/>
  <c r="C18033" i="1"/>
  <c r="B18033" i="1"/>
  <c r="A18033" i="1"/>
  <c r="F18032" i="1"/>
  <c r="E18032" i="1"/>
  <c r="D18032" i="1"/>
  <c r="C18032" i="1"/>
  <c r="B18032" i="1"/>
  <c r="A18032" i="1"/>
  <c r="F18031" i="1"/>
  <c r="E18031" i="1"/>
  <c r="D18031" i="1"/>
  <c r="C18031" i="1"/>
  <c r="B18031" i="1"/>
  <c r="A18031" i="1"/>
  <c r="F18030" i="1"/>
  <c r="E18030" i="1"/>
  <c r="D18030" i="1"/>
  <c r="C18030" i="1"/>
  <c r="B18030" i="1"/>
  <c r="A18030" i="1"/>
  <c r="F18029" i="1"/>
  <c r="E18029" i="1"/>
  <c r="D18029" i="1"/>
  <c r="C18029" i="1"/>
  <c r="B18029" i="1"/>
  <c r="A18029" i="1"/>
  <c r="F18028" i="1"/>
  <c r="E18028" i="1"/>
  <c r="D18028" i="1"/>
  <c r="C18028" i="1"/>
  <c r="B18028" i="1"/>
  <c r="A18028" i="1"/>
  <c r="F18027" i="1"/>
  <c r="E18027" i="1"/>
  <c r="D18027" i="1"/>
  <c r="C18027" i="1"/>
  <c r="B18027" i="1"/>
  <c r="A18027" i="1"/>
  <c r="F18026" i="1"/>
  <c r="E18026" i="1"/>
  <c r="D18026" i="1"/>
  <c r="C18026" i="1"/>
  <c r="B18026" i="1"/>
  <c r="A18026" i="1"/>
  <c r="F18025" i="1"/>
  <c r="E18025" i="1"/>
  <c r="D18025" i="1"/>
  <c r="C18025" i="1"/>
  <c r="B18025" i="1"/>
  <c r="A18025" i="1"/>
  <c r="F18024" i="1"/>
  <c r="E18024" i="1"/>
  <c r="D18024" i="1"/>
  <c r="C18024" i="1"/>
  <c r="B18024" i="1"/>
  <c r="A18024" i="1"/>
  <c r="F18023" i="1"/>
  <c r="E18023" i="1"/>
  <c r="D18023" i="1"/>
  <c r="C18023" i="1"/>
  <c r="B18023" i="1"/>
  <c r="A18023" i="1"/>
  <c r="F18022" i="1"/>
  <c r="E18022" i="1"/>
  <c r="D18022" i="1"/>
  <c r="C18022" i="1"/>
  <c r="B18022" i="1"/>
  <c r="A18022" i="1"/>
  <c r="F18021" i="1"/>
  <c r="E18021" i="1"/>
  <c r="D18021" i="1"/>
  <c r="C18021" i="1"/>
  <c r="B18021" i="1"/>
  <c r="A18021" i="1"/>
  <c r="F18020" i="1"/>
  <c r="E18020" i="1"/>
  <c r="D18020" i="1"/>
  <c r="C18020" i="1"/>
  <c r="B18020" i="1"/>
  <c r="A18020" i="1"/>
  <c r="F18019" i="1"/>
  <c r="E18019" i="1"/>
  <c r="D18019" i="1"/>
  <c r="C18019" i="1"/>
  <c r="B18019" i="1"/>
  <c r="A18019" i="1"/>
  <c r="F18018" i="1"/>
  <c r="E18018" i="1"/>
  <c r="D18018" i="1"/>
  <c r="C18018" i="1"/>
  <c r="B18018" i="1"/>
  <c r="A18018" i="1"/>
  <c r="F18017" i="1"/>
  <c r="E18017" i="1"/>
  <c r="D18017" i="1"/>
  <c r="C18017" i="1"/>
  <c r="B18017" i="1"/>
  <c r="A18017" i="1"/>
  <c r="F18016" i="1"/>
  <c r="E18016" i="1"/>
  <c r="D18016" i="1"/>
  <c r="C18016" i="1"/>
  <c r="B18016" i="1"/>
  <c r="A18016" i="1"/>
  <c r="F18015" i="1"/>
  <c r="E18015" i="1"/>
  <c r="D18015" i="1"/>
  <c r="C18015" i="1"/>
  <c r="B18015" i="1"/>
  <c r="A18015" i="1"/>
  <c r="F18014" i="1"/>
  <c r="E18014" i="1"/>
  <c r="D18014" i="1"/>
  <c r="C18014" i="1"/>
  <c r="B18014" i="1"/>
  <c r="A18014" i="1"/>
  <c r="F18013" i="1"/>
  <c r="E18013" i="1"/>
  <c r="D18013" i="1"/>
  <c r="C18013" i="1"/>
  <c r="B18013" i="1"/>
  <c r="A18013" i="1"/>
  <c r="F18012" i="1"/>
  <c r="E18012" i="1"/>
  <c r="D18012" i="1"/>
  <c r="C18012" i="1"/>
  <c r="B18012" i="1"/>
  <c r="A18012" i="1"/>
  <c r="F18011" i="1"/>
  <c r="E18011" i="1"/>
  <c r="D18011" i="1"/>
  <c r="C18011" i="1"/>
  <c r="B18011" i="1"/>
  <c r="A18011" i="1"/>
  <c r="F18010" i="1"/>
  <c r="E18010" i="1"/>
  <c r="D18010" i="1"/>
  <c r="C18010" i="1"/>
  <c r="B18010" i="1"/>
  <c r="A18010" i="1"/>
  <c r="F18009" i="1"/>
  <c r="E18009" i="1"/>
  <c r="D18009" i="1"/>
  <c r="C18009" i="1"/>
  <c r="B18009" i="1"/>
  <c r="A18009" i="1"/>
  <c r="F18008" i="1"/>
  <c r="E18008" i="1"/>
  <c r="D18008" i="1"/>
  <c r="C18008" i="1"/>
  <c r="B18008" i="1"/>
  <c r="A18008" i="1"/>
  <c r="F18007" i="1"/>
  <c r="E18007" i="1"/>
  <c r="D18007" i="1"/>
  <c r="C18007" i="1"/>
  <c r="B18007" i="1"/>
  <c r="A18007" i="1"/>
  <c r="F18006" i="1"/>
  <c r="E18006" i="1"/>
  <c r="D18006" i="1"/>
  <c r="C18006" i="1"/>
  <c r="B18006" i="1"/>
  <c r="A18006" i="1"/>
  <c r="F18005" i="1"/>
  <c r="E18005" i="1"/>
  <c r="D18005" i="1"/>
  <c r="C18005" i="1"/>
  <c r="B18005" i="1"/>
  <c r="A18005" i="1"/>
  <c r="F18004" i="1"/>
  <c r="E18004" i="1"/>
  <c r="D18004" i="1"/>
  <c r="C18004" i="1"/>
  <c r="B18004" i="1"/>
  <c r="A18004" i="1"/>
  <c r="F18003" i="1"/>
  <c r="E18003" i="1"/>
  <c r="D18003" i="1"/>
  <c r="C18003" i="1"/>
  <c r="B18003" i="1"/>
  <c r="A18003" i="1"/>
  <c r="F18002" i="1"/>
  <c r="E18002" i="1"/>
  <c r="D18002" i="1"/>
  <c r="C18002" i="1"/>
  <c r="B18002" i="1"/>
  <c r="A18002" i="1"/>
  <c r="F18001" i="1"/>
  <c r="E18001" i="1"/>
  <c r="D18001" i="1"/>
  <c r="C18001" i="1"/>
  <c r="B18001" i="1"/>
  <c r="A18001" i="1"/>
  <c r="F18000" i="1"/>
  <c r="E18000" i="1"/>
  <c r="D18000" i="1"/>
  <c r="C18000" i="1"/>
  <c r="B18000" i="1"/>
  <c r="A18000" i="1"/>
  <c r="F17999" i="1"/>
  <c r="E17999" i="1"/>
  <c r="D17999" i="1"/>
  <c r="C17999" i="1"/>
  <c r="B17999" i="1"/>
  <c r="A17999" i="1"/>
  <c r="F17998" i="1"/>
  <c r="E17998" i="1"/>
  <c r="D17998" i="1"/>
  <c r="C17998" i="1"/>
  <c r="B17998" i="1"/>
  <c r="A17998" i="1"/>
  <c r="F17997" i="1"/>
  <c r="E17997" i="1"/>
  <c r="D17997" i="1"/>
  <c r="C17997" i="1"/>
  <c r="B17997" i="1"/>
  <c r="A17997" i="1"/>
  <c r="F17996" i="1"/>
  <c r="E17996" i="1"/>
  <c r="D17996" i="1"/>
  <c r="C17996" i="1"/>
  <c r="B17996" i="1"/>
  <c r="A17996" i="1"/>
  <c r="F17995" i="1"/>
  <c r="E17995" i="1"/>
  <c r="D17995" i="1"/>
  <c r="C17995" i="1"/>
  <c r="B17995" i="1"/>
  <c r="A17995" i="1"/>
  <c r="F17994" i="1"/>
  <c r="E17994" i="1"/>
  <c r="D17994" i="1"/>
  <c r="C17994" i="1"/>
  <c r="B17994" i="1"/>
  <c r="A17994" i="1"/>
  <c r="F17993" i="1"/>
  <c r="E17993" i="1"/>
  <c r="D17993" i="1"/>
  <c r="C17993" i="1"/>
  <c r="B17993" i="1"/>
  <c r="A17993" i="1"/>
  <c r="F17992" i="1"/>
  <c r="E17992" i="1"/>
  <c r="D17992" i="1"/>
  <c r="C17992" i="1"/>
  <c r="B17992" i="1"/>
  <c r="A17992" i="1"/>
  <c r="F17991" i="1"/>
  <c r="E17991" i="1"/>
  <c r="D17991" i="1"/>
  <c r="C17991" i="1"/>
  <c r="B17991" i="1"/>
  <c r="A17991" i="1"/>
  <c r="F17990" i="1"/>
  <c r="E17990" i="1"/>
  <c r="D17990" i="1"/>
  <c r="C17990" i="1"/>
  <c r="B17990" i="1"/>
  <c r="A17990" i="1"/>
  <c r="F17989" i="1"/>
  <c r="E17989" i="1"/>
  <c r="D17989" i="1"/>
  <c r="C17989" i="1"/>
  <c r="B17989" i="1"/>
  <c r="A17989" i="1"/>
  <c r="F17988" i="1"/>
  <c r="E17988" i="1"/>
  <c r="D17988" i="1"/>
  <c r="C17988" i="1"/>
  <c r="B17988" i="1"/>
  <c r="A17988" i="1"/>
  <c r="F17987" i="1"/>
  <c r="E17987" i="1"/>
  <c r="D17987" i="1"/>
  <c r="C17987" i="1"/>
  <c r="B17987" i="1"/>
  <c r="A17987" i="1"/>
  <c r="F17986" i="1"/>
  <c r="E17986" i="1"/>
  <c r="D17986" i="1"/>
  <c r="C17986" i="1"/>
  <c r="B17986" i="1"/>
  <c r="A17986" i="1"/>
  <c r="F17985" i="1"/>
  <c r="E17985" i="1"/>
  <c r="D17985" i="1"/>
  <c r="C17985" i="1"/>
  <c r="B17985" i="1"/>
  <c r="A17985" i="1"/>
  <c r="F17984" i="1"/>
  <c r="E17984" i="1"/>
  <c r="D17984" i="1"/>
  <c r="C17984" i="1"/>
  <c r="B17984" i="1"/>
  <c r="A17984" i="1"/>
  <c r="F17983" i="1"/>
  <c r="E17983" i="1"/>
  <c r="D17983" i="1"/>
  <c r="C17983" i="1"/>
  <c r="B17983" i="1"/>
  <c r="A17983" i="1"/>
  <c r="F17982" i="1"/>
  <c r="E17982" i="1"/>
  <c r="D17982" i="1"/>
  <c r="C17982" i="1"/>
  <c r="B17982" i="1"/>
  <c r="A17982" i="1"/>
  <c r="F17981" i="1"/>
  <c r="E17981" i="1"/>
  <c r="D17981" i="1"/>
  <c r="C17981" i="1"/>
  <c r="B17981" i="1"/>
  <c r="A17981" i="1"/>
  <c r="F17980" i="1"/>
  <c r="E17980" i="1"/>
  <c r="D17980" i="1"/>
  <c r="C17980" i="1"/>
  <c r="B17980" i="1"/>
  <c r="A17980" i="1"/>
  <c r="F17979" i="1"/>
  <c r="E17979" i="1"/>
  <c r="D17979" i="1"/>
  <c r="C17979" i="1"/>
  <c r="B17979" i="1"/>
  <c r="A17979" i="1"/>
  <c r="F17978" i="1"/>
  <c r="E17978" i="1"/>
  <c r="D17978" i="1"/>
  <c r="C17978" i="1"/>
  <c r="B17978" i="1"/>
  <c r="A17978" i="1"/>
  <c r="F17977" i="1"/>
  <c r="E17977" i="1"/>
  <c r="D17977" i="1"/>
  <c r="C17977" i="1"/>
  <c r="B17977" i="1"/>
  <c r="A17977" i="1"/>
  <c r="F17976" i="1"/>
  <c r="E17976" i="1"/>
  <c r="D17976" i="1"/>
  <c r="C17976" i="1"/>
  <c r="B17976" i="1"/>
  <c r="A17976" i="1"/>
  <c r="F17975" i="1"/>
  <c r="E17975" i="1"/>
  <c r="D17975" i="1"/>
  <c r="C17975" i="1"/>
  <c r="B17975" i="1"/>
  <c r="A17975" i="1"/>
  <c r="F17974" i="1"/>
  <c r="E17974" i="1"/>
  <c r="D17974" i="1"/>
  <c r="C17974" i="1"/>
  <c r="B17974" i="1"/>
  <c r="A17974" i="1"/>
  <c r="F17973" i="1"/>
  <c r="E17973" i="1"/>
  <c r="D17973" i="1"/>
  <c r="C17973" i="1"/>
  <c r="B17973" i="1"/>
  <c r="A17973" i="1"/>
  <c r="F17972" i="1"/>
  <c r="E17972" i="1"/>
  <c r="D17972" i="1"/>
  <c r="C17972" i="1"/>
  <c r="B17972" i="1"/>
  <c r="A17972" i="1"/>
  <c r="F17971" i="1"/>
  <c r="E17971" i="1"/>
  <c r="D17971" i="1"/>
  <c r="C17971" i="1"/>
  <c r="B17971" i="1"/>
  <c r="A17971" i="1"/>
  <c r="F17970" i="1"/>
  <c r="E17970" i="1"/>
  <c r="D17970" i="1"/>
  <c r="C17970" i="1"/>
  <c r="B17970" i="1"/>
  <c r="A17970" i="1"/>
  <c r="F17969" i="1"/>
  <c r="E17969" i="1"/>
  <c r="D17969" i="1"/>
  <c r="C17969" i="1"/>
  <c r="B17969" i="1"/>
  <c r="A17969" i="1"/>
  <c r="F17968" i="1"/>
  <c r="E17968" i="1"/>
  <c r="D17968" i="1"/>
  <c r="C17968" i="1"/>
  <c r="B17968" i="1"/>
  <c r="A17968" i="1"/>
  <c r="F17967" i="1"/>
  <c r="E17967" i="1"/>
  <c r="D17967" i="1"/>
  <c r="C17967" i="1"/>
  <c r="B17967" i="1"/>
  <c r="A17967" i="1"/>
  <c r="F17966" i="1"/>
  <c r="E17966" i="1"/>
  <c r="D17966" i="1"/>
  <c r="C17966" i="1"/>
  <c r="B17966" i="1"/>
  <c r="A17966" i="1"/>
  <c r="F17965" i="1"/>
  <c r="E17965" i="1"/>
  <c r="D17965" i="1"/>
  <c r="C17965" i="1"/>
  <c r="B17965" i="1"/>
  <c r="A17965" i="1"/>
  <c r="F17964" i="1"/>
  <c r="E17964" i="1"/>
  <c r="D17964" i="1"/>
  <c r="C17964" i="1"/>
  <c r="B17964" i="1"/>
  <c r="A17964" i="1"/>
  <c r="F17963" i="1"/>
  <c r="E17963" i="1"/>
  <c r="D17963" i="1"/>
  <c r="C17963" i="1"/>
  <c r="B17963" i="1"/>
  <c r="A17963" i="1"/>
  <c r="F17962" i="1"/>
  <c r="E17962" i="1"/>
  <c r="D17962" i="1"/>
  <c r="C17962" i="1"/>
  <c r="B17962" i="1"/>
  <c r="A17962" i="1"/>
  <c r="F17961" i="1"/>
  <c r="E17961" i="1"/>
  <c r="D17961" i="1"/>
  <c r="C17961" i="1"/>
  <c r="B17961" i="1"/>
  <c r="A17961" i="1"/>
  <c r="F17960" i="1"/>
  <c r="E17960" i="1"/>
  <c r="D17960" i="1"/>
  <c r="C17960" i="1"/>
  <c r="B17960" i="1"/>
  <c r="A17960" i="1"/>
  <c r="F17959" i="1"/>
  <c r="E17959" i="1"/>
  <c r="D17959" i="1"/>
  <c r="C17959" i="1"/>
  <c r="B17959" i="1"/>
  <c r="A17959" i="1"/>
  <c r="F17958" i="1"/>
  <c r="E17958" i="1"/>
  <c r="D17958" i="1"/>
  <c r="C17958" i="1"/>
  <c r="B17958" i="1"/>
  <c r="A17958" i="1"/>
  <c r="F17957" i="1"/>
  <c r="E17957" i="1"/>
  <c r="D17957" i="1"/>
  <c r="C17957" i="1"/>
  <c r="B17957" i="1"/>
  <c r="A17957" i="1"/>
  <c r="F17956" i="1"/>
  <c r="E17956" i="1"/>
  <c r="D17956" i="1"/>
  <c r="C17956" i="1"/>
  <c r="B17956" i="1"/>
  <c r="A17956" i="1"/>
  <c r="F17955" i="1"/>
  <c r="E17955" i="1"/>
  <c r="D17955" i="1"/>
  <c r="C17955" i="1"/>
  <c r="B17955" i="1"/>
  <c r="A17955" i="1"/>
  <c r="F17954" i="1"/>
  <c r="E17954" i="1"/>
  <c r="D17954" i="1"/>
  <c r="C17954" i="1"/>
  <c r="B17954" i="1"/>
  <c r="A17954" i="1"/>
  <c r="F17953" i="1"/>
  <c r="E17953" i="1"/>
  <c r="D17953" i="1"/>
  <c r="C17953" i="1"/>
  <c r="B17953" i="1"/>
  <c r="A17953" i="1"/>
  <c r="F17952" i="1"/>
  <c r="E17952" i="1"/>
  <c r="D17952" i="1"/>
  <c r="C17952" i="1"/>
  <c r="B17952" i="1"/>
  <c r="A17952" i="1"/>
  <c r="F17951" i="1"/>
  <c r="E17951" i="1"/>
  <c r="D17951" i="1"/>
  <c r="C17951" i="1"/>
  <c r="B17951" i="1"/>
  <c r="A17951" i="1"/>
  <c r="F17950" i="1"/>
  <c r="E17950" i="1"/>
  <c r="D17950" i="1"/>
  <c r="C17950" i="1"/>
  <c r="B17950" i="1"/>
  <c r="A17950" i="1"/>
  <c r="F17949" i="1"/>
  <c r="E17949" i="1"/>
  <c r="D17949" i="1"/>
  <c r="C17949" i="1"/>
  <c r="B17949" i="1"/>
  <c r="A17949" i="1"/>
  <c r="F17948" i="1"/>
  <c r="E17948" i="1"/>
  <c r="D17948" i="1"/>
  <c r="C17948" i="1"/>
  <c r="B17948" i="1"/>
  <c r="A17948" i="1"/>
  <c r="F17947" i="1"/>
  <c r="E17947" i="1"/>
  <c r="D17947" i="1"/>
  <c r="C17947" i="1"/>
  <c r="B17947" i="1"/>
  <c r="A17947" i="1"/>
  <c r="F17946" i="1"/>
  <c r="E17946" i="1"/>
  <c r="D17946" i="1"/>
  <c r="C17946" i="1"/>
  <c r="B17946" i="1"/>
  <c r="A17946" i="1"/>
  <c r="F17945" i="1"/>
  <c r="E17945" i="1"/>
  <c r="D17945" i="1"/>
  <c r="C17945" i="1"/>
  <c r="B17945" i="1"/>
  <c r="A17945" i="1"/>
  <c r="F17944" i="1"/>
  <c r="E17944" i="1"/>
  <c r="D17944" i="1"/>
  <c r="C17944" i="1"/>
  <c r="B17944" i="1"/>
  <c r="A17944" i="1"/>
  <c r="F17943" i="1"/>
  <c r="E17943" i="1"/>
  <c r="D17943" i="1"/>
  <c r="C17943" i="1"/>
  <c r="B17943" i="1"/>
  <c r="A17943" i="1"/>
  <c r="F17942" i="1"/>
  <c r="E17942" i="1"/>
  <c r="D17942" i="1"/>
  <c r="C17942" i="1"/>
  <c r="B17942" i="1"/>
  <c r="A17942" i="1"/>
  <c r="F17941" i="1"/>
  <c r="E17941" i="1"/>
  <c r="D17941" i="1"/>
  <c r="C17941" i="1"/>
  <c r="B17941" i="1"/>
  <c r="A17941" i="1"/>
  <c r="F17940" i="1"/>
  <c r="E17940" i="1"/>
  <c r="D17940" i="1"/>
  <c r="C17940" i="1"/>
  <c r="B17940" i="1"/>
  <c r="A17940" i="1"/>
  <c r="F17939" i="1"/>
  <c r="E17939" i="1"/>
  <c r="D17939" i="1"/>
  <c r="C17939" i="1"/>
  <c r="B17939" i="1"/>
  <c r="A17939" i="1"/>
  <c r="F17938" i="1"/>
  <c r="E17938" i="1"/>
  <c r="D17938" i="1"/>
  <c r="C17938" i="1"/>
  <c r="B17938" i="1"/>
  <c r="A17938" i="1"/>
  <c r="F17937" i="1"/>
  <c r="E17937" i="1"/>
  <c r="D17937" i="1"/>
  <c r="C17937" i="1"/>
  <c r="B17937" i="1"/>
  <c r="A17937" i="1"/>
  <c r="F17936" i="1"/>
  <c r="E17936" i="1"/>
  <c r="D17936" i="1"/>
  <c r="C17936" i="1"/>
  <c r="B17936" i="1"/>
  <c r="A17936" i="1"/>
  <c r="F17935" i="1"/>
  <c r="E17935" i="1"/>
  <c r="D17935" i="1"/>
  <c r="C17935" i="1"/>
  <c r="B17935" i="1"/>
  <c r="A17935" i="1"/>
  <c r="F17934" i="1"/>
  <c r="E17934" i="1"/>
  <c r="D17934" i="1"/>
  <c r="C17934" i="1"/>
  <c r="B17934" i="1"/>
  <c r="A17934" i="1"/>
  <c r="F17933" i="1"/>
  <c r="E17933" i="1"/>
  <c r="D17933" i="1"/>
  <c r="C17933" i="1"/>
  <c r="B17933" i="1"/>
  <c r="A17933" i="1"/>
  <c r="F17932" i="1"/>
  <c r="E17932" i="1"/>
  <c r="D17932" i="1"/>
  <c r="C17932" i="1"/>
  <c r="B17932" i="1"/>
  <c r="A17932" i="1"/>
  <c r="F17931" i="1"/>
  <c r="E17931" i="1"/>
  <c r="D17931" i="1"/>
  <c r="C17931" i="1"/>
  <c r="B17931" i="1"/>
  <c r="A17931" i="1"/>
  <c r="F17930" i="1"/>
  <c r="E17930" i="1"/>
  <c r="D17930" i="1"/>
  <c r="C17930" i="1"/>
  <c r="B17930" i="1"/>
  <c r="A17930" i="1"/>
  <c r="F17929" i="1"/>
  <c r="E17929" i="1"/>
  <c r="D17929" i="1"/>
  <c r="C17929" i="1"/>
  <c r="B17929" i="1"/>
  <c r="A17929" i="1"/>
  <c r="F17928" i="1"/>
  <c r="E17928" i="1"/>
  <c r="D17928" i="1"/>
  <c r="C17928" i="1"/>
  <c r="B17928" i="1"/>
  <c r="A17928" i="1"/>
  <c r="F17927" i="1"/>
  <c r="E17927" i="1"/>
  <c r="D17927" i="1"/>
  <c r="C17927" i="1"/>
  <c r="B17927" i="1"/>
  <c r="A17927" i="1"/>
  <c r="F17926" i="1"/>
  <c r="E17926" i="1"/>
  <c r="D17926" i="1"/>
  <c r="C17926" i="1"/>
  <c r="B17926" i="1"/>
  <c r="A17926" i="1"/>
  <c r="F17925" i="1"/>
  <c r="E17925" i="1"/>
  <c r="D17925" i="1"/>
  <c r="C17925" i="1"/>
  <c r="B17925" i="1"/>
  <c r="A17925" i="1"/>
  <c r="F17924" i="1"/>
  <c r="E17924" i="1"/>
  <c r="D17924" i="1"/>
  <c r="C17924" i="1"/>
  <c r="B17924" i="1"/>
  <c r="A17924" i="1"/>
  <c r="F17923" i="1"/>
  <c r="E17923" i="1"/>
  <c r="D17923" i="1"/>
  <c r="C17923" i="1"/>
  <c r="B17923" i="1"/>
  <c r="A17923" i="1"/>
  <c r="F17922" i="1"/>
  <c r="E17922" i="1"/>
  <c r="D17922" i="1"/>
  <c r="C17922" i="1"/>
  <c r="B17922" i="1"/>
  <c r="A17922" i="1"/>
  <c r="F17921" i="1"/>
  <c r="E17921" i="1"/>
  <c r="D17921" i="1"/>
  <c r="C17921" i="1"/>
  <c r="B17921" i="1"/>
  <c r="A17921" i="1"/>
  <c r="F17920" i="1"/>
  <c r="E17920" i="1"/>
  <c r="D17920" i="1"/>
  <c r="C17920" i="1"/>
  <c r="B17920" i="1"/>
  <c r="A17920" i="1"/>
  <c r="F17919" i="1"/>
  <c r="E17919" i="1"/>
  <c r="D17919" i="1"/>
  <c r="C17919" i="1"/>
  <c r="B17919" i="1"/>
  <c r="A17919" i="1"/>
  <c r="F17918" i="1"/>
  <c r="E17918" i="1"/>
  <c r="D17918" i="1"/>
  <c r="C17918" i="1"/>
  <c r="B17918" i="1"/>
  <c r="A17918" i="1"/>
  <c r="F17917" i="1"/>
  <c r="E17917" i="1"/>
  <c r="D17917" i="1"/>
  <c r="C17917" i="1"/>
  <c r="B17917" i="1"/>
  <c r="A17917" i="1"/>
  <c r="F17916" i="1"/>
  <c r="E17916" i="1"/>
  <c r="D17916" i="1"/>
  <c r="C17916" i="1"/>
  <c r="B17916" i="1"/>
  <c r="A17916" i="1"/>
  <c r="F17915" i="1"/>
  <c r="E17915" i="1"/>
  <c r="D17915" i="1"/>
  <c r="C17915" i="1"/>
  <c r="B17915" i="1"/>
  <c r="A17915" i="1"/>
  <c r="F17914" i="1"/>
  <c r="E17914" i="1"/>
  <c r="D17914" i="1"/>
  <c r="C17914" i="1"/>
  <c r="B17914" i="1"/>
  <c r="A17914" i="1"/>
  <c r="F17913" i="1"/>
  <c r="E17913" i="1"/>
  <c r="D17913" i="1"/>
  <c r="C17913" i="1"/>
  <c r="B17913" i="1"/>
  <c r="A17913" i="1"/>
  <c r="F17912" i="1"/>
  <c r="E17912" i="1"/>
  <c r="D17912" i="1"/>
  <c r="C17912" i="1"/>
  <c r="B17912" i="1"/>
  <c r="A17912" i="1"/>
  <c r="F17911" i="1"/>
  <c r="E17911" i="1"/>
  <c r="D17911" i="1"/>
  <c r="C17911" i="1"/>
  <c r="B17911" i="1"/>
  <c r="A17911" i="1"/>
  <c r="F17910" i="1"/>
  <c r="E17910" i="1"/>
  <c r="D17910" i="1"/>
  <c r="C17910" i="1"/>
  <c r="B17910" i="1"/>
  <c r="A17910" i="1"/>
  <c r="F17909" i="1"/>
  <c r="E17909" i="1"/>
  <c r="D17909" i="1"/>
  <c r="C17909" i="1"/>
  <c r="B17909" i="1"/>
  <c r="A17909" i="1"/>
  <c r="F17908" i="1"/>
  <c r="E17908" i="1"/>
  <c r="D17908" i="1"/>
  <c r="C17908" i="1"/>
  <c r="B17908" i="1"/>
  <c r="A17908" i="1"/>
  <c r="F17907" i="1"/>
  <c r="E17907" i="1"/>
  <c r="D17907" i="1"/>
  <c r="C17907" i="1"/>
  <c r="B17907" i="1"/>
  <c r="A17907" i="1"/>
  <c r="F17906" i="1"/>
  <c r="E17906" i="1"/>
  <c r="D17906" i="1"/>
  <c r="C17906" i="1"/>
  <c r="B17906" i="1"/>
  <c r="A17906" i="1"/>
  <c r="F17905" i="1"/>
  <c r="E17905" i="1"/>
  <c r="D17905" i="1"/>
  <c r="C17905" i="1"/>
  <c r="B17905" i="1"/>
  <c r="A17905" i="1"/>
  <c r="F17904" i="1"/>
  <c r="E17904" i="1"/>
  <c r="D17904" i="1"/>
  <c r="C17904" i="1"/>
  <c r="B17904" i="1"/>
  <c r="A17904" i="1"/>
  <c r="F17903" i="1"/>
  <c r="E17903" i="1"/>
  <c r="D17903" i="1"/>
  <c r="C17903" i="1"/>
  <c r="B17903" i="1"/>
  <c r="A17903" i="1"/>
  <c r="F17902" i="1"/>
  <c r="E17902" i="1"/>
  <c r="D17902" i="1"/>
  <c r="C17902" i="1"/>
  <c r="B17902" i="1"/>
  <c r="A17902" i="1"/>
  <c r="F17901" i="1"/>
  <c r="E17901" i="1"/>
  <c r="D17901" i="1"/>
  <c r="C17901" i="1"/>
  <c r="B17901" i="1"/>
  <c r="A17901" i="1"/>
  <c r="F17900" i="1"/>
  <c r="E17900" i="1"/>
  <c r="D17900" i="1"/>
  <c r="C17900" i="1"/>
  <c r="B17900" i="1"/>
  <c r="A17900" i="1"/>
  <c r="F17899" i="1"/>
  <c r="E17899" i="1"/>
  <c r="D17899" i="1"/>
  <c r="C17899" i="1"/>
  <c r="B17899" i="1"/>
  <c r="A17899" i="1"/>
  <c r="F17898" i="1"/>
  <c r="E17898" i="1"/>
  <c r="D17898" i="1"/>
  <c r="C17898" i="1"/>
  <c r="B17898" i="1"/>
  <c r="A17898" i="1"/>
  <c r="F17897" i="1"/>
  <c r="E17897" i="1"/>
  <c r="D17897" i="1"/>
  <c r="C17897" i="1"/>
  <c r="B17897" i="1"/>
  <c r="A17897" i="1"/>
  <c r="F17896" i="1"/>
  <c r="E17896" i="1"/>
  <c r="D17896" i="1"/>
  <c r="C17896" i="1"/>
  <c r="B17896" i="1"/>
  <c r="A17896" i="1"/>
  <c r="F17895" i="1"/>
  <c r="E17895" i="1"/>
  <c r="D17895" i="1"/>
  <c r="C17895" i="1"/>
  <c r="B17895" i="1"/>
  <c r="A17895" i="1"/>
  <c r="F17894" i="1"/>
  <c r="E17894" i="1"/>
  <c r="D17894" i="1"/>
  <c r="C17894" i="1"/>
  <c r="B17894" i="1"/>
  <c r="A17894" i="1"/>
  <c r="F17893" i="1"/>
  <c r="E17893" i="1"/>
  <c r="D17893" i="1"/>
  <c r="C17893" i="1"/>
  <c r="B17893" i="1"/>
  <c r="A17893" i="1"/>
  <c r="F17892" i="1"/>
  <c r="E17892" i="1"/>
  <c r="D17892" i="1"/>
  <c r="C17892" i="1"/>
  <c r="B17892" i="1"/>
  <c r="A17892" i="1"/>
  <c r="F17891" i="1"/>
  <c r="E17891" i="1"/>
  <c r="D17891" i="1"/>
  <c r="C17891" i="1"/>
  <c r="B17891" i="1"/>
  <c r="A17891" i="1"/>
  <c r="F17890" i="1"/>
  <c r="E17890" i="1"/>
  <c r="D17890" i="1"/>
  <c r="C17890" i="1"/>
  <c r="B17890" i="1"/>
  <c r="A17890" i="1"/>
  <c r="F17889" i="1"/>
  <c r="E17889" i="1"/>
  <c r="D17889" i="1"/>
  <c r="C17889" i="1"/>
  <c r="B17889" i="1"/>
  <c r="A17889" i="1"/>
  <c r="F17888" i="1"/>
  <c r="E17888" i="1"/>
  <c r="D17888" i="1"/>
  <c r="C17888" i="1"/>
  <c r="B17888" i="1"/>
  <c r="A17888" i="1"/>
  <c r="F17887" i="1"/>
  <c r="E17887" i="1"/>
  <c r="D17887" i="1"/>
  <c r="C17887" i="1"/>
  <c r="B17887" i="1"/>
  <c r="A17887" i="1"/>
  <c r="F17886" i="1"/>
  <c r="E17886" i="1"/>
  <c r="D17886" i="1"/>
  <c r="C17886" i="1"/>
  <c r="B17886" i="1"/>
  <c r="A17886" i="1"/>
  <c r="F17885" i="1"/>
  <c r="E17885" i="1"/>
  <c r="D17885" i="1"/>
  <c r="C17885" i="1"/>
  <c r="B17885" i="1"/>
  <c r="A17885" i="1"/>
  <c r="F17884" i="1"/>
  <c r="E17884" i="1"/>
  <c r="D17884" i="1"/>
  <c r="C17884" i="1"/>
  <c r="B17884" i="1"/>
  <c r="A17884" i="1"/>
  <c r="F17883" i="1"/>
  <c r="E17883" i="1"/>
  <c r="D17883" i="1"/>
  <c r="C17883" i="1"/>
  <c r="B17883" i="1"/>
  <c r="A17883" i="1"/>
  <c r="F17882" i="1"/>
  <c r="E17882" i="1"/>
  <c r="D17882" i="1"/>
  <c r="C17882" i="1"/>
  <c r="B17882" i="1"/>
  <c r="A17882" i="1"/>
  <c r="F17881" i="1"/>
  <c r="E17881" i="1"/>
  <c r="D17881" i="1"/>
  <c r="C17881" i="1"/>
  <c r="B17881" i="1"/>
  <c r="A17881" i="1"/>
  <c r="F17880" i="1"/>
  <c r="E17880" i="1"/>
  <c r="D17880" i="1"/>
  <c r="C17880" i="1"/>
  <c r="B17880" i="1"/>
  <c r="A17880" i="1"/>
  <c r="F17879" i="1"/>
  <c r="E17879" i="1"/>
  <c r="D17879" i="1"/>
  <c r="C17879" i="1"/>
  <c r="B17879" i="1"/>
  <c r="A17879" i="1"/>
  <c r="F17878" i="1"/>
  <c r="E17878" i="1"/>
  <c r="D17878" i="1"/>
  <c r="C17878" i="1"/>
  <c r="B17878" i="1"/>
  <c r="A17878" i="1"/>
  <c r="F17877" i="1"/>
  <c r="E17877" i="1"/>
  <c r="D17877" i="1"/>
  <c r="C17877" i="1"/>
  <c r="B17877" i="1"/>
  <c r="A17877" i="1"/>
  <c r="F17876" i="1"/>
  <c r="E17876" i="1"/>
  <c r="D17876" i="1"/>
  <c r="C17876" i="1"/>
  <c r="B17876" i="1"/>
  <c r="A17876" i="1"/>
  <c r="F17875" i="1"/>
  <c r="E17875" i="1"/>
  <c r="D17875" i="1"/>
  <c r="C17875" i="1"/>
  <c r="B17875" i="1"/>
  <c r="A17875" i="1"/>
  <c r="F17874" i="1"/>
  <c r="E17874" i="1"/>
  <c r="D17874" i="1"/>
  <c r="C17874" i="1"/>
  <c r="B17874" i="1"/>
  <c r="A17874" i="1"/>
  <c r="F17873" i="1"/>
  <c r="E17873" i="1"/>
  <c r="D17873" i="1"/>
  <c r="C17873" i="1"/>
  <c r="B17873" i="1"/>
  <c r="A17873" i="1"/>
  <c r="F17872" i="1"/>
  <c r="E17872" i="1"/>
  <c r="D17872" i="1"/>
  <c r="C17872" i="1"/>
  <c r="B17872" i="1"/>
  <c r="A17872" i="1"/>
  <c r="F17871" i="1"/>
  <c r="E17871" i="1"/>
  <c r="D17871" i="1"/>
  <c r="C17871" i="1"/>
  <c r="B17871" i="1"/>
  <c r="A17871" i="1"/>
  <c r="F17870" i="1"/>
  <c r="E17870" i="1"/>
  <c r="D17870" i="1"/>
  <c r="C17870" i="1"/>
  <c r="B17870" i="1"/>
  <c r="A17870" i="1"/>
  <c r="F17869" i="1"/>
  <c r="E17869" i="1"/>
  <c r="D17869" i="1"/>
  <c r="C17869" i="1"/>
  <c r="B17869" i="1"/>
  <c r="A17869" i="1"/>
  <c r="F17868" i="1"/>
  <c r="E17868" i="1"/>
  <c r="D17868" i="1"/>
  <c r="C17868" i="1"/>
  <c r="B17868" i="1"/>
  <c r="A17868" i="1"/>
  <c r="F17867" i="1"/>
  <c r="E17867" i="1"/>
  <c r="D17867" i="1"/>
  <c r="C17867" i="1"/>
  <c r="B17867" i="1"/>
  <c r="A17867" i="1"/>
  <c r="F17866" i="1"/>
  <c r="E17866" i="1"/>
  <c r="D17866" i="1"/>
  <c r="C17866" i="1"/>
  <c r="B17866" i="1"/>
  <c r="A17866" i="1"/>
  <c r="F17865" i="1"/>
  <c r="E17865" i="1"/>
  <c r="D17865" i="1"/>
  <c r="C17865" i="1"/>
  <c r="B17865" i="1"/>
  <c r="A17865" i="1"/>
  <c r="F17864" i="1"/>
  <c r="E17864" i="1"/>
  <c r="D17864" i="1"/>
  <c r="C17864" i="1"/>
  <c r="B17864" i="1"/>
  <c r="A17864" i="1"/>
  <c r="F17863" i="1"/>
  <c r="E17863" i="1"/>
  <c r="D17863" i="1"/>
  <c r="C17863" i="1"/>
  <c r="B17863" i="1"/>
  <c r="A17863" i="1"/>
  <c r="F17862" i="1"/>
  <c r="E17862" i="1"/>
  <c r="D17862" i="1"/>
  <c r="C17862" i="1"/>
  <c r="B17862" i="1"/>
  <c r="A17862" i="1"/>
  <c r="F17861" i="1"/>
  <c r="E17861" i="1"/>
  <c r="D17861" i="1"/>
  <c r="C17861" i="1"/>
  <c r="B17861" i="1"/>
  <c r="A17861" i="1"/>
  <c r="F17860" i="1"/>
  <c r="E17860" i="1"/>
  <c r="D17860" i="1"/>
  <c r="C17860" i="1"/>
  <c r="B17860" i="1"/>
  <c r="A17860" i="1"/>
  <c r="F17859" i="1"/>
  <c r="E17859" i="1"/>
  <c r="D17859" i="1"/>
  <c r="C17859" i="1"/>
  <c r="B17859" i="1"/>
  <c r="A17859" i="1"/>
  <c r="F17858" i="1"/>
  <c r="E17858" i="1"/>
  <c r="D17858" i="1"/>
  <c r="C17858" i="1"/>
  <c r="B17858" i="1"/>
  <c r="A17858" i="1"/>
  <c r="F17857" i="1"/>
  <c r="E17857" i="1"/>
  <c r="D17857" i="1"/>
  <c r="C17857" i="1"/>
  <c r="B17857" i="1"/>
  <c r="A17857" i="1"/>
  <c r="F17856" i="1"/>
  <c r="E17856" i="1"/>
  <c r="D17856" i="1"/>
  <c r="C17856" i="1"/>
  <c r="B17856" i="1"/>
  <c r="A17856" i="1"/>
  <c r="F17855" i="1"/>
  <c r="E17855" i="1"/>
  <c r="D17855" i="1"/>
  <c r="C17855" i="1"/>
  <c r="B17855" i="1"/>
  <c r="A17855" i="1"/>
  <c r="F17854" i="1"/>
  <c r="E17854" i="1"/>
  <c r="D17854" i="1"/>
  <c r="C17854" i="1"/>
  <c r="B17854" i="1"/>
  <c r="A17854" i="1"/>
  <c r="F17853" i="1"/>
  <c r="E17853" i="1"/>
  <c r="D17853" i="1"/>
  <c r="C17853" i="1"/>
  <c r="B17853" i="1"/>
  <c r="A17853" i="1"/>
  <c r="F17852" i="1"/>
  <c r="E17852" i="1"/>
  <c r="D17852" i="1"/>
  <c r="C17852" i="1"/>
  <c r="B17852" i="1"/>
  <c r="A17852" i="1"/>
  <c r="F17851" i="1"/>
  <c r="E17851" i="1"/>
  <c r="D17851" i="1"/>
  <c r="C17851" i="1"/>
  <c r="B17851" i="1"/>
  <c r="A17851" i="1"/>
  <c r="F17850" i="1"/>
  <c r="E17850" i="1"/>
  <c r="D17850" i="1"/>
  <c r="C17850" i="1"/>
  <c r="B17850" i="1"/>
  <c r="A17850" i="1"/>
  <c r="F17849" i="1"/>
  <c r="E17849" i="1"/>
  <c r="D17849" i="1"/>
  <c r="C17849" i="1"/>
  <c r="B17849" i="1"/>
  <c r="A17849" i="1"/>
  <c r="F17848" i="1"/>
  <c r="E17848" i="1"/>
  <c r="D17848" i="1"/>
  <c r="C17848" i="1"/>
  <c r="B17848" i="1"/>
  <c r="A17848" i="1"/>
  <c r="F17847" i="1"/>
  <c r="E17847" i="1"/>
  <c r="D17847" i="1"/>
  <c r="C17847" i="1"/>
  <c r="B17847" i="1"/>
  <c r="A17847" i="1"/>
  <c r="F17846" i="1"/>
  <c r="E17846" i="1"/>
  <c r="D17846" i="1"/>
  <c r="C17846" i="1"/>
  <c r="B17846" i="1"/>
  <c r="A17846" i="1"/>
  <c r="F17845" i="1"/>
  <c r="E17845" i="1"/>
  <c r="D17845" i="1"/>
  <c r="C17845" i="1"/>
  <c r="B17845" i="1"/>
  <c r="A17845" i="1"/>
  <c r="F17844" i="1"/>
  <c r="E17844" i="1"/>
  <c r="D17844" i="1"/>
  <c r="C17844" i="1"/>
  <c r="B17844" i="1"/>
  <c r="A17844" i="1"/>
  <c r="F17843" i="1"/>
  <c r="E17843" i="1"/>
  <c r="D17843" i="1"/>
  <c r="C17843" i="1"/>
  <c r="B17843" i="1"/>
  <c r="A17843" i="1"/>
  <c r="F17842" i="1"/>
  <c r="E17842" i="1"/>
  <c r="D17842" i="1"/>
  <c r="C17842" i="1"/>
  <c r="B17842" i="1"/>
  <c r="A17842" i="1"/>
  <c r="F17841" i="1"/>
  <c r="E17841" i="1"/>
  <c r="D17841" i="1"/>
  <c r="C17841" i="1"/>
  <c r="B17841" i="1"/>
  <c r="A17841" i="1"/>
  <c r="F17840" i="1"/>
  <c r="E17840" i="1"/>
  <c r="D17840" i="1"/>
  <c r="C17840" i="1"/>
  <c r="B17840" i="1"/>
  <c r="A17840" i="1"/>
  <c r="F17839" i="1"/>
  <c r="E17839" i="1"/>
  <c r="D17839" i="1"/>
  <c r="C17839" i="1"/>
  <c r="B17839" i="1"/>
  <c r="A17839" i="1"/>
  <c r="F17838" i="1"/>
  <c r="E17838" i="1"/>
  <c r="D17838" i="1"/>
  <c r="C17838" i="1"/>
  <c r="B17838" i="1"/>
  <c r="A17838" i="1"/>
  <c r="F17837" i="1"/>
  <c r="E17837" i="1"/>
  <c r="D17837" i="1"/>
  <c r="C17837" i="1"/>
  <c r="B17837" i="1"/>
  <c r="A17837" i="1"/>
  <c r="F17836" i="1"/>
  <c r="E17836" i="1"/>
  <c r="D17836" i="1"/>
  <c r="C17836" i="1"/>
  <c r="B17836" i="1"/>
  <c r="A17836" i="1"/>
  <c r="F17835" i="1"/>
  <c r="E17835" i="1"/>
  <c r="D17835" i="1"/>
  <c r="C17835" i="1"/>
  <c r="B17835" i="1"/>
  <c r="A17835" i="1"/>
  <c r="F17834" i="1"/>
  <c r="E17834" i="1"/>
  <c r="D17834" i="1"/>
  <c r="C17834" i="1"/>
  <c r="B17834" i="1"/>
  <c r="A17834" i="1"/>
  <c r="F17833" i="1"/>
  <c r="E17833" i="1"/>
  <c r="D17833" i="1"/>
  <c r="C17833" i="1"/>
  <c r="B17833" i="1"/>
  <c r="A17833" i="1"/>
  <c r="F17832" i="1"/>
  <c r="E17832" i="1"/>
  <c r="D17832" i="1"/>
  <c r="C17832" i="1"/>
  <c r="B17832" i="1"/>
  <c r="A17832" i="1"/>
  <c r="F17831" i="1"/>
  <c r="E17831" i="1"/>
  <c r="D17831" i="1"/>
  <c r="C17831" i="1"/>
  <c r="B17831" i="1"/>
  <c r="A17831" i="1"/>
  <c r="F17830" i="1"/>
  <c r="E17830" i="1"/>
  <c r="D17830" i="1"/>
  <c r="C17830" i="1"/>
  <c r="B17830" i="1"/>
  <c r="A17830" i="1"/>
  <c r="F17829" i="1"/>
  <c r="E17829" i="1"/>
  <c r="D17829" i="1"/>
  <c r="C17829" i="1"/>
  <c r="B17829" i="1"/>
  <c r="A17829" i="1"/>
  <c r="F17828" i="1"/>
  <c r="E17828" i="1"/>
  <c r="D17828" i="1"/>
  <c r="C17828" i="1"/>
  <c r="B17828" i="1"/>
  <c r="A17828" i="1"/>
  <c r="F17827" i="1"/>
  <c r="E17827" i="1"/>
  <c r="D17827" i="1"/>
  <c r="C17827" i="1"/>
  <c r="B17827" i="1"/>
  <c r="A17827" i="1"/>
  <c r="F17826" i="1"/>
  <c r="E17826" i="1"/>
  <c r="D17826" i="1"/>
  <c r="C17826" i="1"/>
  <c r="B17826" i="1"/>
  <c r="A17826" i="1"/>
  <c r="F17825" i="1"/>
  <c r="E17825" i="1"/>
  <c r="D17825" i="1"/>
  <c r="C17825" i="1"/>
  <c r="B17825" i="1"/>
  <c r="A17825" i="1"/>
  <c r="F17824" i="1"/>
  <c r="E17824" i="1"/>
  <c r="D17824" i="1"/>
  <c r="C17824" i="1"/>
  <c r="B17824" i="1"/>
  <c r="A17824" i="1"/>
  <c r="F17823" i="1"/>
  <c r="E17823" i="1"/>
  <c r="D17823" i="1"/>
  <c r="C17823" i="1"/>
  <c r="B17823" i="1"/>
  <c r="A17823" i="1"/>
  <c r="F17822" i="1"/>
  <c r="E17822" i="1"/>
  <c r="D17822" i="1"/>
  <c r="C17822" i="1"/>
  <c r="B17822" i="1"/>
  <c r="A17822" i="1"/>
  <c r="F17821" i="1"/>
  <c r="E17821" i="1"/>
  <c r="D17821" i="1"/>
  <c r="C17821" i="1"/>
  <c r="B17821" i="1"/>
  <c r="A17821" i="1"/>
  <c r="F17820" i="1"/>
  <c r="E17820" i="1"/>
  <c r="D17820" i="1"/>
  <c r="C17820" i="1"/>
  <c r="B17820" i="1"/>
  <c r="A17820" i="1"/>
  <c r="F17819" i="1"/>
  <c r="E17819" i="1"/>
  <c r="D17819" i="1"/>
  <c r="C17819" i="1"/>
  <c r="B17819" i="1"/>
  <c r="A17819" i="1"/>
  <c r="F17818" i="1"/>
  <c r="E17818" i="1"/>
  <c r="D17818" i="1"/>
  <c r="C17818" i="1"/>
  <c r="B17818" i="1"/>
  <c r="A17818" i="1"/>
  <c r="F17817" i="1"/>
  <c r="E17817" i="1"/>
  <c r="D17817" i="1"/>
  <c r="C17817" i="1"/>
  <c r="B17817" i="1"/>
  <c r="A17817" i="1"/>
  <c r="F17816" i="1"/>
  <c r="E17816" i="1"/>
  <c r="D17816" i="1"/>
  <c r="C17816" i="1"/>
  <c r="B17816" i="1"/>
  <c r="A17816" i="1"/>
  <c r="F17815" i="1"/>
  <c r="E17815" i="1"/>
  <c r="D17815" i="1"/>
  <c r="C17815" i="1"/>
  <c r="B17815" i="1"/>
  <c r="A17815" i="1"/>
  <c r="F17814" i="1"/>
  <c r="E17814" i="1"/>
  <c r="D17814" i="1"/>
  <c r="C17814" i="1"/>
  <c r="B17814" i="1"/>
  <c r="A17814" i="1"/>
  <c r="F17813" i="1"/>
  <c r="E17813" i="1"/>
  <c r="D17813" i="1"/>
  <c r="C17813" i="1"/>
  <c r="B17813" i="1"/>
  <c r="A17813" i="1"/>
  <c r="F17812" i="1"/>
  <c r="E17812" i="1"/>
  <c r="D17812" i="1"/>
  <c r="C17812" i="1"/>
  <c r="B17812" i="1"/>
  <c r="A17812" i="1"/>
  <c r="F17811" i="1"/>
  <c r="E17811" i="1"/>
  <c r="D17811" i="1"/>
  <c r="C17811" i="1"/>
  <c r="B17811" i="1"/>
  <c r="A17811" i="1"/>
  <c r="F17810" i="1"/>
  <c r="E17810" i="1"/>
  <c r="D17810" i="1"/>
  <c r="C17810" i="1"/>
  <c r="B17810" i="1"/>
  <c r="A17810" i="1"/>
  <c r="F17809" i="1"/>
  <c r="E17809" i="1"/>
  <c r="D17809" i="1"/>
  <c r="C17809" i="1"/>
  <c r="B17809" i="1"/>
  <c r="A17809" i="1"/>
  <c r="F17808" i="1"/>
  <c r="E17808" i="1"/>
  <c r="D17808" i="1"/>
  <c r="C17808" i="1"/>
  <c r="B17808" i="1"/>
  <c r="A17808" i="1"/>
  <c r="F17807" i="1"/>
  <c r="E17807" i="1"/>
  <c r="D17807" i="1"/>
  <c r="C17807" i="1"/>
  <c r="B17807" i="1"/>
  <c r="A17807" i="1"/>
  <c r="F17806" i="1"/>
  <c r="E17806" i="1"/>
  <c r="D17806" i="1"/>
  <c r="C17806" i="1"/>
  <c r="B17806" i="1"/>
  <c r="A17806" i="1"/>
  <c r="F17805" i="1"/>
  <c r="E17805" i="1"/>
  <c r="D17805" i="1"/>
  <c r="C17805" i="1"/>
  <c r="B17805" i="1"/>
  <c r="A17805" i="1"/>
  <c r="F17804" i="1"/>
  <c r="E17804" i="1"/>
  <c r="D17804" i="1"/>
  <c r="C17804" i="1"/>
  <c r="B17804" i="1"/>
  <c r="A17804" i="1"/>
  <c r="F17803" i="1"/>
  <c r="E17803" i="1"/>
  <c r="D17803" i="1"/>
  <c r="C17803" i="1"/>
  <c r="B17803" i="1"/>
  <c r="A17803" i="1"/>
  <c r="F17802" i="1"/>
  <c r="E17802" i="1"/>
  <c r="D17802" i="1"/>
  <c r="C17802" i="1"/>
  <c r="B17802" i="1"/>
  <c r="A17802" i="1"/>
  <c r="F17801" i="1"/>
  <c r="E17801" i="1"/>
  <c r="D17801" i="1"/>
  <c r="C17801" i="1"/>
  <c r="B17801" i="1"/>
  <c r="A17801" i="1"/>
  <c r="F17800" i="1"/>
  <c r="E17800" i="1"/>
  <c r="D17800" i="1"/>
  <c r="C17800" i="1"/>
  <c r="B17800" i="1"/>
  <c r="A17800" i="1"/>
  <c r="F17799" i="1"/>
  <c r="E17799" i="1"/>
  <c r="D17799" i="1"/>
  <c r="C17799" i="1"/>
  <c r="B17799" i="1"/>
  <c r="A17799" i="1"/>
  <c r="F17798" i="1"/>
  <c r="E17798" i="1"/>
  <c r="D17798" i="1"/>
  <c r="C17798" i="1"/>
  <c r="B17798" i="1"/>
  <c r="A17798" i="1"/>
  <c r="F17797" i="1"/>
  <c r="E17797" i="1"/>
  <c r="D17797" i="1"/>
  <c r="C17797" i="1"/>
  <c r="B17797" i="1"/>
  <c r="A17797" i="1"/>
  <c r="F17796" i="1"/>
  <c r="E17796" i="1"/>
  <c r="D17796" i="1"/>
  <c r="C17796" i="1"/>
  <c r="B17796" i="1"/>
  <c r="A17796" i="1"/>
  <c r="F17795" i="1"/>
  <c r="E17795" i="1"/>
  <c r="D17795" i="1"/>
  <c r="C17795" i="1"/>
  <c r="B17795" i="1"/>
  <c r="A17795" i="1"/>
  <c r="F17794" i="1"/>
  <c r="E17794" i="1"/>
  <c r="D17794" i="1"/>
  <c r="C17794" i="1"/>
  <c r="B17794" i="1"/>
  <c r="A17794" i="1"/>
  <c r="F17793" i="1"/>
  <c r="E17793" i="1"/>
  <c r="D17793" i="1"/>
  <c r="C17793" i="1"/>
  <c r="B17793" i="1"/>
  <c r="A17793" i="1"/>
  <c r="F17792" i="1"/>
  <c r="E17792" i="1"/>
  <c r="D17792" i="1"/>
  <c r="C17792" i="1"/>
  <c r="B17792" i="1"/>
  <c r="A17792" i="1"/>
  <c r="F17791" i="1"/>
  <c r="E17791" i="1"/>
  <c r="D17791" i="1"/>
  <c r="C17791" i="1"/>
  <c r="B17791" i="1"/>
  <c r="A17791" i="1"/>
  <c r="F17790" i="1"/>
  <c r="E17790" i="1"/>
  <c r="D17790" i="1"/>
  <c r="C17790" i="1"/>
  <c r="B17790" i="1"/>
  <c r="A17790" i="1"/>
  <c r="F17789" i="1"/>
  <c r="E17789" i="1"/>
  <c r="D17789" i="1"/>
  <c r="C17789" i="1"/>
  <c r="B17789" i="1"/>
  <c r="A17789" i="1"/>
  <c r="F17788" i="1"/>
  <c r="E17788" i="1"/>
  <c r="D17788" i="1"/>
  <c r="C17788" i="1"/>
  <c r="B17788" i="1"/>
  <c r="A17788" i="1"/>
  <c r="F17787" i="1"/>
  <c r="E17787" i="1"/>
  <c r="D17787" i="1"/>
  <c r="C17787" i="1"/>
  <c r="B17787" i="1"/>
  <c r="A17787" i="1"/>
  <c r="F17786" i="1"/>
  <c r="E17786" i="1"/>
  <c r="D17786" i="1"/>
  <c r="C17786" i="1"/>
  <c r="B17786" i="1"/>
  <c r="A17786" i="1"/>
  <c r="F17785" i="1"/>
  <c r="E17785" i="1"/>
  <c r="D17785" i="1"/>
  <c r="C17785" i="1"/>
  <c r="B17785" i="1"/>
  <c r="A17785" i="1"/>
  <c r="F17784" i="1"/>
  <c r="E17784" i="1"/>
  <c r="D17784" i="1"/>
  <c r="C17784" i="1"/>
  <c r="B17784" i="1"/>
  <c r="A17784" i="1"/>
  <c r="F17783" i="1"/>
  <c r="E17783" i="1"/>
  <c r="D17783" i="1"/>
  <c r="C17783" i="1"/>
  <c r="B17783" i="1"/>
  <c r="A17783" i="1"/>
  <c r="F17782" i="1"/>
  <c r="E17782" i="1"/>
  <c r="D17782" i="1"/>
  <c r="C17782" i="1"/>
  <c r="B17782" i="1"/>
  <c r="A17782" i="1"/>
  <c r="F17781" i="1"/>
  <c r="E17781" i="1"/>
  <c r="D17781" i="1"/>
  <c r="C17781" i="1"/>
  <c r="B17781" i="1"/>
  <c r="A17781" i="1"/>
  <c r="F17780" i="1"/>
  <c r="E17780" i="1"/>
  <c r="D17780" i="1"/>
  <c r="C17780" i="1"/>
  <c r="B17780" i="1"/>
  <c r="A17780" i="1"/>
  <c r="F17779" i="1"/>
  <c r="E17779" i="1"/>
  <c r="D17779" i="1"/>
  <c r="C17779" i="1"/>
  <c r="B17779" i="1"/>
  <c r="A17779" i="1"/>
  <c r="F17778" i="1"/>
  <c r="E17778" i="1"/>
  <c r="D17778" i="1"/>
  <c r="C17778" i="1"/>
  <c r="B17778" i="1"/>
  <c r="A17778" i="1"/>
  <c r="F17777" i="1"/>
  <c r="E17777" i="1"/>
  <c r="D17777" i="1"/>
  <c r="C17777" i="1"/>
  <c r="B17777" i="1"/>
  <c r="A17777" i="1"/>
  <c r="F17776" i="1"/>
  <c r="E17776" i="1"/>
  <c r="D17776" i="1"/>
  <c r="C17776" i="1"/>
  <c r="B17776" i="1"/>
  <c r="A17776" i="1"/>
  <c r="F17775" i="1"/>
  <c r="E17775" i="1"/>
  <c r="D17775" i="1"/>
  <c r="C17775" i="1"/>
  <c r="B17775" i="1"/>
  <c r="A17775" i="1"/>
  <c r="F17774" i="1"/>
  <c r="E17774" i="1"/>
  <c r="D17774" i="1"/>
  <c r="C17774" i="1"/>
  <c r="B17774" i="1"/>
  <c r="A17774" i="1"/>
  <c r="F17773" i="1"/>
  <c r="E17773" i="1"/>
  <c r="D17773" i="1"/>
  <c r="C17773" i="1"/>
  <c r="B17773" i="1"/>
  <c r="A17773" i="1"/>
  <c r="F17772" i="1"/>
  <c r="E17772" i="1"/>
  <c r="D17772" i="1"/>
  <c r="C17772" i="1"/>
  <c r="B17772" i="1"/>
  <c r="A17772" i="1"/>
  <c r="F17771" i="1"/>
  <c r="E17771" i="1"/>
  <c r="D17771" i="1"/>
  <c r="C17771" i="1"/>
  <c r="B17771" i="1"/>
  <c r="A17771" i="1"/>
  <c r="F17770" i="1"/>
  <c r="E17770" i="1"/>
  <c r="D17770" i="1"/>
  <c r="C17770" i="1"/>
  <c r="B17770" i="1"/>
  <c r="A17770" i="1"/>
  <c r="F17769" i="1"/>
  <c r="E17769" i="1"/>
  <c r="D17769" i="1"/>
  <c r="C17769" i="1"/>
  <c r="B17769" i="1"/>
  <c r="A17769" i="1"/>
  <c r="F17768" i="1"/>
  <c r="E17768" i="1"/>
  <c r="D17768" i="1"/>
  <c r="C17768" i="1"/>
  <c r="B17768" i="1"/>
  <c r="A17768" i="1"/>
  <c r="F17767" i="1"/>
  <c r="E17767" i="1"/>
  <c r="D17767" i="1"/>
  <c r="C17767" i="1"/>
  <c r="B17767" i="1"/>
  <c r="A17767" i="1"/>
  <c r="F17766" i="1"/>
  <c r="E17766" i="1"/>
  <c r="D17766" i="1"/>
  <c r="C17766" i="1"/>
  <c r="B17766" i="1"/>
  <c r="A17766" i="1"/>
  <c r="F17765" i="1"/>
  <c r="E17765" i="1"/>
  <c r="D17765" i="1"/>
  <c r="C17765" i="1"/>
  <c r="B17765" i="1"/>
  <c r="A17765" i="1"/>
  <c r="F17764" i="1"/>
  <c r="E17764" i="1"/>
  <c r="D17764" i="1"/>
  <c r="C17764" i="1"/>
  <c r="B17764" i="1"/>
  <c r="A17764" i="1"/>
  <c r="F17763" i="1"/>
  <c r="E17763" i="1"/>
  <c r="D17763" i="1"/>
  <c r="C17763" i="1"/>
  <c r="B17763" i="1"/>
  <c r="A17763" i="1"/>
  <c r="F17762" i="1"/>
  <c r="E17762" i="1"/>
  <c r="D17762" i="1"/>
  <c r="C17762" i="1"/>
  <c r="B17762" i="1"/>
  <c r="A17762" i="1"/>
  <c r="F17761" i="1"/>
  <c r="E17761" i="1"/>
  <c r="D17761" i="1"/>
  <c r="C17761" i="1"/>
  <c r="B17761" i="1"/>
  <c r="A17761" i="1"/>
  <c r="F17760" i="1"/>
  <c r="E17760" i="1"/>
  <c r="D17760" i="1"/>
  <c r="C17760" i="1"/>
  <c r="B17760" i="1"/>
  <c r="A17760" i="1"/>
  <c r="F17759" i="1"/>
  <c r="E17759" i="1"/>
  <c r="D17759" i="1"/>
  <c r="C17759" i="1"/>
  <c r="B17759" i="1"/>
  <c r="A17759" i="1"/>
  <c r="F17758" i="1"/>
  <c r="E17758" i="1"/>
  <c r="D17758" i="1"/>
  <c r="C17758" i="1"/>
  <c r="B17758" i="1"/>
  <c r="A17758" i="1"/>
  <c r="F17757" i="1"/>
  <c r="E17757" i="1"/>
  <c r="D17757" i="1"/>
  <c r="C17757" i="1"/>
  <c r="B17757" i="1"/>
  <c r="A17757" i="1"/>
  <c r="F17756" i="1"/>
  <c r="E17756" i="1"/>
  <c r="D17756" i="1"/>
  <c r="C17756" i="1"/>
  <c r="B17756" i="1"/>
  <c r="A17756" i="1"/>
  <c r="F17755" i="1"/>
  <c r="E17755" i="1"/>
  <c r="D17755" i="1"/>
  <c r="C17755" i="1"/>
  <c r="B17755" i="1"/>
  <c r="A17755" i="1"/>
  <c r="F17754" i="1"/>
  <c r="E17754" i="1"/>
  <c r="D17754" i="1"/>
  <c r="C17754" i="1"/>
  <c r="B17754" i="1"/>
  <c r="A17754" i="1"/>
  <c r="F17753" i="1"/>
  <c r="E17753" i="1"/>
  <c r="D17753" i="1"/>
  <c r="C17753" i="1"/>
  <c r="B17753" i="1"/>
  <c r="A17753" i="1"/>
  <c r="F17752" i="1"/>
  <c r="E17752" i="1"/>
  <c r="D17752" i="1"/>
  <c r="C17752" i="1"/>
  <c r="B17752" i="1"/>
  <c r="A17752" i="1"/>
  <c r="F17751" i="1"/>
  <c r="E17751" i="1"/>
  <c r="D17751" i="1"/>
  <c r="C17751" i="1"/>
  <c r="B17751" i="1"/>
  <c r="A17751" i="1"/>
  <c r="F17750" i="1"/>
  <c r="E17750" i="1"/>
  <c r="D17750" i="1"/>
  <c r="C17750" i="1"/>
  <c r="B17750" i="1"/>
  <c r="A17750" i="1"/>
  <c r="F17749" i="1"/>
  <c r="E17749" i="1"/>
  <c r="D17749" i="1"/>
  <c r="C17749" i="1"/>
  <c r="B17749" i="1"/>
  <c r="A17749" i="1"/>
  <c r="F17748" i="1"/>
  <c r="E17748" i="1"/>
  <c r="D17748" i="1"/>
  <c r="C17748" i="1"/>
  <c r="B17748" i="1"/>
  <c r="A17748" i="1"/>
  <c r="F17747" i="1"/>
  <c r="E17747" i="1"/>
  <c r="D17747" i="1"/>
  <c r="C17747" i="1"/>
  <c r="B17747" i="1"/>
  <c r="A17747" i="1"/>
  <c r="F17746" i="1"/>
  <c r="E17746" i="1"/>
  <c r="D17746" i="1"/>
  <c r="C17746" i="1"/>
  <c r="B17746" i="1"/>
  <c r="A17746" i="1"/>
  <c r="F17745" i="1"/>
  <c r="E17745" i="1"/>
  <c r="D17745" i="1"/>
  <c r="C17745" i="1"/>
  <c r="B17745" i="1"/>
  <c r="A17745" i="1"/>
  <c r="F17744" i="1"/>
  <c r="E17744" i="1"/>
  <c r="D17744" i="1"/>
  <c r="C17744" i="1"/>
  <c r="B17744" i="1"/>
  <c r="A17744" i="1"/>
  <c r="F17743" i="1"/>
  <c r="E17743" i="1"/>
  <c r="D17743" i="1"/>
  <c r="C17743" i="1"/>
  <c r="B17743" i="1"/>
  <c r="A17743" i="1"/>
  <c r="F17742" i="1"/>
  <c r="E17742" i="1"/>
  <c r="D17742" i="1"/>
  <c r="C17742" i="1"/>
  <c r="B17742" i="1"/>
  <c r="A17742" i="1"/>
  <c r="F17741" i="1"/>
  <c r="E17741" i="1"/>
  <c r="D17741" i="1"/>
  <c r="C17741" i="1"/>
  <c r="B17741" i="1"/>
  <c r="A17741" i="1"/>
  <c r="F17740" i="1"/>
  <c r="E17740" i="1"/>
  <c r="D17740" i="1"/>
  <c r="C17740" i="1"/>
  <c r="B17740" i="1"/>
  <c r="A17740" i="1"/>
  <c r="F17739" i="1"/>
  <c r="E17739" i="1"/>
  <c r="D17739" i="1"/>
  <c r="C17739" i="1"/>
  <c r="B17739" i="1"/>
  <c r="A17739" i="1"/>
  <c r="F17738" i="1"/>
  <c r="E17738" i="1"/>
  <c r="D17738" i="1"/>
  <c r="C17738" i="1"/>
  <c r="B17738" i="1"/>
  <c r="A17738" i="1"/>
  <c r="F17737" i="1"/>
  <c r="E17737" i="1"/>
  <c r="D17737" i="1"/>
  <c r="C17737" i="1"/>
  <c r="B17737" i="1"/>
  <c r="A17737" i="1"/>
  <c r="F17736" i="1"/>
  <c r="E17736" i="1"/>
  <c r="D17736" i="1"/>
  <c r="C17736" i="1"/>
  <c r="B17736" i="1"/>
  <c r="A17736" i="1"/>
  <c r="F17735" i="1"/>
  <c r="E17735" i="1"/>
  <c r="D17735" i="1"/>
  <c r="C17735" i="1"/>
  <c r="B17735" i="1"/>
  <c r="A17735" i="1"/>
  <c r="F17734" i="1"/>
  <c r="E17734" i="1"/>
  <c r="D17734" i="1"/>
  <c r="C17734" i="1"/>
  <c r="B17734" i="1"/>
  <c r="A17734" i="1"/>
  <c r="F17733" i="1"/>
  <c r="E17733" i="1"/>
  <c r="D17733" i="1"/>
  <c r="C17733" i="1"/>
  <c r="B17733" i="1"/>
  <c r="A17733" i="1"/>
  <c r="F17732" i="1"/>
  <c r="E17732" i="1"/>
  <c r="D17732" i="1"/>
  <c r="C17732" i="1"/>
  <c r="B17732" i="1"/>
  <c r="A17732" i="1"/>
  <c r="F17731" i="1"/>
  <c r="E17731" i="1"/>
  <c r="D17731" i="1"/>
  <c r="C17731" i="1"/>
  <c r="B17731" i="1"/>
  <c r="A17731" i="1"/>
  <c r="F17730" i="1"/>
  <c r="E17730" i="1"/>
  <c r="D17730" i="1"/>
  <c r="C17730" i="1"/>
  <c r="B17730" i="1"/>
  <c r="A17730" i="1"/>
  <c r="F17729" i="1"/>
  <c r="E17729" i="1"/>
  <c r="D17729" i="1"/>
  <c r="C17729" i="1"/>
  <c r="B17729" i="1"/>
  <c r="A17729" i="1"/>
  <c r="F17728" i="1"/>
  <c r="E17728" i="1"/>
  <c r="D17728" i="1"/>
  <c r="C17728" i="1"/>
  <c r="B17728" i="1"/>
  <c r="A17728" i="1"/>
  <c r="F17727" i="1"/>
  <c r="E17727" i="1"/>
  <c r="D17727" i="1"/>
  <c r="C17727" i="1"/>
  <c r="B17727" i="1"/>
  <c r="A17727" i="1"/>
  <c r="F17726" i="1"/>
  <c r="E17726" i="1"/>
  <c r="D17726" i="1"/>
  <c r="C17726" i="1"/>
  <c r="B17726" i="1"/>
  <c r="A17726" i="1"/>
  <c r="F17725" i="1"/>
  <c r="E17725" i="1"/>
  <c r="D17725" i="1"/>
  <c r="C17725" i="1"/>
  <c r="B17725" i="1"/>
  <c r="A17725" i="1"/>
  <c r="F17724" i="1"/>
  <c r="E17724" i="1"/>
  <c r="D17724" i="1"/>
  <c r="C17724" i="1"/>
  <c r="B17724" i="1"/>
  <c r="A17724" i="1"/>
  <c r="F17723" i="1"/>
  <c r="E17723" i="1"/>
  <c r="D17723" i="1"/>
  <c r="C17723" i="1"/>
  <c r="B17723" i="1"/>
  <c r="A17723" i="1"/>
  <c r="F17722" i="1"/>
  <c r="E17722" i="1"/>
  <c r="D17722" i="1"/>
  <c r="C17722" i="1"/>
  <c r="B17722" i="1"/>
  <c r="A17722" i="1"/>
  <c r="F17721" i="1"/>
  <c r="E17721" i="1"/>
  <c r="D17721" i="1"/>
  <c r="C17721" i="1"/>
  <c r="B17721" i="1"/>
  <c r="A17721" i="1"/>
  <c r="F17720" i="1"/>
  <c r="E17720" i="1"/>
  <c r="D17720" i="1"/>
  <c r="C17720" i="1"/>
  <c r="B17720" i="1"/>
  <c r="A17720" i="1"/>
  <c r="F17719" i="1"/>
  <c r="E17719" i="1"/>
  <c r="D17719" i="1"/>
  <c r="C17719" i="1"/>
  <c r="B17719" i="1"/>
  <c r="A17719" i="1"/>
  <c r="F17718" i="1"/>
  <c r="E17718" i="1"/>
  <c r="D17718" i="1"/>
  <c r="C17718" i="1"/>
  <c r="B17718" i="1"/>
  <c r="A17718" i="1"/>
  <c r="F17717" i="1"/>
  <c r="E17717" i="1"/>
  <c r="D17717" i="1"/>
  <c r="C17717" i="1"/>
  <c r="B17717" i="1"/>
  <c r="A17717" i="1"/>
  <c r="F17716" i="1"/>
  <c r="E17716" i="1"/>
  <c r="D17716" i="1"/>
  <c r="C17716" i="1"/>
  <c r="B17716" i="1"/>
  <c r="A17716" i="1"/>
  <c r="F17715" i="1"/>
  <c r="E17715" i="1"/>
  <c r="D17715" i="1"/>
  <c r="C17715" i="1"/>
  <c r="B17715" i="1"/>
  <c r="A17715" i="1"/>
  <c r="F17714" i="1"/>
  <c r="E17714" i="1"/>
  <c r="D17714" i="1"/>
  <c r="C17714" i="1"/>
  <c r="B17714" i="1"/>
  <c r="A17714" i="1"/>
  <c r="F17713" i="1"/>
  <c r="E17713" i="1"/>
  <c r="D17713" i="1"/>
  <c r="C17713" i="1"/>
  <c r="B17713" i="1"/>
  <c r="A17713" i="1"/>
  <c r="F17712" i="1"/>
  <c r="E17712" i="1"/>
  <c r="D17712" i="1"/>
  <c r="C17712" i="1"/>
  <c r="B17712" i="1"/>
  <c r="A17712" i="1"/>
  <c r="F17711" i="1"/>
  <c r="E17711" i="1"/>
  <c r="D17711" i="1"/>
  <c r="C17711" i="1"/>
  <c r="B17711" i="1"/>
  <c r="A17711" i="1"/>
  <c r="F17710" i="1"/>
  <c r="E17710" i="1"/>
  <c r="D17710" i="1"/>
  <c r="C17710" i="1"/>
  <c r="B17710" i="1"/>
  <c r="A17710" i="1"/>
  <c r="F17709" i="1"/>
  <c r="E17709" i="1"/>
  <c r="D17709" i="1"/>
  <c r="C17709" i="1"/>
  <c r="B17709" i="1"/>
  <c r="A17709" i="1"/>
  <c r="F17708" i="1"/>
  <c r="E17708" i="1"/>
  <c r="D17708" i="1"/>
  <c r="C17708" i="1"/>
  <c r="B17708" i="1"/>
  <c r="A17708" i="1"/>
  <c r="F17707" i="1"/>
  <c r="E17707" i="1"/>
  <c r="D17707" i="1"/>
  <c r="C17707" i="1"/>
  <c r="B17707" i="1"/>
  <c r="A17707" i="1"/>
  <c r="F17706" i="1"/>
  <c r="E17706" i="1"/>
  <c r="D17706" i="1"/>
  <c r="C17706" i="1"/>
  <c r="B17706" i="1"/>
  <c r="A17706" i="1"/>
  <c r="F17705" i="1"/>
  <c r="E17705" i="1"/>
  <c r="D17705" i="1"/>
  <c r="C17705" i="1"/>
  <c r="B17705" i="1"/>
  <c r="A17705" i="1"/>
  <c r="F17704" i="1"/>
  <c r="E17704" i="1"/>
  <c r="D17704" i="1"/>
  <c r="C17704" i="1"/>
  <c r="B17704" i="1"/>
  <c r="A17704" i="1"/>
  <c r="F17703" i="1"/>
  <c r="E17703" i="1"/>
  <c r="D17703" i="1"/>
  <c r="C17703" i="1"/>
  <c r="B17703" i="1"/>
  <c r="A17703" i="1"/>
  <c r="F17702" i="1"/>
  <c r="E17702" i="1"/>
  <c r="D17702" i="1"/>
  <c r="C17702" i="1"/>
  <c r="B17702" i="1"/>
  <c r="A17702" i="1"/>
  <c r="F17701" i="1"/>
  <c r="E17701" i="1"/>
  <c r="D17701" i="1"/>
  <c r="C17701" i="1"/>
  <c r="B17701" i="1"/>
  <c r="A17701" i="1"/>
  <c r="F17700" i="1"/>
  <c r="E17700" i="1"/>
  <c r="D17700" i="1"/>
  <c r="C17700" i="1"/>
  <c r="B17700" i="1"/>
  <c r="A17700" i="1"/>
  <c r="F17699" i="1"/>
  <c r="E17699" i="1"/>
  <c r="D17699" i="1"/>
  <c r="C17699" i="1"/>
  <c r="B17699" i="1"/>
  <c r="A17699" i="1"/>
  <c r="F17698" i="1"/>
  <c r="E17698" i="1"/>
  <c r="D17698" i="1"/>
  <c r="C17698" i="1"/>
  <c r="B17698" i="1"/>
  <c r="A17698" i="1"/>
  <c r="F17697" i="1"/>
  <c r="E17697" i="1"/>
  <c r="D17697" i="1"/>
  <c r="C17697" i="1"/>
  <c r="B17697" i="1"/>
  <c r="A17697" i="1"/>
  <c r="F17696" i="1"/>
  <c r="E17696" i="1"/>
  <c r="D17696" i="1"/>
  <c r="C17696" i="1"/>
  <c r="B17696" i="1"/>
  <c r="A17696" i="1"/>
  <c r="F17695" i="1"/>
  <c r="E17695" i="1"/>
  <c r="D17695" i="1"/>
  <c r="C17695" i="1"/>
  <c r="B17695" i="1"/>
  <c r="A17695" i="1"/>
  <c r="F17694" i="1"/>
  <c r="E17694" i="1"/>
  <c r="D17694" i="1"/>
  <c r="C17694" i="1"/>
  <c r="B17694" i="1"/>
  <c r="A17694" i="1"/>
  <c r="F17693" i="1"/>
  <c r="E17693" i="1"/>
  <c r="D17693" i="1"/>
  <c r="C17693" i="1"/>
  <c r="B17693" i="1"/>
  <c r="A17693" i="1"/>
  <c r="F17692" i="1"/>
  <c r="E17692" i="1"/>
  <c r="D17692" i="1"/>
  <c r="C17692" i="1"/>
  <c r="B17692" i="1"/>
  <c r="A17692" i="1"/>
  <c r="F17691" i="1"/>
  <c r="E17691" i="1"/>
  <c r="D17691" i="1"/>
  <c r="C17691" i="1"/>
  <c r="B17691" i="1"/>
  <c r="A17691" i="1"/>
  <c r="F17690" i="1"/>
  <c r="E17690" i="1"/>
  <c r="D17690" i="1"/>
  <c r="C17690" i="1"/>
  <c r="B17690" i="1"/>
  <c r="A17690" i="1"/>
  <c r="F17689" i="1"/>
  <c r="E17689" i="1"/>
  <c r="D17689" i="1"/>
  <c r="C17689" i="1"/>
  <c r="B17689" i="1"/>
  <c r="A17689" i="1"/>
  <c r="F17688" i="1"/>
  <c r="E17688" i="1"/>
  <c r="D17688" i="1"/>
  <c r="C17688" i="1"/>
  <c r="B17688" i="1"/>
  <c r="A17688" i="1"/>
  <c r="F17687" i="1"/>
  <c r="E17687" i="1"/>
  <c r="D17687" i="1"/>
  <c r="C17687" i="1"/>
  <c r="B17687" i="1"/>
  <c r="A17687" i="1"/>
  <c r="F17686" i="1"/>
  <c r="E17686" i="1"/>
  <c r="D17686" i="1"/>
  <c r="C17686" i="1"/>
  <c r="B17686" i="1"/>
  <c r="A17686" i="1"/>
  <c r="F17685" i="1"/>
  <c r="E17685" i="1"/>
  <c r="D17685" i="1"/>
  <c r="C17685" i="1"/>
  <c r="B17685" i="1"/>
  <c r="A17685" i="1"/>
  <c r="F17684" i="1"/>
  <c r="E17684" i="1"/>
  <c r="D17684" i="1"/>
  <c r="C17684" i="1"/>
  <c r="B17684" i="1"/>
  <c r="A17684" i="1"/>
  <c r="F17683" i="1"/>
  <c r="E17683" i="1"/>
  <c r="D17683" i="1"/>
  <c r="C17683" i="1"/>
  <c r="B17683" i="1"/>
  <c r="A17683" i="1"/>
  <c r="F17682" i="1"/>
  <c r="E17682" i="1"/>
  <c r="D17682" i="1"/>
  <c r="C17682" i="1"/>
  <c r="B17682" i="1"/>
  <c r="A17682" i="1"/>
  <c r="F17681" i="1"/>
  <c r="E17681" i="1"/>
  <c r="D17681" i="1"/>
  <c r="C17681" i="1"/>
  <c r="B17681" i="1"/>
  <c r="A17681" i="1"/>
  <c r="F17680" i="1"/>
  <c r="E17680" i="1"/>
  <c r="D17680" i="1"/>
  <c r="C17680" i="1"/>
  <c r="B17680" i="1"/>
  <c r="A17680" i="1"/>
  <c r="F17679" i="1"/>
  <c r="E17679" i="1"/>
  <c r="D17679" i="1"/>
  <c r="C17679" i="1"/>
  <c r="B17679" i="1"/>
  <c r="A17679" i="1"/>
  <c r="F17678" i="1"/>
  <c r="E17678" i="1"/>
  <c r="D17678" i="1"/>
  <c r="C17678" i="1"/>
  <c r="B17678" i="1"/>
  <c r="A17678" i="1"/>
  <c r="F17677" i="1"/>
  <c r="E17677" i="1"/>
  <c r="D17677" i="1"/>
  <c r="C17677" i="1"/>
  <c r="B17677" i="1"/>
  <c r="A17677" i="1"/>
  <c r="F17676" i="1"/>
  <c r="E17676" i="1"/>
  <c r="D17676" i="1"/>
  <c r="C17676" i="1"/>
  <c r="B17676" i="1"/>
  <c r="A17676" i="1"/>
  <c r="F17675" i="1"/>
  <c r="E17675" i="1"/>
  <c r="D17675" i="1"/>
  <c r="C17675" i="1"/>
  <c r="B17675" i="1"/>
  <c r="A17675" i="1"/>
  <c r="F17674" i="1"/>
  <c r="E17674" i="1"/>
  <c r="D17674" i="1"/>
  <c r="C17674" i="1"/>
  <c r="B17674" i="1"/>
  <c r="A17674" i="1"/>
  <c r="F17673" i="1"/>
  <c r="E17673" i="1"/>
  <c r="D17673" i="1"/>
  <c r="C17673" i="1"/>
  <c r="B17673" i="1"/>
  <c r="A17673" i="1"/>
  <c r="F17672" i="1"/>
  <c r="E17672" i="1"/>
  <c r="D17672" i="1"/>
  <c r="C17672" i="1"/>
  <c r="B17672" i="1"/>
  <c r="A17672" i="1"/>
  <c r="F17671" i="1"/>
  <c r="E17671" i="1"/>
  <c r="D17671" i="1"/>
  <c r="C17671" i="1"/>
  <c r="B17671" i="1"/>
  <c r="A17671" i="1"/>
  <c r="F17670" i="1"/>
  <c r="E17670" i="1"/>
  <c r="D17670" i="1"/>
  <c r="C17670" i="1"/>
  <c r="B17670" i="1"/>
  <c r="A17670" i="1"/>
  <c r="F17669" i="1"/>
  <c r="E17669" i="1"/>
  <c r="D17669" i="1"/>
  <c r="C17669" i="1"/>
  <c r="B17669" i="1"/>
  <c r="A17669" i="1"/>
  <c r="F17668" i="1"/>
  <c r="E17668" i="1"/>
  <c r="D17668" i="1"/>
  <c r="C17668" i="1"/>
  <c r="B17668" i="1"/>
  <c r="A17668" i="1"/>
  <c r="F17667" i="1"/>
  <c r="E17667" i="1"/>
  <c r="D17667" i="1"/>
  <c r="C17667" i="1"/>
  <c r="B17667" i="1"/>
  <c r="A17667" i="1"/>
  <c r="F17666" i="1"/>
  <c r="E17666" i="1"/>
  <c r="D17666" i="1"/>
  <c r="C17666" i="1"/>
  <c r="B17666" i="1"/>
  <c r="A17666" i="1"/>
  <c r="F17665" i="1"/>
  <c r="E17665" i="1"/>
  <c r="D17665" i="1"/>
  <c r="C17665" i="1"/>
  <c r="B17665" i="1"/>
  <c r="A17665" i="1"/>
  <c r="F17664" i="1"/>
  <c r="E17664" i="1"/>
  <c r="D17664" i="1"/>
  <c r="C17664" i="1"/>
  <c r="B17664" i="1"/>
  <c r="A17664" i="1"/>
  <c r="F17663" i="1"/>
  <c r="E17663" i="1"/>
  <c r="D17663" i="1"/>
  <c r="C17663" i="1"/>
  <c r="B17663" i="1"/>
  <c r="A17663" i="1"/>
  <c r="F17662" i="1"/>
  <c r="E17662" i="1"/>
  <c r="D17662" i="1"/>
  <c r="C17662" i="1"/>
  <c r="B17662" i="1"/>
  <c r="A17662" i="1"/>
  <c r="F17661" i="1"/>
  <c r="E17661" i="1"/>
  <c r="D17661" i="1"/>
  <c r="C17661" i="1"/>
  <c r="B17661" i="1"/>
  <c r="A17661" i="1"/>
  <c r="F17660" i="1"/>
  <c r="E17660" i="1"/>
  <c r="D17660" i="1"/>
  <c r="C17660" i="1"/>
  <c r="B17660" i="1"/>
  <c r="A17660" i="1"/>
  <c r="F17659" i="1"/>
  <c r="E17659" i="1"/>
  <c r="D17659" i="1"/>
  <c r="C17659" i="1"/>
  <c r="B17659" i="1"/>
  <c r="A17659" i="1"/>
  <c r="F17658" i="1"/>
  <c r="E17658" i="1"/>
  <c r="D17658" i="1"/>
  <c r="C17658" i="1"/>
  <c r="B17658" i="1"/>
  <c r="A17658" i="1"/>
  <c r="F17657" i="1"/>
  <c r="E17657" i="1"/>
  <c r="D17657" i="1"/>
  <c r="C17657" i="1"/>
  <c r="B17657" i="1"/>
  <c r="A17657" i="1"/>
  <c r="F17656" i="1"/>
  <c r="E17656" i="1"/>
  <c r="D17656" i="1"/>
  <c r="C17656" i="1"/>
  <c r="B17656" i="1"/>
  <c r="A17656" i="1"/>
  <c r="F17655" i="1"/>
  <c r="E17655" i="1"/>
  <c r="D17655" i="1"/>
  <c r="C17655" i="1"/>
  <c r="B17655" i="1"/>
  <c r="A17655" i="1"/>
  <c r="F17654" i="1"/>
  <c r="E17654" i="1"/>
  <c r="D17654" i="1"/>
  <c r="C17654" i="1"/>
  <c r="B17654" i="1"/>
  <c r="A17654" i="1"/>
  <c r="F17653" i="1"/>
  <c r="E17653" i="1"/>
  <c r="D17653" i="1"/>
  <c r="C17653" i="1"/>
  <c r="B17653" i="1"/>
  <c r="A17653" i="1"/>
  <c r="F17652" i="1"/>
  <c r="E17652" i="1"/>
  <c r="D17652" i="1"/>
  <c r="C17652" i="1"/>
  <c r="B17652" i="1"/>
  <c r="A17652" i="1"/>
  <c r="F17651" i="1"/>
  <c r="E17651" i="1"/>
  <c r="D17651" i="1"/>
  <c r="C17651" i="1"/>
  <c r="B17651" i="1"/>
  <c r="A17651" i="1"/>
  <c r="F17650" i="1"/>
  <c r="E17650" i="1"/>
  <c r="D17650" i="1"/>
  <c r="C17650" i="1"/>
  <c r="B17650" i="1"/>
  <c r="A17650" i="1"/>
  <c r="F17649" i="1"/>
  <c r="E17649" i="1"/>
  <c r="D17649" i="1"/>
  <c r="C17649" i="1"/>
  <c r="B17649" i="1"/>
  <c r="A17649" i="1"/>
  <c r="F17648" i="1"/>
  <c r="E17648" i="1"/>
  <c r="D17648" i="1"/>
  <c r="C17648" i="1"/>
  <c r="B17648" i="1"/>
  <c r="A17648" i="1"/>
  <c r="F17647" i="1"/>
  <c r="E17647" i="1"/>
  <c r="D17647" i="1"/>
  <c r="C17647" i="1"/>
  <c r="B17647" i="1"/>
  <c r="A17647" i="1"/>
  <c r="F17646" i="1"/>
  <c r="E17646" i="1"/>
  <c r="D17646" i="1"/>
  <c r="C17646" i="1"/>
  <c r="B17646" i="1"/>
  <c r="A17646" i="1"/>
  <c r="F17645" i="1"/>
  <c r="E17645" i="1"/>
  <c r="D17645" i="1"/>
  <c r="C17645" i="1"/>
  <c r="B17645" i="1"/>
  <c r="A17645" i="1"/>
  <c r="F17644" i="1"/>
  <c r="E17644" i="1"/>
  <c r="D17644" i="1"/>
  <c r="C17644" i="1"/>
  <c r="B17644" i="1"/>
  <c r="A17644" i="1"/>
  <c r="F17643" i="1"/>
  <c r="E17643" i="1"/>
  <c r="D17643" i="1"/>
  <c r="C17643" i="1"/>
  <c r="B17643" i="1"/>
  <c r="A17643" i="1"/>
  <c r="F17642" i="1"/>
  <c r="E17642" i="1"/>
  <c r="D17642" i="1"/>
  <c r="C17642" i="1"/>
  <c r="B17642" i="1"/>
  <c r="A17642" i="1"/>
  <c r="F17641" i="1"/>
  <c r="E17641" i="1"/>
  <c r="D17641" i="1"/>
  <c r="C17641" i="1"/>
  <c r="B17641" i="1"/>
  <c r="A17641" i="1"/>
  <c r="F17640" i="1"/>
  <c r="E17640" i="1"/>
  <c r="D17640" i="1"/>
  <c r="C17640" i="1"/>
  <c r="B17640" i="1"/>
  <c r="A17640" i="1"/>
  <c r="F17639" i="1"/>
  <c r="E17639" i="1"/>
  <c r="D17639" i="1"/>
  <c r="C17639" i="1"/>
  <c r="B17639" i="1"/>
  <c r="A17639" i="1"/>
  <c r="F17638" i="1"/>
  <c r="E17638" i="1"/>
  <c r="D17638" i="1"/>
  <c r="C17638" i="1"/>
  <c r="B17638" i="1"/>
  <c r="A17638" i="1"/>
  <c r="F17637" i="1"/>
  <c r="E17637" i="1"/>
  <c r="D17637" i="1"/>
  <c r="C17637" i="1"/>
  <c r="B17637" i="1"/>
  <c r="A17637" i="1"/>
  <c r="F17636" i="1"/>
  <c r="E17636" i="1"/>
  <c r="D17636" i="1"/>
  <c r="C17636" i="1"/>
  <c r="B17636" i="1"/>
  <c r="A17636" i="1"/>
  <c r="F17635" i="1"/>
  <c r="E17635" i="1"/>
  <c r="D17635" i="1"/>
  <c r="C17635" i="1"/>
  <c r="B17635" i="1"/>
  <c r="A17635" i="1"/>
  <c r="F17634" i="1"/>
  <c r="E17634" i="1"/>
  <c r="D17634" i="1"/>
  <c r="C17634" i="1"/>
  <c r="B17634" i="1"/>
  <c r="A17634" i="1"/>
  <c r="F17633" i="1"/>
  <c r="E17633" i="1"/>
  <c r="D17633" i="1"/>
  <c r="C17633" i="1"/>
  <c r="B17633" i="1"/>
  <c r="A17633" i="1"/>
  <c r="F17632" i="1"/>
  <c r="E17632" i="1"/>
  <c r="D17632" i="1"/>
  <c r="C17632" i="1"/>
  <c r="B17632" i="1"/>
  <c r="A17632" i="1"/>
  <c r="F17631" i="1"/>
  <c r="E17631" i="1"/>
  <c r="D17631" i="1"/>
  <c r="C17631" i="1"/>
  <c r="B17631" i="1"/>
  <c r="A17631" i="1"/>
  <c r="F17630" i="1"/>
  <c r="E17630" i="1"/>
  <c r="D17630" i="1"/>
  <c r="C17630" i="1"/>
  <c r="B17630" i="1"/>
  <c r="A17630" i="1"/>
  <c r="F17629" i="1"/>
  <c r="E17629" i="1"/>
  <c r="D17629" i="1"/>
  <c r="C17629" i="1"/>
  <c r="B17629" i="1"/>
  <c r="A17629" i="1"/>
  <c r="F17628" i="1"/>
  <c r="E17628" i="1"/>
  <c r="D17628" i="1"/>
  <c r="C17628" i="1"/>
  <c r="B17628" i="1"/>
  <c r="A17628" i="1"/>
  <c r="F17627" i="1"/>
  <c r="E17627" i="1"/>
  <c r="D17627" i="1"/>
  <c r="C17627" i="1"/>
  <c r="B17627" i="1"/>
  <c r="A17627" i="1"/>
  <c r="F17626" i="1"/>
  <c r="E17626" i="1"/>
  <c r="D17626" i="1"/>
  <c r="C17626" i="1"/>
  <c r="B17626" i="1"/>
  <c r="A17626" i="1"/>
  <c r="F17625" i="1"/>
  <c r="E17625" i="1"/>
  <c r="D17625" i="1"/>
  <c r="C17625" i="1"/>
  <c r="B17625" i="1"/>
  <c r="A17625" i="1"/>
  <c r="F17624" i="1"/>
  <c r="E17624" i="1"/>
  <c r="D17624" i="1"/>
  <c r="C17624" i="1"/>
  <c r="B17624" i="1"/>
  <c r="A17624" i="1"/>
  <c r="F17623" i="1"/>
  <c r="E17623" i="1"/>
  <c r="D17623" i="1"/>
  <c r="C17623" i="1"/>
  <c r="B17623" i="1"/>
  <c r="A17623" i="1"/>
  <c r="F17622" i="1"/>
  <c r="E17622" i="1"/>
  <c r="D17622" i="1"/>
  <c r="C17622" i="1"/>
  <c r="B17622" i="1"/>
  <c r="A17622" i="1"/>
  <c r="F17621" i="1"/>
  <c r="E17621" i="1"/>
  <c r="D17621" i="1"/>
  <c r="C17621" i="1"/>
  <c r="B17621" i="1"/>
  <c r="A17621" i="1"/>
  <c r="F17620" i="1"/>
  <c r="E17620" i="1"/>
  <c r="D17620" i="1"/>
  <c r="C17620" i="1"/>
  <c r="B17620" i="1"/>
  <c r="A17620" i="1"/>
  <c r="F17619" i="1"/>
  <c r="E17619" i="1"/>
  <c r="D17619" i="1"/>
  <c r="C17619" i="1"/>
  <c r="B17619" i="1"/>
  <c r="A17619" i="1"/>
  <c r="F17618" i="1"/>
  <c r="E17618" i="1"/>
  <c r="D17618" i="1"/>
  <c r="C17618" i="1"/>
  <c r="B17618" i="1"/>
  <c r="A17618" i="1"/>
  <c r="F17617" i="1"/>
  <c r="E17617" i="1"/>
  <c r="D17617" i="1"/>
  <c r="C17617" i="1"/>
  <c r="B17617" i="1"/>
  <c r="A17617" i="1"/>
  <c r="F17616" i="1"/>
  <c r="E17616" i="1"/>
  <c r="D17616" i="1"/>
  <c r="C17616" i="1"/>
  <c r="B17616" i="1"/>
  <c r="A17616" i="1"/>
  <c r="F17615" i="1"/>
  <c r="E17615" i="1"/>
  <c r="D17615" i="1"/>
  <c r="C17615" i="1"/>
  <c r="B17615" i="1"/>
  <c r="A17615" i="1"/>
  <c r="F17614" i="1"/>
  <c r="E17614" i="1"/>
  <c r="D17614" i="1"/>
  <c r="C17614" i="1"/>
  <c r="B17614" i="1"/>
  <c r="A17614" i="1"/>
  <c r="F17613" i="1"/>
  <c r="E17613" i="1"/>
  <c r="D17613" i="1"/>
  <c r="C17613" i="1"/>
  <c r="B17613" i="1"/>
  <c r="A17613" i="1"/>
  <c r="F17612" i="1"/>
  <c r="E17612" i="1"/>
  <c r="D17612" i="1"/>
  <c r="C17612" i="1"/>
  <c r="B17612" i="1"/>
  <c r="A17612" i="1"/>
  <c r="F17611" i="1"/>
  <c r="E17611" i="1"/>
  <c r="D17611" i="1"/>
  <c r="C17611" i="1"/>
  <c r="B17611" i="1"/>
  <c r="A17611" i="1"/>
  <c r="F17610" i="1"/>
  <c r="E17610" i="1"/>
  <c r="D17610" i="1"/>
  <c r="C17610" i="1"/>
  <c r="B17610" i="1"/>
  <c r="A17610" i="1"/>
  <c r="F17609" i="1"/>
  <c r="E17609" i="1"/>
  <c r="D17609" i="1"/>
  <c r="C17609" i="1"/>
  <c r="B17609" i="1"/>
  <c r="A17609" i="1"/>
  <c r="F17608" i="1"/>
  <c r="E17608" i="1"/>
  <c r="D17608" i="1"/>
  <c r="C17608" i="1"/>
  <c r="B17608" i="1"/>
  <c r="A17608" i="1"/>
  <c r="F17607" i="1"/>
  <c r="E17607" i="1"/>
  <c r="D17607" i="1"/>
  <c r="C17607" i="1"/>
  <c r="B17607" i="1"/>
  <c r="A17607" i="1"/>
  <c r="F17606" i="1"/>
  <c r="E17606" i="1"/>
  <c r="D17606" i="1"/>
  <c r="C17606" i="1"/>
  <c r="B17606" i="1"/>
  <c r="A17606" i="1"/>
  <c r="F17605" i="1"/>
  <c r="E17605" i="1"/>
  <c r="D17605" i="1"/>
  <c r="C17605" i="1"/>
  <c r="B17605" i="1"/>
  <c r="A17605" i="1"/>
  <c r="F17604" i="1"/>
  <c r="E17604" i="1"/>
  <c r="D17604" i="1"/>
  <c r="C17604" i="1"/>
  <c r="B17604" i="1"/>
  <c r="A17604" i="1"/>
  <c r="F17603" i="1"/>
  <c r="E17603" i="1"/>
  <c r="D17603" i="1"/>
  <c r="C17603" i="1"/>
  <c r="B17603" i="1"/>
  <c r="A17603" i="1"/>
  <c r="F17602" i="1"/>
  <c r="E17602" i="1"/>
  <c r="D17602" i="1"/>
  <c r="C17602" i="1"/>
  <c r="B17602" i="1"/>
  <c r="A17602" i="1"/>
  <c r="F17601" i="1"/>
  <c r="E17601" i="1"/>
  <c r="D17601" i="1"/>
  <c r="C17601" i="1"/>
  <c r="B17601" i="1"/>
  <c r="A17601" i="1"/>
  <c r="F17600" i="1"/>
  <c r="E17600" i="1"/>
  <c r="D17600" i="1"/>
  <c r="C17600" i="1"/>
  <c r="B17600" i="1"/>
  <c r="A17600" i="1"/>
  <c r="F17599" i="1"/>
  <c r="E17599" i="1"/>
  <c r="D17599" i="1"/>
  <c r="C17599" i="1"/>
  <c r="B17599" i="1"/>
  <c r="A17599" i="1"/>
  <c r="F17598" i="1"/>
  <c r="E17598" i="1"/>
  <c r="D17598" i="1"/>
  <c r="C17598" i="1"/>
  <c r="B17598" i="1"/>
  <c r="A17598" i="1"/>
  <c r="F17597" i="1"/>
  <c r="E17597" i="1"/>
  <c r="D17597" i="1"/>
  <c r="C17597" i="1"/>
  <c r="B17597" i="1"/>
  <c r="A17597" i="1"/>
  <c r="F17596" i="1"/>
  <c r="E17596" i="1"/>
  <c r="D17596" i="1"/>
  <c r="C17596" i="1"/>
  <c r="B17596" i="1"/>
  <c r="A17596" i="1"/>
  <c r="F17595" i="1"/>
  <c r="E17595" i="1"/>
  <c r="D17595" i="1"/>
  <c r="C17595" i="1"/>
  <c r="B17595" i="1"/>
  <c r="A17595" i="1"/>
  <c r="F17594" i="1"/>
  <c r="E17594" i="1"/>
  <c r="D17594" i="1"/>
  <c r="C17594" i="1"/>
  <c r="B17594" i="1"/>
  <c r="A17594" i="1"/>
  <c r="F17593" i="1"/>
  <c r="E17593" i="1"/>
  <c r="D17593" i="1"/>
  <c r="C17593" i="1"/>
  <c r="B17593" i="1"/>
  <c r="A17593" i="1"/>
  <c r="F17592" i="1"/>
  <c r="E17592" i="1"/>
  <c r="D17592" i="1"/>
  <c r="C17592" i="1"/>
  <c r="B17592" i="1"/>
  <c r="A17592" i="1"/>
  <c r="F17591" i="1"/>
  <c r="E17591" i="1"/>
  <c r="D17591" i="1"/>
  <c r="C17591" i="1"/>
  <c r="B17591" i="1"/>
  <c r="A17591" i="1"/>
  <c r="F17590" i="1"/>
  <c r="E17590" i="1"/>
  <c r="D17590" i="1"/>
  <c r="C17590" i="1"/>
  <c r="B17590" i="1"/>
  <c r="A17590" i="1"/>
  <c r="F17589" i="1"/>
  <c r="E17589" i="1"/>
  <c r="D17589" i="1"/>
  <c r="C17589" i="1"/>
  <c r="B17589" i="1"/>
  <c r="A17589" i="1"/>
  <c r="F17588" i="1"/>
  <c r="E17588" i="1"/>
  <c r="D17588" i="1"/>
  <c r="C17588" i="1"/>
  <c r="B17588" i="1"/>
  <c r="A17588" i="1"/>
  <c r="F17587" i="1"/>
  <c r="E17587" i="1"/>
  <c r="D17587" i="1"/>
  <c r="C17587" i="1"/>
  <c r="B17587" i="1"/>
  <c r="A17587" i="1"/>
  <c r="F17586" i="1"/>
  <c r="E17586" i="1"/>
  <c r="D17586" i="1"/>
  <c r="C17586" i="1"/>
  <c r="B17586" i="1"/>
  <c r="A17586" i="1"/>
  <c r="F17585" i="1"/>
  <c r="E17585" i="1"/>
  <c r="D17585" i="1"/>
  <c r="C17585" i="1"/>
  <c r="B17585" i="1"/>
  <c r="A17585" i="1"/>
  <c r="F17584" i="1"/>
  <c r="E17584" i="1"/>
  <c r="D17584" i="1"/>
  <c r="C17584" i="1"/>
  <c r="B17584" i="1"/>
  <c r="A17584" i="1"/>
  <c r="F17583" i="1"/>
  <c r="E17583" i="1"/>
  <c r="D17583" i="1"/>
  <c r="C17583" i="1"/>
  <c r="B17583" i="1"/>
  <c r="A17583" i="1"/>
  <c r="F17582" i="1"/>
  <c r="E17582" i="1"/>
  <c r="D17582" i="1"/>
  <c r="C17582" i="1"/>
  <c r="B17582" i="1"/>
  <c r="A17582" i="1"/>
  <c r="F17581" i="1"/>
  <c r="E17581" i="1"/>
  <c r="D17581" i="1"/>
  <c r="C17581" i="1"/>
  <c r="B17581" i="1"/>
  <c r="A17581" i="1"/>
  <c r="F17580" i="1"/>
  <c r="E17580" i="1"/>
  <c r="D17580" i="1"/>
  <c r="C17580" i="1"/>
  <c r="B17580" i="1"/>
  <c r="A17580" i="1"/>
  <c r="F17579" i="1"/>
  <c r="E17579" i="1"/>
  <c r="D17579" i="1"/>
  <c r="C17579" i="1"/>
  <c r="B17579" i="1"/>
  <c r="A17579" i="1"/>
  <c r="F17578" i="1"/>
  <c r="E17578" i="1"/>
  <c r="D17578" i="1"/>
  <c r="C17578" i="1"/>
  <c r="B17578" i="1"/>
  <c r="A17578" i="1"/>
  <c r="F17577" i="1"/>
  <c r="E17577" i="1"/>
  <c r="D17577" i="1"/>
  <c r="C17577" i="1"/>
  <c r="B17577" i="1"/>
  <c r="A17577" i="1"/>
  <c r="F17576" i="1"/>
  <c r="E17576" i="1"/>
  <c r="D17576" i="1"/>
  <c r="C17576" i="1"/>
  <c r="B17576" i="1"/>
  <c r="A17576" i="1"/>
  <c r="F17575" i="1"/>
  <c r="E17575" i="1"/>
  <c r="D17575" i="1"/>
  <c r="C17575" i="1"/>
  <c r="B17575" i="1"/>
  <c r="A17575" i="1"/>
  <c r="F17574" i="1"/>
  <c r="E17574" i="1"/>
  <c r="D17574" i="1"/>
  <c r="C17574" i="1"/>
  <c r="B17574" i="1"/>
  <c r="A17574" i="1"/>
  <c r="F17573" i="1"/>
  <c r="E17573" i="1"/>
  <c r="D17573" i="1"/>
  <c r="C17573" i="1"/>
  <c r="B17573" i="1"/>
  <c r="A17573" i="1"/>
  <c r="F17572" i="1"/>
  <c r="E17572" i="1"/>
  <c r="D17572" i="1"/>
  <c r="C17572" i="1"/>
  <c r="B17572" i="1"/>
  <c r="A17572" i="1"/>
  <c r="F17571" i="1"/>
  <c r="E17571" i="1"/>
  <c r="D17571" i="1"/>
  <c r="C17571" i="1"/>
  <c r="B17571" i="1"/>
  <c r="A17571" i="1"/>
  <c r="F17570" i="1"/>
  <c r="E17570" i="1"/>
  <c r="D17570" i="1"/>
  <c r="C17570" i="1"/>
  <c r="B17570" i="1"/>
  <c r="A17570" i="1"/>
  <c r="F17569" i="1"/>
  <c r="E17569" i="1"/>
  <c r="D17569" i="1"/>
  <c r="C17569" i="1"/>
  <c r="B17569" i="1"/>
  <c r="A17569" i="1"/>
  <c r="F17568" i="1"/>
  <c r="E17568" i="1"/>
  <c r="D17568" i="1"/>
  <c r="C17568" i="1"/>
  <c r="B17568" i="1"/>
  <c r="A17568" i="1"/>
  <c r="F17567" i="1"/>
  <c r="E17567" i="1"/>
  <c r="D17567" i="1"/>
  <c r="C17567" i="1"/>
  <c r="B17567" i="1"/>
  <c r="A17567" i="1"/>
  <c r="F17566" i="1"/>
  <c r="E17566" i="1"/>
  <c r="D17566" i="1"/>
  <c r="C17566" i="1"/>
  <c r="B17566" i="1"/>
  <c r="A17566" i="1"/>
  <c r="F17565" i="1"/>
  <c r="E17565" i="1"/>
  <c r="D17565" i="1"/>
  <c r="C17565" i="1"/>
  <c r="B17565" i="1"/>
  <c r="A17565" i="1"/>
  <c r="F17564" i="1"/>
  <c r="E17564" i="1"/>
  <c r="D17564" i="1"/>
  <c r="C17564" i="1"/>
  <c r="B17564" i="1"/>
  <c r="A17564" i="1"/>
  <c r="F17563" i="1"/>
  <c r="E17563" i="1"/>
  <c r="D17563" i="1"/>
  <c r="C17563" i="1"/>
  <c r="B17563" i="1"/>
  <c r="A17563" i="1"/>
  <c r="F17562" i="1"/>
  <c r="E17562" i="1"/>
  <c r="D17562" i="1"/>
  <c r="C17562" i="1"/>
  <c r="B17562" i="1"/>
  <c r="A17562" i="1"/>
  <c r="F17561" i="1"/>
  <c r="E17561" i="1"/>
  <c r="D17561" i="1"/>
  <c r="C17561" i="1"/>
  <c r="B17561" i="1"/>
  <c r="A17561" i="1"/>
  <c r="F17560" i="1"/>
  <c r="E17560" i="1"/>
  <c r="D17560" i="1"/>
  <c r="C17560" i="1"/>
  <c r="B17560" i="1"/>
  <c r="A17560" i="1"/>
  <c r="F17559" i="1"/>
  <c r="E17559" i="1"/>
  <c r="D17559" i="1"/>
  <c r="C17559" i="1"/>
  <c r="B17559" i="1"/>
  <c r="A17559" i="1"/>
  <c r="F17558" i="1"/>
  <c r="E17558" i="1"/>
  <c r="D17558" i="1"/>
  <c r="C17558" i="1"/>
  <c r="B17558" i="1"/>
  <c r="A17558" i="1"/>
  <c r="F17557" i="1"/>
  <c r="E17557" i="1"/>
  <c r="D17557" i="1"/>
  <c r="C17557" i="1"/>
  <c r="B17557" i="1"/>
  <c r="A17557" i="1"/>
  <c r="F17556" i="1"/>
  <c r="E17556" i="1"/>
  <c r="D17556" i="1"/>
  <c r="C17556" i="1"/>
  <c r="B17556" i="1"/>
  <c r="A17556" i="1"/>
  <c r="F17555" i="1"/>
  <c r="E17555" i="1"/>
  <c r="D17555" i="1"/>
  <c r="C17555" i="1"/>
  <c r="B17555" i="1"/>
  <c r="A17555" i="1"/>
  <c r="F17554" i="1"/>
  <c r="E17554" i="1"/>
  <c r="D17554" i="1"/>
  <c r="C17554" i="1"/>
  <c r="B17554" i="1"/>
  <c r="A17554" i="1"/>
  <c r="F17553" i="1"/>
  <c r="E17553" i="1"/>
  <c r="D17553" i="1"/>
  <c r="C17553" i="1"/>
  <c r="B17553" i="1"/>
  <c r="A17553" i="1"/>
  <c r="F17552" i="1"/>
  <c r="E17552" i="1"/>
  <c r="D17552" i="1"/>
  <c r="C17552" i="1"/>
  <c r="B17552" i="1"/>
  <c r="A17552" i="1"/>
  <c r="F17551" i="1"/>
  <c r="E17551" i="1"/>
  <c r="D17551" i="1"/>
  <c r="C17551" i="1"/>
  <c r="B17551" i="1"/>
  <c r="A17551" i="1"/>
  <c r="F17550" i="1"/>
  <c r="E17550" i="1"/>
  <c r="D17550" i="1"/>
  <c r="C17550" i="1"/>
  <c r="B17550" i="1"/>
  <c r="A17550" i="1"/>
  <c r="F17549" i="1"/>
  <c r="E17549" i="1"/>
  <c r="D17549" i="1"/>
  <c r="C17549" i="1"/>
  <c r="B17549" i="1"/>
  <c r="A17549" i="1"/>
  <c r="F17548" i="1"/>
  <c r="E17548" i="1"/>
  <c r="D17548" i="1"/>
  <c r="C17548" i="1"/>
  <c r="B17548" i="1"/>
  <c r="A17548" i="1"/>
  <c r="F17547" i="1"/>
  <c r="E17547" i="1"/>
  <c r="D17547" i="1"/>
  <c r="C17547" i="1"/>
  <c r="B17547" i="1"/>
  <c r="A17547" i="1"/>
  <c r="F17546" i="1"/>
  <c r="E17546" i="1"/>
  <c r="D17546" i="1"/>
  <c r="C17546" i="1"/>
  <c r="B17546" i="1"/>
  <c r="A17546" i="1"/>
  <c r="F17545" i="1"/>
  <c r="E17545" i="1"/>
  <c r="D17545" i="1"/>
  <c r="C17545" i="1"/>
  <c r="B17545" i="1"/>
  <c r="A17545" i="1"/>
  <c r="F17544" i="1"/>
  <c r="E17544" i="1"/>
  <c r="D17544" i="1"/>
  <c r="C17544" i="1"/>
  <c r="B17544" i="1"/>
  <c r="A17544" i="1"/>
  <c r="F17543" i="1"/>
  <c r="E17543" i="1"/>
  <c r="D17543" i="1"/>
  <c r="C17543" i="1"/>
  <c r="B17543" i="1"/>
  <c r="A17543" i="1"/>
  <c r="F17542" i="1"/>
  <c r="E17542" i="1"/>
  <c r="D17542" i="1"/>
  <c r="C17542" i="1"/>
  <c r="B17542" i="1"/>
  <c r="A17542" i="1"/>
  <c r="F17541" i="1"/>
  <c r="E17541" i="1"/>
  <c r="D17541" i="1"/>
  <c r="C17541" i="1"/>
  <c r="B17541" i="1"/>
  <c r="A17541" i="1"/>
  <c r="F17540" i="1"/>
  <c r="E17540" i="1"/>
  <c r="D17540" i="1"/>
  <c r="C17540" i="1"/>
  <c r="B17540" i="1"/>
  <c r="A17540" i="1"/>
  <c r="F17539" i="1"/>
  <c r="E17539" i="1"/>
  <c r="D17539" i="1"/>
  <c r="C17539" i="1"/>
  <c r="B17539" i="1"/>
  <c r="A17539" i="1"/>
  <c r="F17538" i="1"/>
  <c r="E17538" i="1"/>
  <c r="D17538" i="1"/>
  <c r="C17538" i="1"/>
  <c r="B17538" i="1"/>
  <c r="A17538" i="1"/>
  <c r="F17537" i="1"/>
  <c r="E17537" i="1"/>
  <c r="D17537" i="1"/>
  <c r="C17537" i="1"/>
  <c r="B17537" i="1"/>
  <c r="A17537" i="1"/>
  <c r="F17536" i="1"/>
  <c r="E17536" i="1"/>
  <c r="D17536" i="1"/>
  <c r="C17536" i="1"/>
  <c r="B17536" i="1"/>
  <c r="A17536" i="1"/>
  <c r="F17535" i="1"/>
  <c r="E17535" i="1"/>
  <c r="D17535" i="1"/>
  <c r="C17535" i="1"/>
  <c r="B17535" i="1"/>
  <c r="A17535" i="1"/>
  <c r="F17534" i="1"/>
  <c r="E17534" i="1"/>
  <c r="D17534" i="1"/>
  <c r="C17534" i="1"/>
  <c r="B17534" i="1"/>
  <c r="A17534" i="1"/>
  <c r="F17533" i="1"/>
  <c r="E17533" i="1"/>
  <c r="D17533" i="1"/>
  <c r="C17533" i="1"/>
  <c r="B17533" i="1"/>
  <c r="A17533" i="1"/>
  <c r="F17532" i="1"/>
  <c r="E17532" i="1"/>
  <c r="D17532" i="1"/>
  <c r="C17532" i="1"/>
  <c r="B17532" i="1"/>
  <c r="A17532" i="1"/>
  <c r="F17531" i="1"/>
  <c r="E17531" i="1"/>
  <c r="D17531" i="1"/>
  <c r="C17531" i="1"/>
  <c r="B17531" i="1"/>
  <c r="A17531" i="1"/>
  <c r="F17530" i="1"/>
  <c r="E17530" i="1"/>
  <c r="D17530" i="1"/>
  <c r="C17530" i="1"/>
  <c r="B17530" i="1"/>
  <c r="A17530" i="1"/>
  <c r="F17529" i="1"/>
  <c r="E17529" i="1"/>
  <c r="D17529" i="1"/>
  <c r="C17529" i="1"/>
  <c r="B17529" i="1"/>
  <c r="A17529" i="1"/>
  <c r="F17528" i="1"/>
  <c r="E17528" i="1"/>
  <c r="D17528" i="1"/>
  <c r="C17528" i="1"/>
  <c r="B17528" i="1"/>
  <c r="A17528" i="1"/>
  <c r="F17527" i="1"/>
  <c r="E17527" i="1"/>
  <c r="D17527" i="1"/>
  <c r="C17527" i="1"/>
  <c r="B17527" i="1"/>
  <c r="A17527" i="1"/>
  <c r="F17526" i="1"/>
  <c r="E17526" i="1"/>
  <c r="D17526" i="1"/>
  <c r="C17526" i="1"/>
  <c r="B17526" i="1"/>
  <c r="A17526" i="1"/>
  <c r="F17525" i="1"/>
  <c r="E17525" i="1"/>
  <c r="D17525" i="1"/>
  <c r="C17525" i="1"/>
  <c r="B17525" i="1"/>
  <c r="A17525" i="1"/>
  <c r="F17524" i="1"/>
  <c r="E17524" i="1"/>
  <c r="D17524" i="1"/>
  <c r="C17524" i="1"/>
  <c r="B17524" i="1"/>
  <c r="A17524" i="1"/>
  <c r="F17523" i="1"/>
  <c r="E17523" i="1"/>
  <c r="D17523" i="1"/>
  <c r="C17523" i="1"/>
  <c r="B17523" i="1"/>
  <c r="A17523" i="1"/>
  <c r="F17522" i="1"/>
  <c r="E17522" i="1"/>
  <c r="D17522" i="1"/>
  <c r="C17522" i="1"/>
  <c r="B17522" i="1"/>
  <c r="A17522" i="1"/>
  <c r="F17521" i="1"/>
  <c r="E17521" i="1"/>
  <c r="D17521" i="1"/>
  <c r="C17521" i="1"/>
  <c r="B17521" i="1"/>
  <c r="A17521" i="1"/>
  <c r="F17520" i="1"/>
  <c r="E17520" i="1"/>
  <c r="D17520" i="1"/>
  <c r="C17520" i="1"/>
  <c r="B17520" i="1"/>
  <c r="A17520" i="1"/>
  <c r="F17519" i="1"/>
  <c r="E17519" i="1"/>
  <c r="D17519" i="1"/>
  <c r="C17519" i="1"/>
  <c r="B17519" i="1"/>
  <c r="A17519" i="1"/>
  <c r="F17518" i="1"/>
  <c r="E17518" i="1"/>
  <c r="D17518" i="1"/>
  <c r="C17518" i="1"/>
  <c r="B17518" i="1"/>
  <c r="A17518" i="1"/>
  <c r="F17517" i="1"/>
  <c r="E17517" i="1"/>
  <c r="D17517" i="1"/>
  <c r="C17517" i="1"/>
  <c r="B17517" i="1"/>
  <c r="A17517" i="1"/>
  <c r="F17516" i="1"/>
  <c r="E17516" i="1"/>
  <c r="D17516" i="1"/>
  <c r="C17516" i="1"/>
  <c r="B17516" i="1"/>
  <c r="A17516" i="1"/>
  <c r="F17515" i="1"/>
  <c r="E17515" i="1"/>
  <c r="D17515" i="1"/>
  <c r="C17515" i="1"/>
  <c r="B17515" i="1"/>
  <c r="A17515" i="1"/>
  <c r="F17514" i="1"/>
  <c r="E17514" i="1"/>
  <c r="D17514" i="1"/>
  <c r="C17514" i="1"/>
  <c r="B17514" i="1"/>
  <c r="A17514" i="1"/>
  <c r="F17513" i="1"/>
  <c r="E17513" i="1"/>
  <c r="D17513" i="1"/>
  <c r="C17513" i="1"/>
  <c r="B17513" i="1"/>
  <c r="A17513" i="1"/>
  <c r="F17512" i="1"/>
  <c r="E17512" i="1"/>
  <c r="D17512" i="1"/>
  <c r="C17512" i="1"/>
  <c r="B17512" i="1"/>
  <c r="A17512" i="1"/>
  <c r="F17511" i="1"/>
  <c r="E17511" i="1"/>
  <c r="D17511" i="1"/>
  <c r="C17511" i="1"/>
  <c r="B17511" i="1"/>
  <c r="A17511" i="1"/>
  <c r="F17510" i="1"/>
  <c r="E17510" i="1"/>
  <c r="D17510" i="1"/>
  <c r="C17510" i="1"/>
  <c r="B17510" i="1"/>
  <c r="A17510" i="1"/>
  <c r="F17509" i="1"/>
  <c r="E17509" i="1"/>
  <c r="D17509" i="1"/>
  <c r="C17509" i="1"/>
  <c r="B17509" i="1"/>
  <c r="A17509" i="1"/>
  <c r="F17508" i="1"/>
  <c r="E17508" i="1"/>
  <c r="D17508" i="1"/>
  <c r="C17508" i="1"/>
  <c r="B17508" i="1"/>
  <c r="A17508" i="1"/>
  <c r="F17507" i="1"/>
  <c r="E17507" i="1"/>
  <c r="D17507" i="1"/>
  <c r="C17507" i="1"/>
  <c r="B17507" i="1"/>
  <c r="A17507" i="1"/>
  <c r="F17506" i="1"/>
  <c r="E17506" i="1"/>
  <c r="D17506" i="1"/>
  <c r="C17506" i="1"/>
  <c r="B17506" i="1"/>
  <c r="A17506" i="1"/>
  <c r="F17505" i="1"/>
  <c r="E17505" i="1"/>
  <c r="D17505" i="1"/>
  <c r="C17505" i="1"/>
  <c r="B17505" i="1"/>
  <c r="A17505" i="1"/>
  <c r="F17504" i="1"/>
  <c r="E17504" i="1"/>
  <c r="D17504" i="1"/>
  <c r="C17504" i="1"/>
  <c r="B17504" i="1"/>
  <c r="A17504" i="1"/>
  <c r="F17503" i="1"/>
  <c r="E17503" i="1"/>
  <c r="D17503" i="1"/>
  <c r="C17503" i="1"/>
  <c r="B17503" i="1"/>
  <c r="A17503" i="1"/>
  <c r="F17502" i="1"/>
  <c r="E17502" i="1"/>
  <c r="D17502" i="1"/>
  <c r="C17502" i="1"/>
  <c r="B17502" i="1"/>
  <c r="A17502" i="1"/>
  <c r="F17501" i="1"/>
  <c r="E17501" i="1"/>
  <c r="D17501" i="1"/>
  <c r="C17501" i="1"/>
  <c r="B17501" i="1"/>
  <c r="A17501" i="1"/>
  <c r="F17500" i="1"/>
  <c r="E17500" i="1"/>
  <c r="D17500" i="1"/>
  <c r="C17500" i="1"/>
  <c r="B17500" i="1"/>
  <c r="A17500" i="1"/>
  <c r="F17499" i="1"/>
  <c r="E17499" i="1"/>
  <c r="D17499" i="1"/>
  <c r="C17499" i="1"/>
  <c r="B17499" i="1"/>
  <c r="A17499" i="1"/>
  <c r="F17498" i="1"/>
  <c r="E17498" i="1"/>
  <c r="D17498" i="1"/>
  <c r="C17498" i="1"/>
  <c r="B17498" i="1"/>
  <c r="A17498" i="1"/>
  <c r="F17497" i="1"/>
  <c r="E17497" i="1"/>
  <c r="D17497" i="1"/>
  <c r="C17497" i="1"/>
  <c r="B17497" i="1"/>
  <c r="A17497" i="1"/>
  <c r="F17496" i="1"/>
  <c r="E17496" i="1"/>
  <c r="D17496" i="1"/>
  <c r="C17496" i="1"/>
  <c r="B17496" i="1"/>
  <c r="A17496" i="1"/>
  <c r="F17495" i="1"/>
  <c r="E17495" i="1"/>
  <c r="D17495" i="1"/>
  <c r="C17495" i="1"/>
  <c r="B17495" i="1"/>
  <c r="A17495" i="1"/>
  <c r="F17494" i="1"/>
  <c r="E17494" i="1"/>
  <c r="D17494" i="1"/>
  <c r="C17494" i="1"/>
  <c r="B17494" i="1"/>
  <c r="A17494" i="1"/>
  <c r="F17493" i="1"/>
  <c r="E17493" i="1"/>
  <c r="D17493" i="1"/>
  <c r="C17493" i="1"/>
  <c r="B17493" i="1"/>
  <c r="A17493" i="1"/>
  <c r="F17492" i="1"/>
  <c r="E17492" i="1"/>
  <c r="D17492" i="1"/>
  <c r="C17492" i="1"/>
  <c r="B17492" i="1"/>
  <c r="A17492" i="1"/>
  <c r="F17491" i="1"/>
  <c r="E17491" i="1"/>
  <c r="D17491" i="1"/>
  <c r="C17491" i="1"/>
  <c r="B17491" i="1"/>
  <c r="A17491" i="1"/>
  <c r="F17490" i="1"/>
  <c r="E17490" i="1"/>
  <c r="D17490" i="1"/>
  <c r="C17490" i="1"/>
  <c r="B17490" i="1"/>
  <c r="A17490" i="1"/>
  <c r="F17489" i="1"/>
  <c r="E17489" i="1"/>
  <c r="D17489" i="1"/>
  <c r="C17489" i="1"/>
  <c r="B17489" i="1"/>
  <c r="A17489" i="1"/>
  <c r="F17488" i="1"/>
  <c r="E17488" i="1"/>
  <c r="D17488" i="1"/>
  <c r="C17488" i="1"/>
  <c r="B17488" i="1"/>
  <c r="A17488" i="1"/>
  <c r="F17487" i="1"/>
  <c r="E17487" i="1"/>
  <c r="D17487" i="1"/>
  <c r="C17487" i="1"/>
  <c r="B17487" i="1"/>
  <c r="A17487" i="1"/>
  <c r="F17486" i="1"/>
  <c r="E17486" i="1"/>
  <c r="D17486" i="1"/>
  <c r="C17486" i="1"/>
  <c r="B17486" i="1"/>
  <c r="A17486" i="1"/>
  <c r="F17485" i="1"/>
  <c r="E17485" i="1"/>
  <c r="D17485" i="1"/>
  <c r="C17485" i="1"/>
  <c r="B17485" i="1"/>
  <c r="A17485" i="1"/>
  <c r="F17484" i="1"/>
  <c r="E17484" i="1"/>
  <c r="D17484" i="1"/>
  <c r="C17484" i="1"/>
  <c r="B17484" i="1"/>
  <c r="A17484" i="1"/>
  <c r="F17483" i="1"/>
  <c r="E17483" i="1"/>
  <c r="D17483" i="1"/>
  <c r="C17483" i="1"/>
  <c r="B17483" i="1"/>
  <c r="A17483" i="1"/>
  <c r="F17482" i="1"/>
  <c r="E17482" i="1"/>
  <c r="D17482" i="1"/>
  <c r="C17482" i="1"/>
  <c r="B17482" i="1"/>
  <c r="A17482" i="1"/>
  <c r="F17481" i="1"/>
  <c r="E17481" i="1"/>
  <c r="D17481" i="1"/>
  <c r="C17481" i="1"/>
  <c r="B17481" i="1"/>
  <c r="A17481" i="1"/>
  <c r="F17480" i="1"/>
  <c r="E17480" i="1"/>
  <c r="D17480" i="1"/>
  <c r="C17480" i="1"/>
  <c r="B17480" i="1"/>
  <c r="A17480" i="1"/>
  <c r="F17479" i="1"/>
  <c r="E17479" i="1"/>
  <c r="D17479" i="1"/>
  <c r="C17479" i="1"/>
  <c r="B17479" i="1"/>
  <c r="A17479" i="1"/>
  <c r="F17478" i="1"/>
  <c r="E17478" i="1"/>
  <c r="D17478" i="1"/>
  <c r="C17478" i="1"/>
  <c r="B17478" i="1"/>
  <c r="A17478" i="1"/>
  <c r="F17477" i="1"/>
  <c r="E17477" i="1"/>
  <c r="D17477" i="1"/>
  <c r="C17477" i="1"/>
  <c r="B17477" i="1"/>
  <c r="A17477" i="1"/>
  <c r="F17476" i="1"/>
  <c r="E17476" i="1"/>
  <c r="D17476" i="1"/>
  <c r="C17476" i="1"/>
  <c r="B17476" i="1"/>
  <c r="A17476" i="1"/>
  <c r="F17475" i="1"/>
  <c r="E17475" i="1"/>
  <c r="D17475" i="1"/>
  <c r="C17475" i="1"/>
  <c r="B17475" i="1"/>
  <c r="A17475" i="1"/>
  <c r="F17474" i="1"/>
  <c r="E17474" i="1"/>
  <c r="D17474" i="1"/>
  <c r="C17474" i="1"/>
  <c r="B17474" i="1"/>
  <c r="A17474" i="1"/>
  <c r="F17473" i="1"/>
  <c r="E17473" i="1"/>
  <c r="D17473" i="1"/>
  <c r="C17473" i="1"/>
  <c r="B17473" i="1"/>
  <c r="A17473" i="1"/>
  <c r="F17472" i="1"/>
  <c r="E17472" i="1"/>
  <c r="D17472" i="1"/>
  <c r="C17472" i="1"/>
  <c r="B17472" i="1"/>
  <c r="A17472" i="1"/>
  <c r="F17471" i="1"/>
  <c r="E17471" i="1"/>
  <c r="D17471" i="1"/>
  <c r="C17471" i="1"/>
  <c r="B17471" i="1"/>
  <c r="A17471" i="1"/>
  <c r="F17470" i="1"/>
  <c r="E17470" i="1"/>
  <c r="D17470" i="1"/>
  <c r="C17470" i="1"/>
  <c r="B17470" i="1"/>
  <c r="A17470" i="1"/>
  <c r="F17469" i="1"/>
  <c r="E17469" i="1"/>
  <c r="D17469" i="1"/>
  <c r="C17469" i="1"/>
  <c r="B17469" i="1"/>
  <c r="A17469" i="1"/>
  <c r="F17468" i="1"/>
  <c r="E17468" i="1"/>
  <c r="D17468" i="1"/>
  <c r="C17468" i="1"/>
  <c r="B17468" i="1"/>
  <c r="A17468" i="1"/>
  <c r="F17467" i="1"/>
  <c r="E17467" i="1"/>
  <c r="D17467" i="1"/>
  <c r="C17467" i="1"/>
  <c r="B17467" i="1"/>
  <c r="A17467" i="1"/>
  <c r="F17466" i="1"/>
  <c r="E17466" i="1"/>
  <c r="D17466" i="1"/>
  <c r="C17466" i="1"/>
  <c r="B17466" i="1"/>
  <c r="A17466" i="1"/>
  <c r="F17465" i="1"/>
  <c r="E17465" i="1"/>
  <c r="D17465" i="1"/>
  <c r="C17465" i="1"/>
  <c r="B17465" i="1"/>
  <c r="A17465" i="1"/>
  <c r="F17464" i="1"/>
  <c r="E17464" i="1"/>
  <c r="D17464" i="1"/>
  <c r="C17464" i="1"/>
  <c r="B17464" i="1"/>
  <c r="A17464" i="1"/>
  <c r="F17463" i="1"/>
  <c r="E17463" i="1"/>
  <c r="D17463" i="1"/>
  <c r="C17463" i="1"/>
  <c r="B17463" i="1"/>
  <c r="A17463" i="1"/>
  <c r="F17462" i="1"/>
  <c r="E17462" i="1"/>
  <c r="D17462" i="1"/>
  <c r="C17462" i="1"/>
  <c r="B17462" i="1"/>
  <c r="A17462" i="1"/>
  <c r="F17461" i="1"/>
  <c r="E17461" i="1"/>
  <c r="D17461" i="1"/>
  <c r="C17461" i="1"/>
  <c r="B17461" i="1"/>
  <c r="A17461" i="1"/>
  <c r="F17460" i="1"/>
  <c r="E17460" i="1"/>
  <c r="D17460" i="1"/>
  <c r="C17460" i="1"/>
  <c r="B17460" i="1"/>
  <c r="A17460" i="1"/>
  <c r="F17459" i="1"/>
  <c r="E17459" i="1"/>
  <c r="D17459" i="1"/>
  <c r="C17459" i="1"/>
  <c r="B17459" i="1"/>
  <c r="A17459" i="1"/>
  <c r="F17458" i="1"/>
  <c r="E17458" i="1"/>
  <c r="D17458" i="1"/>
  <c r="C17458" i="1"/>
  <c r="B17458" i="1"/>
  <c r="A17458" i="1"/>
  <c r="F17457" i="1"/>
  <c r="E17457" i="1"/>
  <c r="D17457" i="1"/>
  <c r="C17457" i="1"/>
  <c r="B17457" i="1"/>
  <c r="A17457" i="1"/>
  <c r="F17456" i="1"/>
  <c r="E17456" i="1"/>
  <c r="D17456" i="1"/>
  <c r="C17456" i="1"/>
  <c r="B17456" i="1"/>
  <c r="A17456" i="1"/>
  <c r="F17455" i="1"/>
  <c r="E17455" i="1"/>
  <c r="D17455" i="1"/>
  <c r="C17455" i="1"/>
  <c r="B17455" i="1"/>
  <c r="A17455" i="1"/>
  <c r="F17454" i="1"/>
  <c r="E17454" i="1"/>
  <c r="D17454" i="1"/>
  <c r="C17454" i="1"/>
  <c r="B17454" i="1"/>
  <c r="A17454" i="1"/>
  <c r="F17453" i="1"/>
  <c r="E17453" i="1"/>
  <c r="D17453" i="1"/>
  <c r="C17453" i="1"/>
  <c r="B17453" i="1"/>
  <c r="A17453" i="1"/>
  <c r="F17452" i="1"/>
  <c r="E17452" i="1"/>
  <c r="D17452" i="1"/>
  <c r="C17452" i="1"/>
  <c r="B17452" i="1"/>
  <c r="A17452" i="1"/>
  <c r="F17451" i="1"/>
  <c r="E17451" i="1"/>
  <c r="D17451" i="1"/>
  <c r="C17451" i="1"/>
  <c r="B17451" i="1"/>
  <c r="A17451" i="1"/>
  <c r="F17450" i="1"/>
  <c r="E17450" i="1"/>
  <c r="D17450" i="1"/>
  <c r="C17450" i="1"/>
  <c r="B17450" i="1"/>
  <c r="A17450" i="1"/>
  <c r="F17449" i="1"/>
  <c r="E17449" i="1"/>
  <c r="D17449" i="1"/>
  <c r="C17449" i="1"/>
  <c r="B17449" i="1"/>
  <c r="A17449" i="1"/>
  <c r="F17448" i="1"/>
  <c r="E17448" i="1"/>
  <c r="D17448" i="1"/>
  <c r="C17448" i="1"/>
  <c r="B17448" i="1"/>
  <c r="A17448" i="1"/>
  <c r="F17447" i="1"/>
  <c r="E17447" i="1"/>
  <c r="D17447" i="1"/>
  <c r="C17447" i="1"/>
  <c r="B17447" i="1"/>
  <c r="A17447" i="1"/>
  <c r="F17446" i="1"/>
  <c r="E17446" i="1"/>
  <c r="D17446" i="1"/>
  <c r="C17446" i="1"/>
  <c r="B17446" i="1"/>
  <c r="A17446" i="1"/>
  <c r="F17445" i="1"/>
  <c r="E17445" i="1"/>
  <c r="D17445" i="1"/>
  <c r="C17445" i="1"/>
  <c r="B17445" i="1"/>
  <c r="A17445" i="1"/>
  <c r="F17444" i="1"/>
  <c r="E17444" i="1"/>
  <c r="D17444" i="1"/>
  <c r="C17444" i="1"/>
  <c r="B17444" i="1"/>
  <c r="A17444" i="1"/>
  <c r="F17443" i="1"/>
  <c r="E17443" i="1"/>
  <c r="D17443" i="1"/>
  <c r="C17443" i="1"/>
  <c r="B17443" i="1"/>
  <c r="A17443" i="1"/>
  <c r="F17442" i="1"/>
  <c r="E17442" i="1"/>
  <c r="D17442" i="1"/>
  <c r="C17442" i="1"/>
  <c r="B17442" i="1"/>
  <c r="A17442" i="1"/>
  <c r="F17441" i="1"/>
  <c r="E17441" i="1"/>
  <c r="D17441" i="1"/>
  <c r="C17441" i="1"/>
  <c r="B17441" i="1"/>
  <c r="A17441" i="1"/>
  <c r="F17440" i="1"/>
  <c r="E17440" i="1"/>
  <c r="D17440" i="1"/>
  <c r="C17440" i="1"/>
  <c r="B17440" i="1"/>
  <c r="A17440" i="1"/>
  <c r="F17439" i="1"/>
  <c r="E17439" i="1"/>
  <c r="D17439" i="1"/>
  <c r="C17439" i="1"/>
  <c r="B17439" i="1"/>
  <c r="A17439" i="1"/>
  <c r="F17438" i="1"/>
  <c r="E17438" i="1"/>
  <c r="D17438" i="1"/>
  <c r="C17438" i="1"/>
  <c r="B17438" i="1"/>
  <c r="A17438" i="1"/>
  <c r="F17437" i="1"/>
  <c r="E17437" i="1"/>
  <c r="D17437" i="1"/>
  <c r="C17437" i="1"/>
  <c r="B17437" i="1"/>
  <c r="A17437" i="1"/>
  <c r="F17436" i="1"/>
  <c r="E17436" i="1"/>
  <c r="D17436" i="1"/>
  <c r="C17436" i="1"/>
  <c r="B17436" i="1"/>
  <c r="A17436" i="1"/>
  <c r="F17435" i="1"/>
  <c r="E17435" i="1"/>
  <c r="D17435" i="1"/>
  <c r="C17435" i="1"/>
  <c r="B17435" i="1"/>
  <c r="A17435" i="1"/>
  <c r="F17434" i="1"/>
  <c r="E17434" i="1"/>
  <c r="D17434" i="1"/>
  <c r="C17434" i="1"/>
  <c r="B17434" i="1"/>
  <c r="A17434" i="1"/>
  <c r="F17433" i="1"/>
  <c r="E17433" i="1"/>
  <c r="D17433" i="1"/>
  <c r="C17433" i="1"/>
  <c r="B17433" i="1"/>
  <c r="A17433" i="1"/>
  <c r="F17432" i="1"/>
  <c r="E17432" i="1"/>
  <c r="D17432" i="1"/>
  <c r="C17432" i="1"/>
  <c r="B17432" i="1"/>
  <c r="A17432" i="1"/>
  <c r="F17431" i="1"/>
  <c r="E17431" i="1"/>
  <c r="D17431" i="1"/>
  <c r="C17431" i="1"/>
  <c r="B17431" i="1"/>
  <c r="A17431" i="1"/>
  <c r="F17430" i="1"/>
  <c r="E17430" i="1"/>
  <c r="D17430" i="1"/>
  <c r="C17430" i="1"/>
  <c r="B17430" i="1"/>
  <c r="A17430" i="1"/>
  <c r="F17429" i="1"/>
  <c r="E17429" i="1"/>
  <c r="D17429" i="1"/>
  <c r="C17429" i="1"/>
  <c r="B17429" i="1"/>
  <c r="A17429" i="1"/>
  <c r="F17428" i="1"/>
  <c r="E17428" i="1"/>
  <c r="D17428" i="1"/>
  <c r="C17428" i="1"/>
  <c r="B17428" i="1"/>
  <c r="A17428" i="1"/>
  <c r="F17427" i="1"/>
  <c r="E17427" i="1"/>
  <c r="D17427" i="1"/>
  <c r="C17427" i="1"/>
  <c r="B17427" i="1"/>
  <c r="A17427" i="1"/>
  <c r="F17426" i="1"/>
  <c r="E17426" i="1"/>
  <c r="D17426" i="1"/>
  <c r="C17426" i="1"/>
  <c r="B17426" i="1"/>
  <c r="A17426" i="1"/>
  <c r="F17425" i="1"/>
  <c r="E17425" i="1"/>
  <c r="D17425" i="1"/>
  <c r="C17425" i="1"/>
  <c r="B17425" i="1"/>
  <c r="A17425" i="1"/>
  <c r="F17424" i="1"/>
  <c r="E17424" i="1"/>
  <c r="D17424" i="1"/>
  <c r="C17424" i="1"/>
  <c r="B17424" i="1"/>
  <c r="A17424" i="1"/>
  <c r="F17423" i="1"/>
  <c r="E17423" i="1"/>
  <c r="D17423" i="1"/>
  <c r="C17423" i="1"/>
  <c r="B17423" i="1"/>
  <c r="A17423" i="1"/>
  <c r="F17422" i="1"/>
  <c r="E17422" i="1"/>
  <c r="D17422" i="1"/>
  <c r="C17422" i="1"/>
  <c r="B17422" i="1"/>
  <c r="A17422" i="1"/>
  <c r="F17421" i="1"/>
  <c r="E17421" i="1"/>
  <c r="D17421" i="1"/>
  <c r="C17421" i="1"/>
  <c r="B17421" i="1"/>
  <c r="A17421" i="1"/>
  <c r="F17420" i="1"/>
  <c r="E17420" i="1"/>
  <c r="D17420" i="1"/>
  <c r="C17420" i="1"/>
  <c r="B17420" i="1"/>
  <c r="A17420" i="1"/>
  <c r="F17419" i="1"/>
  <c r="E17419" i="1"/>
  <c r="D17419" i="1"/>
  <c r="C17419" i="1"/>
  <c r="B17419" i="1"/>
  <c r="A17419" i="1"/>
  <c r="F17418" i="1"/>
  <c r="E17418" i="1"/>
  <c r="D17418" i="1"/>
  <c r="C17418" i="1"/>
  <c r="B17418" i="1"/>
  <c r="A17418" i="1"/>
  <c r="F17417" i="1"/>
  <c r="E17417" i="1"/>
  <c r="D17417" i="1"/>
  <c r="C17417" i="1"/>
  <c r="B17417" i="1"/>
  <c r="A17417" i="1"/>
  <c r="F17416" i="1"/>
  <c r="E17416" i="1"/>
  <c r="D17416" i="1"/>
  <c r="C17416" i="1"/>
  <c r="B17416" i="1"/>
  <c r="A17416" i="1"/>
  <c r="F17415" i="1"/>
  <c r="E17415" i="1"/>
  <c r="D17415" i="1"/>
  <c r="C17415" i="1"/>
  <c r="B17415" i="1"/>
  <c r="A17415" i="1"/>
  <c r="F17414" i="1"/>
  <c r="E17414" i="1"/>
  <c r="D17414" i="1"/>
  <c r="C17414" i="1"/>
  <c r="B17414" i="1"/>
  <c r="A17414" i="1"/>
  <c r="F17413" i="1"/>
  <c r="E17413" i="1"/>
  <c r="D17413" i="1"/>
  <c r="C17413" i="1"/>
  <c r="B17413" i="1"/>
  <c r="A17413" i="1"/>
  <c r="F17412" i="1"/>
  <c r="E17412" i="1"/>
  <c r="D17412" i="1"/>
  <c r="C17412" i="1"/>
  <c r="B17412" i="1"/>
  <c r="A17412" i="1"/>
  <c r="F17411" i="1"/>
  <c r="E17411" i="1"/>
  <c r="D17411" i="1"/>
  <c r="C17411" i="1"/>
  <c r="B17411" i="1"/>
  <c r="A17411" i="1"/>
  <c r="F17410" i="1"/>
  <c r="E17410" i="1"/>
  <c r="D17410" i="1"/>
  <c r="C17410" i="1"/>
  <c r="B17410" i="1"/>
  <c r="A17410" i="1"/>
  <c r="F17409" i="1"/>
  <c r="E17409" i="1"/>
  <c r="D17409" i="1"/>
  <c r="C17409" i="1"/>
  <c r="B17409" i="1"/>
  <c r="A17409" i="1"/>
  <c r="F17408" i="1"/>
  <c r="E17408" i="1"/>
  <c r="D17408" i="1"/>
  <c r="C17408" i="1"/>
  <c r="B17408" i="1"/>
  <c r="A17408" i="1"/>
  <c r="F17407" i="1"/>
  <c r="E17407" i="1"/>
  <c r="D17407" i="1"/>
  <c r="C17407" i="1"/>
  <c r="B17407" i="1"/>
  <c r="A17407" i="1"/>
  <c r="F17406" i="1"/>
  <c r="E17406" i="1"/>
  <c r="D17406" i="1"/>
  <c r="C17406" i="1"/>
  <c r="B17406" i="1"/>
  <c r="A17406" i="1"/>
  <c r="F17405" i="1"/>
  <c r="E17405" i="1"/>
  <c r="D17405" i="1"/>
  <c r="C17405" i="1"/>
  <c r="B17405" i="1"/>
  <c r="A17405" i="1"/>
  <c r="F17404" i="1"/>
  <c r="E17404" i="1"/>
  <c r="D17404" i="1"/>
  <c r="C17404" i="1"/>
  <c r="B17404" i="1"/>
  <c r="A17404" i="1"/>
  <c r="F17403" i="1"/>
  <c r="E17403" i="1"/>
  <c r="D17403" i="1"/>
  <c r="C17403" i="1"/>
  <c r="B17403" i="1"/>
  <c r="A17403" i="1"/>
  <c r="F17402" i="1"/>
  <c r="E17402" i="1"/>
  <c r="D17402" i="1"/>
  <c r="C17402" i="1"/>
  <c r="B17402" i="1"/>
  <c r="A17402" i="1"/>
  <c r="F17401" i="1"/>
  <c r="E17401" i="1"/>
  <c r="D17401" i="1"/>
  <c r="C17401" i="1"/>
  <c r="B17401" i="1"/>
  <c r="A17401" i="1"/>
  <c r="F17400" i="1"/>
  <c r="E17400" i="1"/>
  <c r="D17400" i="1"/>
  <c r="C17400" i="1"/>
  <c r="B17400" i="1"/>
  <c r="A17400" i="1"/>
  <c r="F17399" i="1"/>
  <c r="E17399" i="1"/>
  <c r="D17399" i="1"/>
  <c r="C17399" i="1"/>
  <c r="B17399" i="1"/>
  <c r="A17399" i="1"/>
  <c r="F17398" i="1"/>
  <c r="E17398" i="1"/>
  <c r="D17398" i="1"/>
  <c r="C17398" i="1"/>
  <c r="B17398" i="1"/>
  <c r="A17398" i="1"/>
  <c r="F17397" i="1"/>
  <c r="E17397" i="1"/>
  <c r="D17397" i="1"/>
  <c r="C17397" i="1"/>
  <c r="B17397" i="1"/>
  <c r="A17397" i="1"/>
  <c r="F17396" i="1"/>
  <c r="E17396" i="1"/>
  <c r="D17396" i="1"/>
  <c r="C17396" i="1"/>
  <c r="B17396" i="1"/>
  <c r="A17396" i="1"/>
  <c r="F17395" i="1"/>
  <c r="E17395" i="1"/>
  <c r="D17395" i="1"/>
  <c r="C17395" i="1"/>
  <c r="B17395" i="1"/>
  <c r="A17395" i="1"/>
  <c r="F17394" i="1"/>
  <c r="E17394" i="1"/>
  <c r="D17394" i="1"/>
  <c r="C17394" i="1"/>
  <c r="B17394" i="1"/>
  <c r="A17394" i="1"/>
  <c r="F17393" i="1"/>
  <c r="E17393" i="1"/>
  <c r="D17393" i="1"/>
  <c r="C17393" i="1"/>
  <c r="B17393" i="1"/>
  <c r="A17393" i="1"/>
  <c r="F17392" i="1"/>
  <c r="E17392" i="1"/>
  <c r="D17392" i="1"/>
  <c r="C17392" i="1"/>
  <c r="B17392" i="1"/>
  <c r="A17392" i="1"/>
  <c r="F17391" i="1"/>
  <c r="E17391" i="1"/>
  <c r="D17391" i="1"/>
  <c r="C17391" i="1"/>
  <c r="B17391" i="1"/>
  <c r="A17391" i="1"/>
  <c r="F17390" i="1"/>
  <c r="E17390" i="1"/>
  <c r="D17390" i="1"/>
  <c r="C17390" i="1"/>
  <c r="B17390" i="1"/>
  <c r="A17390" i="1"/>
  <c r="F17389" i="1"/>
  <c r="E17389" i="1"/>
  <c r="D17389" i="1"/>
  <c r="C17389" i="1"/>
  <c r="B17389" i="1"/>
  <c r="A17389" i="1"/>
  <c r="F17388" i="1"/>
  <c r="E17388" i="1"/>
  <c r="D17388" i="1"/>
  <c r="C17388" i="1"/>
  <c r="B17388" i="1"/>
  <c r="A17388" i="1"/>
  <c r="F17387" i="1"/>
  <c r="E17387" i="1"/>
  <c r="D17387" i="1"/>
  <c r="C17387" i="1"/>
  <c r="B17387" i="1"/>
  <c r="A17387" i="1"/>
  <c r="F17386" i="1"/>
  <c r="E17386" i="1"/>
  <c r="D17386" i="1"/>
  <c r="C17386" i="1"/>
  <c r="B17386" i="1"/>
  <c r="A17386" i="1"/>
  <c r="F17385" i="1"/>
  <c r="E17385" i="1"/>
  <c r="D17385" i="1"/>
  <c r="C17385" i="1"/>
  <c r="B17385" i="1"/>
  <c r="A17385" i="1"/>
  <c r="F17384" i="1"/>
  <c r="E17384" i="1"/>
  <c r="D17384" i="1"/>
  <c r="C17384" i="1"/>
  <c r="B17384" i="1"/>
  <c r="A17384" i="1"/>
  <c r="F17383" i="1"/>
  <c r="E17383" i="1"/>
  <c r="D17383" i="1"/>
  <c r="C17383" i="1"/>
  <c r="B17383" i="1"/>
  <c r="A17383" i="1"/>
  <c r="F17382" i="1"/>
  <c r="E17382" i="1"/>
  <c r="D17382" i="1"/>
  <c r="C17382" i="1"/>
  <c r="B17382" i="1"/>
  <c r="A17382" i="1"/>
  <c r="F17381" i="1"/>
  <c r="E17381" i="1"/>
  <c r="D17381" i="1"/>
  <c r="C17381" i="1"/>
  <c r="B17381" i="1"/>
  <c r="A17381" i="1"/>
  <c r="F17380" i="1"/>
  <c r="E17380" i="1"/>
  <c r="D17380" i="1"/>
  <c r="C17380" i="1"/>
  <c r="B17380" i="1"/>
  <c r="A17380" i="1"/>
  <c r="F17379" i="1"/>
  <c r="E17379" i="1"/>
  <c r="D17379" i="1"/>
  <c r="C17379" i="1"/>
  <c r="B17379" i="1"/>
  <c r="A17379" i="1"/>
  <c r="F17378" i="1"/>
  <c r="E17378" i="1"/>
  <c r="D17378" i="1"/>
  <c r="C17378" i="1"/>
  <c r="B17378" i="1"/>
  <c r="A17378" i="1"/>
  <c r="F17377" i="1"/>
  <c r="E17377" i="1"/>
  <c r="D17377" i="1"/>
  <c r="C17377" i="1"/>
  <c r="B17377" i="1"/>
  <c r="A17377" i="1"/>
  <c r="F17376" i="1"/>
  <c r="E17376" i="1"/>
  <c r="D17376" i="1"/>
  <c r="C17376" i="1"/>
  <c r="B17376" i="1"/>
  <c r="A17376" i="1"/>
  <c r="F17375" i="1"/>
  <c r="E17375" i="1"/>
  <c r="D17375" i="1"/>
  <c r="C17375" i="1"/>
  <c r="B17375" i="1"/>
  <c r="A17375" i="1"/>
  <c r="F17374" i="1"/>
  <c r="E17374" i="1"/>
  <c r="D17374" i="1"/>
  <c r="C17374" i="1"/>
  <c r="B17374" i="1"/>
  <c r="A17374" i="1"/>
  <c r="F17373" i="1"/>
  <c r="E17373" i="1"/>
  <c r="D17373" i="1"/>
  <c r="C17373" i="1"/>
  <c r="B17373" i="1"/>
  <c r="A17373" i="1"/>
  <c r="F17372" i="1"/>
  <c r="E17372" i="1"/>
  <c r="D17372" i="1"/>
  <c r="C17372" i="1"/>
  <c r="B17372" i="1"/>
  <c r="A17372" i="1"/>
  <c r="F17371" i="1"/>
  <c r="E17371" i="1"/>
  <c r="D17371" i="1"/>
  <c r="C17371" i="1"/>
  <c r="B17371" i="1"/>
  <c r="A17371" i="1"/>
  <c r="F17370" i="1"/>
  <c r="E17370" i="1"/>
  <c r="D17370" i="1"/>
  <c r="C17370" i="1"/>
  <c r="B17370" i="1"/>
  <c r="A17370" i="1"/>
  <c r="F17369" i="1"/>
  <c r="E17369" i="1"/>
  <c r="D17369" i="1"/>
  <c r="C17369" i="1"/>
  <c r="B17369" i="1"/>
  <c r="A17369" i="1"/>
  <c r="F17368" i="1"/>
  <c r="E17368" i="1"/>
  <c r="D17368" i="1"/>
  <c r="C17368" i="1"/>
  <c r="B17368" i="1"/>
  <c r="A17368" i="1"/>
  <c r="F17367" i="1"/>
  <c r="E17367" i="1"/>
  <c r="D17367" i="1"/>
  <c r="C17367" i="1"/>
  <c r="B17367" i="1"/>
  <c r="A17367" i="1"/>
  <c r="F17366" i="1"/>
  <c r="E17366" i="1"/>
  <c r="D17366" i="1"/>
  <c r="C17366" i="1"/>
  <c r="B17366" i="1"/>
  <c r="A17366" i="1"/>
  <c r="F17365" i="1"/>
  <c r="E17365" i="1"/>
  <c r="D17365" i="1"/>
  <c r="C17365" i="1"/>
  <c r="B17365" i="1"/>
  <c r="A17365" i="1"/>
  <c r="F17364" i="1"/>
  <c r="E17364" i="1"/>
  <c r="D17364" i="1"/>
  <c r="C17364" i="1"/>
  <c r="B17364" i="1"/>
  <c r="A17364" i="1"/>
  <c r="F17363" i="1"/>
  <c r="E17363" i="1"/>
  <c r="D17363" i="1"/>
  <c r="C17363" i="1"/>
  <c r="B17363" i="1"/>
  <c r="A17363" i="1"/>
  <c r="F17362" i="1"/>
  <c r="E17362" i="1"/>
  <c r="D17362" i="1"/>
  <c r="C17362" i="1"/>
  <c r="B17362" i="1"/>
  <c r="A17362" i="1"/>
  <c r="F17361" i="1"/>
  <c r="E17361" i="1"/>
  <c r="D17361" i="1"/>
  <c r="C17361" i="1"/>
  <c r="B17361" i="1"/>
  <c r="A17361" i="1"/>
  <c r="F17360" i="1"/>
  <c r="E17360" i="1"/>
  <c r="D17360" i="1"/>
  <c r="C17360" i="1"/>
  <c r="B17360" i="1"/>
  <c r="A17360" i="1"/>
  <c r="F17359" i="1"/>
  <c r="E17359" i="1"/>
  <c r="D17359" i="1"/>
  <c r="C17359" i="1"/>
  <c r="B17359" i="1"/>
  <c r="A17359" i="1"/>
  <c r="F17358" i="1"/>
  <c r="E17358" i="1"/>
  <c r="D17358" i="1"/>
  <c r="C17358" i="1"/>
  <c r="B17358" i="1"/>
  <c r="A17358" i="1"/>
  <c r="F17357" i="1"/>
  <c r="E17357" i="1"/>
  <c r="D17357" i="1"/>
  <c r="C17357" i="1"/>
  <c r="B17357" i="1"/>
  <c r="A17357" i="1"/>
  <c r="F17356" i="1"/>
  <c r="E17356" i="1"/>
  <c r="D17356" i="1"/>
  <c r="C17356" i="1"/>
  <c r="B17356" i="1"/>
  <c r="A17356" i="1"/>
  <c r="F17355" i="1"/>
  <c r="E17355" i="1"/>
  <c r="D17355" i="1"/>
  <c r="C17355" i="1"/>
  <c r="B17355" i="1"/>
  <c r="A17355" i="1"/>
  <c r="F17354" i="1"/>
  <c r="E17354" i="1"/>
  <c r="D17354" i="1"/>
  <c r="C17354" i="1"/>
  <c r="B17354" i="1"/>
  <c r="A17354" i="1"/>
  <c r="F17353" i="1"/>
  <c r="E17353" i="1"/>
  <c r="D17353" i="1"/>
  <c r="C17353" i="1"/>
  <c r="B17353" i="1"/>
  <c r="A17353" i="1"/>
  <c r="F17352" i="1"/>
  <c r="E17352" i="1"/>
  <c r="D17352" i="1"/>
  <c r="C17352" i="1"/>
  <c r="B17352" i="1"/>
  <c r="A17352" i="1"/>
  <c r="F17351" i="1"/>
  <c r="E17351" i="1"/>
  <c r="D17351" i="1"/>
  <c r="C17351" i="1"/>
  <c r="B17351" i="1"/>
  <c r="A17351" i="1"/>
  <c r="F17350" i="1"/>
  <c r="E17350" i="1"/>
  <c r="D17350" i="1"/>
  <c r="C17350" i="1"/>
  <c r="B17350" i="1"/>
  <c r="A17350" i="1"/>
  <c r="F17349" i="1"/>
  <c r="E17349" i="1"/>
  <c r="D17349" i="1"/>
  <c r="C17349" i="1"/>
  <c r="B17349" i="1"/>
  <c r="A17349" i="1"/>
  <c r="F17348" i="1"/>
  <c r="E17348" i="1"/>
  <c r="D17348" i="1"/>
  <c r="C17348" i="1"/>
  <c r="B17348" i="1"/>
  <c r="A17348" i="1"/>
  <c r="F17347" i="1"/>
  <c r="E17347" i="1"/>
  <c r="D17347" i="1"/>
  <c r="C17347" i="1"/>
  <c r="B17347" i="1"/>
  <c r="A17347" i="1"/>
  <c r="F17346" i="1"/>
  <c r="E17346" i="1"/>
  <c r="D17346" i="1"/>
  <c r="C17346" i="1"/>
  <c r="B17346" i="1"/>
  <c r="A17346" i="1"/>
  <c r="F17345" i="1"/>
  <c r="E17345" i="1"/>
  <c r="D17345" i="1"/>
  <c r="C17345" i="1"/>
  <c r="B17345" i="1"/>
  <c r="A17345" i="1"/>
  <c r="F17344" i="1"/>
  <c r="E17344" i="1"/>
  <c r="D17344" i="1"/>
  <c r="C17344" i="1"/>
  <c r="B17344" i="1"/>
  <c r="A17344" i="1"/>
  <c r="F17343" i="1"/>
  <c r="E17343" i="1"/>
  <c r="D17343" i="1"/>
  <c r="C17343" i="1"/>
  <c r="B17343" i="1"/>
  <c r="A17343" i="1"/>
  <c r="F17342" i="1"/>
  <c r="E17342" i="1"/>
  <c r="D17342" i="1"/>
  <c r="C17342" i="1"/>
  <c r="B17342" i="1"/>
  <c r="A17342" i="1"/>
  <c r="F17341" i="1"/>
  <c r="E17341" i="1"/>
  <c r="D17341" i="1"/>
  <c r="C17341" i="1"/>
  <c r="B17341" i="1"/>
  <c r="A17341" i="1"/>
  <c r="F17340" i="1"/>
  <c r="E17340" i="1"/>
  <c r="D17340" i="1"/>
  <c r="C17340" i="1"/>
  <c r="B17340" i="1"/>
  <c r="A17340" i="1"/>
  <c r="F17339" i="1"/>
  <c r="E17339" i="1"/>
  <c r="D17339" i="1"/>
  <c r="C17339" i="1"/>
  <c r="B17339" i="1"/>
  <c r="A17339" i="1"/>
  <c r="F17338" i="1"/>
  <c r="E17338" i="1"/>
  <c r="D17338" i="1"/>
  <c r="C17338" i="1"/>
  <c r="B17338" i="1"/>
  <c r="A17338" i="1"/>
  <c r="F17337" i="1"/>
  <c r="E17337" i="1"/>
  <c r="D17337" i="1"/>
  <c r="C17337" i="1"/>
  <c r="B17337" i="1"/>
  <c r="A17337" i="1"/>
  <c r="F17336" i="1"/>
  <c r="E17336" i="1"/>
  <c r="D17336" i="1"/>
  <c r="C17336" i="1"/>
  <c r="B17336" i="1"/>
  <c r="A17336" i="1"/>
  <c r="F17335" i="1"/>
  <c r="E17335" i="1"/>
  <c r="D17335" i="1"/>
  <c r="C17335" i="1"/>
  <c r="B17335" i="1"/>
  <c r="A17335" i="1"/>
  <c r="F17334" i="1"/>
  <c r="E17334" i="1"/>
  <c r="D17334" i="1"/>
  <c r="C17334" i="1"/>
  <c r="B17334" i="1"/>
  <c r="A17334" i="1"/>
  <c r="F17333" i="1"/>
  <c r="E17333" i="1"/>
  <c r="D17333" i="1"/>
  <c r="C17333" i="1"/>
  <c r="B17333" i="1"/>
  <c r="A17333" i="1"/>
  <c r="F17332" i="1"/>
  <c r="E17332" i="1"/>
  <c r="D17332" i="1"/>
  <c r="C17332" i="1"/>
  <c r="B17332" i="1"/>
  <c r="A17332" i="1"/>
  <c r="F17331" i="1"/>
  <c r="E17331" i="1"/>
  <c r="D17331" i="1"/>
  <c r="C17331" i="1"/>
  <c r="B17331" i="1"/>
  <c r="A17331" i="1"/>
  <c r="F17330" i="1"/>
  <c r="E17330" i="1"/>
  <c r="D17330" i="1"/>
  <c r="C17330" i="1"/>
  <c r="B17330" i="1"/>
  <c r="A17330" i="1"/>
  <c r="F17329" i="1"/>
  <c r="E17329" i="1"/>
  <c r="D17329" i="1"/>
  <c r="C17329" i="1"/>
  <c r="B17329" i="1"/>
  <c r="A17329" i="1"/>
  <c r="F17328" i="1"/>
  <c r="E17328" i="1"/>
  <c r="D17328" i="1"/>
  <c r="C17328" i="1"/>
  <c r="B17328" i="1"/>
  <c r="A17328" i="1"/>
  <c r="F17327" i="1"/>
  <c r="E17327" i="1"/>
  <c r="D17327" i="1"/>
  <c r="C17327" i="1"/>
  <c r="B17327" i="1"/>
  <c r="A17327" i="1"/>
  <c r="F17326" i="1"/>
  <c r="E17326" i="1"/>
  <c r="D17326" i="1"/>
  <c r="C17326" i="1"/>
  <c r="B17326" i="1"/>
  <c r="A17326" i="1"/>
  <c r="F17325" i="1"/>
  <c r="E17325" i="1"/>
  <c r="D17325" i="1"/>
  <c r="C17325" i="1"/>
  <c r="B17325" i="1"/>
  <c r="A17325" i="1"/>
  <c r="F17324" i="1"/>
  <c r="E17324" i="1"/>
  <c r="D17324" i="1"/>
  <c r="C17324" i="1"/>
  <c r="B17324" i="1"/>
  <c r="A17324" i="1"/>
  <c r="F17323" i="1"/>
  <c r="E17323" i="1"/>
  <c r="D17323" i="1"/>
  <c r="C17323" i="1"/>
  <c r="B17323" i="1"/>
  <c r="A17323" i="1"/>
  <c r="F17322" i="1"/>
  <c r="E17322" i="1"/>
  <c r="D17322" i="1"/>
  <c r="C17322" i="1"/>
  <c r="B17322" i="1"/>
  <c r="A17322" i="1"/>
  <c r="F17321" i="1"/>
  <c r="E17321" i="1"/>
  <c r="D17321" i="1"/>
  <c r="C17321" i="1"/>
  <c r="B17321" i="1"/>
  <c r="A17321" i="1"/>
  <c r="F17320" i="1"/>
  <c r="E17320" i="1"/>
  <c r="D17320" i="1"/>
  <c r="C17320" i="1"/>
  <c r="B17320" i="1"/>
  <c r="A17320" i="1"/>
  <c r="F17319" i="1"/>
  <c r="E17319" i="1"/>
  <c r="D17319" i="1"/>
  <c r="C17319" i="1"/>
  <c r="B17319" i="1"/>
  <c r="A17319" i="1"/>
  <c r="F17318" i="1"/>
  <c r="E17318" i="1"/>
  <c r="D17318" i="1"/>
  <c r="C17318" i="1"/>
  <c r="B17318" i="1"/>
  <c r="A17318" i="1"/>
  <c r="F17317" i="1"/>
  <c r="E17317" i="1"/>
  <c r="D17317" i="1"/>
  <c r="C17317" i="1"/>
  <c r="B17317" i="1"/>
  <c r="A17317" i="1"/>
  <c r="F17316" i="1"/>
  <c r="E17316" i="1"/>
  <c r="D17316" i="1"/>
  <c r="C17316" i="1"/>
  <c r="B17316" i="1"/>
  <c r="A17316" i="1"/>
  <c r="F17315" i="1"/>
  <c r="E17315" i="1"/>
  <c r="D17315" i="1"/>
  <c r="C17315" i="1"/>
  <c r="B17315" i="1"/>
  <c r="A17315" i="1"/>
  <c r="F17314" i="1"/>
  <c r="E17314" i="1"/>
  <c r="D17314" i="1"/>
  <c r="C17314" i="1"/>
  <c r="B17314" i="1"/>
  <c r="A17314" i="1"/>
  <c r="F17313" i="1"/>
  <c r="E17313" i="1"/>
  <c r="D17313" i="1"/>
  <c r="C17313" i="1"/>
  <c r="B17313" i="1"/>
  <c r="A17313" i="1"/>
  <c r="F17312" i="1"/>
  <c r="E17312" i="1"/>
  <c r="D17312" i="1"/>
  <c r="C17312" i="1"/>
  <c r="B17312" i="1"/>
  <c r="A17312" i="1"/>
  <c r="F17311" i="1"/>
  <c r="E17311" i="1"/>
  <c r="D17311" i="1"/>
  <c r="C17311" i="1"/>
  <c r="B17311" i="1"/>
  <c r="A17311" i="1"/>
  <c r="F17310" i="1"/>
  <c r="E17310" i="1"/>
  <c r="D17310" i="1"/>
  <c r="C17310" i="1"/>
  <c r="B17310" i="1"/>
  <c r="A17310" i="1"/>
  <c r="F17309" i="1"/>
  <c r="E17309" i="1"/>
  <c r="D17309" i="1"/>
  <c r="C17309" i="1"/>
  <c r="B17309" i="1"/>
  <c r="A17309" i="1"/>
  <c r="F17308" i="1"/>
  <c r="E17308" i="1"/>
  <c r="D17308" i="1"/>
  <c r="C17308" i="1"/>
  <c r="B17308" i="1"/>
  <c r="A17308" i="1"/>
  <c r="F17307" i="1"/>
  <c r="E17307" i="1"/>
  <c r="D17307" i="1"/>
  <c r="C17307" i="1"/>
  <c r="B17307" i="1"/>
  <c r="A17307" i="1"/>
  <c r="F17306" i="1"/>
  <c r="E17306" i="1"/>
  <c r="D17306" i="1"/>
  <c r="C17306" i="1"/>
  <c r="B17306" i="1"/>
  <c r="A17306" i="1"/>
  <c r="F17305" i="1"/>
  <c r="E17305" i="1"/>
  <c r="D17305" i="1"/>
  <c r="C17305" i="1"/>
  <c r="B17305" i="1"/>
  <c r="A17305" i="1"/>
  <c r="F17304" i="1"/>
  <c r="E17304" i="1"/>
  <c r="D17304" i="1"/>
  <c r="C17304" i="1"/>
  <c r="B17304" i="1"/>
  <c r="A17304" i="1"/>
  <c r="F17303" i="1"/>
  <c r="E17303" i="1"/>
  <c r="D17303" i="1"/>
  <c r="C17303" i="1"/>
  <c r="B17303" i="1"/>
  <c r="A17303" i="1"/>
  <c r="F17302" i="1"/>
  <c r="E17302" i="1"/>
  <c r="D17302" i="1"/>
  <c r="C17302" i="1"/>
  <c r="B17302" i="1"/>
  <c r="A17302" i="1"/>
  <c r="F17301" i="1"/>
  <c r="E17301" i="1"/>
  <c r="D17301" i="1"/>
  <c r="C17301" i="1"/>
  <c r="B17301" i="1"/>
  <c r="A17301" i="1"/>
  <c r="F17300" i="1"/>
  <c r="E17300" i="1"/>
  <c r="D17300" i="1"/>
  <c r="C17300" i="1"/>
  <c r="B17300" i="1"/>
  <c r="A17300" i="1"/>
  <c r="F17299" i="1"/>
  <c r="E17299" i="1"/>
  <c r="D17299" i="1"/>
  <c r="C17299" i="1"/>
  <c r="B17299" i="1"/>
  <c r="A17299" i="1"/>
  <c r="F17298" i="1"/>
  <c r="E17298" i="1"/>
  <c r="D17298" i="1"/>
  <c r="C17298" i="1"/>
  <c r="B17298" i="1"/>
  <c r="A17298" i="1"/>
  <c r="F17297" i="1"/>
  <c r="E17297" i="1"/>
  <c r="D17297" i="1"/>
  <c r="C17297" i="1"/>
  <c r="B17297" i="1"/>
  <c r="A17297" i="1"/>
  <c r="F17296" i="1"/>
  <c r="E17296" i="1"/>
  <c r="D17296" i="1"/>
  <c r="C17296" i="1"/>
  <c r="B17296" i="1"/>
  <c r="A17296" i="1"/>
  <c r="F17295" i="1"/>
  <c r="E17295" i="1"/>
  <c r="D17295" i="1"/>
  <c r="C17295" i="1"/>
  <c r="B17295" i="1"/>
  <c r="A17295" i="1"/>
  <c r="F17294" i="1"/>
  <c r="E17294" i="1"/>
  <c r="D17294" i="1"/>
  <c r="C17294" i="1"/>
  <c r="B17294" i="1"/>
  <c r="A17294" i="1"/>
  <c r="F17293" i="1"/>
  <c r="E17293" i="1"/>
  <c r="D17293" i="1"/>
  <c r="C17293" i="1"/>
  <c r="B17293" i="1"/>
  <c r="A17293" i="1"/>
  <c r="F17292" i="1"/>
  <c r="E17292" i="1"/>
  <c r="D17292" i="1"/>
  <c r="C17292" i="1"/>
  <c r="B17292" i="1"/>
  <c r="A17292" i="1"/>
  <c r="F17291" i="1"/>
  <c r="E17291" i="1"/>
  <c r="D17291" i="1"/>
  <c r="C17291" i="1"/>
  <c r="B17291" i="1"/>
  <c r="A17291" i="1"/>
  <c r="F17290" i="1"/>
  <c r="E17290" i="1"/>
  <c r="D17290" i="1"/>
  <c r="C17290" i="1"/>
  <c r="B17290" i="1"/>
  <c r="A17290" i="1"/>
  <c r="F17289" i="1"/>
  <c r="E17289" i="1"/>
  <c r="D17289" i="1"/>
  <c r="C17289" i="1"/>
  <c r="B17289" i="1"/>
  <c r="A17289" i="1"/>
  <c r="F17288" i="1"/>
  <c r="E17288" i="1"/>
  <c r="D17288" i="1"/>
  <c r="C17288" i="1"/>
  <c r="B17288" i="1"/>
  <c r="A17288" i="1"/>
  <c r="F17287" i="1"/>
  <c r="E17287" i="1"/>
  <c r="D17287" i="1"/>
  <c r="C17287" i="1"/>
  <c r="B17287" i="1"/>
  <c r="A17287" i="1"/>
  <c r="F17286" i="1"/>
  <c r="E17286" i="1"/>
  <c r="D17286" i="1"/>
  <c r="C17286" i="1"/>
  <c r="B17286" i="1"/>
  <c r="A17286" i="1"/>
  <c r="F17285" i="1"/>
  <c r="E17285" i="1"/>
  <c r="D17285" i="1"/>
  <c r="C17285" i="1"/>
  <c r="B17285" i="1"/>
  <c r="A17285" i="1"/>
  <c r="F17284" i="1"/>
  <c r="E17284" i="1"/>
  <c r="D17284" i="1"/>
  <c r="C17284" i="1"/>
  <c r="B17284" i="1"/>
  <c r="A17284" i="1"/>
  <c r="F17283" i="1"/>
  <c r="E17283" i="1"/>
  <c r="D17283" i="1"/>
  <c r="C17283" i="1"/>
  <c r="B17283" i="1"/>
  <c r="A17283" i="1"/>
  <c r="F17282" i="1"/>
  <c r="E17282" i="1"/>
  <c r="D17282" i="1"/>
  <c r="C17282" i="1"/>
  <c r="B17282" i="1"/>
  <c r="A17282" i="1"/>
  <c r="F17281" i="1"/>
  <c r="E17281" i="1"/>
  <c r="D17281" i="1"/>
  <c r="C17281" i="1"/>
  <c r="B17281" i="1"/>
  <c r="A17281" i="1"/>
  <c r="F17280" i="1"/>
  <c r="E17280" i="1"/>
  <c r="D17280" i="1"/>
  <c r="C17280" i="1"/>
  <c r="B17280" i="1"/>
  <c r="A17280" i="1"/>
  <c r="F17279" i="1"/>
  <c r="E17279" i="1"/>
  <c r="D17279" i="1"/>
  <c r="C17279" i="1"/>
  <c r="B17279" i="1"/>
  <c r="A17279" i="1"/>
  <c r="F17278" i="1"/>
  <c r="E17278" i="1"/>
  <c r="D17278" i="1"/>
  <c r="C17278" i="1"/>
  <c r="B17278" i="1"/>
  <c r="A17278" i="1"/>
  <c r="F17277" i="1"/>
  <c r="E17277" i="1"/>
  <c r="D17277" i="1"/>
  <c r="C17277" i="1"/>
  <c r="B17277" i="1"/>
  <c r="A17277" i="1"/>
  <c r="F17276" i="1"/>
  <c r="E17276" i="1"/>
  <c r="D17276" i="1"/>
  <c r="C17276" i="1"/>
  <c r="B17276" i="1"/>
  <c r="A17276" i="1"/>
  <c r="F17275" i="1"/>
  <c r="E17275" i="1"/>
  <c r="D17275" i="1"/>
  <c r="C17275" i="1"/>
  <c r="B17275" i="1"/>
  <c r="A17275" i="1"/>
  <c r="F17274" i="1"/>
  <c r="E17274" i="1"/>
  <c r="D17274" i="1"/>
  <c r="C17274" i="1"/>
  <c r="B17274" i="1"/>
  <c r="A17274" i="1"/>
  <c r="F17273" i="1"/>
  <c r="E17273" i="1"/>
  <c r="D17273" i="1"/>
  <c r="C17273" i="1"/>
  <c r="B17273" i="1"/>
  <c r="A17273" i="1"/>
  <c r="F17272" i="1"/>
  <c r="E17272" i="1"/>
  <c r="D17272" i="1"/>
  <c r="C17272" i="1"/>
  <c r="B17272" i="1"/>
  <c r="A17272" i="1"/>
  <c r="F17271" i="1"/>
  <c r="E17271" i="1"/>
  <c r="D17271" i="1"/>
  <c r="C17271" i="1"/>
  <c r="B17271" i="1"/>
  <c r="A17271" i="1"/>
  <c r="F17270" i="1"/>
  <c r="E17270" i="1"/>
  <c r="D17270" i="1"/>
  <c r="C17270" i="1"/>
  <c r="B17270" i="1"/>
  <c r="A17270" i="1"/>
  <c r="F17269" i="1"/>
  <c r="E17269" i="1"/>
  <c r="D17269" i="1"/>
  <c r="C17269" i="1"/>
  <c r="B17269" i="1"/>
  <c r="A17269" i="1"/>
  <c r="F17268" i="1"/>
  <c r="E17268" i="1"/>
  <c r="D17268" i="1"/>
  <c r="C17268" i="1"/>
  <c r="B17268" i="1"/>
  <c r="A17268" i="1"/>
  <c r="F17267" i="1"/>
  <c r="E17267" i="1"/>
  <c r="D17267" i="1"/>
  <c r="C17267" i="1"/>
  <c r="B17267" i="1"/>
  <c r="A17267" i="1"/>
  <c r="F17266" i="1"/>
  <c r="E17266" i="1"/>
  <c r="D17266" i="1"/>
  <c r="C17266" i="1"/>
  <c r="B17266" i="1"/>
  <c r="A17266" i="1"/>
  <c r="F17265" i="1"/>
  <c r="E17265" i="1"/>
  <c r="D17265" i="1"/>
  <c r="C17265" i="1"/>
  <c r="B17265" i="1"/>
  <c r="A17265" i="1"/>
  <c r="F17264" i="1"/>
  <c r="E17264" i="1"/>
  <c r="D17264" i="1"/>
  <c r="C17264" i="1"/>
  <c r="B17264" i="1"/>
  <c r="A17264" i="1"/>
  <c r="F17263" i="1"/>
  <c r="E17263" i="1"/>
  <c r="D17263" i="1"/>
  <c r="C17263" i="1"/>
  <c r="B17263" i="1"/>
  <c r="A17263" i="1"/>
  <c r="F17262" i="1"/>
  <c r="E17262" i="1"/>
  <c r="D17262" i="1"/>
  <c r="C17262" i="1"/>
  <c r="B17262" i="1"/>
  <c r="A17262" i="1"/>
  <c r="F17261" i="1"/>
  <c r="E17261" i="1"/>
  <c r="D17261" i="1"/>
  <c r="C17261" i="1"/>
  <c r="B17261" i="1"/>
  <c r="A17261" i="1"/>
  <c r="F17260" i="1"/>
  <c r="E17260" i="1"/>
  <c r="D17260" i="1"/>
  <c r="C17260" i="1"/>
  <c r="B17260" i="1"/>
  <c r="A17260" i="1"/>
  <c r="F17259" i="1"/>
  <c r="E17259" i="1"/>
  <c r="D17259" i="1"/>
  <c r="C17259" i="1"/>
  <c r="B17259" i="1"/>
  <c r="A17259" i="1"/>
  <c r="F17258" i="1"/>
  <c r="E17258" i="1"/>
  <c r="D17258" i="1"/>
  <c r="C17258" i="1"/>
  <c r="B17258" i="1"/>
  <c r="A17258" i="1"/>
  <c r="F17257" i="1"/>
  <c r="E17257" i="1"/>
  <c r="D17257" i="1"/>
  <c r="C17257" i="1"/>
  <c r="B17257" i="1"/>
  <c r="A17257" i="1"/>
  <c r="F17256" i="1"/>
  <c r="E17256" i="1"/>
  <c r="D17256" i="1"/>
  <c r="C17256" i="1"/>
  <c r="B17256" i="1"/>
  <c r="A17256" i="1"/>
  <c r="F17255" i="1"/>
  <c r="E17255" i="1"/>
  <c r="D17255" i="1"/>
  <c r="C17255" i="1"/>
  <c r="B17255" i="1"/>
  <c r="A17255" i="1"/>
  <c r="F17254" i="1"/>
  <c r="E17254" i="1"/>
  <c r="D17254" i="1"/>
  <c r="C17254" i="1"/>
  <c r="B17254" i="1"/>
  <c r="A17254" i="1"/>
  <c r="F17253" i="1"/>
  <c r="E17253" i="1"/>
  <c r="D17253" i="1"/>
  <c r="C17253" i="1"/>
  <c r="B17253" i="1"/>
  <c r="A17253" i="1"/>
  <c r="F17252" i="1"/>
  <c r="E17252" i="1"/>
  <c r="D17252" i="1"/>
  <c r="C17252" i="1"/>
  <c r="B17252" i="1"/>
  <c r="A17252" i="1"/>
  <c r="F17251" i="1"/>
  <c r="E17251" i="1"/>
  <c r="D17251" i="1"/>
  <c r="C17251" i="1"/>
  <c r="B17251" i="1"/>
  <c r="A17251" i="1"/>
  <c r="F17250" i="1"/>
  <c r="E17250" i="1"/>
  <c r="D17250" i="1"/>
  <c r="C17250" i="1"/>
  <c r="B17250" i="1"/>
  <c r="A17250" i="1"/>
  <c r="F17249" i="1"/>
  <c r="E17249" i="1"/>
  <c r="D17249" i="1"/>
  <c r="C17249" i="1"/>
  <c r="B17249" i="1"/>
  <c r="A17249" i="1"/>
  <c r="F17248" i="1"/>
  <c r="E17248" i="1"/>
  <c r="D17248" i="1"/>
  <c r="C17248" i="1"/>
  <c r="B17248" i="1"/>
  <c r="A17248" i="1"/>
  <c r="F17247" i="1"/>
  <c r="E17247" i="1"/>
  <c r="D17247" i="1"/>
  <c r="C17247" i="1"/>
  <c r="B17247" i="1"/>
  <c r="A17247" i="1"/>
  <c r="F17246" i="1"/>
  <c r="E17246" i="1"/>
  <c r="D17246" i="1"/>
  <c r="C17246" i="1"/>
  <c r="B17246" i="1"/>
  <c r="A17246" i="1"/>
  <c r="F17245" i="1"/>
  <c r="E17245" i="1"/>
  <c r="D17245" i="1"/>
  <c r="C17245" i="1"/>
  <c r="B17245" i="1"/>
  <c r="A17245" i="1"/>
  <c r="F17244" i="1"/>
  <c r="E17244" i="1"/>
  <c r="D17244" i="1"/>
  <c r="C17244" i="1"/>
  <c r="B17244" i="1"/>
  <c r="A17244" i="1"/>
  <c r="F17243" i="1"/>
  <c r="E17243" i="1"/>
  <c r="D17243" i="1"/>
  <c r="C17243" i="1"/>
  <c r="B17243" i="1"/>
  <c r="A17243" i="1"/>
  <c r="F17242" i="1"/>
  <c r="E17242" i="1"/>
  <c r="D17242" i="1"/>
  <c r="C17242" i="1"/>
  <c r="B17242" i="1"/>
  <c r="A17242" i="1"/>
  <c r="F17241" i="1"/>
  <c r="E17241" i="1"/>
  <c r="D17241" i="1"/>
  <c r="C17241" i="1"/>
  <c r="B17241" i="1"/>
  <c r="A17241" i="1"/>
  <c r="F17240" i="1"/>
  <c r="E17240" i="1"/>
  <c r="D17240" i="1"/>
  <c r="C17240" i="1"/>
  <c r="B17240" i="1"/>
  <c r="A17240" i="1"/>
  <c r="F17239" i="1"/>
  <c r="E17239" i="1"/>
  <c r="D17239" i="1"/>
  <c r="C17239" i="1"/>
  <c r="B17239" i="1"/>
  <c r="A17239" i="1"/>
  <c r="F17238" i="1"/>
  <c r="E17238" i="1"/>
  <c r="D17238" i="1"/>
  <c r="C17238" i="1"/>
  <c r="B17238" i="1"/>
  <c r="A17238" i="1"/>
  <c r="F17237" i="1"/>
  <c r="E17237" i="1"/>
  <c r="D17237" i="1"/>
  <c r="C17237" i="1"/>
  <c r="B17237" i="1"/>
  <c r="A17237" i="1"/>
  <c r="F17236" i="1"/>
  <c r="E17236" i="1"/>
  <c r="D17236" i="1"/>
  <c r="C17236" i="1"/>
  <c r="B17236" i="1"/>
  <c r="A17236" i="1"/>
  <c r="F17235" i="1"/>
  <c r="E17235" i="1"/>
  <c r="D17235" i="1"/>
  <c r="C17235" i="1"/>
  <c r="B17235" i="1"/>
  <c r="A17235" i="1"/>
  <c r="F17234" i="1"/>
  <c r="E17234" i="1"/>
  <c r="D17234" i="1"/>
  <c r="C17234" i="1"/>
  <c r="B17234" i="1"/>
  <c r="A17234" i="1"/>
  <c r="F17233" i="1"/>
  <c r="E17233" i="1"/>
  <c r="D17233" i="1"/>
  <c r="C17233" i="1"/>
  <c r="B17233" i="1"/>
  <c r="A17233" i="1"/>
  <c r="F17232" i="1"/>
  <c r="E17232" i="1"/>
  <c r="D17232" i="1"/>
  <c r="C17232" i="1"/>
  <c r="B17232" i="1"/>
  <c r="A17232" i="1"/>
  <c r="F17231" i="1"/>
  <c r="E17231" i="1"/>
  <c r="D17231" i="1"/>
  <c r="C17231" i="1"/>
  <c r="B17231" i="1"/>
  <c r="A17231" i="1"/>
  <c r="F17230" i="1"/>
  <c r="E17230" i="1"/>
  <c r="D17230" i="1"/>
  <c r="C17230" i="1"/>
  <c r="B17230" i="1"/>
  <c r="A17230" i="1"/>
  <c r="F17229" i="1"/>
  <c r="E17229" i="1"/>
  <c r="D17229" i="1"/>
  <c r="C17229" i="1"/>
  <c r="B17229" i="1"/>
  <c r="A17229" i="1"/>
  <c r="F17228" i="1"/>
  <c r="E17228" i="1"/>
  <c r="D17228" i="1"/>
  <c r="C17228" i="1"/>
  <c r="B17228" i="1"/>
  <c r="A17228" i="1"/>
  <c r="F17227" i="1"/>
  <c r="E17227" i="1"/>
  <c r="D17227" i="1"/>
  <c r="C17227" i="1"/>
  <c r="B17227" i="1"/>
  <c r="A17227" i="1"/>
  <c r="F17226" i="1"/>
  <c r="E17226" i="1"/>
  <c r="D17226" i="1"/>
  <c r="C17226" i="1"/>
  <c r="B17226" i="1"/>
  <c r="A17226" i="1"/>
  <c r="F17225" i="1"/>
  <c r="E17225" i="1"/>
  <c r="D17225" i="1"/>
  <c r="C17225" i="1"/>
  <c r="B17225" i="1"/>
  <c r="A17225" i="1"/>
  <c r="F17224" i="1"/>
  <c r="E17224" i="1"/>
  <c r="D17224" i="1"/>
  <c r="C17224" i="1"/>
  <c r="B17224" i="1"/>
  <c r="A17224" i="1"/>
  <c r="F17223" i="1"/>
  <c r="E17223" i="1"/>
  <c r="D17223" i="1"/>
  <c r="C17223" i="1"/>
  <c r="B17223" i="1"/>
  <c r="A17223" i="1"/>
  <c r="F17222" i="1"/>
  <c r="E17222" i="1"/>
  <c r="D17222" i="1"/>
  <c r="C17222" i="1"/>
  <c r="B17222" i="1"/>
  <c r="A17222" i="1"/>
  <c r="F17221" i="1"/>
  <c r="E17221" i="1"/>
  <c r="D17221" i="1"/>
  <c r="C17221" i="1"/>
  <c r="B17221" i="1"/>
  <c r="A17221" i="1"/>
  <c r="F17220" i="1"/>
  <c r="E17220" i="1"/>
  <c r="D17220" i="1"/>
  <c r="C17220" i="1"/>
  <c r="B17220" i="1"/>
  <c r="A17220" i="1"/>
  <c r="F17219" i="1"/>
  <c r="E17219" i="1"/>
  <c r="D17219" i="1"/>
  <c r="C17219" i="1"/>
  <c r="B17219" i="1"/>
  <c r="A17219" i="1"/>
  <c r="F17218" i="1"/>
  <c r="E17218" i="1"/>
  <c r="D17218" i="1"/>
  <c r="C17218" i="1"/>
  <c r="B17218" i="1"/>
  <c r="A17218" i="1"/>
  <c r="F17217" i="1"/>
  <c r="E17217" i="1"/>
  <c r="D17217" i="1"/>
  <c r="C17217" i="1"/>
  <c r="B17217" i="1"/>
  <c r="A17217" i="1"/>
  <c r="F17216" i="1"/>
  <c r="E17216" i="1"/>
  <c r="D17216" i="1"/>
  <c r="C17216" i="1"/>
  <c r="B17216" i="1"/>
  <c r="A17216" i="1"/>
  <c r="F17215" i="1"/>
  <c r="E17215" i="1"/>
  <c r="D17215" i="1"/>
  <c r="C17215" i="1"/>
  <c r="B17215" i="1"/>
  <c r="A17215" i="1"/>
  <c r="F17214" i="1"/>
  <c r="E17214" i="1"/>
  <c r="D17214" i="1"/>
  <c r="C17214" i="1"/>
  <c r="B17214" i="1"/>
  <c r="A17214" i="1"/>
  <c r="F17213" i="1"/>
  <c r="E17213" i="1"/>
  <c r="D17213" i="1"/>
  <c r="C17213" i="1"/>
  <c r="B17213" i="1"/>
  <c r="A17213" i="1"/>
  <c r="F17212" i="1"/>
  <c r="E17212" i="1"/>
  <c r="D17212" i="1"/>
  <c r="C17212" i="1"/>
  <c r="B17212" i="1"/>
  <c r="A17212" i="1"/>
  <c r="F17211" i="1"/>
  <c r="E17211" i="1"/>
  <c r="D17211" i="1"/>
  <c r="C17211" i="1"/>
  <c r="B17211" i="1"/>
  <c r="A17211" i="1"/>
  <c r="F17210" i="1"/>
  <c r="E17210" i="1"/>
  <c r="D17210" i="1"/>
  <c r="C17210" i="1"/>
  <c r="B17210" i="1"/>
  <c r="A17210" i="1"/>
  <c r="F17209" i="1"/>
  <c r="E17209" i="1"/>
  <c r="D17209" i="1"/>
  <c r="C17209" i="1"/>
  <c r="B17209" i="1"/>
  <c r="A17209" i="1"/>
  <c r="F17208" i="1"/>
  <c r="E17208" i="1"/>
  <c r="D17208" i="1"/>
  <c r="C17208" i="1"/>
  <c r="B17208" i="1"/>
  <c r="A17208" i="1"/>
  <c r="F17207" i="1"/>
  <c r="E17207" i="1"/>
  <c r="D17207" i="1"/>
  <c r="C17207" i="1"/>
  <c r="B17207" i="1"/>
  <c r="A17207" i="1"/>
  <c r="F17206" i="1"/>
  <c r="E17206" i="1"/>
  <c r="D17206" i="1"/>
  <c r="C17206" i="1"/>
  <c r="B17206" i="1"/>
  <c r="A17206" i="1"/>
  <c r="F17205" i="1"/>
  <c r="E17205" i="1"/>
  <c r="D17205" i="1"/>
  <c r="C17205" i="1"/>
  <c r="B17205" i="1"/>
  <c r="A17205" i="1"/>
  <c r="F17204" i="1"/>
  <c r="E17204" i="1"/>
  <c r="D17204" i="1"/>
  <c r="C17204" i="1"/>
  <c r="B17204" i="1"/>
  <c r="A17204" i="1"/>
  <c r="F17203" i="1"/>
  <c r="E17203" i="1"/>
  <c r="D17203" i="1"/>
  <c r="C17203" i="1"/>
  <c r="B17203" i="1"/>
  <c r="A17203" i="1"/>
  <c r="F17202" i="1"/>
  <c r="E17202" i="1"/>
  <c r="D17202" i="1"/>
  <c r="C17202" i="1"/>
  <c r="B17202" i="1"/>
  <c r="A17202" i="1"/>
  <c r="F17201" i="1"/>
  <c r="E17201" i="1"/>
  <c r="D17201" i="1"/>
  <c r="C17201" i="1"/>
  <c r="B17201" i="1"/>
  <c r="A17201" i="1"/>
  <c r="F17200" i="1"/>
  <c r="E17200" i="1"/>
  <c r="D17200" i="1"/>
  <c r="C17200" i="1"/>
  <c r="B17200" i="1"/>
  <c r="A17200" i="1"/>
  <c r="F17199" i="1"/>
  <c r="E17199" i="1"/>
  <c r="D17199" i="1"/>
  <c r="C17199" i="1"/>
  <c r="B17199" i="1"/>
  <c r="A17199" i="1"/>
  <c r="F17198" i="1"/>
  <c r="E17198" i="1"/>
  <c r="D17198" i="1"/>
  <c r="C17198" i="1"/>
  <c r="B17198" i="1"/>
  <c r="A17198" i="1"/>
  <c r="F17197" i="1"/>
  <c r="E17197" i="1"/>
  <c r="D17197" i="1"/>
  <c r="C17197" i="1"/>
  <c r="B17197" i="1"/>
  <c r="A17197" i="1"/>
  <c r="F17196" i="1"/>
  <c r="E17196" i="1"/>
  <c r="D17196" i="1"/>
  <c r="C17196" i="1"/>
  <c r="B17196" i="1"/>
  <c r="A17196" i="1"/>
  <c r="F17195" i="1"/>
  <c r="E17195" i="1"/>
  <c r="D17195" i="1"/>
  <c r="C17195" i="1"/>
  <c r="B17195" i="1"/>
  <c r="A17195" i="1"/>
  <c r="F17194" i="1"/>
  <c r="E17194" i="1"/>
  <c r="D17194" i="1"/>
  <c r="C17194" i="1"/>
  <c r="B17194" i="1"/>
  <c r="A17194" i="1"/>
  <c r="F17193" i="1"/>
  <c r="E17193" i="1"/>
  <c r="D17193" i="1"/>
  <c r="C17193" i="1"/>
  <c r="B17193" i="1"/>
  <c r="A17193" i="1"/>
  <c r="F17192" i="1"/>
  <c r="E17192" i="1"/>
  <c r="D17192" i="1"/>
  <c r="C17192" i="1"/>
  <c r="B17192" i="1"/>
  <c r="A17192" i="1"/>
  <c r="F17191" i="1"/>
  <c r="E17191" i="1"/>
  <c r="D17191" i="1"/>
  <c r="C17191" i="1"/>
  <c r="B17191" i="1"/>
  <c r="A17191" i="1"/>
  <c r="F17190" i="1"/>
  <c r="E17190" i="1"/>
  <c r="D17190" i="1"/>
  <c r="C17190" i="1"/>
  <c r="B17190" i="1"/>
  <c r="A17190" i="1"/>
  <c r="F17189" i="1"/>
  <c r="E17189" i="1"/>
  <c r="D17189" i="1"/>
  <c r="C17189" i="1"/>
  <c r="B17189" i="1"/>
  <c r="A17189" i="1"/>
  <c r="F17188" i="1"/>
  <c r="E17188" i="1"/>
  <c r="D17188" i="1"/>
  <c r="C17188" i="1"/>
  <c r="B17188" i="1"/>
  <c r="A17188" i="1"/>
  <c r="F17187" i="1"/>
  <c r="E17187" i="1"/>
  <c r="D17187" i="1"/>
  <c r="C17187" i="1"/>
  <c r="B17187" i="1"/>
  <c r="A17187" i="1"/>
  <c r="F17186" i="1"/>
  <c r="E17186" i="1"/>
  <c r="D17186" i="1"/>
  <c r="C17186" i="1"/>
  <c r="B17186" i="1"/>
  <c r="A17186" i="1"/>
  <c r="F17185" i="1"/>
  <c r="E17185" i="1"/>
  <c r="D17185" i="1"/>
  <c r="C17185" i="1"/>
  <c r="B17185" i="1"/>
  <c r="A17185" i="1"/>
  <c r="F17184" i="1"/>
  <c r="E17184" i="1"/>
  <c r="D17184" i="1"/>
  <c r="C17184" i="1"/>
  <c r="B17184" i="1"/>
  <c r="A17184" i="1"/>
  <c r="F17183" i="1"/>
  <c r="E17183" i="1"/>
  <c r="D17183" i="1"/>
  <c r="C17183" i="1"/>
  <c r="B17183" i="1"/>
  <c r="A17183" i="1"/>
  <c r="F17182" i="1"/>
  <c r="E17182" i="1"/>
  <c r="D17182" i="1"/>
  <c r="C17182" i="1"/>
  <c r="B17182" i="1"/>
  <c r="A17182" i="1"/>
  <c r="F17181" i="1"/>
  <c r="E17181" i="1"/>
  <c r="D17181" i="1"/>
  <c r="C17181" i="1"/>
  <c r="B17181" i="1"/>
  <c r="A17181" i="1"/>
  <c r="F17180" i="1"/>
  <c r="E17180" i="1"/>
  <c r="D17180" i="1"/>
  <c r="C17180" i="1"/>
  <c r="B17180" i="1"/>
  <c r="A17180" i="1"/>
  <c r="F17179" i="1"/>
  <c r="E17179" i="1"/>
  <c r="D17179" i="1"/>
  <c r="C17179" i="1"/>
  <c r="B17179" i="1"/>
  <c r="A17179" i="1"/>
  <c r="F17178" i="1"/>
  <c r="E17178" i="1"/>
  <c r="D17178" i="1"/>
  <c r="C17178" i="1"/>
  <c r="B17178" i="1"/>
  <c r="A17178" i="1"/>
  <c r="F17177" i="1"/>
  <c r="E17177" i="1"/>
  <c r="D17177" i="1"/>
  <c r="C17177" i="1"/>
  <c r="B17177" i="1"/>
  <c r="A17177" i="1"/>
  <c r="F17176" i="1"/>
  <c r="E17176" i="1"/>
  <c r="D17176" i="1"/>
  <c r="C17176" i="1"/>
  <c r="B17176" i="1"/>
  <c r="A17176" i="1"/>
  <c r="F17175" i="1"/>
  <c r="E17175" i="1"/>
  <c r="D17175" i="1"/>
  <c r="C17175" i="1"/>
  <c r="B17175" i="1"/>
  <c r="A17175" i="1"/>
  <c r="F17174" i="1"/>
  <c r="E17174" i="1"/>
  <c r="D17174" i="1"/>
  <c r="C17174" i="1"/>
  <c r="B17174" i="1"/>
  <c r="A17174" i="1"/>
  <c r="F17173" i="1"/>
  <c r="E17173" i="1"/>
  <c r="D17173" i="1"/>
  <c r="C17173" i="1"/>
  <c r="B17173" i="1"/>
  <c r="A17173" i="1"/>
  <c r="F17172" i="1"/>
  <c r="E17172" i="1"/>
  <c r="D17172" i="1"/>
  <c r="C17172" i="1"/>
  <c r="B17172" i="1"/>
  <c r="A17172" i="1"/>
  <c r="F17171" i="1"/>
  <c r="E17171" i="1"/>
  <c r="D17171" i="1"/>
  <c r="C17171" i="1"/>
  <c r="B17171" i="1"/>
  <c r="A17171" i="1"/>
  <c r="F17170" i="1"/>
  <c r="E17170" i="1"/>
  <c r="D17170" i="1"/>
  <c r="C17170" i="1"/>
  <c r="B17170" i="1"/>
  <c r="A17170" i="1"/>
  <c r="F17169" i="1"/>
  <c r="E17169" i="1"/>
  <c r="D17169" i="1"/>
  <c r="C17169" i="1"/>
  <c r="B17169" i="1"/>
  <c r="A17169" i="1"/>
  <c r="F17168" i="1"/>
  <c r="E17168" i="1"/>
  <c r="D17168" i="1"/>
  <c r="C17168" i="1"/>
  <c r="B17168" i="1"/>
  <c r="A17168" i="1"/>
  <c r="F17167" i="1"/>
  <c r="E17167" i="1"/>
  <c r="D17167" i="1"/>
  <c r="C17167" i="1"/>
  <c r="B17167" i="1"/>
  <c r="A17167" i="1"/>
  <c r="F17166" i="1"/>
  <c r="E17166" i="1"/>
  <c r="D17166" i="1"/>
  <c r="C17166" i="1"/>
  <c r="B17166" i="1"/>
  <c r="A17166" i="1"/>
  <c r="F17165" i="1"/>
  <c r="E17165" i="1"/>
  <c r="D17165" i="1"/>
  <c r="C17165" i="1"/>
  <c r="B17165" i="1"/>
  <c r="A17165" i="1"/>
  <c r="F17164" i="1"/>
  <c r="E17164" i="1"/>
  <c r="D17164" i="1"/>
  <c r="C17164" i="1"/>
  <c r="B17164" i="1"/>
  <c r="A17164" i="1"/>
  <c r="F17163" i="1"/>
  <c r="E17163" i="1"/>
  <c r="D17163" i="1"/>
  <c r="C17163" i="1"/>
  <c r="B17163" i="1"/>
  <c r="A17163" i="1"/>
  <c r="F17162" i="1"/>
  <c r="E17162" i="1"/>
  <c r="D17162" i="1"/>
  <c r="C17162" i="1"/>
  <c r="B17162" i="1"/>
  <c r="A17162" i="1"/>
  <c r="F17161" i="1"/>
  <c r="E17161" i="1"/>
  <c r="D17161" i="1"/>
  <c r="C17161" i="1"/>
  <c r="B17161" i="1"/>
  <c r="A17161" i="1"/>
  <c r="F17160" i="1"/>
  <c r="E17160" i="1"/>
  <c r="D17160" i="1"/>
  <c r="C17160" i="1"/>
  <c r="B17160" i="1"/>
  <c r="A17160" i="1"/>
  <c r="F17159" i="1"/>
  <c r="E17159" i="1"/>
  <c r="D17159" i="1"/>
  <c r="C17159" i="1"/>
  <c r="B17159" i="1"/>
  <c r="A17159" i="1"/>
  <c r="F17158" i="1"/>
  <c r="E17158" i="1"/>
  <c r="D17158" i="1"/>
  <c r="C17158" i="1"/>
  <c r="B17158" i="1"/>
  <c r="A17158" i="1"/>
  <c r="F17157" i="1"/>
  <c r="E17157" i="1"/>
  <c r="D17157" i="1"/>
  <c r="C17157" i="1"/>
  <c r="B17157" i="1"/>
  <c r="A17157" i="1"/>
  <c r="F17156" i="1"/>
  <c r="E17156" i="1"/>
  <c r="D17156" i="1"/>
  <c r="C17156" i="1"/>
  <c r="B17156" i="1"/>
  <c r="A17156" i="1"/>
  <c r="F17155" i="1"/>
  <c r="E17155" i="1"/>
  <c r="D17155" i="1"/>
  <c r="C17155" i="1"/>
  <c r="B17155" i="1"/>
  <c r="A17155" i="1"/>
  <c r="F17154" i="1"/>
  <c r="E17154" i="1"/>
  <c r="D17154" i="1"/>
  <c r="C17154" i="1"/>
  <c r="B17154" i="1"/>
  <c r="A17154" i="1"/>
  <c r="F17153" i="1"/>
  <c r="E17153" i="1"/>
  <c r="D17153" i="1"/>
  <c r="C17153" i="1"/>
  <c r="B17153" i="1"/>
  <c r="A17153" i="1"/>
  <c r="F17152" i="1"/>
  <c r="E17152" i="1"/>
  <c r="D17152" i="1"/>
  <c r="C17152" i="1"/>
  <c r="B17152" i="1"/>
  <c r="A17152" i="1"/>
  <c r="F17151" i="1"/>
  <c r="E17151" i="1"/>
  <c r="D17151" i="1"/>
  <c r="C17151" i="1"/>
  <c r="B17151" i="1"/>
  <c r="A17151" i="1"/>
  <c r="F17150" i="1"/>
  <c r="E17150" i="1"/>
  <c r="D17150" i="1"/>
  <c r="C17150" i="1"/>
  <c r="B17150" i="1"/>
  <c r="A17150" i="1"/>
  <c r="F17149" i="1"/>
  <c r="E17149" i="1"/>
  <c r="D17149" i="1"/>
  <c r="C17149" i="1"/>
  <c r="B17149" i="1"/>
  <c r="A17149" i="1"/>
  <c r="F17148" i="1"/>
  <c r="E17148" i="1"/>
  <c r="D17148" i="1"/>
  <c r="C17148" i="1"/>
  <c r="B17148" i="1"/>
  <c r="A17148" i="1"/>
  <c r="F17147" i="1"/>
  <c r="E17147" i="1"/>
  <c r="D17147" i="1"/>
  <c r="C17147" i="1"/>
  <c r="B17147" i="1"/>
  <c r="A17147" i="1"/>
  <c r="F17146" i="1"/>
  <c r="E17146" i="1"/>
  <c r="D17146" i="1"/>
  <c r="C17146" i="1"/>
  <c r="B17146" i="1"/>
  <c r="A17146" i="1"/>
  <c r="F17145" i="1"/>
  <c r="E17145" i="1"/>
  <c r="D17145" i="1"/>
  <c r="C17145" i="1"/>
  <c r="B17145" i="1"/>
  <c r="A17145" i="1"/>
  <c r="F17144" i="1"/>
  <c r="E17144" i="1"/>
  <c r="D17144" i="1"/>
  <c r="C17144" i="1"/>
  <c r="B17144" i="1"/>
  <c r="A17144" i="1"/>
  <c r="F17143" i="1"/>
  <c r="E17143" i="1"/>
  <c r="D17143" i="1"/>
  <c r="C17143" i="1"/>
  <c r="B17143" i="1"/>
  <c r="A17143" i="1"/>
  <c r="F17142" i="1"/>
  <c r="E17142" i="1"/>
  <c r="D17142" i="1"/>
  <c r="C17142" i="1"/>
  <c r="B17142" i="1"/>
  <c r="A17142" i="1"/>
  <c r="F17141" i="1"/>
  <c r="E17141" i="1"/>
  <c r="D17141" i="1"/>
  <c r="C17141" i="1"/>
  <c r="B17141" i="1"/>
  <c r="A17141" i="1"/>
  <c r="F17140" i="1"/>
  <c r="E17140" i="1"/>
  <c r="D17140" i="1"/>
  <c r="C17140" i="1"/>
  <c r="B17140" i="1"/>
  <c r="A17140" i="1"/>
  <c r="F17139" i="1"/>
  <c r="E17139" i="1"/>
  <c r="D17139" i="1"/>
  <c r="C17139" i="1"/>
  <c r="B17139" i="1"/>
  <c r="A17139" i="1"/>
  <c r="F17138" i="1"/>
  <c r="E17138" i="1"/>
  <c r="D17138" i="1"/>
  <c r="C17138" i="1"/>
  <c r="B17138" i="1"/>
  <c r="A17138" i="1"/>
  <c r="F17137" i="1"/>
  <c r="E17137" i="1"/>
  <c r="D17137" i="1"/>
  <c r="C17137" i="1"/>
  <c r="B17137" i="1"/>
  <c r="A17137" i="1"/>
  <c r="F17136" i="1"/>
  <c r="E17136" i="1"/>
  <c r="D17136" i="1"/>
  <c r="C17136" i="1"/>
  <c r="B17136" i="1"/>
  <c r="A17136" i="1"/>
  <c r="F17135" i="1"/>
  <c r="E17135" i="1"/>
  <c r="D17135" i="1"/>
  <c r="C17135" i="1"/>
  <c r="B17135" i="1"/>
  <c r="A17135" i="1"/>
  <c r="F17134" i="1"/>
  <c r="E17134" i="1"/>
  <c r="D17134" i="1"/>
  <c r="C17134" i="1"/>
  <c r="B17134" i="1"/>
  <c r="A17134" i="1"/>
  <c r="F17133" i="1"/>
  <c r="E17133" i="1"/>
  <c r="D17133" i="1"/>
  <c r="C17133" i="1"/>
  <c r="B17133" i="1"/>
  <c r="A17133" i="1"/>
  <c r="F17132" i="1"/>
  <c r="E17132" i="1"/>
  <c r="D17132" i="1"/>
  <c r="C17132" i="1"/>
  <c r="B17132" i="1"/>
  <c r="A17132" i="1"/>
  <c r="F17131" i="1"/>
  <c r="E17131" i="1"/>
  <c r="D17131" i="1"/>
  <c r="C17131" i="1"/>
  <c r="B17131" i="1"/>
  <c r="A17131" i="1"/>
  <c r="F17130" i="1"/>
  <c r="E17130" i="1"/>
  <c r="D17130" i="1"/>
  <c r="C17130" i="1"/>
  <c r="B17130" i="1"/>
  <c r="A17130" i="1"/>
  <c r="F17129" i="1"/>
  <c r="E17129" i="1"/>
  <c r="D17129" i="1"/>
  <c r="C17129" i="1"/>
  <c r="B17129" i="1"/>
  <c r="A17129" i="1"/>
  <c r="F17128" i="1"/>
  <c r="E17128" i="1"/>
  <c r="D17128" i="1"/>
  <c r="C17128" i="1"/>
  <c r="B17128" i="1"/>
  <c r="A17128" i="1"/>
  <c r="F17127" i="1"/>
  <c r="E17127" i="1"/>
  <c r="D17127" i="1"/>
  <c r="C17127" i="1"/>
  <c r="B17127" i="1"/>
  <c r="A17127" i="1"/>
  <c r="F17126" i="1"/>
  <c r="E17126" i="1"/>
  <c r="D17126" i="1"/>
  <c r="C17126" i="1"/>
  <c r="B17126" i="1"/>
  <c r="A17126" i="1"/>
  <c r="F17125" i="1"/>
  <c r="E17125" i="1"/>
  <c r="D17125" i="1"/>
  <c r="C17125" i="1"/>
  <c r="B17125" i="1"/>
  <c r="A17125" i="1"/>
  <c r="F17124" i="1"/>
  <c r="E17124" i="1"/>
  <c r="D17124" i="1"/>
  <c r="C17124" i="1"/>
  <c r="B17124" i="1"/>
  <c r="A17124" i="1"/>
  <c r="F17123" i="1"/>
  <c r="E17123" i="1"/>
  <c r="D17123" i="1"/>
  <c r="C17123" i="1"/>
  <c r="B17123" i="1"/>
  <c r="A17123" i="1"/>
  <c r="F17122" i="1"/>
  <c r="E17122" i="1"/>
  <c r="D17122" i="1"/>
  <c r="C17122" i="1"/>
  <c r="B17122" i="1"/>
  <c r="A17122" i="1"/>
  <c r="F17121" i="1"/>
  <c r="E17121" i="1"/>
  <c r="D17121" i="1"/>
  <c r="C17121" i="1"/>
  <c r="B17121" i="1"/>
  <c r="A17121" i="1"/>
  <c r="F17120" i="1"/>
  <c r="E17120" i="1"/>
  <c r="D17120" i="1"/>
  <c r="C17120" i="1"/>
  <c r="B17120" i="1"/>
  <c r="A17120" i="1"/>
  <c r="F17119" i="1"/>
  <c r="E17119" i="1"/>
  <c r="D17119" i="1"/>
  <c r="C17119" i="1"/>
  <c r="B17119" i="1"/>
  <c r="A17119" i="1"/>
  <c r="F17118" i="1"/>
  <c r="E17118" i="1"/>
  <c r="D17118" i="1"/>
  <c r="C17118" i="1"/>
  <c r="B17118" i="1"/>
  <c r="A17118" i="1"/>
  <c r="F17117" i="1"/>
  <c r="E17117" i="1"/>
  <c r="D17117" i="1"/>
  <c r="C17117" i="1"/>
  <c r="B17117" i="1"/>
  <c r="A17117" i="1"/>
  <c r="F17116" i="1"/>
  <c r="E17116" i="1"/>
  <c r="D17116" i="1"/>
  <c r="C17116" i="1"/>
  <c r="B17116" i="1"/>
  <c r="A17116" i="1"/>
  <c r="F17115" i="1"/>
  <c r="E17115" i="1"/>
  <c r="D17115" i="1"/>
  <c r="C17115" i="1"/>
  <c r="B17115" i="1"/>
  <c r="A17115" i="1"/>
  <c r="F17114" i="1"/>
  <c r="E17114" i="1"/>
  <c r="D17114" i="1"/>
  <c r="C17114" i="1"/>
  <c r="B17114" i="1"/>
  <c r="A17114" i="1"/>
  <c r="F17113" i="1"/>
  <c r="E17113" i="1"/>
  <c r="D17113" i="1"/>
  <c r="C17113" i="1"/>
  <c r="B17113" i="1"/>
  <c r="A17113" i="1"/>
  <c r="F17112" i="1"/>
  <c r="E17112" i="1"/>
  <c r="D17112" i="1"/>
  <c r="C17112" i="1"/>
  <c r="B17112" i="1"/>
  <c r="A17112" i="1"/>
  <c r="F17111" i="1"/>
  <c r="E17111" i="1"/>
  <c r="D17111" i="1"/>
  <c r="C17111" i="1"/>
  <c r="B17111" i="1"/>
  <c r="A17111" i="1"/>
  <c r="F17110" i="1"/>
  <c r="E17110" i="1"/>
  <c r="D17110" i="1"/>
  <c r="C17110" i="1"/>
  <c r="B17110" i="1"/>
  <c r="A17110" i="1"/>
  <c r="F17109" i="1"/>
  <c r="E17109" i="1"/>
  <c r="D17109" i="1"/>
  <c r="C17109" i="1"/>
  <c r="B17109" i="1"/>
  <c r="A17109" i="1"/>
  <c r="F17108" i="1"/>
  <c r="E17108" i="1"/>
  <c r="D17108" i="1"/>
  <c r="C17108" i="1"/>
  <c r="B17108" i="1"/>
  <c r="A17108" i="1"/>
  <c r="F17107" i="1"/>
  <c r="E17107" i="1"/>
  <c r="D17107" i="1"/>
  <c r="C17107" i="1"/>
  <c r="B17107" i="1"/>
  <c r="A17107" i="1"/>
  <c r="F17106" i="1"/>
  <c r="E17106" i="1"/>
  <c r="D17106" i="1"/>
  <c r="C17106" i="1"/>
  <c r="B17106" i="1"/>
  <c r="A17106" i="1"/>
  <c r="F17105" i="1"/>
  <c r="E17105" i="1"/>
  <c r="D17105" i="1"/>
  <c r="C17105" i="1"/>
  <c r="B17105" i="1"/>
  <c r="A17105" i="1"/>
  <c r="F17104" i="1"/>
  <c r="E17104" i="1"/>
  <c r="D17104" i="1"/>
  <c r="C17104" i="1"/>
  <c r="B17104" i="1"/>
  <c r="A17104" i="1"/>
  <c r="F17103" i="1"/>
  <c r="E17103" i="1"/>
  <c r="D17103" i="1"/>
  <c r="C17103" i="1"/>
  <c r="B17103" i="1"/>
  <c r="A17103" i="1"/>
  <c r="F17102" i="1"/>
  <c r="E17102" i="1"/>
  <c r="D17102" i="1"/>
  <c r="C17102" i="1"/>
  <c r="B17102" i="1"/>
  <c r="A17102" i="1"/>
  <c r="F17101" i="1"/>
  <c r="E17101" i="1"/>
  <c r="D17101" i="1"/>
  <c r="C17101" i="1"/>
  <c r="B17101" i="1"/>
  <c r="A17101" i="1"/>
  <c r="F17100" i="1"/>
  <c r="E17100" i="1"/>
  <c r="D17100" i="1"/>
  <c r="C17100" i="1"/>
  <c r="B17100" i="1"/>
  <c r="A17100" i="1"/>
  <c r="F17099" i="1"/>
  <c r="E17099" i="1"/>
  <c r="D17099" i="1"/>
  <c r="C17099" i="1"/>
  <c r="B17099" i="1"/>
  <c r="A17099" i="1"/>
  <c r="F17098" i="1"/>
  <c r="E17098" i="1"/>
  <c r="D17098" i="1"/>
  <c r="C17098" i="1"/>
  <c r="B17098" i="1"/>
  <c r="A17098" i="1"/>
  <c r="F17097" i="1"/>
  <c r="E17097" i="1"/>
  <c r="D17097" i="1"/>
  <c r="C17097" i="1"/>
  <c r="B17097" i="1"/>
  <c r="A17097" i="1"/>
  <c r="F17096" i="1"/>
  <c r="E17096" i="1"/>
  <c r="D17096" i="1"/>
  <c r="C17096" i="1"/>
  <c r="B17096" i="1"/>
  <c r="A17096" i="1"/>
  <c r="F17095" i="1"/>
  <c r="E17095" i="1"/>
  <c r="D17095" i="1"/>
  <c r="C17095" i="1"/>
  <c r="B17095" i="1"/>
  <c r="A17095" i="1"/>
  <c r="F17094" i="1"/>
  <c r="E17094" i="1"/>
  <c r="D17094" i="1"/>
  <c r="C17094" i="1"/>
  <c r="B17094" i="1"/>
  <c r="A17094" i="1"/>
  <c r="F17093" i="1"/>
  <c r="E17093" i="1"/>
  <c r="D17093" i="1"/>
  <c r="C17093" i="1"/>
  <c r="B17093" i="1"/>
  <c r="A17093" i="1"/>
  <c r="F17092" i="1"/>
  <c r="E17092" i="1"/>
  <c r="D17092" i="1"/>
  <c r="C17092" i="1"/>
  <c r="B17092" i="1"/>
  <c r="A17092" i="1"/>
  <c r="F17091" i="1"/>
  <c r="E17091" i="1"/>
  <c r="D17091" i="1"/>
  <c r="C17091" i="1"/>
  <c r="B17091" i="1"/>
  <c r="A17091" i="1"/>
  <c r="F17090" i="1"/>
  <c r="E17090" i="1"/>
  <c r="D17090" i="1"/>
  <c r="C17090" i="1"/>
  <c r="B17090" i="1"/>
  <c r="A17090" i="1"/>
  <c r="F17089" i="1"/>
  <c r="E17089" i="1"/>
  <c r="D17089" i="1"/>
  <c r="C17089" i="1"/>
  <c r="B17089" i="1"/>
  <c r="A17089" i="1"/>
  <c r="F17088" i="1"/>
  <c r="E17088" i="1"/>
  <c r="D17088" i="1"/>
  <c r="C17088" i="1"/>
  <c r="B17088" i="1"/>
  <c r="A17088" i="1"/>
  <c r="F17087" i="1"/>
  <c r="E17087" i="1"/>
  <c r="D17087" i="1"/>
  <c r="C17087" i="1"/>
  <c r="B17087" i="1"/>
  <c r="A17087" i="1"/>
  <c r="F17086" i="1"/>
  <c r="E17086" i="1"/>
  <c r="D17086" i="1"/>
  <c r="C17086" i="1"/>
  <c r="B17086" i="1"/>
  <c r="A17086" i="1"/>
  <c r="F17085" i="1"/>
  <c r="E17085" i="1"/>
  <c r="D17085" i="1"/>
  <c r="C17085" i="1"/>
  <c r="B17085" i="1"/>
  <c r="A17085" i="1"/>
  <c r="F17084" i="1"/>
  <c r="E17084" i="1"/>
  <c r="D17084" i="1"/>
  <c r="C17084" i="1"/>
  <c r="B17084" i="1"/>
  <c r="A17084" i="1"/>
  <c r="F17083" i="1"/>
  <c r="E17083" i="1"/>
  <c r="D17083" i="1"/>
  <c r="C17083" i="1"/>
  <c r="B17083" i="1"/>
  <c r="A17083" i="1"/>
  <c r="F17082" i="1"/>
  <c r="E17082" i="1"/>
  <c r="D17082" i="1"/>
  <c r="C17082" i="1"/>
  <c r="B17082" i="1"/>
  <c r="A17082" i="1"/>
  <c r="F17081" i="1"/>
  <c r="E17081" i="1"/>
  <c r="D17081" i="1"/>
  <c r="C17081" i="1"/>
  <c r="B17081" i="1"/>
  <c r="A17081" i="1"/>
  <c r="F17080" i="1"/>
  <c r="E17080" i="1"/>
  <c r="D17080" i="1"/>
  <c r="C17080" i="1"/>
  <c r="B17080" i="1"/>
  <c r="A17080" i="1"/>
  <c r="F17079" i="1"/>
  <c r="E17079" i="1"/>
  <c r="D17079" i="1"/>
  <c r="C17079" i="1"/>
  <c r="B17079" i="1"/>
  <c r="A17079" i="1"/>
  <c r="F17078" i="1"/>
  <c r="E17078" i="1"/>
  <c r="D17078" i="1"/>
  <c r="C17078" i="1"/>
  <c r="B17078" i="1"/>
  <c r="A17078" i="1"/>
  <c r="F17077" i="1"/>
  <c r="E17077" i="1"/>
  <c r="D17077" i="1"/>
  <c r="C17077" i="1"/>
  <c r="B17077" i="1"/>
  <c r="A17077" i="1"/>
  <c r="F17076" i="1"/>
  <c r="E17076" i="1"/>
  <c r="D17076" i="1"/>
  <c r="C17076" i="1"/>
  <c r="B17076" i="1"/>
  <c r="A17076" i="1"/>
  <c r="F17075" i="1"/>
  <c r="E17075" i="1"/>
  <c r="D17075" i="1"/>
  <c r="C17075" i="1"/>
  <c r="B17075" i="1"/>
  <c r="A17075" i="1"/>
  <c r="F17074" i="1"/>
  <c r="E17074" i="1"/>
  <c r="D17074" i="1"/>
  <c r="C17074" i="1"/>
  <c r="B17074" i="1"/>
  <c r="A17074" i="1"/>
  <c r="F17073" i="1"/>
  <c r="E17073" i="1"/>
  <c r="D17073" i="1"/>
  <c r="C17073" i="1"/>
  <c r="B17073" i="1"/>
  <c r="A17073" i="1"/>
  <c r="F17072" i="1"/>
  <c r="E17072" i="1"/>
  <c r="D17072" i="1"/>
  <c r="C17072" i="1"/>
  <c r="B17072" i="1"/>
  <c r="A17072" i="1"/>
  <c r="F17071" i="1"/>
  <c r="E17071" i="1"/>
  <c r="D17071" i="1"/>
  <c r="C17071" i="1"/>
  <c r="B17071" i="1"/>
  <c r="A17071" i="1"/>
  <c r="F17070" i="1"/>
  <c r="E17070" i="1"/>
  <c r="D17070" i="1"/>
  <c r="C17070" i="1"/>
  <c r="B17070" i="1"/>
  <c r="A17070" i="1"/>
  <c r="F17069" i="1"/>
  <c r="E17069" i="1"/>
  <c r="D17069" i="1"/>
  <c r="C17069" i="1"/>
  <c r="B17069" i="1"/>
  <c r="A17069" i="1"/>
  <c r="F17068" i="1"/>
  <c r="E17068" i="1"/>
  <c r="D17068" i="1"/>
  <c r="C17068" i="1"/>
  <c r="B17068" i="1"/>
  <c r="A17068" i="1"/>
  <c r="F17067" i="1"/>
  <c r="E17067" i="1"/>
  <c r="D17067" i="1"/>
  <c r="C17067" i="1"/>
  <c r="B17067" i="1"/>
  <c r="A17067" i="1"/>
  <c r="F17066" i="1"/>
  <c r="E17066" i="1"/>
  <c r="D17066" i="1"/>
  <c r="C17066" i="1"/>
  <c r="B17066" i="1"/>
  <c r="A17066" i="1"/>
  <c r="F17065" i="1"/>
  <c r="E17065" i="1"/>
  <c r="D17065" i="1"/>
  <c r="C17065" i="1"/>
  <c r="B17065" i="1"/>
  <c r="A17065" i="1"/>
  <c r="F17064" i="1"/>
  <c r="E17064" i="1"/>
  <c r="D17064" i="1"/>
  <c r="C17064" i="1"/>
  <c r="B17064" i="1"/>
  <c r="A17064" i="1"/>
  <c r="F17063" i="1"/>
  <c r="E17063" i="1"/>
  <c r="D17063" i="1"/>
  <c r="C17063" i="1"/>
  <c r="B17063" i="1"/>
  <c r="A17063" i="1"/>
  <c r="F17062" i="1"/>
  <c r="E17062" i="1"/>
  <c r="D17062" i="1"/>
  <c r="C17062" i="1"/>
  <c r="B17062" i="1"/>
  <c r="A17062" i="1"/>
  <c r="F17061" i="1"/>
  <c r="E17061" i="1"/>
  <c r="D17061" i="1"/>
  <c r="C17061" i="1"/>
  <c r="B17061" i="1"/>
  <c r="A17061" i="1"/>
  <c r="F17060" i="1"/>
  <c r="E17060" i="1"/>
  <c r="D17060" i="1"/>
  <c r="C17060" i="1"/>
  <c r="B17060" i="1"/>
  <c r="A17060" i="1"/>
  <c r="F17059" i="1"/>
  <c r="E17059" i="1"/>
  <c r="D17059" i="1"/>
  <c r="C17059" i="1"/>
  <c r="B17059" i="1"/>
  <c r="A17059" i="1"/>
  <c r="F17058" i="1"/>
  <c r="E17058" i="1"/>
  <c r="D17058" i="1"/>
  <c r="C17058" i="1"/>
  <c r="B17058" i="1"/>
  <c r="A17058" i="1"/>
  <c r="F17057" i="1"/>
  <c r="E17057" i="1"/>
  <c r="D17057" i="1"/>
  <c r="C17057" i="1"/>
  <c r="B17057" i="1"/>
  <c r="A17057" i="1"/>
  <c r="F17056" i="1"/>
  <c r="E17056" i="1"/>
  <c r="D17056" i="1"/>
  <c r="C17056" i="1"/>
  <c r="B17056" i="1"/>
  <c r="A17056" i="1"/>
  <c r="F17055" i="1"/>
  <c r="E17055" i="1"/>
  <c r="D17055" i="1"/>
  <c r="C17055" i="1"/>
  <c r="B17055" i="1"/>
  <c r="A17055" i="1"/>
  <c r="F17054" i="1"/>
  <c r="E17054" i="1"/>
  <c r="D17054" i="1"/>
  <c r="C17054" i="1"/>
  <c r="B17054" i="1"/>
  <c r="A17054" i="1"/>
  <c r="F17053" i="1"/>
  <c r="E17053" i="1"/>
  <c r="D17053" i="1"/>
  <c r="C17053" i="1"/>
  <c r="B17053" i="1"/>
  <c r="A17053" i="1"/>
  <c r="F17052" i="1"/>
  <c r="E17052" i="1"/>
  <c r="D17052" i="1"/>
  <c r="C17052" i="1"/>
  <c r="B17052" i="1"/>
  <c r="A17052" i="1"/>
  <c r="F17051" i="1"/>
  <c r="E17051" i="1"/>
  <c r="D17051" i="1"/>
  <c r="C17051" i="1"/>
  <c r="B17051" i="1"/>
  <c r="A17051" i="1"/>
  <c r="F17050" i="1"/>
  <c r="E17050" i="1"/>
  <c r="D17050" i="1"/>
  <c r="C17050" i="1"/>
  <c r="B17050" i="1"/>
  <c r="A17050" i="1"/>
  <c r="F17049" i="1"/>
  <c r="E17049" i="1"/>
  <c r="D17049" i="1"/>
  <c r="C17049" i="1"/>
  <c r="B17049" i="1"/>
  <c r="A17049" i="1"/>
  <c r="F17048" i="1"/>
  <c r="E17048" i="1"/>
  <c r="D17048" i="1"/>
  <c r="C17048" i="1"/>
  <c r="B17048" i="1"/>
  <c r="A17048" i="1"/>
  <c r="F17047" i="1"/>
  <c r="E17047" i="1"/>
  <c r="D17047" i="1"/>
  <c r="C17047" i="1"/>
  <c r="B17047" i="1"/>
  <c r="A17047" i="1"/>
  <c r="F17046" i="1"/>
  <c r="E17046" i="1"/>
  <c r="D17046" i="1"/>
  <c r="C17046" i="1"/>
  <c r="B17046" i="1"/>
  <c r="A17046" i="1"/>
  <c r="F17045" i="1"/>
  <c r="E17045" i="1"/>
  <c r="D17045" i="1"/>
  <c r="C17045" i="1"/>
  <c r="B17045" i="1"/>
  <c r="A17045" i="1"/>
  <c r="F17044" i="1"/>
  <c r="E17044" i="1"/>
  <c r="D17044" i="1"/>
  <c r="C17044" i="1"/>
  <c r="B17044" i="1"/>
  <c r="A17044" i="1"/>
  <c r="F17043" i="1"/>
  <c r="E17043" i="1"/>
  <c r="D17043" i="1"/>
  <c r="C17043" i="1"/>
  <c r="B17043" i="1"/>
  <c r="A17043" i="1"/>
  <c r="F17042" i="1"/>
  <c r="E17042" i="1"/>
  <c r="D17042" i="1"/>
  <c r="C17042" i="1"/>
  <c r="B17042" i="1"/>
  <c r="A17042" i="1"/>
  <c r="F17041" i="1"/>
  <c r="E17041" i="1"/>
  <c r="D17041" i="1"/>
  <c r="C17041" i="1"/>
  <c r="B17041" i="1"/>
  <c r="A17041" i="1"/>
  <c r="F17040" i="1"/>
  <c r="E17040" i="1"/>
  <c r="D17040" i="1"/>
  <c r="C17040" i="1"/>
  <c r="B17040" i="1"/>
  <c r="A17040" i="1"/>
  <c r="F17039" i="1"/>
  <c r="E17039" i="1"/>
  <c r="D17039" i="1"/>
  <c r="C17039" i="1"/>
  <c r="B17039" i="1"/>
  <c r="A17039" i="1"/>
  <c r="F17038" i="1"/>
  <c r="E17038" i="1"/>
  <c r="D17038" i="1"/>
  <c r="C17038" i="1"/>
  <c r="B17038" i="1"/>
  <c r="A17038" i="1"/>
  <c r="F17037" i="1"/>
  <c r="E17037" i="1"/>
  <c r="D17037" i="1"/>
  <c r="C17037" i="1"/>
  <c r="B17037" i="1"/>
  <c r="A17037" i="1"/>
  <c r="F17036" i="1"/>
  <c r="E17036" i="1"/>
  <c r="D17036" i="1"/>
  <c r="C17036" i="1"/>
  <c r="B17036" i="1"/>
  <c r="A17036" i="1"/>
  <c r="F17035" i="1"/>
  <c r="E17035" i="1"/>
  <c r="D17035" i="1"/>
  <c r="C17035" i="1"/>
  <c r="B17035" i="1"/>
  <c r="A17035" i="1"/>
  <c r="F17034" i="1"/>
  <c r="E17034" i="1"/>
  <c r="D17034" i="1"/>
  <c r="C17034" i="1"/>
  <c r="B17034" i="1"/>
  <c r="A17034" i="1"/>
  <c r="F17033" i="1"/>
  <c r="E17033" i="1"/>
  <c r="D17033" i="1"/>
  <c r="C17033" i="1"/>
  <c r="B17033" i="1"/>
  <c r="A17033" i="1"/>
  <c r="F17032" i="1"/>
  <c r="E17032" i="1"/>
  <c r="D17032" i="1"/>
  <c r="C17032" i="1"/>
  <c r="B17032" i="1"/>
  <c r="A17032" i="1"/>
  <c r="F17031" i="1"/>
  <c r="E17031" i="1"/>
  <c r="D17031" i="1"/>
  <c r="C17031" i="1"/>
  <c r="B17031" i="1"/>
  <c r="A17031" i="1"/>
  <c r="F17030" i="1"/>
  <c r="E17030" i="1"/>
  <c r="D17030" i="1"/>
  <c r="C17030" i="1"/>
  <c r="B17030" i="1"/>
  <c r="A17030" i="1"/>
  <c r="F17029" i="1"/>
  <c r="E17029" i="1"/>
  <c r="D17029" i="1"/>
  <c r="C17029" i="1"/>
  <c r="B17029" i="1"/>
  <c r="A17029" i="1"/>
  <c r="F17028" i="1"/>
  <c r="E17028" i="1"/>
  <c r="D17028" i="1"/>
  <c r="C17028" i="1"/>
  <c r="B17028" i="1"/>
  <c r="A17028" i="1"/>
  <c r="F17027" i="1"/>
  <c r="E17027" i="1"/>
  <c r="D17027" i="1"/>
  <c r="C17027" i="1"/>
  <c r="B17027" i="1"/>
  <c r="A17027" i="1"/>
  <c r="F17026" i="1"/>
  <c r="E17026" i="1"/>
  <c r="D17026" i="1"/>
  <c r="C17026" i="1"/>
  <c r="B17026" i="1"/>
  <c r="A17026" i="1"/>
  <c r="F17025" i="1"/>
  <c r="E17025" i="1"/>
  <c r="D17025" i="1"/>
  <c r="C17025" i="1"/>
  <c r="B17025" i="1"/>
  <c r="A17025" i="1"/>
  <c r="F17024" i="1"/>
  <c r="E17024" i="1"/>
  <c r="D17024" i="1"/>
  <c r="C17024" i="1"/>
  <c r="B17024" i="1"/>
  <c r="A17024" i="1"/>
  <c r="F17023" i="1"/>
  <c r="E17023" i="1"/>
  <c r="D17023" i="1"/>
  <c r="C17023" i="1"/>
  <c r="B17023" i="1"/>
  <c r="A17023" i="1"/>
  <c r="F17022" i="1"/>
  <c r="E17022" i="1"/>
  <c r="D17022" i="1"/>
  <c r="C17022" i="1"/>
  <c r="B17022" i="1"/>
  <c r="A17022" i="1"/>
  <c r="F17021" i="1"/>
  <c r="E17021" i="1"/>
  <c r="D17021" i="1"/>
  <c r="C17021" i="1"/>
  <c r="B17021" i="1"/>
  <c r="A17021" i="1"/>
  <c r="F17020" i="1"/>
  <c r="E17020" i="1"/>
  <c r="D17020" i="1"/>
  <c r="C17020" i="1"/>
  <c r="B17020" i="1"/>
  <c r="A17020" i="1"/>
  <c r="F17019" i="1"/>
  <c r="E17019" i="1"/>
  <c r="D17019" i="1"/>
  <c r="C17019" i="1"/>
  <c r="B17019" i="1"/>
  <c r="A17019" i="1"/>
  <c r="F17018" i="1"/>
  <c r="E17018" i="1"/>
  <c r="D17018" i="1"/>
  <c r="C17018" i="1"/>
  <c r="B17018" i="1"/>
  <c r="A17018" i="1"/>
  <c r="F17017" i="1"/>
  <c r="E17017" i="1"/>
  <c r="D17017" i="1"/>
  <c r="C17017" i="1"/>
  <c r="B17017" i="1"/>
  <c r="A17017" i="1"/>
  <c r="F17016" i="1"/>
  <c r="E17016" i="1"/>
  <c r="D17016" i="1"/>
  <c r="C17016" i="1"/>
  <c r="B17016" i="1"/>
  <c r="A17016" i="1"/>
  <c r="F17015" i="1"/>
  <c r="E17015" i="1"/>
  <c r="D17015" i="1"/>
  <c r="C17015" i="1"/>
  <c r="B17015" i="1"/>
  <c r="A17015" i="1"/>
  <c r="F17014" i="1"/>
  <c r="E17014" i="1"/>
  <c r="D17014" i="1"/>
  <c r="C17014" i="1"/>
  <c r="B17014" i="1"/>
  <c r="A17014" i="1"/>
  <c r="F17013" i="1"/>
  <c r="E17013" i="1"/>
  <c r="D17013" i="1"/>
  <c r="C17013" i="1"/>
  <c r="B17013" i="1"/>
  <c r="A17013" i="1"/>
  <c r="F17012" i="1"/>
  <c r="E17012" i="1"/>
  <c r="D17012" i="1"/>
  <c r="C17012" i="1"/>
  <c r="B17012" i="1"/>
  <c r="A17012" i="1"/>
  <c r="F17011" i="1"/>
  <c r="E17011" i="1"/>
  <c r="D17011" i="1"/>
  <c r="C17011" i="1"/>
  <c r="B17011" i="1"/>
  <c r="A17011" i="1"/>
  <c r="F17010" i="1"/>
  <c r="E17010" i="1"/>
  <c r="D17010" i="1"/>
  <c r="C17010" i="1"/>
  <c r="B17010" i="1"/>
  <c r="A17010" i="1"/>
  <c r="F17009" i="1"/>
  <c r="E17009" i="1"/>
  <c r="D17009" i="1"/>
  <c r="C17009" i="1"/>
  <c r="B17009" i="1"/>
  <c r="A17009" i="1"/>
  <c r="F17008" i="1"/>
  <c r="E17008" i="1"/>
  <c r="D17008" i="1"/>
  <c r="C17008" i="1"/>
  <c r="B17008" i="1"/>
  <c r="A17008" i="1"/>
  <c r="F17007" i="1"/>
  <c r="E17007" i="1"/>
  <c r="D17007" i="1"/>
  <c r="C17007" i="1"/>
  <c r="B17007" i="1"/>
  <c r="A17007" i="1"/>
  <c r="F17006" i="1"/>
  <c r="E17006" i="1"/>
  <c r="D17006" i="1"/>
  <c r="C17006" i="1"/>
  <c r="B17006" i="1"/>
  <c r="A17006" i="1"/>
  <c r="F17005" i="1"/>
  <c r="E17005" i="1"/>
  <c r="D17005" i="1"/>
  <c r="C17005" i="1"/>
  <c r="B17005" i="1"/>
  <c r="A17005" i="1"/>
  <c r="F17004" i="1"/>
  <c r="E17004" i="1"/>
  <c r="D17004" i="1"/>
  <c r="C17004" i="1"/>
  <c r="B17004" i="1"/>
  <c r="A17004" i="1"/>
  <c r="F17003" i="1"/>
  <c r="E17003" i="1"/>
  <c r="D17003" i="1"/>
  <c r="C17003" i="1"/>
  <c r="B17003" i="1"/>
  <c r="A17003" i="1"/>
  <c r="F17002" i="1"/>
  <c r="E17002" i="1"/>
  <c r="D17002" i="1"/>
  <c r="C17002" i="1"/>
  <c r="B17002" i="1"/>
  <c r="A17002" i="1"/>
  <c r="F17001" i="1"/>
  <c r="E17001" i="1"/>
  <c r="D17001" i="1"/>
  <c r="C17001" i="1"/>
  <c r="B17001" i="1"/>
  <c r="A17001" i="1"/>
  <c r="F17000" i="1"/>
  <c r="E17000" i="1"/>
  <c r="D17000" i="1"/>
  <c r="C17000" i="1"/>
  <c r="B17000" i="1"/>
  <c r="A17000" i="1"/>
  <c r="F16999" i="1"/>
  <c r="E16999" i="1"/>
  <c r="D16999" i="1"/>
  <c r="C16999" i="1"/>
  <c r="B16999" i="1"/>
  <c r="A16999" i="1"/>
  <c r="F16998" i="1"/>
  <c r="E16998" i="1"/>
  <c r="D16998" i="1"/>
  <c r="C16998" i="1"/>
  <c r="B16998" i="1"/>
  <c r="A16998" i="1"/>
  <c r="F16997" i="1"/>
  <c r="E16997" i="1"/>
  <c r="D16997" i="1"/>
  <c r="C16997" i="1"/>
  <c r="B16997" i="1"/>
  <c r="A16997" i="1"/>
  <c r="F16996" i="1"/>
  <c r="E16996" i="1"/>
  <c r="D16996" i="1"/>
  <c r="C16996" i="1"/>
  <c r="B16996" i="1"/>
  <c r="A16996" i="1"/>
  <c r="F16995" i="1"/>
  <c r="E16995" i="1"/>
  <c r="D16995" i="1"/>
  <c r="C16995" i="1"/>
  <c r="B16995" i="1"/>
  <c r="A16995" i="1"/>
  <c r="F16994" i="1"/>
  <c r="E16994" i="1"/>
  <c r="D16994" i="1"/>
  <c r="C16994" i="1"/>
  <c r="B16994" i="1"/>
  <c r="A16994" i="1"/>
  <c r="F16993" i="1"/>
  <c r="E16993" i="1"/>
  <c r="D16993" i="1"/>
  <c r="C16993" i="1"/>
  <c r="B16993" i="1"/>
  <c r="A16993" i="1"/>
  <c r="F16992" i="1"/>
  <c r="E16992" i="1"/>
  <c r="D16992" i="1"/>
  <c r="C16992" i="1"/>
  <c r="B16992" i="1"/>
  <c r="A16992" i="1"/>
  <c r="F16991" i="1"/>
  <c r="E16991" i="1"/>
  <c r="D16991" i="1"/>
  <c r="C16991" i="1"/>
  <c r="B16991" i="1"/>
  <c r="A16991" i="1"/>
  <c r="F16990" i="1"/>
  <c r="E16990" i="1"/>
  <c r="D16990" i="1"/>
  <c r="C16990" i="1"/>
  <c r="B16990" i="1"/>
  <c r="A16990" i="1"/>
  <c r="F16989" i="1"/>
  <c r="E16989" i="1"/>
  <c r="D16989" i="1"/>
  <c r="C16989" i="1"/>
  <c r="B16989" i="1"/>
  <c r="A16989" i="1"/>
  <c r="F16988" i="1"/>
  <c r="E16988" i="1"/>
  <c r="D16988" i="1"/>
  <c r="C16988" i="1"/>
  <c r="B16988" i="1"/>
  <c r="A16988" i="1"/>
  <c r="F16987" i="1"/>
  <c r="E16987" i="1"/>
  <c r="D16987" i="1"/>
  <c r="C16987" i="1"/>
  <c r="B16987" i="1"/>
  <c r="A16987" i="1"/>
  <c r="F16986" i="1"/>
  <c r="E16986" i="1"/>
  <c r="D16986" i="1"/>
  <c r="C16986" i="1"/>
  <c r="B16986" i="1"/>
  <c r="A16986" i="1"/>
  <c r="F16985" i="1"/>
  <c r="E16985" i="1"/>
  <c r="D16985" i="1"/>
  <c r="C16985" i="1"/>
  <c r="B16985" i="1"/>
  <c r="A16985" i="1"/>
  <c r="F16984" i="1"/>
  <c r="E16984" i="1"/>
  <c r="D16984" i="1"/>
  <c r="C16984" i="1"/>
  <c r="B16984" i="1"/>
  <c r="A16984" i="1"/>
  <c r="F16983" i="1"/>
  <c r="E16983" i="1"/>
  <c r="D16983" i="1"/>
  <c r="C16983" i="1"/>
  <c r="B16983" i="1"/>
  <c r="A16983" i="1"/>
  <c r="F16982" i="1"/>
  <c r="E16982" i="1"/>
  <c r="D16982" i="1"/>
  <c r="C16982" i="1"/>
  <c r="B16982" i="1"/>
  <c r="A16982" i="1"/>
  <c r="F16981" i="1"/>
  <c r="E16981" i="1"/>
  <c r="D16981" i="1"/>
  <c r="C16981" i="1"/>
  <c r="B16981" i="1"/>
  <c r="A16981" i="1"/>
  <c r="F16980" i="1"/>
  <c r="E16980" i="1"/>
  <c r="D16980" i="1"/>
  <c r="C16980" i="1"/>
  <c r="B16980" i="1"/>
  <c r="A16980" i="1"/>
  <c r="F16979" i="1"/>
  <c r="E16979" i="1"/>
  <c r="D16979" i="1"/>
  <c r="C16979" i="1"/>
  <c r="B16979" i="1"/>
  <c r="A16979" i="1"/>
  <c r="F16978" i="1"/>
  <c r="E16978" i="1"/>
  <c r="D16978" i="1"/>
  <c r="C16978" i="1"/>
  <c r="B16978" i="1"/>
  <c r="A16978" i="1"/>
  <c r="F16977" i="1"/>
  <c r="E16977" i="1"/>
  <c r="D16977" i="1"/>
  <c r="C16977" i="1"/>
  <c r="B16977" i="1"/>
  <c r="A16977" i="1"/>
  <c r="F16976" i="1"/>
  <c r="E16976" i="1"/>
  <c r="D16976" i="1"/>
  <c r="C16976" i="1"/>
  <c r="B16976" i="1"/>
  <c r="A16976" i="1"/>
  <c r="F16975" i="1"/>
  <c r="E16975" i="1"/>
  <c r="D16975" i="1"/>
  <c r="C16975" i="1"/>
  <c r="B16975" i="1"/>
  <c r="A16975" i="1"/>
  <c r="F16974" i="1"/>
  <c r="E16974" i="1"/>
  <c r="D16974" i="1"/>
  <c r="C16974" i="1"/>
  <c r="B16974" i="1"/>
  <c r="A16974" i="1"/>
  <c r="F16973" i="1"/>
  <c r="E16973" i="1"/>
  <c r="D16973" i="1"/>
  <c r="C16973" i="1"/>
  <c r="B16973" i="1"/>
  <c r="A16973" i="1"/>
  <c r="F16972" i="1"/>
  <c r="E16972" i="1"/>
  <c r="D16972" i="1"/>
  <c r="C16972" i="1"/>
  <c r="B16972" i="1"/>
  <c r="A16972" i="1"/>
  <c r="F16971" i="1"/>
  <c r="E16971" i="1"/>
  <c r="D16971" i="1"/>
  <c r="C16971" i="1"/>
  <c r="B16971" i="1"/>
  <c r="A16971" i="1"/>
  <c r="F16970" i="1"/>
  <c r="E16970" i="1"/>
  <c r="D16970" i="1"/>
  <c r="C16970" i="1"/>
  <c r="B16970" i="1"/>
  <c r="A16970" i="1"/>
  <c r="F16969" i="1"/>
  <c r="E16969" i="1"/>
  <c r="D16969" i="1"/>
  <c r="C16969" i="1"/>
  <c r="B16969" i="1"/>
  <c r="A16969" i="1"/>
  <c r="F16968" i="1"/>
  <c r="E16968" i="1"/>
  <c r="D16968" i="1"/>
  <c r="C16968" i="1"/>
  <c r="B16968" i="1"/>
  <c r="A16968" i="1"/>
  <c r="F16967" i="1"/>
  <c r="E16967" i="1"/>
  <c r="D16967" i="1"/>
  <c r="C16967" i="1"/>
  <c r="B16967" i="1"/>
  <c r="A16967" i="1"/>
  <c r="F16966" i="1"/>
  <c r="E16966" i="1"/>
  <c r="D16966" i="1"/>
  <c r="C16966" i="1"/>
  <c r="B16966" i="1"/>
  <c r="A16966" i="1"/>
  <c r="F16965" i="1"/>
  <c r="E16965" i="1"/>
  <c r="D16965" i="1"/>
  <c r="C16965" i="1"/>
  <c r="B16965" i="1"/>
  <c r="A16965" i="1"/>
  <c r="F16964" i="1"/>
  <c r="E16964" i="1"/>
  <c r="D16964" i="1"/>
  <c r="C16964" i="1"/>
  <c r="B16964" i="1"/>
  <c r="A16964" i="1"/>
  <c r="F16963" i="1"/>
  <c r="E16963" i="1"/>
  <c r="D16963" i="1"/>
  <c r="C16963" i="1"/>
  <c r="B16963" i="1"/>
  <c r="A16963" i="1"/>
  <c r="F16962" i="1"/>
  <c r="E16962" i="1"/>
  <c r="D16962" i="1"/>
  <c r="C16962" i="1"/>
  <c r="B16962" i="1"/>
  <c r="A16962" i="1"/>
  <c r="F16961" i="1"/>
  <c r="E16961" i="1"/>
  <c r="D16961" i="1"/>
  <c r="C16961" i="1"/>
  <c r="B16961" i="1"/>
  <c r="A16961" i="1"/>
  <c r="F16960" i="1"/>
  <c r="E16960" i="1"/>
  <c r="D16960" i="1"/>
  <c r="C16960" i="1"/>
  <c r="B16960" i="1"/>
  <c r="A16960" i="1"/>
  <c r="F16959" i="1"/>
  <c r="E16959" i="1"/>
  <c r="D16959" i="1"/>
  <c r="C16959" i="1"/>
  <c r="B16959" i="1"/>
  <c r="A16959" i="1"/>
  <c r="F16958" i="1"/>
  <c r="E16958" i="1"/>
  <c r="D16958" i="1"/>
  <c r="C16958" i="1"/>
  <c r="B16958" i="1"/>
  <c r="A16958" i="1"/>
  <c r="F16957" i="1"/>
  <c r="E16957" i="1"/>
  <c r="D16957" i="1"/>
  <c r="C16957" i="1"/>
  <c r="B16957" i="1"/>
  <c r="A16957" i="1"/>
  <c r="F16956" i="1"/>
  <c r="E16956" i="1"/>
  <c r="D16956" i="1"/>
  <c r="C16956" i="1"/>
  <c r="B16956" i="1"/>
  <c r="A16956" i="1"/>
  <c r="F16955" i="1"/>
  <c r="E16955" i="1"/>
  <c r="D16955" i="1"/>
  <c r="C16955" i="1"/>
  <c r="B16955" i="1"/>
  <c r="A16955" i="1"/>
  <c r="F16954" i="1"/>
  <c r="E16954" i="1"/>
  <c r="D16954" i="1"/>
  <c r="C16954" i="1"/>
  <c r="B16954" i="1"/>
  <c r="A16954" i="1"/>
  <c r="F16953" i="1"/>
  <c r="E16953" i="1"/>
  <c r="D16953" i="1"/>
  <c r="C16953" i="1"/>
  <c r="B16953" i="1"/>
  <c r="A16953" i="1"/>
  <c r="F16952" i="1"/>
  <c r="E16952" i="1"/>
  <c r="D16952" i="1"/>
  <c r="C16952" i="1"/>
  <c r="B16952" i="1"/>
  <c r="A16952" i="1"/>
  <c r="F16951" i="1"/>
  <c r="E16951" i="1"/>
  <c r="D16951" i="1"/>
  <c r="C16951" i="1"/>
  <c r="B16951" i="1"/>
  <c r="A16951" i="1"/>
  <c r="F16950" i="1"/>
  <c r="E16950" i="1"/>
  <c r="D16950" i="1"/>
  <c r="C16950" i="1"/>
  <c r="B16950" i="1"/>
  <c r="A16950" i="1"/>
  <c r="F16949" i="1"/>
  <c r="E16949" i="1"/>
  <c r="D16949" i="1"/>
  <c r="C16949" i="1"/>
  <c r="B16949" i="1"/>
  <c r="A16949" i="1"/>
  <c r="F16948" i="1"/>
  <c r="E16948" i="1"/>
  <c r="D16948" i="1"/>
  <c r="C16948" i="1"/>
  <c r="B16948" i="1"/>
  <c r="A16948" i="1"/>
  <c r="F16947" i="1"/>
  <c r="E16947" i="1"/>
  <c r="D16947" i="1"/>
  <c r="C16947" i="1"/>
  <c r="B16947" i="1"/>
  <c r="A16947" i="1"/>
  <c r="F16946" i="1"/>
  <c r="E16946" i="1"/>
  <c r="D16946" i="1"/>
  <c r="C16946" i="1"/>
  <c r="B16946" i="1"/>
  <c r="A16946" i="1"/>
  <c r="F16945" i="1"/>
  <c r="E16945" i="1"/>
  <c r="D16945" i="1"/>
  <c r="C16945" i="1"/>
  <c r="B16945" i="1"/>
  <c r="A16945" i="1"/>
  <c r="F16944" i="1"/>
  <c r="E16944" i="1"/>
  <c r="D16944" i="1"/>
  <c r="C16944" i="1"/>
  <c r="B16944" i="1"/>
  <c r="A16944" i="1"/>
  <c r="F16943" i="1"/>
  <c r="E16943" i="1"/>
  <c r="D16943" i="1"/>
  <c r="C16943" i="1"/>
  <c r="B16943" i="1"/>
  <c r="A16943" i="1"/>
  <c r="F16942" i="1"/>
  <c r="E16942" i="1"/>
  <c r="D16942" i="1"/>
  <c r="C16942" i="1"/>
  <c r="B16942" i="1"/>
  <c r="A16942" i="1"/>
  <c r="F16941" i="1"/>
  <c r="E16941" i="1"/>
  <c r="D16941" i="1"/>
  <c r="C16941" i="1"/>
  <c r="B16941" i="1"/>
  <c r="A16941" i="1"/>
  <c r="F16940" i="1"/>
  <c r="E16940" i="1"/>
  <c r="D16940" i="1"/>
  <c r="C16940" i="1"/>
  <c r="B16940" i="1"/>
  <c r="A16940" i="1"/>
  <c r="F16939" i="1"/>
  <c r="E16939" i="1"/>
  <c r="D16939" i="1"/>
  <c r="C16939" i="1"/>
  <c r="B16939" i="1"/>
  <c r="A16939" i="1"/>
  <c r="F16938" i="1"/>
  <c r="E16938" i="1"/>
  <c r="D16938" i="1"/>
  <c r="C16938" i="1"/>
  <c r="B16938" i="1"/>
  <c r="A16938" i="1"/>
  <c r="F16937" i="1"/>
  <c r="E16937" i="1"/>
  <c r="D16937" i="1"/>
  <c r="C16937" i="1"/>
  <c r="B16937" i="1"/>
  <c r="A16937" i="1"/>
  <c r="F16936" i="1"/>
  <c r="E16936" i="1"/>
  <c r="D16936" i="1"/>
  <c r="C16936" i="1"/>
  <c r="B16936" i="1"/>
  <c r="A16936" i="1"/>
  <c r="F16935" i="1"/>
  <c r="E16935" i="1"/>
  <c r="D16935" i="1"/>
  <c r="C16935" i="1"/>
  <c r="B16935" i="1"/>
  <c r="A16935" i="1"/>
  <c r="F16934" i="1"/>
  <c r="E16934" i="1"/>
  <c r="D16934" i="1"/>
  <c r="C16934" i="1"/>
  <c r="B16934" i="1"/>
  <c r="A16934" i="1"/>
  <c r="F16933" i="1"/>
  <c r="E16933" i="1"/>
  <c r="D16933" i="1"/>
  <c r="C16933" i="1"/>
  <c r="B16933" i="1"/>
  <c r="A16933" i="1"/>
  <c r="F16932" i="1"/>
  <c r="E16932" i="1"/>
  <c r="D16932" i="1"/>
  <c r="C16932" i="1"/>
  <c r="B16932" i="1"/>
  <c r="A16932" i="1"/>
  <c r="F16931" i="1"/>
  <c r="E16931" i="1"/>
  <c r="D16931" i="1"/>
  <c r="C16931" i="1"/>
  <c r="B16931" i="1"/>
  <c r="A16931" i="1"/>
  <c r="F16930" i="1"/>
  <c r="E16930" i="1"/>
  <c r="D16930" i="1"/>
  <c r="C16930" i="1"/>
  <c r="B16930" i="1"/>
  <c r="A16930" i="1"/>
  <c r="F16929" i="1"/>
  <c r="E16929" i="1"/>
  <c r="D16929" i="1"/>
  <c r="C16929" i="1"/>
  <c r="B16929" i="1"/>
  <c r="A16929" i="1"/>
  <c r="F16928" i="1"/>
  <c r="E16928" i="1"/>
  <c r="D16928" i="1"/>
  <c r="C16928" i="1"/>
  <c r="B16928" i="1"/>
  <c r="A16928" i="1"/>
  <c r="F16927" i="1"/>
  <c r="E16927" i="1"/>
  <c r="D16927" i="1"/>
  <c r="C16927" i="1"/>
  <c r="B16927" i="1"/>
  <c r="A16927" i="1"/>
  <c r="F16926" i="1"/>
  <c r="E16926" i="1"/>
  <c r="D16926" i="1"/>
  <c r="C16926" i="1"/>
  <c r="B16926" i="1"/>
  <c r="A16926" i="1"/>
  <c r="F16925" i="1"/>
  <c r="E16925" i="1"/>
  <c r="D16925" i="1"/>
  <c r="C16925" i="1"/>
  <c r="B16925" i="1"/>
  <c r="A16925" i="1"/>
  <c r="F16924" i="1"/>
  <c r="E16924" i="1"/>
  <c r="D16924" i="1"/>
  <c r="C16924" i="1"/>
  <c r="B16924" i="1"/>
  <c r="A16924" i="1"/>
  <c r="F16923" i="1"/>
  <c r="E16923" i="1"/>
  <c r="D16923" i="1"/>
  <c r="C16923" i="1"/>
  <c r="B16923" i="1"/>
  <c r="A16923" i="1"/>
  <c r="F16922" i="1"/>
  <c r="E16922" i="1"/>
  <c r="D16922" i="1"/>
  <c r="C16922" i="1"/>
  <c r="B16922" i="1"/>
  <c r="A16922" i="1"/>
  <c r="F16921" i="1"/>
  <c r="E16921" i="1"/>
  <c r="D16921" i="1"/>
  <c r="C16921" i="1"/>
  <c r="B16921" i="1"/>
  <c r="A16921" i="1"/>
  <c r="F16920" i="1"/>
  <c r="E16920" i="1"/>
  <c r="D16920" i="1"/>
  <c r="C16920" i="1"/>
  <c r="B16920" i="1"/>
  <c r="A16920" i="1"/>
  <c r="F16919" i="1"/>
  <c r="E16919" i="1"/>
  <c r="D16919" i="1"/>
  <c r="C16919" i="1"/>
  <c r="B16919" i="1"/>
  <c r="A16919" i="1"/>
  <c r="F16918" i="1"/>
  <c r="E16918" i="1"/>
  <c r="D16918" i="1"/>
  <c r="C16918" i="1"/>
  <c r="B16918" i="1"/>
  <c r="A16918" i="1"/>
  <c r="F16917" i="1"/>
  <c r="E16917" i="1"/>
  <c r="D16917" i="1"/>
  <c r="C16917" i="1"/>
  <c r="B16917" i="1"/>
  <c r="A16917" i="1"/>
  <c r="F16916" i="1"/>
  <c r="E16916" i="1"/>
  <c r="D16916" i="1"/>
  <c r="C16916" i="1"/>
  <c r="B16916" i="1"/>
  <c r="A16916" i="1"/>
  <c r="F16915" i="1"/>
  <c r="E16915" i="1"/>
  <c r="D16915" i="1"/>
  <c r="C16915" i="1"/>
  <c r="B16915" i="1"/>
  <c r="A16915" i="1"/>
  <c r="F16914" i="1"/>
  <c r="E16914" i="1"/>
  <c r="D16914" i="1"/>
  <c r="C16914" i="1"/>
  <c r="B16914" i="1"/>
  <c r="A16914" i="1"/>
  <c r="F16913" i="1"/>
  <c r="E16913" i="1"/>
  <c r="D16913" i="1"/>
  <c r="C16913" i="1"/>
  <c r="B16913" i="1"/>
  <c r="A16913" i="1"/>
  <c r="F16912" i="1"/>
  <c r="E16912" i="1"/>
  <c r="D16912" i="1"/>
  <c r="C16912" i="1"/>
  <c r="B16912" i="1"/>
  <c r="A16912" i="1"/>
  <c r="F16911" i="1"/>
  <c r="E16911" i="1"/>
  <c r="D16911" i="1"/>
  <c r="C16911" i="1"/>
  <c r="B16911" i="1"/>
  <c r="A16911" i="1"/>
  <c r="F16910" i="1"/>
  <c r="E16910" i="1"/>
  <c r="D16910" i="1"/>
  <c r="C16910" i="1"/>
  <c r="B16910" i="1"/>
  <c r="A16910" i="1"/>
  <c r="F16909" i="1"/>
  <c r="E16909" i="1"/>
  <c r="D16909" i="1"/>
  <c r="C16909" i="1"/>
  <c r="B16909" i="1"/>
  <c r="A16909" i="1"/>
  <c r="F16908" i="1"/>
  <c r="E16908" i="1"/>
  <c r="D16908" i="1"/>
  <c r="C16908" i="1"/>
  <c r="B16908" i="1"/>
  <c r="A16908" i="1"/>
  <c r="F16907" i="1"/>
  <c r="E16907" i="1"/>
  <c r="D16907" i="1"/>
  <c r="C16907" i="1"/>
  <c r="B16907" i="1"/>
  <c r="A16907" i="1"/>
  <c r="F16906" i="1"/>
  <c r="E16906" i="1"/>
  <c r="D16906" i="1"/>
  <c r="C16906" i="1"/>
  <c r="B16906" i="1"/>
  <c r="A16906" i="1"/>
  <c r="F16905" i="1"/>
  <c r="E16905" i="1"/>
  <c r="D16905" i="1"/>
  <c r="C16905" i="1"/>
  <c r="B16905" i="1"/>
  <c r="A16905" i="1"/>
  <c r="F16904" i="1"/>
  <c r="E16904" i="1"/>
  <c r="D16904" i="1"/>
  <c r="C16904" i="1"/>
  <c r="B16904" i="1"/>
  <c r="A16904" i="1"/>
  <c r="F16903" i="1"/>
  <c r="E16903" i="1"/>
  <c r="D16903" i="1"/>
  <c r="C16903" i="1"/>
  <c r="B16903" i="1"/>
  <c r="A16903" i="1"/>
  <c r="F16902" i="1"/>
  <c r="E16902" i="1"/>
  <c r="D16902" i="1"/>
  <c r="C16902" i="1"/>
  <c r="B16902" i="1"/>
  <c r="A16902" i="1"/>
  <c r="F16901" i="1"/>
  <c r="E16901" i="1"/>
  <c r="D16901" i="1"/>
  <c r="C16901" i="1"/>
  <c r="B16901" i="1"/>
  <c r="A16901" i="1"/>
  <c r="F16900" i="1"/>
  <c r="E16900" i="1"/>
  <c r="D16900" i="1"/>
  <c r="C16900" i="1"/>
  <c r="B16900" i="1"/>
  <c r="A16900" i="1"/>
  <c r="F16899" i="1"/>
  <c r="E16899" i="1"/>
  <c r="D16899" i="1"/>
  <c r="C16899" i="1"/>
  <c r="B16899" i="1"/>
  <c r="A16899" i="1"/>
  <c r="F16898" i="1"/>
  <c r="E16898" i="1"/>
  <c r="D16898" i="1"/>
  <c r="C16898" i="1"/>
  <c r="B16898" i="1"/>
  <c r="A16898" i="1"/>
  <c r="F16897" i="1"/>
  <c r="E16897" i="1"/>
  <c r="D16897" i="1"/>
  <c r="C16897" i="1"/>
  <c r="B16897" i="1"/>
  <c r="A16897" i="1"/>
  <c r="F16896" i="1"/>
  <c r="E16896" i="1"/>
  <c r="D16896" i="1"/>
  <c r="C16896" i="1"/>
  <c r="B16896" i="1"/>
  <c r="A16896" i="1"/>
  <c r="F16895" i="1"/>
  <c r="E16895" i="1"/>
  <c r="D16895" i="1"/>
  <c r="C16895" i="1"/>
  <c r="B16895" i="1"/>
  <c r="A16895" i="1"/>
  <c r="F16894" i="1"/>
  <c r="E16894" i="1"/>
  <c r="D16894" i="1"/>
  <c r="C16894" i="1"/>
  <c r="B16894" i="1"/>
  <c r="A16894" i="1"/>
  <c r="F16893" i="1"/>
  <c r="E16893" i="1"/>
  <c r="D16893" i="1"/>
  <c r="C16893" i="1"/>
  <c r="B16893" i="1"/>
  <c r="A16893" i="1"/>
  <c r="F16892" i="1"/>
  <c r="E16892" i="1"/>
  <c r="D16892" i="1"/>
  <c r="C16892" i="1"/>
  <c r="B16892" i="1"/>
  <c r="A16892" i="1"/>
  <c r="F16891" i="1"/>
  <c r="E16891" i="1"/>
  <c r="D16891" i="1"/>
  <c r="C16891" i="1"/>
  <c r="B16891" i="1"/>
  <c r="A16891" i="1"/>
  <c r="F16890" i="1"/>
  <c r="E16890" i="1"/>
  <c r="D16890" i="1"/>
  <c r="C16890" i="1"/>
  <c r="B16890" i="1"/>
  <c r="A16890" i="1"/>
  <c r="F16889" i="1"/>
  <c r="E16889" i="1"/>
  <c r="D16889" i="1"/>
  <c r="C16889" i="1"/>
  <c r="B16889" i="1"/>
  <c r="A16889" i="1"/>
  <c r="F16888" i="1"/>
  <c r="E16888" i="1"/>
  <c r="D16888" i="1"/>
  <c r="C16888" i="1"/>
  <c r="B16888" i="1"/>
  <c r="A16888" i="1"/>
  <c r="F16887" i="1"/>
  <c r="E16887" i="1"/>
  <c r="D16887" i="1"/>
  <c r="C16887" i="1"/>
  <c r="B16887" i="1"/>
  <c r="A16887" i="1"/>
  <c r="F16886" i="1"/>
  <c r="E16886" i="1"/>
  <c r="D16886" i="1"/>
  <c r="C16886" i="1"/>
  <c r="B16886" i="1"/>
  <c r="A16886" i="1"/>
  <c r="F16885" i="1"/>
  <c r="E16885" i="1"/>
  <c r="D16885" i="1"/>
  <c r="C16885" i="1"/>
  <c r="B16885" i="1"/>
  <c r="A16885" i="1"/>
  <c r="F16884" i="1"/>
  <c r="E16884" i="1"/>
  <c r="D16884" i="1"/>
  <c r="C16884" i="1"/>
  <c r="B16884" i="1"/>
  <c r="A16884" i="1"/>
  <c r="F16883" i="1"/>
  <c r="E16883" i="1"/>
  <c r="D16883" i="1"/>
  <c r="C16883" i="1"/>
  <c r="B16883" i="1"/>
  <c r="A16883" i="1"/>
  <c r="F16882" i="1"/>
  <c r="E16882" i="1"/>
  <c r="D16882" i="1"/>
  <c r="C16882" i="1"/>
  <c r="B16882" i="1"/>
  <c r="A16882" i="1"/>
  <c r="F16881" i="1"/>
  <c r="E16881" i="1"/>
  <c r="D16881" i="1"/>
  <c r="C16881" i="1"/>
  <c r="B16881" i="1"/>
  <c r="A16881" i="1"/>
  <c r="F16880" i="1"/>
  <c r="E16880" i="1"/>
  <c r="D16880" i="1"/>
  <c r="C16880" i="1"/>
  <c r="B16880" i="1"/>
  <c r="A16880" i="1"/>
  <c r="F16879" i="1"/>
  <c r="E16879" i="1"/>
  <c r="D16879" i="1"/>
  <c r="C16879" i="1"/>
  <c r="B16879" i="1"/>
  <c r="A16879" i="1"/>
  <c r="F16878" i="1"/>
  <c r="E16878" i="1"/>
  <c r="D16878" i="1"/>
  <c r="C16878" i="1"/>
  <c r="B16878" i="1"/>
  <c r="A16878" i="1"/>
  <c r="F16877" i="1"/>
  <c r="E16877" i="1"/>
  <c r="D16877" i="1"/>
  <c r="C16877" i="1"/>
  <c r="B16877" i="1"/>
  <c r="A16877" i="1"/>
  <c r="F16876" i="1"/>
  <c r="E16876" i="1"/>
  <c r="D16876" i="1"/>
  <c r="C16876" i="1"/>
  <c r="B16876" i="1"/>
  <c r="A16876" i="1"/>
  <c r="F16875" i="1"/>
  <c r="E16875" i="1"/>
  <c r="D16875" i="1"/>
  <c r="C16875" i="1"/>
  <c r="B16875" i="1"/>
  <c r="A16875" i="1"/>
  <c r="F16874" i="1"/>
  <c r="E16874" i="1"/>
  <c r="D16874" i="1"/>
  <c r="C16874" i="1"/>
  <c r="B16874" i="1"/>
  <c r="A16874" i="1"/>
  <c r="F16873" i="1"/>
  <c r="E16873" i="1"/>
  <c r="D16873" i="1"/>
  <c r="C16873" i="1"/>
  <c r="B16873" i="1"/>
  <c r="A16873" i="1"/>
  <c r="F16872" i="1"/>
  <c r="E16872" i="1"/>
  <c r="D16872" i="1"/>
  <c r="C16872" i="1"/>
  <c r="B16872" i="1"/>
  <c r="A16872" i="1"/>
  <c r="F16871" i="1"/>
  <c r="E16871" i="1"/>
  <c r="D16871" i="1"/>
  <c r="C16871" i="1"/>
  <c r="B16871" i="1"/>
  <c r="A16871" i="1"/>
  <c r="F16870" i="1"/>
  <c r="E16870" i="1"/>
  <c r="D16870" i="1"/>
  <c r="C16870" i="1"/>
  <c r="B16870" i="1"/>
  <c r="A16870" i="1"/>
  <c r="F16869" i="1"/>
  <c r="E16869" i="1"/>
  <c r="D16869" i="1"/>
  <c r="C16869" i="1"/>
  <c r="B16869" i="1"/>
  <c r="A16869" i="1"/>
  <c r="F16868" i="1"/>
  <c r="E16868" i="1"/>
  <c r="D16868" i="1"/>
  <c r="C16868" i="1"/>
  <c r="B16868" i="1"/>
  <c r="A16868" i="1"/>
  <c r="F16867" i="1"/>
  <c r="E16867" i="1"/>
  <c r="D16867" i="1"/>
  <c r="C16867" i="1"/>
  <c r="B16867" i="1"/>
  <c r="A16867" i="1"/>
  <c r="F16866" i="1"/>
  <c r="E16866" i="1"/>
  <c r="D16866" i="1"/>
  <c r="C16866" i="1"/>
  <c r="B16866" i="1"/>
  <c r="A16866" i="1"/>
  <c r="F16865" i="1"/>
  <c r="E16865" i="1"/>
  <c r="D16865" i="1"/>
  <c r="C16865" i="1"/>
  <c r="B16865" i="1"/>
  <c r="A16865" i="1"/>
  <c r="F16864" i="1"/>
  <c r="E16864" i="1"/>
  <c r="D16864" i="1"/>
  <c r="C16864" i="1"/>
  <c r="B16864" i="1"/>
  <c r="A16864" i="1"/>
  <c r="F16863" i="1"/>
  <c r="E16863" i="1"/>
  <c r="D16863" i="1"/>
  <c r="C16863" i="1"/>
  <c r="B16863" i="1"/>
  <c r="A16863" i="1"/>
  <c r="F16862" i="1"/>
  <c r="E16862" i="1"/>
  <c r="D16862" i="1"/>
  <c r="C16862" i="1"/>
  <c r="B16862" i="1"/>
  <c r="A16862" i="1"/>
  <c r="F16861" i="1"/>
  <c r="E16861" i="1"/>
  <c r="D16861" i="1"/>
  <c r="C16861" i="1"/>
  <c r="B16861" i="1"/>
  <c r="A16861" i="1"/>
  <c r="F16860" i="1"/>
  <c r="E16860" i="1"/>
  <c r="D16860" i="1"/>
  <c r="C16860" i="1"/>
  <c r="B16860" i="1"/>
  <c r="A16860" i="1"/>
  <c r="F16859" i="1"/>
  <c r="E16859" i="1"/>
  <c r="D16859" i="1"/>
  <c r="C16859" i="1"/>
  <c r="B16859" i="1"/>
  <c r="A16859" i="1"/>
  <c r="F16858" i="1"/>
  <c r="E16858" i="1"/>
  <c r="D16858" i="1"/>
  <c r="C16858" i="1"/>
  <c r="B16858" i="1"/>
  <c r="A16858" i="1"/>
  <c r="F16857" i="1"/>
  <c r="E16857" i="1"/>
  <c r="D16857" i="1"/>
  <c r="C16857" i="1"/>
  <c r="B16857" i="1"/>
  <c r="A16857" i="1"/>
  <c r="F16856" i="1"/>
  <c r="E16856" i="1"/>
  <c r="D16856" i="1"/>
  <c r="C16856" i="1"/>
  <c r="B16856" i="1"/>
  <c r="A16856" i="1"/>
  <c r="F16855" i="1"/>
  <c r="E16855" i="1"/>
  <c r="D16855" i="1"/>
  <c r="C16855" i="1"/>
  <c r="B16855" i="1"/>
  <c r="A16855" i="1"/>
  <c r="F16854" i="1"/>
  <c r="E16854" i="1"/>
  <c r="D16854" i="1"/>
  <c r="C16854" i="1"/>
  <c r="B16854" i="1"/>
  <c r="A16854" i="1"/>
  <c r="F16853" i="1"/>
  <c r="E16853" i="1"/>
  <c r="D16853" i="1"/>
  <c r="C16853" i="1"/>
  <c r="B16853" i="1"/>
  <c r="A16853" i="1"/>
  <c r="F16852" i="1"/>
  <c r="E16852" i="1"/>
  <c r="D16852" i="1"/>
  <c r="C16852" i="1"/>
  <c r="B16852" i="1"/>
  <c r="A16852" i="1"/>
  <c r="F16851" i="1"/>
  <c r="E16851" i="1"/>
  <c r="D16851" i="1"/>
  <c r="C16851" i="1"/>
  <c r="B16851" i="1"/>
  <c r="A16851" i="1"/>
  <c r="F16850" i="1"/>
  <c r="E16850" i="1"/>
  <c r="D16850" i="1"/>
  <c r="C16850" i="1"/>
  <c r="B16850" i="1"/>
  <c r="A16850" i="1"/>
  <c r="F16849" i="1"/>
  <c r="E16849" i="1"/>
  <c r="D16849" i="1"/>
  <c r="C16849" i="1"/>
  <c r="B16849" i="1"/>
  <c r="A16849" i="1"/>
  <c r="F16848" i="1"/>
  <c r="E16848" i="1"/>
  <c r="D16848" i="1"/>
  <c r="C16848" i="1"/>
  <c r="B16848" i="1"/>
  <c r="A16848" i="1"/>
  <c r="F16847" i="1"/>
  <c r="E16847" i="1"/>
  <c r="D16847" i="1"/>
  <c r="C16847" i="1"/>
  <c r="B16847" i="1"/>
  <c r="A16847" i="1"/>
  <c r="F16846" i="1"/>
  <c r="E16846" i="1"/>
  <c r="D16846" i="1"/>
  <c r="C16846" i="1"/>
  <c r="B16846" i="1"/>
  <c r="A16846" i="1"/>
  <c r="F16845" i="1"/>
  <c r="E16845" i="1"/>
  <c r="D16845" i="1"/>
  <c r="C16845" i="1"/>
  <c r="B16845" i="1"/>
  <c r="A16845" i="1"/>
  <c r="F16844" i="1"/>
  <c r="E16844" i="1"/>
  <c r="D16844" i="1"/>
  <c r="C16844" i="1"/>
  <c r="B16844" i="1"/>
  <c r="A16844" i="1"/>
  <c r="F16843" i="1"/>
  <c r="E16843" i="1"/>
  <c r="D16843" i="1"/>
  <c r="C16843" i="1"/>
  <c r="B16843" i="1"/>
  <c r="A16843" i="1"/>
  <c r="F16842" i="1"/>
  <c r="E16842" i="1"/>
  <c r="D16842" i="1"/>
  <c r="C16842" i="1"/>
  <c r="B16842" i="1"/>
  <c r="A16842" i="1"/>
  <c r="F16841" i="1"/>
  <c r="E16841" i="1"/>
  <c r="D16841" i="1"/>
  <c r="C16841" i="1"/>
  <c r="B16841" i="1"/>
  <c r="A16841" i="1"/>
  <c r="F16840" i="1"/>
  <c r="E16840" i="1"/>
  <c r="D16840" i="1"/>
  <c r="C16840" i="1"/>
  <c r="B16840" i="1"/>
  <c r="A16840" i="1"/>
  <c r="F16839" i="1"/>
  <c r="E16839" i="1"/>
  <c r="D16839" i="1"/>
  <c r="C16839" i="1"/>
  <c r="B16839" i="1"/>
  <c r="A16839" i="1"/>
  <c r="F16838" i="1"/>
  <c r="E16838" i="1"/>
  <c r="D16838" i="1"/>
  <c r="C16838" i="1"/>
  <c r="B16838" i="1"/>
  <c r="A16838" i="1"/>
  <c r="F16837" i="1"/>
  <c r="E16837" i="1"/>
  <c r="D16837" i="1"/>
  <c r="C16837" i="1"/>
  <c r="B16837" i="1"/>
  <c r="A16837" i="1"/>
  <c r="F16836" i="1"/>
  <c r="E16836" i="1"/>
  <c r="D16836" i="1"/>
  <c r="C16836" i="1"/>
  <c r="B16836" i="1"/>
  <c r="A16836" i="1"/>
  <c r="F16835" i="1"/>
  <c r="E16835" i="1"/>
  <c r="D16835" i="1"/>
  <c r="C16835" i="1"/>
  <c r="B16835" i="1"/>
  <c r="A16835" i="1"/>
  <c r="F16834" i="1"/>
  <c r="E16834" i="1"/>
  <c r="D16834" i="1"/>
  <c r="C16834" i="1"/>
  <c r="B16834" i="1"/>
  <c r="A16834" i="1"/>
  <c r="F16833" i="1"/>
  <c r="E16833" i="1"/>
  <c r="D16833" i="1"/>
  <c r="C16833" i="1"/>
  <c r="B16833" i="1"/>
  <c r="A16833" i="1"/>
  <c r="F16832" i="1"/>
  <c r="E16832" i="1"/>
  <c r="D16832" i="1"/>
  <c r="C16832" i="1"/>
  <c r="B16832" i="1"/>
  <c r="A16832" i="1"/>
  <c r="F16831" i="1"/>
  <c r="E16831" i="1"/>
  <c r="D16831" i="1"/>
  <c r="C16831" i="1"/>
  <c r="B16831" i="1"/>
  <c r="A16831" i="1"/>
  <c r="F16830" i="1"/>
  <c r="E16830" i="1"/>
  <c r="D16830" i="1"/>
  <c r="C16830" i="1"/>
  <c r="B16830" i="1"/>
  <c r="A16830" i="1"/>
  <c r="F16829" i="1"/>
  <c r="E16829" i="1"/>
  <c r="D16829" i="1"/>
  <c r="C16829" i="1"/>
  <c r="B16829" i="1"/>
  <c r="A16829" i="1"/>
  <c r="F16828" i="1"/>
  <c r="E16828" i="1"/>
  <c r="D16828" i="1"/>
  <c r="C16828" i="1"/>
  <c r="B16828" i="1"/>
  <c r="A16828" i="1"/>
  <c r="F16827" i="1"/>
  <c r="E16827" i="1"/>
  <c r="D16827" i="1"/>
  <c r="C16827" i="1"/>
  <c r="B16827" i="1"/>
  <c r="A16827" i="1"/>
  <c r="F16826" i="1"/>
  <c r="E16826" i="1"/>
  <c r="D16826" i="1"/>
  <c r="C16826" i="1"/>
  <c r="B16826" i="1"/>
  <c r="A16826" i="1"/>
  <c r="F16825" i="1"/>
  <c r="E16825" i="1"/>
  <c r="D16825" i="1"/>
  <c r="C16825" i="1"/>
  <c r="B16825" i="1"/>
  <c r="A16825" i="1"/>
  <c r="F16824" i="1"/>
  <c r="E16824" i="1"/>
  <c r="D16824" i="1"/>
  <c r="C16824" i="1"/>
  <c r="B16824" i="1"/>
  <c r="A16824" i="1"/>
  <c r="F16823" i="1"/>
  <c r="E16823" i="1"/>
  <c r="D16823" i="1"/>
  <c r="C16823" i="1"/>
  <c r="B16823" i="1"/>
  <c r="A16823" i="1"/>
  <c r="F16822" i="1"/>
  <c r="E16822" i="1"/>
  <c r="D16822" i="1"/>
  <c r="C16822" i="1"/>
  <c r="B16822" i="1"/>
  <c r="A16822" i="1"/>
  <c r="F16821" i="1"/>
  <c r="E16821" i="1"/>
  <c r="D16821" i="1"/>
  <c r="C16821" i="1"/>
  <c r="B16821" i="1"/>
  <c r="A16821" i="1"/>
  <c r="F16820" i="1"/>
  <c r="E16820" i="1"/>
  <c r="D16820" i="1"/>
  <c r="C16820" i="1"/>
  <c r="B16820" i="1"/>
  <c r="A16820" i="1"/>
  <c r="F16819" i="1"/>
  <c r="E16819" i="1"/>
  <c r="D16819" i="1"/>
  <c r="C16819" i="1"/>
  <c r="B16819" i="1"/>
  <c r="A16819" i="1"/>
  <c r="F16818" i="1"/>
  <c r="E16818" i="1"/>
  <c r="D16818" i="1"/>
  <c r="C16818" i="1"/>
  <c r="B16818" i="1"/>
  <c r="A16818" i="1"/>
  <c r="F16817" i="1"/>
  <c r="E16817" i="1"/>
  <c r="D16817" i="1"/>
  <c r="C16817" i="1"/>
  <c r="B16817" i="1"/>
  <c r="A16817" i="1"/>
  <c r="F16816" i="1"/>
  <c r="E16816" i="1"/>
  <c r="D16816" i="1"/>
  <c r="C16816" i="1"/>
  <c r="B16816" i="1"/>
  <c r="A16816" i="1"/>
  <c r="F16815" i="1"/>
  <c r="E16815" i="1"/>
  <c r="D16815" i="1"/>
  <c r="C16815" i="1"/>
  <c r="B16815" i="1"/>
  <c r="A16815" i="1"/>
  <c r="F16814" i="1"/>
  <c r="E16814" i="1"/>
  <c r="D16814" i="1"/>
  <c r="C16814" i="1"/>
  <c r="B16814" i="1"/>
  <c r="A16814" i="1"/>
  <c r="F16813" i="1"/>
  <c r="E16813" i="1"/>
  <c r="D16813" i="1"/>
  <c r="C16813" i="1"/>
  <c r="B16813" i="1"/>
  <c r="A16813" i="1"/>
  <c r="F16812" i="1"/>
  <c r="E16812" i="1"/>
  <c r="D16812" i="1"/>
  <c r="C16812" i="1"/>
  <c r="B16812" i="1"/>
  <c r="A16812" i="1"/>
  <c r="F16811" i="1"/>
  <c r="E16811" i="1"/>
  <c r="D16811" i="1"/>
  <c r="C16811" i="1"/>
  <c r="B16811" i="1"/>
  <c r="A16811" i="1"/>
  <c r="F16810" i="1"/>
  <c r="E16810" i="1"/>
  <c r="D16810" i="1"/>
  <c r="C16810" i="1"/>
  <c r="B16810" i="1"/>
  <c r="A16810" i="1"/>
  <c r="F16809" i="1"/>
  <c r="E16809" i="1"/>
  <c r="D16809" i="1"/>
  <c r="C16809" i="1"/>
  <c r="B16809" i="1"/>
  <c r="A16809" i="1"/>
  <c r="F16808" i="1"/>
  <c r="E16808" i="1"/>
  <c r="D16808" i="1"/>
  <c r="C16808" i="1"/>
  <c r="B16808" i="1"/>
  <c r="A16808" i="1"/>
  <c r="F16807" i="1"/>
  <c r="E16807" i="1"/>
  <c r="D16807" i="1"/>
  <c r="C16807" i="1"/>
  <c r="B16807" i="1"/>
  <c r="A16807" i="1"/>
  <c r="F16806" i="1"/>
  <c r="E16806" i="1"/>
  <c r="D16806" i="1"/>
  <c r="C16806" i="1"/>
  <c r="B16806" i="1"/>
  <c r="A16806" i="1"/>
  <c r="F16805" i="1"/>
  <c r="E16805" i="1"/>
  <c r="D16805" i="1"/>
  <c r="C16805" i="1"/>
  <c r="B16805" i="1"/>
  <c r="A16805" i="1"/>
  <c r="F16804" i="1"/>
  <c r="E16804" i="1"/>
  <c r="D16804" i="1"/>
  <c r="C16804" i="1"/>
  <c r="B16804" i="1"/>
  <c r="A16804" i="1"/>
  <c r="F16803" i="1"/>
  <c r="E16803" i="1"/>
  <c r="D16803" i="1"/>
  <c r="C16803" i="1"/>
  <c r="B16803" i="1"/>
  <c r="A16803" i="1"/>
  <c r="F16802" i="1"/>
  <c r="E16802" i="1"/>
  <c r="D16802" i="1"/>
  <c r="C16802" i="1"/>
  <c r="B16802" i="1"/>
  <c r="A16802" i="1"/>
  <c r="F16801" i="1"/>
  <c r="E16801" i="1"/>
  <c r="D16801" i="1"/>
  <c r="C16801" i="1"/>
  <c r="B16801" i="1"/>
  <c r="A16801" i="1"/>
  <c r="F16800" i="1"/>
  <c r="E16800" i="1"/>
  <c r="D16800" i="1"/>
  <c r="C16800" i="1"/>
  <c r="B16800" i="1"/>
  <c r="A16800" i="1"/>
  <c r="F16799" i="1"/>
  <c r="E16799" i="1"/>
  <c r="D16799" i="1"/>
  <c r="C16799" i="1"/>
  <c r="B16799" i="1"/>
  <c r="A16799" i="1"/>
  <c r="F16798" i="1"/>
  <c r="E16798" i="1"/>
  <c r="D16798" i="1"/>
  <c r="C16798" i="1"/>
  <c r="B16798" i="1"/>
  <c r="A16798" i="1"/>
  <c r="F16797" i="1"/>
  <c r="E16797" i="1"/>
  <c r="D16797" i="1"/>
  <c r="C16797" i="1"/>
  <c r="B16797" i="1"/>
  <c r="A16797" i="1"/>
  <c r="F16796" i="1"/>
  <c r="E16796" i="1"/>
  <c r="D16796" i="1"/>
  <c r="C16796" i="1"/>
  <c r="B16796" i="1"/>
  <c r="A16796" i="1"/>
  <c r="F16795" i="1"/>
  <c r="E16795" i="1"/>
  <c r="D16795" i="1"/>
  <c r="C16795" i="1"/>
  <c r="B16795" i="1"/>
  <c r="A16795" i="1"/>
  <c r="F16794" i="1"/>
  <c r="E16794" i="1"/>
  <c r="D16794" i="1"/>
  <c r="C16794" i="1"/>
  <c r="B16794" i="1"/>
  <c r="A16794" i="1"/>
  <c r="F16793" i="1"/>
  <c r="E16793" i="1"/>
  <c r="D16793" i="1"/>
  <c r="C16793" i="1"/>
  <c r="B16793" i="1"/>
  <c r="A16793" i="1"/>
  <c r="F16792" i="1"/>
  <c r="E16792" i="1"/>
  <c r="D16792" i="1"/>
  <c r="C16792" i="1"/>
  <c r="B16792" i="1"/>
  <c r="A16792" i="1"/>
  <c r="F16791" i="1"/>
  <c r="E16791" i="1"/>
  <c r="D16791" i="1"/>
  <c r="C16791" i="1"/>
  <c r="B16791" i="1"/>
  <c r="A16791" i="1"/>
  <c r="F16790" i="1"/>
  <c r="E16790" i="1"/>
  <c r="D16790" i="1"/>
  <c r="C16790" i="1"/>
  <c r="B16790" i="1"/>
  <c r="A16790" i="1"/>
  <c r="F16789" i="1"/>
  <c r="E16789" i="1"/>
  <c r="D16789" i="1"/>
  <c r="C16789" i="1"/>
  <c r="B16789" i="1"/>
  <c r="A16789" i="1"/>
  <c r="F16788" i="1"/>
  <c r="E16788" i="1"/>
  <c r="D16788" i="1"/>
  <c r="C16788" i="1"/>
  <c r="B16788" i="1"/>
  <c r="A16788" i="1"/>
  <c r="F16787" i="1"/>
  <c r="E16787" i="1"/>
  <c r="D16787" i="1"/>
  <c r="C16787" i="1"/>
  <c r="B16787" i="1"/>
  <c r="A16787" i="1"/>
  <c r="F16786" i="1"/>
  <c r="E16786" i="1"/>
  <c r="D16786" i="1"/>
  <c r="C16786" i="1"/>
  <c r="B16786" i="1"/>
  <c r="A16786" i="1"/>
  <c r="F16785" i="1"/>
  <c r="E16785" i="1"/>
  <c r="D16785" i="1"/>
  <c r="C16785" i="1"/>
  <c r="B16785" i="1"/>
  <c r="A16785" i="1"/>
  <c r="F16784" i="1"/>
  <c r="E16784" i="1"/>
  <c r="D16784" i="1"/>
  <c r="C16784" i="1"/>
  <c r="B16784" i="1"/>
  <c r="A16784" i="1"/>
  <c r="F16783" i="1"/>
  <c r="E16783" i="1"/>
  <c r="D16783" i="1"/>
  <c r="C16783" i="1"/>
  <c r="B16783" i="1"/>
  <c r="A16783" i="1"/>
  <c r="F16782" i="1"/>
  <c r="E16782" i="1"/>
  <c r="D16782" i="1"/>
  <c r="C16782" i="1"/>
  <c r="B16782" i="1"/>
  <c r="A16782" i="1"/>
  <c r="F16781" i="1"/>
  <c r="E16781" i="1"/>
  <c r="D16781" i="1"/>
  <c r="C16781" i="1"/>
  <c r="B16781" i="1"/>
  <c r="A16781" i="1"/>
  <c r="F16780" i="1"/>
  <c r="E16780" i="1"/>
  <c r="D16780" i="1"/>
  <c r="C16780" i="1"/>
  <c r="B16780" i="1"/>
  <c r="A16780" i="1"/>
  <c r="F16779" i="1"/>
  <c r="E16779" i="1"/>
  <c r="D16779" i="1"/>
  <c r="C16779" i="1"/>
  <c r="B16779" i="1"/>
  <c r="A16779" i="1"/>
  <c r="F16778" i="1"/>
  <c r="E16778" i="1"/>
  <c r="D16778" i="1"/>
  <c r="C16778" i="1"/>
  <c r="B16778" i="1"/>
  <c r="A16778" i="1"/>
  <c r="F16777" i="1"/>
  <c r="E16777" i="1"/>
  <c r="D16777" i="1"/>
  <c r="C16777" i="1"/>
  <c r="B16777" i="1"/>
  <c r="A16777" i="1"/>
  <c r="F16776" i="1"/>
  <c r="E16776" i="1"/>
  <c r="D16776" i="1"/>
  <c r="C16776" i="1"/>
  <c r="B16776" i="1"/>
  <c r="A16776" i="1"/>
  <c r="F16775" i="1"/>
  <c r="E16775" i="1"/>
  <c r="D16775" i="1"/>
  <c r="C16775" i="1"/>
  <c r="B16775" i="1"/>
  <c r="A16775" i="1"/>
  <c r="F16774" i="1"/>
  <c r="E16774" i="1"/>
  <c r="D16774" i="1"/>
  <c r="C16774" i="1"/>
  <c r="B16774" i="1"/>
  <c r="A16774" i="1"/>
  <c r="F16773" i="1"/>
  <c r="E16773" i="1"/>
  <c r="D16773" i="1"/>
  <c r="C16773" i="1"/>
  <c r="B16773" i="1"/>
  <c r="A16773" i="1"/>
  <c r="F16772" i="1"/>
  <c r="E16772" i="1"/>
  <c r="D16772" i="1"/>
  <c r="C16772" i="1"/>
  <c r="B16772" i="1"/>
  <c r="A16772" i="1"/>
  <c r="F16771" i="1"/>
  <c r="E16771" i="1"/>
  <c r="D16771" i="1"/>
  <c r="C16771" i="1"/>
  <c r="B16771" i="1"/>
  <c r="A16771" i="1"/>
  <c r="F16770" i="1"/>
  <c r="E16770" i="1"/>
  <c r="D16770" i="1"/>
  <c r="C16770" i="1"/>
  <c r="B16770" i="1"/>
  <c r="A16770" i="1"/>
  <c r="F16769" i="1"/>
  <c r="E16769" i="1"/>
  <c r="D16769" i="1"/>
  <c r="C16769" i="1"/>
  <c r="B16769" i="1"/>
  <c r="A16769" i="1"/>
  <c r="F16768" i="1"/>
  <c r="E16768" i="1"/>
  <c r="D16768" i="1"/>
  <c r="C16768" i="1"/>
  <c r="B16768" i="1"/>
  <c r="A16768" i="1"/>
  <c r="F16767" i="1"/>
  <c r="E16767" i="1"/>
  <c r="D16767" i="1"/>
  <c r="C16767" i="1"/>
  <c r="B16767" i="1"/>
  <c r="A16767" i="1"/>
  <c r="F16766" i="1"/>
  <c r="E16766" i="1"/>
  <c r="D16766" i="1"/>
  <c r="C16766" i="1"/>
  <c r="B16766" i="1"/>
  <c r="A16766" i="1"/>
  <c r="F16765" i="1"/>
  <c r="E16765" i="1"/>
  <c r="D16765" i="1"/>
  <c r="C16765" i="1"/>
  <c r="B16765" i="1"/>
  <c r="A16765" i="1"/>
  <c r="F16764" i="1"/>
  <c r="E16764" i="1"/>
  <c r="D16764" i="1"/>
  <c r="C16764" i="1"/>
  <c r="B16764" i="1"/>
  <c r="A16764" i="1"/>
  <c r="F16763" i="1"/>
  <c r="E16763" i="1"/>
  <c r="D16763" i="1"/>
  <c r="C16763" i="1"/>
  <c r="B16763" i="1"/>
  <c r="A16763" i="1"/>
  <c r="F16762" i="1"/>
  <c r="E16762" i="1"/>
  <c r="D16762" i="1"/>
  <c r="C16762" i="1"/>
  <c r="B16762" i="1"/>
  <c r="A16762" i="1"/>
  <c r="F16761" i="1"/>
  <c r="E16761" i="1"/>
  <c r="D16761" i="1"/>
  <c r="C16761" i="1"/>
  <c r="B16761" i="1"/>
  <c r="A16761" i="1"/>
  <c r="F16760" i="1"/>
  <c r="E16760" i="1"/>
  <c r="D16760" i="1"/>
  <c r="C16760" i="1"/>
  <c r="B16760" i="1"/>
  <c r="A16760" i="1"/>
  <c r="F16759" i="1"/>
  <c r="E16759" i="1"/>
  <c r="D16759" i="1"/>
  <c r="C16759" i="1"/>
  <c r="B16759" i="1"/>
  <c r="A16759" i="1"/>
  <c r="F16758" i="1"/>
  <c r="E16758" i="1"/>
  <c r="D16758" i="1"/>
  <c r="C16758" i="1"/>
  <c r="B16758" i="1"/>
  <c r="A16758" i="1"/>
  <c r="F16757" i="1"/>
  <c r="E16757" i="1"/>
  <c r="D16757" i="1"/>
  <c r="C16757" i="1"/>
  <c r="B16757" i="1"/>
  <c r="A16757" i="1"/>
  <c r="F16756" i="1"/>
  <c r="E16756" i="1"/>
  <c r="D16756" i="1"/>
  <c r="C16756" i="1"/>
  <c r="B16756" i="1"/>
  <c r="A16756" i="1"/>
  <c r="F16755" i="1"/>
  <c r="E16755" i="1"/>
  <c r="D16755" i="1"/>
  <c r="C16755" i="1"/>
  <c r="B16755" i="1"/>
  <c r="A16755" i="1"/>
  <c r="F16754" i="1"/>
  <c r="E16754" i="1"/>
  <c r="D16754" i="1"/>
  <c r="C16754" i="1"/>
  <c r="B16754" i="1"/>
  <c r="A16754" i="1"/>
  <c r="F16753" i="1"/>
  <c r="E16753" i="1"/>
  <c r="D16753" i="1"/>
  <c r="C16753" i="1"/>
  <c r="B16753" i="1"/>
  <c r="A16753" i="1"/>
  <c r="F16752" i="1"/>
  <c r="E16752" i="1"/>
  <c r="D16752" i="1"/>
  <c r="C16752" i="1"/>
  <c r="B16752" i="1"/>
  <c r="A16752" i="1"/>
  <c r="F16751" i="1"/>
  <c r="E16751" i="1"/>
  <c r="D16751" i="1"/>
  <c r="C16751" i="1"/>
  <c r="B16751" i="1"/>
  <c r="A16751" i="1"/>
  <c r="F16750" i="1"/>
  <c r="E16750" i="1"/>
  <c r="D16750" i="1"/>
  <c r="C16750" i="1"/>
  <c r="B16750" i="1"/>
  <c r="A16750" i="1"/>
  <c r="F16749" i="1"/>
  <c r="E16749" i="1"/>
  <c r="D16749" i="1"/>
  <c r="C16749" i="1"/>
  <c r="B16749" i="1"/>
  <c r="A16749" i="1"/>
  <c r="F16748" i="1"/>
  <c r="E16748" i="1"/>
  <c r="D16748" i="1"/>
  <c r="C16748" i="1"/>
  <c r="B16748" i="1"/>
  <c r="A16748" i="1"/>
  <c r="F16747" i="1"/>
  <c r="E16747" i="1"/>
  <c r="D16747" i="1"/>
  <c r="C16747" i="1"/>
  <c r="B16747" i="1"/>
  <c r="A16747" i="1"/>
  <c r="F16746" i="1"/>
  <c r="E16746" i="1"/>
  <c r="D16746" i="1"/>
  <c r="C16746" i="1"/>
  <c r="B16746" i="1"/>
  <c r="A16746" i="1"/>
  <c r="F16745" i="1"/>
  <c r="E16745" i="1"/>
  <c r="D16745" i="1"/>
  <c r="C16745" i="1"/>
  <c r="B16745" i="1"/>
  <c r="A16745" i="1"/>
  <c r="F16744" i="1"/>
  <c r="E16744" i="1"/>
  <c r="D16744" i="1"/>
  <c r="C16744" i="1"/>
  <c r="B16744" i="1"/>
  <c r="A16744" i="1"/>
  <c r="F16743" i="1"/>
  <c r="E16743" i="1"/>
  <c r="D16743" i="1"/>
  <c r="C16743" i="1"/>
  <c r="B16743" i="1"/>
  <c r="A16743" i="1"/>
  <c r="F16742" i="1"/>
  <c r="E16742" i="1"/>
  <c r="D16742" i="1"/>
  <c r="C16742" i="1"/>
  <c r="B16742" i="1"/>
  <c r="A16742" i="1"/>
  <c r="F16741" i="1"/>
  <c r="E16741" i="1"/>
  <c r="D16741" i="1"/>
  <c r="C16741" i="1"/>
  <c r="B16741" i="1"/>
  <c r="A16741" i="1"/>
  <c r="F16740" i="1"/>
  <c r="E16740" i="1"/>
  <c r="D16740" i="1"/>
  <c r="C16740" i="1"/>
  <c r="B16740" i="1"/>
  <c r="A16740" i="1"/>
  <c r="F16739" i="1"/>
  <c r="E16739" i="1"/>
  <c r="D16739" i="1"/>
  <c r="C16739" i="1"/>
  <c r="B16739" i="1"/>
  <c r="A16739" i="1"/>
  <c r="F16738" i="1"/>
  <c r="E16738" i="1"/>
  <c r="D16738" i="1"/>
  <c r="C16738" i="1"/>
  <c r="B16738" i="1"/>
  <c r="A16738" i="1"/>
  <c r="F16737" i="1"/>
  <c r="E16737" i="1"/>
  <c r="D16737" i="1"/>
  <c r="C16737" i="1"/>
  <c r="B16737" i="1"/>
  <c r="A16737" i="1"/>
  <c r="F16736" i="1"/>
  <c r="E16736" i="1"/>
  <c r="D16736" i="1"/>
  <c r="C16736" i="1"/>
  <c r="B16736" i="1"/>
  <c r="A16736" i="1"/>
  <c r="F16735" i="1"/>
  <c r="E16735" i="1"/>
  <c r="D16735" i="1"/>
  <c r="C16735" i="1"/>
  <c r="B16735" i="1"/>
  <c r="A16735" i="1"/>
  <c r="F16734" i="1"/>
  <c r="E16734" i="1"/>
  <c r="D16734" i="1"/>
  <c r="C16734" i="1"/>
  <c r="B16734" i="1"/>
  <c r="A16734" i="1"/>
  <c r="F16733" i="1"/>
  <c r="E16733" i="1"/>
  <c r="D16733" i="1"/>
  <c r="C16733" i="1"/>
  <c r="B16733" i="1"/>
  <c r="A16733" i="1"/>
  <c r="F16732" i="1"/>
  <c r="E16732" i="1"/>
  <c r="D16732" i="1"/>
  <c r="C16732" i="1"/>
  <c r="B16732" i="1"/>
  <c r="A16732" i="1"/>
  <c r="F16731" i="1"/>
  <c r="E16731" i="1"/>
  <c r="D16731" i="1"/>
  <c r="C16731" i="1"/>
  <c r="B16731" i="1"/>
  <c r="A16731" i="1"/>
  <c r="F16730" i="1"/>
  <c r="E16730" i="1"/>
  <c r="D16730" i="1"/>
  <c r="C16730" i="1"/>
  <c r="B16730" i="1"/>
  <c r="A16730" i="1"/>
  <c r="F16729" i="1"/>
  <c r="E16729" i="1"/>
  <c r="D16729" i="1"/>
  <c r="C16729" i="1"/>
  <c r="B16729" i="1"/>
  <c r="A16729" i="1"/>
  <c r="F16728" i="1"/>
  <c r="E16728" i="1"/>
  <c r="D16728" i="1"/>
  <c r="C16728" i="1"/>
  <c r="B16728" i="1"/>
  <c r="A16728" i="1"/>
  <c r="F16727" i="1"/>
  <c r="E16727" i="1"/>
  <c r="D16727" i="1"/>
  <c r="C16727" i="1"/>
  <c r="B16727" i="1"/>
  <c r="A16727" i="1"/>
  <c r="F16726" i="1"/>
  <c r="E16726" i="1"/>
  <c r="D16726" i="1"/>
  <c r="C16726" i="1"/>
  <c r="B16726" i="1"/>
  <c r="A16726" i="1"/>
  <c r="F16725" i="1"/>
  <c r="E16725" i="1"/>
  <c r="D16725" i="1"/>
  <c r="C16725" i="1"/>
  <c r="B16725" i="1"/>
  <c r="A16725" i="1"/>
  <c r="F16724" i="1"/>
  <c r="E16724" i="1"/>
  <c r="D16724" i="1"/>
  <c r="C16724" i="1"/>
  <c r="B16724" i="1"/>
  <c r="A16724" i="1"/>
  <c r="F16723" i="1"/>
  <c r="E16723" i="1"/>
  <c r="D16723" i="1"/>
  <c r="C16723" i="1"/>
  <c r="B16723" i="1"/>
  <c r="A16723" i="1"/>
  <c r="F16722" i="1"/>
  <c r="E16722" i="1"/>
  <c r="D16722" i="1"/>
  <c r="C16722" i="1"/>
  <c r="B16722" i="1"/>
  <c r="A16722" i="1"/>
  <c r="F16721" i="1"/>
  <c r="E16721" i="1"/>
  <c r="D16721" i="1"/>
  <c r="C16721" i="1"/>
  <c r="B16721" i="1"/>
  <c r="A16721" i="1"/>
  <c r="F16720" i="1"/>
  <c r="E16720" i="1"/>
  <c r="D16720" i="1"/>
  <c r="C16720" i="1"/>
  <c r="B16720" i="1"/>
  <c r="A16720" i="1"/>
  <c r="F16719" i="1"/>
  <c r="E16719" i="1"/>
  <c r="D16719" i="1"/>
  <c r="C16719" i="1"/>
  <c r="B16719" i="1"/>
  <c r="A16719" i="1"/>
  <c r="F16718" i="1"/>
  <c r="E16718" i="1"/>
  <c r="D16718" i="1"/>
  <c r="C16718" i="1"/>
  <c r="B16718" i="1"/>
  <c r="A16718" i="1"/>
  <c r="F16717" i="1"/>
  <c r="E16717" i="1"/>
  <c r="D16717" i="1"/>
  <c r="C16717" i="1"/>
  <c r="B16717" i="1"/>
  <c r="A16717" i="1"/>
  <c r="F16716" i="1"/>
  <c r="E16716" i="1"/>
  <c r="D16716" i="1"/>
  <c r="C16716" i="1"/>
  <c r="B16716" i="1"/>
  <c r="A16716" i="1"/>
  <c r="F16715" i="1"/>
  <c r="E16715" i="1"/>
  <c r="D16715" i="1"/>
  <c r="C16715" i="1"/>
  <c r="B16715" i="1"/>
  <c r="A16715" i="1"/>
  <c r="F16714" i="1"/>
  <c r="E16714" i="1"/>
  <c r="D16714" i="1"/>
  <c r="C16714" i="1"/>
  <c r="B16714" i="1"/>
  <c r="A16714" i="1"/>
  <c r="F16713" i="1"/>
  <c r="E16713" i="1"/>
  <c r="D16713" i="1"/>
  <c r="C16713" i="1"/>
  <c r="B16713" i="1"/>
  <c r="A16713" i="1"/>
  <c r="F16712" i="1"/>
  <c r="E16712" i="1"/>
  <c r="D16712" i="1"/>
  <c r="C16712" i="1"/>
  <c r="B16712" i="1"/>
  <c r="A16712" i="1"/>
  <c r="F16711" i="1"/>
  <c r="E16711" i="1"/>
  <c r="D16711" i="1"/>
  <c r="C16711" i="1"/>
  <c r="B16711" i="1"/>
  <c r="A16711" i="1"/>
  <c r="F16710" i="1"/>
  <c r="E16710" i="1"/>
  <c r="D16710" i="1"/>
  <c r="C16710" i="1"/>
  <c r="B16710" i="1"/>
  <c r="A16710" i="1"/>
  <c r="F16709" i="1"/>
  <c r="E16709" i="1"/>
  <c r="D16709" i="1"/>
  <c r="C16709" i="1"/>
  <c r="B16709" i="1"/>
  <c r="A16709" i="1"/>
  <c r="F16708" i="1"/>
  <c r="E16708" i="1"/>
  <c r="D16708" i="1"/>
  <c r="C16708" i="1"/>
  <c r="B16708" i="1"/>
  <c r="A16708" i="1"/>
  <c r="F16707" i="1"/>
  <c r="E16707" i="1"/>
  <c r="D16707" i="1"/>
  <c r="C16707" i="1"/>
  <c r="B16707" i="1"/>
  <c r="A16707" i="1"/>
  <c r="F16706" i="1"/>
  <c r="E16706" i="1"/>
  <c r="D16706" i="1"/>
  <c r="C16706" i="1"/>
  <c r="B16706" i="1"/>
  <c r="A16706" i="1"/>
  <c r="F16705" i="1"/>
  <c r="E16705" i="1"/>
  <c r="D16705" i="1"/>
  <c r="C16705" i="1"/>
  <c r="B16705" i="1"/>
  <c r="A16705" i="1"/>
  <c r="F16704" i="1"/>
  <c r="E16704" i="1"/>
  <c r="D16704" i="1"/>
  <c r="C16704" i="1"/>
  <c r="B16704" i="1"/>
  <c r="A16704" i="1"/>
  <c r="F16703" i="1"/>
  <c r="E16703" i="1"/>
  <c r="D16703" i="1"/>
  <c r="C16703" i="1"/>
  <c r="B16703" i="1"/>
  <c r="A16703" i="1"/>
  <c r="F16702" i="1"/>
  <c r="E16702" i="1"/>
  <c r="D16702" i="1"/>
  <c r="C16702" i="1"/>
  <c r="B16702" i="1"/>
  <c r="A16702" i="1"/>
  <c r="F16701" i="1"/>
  <c r="E16701" i="1"/>
  <c r="D16701" i="1"/>
  <c r="C16701" i="1"/>
  <c r="B16701" i="1"/>
  <c r="A16701" i="1"/>
  <c r="F16700" i="1"/>
  <c r="E16700" i="1"/>
  <c r="D16700" i="1"/>
  <c r="C16700" i="1"/>
  <c r="B16700" i="1"/>
  <c r="A16700" i="1"/>
  <c r="F16699" i="1"/>
  <c r="E16699" i="1"/>
  <c r="D16699" i="1"/>
  <c r="C16699" i="1"/>
  <c r="B16699" i="1"/>
  <c r="A16699" i="1"/>
  <c r="F16698" i="1"/>
  <c r="E16698" i="1"/>
  <c r="D16698" i="1"/>
  <c r="C16698" i="1"/>
  <c r="B16698" i="1"/>
  <c r="A16698" i="1"/>
  <c r="F16697" i="1"/>
  <c r="E16697" i="1"/>
  <c r="D16697" i="1"/>
  <c r="C16697" i="1"/>
  <c r="B16697" i="1"/>
  <c r="A16697" i="1"/>
  <c r="F16696" i="1"/>
  <c r="E16696" i="1"/>
  <c r="D16696" i="1"/>
  <c r="C16696" i="1"/>
  <c r="B16696" i="1"/>
  <c r="A16696" i="1"/>
  <c r="F16695" i="1"/>
  <c r="E16695" i="1"/>
  <c r="D16695" i="1"/>
  <c r="C16695" i="1"/>
  <c r="B16695" i="1"/>
  <c r="A16695" i="1"/>
  <c r="F16694" i="1"/>
  <c r="E16694" i="1"/>
  <c r="D16694" i="1"/>
  <c r="C16694" i="1"/>
  <c r="B16694" i="1"/>
  <c r="A16694" i="1"/>
  <c r="F16693" i="1"/>
  <c r="E16693" i="1"/>
  <c r="D16693" i="1"/>
  <c r="C16693" i="1"/>
  <c r="B16693" i="1"/>
  <c r="A16693" i="1"/>
  <c r="F16692" i="1"/>
  <c r="E16692" i="1"/>
  <c r="D16692" i="1"/>
  <c r="C16692" i="1"/>
  <c r="B16692" i="1"/>
  <c r="A16692" i="1"/>
  <c r="F16691" i="1"/>
  <c r="E16691" i="1"/>
  <c r="D16691" i="1"/>
  <c r="C16691" i="1"/>
  <c r="B16691" i="1"/>
  <c r="A16691" i="1"/>
  <c r="F16690" i="1"/>
  <c r="E16690" i="1"/>
  <c r="D16690" i="1"/>
  <c r="C16690" i="1"/>
  <c r="B16690" i="1"/>
  <c r="A16690" i="1"/>
  <c r="F16689" i="1"/>
  <c r="E16689" i="1"/>
  <c r="D16689" i="1"/>
  <c r="C16689" i="1"/>
  <c r="B16689" i="1"/>
  <c r="A16689" i="1"/>
  <c r="F16688" i="1"/>
  <c r="E16688" i="1"/>
  <c r="D16688" i="1"/>
  <c r="C16688" i="1"/>
  <c r="B16688" i="1"/>
  <c r="A16688" i="1"/>
  <c r="F16687" i="1"/>
  <c r="E16687" i="1"/>
  <c r="D16687" i="1"/>
  <c r="C16687" i="1"/>
  <c r="B16687" i="1"/>
  <c r="A16687" i="1"/>
  <c r="F16686" i="1"/>
  <c r="E16686" i="1"/>
  <c r="D16686" i="1"/>
  <c r="C16686" i="1"/>
  <c r="B16686" i="1"/>
  <c r="A16686" i="1"/>
  <c r="F16685" i="1"/>
  <c r="E16685" i="1"/>
  <c r="D16685" i="1"/>
  <c r="C16685" i="1"/>
  <c r="B16685" i="1"/>
  <c r="A16685" i="1"/>
  <c r="F16684" i="1"/>
  <c r="E16684" i="1"/>
  <c r="D16684" i="1"/>
  <c r="C16684" i="1"/>
  <c r="B16684" i="1"/>
  <c r="A16684" i="1"/>
  <c r="F16683" i="1"/>
  <c r="E16683" i="1"/>
  <c r="D16683" i="1"/>
  <c r="C16683" i="1"/>
  <c r="B16683" i="1"/>
  <c r="A16683" i="1"/>
  <c r="F16682" i="1"/>
  <c r="E16682" i="1"/>
  <c r="D16682" i="1"/>
  <c r="C16682" i="1"/>
  <c r="B16682" i="1"/>
  <c r="A16682" i="1"/>
  <c r="F16681" i="1"/>
  <c r="E16681" i="1"/>
  <c r="D16681" i="1"/>
  <c r="C16681" i="1"/>
  <c r="B16681" i="1"/>
  <c r="A16681" i="1"/>
  <c r="F16680" i="1"/>
  <c r="E16680" i="1"/>
  <c r="D16680" i="1"/>
  <c r="C16680" i="1"/>
  <c r="B16680" i="1"/>
  <c r="A16680" i="1"/>
  <c r="F16679" i="1"/>
  <c r="E16679" i="1"/>
  <c r="D16679" i="1"/>
  <c r="C16679" i="1"/>
  <c r="B16679" i="1"/>
  <c r="A16679" i="1"/>
  <c r="F16678" i="1"/>
  <c r="E16678" i="1"/>
  <c r="D16678" i="1"/>
  <c r="C16678" i="1"/>
  <c r="B16678" i="1"/>
  <c r="A16678" i="1"/>
  <c r="F16677" i="1"/>
  <c r="E16677" i="1"/>
  <c r="D16677" i="1"/>
  <c r="C16677" i="1"/>
  <c r="B16677" i="1"/>
  <c r="A16677" i="1"/>
  <c r="F16676" i="1"/>
  <c r="E16676" i="1"/>
  <c r="D16676" i="1"/>
  <c r="C16676" i="1"/>
  <c r="B16676" i="1"/>
  <c r="A16676" i="1"/>
  <c r="F16675" i="1"/>
  <c r="E16675" i="1"/>
  <c r="D16675" i="1"/>
  <c r="C16675" i="1"/>
  <c r="B16675" i="1"/>
  <c r="A16675" i="1"/>
  <c r="F16674" i="1"/>
  <c r="E16674" i="1"/>
  <c r="D16674" i="1"/>
  <c r="C16674" i="1"/>
  <c r="B16674" i="1"/>
  <c r="A16674" i="1"/>
  <c r="F16673" i="1"/>
  <c r="E16673" i="1"/>
  <c r="D16673" i="1"/>
  <c r="C16673" i="1"/>
  <c r="B16673" i="1"/>
  <c r="A16673" i="1"/>
  <c r="F16672" i="1"/>
  <c r="E16672" i="1"/>
  <c r="D16672" i="1"/>
  <c r="C16672" i="1"/>
  <c r="B16672" i="1"/>
  <c r="A16672" i="1"/>
  <c r="F16671" i="1"/>
  <c r="E16671" i="1"/>
  <c r="D16671" i="1"/>
  <c r="C16671" i="1"/>
  <c r="B16671" i="1"/>
  <c r="A16671" i="1"/>
  <c r="F16670" i="1"/>
  <c r="E16670" i="1"/>
  <c r="D16670" i="1"/>
  <c r="C16670" i="1"/>
  <c r="B16670" i="1"/>
  <c r="A16670" i="1"/>
  <c r="F16669" i="1"/>
  <c r="E16669" i="1"/>
  <c r="D16669" i="1"/>
  <c r="C16669" i="1"/>
  <c r="B16669" i="1"/>
  <c r="A16669" i="1"/>
  <c r="F16668" i="1"/>
  <c r="E16668" i="1"/>
  <c r="D16668" i="1"/>
  <c r="C16668" i="1"/>
  <c r="B16668" i="1"/>
  <c r="A16668" i="1"/>
  <c r="F16667" i="1"/>
  <c r="E16667" i="1"/>
  <c r="D16667" i="1"/>
  <c r="C16667" i="1"/>
  <c r="B16667" i="1"/>
  <c r="A16667" i="1"/>
  <c r="F16666" i="1"/>
  <c r="E16666" i="1"/>
  <c r="D16666" i="1"/>
  <c r="C16666" i="1"/>
  <c r="B16666" i="1"/>
  <c r="A16666" i="1"/>
  <c r="F16665" i="1"/>
  <c r="E16665" i="1"/>
  <c r="D16665" i="1"/>
  <c r="C16665" i="1"/>
  <c r="B16665" i="1"/>
  <c r="A16665" i="1"/>
  <c r="F16664" i="1"/>
  <c r="E16664" i="1"/>
  <c r="D16664" i="1"/>
  <c r="C16664" i="1"/>
  <c r="B16664" i="1"/>
  <c r="A16664" i="1"/>
  <c r="F16663" i="1"/>
  <c r="E16663" i="1"/>
  <c r="D16663" i="1"/>
  <c r="C16663" i="1"/>
  <c r="B16663" i="1"/>
  <c r="A16663" i="1"/>
  <c r="F16662" i="1"/>
  <c r="E16662" i="1"/>
  <c r="D16662" i="1"/>
  <c r="C16662" i="1"/>
  <c r="B16662" i="1"/>
  <c r="A16662" i="1"/>
  <c r="F16661" i="1"/>
  <c r="E16661" i="1"/>
  <c r="D16661" i="1"/>
  <c r="C16661" i="1"/>
  <c r="B16661" i="1"/>
  <c r="A16661" i="1"/>
  <c r="F16660" i="1"/>
  <c r="E16660" i="1"/>
  <c r="D16660" i="1"/>
  <c r="C16660" i="1"/>
  <c r="B16660" i="1"/>
  <c r="A16660" i="1"/>
  <c r="F16659" i="1"/>
  <c r="E16659" i="1"/>
  <c r="D16659" i="1"/>
  <c r="C16659" i="1"/>
  <c r="B16659" i="1"/>
  <c r="A16659" i="1"/>
  <c r="F16658" i="1"/>
  <c r="E16658" i="1"/>
  <c r="D16658" i="1"/>
  <c r="C16658" i="1"/>
  <c r="B16658" i="1"/>
  <c r="A16658" i="1"/>
  <c r="F16657" i="1"/>
  <c r="E16657" i="1"/>
  <c r="D16657" i="1"/>
  <c r="C16657" i="1"/>
  <c r="B16657" i="1"/>
  <c r="A16657" i="1"/>
  <c r="F16656" i="1"/>
  <c r="E16656" i="1"/>
  <c r="D16656" i="1"/>
  <c r="C16656" i="1"/>
  <c r="B16656" i="1"/>
  <c r="A16656" i="1"/>
  <c r="F16655" i="1"/>
  <c r="E16655" i="1"/>
  <c r="D16655" i="1"/>
  <c r="C16655" i="1"/>
  <c r="B16655" i="1"/>
  <c r="A16655" i="1"/>
  <c r="F16654" i="1"/>
  <c r="E16654" i="1"/>
  <c r="D16654" i="1"/>
  <c r="C16654" i="1"/>
  <c r="B16654" i="1"/>
  <c r="A16654" i="1"/>
  <c r="F16653" i="1"/>
  <c r="E16653" i="1"/>
  <c r="D16653" i="1"/>
  <c r="C16653" i="1"/>
  <c r="B16653" i="1"/>
  <c r="A16653" i="1"/>
  <c r="F16652" i="1"/>
  <c r="E16652" i="1"/>
  <c r="D16652" i="1"/>
  <c r="C16652" i="1"/>
  <c r="B16652" i="1"/>
  <c r="A16652" i="1"/>
  <c r="F16651" i="1"/>
  <c r="E16651" i="1"/>
  <c r="D16651" i="1"/>
  <c r="C16651" i="1"/>
  <c r="B16651" i="1"/>
  <c r="A16651" i="1"/>
  <c r="F16650" i="1"/>
  <c r="E16650" i="1"/>
  <c r="D16650" i="1"/>
  <c r="C16650" i="1"/>
  <c r="B16650" i="1"/>
  <c r="A16650" i="1"/>
  <c r="F16649" i="1"/>
  <c r="E16649" i="1"/>
  <c r="D16649" i="1"/>
  <c r="C16649" i="1"/>
  <c r="B16649" i="1"/>
  <c r="A16649" i="1"/>
  <c r="F16648" i="1"/>
  <c r="E16648" i="1"/>
  <c r="D16648" i="1"/>
  <c r="C16648" i="1"/>
  <c r="B16648" i="1"/>
  <c r="A16648" i="1"/>
  <c r="F16647" i="1"/>
  <c r="E16647" i="1"/>
  <c r="D16647" i="1"/>
  <c r="C16647" i="1"/>
  <c r="B16647" i="1"/>
  <c r="A16647" i="1"/>
  <c r="F16646" i="1"/>
  <c r="E16646" i="1"/>
  <c r="D16646" i="1"/>
  <c r="C16646" i="1"/>
  <c r="B16646" i="1"/>
  <c r="A16646" i="1"/>
  <c r="F16645" i="1"/>
  <c r="E16645" i="1"/>
  <c r="D16645" i="1"/>
  <c r="C16645" i="1"/>
  <c r="B16645" i="1"/>
  <c r="A16645" i="1"/>
  <c r="F16644" i="1"/>
  <c r="E16644" i="1"/>
  <c r="D16644" i="1"/>
  <c r="C16644" i="1"/>
  <c r="B16644" i="1"/>
  <c r="A16644" i="1"/>
  <c r="F16643" i="1"/>
  <c r="E16643" i="1"/>
  <c r="D16643" i="1"/>
  <c r="C16643" i="1"/>
  <c r="B16643" i="1"/>
  <c r="A16643" i="1"/>
  <c r="F16642" i="1"/>
  <c r="E16642" i="1"/>
  <c r="D16642" i="1"/>
  <c r="C16642" i="1"/>
  <c r="B16642" i="1"/>
  <c r="A16642" i="1"/>
  <c r="F16641" i="1"/>
  <c r="E16641" i="1"/>
  <c r="D16641" i="1"/>
  <c r="C16641" i="1"/>
  <c r="B16641" i="1"/>
  <c r="A16641" i="1"/>
  <c r="F16640" i="1"/>
  <c r="E16640" i="1"/>
  <c r="D16640" i="1"/>
  <c r="C16640" i="1"/>
  <c r="B16640" i="1"/>
  <c r="A16640" i="1"/>
  <c r="F16639" i="1"/>
  <c r="E16639" i="1"/>
  <c r="D16639" i="1"/>
  <c r="C16639" i="1"/>
  <c r="B16639" i="1"/>
  <c r="A16639" i="1"/>
  <c r="F16638" i="1"/>
  <c r="E16638" i="1"/>
  <c r="D16638" i="1"/>
  <c r="C16638" i="1"/>
  <c r="B16638" i="1"/>
  <c r="A16638" i="1"/>
  <c r="F16637" i="1"/>
  <c r="E16637" i="1"/>
  <c r="D16637" i="1"/>
  <c r="C16637" i="1"/>
  <c r="B16637" i="1"/>
  <c r="A16637" i="1"/>
  <c r="F16636" i="1"/>
  <c r="E16636" i="1"/>
  <c r="D16636" i="1"/>
  <c r="C16636" i="1"/>
  <c r="B16636" i="1"/>
  <c r="A16636" i="1"/>
  <c r="F16635" i="1"/>
  <c r="E16635" i="1"/>
  <c r="D16635" i="1"/>
  <c r="C16635" i="1"/>
  <c r="B16635" i="1"/>
  <c r="A16635" i="1"/>
  <c r="F16634" i="1"/>
  <c r="E16634" i="1"/>
  <c r="D16634" i="1"/>
  <c r="C16634" i="1"/>
  <c r="B16634" i="1"/>
  <c r="A16634" i="1"/>
  <c r="F16633" i="1"/>
  <c r="E16633" i="1"/>
  <c r="D16633" i="1"/>
  <c r="C16633" i="1"/>
  <c r="B16633" i="1"/>
  <c r="A16633" i="1"/>
  <c r="F16632" i="1"/>
  <c r="E16632" i="1"/>
  <c r="D16632" i="1"/>
  <c r="C16632" i="1"/>
  <c r="B16632" i="1"/>
  <c r="A16632" i="1"/>
  <c r="F16631" i="1"/>
  <c r="E16631" i="1"/>
  <c r="D16631" i="1"/>
  <c r="C16631" i="1"/>
  <c r="B16631" i="1"/>
  <c r="A16631" i="1"/>
  <c r="F16630" i="1"/>
  <c r="E16630" i="1"/>
  <c r="D16630" i="1"/>
  <c r="C16630" i="1"/>
  <c r="B16630" i="1"/>
  <c r="A16630" i="1"/>
  <c r="F16629" i="1"/>
  <c r="E16629" i="1"/>
  <c r="D16629" i="1"/>
  <c r="C16629" i="1"/>
  <c r="B16629" i="1"/>
  <c r="A16629" i="1"/>
  <c r="F16628" i="1"/>
  <c r="E16628" i="1"/>
  <c r="D16628" i="1"/>
  <c r="C16628" i="1"/>
  <c r="B16628" i="1"/>
  <c r="A16628" i="1"/>
  <c r="F16627" i="1"/>
  <c r="E16627" i="1"/>
  <c r="D16627" i="1"/>
  <c r="C16627" i="1"/>
  <c r="B16627" i="1"/>
  <c r="A16627" i="1"/>
  <c r="F16626" i="1"/>
  <c r="E16626" i="1"/>
  <c r="D16626" i="1"/>
  <c r="C16626" i="1"/>
  <c r="B16626" i="1"/>
  <c r="A16626" i="1"/>
  <c r="F16625" i="1"/>
  <c r="E16625" i="1"/>
  <c r="D16625" i="1"/>
  <c r="C16625" i="1"/>
  <c r="B16625" i="1"/>
  <c r="A16625" i="1"/>
  <c r="F16624" i="1"/>
  <c r="E16624" i="1"/>
  <c r="D16624" i="1"/>
  <c r="C16624" i="1"/>
  <c r="B16624" i="1"/>
  <c r="A16624" i="1"/>
  <c r="F16623" i="1"/>
  <c r="E16623" i="1"/>
  <c r="D16623" i="1"/>
  <c r="C16623" i="1"/>
  <c r="B16623" i="1"/>
  <c r="A16623" i="1"/>
  <c r="F16622" i="1"/>
  <c r="E16622" i="1"/>
  <c r="D16622" i="1"/>
  <c r="C16622" i="1"/>
  <c r="B16622" i="1"/>
  <c r="A16622" i="1"/>
  <c r="F16621" i="1"/>
  <c r="E16621" i="1"/>
  <c r="D16621" i="1"/>
  <c r="C16621" i="1"/>
  <c r="B16621" i="1"/>
  <c r="A16621" i="1"/>
  <c r="F16620" i="1"/>
  <c r="E16620" i="1"/>
  <c r="D16620" i="1"/>
  <c r="C16620" i="1"/>
  <c r="B16620" i="1"/>
  <c r="A16620" i="1"/>
  <c r="F16619" i="1"/>
  <c r="E16619" i="1"/>
  <c r="D16619" i="1"/>
  <c r="C16619" i="1"/>
  <c r="B16619" i="1"/>
  <c r="A16619" i="1"/>
  <c r="F16618" i="1"/>
  <c r="E16618" i="1"/>
  <c r="D16618" i="1"/>
  <c r="C16618" i="1"/>
  <c r="B16618" i="1"/>
  <c r="A16618" i="1"/>
  <c r="F16617" i="1"/>
  <c r="E16617" i="1"/>
  <c r="D16617" i="1"/>
  <c r="C16617" i="1"/>
  <c r="B16617" i="1"/>
  <c r="A16617" i="1"/>
  <c r="F16616" i="1"/>
  <c r="E16616" i="1"/>
  <c r="D16616" i="1"/>
  <c r="C16616" i="1"/>
  <c r="B16616" i="1"/>
  <c r="A16616" i="1"/>
  <c r="F16615" i="1"/>
  <c r="E16615" i="1"/>
  <c r="D16615" i="1"/>
  <c r="C16615" i="1"/>
  <c r="B16615" i="1"/>
  <c r="A16615" i="1"/>
  <c r="F16614" i="1"/>
  <c r="E16614" i="1"/>
  <c r="D16614" i="1"/>
  <c r="C16614" i="1"/>
  <c r="B16614" i="1"/>
  <c r="A16614" i="1"/>
  <c r="F16613" i="1"/>
  <c r="E16613" i="1"/>
  <c r="D16613" i="1"/>
  <c r="C16613" i="1"/>
  <c r="B16613" i="1"/>
  <c r="A16613" i="1"/>
  <c r="F16612" i="1"/>
  <c r="E16612" i="1"/>
  <c r="D16612" i="1"/>
  <c r="C16612" i="1"/>
  <c r="B16612" i="1"/>
  <c r="A16612" i="1"/>
  <c r="F16611" i="1"/>
  <c r="E16611" i="1"/>
  <c r="D16611" i="1"/>
  <c r="C16611" i="1"/>
  <c r="B16611" i="1"/>
  <c r="A16611" i="1"/>
  <c r="F16610" i="1"/>
  <c r="E16610" i="1"/>
  <c r="D16610" i="1"/>
  <c r="C16610" i="1"/>
  <c r="B16610" i="1"/>
  <c r="A16610" i="1"/>
  <c r="F16609" i="1"/>
  <c r="E16609" i="1"/>
  <c r="D16609" i="1"/>
  <c r="C16609" i="1"/>
  <c r="B16609" i="1"/>
  <c r="A16609" i="1"/>
  <c r="F16608" i="1"/>
  <c r="E16608" i="1"/>
  <c r="D16608" i="1"/>
  <c r="C16608" i="1"/>
  <c r="B16608" i="1"/>
  <c r="A16608" i="1"/>
  <c r="F16607" i="1"/>
  <c r="E16607" i="1"/>
  <c r="D16607" i="1"/>
  <c r="C16607" i="1"/>
  <c r="B16607" i="1"/>
  <c r="A16607" i="1"/>
  <c r="F16606" i="1"/>
  <c r="E16606" i="1"/>
  <c r="D16606" i="1"/>
  <c r="C16606" i="1"/>
  <c r="B16606" i="1"/>
  <c r="A16606" i="1"/>
  <c r="F16605" i="1"/>
  <c r="E16605" i="1"/>
  <c r="D16605" i="1"/>
  <c r="C16605" i="1"/>
  <c r="B16605" i="1"/>
  <c r="A16605" i="1"/>
  <c r="F16604" i="1"/>
  <c r="E16604" i="1"/>
  <c r="D16604" i="1"/>
  <c r="C16604" i="1"/>
  <c r="B16604" i="1"/>
  <c r="A16604" i="1"/>
  <c r="F16603" i="1"/>
  <c r="E16603" i="1"/>
  <c r="D16603" i="1"/>
  <c r="C16603" i="1"/>
  <c r="B16603" i="1"/>
  <c r="A16603" i="1"/>
  <c r="F16602" i="1"/>
  <c r="E16602" i="1"/>
  <c r="D16602" i="1"/>
  <c r="C16602" i="1"/>
  <c r="B16602" i="1"/>
  <c r="A16602" i="1"/>
  <c r="F16601" i="1"/>
  <c r="E16601" i="1"/>
  <c r="D16601" i="1"/>
  <c r="C16601" i="1"/>
  <c r="B16601" i="1"/>
  <c r="A16601" i="1"/>
  <c r="F16600" i="1"/>
  <c r="E16600" i="1"/>
  <c r="D16600" i="1"/>
  <c r="C16600" i="1"/>
  <c r="B16600" i="1"/>
  <c r="A16600" i="1"/>
  <c r="F16599" i="1"/>
  <c r="E16599" i="1"/>
  <c r="D16599" i="1"/>
  <c r="C16599" i="1"/>
  <c r="B16599" i="1"/>
  <c r="A16599" i="1"/>
  <c r="F16598" i="1"/>
  <c r="E16598" i="1"/>
  <c r="D16598" i="1"/>
  <c r="C16598" i="1"/>
  <c r="B16598" i="1"/>
  <c r="A16598" i="1"/>
  <c r="F16597" i="1"/>
  <c r="E16597" i="1"/>
  <c r="D16597" i="1"/>
  <c r="C16597" i="1"/>
  <c r="B16597" i="1"/>
  <c r="A16597" i="1"/>
  <c r="F16596" i="1"/>
  <c r="E16596" i="1"/>
  <c r="D16596" i="1"/>
  <c r="C16596" i="1"/>
  <c r="B16596" i="1"/>
  <c r="A16596" i="1"/>
  <c r="F16595" i="1"/>
  <c r="E16595" i="1"/>
  <c r="D16595" i="1"/>
  <c r="C16595" i="1"/>
  <c r="B16595" i="1"/>
  <c r="A16595" i="1"/>
  <c r="F16594" i="1"/>
  <c r="E16594" i="1"/>
  <c r="D16594" i="1"/>
  <c r="C16594" i="1"/>
  <c r="B16594" i="1"/>
  <c r="A16594" i="1"/>
  <c r="F16593" i="1"/>
  <c r="E16593" i="1"/>
  <c r="D16593" i="1"/>
  <c r="C16593" i="1"/>
  <c r="B16593" i="1"/>
  <c r="A16593" i="1"/>
  <c r="F16592" i="1"/>
  <c r="E16592" i="1"/>
  <c r="D16592" i="1"/>
  <c r="C16592" i="1"/>
  <c r="B16592" i="1"/>
  <c r="A16592" i="1"/>
  <c r="F16591" i="1"/>
  <c r="E16591" i="1"/>
  <c r="D16591" i="1"/>
  <c r="C16591" i="1"/>
  <c r="B16591" i="1"/>
  <c r="A16591" i="1"/>
  <c r="F16590" i="1"/>
  <c r="E16590" i="1"/>
  <c r="D16590" i="1"/>
  <c r="C16590" i="1"/>
  <c r="B16590" i="1"/>
  <c r="A16590" i="1"/>
  <c r="F16589" i="1"/>
  <c r="E16589" i="1"/>
  <c r="D16589" i="1"/>
  <c r="C16589" i="1"/>
  <c r="B16589" i="1"/>
  <c r="A16589" i="1"/>
  <c r="F16588" i="1"/>
  <c r="E16588" i="1"/>
  <c r="D16588" i="1"/>
  <c r="C16588" i="1"/>
  <c r="B16588" i="1"/>
  <c r="A16588" i="1"/>
  <c r="F16587" i="1"/>
  <c r="E16587" i="1"/>
  <c r="D16587" i="1"/>
  <c r="C16587" i="1"/>
  <c r="B16587" i="1"/>
  <c r="A16587" i="1"/>
  <c r="F16586" i="1"/>
  <c r="E16586" i="1"/>
  <c r="D16586" i="1"/>
  <c r="C16586" i="1"/>
  <c r="B16586" i="1"/>
  <c r="A16586" i="1"/>
  <c r="F16585" i="1"/>
  <c r="E16585" i="1"/>
  <c r="D16585" i="1"/>
  <c r="C16585" i="1"/>
  <c r="B16585" i="1"/>
  <c r="A16585" i="1"/>
  <c r="F16584" i="1"/>
  <c r="E16584" i="1"/>
  <c r="D16584" i="1"/>
  <c r="C16584" i="1"/>
  <c r="B16584" i="1"/>
  <c r="A16584" i="1"/>
  <c r="F16583" i="1"/>
  <c r="E16583" i="1"/>
  <c r="D16583" i="1"/>
  <c r="C16583" i="1"/>
  <c r="B16583" i="1"/>
  <c r="A16583" i="1"/>
  <c r="F16582" i="1"/>
  <c r="E16582" i="1"/>
  <c r="D16582" i="1"/>
  <c r="C16582" i="1"/>
  <c r="B16582" i="1"/>
  <c r="A16582" i="1"/>
  <c r="F16581" i="1"/>
  <c r="E16581" i="1"/>
  <c r="D16581" i="1"/>
  <c r="C16581" i="1"/>
  <c r="B16581" i="1"/>
  <c r="A16581" i="1"/>
  <c r="F16580" i="1"/>
  <c r="E16580" i="1"/>
  <c r="D16580" i="1"/>
  <c r="C16580" i="1"/>
  <c r="B16580" i="1"/>
  <c r="A16580" i="1"/>
  <c r="F16579" i="1"/>
  <c r="E16579" i="1"/>
  <c r="D16579" i="1"/>
  <c r="C16579" i="1"/>
  <c r="B16579" i="1"/>
  <c r="A16579" i="1"/>
  <c r="F16578" i="1"/>
  <c r="E16578" i="1"/>
  <c r="D16578" i="1"/>
  <c r="C16578" i="1"/>
  <c r="B16578" i="1"/>
  <c r="A16578" i="1"/>
  <c r="F16577" i="1"/>
  <c r="E16577" i="1"/>
  <c r="D16577" i="1"/>
  <c r="C16577" i="1"/>
  <c r="B16577" i="1"/>
  <c r="A16577" i="1"/>
  <c r="F16576" i="1"/>
  <c r="E16576" i="1"/>
  <c r="D16576" i="1"/>
  <c r="C16576" i="1"/>
  <c r="B16576" i="1"/>
  <c r="A16576" i="1"/>
  <c r="F16575" i="1"/>
  <c r="E16575" i="1"/>
  <c r="D16575" i="1"/>
  <c r="C16575" i="1"/>
  <c r="B16575" i="1"/>
  <c r="A16575" i="1"/>
  <c r="F16574" i="1"/>
  <c r="E16574" i="1"/>
  <c r="D16574" i="1"/>
  <c r="C16574" i="1"/>
  <c r="B16574" i="1"/>
  <c r="A16574" i="1"/>
  <c r="F16573" i="1"/>
  <c r="E16573" i="1"/>
  <c r="D16573" i="1"/>
  <c r="C16573" i="1"/>
  <c r="B16573" i="1"/>
  <c r="A16573" i="1"/>
  <c r="F16572" i="1"/>
  <c r="E16572" i="1"/>
  <c r="D16572" i="1"/>
  <c r="C16572" i="1"/>
  <c r="B16572" i="1"/>
  <c r="A16572" i="1"/>
  <c r="F16571" i="1"/>
  <c r="E16571" i="1"/>
  <c r="D16571" i="1"/>
  <c r="C16571" i="1"/>
  <c r="B16571" i="1"/>
  <c r="A16571" i="1"/>
  <c r="F16570" i="1"/>
  <c r="E16570" i="1"/>
  <c r="D16570" i="1"/>
  <c r="C16570" i="1"/>
  <c r="B16570" i="1"/>
  <c r="A16570" i="1"/>
  <c r="F16569" i="1"/>
  <c r="E16569" i="1"/>
  <c r="D16569" i="1"/>
  <c r="C16569" i="1"/>
  <c r="B16569" i="1"/>
  <c r="A16569" i="1"/>
  <c r="F16568" i="1"/>
  <c r="E16568" i="1"/>
  <c r="D16568" i="1"/>
  <c r="C16568" i="1"/>
  <c r="B16568" i="1"/>
  <c r="A16568" i="1"/>
  <c r="F16567" i="1"/>
  <c r="E16567" i="1"/>
  <c r="D16567" i="1"/>
  <c r="C16567" i="1"/>
  <c r="B16567" i="1"/>
  <c r="A16567" i="1"/>
  <c r="F16566" i="1"/>
  <c r="E16566" i="1"/>
  <c r="D16566" i="1"/>
  <c r="C16566" i="1"/>
  <c r="B16566" i="1"/>
  <c r="A16566" i="1"/>
  <c r="F16565" i="1"/>
  <c r="E16565" i="1"/>
  <c r="D16565" i="1"/>
  <c r="C16565" i="1"/>
  <c r="B16565" i="1"/>
  <c r="A16565" i="1"/>
  <c r="F16564" i="1"/>
  <c r="E16564" i="1"/>
  <c r="D16564" i="1"/>
  <c r="C16564" i="1"/>
  <c r="B16564" i="1"/>
  <c r="A16564" i="1"/>
  <c r="F16563" i="1"/>
  <c r="E16563" i="1"/>
  <c r="D16563" i="1"/>
  <c r="C16563" i="1"/>
  <c r="B16563" i="1"/>
  <c r="A16563" i="1"/>
  <c r="F16562" i="1"/>
  <c r="E16562" i="1"/>
  <c r="D16562" i="1"/>
  <c r="C16562" i="1"/>
  <c r="B16562" i="1"/>
  <c r="A16562" i="1"/>
  <c r="F16561" i="1"/>
  <c r="E16561" i="1"/>
  <c r="D16561" i="1"/>
  <c r="C16561" i="1"/>
  <c r="B16561" i="1"/>
  <c r="A16561" i="1"/>
  <c r="F16560" i="1"/>
  <c r="E16560" i="1"/>
  <c r="D16560" i="1"/>
  <c r="C16560" i="1"/>
  <c r="B16560" i="1"/>
  <c r="A16560" i="1"/>
  <c r="F16559" i="1"/>
  <c r="E16559" i="1"/>
  <c r="D16559" i="1"/>
  <c r="C16559" i="1"/>
  <c r="B16559" i="1"/>
  <c r="A16559" i="1"/>
  <c r="F16558" i="1"/>
  <c r="E16558" i="1"/>
  <c r="D16558" i="1"/>
  <c r="C16558" i="1"/>
  <c r="B16558" i="1"/>
  <c r="A16558" i="1"/>
  <c r="F16557" i="1"/>
  <c r="E16557" i="1"/>
  <c r="D16557" i="1"/>
  <c r="C16557" i="1"/>
  <c r="B16557" i="1"/>
  <c r="A16557" i="1"/>
  <c r="F16556" i="1"/>
  <c r="E16556" i="1"/>
  <c r="D16556" i="1"/>
  <c r="C16556" i="1"/>
  <c r="B16556" i="1"/>
  <c r="A16556" i="1"/>
  <c r="F16555" i="1"/>
  <c r="E16555" i="1"/>
  <c r="D16555" i="1"/>
  <c r="C16555" i="1"/>
  <c r="B16555" i="1"/>
  <c r="A16555" i="1"/>
  <c r="F16554" i="1"/>
  <c r="E16554" i="1"/>
  <c r="D16554" i="1"/>
  <c r="C16554" i="1"/>
  <c r="B16554" i="1"/>
  <c r="A16554" i="1"/>
  <c r="F16553" i="1"/>
  <c r="E16553" i="1"/>
  <c r="D16553" i="1"/>
  <c r="C16553" i="1"/>
  <c r="B16553" i="1"/>
  <c r="A16553" i="1"/>
  <c r="F16552" i="1"/>
  <c r="E16552" i="1"/>
  <c r="D16552" i="1"/>
  <c r="C16552" i="1"/>
  <c r="B16552" i="1"/>
  <c r="A16552" i="1"/>
  <c r="F16551" i="1"/>
  <c r="E16551" i="1"/>
  <c r="D16551" i="1"/>
  <c r="C16551" i="1"/>
  <c r="B16551" i="1"/>
  <c r="A16551" i="1"/>
  <c r="F16550" i="1"/>
  <c r="E16550" i="1"/>
  <c r="D16550" i="1"/>
  <c r="C16550" i="1"/>
  <c r="B16550" i="1"/>
  <c r="A16550" i="1"/>
  <c r="F16549" i="1"/>
  <c r="E16549" i="1"/>
  <c r="D16549" i="1"/>
  <c r="C16549" i="1"/>
  <c r="B16549" i="1"/>
  <c r="A16549" i="1"/>
  <c r="F16548" i="1"/>
  <c r="E16548" i="1"/>
  <c r="D16548" i="1"/>
  <c r="C16548" i="1"/>
  <c r="B16548" i="1"/>
  <c r="A16548" i="1"/>
  <c r="F16547" i="1"/>
  <c r="E16547" i="1"/>
  <c r="D16547" i="1"/>
  <c r="C16547" i="1"/>
  <c r="B16547" i="1"/>
  <c r="A16547" i="1"/>
  <c r="F16546" i="1"/>
  <c r="E16546" i="1"/>
  <c r="D16546" i="1"/>
  <c r="C16546" i="1"/>
  <c r="B16546" i="1"/>
  <c r="A16546" i="1"/>
  <c r="F16545" i="1"/>
  <c r="E16545" i="1"/>
  <c r="D16545" i="1"/>
  <c r="C16545" i="1"/>
  <c r="B16545" i="1"/>
  <c r="A16545" i="1"/>
  <c r="F16544" i="1"/>
  <c r="E16544" i="1"/>
  <c r="D16544" i="1"/>
  <c r="C16544" i="1"/>
  <c r="B16544" i="1"/>
  <c r="A16544" i="1"/>
  <c r="F16543" i="1"/>
  <c r="E16543" i="1"/>
  <c r="D16543" i="1"/>
  <c r="C16543" i="1"/>
  <c r="B16543" i="1"/>
  <c r="A16543" i="1"/>
  <c r="F16542" i="1"/>
  <c r="E16542" i="1"/>
  <c r="D16542" i="1"/>
  <c r="C16542" i="1"/>
  <c r="B16542" i="1"/>
  <c r="A16542" i="1"/>
  <c r="F16541" i="1"/>
  <c r="E16541" i="1"/>
  <c r="D16541" i="1"/>
  <c r="C16541" i="1"/>
  <c r="B16541" i="1"/>
  <c r="A16541" i="1"/>
  <c r="F16540" i="1"/>
  <c r="E16540" i="1"/>
  <c r="D16540" i="1"/>
  <c r="C16540" i="1"/>
  <c r="B16540" i="1"/>
  <c r="A16540" i="1"/>
  <c r="F16539" i="1"/>
  <c r="E16539" i="1"/>
  <c r="D16539" i="1"/>
  <c r="C16539" i="1"/>
  <c r="B16539" i="1"/>
  <c r="A16539" i="1"/>
  <c r="F16538" i="1"/>
  <c r="E16538" i="1"/>
  <c r="D16538" i="1"/>
  <c r="C16538" i="1"/>
  <c r="B16538" i="1"/>
  <c r="A16538" i="1"/>
  <c r="F16537" i="1"/>
  <c r="E16537" i="1"/>
  <c r="D16537" i="1"/>
  <c r="C16537" i="1"/>
  <c r="B16537" i="1"/>
  <c r="A16537" i="1"/>
  <c r="F16536" i="1"/>
  <c r="E16536" i="1"/>
  <c r="D16536" i="1"/>
  <c r="C16536" i="1"/>
  <c r="B16536" i="1"/>
  <c r="A16536" i="1"/>
  <c r="F16535" i="1"/>
  <c r="E16535" i="1"/>
  <c r="D16535" i="1"/>
  <c r="C16535" i="1"/>
  <c r="B16535" i="1"/>
  <c r="A16535" i="1"/>
  <c r="F16534" i="1"/>
  <c r="E16534" i="1"/>
  <c r="D16534" i="1"/>
  <c r="C16534" i="1"/>
  <c r="B16534" i="1"/>
  <c r="A16534" i="1"/>
  <c r="F16533" i="1"/>
  <c r="E16533" i="1"/>
  <c r="D16533" i="1"/>
  <c r="C16533" i="1"/>
  <c r="B16533" i="1"/>
  <c r="A16533" i="1"/>
  <c r="F16532" i="1"/>
  <c r="E16532" i="1"/>
  <c r="D16532" i="1"/>
  <c r="C16532" i="1"/>
  <c r="B16532" i="1"/>
  <c r="A16532" i="1"/>
  <c r="F16531" i="1"/>
  <c r="E16531" i="1"/>
  <c r="D16531" i="1"/>
  <c r="C16531" i="1"/>
  <c r="B16531" i="1"/>
  <c r="A16531" i="1"/>
  <c r="F16530" i="1"/>
  <c r="E16530" i="1"/>
  <c r="D16530" i="1"/>
  <c r="C16530" i="1"/>
  <c r="B16530" i="1"/>
  <c r="A16530" i="1"/>
  <c r="F16529" i="1"/>
  <c r="E16529" i="1"/>
  <c r="D16529" i="1"/>
  <c r="C16529" i="1"/>
  <c r="B16529" i="1"/>
  <c r="A16529" i="1"/>
  <c r="F16528" i="1"/>
  <c r="E16528" i="1"/>
  <c r="D16528" i="1"/>
  <c r="C16528" i="1"/>
  <c r="B16528" i="1"/>
  <c r="A16528" i="1"/>
  <c r="F16527" i="1"/>
  <c r="E16527" i="1"/>
  <c r="D16527" i="1"/>
  <c r="C16527" i="1"/>
  <c r="B16527" i="1"/>
  <c r="A16527" i="1"/>
  <c r="F16526" i="1"/>
  <c r="E16526" i="1"/>
  <c r="D16526" i="1"/>
  <c r="C16526" i="1"/>
  <c r="B16526" i="1"/>
  <c r="A16526" i="1"/>
  <c r="F16525" i="1"/>
  <c r="E16525" i="1"/>
  <c r="D16525" i="1"/>
  <c r="C16525" i="1"/>
  <c r="B16525" i="1"/>
  <c r="A16525" i="1"/>
  <c r="F16524" i="1"/>
  <c r="E16524" i="1"/>
  <c r="D16524" i="1"/>
  <c r="C16524" i="1"/>
  <c r="B16524" i="1"/>
  <c r="A16524" i="1"/>
  <c r="F16523" i="1"/>
  <c r="E16523" i="1"/>
  <c r="D16523" i="1"/>
  <c r="C16523" i="1"/>
  <c r="B16523" i="1"/>
  <c r="A16523" i="1"/>
  <c r="F16522" i="1"/>
  <c r="E16522" i="1"/>
  <c r="D16522" i="1"/>
  <c r="C16522" i="1"/>
  <c r="B16522" i="1"/>
  <c r="A16522" i="1"/>
  <c r="F16521" i="1"/>
  <c r="E16521" i="1"/>
  <c r="D16521" i="1"/>
  <c r="C16521" i="1"/>
  <c r="B16521" i="1"/>
  <c r="A16521" i="1"/>
  <c r="F16520" i="1"/>
  <c r="E16520" i="1"/>
  <c r="D16520" i="1"/>
  <c r="C16520" i="1"/>
  <c r="B16520" i="1"/>
  <c r="A16520" i="1"/>
  <c r="F16519" i="1"/>
  <c r="E16519" i="1"/>
  <c r="D16519" i="1"/>
  <c r="C16519" i="1"/>
  <c r="B16519" i="1"/>
  <c r="A16519" i="1"/>
  <c r="F16518" i="1"/>
  <c r="E16518" i="1"/>
  <c r="D16518" i="1"/>
  <c r="C16518" i="1"/>
  <c r="B16518" i="1"/>
  <c r="A16518" i="1"/>
  <c r="F16517" i="1"/>
  <c r="E16517" i="1"/>
  <c r="D16517" i="1"/>
  <c r="C16517" i="1"/>
  <c r="B16517" i="1"/>
  <c r="A16517" i="1"/>
  <c r="F16516" i="1"/>
  <c r="E16516" i="1"/>
  <c r="D16516" i="1"/>
  <c r="C16516" i="1"/>
  <c r="B16516" i="1"/>
  <c r="A16516" i="1"/>
  <c r="F16515" i="1"/>
  <c r="E16515" i="1"/>
  <c r="D16515" i="1"/>
  <c r="C16515" i="1"/>
  <c r="B16515" i="1"/>
  <c r="A16515" i="1"/>
  <c r="F16514" i="1"/>
  <c r="E16514" i="1"/>
  <c r="D16514" i="1"/>
  <c r="C16514" i="1"/>
  <c r="B16514" i="1"/>
  <c r="A16514" i="1"/>
  <c r="F16513" i="1"/>
  <c r="E16513" i="1"/>
  <c r="D16513" i="1"/>
  <c r="C16513" i="1"/>
  <c r="B16513" i="1"/>
  <c r="A16513" i="1"/>
  <c r="F16512" i="1"/>
  <c r="E16512" i="1"/>
  <c r="D16512" i="1"/>
  <c r="C16512" i="1"/>
  <c r="B16512" i="1"/>
  <c r="A16512" i="1"/>
  <c r="F16511" i="1"/>
  <c r="E16511" i="1"/>
  <c r="D16511" i="1"/>
  <c r="C16511" i="1"/>
  <c r="B16511" i="1"/>
  <c r="A16511" i="1"/>
  <c r="F16510" i="1"/>
  <c r="E16510" i="1"/>
  <c r="D16510" i="1"/>
  <c r="C16510" i="1"/>
  <c r="B16510" i="1"/>
  <c r="A16510" i="1"/>
  <c r="F16509" i="1"/>
  <c r="E16509" i="1"/>
  <c r="D16509" i="1"/>
  <c r="C16509" i="1"/>
  <c r="B16509" i="1"/>
  <c r="A16509" i="1"/>
  <c r="F16508" i="1"/>
  <c r="E16508" i="1"/>
  <c r="D16508" i="1"/>
  <c r="C16508" i="1"/>
  <c r="B16508" i="1"/>
  <c r="A16508" i="1"/>
  <c r="F16507" i="1"/>
  <c r="E16507" i="1"/>
  <c r="D16507" i="1"/>
  <c r="C16507" i="1"/>
  <c r="B16507" i="1"/>
  <c r="A16507" i="1"/>
  <c r="F16506" i="1"/>
  <c r="E16506" i="1"/>
  <c r="D16506" i="1"/>
  <c r="C16506" i="1"/>
  <c r="B16506" i="1"/>
  <c r="A16506" i="1"/>
  <c r="F16505" i="1"/>
  <c r="E16505" i="1"/>
  <c r="D16505" i="1"/>
  <c r="C16505" i="1"/>
  <c r="B16505" i="1"/>
  <c r="A16505" i="1"/>
  <c r="F16504" i="1"/>
  <c r="E16504" i="1"/>
  <c r="D16504" i="1"/>
  <c r="C16504" i="1"/>
  <c r="B16504" i="1"/>
  <c r="A16504" i="1"/>
  <c r="F16503" i="1"/>
  <c r="E16503" i="1"/>
  <c r="D16503" i="1"/>
  <c r="C16503" i="1"/>
  <c r="B16503" i="1"/>
  <c r="A16503" i="1"/>
  <c r="F16502" i="1"/>
  <c r="E16502" i="1"/>
  <c r="D16502" i="1"/>
  <c r="C16502" i="1"/>
  <c r="B16502" i="1"/>
  <c r="A16502" i="1"/>
  <c r="F16501" i="1"/>
  <c r="E16501" i="1"/>
  <c r="D16501" i="1"/>
  <c r="C16501" i="1"/>
  <c r="B16501" i="1"/>
  <c r="A16501" i="1"/>
  <c r="F16500" i="1"/>
  <c r="E16500" i="1"/>
  <c r="D16500" i="1"/>
  <c r="C16500" i="1"/>
  <c r="B16500" i="1"/>
  <c r="A16500" i="1"/>
  <c r="F16499" i="1"/>
  <c r="E16499" i="1"/>
  <c r="D16499" i="1"/>
  <c r="C16499" i="1"/>
  <c r="B16499" i="1"/>
  <c r="A16499" i="1"/>
  <c r="F16498" i="1"/>
  <c r="E16498" i="1"/>
  <c r="D16498" i="1"/>
  <c r="C16498" i="1"/>
  <c r="B16498" i="1"/>
  <c r="A16498" i="1"/>
  <c r="F16497" i="1"/>
  <c r="E16497" i="1"/>
  <c r="D16497" i="1"/>
  <c r="C16497" i="1"/>
  <c r="B16497" i="1"/>
  <c r="A16497" i="1"/>
  <c r="F16496" i="1"/>
  <c r="E16496" i="1"/>
  <c r="D16496" i="1"/>
  <c r="C16496" i="1"/>
  <c r="B16496" i="1"/>
  <c r="A16496" i="1"/>
  <c r="F16495" i="1"/>
  <c r="E16495" i="1"/>
  <c r="D16495" i="1"/>
  <c r="C16495" i="1"/>
  <c r="B16495" i="1"/>
  <c r="A16495" i="1"/>
  <c r="F16494" i="1"/>
  <c r="E16494" i="1"/>
  <c r="D16494" i="1"/>
  <c r="C16494" i="1"/>
  <c r="B16494" i="1"/>
  <c r="A16494" i="1"/>
  <c r="F16493" i="1"/>
  <c r="E16493" i="1"/>
  <c r="D16493" i="1"/>
  <c r="C16493" i="1"/>
  <c r="B16493" i="1"/>
  <c r="A16493" i="1"/>
  <c r="F16492" i="1"/>
  <c r="E16492" i="1"/>
  <c r="D16492" i="1"/>
  <c r="C16492" i="1"/>
  <c r="B16492" i="1"/>
  <c r="A16492" i="1"/>
  <c r="F16491" i="1"/>
  <c r="E16491" i="1"/>
  <c r="D16491" i="1"/>
  <c r="C16491" i="1"/>
  <c r="B16491" i="1"/>
  <c r="A16491" i="1"/>
  <c r="F16490" i="1"/>
  <c r="E16490" i="1"/>
  <c r="D16490" i="1"/>
  <c r="C16490" i="1"/>
  <c r="B16490" i="1"/>
  <c r="A16490" i="1"/>
  <c r="F16489" i="1"/>
  <c r="E16489" i="1"/>
  <c r="D16489" i="1"/>
  <c r="C16489" i="1"/>
  <c r="B16489" i="1"/>
  <c r="A16489" i="1"/>
  <c r="F16488" i="1"/>
  <c r="E16488" i="1"/>
  <c r="D16488" i="1"/>
  <c r="C16488" i="1"/>
  <c r="B16488" i="1"/>
  <c r="A16488" i="1"/>
  <c r="F16487" i="1"/>
  <c r="E16487" i="1"/>
  <c r="D16487" i="1"/>
  <c r="C16487" i="1"/>
  <c r="B16487" i="1"/>
  <c r="A16487" i="1"/>
  <c r="F16486" i="1"/>
  <c r="E16486" i="1"/>
  <c r="D16486" i="1"/>
  <c r="C16486" i="1"/>
  <c r="B16486" i="1"/>
  <c r="A16486" i="1"/>
  <c r="F16485" i="1"/>
  <c r="E16485" i="1"/>
  <c r="D16485" i="1"/>
  <c r="C16485" i="1"/>
  <c r="B16485" i="1"/>
  <c r="A16485" i="1"/>
  <c r="F16484" i="1"/>
  <c r="E16484" i="1"/>
  <c r="D16484" i="1"/>
  <c r="C16484" i="1"/>
  <c r="B16484" i="1"/>
  <c r="A16484" i="1"/>
  <c r="F16483" i="1"/>
  <c r="E16483" i="1"/>
  <c r="D16483" i="1"/>
  <c r="C16483" i="1"/>
  <c r="B16483" i="1"/>
  <c r="A16483" i="1"/>
  <c r="F16482" i="1"/>
  <c r="E16482" i="1"/>
  <c r="D16482" i="1"/>
  <c r="C16482" i="1"/>
  <c r="B16482" i="1"/>
  <c r="A16482" i="1"/>
  <c r="F16481" i="1"/>
  <c r="E16481" i="1"/>
  <c r="D16481" i="1"/>
  <c r="C16481" i="1"/>
  <c r="B16481" i="1"/>
  <c r="A16481" i="1"/>
  <c r="F16480" i="1"/>
  <c r="E16480" i="1"/>
  <c r="D16480" i="1"/>
  <c r="C16480" i="1"/>
  <c r="B16480" i="1"/>
  <c r="A16480" i="1"/>
  <c r="F16479" i="1"/>
  <c r="E16479" i="1"/>
  <c r="D16479" i="1"/>
  <c r="C16479" i="1"/>
  <c r="B16479" i="1"/>
  <c r="A16479" i="1"/>
  <c r="F16478" i="1"/>
  <c r="E16478" i="1"/>
  <c r="D16478" i="1"/>
  <c r="C16478" i="1"/>
  <c r="B16478" i="1"/>
  <c r="A16478" i="1"/>
  <c r="F16477" i="1"/>
  <c r="E16477" i="1"/>
  <c r="D16477" i="1"/>
  <c r="C16477" i="1"/>
  <c r="B16477" i="1"/>
  <c r="A16477" i="1"/>
  <c r="F16476" i="1"/>
  <c r="E16476" i="1"/>
  <c r="D16476" i="1"/>
  <c r="C16476" i="1"/>
  <c r="B16476" i="1"/>
  <c r="A16476" i="1"/>
  <c r="F16475" i="1"/>
  <c r="E16475" i="1"/>
  <c r="D16475" i="1"/>
  <c r="C16475" i="1"/>
  <c r="B16475" i="1"/>
  <c r="A16475" i="1"/>
  <c r="F16474" i="1"/>
  <c r="E16474" i="1"/>
  <c r="D16474" i="1"/>
  <c r="C16474" i="1"/>
  <c r="B16474" i="1"/>
  <c r="A16474" i="1"/>
  <c r="F16473" i="1"/>
  <c r="E16473" i="1"/>
  <c r="D16473" i="1"/>
  <c r="C16473" i="1"/>
  <c r="B16473" i="1"/>
  <c r="A16473" i="1"/>
  <c r="F16472" i="1"/>
  <c r="E16472" i="1"/>
  <c r="D16472" i="1"/>
  <c r="C16472" i="1"/>
  <c r="B16472" i="1"/>
  <c r="A16472" i="1"/>
  <c r="F16471" i="1"/>
  <c r="E16471" i="1"/>
  <c r="D16471" i="1"/>
  <c r="C16471" i="1"/>
  <c r="B16471" i="1"/>
  <c r="A16471" i="1"/>
  <c r="F16470" i="1"/>
  <c r="E16470" i="1"/>
  <c r="D16470" i="1"/>
  <c r="C16470" i="1"/>
  <c r="B16470" i="1"/>
  <c r="A16470" i="1"/>
  <c r="F16469" i="1"/>
  <c r="E16469" i="1"/>
  <c r="D16469" i="1"/>
  <c r="C16469" i="1"/>
  <c r="B16469" i="1"/>
  <c r="A16469" i="1"/>
  <c r="F16468" i="1"/>
  <c r="E16468" i="1"/>
  <c r="D16468" i="1"/>
  <c r="C16468" i="1"/>
  <c r="B16468" i="1"/>
  <c r="A16468" i="1"/>
  <c r="F16467" i="1"/>
  <c r="E16467" i="1"/>
  <c r="D16467" i="1"/>
  <c r="C16467" i="1"/>
  <c r="B16467" i="1"/>
  <c r="A16467" i="1"/>
  <c r="F16466" i="1"/>
  <c r="E16466" i="1"/>
  <c r="D16466" i="1"/>
  <c r="C16466" i="1"/>
  <c r="B16466" i="1"/>
  <c r="A16466" i="1"/>
  <c r="F16465" i="1"/>
  <c r="E16465" i="1"/>
  <c r="D16465" i="1"/>
  <c r="C16465" i="1"/>
  <c r="B16465" i="1"/>
  <c r="A16465" i="1"/>
  <c r="F16464" i="1"/>
  <c r="E16464" i="1"/>
  <c r="D16464" i="1"/>
  <c r="C16464" i="1"/>
  <c r="B16464" i="1"/>
  <c r="A16464" i="1"/>
  <c r="F16463" i="1"/>
  <c r="E16463" i="1"/>
  <c r="D16463" i="1"/>
  <c r="C16463" i="1"/>
  <c r="B16463" i="1"/>
  <c r="A16463" i="1"/>
  <c r="F16462" i="1"/>
  <c r="E16462" i="1"/>
  <c r="D16462" i="1"/>
  <c r="C16462" i="1"/>
  <c r="B16462" i="1"/>
  <c r="A16462" i="1"/>
  <c r="F16461" i="1"/>
  <c r="E16461" i="1"/>
  <c r="D16461" i="1"/>
  <c r="C16461" i="1"/>
  <c r="B16461" i="1"/>
  <c r="A16461" i="1"/>
  <c r="F16460" i="1"/>
  <c r="E16460" i="1"/>
  <c r="D16460" i="1"/>
  <c r="C16460" i="1"/>
  <c r="B16460" i="1"/>
  <c r="A16460" i="1"/>
  <c r="F16459" i="1"/>
  <c r="E16459" i="1"/>
  <c r="D16459" i="1"/>
  <c r="C16459" i="1"/>
  <c r="B16459" i="1"/>
  <c r="A16459" i="1"/>
  <c r="F16458" i="1"/>
  <c r="E16458" i="1"/>
  <c r="D16458" i="1"/>
  <c r="C16458" i="1"/>
  <c r="B16458" i="1"/>
  <c r="A16458" i="1"/>
  <c r="F16457" i="1"/>
  <c r="E16457" i="1"/>
  <c r="D16457" i="1"/>
  <c r="C16457" i="1"/>
  <c r="B16457" i="1"/>
  <c r="A16457" i="1"/>
  <c r="F16456" i="1"/>
  <c r="E16456" i="1"/>
  <c r="D16456" i="1"/>
  <c r="C16456" i="1"/>
  <c r="B16456" i="1"/>
  <c r="A16456" i="1"/>
  <c r="F16455" i="1"/>
  <c r="E16455" i="1"/>
  <c r="D16455" i="1"/>
  <c r="C16455" i="1"/>
  <c r="B16455" i="1"/>
  <c r="A16455" i="1"/>
  <c r="F16454" i="1"/>
  <c r="E16454" i="1"/>
  <c r="D16454" i="1"/>
  <c r="C16454" i="1"/>
  <c r="B16454" i="1"/>
  <c r="A16454" i="1"/>
  <c r="F16453" i="1"/>
  <c r="E16453" i="1"/>
  <c r="D16453" i="1"/>
  <c r="C16453" i="1"/>
  <c r="B16453" i="1"/>
  <c r="A16453" i="1"/>
  <c r="F16452" i="1"/>
  <c r="E16452" i="1"/>
  <c r="D16452" i="1"/>
  <c r="C16452" i="1"/>
  <c r="B16452" i="1"/>
  <c r="A16452" i="1"/>
  <c r="F16451" i="1"/>
  <c r="E16451" i="1"/>
  <c r="D16451" i="1"/>
  <c r="C16451" i="1"/>
  <c r="B16451" i="1"/>
  <c r="A16451" i="1"/>
  <c r="F16450" i="1"/>
  <c r="E16450" i="1"/>
  <c r="D16450" i="1"/>
  <c r="C16450" i="1"/>
  <c r="B16450" i="1"/>
  <c r="A16450" i="1"/>
  <c r="F16449" i="1"/>
  <c r="E16449" i="1"/>
  <c r="D16449" i="1"/>
  <c r="C16449" i="1"/>
  <c r="B16449" i="1"/>
  <c r="A16449" i="1"/>
  <c r="F16448" i="1"/>
  <c r="E16448" i="1"/>
  <c r="D16448" i="1"/>
  <c r="C16448" i="1"/>
  <c r="B16448" i="1"/>
  <c r="A16448" i="1"/>
  <c r="F16447" i="1"/>
  <c r="E16447" i="1"/>
  <c r="D16447" i="1"/>
  <c r="C16447" i="1"/>
  <c r="B16447" i="1"/>
  <c r="A16447" i="1"/>
  <c r="F16446" i="1"/>
  <c r="E16446" i="1"/>
  <c r="D16446" i="1"/>
  <c r="C16446" i="1"/>
  <c r="B16446" i="1"/>
  <c r="A16446" i="1"/>
  <c r="F16445" i="1"/>
  <c r="E16445" i="1"/>
  <c r="D16445" i="1"/>
  <c r="C16445" i="1"/>
  <c r="B16445" i="1"/>
  <c r="A16445" i="1"/>
  <c r="F16444" i="1"/>
  <c r="E16444" i="1"/>
  <c r="D16444" i="1"/>
  <c r="C16444" i="1"/>
  <c r="B16444" i="1"/>
  <c r="A16444" i="1"/>
  <c r="F16443" i="1"/>
  <c r="E16443" i="1"/>
  <c r="D16443" i="1"/>
  <c r="C16443" i="1"/>
  <c r="B16443" i="1"/>
  <c r="A16443" i="1"/>
  <c r="F16442" i="1"/>
  <c r="E16442" i="1"/>
  <c r="D16442" i="1"/>
  <c r="C16442" i="1"/>
  <c r="B16442" i="1"/>
  <c r="A16442" i="1"/>
  <c r="F16441" i="1"/>
  <c r="E16441" i="1"/>
  <c r="D16441" i="1"/>
  <c r="C16441" i="1"/>
  <c r="B16441" i="1"/>
  <c r="A16441" i="1"/>
  <c r="F16440" i="1"/>
  <c r="E16440" i="1"/>
  <c r="D16440" i="1"/>
  <c r="C16440" i="1"/>
  <c r="B16440" i="1"/>
  <c r="A16440" i="1"/>
  <c r="F16439" i="1"/>
  <c r="E16439" i="1"/>
  <c r="D16439" i="1"/>
  <c r="C16439" i="1"/>
  <c r="B16439" i="1"/>
  <c r="A16439" i="1"/>
  <c r="F16438" i="1"/>
  <c r="E16438" i="1"/>
  <c r="D16438" i="1"/>
  <c r="C16438" i="1"/>
  <c r="B16438" i="1"/>
  <c r="A16438" i="1"/>
  <c r="F16437" i="1"/>
  <c r="E16437" i="1"/>
  <c r="D16437" i="1"/>
  <c r="C16437" i="1"/>
  <c r="B16437" i="1"/>
  <c r="A16437" i="1"/>
  <c r="F16436" i="1"/>
  <c r="E16436" i="1"/>
  <c r="D16436" i="1"/>
  <c r="C16436" i="1"/>
  <c r="B16436" i="1"/>
  <c r="A16436" i="1"/>
  <c r="F16435" i="1"/>
  <c r="E16435" i="1"/>
  <c r="D16435" i="1"/>
  <c r="C16435" i="1"/>
  <c r="B16435" i="1"/>
  <c r="A16435" i="1"/>
  <c r="F16434" i="1"/>
  <c r="E16434" i="1"/>
  <c r="D16434" i="1"/>
  <c r="C16434" i="1"/>
  <c r="B16434" i="1"/>
  <c r="A16434" i="1"/>
  <c r="F16433" i="1"/>
  <c r="E16433" i="1"/>
  <c r="D16433" i="1"/>
  <c r="C16433" i="1"/>
  <c r="B16433" i="1"/>
  <c r="A16433" i="1"/>
  <c r="F16432" i="1"/>
  <c r="E16432" i="1"/>
  <c r="D16432" i="1"/>
  <c r="C16432" i="1"/>
  <c r="B16432" i="1"/>
  <c r="A16432" i="1"/>
  <c r="F16431" i="1"/>
  <c r="E16431" i="1"/>
  <c r="D16431" i="1"/>
  <c r="C16431" i="1"/>
  <c r="B16431" i="1"/>
  <c r="A16431" i="1"/>
  <c r="F16430" i="1"/>
  <c r="E16430" i="1"/>
  <c r="D16430" i="1"/>
  <c r="C16430" i="1"/>
  <c r="B16430" i="1"/>
  <c r="A16430" i="1"/>
  <c r="F16429" i="1"/>
  <c r="E16429" i="1"/>
  <c r="D16429" i="1"/>
  <c r="C16429" i="1"/>
  <c r="B16429" i="1"/>
  <c r="A16429" i="1"/>
  <c r="F16428" i="1"/>
  <c r="E16428" i="1"/>
  <c r="D16428" i="1"/>
  <c r="C16428" i="1"/>
  <c r="B16428" i="1"/>
  <c r="A16428" i="1"/>
  <c r="F16427" i="1"/>
  <c r="E16427" i="1"/>
  <c r="D16427" i="1"/>
  <c r="C16427" i="1"/>
  <c r="B16427" i="1"/>
  <c r="A16427" i="1"/>
  <c r="F16426" i="1"/>
  <c r="E16426" i="1"/>
  <c r="D16426" i="1"/>
  <c r="C16426" i="1"/>
  <c r="B16426" i="1"/>
  <c r="A16426" i="1"/>
  <c r="F16425" i="1"/>
  <c r="E16425" i="1"/>
  <c r="D16425" i="1"/>
  <c r="C16425" i="1"/>
  <c r="B16425" i="1"/>
  <c r="A16425" i="1"/>
  <c r="F16424" i="1"/>
  <c r="E16424" i="1"/>
  <c r="D16424" i="1"/>
  <c r="C16424" i="1"/>
  <c r="B16424" i="1"/>
  <c r="A16424" i="1"/>
  <c r="F16423" i="1"/>
  <c r="E16423" i="1"/>
  <c r="D16423" i="1"/>
  <c r="C16423" i="1"/>
  <c r="B16423" i="1"/>
  <c r="A16423" i="1"/>
  <c r="F16422" i="1"/>
  <c r="E16422" i="1"/>
  <c r="D16422" i="1"/>
  <c r="C16422" i="1"/>
  <c r="B16422" i="1"/>
  <c r="A16422" i="1"/>
  <c r="F16421" i="1"/>
  <c r="E16421" i="1"/>
  <c r="D16421" i="1"/>
  <c r="C16421" i="1"/>
  <c r="B16421" i="1"/>
  <c r="A16421" i="1"/>
  <c r="F16420" i="1"/>
  <c r="E16420" i="1"/>
  <c r="D16420" i="1"/>
  <c r="C16420" i="1"/>
  <c r="B16420" i="1"/>
  <c r="A16420" i="1"/>
  <c r="F16419" i="1"/>
  <c r="E16419" i="1"/>
  <c r="D16419" i="1"/>
  <c r="C16419" i="1"/>
  <c r="B16419" i="1"/>
  <c r="A16419" i="1"/>
  <c r="F16418" i="1"/>
  <c r="E16418" i="1"/>
  <c r="D16418" i="1"/>
  <c r="C16418" i="1"/>
  <c r="B16418" i="1"/>
  <c r="A16418" i="1"/>
  <c r="F16417" i="1"/>
  <c r="E16417" i="1"/>
  <c r="D16417" i="1"/>
  <c r="C16417" i="1"/>
  <c r="B16417" i="1"/>
  <c r="A16417" i="1"/>
  <c r="F16416" i="1"/>
  <c r="E16416" i="1"/>
  <c r="D16416" i="1"/>
  <c r="C16416" i="1"/>
  <c r="B16416" i="1"/>
  <c r="A16416" i="1"/>
  <c r="F16415" i="1"/>
  <c r="E16415" i="1"/>
  <c r="D16415" i="1"/>
  <c r="C16415" i="1"/>
  <c r="B16415" i="1"/>
  <c r="A16415" i="1"/>
  <c r="F16414" i="1"/>
  <c r="E16414" i="1"/>
  <c r="D16414" i="1"/>
  <c r="C16414" i="1"/>
  <c r="B16414" i="1"/>
  <c r="A16414" i="1"/>
  <c r="F16413" i="1"/>
  <c r="E16413" i="1"/>
  <c r="D16413" i="1"/>
  <c r="C16413" i="1"/>
  <c r="B16413" i="1"/>
  <c r="A16413" i="1"/>
  <c r="F16412" i="1"/>
  <c r="E16412" i="1"/>
  <c r="D16412" i="1"/>
  <c r="C16412" i="1"/>
  <c r="B16412" i="1"/>
  <c r="A16412" i="1"/>
  <c r="F16411" i="1"/>
  <c r="E16411" i="1"/>
  <c r="D16411" i="1"/>
  <c r="C16411" i="1"/>
  <c r="B16411" i="1"/>
  <c r="A16411" i="1"/>
  <c r="F16410" i="1"/>
  <c r="E16410" i="1"/>
  <c r="D16410" i="1"/>
  <c r="C16410" i="1"/>
  <c r="B16410" i="1"/>
  <c r="A16410" i="1"/>
  <c r="F16409" i="1"/>
  <c r="E16409" i="1"/>
  <c r="D16409" i="1"/>
  <c r="C16409" i="1"/>
  <c r="B16409" i="1"/>
  <c r="A16409" i="1"/>
  <c r="F16408" i="1"/>
  <c r="E16408" i="1"/>
  <c r="D16408" i="1"/>
  <c r="C16408" i="1"/>
  <c r="B16408" i="1"/>
  <c r="A16408" i="1"/>
  <c r="F16407" i="1"/>
  <c r="E16407" i="1"/>
  <c r="D16407" i="1"/>
  <c r="C16407" i="1"/>
  <c r="B16407" i="1"/>
  <c r="A16407" i="1"/>
  <c r="F16406" i="1"/>
  <c r="E16406" i="1"/>
  <c r="D16406" i="1"/>
  <c r="C16406" i="1"/>
  <c r="B16406" i="1"/>
  <c r="A16406" i="1"/>
  <c r="F16405" i="1"/>
  <c r="E16405" i="1"/>
  <c r="D16405" i="1"/>
  <c r="C16405" i="1"/>
  <c r="B16405" i="1"/>
  <c r="A16405" i="1"/>
  <c r="F16404" i="1"/>
  <c r="E16404" i="1"/>
  <c r="D16404" i="1"/>
  <c r="C16404" i="1"/>
  <c r="B16404" i="1"/>
  <c r="A16404" i="1"/>
  <c r="F16403" i="1"/>
  <c r="E16403" i="1"/>
  <c r="D16403" i="1"/>
  <c r="C16403" i="1"/>
  <c r="B16403" i="1"/>
  <c r="A16403" i="1"/>
  <c r="F16402" i="1"/>
  <c r="E16402" i="1"/>
  <c r="D16402" i="1"/>
  <c r="C16402" i="1"/>
  <c r="B16402" i="1"/>
  <c r="A16402" i="1"/>
  <c r="F16401" i="1"/>
  <c r="E16401" i="1"/>
  <c r="D16401" i="1"/>
  <c r="C16401" i="1"/>
  <c r="B16401" i="1"/>
  <c r="A16401" i="1"/>
  <c r="F16400" i="1"/>
  <c r="E16400" i="1"/>
  <c r="D16400" i="1"/>
  <c r="C16400" i="1"/>
  <c r="B16400" i="1"/>
  <c r="A16400" i="1"/>
  <c r="F16399" i="1"/>
  <c r="E16399" i="1"/>
  <c r="D16399" i="1"/>
  <c r="C16399" i="1"/>
  <c r="B16399" i="1"/>
  <c r="A16399" i="1"/>
  <c r="F16398" i="1"/>
  <c r="E16398" i="1"/>
  <c r="D16398" i="1"/>
  <c r="C16398" i="1"/>
  <c r="B16398" i="1"/>
  <c r="A16398" i="1"/>
  <c r="F16397" i="1"/>
  <c r="E16397" i="1"/>
  <c r="D16397" i="1"/>
  <c r="C16397" i="1"/>
  <c r="B16397" i="1"/>
  <c r="A16397" i="1"/>
  <c r="F16396" i="1"/>
  <c r="E16396" i="1"/>
  <c r="D16396" i="1"/>
  <c r="C16396" i="1"/>
  <c r="B16396" i="1"/>
  <c r="A16396" i="1"/>
  <c r="F16395" i="1"/>
  <c r="E16395" i="1"/>
  <c r="D16395" i="1"/>
  <c r="C16395" i="1"/>
  <c r="B16395" i="1"/>
  <c r="A16395" i="1"/>
  <c r="F16394" i="1"/>
  <c r="E16394" i="1"/>
  <c r="D16394" i="1"/>
  <c r="C16394" i="1"/>
  <c r="B16394" i="1"/>
  <c r="A16394" i="1"/>
  <c r="F16393" i="1"/>
  <c r="E16393" i="1"/>
  <c r="D16393" i="1"/>
  <c r="C16393" i="1"/>
  <c r="B16393" i="1"/>
  <c r="A16393" i="1"/>
  <c r="F16392" i="1"/>
  <c r="E16392" i="1"/>
  <c r="D16392" i="1"/>
  <c r="C16392" i="1"/>
  <c r="B16392" i="1"/>
  <c r="A16392" i="1"/>
  <c r="F16391" i="1"/>
  <c r="E16391" i="1"/>
  <c r="D16391" i="1"/>
  <c r="C16391" i="1"/>
  <c r="B16391" i="1"/>
  <c r="A16391" i="1"/>
  <c r="F16390" i="1"/>
  <c r="E16390" i="1"/>
  <c r="D16390" i="1"/>
  <c r="C16390" i="1"/>
  <c r="B16390" i="1"/>
  <c r="A16390" i="1"/>
  <c r="F16389" i="1"/>
  <c r="E16389" i="1"/>
  <c r="D16389" i="1"/>
  <c r="C16389" i="1"/>
  <c r="B16389" i="1"/>
  <c r="A16389" i="1"/>
  <c r="F16388" i="1"/>
  <c r="E16388" i="1"/>
  <c r="D16388" i="1"/>
  <c r="C16388" i="1"/>
  <c r="B16388" i="1"/>
  <c r="A16388" i="1"/>
  <c r="F16387" i="1"/>
  <c r="E16387" i="1"/>
  <c r="D16387" i="1"/>
  <c r="C16387" i="1"/>
  <c r="B16387" i="1"/>
  <c r="A16387" i="1"/>
  <c r="F16386" i="1"/>
  <c r="E16386" i="1"/>
  <c r="D16386" i="1"/>
  <c r="C16386" i="1"/>
  <c r="B16386" i="1"/>
  <c r="A16386" i="1"/>
  <c r="F16385" i="1"/>
  <c r="E16385" i="1"/>
  <c r="D16385" i="1"/>
  <c r="C16385" i="1"/>
  <c r="B16385" i="1"/>
  <c r="A16385" i="1"/>
  <c r="F16384" i="1"/>
  <c r="E16384" i="1"/>
  <c r="D16384" i="1"/>
  <c r="C16384" i="1"/>
  <c r="B16384" i="1"/>
  <c r="A16384" i="1"/>
  <c r="F16383" i="1"/>
  <c r="E16383" i="1"/>
  <c r="D16383" i="1"/>
  <c r="C16383" i="1"/>
  <c r="B16383" i="1"/>
  <c r="A16383" i="1"/>
  <c r="F16382" i="1"/>
  <c r="E16382" i="1"/>
  <c r="D16382" i="1"/>
  <c r="C16382" i="1"/>
  <c r="B16382" i="1"/>
  <c r="A16382" i="1"/>
  <c r="F16381" i="1"/>
  <c r="E16381" i="1"/>
  <c r="D16381" i="1"/>
  <c r="C16381" i="1"/>
  <c r="B16381" i="1"/>
  <c r="A16381" i="1"/>
  <c r="F16380" i="1"/>
  <c r="E16380" i="1"/>
  <c r="D16380" i="1"/>
  <c r="C16380" i="1"/>
  <c r="B16380" i="1"/>
  <c r="A16380" i="1"/>
  <c r="F16379" i="1"/>
  <c r="E16379" i="1"/>
  <c r="D16379" i="1"/>
  <c r="C16379" i="1"/>
  <c r="B16379" i="1"/>
  <c r="A16379" i="1"/>
  <c r="F16378" i="1"/>
  <c r="E16378" i="1"/>
  <c r="D16378" i="1"/>
  <c r="C16378" i="1"/>
  <c r="B16378" i="1"/>
  <c r="A16378" i="1"/>
  <c r="F16377" i="1"/>
  <c r="E16377" i="1"/>
  <c r="D16377" i="1"/>
  <c r="C16377" i="1"/>
  <c r="B16377" i="1"/>
  <c r="A16377" i="1"/>
  <c r="F16376" i="1"/>
  <c r="E16376" i="1"/>
  <c r="D16376" i="1"/>
  <c r="C16376" i="1"/>
  <c r="B16376" i="1"/>
  <c r="A16376" i="1"/>
  <c r="F16375" i="1"/>
  <c r="E16375" i="1"/>
  <c r="D16375" i="1"/>
  <c r="C16375" i="1"/>
  <c r="B16375" i="1"/>
  <c r="A16375" i="1"/>
  <c r="F16374" i="1"/>
  <c r="E16374" i="1"/>
  <c r="D16374" i="1"/>
  <c r="C16374" i="1"/>
  <c r="B16374" i="1"/>
  <c r="A16374" i="1"/>
  <c r="F16373" i="1"/>
  <c r="E16373" i="1"/>
  <c r="D16373" i="1"/>
  <c r="C16373" i="1"/>
  <c r="B16373" i="1"/>
  <c r="A16373" i="1"/>
  <c r="F16372" i="1"/>
  <c r="E16372" i="1"/>
  <c r="D16372" i="1"/>
  <c r="C16372" i="1"/>
  <c r="B16372" i="1"/>
  <c r="A16372" i="1"/>
  <c r="F16371" i="1"/>
  <c r="E16371" i="1"/>
  <c r="D16371" i="1"/>
  <c r="C16371" i="1"/>
  <c r="B16371" i="1"/>
  <c r="A16371" i="1"/>
  <c r="F16370" i="1"/>
  <c r="E16370" i="1"/>
  <c r="D16370" i="1"/>
  <c r="C16370" i="1"/>
  <c r="B16370" i="1"/>
  <c r="A16370" i="1"/>
  <c r="F16369" i="1"/>
  <c r="E16369" i="1"/>
  <c r="D16369" i="1"/>
  <c r="C16369" i="1"/>
  <c r="B16369" i="1"/>
  <c r="A16369" i="1"/>
  <c r="F16368" i="1"/>
  <c r="E16368" i="1"/>
  <c r="D16368" i="1"/>
  <c r="C16368" i="1"/>
  <c r="B16368" i="1"/>
  <c r="A16368" i="1"/>
  <c r="F16367" i="1"/>
  <c r="E16367" i="1"/>
  <c r="D16367" i="1"/>
  <c r="C16367" i="1"/>
  <c r="B16367" i="1"/>
  <c r="A16367" i="1"/>
  <c r="F16366" i="1"/>
  <c r="E16366" i="1"/>
  <c r="D16366" i="1"/>
  <c r="C16366" i="1"/>
  <c r="B16366" i="1"/>
  <c r="A16366" i="1"/>
  <c r="F16365" i="1"/>
  <c r="E16365" i="1"/>
  <c r="D16365" i="1"/>
  <c r="C16365" i="1"/>
  <c r="B16365" i="1"/>
  <c r="A16365" i="1"/>
  <c r="F16364" i="1"/>
  <c r="E16364" i="1"/>
  <c r="D16364" i="1"/>
  <c r="C16364" i="1"/>
  <c r="B16364" i="1"/>
  <c r="A16364" i="1"/>
  <c r="F16363" i="1"/>
  <c r="E16363" i="1"/>
  <c r="D16363" i="1"/>
  <c r="C16363" i="1"/>
  <c r="B16363" i="1"/>
  <c r="A16363" i="1"/>
  <c r="F16362" i="1"/>
  <c r="E16362" i="1"/>
  <c r="D16362" i="1"/>
  <c r="C16362" i="1"/>
  <c r="B16362" i="1"/>
  <c r="A16362" i="1"/>
  <c r="F16361" i="1"/>
  <c r="E16361" i="1"/>
  <c r="D16361" i="1"/>
  <c r="C16361" i="1"/>
  <c r="B16361" i="1"/>
  <c r="A16361" i="1"/>
  <c r="F16360" i="1"/>
  <c r="E16360" i="1"/>
  <c r="D16360" i="1"/>
  <c r="C16360" i="1"/>
  <c r="B16360" i="1"/>
  <c r="A16360" i="1"/>
  <c r="F16359" i="1"/>
  <c r="E16359" i="1"/>
  <c r="D16359" i="1"/>
  <c r="C16359" i="1"/>
  <c r="B16359" i="1"/>
  <c r="A16359" i="1"/>
  <c r="F16358" i="1"/>
  <c r="E16358" i="1"/>
  <c r="D16358" i="1"/>
  <c r="C16358" i="1"/>
  <c r="B16358" i="1"/>
  <c r="A16358" i="1"/>
  <c r="F16357" i="1"/>
  <c r="E16357" i="1"/>
  <c r="D16357" i="1"/>
  <c r="C16357" i="1"/>
  <c r="B16357" i="1"/>
  <c r="A16357" i="1"/>
  <c r="F16356" i="1"/>
  <c r="E16356" i="1"/>
  <c r="D16356" i="1"/>
  <c r="C16356" i="1"/>
  <c r="B16356" i="1"/>
  <c r="A16356" i="1"/>
  <c r="F16355" i="1"/>
  <c r="E16355" i="1"/>
  <c r="D16355" i="1"/>
  <c r="C16355" i="1"/>
  <c r="B16355" i="1"/>
  <c r="A16355" i="1"/>
  <c r="F16354" i="1"/>
  <c r="E16354" i="1"/>
  <c r="D16354" i="1"/>
  <c r="C16354" i="1"/>
  <c r="B16354" i="1"/>
  <c r="A16354" i="1"/>
  <c r="F16353" i="1"/>
  <c r="E16353" i="1"/>
  <c r="D16353" i="1"/>
  <c r="C16353" i="1"/>
  <c r="B16353" i="1"/>
  <c r="A16353" i="1"/>
  <c r="F16352" i="1"/>
  <c r="E16352" i="1"/>
  <c r="D16352" i="1"/>
  <c r="C16352" i="1"/>
  <c r="B16352" i="1"/>
  <c r="A16352" i="1"/>
  <c r="F16351" i="1"/>
  <c r="E16351" i="1"/>
  <c r="D16351" i="1"/>
  <c r="C16351" i="1"/>
  <c r="B16351" i="1"/>
  <c r="A16351" i="1"/>
  <c r="F16350" i="1"/>
  <c r="E16350" i="1"/>
  <c r="D16350" i="1"/>
  <c r="C16350" i="1"/>
  <c r="B16350" i="1"/>
  <c r="A16350" i="1"/>
  <c r="F16349" i="1"/>
  <c r="E16349" i="1"/>
  <c r="D16349" i="1"/>
  <c r="C16349" i="1"/>
  <c r="B16349" i="1"/>
  <c r="A16349" i="1"/>
  <c r="F16348" i="1"/>
  <c r="E16348" i="1"/>
  <c r="D16348" i="1"/>
  <c r="C16348" i="1"/>
  <c r="B16348" i="1"/>
  <c r="A16348" i="1"/>
  <c r="F16347" i="1"/>
  <c r="E16347" i="1"/>
  <c r="D16347" i="1"/>
  <c r="C16347" i="1"/>
  <c r="B16347" i="1"/>
  <c r="A16347" i="1"/>
  <c r="F16346" i="1"/>
  <c r="E16346" i="1"/>
  <c r="D16346" i="1"/>
  <c r="C16346" i="1"/>
  <c r="B16346" i="1"/>
  <c r="A16346" i="1"/>
  <c r="F16345" i="1"/>
  <c r="E16345" i="1"/>
  <c r="D16345" i="1"/>
  <c r="C16345" i="1"/>
  <c r="B16345" i="1"/>
  <c r="A16345" i="1"/>
  <c r="F16344" i="1"/>
  <c r="E16344" i="1"/>
  <c r="D16344" i="1"/>
  <c r="C16344" i="1"/>
  <c r="B16344" i="1"/>
  <c r="A16344" i="1"/>
  <c r="F16343" i="1"/>
  <c r="E16343" i="1"/>
  <c r="D16343" i="1"/>
  <c r="C16343" i="1"/>
  <c r="B16343" i="1"/>
  <c r="A16343" i="1"/>
  <c r="F16342" i="1"/>
  <c r="E16342" i="1"/>
  <c r="D16342" i="1"/>
  <c r="C16342" i="1"/>
  <c r="B16342" i="1"/>
  <c r="A16342" i="1"/>
  <c r="F16341" i="1"/>
  <c r="E16341" i="1"/>
  <c r="D16341" i="1"/>
  <c r="C16341" i="1"/>
  <c r="B16341" i="1"/>
  <c r="A16341" i="1"/>
  <c r="F16340" i="1"/>
  <c r="E16340" i="1"/>
  <c r="D16340" i="1"/>
  <c r="C16340" i="1"/>
  <c r="B16340" i="1"/>
  <c r="A16340" i="1"/>
  <c r="F16339" i="1"/>
  <c r="E16339" i="1"/>
  <c r="D16339" i="1"/>
  <c r="C16339" i="1"/>
  <c r="B16339" i="1"/>
  <c r="A16339" i="1"/>
  <c r="F16338" i="1"/>
  <c r="E16338" i="1"/>
  <c r="D16338" i="1"/>
  <c r="C16338" i="1"/>
  <c r="B16338" i="1"/>
  <c r="A16338" i="1"/>
  <c r="F16337" i="1"/>
  <c r="E16337" i="1"/>
  <c r="D16337" i="1"/>
  <c r="C16337" i="1"/>
  <c r="B16337" i="1"/>
  <c r="A16337" i="1"/>
  <c r="F16336" i="1"/>
  <c r="E16336" i="1"/>
  <c r="D16336" i="1"/>
  <c r="C16336" i="1"/>
  <c r="B16336" i="1"/>
  <c r="A16336" i="1"/>
  <c r="F16335" i="1"/>
  <c r="E16335" i="1"/>
  <c r="D16335" i="1"/>
  <c r="C16335" i="1"/>
  <c r="B16335" i="1"/>
  <c r="A16335" i="1"/>
  <c r="F16334" i="1"/>
  <c r="E16334" i="1"/>
  <c r="D16334" i="1"/>
  <c r="C16334" i="1"/>
  <c r="B16334" i="1"/>
  <c r="A16334" i="1"/>
  <c r="F16333" i="1"/>
  <c r="E16333" i="1"/>
  <c r="D16333" i="1"/>
  <c r="C16333" i="1"/>
  <c r="B16333" i="1"/>
  <c r="A16333" i="1"/>
  <c r="F16332" i="1"/>
  <c r="E16332" i="1"/>
  <c r="D16332" i="1"/>
  <c r="C16332" i="1"/>
  <c r="B16332" i="1"/>
  <c r="A16332" i="1"/>
  <c r="F16331" i="1"/>
  <c r="E16331" i="1"/>
  <c r="D16331" i="1"/>
  <c r="C16331" i="1"/>
  <c r="B16331" i="1"/>
  <c r="A16331" i="1"/>
  <c r="F16330" i="1"/>
  <c r="E16330" i="1"/>
  <c r="D16330" i="1"/>
  <c r="C16330" i="1"/>
  <c r="B16330" i="1"/>
  <c r="A16330" i="1"/>
  <c r="F16329" i="1"/>
  <c r="E16329" i="1"/>
  <c r="D16329" i="1"/>
  <c r="C16329" i="1"/>
  <c r="B16329" i="1"/>
  <c r="A16329" i="1"/>
  <c r="F16328" i="1"/>
  <c r="E16328" i="1"/>
  <c r="D16328" i="1"/>
  <c r="C16328" i="1"/>
  <c r="B16328" i="1"/>
  <c r="A16328" i="1"/>
  <c r="F16327" i="1"/>
  <c r="E16327" i="1"/>
  <c r="D16327" i="1"/>
  <c r="C16327" i="1"/>
  <c r="B16327" i="1"/>
  <c r="A16327" i="1"/>
  <c r="F16326" i="1"/>
  <c r="E16326" i="1"/>
  <c r="D16326" i="1"/>
  <c r="C16326" i="1"/>
  <c r="B16326" i="1"/>
  <c r="A16326" i="1"/>
  <c r="F16325" i="1"/>
  <c r="E16325" i="1"/>
  <c r="D16325" i="1"/>
  <c r="C16325" i="1"/>
  <c r="B16325" i="1"/>
  <c r="A16325" i="1"/>
  <c r="F16324" i="1"/>
  <c r="E16324" i="1"/>
  <c r="D16324" i="1"/>
  <c r="C16324" i="1"/>
  <c r="B16324" i="1"/>
  <c r="A16324" i="1"/>
  <c r="F16323" i="1"/>
  <c r="E16323" i="1"/>
  <c r="D16323" i="1"/>
  <c r="C16323" i="1"/>
  <c r="B16323" i="1"/>
  <c r="A16323" i="1"/>
  <c r="F16322" i="1"/>
  <c r="E16322" i="1"/>
  <c r="D16322" i="1"/>
  <c r="C16322" i="1"/>
  <c r="B16322" i="1"/>
  <c r="A16322" i="1"/>
  <c r="F16321" i="1"/>
  <c r="E16321" i="1"/>
  <c r="D16321" i="1"/>
  <c r="C16321" i="1"/>
  <c r="B16321" i="1"/>
  <c r="A16321" i="1"/>
  <c r="F16320" i="1"/>
  <c r="E16320" i="1"/>
  <c r="D16320" i="1"/>
  <c r="C16320" i="1"/>
  <c r="B16320" i="1"/>
  <c r="A16320" i="1"/>
  <c r="F16319" i="1"/>
  <c r="E16319" i="1"/>
  <c r="D16319" i="1"/>
  <c r="C16319" i="1"/>
  <c r="B16319" i="1"/>
  <c r="A16319" i="1"/>
  <c r="F16318" i="1"/>
  <c r="E16318" i="1"/>
  <c r="D16318" i="1"/>
  <c r="C16318" i="1"/>
  <c r="B16318" i="1"/>
  <c r="A16318" i="1"/>
  <c r="F16317" i="1"/>
  <c r="E16317" i="1"/>
  <c r="D16317" i="1"/>
  <c r="C16317" i="1"/>
  <c r="B16317" i="1"/>
  <c r="A16317" i="1"/>
  <c r="F16316" i="1"/>
  <c r="E16316" i="1"/>
  <c r="D16316" i="1"/>
  <c r="C16316" i="1"/>
  <c r="B16316" i="1"/>
  <c r="A16316" i="1"/>
  <c r="F16315" i="1"/>
  <c r="E16315" i="1"/>
  <c r="D16315" i="1"/>
  <c r="C16315" i="1"/>
  <c r="B16315" i="1"/>
  <c r="A16315" i="1"/>
  <c r="F16314" i="1"/>
  <c r="E16314" i="1"/>
  <c r="D16314" i="1"/>
  <c r="C16314" i="1"/>
  <c r="B16314" i="1"/>
  <c r="A16314" i="1"/>
  <c r="F16313" i="1"/>
  <c r="E16313" i="1"/>
  <c r="D16313" i="1"/>
  <c r="C16313" i="1"/>
  <c r="B16313" i="1"/>
  <c r="A16313" i="1"/>
  <c r="F16312" i="1"/>
  <c r="E16312" i="1"/>
  <c r="D16312" i="1"/>
  <c r="C16312" i="1"/>
  <c r="B16312" i="1"/>
  <c r="A16312" i="1"/>
  <c r="F16311" i="1"/>
  <c r="E16311" i="1"/>
  <c r="D16311" i="1"/>
  <c r="C16311" i="1"/>
  <c r="B16311" i="1"/>
  <c r="A16311" i="1"/>
  <c r="F16310" i="1"/>
  <c r="E16310" i="1"/>
  <c r="D16310" i="1"/>
  <c r="C16310" i="1"/>
  <c r="B16310" i="1"/>
  <c r="A16310" i="1"/>
  <c r="F16309" i="1"/>
  <c r="E16309" i="1"/>
  <c r="D16309" i="1"/>
  <c r="C16309" i="1"/>
  <c r="B16309" i="1"/>
  <c r="A16309" i="1"/>
  <c r="F16308" i="1"/>
  <c r="E16308" i="1"/>
  <c r="D16308" i="1"/>
  <c r="C16308" i="1"/>
  <c r="B16308" i="1"/>
  <c r="A16308" i="1"/>
  <c r="F16307" i="1"/>
  <c r="E16307" i="1"/>
  <c r="D16307" i="1"/>
  <c r="C16307" i="1"/>
  <c r="B16307" i="1"/>
  <c r="A16307" i="1"/>
  <c r="F16306" i="1"/>
  <c r="E16306" i="1"/>
  <c r="D16306" i="1"/>
  <c r="C16306" i="1"/>
  <c r="B16306" i="1"/>
  <c r="A16306" i="1"/>
  <c r="F16305" i="1"/>
  <c r="E16305" i="1"/>
  <c r="D16305" i="1"/>
  <c r="C16305" i="1"/>
  <c r="B16305" i="1"/>
  <c r="A16305" i="1"/>
  <c r="F16304" i="1"/>
  <c r="E16304" i="1"/>
  <c r="D16304" i="1"/>
  <c r="C16304" i="1"/>
  <c r="B16304" i="1"/>
  <c r="A16304" i="1"/>
  <c r="F16303" i="1"/>
  <c r="E16303" i="1"/>
  <c r="D16303" i="1"/>
  <c r="C16303" i="1"/>
  <c r="B16303" i="1"/>
  <c r="A16303" i="1"/>
  <c r="F16302" i="1"/>
  <c r="E16302" i="1"/>
  <c r="D16302" i="1"/>
  <c r="C16302" i="1"/>
  <c r="B16302" i="1"/>
  <c r="A16302" i="1"/>
  <c r="F16301" i="1"/>
  <c r="E16301" i="1"/>
  <c r="D16301" i="1"/>
  <c r="C16301" i="1"/>
  <c r="B16301" i="1"/>
  <c r="A16301" i="1"/>
  <c r="F16300" i="1"/>
  <c r="E16300" i="1"/>
  <c r="D16300" i="1"/>
  <c r="C16300" i="1"/>
  <c r="B16300" i="1"/>
  <c r="A16300" i="1"/>
  <c r="F16299" i="1"/>
  <c r="E16299" i="1"/>
  <c r="D16299" i="1"/>
  <c r="C16299" i="1"/>
  <c r="B16299" i="1"/>
  <c r="A16299" i="1"/>
  <c r="F16298" i="1"/>
  <c r="E16298" i="1"/>
  <c r="D16298" i="1"/>
  <c r="C16298" i="1"/>
  <c r="B16298" i="1"/>
  <c r="A16298" i="1"/>
  <c r="F16297" i="1"/>
  <c r="E16297" i="1"/>
  <c r="D16297" i="1"/>
  <c r="C16297" i="1"/>
  <c r="B16297" i="1"/>
  <c r="A16297" i="1"/>
  <c r="F16296" i="1"/>
  <c r="E16296" i="1"/>
  <c r="D16296" i="1"/>
  <c r="C16296" i="1"/>
  <c r="B16296" i="1"/>
  <c r="A16296" i="1"/>
  <c r="F16295" i="1"/>
  <c r="E16295" i="1"/>
  <c r="D16295" i="1"/>
  <c r="C16295" i="1"/>
  <c r="B16295" i="1"/>
  <c r="A16295" i="1"/>
  <c r="F16294" i="1"/>
  <c r="E16294" i="1"/>
  <c r="D16294" i="1"/>
  <c r="C16294" i="1"/>
  <c r="B16294" i="1"/>
  <c r="A16294" i="1"/>
  <c r="F16293" i="1"/>
  <c r="E16293" i="1"/>
  <c r="D16293" i="1"/>
  <c r="C16293" i="1"/>
  <c r="B16293" i="1"/>
  <c r="A16293" i="1"/>
  <c r="F16292" i="1"/>
  <c r="E16292" i="1"/>
  <c r="D16292" i="1"/>
  <c r="C16292" i="1"/>
  <c r="B16292" i="1"/>
  <c r="A16292" i="1"/>
  <c r="F16291" i="1"/>
  <c r="E16291" i="1"/>
  <c r="D16291" i="1"/>
  <c r="C16291" i="1"/>
  <c r="B16291" i="1"/>
  <c r="A16291" i="1"/>
  <c r="F16290" i="1"/>
  <c r="E16290" i="1"/>
  <c r="D16290" i="1"/>
  <c r="C16290" i="1"/>
  <c r="B16290" i="1"/>
  <c r="A16290" i="1"/>
  <c r="F16289" i="1"/>
  <c r="E16289" i="1"/>
  <c r="D16289" i="1"/>
  <c r="C16289" i="1"/>
  <c r="B16289" i="1"/>
  <c r="A16289" i="1"/>
  <c r="F16288" i="1"/>
  <c r="E16288" i="1"/>
  <c r="D16288" i="1"/>
  <c r="C16288" i="1"/>
  <c r="B16288" i="1"/>
  <c r="A16288" i="1"/>
  <c r="F16287" i="1"/>
  <c r="E16287" i="1"/>
  <c r="D16287" i="1"/>
  <c r="C16287" i="1"/>
  <c r="B16287" i="1"/>
  <c r="A16287" i="1"/>
  <c r="F16286" i="1"/>
  <c r="E16286" i="1"/>
  <c r="D16286" i="1"/>
  <c r="C16286" i="1"/>
  <c r="B16286" i="1"/>
  <c r="A16286" i="1"/>
  <c r="F16285" i="1"/>
  <c r="E16285" i="1"/>
  <c r="D16285" i="1"/>
  <c r="C16285" i="1"/>
  <c r="B16285" i="1"/>
  <c r="A16285" i="1"/>
  <c r="F16284" i="1"/>
  <c r="E16284" i="1"/>
  <c r="D16284" i="1"/>
  <c r="C16284" i="1"/>
  <c r="B16284" i="1"/>
  <c r="A16284" i="1"/>
  <c r="F16283" i="1"/>
  <c r="E16283" i="1"/>
  <c r="D16283" i="1"/>
  <c r="C16283" i="1"/>
  <c r="B16283" i="1"/>
  <c r="A16283" i="1"/>
  <c r="F16282" i="1"/>
  <c r="E16282" i="1"/>
  <c r="D16282" i="1"/>
  <c r="C16282" i="1"/>
  <c r="B16282" i="1"/>
  <c r="A16282" i="1"/>
  <c r="F16281" i="1"/>
  <c r="E16281" i="1"/>
  <c r="D16281" i="1"/>
  <c r="C16281" i="1"/>
  <c r="B16281" i="1"/>
  <c r="A16281" i="1"/>
  <c r="F16280" i="1"/>
  <c r="E16280" i="1"/>
  <c r="D16280" i="1"/>
  <c r="C16280" i="1"/>
  <c r="B16280" i="1"/>
  <c r="A16280" i="1"/>
  <c r="F16279" i="1"/>
  <c r="E16279" i="1"/>
  <c r="D16279" i="1"/>
  <c r="C16279" i="1"/>
  <c r="B16279" i="1"/>
  <c r="A16279" i="1"/>
  <c r="F16278" i="1"/>
  <c r="E16278" i="1"/>
  <c r="D16278" i="1"/>
  <c r="C16278" i="1"/>
  <c r="B16278" i="1"/>
  <c r="A16278" i="1"/>
  <c r="F16277" i="1"/>
  <c r="E16277" i="1"/>
  <c r="D16277" i="1"/>
  <c r="C16277" i="1"/>
  <c r="B16277" i="1"/>
  <c r="A16277" i="1"/>
  <c r="F16276" i="1"/>
  <c r="E16276" i="1"/>
  <c r="D16276" i="1"/>
  <c r="C16276" i="1"/>
  <c r="B16276" i="1"/>
  <c r="A16276" i="1"/>
  <c r="F16275" i="1"/>
  <c r="E16275" i="1"/>
  <c r="D16275" i="1"/>
  <c r="C16275" i="1"/>
  <c r="B16275" i="1"/>
  <c r="A16275" i="1"/>
  <c r="F16274" i="1"/>
  <c r="E16274" i="1"/>
  <c r="D16274" i="1"/>
  <c r="C16274" i="1"/>
  <c r="B16274" i="1"/>
  <c r="A16274" i="1"/>
  <c r="F16273" i="1"/>
  <c r="E16273" i="1"/>
  <c r="D16273" i="1"/>
  <c r="C16273" i="1"/>
  <c r="B16273" i="1"/>
  <c r="A16273" i="1"/>
  <c r="F16272" i="1"/>
  <c r="E16272" i="1"/>
  <c r="D16272" i="1"/>
  <c r="C16272" i="1"/>
  <c r="B16272" i="1"/>
  <c r="A16272" i="1"/>
  <c r="F16271" i="1"/>
  <c r="E16271" i="1"/>
  <c r="D16271" i="1"/>
  <c r="C16271" i="1"/>
  <c r="B16271" i="1"/>
  <c r="A16271" i="1"/>
  <c r="F16270" i="1"/>
  <c r="E16270" i="1"/>
  <c r="D16270" i="1"/>
  <c r="C16270" i="1"/>
  <c r="B16270" i="1"/>
  <c r="A16270" i="1"/>
  <c r="F16269" i="1"/>
  <c r="E16269" i="1"/>
  <c r="D16269" i="1"/>
  <c r="C16269" i="1"/>
  <c r="B16269" i="1"/>
  <c r="A16269" i="1"/>
  <c r="F16268" i="1"/>
  <c r="E16268" i="1"/>
  <c r="D16268" i="1"/>
  <c r="C16268" i="1"/>
  <c r="B16268" i="1"/>
  <c r="A16268" i="1"/>
  <c r="F16267" i="1"/>
  <c r="E16267" i="1"/>
  <c r="D16267" i="1"/>
  <c r="C16267" i="1"/>
  <c r="B16267" i="1"/>
  <c r="A16267" i="1"/>
  <c r="F16266" i="1"/>
  <c r="E16266" i="1"/>
  <c r="D16266" i="1"/>
  <c r="C16266" i="1"/>
  <c r="B16266" i="1"/>
  <c r="A16266" i="1"/>
  <c r="F16265" i="1"/>
  <c r="E16265" i="1"/>
  <c r="D16265" i="1"/>
  <c r="C16265" i="1"/>
  <c r="B16265" i="1"/>
  <c r="A16265" i="1"/>
  <c r="F16264" i="1"/>
  <c r="E16264" i="1"/>
  <c r="D16264" i="1"/>
  <c r="C16264" i="1"/>
  <c r="B16264" i="1"/>
  <c r="A16264" i="1"/>
  <c r="F16263" i="1"/>
  <c r="E16263" i="1"/>
  <c r="D16263" i="1"/>
  <c r="C16263" i="1"/>
  <c r="B16263" i="1"/>
  <c r="A16263" i="1"/>
  <c r="F16262" i="1"/>
  <c r="E16262" i="1"/>
  <c r="D16262" i="1"/>
  <c r="C16262" i="1"/>
  <c r="B16262" i="1"/>
  <c r="A16262" i="1"/>
  <c r="F16261" i="1"/>
  <c r="E16261" i="1"/>
  <c r="D16261" i="1"/>
  <c r="C16261" i="1"/>
  <c r="B16261" i="1"/>
  <c r="A16261" i="1"/>
  <c r="F16260" i="1"/>
  <c r="E16260" i="1"/>
  <c r="D16260" i="1"/>
  <c r="C16260" i="1"/>
  <c r="B16260" i="1"/>
  <c r="A16260" i="1"/>
  <c r="F16259" i="1"/>
  <c r="E16259" i="1"/>
  <c r="D16259" i="1"/>
  <c r="C16259" i="1"/>
  <c r="B16259" i="1"/>
  <c r="A16259" i="1"/>
  <c r="F16258" i="1"/>
  <c r="E16258" i="1"/>
  <c r="D16258" i="1"/>
  <c r="C16258" i="1"/>
  <c r="B16258" i="1"/>
  <c r="A16258" i="1"/>
  <c r="F16257" i="1"/>
  <c r="E16257" i="1"/>
  <c r="D16257" i="1"/>
  <c r="C16257" i="1"/>
  <c r="B16257" i="1"/>
  <c r="A16257" i="1"/>
  <c r="F16256" i="1"/>
  <c r="E16256" i="1"/>
  <c r="D16256" i="1"/>
  <c r="C16256" i="1"/>
  <c r="B16256" i="1"/>
  <c r="A16256" i="1"/>
  <c r="F16255" i="1"/>
  <c r="E16255" i="1"/>
  <c r="D16255" i="1"/>
  <c r="C16255" i="1"/>
  <c r="B16255" i="1"/>
  <c r="A16255" i="1"/>
  <c r="F16254" i="1"/>
  <c r="E16254" i="1"/>
  <c r="D16254" i="1"/>
  <c r="C16254" i="1"/>
  <c r="B16254" i="1"/>
  <c r="A16254" i="1"/>
  <c r="F16253" i="1"/>
  <c r="E16253" i="1"/>
  <c r="D16253" i="1"/>
  <c r="C16253" i="1"/>
  <c r="B16253" i="1"/>
  <c r="A16253" i="1"/>
  <c r="F16252" i="1"/>
  <c r="E16252" i="1"/>
  <c r="D16252" i="1"/>
  <c r="C16252" i="1"/>
  <c r="B16252" i="1"/>
  <c r="A16252" i="1"/>
  <c r="F16251" i="1"/>
  <c r="E16251" i="1"/>
  <c r="D16251" i="1"/>
  <c r="C16251" i="1"/>
  <c r="B16251" i="1"/>
  <c r="A16251" i="1"/>
  <c r="F16250" i="1"/>
  <c r="E16250" i="1"/>
  <c r="D16250" i="1"/>
  <c r="C16250" i="1"/>
  <c r="B16250" i="1"/>
  <c r="A16250" i="1"/>
  <c r="F16249" i="1"/>
  <c r="E16249" i="1"/>
  <c r="D16249" i="1"/>
  <c r="C16249" i="1"/>
  <c r="B16249" i="1"/>
  <c r="A16249" i="1"/>
  <c r="F16248" i="1"/>
  <c r="E16248" i="1"/>
  <c r="D16248" i="1"/>
  <c r="C16248" i="1"/>
  <c r="B16248" i="1"/>
  <c r="A16248" i="1"/>
  <c r="F16247" i="1"/>
  <c r="E16247" i="1"/>
  <c r="D16247" i="1"/>
  <c r="C16247" i="1"/>
  <c r="B16247" i="1"/>
  <c r="A16247" i="1"/>
  <c r="F16246" i="1"/>
  <c r="E16246" i="1"/>
  <c r="D16246" i="1"/>
  <c r="C16246" i="1"/>
  <c r="B16246" i="1"/>
  <c r="A16246" i="1"/>
  <c r="F16245" i="1"/>
  <c r="E16245" i="1"/>
  <c r="D16245" i="1"/>
  <c r="C16245" i="1"/>
  <c r="B16245" i="1"/>
  <c r="A16245" i="1"/>
  <c r="F16244" i="1"/>
  <c r="E16244" i="1"/>
  <c r="D16244" i="1"/>
  <c r="C16244" i="1"/>
  <c r="B16244" i="1"/>
  <c r="A16244" i="1"/>
  <c r="F16243" i="1"/>
  <c r="E16243" i="1"/>
  <c r="D16243" i="1"/>
  <c r="C16243" i="1"/>
  <c r="B16243" i="1"/>
  <c r="A16243" i="1"/>
  <c r="F16242" i="1"/>
  <c r="E16242" i="1"/>
  <c r="D16242" i="1"/>
  <c r="C16242" i="1"/>
  <c r="B16242" i="1"/>
  <c r="A16242" i="1"/>
  <c r="F16241" i="1"/>
  <c r="E16241" i="1"/>
  <c r="D16241" i="1"/>
  <c r="C16241" i="1"/>
  <c r="B16241" i="1"/>
  <c r="A16241" i="1"/>
  <c r="F16240" i="1"/>
  <c r="E16240" i="1"/>
  <c r="D16240" i="1"/>
  <c r="C16240" i="1"/>
  <c r="B16240" i="1"/>
  <c r="A16240" i="1"/>
  <c r="F16239" i="1"/>
  <c r="E16239" i="1"/>
  <c r="D16239" i="1"/>
  <c r="C16239" i="1"/>
  <c r="B16239" i="1"/>
  <c r="A16239" i="1"/>
  <c r="F16238" i="1"/>
  <c r="E16238" i="1"/>
  <c r="D16238" i="1"/>
  <c r="C16238" i="1"/>
  <c r="B16238" i="1"/>
  <c r="A16238" i="1"/>
  <c r="F16237" i="1"/>
  <c r="E16237" i="1"/>
  <c r="D16237" i="1"/>
  <c r="C16237" i="1"/>
  <c r="B16237" i="1"/>
  <c r="A16237" i="1"/>
  <c r="F16236" i="1"/>
  <c r="E16236" i="1"/>
  <c r="D16236" i="1"/>
  <c r="C16236" i="1"/>
  <c r="B16236" i="1"/>
  <c r="A16236" i="1"/>
  <c r="F16235" i="1"/>
  <c r="E16235" i="1"/>
  <c r="D16235" i="1"/>
  <c r="C16235" i="1"/>
  <c r="B16235" i="1"/>
  <c r="A16235" i="1"/>
  <c r="F16234" i="1"/>
  <c r="E16234" i="1"/>
  <c r="D16234" i="1"/>
  <c r="C16234" i="1"/>
  <c r="B16234" i="1"/>
  <c r="A16234" i="1"/>
  <c r="F16233" i="1"/>
  <c r="E16233" i="1"/>
  <c r="D16233" i="1"/>
  <c r="C16233" i="1"/>
  <c r="B16233" i="1"/>
  <c r="A16233" i="1"/>
  <c r="F16232" i="1"/>
  <c r="E16232" i="1"/>
  <c r="D16232" i="1"/>
  <c r="C16232" i="1"/>
  <c r="B16232" i="1"/>
  <c r="A16232" i="1"/>
  <c r="F16231" i="1"/>
  <c r="E16231" i="1"/>
  <c r="D16231" i="1"/>
  <c r="C16231" i="1"/>
  <c r="B16231" i="1"/>
  <c r="A16231" i="1"/>
  <c r="F16230" i="1"/>
  <c r="E16230" i="1"/>
  <c r="D16230" i="1"/>
  <c r="C16230" i="1"/>
  <c r="B16230" i="1"/>
  <c r="A16230" i="1"/>
  <c r="F16229" i="1"/>
  <c r="E16229" i="1"/>
  <c r="D16229" i="1"/>
  <c r="C16229" i="1"/>
  <c r="B16229" i="1"/>
  <c r="A16229" i="1"/>
  <c r="F16228" i="1"/>
  <c r="E16228" i="1"/>
  <c r="D16228" i="1"/>
  <c r="C16228" i="1"/>
  <c r="B16228" i="1"/>
  <c r="A16228" i="1"/>
  <c r="F16227" i="1"/>
  <c r="E16227" i="1"/>
  <c r="D16227" i="1"/>
  <c r="C16227" i="1"/>
  <c r="B16227" i="1"/>
  <c r="A16227" i="1"/>
  <c r="F16226" i="1"/>
  <c r="E16226" i="1"/>
  <c r="D16226" i="1"/>
  <c r="C16226" i="1"/>
  <c r="B16226" i="1"/>
  <c r="A16226" i="1"/>
  <c r="F16225" i="1"/>
  <c r="E16225" i="1"/>
  <c r="D16225" i="1"/>
  <c r="C16225" i="1"/>
  <c r="B16225" i="1"/>
  <c r="A16225" i="1"/>
  <c r="F16224" i="1"/>
  <c r="E16224" i="1"/>
  <c r="D16224" i="1"/>
  <c r="C16224" i="1"/>
  <c r="B16224" i="1"/>
  <c r="A16224" i="1"/>
  <c r="F16223" i="1"/>
  <c r="E16223" i="1"/>
  <c r="D16223" i="1"/>
  <c r="C16223" i="1"/>
  <c r="B16223" i="1"/>
  <c r="A16223" i="1"/>
  <c r="F16222" i="1"/>
  <c r="E16222" i="1"/>
  <c r="D16222" i="1"/>
  <c r="C16222" i="1"/>
  <c r="B16222" i="1"/>
  <c r="A16222" i="1"/>
  <c r="F16221" i="1"/>
  <c r="E16221" i="1"/>
  <c r="D16221" i="1"/>
  <c r="C16221" i="1"/>
  <c r="B16221" i="1"/>
  <c r="A16221" i="1"/>
  <c r="F16220" i="1"/>
  <c r="E16220" i="1"/>
  <c r="D16220" i="1"/>
  <c r="C16220" i="1"/>
  <c r="B16220" i="1"/>
  <c r="A16220" i="1"/>
  <c r="F16219" i="1"/>
  <c r="E16219" i="1"/>
  <c r="D16219" i="1"/>
  <c r="C16219" i="1"/>
  <c r="B16219" i="1"/>
  <c r="A16219" i="1"/>
  <c r="F16218" i="1"/>
  <c r="E16218" i="1"/>
  <c r="D16218" i="1"/>
  <c r="C16218" i="1"/>
  <c r="B16218" i="1"/>
  <c r="A16218" i="1"/>
  <c r="F16217" i="1"/>
  <c r="E16217" i="1"/>
  <c r="D16217" i="1"/>
  <c r="C16217" i="1"/>
  <c r="B16217" i="1"/>
  <c r="A16217" i="1"/>
  <c r="F16216" i="1"/>
  <c r="E16216" i="1"/>
  <c r="D16216" i="1"/>
  <c r="C16216" i="1"/>
  <c r="B16216" i="1"/>
  <c r="A16216" i="1"/>
  <c r="F16215" i="1"/>
  <c r="E16215" i="1"/>
  <c r="D16215" i="1"/>
  <c r="C16215" i="1"/>
  <c r="B16215" i="1"/>
  <c r="A16215" i="1"/>
  <c r="F16214" i="1"/>
  <c r="E16214" i="1"/>
  <c r="D16214" i="1"/>
  <c r="C16214" i="1"/>
  <c r="B16214" i="1"/>
  <c r="A16214" i="1"/>
  <c r="F16213" i="1"/>
  <c r="E16213" i="1"/>
  <c r="D16213" i="1"/>
  <c r="C16213" i="1"/>
  <c r="B16213" i="1"/>
  <c r="A16213" i="1"/>
  <c r="F16212" i="1"/>
  <c r="E16212" i="1"/>
  <c r="D16212" i="1"/>
  <c r="C16212" i="1"/>
  <c r="B16212" i="1"/>
  <c r="A16212" i="1"/>
  <c r="F16211" i="1"/>
  <c r="E16211" i="1"/>
  <c r="D16211" i="1"/>
  <c r="C16211" i="1"/>
  <c r="B16211" i="1"/>
  <c r="A16211" i="1"/>
  <c r="F16210" i="1"/>
  <c r="E16210" i="1"/>
  <c r="D16210" i="1"/>
  <c r="C16210" i="1"/>
  <c r="B16210" i="1"/>
  <c r="A16210" i="1"/>
  <c r="F16209" i="1"/>
  <c r="E16209" i="1"/>
  <c r="D16209" i="1"/>
  <c r="C16209" i="1"/>
  <c r="B16209" i="1"/>
  <c r="A16209" i="1"/>
  <c r="F16208" i="1"/>
  <c r="E16208" i="1"/>
  <c r="D16208" i="1"/>
  <c r="C16208" i="1"/>
  <c r="B16208" i="1"/>
  <c r="A16208" i="1"/>
  <c r="F16207" i="1"/>
  <c r="E16207" i="1"/>
  <c r="D16207" i="1"/>
  <c r="C16207" i="1"/>
  <c r="B16207" i="1"/>
  <c r="A16207" i="1"/>
  <c r="F16206" i="1"/>
  <c r="E16206" i="1"/>
  <c r="D16206" i="1"/>
  <c r="C16206" i="1"/>
  <c r="B16206" i="1"/>
  <c r="A16206" i="1"/>
  <c r="F16205" i="1"/>
  <c r="E16205" i="1"/>
  <c r="D16205" i="1"/>
  <c r="C16205" i="1"/>
  <c r="B16205" i="1"/>
  <c r="A16205" i="1"/>
  <c r="F16204" i="1"/>
  <c r="E16204" i="1"/>
  <c r="D16204" i="1"/>
  <c r="C16204" i="1"/>
  <c r="B16204" i="1"/>
  <c r="A16204" i="1"/>
  <c r="F16203" i="1"/>
  <c r="E16203" i="1"/>
  <c r="D16203" i="1"/>
  <c r="C16203" i="1"/>
  <c r="B16203" i="1"/>
  <c r="A16203" i="1"/>
  <c r="F16202" i="1"/>
  <c r="E16202" i="1"/>
  <c r="D16202" i="1"/>
  <c r="C16202" i="1"/>
  <c r="B16202" i="1"/>
  <c r="A16202" i="1"/>
  <c r="F16201" i="1"/>
  <c r="E16201" i="1"/>
  <c r="D16201" i="1"/>
  <c r="C16201" i="1"/>
  <c r="B16201" i="1"/>
  <c r="A16201" i="1"/>
  <c r="F16200" i="1"/>
  <c r="E16200" i="1"/>
  <c r="D16200" i="1"/>
  <c r="C16200" i="1"/>
  <c r="B16200" i="1"/>
  <c r="A16200" i="1"/>
  <c r="F16199" i="1"/>
  <c r="E16199" i="1"/>
  <c r="D16199" i="1"/>
  <c r="C16199" i="1"/>
  <c r="B16199" i="1"/>
  <c r="A16199" i="1"/>
  <c r="F16198" i="1"/>
  <c r="E16198" i="1"/>
  <c r="D16198" i="1"/>
  <c r="C16198" i="1"/>
  <c r="B16198" i="1"/>
  <c r="A16198" i="1"/>
  <c r="F16197" i="1"/>
  <c r="E16197" i="1"/>
  <c r="D16197" i="1"/>
  <c r="C16197" i="1"/>
  <c r="B16197" i="1"/>
  <c r="A16197" i="1"/>
  <c r="F16196" i="1"/>
  <c r="E16196" i="1"/>
  <c r="D16196" i="1"/>
  <c r="C16196" i="1"/>
  <c r="B16196" i="1"/>
  <c r="A16196" i="1"/>
  <c r="F16195" i="1"/>
  <c r="E16195" i="1"/>
  <c r="D16195" i="1"/>
  <c r="C16195" i="1"/>
  <c r="B16195" i="1"/>
  <c r="A16195" i="1"/>
  <c r="F16194" i="1"/>
  <c r="E16194" i="1"/>
  <c r="D16194" i="1"/>
  <c r="C16194" i="1"/>
  <c r="B16194" i="1"/>
  <c r="A16194" i="1"/>
  <c r="F16193" i="1"/>
  <c r="E16193" i="1"/>
  <c r="D16193" i="1"/>
  <c r="C16193" i="1"/>
  <c r="B16193" i="1"/>
  <c r="A16193" i="1"/>
  <c r="F16192" i="1"/>
  <c r="E16192" i="1"/>
  <c r="D16192" i="1"/>
  <c r="C16192" i="1"/>
  <c r="B16192" i="1"/>
  <c r="A16192" i="1"/>
  <c r="F16191" i="1"/>
  <c r="E16191" i="1"/>
  <c r="D16191" i="1"/>
  <c r="C16191" i="1"/>
  <c r="B16191" i="1"/>
  <c r="A16191" i="1"/>
  <c r="F16190" i="1"/>
  <c r="E16190" i="1"/>
  <c r="D16190" i="1"/>
  <c r="C16190" i="1"/>
  <c r="B16190" i="1"/>
  <c r="A16190" i="1"/>
  <c r="F16189" i="1"/>
  <c r="E16189" i="1"/>
  <c r="D16189" i="1"/>
  <c r="C16189" i="1"/>
  <c r="B16189" i="1"/>
  <c r="A16189" i="1"/>
  <c r="F16188" i="1"/>
  <c r="E16188" i="1"/>
  <c r="D16188" i="1"/>
  <c r="C16188" i="1"/>
  <c r="B16188" i="1"/>
  <c r="A16188" i="1"/>
  <c r="F16187" i="1"/>
  <c r="E16187" i="1"/>
  <c r="D16187" i="1"/>
  <c r="C16187" i="1"/>
  <c r="B16187" i="1"/>
  <c r="A16187" i="1"/>
  <c r="F16186" i="1"/>
  <c r="E16186" i="1"/>
  <c r="D16186" i="1"/>
  <c r="C16186" i="1"/>
  <c r="B16186" i="1"/>
  <c r="A16186" i="1"/>
  <c r="F16185" i="1"/>
  <c r="E16185" i="1"/>
  <c r="D16185" i="1"/>
  <c r="C16185" i="1"/>
  <c r="B16185" i="1"/>
  <c r="A16185" i="1"/>
  <c r="F16184" i="1"/>
  <c r="E16184" i="1"/>
  <c r="D16184" i="1"/>
  <c r="C16184" i="1"/>
  <c r="B16184" i="1"/>
  <c r="A16184" i="1"/>
  <c r="F16183" i="1"/>
  <c r="E16183" i="1"/>
  <c r="D16183" i="1"/>
  <c r="C16183" i="1"/>
  <c r="B16183" i="1"/>
  <c r="A16183" i="1"/>
  <c r="F16182" i="1"/>
  <c r="E16182" i="1"/>
  <c r="D16182" i="1"/>
  <c r="C16182" i="1"/>
  <c r="B16182" i="1"/>
  <c r="A16182" i="1"/>
  <c r="F16181" i="1"/>
  <c r="E16181" i="1"/>
  <c r="D16181" i="1"/>
  <c r="C16181" i="1"/>
  <c r="B16181" i="1"/>
  <c r="A16181" i="1"/>
  <c r="F16180" i="1"/>
  <c r="E16180" i="1"/>
  <c r="D16180" i="1"/>
  <c r="C16180" i="1"/>
  <c r="B16180" i="1"/>
  <c r="A16180" i="1"/>
  <c r="F16179" i="1"/>
  <c r="E16179" i="1"/>
  <c r="D16179" i="1"/>
  <c r="C16179" i="1"/>
  <c r="B16179" i="1"/>
  <c r="A16179" i="1"/>
  <c r="F16178" i="1"/>
  <c r="E16178" i="1"/>
  <c r="D16178" i="1"/>
  <c r="C16178" i="1"/>
  <c r="B16178" i="1"/>
  <c r="A16178" i="1"/>
  <c r="F16177" i="1"/>
  <c r="E16177" i="1"/>
  <c r="D16177" i="1"/>
  <c r="C16177" i="1"/>
  <c r="B16177" i="1"/>
  <c r="A16177" i="1"/>
  <c r="F16176" i="1"/>
  <c r="E16176" i="1"/>
  <c r="D16176" i="1"/>
  <c r="C16176" i="1"/>
  <c r="B16176" i="1"/>
  <c r="A16176" i="1"/>
  <c r="F16175" i="1"/>
  <c r="E16175" i="1"/>
  <c r="D16175" i="1"/>
  <c r="C16175" i="1"/>
  <c r="B16175" i="1"/>
  <c r="A16175" i="1"/>
  <c r="F16174" i="1"/>
  <c r="E16174" i="1"/>
  <c r="D16174" i="1"/>
  <c r="C16174" i="1"/>
  <c r="B16174" i="1"/>
  <c r="A16174" i="1"/>
  <c r="F16173" i="1"/>
  <c r="E16173" i="1"/>
  <c r="D16173" i="1"/>
  <c r="C16173" i="1"/>
  <c r="B16173" i="1"/>
  <c r="A16173" i="1"/>
  <c r="F16172" i="1"/>
  <c r="E16172" i="1"/>
  <c r="D16172" i="1"/>
  <c r="C16172" i="1"/>
  <c r="B16172" i="1"/>
  <c r="A16172" i="1"/>
  <c r="F16171" i="1"/>
  <c r="E16171" i="1"/>
  <c r="D16171" i="1"/>
  <c r="C16171" i="1"/>
  <c r="B16171" i="1"/>
  <c r="A16171" i="1"/>
  <c r="F16170" i="1"/>
  <c r="E16170" i="1"/>
  <c r="D16170" i="1"/>
  <c r="C16170" i="1"/>
  <c r="B16170" i="1"/>
  <c r="A16170" i="1"/>
  <c r="F16169" i="1"/>
  <c r="E16169" i="1"/>
  <c r="D16169" i="1"/>
  <c r="C16169" i="1"/>
  <c r="B16169" i="1"/>
  <c r="A16169" i="1"/>
  <c r="F16168" i="1"/>
  <c r="E16168" i="1"/>
  <c r="D16168" i="1"/>
  <c r="C16168" i="1"/>
  <c r="B16168" i="1"/>
  <c r="A16168" i="1"/>
  <c r="F16167" i="1"/>
  <c r="E16167" i="1"/>
  <c r="D16167" i="1"/>
  <c r="C16167" i="1"/>
  <c r="B16167" i="1"/>
  <c r="A16167" i="1"/>
  <c r="F16166" i="1"/>
  <c r="E16166" i="1"/>
  <c r="D16166" i="1"/>
  <c r="C16166" i="1"/>
  <c r="B16166" i="1"/>
  <c r="A16166" i="1"/>
  <c r="F16165" i="1"/>
  <c r="E16165" i="1"/>
  <c r="D16165" i="1"/>
  <c r="C16165" i="1"/>
  <c r="B16165" i="1"/>
  <c r="A16165" i="1"/>
  <c r="F16164" i="1"/>
  <c r="E16164" i="1"/>
  <c r="D16164" i="1"/>
  <c r="C16164" i="1"/>
  <c r="B16164" i="1"/>
  <c r="A16164" i="1"/>
  <c r="F16163" i="1"/>
  <c r="E16163" i="1"/>
  <c r="D16163" i="1"/>
  <c r="C16163" i="1"/>
  <c r="B16163" i="1"/>
  <c r="A16163" i="1"/>
  <c r="F16162" i="1"/>
  <c r="E16162" i="1"/>
  <c r="D16162" i="1"/>
  <c r="C16162" i="1"/>
  <c r="B16162" i="1"/>
  <c r="A16162" i="1"/>
  <c r="F16161" i="1"/>
  <c r="E16161" i="1"/>
  <c r="D16161" i="1"/>
  <c r="C16161" i="1"/>
  <c r="B16161" i="1"/>
  <c r="A16161" i="1"/>
  <c r="F16160" i="1"/>
  <c r="E16160" i="1"/>
  <c r="D16160" i="1"/>
  <c r="C16160" i="1"/>
  <c r="B16160" i="1"/>
  <c r="A16160" i="1"/>
  <c r="F16159" i="1"/>
  <c r="E16159" i="1"/>
  <c r="D16159" i="1"/>
  <c r="C16159" i="1"/>
  <c r="B16159" i="1"/>
  <c r="A16159" i="1"/>
  <c r="F16158" i="1"/>
  <c r="E16158" i="1"/>
  <c r="D16158" i="1"/>
  <c r="C16158" i="1"/>
  <c r="B16158" i="1"/>
  <c r="A16158" i="1"/>
  <c r="F16157" i="1"/>
  <c r="E16157" i="1"/>
  <c r="D16157" i="1"/>
  <c r="C16157" i="1"/>
  <c r="B16157" i="1"/>
  <c r="A16157" i="1"/>
  <c r="F16156" i="1"/>
  <c r="E16156" i="1"/>
  <c r="D16156" i="1"/>
  <c r="C16156" i="1"/>
  <c r="B16156" i="1"/>
  <c r="A16156" i="1"/>
  <c r="F16155" i="1"/>
  <c r="E16155" i="1"/>
  <c r="D16155" i="1"/>
  <c r="C16155" i="1"/>
  <c r="B16155" i="1"/>
  <c r="A16155" i="1"/>
  <c r="F16154" i="1"/>
  <c r="E16154" i="1"/>
  <c r="D16154" i="1"/>
  <c r="C16154" i="1"/>
  <c r="B16154" i="1"/>
  <c r="A16154" i="1"/>
  <c r="F16153" i="1"/>
  <c r="E16153" i="1"/>
  <c r="D16153" i="1"/>
  <c r="C16153" i="1"/>
  <c r="B16153" i="1"/>
  <c r="A16153" i="1"/>
  <c r="F16152" i="1"/>
  <c r="E16152" i="1"/>
  <c r="D16152" i="1"/>
  <c r="C16152" i="1"/>
  <c r="B16152" i="1"/>
  <c r="A16152" i="1"/>
  <c r="F16151" i="1"/>
  <c r="E16151" i="1"/>
  <c r="D16151" i="1"/>
  <c r="C16151" i="1"/>
  <c r="B16151" i="1"/>
  <c r="A16151" i="1"/>
  <c r="F16150" i="1"/>
  <c r="E16150" i="1"/>
  <c r="D16150" i="1"/>
  <c r="C16150" i="1"/>
  <c r="B16150" i="1"/>
  <c r="A16150" i="1"/>
  <c r="F16149" i="1"/>
  <c r="E16149" i="1"/>
  <c r="D16149" i="1"/>
  <c r="C16149" i="1"/>
  <c r="B16149" i="1"/>
  <c r="A16149" i="1"/>
  <c r="F16148" i="1"/>
  <c r="E16148" i="1"/>
  <c r="D16148" i="1"/>
  <c r="C16148" i="1"/>
  <c r="B16148" i="1"/>
  <c r="A16148" i="1"/>
  <c r="F16147" i="1"/>
  <c r="E16147" i="1"/>
  <c r="D16147" i="1"/>
  <c r="C16147" i="1"/>
  <c r="B16147" i="1"/>
  <c r="A16147" i="1"/>
  <c r="F16146" i="1"/>
  <c r="E16146" i="1"/>
  <c r="D16146" i="1"/>
  <c r="C16146" i="1"/>
  <c r="B16146" i="1"/>
  <c r="A16146" i="1"/>
  <c r="F16145" i="1"/>
  <c r="E16145" i="1"/>
  <c r="D16145" i="1"/>
  <c r="C16145" i="1"/>
  <c r="B16145" i="1"/>
  <c r="A16145" i="1"/>
  <c r="F16144" i="1"/>
  <c r="E16144" i="1"/>
  <c r="D16144" i="1"/>
  <c r="C16144" i="1"/>
  <c r="B16144" i="1"/>
  <c r="A16144" i="1"/>
  <c r="F16143" i="1"/>
  <c r="E16143" i="1"/>
  <c r="D16143" i="1"/>
  <c r="C16143" i="1"/>
  <c r="B16143" i="1"/>
  <c r="A16143" i="1"/>
  <c r="F16142" i="1"/>
  <c r="E16142" i="1"/>
  <c r="D16142" i="1"/>
  <c r="C16142" i="1"/>
  <c r="B16142" i="1"/>
  <c r="A16142" i="1"/>
  <c r="F16141" i="1"/>
  <c r="E16141" i="1"/>
  <c r="D16141" i="1"/>
  <c r="C16141" i="1"/>
  <c r="B16141" i="1"/>
  <c r="A16141" i="1"/>
  <c r="F16140" i="1"/>
  <c r="E16140" i="1"/>
  <c r="D16140" i="1"/>
  <c r="C16140" i="1"/>
  <c r="B16140" i="1"/>
  <c r="A16140" i="1"/>
  <c r="F16139" i="1"/>
  <c r="E16139" i="1"/>
  <c r="D16139" i="1"/>
  <c r="C16139" i="1"/>
  <c r="B16139" i="1"/>
  <c r="A16139" i="1"/>
  <c r="F16138" i="1"/>
  <c r="E16138" i="1"/>
  <c r="D16138" i="1"/>
  <c r="C16138" i="1"/>
  <c r="B16138" i="1"/>
  <c r="A16138" i="1"/>
  <c r="F16137" i="1"/>
  <c r="E16137" i="1"/>
  <c r="D16137" i="1"/>
  <c r="C16137" i="1"/>
  <c r="B16137" i="1"/>
  <c r="A16137" i="1"/>
  <c r="F16136" i="1"/>
  <c r="E16136" i="1"/>
  <c r="D16136" i="1"/>
  <c r="C16136" i="1"/>
  <c r="B16136" i="1"/>
  <c r="A16136" i="1"/>
  <c r="F16135" i="1"/>
  <c r="E16135" i="1"/>
  <c r="D16135" i="1"/>
  <c r="C16135" i="1"/>
  <c r="B16135" i="1"/>
  <c r="A16135" i="1"/>
  <c r="F16134" i="1"/>
  <c r="E16134" i="1"/>
  <c r="D16134" i="1"/>
  <c r="C16134" i="1"/>
  <c r="B16134" i="1"/>
  <c r="A16134" i="1"/>
  <c r="F16133" i="1"/>
  <c r="E16133" i="1"/>
  <c r="D16133" i="1"/>
  <c r="C16133" i="1"/>
  <c r="B16133" i="1"/>
  <c r="A16133" i="1"/>
  <c r="F16132" i="1"/>
  <c r="E16132" i="1"/>
  <c r="D16132" i="1"/>
  <c r="C16132" i="1"/>
  <c r="B16132" i="1"/>
  <c r="A16132" i="1"/>
  <c r="F16131" i="1"/>
  <c r="E16131" i="1"/>
  <c r="D16131" i="1"/>
  <c r="C16131" i="1"/>
  <c r="B16131" i="1"/>
  <c r="A16131" i="1"/>
  <c r="F16130" i="1"/>
  <c r="E16130" i="1"/>
  <c r="D16130" i="1"/>
  <c r="C16130" i="1"/>
  <c r="B16130" i="1"/>
  <c r="A16130" i="1"/>
  <c r="F16129" i="1"/>
  <c r="E16129" i="1"/>
  <c r="D16129" i="1"/>
  <c r="C16129" i="1"/>
  <c r="B16129" i="1"/>
  <c r="A16129" i="1"/>
  <c r="F16128" i="1"/>
  <c r="E16128" i="1"/>
  <c r="D16128" i="1"/>
  <c r="C16128" i="1"/>
  <c r="B16128" i="1"/>
  <c r="A16128" i="1"/>
  <c r="F16127" i="1"/>
  <c r="E16127" i="1"/>
  <c r="D16127" i="1"/>
  <c r="C16127" i="1"/>
  <c r="B16127" i="1"/>
  <c r="A16127" i="1"/>
  <c r="F16126" i="1"/>
  <c r="E16126" i="1"/>
  <c r="D16126" i="1"/>
  <c r="C16126" i="1"/>
  <c r="B16126" i="1"/>
  <c r="A16126" i="1"/>
  <c r="F16125" i="1"/>
  <c r="E16125" i="1"/>
  <c r="D16125" i="1"/>
  <c r="C16125" i="1"/>
  <c r="B16125" i="1"/>
  <c r="A16125" i="1"/>
  <c r="F16124" i="1"/>
  <c r="E16124" i="1"/>
  <c r="D16124" i="1"/>
  <c r="C16124" i="1"/>
  <c r="B16124" i="1"/>
  <c r="A16124" i="1"/>
  <c r="F16123" i="1"/>
  <c r="E16123" i="1"/>
  <c r="D16123" i="1"/>
  <c r="C16123" i="1"/>
  <c r="B16123" i="1"/>
  <c r="A16123" i="1"/>
  <c r="F16122" i="1"/>
  <c r="E16122" i="1"/>
  <c r="D16122" i="1"/>
  <c r="C16122" i="1"/>
  <c r="B16122" i="1"/>
  <c r="A16122" i="1"/>
  <c r="F16121" i="1"/>
  <c r="E16121" i="1"/>
  <c r="D16121" i="1"/>
  <c r="C16121" i="1"/>
  <c r="B16121" i="1"/>
  <c r="A16121" i="1"/>
  <c r="F16120" i="1"/>
  <c r="E16120" i="1"/>
  <c r="D16120" i="1"/>
  <c r="C16120" i="1"/>
  <c r="B16120" i="1"/>
  <c r="A16120" i="1"/>
  <c r="F16119" i="1"/>
  <c r="E16119" i="1"/>
  <c r="D16119" i="1"/>
  <c r="C16119" i="1"/>
  <c r="B16119" i="1"/>
  <c r="A16119" i="1"/>
  <c r="F16118" i="1"/>
  <c r="E16118" i="1"/>
  <c r="D16118" i="1"/>
  <c r="C16118" i="1"/>
  <c r="B16118" i="1"/>
  <c r="A16118" i="1"/>
  <c r="F16117" i="1"/>
  <c r="E16117" i="1"/>
  <c r="D16117" i="1"/>
  <c r="C16117" i="1"/>
  <c r="B16117" i="1"/>
  <c r="A16117" i="1"/>
  <c r="F16116" i="1"/>
  <c r="E16116" i="1"/>
  <c r="D16116" i="1"/>
  <c r="C16116" i="1"/>
  <c r="B16116" i="1"/>
  <c r="A16116" i="1"/>
  <c r="F16115" i="1"/>
  <c r="E16115" i="1"/>
  <c r="D16115" i="1"/>
  <c r="C16115" i="1"/>
  <c r="B16115" i="1"/>
  <c r="A16115" i="1"/>
  <c r="F16114" i="1"/>
  <c r="E16114" i="1"/>
  <c r="D16114" i="1"/>
  <c r="C16114" i="1"/>
  <c r="B16114" i="1"/>
  <c r="A16114" i="1"/>
  <c r="F16113" i="1"/>
  <c r="E16113" i="1"/>
  <c r="D16113" i="1"/>
  <c r="C16113" i="1"/>
  <c r="B16113" i="1"/>
  <c r="A16113" i="1"/>
  <c r="F16112" i="1"/>
  <c r="E16112" i="1"/>
  <c r="D16112" i="1"/>
  <c r="C16112" i="1"/>
  <c r="B16112" i="1"/>
  <c r="A16112" i="1"/>
  <c r="F16111" i="1"/>
  <c r="E16111" i="1"/>
  <c r="D16111" i="1"/>
  <c r="C16111" i="1"/>
  <c r="B16111" i="1"/>
  <c r="A16111" i="1"/>
  <c r="F16110" i="1"/>
  <c r="E16110" i="1"/>
  <c r="D16110" i="1"/>
  <c r="C16110" i="1"/>
  <c r="B16110" i="1"/>
  <c r="A16110" i="1"/>
  <c r="F16109" i="1"/>
  <c r="E16109" i="1"/>
  <c r="D16109" i="1"/>
  <c r="C16109" i="1"/>
  <c r="B16109" i="1"/>
  <c r="A16109" i="1"/>
  <c r="F16108" i="1"/>
  <c r="E16108" i="1"/>
  <c r="D16108" i="1"/>
  <c r="C16108" i="1"/>
  <c r="B16108" i="1"/>
  <c r="A16108" i="1"/>
  <c r="F16107" i="1"/>
  <c r="E16107" i="1"/>
  <c r="D16107" i="1"/>
  <c r="C16107" i="1"/>
  <c r="B16107" i="1"/>
  <c r="A16107" i="1"/>
  <c r="F16106" i="1"/>
  <c r="E16106" i="1"/>
  <c r="D16106" i="1"/>
  <c r="C16106" i="1"/>
  <c r="B16106" i="1"/>
  <c r="A16106" i="1"/>
  <c r="F16105" i="1"/>
  <c r="E16105" i="1"/>
  <c r="D16105" i="1"/>
  <c r="C16105" i="1"/>
  <c r="B16105" i="1"/>
  <c r="A16105" i="1"/>
  <c r="F16104" i="1"/>
  <c r="E16104" i="1"/>
  <c r="D16104" i="1"/>
  <c r="C16104" i="1"/>
  <c r="B16104" i="1"/>
  <c r="A16104" i="1"/>
  <c r="F16103" i="1"/>
  <c r="E16103" i="1"/>
  <c r="D16103" i="1"/>
  <c r="C16103" i="1"/>
  <c r="B16103" i="1"/>
  <c r="A16103" i="1"/>
  <c r="F16102" i="1"/>
  <c r="E16102" i="1"/>
  <c r="D16102" i="1"/>
  <c r="C16102" i="1"/>
  <c r="B16102" i="1"/>
  <c r="A16102" i="1"/>
  <c r="F16101" i="1"/>
  <c r="E16101" i="1"/>
  <c r="D16101" i="1"/>
  <c r="C16101" i="1"/>
  <c r="B16101" i="1"/>
  <c r="A16101" i="1"/>
  <c r="F16100" i="1"/>
  <c r="E16100" i="1"/>
  <c r="D16100" i="1"/>
  <c r="C16100" i="1"/>
  <c r="B16100" i="1"/>
  <c r="A16100" i="1"/>
  <c r="F16099" i="1"/>
  <c r="E16099" i="1"/>
  <c r="D16099" i="1"/>
  <c r="C16099" i="1"/>
  <c r="B16099" i="1"/>
  <c r="A16099" i="1"/>
  <c r="F16098" i="1"/>
  <c r="E16098" i="1"/>
  <c r="D16098" i="1"/>
  <c r="C16098" i="1"/>
  <c r="B16098" i="1"/>
  <c r="A16098" i="1"/>
  <c r="F16097" i="1"/>
  <c r="E16097" i="1"/>
  <c r="D16097" i="1"/>
  <c r="C16097" i="1"/>
  <c r="B16097" i="1"/>
  <c r="A16097" i="1"/>
  <c r="F16096" i="1"/>
  <c r="E16096" i="1"/>
  <c r="D16096" i="1"/>
  <c r="C16096" i="1"/>
  <c r="B16096" i="1"/>
  <c r="A16096" i="1"/>
  <c r="F16095" i="1"/>
  <c r="E16095" i="1"/>
  <c r="D16095" i="1"/>
  <c r="C16095" i="1"/>
  <c r="B16095" i="1"/>
  <c r="A16095" i="1"/>
  <c r="F16094" i="1"/>
  <c r="E16094" i="1"/>
  <c r="D16094" i="1"/>
  <c r="C16094" i="1"/>
  <c r="B16094" i="1"/>
  <c r="A16094" i="1"/>
  <c r="F16093" i="1"/>
  <c r="E16093" i="1"/>
  <c r="D16093" i="1"/>
  <c r="C16093" i="1"/>
  <c r="B16093" i="1"/>
  <c r="A16093" i="1"/>
  <c r="F16092" i="1"/>
  <c r="E16092" i="1"/>
  <c r="D16092" i="1"/>
  <c r="C16092" i="1"/>
  <c r="B16092" i="1"/>
  <c r="A16092" i="1"/>
  <c r="F16091" i="1"/>
  <c r="E16091" i="1"/>
  <c r="D16091" i="1"/>
  <c r="C16091" i="1"/>
  <c r="B16091" i="1"/>
  <c r="A16091" i="1"/>
  <c r="F16090" i="1"/>
  <c r="E16090" i="1"/>
  <c r="D16090" i="1"/>
  <c r="C16090" i="1"/>
  <c r="B16090" i="1"/>
  <c r="A16090" i="1"/>
  <c r="F16089" i="1"/>
  <c r="E16089" i="1"/>
  <c r="D16089" i="1"/>
  <c r="C16089" i="1"/>
  <c r="B16089" i="1"/>
  <c r="A16089" i="1"/>
  <c r="F16088" i="1"/>
  <c r="E16088" i="1"/>
  <c r="D16088" i="1"/>
  <c r="C16088" i="1"/>
  <c r="B16088" i="1"/>
  <c r="A16088" i="1"/>
  <c r="F16087" i="1"/>
  <c r="E16087" i="1"/>
  <c r="D16087" i="1"/>
  <c r="C16087" i="1"/>
  <c r="B16087" i="1"/>
  <c r="A16087" i="1"/>
  <c r="F16086" i="1"/>
  <c r="E16086" i="1"/>
  <c r="D16086" i="1"/>
  <c r="C16086" i="1"/>
  <c r="B16086" i="1"/>
  <c r="A16086" i="1"/>
  <c r="F16085" i="1"/>
  <c r="E16085" i="1"/>
  <c r="D16085" i="1"/>
  <c r="C16085" i="1"/>
  <c r="B16085" i="1"/>
  <c r="A16085" i="1"/>
  <c r="F16084" i="1"/>
  <c r="E16084" i="1"/>
  <c r="D16084" i="1"/>
  <c r="C16084" i="1"/>
  <c r="B16084" i="1"/>
  <c r="A16084" i="1"/>
  <c r="F16083" i="1"/>
  <c r="E16083" i="1"/>
  <c r="D16083" i="1"/>
  <c r="C16083" i="1"/>
  <c r="B16083" i="1"/>
  <c r="A16083" i="1"/>
  <c r="F16082" i="1"/>
  <c r="E16082" i="1"/>
  <c r="D16082" i="1"/>
  <c r="C16082" i="1"/>
  <c r="B16082" i="1"/>
  <c r="A16082" i="1"/>
  <c r="F16081" i="1"/>
  <c r="E16081" i="1"/>
  <c r="D16081" i="1"/>
  <c r="C16081" i="1"/>
  <c r="B16081" i="1"/>
  <c r="A16081" i="1"/>
  <c r="F16080" i="1"/>
  <c r="E16080" i="1"/>
  <c r="D16080" i="1"/>
  <c r="C16080" i="1"/>
  <c r="B16080" i="1"/>
  <c r="A16080" i="1"/>
  <c r="F16079" i="1"/>
  <c r="E16079" i="1"/>
  <c r="D16079" i="1"/>
  <c r="C16079" i="1"/>
  <c r="B16079" i="1"/>
  <c r="A16079" i="1"/>
  <c r="F16078" i="1"/>
  <c r="E16078" i="1"/>
  <c r="D16078" i="1"/>
  <c r="C16078" i="1"/>
  <c r="B16078" i="1"/>
  <c r="A16078" i="1"/>
  <c r="F16077" i="1"/>
  <c r="E16077" i="1"/>
  <c r="D16077" i="1"/>
  <c r="C16077" i="1"/>
  <c r="B16077" i="1"/>
  <c r="A16077" i="1"/>
  <c r="F16076" i="1"/>
  <c r="E16076" i="1"/>
  <c r="D16076" i="1"/>
  <c r="C16076" i="1"/>
  <c r="B16076" i="1"/>
  <c r="A16076" i="1"/>
  <c r="F16075" i="1"/>
  <c r="E16075" i="1"/>
  <c r="D16075" i="1"/>
  <c r="C16075" i="1"/>
  <c r="B16075" i="1"/>
  <c r="A16075" i="1"/>
  <c r="F16074" i="1"/>
  <c r="E16074" i="1"/>
  <c r="D16074" i="1"/>
  <c r="C16074" i="1"/>
  <c r="B16074" i="1"/>
  <c r="A16074" i="1"/>
  <c r="F16073" i="1"/>
  <c r="E16073" i="1"/>
  <c r="D16073" i="1"/>
  <c r="C16073" i="1"/>
  <c r="B16073" i="1"/>
  <c r="A16073" i="1"/>
  <c r="F16072" i="1"/>
  <c r="E16072" i="1"/>
  <c r="D16072" i="1"/>
  <c r="C16072" i="1"/>
  <c r="B16072" i="1"/>
  <c r="A16072" i="1"/>
  <c r="F16071" i="1"/>
  <c r="E16071" i="1"/>
  <c r="D16071" i="1"/>
  <c r="C16071" i="1"/>
  <c r="B16071" i="1"/>
  <c r="A16071" i="1"/>
  <c r="F16070" i="1"/>
  <c r="E16070" i="1"/>
  <c r="D16070" i="1"/>
  <c r="C16070" i="1"/>
  <c r="B16070" i="1"/>
  <c r="A16070" i="1"/>
  <c r="F16069" i="1"/>
  <c r="E16069" i="1"/>
  <c r="D16069" i="1"/>
  <c r="C16069" i="1"/>
  <c r="B16069" i="1"/>
  <c r="A16069" i="1"/>
  <c r="F16068" i="1"/>
  <c r="E16068" i="1"/>
  <c r="D16068" i="1"/>
  <c r="C16068" i="1"/>
  <c r="B16068" i="1"/>
  <c r="A16068" i="1"/>
  <c r="F16067" i="1"/>
  <c r="E16067" i="1"/>
  <c r="D16067" i="1"/>
  <c r="C16067" i="1"/>
  <c r="B16067" i="1"/>
  <c r="A16067" i="1"/>
  <c r="F16066" i="1"/>
  <c r="E16066" i="1"/>
  <c r="D16066" i="1"/>
  <c r="C16066" i="1"/>
  <c r="B16066" i="1"/>
  <c r="A16066" i="1"/>
  <c r="F16065" i="1"/>
  <c r="E16065" i="1"/>
  <c r="D16065" i="1"/>
  <c r="C16065" i="1"/>
  <c r="B16065" i="1"/>
  <c r="A16065" i="1"/>
  <c r="F16064" i="1"/>
  <c r="E16064" i="1"/>
  <c r="D16064" i="1"/>
  <c r="C16064" i="1"/>
  <c r="B16064" i="1"/>
  <c r="A16064" i="1"/>
  <c r="F16063" i="1"/>
  <c r="E16063" i="1"/>
  <c r="D16063" i="1"/>
  <c r="C16063" i="1"/>
  <c r="B16063" i="1"/>
  <c r="A16063" i="1"/>
  <c r="F16062" i="1"/>
  <c r="E16062" i="1"/>
  <c r="D16062" i="1"/>
  <c r="C16062" i="1"/>
  <c r="B16062" i="1"/>
  <c r="A16062" i="1"/>
  <c r="F16061" i="1"/>
  <c r="E16061" i="1"/>
  <c r="D16061" i="1"/>
  <c r="C16061" i="1"/>
  <c r="B16061" i="1"/>
  <c r="A16061" i="1"/>
  <c r="F16060" i="1"/>
  <c r="E16060" i="1"/>
  <c r="D16060" i="1"/>
  <c r="C16060" i="1"/>
  <c r="B16060" i="1"/>
  <c r="A16060" i="1"/>
  <c r="F16059" i="1"/>
  <c r="E16059" i="1"/>
  <c r="D16059" i="1"/>
  <c r="C16059" i="1"/>
  <c r="B16059" i="1"/>
  <c r="A16059" i="1"/>
  <c r="F16058" i="1"/>
  <c r="E16058" i="1"/>
  <c r="D16058" i="1"/>
  <c r="C16058" i="1"/>
  <c r="B16058" i="1"/>
  <c r="A16058" i="1"/>
  <c r="F16057" i="1"/>
  <c r="E16057" i="1"/>
  <c r="D16057" i="1"/>
  <c r="C16057" i="1"/>
  <c r="B16057" i="1"/>
  <c r="A16057" i="1"/>
  <c r="F16056" i="1"/>
  <c r="E16056" i="1"/>
  <c r="D16056" i="1"/>
  <c r="C16056" i="1"/>
  <c r="B16056" i="1"/>
  <c r="A16056" i="1"/>
  <c r="F16055" i="1"/>
  <c r="E16055" i="1"/>
  <c r="D16055" i="1"/>
  <c r="C16055" i="1"/>
  <c r="B16055" i="1"/>
  <c r="A16055" i="1"/>
  <c r="F16054" i="1"/>
  <c r="E16054" i="1"/>
  <c r="D16054" i="1"/>
  <c r="C16054" i="1"/>
  <c r="B16054" i="1"/>
  <c r="A16054" i="1"/>
  <c r="F16053" i="1"/>
  <c r="E16053" i="1"/>
  <c r="D16053" i="1"/>
  <c r="C16053" i="1"/>
  <c r="B16053" i="1"/>
  <c r="A16053" i="1"/>
  <c r="F16052" i="1"/>
  <c r="E16052" i="1"/>
  <c r="D16052" i="1"/>
  <c r="C16052" i="1"/>
  <c r="B16052" i="1"/>
  <c r="A16052" i="1"/>
  <c r="F16051" i="1"/>
  <c r="E16051" i="1"/>
  <c r="D16051" i="1"/>
  <c r="C16051" i="1"/>
  <c r="B16051" i="1"/>
  <c r="A16051" i="1"/>
  <c r="F16050" i="1"/>
  <c r="E16050" i="1"/>
  <c r="D16050" i="1"/>
  <c r="C16050" i="1"/>
  <c r="B16050" i="1"/>
  <c r="A16050" i="1"/>
  <c r="F16049" i="1"/>
  <c r="E16049" i="1"/>
  <c r="D16049" i="1"/>
  <c r="C16049" i="1"/>
  <c r="B16049" i="1"/>
  <c r="A16049" i="1"/>
  <c r="F16048" i="1"/>
  <c r="E16048" i="1"/>
  <c r="D16048" i="1"/>
  <c r="C16048" i="1"/>
  <c r="B16048" i="1"/>
  <c r="A16048" i="1"/>
  <c r="F16047" i="1"/>
  <c r="E16047" i="1"/>
  <c r="D16047" i="1"/>
  <c r="C16047" i="1"/>
  <c r="B16047" i="1"/>
  <c r="A16047" i="1"/>
  <c r="F16046" i="1"/>
  <c r="E16046" i="1"/>
  <c r="D16046" i="1"/>
  <c r="C16046" i="1"/>
  <c r="B16046" i="1"/>
  <c r="A16046" i="1"/>
  <c r="F16045" i="1"/>
  <c r="E16045" i="1"/>
  <c r="D16045" i="1"/>
  <c r="C16045" i="1"/>
  <c r="B16045" i="1"/>
  <c r="A16045" i="1"/>
  <c r="F16044" i="1"/>
  <c r="E16044" i="1"/>
  <c r="D16044" i="1"/>
  <c r="C16044" i="1"/>
  <c r="B16044" i="1"/>
  <c r="A16044" i="1"/>
  <c r="F16043" i="1"/>
  <c r="E16043" i="1"/>
  <c r="D16043" i="1"/>
  <c r="C16043" i="1"/>
  <c r="B16043" i="1"/>
  <c r="A16043" i="1"/>
  <c r="F16042" i="1"/>
  <c r="E16042" i="1"/>
  <c r="D16042" i="1"/>
  <c r="C16042" i="1"/>
  <c r="B16042" i="1"/>
  <c r="A16042" i="1"/>
  <c r="F16041" i="1"/>
  <c r="E16041" i="1"/>
  <c r="D16041" i="1"/>
  <c r="C16041" i="1"/>
  <c r="B16041" i="1"/>
  <c r="A16041" i="1"/>
  <c r="F16040" i="1"/>
  <c r="E16040" i="1"/>
  <c r="D16040" i="1"/>
  <c r="C16040" i="1"/>
  <c r="B16040" i="1"/>
  <c r="A16040" i="1"/>
  <c r="F16039" i="1"/>
  <c r="E16039" i="1"/>
  <c r="D16039" i="1"/>
  <c r="C16039" i="1"/>
  <c r="B16039" i="1"/>
  <c r="A16039" i="1"/>
  <c r="F16038" i="1"/>
  <c r="E16038" i="1"/>
  <c r="D16038" i="1"/>
  <c r="C16038" i="1"/>
  <c r="B16038" i="1"/>
  <c r="A16038" i="1"/>
  <c r="F16037" i="1"/>
  <c r="E16037" i="1"/>
  <c r="D16037" i="1"/>
  <c r="C16037" i="1"/>
  <c r="B16037" i="1"/>
  <c r="A16037" i="1"/>
  <c r="F16036" i="1"/>
  <c r="E16036" i="1"/>
  <c r="D16036" i="1"/>
  <c r="C16036" i="1"/>
  <c r="B16036" i="1"/>
  <c r="A16036" i="1"/>
  <c r="F16035" i="1"/>
  <c r="E16035" i="1"/>
  <c r="D16035" i="1"/>
  <c r="C16035" i="1"/>
  <c r="B16035" i="1"/>
  <c r="A16035" i="1"/>
  <c r="F16034" i="1"/>
  <c r="E16034" i="1"/>
  <c r="D16034" i="1"/>
  <c r="C16034" i="1"/>
  <c r="B16034" i="1"/>
  <c r="A16034" i="1"/>
  <c r="F16033" i="1"/>
  <c r="E16033" i="1"/>
  <c r="D16033" i="1"/>
  <c r="C16033" i="1"/>
  <c r="B16033" i="1"/>
  <c r="A16033" i="1"/>
  <c r="F16032" i="1"/>
  <c r="E16032" i="1"/>
  <c r="D16032" i="1"/>
  <c r="C16032" i="1"/>
  <c r="B16032" i="1"/>
  <c r="A16032" i="1"/>
  <c r="F16031" i="1"/>
  <c r="E16031" i="1"/>
  <c r="D16031" i="1"/>
  <c r="C16031" i="1"/>
  <c r="B16031" i="1"/>
  <c r="A16031" i="1"/>
  <c r="F16030" i="1"/>
  <c r="E16030" i="1"/>
  <c r="D16030" i="1"/>
  <c r="C16030" i="1"/>
  <c r="B16030" i="1"/>
  <c r="A16030" i="1"/>
  <c r="F16029" i="1"/>
  <c r="E16029" i="1"/>
  <c r="D16029" i="1"/>
  <c r="C16029" i="1"/>
  <c r="B16029" i="1"/>
  <c r="A16029" i="1"/>
  <c r="F16028" i="1"/>
  <c r="E16028" i="1"/>
  <c r="D16028" i="1"/>
  <c r="C16028" i="1"/>
  <c r="B16028" i="1"/>
  <c r="A16028" i="1"/>
  <c r="F16027" i="1"/>
  <c r="E16027" i="1"/>
  <c r="D16027" i="1"/>
  <c r="C16027" i="1"/>
  <c r="B16027" i="1"/>
  <c r="A16027" i="1"/>
  <c r="F16026" i="1"/>
  <c r="E16026" i="1"/>
  <c r="D16026" i="1"/>
  <c r="C16026" i="1"/>
  <c r="B16026" i="1"/>
  <c r="A16026" i="1"/>
  <c r="F16025" i="1"/>
  <c r="E16025" i="1"/>
  <c r="D16025" i="1"/>
  <c r="C16025" i="1"/>
  <c r="B16025" i="1"/>
  <c r="A16025" i="1"/>
  <c r="F16024" i="1"/>
  <c r="E16024" i="1"/>
  <c r="D16024" i="1"/>
  <c r="C16024" i="1"/>
  <c r="B16024" i="1"/>
  <c r="A16024" i="1"/>
  <c r="F16023" i="1"/>
  <c r="E16023" i="1"/>
  <c r="D16023" i="1"/>
  <c r="C16023" i="1"/>
  <c r="B16023" i="1"/>
  <c r="A16023" i="1"/>
  <c r="F16022" i="1"/>
  <c r="E16022" i="1"/>
  <c r="D16022" i="1"/>
  <c r="C16022" i="1"/>
  <c r="B16022" i="1"/>
  <c r="A16022" i="1"/>
  <c r="F16021" i="1"/>
  <c r="E16021" i="1"/>
  <c r="D16021" i="1"/>
  <c r="C16021" i="1"/>
  <c r="B16021" i="1"/>
  <c r="A16021" i="1"/>
  <c r="F16020" i="1"/>
  <c r="E16020" i="1"/>
  <c r="D16020" i="1"/>
  <c r="C16020" i="1"/>
  <c r="B16020" i="1"/>
  <c r="A16020" i="1"/>
  <c r="F16019" i="1"/>
  <c r="E16019" i="1"/>
  <c r="D16019" i="1"/>
  <c r="C16019" i="1"/>
  <c r="B16019" i="1"/>
  <c r="A16019" i="1"/>
  <c r="F16018" i="1"/>
  <c r="E16018" i="1"/>
  <c r="D16018" i="1"/>
  <c r="C16018" i="1"/>
  <c r="B16018" i="1"/>
  <c r="A16018" i="1"/>
  <c r="F16017" i="1"/>
  <c r="E16017" i="1"/>
  <c r="D16017" i="1"/>
  <c r="C16017" i="1"/>
  <c r="B16017" i="1"/>
  <c r="A16017" i="1"/>
  <c r="F16016" i="1"/>
  <c r="E16016" i="1"/>
  <c r="D16016" i="1"/>
  <c r="C16016" i="1"/>
  <c r="B16016" i="1"/>
  <c r="A16016" i="1"/>
  <c r="F16015" i="1"/>
  <c r="E16015" i="1"/>
  <c r="D16015" i="1"/>
  <c r="C16015" i="1"/>
  <c r="B16015" i="1"/>
  <c r="A16015" i="1"/>
  <c r="F16014" i="1"/>
  <c r="E16014" i="1"/>
  <c r="D16014" i="1"/>
  <c r="C16014" i="1"/>
  <c r="B16014" i="1"/>
  <c r="A16014" i="1"/>
  <c r="F16013" i="1"/>
  <c r="E16013" i="1"/>
  <c r="D16013" i="1"/>
  <c r="C16013" i="1"/>
  <c r="B16013" i="1"/>
  <c r="A16013" i="1"/>
  <c r="F16012" i="1"/>
  <c r="E16012" i="1"/>
  <c r="D16012" i="1"/>
  <c r="C16012" i="1"/>
  <c r="B16012" i="1"/>
  <c r="A16012" i="1"/>
  <c r="F16011" i="1"/>
  <c r="E16011" i="1"/>
  <c r="D16011" i="1"/>
  <c r="C16011" i="1"/>
  <c r="B16011" i="1"/>
  <c r="A16011" i="1"/>
  <c r="F16010" i="1"/>
  <c r="E16010" i="1"/>
  <c r="D16010" i="1"/>
  <c r="C16010" i="1"/>
  <c r="B16010" i="1"/>
  <c r="A16010" i="1"/>
  <c r="F16009" i="1"/>
  <c r="E16009" i="1"/>
  <c r="D16009" i="1"/>
  <c r="C16009" i="1"/>
  <c r="B16009" i="1"/>
  <c r="A16009" i="1"/>
  <c r="F16008" i="1"/>
  <c r="E16008" i="1"/>
  <c r="D16008" i="1"/>
  <c r="C16008" i="1"/>
  <c r="B16008" i="1"/>
  <c r="A16008" i="1"/>
  <c r="F16007" i="1"/>
  <c r="E16007" i="1"/>
  <c r="D16007" i="1"/>
  <c r="C16007" i="1"/>
  <c r="B16007" i="1"/>
  <c r="A16007" i="1"/>
  <c r="F16006" i="1"/>
  <c r="E16006" i="1"/>
  <c r="D16006" i="1"/>
  <c r="C16006" i="1"/>
  <c r="B16006" i="1"/>
  <c r="A16006" i="1"/>
  <c r="F16005" i="1"/>
  <c r="E16005" i="1"/>
  <c r="D16005" i="1"/>
  <c r="C16005" i="1"/>
  <c r="B16005" i="1"/>
  <c r="A16005" i="1"/>
  <c r="F16004" i="1"/>
  <c r="E16004" i="1"/>
  <c r="D16004" i="1"/>
  <c r="C16004" i="1"/>
  <c r="B16004" i="1"/>
  <c r="A16004" i="1"/>
  <c r="F16003" i="1"/>
  <c r="E16003" i="1"/>
  <c r="D16003" i="1"/>
  <c r="C16003" i="1"/>
  <c r="B16003" i="1"/>
  <c r="A16003" i="1"/>
  <c r="F16002" i="1"/>
  <c r="E16002" i="1"/>
  <c r="D16002" i="1"/>
  <c r="C16002" i="1"/>
  <c r="B16002" i="1"/>
  <c r="A16002" i="1"/>
  <c r="F16001" i="1"/>
  <c r="E16001" i="1"/>
  <c r="D16001" i="1"/>
  <c r="C16001" i="1"/>
  <c r="B16001" i="1"/>
  <c r="A16001" i="1"/>
  <c r="F16000" i="1"/>
  <c r="E16000" i="1"/>
  <c r="D16000" i="1"/>
  <c r="C16000" i="1"/>
  <c r="B16000" i="1"/>
  <c r="A16000" i="1"/>
  <c r="F15999" i="1"/>
  <c r="E15999" i="1"/>
  <c r="D15999" i="1"/>
  <c r="C15999" i="1"/>
  <c r="B15999" i="1"/>
  <c r="A15999" i="1"/>
  <c r="F15998" i="1"/>
  <c r="E15998" i="1"/>
  <c r="D15998" i="1"/>
  <c r="C15998" i="1"/>
  <c r="B15998" i="1"/>
  <c r="A15998" i="1"/>
  <c r="F15997" i="1"/>
  <c r="E15997" i="1"/>
  <c r="D15997" i="1"/>
  <c r="C15997" i="1"/>
  <c r="B15997" i="1"/>
  <c r="A15997" i="1"/>
  <c r="F15996" i="1"/>
  <c r="E15996" i="1"/>
  <c r="D15996" i="1"/>
  <c r="C15996" i="1"/>
  <c r="B15996" i="1"/>
  <c r="A15996" i="1"/>
  <c r="F15995" i="1"/>
  <c r="E15995" i="1"/>
  <c r="D15995" i="1"/>
  <c r="C15995" i="1"/>
  <c r="B15995" i="1"/>
  <c r="A15995" i="1"/>
  <c r="F15994" i="1"/>
  <c r="E15994" i="1"/>
  <c r="D15994" i="1"/>
  <c r="C15994" i="1"/>
  <c r="B15994" i="1"/>
  <c r="A15994" i="1"/>
  <c r="F15993" i="1"/>
  <c r="E15993" i="1"/>
  <c r="D15993" i="1"/>
  <c r="C15993" i="1"/>
  <c r="B15993" i="1"/>
  <c r="A15993" i="1"/>
  <c r="F15992" i="1"/>
  <c r="E15992" i="1"/>
  <c r="D15992" i="1"/>
  <c r="C15992" i="1"/>
  <c r="B15992" i="1"/>
  <c r="A15992" i="1"/>
  <c r="F15991" i="1"/>
  <c r="E15991" i="1"/>
  <c r="D15991" i="1"/>
  <c r="C15991" i="1"/>
  <c r="B15991" i="1"/>
  <c r="A15991" i="1"/>
  <c r="F15990" i="1"/>
  <c r="E15990" i="1"/>
  <c r="D15990" i="1"/>
  <c r="C15990" i="1"/>
  <c r="B15990" i="1"/>
  <c r="A15990" i="1"/>
  <c r="F15989" i="1"/>
  <c r="E15989" i="1"/>
  <c r="D15989" i="1"/>
  <c r="C15989" i="1"/>
  <c r="B15989" i="1"/>
  <c r="A15989" i="1"/>
  <c r="F15988" i="1"/>
  <c r="E15988" i="1"/>
  <c r="D15988" i="1"/>
  <c r="C15988" i="1"/>
  <c r="B15988" i="1"/>
  <c r="A15988" i="1"/>
  <c r="F15987" i="1"/>
  <c r="E15987" i="1"/>
  <c r="D15987" i="1"/>
  <c r="C15987" i="1"/>
  <c r="B15987" i="1"/>
  <c r="A15987" i="1"/>
  <c r="F15986" i="1"/>
  <c r="E15986" i="1"/>
  <c r="D15986" i="1"/>
  <c r="C15986" i="1"/>
  <c r="B15986" i="1"/>
  <c r="A15986" i="1"/>
  <c r="F15985" i="1"/>
  <c r="E15985" i="1"/>
  <c r="D15985" i="1"/>
  <c r="C15985" i="1"/>
  <c r="B15985" i="1"/>
  <c r="A15985" i="1"/>
  <c r="F15984" i="1"/>
  <c r="E15984" i="1"/>
  <c r="D15984" i="1"/>
  <c r="C15984" i="1"/>
  <c r="B15984" i="1"/>
  <c r="A15984" i="1"/>
  <c r="F15983" i="1"/>
  <c r="E15983" i="1"/>
  <c r="D15983" i="1"/>
  <c r="C15983" i="1"/>
  <c r="B15983" i="1"/>
  <c r="A15983" i="1"/>
  <c r="F15982" i="1"/>
  <c r="E15982" i="1"/>
  <c r="D15982" i="1"/>
  <c r="C15982" i="1"/>
  <c r="B15982" i="1"/>
  <c r="A15982" i="1"/>
  <c r="F15981" i="1"/>
  <c r="E15981" i="1"/>
  <c r="D15981" i="1"/>
  <c r="C15981" i="1"/>
  <c r="B15981" i="1"/>
  <c r="A15981" i="1"/>
  <c r="F15980" i="1"/>
  <c r="E15980" i="1"/>
  <c r="D15980" i="1"/>
  <c r="C15980" i="1"/>
  <c r="B15980" i="1"/>
  <c r="A15980" i="1"/>
  <c r="F15979" i="1"/>
  <c r="E15979" i="1"/>
  <c r="D15979" i="1"/>
  <c r="C15979" i="1"/>
  <c r="B15979" i="1"/>
  <c r="A15979" i="1"/>
  <c r="F15978" i="1"/>
  <c r="E15978" i="1"/>
  <c r="D15978" i="1"/>
  <c r="C15978" i="1"/>
  <c r="B15978" i="1"/>
  <c r="A15978" i="1"/>
  <c r="F15977" i="1"/>
  <c r="E15977" i="1"/>
  <c r="D15977" i="1"/>
  <c r="C15977" i="1"/>
  <c r="B15977" i="1"/>
  <c r="A15977" i="1"/>
  <c r="F15976" i="1"/>
  <c r="E15976" i="1"/>
  <c r="D15976" i="1"/>
  <c r="C15976" i="1"/>
  <c r="B15976" i="1"/>
  <c r="A15976" i="1"/>
  <c r="F15975" i="1"/>
  <c r="E15975" i="1"/>
  <c r="D15975" i="1"/>
  <c r="C15975" i="1"/>
  <c r="B15975" i="1"/>
  <c r="A15975" i="1"/>
  <c r="F15974" i="1"/>
  <c r="E15974" i="1"/>
  <c r="D15974" i="1"/>
  <c r="C15974" i="1"/>
  <c r="B15974" i="1"/>
  <c r="A15974" i="1"/>
  <c r="F15973" i="1"/>
  <c r="E15973" i="1"/>
  <c r="D15973" i="1"/>
  <c r="C15973" i="1"/>
  <c r="B15973" i="1"/>
  <c r="A15973" i="1"/>
  <c r="F15972" i="1"/>
  <c r="E15972" i="1"/>
  <c r="D15972" i="1"/>
  <c r="C15972" i="1"/>
  <c r="B15972" i="1"/>
  <c r="A15972" i="1"/>
  <c r="F15971" i="1"/>
  <c r="E15971" i="1"/>
  <c r="D15971" i="1"/>
  <c r="C15971" i="1"/>
  <c r="B15971" i="1"/>
  <c r="A15971" i="1"/>
  <c r="F15970" i="1"/>
  <c r="E15970" i="1"/>
  <c r="D15970" i="1"/>
  <c r="C15970" i="1"/>
  <c r="B15970" i="1"/>
  <c r="A15970" i="1"/>
  <c r="F15969" i="1"/>
  <c r="E15969" i="1"/>
  <c r="D15969" i="1"/>
  <c r="C15969" i="1"/>
  <c r="B15969" i="1"/>
  <c r="A15969" i="1"/>
  <c r="F15968" i="1"/>
  <c r="E15968" i="1"/>
  <c r="D15968" i="1"/>
  <c r="C15968" i="1"/>
  <c r="B15968" i="1"/>
  <c r="A15968" i="1"/>
  <c r="F15967" i="1"/>
  <c r="E15967" i="1"/>
  <c r="D15967" i="1"/>
  <c r="C15967" i="1"/>
  <c r="B15967" i="1"/>
  <c r="A15967" i="1"/>
  <c r="F15966" i="1"/>
  <c r="E15966" i="1"/>
  <c r="D15966" i="1"/>
  <c r="C15966" i="1"/>
  <c r="B15966" i="1"/>
  <c r="A15966" i="1"/>
  <c r="F15965" i="1"/>
  <c r="E15965" i="1"/>
  <c r="D15965" i="1"/>
  <c r="C15965" i="1"/>
  <c r="B15965" i="1"/>
  <c r="A15965" i="1"/>
  <c r="F15964" i="1"/>
  <c r="E15964" i="1"/>
  <c r="D15964" i="1"/>
  <c r="C15964" i="1"/>
  <c r="B15964" i="1"/>
  <c r="A15964" i="1"/>
  <c r="F15963" i="1"/>
  <c r="E15963" i="1"/>
  <c r="D15963" i="1"/>
  <c r="C15963" i="1"/>
  <c r="B15963" i="1"/>
  <c r="A15963" i="1"/>
  <c r="F15962" i="1"/>
  <c r="E15962" i="1"/>
  <c r="D15962" i="1"/>
  <c r="C15962" i="1"/>
  <c r="B15962" i="1"/>
  <c r="A15962" i="1"/>
  <c r="F15961" i="1"/>
  <c r="E15961" i="1"/>
  <c r="D15961" i="1"/>
  <c r="C15961" i="1"/>
  <c r="B15961" i="1"/>
  <c r="A15961" i="1"/>
  <c r="F15960" i="1"/>
  <c r="E15960" i="1"/>
  <c r="D15960" i="1"/>
  <c r="C15960" i="1"/>
  <c r="B15960" i="1"/>
  <c r="A15960" i="1"/>
  <c r="F15959" i="1"/>
  <c r="E15959" i="1"/>
  <c r="D15959" i="1"/>
  <c r="C15959" i="1"/>
  <c r="B15959" i="1"/>
  <c r="A15959" i="1"/>
  <c r="F15958" i="1"/>
  <c r="E15958" i="1"/>
  <c r="D15958" i="1"/>
  <c r="C15958" i="1"/>
  <c r="B15958" i="1"/>
  <c r="A15958" i="1"/>
  <c r="F15957" i="1"/>
  <c r="E15957" i="1"/>
  <c r="D15957" i="1"/>
  <c r="C15957" i="1"/>
  <c r="B15957" i="1"/>
  <c r="A15957" i="1"/>
  <c r="F15956" i="1"/>
  <c r="E15956" i="1"/>
  <c r="D15956" i="1"/>
  <c r="C15956" i="1"/>
  <c r="B15956" i="1"/>
  <c r="A15956" i="1"/>
  <c r="F15955" i="1"/>
  <c r="E15955" i="1"/>
  <c r="D15955" i="1"/>
  <c r="C15955" i="1"/>
  <c r="B15955" i="1"/>
  <c r="A15955" i="1"/>
  <c r="F15954" i="1"/>
  <c r="E15954" i="1"/>
  <c r="D15954" i="1"/>
  <c r="C15954" i="1"/>
  <c r="B15954" i="1"/>
  <c r="A15954" i="1"/>
  <c r="F15953" i="1"/>
  <c r="E15953" i="1"/>
  <c r="D15953" i="1"/>
  <c r="C15953" i="1"/>
  <c r="B15953" i="1"/>
  <c r="A15953" i="1"/>
  <c r="F15952" i="1"/>
  <c r="E15952" i="1"/>
  <c r="D15952" i="1"/>
  <c r="C15952" i="1"/>
  <c r="B15952" i="1"/>
  <c r="A15952" i="1"/>
  <c r="F15951" i="1"/>
  <c r="E15951" i="1"/>
  <c r="D15951" i="1"/>
  <c r="C15951" i="1"/>
  <c r="B15951" i="1"/>
  <c r="A15951" i="1"/>
  <c r="F15950" i="1"/>
  <c r="E15950" i="1"/>
  <c r="D15950" i="1"/>
  <c r="C15950" i="1"/>
  <c r="B15950" i="1"/>
  <c r="A15950" i="1"/>
  <c r="F15949" i="1"/>
  <c r="E15949" i="1"/>
  <c r="D15949" i="1"/>
  <c r="C15949" i="1"/>
  <c r="B15949" i="1"/>
  <c r="A15949" i="1"/>
  <c r="F15948" i="1"/>
  <c r="E15948" i="1"/>
  <c r="D15948" i="1"/>
  <c r="C15948" i="1"/>
  <c r="B15948" i="1"/>
  <c r="A15948" i="1"/>
  <c r="F15947" i="1"/>
  <c r="E15947" i="1"/>
  <c r="D15947" i="1"/>
  <c r="C15947" i="1"/>
  <c r="B15947" i="1"/>
  <c r="A15947" i="1"/>
  <c r="F15946" i="1"/>
  <c r="E15946" i="1"/>
  <c r="D15946" i="1"/>
  <c r="C15946" i="1"/>
  <c r="B15946" i="1"/>
  <c r="A15946" i="1"/>
  <c r="F15945" i="1"/>
  <c r="E15945" i="1"/>
  <c r="D15945" i="1"/>
  <c r="C15945" i="1"/>
  <c r="B15945" i="1"/>
  <c r="A15945" i="1"/>
  <c r="F15944" i="1"/>
  <c r="E15944" i="1"/>
  <c r="D15944" i="1"/>
  <c r="C15944" i="1"/>
  <c r="B15944" i="1"/>
  <c r="A15944" i="1"/>
  <c r="F15943" i="1"/>
  <c r="E15943" i="1"/>
  <c r="D15943" i="1"/>
  <c r="C15943" i="1"/>
  <c r="B15943" i="1"/>
  <c r="A15943" i="1"/>
  <c r="F15942" i="1"/>
  <c r="E15942" i="1"/>
  <c r="D15942" i="1"/>
  <c r="C15942" i="1"/>
  <c r="B15942" i="1"/>
  <c r="A15942" i="1"/>
  <c r="F15941" i="1"/>
  <c r="E15941" i="1"/>
  <c r="D15941" i="1"/>
  <c r="C15941" i="1"/>
  <c r="B15941" i="1"/>
  <c r="A15941" i="1"/>
  <c r="F15940" i="1"/>
  <c r="E15940" i="1"/>
  <c r="D15940" i="1"/>
  <c r="C15940" i="1"/>
  <c r="B15940" i="1"/>
  <c r="A15940" i="1"/>
  <c r="F15939" i="1"/>
  <c r="E15939" i="1"/>
  <c r="D15939" i="1"/>
  <c r="C15939" i="1"/>
  <c r="B15939" i="1"/>
  <c r="A15939" i="1"/>
  <c r="F15938" i="1"/>
  <c r="E15938" i="1"/>
  <c r="D15938" i="1"/>
  <c r="C15938" i="1"/>
  <c r="B15938" i="1"/>
  <c r="A15938" i="1"/>
  <c r="F15937" i="1"/>
  <c r="E15937" i="1"/>
  <c r="D15937" i="1"/>
  <c r="C15937" i="1"/>
  <c r="B15937" i="1"/>
  <c r="A15937" i="1"/>
  <c r="F15936" i="1"/>
  <c r="E15936" i="1"/>
  <c r="D15936" i="1"/>
  <c r="C15936" i="1"/>
  <c r="B15936" i="1"/>
  <c r="A15936" i="1"/>
  <c r="F15935" i="1"/>
  <c r="E15935" i="1"/>
  <c r="D15935" i="1"/>
  <c r="C15935" i="1"/>
  <c r="B15935" i="1"/>
  <c r="A15935" i="1"/>
  <c r="F15934" i="1"/>
  <c r="E15934" i="1"/>
  <c r="D15934" i="1"/>
  <c r="C15934" i="1"/>
  <c r="B15934" i="1"/>
  <c r="A15934" i="1"/>
  <c r="F15933" i="1"/>
  <c r="E15933" i="1"/>
  <c r="D15933" i="1"/>
  <c r="C15933" i="1"/>
  <c r="B15933" i="1"/>
  <c r="A15933" i="1"/>
  <c r="F15932" i="1"/>
  <c r="E15932" i="1"/>
  <c r="D15932" i="1"/>
  <c r="C15932" i="1"/>
  <c r="B15932" i="1"/>
  <c r="A15932" i="1"/>
  <c r="F15931" i="1"/>
  <c r="E15931" i="1"/>
  <c r="D15931" i="1"/>
  <c r="C15931" i="1"/>
  <c r="B15931" i="1"/>
  <c r="A15931" i="1"/>
  <c r="F15930" i="1"/>
  <c r="E15930" i="1"/>
  <c r="D15930" i="1"/>
  <c r="C15930" i="1"/>
  <c r="B15930" i="1"/>
  <c r="A15930" i="1"/>
  <c r="F15929" i="1"/>
  <c r="E15929" i="1"/>
  <c r="D15929" i="1"/>
  <c r="C15929" i="1"/>
  <c r="B15929" i="1"/>
  <c r="A15929" i="1"/>
  <c r="F15928" i="1"/>
  <c r="E15928" i="1"/>
  <c r="D15928" i="1"/>
  <c r="C15928" i="1"/>
  <c r="B15928" i="1"/>
  <c r="A15928" i="1"/>
  <c r="F15927" i="1"/>
  <c r="E15927" i="1"/>
  <c r="D15927" i="1"/>
  <c r="C15927" i="1"/>
  <c r="B15927" i="1"/>
  <c r="A15927" i="1"/>
  <c r="F15926" i="1"/>
  <c r="E15926" i="1"/>
  <c r="D15926" i="1"/>
  <c r="C15926" i="1"/>
  <c r="B15926" i="1"/>
  <c r="A15926" i="1"/>
  <c r="F15925" i="1"/>
  <c r="E15925" i="1"/>
  <c r="D15925" i="1"/>
  <c r="C15925" i="1"/>
  <c r="B15925" i="1"/>
  <c r="A15925" i="1"/>
  <c r="F15924" i="1"/>
  <c r="E15924" i="1"/>
  <c r="D15924" i="1"/>
  <c r="C15924" i="1"/>
  <c r="B15924" i="1"/>
  <c r="A15924" i="1"/>
  <c r="F15923" i="1"/>
  <c r="E15923" i="1"/>
  <c r="D15923" i="1"/>
  <c r="C15923" i="1"/>
  <c r="B15923" i="1"/>
  <c r="A15923" i="1"/>
  <c r="F15922" i="1"/>
  <c r="E15922" i="1"/>
  <c r="D15922" i="1"/>
  <c r="C15922" i="1"/>
  <c r="B15922" i="1"/>
  <c r="A15922" i="1"/>
  <c r="F15921" i="1"/>
  <c r="E15921" i="1"/>
  <c r="D15921" i="1"/>
  <c r="C15921" i="1"/>
  <c r="B15921" i="1"/>
  <c r="A15921" i="1"/>
  <c r="F15920" i="1"/>
  <c r="E15920" i="1"/>
  <c r="D15920" i="1"/>
  <c r="C15920" i="1"/>
  <c r="B15920" i="1"/>
  <c r="A15920" i="1"/>
  <c r="F15919" i="1"/>
  <c r="E15919" i="1"/>
  <c r="D15919" i="1"/>
  <c r="C15919" i="1"/>
  <c r="B15919" i="1"/>
  <c r="A15919" i="1"/>
  <c r="F15918" i="1"/>
  <c r="E15918" i="1"/>
  <c r="D15918" i="1"/>
  <c r="C15918" i="1"/>
  <c r="B15918" i="1"/>
  <c r="A15918" i="1"/>
  <c r="F15917" i="1"/>
  <c r="E15917" i="1"/>
  <c r="D15917" i="1"/>
  <c r="C15917" i="1"/>
  <c r="B15917" i="1"/>
  <c r="A15917" i="1"/>
  <c r="F15916" i="1"/>
  <c r="E15916" i="1"/>
  <c r="D15916" i="1"/>
  <c r="C15916" i="1"/>
  <c r="B15916" i="1"/>
  <c r="A15916" i="1"/>
  <c r="F15915" i="1"/>
  <c r="E15915" i="1"/>
  <c r="D15915" i="1"/>
  <c r="C15915" i="1"/>
  <c r="B15915" i="1"/>
  <c r="A15915" i="1"/>
  <c r="F15914" i="1"/>
  <c r="E15914" i="1"/>
  <c r="D15914" i="1"/>
  <c r="C15914" i="1"/>
  <c r="B15914" i="1"/>
  <c r="A15914" i="1"/>
  <c r="F15913" i="1"/>
  <c r="E15913" i="1"/>
  <c r="D15913" i="1"/>
  <c r="C15913" i="1"/>
  <c r="B15913" i="1"/>
  <c r="A15913" i="1"/>
  <c r="F15912" i="1"/>
  <c r="E15912" i="1"/>
  <c r="D15912" i="1"/>
  <c r="C15912" i="1"/>
  <c r="B15912" i="1"/>
  <c r="A15912" i="1"/>
  <c r="F15911" i="1"/>
  <c r="E15911" i="1"/>
  <c r="D15911" i="1"/>
  <c r="C15911" i="1"/>
  <c r="B15911" i="1"/>
  <c r="A15911" i="1"/>
  <c r="F15910" i="1"/>
  <c r="E15910" i="1"/>
  <c r="D15910" i="1"/>
  <c r="C15910" i="1"/>
  <c r="B15910" i="1"/>
  <c r="A15910" i="1"/>
  <c r="F15909" i="1"/>
  <c r="E15909" i="1"/>
  <c r="D15909" i="1"/>
  <c r="C15909" i="1"/>
  <c r="B15909" i="1"/>
  <c r="A15909" i="1"/>
  <c r="F15908" i="1"/>
  <c r="E15908" i="1"/>
  <c r="D15908" i="1"/>
  <c r="C15908" i="1"/>
  <c r="B15908" i="1"/>
  <c r="A15908" i="1"/>
  <c r="F15907" i="1"/>
  <c r="E15907" i="1"/>
  <c r="D15907" i="1"/>
  <c r="C15907" i="1"/>
  <c r="B15907" i="1"/>
  <c r="A15907" i="1"/>
  <c r="F15906" i="1"/>
  <c r="E15906" i="1"/>
  <c r="D15906" i="1"/>
  <c r="C15906" i="1"/>
  <c r="B15906" i="1"/>
  <c r="A15906" i="1"/>
  <c r="F15905" i="1"/>
  <c r="E15905" i="1"/>
  <c r="D15905" i="1"/>
  <c r="C15905" i="1"/>
  <c r="B15905" i="1"/>
  <c r="A15905" i="1"/>
  <c r="F15904" i="1"/>
  <c r="E15904" i="1"/>
  <c r="D15904" i="1"/>
  <c r="C15904" i="1"/>
  <c r="B15904" i="1"/>
  <c r="A15904" i="1"/>
  <c r="F15903" i="1"/>
  <c r="E15903" i="1"/>
  <c r="D15903" i="1"/>
  <c r="C15903" i="1"/>
  <c r="B15903" i="1"/>
  <c r="A15903" i="1"/>
  <c r="F15902" i="1"/>
  <c r="E15902" i="1"/>
  <c r="D15902" i="1"/>
  <c r="C15902" i="1"/>
  <c r="B15902" i="1"/>
  <c r="A15902" i="1"/>
  <c r="F15901" i="1"/>
  <c r="E15901" i="1"/>
  <c r="D15901" i="1"/>
  <c r="C15901" i="1"/>
  <c r="B15901" i="1"/>
  <c r="A15901" i="1"/>
  <c r="F15900" i="1"/>
  <c r="E15900" i="1"/>
  <c r="D15900" i="1"/>
  <c r="C15900" i="1"/>
  <c r="B15900" i="1"/>
  <c r="A15900" i="1"/>
  <c r="F15899" i="1"/>
  <c r="E15899" i="1"/>
  <c r="D15899" i="1"/>
  <c r="C15899" i="1"/>
  <c r="B15899" i="1"/>
  <c r="A15899" i="1"/>
  <c r="F15898" i="1"/>
  <c r="E15898" i="1"/>
  <c r="D15898" i="1"/>
  <c r="C15898" i="1"/>
  <c r="B15898" i="1"/>
  <c r="A15898" i="1"/>
  <c r="F15897" i="1"/>
  <c r="E15897" i="1"/>
  <c r="D15897" i="1"/>
  <c r="C15897" i="1"/>
  <c r="B15897" i="1"/>
  <c r="A15897" i="1"/>
  <c r="F15896" i="1"/>
  <c r="E15896" i="1"/>
  <c r="D15896" i="1"/>
  <c r="C15896" i="1"/>
  <c r="B15896" i="1"/>
  <c r="A15896" i="1"/>
  <c r="F15895" i="1"/>
  <c r="E15895" i="1"/>
  <c r="D15895" i="1"/>
  <c r="C15895" i="1"/>
  <c r="B15895" i="1"/>
  <c r="A15895" i="1"/>
  <c r="F15894" i="1"/>
  <c r="E15894" i="1"/>
  <c r="D15894" i="1"/>
  <c r="C15894" i="1"/>
  <c r="B15894" i="1"/>
  <c r="A15894" i="1"/>
  <c r="F15893" i="1"/>
  <c r="E15893" i="1"/>
  <c r="D15893" i="1"/>
  <c r="C15893" i="1"/>
  <c r="B15893" i="1"/>
  <c r="A15893" i="1"/>
  <c r="F15892" i="1"/>
  <c r="E15892" i="1"/>
  <c r="D15892" i="1"/>
  <c r="C15892" i="1"/>
  <c r="B15892" i="1"/>
  <c r="A15892" i="1"/>
  <c r="F15891" i="1"/>
  <c r="E15891" i="1"/>
  <c r="D15891" i="1"/>
  <c r="C15891" i="1"/>
  <c r="B15891" i="1"/>
  <c r="A15891" i="1"/>
  <c r="F15890" i="1"/>
  <c r="E15890" i="1"/>
  <c r="D15890" i="1"/>
  <c r="C15890" i="1"/>
  <c r="B15890" i="1"/>
  <c r="A15890" i="1"/>
  <c r="F15889" i="1"/>
  <c r="E15889" i="1"/>
  <c r="D15889" i="1"/>
  <c r="C15889" i="1"/>
  <c r="B15889" i="1"/>
  <c r="A15889" i="1"/>
  <c r="F15888" i="1"/>
  <c r="E15888" i="1"/>
  <c r="D15888" i="1"/>
  <c r="C15888" i="1"/>
  <c r="B15888" i="1"/>
  <c r="A15888" i="1"/>
  <c r="F15887" i="1"/>
  <c r="E15887" i="1"/>
  <c r="D15887" i="1"/>
  <c r="C15887" i="1"/>
  <c r="B15887" i="1"/>
  <c r="A15887" i="1"/>
  <c r="F15886" i="1"/>
  <c r="E15886" i="1"/>
  <c r="D15886" i="1"/>
  <c r="C15886" i="1"/>
  <c r="B15886" i="1"/>
  <c r="A15886" i="1"/>
  <c r="F15885" i="1"/>
  <c r="E15885" i="1"/>
  <c r="D15885" i="1"/>
  <c r="C15885" i="1"/>
  <c r="B15885" i="1"/>
  <c r="A15885" i="1"/>
  <c r="F15884" i="1"/>
  <c r="E15884" i="1"/>
  <c r="D15884" i="1"/>
  <c r="C15884" i="1"/>
  <c r="B15884" i="1"/>
  <c r="A15884" i="1"/>
  <c r="F15883" i="1"/>
  <c r="E15883" i="1"/>
  <c r="D15883" i="1"/>
  <c r="C15883" i="1"/>
  <c r="B15883" i="1"/>
  <c r="A15883" i="1"/>
  <c r="F15882" i="1"/>
  <c r="E15882" i="1"/>
  <c r="D15882" i="1"/>
  <c r="C15882" i="1"/>
  <c r="B15882" i="1"/>
  <c r="A15882" i="1"/>
  <c r="F15881" i="1"/>
  <c r="E15881" i="1"/>
  <c r="D15881" i="1"/>
  <c r="C15881" i="1"/>
  <c r="B15881" i="1"/>
  <c r="A15881" i="1"/>
  <c r="F15880" i="1"/>
  <c r="E15880" i="1"/>
  <c r="D15880" i="1"/>
  <c r="C15880" i="1"/>
  <c r="B15880" i="1"/>
  <c r="A15880" i="1"/>
  <c r="F15879" i="1"/>
  <c r="E15879" i="1"/>
  <c r="D15879" i="1"/>
  <c r="C15879" i="1"/>
  <c r="B15879" i="1"/>
  <c r="A15879" i="1"/>
  <c r="F15878" i="1"/>
  <c r="E15878" i="1"/>
  <c r="D15878" i="1"/>
  <c r="C15878" i="1"/>
  <c r="B15878" i="1"/>
  <c r="A15878" i="1"/>
  <c r="F15877" i="1"/>
  <c r="E15877" i="1"/>
  <c r="D15877" i="1"/>
  <c r="C15877" i="1"/>
  <c r="B15877" i="1"/>
  <c r="A15877" i="1"/>
  <c r="F15876" i="1"/>
  <c r="E15876" i="1"/>
  <c r="D15876" i="1"/>
  <c r="C15876" i="1"/>
  <c r="B15876" i="1"/>
  <c r="A15876" i="1"/>
  <c r="F15875" i="1"/>
  <c r="E15875" i="1"/>
  <c r="D15875" i="1"/>
  <c r="C15875" i="1"/>
  <c r="B15875" i="1"/>
  <c r="A15875" i="1"/>
  <c r="F15874" i="1"/>
  <c r="E15874" i="1"/>
  <c r="D15874" i="1"/>
  <c r="C15874" i="1"/>
  <c r="B15874" i="1"/>
  <c r="A15874" i="1"/>
  <c r="F15873" i="1"/>
  <c r="E15873" i="1"/>
  <c r="D15873" i="1"/>
  <c r="C15873" i="1"/>
  <c r="B15873" i="1"/>
  <c r="A15873" i="1"/>
  <c r="F15872" i="1"/>
  <c r="E15872" i="1"/>
  <c r="D15872" i="1"/>
  <c r="C15872" i="1"/>
  <c r="B15872" i="1"/>
  <c r="A15872" i="1"/>
  <c r="F15871" i="1"/>
  <c r="E15871" i="1"/>
  <c r="D15871" i="1"/>
  <c r="C15871" i="1"/>
  <c r="B15871" i="1"/>
  <c r="A15871" i="1"/>
  <c r="F15870" i="1"/>
  <c r="E15870" i="1"/>
  <c r="D15870" i="1"/>
  <c r="C15870" i="1"/>
  <c r="B15870" i="1"/>
  <c r="A15870" i="1"/>
  <c r="F15869" i="1"/>
  <c r="E15869" i="1"/>
  <c r="D15869" i="1"/>
  <c r="C15869" i="1"/>
  <c r="B15869" i="1"/>
  <c r="A15869" i="1"/>
  <c r="F15868" i="1"/>
  <c r="E15868" i="1"/>
  <c r="D15868" i="1"/>
  <c r="C15868" i="1"/>
  <c r="B15868" i="1"/>
  <c r="A15868" i="1"/>
  <c r="F15867" i="1"/>
  <c r="E15867" i="1"/>
  <c r="D15867" i="1"/>
  <c r="C15867" i="1"/>
  <c r="B15867" i="1"/>
  <c r="A15867" i="1"/>
  <c r="F15866" i="1"/>
  <c r="E15866" i="1"/>
  <c r="D15866" i="1"/>
  <c r="C15866" i="1"/>
  <c r="B15866" i="1"/>
  <c r="A15866" i="1"/>
  <c r="F15865" i="1"/>
  <c r="E15865" i="1"/>
  <c r="D15865" i="1"/>
  <c r="C15865" i="1"/>
  <c r="B15865" i="1"/>
  <c r="A15865" i="1"/>
  <c r="F15864" i="1"/>
  <c r="E15864" i="1"/>
  <c r="D15864" i="1"/>
  <c r="C15864" i="1"/>
  <c r="B15864" i="1"/>
  <c r="A15864" i="1"/>
  <c r="F15863" i="1"/>
  <c r="E15863" i="1"/>
  <c r="D15863" i="1"/>
  <c r="C15863" i="1"/>
  <c r="B15863" i="1"/>
  <c r="A15863" i="1"/>
  <c r="F15862" i="1"/>
  <c r="E15862" i="1"/>
  <c r="D15862" i="1"/>
  <c r="C15862" i="1"/>
  <c r="B15862" i="1"/>
  <c r="A15862" i="1"/>
  <c r="F15861" i="1"/>
  <c r="E15861" i="1"/>
  <c r="D15861" i="1"/>
  <c r="C15861" i="1"/>
  <c r="B15861" i="1"/>
  <c r="A15861" i="1"/>
  <c r="F15860" i="1"/>
  <c r="E15860" i="1"/>
  <c r="D15860" i="1"/>
  <c r="C15860" i="1"/>
  <c r="B15860" i="1"/>
  <c r="A15860" i="1"/>
  <c r="F15859" i="1"/>
  <c r="E15859" i="1"/>
  <c r="D15859" i="1"/>
  <c r="C15859" i="1"/>
  <c r="B15859" i="1"/>
  <c r="A15859" i="1"/>
  <c r="F15858" i="1"/>
  <c r="E15858" i="1"/>
  <c r="D15858" i="1"/>
  <c r="C15858" i="1"/>
  <c r="B15858" i="1"/>
  <c r="A15858" i="1"/>
  <c r="F15857" i="1"/>
  <c r="E15857" i="1"/>
  <c r="D15857" i="1"/>
  <c r="C15857" i="1"/>
  <c r="B15857" i="1"/>
  <c r="A15857" i="1"/>
  <c r="F15856" i="1"/>
  <c r="E15856" i="1"/>
  <c r="D15856" i="1"/>
  <c r="C15856" i="1"/>
  <c r="B15856" i="1"/>
  <c r="A15856" i="1"/>
  <c r="F15855" i="1"/>
  <c r="E15855" i="1"/>
  <c r="D15855" i="1"/>
  <c r="C15855" i="1"/>
  <c r="B15855" i="1"/>
  <c r="A15855" i="1"/>
  <c r="F15854" i="1"/>
  <c r="E15854" i="1"/>
  <c r="D15854" i="1"/>
  <c r="C15854" i="1"/>
  <c r="B15854" i="1"/>
  <c r="A15854" i="1"/>
  <c r="F15853" i="1"/>
  <c r="E15853" i="1"/>
  <c r="D15853" i="1"/>
  <c r="C15853" i="1"/>
  <c r="B15853" i="1"/>
  <c r="A15853" i="1"/>
  <c r="F15852" i="1"/>
  <c r="E15852" i="1"/>
  <c r="D15852" i="1"/>
  <c r="C15852" i="1"/>
  <c r="B15852" i="1"/>
  <c r="A15852" i="1"/>
  <c r="F15851" i="1"/>
  <c r="E15851" i="1"/>
  <c r="D15851" i="1"/>
  <c r="C15851" i="1"/>
  <c r="B15851" i="1"/>
  <c r="A15851" i="1"/>
  <c r="F15850" i="1"/>
  <c r="E15850" i="1"/>
  <c r="D15850" i="1"/>
  <c r="C15850" i="1"/>
  <c r="B15850" i="1"/>
  <c r="A15850" i="1"/>
  <c r="F15849" i="1"/>
  <c r="E15849" i="1"/>
  <c r="D15849" i="1"/>
  <c r="C15849" i="1"/>
  <c r="B15849" i="1"/>
  <c r="A15849" i="1"/>
  <c r="F15848" i="1"/>
  <c r="E15848" i="1"/>
  <c r="D15848" i="1"/>
  <c r="C15848" i="1"/>
  <c r="B15848" i="1"/>
  <c r="A15848" i="1"/>
  <c r="F15847" i="1"/>
  <c r="E15847" i="1"/>
  <c r="D15847" i="1"/>
  <c r="C15847" i="1"/>
  <c r="B15847" i="1"/>
  <c r="A15847" i="1"/>
  <c r="F15846" i="1"/>
  <c r="E15846" i="1"/>
  <c r="D15846" i="1"/>
  <c r="C15846" i="1"/>
  <c r="B15846" i="1"/>
  <c r="A15846" i="1"/>
  <c r="F15845" i="1"/>
  <c r="E15845" i="1"/>
  <c r="D15845" i="1"/>
  <c r="C15845" i="1"/>
  <c r="B15845" i="1"/>
  <c r="A15845" i="1"/>
  <c r="F15844" i="1"/>
  <c r="E15844" i="1"/>
  <c r="D15844" i="1"/>
  <c r="C15844" i="1"/>
  <c r="B15844" i="1"/>
  <c r="A15844" i="1"/>
  <c r="F15843" i="1"/>
  <c r="E15843" i="1"/>
  <c r="D15843" i="1"/>
  <c r="C15843" i="1"/>
  <c r="B15843" i="1"/>
  <c r="A15843" i="1"/>
  <c r="F15842" i="1"/>
  <c r="E15842" i="1"/>
  <c r="D15842" i="1"/>
  <c r="C15842" i="1"/>
  <c r="B15842" i="1"/>
  <c r="A15842" i="1"/>
  <c r="F15841" i="1"/>
  <c r="E15841" i="1"/>
  <c r="D15841" i="1"/>
  <c r="C15841" i="1"/>
  <c r="B15841" i="1"/>
  <c r="A15841" i="1"/>
  <c r="F15840" i="1"/>
  <c r="E15840" i="1"/>
  <c r="D15840" i="1"/>
  <c r="C15840" i="1"/>
  <c r="B15840" i="1"/>
  <c r="A15840" i="1"/>
  <c r="F15839" i="1"/>
  <c r="E15839" i="1"/>
  <c r="D15839" i="1"/>
  <c r="C15839" i="1"/>
  <c r="B15839" i="1"/>
  <c r="A15839" i="1"/>
  <c r="F15838" i="1"/>
  <c r="E15838" i="1"/>
  <c r="D15838" i="1"/>
  <c r="C15838" i="1"/>
  <c r="B15838" i="1"/>
  <c r="A15838" i="1"/>
  <c r="F15837" i="1"/>
  <c r="E15837" i="1"/>
  <c r="D15837" i="1"/>
  <c r="C15837" i="1"/>
  <c r="B15837" i="1"/>
  <c r="A15837" i="1"/>
  <c r="F15836" i="1"/>
  <c r="E15836" i="1"/>
  <c r="D15836" i="1"/>
  <c r="C15836" i="1"/>
  <c r="B15836" i="1"/>
  <c r="A15836" i="1"/>
  <c r="F15835" i="1"/>
  <c r="E15835" i="1"/>
  <c r="D15835" i="1"/>
  <c r="C15835" i="1"/>
  <c r="B15835" i="1"/>
  <c r="A15835" i="1"/>
  <c r="F15834" i="1"/>
  <c r="E15834" i="1"/>
  <c r="D15834" i="1"/>
  <c r="C15834" i="1"/>
  <c r="B15834" i="1"/>
  <c r="A15834" i="1"/>
  <c r="F15833" i="1"/>
  <c r="E15833" i="1"/>
  <c r="D15833" i="1"/>
  <c r="C15833" i="1"/>
  <c r="B15833" i="1"/>
  <c r="A15833" i="1"/>
  <c r="F15832" i="1"/>
  <c r="E15832" i="1"/>
  <c r="D15832" i="1"/>
  <c r="C15832" i="1"/>
  <c r="B15832" i="1"/>
  <c r="A15832" i="1"/>
  <c r="F15831" i="1"/>
  <c r="E15831" i="1"/>
  <c r="D15831" i="1"/>
  <c r="C15831" i="1"/>
  <c r="B15831" i="1"/>
  <c r="A15831" i="1"/>
  <c r="F15830" i="1"/>
  <c r="E15830" i="1"/>
  <c r="D15830" i="1"/>
  <c r="C15830" i="1"/>
  <c r="B15830" i="1"/>
  <c r="A15830" i="1"/>
  <c r="F15829" i="1"/>
  <c r="E15829" i="1"/>
  <c r="D15829" i="1"/>
  <c r="C15829" i="1"/>
  <c r="B15829" i="1"/>
  <c r="A15829" i="1"/>
  <c r="F15828" i="1"/>
  <c r="E15828" i="1"/>
  <c r="D15828" i="1"/>
  <c r="C15828" i="1"/>
  <c r="B15828" i="1"/>
  <c r="A15828" i="1"/>
  <c r="F15827" i="1"/>
  <c r="E15827" i="1"/>
  <c r="D15827" i="1"/>
  <c r="C15827" i="1"/>
  <c r="B15827" i="1"/>
  <c r="A15827" i="1"/>
  <c r="F15826" i="1"/>
  <c r="E15826" i="1"/>
  <c r="D15826" i="1"/>
  <c r="C15826" i="1"/>
  <c r="B15826" i="1"/>
  <c r="A15826" i="1"/>
  <c r="F15825" i="1"/>
  <c r="E15825" i="1"/>
  <c r="D15825" i="1"/>
  <c r="C15825" i="1"/>
  <c r="B15825" i="1"/>
  <c r="A15825" i="1"/>
  <c r="F15824" i="1"/>
  <c r="E15824" i="1"/>
  <c r="D15824" i="1"/>
  <c r="C15824" i="1"/>
  <c r="B15824" i="1"/>
  <c r="A15824" i="1"/>
  <c r="F15823" i="1"/>
  <c r="E15823" i="1"/>
  <c r="D15823" i="1"/>
  <c r="C15823" i="1"/>
  <c r="B15823" i="1"/>
  <c r="A15823" i="1"/>
  <c r="F15822" i="1"/>
  <c r="E15822" i="1"/>
  <c r="D15822" i="1"/>
  <c r="C15822" i="1"/>
  <c r="B15822" i="1"/>
  <c r="A15822" i="1"/>
  <c r="F15821" i="1"/>
  <c r="E15821" i="1"/>
  <c r="D15821" i="1"/>
  <c r="C15821" i="1"/>
  <c r="B15821" i="1"/>
  <c r="A15821" i="1"/>
  <c r="F15820" i="1"/>
  <c r="E15820" i="1"/>
  <c r="D15820" i="1"/>
  <c r="C15820" i="1"/>
  <c r="B15820" i="1"/>
  <c r="A15820" i="1"/>
  <c r="F15819" i="1"/>
  <c r="E15819" i="1"/>
  <c r="D15819" i="1"/>
  <c r="C15819" i="1"/>
  <c r="B15819" i="1"/>
  <c r="A15819" i="1"/>
  <c r="F15818" i="1"/>
  <c r="E15818" i="1"/>
  <c r="D15818" i="1"/>
  <c r="C15818" i="1"/>
  <c r="B15818" i="1"/>
  <c r="A15818" i="1"/>
  <c r="F15817" i="1"/>
  <c r="E15817" i="1"/>
  <c r="D15817" i="1"/>
  <c r="C15817" i="1"/>
  <c r="B15817" i="1"/>
  <c r="A15817" i="1"/>
  <c r="F15816" i="1"/>
  <c r="E15816" i="1"/>
  <c r="D15816" i="1"/>
  <c r="C15816" i="1"/>
  <c r="B15816" i="1"/>
  <c r="A15816" i="1"/>
  <c r="F15815" i="1"/>
  <c r="E15815" i="1"/>
  <c r="D15815" i="1"/>
  <c r="C15815" i="1"/>
  <c r="B15815" i="1"/>
  <c r="A15815" i="1"/>
  <c r="F15814" i="1"/>
  <c r="E15814" i="1"/>
  <c r="D15814" i="1"/>
  <c r="C15814" i="1"/>
  <c r="B15814" i="1"/>
  <c r="A15814" i="1"/>
  <c r="F15813" i="1"/>
  <c r="E15813" i="1"/>
  <c r="D15813" i="1"/>
  <c r="C15813" i="1"/>
  <c r="B15813" i="1"/>
  <c r="A15813" i="1"/>
  <c r="F15812" i="1"/>
  <c r="E15812" i="1"/>
  <c r="D15812" i="1"/>
  <c r="C15812" i="1"/>
  <c r="B15812" i="1"/>
  <c r="A15812" i="1"/>
  <c r="F15811" i="1"/>
  <c r="E15811" i="1"/>
  <c r="D15811" i="1"/>
  <c r="C15811" i="1"/>
  <c r="B15811" i="1"/>
  <c r="A15811" i="1"/>
  <c r="F15810" i="1"/>
  <c r="E15810" i="1"/>
  <c r="D15810" i="1"/>
  <c r="C15810" i="1"/>
  <c r="B15810" i="1"/>
  <c r="A15810" i="1"/>
  <c r="F15809" i="1"/>
  <c r="E15809" i="1"/>
  <c r="D15809" i="1"/>
  <c r="C15809" i="1"/>
  <c r="B15809" i="1"/>
  <c r="A15809" i="1"/>
  <c r="F15808" i="1"/>
  <c r="E15808" i="1"/>
  <c r="D15808" i="1"/>
  <c r="C15808" i="1"/>
  <c r="B15808" i="1"/>
  <c r="A15808" i="1"/>
  <c r="F15807" i="1"/>
  <c r="E15807" i="1"/>
  <c r="D15807" i="1"/>
  <c r="C15807" i="1"/>
  <c r="B15807" i="1"/>
  <c r="A15807" i="1"/>
  <c r="F15806" i="1"/>
  <c r="E15806" i="1"/>
  <c r="D15806" i="1"/>
  <c r="C15806" i="1"/>
  <c r="B15806" i="1"/>
  <c r="A15806" i="1"/>
  <c r="F15805" i="1"/>
  <c r="E15805" i="1"/>
  <c r="D15805" i="1"/>
  <c r="C15805" i="1"/>
  <c r="B15805" i="1"/>
  <c r="A15805" i="1"/>
  <c r="F15804" i="1"/>
  <c r="E15804" i="1"/>
  <c r="D15804" i="1"/>
  <c r="C15804" i="1"/>
  <c r="B15804" i="1"/>
  <c r="A15804" i="1"/>
  <c r="F15803" i="1"/>
  <c r="E15803" i="1"/>
  <c r="D15803" i="1"/>
  <c r="C15803" i="1"/>
  <c r="B15803" i="1"/>
  <c r="A15803" i="1"/>
  <c r="F15802" i="1"/>
  <c r="E15802" i="1"/>
  <c r="D15802" i="1"/>
  <c r="C15802" i="1"/>
  <c r="B15802" i="1"/>
  <c r="A15802" i="1"/>
  <c r="F15801" i="1"/>
  <c r="E15801" i="1"/>
  <c r="D15801" i="1"/>
  <c r="C15801" i="1"/>
  <c r="B15801" i="1"/>
  <c r="A15801" i="1"/>
  <c r="F15800" i="1"/>
  <c r="E15800" i="1"/>
  <c r="D15800" i="1"/>
  <c r="C15800" i="1"/>
  <c r="B15800" i="1"/>
  <c r="A15800" i="1"/>
  <c r="F15799" i="1"/>
  <c r="E15799" i="1"/>
  <c r="D15799" i="1"/>
  <c r="C15799" i="1"/>
  <c r="B15799" i="1"/>
  <c r="A15799" i="1"/>
  <c r="F15798" i="1"/>
  <c r="E15798" i="1"/>
  <c r="D15798" i="1"/>
  <c r="C15798" i="1"/>
  <c r="B15798" i="1"/>
  <c r="A15798" i="1"/>
  <c r="F15797" i="1"/>
  <c r="E15797" i="1"/>
  <c r="D15797" i="1"/>
  <c r="C15797" i="1"/>
  <c r="B15797" i="1"/>
  <c r="A15797" i="1"/>
  <c r="F15796" i="1"/>
  <c r="E15796" i="1"/>
  <c r="D15796" i="1"/>
  <c r="C15796" i="1"/>
  <c r="B15796" i="1"/>
  <c r="A15796" i="1"/>
  <c r="F15795" i="1"/>
  <c r="E15795" i="1"/>
  <c r="D15795" i="1"/>
  <c r="C15795" i="1"/>
  <c r="B15795" i="1"/>
  <c r="A15795" i="1"/>
  <c r="F15794" i="1"/>
  <c r="E15794" i="1"/>
  <c r="D15794" i="1"/>
  <c r="C15794" i="1"/>
  <c r="B15794" i="1"/>
  <c r="A15794" i="1"/>
  <c r="F15793" i="1"/>
  <c r="E15793" i="1"/>
  <c r="D15793" i="1"/>
  <c r="C15793" i="1"/>
  <c r="B15793" i="1"/>
  <c r="A15793" i="1"/>
  <c r="F15792" i="1"/>
  <c r="E15792" i="1"/>
  <c r="D15792" i="1"/>
  <c r="C15792" i="1"/>
  <c r="B15792" i="1"/>
  <c r="A15792" i="1"/>
  <c r="F15791" i="1"/>
  <c r="E15791" i="1"/>
  <c r="D15791" i="1"/>
  <c r="C15791" i="1"/>
  <c r="B15791" i="1"/>
  <c r="A15791" i="1"/>
  <c r="F15790" i="1"/>
  <c r="E15790" i="1"/>
  <c r="D15790" i="1"/>
  <c r="C15790" i="1"/>
  <c r="B15790" i="1"/>
  <c r="A15790" i="1"/>
  <c r="F15789" i="1"/>
  <c r="E15789" i="1"/>
  <c r="D15789" i="1"/>
  <c r="C15789" i="1"/>
  <c r="B15789" i="1"/>
  <c r="A15789" i="1"/>
  <c r="F15788" i="1"/>
  <c r="E15788" i="1"/>
  <c r="D15788" i="1"/>
  <c r="C15788" i="1"/>
  <c r="B15788" i="1"/>
  <c r="A15788" i="1"/>
  <c r="F15787" i="1"/>
  <c r="E15787" i="1"/>
  <c r="D15787" i="1"/>
  <c r="C15787" i="1"/>
  <c r="B15787" i="1"/>
  <c r="A15787" i="1"/>
  <c r="F15786" i="1"/>
  <c r="E15786" i="1"/>
  <c r="D15786" i="1"/>
  <c r="C15786" i="1"/>
  <c r="B15786" i="1"/>
  <c r="A15786" i="1"/>
  <c r="F15785" i="1"/>
  <c r="E15785" i="1"/>
  <c r="D15785" i="1"/>
  <c r="C15785" i="1"/>
  <c r="B15785" i="1"/>
  <c r="A15785" i="1"/>
  <c r="F15784" i="1"/>
  <c r="E15784" i="1"/>
  <c r="D15784" i="1"/>
  <c r="C15784" i="1"/>
  <c r="B15784" i="1"/>
  <c r="A15784" i="1"/>
  <c r="F15783" i="1"/>
  <c r="E15783" i="1"/>
  <c r="D15783" i="1"/>
  <c r="C15783" i="1"/>
  <c r="B15783" i="1"/>
  <c r="A15783" i="1"/>
  <c r="F15782" i="1"/>
  <c r="E15782" i="1"/>
  <c r="D15782" i="1"/>
  <c r="C15782" i="1"/>
  <c r="B15782" i="1"/>
  <c r="A15782" i="1"/>
  <c r="F15781" i="1"/>
  <c r="E15781" i="1"/>
  <c r="D15781" i="1"/>
  <c r="C15781" i="1"/>
  <c r="B15781" i="1"/>
  <c r="A15781" i="1"/>
  <c r="F15780" i="1"/>
  <c r="E15780" i="1"/>
  <c r="D15780" i="1"/>
  <c r="C15780" i="1"/>
  <c r="B15780" i="1"/>
  <c r="A15780" i="1"/>
  <c r="F15779" i="1"/>
  <c r="E15779" i="1"/>
  <c r="D15779" i="1"/>
  <c r="C15779" i="1"/>
  <c r="B15779" i="1"/>
  <c r="A15779" i="1"/>
  <c r="F15778" i="1"/>
  <c r="E15778" i="1"/>
  <c r="D15778" i="1"/>
  <c r="C15778" i="1"/>
  <c r="B15778" i="1"/>
  <c r="A15778" i="1"/>
  <c r="F15777" i="1"/>
  <c r="E15777" i="1"/>
  <c r="D15777" i="1"/>
  <c r="C15777" i="1"/>
  <c r="B15777" i="1"/>
  <c r="A15777" i="1"/>
  <c r="F15776" i="1"/>
  <c r="E15776" i="1"/>
  <c r="D15776" i="1"/>
  <c r="C15776" i="1"/>
  <c r="B15776" i="1"/>
  <c r="A15776" i="1"/>
  <c r="F15775" i="1"/>
  <c r="E15775" i="1"/>
  <c r="D15775" i="1"/>
  <c r="C15775" i="1"/>
  <c r="B15775" i="1"/>
  <c r="A15775" i="1"/>
  <c r="F15774" i="1"/>
  <c r="E15774" i="1"/>
  <c r="D15774" i="1"/>
  <c r="C15774" i="1"/>
  <c r="B15774" i="1"/>
  <c r="A15774" i="1"/>
  <c r="F15773" i="1"/>
  <c r="E15773" i="1"/>
  <c r="D15773" i="1"/>
  <c r="C15773" i="1"/>
  <c r="B15773" i="1"/>
  <c r="A15773" i="1"/>
  <c r="F15772" i="1"/>
  <c r="E15772" i="1"/>
  <c r="D15772" i="1"/>
  <c r="C15772" i="1"/>
  <c r="B15772" i="1"/>
  <c r="A15772" i="1"/>
  <c r="F15771" i="1"/>
  <c r="E15771" i="1"/>
  <c r="D15771" i="1"/>
  <c r="C15771" i="1"/>
  <c r="B15771" i="1"/>
  <c r="A15771" i="1"/>
  <c r="F15770" i="1"/>
  <c r="E15770" i="1"/>
  <c r="D15770" i="1"/>
  <c r="C15770" i="1"/>
  <c r="B15770" i="1"/>
  <c r="A15770" i="1"/>
  <c r="F15769" i="1"/>
  <c r="E15769" i="1"/>
  <c r="D15769" i="1"/>
  <c r="C15769" i="1"/>
  <c r="B15769" i="1"/>
  <c r="A15769" i="1"/>
  <c r="F15768" i="1"/>
  <c r="E15768" i="1"/>
  <c r="D15768" i="1"/>
  <c r="C15768" i="1"/>
  <c r="B15768" i="1"/>
  <c r="A15768" i="1"/>
  <c r="F15767" i="1"/>
  <c r="E15767" i="1"/>
  <c r="D15767" i="1"/>
  <c r="C15767" i="1"/>
  <c r="B15767" i="1"/>
  <c r="A15767" i="1"/>
  <c r="F15766" i="1"/>
  <c r="E15766" i="1"/>
  <c r="D15766" i="1"/>
  <c r="C15766" i="1"/>
  <c r="B15766" i="1"/>
  <c r="A15766" i="1"/>
  <c r="F15765" i="1"/>
  <c r="E15765" i="1"/>
  <c r="D15765" i="1"/>
  <c r="C15765" i="1"/>
  <c r="B15765" i="1"/>
  <c r="A15765" i="1"/>
  <c r="F15764" i="1"/>
  <c r="E15764" i="1"/>
  <c r="D15764" i="1"/>
  <c r="C15764" i="1"/>
  <c r="B15764" i="1"/>
  <c r="A15764" i="1"/>
  <c r="F15763" i="1"/>
  <c r="E15763" i="1"/>
  <c r="D15763" i="1"/>
  <c r="C15763" i="1"/>
  <c r="B15763" i="1"/>
  <c r="A15763" i="1"/>
  <c r="F15762" i="1"/>
  <c r="E15762" i="1"/>
  <c r="D15762" i="1"/>
  <c r="C15762" i="1"/>
  <c r="B15762" i="1"/>
  <c r="A15762" i="1"/>
  <c r="F15761" i="1"/>
  <c r="E15761" i="1"/>
  <c r="D15761" i="1"/>
  <c r="C15761" i="1"/>
  <c r="B15761" i="1"/>
  <c r="A15761" i="1"/>
  <c r="F15760" i="1"/>
  <c r="E15760" i="1"/>
  <c r="D15760" i="1"/>
  <c r="C15760" i="1"/>
  <c r="B15760" i="1"/>
  <c r="A15760" i="1"/>
  <c r="F15759" i="1"/>
  <c r="E15759" i="1"/>
  <c r="D15759" i="1"/>
  <c r="C15759" i="1"/>
  <c r="B15759" i="1"/>
  <c r="A15759" i="1"/>
  <c r="F15758" i="1"/>
  <c r="E15758" i="1"/>
  <c r="D15758" i="1"/>
  <c r="C15758" i="1"/>
  <c r="B15758" i="1"/>
  <c r="A15758" i="1"/>
  <c r="F15757" i="1"/>
  <c r="E15757" i="1"/>
  <c r="D15757" i="1"/>
  <c r="C15757" i="1"/>
  <c r="B15757" i="1"/>
  <c r="A15757" i="1"/>
  <c r="F15756" i="1"/>
  <c r="E15756" i="1"/>
  <c r="D15756" i="1"/>
  <c r="C15756" i="1"/>
  <c r="B15756" i="1"/>
  <c r="A15756" i="1"/>
  <c r="F15755" i="1"/>
  <c r="E15755" i="1"/>
  <c r="D15755" i="1"/>
  <c r="C15755" i="1"/>
  <c r="B15755" i="1"/>
  <c r="A15755" i="1"/>
  <c r="F15754" i="1"/>
  <c r="E15754" i="1"/>
  <c r="D15754" i="1"/>
  <c r="C15754" i="1"/>
  <c r="B15754" i="1"/>
  <c r="A15754" i="1"/>
  <c r="F15753" i="1"/>
  <c r="E15753" i="1"/>
  <c r="D15753" i="1"/>
  <c r="C15753" i="1"/>
  <c r="B15753" i="1"/>
  <c r="A15753" i="1"/>
  <c r="F15752" i="1"/>
  <c r="E15752" i="1"/>
  <c r="D15752" i="1"/>
  <c r="C15752" i="1"/>
  <c r="B15752" i="1"/>
  <c r="A15752" i="1"/>
  <c r="F15751" i="1"/>
  <c r="E15751" i="1"/>
  <c r="D15751" i="1"/>
  <c r="C15751" i="1"/>
  <c r="B15751" i="1"/>
  <c r="A15751" i="1"/>
  <c r="F15750" i="1"/>
  <c r="E15750" i="1"/>
  <c r="D15750" i="1"/>
  <c r="C15750" i="1"/>
  <c r="B15750" i="1"/>
  <c r="A15750" i="1"/>
  <c r="F15749" i="1"/>
  <c r="E15749" i="1"/>
  <c r="D15749" i="1"/>
  <c r="C15749" i="1"/>
  <c r="B15749" i="1"/>
  <c r="A15749" i="1"/>
  <c r="F15748" i="1"/>
  <c r="E15748" i="1"/>
  <c r="D15748" i="1"/>
  <c r="C15748" i="1"/>
  <c r="B15748" i="1"/>
  <c r="A15748" i="1"/>
  <c r="F15747" i="1"/>
  <c r="E15747" i="1"/>
  <c r="D15747" i="1"/>
  <c r="C15747" i="1"/>
  <c r="B15747" i="1"/>
  <c r="A15747" i="1"/>
  <c r="F15746" i="1"/>
  <c r="E15746" i="1"/>
  <c r="D15746" i="1"/>
  <c r="C15746" i="1"/>
  <c r="B15746" i="1"/>
  <c r="A15746" i="1"/>
  <c r="F15745" i="1"/>
  <c r="E15745" i="1"/>
  <c r="D15745" i="1"/>
  <c r="C15745" i="1"/>
  <c r="B15745" i="1"/>
  <c r="A15745" i="1"/>
  <c r="F15744" i="1"/>
  <c r="E15744" i="1"/>
  <c r="D15744" i="1"/>
  <c r="C15744" i="1"/>
  <c r="B15744" i="1"/>
  <c r="A15744" i="1"/>
  <c r="F15743" i="1"/>
  <c r="E15743" i="1"/>
  <c r="D15743" i="1"/>
  <c r="C15743" i="1"/>
  <c r="B15743" i="1"/>
  <c r="A15743" i="1"/>
  <c r="F15742" i="1"/>
  <c r="E15742" i="1"/>
  <c r="D15742" i="1"/>
  <c r="C15742" i="1"/>
  <c r="B15742" i="1"/>
  <c r="A15742" i="1"/>
  <c r="F15741" i="1"/>
  <c r="E15741" i="1"/>
  <c r="D15741" i="1"/>
  <c r="C15741" i="1"/>
  <c r="B15741" i="1"/>
  <c r="A15741" i="1"/>
  <c r="F15740" i="1"/>
  <c r="E15740" i="1"/>
  <c r="D15740" i="1"/>
  <c r="C15740" i="1"/>
  <c r="B15740" i="1"/>
  <c r="A15740" i="1"/>
  <c r="F15739" i="1"/>
  <c r="E15739" i="1"/>
  <c r="D15739" i="1"/>
  <c r="C15739" i="1"/>
  <c r="B15739" i="1"/>
  <c r="A15739" i="1"/>
  <c r="F15738" i="1"/>
  <c r="E15738" i="1"/>
  <c r="D15738" i="1"/>
  <c r="C15738" i="1"/>
  <c r="B15738" i="1"/>
  <c r="A15738" i="1"/>
  <c r="F15737" i="1"/>
  <c r="E15737" i="1"/>
  <c r="D15737" i="1"/>
  <c r="C15737" i="1"/>
  <c r="B15737" i="1"/>
  <c r="A15737" i="1"/>
  <c r="F15736" i="1"/>
  <c r="E15736" i="1"/>
  <c r="D15736" i="1"/>
  <c r="C15736" i="1"/>
  <c r="B15736" i="1"/>
  <c r="A15736" i="1"/>
  <c r="F15735" i="1"/>
  <c r="E15735" i="1"/>
  <c r="D15735" i="1"/>
  <c r="C15735" i="1"/>
  <c r="B15735" i="1"/>
  <c r="A15735" i="1"/>
  <c r="F15734" i="1"/>
  <c r="E15734" i="1"/>
  <c r="D15734" i="1"/>
  <c r="C15734" i="1"/>
  <c r="B15734" i="1"/>
  <c r="A15734" i="1"/>
  <c r="F15733" i="1"/>
  <c r="E15733" i="1"/>
  <c r="D15733" i="1"/>
  <c r="C15733" i="1"/>
  <c r="B15733" i="1"/>
  <c r="A15733" i="1"/>
  <c r="F15732" i="1"/>
  <c r="E15732" i="1"/>
  <c r="D15732" i="1"/>
  <c r="C15732" i="1"/>
  <c r="B15732" i="1"/>
  <c r="A15732" i="1"/>
  <c r="F15731" i="1"/>
  <c r="E15731" i="1"/>
  <c r="D15731" i="1"/>
  <c r="C15731" i="1"/>
  <c r="B15731" i="1"/>
  <c r="A15731" i="1"/>
  <c r="F15730" i="1"/>
  <c r="E15730" i="1"/>
  <c r="D15730" i="1"/>
  <c r="C15730" i="1"/>
  <c r="B15730" i="1"/>
  <c r="A15730" i="1"/>
  <c r="F15729" i="1"/>
  <c r="E15729" i="1"/>
  <c r="D15729" i="1"/>
  <c r="C15729" i="1"/>
  <c r="B15729" i="1"/>
  <c r="A15729" i="1"/>
  <c r="F15728" i="1"/>
  <c r="E15728" i="1"/>
  <c r="D15728" i="1"/>
  <c r="C15728" i="1"/>
  <c r="B15728" i="1"/>
  <c r="A15728" i="1"/>
  <c r="F15727" i="1"/>
  <c r="E15727" i="1"/>
  <c r="D15727" i="1"/>
  <c r="C15727" i="1"/>
  <c r="B15727" i="1"/>
  <c r="A15727" i="1"/>
  <c r="F15726" i="1"/>
  <c r="E15726" i="1"/>
  <c r="D15726" i="1"/>
  <c r="C15726" i="1"/>
  <c r="B15726" i="1"/>
  <c r="A15726" i="1"/>
  <c r="F15725" i="1"/>
  <c r="E15725" i="1"/>
  <c r="D15725" i="1"/>
  <c r="C15725" i="1"/>
  <c r="B15725" i="1"/>
  <c r="A15725" i="1"/>
  <c r="F15724" i="1"/>
  <c r="E15724" i="1"/>
  <c r="D15724" i="1"/>
  <c r="C15724" i="1"/>
  <c r="B15724" i="1"/>
  <c r="A15724" i="1"/>
  <c r="F15723" i="1"/>
  <c r="E15723" i="1"/>
  <c r="D15723" i="1"/>
  <c r="C15723" i="1"/>
  <c r="B15723" i="1"/>
  <c r="A15723" i="1"/>
  <c r="F15722" i="1"/>
  <c r="E15722" i="1"/>
  <c r="D15722" i="1"/>
  <c r="C15722" i="1"/>
  <c r="B15722" i="1"/>
  <c r="A15722" i="1"/>
  <c r="F15721" i="1"/>
  <c r="E15721" i="1"/>
  <c r="D15721" i="1"/>
  <c r="C15721" i="1"/>
  <c r="B15721" i="1"/>
  <c r="A15721" i="1"/>
  <c r="F15720" i="1"/>
  <c r="E15720" i="1"/>
  <c r="D15720" i="1"/>
  <c r="C15720" i="1"/>
  <c r="B15720" i="1"/>
  <c r="A15720" i="1"/>
  <c r="F15719" i="1"/>
  <c r="E15719" i="1"/>
  <c r="D15719" i="1"/>
  <c r="C15719" i="1"/>
  <c r="B15719" i="1"/>
  <c r="A15719" i="1"/>
  <c r="F15718" i="1"/>
  <c r="E15718" i="1"/>
  <c r="D15718" i="1"/>
  <c r="C15718" i="1"/>
  <c r="B15718" i="1"/>
  <c r="A15718" i="1"/>
  <c r="F15717" i="1"/>
  <c r="E15717" i="1"/>
  <c r="D15717" i="1"/>
  <c r="C15717" i="1"/>
  <c r="B15717" i="1"/>
  <c r="A15717" i="1"/>
  <c r="F15716" i="1"/>
  <c r="E15716" i="1"/>
  <c r="D15716" i="1"/>
  <c r="C15716" i="1"/>
  <c r="B15716" i="1"/>
  <c r="A15716" i="1"/>
  <c r="F15715" i="1"/>
  <c r="E15715" i="1"/>
  <c r="D15715" i="1"/>
  <c r="C15715" i="1"/>
  <c r="B15715" i="1"/>
  <c r="A15715" i="1"/>
  <c r="F15714" i="1"/>
  <c r="E15714" i="1"/>
  <c r="D15714" i="1"/>
  <c r="C15714" i="1"/>
  <c r="B15714" i="1"/>
  <c r="A15714" i="1"/>
  <c r="F15713" i="1"/>
  <c r="E15713" i="1"/>
  <c r="D15713" i="1"/>
  <c r="C15713" i="1"/>
  <c r="B15713" i="1"/>
  <c r="A15713" i="1"/>
  <c r="F15712" i="1"/>
  <c r="E15712" i="1"/>
  <c r="D15712" i="1"/>
  <c r="C15712" i="1"/>
  <c r="B15712" i="1"/>
  <c r="A15712" i="1"/>
  <c r="F15711" i="1"/>
  <c r="E15711" i="1"/>
  <c r="D15711" i="1"/>
  <c r="C15711" i="1"/>
  <c r="B15711" i="1"/>
  <c r="A15711" i="1"/>
  <c r="F15710" i="1"/>
  <c r="E15710" i="1"/>
  <c r="D15710" i="1"/>
  <c r="C15710" i="1"/>
  <c r="B15710" i="1"/>
  <c r="A15710" i="1"/>
  <c r="F15709" i="1"/>
  <c r="E15709" i="1"/>
  <c r="D15709" i="1"/>
  <c r="C15709" i="1"/>
  <c r="B15709" i="1"/>
  <c r="A15709" i="1"/>
  <c r="F15708" i="1"/>
  <c r="E15708" i="1"/>
  <c r="D15708" i="1"/>
  <c r="C15708" i="1"/>
  <c r="B15708" i="1"/>
  <c r="A15708" i="1"/>
  <c r="F15707" i="1"/>
  <c r="E15707" i="1"/>
  <c r="D15707" i="1"/>
  <c r="C15707" i="1"/>
  <c r="B15707" i="1"/>
  <c r="A15707" i="1"/>
  <c r="F15706" i="1"/>
  <c r="E15706" i="1"/>
  <c r="D15706" i="1"/>
  <c r="C15706" i="1"/>
  <c r="B15706" i="1"/>
  <c r="A15706" i="1"/>
  <c r="F15705" i="1"/>
  <c r="E15705" i="1"/>
  <c r="D15705" i="1"/>
  <c r="C15705" i="1"/>
  <c r="B15705" i="1"/>
  <c r="A15705" i="1"/>
  <c r="F15704" i="1"/>
  <c r="E15704" i="1"/>
  <c r="D15704" i="1"/>
  <c r="C15704" i="1"/>
  <c r="B15704" i="1"/>
  <c r="A15704" i="1"/>
  <c r="F15703" i="1"/>
  <c r="E15703" i="1"/>
  <c r="D15703" i="1"/>
  <c r="C15703" i="1"/>
  <c r="B15703" i="1"/>
  <c r="A15703" i="1"/>
  <c r="F15702" i="1"/>
  <c r="E15702" i="1"/>
  <c r="D15702" i="1"/>
  <c r="C15702" i="1"/>
  <c r="B15702" i="1"/>
  <c r="A15702" i="1"/>
  <c r="F15701" i="1"/>
  <c r="E15701" i="1"/>
  <c r="D15701" i="1"/>
  <c r="C15701" i="1"/>
  <c r="B15701" i="1"/>
  <c r="A15701" i="1"/>
  <c r="F15700" i="1"/>
  <c r="E15700" i="1"/>
  <c r="D15700" i="1"/>
  <c r="C15700" i="1"/>
  <c r="B15700" i="1"/>
  <c r="A15700" i="1"/>
  <c r="F15699" i="1"/>
  <c r="E15699" i="1"/>
  <c r="D15699" i="1"/>
  <c r="C15699" i="1"/>
  <c r="B15699" i="1"/>
  <c r="A15699" i="1"/>
  <c r="F15698" i="1"/>
  <c r="E15698" i="1"/>
  <c r="D15698" i="1"/>
  <c r="C15698" i="1"/>
  <c r="B15698" i="1"/>
  <c r="A15698" i="1"/>
  <c r="F15697" i="1"/>
  <c r="E15697" i="1"/>
  <c r="D15697" i="1"/>
  <c r="C15697" i="1"/>
  <c r="B15697" i="1"/>
  <c r="A15697" i="1"/>
  <c r="F15696" i="1"/>
  <c r="E15696" i="1"/>
  <c r="D15696" i="1"/>
  <c r="C15696" i="1"/>
  <c r="B15696" i="1"/>
  <c r="A15696" i="1"/>
  <c r="F15695" i="1"/>
  <c r="E15695" i="1"/>
  <c r="D15695" i="1"/>
  <c r="C15695" i="1"/>
  <c r="B15695" i="1"/>
  <c r="A15695" i="1"/>
  <c r="F15694" i="1"/>
  <c r="E15694" i="1"/>
  <c r="D15694" i="1"/>
  <c r="C15694" i="1"/>
  <c r="B15694" i="1"/>
  <c r="A15694" i="1"/>
  <c r="F15693" i="1"/>
  <c r="E15693" i="1"/>
  <c r="D15693" i="1"/>
  <c r="C15693" i="1"/>
  <c r="B15693" i="1"/>
  <c r="A15693" i="1"/>
  <c r="F15692" i="1"/>
  <c r="E15692" i="1"/>
  <c r="D15692" i="1"/>
  <c r="C15692" i="1"/>
  <c r="B15692" i="1"/>
  <c r="A15692" i="1"/>
  <c r="F15691" i="1"/>
  <c r="E15691" i="1"/>
  <c r="D15691" i="1"/>
  <c r="C15691" i="1"/>
  <c r="B15691" i="1"/>
  <c r="A15691" i="1"/>
  <c r="F15690" i="1"/>
  <c r="E15690" i="1"/>
  <c r="D15690" i="1"/>
  <c r="C15690" i="1"/>
  <c r="B15690" i="1"/>
  <c r="A15690" i="1"/>
  <c r="F15689" i="1"/>
  <c r="E15689" i="1"/>
  <c r="D15689" i="1"/>
  <c r="C15689" i="1"/>
  <c r="B15689" i="1"/>
  <c r="A15689" i="1"/>
  <c r="F15688" i="1"/>
  <c r="E15688" i="1"/>
  <c r="D15688" i="1"/>
  <c r="C15688" i="1"/>
  <c r="B15688" i="1"/>
  <c r="A15688" i="1"/>
  <c r="F15687" i="1"/>
  <c r="E15687" i="1"/>
  <c r="D15687" i="1"/>
  <c r="C15687" i="1"/>
  <c r="B15687" i="1"/>
  <c r="A15687" i="1"/>
  <c r="F15686" i="1"/>
  <c r="E15686" i="1"/>
  <c r="D15686" i="1"/>
  <c r="C15686" i="1"/>
  <c r="B15686" i="1"/>
  <c r="A15686" i="1"/>
  <c r="F15685" i="1"/>
  <c r="E15685" i="1"/>
  <c r="D15685" i="1"/>
  <c r="C15685" i="1"/>
  <c r="B15685" i="1"/>
  <c r="A15685" i="1"/>
  <c r="F15684" i="1"/>
  <c r="E15684" i="1"/>
  <c r="D15684" i="1"/>
  <c r="C15684" i="1"/>
  <c r="B15684" i="1"/>
  <c r="A15684" i="1"/>
  <c r="F15683" i="1"/>
  <c r="E15683" i="1"/>
  <c r="D15683" i="1"/>
  <c r="C15683" i="1"/>
  <c r="B15683" i="1"/>
  <c r="A15683" i="1"/>
  <c r="F15682" i="1"/>
  <c r="E15682" i="1"/>
  <c r="D15682" i="1"/>
  <c r="C15682" i="1"/>
  <c r="B15682" i="1"/>
  <c r="A15682" i="1"/>
  <c r="F15681" i="1"/>
  <c r="E15681" i="1"/>
  <c r="D15681" i="1"/>
  <c r="C15681" i="1"/>
  <c r="B15681" i="1"/>
  <c r="A15681" i="1"/>
  <c r="F15680" i="1"/>
  <c r="E15680" i="1"/>
  <c r="D15680" i="1"/>
  <c r="C15680" i="1"/>
  <c r="B15680" i="1"/>
  <c r="A15680" i="1"/>
  <c r="F15679" i="1"/>
  <c r="E15679" i="1"/>
  <c r="D15679" i="1"/>
  <c r="C15679" i="1"/>
  <c r="B15679" i="1"/>
  <c r="A15679" i="1"/>
  <c r="F15678" i="1"/>
  <c r="E15678" i="1"/>
  <c r="D15678" i="1"/>
  <c r="C15678" i="1"/>
  <c r="B15678" i="1"/>
  <c r="A15678" i="1"/>
  <c r="F15677" i="1"/>
  <c r="E15677" i="1"/>
  <c r="D15677" i="1"/>
  <c r="C15677" i="1"/>
  <c r="B15677" i="1"/>
  <c r="A15677" i="1"/>
  <c r="F15676" i="1"/>
  <c r="E15676" i="1"/>
  <c r="D15676" i="1"/>
  <c r="C15676" i="1"/>
  <c r="B15676" i="1"/>
  <c r="A15676" i="1"/>
  <c r="F15675" i="1"/>
  <c r="E15675" i="1"/>
  <c r="D15675" i="1"/>
  <c r="C15675" i="1"/>
  <c r="B15675" i="1"/>
  <c r="A15675" i="1"/>
  <c r="F15674" i="1"/>
  <c r="E15674" i="1"/>
  <c r="D15674" i="1"/>
  <c r="C15674" i="1"/>
  <c r="B15674" i="1"/>
  <c r="A15674" i="1"/>
  <c r="F15673" i="1"/>
  <c r="E15673" i="1"/>
  <c r="D15673" i="1"/>
  <c r="C15673" i="1"/>
  <c r="B15673" i="1"/>
  <c r="A15673" i="1"/>
  <c r="F15672" i="1"/>
  <c r="E15672" i="1"/>
  <c r="D15672" i="1"/>
  <c r="C15672" i="1"/>
  <c r="B15672" i="1"/>
  <c r="A15672" i="1"/>
  <c r="F15671" i="1"/>
  <c r="E15671" i="1"/>
  <c r="D15671" i="1"/>
  <c r="C15671" i="1"/>
  <c r="B15671" i="1"/>
  <c r="A15671" i="1"/>
  <c r="F15670" i="1"/>
  <c r="E15670" i="1"/>
  <c r="D15670" i="1"/>
  <c r="C15670" i="1"/>
  <c r="B15670" i="1"/>
  <c r="A15670" i="1"/>
  <c r="F15669" i="1"/>
  <c r="E15669" i="1"/>
  <c r="D15669" i="1"/>
  <c r="C15669" i="1"/>
  <c r="B15669" i="1"/>
  <c r="A15669" i="1"/>
  <c r="F15668" i="1"/>
  <c r="E15668" i="1"/>
  <c r="D15668" i="1"/>
  <c r="C15668" i="1"/>
  <c r="B15668" i="1"/>
  <c r="A15668" i="1"/>
  <c r="F15667" i="1"/>
  <c r="E15667" i="1"/>
  <c r="D15667" i="1"/>
  <c r="C15667" i="1"/>
  <c r="B15667" i="1"/>
  <c r="A15667" i="1"/>
  <c r="F15666" i="1"/>
  <c r="E15666" i="1"/>
  <c r="D15666" i="1"/>
  <c r="C15666" i="1"/>
  <c r="B15666" i="1"/>
  <c r="A15666" i="1"/>
  <c r="F15665" i="1"/>
  <c r="E15665" i="1"/>
  <c r="D15665" i="1"/>
  <c r="C15665" i="1"/>
  <c r="B15665" i="1"/>
  <c r="A15665" i="1"/>
  <c r="F15664" i="1"/>
  <c r="E15664" i="1"/>
  <c r="D15664" i="1"/>
  <c r="C15664" i="1"/>
  <c r="B15664" i="1"/>
  <c r="A15664" i="1"/>
  <c r="F15663" i="1"/>
  <c r="E15663" i="1"/>
  <c r="D15663" i="1"/>
  <c r="C15663" i="1"/>
  <c r="B15663" i="1"/>
  <c r="A15663" i="1"/>
  <c r="F15662" i="1"/>
  <c r="E15662" i="1"/>
  <c r="D15662" i="1"/>
  <c r="C15662" i="1"/>
  <c r="B15662" i="1"/>
  <c r="A15662" i="1"/>
  <c r="F15661" i="1"/>
  <c r="E15661" i="1"/>
  <c r="D15661" i="1"/>
  <c r="C15661" i="1"/>
  <c r="B15661" i="1"/>
  <c r="A15661" i="1"/>
  <c r="F15660" i="1"/>
  <c r="E15660" i="1"/>
  <c r="D15660" i="1"/>
  <c r="C15660" i="1"/>
  <c r="B15660" i="1"/>
  <c r="A15660" i="1"/>
  <c r="F15659" i="1"/>
  <c r="E15659" i="1"/>
  <c r="D15659" i="1"/>
  <c r="C15659" i="1"/>
  <c r="B15659" i="1"/>
  <c r="A15659" i="1"/>
  <c r="F15658" i="1"/>
  <c r="E15658" i="1"/>
  <c r="D15658" i="1"/>
  <c r="C15658" i="1"/>
  <c r="B15658" i="1"/>
  <c r="A15658" i="1"/>
  <c r="F15657" i="1"/>
  <c r="E15657" i="1"/>
  <c r="D15657" i="1"/>
  <c r="C15657" i="1"/>
  <c r="B15657" i="1"/>
  <c r="A15657" i="1"/>
  <c r="F15656" i="1"/>
  <c r="E15656" i="1"/>
  <c r="D15656" i="1"/>
  <c r="C15656" i="1"/>
  <c r="B15656" i="1"/>
  <c r="A15656" i="1"/>
  <c r="F15655" i="1"/>
  <c r="E15655" i="1"/>
  <c r="D15655" i="1"/>
  <c r="C15655" i="1"/>
  <c r="B15655" i="1"/>
  <c r="A15655" i="1"/>
  <c r="F15654" i="1"/>
  <c r="E15654" i="1"/>
  <c r="D15654" i="1"/>
  <c r="C15654" i="1"/>
  <c r="B15654" i="1"/>
  <c r="A15654" i="1"/>
  <c r="F15653" i="1"/>
  <c r="E15653" i="1"/>
  <c r="D15653" i="1"/>
  <c r="C15653" i="1"/>
  <c r="B15653" i="1"/>
  <c r="A15653" i="1"/>
  <c r="F15652" i="1"/>
  <c r="E15652" i="1"/>
  <c r="D15652" i="1"/>
  <c r="C15652" i="1"/>
  <c r="B15652" i="1"/>
  <c r="A15652" i="1"/>
  <c r="F15651" i="1"/>
  <c r="E15651" i="1"/>
  <c r="D15651" i="1"/>
  <c r="C15651" i="1"/>
  <c r="B15651" i="1"/>
  <c r="A15651" i="1"/>
  <c r="F15650" i="1"/>
  <c r="E15650" i="1"/>
  <c r="D15650" i="1"/>
  <c r="C15650" i="1"/>
  <c r="B15650" i="1"/>
  <c r="A15650" i="1"/>
  <c r="F15649" i="1"/>
  <c r="E15649" i="1"/>
  <c r="D15649" i="1"/>
  <c r="C15649" i="1"/>
  <c r="B15649" i="1"/>
  <c r="A15649" i="1"/>
  <c r="F15648" i="1"/>
  <c r="E15648" i="1"/>
  <c r="D15648" i="1"/>
  <c r="C15648" i="1"/>
  <c r="B15648" i="1"/>
  <c r="A15648" i="1"/>
  <c r="F15647" i="1"/>
  <c r="E15647" i="1"/>
  <c r="D15647" i="1"/>
  <c r="C15647" i="1"/>
  <c r="B15647" i="1"/>
  <c r="A15647" i="1"/>
  <c r="F15646" i="1"/>
  <c r="E15646" i="1"/>
  <c r="D15646" i="1"/>
  <c r="C15646" i="1"/>
  <c r="B15646" i="1"/>
  <c r="A15646" i="1"/>
  <c r="F15645" i="1"/>
  <c r="E15645" i="1"/>
  <c r="D15645" i="1"/>
  <c r="C15645" i="1"/>
  <c r="B15645" i="1"/>
  <c r="A15645" i="1"/>
  <c r="F15644" i="1"/>
  <c r="E15644" i="1"/>
  <c r="D15644" i="1"/>
  <c r="C15644" i="1"/>
  <c r="B15644" i="1"/>
  <c r="A15644" i="1"/>
  <c r="F15643" i="1"/>
  <c r="E15643" i="1"/>
  <c r="D15643" i="1"/>
  <c r="C15643" i="1"/>
  <c r="B15643" i="1"/>
  <c r="A15643" i="1"/>
  <c r="F15642" i="1"/>
  <c r="E15642" i="1"/>
  <c r="D15642" i="1"/>
  <c r="C15642" i="1"/>
  <c r="B15642" i="1"/>
  <c r="A15642" i="1"/>
  <c r="F15641" i="1"/>
  <c r="E15641" i="1"/>
  <c r="D15641" i="1"/>
  <c r="C15641" i="1"/>
  <c r="B15641" i="1"/>
  <c r="A15641" i="1"/>
  <c r="F15640" i="1"/>
  <c r="E15640" i="1"/>
  <c r="D15640" i="1"/>
  <c r="C15640" i="1"/>
  <c r="B15640" i="1"/>
  <c r="A15640" i="1"/>
  <c r="F15639" i="1"/>
  <c r="E15639" i="1"/>
  <c r="D15639" i="1"/>
  <c r="C15639" i="1"/>
  <c r="B15639" i="1"/>
  <c r="A15639" i="1"/>
  <c r="F15638" i="1"/>
  <c r="E15638" i="1"/>
  <c r="D15638" i="1"/>
  <c r="C15638" i="1"/>
  <c r="B15638" i="1"/>
  <c r="A15638" i="1"/>
  <c r="F15637" i="1"/>
  <c r="E15637" i="1"/>
  <c r="D15637" i="1"/>
  <c r="C15637" i="1"/>
  <c r="B15637" i="1"/>
  <c r="A15637" i="1"/>
  <c r="F15636" i="1"/>
  <c r="E15636" i="1"/>
  <c r="D15636" i="1"/>
  <c r="C15636" i="1"/>
  <c r="B15636" i="1"/>
  <c r="A15636" i="1"/>
  <c r="F15635" i="1"/>
  <c r="E15635" i="1"/>
  <c r="D15635" i="1"/>
  <c r="C15635" i="1"/>
  <c r="B15635" i="1"/>
  <c r="A15635" i="1"/>
  <c r="F15634" i="1"/>
  <c r="E15634" i="1"/>
  <c r="D15634" i="1"/>
  <c r="C15634" i="1"/>
  <c r="B15634" i="1"/>
  <c r="A15634" i="1"/>
  <c r="F15633" i="1"/>
  <c r="E15633" i="1"/>
  <c r="D15633" i="1"/>
  <c r="C15633" i="1"/>
  <c r="B15633" i="1"/>
  <c r="A15633" i="1"/>
  <c r="F15632" i="1"/>
  <c r="E15632" i="1"/>
  <c r="D15632" i="1"/>
  <c r="C15632" i="1"/>
  <c r="B15632" i="1"/>
  <c r="A15632" i="1"/>
  <c r="F15631" i="1"/>
  <c r="E15631" i="1"/>
  <c r="D15631" i="1"/>
  <c r="C15631" i="1"/>
  <c r="B15631" i="1"/>
  <c r="A15631" i="1"/>
  <c r="F15630" i="1"/>
  <c r="E15630" i="1"/>
  <c r="D15630" i="1"/>
  <c r="C15630" i="1"/>
  <c r="B15630" i="1"/>
  <c r="A15630" i="1"/>
  <c r="F15629" i="1"/>
  <c r="E15629" i="1"/>
  <c r="D15629" i="1"/>
  <c r="C15629" i="1"/>
  <c r="B15629" i="1"/>
  <c r="A15629" i="1"/>
  <c r="F15628" i="1"/>
  <c r="E15628" i="1"/>
  <c r="D15628" i="1"/>
  <c r="C15628" i="1"/>
  <c r="B15628" i="1"/>
  <c r="A15628" i="1"/>
  <c r="F15627" i="1"/>
  <c r="E15627" i="1"/>
  <c r="D15627" i="1"/>
  <c r="C15627" i="1"/>
  <c r="B15627" i="1"/>
  <c r="A15627" i="1"/>
  <c r="F15626" i="1"/>
  <c r="E15626" i="1"/>
  <c r="D15626" i="1"/>
  <c r="C15626" i="1"/>
  <c r="B15626" i="1"/>
  <c r="A15626" i="1"/>
  <c r="F15625" i="1"/>
  <c r="E15625" i="1"/>
  <c r="D15625" i="1"/>
  <c r="C15625" i="1"/>
  <c r="B15625" i="1"/>
  <c r="A15625" i="1"/>
  <c r="F15624" i="1"/>
  <c r="E15624" i="1"/>
  <c r="D15624" i="1"/>
  <c r="C15624" i="1"/>
  <c r="B15624" i="1"/>
  <c r="A15624" i="1"/>
  <c r="F15623" i="1"/>
  <c r="E15623" i="1"/>
  <c r="D15623" i="1"/>
  <c r="C15623" i="1"/>
  <c r="B15623" i="1"/>
  <c r="A15623" i="1"/>
  <c r="F15622" i="1"/>
  <c r="E15622" i="1"/>
  <c r="D15622" i="1"/>
  <c r="C15622" i="1"/>
  <c r="B15622" i="1"/>
  <c r="A15622" i="1"/>
  <c r="F15621" i="1"/>
  <c r="E15621" i="1"/>
  <c r="D15621" i="1"/>
  <c r="C15621" i="1"/>
  <c r="B15621" i="1"/>
  <c r="A15621" i="1"/>
  <c r="F15620" i="1"/>
  <c r="E15620" i="1"/>
  <c r="D15620" i="1"/>
  <c r="C15620" i="1"/>
  <c r="B15620" i="1"/>
  <c r="A15620" i="1"/>
  <c r="F15619" i="1"/>
  <c r="E15619" i="1"/>
  <c r="D15619" i="1"/>
  <c r="C15619" i="1"/>
  <c r="B15619" i="1"/>
  <c r="A15619" i="1"/>
  <c r="F15618" i="1"/>
  <c r="E15618" i="1"/>
  <c r="D15618" i="1"/>
  <c r="C15618" i="1"/>
  <c r="B15618" i="1"/>
  <c r="A15618" i="1"/>
  <c r="F15617" i="1"/>
  <c r="E15617" i="1"/>
  <c r="D15617" i="1"/>
  <c r="C15617" i="1"/>
  <c r="B15617" i="1"/>
  <c r="A15617" i="1"/>
  <c r="F15616" i="1"/>
  <c r="E15616" i="1"/>
  <c r="D15616" i="1"/>
  <c r="C15616" i="1"/>
  <c r="B15616" i="1"/>
  <c r="A15616" i="1"/>
  <c r="F15615" i="1"/>
  <c r="E15615" i="1"/>
  <c r="D15615" i="1"/>
  <c r="C15615" i="1"/>
  <c r="B15615" i="1"/>
  <c r="A15615" i="1"/>
  <c r="F15614" i="1"/>
  <c r="E15614" i="1"/>
  <c r="D15614" i="1"/>
  <c r="C15614" i="1"/>
  <c r="B15614" i="1"/>
  <c r="A15614" i="1"/>
  <c r="F15613" i="1"/>
  <c r="E15613" i="1"/>
  <c r="D15613" i="1"/>
  <c r="C15613" i="1"/>
  <c r="B15613" i="1"/>
  <c r="A15613" i="1"/>
  <c r="F15612" i="1"/>
  <c r="E15612" i="1"/>
  <c r="D15612" i="1"/>
  <c r="C15612" i="1"/>
  <c r="B15612" i="1"/>
  <c r="A15612" i="1"/>
  <c r="F15611" i="1"/>
  <c r="E15611" i="1"/>
  <c r="D15611" i="1"/>
  <c r="C15611" i="1"/>
  <c r="B15611" i="1"/>
  <c r="A15611" i="1"/>
  <c r="F15610" i="1"/>
  <c r="E15610" i="1"/>
  <c r="D15610" i="1"/>
  <c r="C15610" i="1"/>
  <c r="B15610" i="1"/>
  <c r="A15610" i="1"/>
  <c r="F15609" i="1"/>
  <c r="E15609" i="1"/>
  <c r="D15609" i="1"/>
  <c r="C15609" i="1"/>
  <c r="B15609" i="1"/>
  <c r="A15609" i="1"/>
  <c r="F15608" i="1"/>
  <c r="E15608" i="1"/>
  <c r="D15608" i="1"/>
  <c r="C15608" i="1"/>
  <c r="B15608" i="1"/>
  <c r="A15608" i="1"/>
  <c r="F15607" i="1"/>
  <c r="E15607" i="1"/>
  <c r="D15607" i="1"/>
  <c r="C15607" i="1"/>
  <c r="B15607" i="1"/>
  <c r="A15607" i="1"/>
  <c r="F15606" i="1"/>
  <c r="E15606" i="1"/>
  <c r="D15606" i="1"/>
  <c r="C15606" i="1"/>
  <c r="B15606" i="1"/>
  <c r="A15606" i="1"/>
  <c r="F15605" i="1"/>
  <c r="E15605" i="1"/>
  <c r="D15605" i="1"/>
  <c r="C15605" i="1"/>
  <c r="B15605" i="1"/>
  <c r="A15605" i="1"/>
  <c r="F15604" i="1"/>
  <c r="E15604" i="1"/>
  <c r="D15604" i="1"/>
  <c r="C15604" i="1"/>
  <c r="B15604" i="1"/>
  <c r="A15604" i="1"/>
  <c r="F15603" i="1"/>
  <c r="E15603" i="1"/>
  <c r="D15603" i="1"/>
  <c r="C15603" i="1"/>
  <c r="B15603" i="1"/>
  <c r="A15603" i="1"/>
  <c r="F15602" i="1"/>
  <c r="E15602" i="1"/>
  <c r="D15602" i="1"/>
  <c r="C15602" i="1"/>
  <c r="B15602" i="1"/>
  <c r="A15602" i="1"/>
  <c r="F15601" i="1"/>
  <c r="E15601" i="1"/>
  <c r="D15601" i="1"/>
  <c r="C15601" i="1"/>
  <c r="B15601" i="1"/>
  <c r="A15601" i="1"/>
  <c r="F15600" i="1"/>
  <c r="E15600" i="1"/>
  <c r="D15600" i="1"/>
  <c r="C15600" i="1"/>
  <c r="B15600" i="1"/>
  <c r="A15600" i="1"/>
  <c r="F15599" i="1"/>
  <c r="E15599" i="1"/>
  <c r="D15599" i="1"/>
  <c r="C15599" i="1"/>
  <c r="B15599" i="1"/>
  <c r="A15599" i="1"/>
  <c r="F15598" i="1"/>
  <c r="E15598" i="1"/>
  <c r="D15598" i="1"/>
  <c r="C15598" i="1"/>
  <c r="B15598" i="1"/>
  <c r="A15598" i="1"/>
  <c r="F15597" i="1"/>
  <c r="E15597" i="1"/>
  <c r="D15597" i="1"/>
  <c r="C15597" i="1"/>
  <c r="B15597" i="1"/>
  <c r="A15597" i="1"/>
  <c r="F15596" i="1"/>
  <c r="E15596" i="1"/>
  <c r="D15596" i="1"/>
  <c r="C15596" i="1"/>
  <c r="B15596" i="1"/>
  <c r="A15596" i="1"/>
  <c r="F15595" i="1"/>
  <c r="E15595" i="1"/>
  <c r="D15595" i="1"/>
  <c r="C15595" i="1"/>
  <c r="B15595" i="1"/>
  <c r="A15595" i="1"/>
  <c r="F15594" i="1"/>
  <c r="E15594" i="1"/>
  <c r="D15594" i="1"/>
  <c r="C15594" i="1"/>
  <c r="B15594" i="1"/>
  <c r="A15594" i="1"/>
  <c r="F15593" i="1"/>
  <c r="E15593" i="1"/>
  <c r="D15593" i="1"/>
  <c r="C15593" i="1"/>
  <c r="B15593" i="1"/>
  <c r="A15593" i="1"/>
  <c r="F15592" i="1"/>
  <c r="E15592" i="1"/>
  <c r="D15592" i="1"/>
  <c r="C15592" i="1"/>
  <c r="B15592" i="1"/>
  <c r="A15592" i="1"/>
  <c r="F15591" i="1"/>
  <c r="E15591" i="1"/>
  <c r="D15591" i="1"/>
  <c r="C15591" i="1"/>
  <c r="B15591" i="1"/>
  <c r="A15591" i="1"/>
  <c r="F15590" i="1"/>
  <c r="E15590" i="1"/>
  <c r="D15590" i="1"/>
  <c r="C15590" i="1"/>
  <c r="B15590" i="1"/>
  <c r="A15590" i="1"/>
  <c r="F15589" i="1"/>
  <c r="E15589" i="1"/>
  <c r="D15589" i="1"/>
  <c r="C15589" i="1"/>
  <c r="B15589" i="1"/>
  <c r="A15589" i="1"/>
  <c r="F15588" i="1"/>
  <c r="E15588" i="1"/>
  <c r="D15588" i="1"/>
  <c r="C15588" i="1"/>
  <c r="B15588" i="1"/>
  <c r="A15588" i="1"/>
  <c r="F15587" i="1"/>
  <c r="E15587" i="1"/>
  <c r="D15587" i="1"/>
  <c r="C15587" i="1"/>
  <c r="B15587" i="1"/>
  <c r="A15587" i="1"/>
  <c r="F15586" i="1"/>
  <c r="E15586" i="1"/>
  <c r="D15586" i="1"/>
  <c r="C15586" i="1"/>
  <c r="B15586" i="1"/>
  <c r="A15586" i="1"/>
  <c r="F15585" i="1"/>
  <c r="E15585" i="1"/>
  <c r="D15585" i="1"/>
  <c r="C15585" i="1"/>
  <c r="B15585" i="1"/>
  <c r="A15585" i="1"/>
  <c r="F15584" i="1"/>
  <c r="E15584" i="1"/>
  <c r="D15584" i="1"/>
  <c r="C15584" i="1"/>
  <c r="B15584" i="1"/>
  <c r="A15584" i="1"/>
  <c r="F15583" i="1"/>
  <c r="E15583" i="1"/>
  <c r="D15583" i="1"/>
  <c r="C15583" i="1"/>
  <c r="B15583" i="1"/>
  <c r="A15583" i="1"/>
  <c r="F15582" i="1"/>
  <c r="E15582" i="1"/>
  <c r="D15582" i="1"/>
  <c r="C15582" i="1"/>
  <c r="B15582" i="1"/>
  <c r="A15582" i="1"/>
  <c r="F15581" i="1"/>
  <c r="E15581" i="1"/>
  <c r="D15581" i="1"/>
  <c r="C15581" i="1"/>
  <c r="B15581" i="1"/>
  <c r="A15581" i="1"/>
  <c r="F15580" i="1"/>
  <c r="E15580" i="1"/>
  <c r="D15580" i="1"/>
  <c r="C15580" i="1"/>
  <c r="B15580" i="1"/>
  <c r="A15580" i="1"/>
  <c r="F15579" i="1"/>
  <c r="E15579" i="1"/>
  <c r="D15579" i="1"/>
  <c r="C15579" i="1"/>
  <c r="B15579" i="1"/>
  <c r="A15579" i="1"/>
  <c r="F15578" i="1"/>
  <c r="E15578" i="1"/>
  <c r="D15578" i="1"/>
  <c r="C15578" i="1"/>
  <c r="B15578" i="1"/>
  <c r="A15578" i="1"/>
  <c r="F15577" i="1"/>
  <c r="E15577" i="1"/>
  <c r="D15577" i="1"/>
  <c r="C15577" i="1"/>
  <c r="B15577" i="1"/>
  <c r="A15577" i="1"/>
  <c r="F15576" i="1"/>
  <c r="E15576" i="1"/>
  <c r="D15576" i="1"/>
  <c r="C15576" i="1"/>
  <c r="B15576" i="1"/>
  <c r="A15576" i="1"/>
  <c r="F15575" i="1"/>
  <c r="E15575" i="1"/>
  <c r="D15575" i="1"/>
  <c r="C15575" i="1"/>
  <c r="B15575" i="1"/>
  <c r="A15575" i="1"/>
  <c r="F15574" i="1"/>
  <c r="E15574" i="1"/>
  <c r="D15574" i="1"/>
  <c r="C15574" i="1"/>
  <c r="B15574" i="1"/>
  <c r="A15574" i="1"/>
  <c r="F15573" i="1"/>
  <c r="E15573" i="1"/>
  <c r="D15573" i="1"/>
  <c r="C15573" i="1"/>
  <c r="B15573" i="1"/>
  <c r="A15573" i="1"/>
  <c r="F15572" i="1"/>
  <c r="E15572" i="1"/>
  <c r="D15572" i="1"/>
  <c r="C15572" i="1"/>
  <c r="B15572" i="1"/>
  <c r="A15572" i="1"/>
  <c r="F15571" i="1"/>
  <c r="E15571" i="1"/>
  <c r="D15571" i="1"/>
  <c r="C15571" i="1"/>
  <c r="B15571" i="1"/>
  <c r="A15571" i="1"/>
  <c r="F15570" i="1"/>
  <c r="E15570" i="1"/>
  <c r="D15570" i="1"/>
  <c r="C15570" i="1"/>
  <c r="B15570" i="1"/>
  <c r="A15570" i="1"/>
  <c r="F15569" i="1"/>
  <c r="E15569" i="1"/>
  <c r="D15569" i="1"/>
  <c r="C15569" i="1"/>
  <c r="B15569" i="1"/>
  <c r="A15569" i="1"/>
  <c r="F15568" i="1"/>
  <c r="E15568" i="1"/>
  <c r="D15568" i="1"/>
  <c r="C15568" i="1"/>
  <c r="B15568" i="1"/>
  <c r="A15568" i="1"/>
  <c r="F15567" i="1"/>
  <c r="E15567" i="1"/>
  <c r="D15567" i="1"/>
  <c r="C15567" i="1"/>
  <c r="B15567" i="1"/>
  <c r="A15567" i="1"/>
  <c r="F15566" i="1"/>
  <c r="E15566" i="1"/>
  <c r="D15566" i="1"/>
  <c r="C15566" i="1"/>
  <c r="B15566" i="1"/>
  <c r="A15566" i="1"/>
  <c r="F15565" i="1"/>
  <c r="E15565" i="1"/>
  <c r="D15565" i="1"/>
  <c r="C15565" i="1"/>
  <c r="B15565" i="1"/>
  <c r="A15565" i="1"/>
  <c r="F15564" i="1"/>
  <c r="E15564" i="1"/>
  <c r="D15564" i="1"/>
  <c r="C15564" i="1"/>
  <c r="B15564" i="1"/>
  <c r="A15564" i="1"/>
  <c r="F15563" i="1"/>
  <c r="E15563" i="1"/>
  <c r="D15563" i="1"/>
  <c r="C15563" i="1"/>
  <c r="B15563" i="1"/>
  <c r="A15563" i="1"/>
  <c r="F15562" i="1"/>
  <c r="E15562" i="1"/>
  <c r="D15562" i="1"/>
  <c r="C15562" i="1"/>
  <c r="B15562" i="1"/>
  <c r="A15562" i="1"/>
  <c r="F15561" i="1"/>
  <c r="E15561" i="1"/>
  <c r="D15561" i="1"/>
  <c r="C15561" i="1"/>
  <c r="B15561" i="1"/>
  <c r="A15561" i="1"/>
  <c r="F15560" i="1"/>
  <c r="E15560" i="1"/>
  <c r="D15560" i="1"/>
  <c r="C15560" i="1"/>
  <c r="B15560" i="1"/>
  <c r="A15560" i="1"/>
  <c r="F15559" i="1"/>
  <c r="E15559" i="1"/>
  <c r="D15559" i="1"/>
  <c r="C15559" i="1"/>
  <c r="B15559" i="1"/>
  <c r="A15559" i="1"/>
  <c r="F15558" i="1"/>
  <c r="E15558" i="1"/>
  <c r="D15558" i="1"/>
  <c r="C15558" i="1"/>
  <c r="B15558" i="1"/>
  <c r="A15558" i="1"/>
  <c r="F15557" i="1"/>
  <c r="E15557" i="1"/>
  <c r="D15557" i="1"/>
  <c r="C15557" i="1"/>
  <c r="B15557" i="1"/>
  <c r="A15557" i="1"/>
  <c r="F15556" i="1"/>
  <c r="E15556" i="1"/>
  <c r="D15556" i="1"/>
  <c r="C15556" i="1"/>
  <c r="B15556" i="1"/>
  <c r="A15556" i="1"/>
  <c r="F15555" i="1"/>
  <c r="E15555" i="1"/>
  <c r="D15555" i="1"/>
  <c r="C15555" i="1"/>
  <c r="B15555" i="1"/>
  <c r="A15555" i="1"/>
  <c r="F15554" i="1"/>
  <c r="E15554" i="1"/>
  <c r="D15554" i="1"/>
  <c r="C15554" i="1"/>
  <c r="B15554" i="1"/>
  <c r="A15554" i="1"/>
  <c r="F15553" i="1"/>
  <c r="E15553" i="1"/>
  <c r="D15553" i="1"/>
  <c r="C15553" i="1"/>
  <c r="B15553" i="1"/>
  <c r="A15553" i="1"/>
  <c r="F15552" i="1"/>
  <c r="E15552" i="1"/>
  <c r="D15552" i="1"/>
  <c r="C15552" i="1"/>
  <c r="B15552" i="1"/>
  <c r="A15552" i="1"/>
  <c r="F15551" i="1"/>
  <c r="E15551" i="1"/>
  <c r="D15551" i="1"/>
  <c r="C15551" i="1"/>
  <c r="B15551" i="1"/>
  <c r="A15551" i="1"/>
  <c r="F15550" i="1"/>
  <c r="E15550" i="1"/>
  <c r="D15550" i="1"/>
  <c r="C15550" i="1"/>
  <c r="B15550" i="1"/>
  <c r="A15550" i="1"/>
  <c r="F15549" i="1"/>
  <c r="E15549" i="1"/>
  <c r="D15549" i="1"/>
  <c r="C15549" i="1"/>
  <c r="B15549" i="1"/>
  <c r="A15549" i="1"/>
  <c r="F15548" i="1"/>
  <c r="E15548" i="1"/>
  <c r="D15548" i="1"/>
  <c r="C15548" i="1"/>
  <c r="B15548" i="1"/>
  <c r="A15548" i="1"/>
  <c r="F15547" i="1"/>
  <c r="E15547" i="1"/>
  <c r="D15547" i="1"/>
  <c r="C15547" i="1"/>
  <c r="B15547" i="1"/>
  <c r="A15547" i="1"/>
  <c r="F15546" i="1"/>
  <c r="E15546" i="1"/>
  <c r="D15546" i="1"/>
  <c r="C15546" i="1"/>
  <c r="B15546" i="1"/>
  <c r="A15546" i="1"/>
  <c r="F15545" i="1"/>
  <c r="E15545" i="1"/>
  <c r="D15545" i="1"/>
  <c r="C15545" i="1"/>
  <c r="B15545" i="1"/>
  <c r="A15545" i="1"/>
  <c r="F15544" i="1"/>
  <c r="E15544" i="1"/>
  <c r="D15544" i="1"/>
  <c r="C15544" i="1"/>
  <c r="B15544" i="1"/>
  <c r="A15544" i="1"/>
  <c r="F15543" i="1"/>
  <c r="E15543" i="1"/>
  <c r="D15543" i="1"/>
  <c r="C15543" i="1"/>
  <c r="B15543" i="1"/>
  <c r="A15543" i="1"/>
  <c r="F15542" i="1"/>
  <c r="E15542" i="1"/>
  <c r="D15542" i="1"/>
  <c r="C15542" i="1"/>
  <c r="B15542" i="1"/>
  <c r="A15542" i="1"/>
  <c r="F15541" i="1"/>
  <c r="E15541" i="1"/>
  <c r="D15541" i="1"/>
  <c r="C15541" i="1"/>
  <c r="B15541" i="1"/>
  <c r="A15541" i="1"/>
  <c r="F15540" i="1"/>
  <c r="E15540" i="1"/>
  <c r="D15540" i="1"/>
  <c r="C15540" i="1"/>
  <c r="B15540" i="1"/>
  <c r="A15540" i="1"/>
  <c r="F15539" i="1"/>
  <c r="E15539" i="1"/>
  <c r="D15539" i="1"/>
  <c r="C15539" i="1"/>
  <c r="B15539" i="1"/>
  <c r="A15539" i="1"/>
  <c r="F15538" i="1"/>
  <c r="E15538" i="1"/>
  <c r="D15538" i="1"/>
  <c r="C15538" i="1"/>
  <c r="B15538" i="1"/>
  <c r="A15538" i="1"/>
  <c r="F15537" i="1"/>
  <c r="E15537" i="1"/>
  <c r="D15537" i="1"/>
  <c r="C15537" i="1"/>
  <c r="B15537" i="1"/>
  <c r="A15537" i="1"/>
  <c r="F15536" i="1"/>
  <c r="E15536" i="1"/>
  <c r="D15536" i="1"/>
  <c r="C15536" i="1"/>
  <c r="B15536" i="1"/>
  <c r="A15536" i="1"/>
  <c r="F15535" i="1"/>
  <c r="E15535" i="1"/>
  <c r="D15535" i="1"/>
  <c r="C15535" i="1"/>
  <c r="B15535" i="1"/>
  <c r="A15535" i="1"/>
  <c r="F15534" i="1"/>
  <c r="E15534" i="1"/>
  <c r="D15534" i="1"/>
  <c r="C15534" i="1"/>
  <c r="B15534" i="1"/>
  <c r="A15534" i="1"/>
  <c r="F15533" i="1"/>
  <c r="E15533" i="1"/>
  <c r="D15533" i="1"/>
  <c r="C15533" i="1"/>
  <c r="B15533" i="1"/>
  <c r="A15533" i="1"/>
  <c r="F15532" i="1"/>
  <c r="E15532" i="1"/>
  <c r="D15532" i="1"/>
  <c r="C15532" i="1"/>
  <c r="B15532" i="1"/>
  <c r="A15532" i="1"/>
  <c r="F15531" i="1"/>
  <c r="E15531" i="1"/>
  <c r="D15531" i="1"/>
  <c r="C15531" i="1"/>
  <c r="B15531" i="1"/>
  <c r="A15531" i="1"/>
  <c r="F15530" i="1"/>
  <c r="E15530" i="1"/>
  <c r="D15530" i="1"/>
  <c r="C15530" i="1"/>
  <c r="B15530" i="1"/>
  <c r="A15530" i="1"/>
  <c r="F15529" i="1"/>
  <c r="E15529" i="1"/>
  <c r="D15529" i="1"/>
  <c r="C15529" i="1"/>
  <c r="B15529" i="1"/>
  <c r="A15529" i="1"/>
  <c r="F15528" i="1"/>
  <c r="E15528" i="1"/>
  <c r="D15528" i="1"/>
  <c r="C15528" i="1"/>
  <c r="B15528" i="1"/>
  <c r="A15528" i="1"/>
  <c r="F15527" i="1"/>
  <c r="E15527" i="1"/>
  <c r="D15527" i="1"/>
  <c r="C15527" i="1"/>
  <c r="B15527" i="1"/>
  <c r="A15527" i="1"/>
  <c r="F15526" i="1"/>
  <c r="E15526" i="1"/>
  <c r="D15526" i="1"/>
  <c r="C15526" i="1"/>
  <c r="B15526" i="1"/>
  <c r="A15526" i="1"/>
  <c r="F15525" i="1"/>
  <c r="E15525" i="1"/>
  <c r="D15525" i="1"/>
  <c r="C15525" i="1"/>
  <c r="B15525" i="1"/>
  <c r="A15525" i="1"/>
  <c r="F15524" i="1"/>
  <c r="E15524" i="1"/>
  <c r="D15524" i="1"/>
  <c r="C15524" i="1"/>
  <c r="B15524" i="1"/>
  <c r="A15524" i="1"/>
  <c r="F15523" i="1"/>
  <c r="E15523" i="1"/>
  <c r="D15523" i="1"/>
  <c r="C15523" i="1"/>
  <c r="B15523" i="1"/>
  <c r="A15523" i="1"/>
  <c r="F15522" i="1"/>
  <c r="E15522" i="1"/>
  <c r="D15522" i="1"/>
  <c r="C15522" i="1"/>
  <c r="B15522" i="1"/>
  <c r="A15522" i="1"/>
  <c r="F15521" i="1"/>
  <c r="E15521" i="1"/>
  <c r="D15521" i="1"/>
  <c r="C15521" i="1"/>
  <c r="B15521" i="1"/>
  <c r="A15521" i="1"/>
  <c r="F15520" i="1"/>
  <c r="E15520" i="1"/>
  <c r="D15520" i="1"/>
  <c r="C15520" i="1"/>
  <c r="B15520" i="1"/>
  <c r="A15520" i="1"/>
  <c r="F15519" i="1"/>
  <c r="E15519" i="1"/>
  <c r="D15519" i="1"/>
  <c r="C15519" i="1"/>
  <c r="B15519" i="1"/>
  <c r="A15519" i="1"/>
  <c r="F15518" i="1"/>
  <c r="E15518" i="1"/>
  <c r="D15518" i="1"/>
  <c r="C15518" i="1"/>
  <c r="B15518" i="1"/>
  <c r="A15518" i="1"/>
  <c r="F15517" i="1"/>
  <c r="E15517" i="1"/>
  <c r="D15517" i="1"/>
  <c r="C15517" i="1"/>
  <c r="B15517" i="1"/>
  <c r="A15517" i="1"/>
  <c r="F15516" i="1"/>
  <c r="E15516" i="1"/>
  <c r="D15516" i="1"/>
  <c r="C15516" i="1"/>
  <c r="B15516" i="1"/>
  <c r="A15516" i="1"/>
  <c r="F15515" i="1"/>
  <c r="E15515" i="1"/>
  <c r="D15515" i="1"/>
  <c r="C15515" i="1"/>
  <c r="B15515" i="1"/>
  <c r="A15515" i="1"/>
  <c r="F15514" i="1"/>
  <c r="E15514" i="1"/>
  <c r="D15514" i="1"/>
  <c r="C15514" i="1"/>
  <c r="B15514" i="1"/>
  <c r="A15514" i="1"/>
  <c r="F15513" i="1"/>
  <c r="E15513" i="1"/>
  <c r="D15513" i="1"/>
  <c r="C15513" i="1"/>
  <c r="B15513" i="1"/>
  <c r="A15513" i="1"/>
  <c r="F15512" i="1"/>
  <c r="E15512" i="1"/>
  <c r="D15512" i="1"/>
  <c r="C15512" i="1"/>
  <c r="B15512" i="1"/>
  <c r="A15512" i="1"/>
  <c r="F15511" i="1"/>
  <c r="E15511" i="1"/>
  <c r="D15511" i="1"/>
  <c r="C15511" i="1"/>
  <c r="B15511" i="1"/>
  <c r="A15511" i="1"/>
  <c r="F15510" i="1"/>
  <c r="E15510" i="1"/>
  <c r="D15510" i="1"/>
  <c r="C15510" i="1"/>
  <c r="B15510" i="1"/>
  <c r="A15510" i="1"/>
  <c r="F15509" i="1"/>
  <c r="E15509" i="1"/>
  <c r="D15509" i="1"/>
  <c r="C15509" i="1"/>
  <c r="B15509" i="1"/>
  <c r="A15509" i="1"/>
  <c r="F15508" i="1"/>
  <c r="E15508" i="1"/>
  <c r="D15508" i="1"/>
  <c r="C15508" i="1"/>
  <c r="B15508" i="1"/>
  <c r="A15508" i="1"/>
  <c r="F15507" i="1"/>
  <c r="E15507" i="1"/>
  <c r="D15507" i="1"/>
  <c r="C15507" i="1"/>
  <c r="B15507" i="1"/>
  <c r="A15507" i="1"/>
  <c r="F15506" i="1"/>
  <c r="E15506" i="1"/>
  <c r="D15506" i="1"/>
  <c r="C15506" i="1"/>
  <c r="B15506" i="1"/>
  <c r="A15506" i="1"/>
  <c r="F15505" i="1"/>
  <c r="E15505" i="1"/>
  <c r="D15505" i="1"/>
  <c r="C15505" i="1"/>
  <c r="B15505" i="1"/>
  <c r="A15505" i="1"/>
  <c r="F15504" i="1"/>
  <c r="E15504" i="1"/>
  <c r="D15504" i="1"/>
  <c r="C15504" i="1"/>
  <c r="B15504" i="1"/>
  <c r="A15504" i="1"/>
  <c r="F15503" i="1"/>
  <c r="E15503" i="1"/>
  <c r="D15503" i="1"/>
  <c r="C15503" i="1"/>
  <c r="B15503" i="1"/>
  <c r="A15503" i="1"/>
  <c r="F15502" i="1"/>
  <c r="E15502" i="1"/>
  <c r="D15502" i="1"/>
  <c r="C15502" i="1"/>
  <c r="B15502" i="1"/>
  <c r="A15502" i="1"/>
  <c r="F15501" i="1"/>
  <c r="E15501" i="1"/>
  <c r="D15501" i="1"/>
  <c r="C15501" i="1"/>
  <c r="B15501" i="1"/>
  <c r="A15501" i="1"/>
  <c r="F15500" i="1"/>
  <c r="E15500" i="1"/>
  <c r="D15500" i="1"/>
  <c r="C15500" i="1"/>
  <c r="B15500" i="1"/>
  <c r="A15500" i="1"/>
  <c r="F15499" i="1"/>
  <c r="E15499" i="1"/>
  <c r="D15499" i="1"/>
  <c r="C15499" i="1"/>
  <c r="B15499" i="1"/>
  <c r="A15499" i="1"/>
  <c r="F15498" i="1"/>
  <c r="E15498" i="1"/>
  <c r="D15498" i="1"/>
  <c r="C15498" i="1"/>
  <c r="B15498" i="1"/>
  <c r="A15498" i="1"/>
  <c r="F15497" i="1"/>
  <c r="E15497" i="1"/>
  <c r="D15497" i="1"/>
  <c r="C15497" i="1"/>
  <c r="B15497" i="1"/>
  <c r="A15497" i="1"/>
  <c r="F15496" i="1"/>
  <c r="E15496" i="1"/>
  <c r="D15496" i="1"/>
  <c r="C15496" i="1"/>
  <c r="B15496" i="1"/>
  <c r="A15496" i="1"/>
  <c r="F15495" i="1"/>
  <c r="E15495" i="1"/>
  <c r="D15495" i="1"/>
  <c r="C15495" i="1"/>
  <c r="B15495" i="1"/>
  <c r="A15495" i="1"/>
  <c r="F15494" i="1"/>
  <c r="E15494" i="1"/>
  <c r="D15494" i="1"/>
  <c r="C15494" i="1"/>
  <c r="B15494" i="1"/>
  <c r="A15494" i="1"/>
  <c r="F15493" i="1"/>
  <c r="E15493" i="1"/>
  <c r="D15493" i="1"/>
  <c r="C15493" i="1"/>
  <c r="B15493" i="1"/>
  <c r="A15493" i="1"/>
  <c r="F15492" i="1"/>
  <c r="E15492" i="1"/>
  <c r="D15492" i="1"/>
  <c r="C15492" i="1"/>
  <c r="B15492" i="1"/>
  <c r="A15492" i="1"/>
  <c r="F15491" i="1"/>
  <c r="E15491" i="1"/>
  <c r="D15491" i="1"/>
  <c r="C15491" i="1"/>
  <c r="B15491" i="1"/>
  <c r="A15491" i="1"/>
  <c r="F15490" i="1"/>
  <c r="E15490" i="1"/>
  <c r="D15490" i="1"/>
  <c r="C15490" i="1"/>
  <c r="B15490" i="1"/>
  <c r="A15490" i="1"/>
  <c r="F15489" i="1"/>
  <c r="E15489" i="1"/>
  <c r="D15489" i="1"/>
  <c r="C15489" i="1"/>
  <c r="B15489" i="1"/>
  <c r="A15489" i="1"/>
  <c r="F15488" i="1"/>
  <c r="E15488" i="1"/>
  <c r="D15488" i="1"/>
  <c r="C15488" i="1"/>
  <c r="B15488" i="1"/>
  <c r="A15488" i="1"/>
  <c r="F15487" i="1"/>
  <c r="E15487" i="1"/>
  <c r="D15487" i="1"/>
  <c r="C15487" i="1"/>
  <c r="B15487" i="1"/>
  <c r="A15487" i="1"/>
  <c r="F15486" i="1"/>
  <c r="E15486" i="1"/>
  <c r="D15486" i="1"/>
  <c r="C15486" i="1"/>
  <c r="B15486" i="1"/>
  <c r="A15486" i="1"/>
  <c r="F15485" i="1"/>
  <c r="E15485" i="1"/>
  <c r="D15485" i="1"/>
  <c r="C15485" i="1"/>
  <c r="B15485" i="1"/>
  <c r="A15485" i="1"/>
  <c r="F15484" i="1"/>
  <c r="E15484" i="1"/>
  <c r="D15484" i="1"/>
  <c r="C15484" i="1"/>
  <c r="B15484" i="1"/>
  <c r="A15484" i="1"/>
  <c r="F15483" i="1"/>
  <c r="E15483" i="1"/>
  <c r="D15483" i="1"/>
  <c r="C15483" i="1"/>
  <c r="B15483" i="1"/>
  <c r="A15483" i="1"/>
  <c r="F15482" i="1"/>
  <c r="E15482" i="1"/>
  <c r="D15482" i="1"/>
  <c r="C15482" i="1"/>
  <c r="B15482" i="1"/>
  <c r="A15482" i="1"/>
  <c r="F15481" i="1"/>
  <c r="E15481" i="1"/>
  <c r="D15481" i="1"/>
  <c r="C15481" i="1"/>
  <c r="B15481" i="1"/>
  <c r="A15481" i="1"/>
  <c r="F15480" i="1"/>
  <c r="E15480" i="1"/>
  <c r="D15480" i="1"/>
  <c r="C15480" i="1"/>
  <c r="B15480" i="1"/>
  <c r="A15480" i="1"/>
  <c r="F15479" i="1"/>
  <c r="E15479" i="1"/>
  <c r="D15479" i="1"/>
  <c r="C15479" i="1"/>
  <c r="B15479" i="1"/>
  <c r="A15479" i="1"/>
  <c r="F15478" i="1"/>
  <c r="E15478" i="1"/>
  <c r="D15478" i="1"/>
  <c r="C15478" i="1"/>
  <c r="B15478" i="1"/>
  <c r="A15478" i="1"/>
  <c r="F15477" i="1"/>
  <c r="E15477" i="1"/>
  <c r="D15477" i="1"/>
  <c r="C15477" i="1"/>
  <c r="B15477" i="1"/>
  <c r="A15477" i="1"/>
  <c r="F15476" i="1"/>
  <c r="E15476" i="1"/>
  <c r="D15476" i="1"/>
  <c r="C15476" i="1"/>
  <c r="B15476" i="1"/>
  <c r="A15476" i="1"/>
  <c r="F15475" i="1"/>
  <c r="E15475" i="1"/>
  <c r="D15475" i="1"/>
  <c r="C15475" i="1"/>
  <c r="B15475" i="1"/>
  <c r="A15475" i="1"/>
  <c r="F15474" i="1"/>
  <c r="E15474" i="1"/>
  <c r="D15474" i="1"/>
  <c r="C15474" i="1"/>
  <c r="B15474" i="1"/>
  <c r="A15474" i="1"/>
  <c r="F15473" i="1"/>
  <c r="E15473" i="1"/>
  <c r="D15473" i="1"/>
  <c r="C15473" i="1"/>
  <c r="B15473" i="1"/>
  <c r="A15473" i="1"/>
  <c r="F15472" i="1"/>
  <c r="E15472" i="1"/>
  <c r="D15472" i="1"/>
  <c r="C15472" i="1"/>
  <c r="B15472" i="1"/>
  <c r="A15472" i="1"/>
  <c r="F15471" i="1"/>
  <c r="E15471" i="1"/>
  <c r="D15471" i="1"/>
  <c r="C15471" i="1"/>
  <c r="B15471" i="1"/>
  <c r="A15471" i="1"/>
  <c r="F15470" i="1"/>
  <c r="E15470" i="1"/>
  <c r="D15470" i="1"/>
  <c r="C15470" i="1"/>
  <c r="B15470" i="1"/>
  <c r="A15470" i="1"/>
  <c r="F15469" i="1"/>
  <c r="E15469" i="1"/>
  <c r="D15469" i="1"/>
  <c r="C15469" i="1"/>
  <c r="B15469" i="1"/>
  <c r="A15469" i="1"/>
  <c r="F15468" i="1"/>
  <c r="E15468" i="1"/>
  <c r="D15468" i="1"/>
  <c r="C15468" i="1"/>
  <c r="B15468" i="1"/>
  <c r="A15468" i="1"/>
  <c r="F15467" i="1"/>
  <c r="E15467" i="1"/>
  <c r="D15467" i="1"/>
  <c r="C15467" i="1"/>
  <c r="B15467" i="1"/>
  <c r="A15467" i="1"/>
  <c r="F15466" i="1"/>
  <c r="E15466" i="1"/>
  <c r="D15466" i="1"/>
  <c r="C15466" i="1"/>
  <c r="B15466" i="1"/>
  <c r="A15466" i="1"/>
  <c r="F15465" i="1"/>
  <c r="E15465" i="1"/>
  <c r="D15465" i="1"/>
  <c r="C15465" i="1"/>
  <c r="B15465" i="1"/>
  <c r="A15465" i="1"/>
  <c r="F15464" i="1"/>
  <c r="E15464" i="1"/>
  <c r="D15464" i="1"/>
  <c r="C15464" i="1"/>
  <c r="B15464" i="1"/>
  <c r="A15464" i="1"/>
  <c r="F15463" i="1"/>
  <c r="E15463" i="1"/>
  <c r="D15463" i="1"/>
  <c r="C15463" i="1"/>
  <c r="B15463" i="1"/>
  <c r="A15463" i="1"/>
  <c r="F15462" i="1"/>
  <c r="E15462" i="1"/>
  <c r="D15462" i="1"/>
  <c r="C15462" i="1"/>
  <c r="B15462" i="1"/>
  <c r="A15462" i="1"/>
  <c r="F15461" i="1"/>
  <c r="E15461" i="1"/>
  <c r="D15461" i="1"/>
  <c r="C15461" i="1"/>
  <c r="B15461" i="1"/>
  <c r="A15461" i="1"/>
  <c r="F15460" i="1"/>
  <c r="E15460" i="1"/>
  <c r="D15460" i="1"/>
  <c r="C15460" i="1"/>
  <c r="B15460" i="1"/>
  <c r="A15460" i="1"/>
  <c r="F15459" i="1"/>
  <c r="E15459" i="1"/>
  <c r="D15459" i="1"/>
  <c r="C15459" i="1"/>
  <c r="B15459" i="1"/>
  <c r="A15459" i="1"/>
  <c r="F15458" i="1"/>
  <c r="E15458" i="1"/>
  <c r="D15458" i="1"/>
  <c r="C15458" i="1"/>
  <c r="B15458" i="1"/>
  <c r="A15458" i="1"/>
  <c r="F15457" i="1"/>
  <c r="E15457" i="1"/>
  <c r="D15457" i="1"/>
  <c r="C15457" i="1"/>
  <c r="B15457" i="1"/>
  <c r="A15457" i="1"/>
  <c r="F15456" i="1"/>
  <c r="E15456" i="1"/>
  <c r="D15456" i="1"/>
  <c r="C15456" i="1"/>
  <c r="B15456" i="1"/>
  <c r="A15456" i="1"/>
  <c r="F15455" i="1"/>
  <c r="E15455" i="1"/>
  <c r="D15455" i="1"/>
  <c r="C15455" i="1"/>
  <c r="B15455" i="1"/>
  <c r="A15455" i="1"/>
  <c r="F15454" i="1"/>
  <c r="E15454" i="1"/>
  <c r="D15454" i="1"/>
  <c r="C15454" i="1"/>
  <c r="B15454" i="1"/>
  <c r="A15454" i="1"/>
  <c r="F15453" i="1"/>
  <c r="E15453" i="1"/>
  <c r="D15453" i="1"/>
  <c r="C15453" i="1"/>
  <c r="B15453" i="1"/>
  <c r="A15453" i="1"/>
  <c r="F15452" i="1"/>
  <c r="E15452" i="1"/>
  <c r="D15452" i="1"/>
  <c r="C15452" i="1"/>
  <c r="B15452" i="1"/>
  <c r="A15452" i="1"/>
  <c r="F15451" i="1"/>
  <c r="E15451" i="1"/>
  <c r="D15451" i="1"/>
  <c r="C15451" i="1"/>
  <c r="B15451" i="1"/>
  <c r="A15451" i="1"/>
  <c r="F15450" i="1"/>
  <c r="E15450" i="1"/>
  <c r="D15450" i="1"/>
  <c r="C15450" i="1"/>
  <c r="B15450" i="1"/>
  <c r="A15450" i="1"/>
  <c r="F15449" i="1"/>
  <c r="E15449" i="1"/>
  <c r="D15449" i="1"/>
  <c r="C15449" i="1"/>
  <c r="B15449" i="1"/>
  <c r="A15449" i="1"/>
  <c r="F15448" i="1"/>
  <c r="E15448" i="1"/>
  <c r="D15448" i="1"/>
  <c r="C15448" i="1"/>
  <c r="B15448" i="1"/>
  <c r="A15448" i="1"/>
  <c r="F15447" i="1"/>
  <c r="E15447" i="1"/>
  <c r="D15447" i="1"/>
  <c r="C15447" i="1"/>
  <c r="B15447" i="1"/>
  <c r="A15447" i="1"/>
  <c r="F15446" i="1"/>
  <c r="E15446" i="1"/>
  <c r="D15446" i="1"/>
  <c r="C15446" i="1"/>
  <c r="B15446" i="1"/>
  <c r="A15446" i="1"/>
  <c r="F15445" i="1"/>
  <c r="E15445" i="1"/>
  <c r="D15445" i="1"/>
  <c r="C15445" i="1"/>
  <c r="B15445" i="1"/>
  <c r="A15445" i="1"/>
  <c r="F15444" i="1"/>
  <c r="E15444" i="1"/>
  <c r="D15444" i="1"/>
  <c r="C15444" i="1"/>
  <c r="B15444" i="1"/>
  <c r="A15444" i="1"/>
  <c r="F15443" i="1"/>
  <c r="E15443" i="1"/>
  <c r="D15443" i="1"/>
  <c r="C15443" i="1"/>
  <c r="B15443" i="1"/>
  <c r="A15443" i="1"/>
  <c r="F15442" i="1"/>
  <c r="E15442" i="1"/>
  <c r="D15442" i="1"/>
  <c r="C15442" i="1"/>
  <c r="B15442" i="1"/>
  <c r="A15442" i="1"/>
  <c r="F15441" i="1"/>
  <c r="E15441" i="1"/>
  <c r="D15441" i="1"/>
  <c r="C15441" i="1"/>
  <c r="B15441" i="1"/>
  <c r="A15441" i="1"/>
  <c r="F15440" i="1"/>
  <c r="E15440" i="1"/>
  <c r="D15440" i="1"/>
  <c r="C15440" i="1"/>
  <c r="B15440" i="1"/>
  <c r="A15440" i="1"/>
  <c r="F15439" i="1"/>
  <c r="E15439" i="1"/>
  <c r="D15439" i="1"/>
  <c r="C15439" i="1"/>
  <c r="B15439" i="1"/>
  <c r="A15439" i="1"/>
  <c r="F15438" i="1"/>
  <c r="E15438" i="1"/>
  <c r="D15438" i="1"/>
  <c r="C15438" i="1"/>
  <c r="B15438" i="1"/>
  <c r="A15438" i="1"/>
  <c r="F15437" i="1"/>
  <c r="E15437" i="1"/>
  <c r="D15437" i="1"/>
  <c r="C15437" i="1"/>
  <c r="B15437" i="1"/>
  <c r="A15437" i="1"/>
  <c r="F15436" i="1"/>
  <c r="E15436" i="1"/>
  <c r="D15436" i="1"/>
  <c r="C15436" i="1"/>
  <c r="B15436" i="1"/>
  <c r="A15436" i="1"/>
  <c r="F15435" i="1"/>
  <c r="E15435" i="1"/>
  <c r="D15435" i="1"/>
  <c r="C15435" i="1"/>
  <c r="B15435" i="1"/>
  <c r="A15435" i="1"/>
  <c r="F15434" i="1"/>
  <c r="E15434" i="1"/>
  <c r="D15434" i="1"/>
  <c r="C15434" i="1"/>
  <c r="B15434" i="1"/>
  <c r="A15434" i="1"/>
  <c r="F15433" i="1"/>
  <c r="E15433" i="1"/>
  <c r="D15433" i="1"/>
  <c r="C15433" i="1"/>
  <c r="B15433" i="1"/>
  <c r="A15433" i="1"/>
  <c r="F15432" i="1"/>
  <c r="E15432" i="1"/>
  <c r="D15432" i="1"/>
  <c r="C15432" i="1"/>
  <c r="B15432" i="1"/>
  <c r="A15432" i="1"/>
  <c r="F15431" i="1"/>
  <c r="E15431" i="1"/>
  <c r="D15431" i="1"/>
  <c r="C15431" i="1"/>
  <c r="B15431" i="1"/>
  <c r="A15431" i="1"/>
  <c r="F15430" i="1"/>
  <c r="E15430" i="1"/>
  <c r="D15430" i="1"/>
  <c r="C15430" i="1"/>
  <c r="B15430" i="1"/>
  <c r="A15430" i="1"/>
  <c r="F15429" i="1"/>
  <c r="E15429" i="1"/>
  <c r="D15429" i="1"/>
  <c r="C15429" i="1"/>
  <c r="B15429" i="1"/>
  <c r="A15429" i="1"/>
  <c r="F15428" i="1"/>
  <c r="E15428" i="1"/>
  <c r="D15428" i="1"/>
  <c r="C15428" i="1"/>
  <c r="B15428" i="1"/>
  <c r="A15428" i="1"/>
  <c r="F15427" i="1"/>
  <c r="E15427" i="1"/>
  <c r="D15427" i="1"/>
  <c r="C15427" i="1"/>
  <c r="B15427" i="1"/>
  <c r="A15427" i="1"/>
  <c r="F15426" i="1"/>
  <c r="E15426" i="1"/>
  <c r="D15426" i="1"/>
  <c r="C15426" i="1"/>
  <c r="B15426" i="1"/>
  <c r="A15426" i="1"/>
  <c r="F15425" i="1"/>
  <c r="E15425" i="1"/>
  <c r="D15425" i="1"/>
  <c r="C15425" i="1"/>
  <c r="B15425" i="1"/>
  <c r="A15425" i="1"/>
  <c r="F15424" i="1"/>
  <c r="E15424" i="1"/>
  <c r="D15424" i="1"/>
  <c r="C15424" i="1"/>
  <c r="B15424" i="1"/>
  <c r="A15424" i="1"/>
  <c r="F15423" i="1"/>
  <c r="E15423" i="1"/>
  <c r="D15423" i="1"/>
  <c r="C15423" i="1"/>
  <c r="B15423" i="1"/>
  <c r="A15423" i="1"/>
  <c r="F15422" i="1"/>
  <c r="E15422" i="1"/>
  <c r="D15422" i="1"/>
  <c r="C15422" i="1"/>
  <c r="B15422" i="1"/>
  <c r="A15422" i="1"/>
  <c r="F15421" i="1"/>
  <c r="E15421" i="1"/>
  <c r="D15421" i="1"/>
  <c r="C15421" i="1"/>
  <c r="B15421" i="1"/>
  <c r="A15421" i="1"/>
  <c r="F15420" i="1"/>
  <c r="E15420" i="1"/>
  <c r="D15420" i="1"/>
  <c r="C15420" i="1"/>
  <c r="B15420" i="1"/>
  <c r="A15420" i="1"/>
  <c r="F15419" i="1"/>
  <c r="E15419" i="1"/>
  <c r="D15419" i="1"/>
  <c r="C15419" i="1"/>
  <c r="B15419" i="1"/>
  <c r="A15419" i="1"/>
  <c r="F15418" i="1"/>
  <c r="E15418" i="1"/>
  <c r="D15418" i="1"/>
  <c r="C15418" i="1"/>
  <c r="B15418" i="1"/>
  <c r="A15418" i="1"/>
  <c r="F15417" i="1"/>
  <c r="E15417" i="1"/>
  <c r="D15417" i="1"/>
  <c r="C15417" i="1"/>
  <c r="B15417" i="1"/>
  <c r="A15417" i="1"/>
  <c r="F15416" i="1"/>
  <c r="E15416" i="1"/>
  <c r="D15416" i="1"/>
  <c r="C15416" i="1"/>
  <c r="B15416" i="1"/>
  <c r="A15416" i="1"/>
  <c r="F15415" i="1"/>
  <c r="E15415" i="1"/>
  <c r="D15415" i="1"/>
  <c r="C15415" i="1"/>
  <c r="B15415" i="1"/>
  <c r="A15415" i="1"/>
  <c r="F15414" i="1"/>
  <c r="E15414" i="1"/>
  <c r="D15414" i="1"/>
  <c r="C15414" i="1"/>
  <c r="B15414" i="1"/>
  <c r="A15414" i="1"/>
  <c r="F15413" i="1"/>
  <c r="E15413" i="1"/>
  <c r="D15413" i="1"/>
  <c r="C15413" i="1"/>
  <c r="B15413" i="1"/>
  <c r="A15413" i="1"/>
  <c r="F15412" i="1"/>
  <c r="E15412" i="1"/>
  <c r="D15412" i="1"/>
  <c r="C15412" i="1"/>
  <c r="B15412" i="1"/>
  <c r="A15412" i="1"/>
  <c r="F15411" i="1"/>
  <c r="E15411" i="1"/>
  <c r="D15411" i="1"/>
  <c r="C15411" i="1"/>
  <c r="B15411" i="1"/>
  <c r="A15411" i="1"/>
  <c r="F15410" i="1"/>
  <c r="E15410" i="1"/>
  <c r="D15410" i="1"/>
  <c r="C15410" i="1"/>
  <c r="B15410" i="1"/>
  <c r="A15410" i="1"/>
  <c r="F15409" i="1"/>
  <c r="E15409" i="1"/>
  <c r="D15409" i="1"/>
  <c r="C15409" i="1"/>
  <c r="B15409" i="1"/>
  <c r="A15409" i="1"/>
  <c r="F15408" i="1"/>
  <c r="E15408" i="1"/>
  <c r="D15408" i="1"/>
  <c r="C15408" i="1"/>
  <c r="B15408" i="1"/>
  <c r="A15408" i="1"/>
  <c r="F15407" i="1"/>
  <c r="E15407" i="1"/>
  <c r="D15407" i="1"/>
  <c r="C15407" i="1"/>
  <c r="B15407" i="1"/>
  <c r="A15407" i="1"/>
  <c r="F15406" i="1"/>
  <c r="E15406" i="1"/>
  <c r="D15406" i="1"/>
  <c r="C15406" i="1"/>
  <c r="B15406" i="1"/>
  <c r="A15406" i="1"/>
  <c r="F15405" i="1"/>
  <c r="E15405" i="1"/>
  <c r="D15405" i="1"/>
  <c r="C15405" i="1"/>
  <c r="B15405" i="1"/>
  <c r="A15405" i="1"/>
  <c r="F15404" i="1"/>
  <c r="E15404" i="1"/>
  <c r="D15404" i="1"/>
  <c r="C15404" i="1"/>
  <c r="B15404" i="1"/>
  <c r="A15404" i="1"/>
  <c r="F15403" i="1"/>
  <c r="E15403" i="1"/>
  <c r="D15403" i="1"/>
  <c r="C15403" i="1"/>
  <c r="B15403" i="1"/>
  <c r="A15403" i="1"/>
  <c r="F15402" i="1"/>
  <c r="E15402" i="1"/>
  <c r="D15402" i="1"/>
  <c r="C15402" i="1"/>
  <c r="B15402" i="1"/>
  <c r="A15402" i="1"/>
  <c r="F15401" i="1"/>
  <c r="E15401" i="1"/>
  <c r="D15401" i="1"/>
  <c r="C15401" i="1"/>
  <c r="B15401" i="1"/>
  <c r="A15401" i="1"/>
  <c r="F15400" i="1"/>
  <c r="E15400" i="1"/>
  <c r="D15400" i="1"/>
  <c r="C15400" i="1"/>
  <c r="B15400" i="1"/>
  <c r="A15400" i="1"/>
  <c r="F15399" i="1"/>
  <c r="E15399" i="1"/>
  <c r="D15399" i="1"/>
  <c r="C15399" i="1"/>
  <c r="B15399" i="1"/>
  <c r="A15399" i="1"/>
  <c r="F15398" i="1"/>
  <c r="E15398" i="1"/>
  <c r="D15398" i="1"/>
  <c r="C15398" i="1"/>
  <c r="B15398" i="1"/>
  <c r="A15398" i="1"/>
  <c r="F15397" i="1"/>
  <c r="E15397" i="1"/>
  <c r="D15397" i="1"/>
  <c r="C15397" i="1"/>
  <c r="B15397" i="1"/>
  <c r="A15397" i="1"/>
  <c r="F15396" i="1"/>
  <c r="E15396" i="1"/>
  <c r="D15396" i="1"/>
  <c r="C15396" i="1"/>
  <c r="B15396" i="1"/>
  <c r="A15396" i="1"/>
  <c r="F15395" i="1"/>
  <c r="E15395" i="1"/>
  <c r="D15395" i="1"/>
  <c r="C15395" i="1"/>
  <c r="B15395" i="1"/>
  <c r="A15395" i="1"/>
  <c r="F15394" i="1"/>
  <c r="E15394" i="1"/>
  <c r="D15394" i="1"/>
  <c r="C15394" i="1"/>
  <c r="B15394" i="1"/>
  <c r="A15394" i="1"/>
  <c r="F15393" i="1"/>
  <c r="E15393" i="1"/>
  <c r="D15393" i="1"/>
  <c r="C15393" i="1"/>
  <c r="B15393" i="1"/>
  <c r="A15393" i="1"/>
  <c r="F15392" i="1"/>
  <c r="E15392" i="1"/>
  <c r="D15392" i="1"/>
  <c r="C15392" i="1"/>
  <c r="B15392" i="1"/>
  <c r="A15392" i="1"/>
  <c r="F15391" i="1"/>
  <c r="E15391" i="1"/>
  <c r="D15391" i="1"/>
  <c r="C15391" i="1"/>
  <c r="B15391" i="1"/>
  <c r="A15391" i="1"/>
  <c r="F15390" i="1"/>
  <c r="E15390" i="1"/>
  <c r="D15390" i="1"/>
  <c r="C15390" i="1"/>
  <c r="B15390" i="1"/>
  <c r="A15390" i="1"/>
  <c r="F15389" i="1"/>
  <c r="E15389" i="1"/>
  <c r="D15389" i="1"/>
  <c r="C15389" i="1"/>
  <c r="B15389" i="1"/>
  <c r="A15389" i="1"/>
  <c r="F15388" i="1"/>
  <c r="E15388" i="1"/>
  <c r="D15388" i="1"/>
  <c r="C15388" i="1"/>
  <c r="B15388" i="1"/>
  <c r="A15388" i="1"/>
  <c r="F15387" i="1"/>
  <c r="E15387" i="1"/>
  <c r="D15387" i="1"/>
  <c r="C15387" i="1"/>
  <c r="B15387" i="1"/>
  <c r="A15387" i="1"/>
  <c r="F15386" i="1"/>
  <c r="E15386" i="1"/>
  <c r="D15386" i="1"/>
  <c r="C15386" i="1"/>
  <c r="B15386" i="1"/>
  <c r="A15386" i="1"/>
  <c r="F15385" i="1"/>
  <c r="E15385" i="1"/>
  <c r="D15385" i="1"/>
  <c r="C15385" i="1"/>
  <c r="B15385" i="1"/>
  <c r="A15385" i="1"/>
  <c r="F15384" i="1"/>
  <c r="E15384" i="1"/>
  <c r="D15384" i="1"/>
  <c r="C15384" i="1"/>
  <c r="B15384" i="1"/>
  <c r="A15384" i="1"/>
  <c r="F15383" i="1"/>
  <c r="E15383" i="1"/>
  <c r="D15383" i="1"/>
  <c r="C15383" i="1"/>
  <c r="B15383" i="1"/>
  <c r="A15383" i="1"/>
  <c r="F15382" i="1"/>
  <c r="E15382" i="1"/>
  <c r="D15382" i="1"/>
  <c r="C15382" i="1"/>
  <c r="B15382" i="1"/>
  <c r="A15382" i="1"/>
  <c r="F15381" i="1"/>
  <c r="E15381" i="1"/>
  <c r="D15381" i="1"/>
  <c r="C15381" i="1"/>
  <c r="B15381" i="1"/>
  <c r="A15381" i="1"/>
  <c r="F15380" i="1"/>
  <c r="E15380" i="1"/>
  <c r="D15380" i="1"/>
  <c r="C15380" i="1"/>
  <c r="B15380" i="1"/>
  <c r="A15380" i="1"/>
  <c r="F15379" i="1"/>
  <c r="E15379" i="1"/>
  <c r="D15379" i="1"/>
  <c r="C15379" i="1"/>
  <c r="B15379" i="1"/>
  <c r="A15379" i="1"/>
  <c r="F15378" i="1"/>
  <c r="E15378" i="1"/>
  <c r="D15378" i="1"/>
  <c r="C15378" i="1"/>
  <c r="B15378" i="1"/>
  <c r="A15378" i="1"/>
  <c r="F15377" i="1"/>
  <c r="E15377" i="1"/>
  <c r="D15377" i="1"/>
  <c r="C15377" i="1"/>
  <c r="B15377" i="1"/>
  <c r="A15377" i="1"/>
  <c r="F15376" i="1"/>
  <c r="E15376" i="1"/>
  <c r="D15376" i="1"/>
  <c r="C15376" i="1"/>
  <c r="B15376" i="1"/>
  <c r="A15376" i="1"/>
  <c r="F15375" i="1"/>
  <c r="E15375" i="1"/>
  <c r="D15375" i="1"/>
  <c r="C15375" i="1"/>
  <c r="B15375" i="1"/>
  <c r="A15375" i="1"/>
  <c r="F15374" i="1"/>
  <c r="E15374" i="1"/>
  <c r="D15374" i="1"/>
  <c r="C15374" i="1"/>
  <c r="B15374" i="1"/>
  <c r="A15374" i="1"/>
  <c r="F15373" i="1"/>
  <c r="E15373" i="1"/>
  <c r="D15373" i="1"/>
  <c r="C15373" i="1"/>
  <c r="B15373" i="1"/>
  <c r="A15373" i="1"/>
  <c r="F15372" i="1"/>
  <c r="E15372" i="1"/>
  <c r="D15372" i="1"/>
  <c r="C15372" i="1"/>
  <c r="B15372" i="1"/>
  <c r="A15372" i="1"/>
  <c r="F15371" i="1"/>
  <c r="E15371" i="1"/>
  <c r="D15371" i="1"/>
  <c r="C15371" i="1"/>
  <c r="B15371" i="1"/>
  <c r="A15371" i="1"/>
  <c r="F15370" i="1"/>
  <c r="E15370" i="1"/>
  <c r="D15370" i="1"/>
  <c r="C15370" i="1"/>
  <c r="B15370" i="1"/>
  <c r="A15370" i="1"/>
  <c r="F15369" i="1"/>
  <c r="E15369" i="1"/>
  <c r="D15369" i="1"/>
  <c r="C15369" i="1"/>
  <c r="B15369" i="1"/>
  <c r="A15369" i="1"/>
  <c r="F15368" i="1"/>
  <c r="E15368" i="1"/>
  <c r="D15368" i="1"/>
  <c r="C15368" i="1"/>
  <c r="B15368" i="1"/>
  <c r="A15368" i="1"/>
  <c r="F15367" i="1"/>
  <c r="E15367" i="1"/>
  <c r="D15367" i="1"/>
  <c r="C15367" i="1"/>
  <c r="B15367" i="1"/>
  <c r="A15367" i="1"/>
  <c r="F15366" i="1"/>
  <c r="E15366" i="1"/>
  <c r="D15366" i="1"/>
  <c r="C15366" i="1"/>
  <c r="B15366" i="1"/>
  <c r="A15366" i="1"/>
  <c r="F15365" i="1"/>
  <c r="E15365" i="1"/>
  <c r="D15365" i="1"/>
  <c r="C15365" i="1"/>
  <c r="B15365" i="1"/>
  <c r="A15365" i="1"/>
  <c r="F15364" i="1"/>
  <c r="E15364" i="1"/>
  <c r="D15364" i="1"/>
  <c r="C15364" i="1"/>
  <c r="B15364" i="1"/>
  <c r="A15364" i="1"/>
  <c r="F15363" i="1"/>
  <c r="E15363" i="1"/>
  <c r="D15363" i="1"/>
  <c r="C15363" i="1"/>
  <c r="B15363" i="1"/>
  <c r="A15363" i="1"/>
  <c r="F15362" i="1"/>
  <c r="E15362" i="1"/>
  <c r="D15362" i="1"/>
  <c r="C15362" i="1"/>
  <c r="B15362" i="1"/>
  <c r="A15362" i="1"/>
  <c r="F15361" i="1"/>
  <c r="E15361" i="1"/>
  <c r="D15361" i="1"/>
  <c r="C15361" i="1"/>
  <c r="B15361" i="1"/>
  <c r="A15361" i="1"/>
  <c r="F15360" i="1"/>
  <c r="E15360" i="1"/>
  <c r="D15360" i="1"/>
  <c r="C15360" i="1"/>
  <c r="B15360" i="1"/>
  <c r="A15360" i="1"/>
  <c r="F15359" i="1"/>
  <c r="E15359" i="1"/>
  <c r="D15359" i="1"/>
  <c r="C15359" i="1"/>
  <c r="B15359" i="1"/>
  <c r="A15359" i="1"/>
  <c r="F15358" i="1"/>
  <c r="E15358" i="1"/>
  <c r="D15358" i="1"/>
  <c r="C15358" i="1"/>
  <c r="B15358" i="1"/>
  <c r="A15358" i="1"/>
  <c r="F15357" i="1"/>
  <c r="E15357" i="1"/>
  <c r="D15357" i="1"/>
  <c r="C15357" i="1"/>
  <c r="B15357" i="1"/>
  <c r="A15357" i="1"/>
  <c r="F15356" i="1"/>
  <c r="E15356" i="1"/>
  <c r="D15356" i="1"/>
  <c r="C15356" i="1"/>
  <c r="B15356" i="1"/>
  <c r="A15356" i="1"/>
  <c r="F15355" i="1"/>
  <c r="E15355" i="1"/>
  <c r="D15355" i="1"/>
  <c r="C15355" i="1"/>
  <c r="B15355" i="1"/>
  <c r="A15355" i="1"/>
  <c r="F15354" i="1"/>
  <c r="E15354" i="1"/>
  <c r="D15354" i="1"/>
  <c r="C15354" i="1"/>
  <c r="B15354" i="1"/>
  <c r="A15354" i="1"/>
  <c r="F15353" i="1"/>
  <c r="E15353" i="1"/>
  <c r="D15353" i="1"/>
  <c r="C15353" i="1"/>
  <c r="B15353" i="1"/>
  <c r="A15353" i="1"/>
  <c r="F15352" i="1"/>
  <c r="E15352" i="1"/>
  <c r="D15352" i="1"/>
  <c r="C15352" i="1"/>
  <c r="B15352" i="1"/>
  <c r="A15352" i="1"/>
  <c r="F15351" i="1"/>
  <c r="E15351" i="1"/>
  <c r="D15351" i="1"/>
  <c r="C15351" i="1"/>
  <c r="B15351" i="1"/>
  <c r="A15351" i="1"/>
  <c r="F15350" i="1"/>
  <c r="E15350" i="1"/>
  <c r="D15350" i="1"/>
  <c r="C15350" i="1"/>
  <c r="B15350" i="1"/>
  <c r="A15350" i="1"/>
  <c r="F15349" i="1"/>
  <c r="E15349" i="1"/>
  <c r="D15349" i="1"/>
  <c r="C15349" i="1"/>
  <c r="B15349" i="1"/>
  <c r="A15349" i="1"/>
  <c r="F15348" i="1"/>
  <c r="E15348" i="1"/>
  <c r="D15348" i="1"/>
  <c r="C15348" i="1"/>
  <c r="B15348" i="1"/>
  <c r="A15348" i="1"/>
  <c r="F15347" i="1"/>
  <c r="E15347" i="1"/>
  <c r="D15347" i="1"/>
  <c r="C15347" i="1"/>
  <c r="B15347" i="1"/>
  <c r="A15347" i="1"/>
  <c r="F15346" i="1"/>
  <c r="E15346" i="1"/>
  <c r="D15346" i="1"/>
  <c r="C15346" i="1"/>
  <c r="B15346" i="1"/>
  <c r="A15346" i="1"/>
  <c r="F15345" i="1"/>
  <c r="E15345" i="1"/>
  <c r="D15345" i="1"/>
  <c r="C15345" i="1"/>
  <c r="B15345" i="1"/>
  <c r="A15345" i="1"/>
  <c r="F15344" i="1"/>
  <c r="E15344" i="1"/>
  <c r="D15344" i="1"/>
  <c r="C15344" i="1"/>
  <c r="B15344" i="1"/>
  <c r="A15344" i="1"/>
  <c r="F15343" i="1"/>
  <c r="E15343" i="1"/>
  <c r="D15343" i="1"/>
  <c r="C15343" i="1"/>
  <c r="B15343" i="1"/>
  <c r="A15343" i="1"/>
  <c r="F15342" i="1"/>
  <c r="E15342" i="1"/>
  <c r="D15342" i="1"/>
  <c r="C15342" i="1"/>
  <c r="B15342" i="1"/>
  <c r="A15342" i="1"/>
  <c r="F15341" i="1"/>
  <c r="E15341" i="1"/>
  <c r="D15341" i="1"/>
  <c r="C15341" i="1"/>
  <c r="B15341" i="1"/>
  <c r="A15341" i="1"/>
  <c r="F15340" i="1"/>
  <c r="E15340" i="1"/>
  <c r="D15340" i="1"/>
  <c r="C15340" i="1"/>
  <c r="B15340" i="1"/>
  <c r="A15340" i="1"/>
  <c r="F15339" i="1"/>
  <c r="E15339" i="1"/>
  <c r="D15339" i="1"/>
  <c r="C15339" i="1"/>
  <c r="B15339" i="1"/>
  <c r="A15339" i="1"/>
  <c r="F15338" i="1"/>
  <c r="E15338" i="1"/>
  <c r="D15338" i="1"/>
  <c r="C15338" i="1"/>
  <c r="B15338" i="1"/>
  <c r="A15338" i="1"/>
  <c r="F15337" i="1"/>
  <c r="E15337" i="1"/>
  <c r="D15337" i="1"/>
  <c r="C15337" i="1"/>
  <c r="B15337" i="1"/>
  <c r="A15337" i="1"/>
  <c r="F15336" i="1"/>
  <c r="E15336" i="1"/>
  <c r="D15336" i="1"/>
  <c r="C15336" i="1"/>
  <c r="B15336" i="1"/>
  <c r="A15336" i="1"/>
  <c r="F15335" i="1"/>
  <c r="E15335" i="1"/>
  <c r="D15335" i="1"/>
  <c r="C15335" i="1"/>
  <c r="B15335" i="1"/>
  <c r="A15335" i="1"/>
  <c r="F15334" i="1"/>
  <c r="E15334" i="1"/>
  <c r="D15334" i="1"/>
  <c r="C15334" i="1"/>
  <c r="B15334" i="1"/>
  <c r="A15334" i="1"/>
  <c r="F15333" i="1"/>
  <c r="E15333" i="1"/>
  <c r="D15333" i="1"/>
  <c r="C15333" i="1"/>
  <c r="B15333" i="1"/>
  <c r="A15333" i="1"/>
  <c r="F15332" i="1"/>
  <c r="E15332" i="1"/>
  <c r="D15332" i="1"/>
  <c r="C15332" i="1"/>
  <c r="B15332" i="1"/>
  <c r="A15332" i="1"/>
  <c r="F15331" i="1"/>
  <c r="E15331" i="1"/>
  <c r="D15331" i="1"/>
  <c r="C15331" i="1"/>
  <c r="B15331" i="1"/>
  <c r="A15331" i="1"/>
  <c r="F15330" i="1"/>
  <c r="E15330" i="1"/>
  <c r="D15330" i="1"/>
  <c r="C15330" i="1"/>
  <c r="B15330" i="1"/>
  <c r="A15330" i="1"/>
  <c r="F15329" i="1"/>
  <c r="E15329" i="1"/>
  <c r="D15329" i="1"/>
  <c r="C15329" i="1"/>
  <c r="B15329" i="1"/>
  <c r="A15329" i="1"/>
  <c r="F15328" i="1"/>
  <c r="E15328" i="1"/>
  <c r="D15328" i="1"/>
  <c r="C15328" i="1"/>
  <c r="B15328" i="1"/>
  <c r="A15328" i="1"/>
  <c r="F15327" i="1"/>
  <c r="E15327" i="1"/>
  <c r="D15327" i="1"/>
  <c r="C15327" i="1"/>
  <c r="B15327" i="1"/>
  <c r="A15327" i="1"/>
  <c r="F15326" i="1"/>
  <c r="E15326" i="1"/>
  <c r="D15326" i="1"/>
  <c r="C15326" i="1"/>
  <c r="B15326" i="1"/>
  <c r="A15326" i="1"/>
  <c r="F15325" i="1"/>
  <c r="E15325" i="1"/>
  <c r="D15325" i="1"/>
  <c r="C15325" i="1"/>
  <c r="B15325" i="1"/>
  <c r="A15325" i="1"/>
  <c r="F15324" i="1"/>
  <c r="E15324" i="1"/>
  <c r="D15324" i="1"/>
  <c r="C15324" i="1"/>
  <c r="B15324" i="1"/>
  <c r="A15324" i="1"/>
  <c r="F15323" i="1"/>
  <c r="E15323" i="1"/>
  <c r="D15323" i="1"/>
  <c r="C15323" i="1"/>
  <c r="B15323" i="1"/>
  <c r="A15323" i="1"/>
  <c r="F15322" i="1"/>
  <c r="E15322" i="1"/>
  <c r="D15322" i="1"/>
  <c r="C15322" i="1"/>
  <c r="B15322" i="1"/>
  <c r="A15322" i="1"/>
  <c r="F15321" i="1"/>
  <c r="E15321" i="1"/>
  <c r="D15321" i="1"/>
  <c r="C15321" i="1"/>
  <c r="B15321" i="1"/>
  <c r="A15321" i="1"/>
  <c r="F15320" i="1"/>
  <c r="E15320" i="1"/>
  <c r="D15320" i="1"/>
  <c r="C15320" i="1"/>
  <c r="B15320" i="1"/>
  <c r="A15320" i="1"/>
  <c r="F15319" i="1"/>
  <c r="E15319" i="1"/>
  <c r="D15319" i="1"/>
  <c r="C15319" i="1"/>
  <c r="B15319" i="1"/>
  <c r="A15319" i="1"/>
  <c r="F15318" i="1"/>
  <c r="E15318" i="1"/>
  <c r="D15318" i="1"/>
  <c r="C15318" i="1"/>
  <c r="B15318" i="1"/>
  <c r="A15318" i="1"/>
  <c r="F15317" i="1"/>
  <c r="E15317" i="1"/>
  <c r="D15317" i="1"/>
  <c r="C15317" i="1"/>
  <c r="B15317" i="1"/>
  <c r="A15317" i="1"/>
  <c r="F15316" i="1"/>
  <c r="E15316" i="1"/>
  <c r="D15316" i="1"/>
  <c r="C15316" i="1"/>
  <c r="B15316" i="1"/>
  <c r="A15316" i="1"/>
  <c r="F15315" i="1"/>
  <c r="E15315" i="1"/>
  <c r="D15315" i="1"/>
  <c r="C15315" i="1"/>
  <c r="B15315" i="1"/>
  <c r="A15315" i="1"/>
  <c r="F15314" i="1"/>
  <c r="E15314" i="1"/>
  <c r="D15314" i="1"/>
  <c r="C15314" i="1"/>
  <c r="B15314" i="1"/>
  <c r="A15314" i="1"/>
  <c r="F15313" i="1"/>
  <c r="E15313" i="1"/>
  <c r="D15313" i="1"/>
  <c r="C15313" i="1"/>
  <c r="B15313" i="1"/>
  <c r="A15313" i="1"/>
  <c r="F15312" i="1"/>
  <c r="E15312" i="1"/>
  <c r="D15312" i="1"/>
  <c r="C15312" i="1"/>
  <c r="B15312" i="1"/>
  <c r="A15312" i="1"/>
  <c r="F15311" i="1"/>
  <c r="E15311" i="1"/>
  <c r="D15311" i="1"/>
  <c r="C15311" i="1"/>
  <c r="B15311" i="1"/>
  <c r="A15311" i="1"/>
  <c r="F15310" i="1"/>
  <c r="E15310" i="1"/>
  <c r="D15310" i="1"/>
  <c r="C15310" i="1"/>
  <c r="B15310" i="1"/>
  <c r="A15310" i="1"/>
  <c r="F15309" i="1"/>
  <c r="E15309" i="1"/>
  <c r="D15309" i="1"/>
  <c r="C15309" i="1"/>
  <c r="B15309" i="1"/>
  <c r="A15309" i="1"/>
  <c r="F15308" i="1"/>
  <c r="E15308" i="1"/>
  <c r="D15308" i="1"/>
  <c r="C15308" i="1"/>
  <c r="B15308" i="1"/>
  <c r="A15308" i="1"/>
  <c r="F15307" i="1"/>
  <c r="E15307" i="1"/>
  <c r="D15307" i="1"/>
  <c r="C15307" i="1"/>
  <c r="B15307" i="1"/>
  <c r="A15307" i="1"/>
  <c r="F15306" i="1"/>
  <c r="E15306" i="1"/>
  <c r="D15306" i="1"/>
  <c r="C15306" i="1"/>
  <c r="B15306" i="1"/>
  <c r="A15306" i="1"/>
  <c r="F15305" i="1"/>
  <c r="E15305" i="1"/>
  <c r="D15305" i="1"/>
  <c r="C15305" i="1"/>
  <c r="B15305" i="1"/>
  <c r="A15305" i="1"/>
  <c r="F15304" i="1"/>
  <c r="E15304" i="1"/>
  <c r="D15304" i="1"/>
  <c r="C15304" i="1"/>
  <c r="B15304" i="1"/>
  <c r="A15304" i="1"/>
  <c r="F15303" i="1"/>
  <c r="E15303" i="1"/>
  <c r="D15303" i="1"/>
  <c r="C15303" i="1"/>
  <c r="B15303" i="1"/>
  <c r="A15303" i="1"/>
  <c r="F15302" i="1"/>
  <c r="E15302" i="1"/>
  <c r="D15302" i="1"/>
  <c r="C15302" i="1"/>
  <c r="B15302" i="1"/>
  <c r="A15302" i="1"/>
  <c r="F15301" i="1"/>
  <c r="E15301" i="1"/>
  <c r="D15301" i="1"/>
  <c r="C15301" i="1"/>
  <c r="B15301" i="1"/>
  <c r="A15301" i="1"/>
  <c r="F15300" i="1"/>
  <c r="E15300" i="1"/>
  <c r="D15300" i="1"/>
  <c r="C15300" i="1"/>
  <c r="B15300" i="1"/>
  <c r="A15300" i="1"/>
  <c r="F15299" i="1"/>
  <c r="E15299" i="1"/>
  <c r="D15299" i="1"/>
  <c r="C15299" i="1"/>
  <c r="B15299" i="1"/>
  <c r="A15299" i="1"/>
  <c r="F15298" i="1"/>
  <c r="E15298" i="1"/>
  <c r="D15298" i="1"/>
  <c r="C15298" i="1"/>
  <c r="B15298" i="1"/>
  <c r="A15298" i="1"/>
  <c r="F15297" i="1"/>
  <c r="E15297" i="1"/>
  <c r="D15297" i="1"/>
  <c r="C15297" i="1"/>
  <c r="B15297" i="1"/>
  <c r="A15297" i="1"/>
  <c r="F15296" i="1"/>
  <c r="E15296" i="1"/>
  <c r="D15296" i="1"/>
  <c r="C15296" i="1"/>
  <c r="B15296" i="1"/>
  <c r="A15296" i="1"/>
  <c r="F15295" i="1"/>
  <c r="E15295" i="1"/>
  <c r="D15295" i="1"/>
  <c r="C15295" i="1"/>
  <c r="B15295" i="1"/>
  <c r="A15295" i="1"/>
  <c r="F15294" i="1"/>
  <c r="E15294" i="1"/>
  <c r="D15294" i="1"/>
  <c r="C15294" i="1"/>
  <c r="B15294" i="1"/>
  <c r="A15294" i="1"/>
  <c r="F15293" i="1"/>
  <c r="E15293" i="1"/>
  <c r="D15293" i="1"/>
  <c r="C15293" i="1"/>
  <c r="B15293" i="1"/>
  <c r="A15293" i="1"/>
  <c r="F15292" i="1"/>
  <c r="E15292" i="1"/>
  <c r="D15292" i="1"/>
  <c r="C15292" i="1"/>
  <c r="B15292" i="1"/>
  <c r="A15292" i="1"/>
  <c r="F15291" i="1"/>
  <c r="E15291" i="1"/>
  <c r="D15291" i="1"/>
  <c r="C15291" i="1"/>
  <c r="B15291" i="1"/>
  <c r="A15291" i="1"/>
  <c r="F15290" i="1"/>
  <c r="E15290" i="1"/>
  <c r="D15290" i="1"/>
  <c r="C15290" i="1"/>
  <c r="B15290" i="1"/>
  <c r="A15290" i="1"/>
  <c r="F15289" i="1"/>
  <c r="E15289" i="1"/>
  <c r="D15289" i="1"/>
  <c r="C15289" i="1"/>
  <c r="B15289" i="1"/>
  <c r="A15289" i="1"/>
  <c r="F15288" i="1"/>
  <c r="E15288" i="1"/>
  <c r="D15288" i="1"/>
  <c r="C15288" i="1"/>
  <c r="B15288" i="1"/>
  <c r="A15288" i="1"/>
  <c r="F15287" i="1"/>
  <c r="E15287" i="1"/>
  <c r="D15287" i="1"/>
  <c r="C15287" i="1"/>
  <c r="B15287" i="1"/>
  <c r="A15287" i="1"/>
  <c r="F15286" i="1"/>
  <c r="E15286" i="1"/>
  <c r="D15286" i="1"/>
  <c r="C15286" i="1"/>
  <c r="B15286" i="1"/>
  <c r="A15286" i="1"/>
  <c r="F15285" i="1"/>
  <c r="E15285" i="1"/>
  <c r="D15285" i="1"/>
  <c r="C15285" i="1"/>
  <c r="B15285" i="1"/>
  <c r="A15285" i="1"/>
  <c r="F15284" i="1"/>
  <c r="E15284" i="1"/>
  <c r="D15284" i="1"/>
  <c r="C15284" i="1"/>
  <c r="B15284" i="1"/>
  <c r="A15284" i="1"/>
  <c r="F15283" i="1"/>
  <c r="E15283" i="1"/>
  <c r="D15283" i="1"/>
  <c r="C15283" i="1"/>
  <c r="B15283" i="1"/>
  <c r="A15283" i="1"/>
  <c r="F15282" i="1"/>
  <c r="E15282" i="1"/>
  <c r="D15282" i="1"/>
  <c r="C15282" i="1"/>
  <c r="B15282" i="1"/>
  <c r="A15282" i="1"/>
  <c r="F15281" i="1"/>
  <c r="E15281" i="1"/>
  <c r="D15281" i="1"/>
  <c r="C15281" i="1"/>
  <c r="B15281" i="1"/>
  <c r="A15281" i="1"/>
  <c r="F15280" i="1"/>
  <c r="E15280" i="1"/>
  <c r="D15280" i="1"/>
  <c r="C15280" i="1"/>
  <c r="B15280" i="1"/>
  <c r="A15280" i="1"/>
  <c r="F15279" i="1"/>
  <c r="E15279" i="1"/>
  <c r="D15279" i="1"/>
  <c r="C15279" i="1"/>
  <c r="B15279" i="1"/>
  <c r="A15279" i="1"/>
  <c r="F15278" i="1"/>
  <c r="E15278" i="1"/>
  <c r="D15278" i="1"/>
  <c r="C15278" i="1"/>
  <c r="B15278" i="1"/>
  <c r="A15278" i="1"/>
  <c r="F15277" i="1"/>
  <c r="E15277" i="1"/>
  <c r="D15277" i="1"/>
  <c r="C15277" i="1"/>
  <c r="B15277" i="1"/>
  <c r="A15277" i="1"/>
  <c r="F15276" i="1"/>
  <c r="E15276" i="1"/>
  <c r="D15276" i="1"/>
  <c r="C15276" i="1"/>
  <c r="B15276" i="1"/>
  <c r="A15276" i="1"/>
  <c r="F15275" i="1"/>
  <c r="E15275" i="1"/>
  <c r="D15275" i="1"/>
  <c r="C15275" i="1"/>
  <c r="B15275" i="1"/>
  <c r="A15275" i="1"/>
  <c r="F15274" i="1"/>
  <c r="E15274" i="1"/>
  <c r="D15274" i="1"/>
  <c r="C15274" i="1"/>
  <c r="B15274" i="1"/>
  <c r="A15274" i="1"/>
  <c r="F15273" i="1"/>
  <c r="E15273" i="1"/>
  <c r="D15273" i="1"/>
  <c r="C15273" i="1"/>
  <c r="B15273" i="1"/>
  <c r="A15273" i="1"/>
  <c r="F15272" i="1"/>
  <c r="E15272" i="1"/>
  <c r="D15272" i="1"/>
  <c r="C15272" i="1"/>
  <c r="B15272" i="1"/>
  <c r="A15272" i="1"/>
  <c r="F15271" i="1"/>
  <c r="E15271" i="1"/>
  <c r="D15271" i="1"/>
  <c r="C15271" i="1"/>
  <c r="B15271" i="1"/>
  <c r="A15271" i="1"/>
  <c r="F15270" i="1"/>
  <c r="E15270" i="1"/>
  <c r="D15270" i="1"/>
  <c r="C15270" i="1"/>
  <c r="B15270" i="1"/>
  <c r="A15270" i="1"/>
  <c r="F15269" i="1"/>
  <c r="E15269" i="1"/>
  <c r="D15269" i="1"/>
  <c r="C15269" i="1"/>
  <c r="B15269" i="1"/>
  <c r="A15269" i="1"/>
  <c r="F15268" i="1"/>
  <c r="E15268" i="1"/>
  <c r="D15268" i="1"/>
  <c r="C15268" i="1"/>
  <c r="B15268" i="1"/>
  <c r="A15268" i="1"/>
  <c r="F15267" i="1"/>
  <c r="E15267" i="1"/>
  <c r="D15267" i="1"/>
  <c r="C15267" i="1"/>
  <c r="B15267" i="1"/>
  <c r="A15267" i="1"/>
  <c r="F15266" i="1"/>
  <c r="E15266" i="1"/>
  <c r="D15266" i="1"/>
  <c r="C15266" i="1"/>
  <c r="B15266" i="1"/>
  <c r="A15266" i="1"/>
  <c r="F15265" i="1"/>
  <c r="E15265" i="1"/>
  <c r="D15265" i="1"/>
  <c r="C15265" i="1"/>
  <c r="B15265" i="1"/>
  <c r="A15265" i="1"/>
  <c r="F15264" i="1"/>
  <c r="E15264" i="1"/>
  <c r="D15264" i="1"/>
  <c r="C15264" i="1"/>
  <c r="B15264" i="1"/>
  <c r="A15264" i="1"/>
  <c r="F15263" i="1"/>
  <c r="E15263" i="1"/>
  <c r="D15263" i="1"/>
  <c r="C15263" i="1"/>
  <c r="B15263" i="1"/>
  <c r="A15263" i="1"/>
  <c r="F15262" i="1"/>
  <c r="E15262" i="1"/>
  <c r="D15262" i="1"/>
  <c r="C15262" i="1"/>
  <c r="B15262" i="1"/>
  <c r="A15262" i="1"/>
  <c r="F15261" i="1"/>
  <c r="E15261" i="1"/>
  <c r="D15261" i="1"/>
  <c r="C15261" i="1"/>
  <c r="B15261" i="1"/>
  <c r="A15261" i="1"/>
  <c r="F15260" i="1"/>
  <c r="E15260" i="1"/>
  <c r="D15260" i="1"/>
  <c r="C15260" i="1"/>
  <c r="B15260" i="1"/>
  <c r="A15260" i="1"/>
  <c r="F15259" i="1"/>
  <c r="E15259" i="1"/>
  <c r="D15259" i="1"/>
  <c r="C15259" i="1"/>
  <c r="B15259" i="1"/>
  <c r="A15259" i="1"/>
  <c r="F15258" i="1"/>
  <c r="E15258" i="1"/>
  <c r="D15258" i="1"/>
  <c r="C15258" i="1"/>
  <c r="B15258" i="1"/>
  <c r="A15258" i="1"/>
  <c r="F15257" i="1"/>
  <c r="E15257" i="1"/>
  <c r="D15257" i="1"/>
  <c r="C15257" i="1"/>
  <c r="B15257" i="1"/>
  <c r="A15257" i="1"/>
  <c r="F15256" i="1"/>
  <c r="E15256" i="1"/>
  <c r="D15256" i="1"/>
  <c r="C15256" i="1"/>
  <c r="B15256" i="1"/>
  <c r="A15256" i="1"/>
  <c r="F15255" i="1"/>
  <c r="E15255" i="1"/>
  <c r="D15255" i="1"/>
  <c r="C15255" i="1"/>
  <c r="B15255" i="1"/>
  <c r="A15255" i="1"/>
  <c r="F15254" i="1"/>
  <c r="E15254" i="1"/>
  <c r="D15254" i="1"/>
  <c r="C15254" i="1"/>
  <c r="B15254" i="1"/>
  <c r="A15254" i="1"/>
  <c r="F15253" i="1"/>
  <c r="E15253" i="1"/>
  <c r="D15253" i="1"/>
  <c r="C15253" i="1"/>
  <c r="B15253" i="1"/>
  <c r="A15253" i="1"/>
  <c r="F15252" i="1"/>
  <c r="E15252" i="1"/>
  <c r="D15252" i="1"/>
  <c r="C15252" i="1"/>
  <c r="B15252" i="1"/>
  <c r="A15252" i="1"/>
  <c r="F15251" i="1"/>
  <c r="E15251" i="1"/>
  <c r="D15251" i="1"/>
  <c r="C15251" i="1"/>
  <c r="B15251" i="1"/>
  <c r="A15251" i="1"/>
  <c r="F15250" i="1"/>
  <c r="E15250" i="1"/>
  <c r="D15250" i="1"/>
  <c r="C15250" i="1"/>
  <c r="B15250" i="1"/>
  <c r="A15250" i="1"/>
  <c r="F15249" i="1"/>
  <c r="E15249" i="1"/>
  <c r="D15249" i="1"/>
  <c r="C15249" i="1"/>
  <c r="B15249" i="1"/>
  <c r="A15249" i="1"/>
  <c r="F15248" i="1"/>
  <c r="E15248" i="1"/>
  <c r="D15248" i="1"/>
  <c r="C15248" i="1"/>
  <c r="B15248" i="1"/>
  <c r="A15248" i="1"/>
  <c r="F15247" i="1"/>
  <c r="E15247" i="1"/>
  <c r="D15247" i="1"/>
  <c r="C15247" i="1"/>
  <c r="B15247" i="1"/>
  <c r="A15247" i="1"/>
  <c r="F15246" i="1"/>
  <c r="E15246" i="1"/>
  <c r="D15246" i="1"/>
  <c r="C15246" i="1"/>
  <c r="B15246" i="1"/>
  <c r="A15246" i="1"/>
  <c r="F15245" i="1"/>
  <c r="E15245" i="1"/>
  <c r="D15245" i="1"/>
  <c r="C15245" i="1"/>
  <c r="B15245" i="1"/>
  <c r="A15245" i="1"/>
  <c r="F15244" i="1"/>
  <c r="E15244" i="1"/>
  <c r="D15244" i="1"/>
  <c r="C15244" i="1"/>
  <c r="B15244" i="1"/>
  <c r="A15244" i="1"/>
  <c r="F15243" i="1"/>
  <c r="E15243" i="1"/>
  <c r="D15243" i="1"/>
  <c r="C15243" i="1"/>
  <c r="B15243" i="1"/>
  <c r="A15243" i="1"/>
  <c r="F15242" i="1"/>
  <c r="E15242" i="1"/>
  <c r="D15242" i="1"/>
  <c r="C15242" i="1"/>
  <c r="B15242" i="1"/>
  <c r="A15242" i="1"/>
  <c r="F15241" i="1"/>
  <c r="E15241" i="1"/>
  <c r="D15241" i="1"/>
  <c r="C15241" i="1"/>
  <c r="B15241" i="1"/>
  <c r="A15241" i="1"/>
  <c r="F15240" i="1"/>
  <c r="E15240" i="1"/>
  <c r="D15240" i="1"/>
  <c r="C15240" i="1"/>
  <c r="B15240" i="1"/>
  <c r="A15240" i="1"/>
  <c r="F15239" i="1"/>
  <c r="E15239" i="1"/>
  <c r="D15239" i="1"/>
  <c r="C15239" i="1"/>
  <c r="B15239" i="1"/>
  <c r="A15239" i="1"/>
  <c r="F15238" i="1"/>
  <c r="E15238" i="1"/>
  <c r="D15238" i="1"/>
  <c r="C15238" i="1"/>
  <c r="B15238" i="1"/>
  <c r="A15238" i="1"/>
  <c r="F15237" i="1"/>
  <c r="E15237" i="1"/>
  <c r="D15237" i="1"/>
  <c r="C15237" i="1"/>
  <c r="B15237" i="1"/>
  <c r="A15237" i="1"/>
  <c r="F15236" i="1"/>
  <c r="E15236" i="1"/>
  <c r="D15236" i="1"/>
  <c r="C15236" i="1"/>
  <c r="B15236" i="1"/>
  <c r="A15236" i="1"/>
  <c r="F15235" i="1"/>
  <c r="E15235" i="1"/>
  <c r="D15235" i="1"/>
  <c r="C15235" i="1"/>
  <c r="B15235" i="1"/>
  <c r="A15235" i="1"/>
  <c r="F15234" i="1"/>
  <c r="E15234" i="1"/>
  <c r="D15234" i="1"/>
  <c r="C15234" i="1"/>
  <c r="B15234" i="1"/>
  <c r="A15234" i="1"/>
  <c r="F15233" i="1"/>
  <c r="E15233" i="1"/>
  <c r="D15233" i="1"/>
  <c r="C15233" i="1"/>
  <c r="B15233" i="1"/>
  <c r="A15233" i="1"/>
  <c r="F15232" i="1"/>
  <c r="E15232" i="1"/>
  <c r="D15232" i="1"/>
  <c r="C15232" i="1"/>
  <c r="B15232" i="1"/>
  <c r="A15232" i="1"/>
  <c r="F15231" i="1"/>
  <c r="E15231" i="1"/>
  <c r="D15231" i="1"/>
  <c r="C15231" i="1"/>
  <c r="B15231" i="1"/>
  <c r="A15231" i="1"/>
  <c r="F15230" i="1"/>
  <c r="E15230" i="1"/>
  <c r="D15230" i="1"/>
  <c r="C15230" i="1"/>
  <c r="B15230" i="1"/>
  <c r="A15230" i="1"/>
  <c r="F15229" i="1"/>
  <c r="E15229" i="1"/>
  <c r="D15229" i="1"/>
  <c r="C15229" i="1"/>
  <c r="B15229" i="1"/>
  <c r="A15229" i="1"/>
  <c r="F15228" i="1"/>
  <c r="E15228" i="1"/>
  <c r="D15228" i="1"/>
  <c r="C15228" i="1"/>
  <c r="B15228" i="1"/>
  <c r="A15228" i="1"/>
  <c r="F15227" i="1"/>
  <c r="E15227" i="1"/>
  <c r="D15227" i="1"/>
  <c r="C15227" i="1"/>
  <c r="B15227" i="1"/>
  <c r="A15227" i="1"/>
  <c r="F15226" i="1"/>
  <c r="E15226" i="1"/>
  <c r="D15226" i="1"/>
  <c r="C15226" i="1"/>
  <c r="B15226" i="1"/>
  <c r="A15226" i="1"/>
  <c r="F15225" i="1"/>
  <c r="E15225" i="1"/>
  <c r="D15225" i="1"/>
  <c r="C15225" i="1"/>
  <c r="B15225" i="1"/>
  <c r="A15225" i="1"/>
  <c r="F15224" i="1"/>
  <c r="E15224" i="1"/>
  <c r="D15224" i="1"/>
  <c r="C15224" i="1"/>
  <c r="B15224" i="1"/>
  <c r="A15224" i="1"/>
  <c r="F15223" i="1"/>
  <c r="E15223" i="1"/>
  <c r="D15223" i="1"/>
  <c r="C15223" i="1"/>
  <c r="B15223" i="1"/>
  <c r="A15223" i="1"/>
  <c r="F15222" i="1"/>
  <c r="E15222" i="1"/>
  <c r="D15222" i="1"/>
  <c r="C15222" i="1"/>
  <c r="B15222" i="1"/>
  <c r="A15222" i="1"/>
  <c r="F15221" i="1"/>
  <c r="E15221" i="1"/>
  <c r="D15221" i="1"/>
  <c r="C15221" i="1"/>
  <c r="B15221" i="1"/>
  <c r="A15221" i="1"/>
  <c r="F15220" i="1"/>
  <c r="E15220" i="1"/>
  <c r="D15220" i="1"/>
  <c r="C15220" i="1"/>
  <c r="B15220" i="1"/>
  <c r="A15220" i="1"/>
  <c r="F15219" i="1"/>
  <c r="E15219" i="1"/>
  <c r="D15219" i="1"/>
  <c r="C15219" i="1"/>
  <c r="B15219" i="1"/>
  <c r="A15219" i="1"/>
  <c r="F15218" i="1"/>
  <c r="E15218" i="1"/>
  <c r="D15218" i="1"/>
  <c r="C15218" i="1"/>
  <c r="B15218" i="1"/>
  <c r="A15218" i="1"/>
  <c r="F15217" i="1"/>
  <c r="E15217" i="1"/>
  <c r="D15217" i="1"/>
  <c r="C15217" i="1"/>
  <c r="B15217" i="1"/>
  <c r="A15217" i="1"/>
  <c r="F15216" i="1"/>
  <c r="E15216" i="1"/>
  <c r="D15216" i="1"/>
  <c r="C15216" i="1"/>
  <c r="B15216" i="1"/>
  <c r="A15216" i="1"/>
  <c r="F15215" i="1"/>
  <c r="E15215" i="1"/>
  <c r="D15215" i="1"/>
  <c r="C15215" i="1"/>
  <c r="B15215" i="1"/>
  <c r="A15215" i="1"/>
  <c r="F15214" i="1"/>
  <c r="E15214" i="1"/>
  <c r="D15214" i="1"/>
  <c r="C15214" i="1"/>
  <c r="B15214" i="1"/>
  <c r="A15214" i="1"/>
  <c r="F15213" i="1"/>
  <c r="E15213" i="1"/>
  <c r="D15213" i="1"/>
  <c r="C15213" i="1"/>
  <c r="B15213" i="1"/>
  <c r="A15213" i="1"/>
  <c r="F15212" i="1"/>
  <c r="E15212" i="1"/>
  <c r="D15212" i="1"/>
  <c r="C15212" i="1"/>
  <c r="B15212" i="1"/>
  <c r="A15212" i="1"/>
  <c r="F15211" i="1"/>
  <c r="E15211" i="1"/>
  <c r="D15211" i="1"/>
  <c r="C15211" i="1"/>
  <c r="B15211" i="1"/>
  <c r="A15211" i="1"/>
  <c r="F15210" i="1"/>
  <c r="E15210" i="1"/>
  <c r="D15210" i="1"/>
  <c r="C15210" i="1"/>
  <c r="B15210" i="1"/>
  <c r="A15210" i="1"/>
  <c r="F15209" i="1"/>
  <c r="E15209" i="1"/>
  <c r="D15209" i="1"/>
  <c r="C15209" i="1"/>
  <c r="B15209" i="1"/>
  <c r="A15209" i="1"/>
  <c r="F15208" i="1"/>
  <c r="E15208" i="1"/>
  <c r="D15208" i="1"/>
  <c r="C15208" i="1"/>
  <c r="B15208" i="1"/>
  <c r="A15208" i="1"/>
  <c r="F15207" i="1"/>
  <c r="E15207" i="1"/>
  <c r="D15207" i="1"/>
  <c r="C15207" i="1"/>
  <c r="B15207" i="1"/>
  <c r="A15207" i="1"/>
  <c r="F15206" i="1"/>
  <c r="E15206" i="1"/>
  <c r="D15206" i="1"/>
  <c r="C15206" i="1"/>
  <c r="B15206" i="1"/>
  <c r="A15206" i="1"/>
  <c r="F15205" i="1"/>
  <c r="E15205" i="1"/>
  <c r="D15205" i="1"/>
  <c r="C15205" i="1"/>
  <c r="B15205" i="1"/>
  <c r="A15205" i="1"/>
  <c r="F15204" i="1"/>
  <c r="E15204" i="1"/>
  <c r="D15204" i="1"/>
  <c r="C15204" i="1"/>
  <c r="B15204" i="1"/>
  <c r="A15204" i="1"/>
  <c r="F15203" i="1"/>
  <c r="E15203" i="1"/>
  <c r="D15203" i="1"/>
  <c r="C15203" i="1"/>
  <c r="B15203" i="1"/>
  <c r="A15203" i="1"/>
  <c r="F15202" i="1"/>
  <c r="E15202" i="1"/>
  <c r="D15202" i="1"/>
  <c r="C15202" i="1"/>
  <c r="B15202" i="1"/>
  <c r="A15202" i="1"/>
  <c r="F15201" i="1"/>
  <c r="E15201" i="1"/>
  <c r="D15201" i="1"/>
  <c r="C15201" i="1"/>
  <c r="B15201" i="1"/>
  <c r="A15201" i="1"/>
  <c r="F15200" i="1"/>
  <c r="E15200" i="1"/>
  <c r="D15200" i="1"/>
  <c r="C15200" i="1"/>
  <c r="B15200" i="1"/>
  <c r="A15200" i="1"/>
  <c r="F15199" i="1"/>
  <c r="E15199" i="1"/>
  <c r="D15199" i="1"/>
  <c r="C15199" i="1"/>
  <c r="B15199" i="1"/>
  <c r="A15199" i="1"/>
  <c r="F15198" i="1"/>
  <c r="E15198" i="1"/>
  <c r="D15198" i="1"/>
  <c r="C15198" i="1"/>
  <c r="B15198" i="1"/>
  <c r="A15198" i="1"/>
  <c r="F15197" i="1"/>
  <c r="E15197" i="1"/>
  <c r="D15197" i="1"/>
  <c r="C15197" i="1"/>
  <c r="B15197" i="1"/>
  <c r="A15197" i="1"/>
  <c r="F15196" i="1"/>
  <c r="E15196" i="1"/>
  <c r="D15196" i="1"/>
  <c r="C15196" i="1"/>
  <c r="B15196" i="1"/>
  <c r="A15196" i="1"/>
  <c r="F15195" i="1"/>
  <c r="E15195" i="1"/>
  <c r="D15195" i="1"/>
  <c r="C15195" i="1"/>
  <c r="B15195" i="1"/>
  <c r="A15195" i="1"/>
  <c r="F15194" i="1"/>
  <c r="E15194" i="1"/>
  <c r="D15194" i="1"/>
  <c r="C15194" i="1"/>
  <c r="B15194" i="1"/>
  <c r="A15194" i="1"/>
  <c r="F15193" i="1"/>
  <c r="E15193" i="1"/>
  <c r="D15193" i="1"/>
  <c r="C15193" i="1"/>
  <c r="B15193" i="1"/>
  <c r="A15193" i="1"/>
  <c r="F15192" i="1"/>
  <c r="E15192" i="1"/>
  <c r="D15192" i="1"/>
  <c r="C15192" i="1"/>
  <c r="B15192" i="1"/>
  <c r="A15192" i="1"/>
  <c r="F15191" i="1"/>
  <c r="E15191" i="1"/>
  <c r="D15191" i="1"/>
  <c r="C15191" i="1"/>
  <c r="B15191" i="1"/>
  <c r="A15191" i="1"/>
  <c r="F15190" i="1"/>
  <c r="E15190" i="1"/>
  <c r="D15190" i="1"/>
  <c r="C15190" i="1"/>
  <c r="B15190" i="1"/>
  <c r="A15190" i="1"/>
  <c r="F15189" i="1"/>
  <c r="E15189" i="1"/>
  <c r="D15189" i="1"/>
  <c r="C15189" i="1"/>
  <c r="B15189" i="1"/>
  <c r="A15189" i="1"/>
  <c r="F15188" i="1"/>
  <c r="E15188" i="1"/>
  <c r="D15188" i="1"/>
  <c r="C15188" i="1"/>
  <c r="B15188" i="1"/>
  <c r="A15188" i="1"/>
  <c r="F15187" i="1"/>
  <c r="E15187" i="1"/>
  <c r="D15187" i="1"/>
  <c r="C15187" i="1"/>
  <c r="B15187" i="1"/>
  <c r="A15187" i="1"/>
  <c r="F15186" i="1"/>
  <c r="E15186" i="1"/>
  <c r="D15186" i="1"/>
  <c r="C15186" i="1"/>
  <c r="B15186" i="1"/>
  <c r="A15186" i="1"/>
  <c r="F15185" i="1"/>
  <c r="E15185" i="1"/>
  <c r="D15185" i="1"/>
  <c r="C15185" i="1"/>
  <c r="B15185" i="1"/>
  <c r="A15185" i="1"/>
  <c r="F15184" i="1"/>
  <c r="E15184" i="1"/>
  <c r="D15184" i="1"/>
  <c r="C15184" i="1"/>
  <c r="B15184" i="1"/>
  <c r="A15184" i="1"/>
  <c r="F15183" i="1"/>
  <c r="E15183" i="1"/>
  <c r="D15183" i="1"/>
  <c r="C15183" i="1"/>
  <c r="B15183" i="1"/>
  <c r="A15183" i="1"/>
  <c r="F15182" i="1"/>
  <c r="E15182" i="1"/>
  <c r="D15182" i="1"/>
  <c r="C15182" i="1"/>
  <c r="B15182" i="1"/>
  <c r="A15182" i="1"/>
  <c r="F15181" i="1"/>
  <c r="E15181" i="1"/>
  <c r="D15181" i="1"/>
  <c r="C15181" i="1"/>
  <c r="B15181" i="1"/>
  <c r="A15181" i="1"/>
  <c r="F15180" i="1"/>
  <c r="E15180" i="1"/>
  <c r="D15180" i="1"/>
  <c r="C15180" i="1"/>
  <c r="B15180" i="1"/>
  <c r="A15180" i="1"/>
  <c r="F15179" i="1"/>
  <c r="E15179" i="1"/>
  <c r="D15179" i="1"/>
  <c r="C15179" i="1"/>
  <c r="B15179" i="1"/>
  <c r="A15179" i="1"/>
  <c r="F15178" i="1"/>
  <c r="E15178" i="1"/>
  <c r="D15178" i="1"/>
  <c r="C15178" i="1"/>
  <c r="B15178" i="1"/>
  <c r="A15178" i="1"/>
  <c r="F15177" i="1"/>
  <c r="E15177" i="1"/>
  <c r="D15177" i="1"/>
  <c r="C15177" i="1"/>
  <c r="B15177" i="1"/>
  <c r="A15177" i="1"/>
  <c r="F15176" i="1"/>
  <c r="E15176" i="1"/>
  <c r="D15176" i="1"/>
  <c r="C15176" i="1"/>
  <c r="B15176" i="1"/>
  <c r="A15176" i="1"/>
  <c r="F15175" i="1"/>
  <c r="E15175" i="1"/>
  <c r="D15175" i="1"/>
  <c r="C15175" i="1"/>
  <c r="B15175" i="1"/>
  <c r="A15175" i="1"/>
  <c r="F15174" i="1"/>
  <c r="E15174" i="1"/>
  <c r="D15174" i="1"/>
  <c r="C15174" i="1"/>
  <c r="B15174" i="1"/>
  <c r="A15174" i="1"/>
  <c r="F15173" i="1"/>
  <c r="E15173" i="1"/>
  <c r="D15173" i="1"/>
  <c r="C15173" i="1"/>
  <c r="B15173" i="1"/>
  <c r="A15173" i="1"/>
  <c r="F15172" i="1"/>
  <c r="E15172" i="1"/>
  <c r="D15172" i="1"/>
  <c r="C15172" i="1"/>
  <c r="B15172" i="1"/>
  <c r="A15172" i="1"/>
  <c r="F15171" i="1"/>
  <c r="E15171" i="1"/>
  <c r="D15171" i="1"/>
  <c r="C15171" i="1"/>
  <c r="B15171" i="1"/>
  <c r="A15171" i="1"/>
  <c r="F15170" i="1"/>
  <c r="E15170" i="1"/>
  <c r="D15170" i="1"/>
  <c r="C15170" i="1"/>
  <c r="B15170" i="1"/>
  <c r="A15170" i="1"/>
  <c r="F15169" i="1"/>
  <c r="E15169" i="1"/>
  <c r="D15169" i="1"/>
  <c r="C15169" i="1"/>
  <c r="B15169" i="1"/>
  <c r="A15169" i="1"/>
  <c r="F15168" i="1"/>
  <c r="E15168" i="1"/>
  <c r="D15168" i="1"/>
  <c r="C15168" i="1"/>
  <c r="B15168" i="1"/>
  <c r="A15168" i="1"/>
  <c r="F15167" i="1"/>
  <c r="E15167" i="1"/>
  <c r="D15167" i="1"/>
  <c r="C15167" i="1"/>
  <c r="B15167" i="1"/>
  <c r="A15167" i="1"/>
  <c r="F15166" i="1"/>
  <c r="E15166" i="1"/>
  <c r="D15166" i="1"/>
  <c r="C15166" i="1"/>
  <c r="B15166" i="1"/>
  <c r="A15166" i="1"/>
  <c r="F15165" i="1"/>
  <c r="E15165" i="1"/>
  <c r="D15165" i="1"/>
  <c r="C15165" i="1"/>
  <c r="B15165" i="1"/>
  <c r="A15165" i="1"/>
  <c r="F15164" i="1"/>
  <c r="E15164" i="1"/>
  <c r="D15164" i="1"/>
  <c r="C15164" i="1"/>
  <c r="B15164" i="1"/>
  <c r="A15164" i="1"/>
  <c r="F15163" i="1"/>
  <c r="E15163" i="1"/>
  <c r="D15163" i="1"/>
  <c r="C15163" i="1"/>
  <c r="B15163" i="1"/>
  <c r="A15163" i="1"/>
  <c r="F15162" i="1"/>
  <c r="E15162" i="1"/>
  <c r="D15162" i="1"/>
  <c r="C15162" i="1"/>
  <c r="B15162" i="1"/>
  <c r="A15162" i="1"/>
  <c r="F15161" i="1"/>
  <c r="E15161" i="1"/>
  <c r="D15161" i="1"/>
  <c r="C15161" i="1"/>
  <c r="B15161" i="1"/>
  <c r="A15161" i="1"/>
  <c r="F15160" i="1"/>
  <c r="E15160" i="1"/>
  <c r="D15160" i="1"/>
  <c r="C15160" i="1"/>
  <c r="B15160" i="1"/>
  <c r="A15160" i="1"/>
  <c r="F15159" i="1"/>
  <c r="E15159" i="1"/>
  <c r="D15159" i="1"/>
  <c r="C15159" i="1"/>
  <c r="B15159" i="1"/>
  <c r="A15159" i="1"/>
  <c r="F15158" i="1"/>
  <c r="E15158" i="1"/>
  <c r="D15158" i="1"/>
  <c r="C15158" i="1"/>
  <c r="B15158" i="1"/>
  <c r="A15158" i="1"/>
  <c r="F15157" i="1"/>
  <c r="E15157" i="1"/>
  <c r="D15157" i="1"/>
  <c r="C15157" i="1"/>
  <c r="B15157" i="1"/>
  <c r="A15157" i="1"/>
  <c r="F15156" i="1"/>
  <c r="E15156" i="1"/>
  <c r="D15156" i="1"/>
  <c r="C15156" i="1"/>
  <c r="B15156" i="1"/>
  <c r="A15156" i="1"/>
  <c r="F15155" i="1"/>
  <c r="E15155" i="1"/>
  <c r="D15155" i="1"/>
  <c r="C15155" i="1"/>
  <c r="B15155" i="1"/>
  <c r="A15155" i="1"/>
  <c r="F15154" i="1"/>
  <c r="E15154" i="1"/>
  <c r="D15154" i="1"/>
  <c r="C15154" i="1"/>
  <c r="B15154" i="1"/>
  <c r="A15154" i="1"/>
  <c r="F15153" i="1"/>
  <c r="E15153" i="1"/>
  <c r="D15153" i="1"/>
  <c r="C15153" i="1"/>
  <c r="B15153" i="1"/>
  <c r="A15153" i="1"/>
  <c r="F15152" i="1"/>
  <c r="E15152" i="1"/>
  <c r="D15152" i="1"/>
  <c r="C15152" i="1"/>
  <c r="B15152" i="1"/>
  <c r="A15152" i="1"/>
  <c r="F15151" i="1"/>
  <c r="E15151" i="1"/>
  <c r="D15151" i="1"/>
  <c r="C15151" i="1"/>
  <c r="B15151" i="1"/>
  <c r="A15151" i="1"/>
  <c r="F15150" i="1"/>
  <c r="E15150" i="1"/>
  <c r="D15150" i="1"/>
  <c r="C15150" i="1"/>
  <c r="B15150" i="1"/>
  <c r="A15150" i="1"/>
  <c r="F15149" i="1"/>
  <c r="E15149" i="1"/>
  <c r="D15149" i="1"/>
  <c r="C15149" i="1"/>
  <c r="B15149" i="1"/>
  <c r="A15149" i="1"/>
  <c r="F15148" i="1"/>
  <c r="E15148" i="1"/>
  <c r="D15148" i="1"/>
  <c r="C15148" i="1"/>
  <c r="B15148" i="1"/>
  <c r="A15148" i="1"/>
  <c r="F15147" i="1"/>
  <c r="E15147" i="1"/>
  <c r="D15147" i="1"/>
  <c r="C15147" i="1"/>
  <c r="B15147" i="1"/>
  <c r="A15147" i="1"/>
  <c r="F15146" i="1"/>
  <c r="E15146" i="1"/>
  <c r="D15146" i="1"/>
  <c r="C15146" i="1"/>
  <c r="B15146" i="1"/>
  <c r="A15146" i="1"/>
  <c r="F15145" i="1"/>
  <c r="E15145" i="1"/>
  <c r="D15145" i="1"/>
  <c r="C15145" i="1"/>
  <c r="B15145" i="1"/>
  <c r="A15145" i="1"/>
  <c r="F15144" i="1"/>
  <c r="E15144" i="1"/>
  <c r="D15144" i="1"/>
  <c r="C15144" i="1"/>
  <c r="B15144" i="1"/>
  <c r="A15144" i="1"/>
  <c r="F15143" i="1"/>
  <c r="E15143" i="1"/>
  <c r="D15143" i="1"/>
  <c r="C15143" i="1"/>
  <c r="B15143" i="1"/>
  <c r="A15143" i="1"/>
  <c r="F15142" i="1"/>
  <c r="E15142" i="1"/>
  <c r="D15142" i="1"/>
  <c r="C15142" i="1"/>
  <c r="B15142" i="1"/>
  <c r="A15142" i="1"/>
  <c r="F15141" i="1"/>
  <c r="E15141" i="1"/>
  <c r="D15141" i="1"/>
  <c r="C15141" i="1"/>
  <c r="B15141" i="1"/>
  <c r="A15141" i="1"/>
  <c r="F15140" i="1"/>
  <c r="E15140" i="1"/>
  <c r="D15140" i="1"/>
  <c r="C15140" i="1"/>
  <c r="B15140" i="1"/>
  <c r="A15140" i="1"/>
  <c r="F15139" i="1"/>
  <c r="E15139" i="1"/>
  <c r="D15139" i="1"/>
  <c r="C15139" i="1"/>
  <c r="B15139" i="1"/>
  <c r="A15139" i="1"/>
  <c r="F15138" i="1"/>
  <c r="E15138" i="1"/>
  <c r="D15138" i="1"/>
  <c r="C15138" i="1"/>
  <c r="B15138" i="1"/>
  <c r="A15138" i="1"/>
  <c r="F15137" i="1"/>
  <c r="E15137" i="1"/>
  <c r="D15137" i="1"/>
  <c r="C15137" i="1"/>
  <c r="B15137" i="1"/>
  <c r="A15137" i="1"/>
  <c r="F15136" i="1"/>
  <c r="E15136" i="1"/>
  <c r="D15136" i="1"/>
  <c r="C15136" i="1"/>
  <c r="B15136" i="1"/>
  <c r="A15136" i="1"/>
  <c r="F15135" i="1"/>
  <c r="E15135" i="1"/>
  <c r="D15135" i="1"/>
  <c r="C15135" i="1"/>
  <c r="B15135" i="1"/>
  <c r="A15135" i="1"/>
  <c r="F15134" i="1"/>
  <c r="E15134" i="1"/>
  <c r="D15134" i="1"/>
  <c r="C15134" i="1"/>
  <c r="B15134" i="1"/>
  <c r="A15134" i="1"/>
  <c r="F15133" i="1"/>
  <c r="E15133" i="1"/>
  <c r="D15133" i="1"/>
  <c r="C15133" i="1"/>
  <c r="B15133" i="1"/>
  <c r="A15133" i="1"/>
  <c r="F15132" i="1"/>
  <c r="E15132" i="1"/>
  <c r="D15132" i="1"/>
  <c r="C15132" i="1"/>
  <c r="B15132" i="1"/>
  <c r="A15132" i="1"/>
  <c r="F15131" i="1"/>
  <c r="E15131" i="1"/>
  <c r="D15131" i="1"/>
  <c r="C15131" i="1"/>
  <c r="B15131" i="1"/>
  <c r="A15131" i="1"/>
  <c r="F15130" i="1"/>
  <c r="E15130" i="1"/>
  <c r="D15130" i="1"/>
  <c r="C15130" i="1"/>
  <c r="B15130" i="1"/>
  <c r="A15130" i="1"/>
  <c r="F15129" i="1"/>
  <c r="E15129" i="1"/>
  <c r="D15129" i="1"/>
  <c r="C15129" i="1"/>
  <c r="B15129" i="1"/>
  <c r="A15129" i="1"/>
  <c r="F15128" i="1"/>
  <c r="E15128" i="1"/>
  <c r="D15128" i="1"/>
  <c r="C15128" i="1"/>
  <c r="B15128" i="1"/>
  <c r="A15128" i="1"/>
  <c r="F15127" i="1"/>
  <c r="E15127" i="1"/>
  <c r="D15127" i="1"/>
  <c r="C15127" i="1"/>
  <c r="B15127" i="1"/>
  <c r="A15127" i="1"/>
  <c r="F15126" i="1"/>
  <c r="E15126" i="1"/>
  <c r="D15126" i="1"/>
  <c r="C15126" i="1"/>
  <c r="B15126" i="1"/>
  <c r="A15126" i="1"/>
  <c r="F15125" i="1"/>
  <c r="E15125" i="1"/>
  <c r="D15125" i="1"/>
  <c r="C15125" i="1"/>
  <c r="B15125" i="1"/>
  <c r="A15125" i="1"/>
  <c r="F15124" i="1"/>
  <c r="E15124" i="1"/>
  <c r="D15124" i="1"/>
  <c r="C15124" i="1"/>
  <c r="B15124" i="1"/>
  <c r="A15124" i="1"/>
  <c r="F15123" i="1"/>
  <c r="E15123" i="1"/>
  <c r="D15123" i="1"/>
  <c r="C15123" i="1"/>
  <c r="B15123" i="1"/>
  <c r="A15123" i="1"/>
  <c r="F15122" i="1"/>
  <c r="E15122" i="1"/>
  <c r="D15122" i="1"/>
  <c r="C15122" i="1"/>
  <c r="B15122" i="1"/>
  <c r="A15122" i="1"/>
  <c r="F15121" i="1"/>
  <c r="E15121" i="1"/>
  <c r="D15121" i="1"/>
  <c r="C15121" i="1"/>
  <c r="B15121" i="1"/>
  <c r="A15121" i="1"/>
  <c r="F15120" i="1"/>
  <c r="E15120" i="1"/>
  <c r="D15120" i="1"/>
  <c r="C15120" i="1"/>
  <c r="B15120" i="1"/>
  <c r="A15120" i="1"/>
  <c r="F15119" i="1"/>
  <c r="E15119" i="1"/>
  <c r="D15119" i="1"/>
  <c r="C15119" i="1"/>
  <c r="B15119" i="1"/>
  <c r="A15119" i="1"/>
  <c r="F15118" i="1"/>
  <c r="E15118" i="1"/>
  <c r="D15118" i="1"/>
  <c r="C15118" i="1"/>
  <c r="B15118" i="1"/>
  <c r="A15118" i="1"/>
  <c r="F15117" i="1"/>
  <c r="E15117" i="1"/>
  <c r="D15117" i="1"/>
  <c r="C15117" i="1"/>
  <c r="B15117" i="1"/>
  <c r="A15117" i="1"/>
  <c r="F15116" i="1"/>
  <c r="E15116" i="1"/>
  <c r="D15116" i="1"/>
  <c r="C15116" i="1"/>
  <c r="B15116" i="1"/>
  <c r="A15116" i="1"/>
  <c r="F15115" i="1"/>
  <c r="E15115" i="1"/>
  <c r="D15115" i="1"/>
  <c r="C15115" i="1"/>
  <c r="B15115" i="1"/>
  <c r="A15115" i="1"/>
  <c r="F15114" i="1"/>
  <c r="E15114" i="1"/>
  <c r="D15114" i="1"/>
  <c r="C15114" i="1"/>
  <c r="B15114" i="1"/>
  <c r="A15114" i="1"/>
  <c r="F15113" i="1"/>
  <c r="E15113" i="1"/>
  <c r="D15113" i="1"/>
  <c r="C15113" i="1"/>
  <c r="B15113" i="1"/>
  <c r="A15113" i="1"/>
  <c r="F15112" i="1"/>
  <c r="E15112" i="1"/>
  <c r="D15112" i="1"/>
  <c r="C15112" i="1"/>
  <c r="B15112" i="1"/>
  <c r="A15112" i="1"/>
  <c r="F15111" i="1"/>
  <c r="E15111" i="1"/>
  <c r="D15111" i="1"/>
  <c r="C15111" i="1"/>
  <c r="B15111" i="1"/>
  <c r="A15111" i="1"/>
  <c r="F15110" i="1"/>
  <c r="E15110" i="1"/>
  <c r="D15110" i="1"/>
  <c r="C15110" i="1"/>
  <c r="B15110" i="1"/>
  <c r="A15110" i="1"/>
  <c r="F15109" i="1"/>
  <c r="E15109" i="1"/>
  <c r="D15109" i="1"/>
  <c r="C15109" i="1"/>
  <c r="B15109" i="1"/>
  <c r="A15109" i="1"/>
  <c r="F15108" i="1"/>
  <c r="E15108" i="1"/>
  <c r="D15108" i="1"/>
  <c r="C15108" i="1"/>
  <c r="B15108" i="1"/>
  <c r="A15108" i="1"/>
  <c r="F15107" i="1"/>
  <c r="E15107" i="1"/>
  <c r="D15107" i="1"/>
  <c r="C15107" i="1"/>
  <c r="B15107" i="1"/>
  <c r="A15107" i="1"/>
  <c r="F15106" i="1"/>
  <c r="E15106" i="1"/>
  <c r="D15106" i="1"/>
  <c r="C15106" i="1"/>
  <c r="B15106" i="1"/>
  <c r="A15106" i="1"/>
  <c r="F15105" i="1"/>
  <c r="E15105" i="1"/>
  <c r="D15105" i="1"/>
  <c r="C15105" i="1"/>
  <c r="B15105" i="1"/>
  <c r="A15105" i="1"/>
  <c r="F15104" i="1"/>
  <c r="E15104" i="1"/>
  <c r="D15104" i="1"/>
  <c r="C15104" i="1"/>
  <c r="B15104" i="1"/>
  <c r="A15104" i="1"/>
  <c r="F15103" i="1"/>
  <c r="E15103" i="1"/>
  <c r="D15103" i="1"/>
  <c r="C15103" i="1"/>
  <c r="B15103" i="1"/>
  <c r="A15103" i="1"/>
  <c r="F15102" i="1"/>
  <c r="E15102" i="1"/>
  <c r="D15102" i="1"/>
  <c r="C15102" i="1"/>
  <c r="B15102" i="1"/>
  <c r="A15102" i="1"/>
  <c r="F15101" i="1"/>
  <c r="E15101" i="1"/>
  <c r="D15101" i="1"/>
  <c r="C15101" i="1"/>
  <c r="B15101" i="1"/>
  <c r="A15101" i="1"/>
  <c r="F15100" i="1"/>
  <c r="E15100" i="1"/>
  <c r="D15100" i="1"/>
  <c r="C15100" i="1"/>
  <c r="B15100" i="1"/>
  <c r="A15100" i="1"/>
  <c r="F15099" i="1"/>
  <c r="E15099" i="1"/>
  <c r="D15099" i="1"/>
  <c r="C15099" i="1"/>
  <c r="B15099" i="1"/>
  <c r="A15099" i="1"/>
  <c r="F15098" i="1"/>
  <c r="E15098" i="1"/>
  <c r="D15098" i="1"/>
  <c r="C15098" i="1"/>
  <c r="B15098" i="1"/>
  <c r="A15098" i="1"/>
  <c r="F15097" i="1"/>
  <c r="E15097" i="1"/>
  <c r="D15097" i="1"/>
  <c r="C15097" i="1"/>
  <c r="B15097" i="1"/>
  <c r="A15097" i="1"/>
  <c r="F15096" i="1"/>
  <c r="E15096" i="1"/>
  <c r="D15096" i="1"/>
  <c r="C15096" i="1"/>
  <c r="B15096" i="1"/>
  <c r="A15096" i="1"/>
  <c r="F15095" i="1"/>
  <c r="E15095" i="1"/>
  <c r="D15095" i="1"/>
  <c r="C15095" i="1"/>
  <c r="B15095" i="1"/>
  <c r="A15095" i="1"/>
  <c r="F15094" i="1"/>
  <c r="E15094" i="1"/>
  <c r="D15094" i="1"/>
  <c r="C15094" i="1"/>
  <c r="B15094" i="1"/>
  <c r="A15094" i="1"/>
  <c r="F15093" i="1"/>
  <c r="E15093" i="1"/>
  <c r="D15093" i="1"/>
  <c r="C15093" i="1"/>
  <c r="B15093" i="1"/>
  <c r="A15093" i="1"/>
  <c r="F15092" i="1"/>
  <c r="E15092" i="1"/>
  <c r="D15092" i="1"/>
  <c r="C15092" i="1"/>
  <c r="B15092" i="1"/>
  <c r="A15092" i="1"/>
  <c r="F15091" i="1"/>
  <c r="E15091" i="1"/>
  <c r="D15091" i="1"/>
  <c r="C15091" i="1"/>
  <c r="B15091" i="1"/>
  <c r="A15091" i="1"/>
  <c r="F15090" i="1"/>
  <c r="E15090" i="1"/>
  <c r="D15090" i="1"/>
  <c r="C15090" i="1"/>
  <c r="B15090" i="1"/>
  <c r="A15090" i="1"/>
  <c r="F15089" i="1"/>
  <c r="E15089" i="1"/>
  <c r="D15089" i="1"/>
  <c r="C15089" i="1"/>
  <c r="B15089" i="1"/>
  <c r="A15089" i="1"/>
  <c r="F15088" i="1"/>
  <c r="E15088" i="1"/>
  <c r="D15088" i="1"/>
  <c r="C15088" i="1"/>
  <c r="B15088" i="1"/>
  <c r="A15088" i="1"/>
  <c r="F15087" i="1"/>
  <c r="E15087" i="1"/>
  <c r="D15087" i="1"/>
  <c r="C15087" i="1"/>
  <c r="B15087" i="1"/>
  <c r="A15087" i="1"/>
  <c r="F15086" i="1"/>
  <c r="E15086" i="1"/>
  <c r="D15086" i="1"/>
  <c r="C15086" i="1"/>
  <c r="B15086" i="1"/>
  <c r="A15086" i="1"/>
  <c r="F15085" i="1"/>
  <c r="E15085" i="1"/>
  <c r="D15085" i="1"/>
  <c r="C15085" i="1"/>
  <c r="B15085" i="1"/>
  <c r="A15085" i="1"/>
  <c r="F15084" i="1"/>
  <c r="E15084" i="1"/>
  <c r="D15084" i="1"/>
  <c r="C15084" i="1"/>
  <c r="B15084" i="1"/>
  <c r="A15084" i="1"/>
  <c r="F15083" i="1"/>
  <c r="E15083" i="1"/>
  <c r="D15083" i="1"/>
  <c r="C15083" i="1"/>
  <c r="B15083" i="1"/>
  <c r="A15083" i="1"/>
  <c r="F15082" i="1"/>
  <c r="E15082" i="1"/>
  <c r="D15082" i="1"/>
  <c r="C15082" i="1"/>
  <c r="B15082" i="1"/>
  <c r="A15082" i="1"/>
  <c r="F15081" i="1"/>
  <c r="E15081" i="1"/>
  <c r="D15081" i="1"/>
  <c r="C15081" i="1"/>
  <c r="B15081" i="1"/>
  <c r="A15081" i="1"/>
  <c r="F15080" i="1"/>
  <c r="E15080" i="1"/>
  <c r="D15080" i="1"/>
  <c r="C15080" i="1"/>
  <c r="B15080" i="1"/>
  <c r="A15080" i="1"/>
  <c r="F15079" i="1"/>
  <c r="E15079" i="1"/>
  <c r="D15079" i="1"/>
  <c r="C15079" i="1"/>
  <c r="B15079" i="1"/>
  <c r="A15079" i="1"/>
  <c r="F15078" i="1"/>
  <c r="E15078" i="1"/>
  <c r="D15078" i="1"/>
  <c r="C15078" i="1"/>
  <c r="B15078" i="1"/>
  <c r="A15078" i="1"/>
  <c r="F15077" i="1"/>
  <c r="E15077" i="1"/>
  <c r="D15077" i="1"/>
  <c r="C15077" i="1"/>
  <c r="B15077" i="1"/>
  <c r="A15077" i="1"/>
  <c r="F15076" i="1"/>
  <c r="E15076" i="1"/>
  <c r="D15076" i="1"/>
  <c r="C15076" i="1"/>
  <c r="B15076" i="1"/>
  <c r="A15076" i="1"/>
  <c r="F15075" i="1"/>
  <c r="E15075" i="1"/>
  <c r="D15075" i="1"/>
  <c r="C15075" i="1"/>
  <c r="B15075" i="1"/>
  <c r="A15075" i="1"/>
  <c r="F15074" i="1"/>
  <c r="E15074" i="1"/>
  <c r="D15074" i="1"/>
  <c r="C15074" i="1"/>
  <c r="B15074" i="1"/>
  <c r="A15074" i="1"/>
  <c r="F15073" i="1"/>
  <c r="E15073" i="1"/>
  <c r="D15073" i="1"/>
  <c r="C15073" i="1"/>
  <c r="B15073" i="1"/>
  <c r="A15073" i="1"/>
  <c r="F15072" i="1"/>
  <c r="E15072" i="1"/>
  <c r="D15072" i="1"/>
  <c r="C15072" i="1"/>
  <c r="B15072" i="1"/>
  <c r="A15072" i="1"/>
  <c r="F15071" i="1"/>
  <c r="E15071" i="1"/>
  <c r="D15071" i="1"/>
  <c r="C15071" i="1"/>
  <c r="B15071" i="1"/>
  <c r="A15071" i="1"/>
  <c r="F15070" i="1"/>
  <c r="E15070" i="1"/>
  <c r="D15070" i="1"/>
  <c r="C15070" i="1"/>
  <c r="B15070" i="1"/>
  <c r="A15070" i="1"/>
  <c r="F15069" i="1"/>
  <c r="E15069" i="1"/>
  <c r="D15069" i="1"/>
  <c r="C15069" i="1"/>
  <c r="B15069" i="1"/>
  <c r="A15069" i="1"/>
  <c r="F15068" i="1"/>
  <c r="E15068" i="1"/>
  <c r="D15068" i="1"/>
  <c r="C15068" i="1"/>
  <c r="B15068" i="1"/>
  <c r="A15068" i="1"/>
  <c r="F15067" i="1"/>
  <c r="E15067" i="1"/>
  <c r="D15067" i="1"/>
  <c r="C15067" i="1"/>
  <c r="B15067" i="1"/>
  <c r="A15067" i="1"/>
  <c r="F15066" i="1"/>
  <c r="E15066" i="1"/>
  <c r="D15066" i="1"/>
  <c r="C15066" i="1"/>
  <c r="B15066" i="1"/>
  <c r="A15066" i="1"/>
  <c r="F15065" i="1"/>
  <c r="E15065" i="1"/>
  <c r="D15065" i="1"/>
  <c r="C15065" i="1"/>
  <c r="B15065" i="1"/>
  <c r="A15065" i="1"/>
  <c r="F15064" i="1"/>
  <c r="E15064" i="1"/>
  <c r="D15064" i="1"/>
  <c r="C15064" i="1"/>
  <c r="B15064" i="1"/>
  <c r="A15064" i="1"/>
  <c r="F15063" i="1"/>
  <c r="E15063" i="1"/>
  <c r="D15063" i="1"/>
  <c r="C15063" i="1"/>
  <c r="B15063" i="1"/>
  <c r="A15063" i="1"/>
  <c r="F15062" i="1"/>
  <c r="E15062" i="1"/>
  <c r="D15062" i="1"/>
  <c r="C15062" i="1"/>
  <c r="B15062" i="1"/>
  <c r="A15062" i="1"/>
  <c r="F15061" i="1"/>
  <c r="E15061" i="1"/>
  <c r="D15061" i="1"/>
  <c r="C15061" i="1"/>
  <c r="B15061" i="1"/>
  <c r="A15061" i="1"/>
  <c r="F15060" i="1"/>
  <c r="E15060" i="1"/>
  <c r="D15060" i="1"/>
  <c r="C15060" i="1"/>
  <c r="B15060" i="1"/>
  <c r="A15060" i="1"/>
  <c r="F15059" i="1"/>
  <c r="E15059" i="1"/>
  <c r="D15059" i="1"/>
  <c r="C15059" i="1"/>
  <c r="B15059" i="1"/>
  <c r="A15059" i="1"/>
  <c r="F15058" i="1"/>
  <c r="E15058" i="1"/>
  <c r="D15058" i="1"/>
  <c r="C15058" i="1"/>
  <c r="B15058" i="1"/>
  <c r="A15058" i="1"/>
  <c r="F15057" i="1"/>
  <c r="E15057" i="1"/>
  <c r="D15057" i="1"/>
  <c r="C15057" i="1"/>
  <c r="B15057" i="1"/>
  <c r="A15057" i="1"/>
  <c r="F15056" i="1"/>
  <c r="E15056" i="1"/>
  <c r="D15056" i="1"/>
  <c r="C15056" i="1"/>
  <c r="B15056" i="1"/>
  <c r="A15056" i="1"/>
  <c r="F15055" i="1"/>
  <c r="E15055" i="1"/>
  <c r="D15055" i="1"/>
  <c r="C15055" i="1"/>
  <c r="B15055" i="1"/>
  <c r="A15055" i="1"/>
  <c r="F15054" i="1"/>
  <c r="E15054" i="1"/>
  <c r="D15054" i="1"/>
  <c r="C15054" i="1"/>
  <c r="B15054" i="1"/>
  <c r="A15054" i="1"/>
  <c r="F15053" i="1"/>
  <c r="E15053" i="1"/>
  <c r="D15053" i="1"/>
  <c r="C15053" i="1"/>
  <c r="B15053" i="1"/>
  <c r="A15053" i="1"/>
  <c r="F15052" i="1"/>
  <c r="E15052" i="1"/>
  <c r="D15052" i="1"/>
  <c r="C15052" i="1"/>
  <c r="B15052" i="1"/>
  <c r="A15052" i="1"/>
  <c r="F15051" i="1"/>
  <c r="E15051" i="1"/>
  <c r="D15051" i="1"/>
  <c r="C15051" i="1"/>
  <c r="B15051" i="1"/>
  <c r="A15051" i="1"/>
  <c r="F15050" i="1"/>
  <c r="E15050" i="1"/>
  <c r="D15050" i="1"/>
  <c r="C15050" i="1"/>
  <c r="B15050" i="1"/>
  <c r="A15050" i="1"/>
  <c r="F15049" i="1"/>
  <c r="E15049" i="1"/>
  <c r="D15049" i="1"/>
  <c r="C15049" i="1"/>
  <c r="B15049" i="1"/>
  <c r="A15049" i="1"/>
  <c r="F15048" i="1"/>
  <c r="E15048" i="1"/>
  <c r="D15048" i="1"/>
  <c r="C15048" i="1"/>
  <c r="B15048" i="1"/>
  <c r="A15048" i="1"/>
  <c r="F15047" i="1"/>
  <c r="E15047" i="1"/>
  <c r="D15047" i="1"/>
  <c r="C15047" i="1"/>
  <c r="B15047" i="1"/>
  <c r="A15047" i="1"/>
  <c r="F15046" i="1"/>
  <c r="E15046" i="1"/>
  <c r="D15046" i="1"/>
  <c r="C15046" i="1"/>
  <c r="B15046" i="1"/>
  <c r="A15046" i="1"/>
  <c r="F15045" i="1"/>
  <c r="E15045" i="1"/>
  <c r="D15045" i="1"/>
  <c r="C15045" i="1"/>
  <c r="B15045" i="1"/>
  <c r="A15045" i="1"/>
  <c r="F15044" i="1"/>
  <c r="E15044" i="1"/>
  <c r="D15044" i="1"/>
  <c r="C15044" i="1"/>
  <c r="B15044" i="1"/>
  <c r="A15044" i="1"/>
  <c r="F15043" i="1"/>
  <c r="E15043" i="1"/>
  <c r="D15043" i="1"/>
  <c r="C15043" i="1"/>
  <c r="B15043" i="1"/>
  <c r="A15043" i="1"/>
  <c r="F15042" i="1"/>
  <c r="E15042" i="1"/>
  <c r="D15042" i="1"/>
  <c r="C15042" i="1"/>
  <c r="B15042" i="1"/>
  <c r="A15042" i="1"/>
  <c r="F15041" i="1"/>
  <c r="E15041" i="1"/>
  <c r="D15041" i="1"/>
  <c r="C15041" i="1"/>
  <c r="B15041" i="1"/>
  <c r="A15041" i="1"/>
  <c r="F15040" i="1"/>
  <c r="E15040" i="1"/>
  <c r="D15040" i="1"/>
  <c r="C15040" i="1"/>
  <c r="B15040" i="1"/>
  <c r="A15040" i="1"/>
  <c r="F15039" i="1"/>
  <c r="E15039" i="1"/>
  <c r="D15039" i="1"/>
  <c r="C15039" i="1"/>
  <c r="B15039" i="1"/>
  <c r="A15039" i="1"/>
  <c r="F15038" i="1"/>
  <c r="E15038" i="1"/>
  <c r="D15038" i="1"/>
  <c r="C15038" i="1"/>
  <c r="B15038" i="1"/>
  <c r="A15038" i="1"/>
  <c r="F15037" i="1"/>
  <c r="E15037" i="1"/>
  <c r="D15037" i="1"/>
  <c r="C15037" i="1"/>
  <c r="B15037" i="1"/>
  <c r="A15037" i="1"/>
  <c r="F15036" i="1"/>
  <c r="E15036" i="1"/>
  <c r="D15036" i="1"/>
  <c r="C15036" i="1"/>
  <c r="B15036" i="1"/>
  <c r="A15036" i="1"/>
  <c r="F15035" i="1"/>
  <c r="E15035" i="1"/>
  <c r="D15035" i="1"/>
  <c r="C15035" i="1"/>
  <c r="B15035" i="1"/>
  <c r="A15035" i="1"/>
  <c r="F15034" i="1"/>
  <c r="E15034" i="1"/>
  <c r="D15034" i="1"/>
  <c r="C15034" i="1"/>
  <c r="B15034" i="1"/>
  <c r="A15034" i="1"/>
  <c r="F15033" i="1"/>
  <c r="E15033" i="1"/>
  <c r="D15033" i="1"/>
  <c r="C15033" i="1"/>
  <c r="B15033" i="1"/>
  <c r="A15033" i="1"/>
  <c r="F15032" i="1"/>
  <c r="E15032" i="1"/>
  <c r="D15032" i="1"/>
  <c r="C15032" i="1"/>
  <c r="B15032" i="1"/>
  <c r="A15032" i="1"/>
  <c r="F15031" i="1"/>
  <c r="E15031" i="1"/>
  <c r="D15031" i="1"/>
  <c r="C15031" i="1"/>
  <c r="B15031" i="1"/>
  <c r="A15031" i="1"/>
  <c r="F15030" i="1"/>
  <c r="E15030" i="1"/>
  <c r="D15030" i="1"/>
  <c r="C15030" i="1"/>
  <c r="B15030" i="1"/>
  <c r="A15030" i="1"/>
  <c r="F15029" i="1"/>
  <c r="E15029" i="1"/>
  <c r="D15029" i="1"/>
  <c r="C15029" i="1"/>
  <c r="B15029" i="1"/>
  <c r="A15029" i="1"/>
  <c r="F15028" i="1"/>
  <c r="E15028" i="1"/>
  <c r="D15028" i="1"/>
  <c r="C15028" i="1"/>
  <c r="B15028" i="1"/>
  <c r="A15028" i="1"/>
  <c r="F15027" i="1"/>
  <c r="E15027" i="1"/>
  <c r="D15027" i="1"/>
  <c r="C15027" i="1"/>
  <c r="B15027" i="1"/>
  <c r="A15027" i="1"/>
  <c r="F15026" i="1"/>
  <c r="E15026" i="1"/>
  <c r="D15026" i="1"/>
  <c r="C15026" i="1"/>
  <c r="B15026" i="1"/>
  <c r="A15026" i="1"/>
  <c r="F15025" i="1"/>
  <c r="E15025" i="1"/>
  <c r="D15025" i="1"/>
  <c r="C15025" i="1"/>
  <c r="B15025" i="1"/>
  <c r="A15025" i="1"/>
  <c r="F15024" i="1"/>
  <c r="E15024" i="1"/>
  <c r="D15024" i="1"/>
  <c r="C15024" i="1"/>
  <c r="B15024" i="1"/>
  <c r="A15024" i="1"/>
  <c r="F15023" i="1"/>
  <c r="E15023" i="1"/>
  <c r="D15023" i="1"/>
  <c r="C15023" i="1"/>
  <c r="B15023" i="1"/>
  <c r="A15023" i="1"/>
  <c r="F15022" i="1"/>
  <c r="E15022" i="1"/>
  <c r="D15022" i="1"/>
  <c r="C15022" i="1"/>
  <c r="B15022" i="1"/>
  <c r="A15022" i="1"/>
  <c r="F15021" i="1"/>
  <c r="E15021" i="1"/>
  <c r="D15021" i="1"/>
  <c r="C15021" i="1"/>
  <c r="B15021" i="1"/>
  <c r="A15021" i="1"/>
  <c r="F15020" i="1"/>
  <c r="E15020" i="1"/>
  <c r="D15020" i="1"/>
  <c r="C15020" i="1"/>
  <c r="B15020" i="1"/>
  <c r="A15020" i="1"/>
  <c r="F15019" i="1"/>
  <c r="E15019" i="1"/>
  <c r="D15019" i="1"/>
  <c r="C15019" i="1"/>
  <c r="B15019" i="1"/>
  <c r="A15019" i="1"/>
  <c r="F15018" i="1"/>
  <c r="E15018" i="1"/>
  <c r="D15018" i="1"/>
  <c r="C15018" i="1"/>
  <c r="B15018" i="1"/>
  <c r="A15018" i="1"/>
  <c r="F15017" i="1"/>
  <c r="E15017" i="1"/>
  <c r="D15017" i="1"/>
  <c r="C15017" i="1"/>
  <c r="B15017" i="1"/>
  <c r="A15017" i="1"/>
  <c r="F15016" i="1"/>
  <c r="E15016" i="1"/>
  <c r="D15016" i="1"/>
  <c r="C15016" i="1"/>
  <c r="B15016" i="1"/>
  <c r="A15016" i="1"/>
  <c r="F15015" i="1"/>
  <c r="E15015" i="1"/>
  <c r="D15015" i="1"/>
  <c r="C15015" i="1"/>
  <c r="B15015" i="1"/>
  <c r="A15015" i="1"/>
  <c r="F15014" i="1"/>
  <c r="E15014" i="1"/>
  <c r="D15014" i="1"/>
  <c r="C15014" i="1"/>
  <c r="B15014" i="1"/>
  <c r="A15014" i="1"/>
  <c r="F15013" i="1"/>
  <c r="E15013" i="1"/>
  <c r="D15013" i="1"/>
  <c r="C15013" i="1"/>
  <c r="B15013" i="1"/>
  <c r="A15013" i="1"/>
  <c r="F15012" i="1"/>
  <c r="E15012" i="1"/>
  <c r="D15012" i="1"/>
  <c r="C15012" i="1"/>
  <c r="B15012" i="1"/>
  <c r="A15012" i="1"/>
  <c r="F15011" i="1"/>
  <c r="E15011" i="1"/>
  <c r="D15011" i="1"/>
  <c r="C15011" i="1"/>
  <c r="B15011" i="1"/>
  <c r="A15011" i="1"/>
  <c r="F15010" i="1"/>
  <c r="E15010" i="1"/>
  <c r="D15010" i="1"/>
  <c r="C15010" i="1"/>
  <c r="B15010" i="1"/>
  <c r="A15010" i="1"/>
  <c r="F15009" i="1"/>
  <c r="E15009" i="1"/>
  <c r="D15009" i="1"/>
  <c r="C15009" i="1"/>
  <c r="B15009" i="1"/>
  <c r="A15009" i="1"/>
  <c r="F15008" i="1"/>
  <c r="E15008" i="1"/>
  <c r="D15008" i="1"/>
  <c r="C15008" i="1"/>
  <c r="B15008" i="1"/>
  <c r="A15008" i="1"/>
  <c r="F15007" i="1"/>
  <c r="E15007" i="1"/>
  <c r="D15007" i="1"/>
  <c r="C15007" i="1"/>
  <c r="B15007" i="1"/>
  <c r="A15007" i="1"/>
  <c r="F15006" i="1"/>
  <c r="E15006" i="1"/>
  <c r="D15006" i="1"/>
  <c r="C15006" i="1"/>
  <c r="B15006" i="1"/>
  <c r="A15006" i="1"/>
  <c r="F15005" i="1"/>
  <c r="E15005" i="1"/>
  <c r="D15005" i="1"/>
  <c r="C15005" i="1"/>
  <c r="B15005" i="1"/>
  <c r="A15005" i="1"/>
  <c r="F15004" i="1"/>
  <c r="E15004" i="1"/>
  <c r="D15004" i="1"/>
  <c r="C15004" i="1"/>
  <c r="B15004" i="1"/>
  <c r="A15004" i="1"/>
  <c r="F15003" i="1"/>
  <c r="E15003" i="1"/>
  <c r="D15003" i="1"/>
  <c r="C15003" i="1"/>
  <c r="B15003" i="1"/>
  <c r="A15003" i="1"/>
  <c r="F15002" i="1"/>
  <c r="E15002" i="1"/>
  <c r="D15002" i="1"/>
  <c r="C15002" i="1"/>
  <c r="B15002" i="1"/>
  <c r="A15002" i="1"/>
  <c r="F15001" i="1"/>
  <c r="E15001" i="1"/>
  <c r="D15001" i="1"/>
  <c r="C15001" i="1"/>
  <c r="B15001" i="1"/>
  <c r="A15001" i="1"/>
  <c r="F15000" i="1"/>
  <c r="E15000" i="1"/>
  <c r="D15000" i="1"/>
  <c r="C15000" i="1"/>
  <c r="B15000" i="1"/>
  <c r="A15000" i="1"/>
  <c r="F14999" i="1"/>
  <c r="E14999" i="1"/>
  <c r="D14999" i="1"/>
  <c r="C14999" i="1"/>
  <c r="B14999" i="1"/>
  <c r="A14999" i="1"/>
  <c r="F14998" i="1"/>
  <c r="E14998" i="1"/>
  <c r="D14998" i="1"/>
  <c r="C14998" i="1"/>
  <c r="B14998" i="1"/>
  <c r="A14998" i="1"/>
  <c r="F14997" i="1"/>
  <c r="E14997" i="1"/>
  <c r="D14997" i="1"/>
  <c r="C14997" i="1"/>
  <c r="B14997" i="1"/>
  <c r="A14997" i="1"/>
  <c r="F14996" i="1"/>
  <c r="E14996" i="1"/>
  <c r="D14996" i="1"/>
  <c r="C14996" i="1"/>
  <c r="B14996" i="1"/>
  <c r="A14996" i="1"/>
  <c r="F14995" i="1"/>
  <c r="E14995" i="1"/>
  <c r="D14995" i="1"/>
  <c r="C14995" i="1"/>
  <c r="B14995" i="1"/>
  <c r="A14995" i="1"/>
  <c r="F14994" i="1"/>
  <c r="E14994" i="1"/>
  <c r="D14994" i="1"/>
  <c r="C14994" i="1"/>
  <c r="B14994" i="1"/>
  <c r="A14994" i="1"/>
  <c r="F14993" i="1"/>
  <c r="E14993" i="1"/>
  <c r="D14993" i="1"/>
  <c r="C14993" i="1"/>
  <c r="B14993" i="1"/>
  <c r="A14993" i="1"/>
  <c r="F14992" i="1"/>
  <c r="E14992" i="1"/>
  <c r="D14992" i="1"/>
  <c r="C14992" i="1"/>
  <c r="B14992" i="1"/>
  <c r="A14992" i="1"/>
  <c r="F14991" i="1"/>
  <c r="E14991" i="1"/>
  <c r="D14991" i="1"/>
  <c r="C14991" i="1"/>
  <c r="B14991" i="1"/>
  <c r="A14991" i="1"/>
  <c r="F14990" i="1"/>
  <c r="E14990" i="1"/>
  <c r="D14990" i="1"/>
  <c r="C14990" i="1"/>
  <c r="B14990" i="1"/>
  <c r="A14990" i="1"/>
  <c r="F14989" i="1"/>
  <c r="E14989" i="1"/>
  <c r="D14989" i="1"/>
  <c r="C14989" i="1"/>
  <c r="B14989" i="1"/>
  <c r="A14989" i="1"/>
  <c r="F14988" i="1"/>
  <c r="E14988" i="1"/>
  <c r="D14988" i="1"/>
  <c r="C14988" i="1"/>
  <c r="B14988" i="1"/>
  <c r="A14988" i="1"/>
  <c r="F14987" i="1"/>
  <c r="E14987" i="1"/>
  <c r="D14987" i="1"/>
  <c r="C14987" i="1"/>
  <c r="B14987" i="1"/>
  <c r="A14987" i="1"/>
  <c r="F14986" i="1"/>
  <c r="E14986" i="1"/>
  <c r="D14986" i="1"/>
  <c r="C14986" i="1"/>
  <c r="B14986" i="1"/>
  <c r="A14986" i="1"/>
  <c r="F14985" i="1"/>
  <c r="E14985" i="1"/>
  <c r="D14985" i="1"/>
  <c r="C14985" i="1"/>
  <c r="B14985" i="1"/>
  <c r="A14985" i="1"/>
  <c r="F14984" i="1"/>
  <c r="E14984" i="1"/>
  <c r="D14984" i="1"/>
  <c r="C14984" i="1"/>
  <c r="B14984" i="1"/>
  <c r="A14984" i="1"/>
  <c r="F14983" i="1"/>
  <c r="E14983" i="1"/>
  <c r="D14983" i="1"/>
  <c r="C14983" i="1"/>
  <c r="B14983" i="1"/>
  <c r="A14983" i="1"/>
  <c r="F14982" i="1"/>
  <c r="E14982" i="1"/>
  <c r="D14982" i="1"/>
  <c r="C14982" i="1"/>
  <c r="B14982" i="1"/>
  <c r="A14982" i="1"/>
  <c r="F14981" i="1"/>
  <c r="E14981" i="1"/>
  <c r="D14981" i="1"/>
  <c r="C14981" i="1"/>
  <c r="B14981" i="1"/>
  <c r="A14981" i="1"/>
  <c r="F14980" i="1"/>
  <c r="E14980" i="1"/>
  <c r="D14980" i="1"/>
  <c r="C14980" i="1"/>
  <c r="B14980" i="1"/>
  <c r="A14980" i="1"/>
  <c r="F14979" i="1"/>
  <c r="E14979" i="1"/>
  <c r="D14979" i="1"/>
  <c r="C14979" i="1"/>
  <c r="B14979" i="1"/>
  <c r="A14979" i="1"/>
  <c r="F14978" i="1"/>
  <c r="E14978" i="1"/>
  <c r="D14978" i="1"/>
  <c r="C14978" i="1"/>
  <c r="B14978" i="1"/>
  <c r="A14978" i="1"/>
  <c r="F14977" i="1"/>
  <c r="E14977" i="1"/>
  <c r="D14977" i="1"/>
  <c r="C14977" i="1"/>
  <c r="B14977" i="1"/>
  <c r="A14977" i="1"/>
  <c r="F14976" i="1"/>
  <c r="E14976" i="1"/>
  <c r="D14976" i="1"/>
  <c r="C14976" i="1"/>
  <c r="B14976" i="1"/>
  <c r="A14976" i="1"/>
  <c r="F14975" i="1"/>
  <c r="E14975" i="1"/>
  <c r="D14975" i="1"/>
  <c r="C14975" i="1"/>
  <c r="B14975" i="1"/>
  <c r="A14975" i="1"/>
  <c r="F14974" i="1"/>
  <c r="E14974" i="1"/>
  <c r="D14974" i="1"/>
  <c r="C14974" i="1"/>
  <c r="B14974" i="1"/>
  <c r="A14974" i="1"/>
  <c r="F14973" i="1"/>
  <c r="E14973" i="1"/>
  <c r="D14973" i="1"/>
  <c r="C14973" i="1"/>
  <c r="B14973" i="1"/>
  <c r="A14973" i="1"/>
  <c r="F14972" i="1"/>
  <c r="E14972" i="1"/>
  <c r="D14972" i="1"/>
  <c r="C14972" i="1"/>
  <c r="B14972" i="1"/>
  <c r="A14972" i="1"/>
  <c r="F14971" i="1"/>
  <c r="E14971" i="1"/>
  <c r="D14971" i="1"/>
  <c r="C14971" i="1"/>
  <c r="B14971" i="1"/>
  <c r="A14971" i="1"/>
  <c r="F14970" i="1"/>
  <c r="E14970" i="1"/>
  <c r="D14970" i="1"/>
  <c r="C14970" i="1"/>
  <c r="B14970" i="1"/>
  <c r="A14970" i="1"/>
  <c r="F14969" i="1"/>
  <c r="E14969" i="1"/>
  <c r="D14969" i="1"/>
  <c r="C14969" i="1"/>
  <c r="B14969" i="1"/>
  <c r="A14969" i="1"/>
  <c r="F14968" i="1"/>
  <c r="E14968" i="1"/>
  <c r="D14968" i="1"/>
  <c r="C14968" i="1"/>
  <c r="B14968" i="1"/>
  <c r="A14968" i="1"/>
  <c r="F14967" i="1"/>
  <c r="E14967" i="1"/>
  <c r="D14967" i="1"/>
  <c r="C14967" i="1"/>
  <c r="B14967" i="1"/>
  <c r="A14967" i="1"/>
  <c r="F14966" i="1"/>
  <c r="E14966" i="1"/>
  <c r="D14966" i="1"/>
  <c r="C14966" i="1"/>
  <c r="B14966" i="1"/>
  <c r="A14966" i="1"/>
  <c r="F14965" i="1"/>
  <c r="E14965" i="1"/>
  <c r="D14965" i="1"/>
  <c r="C14965" i="1"/>
  <c r="B14965" i="1"/>
  <c r="A14965" i="1"/>
  <c r="F14964" i="1"/>
  <c r="E14964" i="1"/>
  <c r="D14964" i="1"/>
  <c r="C14964" i="1"/>
  <c r="B14964" i="1"/>
  <c r="A14964" i="1"/>
  <c r="F14963" i="1"/>
  <c r="E14963" i="1"/>
  <c r="D14963" i="1"/>
  <c r="C14963" i="1"/>
  <c r="B14963" i="1"/>
  <c r="A14963" i="1"/>
  <c r="F14962" i="1"/>
  <c r="E14962" i="1"/>
  <c r="D14962" i="1"/>
  <c r="C14962" i="1"/>
  <c r="B14962" i="1"/>
  <c r="A14962" i="1"/>
  <c r="F14961" i="1"/>
  <c r="E14961" i="1"/>
  <c r="D14961" i="1"/>
  <c r="C14961" i="1"/>
  <c r="B14961" i="1"/>
  <c r="A14961" i="1"/>
  <c r="F14960" i="1"/>
  <c r="E14960" i="1"/>
  <c r="D14960" i="1"/>
  <c r="C14960" i="1"/>
  <c r="B14960" i="1"/>
  <c r="A14960" i="1"/>
  <c r="F14959" i="1"/>
  <c r="E14959" i="1"/>
  <c r="D14959" i="1"/>
  <c r="C14959" i="1"/>
  <c r="B14959" i="1"/>
  <c r="A14959" i="1"/>
  <c r="F14958" i="1"/>
  <c r="E14958" i="1"/>
  <c r="D14958" i="1"/>
  <c r="C14958" i="1"/>
  <c r="B14958" i="1"/>
  <c r="A14958" i="1"/>
  <c r="F14957" i="1"/>
  <c r="E14957" i="1"/>
  <c r="D14957" i="1"/>
  <c r="C14957" i="1"/>
  <c r="B14957" i="1"/>
  <c r="A14957" i="1"/>
  <c r="F14956" i="1"/>
  <c r="E14956" i="1"/>
  <c r="D14956" i="1"/>
  <c r="C14956" i="1"/>
  <c r="B14956" i="1"/>
  <c r="A14956" i="1"/>
  <c r="F14955" i="1"/>
  <c r="E14955" i="1"/>
  <c r="D14955" i="1"/>
  <c r="C14955" i="1"/>
  <c r="B14955" i="1"/>
  <c r="A14955" i="1"/>
  <c r="F14954" i="1"/>
  <c r="E14954" i="1"/>
  <c r="D14954" i="1"/>
  <c r="C14954" i="1"/>
  <c r="B14954" i="1"/>
  <c r="A14954" i="1"/>
  <c r="F14953" i="1"/>
  <c r="E14953" i="1"/>
  <c r="D14953" i="1"/>
  <c r="C14953" i="1"/>
  <c r="B14953" i="1"/>
  <c r="A14953" i="1"/>
  <c r="F14952" i="1"/>
  <c r="E14952" i="1"/>
  <c r="D14952" i="1"/>
  <c r="C14952" i="1"/>
  <c r="B14952" i="1"/>
  <c r="A14952" i="1"/>
  <c r="F14951" i="1"/>
  <c r="E14951" i="1"/>
  <c r="D14951" i="1"/>
  <c r="C14951" i="1"/>
  <c r="B14951" i="1"/>
  <c r="A14951" i="1"/>
  <c r="F14950" i="1"/>
  <c r="E14950" i="1"/>
  <c r="D14950" i="1"/>
  <c r="C14950" i="1"/>
  <c r="B14950" i="1"/>
  <c r="A14950" i="1"/>
  <c r="F14949" i="1"/>
  <c r="E14949" i="1"/>
  <c r="D14949" i="1"/>
  <c r="C14949" i="1"/>
  <c r="B14949" i="1"/>
  <c r="A14949" i="1"/>
  <c r="F14948" i="1"/>
  <c r="E14948" i="1"/>
  <c r="D14948" i="1"/>
  <c r="C14948" i="1"/>
  <c r="B14948" i="1"/>
  <c r="A14948" i="1"/>
  <c r="F14947" i="1"/>
  <c r="E14947" i="1"/>
  <c r="D14947" i="1"/>
  <c r="C14947" i="1"/>
  <c r="B14947" i="1"/>
  <c r="A14947" i="1"/>
  <c r="F14946" i="1"/>
  <c r="E14946" i="1"/>
  <c r="D14946" i="1"/>
  <c r="C14946" i="1"/>
  <c r="B14946" i="1"/>
  <c r="A14946" i="1"/>
  <c r="F14945" i="1"/>
  <c r="E14945" i="1"/>
  <c r="D14945" i="1"/>
  <c r="C14945" i="1"/>
  <c r="B14945" i="1"/>
  <c r="A14945" i="1"/>
  <c r="F14944" i="1"/>
  <c r="E14944" i="1"/>
  <c r="D14944" i="1"/>
  <c r="C14944" i="1"/>
  <c r="B14944" i="1"/>
  <c r="A14944" i="1"/>
  <c r="F14943" i="1"/>
  <c r="E14943" i="1"/>
  <c r="D14943" i="1"/>
  <c r="C14943" i="1"/>
  <c r="B14943" i="1"/>
  <c r="A14943" i="1"/>
  <c r="F14942" i="1"/>
  <c r="E14942" i="1"/>
  <c r="D14942" i="1"/>
  <c r="C14942" i="1"/>
  <c r="B14942" i="1"/>
  <c r="A14942" i="1"/>
  <c r="F14941" i="1"/>
  <c r="E14941" i="1"/>
  <c r="D14941" i="1"/>
  <c r="C14941" i="1"/>
  <c r="B14941" i="1"/>
  <c r="A14941" i="1"/>
  <c r="F14940" i="1"/>
  <c r="E14940" i="1"/>
  <c r="D14940" i="1"/>
  <c r="C14940" i="1"/>
  <c r="B14940" i="1"/>
  <c r="A14940" i="1"/>
  <c r="F14939" i="1"/>
  <c r="E14939" i="1"/>
  <c r="D14939" i="1"/>
  <c r="C14939" i="1"/>
  <c r="B14939" i="1"/>
  <c r="A14939" i="1"/>
  <c r="F14938" i="1"/>
  <c r="E14938" i="1"/>
  <c r="D14938" i="1"/>
  <c r="C14938" i="1"/>
  <c r="B14938" i="1"/>
  <c r="A14938" i="1"/>
  <c r="F14937" i="1"/>
  <c r="E14937" i="1"/>
  <c r="D14937" i="1"/>
  <c r="C14937" i="1"/>
  <c r="B14937" i="1"/>
  <c r="A14937" i="1"/>
  <c r="F14936" i="1"/>
  <c r="E14936" i="1"/>
  <c r="D14936" i="1"/>
  <c r="C14936" i="1"/>
  <c r="B14936" i="1"/>
  <c r="A14936" i="1"/>
  <c r="F14935" i="1"/>
  <c r="E14935" i="1"/>
  <c r="D14935" i="1"/>
  <c r="C14935" i="1"/>
  <c r="B14935" i="1"/>
  <c r="A14935" i="1"/>
  <c r="F14934" i="1"/>
  <c r="E14934" i="1"/>
  <c r="D14934" i="1"/>
  <c r="C14934" i="1"/>
  <c r="B14934" i="1"/>
  <c r="A14934" i="1"/>
  <c r="F14933" i="1"/>
  <c r="E14933" i="1"/>
  <c r="D14933" i="1"/>
  <c r="C14933" i="1"/>
  <c r="B14933" i="1"/>
  <c r="A14933" i="1"/>
  <c r="F14932" i="1"/>
  <c r="E14932" i="1"/>
  <c r="D14932" i="1"/>
  <c r="C14932" i="1"/>
  <c r="B14932" i="1"/>
  <c r="A14932" i="1"/>
  <c r="F14931" i="1"/>
  <c r="E14931" i="1"/>
  <c r="D14931" i="1"/>
  <c r="C14931" i="1"/>
  <c r="B14931" i="1"/>
  <c r="A14931" i="1"/>
  <c r="F14930" i="1"/>
  <c r="E14930" i="1"/>
  <c r="D14930" i="1"/>
  <c r="C14930" i="1"/>
  <c r="B14930" i="1"/>
  <c r="A14930" i="1"/>
  <c r="F14929" i="1"/>
  <c r="E14929" i="1"/>
  <c r="D14929" i="1"/>
  <c r="C14929" i="1"/>
  <c r="B14929" i="1"/>
  <c r="A14929" i="1"/>
  <c r="F14928" i="1"/>
  <c r="E14928" i="1"/>
  <c r="D14928" i="1"/>
  <c r="C14928" i="1"/>
  <c r="B14928" i="1"/>
  <c r="A14928" i="1"/>
  <c r="F14927" i="1"/>
  <c r="E14927" i="1"/>
  <c r="D14927" i="1"/>
  <c r="C14927" i="1"/>
  <c r="B14927" i="1"/>
  <c r="A14927" i="1"/>
  <c r="F14926" i="1"/>
  <c r="E14926" i="1"/>
  <c r="D14926" i="1"/>
  <c r="C14926" i="1"/>
  <c r="B14926" i="1"/>
  <c r="A14926" i="1"/>
  <c r="F14925" i="1"/>
  <c r="E14925" i="1"/>
  <c r="D14925" i="1"/>
  <c r="C14925" i="1"/>
  <c r="B14925" i="1"/>
  <c r="A14925" i="1"/>
  <c r="F14924" i="1"/>
  <c r="E14924" i="1"/>
  <c r="D14924" i="1"/>
  <c r="C14924" i="1"/>
  <c r="B14924" i="1"/>
  <c r="A14924" i="1"/>
  <c r="F14923" i="1"/>
  <c r="E14923" i="1"/>
  <c r="D14923" i="1"/>
  <c r="C14923" i="1"/>
  <c r="B14923" i="1"/>
  <c r="A14923" i="1"/>
  <c r="F14922" i="1"/>
  <c r="E14922" i="1"/>
  <c r="D14922" i="1"/>
  <c r="C14922" i="1"/>
  <c r="B14922" i="1"/>
  <c r="A14922" i="1"/>
  <c r="F14921" i="1"/>
  <c r="E14921" i="1"/>
  <c r="D14921" i="1"/>
  <c r="C14921" i="1"/>
  <c r="B14921" i="1"/>
  <c r="A14921" i="1"/>
  <c r="F14920" i="1"/>
  <c r="E14920" i="1"/>
  <c r="D14920" i="1"/>
  <c r="C14920" i="1"/>
  <c r="B14920" i="1"/>
  <c r="A14920" i="1"/>
  <c r="F14919" i="1"/>
  <c r="E14919" i="1"/>
  <c r="D14919" i="1"/>
  <c r="C14919" i="1"/>
  <c r="B14919" i="1"/>
  <c r="A14919" i="1"/>
  <c r="F14918" i="1"/>
  <c r="E14918" i="1"/>
  <c r="D14918" i="1"/>
  <c r="C14918" i="1"/>
  <c r="B14918" i="1"/>
  <c r="A14918" i="1"/>
  <c r="F14917" i="1"/>
  <c r="E14917" i="1"/>
  <c r="D14917" i="1"/>
  <c r="C14917" i="1"/>
  <c r="B14917" i="1"/>
  <c r="A14917" i="1"/>
  <c r="F14916" i="1"/>
  <c r="E14916" i="1"/>
  <c r="D14916" i="1"/>
  <c r="C14916" i="1"/>
  <c r="B14916" i="1"/>
  <c r="A14916" i="1"/>
  <c r="F14915" i="1"/>
  <c r="E14915" i="1"/>
  <c r="D14915" i="1"/>
  <c r="C14915" i="1"/>
  <c r="B14915" i="1"/>
  <c r="A14915" i="1"/>
  <c r="F14914" i="1"/>
  <c r="E14914" i="1"/>
  <c r="D14914" i="1"/>
  <c r="C14914" i="1"/>
  <c r="B14914" i="1"/>
  <c r="A14914" i="1"/>
  <c r="F14913" i="1"/>
  <c r="E14913" i="1"/>
  <c r="D14913" i="1"/>
  <c r="C14913" i="1"/>
  <c r="B14913" i="1"/>
  <c r="A14913" i="1"/>
  <c r="F14912" i="1"/>
  <c r="E14912" i="1"/>
  <c r="D14912" i="1"/>
  <c r="C14912" i="1"/>
  <c r="B14912" i="1"/>
  <c r="A14912" i="1"/>
  <c r="F14911" i="1"/>
  <c r="E14911" i="1"/>
  <c r="D14911" i="1"/>
  <c r="C14911" i="1"/>
  <c r="B14911" i="1"/>
  <c r="A14911" i="1"/>
  <c r="F14910" i="1"/>
  <c r="E14910" i="1"/>
  <c r="D14910" i="1"/>
  <c r="C14910" i="1"/>
  <c r="B14910" i="1"/>
  <c r="A14910" i="1"/>
  <c r="F14909" i="1"/>
  <c r="E14909" i="1"/>
  <c r="D14909" i="1"/>
  <c r="C14909" i="1"/>
  <c r="B14909" i="1"/>
  <c r="A14909" i="1"/>
  <c r="F14908" i="1"/>
  <c r="E14908" i="1"/>
  <c r="D14908" i="1"/>
  <c r="C14908" i="1"/>
  <c r="B14908" i="1"/>
  <c r="A14908" i="1"/>
  <c r="F14907" i="1"/>
  <c r="E14907" i="1"/>
  <c r="D14907" i="1"/>
  <c r="C14907" i="1"/>
  <c r="B14907" i="1"/>
  <c r="A14907" i="1"/>
  <c r="F14906" i="1"/>
  <c r="E14906" i="1"/>
  <c r="D14906" i="1"/>
  <c r="C14906" i="1"/>
  <c r="B14906" i="1"/>
  <c r="A14906" i="1"/>
  <c r="F14905" i="1"/>
  <c r="E14905" i="1"/>
  <c r="D14905" i="1"/>
  <c r="C14905" i="1"/>
  <c r="B14905" i="1"/>
  <c r="A14905" i="1"/>
  <c r="F14904" i="1"/>
  <c r="E14904" i="1"/>
  <c r="D14904" i="1"/>
  <c r="C14904" i="1"/>
  <c r="B14904" i="1"/>
  <c r="A14904" i="1"/>
  <c r="F14903" i="1"/>
  <c r="E14903" i="1"/>
  <c r="D14903" i="1"/>
  <c r="C14903" i="1"/>
  <c r="B14903" i="1"/>
  <c r="A14903" i="1"/>
  <c r="F14902" i="1"/>
  <c r="E14902" i="1"/>
  <c r="D14902" i="1"/>
  <c r="C14902" i="1"/>
  <c r="B14902" i="1"/>
  <c r="A14902" i="1"/>
  <c r="F14901" i="1"/>
  <c r="E14901" i="1"/>
  <c r="D14901" i="1"/>
  <c r="C14901" i="1"/>
  <c r="B14901" i="1"/>
  <c r="A14901" i="1"/>
  <c r="F14900" i="1"/>
  <c r="E14900" i="1"/>
  <c r="D14900" i="1"/>
  <c r="C14900" i="1"/>
  <c r="B14900" i="1"/>
  <c r="A14900" i="1"/>
  <c r="F14899" i="1"/>
  <c r="E14899" i="1"/>
  <c r="D14899" i="1"/>
  <c r="C14899" i="1"/>
  <c r="B14899" i="1"/>
  <c r="A14899" i="1"/>
  <c r="F14898" i="1"/>
  <c r="E14898" i="1"/>
  <c r="D14898" i="1"/>
  <c r="C14898" i="1"/>
  <c r="B14898" i="1"/>
  <c r="A14898" i="1"/>
  <c r="F14897" i="1"/>
  <c r="E14897" i="1"/>
  <c r="D14897" i="1"/>
  <c r="C14897" i="1"/>
  <c r="B14897" i="1"/>
  <c r="A14897" i="1"/>
  <c r="F14896" i="1"/>
  <c r="E14896" i="1"/>
  <c r="D14896" i="1"/>
  <c r="C14896" i="1"/>
  <c r="B14896" i="1"/>
  <c r="A14896" i="1"/>
  <c r="F14895" i="1"/>
  <c r="E14895" i="1"/>
  <c r="D14895" i="1"/>
  <c r="C14895" i="1"/>
  <c r="B14895" i="1"/>
  <c r="A14895" i="1"/>
  <c r="F14894" i="1"/>
  <c r="E14894" i="1"/>
  <c r="D14894" i="1"/>
  <c r="C14894" i="1"/>
  <c r="B14894" i="1"/>
  <c r="A14894" i="1"/>
  <c r="F14893" i="1"/>
  <c r="E14893" i="1"/>
  <c r="D14893" i="1"/>
  <c r="C14893" i="1"/>
  <c r="B14893" i="1"/>
  <c r="A14893" i="1"/>
  <c r="F14892" i="1"/>
  <c r="E14892" i="1"/>
  <c r="D14892" i="1"/>
  <c r="C14892" i="1"/>
  <c r="B14892" i="1"/>
  <c r="A14892" i="1"/>
  <c r="F14891" i="1"/>
  <c r="E14891" i="1"/>
  <c r="D14891" i="1"/>
  <c r="C14891" i="1"/>
  <c r="B14891" i="1"/>
  <c r="A14891" i="1"/>
  <c r="F14890" i="1"/>
  <c r="E14890" i="1"/>
  <c r="D14890" i="1"/>
  <c r="C14890" i="1"/>
  <c r="B14890" i="1"/>
  <c r="A14890" i="1"/>
  <c r="F14889" i="1"/>
  <c r="E14889" i="1"/>
  <c r="D14889" i="1"/>
  <c r="C14889" i="1"/>
  <c r="B14889" i="1"/>
  <c r="A14889" i="1"/>
  <c r="F14888" i="1"/>
  <c r="E14888" i="1"/>
  <c r="D14888" i="1"/>
  <c r="C14888" i="1"/>
  <c r="B14888" i="1"/>
  <c r="A14888" i="1"/>
  <c r="F14887" i="1"/>
  <c r="E14887" i="1"/>
  <c r="D14887" i="1"/>
  <c r="C14887" i="1"/>
  <c r="B14887" i="1"/>
  <c r="A14887" i="1"/>
  <c r="F14886" i="1"/>
  <c r="E14886" i="1"/>
  <c r="D14886" i="1"/>
  <c r="C14886" i="1"/>
  <c r="B14886" i="1"/>
  <c r="A14886" i="1"/>
  <c r="F14885" i="1"/>
  <c r="E14885" i="1"/>
  <c r="D14885" i="1"/>
  <c r="C14885" i="1"/>
  <c r="B14885" i="1"/>
  <c r="A14885" i="1"/>
  <c r="F14884" i="1"/>
  <c r="E14884" i="1"/>
  <c r="D14884" i="1"/>
  <c r="C14884" i="1"/>
  <c r="B14884" i="1"/>
  <c r="A14884" i="1"/>
  <c r="F14883" i="1"/>
  <c r="E14883" i="1"/>
  <c r="D14883" i="1"/>
  <c r="C14883" i="1"/>
  <c r="B14883" i="1"/>
  <c r="A14883" i="1"/>
  <c r="F14882" i="1"/>
  <c r="E14882" i="1"/>
  <c r="D14882" i="1"/>
  <c r="C14882" i="1"/>
  <c r="B14882" i="1"/>
  <c r="A14882" i="1"/>
  <c r="F14881" i="1"/>
  <c r="E14881" i="1"/>
  <c r="D14881" i="1"/>
  <c r="C14881" i="1"/>
  <c r="B14881" i="1"/>
  <c r="A14881" i="1"/>
  <c r="F14880" i="1"/>
  <c r="E14880" i="1"/>
  <c r="D14880" i="1"/>
  <c r="C14880" i="1"/>
  <c r="B14880" i="1"/>
  <c r="A14880" i="1"/>
  <c r="F14879" i="1"/>
  <c r="E14879" i="1"/>
  <c r="D14879" i="1"/>
  <c r="C14879" i="1"/>
  <c r="B14879" i="1"/>
  <c r="A14879" i="1"/>
  <c r="F14878" i="1"/>
  <c r="E14878" i="1"/>
  <c r="D14878" i="1"/>
  <c r="C14878" i="1"/>
  <c r="B14878" i="1"/>
  <c r="A14878" i="1"/>
  <c r="F14877" i="1"/>
  <c r="E14877" i="1"/>
  <c r="D14877" i="1"/>
  <c r="C14877" i="1"/>
  <c r="B14877" i="1"/>
  <c r="A14877" i="1"/>
  <c r="F14876" i="1"/>
  <c r="E14876" i="1"/>
  <c r="D14876" i="1"/>
  <c r="C14876" i="1"/>
  <c r="B14876" i="1"/>
  <c r="A14876" i="1"/>
  <c r="F14875" i="1"/>
  <c r="E14875" i="1"/>
  <c r="D14875" i="1"/>
  <c r="C14875" i="1"/>
  <c r="B14875" i="1"/>
  <c r="A14875" i="1"/>
  <c r="F14874" i="1"/>
  <c r="E14874" i="1"/>
  <c r="D14874" i="1"/>
  <c r="C14874" i="1"/>
  <c r="B14874" i="1"/>
  <c r="A14874" i="1"/>
  <c r="F14873" i="1"/>
  <c r="E14873" i="1"/>
  <c r="D14873" i="1"/>
  <c r="C14873" i="1"/>
  <c r="B14873" i="1"/>
  <c r="A14873" i="1"/>
  <c r="F14872" i="1"/>
  <c r="E14872" i="1"/>
  <c r="D14872" i="1"/>
  <c r="C14872" i="1"/>
  <c r="B14872" i="1"/>
  <c r="A14872" i="1"/>
  <c r="F14871" i="1"/>
  <c r="E14871" i="1"/>
  <c r="D14871" i="1"/>
  <c r="C14871" i="1"/>
  <c r="B14871" i="1"/>
  <c r="A14871" i="1"/>
  <c r="F14870" i="1"/>
  <c r="E14870" i="1"/>
  <c r="D14870" i="1"/>
  <c r="C14870" i="1"/>
  <c r="B14870" i="1"/>
  <c r="A14870" i="1"/>
  <c r="F14869" i="1"/>
  <c r="E14869" i="1"/>
  <c r="D14869" i="1"/>
  <c r="C14869" i="1"/>
  <c r="B14869" i="1"/>
  <c r="A14869" i="1"/>
  <c r="F14868" i="1"/>
  <c r="E14868" i="1"/>
  <c r="D14868" i="1"/>
  <c r="C14868" i="1"/>
  <c r="B14868" i="1"/>
  <c r="A14868" i="1"/>
  <c r="F14867" i="1"/>
  <c r="E14867" i="1"/>
  <c r="D14867" i="1"/>
  <c r="C14867" i="1"/>
  <c r="B14867" i="1"/>
  <c r="A14867" i="1"/>
  <c r="F14866" i="1"/>
  <c r="E14866" i="1"/>
  <c r="D14866" i="1"/>
  <c r="C14866" i="1"/>
  <c r="B14866" i="1"/>
  <c r="A14866" i="1"/>
  <c r="F14865" i="1"/>
  <c r="E14865" i="1"/>
  <c r="D14865" i="1"/>
  <c r="C14865" i="1"/>
  <c r="B14865" i="1"/>
  <c r="A14865" i="1"/>
  <c r="F14864" i="1"/>
  <c r="E14864" i="1"/>
  <c r="D14864" i="1"/>
  <c r="C14864" i="1"/>
  <c r="B14864" i="1"/>
  <c r="A14864" i="1"/>
  <c r="F14863" i="1"/>
  <c r="E14863" i="1"/>
  <c r="D14863" i="1"/>
  <c r="C14863" i="1"/>
  <c r="B14863" i="1"/>
  <c r="A14863" i="1"/>
  <c r="F14862" i="1"/>
  <c r="E14862" i="1"/>
  <c r="D14862" i="1"/>
  <c r="C14862" i="1"/>
  <c r="B14862" i="1"/>
  <c r="A14862" i="1"/>
  <c r="F14861" i="1"/>
  <c r="E14861" i="1"/>
  <c r="D14861" i="1"/>
  <c r="C14861" i="1"/>
  <c r="B14861" i="1"/>
  <c r="A14861" i="1"/>
  <c r="F14860" i="1"/>
  <c r="E14860" i="1"/>
  <c r="D14860" i="1"/>
  <c r="C14860" i="1"/>
  <c r="B14860" i="1"/>
  <c r="A14860" i="1"/>
  <c r="F14859" i="1"/>
  <c r="E14859" i="1"/>
  <c r="D14859" i="1"/>
  <c r="C14859" i="1"/>
  <c r="B14859" i="1"/>
  <c r="A14859" i="1"/>
  <c r="F14858" i="1"/>
  <c r="E14858" i="1"/>
  <c r="D14858" i="1"/>
  <c r="C14858" i="1"/>
  <c r="B14858" i="1"/>
  <c r="A14858" i="1"/>
  <c r="F14857" i="1"/>
  <c r="E14857" i="1"/>
  <c r="D14857" i="1"/>
  <c r="C14857" i="1"/>
  <c r="B14857" i="1"/>
  <c r="A14857" i="1"/>
  <c r="F14856" i="1"/>
  <c r="E14856" i="1"/>
  <c r="D14856" i="1"/>
  <c r="C14856" i="1"/>
  <c r="B14856" i="1"/>
  <c r="A14856" i="1"/>
  <c r="F14855" i="1"/>
  <c r="E14855" i="1"/>
  <c r="D14855" i="1"/>
  <c r="C14855" i="1"/>
  <c r="B14855" i="1"/>
  <c r="A14855" i="1"/>
  <c r="F14854" i="1"/>
  <c r="E14854" i="1"/>
  <c r="D14854" i="1"/>
  <c r="C14854" i="1"/>
  <c r="B14854" i="1"/>
  <c r="A14854" i="1"/>
  <c r="F14853" i="1"/>
  <c r="E14853" i="1"/>
  <c r="D14853" i="1"/>
  <c r="C14853" i="1"/>
  <c r="B14853" i="1"/>
  <c r="A14853" i="1"/>
  <c r="F14852" i="1"/>
  <c r="E14852" i="1"/>
  <c r="D14852" i="1"/>
  <c r="C14852" i="1"/>
  <c r="B14852" i="1"/>
  <c r="A14852" i="1"/>
  <c r="F14851" i="1"/>
  <c r="E14851" i="1"/>
  <c r="D14851" i="1"/>
  <c r="C14851" i="1"/>
  <c r="B14851" i="1"/>
  <c r="A14851" i="1"/>
  <c r="F14850" i="1"/>
  <c r="E14850" i="1"/>
  <c r="D14850" i="1"/>
  <c r="C14850" i="1"/>
  <c r="B14850" i="1"/>
  <c r="A14850" i="1"/>
  <c r="F14849" i="1"/>
  <c r="E14849" i="1"/>
  <c r="D14849" i="1"/>
  <c r="C14849" i="1"/>
  <c r="B14849" i="1"/>
  <c r="A14849" i="1"/>
  <c r="F14848" i="1"/>
  <c r="E14848" i="1"/>
  <c r="D14848" i="1"/>
  <c r="C14848" i="1"/>
  <c r="B14848" i="1"/>
  <c r="A14848" i="1"/>
  <c r="F14847" i="1"/>
  <c r="E14847" i="1"/>
  <c r="D14847" i="1"/>
  <c r="C14847" i="1"/>
  <c r="B14847" i="1"/>
  <c r="A14847" i="1"/>
  <c r="F14846" i="1"/>
  <c r="E14846" i="1"/>
  <c r="D14846" i="1"/>
  <c r="C14846" i="1"/>
  <c r="B14846" i="1"/>
  <c r="A14846" i="1"/>
  <c r="F14845" i="1"/>
  <c r="E14845" i="1"/>
  <c r="D14845" i="1"/>
  <c r="C14845" i="1"/>
  <c r="B14845" i="1"/>
  <c r="A14845" i="1"/>
  <c r="F14844" i="1"/>
  <c r="E14844" i="1"/>
  <c r="D14844" i="1"/>
  <c r="C14844" i="1"/>
  <c r="B14844" i="1"/>
  <c r="A14844" i="1"/>
  <c r="F14843" i="1"/>
  <c r="E14843" i="1"/>
  <c r="D14843" i="1"/>
  <c r="C14843" i="1"/>
  <c r="B14843" i="1"/>
  <c r="A14843" i="1"/>
  <c r="F14842" i="1"/>
  <c r="E14842" i="1"/>
  <c r="D14842" i="1"/>
  <c r="C14842" i="1"/>
  <c r="B14842" i="1"/>
  <c r="A14842" i="1"/>
  <c r="F14841" i="1"/>
  <c r="E14841" i="1"/>
  <c r="D14841" i="1"/>
  <c r="C14841" i="1"/>
  <c r="B14841" i="1"/>
  <c r="A14841" i="1"/>
  <c r="F14840" i="1"/>
  <c r="E14840" i="1"/>
  <c r="D14840" i="1"/>
  <c r="C14840" i="1"/>
  <c r="B14840" i="1"/>
  <c r="A14840" i="1"/>
  <c r="F14839" i="1"/>
  <c r="E14839" i="1"/>
  <c r="D14839" i="1"/>
  <c r="C14839" i="1"/>
  <c r="B14839" i="1"/>
  <c r="A14839" i="1"/>
  <c r="F14838" i="1"/>
  <c r="E14838" i="1"/>
  <c r="D14838" i="1"/>
  <c r="C14838" i="1"/>
  <c r="B14838" i="1"/>
  <c r="A14838" i="1"/>
  <c r="F14837" i="1"/>
  <c r="E14837" i="1"/>
  <c r="D14837" i="1"/>
  <c r="C14837" i="1"/>
  <c r="B14837" i="1"/>
  <c r="A14837" i="1"/>
  <c r="F14836" i="1"/>
  <c r="E14836" i="1"/>
  <c r="D14836" i="1"/>
  <c r="C14836" i="1"/>
  <c r="B14836" i="1"/>
  <c r="A14836" i="1"/>
  <c r="F14835" i="1"/>
  <c r="E14835" i="1"/>
  <c r="D14835" i="1"/>
  <c r="C14835" i="1"/>
  <c r="B14835" i="1"/>
  <c r="A14835" i="1"/>
  <c r="F14834" i="1"/>
  <c r="E14834" i="1"/>
  <c r="D14834" i="1"/>
  <c r="C14834" i="1"/>
  <c r="B14834" i="1"/>
  <c r="A14834" i="1"/>
  <c r="F14833" i="1"/>
  <c r="E14833" i="1"/>
  <c r="D14833" i="1"/>
  <c r="C14833" i="1"/>
  <c r="B14833" i="1"/>
  <c r="A14833" i="1"/>
  <c r="F14832" i="1"/>
  <c r="E14832" i="1"/>
  <c r="D14832" i="1"/>
  <c r="C14832" i="1"/>
  <c r="B14832" i="1"/>
  <c r="A14832" i="1"/>
  <c r="F14831" i="1"/>
  <c r="E14831" i="1"/>
  <c r="D14831" i="1"/>
  <c r="C14831" i="1"/>
  <c r="B14831" i="1"/>
  <c r="A14831" i="1"/>
  <c r="F14830" i="1"/>
  <c r="E14830" i="1"/>
  <c r="D14830" i="1"/>
  <c r="C14830" i="1"/>
  <c r="B14830" i="1"/>
  <c r="A14830" i="1"/>
  <c r="F14829" i="1"/>
  <c r="E14829" i="1"/>
  <c r="D14829" i="1"/>
  <c r="C14829" i="1"/>
  <c r="B14829" i="1"/>
  <c r="A14829" i="1"/>
  <c r="F14828" i="1"/>
  <c r="E14828" i="1"/>
  <c r="D14828" i="1"/>
  <c r="C14828" i="1"/>
  <c r="B14828" i="1"/>
  <c r="A14828" i="1"/>
  <c r="F14827" i="1"/>
  <c r="E14827" i="1"/>
  <c r="D14827" i="1"/>
  <c r="C14827" i="1"/>
  <c r="B14827" i="1"/>
  <c r="A14827" i="1"/>
  <c r="F14826" i="1"/>
  <c r="E14826" i="1"/>
  <c r="D14826" i="1"/>
  <c r="C14826" i="1"/>
  <c r="B14826" i="1"/>
  <c r="A14826" i="1"/>
  <c r="F14825" i="1"/>
  <c r="E14825" i="1"/>
  <c r="D14825" i="1"/>
  <c r="C14825" i="1"/>
  <c r="B14825" i="1"/>
  <c r="A14825" i="1"/>
  <c r="F14824" i="1"/>
  <c r="E14824" i="1"/>
  <c r="D14824" i="1"/>
  <c r="C14824" i="1"/>
  <c r="B14824" i="1"/>
  <c r="A14824" i="1"/>
  <c r="F14823" i="1"/>
  <c r="E14823" i="1"/>
  <c r="D14823" i="1"/>
  <c r="C14823" i="1"/>
  <c r="B14823" i="1"/>
  <c r="A14823" i="1"/>
  <c r="F14822" i="1"/>
  <c r="E14822" i="1"/>
  <c r="D14822" i="1"/>
  <c r="C14822" i="1"/>
  <c r="B14822" i="1"/>
  <c r="A14822" i="1"/>
  <c r="F14821" i="1"/>
  <c r="E14821" i="1"/>
  <c r="D14821" i="1"/>
  <c r="C14821" i="1"/>
  <c r="B14821" i="1"/>
  <c r="A14821" i="1"/>
  <c r="F14820" i="1"/>
  <c r="E14820" i="1"/>
  <c r="D14820" i="1"/>
  <c r="C14820" i="1"/>
  <c r="B14820" i="1"/>
  <c r="A14820" i="1"/>
  <c r="F14819" i="1"/>
  <c r="E14819" i="1"/>
  <c r="D14819" i="1"/>
  <c r="C14819" i="1"/>
  <c r="B14819" i="1"/>
  <c r="A14819" i="1"/>
  <c r="F14818" i="1"/>
  <c r="E14818" i="1"/>
  <c r="D14818" i="1"/>
  <c r="C14818" i="1"/>
  <c r="B14818" i="1"/>
  <c r="A14818" i="1"/>
  <c r="F14817" i="1"/>
  <c r="E14817" i="1"/>
  <c r="D14817" i="1"/>
  <c r="C14817" i="1"/>
  <c r="B14817" i="1"/>
  <c r="A14817" i="1"/>
  <c r="F14816" i="1"/>
  <c r="E14816" i="1"/>
  <c r="D14816" i="1"/>
  <c r="C14816" i="1"/>
  <c r="B14816" i="1"/>
  <c r="A14816" i="1"/>
  <c r="F14815" i="1"/>
  <c r="E14815" i="1"/>
  <c r="D14815" i="1"/>
  <c r="C14815" i="1"/>
  <c r="B14815" i="1"/>
  <c r="A14815" i="1"/>
  <c r="F14814" i="1"/>
  <c r="E14814" i="1"/>
  <c r="D14814" i="1"/>
  <c r="C14814" i="1"/>
  <c r="B14814" i="1"/>
  <c r="A14814" i="1"/>
  <c r="F14813" i="1"/>
  <c r="E14813" i="1"/>
  <c r="D14813" i="1"/>
  <c r="C14813" i="1"/>
  <c r="B14813" i="1"/>
  <c r="A14813" i="1"/>
  <c r="F14812" i="1"/>
  <c r="E14812" i="1"/>
  <c r="D14812" i="1"/>
  <c r="C14812" i="1"/>
  <c r="B14812" i="1"/>
  <c r="A14812" i="1"/>
  <c r="F14811" i="1"/>
  <c r="E14811" i="1"/>
  <c r="D14811" i="1"/>
  <c r="C14811" i="1"/>
  <c r="B14811" i="1"/>
  <c r="A14811" i="1"/>
  <c r="F14810" i="1"/>
  <c r="E14810" i="1"/>
  <c r="D14810" i="1"/>
  <c r="C14810" i="1"/>
  <c r="B14810" i="1"/>
  <c r="A14810" i="1"/>
  <c r="F14809" i="1"/>
  <c r="E14809" i="1"/>
  <c r="D14809" i="1"/>
  <c r="C14809" i="1"/>
  <c r="B14809" i="1"/>
  <c r="A14809" i="1"/>
  <c r="F14808" i="1"/>
  <c r="E14808" i="1"/>
  <c r="D14808" i="1"/>
  <c r="C14808" i="1"/>
  <c r="B14808" i="1"/>
  <c r="A14808" i="1"/>
  <c r="F14807" i="1"/>
  <c r="E14807" i="1"/>
  <c r="D14807" i="1"/>
  <c r="C14807" i="1"/>
  <c r="B14807" i="1"/>
  <c r="A14807" i="1"/>
  <c r="F14806" i="1"/>
  <c r="E14806" i="1"/>
  <c r="D14806" i="1"/>
  <c r="C14806" i="1"/>
  <c r="B14806" i="1"/>
  <c r="A14806" i="1"/>
  <c r="F14805" i="1"/>
  <c r="E14805" i="1"/>
  <c r="D14805" i="1"/>
  <c r="C14805" i="1"/>
  <c r="B14805" i="1"/>
  <c r="A14805" i="1"/>
  <c r="F14804" i="1"/>
  <c r="E14804" i="1"/>
  <c r="D14804" i="1"/>
  <c r="C14804" i="1"/>
  <c r="B14804" i="1"/>
  <c r="A14804" i="1"/>
  <c r="F14803" i="1"/>
  <c r="E14803" i="1"/>
  <c r="D14803" i="1"/>
  <c r="C14803" i="1"/>
  <c r="B14803" i="1"/>
  <c r="A14803" i="1"/>
  <c r="F14802" i="1"/>
  <c r="E14802" i="1"/>
  <c r="D14802" i="1"/>
  <c r="C14802" i="1"/>
  <c r="B14802" i="1"/>
  <c r="A14802" i="1"/>
  <c r="F14801" i="1"/>
  <c r="E14801" i="1"/>
  <c r="D14801" i="1"/>
  <c r="C14801" i="1"/>
  <c r="B14801" i="1"/>
  <c r="A14801" i="1"/>
  <c r="F14800" i="1"/>
  <c r="E14800" i="1"/>
  <c r="D14800" i="1"/>
  <c r="C14800" i="1"/>
  <c r="B14800" i="1"/>
  <c r="A14800" i="1"/>
  <c r="F14799" i="1"/>
  <c r="E14799" i="1"/>
  <c r="D14799" i="1"/>
  <c r="C14799" i="1"/>
  <c r="B14799" i="1"/>
  <c r="A14799" i="1"/>
  <c r="F14798" i="1"/>
  <c r="E14798" i="1"/>
  <c r="D14798" i="1"/>
  <c r="C14798" i="1"/>
  <c r="B14798" i="1"/>
  <c r="A14798" i="1"/>
  <c r="F14797" i="1"/>
  <c r="E14797" i="1"/>
  <c r="D14797" i="1"/>
  <c r="C14797" i="1"/>
  <c r="B14797" i="1"/>
  <c r="A14797" i="1"/>
  <c r="F14796" i="1"/>
  <c r="E14796" i="1"/>
  <c r="D14796" i="1"/>
  <c r="C14796" i="1"/>
  <c r="B14796" i="1"/>
  <c r="A14796" i="1"/>
  <c r="F14795" i="1"/>
  <c r="E14795" i="1"/>
  <c r="D14795" i="1"/>
  <c r="C14795" i="1"/>
  <c r="B14795" i="1"/>
  <c r="A14795" i="1"/>
  <c r="F14794" i="1"/>
  <c r="E14794" i="1"/>
  <c r="D14794" i="1"/>
  <c r="C14794" i="1"/>
  <c r="B14794" i="1"/>
  <c r="A14794" i="1"/>
  <c r="F14793" i="1"/>
  <c r="E14793" i="1"/>
  <c r="D14793" i="1"/>
  <c r="C14793" i="1"/>
  <c r="B14793" i="1"/>
  <c r="A14793" i="1"/>
  <c r="F14792" i="1"/>
  <c r="E14792" i="1"/>
  <c r="D14792" i="1"/>
  <c r="C14792" i="1"/>
  <c r="B14792" i="1"/>
  <c r="A14792" i="1"/>
  <c r="F14791" i="1"/>
  <c r="E14791" i="1"/>
  <c r="D14791" i="1"/>
  <c r="C14791" i="1"/>
  <c r="B14791" i="1"/>
  <c r="A14791" i="1"/>
  <c r="F14790" i="1"/>
  <c r="E14790" i="1"/>
  <c r="D14790" i="1"/>
  <c r="C14790" i="1"/>
  <c r="B14790" i="1"/>
  <c r="A14790" i="1"/>
  <c r="F14789" i="1"/>
  <c r="E14789" i="1"/>
  <c r="D14789" i="1"/>
  <c r="C14789" i="1"/>
  <c r="B14789" i="1"/>
  <c r="A14789" i="1"/>
  <c r="F14788" i="1"/>
  <c r="E14788" i="1"/>
  <c r="D14788" i="1"/>
  <c r="C14788" i="1"/>
  <c r="B14788" i="1"/>
  <c r="A14788" i="1"/>
  <c r="F14787" i="1"/>
  <c r="E14787" i="1"/>
  <c r="D14787" i="1"/>
  <c r="C14787" i="1"/>
  <c r="B14787" i="1"/>
  <c r="A14787" i="1"/>
  <c r="F14786" i="1"/>
  <c r="E14786" i="1"/>
  <c r="D14786" i="1"/>
  <c r="C14786" i="1"/>
  <c r="B14786" i="1"/>
  <c r="A14786" i="1"/>
  <c r="F14785" i="1"/>
  <c r="E14785" i="1"/>
  <c r="D14785" i="1"/>
  <c r="C14785" i="1"/>
  <c r="B14785" i="1"/>
  <c r="A14785" i="1"/>
  <c r="F14784" i="1"/>
  <c r="E14784" i="1"/>
  <c r="D14784" i="1"/>
  <c r="C14784" i="1"/>
  <c r="B14784" i="1"/>
  <c r="A14784" i="1"/>
  <c r="F14783" i="1"/>
  <c r="E14783" i="1"/>
  <c r="D14783" i="1"/>
  <c r="C14783" i="1"/>
  <c r="B14783" i="1"/>
  <c r="A14783" i="1"/>
  <c r="F14782" i="1"/>
  <c r="E14782" i="1"/>
  <c r="D14782" i="1"/>
  <c r="C14782" i="1"/>
  <c r="B14782" i="1"/>
  <c r="A14782" i="1"/>
  <c r="F14781" i="1"/>
  <c r="E14781" i="1"/>
  <c r="D14781" i="1"/>
  <c r="C14781" i="1"/>
  <c r="B14781" i="1"/>
  <c r="A14781" i="1"/>
  <c r="F14780" i="1"/>
  <c r="E14780" i="1"/>
  <c r="D14780" i="1"/>
  <c r="C14780" i="1"/>
  <c r="B14780" i="1"/>
  <c r="A14780" i="1"/>
  <c r="F14779" i="1"/>
  <c r="E14779" i="1"/>
  <c r="D14779" i="1"/>
  <c r="C14779" i="1"/>
  <c r="B14779" i="1"/>
  <c r="A14779" i="1"/>
  <c r="F14778" i="1"/>
  <c r="E14778" i="1"/>
  <c r="D14778" i="1"/>
  <c r="C14778" i="1"/>
  <c r="B14778" i="1"/>
  <c r="A14778" i="1"/>
  <c r="F14777" i="1"/>
  <c r="E14777" i="1"/>
  <c r="D14777" i="1"/>
  <c r="C14777" i="1"/>
  <c r="B14777" i="1"/>
  <c r="A14777" i="1"/>
  <c r="F14776" i="1"/>
  <c r="E14776" i="1"/>
  <c r="D14776" i="1"/>
  <c r="C14776" i="1"/>
  <c r="B14776" i="1"/>
  <c r="A14776" i="1"/>
  <c r="F14775" i="1"/>
  <c r="E14775" i="1"/>
  <c r="D14775" i="1"/>
  <c r="C14775" i="1"/>
  <c r="B14775" i="1"/>
  <c r="A14775" i="1"/>
  <c r="F14774" i="1"/>
  <c r="E14774" i="1"/>
  <c r="D14774" i="1"/>
  <c r="C14774" i="1"/>
  <c r="B14774" i="1"/>
  <c r="A14774" i="1"/>
  <c r="F14773" i="1"/>
  <c r="E14773" i="1"/>
  <c r="D14773" i="1"/>
  <c r="C14773" i="1"/>
  <c r="B14773" i="1"/>
  <c r="A14773" i="1"/>
  <c r="F14772" i="1"/>
  <c r="E14772" i="1"/>
  <c r="D14772" i="1"/>
  <c r="C14772" i="1"/>
  <c r="B14772" i="1"/>
  <c r="A14772" i="1"/>
  <c r="F14771" i="1"/>
  <c r="E14771" i="1"/>
  <c r="D14771" i="1"/>
  <c r="C14771" i="1"/>
  <c r="B14771" i="1"/>
  <c r="A14771" i="1"/>
  <c r="F14770" i="1"/>
  <c r="E14770" i="1"/>
  <c r="D14770" i="1"/>
  <c r="C14770" i="1"/>
  <c r="B14770" i="1"/>
  <c r="A14770" i="1"/>
  <c r="F14769" i="1"/>
  <c r="E14769" i="1"/>
  <c r="D14769" i="1"/>
  <c r="C14769" i="1"/>
  <c r="B14769" i="1"/>
  <c r="A14769" i="1"/>
  <c r="F14768" i="1"/>
  <c r="E14768" i="1"/>
  <c r="D14768" i="1"/>
  <c r="C14768" i="1"/>
  <c r="B14768" i="1"/>
  <c r="A14768" i="1"/>
  <c r="F14767" i="1"/>
  <c r="E14767" i="1"/>
  <c r="D14767" i="1"/>
  <c r="C14767" i="1"/>
  <c r="B14767" i="1"/>
  <c r="A14767" i="1"/>
  <c r="F14766" i="1"/>
  <c r="E14766" i="1"/>
  <c r="D14766" i="1"/>
  <c r="C14766" i="1"/>
  <c r="B14766" i="1"/>
  <c r="A14766" i="1"/>
  <c r="F14765" i="1"/>
  <c r="E14765" i="1"/>
  <c r="D14765" i="1"/>
  <c r="C14765" i="1"/>
  <c r="B14765" i="1"/>
  <c r="A14765" i="1"/>
  <c r="F14764" i="1"/>
  <c r="E14764" i="1"/>
  <c r="D14764" i="1"/>
  <c r="C14764" i="1"/>
  <c r="B14764" i="1"/>
  <c r="A14764" i="1"/>
  <c r="F14763" i="1"/>
  <c r="E14763" i="1"/>
  <c r="D14763" i="1"/>
  <c r="C14763" i="1"/>
  <c r="B14763" i="1"/>
  <c r="A14763" i="1"/>
  <c r="F14762" i="1"/>
  <c r="E14762" i="1"/>
  <c r="D14762" i="1"/>
  <c r="C14762" i="1"/>
  <c r="B14762" i="1"/>
  <c r="A14762" i="1"/>
  <c r="F14761" i="1"/>
  <c r="E14761" i="1"/>
  <c r="D14761" i="1"/>
  <c r="C14761" i="1"/>
  <c r="B14761" i="1"/>
  <c r="A14761" i="1"/>
  <c r="F14760" i="1"/>
  <c r="E14760" i="1"/>
  <c r="D14760" i="1"/>
  <c r="C14760" i="1"/>
  <c r="B14760" i="1"/>
  <c r="A14760" i="1"/>
  <c r="F14759" i="1"/>
  <c r="E14759" i="1"/>
  <c r="D14759" i="1"/>
  <c r="C14759" i="1"/>
  <c r="B14759" i="1"/>
  <c r="A14759" i="1"/>
  <c r="F14758" i="1"/>
  <c r="E14758" i="1"/>
  <c r="D14758" i="1"/>
  <c r="C14758" i="1"/>
  <c r="B14758" i="1"/>
  <c r="A14758" i="1"/>
  <c r="F14757" i="1"/>
  <c r="E14757" i="1"/>
  <c r="D14757" i="1"/>
  <c r="C14757" i="1"/>
  <c r="B14757" i="1"/>
  <c r="A14757" i="1"/>
  <c r="F14756" i="1"/>
  <c r="E14756" i="1"/>
  <c r="D14756" i="1"/>
  <c r="C14756" i="1"/>
  <c r="B14756" i="1"/>
  <c r="A14756" i="1"/>
  <c r="F14755" i="1"/>
  <c r="E14755" i="1"/>
  <c r="D14755" i="1"/>
  <c r="C14755" i="1"/>
  <c r="B14755" i="1"/>
  <c r="A14755" i="1"/>
  <c r="F14754" i="1"/>
  <c r="E14754" i="1"/>
  <c r="D14754" i="1"/>
  <c r="C14754" i="1"/>
  <c r="B14754" i="1"/>
  <c r="A14754" i="1"/>
  <c r="F14753" i="1"/>
  <c r="E14753" i="1"/>
  <c r="D14753" i="1"/>
  <c r="C14753" i="1"/>
  <c r="B14753" i="1"/>
  <c r="A14753" i="1"/>
  <c r="F14752" i="1"/>
  <c r="E14752" i="1"/>
  <c r="D14752" i="1"/>
  <c r="C14752" i="1"/>
  <c r="B14752" i="1"/>
  <c r="A14752" i="1"/>
  <c r="F14751" i="1"/>
  <c r="E14751" i="1"/>
  <c r="D14751" i="1"/>
  <c r="C14751" i="1"/>
  <c r="B14751" i="1"/>
  <c r="A14751" i="1"/>
  <c r="F14750" i="1"/>
  <c r="E14750" i="1"/>
  <c r="D14750" i="1"/>
  <c r="C14750" i="1"/>
  <c r="B14750" i="1"/>
  <c r="A14750" i="1"/>
  <c r="F14749" i="1"/>
  <c r="E14749" i="1"/>
  <c r="D14749" i="1"/>
  <c r="C14749" i="1"/>
  <c r="B14749" i="1"/>
  <c r="A14749" i="1"/>
  <c r="F14748" i="1"/>
  <c r="E14748" i="1"/>
  <c r="D14748" i="1"/>
  <c r="C14748" i="1"/>
  <c r="B14748" i="1"/>
  <c r="A14748" i="1"/>
  <c r="F14747" i="1"/>
  <c r="E14747" i="1"/>
  <c r="D14747" i="1"/>
  <c r="C14747" i="1"/>
  <c r="B14747" i="1"/>
  <c r="A14747" i="1"/>
  <c r="F14746" i="1"/>
  <c r="E14746" i="1"/>
  <c r="D14746" i="1"/>
  <c r="C14746" i="1"/>
  <c r="B14746" i="1"/>
  <c r="A14746" i="1"/>
  <c r="F14745" i="1"/>
  <c r="E14745" i="1"/>
  <c r="D14745" i="1"/>
  <c r="C14745" i="1"/>
  <c r="B14745" i="1"/>
  <c r="A14745" i="1"/>
  <c r="F14744" i="1"/>
  <c r="E14744" i="1"/>
  <c r="D14744" i="1"/>
  <c r="C14744" i="1"/>
  <c r="B14744" i="1"/>
  <c r="A14744" i="1"/>
  <c r="F14743" i="1"/>
  <c r="E14743" i="1"/>
  <c r="D14743" i="1"/>
  <c r="C14743" i="1"/>
  <c r="B14743" i="1"/>
  <c r="A14743" i="1"/>
  <c r="F14742" i="1"/>
  <c r="E14742" i="1"/>
  <c r="D14742" i="1"/>
  <c r="C14742" i="1"/>
  <c r="B14742" i="1"/>
  <c r="A14742" i="1"/>
  <c r="F14741" i="1"/>
  <c r="E14741" i="1"/>
  <c r="D14741" i="1"/>
  <c r="C14741" i="1"/>
  <c r="B14741" i="1"/>
  <c r="A14741" i="1"/>
  <c r="F14740" i="1"/>
  <c r="E14740" i="1"/>
  <c r="D14740" i="1"/>
  <c r="C14740" i="1"/>
  <c r="B14740" i="1"/>
  <c r="A14740" i="1"/>
  <c r="F14739" i="1"/>
  <c r="E14739" i="1"/>
  <c r="D14739" i="1"/>
  <c r="C14739" i="1"/>
  <c r="B14739" i="1"/>
  <c r="A14739" i="1"/>
  <c r="F14738" i="1"/>
  <c r="E14738" i="1"/>
  <c r="D14738" i="1"/>
  <c r="C14738" i="1"/>
  <c r="B14738" i="1"/>
  <c r="A14738" i="1"/>
  <c r="F14737" i="1"/>
  <c r="E14737" i="1"/>
  <c r="D14737" i="1"/>
  <c r="C14737" i="1"/>
  <c r="B14737" i="1"/>
  <c r="A14737" i="1"/>
  <c r="F14736" i="1"/>
  <c r="E14736" i="1"/>
  <c r="D14736" i="1"/>
  <c r="C14736" i="1"/>
  <c r="B14736" i="1"/>
  <c r="A14736" i="1"/>
  <c r="F14735" i="1"/>
  <c r="E14735" i="1"/>
  <c r="D14735" i="1"/>
  <c r="C14735" i="1"/>
  <c r="B14735" i="1"/>
  <c r="A14735" i="1"/>
  <c r="F14734" i="1"/>
  <c r="E14734" i="1"/>
  <c r="D14734" i="1"/>
  <c r="C14734" i="1"/>
  <c r="B14734" i="1"/>
  <c r="A14734" i="1"/>
  <c r="F14733" i="1"/>
  <c r="E14733" i="1"/>
  <c r="D14733" i="1"/>
  <c r="C14733" i="1"/>
  <c r="B14733" i="1"/>
  <c r="A14733" i="1"/>
  <c r="F14732" i="1"/>
  <c r="E14732" i="1"/>
  <c r="D14732" i="1"/>
  <c r="C14732" i="1"/>
  <c r="B14732" i="1"/>
  <c r="A14732" i="1"/>
  <c r="F14731" i="1"/>
  <c r="E14731" i="1"/>
  <c r="D14731" i="1"/>
  <c r="C14731" i="1"/>
  <c r="B14731" i="1"/>
  <c r="A14731" i="1"/>
  <c r="F14730" i="1"/>
  <c r="E14730" i="1"/>
  <c r="D14730" i="1"/>
  <c r="C14730" i="1"/>
  <c r="B14730" i="1"/>
  <c r="A14730" i="1"/>
  <c r="F14729" i="1"/>
  <c r="E14729" i="1"/>
  <c r="D14729" i="1"/>
  <c r="C14729" i="1"/>
  <c r="B14729" i="1"/>
  <c r="A14729" i="1"/>
  <c r="F14728" i="1"/>
  <c r="E14728" i="1"/>
  <c r="D14728" i="1"/>
  <c r="C14728" i="1"/>
  <c r="B14728" i="1"/>
  <c r="A14728" i="1"/>
  <c r="F14727" i="1"/>
  <c r="E14727" i="1"/>
  <c r="D14727" i="1"/>
  <c r="C14727" i="1"/>
  <c r="B14727" i="1"/>
  <c r="A14727" i="1"/>
  <c r="F14726" i="1"/>
  <c r="E14726" i="1"/>
  <c r="D14726" i="1"/>
  <c r="C14726" i="1"/>
  <c r="B14726" i="1"/>
  <c r="A14726" i="1"/>
  <c r="F14725" i="1"/>
  <c r="E14725" i="1"/>
  <c r="D14725" i="1"/>
  <c r="C14725" i="1"/>
  <c r="B14725" i="1"/>
  <c r="A14725" i="1"/>
  <c r="F14724" i="1"/>
  <c r="E14724" i="1"/>
  <c r="D14724" i="1"/>
  <c r="C14724" i="1"/>
  <c r="B14724" i="1"/>
  <c r="A14724" i="1"/>
  <c r="F14723" i="1"/>
  <c r="E14723" i="1"/>
  <c r="D14723" i="1"/>
  <c r="C14723" i="1"/>
  <c r="B14723" i="1"/>
  <c r="A14723" i="1"/>
  <c r="F14722" i="1"/>
  <c r="E14722" i="1"/>
  <c r="D14722" i="1"/>
  <c r="C14722" i="1"/>
  <c r="B14722" i="1"/>
  <c r="A14722" i="1"/>
  <c r="F14721" i="1"/>
  <c r="E14721" i="1"/>
  <c r="D14721" i="1"/>
  <c r="C14721" i="1"/>
  <c r="B14721" i="1"/>
  <c r="A14721" i="1"/>
  <c r="F14720" i="1"/>
  <c r="E14720" i="1"/>
  <c r="D14720" i="1"/>
  <c r="C14720" i="1"/>
  <c r="B14720" i="1"/>
  <c r="A14720" i="1"/>
  <c r="F14719" i="1"/>
  <c r="E14719" i="1"/>
  <c r="D14719" i="1"/>
  <c r="C14719" i="1"/>
  <c r="B14719" i="1"/>
  <c r="A14719" i="1"/>
  <c r="F14718" i="1"/>
  <c r="E14718" i="1"/>
  <c r="D14718" i="1"/>
  <c r="C14718" i="1"/>
  <c r="B14718" i="1"/>
  <c r="A14718" i="1"/>
  <c r="F14717" i="1"/>
  <c r="E14717" i="1"/>
  <c r="D14717" i="1"/>
  <c r="C14717" i="1"/>
  <c r="B14717" i="1"/>
  <c r="A14717" i="1"/>
  <c r="F14716" i="1"/>
  <c r="E14716" i="1"/>
  <c r="D14716" i="1"/>
  <c r="C14716" i="1"/>
  <c r="B14716" i="1"/>
  <c r="A14716" i="1"/>
  <c r="F14715" i="1"/>
  <c r="E14715" i="1"/>
  <c r="D14715" i="1"/>
  <c r="C14715" i="1"/>
  <c r="B14715" i="1"/>
  <c r="A14715" i="1"/>
  <c r="F14714" i="1"/>
  <c r="E14714" i="1"/>
  <c r="D14714" i="1"/>
  <c r="C14714" i="1"/>
  <c r="B14714" i="1"/>
  <c r="A14714" i="1"/>
  <c r="F14713" i="1"/>
  <c r="E14713" i="1"/>
  <c r="D14713" i="1"/>
  <c r="C14713" i="1"/>
  <c r="B14713" i="1"/>
  <c r="A14713" i="1"/>
  <c r="F14712" i="1"/>
  <c r="E14712" i="1"/>
  <c r="D14712" i="1"/>
  <c r="C14712" i="1"/>
  <c r="B14712" i="1"/>
  <c r="A14712" i="1"/>
  <c r="F14711" i="1"/>
  <c r="E14711" i="1"/>
  <c r="D14711" i="1"/>
  <c r="C14711" i="1"/>
  <c r="B14711" i="1"/>
  <c r="A14711" i="1"/>
  <c r="F14710" i="1"/>
  <c r="E14710" i="1"/>
  <c r="D14710" i="1"/>
  <c r="C14710" i="1"/>
  <c r="B14710" i="1"/>
  <c r="A14710" i="1"/>
  <c r="F14709" i="1"/>
  <c r="E14709" i="1"/>
  <c r="D14709" i="1"/>
  <c r="C14709" i="1"/>
  <c r="B14709" i="1"/>
  <c r="A14709" i="1"/>
  <c r="F14708" i="1"/>
  <c r="E14708" i="1"/>
  <c r="D14708" i="1"/>
  <c r="C14708" i="1"/>
  <c r="B14708" i="1"/>
  <c r="A14708" i="1"/>
  <c r="F14707" i="1"/>
  <c r="E14707" i="1"/>
  <c r="D14707" i="1"/>
  <c r="C14707" i="1"/>
  <c r="B14707" i="1"/>
  <c r="A14707" i="1"/>
  <c r="F14706" i="1"/>
  <c r="E14706" i="1"/>
  <c r="D14706" i="1"/>
  <c r="C14706" i="1"/>
  <c r="B14706" i="1"/>
  <c r="A14706" i="1"/>
  <c r="F14705" i="1"/>
  <c r="E14705" i="1"/>
  <c r="D14705" i="1"/>
  <c r="C14705" i="1"/>
  <c r="B14705" i="1"/>
  <c r="A14705" i="1"/>
  <c r="F14704" i="1"/>
  <c r="E14704" i="1"/>
  <c r="D14704" i="1"/>
  <c r="C14704" i="1"/>
  <c r="B14704" i="1"/>
  <c r="A14704" i="1"/>
  <c r="F14703" i="1"/>
  <c r="E14703" i="1"/>
  <c r="D14703" i="1"/>
  <c r="C14703" i="1"/>
  <c r="B14703" i="1"/>
  <c r="A14703" i="1"/>
  <c r="F14702" i="1"/>
  <c r="E14702" i="1"/>
  <c r="D14702" i="1"/>
  <c r="C14702" i="1"/>
  <c r="B14702" i="1"/>
  <c r="A14702" i="1"/>
  <c r="F14701" i="1"/>
  <c r="E14701" i="1"/>
  <c r="D14701" i="1"/>
  <c r="C14701" i="1"/>
  <c r="B14701" i="1"/>
  <c r="A14701" i="1"/>
  <c r="F14700" i="1"/>
  <c r="E14700" i="1"/>
  <c r="D14700" i="1"/>
  <c r="C14700" i="1"/>
  <c r="B14700" i="1"/>
  <c r="A14700" i="1"/>
  <c r="F14699" i="1"/>
  <c r="E14699" i="1"/>
  <c r="D14699" i="1"/>
  <c r="C14699" i="1"/>
  <c r="B14699" i="1"/>
  <c r="A14699" i="1"/>
  <c r="F14698" i="1"/>
  <c r="E14698" i="1"/>
  <c r="D14698" i="1"/>
  <c r="C14698" i="1"/>
  <c r="B14698" i="1"/>
  <c r="A14698" i="1"/>
  <c r="F14697" i="1"/>
  <c r="E14697" i="1"/>
  <c r="D14697" i="1"/>
  <c r="C14697" i="1"/>
  <c r="B14697" i="1"/>
  <c r="A14697" i="1"/>
  <c r="F14696" i="1"/>
  <c r="E14696" i="1"/>
  <c r="D14696" i="1"/>
  <c r="C14696" i="1"/>
  <c r="B14696" i="1"/>
  <c r="A14696" i="1"/>
  <c r="F14695" i="1"/>
  <c r="E14695" i="1"/>
  <c r="D14695" i="1"/>
  <c r="C14695" i="1"/>
  <c r="B14695" i="1"/>
  <c r="A14695" i="1"/>
  <c r="F14694" i="1"/>
  <c r="E14694" i="1"/>
  <c r="D14694" i="1"/>
  <c r="C14694" i="1"/>
  <c r="B14694" i="1"/>
  <c r="A14694" i="1"/>
  <c r="F14693" i="1"/>
  <c r="E14693" i="1"/>
  <c r="D14693" i="1"/>
  <c r="C14693" i="1"/>
  <c r="B14693" i="1"/>
  <c r="A14693" i="1"/>
  <c r="F14692" i="1"/>
  <c r="E14692" i="1"/>
  <c r="D14692" i="1"/>
  <c r="C14692" i="1"/>
  <c r="B14692" i="1"/>
  <c r="A14692" i="1"/>
  <c r="F14691" i="1"/>
  <c r="E14691" i="1"/>
  <c r="D14691" i="1"/>
  <c r="C14691" i="1"/>
  <c r="B14691" i="1"/>
  <c r="A14691" i="1"/>
  <c r="F14690" i="1"/>
  <c r="E14690" i="1"/>
  <c r="D14690" i="1"/>
  <c r="C14690" i="1"/>
  <c r="B14690" i="1"/>
  <c r="A14690" i="1"/>
  <c r="F14689" i="1"/>
  <c r="E14689" i="1"/>
  <c r="D14689" i="1"/>
  <c r="C14689" i="1"/>
  <c r="B14689" i="1"/>
  <c r="A14689" i="1"/>
  <c r="F14688" i="1"/>
  <c r="E14688" i="1"/>
  <c r="D14688" i="1"/>
  <c r="C14688" i="1"/>
  <c r="B14688" i="1"/>
  <c r="A14688" i="1"/>
  <c r="F14687" i="1"/>
  <c r="E14687" i="1"/>
  <c r="D14687" i="1"/>
  <c r="C14687" i="1"/>
  <c r="B14687" i="1"/>
  <c r="A14687" i="1"/>
  <c r="F14686" i="1"/>
  <c r="E14686" i="1"/>
  <c r="D14686" i="1"/>
  <c r="C14686" i="1"/>
  <c r="B14686" i="1"/>
  <c r="A14686" i="1"/>
  <c r="F14685" i="1"/>
  <c r="E14685" i="1"/>
  <c r="D14685" i="1"/>
  <c r="C14685" i="1"/>
  <c r="B14685" i="1"/>
  <c r="A14685" i="1"/>
  <c r="F14684" i="1"/>
  <c r="E14684" i="1"/>
  <c r="D14684" i="1"/>
  <c r="C14684" i="1"/>
  <c r="B14684" i="1"/>
  <c r="A14684" i="1"/>
  <c r="F14683" i="1"/>
  <c r="E14683" i="1"/>
  <c r="D14683" i="1"/>
  <c r="C14683" i="1"/>
  <c r="B14683" i="1"/>
  <c r="A14683" i="1"/>
  <c r="F14682" i="1"/>
  <c r="E14682" i="1"/>
  <c r="D14682" i="1"/>
  <c r="C14682" i="1"/>
  <c r="B14682" i="1"/>
  <c r="A14682" i="1"/>
  <c r="F14681" i="1"/>
  <c r="E14681" i="1"/>
  <c r="D14681" i="1"/>
  <c r="C14681" i="1"/>
  <c r="B14681" i="1"/>
  <c r="A14681" i="1"/>
  <c r="F14680" i="1"/>
  <c r="E14680" i="1"/>
  <c r="D14680" i="1"/>
  <c r="C14680" i="1"/>
  <c r="B14680" i="1"/>
  <c r="A14680" i="1"/>
  <c r="F14679" i="1"/>
  <c r="E14679" i="1"/>
  <c r="D14679" i="1"/>
  <c r="C14679" i="1"/>
  <c r="B14679" i="1"/>
  <c r="A14679" i="1"/>
  <c r="F14678" i="1"/>
  <c r="E14678" i="1"/>
  <c r="D14678" i="1"/>
  <c r="C14678" i="1"/>
  <c r="B14678" i="1"/>
  <c r="A14678" i="1"/>
  <c r="F14677" i="1"/>
  <c r="E14677" i="1"/>
  <c r="D14677" i="1"/>
  <c r="C14677" i="1"/>
  <c r="B14677" i="1"/>
  <c r="A14677" i="1"/>
  <c r="F14676" i="1"/>
  <c r="E14676" i="1"/>
  <c r="D14676" i="1"/>
  <c r="C14676" i="1"/>
  <c r="B14676" i="1"/>
  <c r="A14676" i="1"/>
  <c r="F14675" i="1"/>
  <c r="E14675" i="1"/>
  <c r="D14675" i="1"/>
  <c r="C14675" i="1"/>
  <c r="B14675" i="1"/>
  <c r="A14675" i="1"/>
  <c r="F14674" i="1"/>
  <c r="E14674" i="1"/>
  <c r="D14674" i="1"/>
  <c r="C14674" i="1"/>
  <c r="B14674" i="1"/>
  <c r="A14674" i="1"/>
  <c r="F14673" i="1"/>
  <c r="E14673" i="1"/>
  <c r="D14673" i="1"/>
  <c r="C14673" i="1"/>
  <c r="B14673" i="1"/>
  <c r="A14673" i="1"/>
  <c r="F14672" i="1"/>
  <c r="E14672" i="1"/>
  <c r="D14672" i="1"/>
  <c r="C14672" i="1"/>
  <c r="B14672" i="1"/>
  <c r="A14672" i="1"/>
  <c r="F14671" i="1"/>
  <c r="E14671" i="1"/>
  <c r="D14671" i="1"/>
  <c r="C14671" i="1"/>
  <c r="B14671" i="1"/>
  <c r="A14671" i="1"/>
  <c r="F14670" i="1"/>
  <c r="E14670" i="1"/>
  <c r="D14670" i="1"/>
  <c r="C14670" i="1"/>
  <c r="B14670" i="1"/>
  <c r="A14670" i="1"/>
  <c r="F14669" i="1"/>
  <c r="E14669" i="1"/>
  <c r="D14669" i="1"/>
  <c r="C14669" i="1"/>
  <c r="B14669" i="1"/>
  <c r="A14669" i="1"/>
  <c r="F14668" i="1"/>
  <c r="E14668" i="1"/>
  <c r="D14668" i="1"/>
  <c r="C14668" i="1"/>
  <c r="B14668" i="1"/>
  <c r="A14668" i="1"/>
  <c r="F14667" i="1"/>
  <c r="E14667" i="1"/>
  <c r="D14667" i="1"/>
  <c r="C14667" i="1"/>
  <c r="B14667" i="1"/>
  <c r="A14667" i="1"/>
  <c r="F14666" i="1"/>
  <c r="E14666" i="1"/>
  <c r="D14666" i="1"/>
  <c r="C14666" i="1"/>
  <c r="B14666" i="1"/>
  <c r="A14666" i="1"/>
  <c r="F14665" i="1"/>
  <c r="E14665" i="1"/>
  <c r="D14665" i="1"/>
  <c r="C14665" i="1"/>
  <c r="B14665" i="1"/>
  <c r="A14665" i="1"/>
  <c r="F14664" i="1"/>
  <c r="E14664" i="1"/>
  <c r="D14664" i="1"/>
  <c r="C14664" i="1"/>
  <c r="B14664" i="1"/>
  <c r="A14664" i="1"/>
  <c r="F14663" i="1"/>
  <c r="E14663" i="1"/>
  <c r="D14663" i="1"/>
  <c r="C14663" i="1"/>
  <c r="B14663" i="1"/>
  <c r="A14663" i="1"/>
  <c r="F14662" i="1"/>
  <c r="E14662" i="1"/>
  <c r="D14662" i="1"/>
  <c r="C14662" i="1"/>
  <c r="B14662" i="1"/>
  <c r="A14662" i="1"/>
  <c r="F14661" i="1"/>
  <c r="E14661" i="1"/>
  <c r="D14661" i="1"/>
  <c r="C14661" i="1"/>
  <c r="B14661" i="1"/>
  <c r="A14661" i="1"/>
  <c r="F14660" i="1"/>
  <c r="E14660" i="1"/>
  <c r="D14660" i="1"/>
  <c r="C14660" i="1"/>
  <c r="B14660" i="1"/>
  <c r="A14660" i="1"/>
  <c r="F14659" i="1"/>
  <c r="E14659" i="1"/>
  <c r="D14659" i="1"/>
  <c r="C14659" i="1"/>
  <c r="B14659" i="1"/>
  <c r="A14659" i="1"/>
  <c r="F14658" i="1"/>
  <c r="E14658" i="1"/>
  <c r="D14658" i="1"/>
  <c r="C14658" i="1"/>
  <c r="B14658" i="1"/>
  <c r="A14658" i="1"/>
  <c r="F14657" i="1"/>
  <c r="E14657" i="1"/>
  <c r="D14657" i="1"/>
  <c r="C14657" i="1"/>
  <c r="B14657" i="1"/>
  <c r="A14657" i="1"/>
  <c r="F14656" i="1"/>
  <c r="E14656" i="1"/>
  <c r="D14656" i="1"/>
  <c r="C14656" i="1"/>
  <c r="B14656" i="1"/>
  <c r="A14656" i="1"/>
  <c r="F14655" i="1"/>
  <c r="E14655" i="1"/>
  <c r="D14655" i="1"/>
  <c r="C14655" i="1"/>
  <c r="B14655" i="1"/>
  <c r="A14655" i="1"/>
  <c r="F14654" i="1"/>
  <c r="E14654" i="1"/>
  <c r="D14654" i="1"/>
  <c r="C14654" i="1"/>
  <c r="B14654" i="1"/>
  <c r="A14654" i="1"/>
  <c r="F14653" i="1"/>
  <c r="E14653" i="1"/>
  <c r="D14653" i="1"/>
  <c r="C14653" i="1"/>
  <c r="B14653" i="1"/>
  <c r="A14653" i="1"/>
  <c r="F14652" i="1"/>
  <c r="E14652" i="1"/>
  <c r="D14652" i="1"/>
  <c r="C14652" i="1"/>
  <c r="B14652" i="1"/>
  <c r="A14652" i="1"/>
  <c r="F14651" i="1"/>
  <c r="E14651" i="1"/>
  <c r="D14651" i="1"/>
  <c r="C14651" i="1"/>
  <c r="B14651" i="1"/>
  <c r="A14651" i="1"/>
  <c r="F14650" i="1"/>
  <c r="E14650" i="1"/>
  <c r="D14650" i="1"/>
  <c r="C14650" i="1"/>
  <c r="B14650" i="1"/>
  <c r="A14650" i="1"/>
  <c r="F14649" i="1"/>
  <c r="E14649" i="1"/>
  <c r="D14649" i="1"/>
  <c r="C14649" i="1"/>
  <c r="B14649" i="1"/>
  <c r="A14649" i="1"/>
  <c r="F14648" i="1"/>
  <c r="E14648" i="1"/>
  <c r="D14648" i="1"/>
  <c r="C14648" i="1"/>
  <c r="B14648" i="1"/>
  <c r="A14648" i="1"/>
  <c r="F14647" i="1"/>
  <c r="E14647" i="1"/>
  <c r="D14647" i="1"/>
  <c r="C14647" i="1"/>
  <c r="B14647" i="1"/>
  <c r="A14647" i="1"/>
  <c r="F14646" i="1"/>
  <c r="E14646" i="1"/>
  <c r="D14646" i="1"/>
  <c r="C14646" i="1"/>
  <c r="B14646" i="1"/>
  <c r="A14646" i="1"/>
  <c r="F14645" i="1"/>
  <c r="E14645" i="1"/>
  <c r="D14645" i="1"/>
  <c r="C14645" i="1"/>
  <c r="B14645" i="1"/>
  <c r="A14645" i="1"/>
  <c r="F14644" i="1"/>
  <c r="E14644" i="1"/>
  <c r="D14644" i="1"/>
  <c r="C14644" i="1"/>
  <c r="B14644" i="1"/>
  <c r="A14644" i="1"/>
  <c r="F14643" i="1"/>
  <c r="E14643" i="1"/>
  <c r="D14643" i="1"/>
  <c r="C14643" i="1"/>
  <c r="B14643" i="1"/>
  <c r="A14643" i="1"/>
  <c r="F14642" i="1"/>
  <c r="E14642" i="1"/>
  <c r="D14642" i="1"/>
  <c r="C14642" i="1"/>
  <c r="B14642" i="1"/>
  <c r="A14642" i="1"/>
  <c r="F14641" i="1"/>
  <c r="E14641" i="1"/>
  <c r="D14641" i="1"/>
  <c r="C14641" i="1"/>
  <c r="B14641" i="1"/>
  <c r="A14641" i="1"/>
  <c r="F14640" i="1"/>
  <c r="E14640" i="1"/>
  <c r="D14640" i="1"/>
  <c r="C14640" i="1"/>
  <c r="B14640" i="1"/>
  <c r="A14640" i="1"/>
  <c r="F14639" i="1"/>
  <c r="E14639" i="1"/>
  <c r="D14639" i="1"/>
  <c r="C14639" i="1"/>
  <c r="B14639" i="1"/>
  <c r="A14639" i="1"/>
  <c r="F14638" i="1"/>
  <c r="E14638" i="1"/>
  <c r="D14638" i="1"/>
  <c r="C14638" i="1"/>
  <c r="B14638" i="1"/>
  <c r="A14638" i="1"/>
  <c r="F14637" i="1"/>
  <c r="E14637" i="1"/>
  <c r="D14637" i="1"/>
  <c r="C14637" i="1"/>
  <c r="B14637" i="1"/>
  <c r="A14637" i="1"/>
  <c r="F14636" i="1"/>
  <c r="E14636" i="1"/>
  <c r="D14636" i="1"/>
  <c r="C14636" i="1"/>
  <c r="B14636" i="1"/>
  <c r="A14636" i="1"/>
  <c r="F14635" i="1"/>
  <c r="E14635" i="1"/>
  <c r="D14635" i="1"/>
  <c r="C14635" i="1"/>
  <c r="B14635" i="1"/>
  <c r="A14635" i="1"/>
  <c r="F14634" i="1"/>
  <c r="E14634" i="1"/>
  <c r="D14634" i="1"/>
  <c r="C14634" i="1"/>
  <c r="B14634" i="1"/>
  <c r="A14634" i="1"/>
  <c r="F14633" i="1"/>
  <c r="E14633" i="1"/>
  <c r="D14633" i="1"/>
  <c r="C14633" i="1"/>
  <c r="B14633" i="1"/>
  <c r="A14633" i="1"/>
  <c r="F14632" i="1"/>
  <c r="E14632" i="1"/>
  <c r="D14632" i="1"/>
  <c r="C14632" i="1"/>
  <c r="B14632" i="1"/>
  <c r="A14632" i="1"/>
  <c r="F14631" i="1"/>
  <c r="E14631" i="1"/>
  <c r="D14631" i="1"/>
  <c r="C14631" i="1"/>
  <c r="B14631" i="1"/>
  <c r="A14631" i="1"/>
  <c r="F14630" i="1"/>
  <c r="E14630" i="1"/>
  <c r="D14630" i="1"/>
  <c r="C14630" i="1"/>
  <c r="B14630" i="1"/>
  <c r="A14630" i="1"/>
  <c r="F14629" i="1"/>
  <c r="E14629" i="1"/>
  <c r="D14629" i="1"/>
  <c r="C14629" i="1"/>
  <c r="B14629" i="1"/>
  <c r="A14629" i="1"/>
  <c r="F14628" i="1"/>
  <c r="E14628" i="1"/>
  <c r="D14628" i="1"/>
  <c r="C14628" i="1"/>
  <c r="B14628" i="1"/>
  <c r="A14628" i="1"/>
  <c r="F14627" i="1"/>
  <c r="E14627" i="1"/>
  <c r="D14627" i="1"/>
  <c r="C14627" i="1"/>
  <c r="B14627" i="1"/>
  <c r="A14627" i="1"/>
  <c r="F14626" i="1"/>
  <c r="E14626" i="1"/>
  <c r="D14626" i="1"/>
  <c r="C14626" i="1"/>
  <c r="B14626" i="1"/>
  <c r="A14626" i="1"/>
  <c r="F14625" i="1"/>
  <c r="E14625" i="1"/>
  <c r="D14625" i="1"/>
  <c r="C14625" i="1"/>
  <c r="B14625" i="1"/>
  <c r="A14625" i="1"/>
  <c r="F14624" i="1"/>
  <c r="E14624" i="1"/>
  <c r="D14624" i="1"/>
  <c r="C14624" i="1"/>
  <c r="B14624" i="1"/>
  <c r="A14624" i="1"/>
  <c r="F14623" i="1"/>
  <c r="E14623" i="1"/>
  <c r="D14623" i="1"/>
  <c r="C14623" i="1"/>
  <c r="B14623" i="1"/>
  <c r="A14623" i="1"/>
  <c r="F14622" i="1"/>
  <c r="E14622" i="1"/>
  <c r="D14622" i="1"/>
  <c r="C14622" i="1"/>
  <c r="B14622" i="1"/>
  <c r="A14622" i="1"/>
  <c r="F14621" i="1"/>
  <c r="E14621" i="1"/>
  <c r="D14621" i="1"/>
  <c r="C14621" i="1"/>
  <c r="B14621" i="1"/>
  <c r="A14621" i="1"/>
  <c r="F14620" i="1"/>
  <c r="E14620" i="1"/>
  <c r="D14620" i="1"/>
  <c r="C14620" i="1"/>
  <c r="B14620" i="1"/>
  <c r="A14620" i="1"/>
  <c r="F14619" i="1"/>
  <c r="E14619" i="1"/>
  <c r="D14619" i="1"/>
  <c r="C14619" i="1"/>
  <c r="B14619" i="1"/>
  <c r="A14619" i="1"/>
  <c r="F14618" i="1"/>
  <c r="E14618" i="1"/>
  <c r="D14618" i="1"/>
  <c r="C14618" i="1"/>
  <c r="B14618" i="1"/>
  <c r="A14618" i="1"/>
  <c r="F14617" i="1"/>
  <c r="E14617" i="1"/>
  <c r="D14617" i="1"/>
  <c r="C14617" i="1"/>
  <c r="B14617" i="1"/>
  <c r="A14617" i="1"/>
  <c r="F14616" i="1"/>
  <c r="E14616" i="1"/>
  <c r="D14616" i="1"/>
  <c r="C14616" i="1"/>
  <c r="B14616" i="1"/>
  <c r="A14616" i="1"/>
  <c r="F14615" i="1"/>
  <c r="E14615" i="1"/>
  <c r="D14615" i="1"/>
  <c r="C14615" i="1"/>
  <c r="B14615" i="1"/>
  <c r="A14615" i="1"/>
  <c r="F14614" i="1"/>
  <c r="E14614" i="1"/>
  <c r="D14614" i="1"/>
  <c r="C14614" i="1"/>
  <c r="B14614" i="1"/>
  <c r="A14614" i="1"/>
  <c r="F14613" i="1"/>
  <c r="E14613" i="1"/>
  <c r="D14613" i="1"/>
  <c r="C14613" i="1"/>
  <c r="B14613" i="1"/>
  <c r="A14613" i="1"/>
  <c r="F14612" i="1"/>
  <c r="E14612" i="1"/>
  <c r="D14612" i="1"/>
  <c r="C14612" i="1"/>
  <c r="B14612" i="1"/>
  <c r="A14612" i="1"/>
  <c r="F14611" i="1"/>
  <c r="E14611" i="1"/>
  <c r="D14611" i="1"/>
  <c r="C14611" i="1"/>
  <c r="B14611" i="1"/>
  <c r="A14611" i="1"/>
  <c r="F14610" i="1"/>
  <c r="E14610" i="1"/>
  <c r="D14610" i="1"/>
  <c r="C14610" i="1"/>
  <c r="B14610" i="1"/>
  <c r="A14610" i="1"/>
  <c r="F14609" i="1"/>
  <c r="E14609" i="1"/>
  <c r="D14609" i="1"/>
  <c r="C14609" i="1"/>
  <c r="B14609" i="1"/>
  <c r="A14609" i="1"/>
  <c r="F14608" i="1"/>
  <c r="E14608" i="1"/>
  <c r="D14608" i="1"/>
  <c r="C14608" i="1"/>
  <c r="B14608" i="1"/>
  <c r="A14608" i="1"/>
  <c r="F14607" i="1"/>
  <c r="E14607" i="1"/>
  <c r="D14607" i="1"/>
  <c r="C14607" i="1"/>
  <c r="B14607" i="1"/>
  <c r="A14607" i="1"/>
  <c r="F14606" i="1"/>
  <c r="E14606" i="1"/>
  <c r="D14606" i="1"/>
  <c r="C14606" i="1"/>
  <c r="B14606" i="1"/>
  <c r="A14606" i="1"/>
  <c r="F14605" i="1"/>
  <c r="E14605" i="1"/>
  <c r="D14605" i="1"/>
  <c r="C14605" i="1"/>
  <c r="B14605" i="1"/>
  <c r="A14605" i="1"/>
  <c r="F14604" i="1"/>
  <c r="E14604" i="1"/>
  <c r="D14604" i="1"/>
  <c r="C14604" i="1"/>
  <c r="B14604" i="1"/>
  <c r="A14604" i="1"/>
  <c r="F14603" i="1"/>
  <c r="E14603" i="1"/>
  <c r="D14603" i="1"/>
  <c r="C14603" i="1"/>
  <c r="B14603" i="1"/>
  <c r="A14603" i="1"/>
  <c r="F14602" i="1"/>
  <c r="E14602" i="1"/>
  <c r="D14602" i="1"/>
  <c r="C14602" i="1"/>
  <c r="B14602" i="1"/>
  <c r="A14602" i="1"/>
  <c r="F14601" i="1"/>
  <c r="E14601" i="1"/>
  <c r="D14601" i="1"/>
  <c r="C14601" i="1"/>
  <c r="B14601" i="1"/>
  <c r="A14601" i="1"/>
  <c r="F14600" i="1"/>
  <c r="E14600" i="1"/>
  <c r="D14600" i="1"/>
  <c r="C14600" i="1"/>
  <c r="B14600" i="1"/>
  <c r="A14600" i="1"/>
  <c r="F14599" i="1"/>
  <c r="E14599" i="1"/>
  <c r="D14599" i="1"/>
  <c r="C14599" i="1"/>
  <c r="B14599" i="1"/>
  <c r="A14599" i="1"/>
  <c r="F14598" i="1"/>
  <c r="E14598" i="1"/>
  <c r="D14598" i="1"/>
  <c r="C14598" i="1"/>
  <c r="B14598" i="1"/>
  <c r="A14598" i="1"/>
  <c r="F14597" i="1"/>
  <c r="E14597" i="1"/>
  <c r="D14597" i="1"/>
  <c r="C14597" i="1"/>
  <c r="B14597" i="1"/>
  <c r="A14597" i="1"/>
  <c r="F14596" i="1"/>
  <c r="E14596" i="1"/>
  <c r="D14596" i="1"/>
  <c r="C14596" i="1"/>
  <c r="B14596" i="1"/>
  <c r="A14596" i="1"/>
  <c r="F14595" i="1"/>
  <c r="E14595" i="1"/>
  <c r="D14595" i="1"/>
  <c r="C14595" i="1"/>
  <c r="B14595" i="1"/>
  <c r="A14595" i="1"/>
  <c r="F14594" i="1"/>
  <c r="E14594" i="1"/>
  <c r="D14594" i="1"/>
  <c r="C14594" i="1"/>
  <c r="B14594" i="1"/>
  <c r="A14594" i="1"/>
  <c r="F14593" i="1"/>
  <c r="E14593" i="1"/>
  <c r="D14593" i="1"/>
  <c r="C14593" i="1"/>
  <c r="B14593" i="1"/>
  <c r="A14593" i="1"/>
  <c r="F14592" i="1"/>
  <c r="E14592" i="1"/>
  <c r="D14592" i="1"/>
  <c r="C14592" i="1"/>
  <c r="B14592" i="1"/>
  <c r="A14592" i="1"/>
  <c r="F14591" i="1"/>
  <c r="E14591" i="1"/>
  <c r="D14591" i="1"/>
  <c r="C14591" i="1"/>
  <c r="B14591" i="1"/>
  <c r="A14591" i="1"/>
  <c r="F14590" i="1"/>
  <c r="E14590" i="1"/>
  <c r="D14590" i="1"/>
  <c r="C14590" i="1"/>
  <c r="B14590" i="1"/>
  <c r="A14590" i="1"/>
  <c r="F14589" i="1"/>
  <c r="E14589" i="1"/>
  <c r="D14589" i="1"/>
  <c r="C14589" i="1"/>
  <c r="B14589" i="1"/>
  <c r="A14589" i="1"/>
  <c r="F14588" i="1"/>
  <c r="E14588" i="1"/>
  <c r="D14588" i="1"/>
  <c r="C14588" i="1"/>
  <c r="B14588" i="1"/>
  <c r="A14588" i="1"/>
  <c r="F14587" i="1"/>
  <c r="E14587" i="1"/>
  <c r="D14587" i="1"/>
  <c r="C14587" i="1"/>
  <c r="B14587" i="1"/>
  <c r="A14587" i="1"/>
  <c r="F14586" i="1"/>
  <c r="E14586" i="1"/>
  <c r="D14586" i="1"/>
  <c r="C14586" i="1"/>
  <c r="B14586" i="1"/>
  <c r="A14586" i="1"/>
  <c r="F14585" i="1"/>
  <c r="E14585" i="1"/>
  <c r="D14585" i="1"/>
  <c r="C14585" i="1"/>
  <c r="B14585" i="1"/>
  <c r="A14585" i="1"/>
  <c r="F14584" i="1"/>
  <c r="E14584" i="1"/>
  <c r="D14584" i="1"/>
  <c r="C14584" i="1"/>
  <c r="B14584" i="1"/>
  <c r="A14584" i="1"/>
  <c r="F14583" i="1"/>
  <c r="E14583" i="1"/>
  <c r="D14583" i="1"/>
  <c r="C14583" i="1"/>
  <c r="B14583" i="1"/>
  <c r="A14583" i="1"/>
  <c r="F14582" i="1"/>
  <c r="E14582" i="1"/>
  <c r="D14582" i="1"/>
  <c r="C14582" i="1"/>
  <c r="B14582" i="1"/>
  <c r="A14582" i="1"/>
  <c r="F14581" i="1"/>
  <c r="E14581" i="1"/>
  <c r="D14581" i="1"/>
  <c r="C14581" i="1"/>
  <c r="B14581" i="1"/>
  <c r="A14581" i="1"/>
  <c r="F14580" i="1"/>
  <c r="E14580" i="1"/>
  <c r="D14580" i="1"/>
  <c r="C14580" i="1"/>
  <c r="B14580" i="1"/>
  <c r="A14580" i="1"/>
  <c r="F14579" i="1"/>
  <c r="E14579" i="1"/>
  <c r="D14579" i="1"/>
  <c r="C14579" i="1"/>
  <c r="B14579" i="1"/>
  <c r="A14579" i="1"/>
  <c r="F14578" i="1"/>
  <c r="E14578" i="1"/>
  <c r="D14578" i="1"/>
  <c r="C14578" i="1"/>
  <c r="B14578" i="1"/>
  <c r="A14578" i="1"/>
  <c r="F14577" i="1"/>
  <c r="E14577" i="1"/>
  <c r="D14577" i="1"/>
  <c r="C14577" i="1"/>
  <c r="B14577" i="1"/>
  <c r="A14577" i="1"/>
  <c r="F14576" i="1"/>
  <c r="E14576" i="1"/>
  <c r="D14576" i="1"/>
  <c r="C14576" i="1"/>
  <c r="B14576" i="1"/>
  <c r="A14576" i="1"/>
  <c r="F14575" i="1"/>
  <c r="E14575" i="1"/>
  <c r="D14575" i="1"/>
  <c r="C14575" i="1"/>
  <c r="B14575" i="1"/>
  <c r="A14575" i="1"/>
  <c r="F14574" i="1"/>
  <c r="E14574" i="1"/>
  <c r="D14574" i="1"/>
  <c r="C14574" i="1"/>
  <c r="B14574" i="1"/>
  <c r="A14574" i="1"/>
  <c r="F14573" i="1"/>
  <c r="E14573" i="1"/>
  <c r="D14573" i="1"/>
  <c r="C14573" i="1"/>
  <c r="B14573" i="1"/>
  <c r="A14573" i="1"/>
  <c r="F14572" i="1"/>
  <c r="E14572" i="1"/>
  <c r="D14572" i="1"/>
  <c r="C14572" i="1"/>
  <c r="B14572" i="1"/>
  <c r="A14572" i="1"/>
  <c r="F14571" i="1"/>
  <c r="E14571" i="1"/>
  <c r="D14571" i="1"/>
  <c r="C14571" i="1"/>
  <c r="B14571" i="1"/>
  <c r="A14571" i="1"/>
  <c r="F14570" i="1"/>
  <c r="E14570" i="1"/>
  <c r="D14570" i="1"/>
  <c r="C14570" i="1"/>
  <c r="B14570" i="1"/>
  <c r="A14570" i="1"/>
  <c r="F14569" i="1"/>
  <c r="E14569" i="1"/>
  <c r="D14569" i="1"/>
  <c r="C14569" i="1"/>
  <c r="B14569" i="1"/>
  <c r="A14569" i="1"/>
  <c r="F14568" i="1"/>
  <c r="E14568" i="1"/>
  <c r="D14568" i="1"/>
  <c r="C14568" i="1"/>
  <c r="B14568" i="1"/>
  <c r="A14568" i="1"/>
  <c r="F14567" i="1"/>
  <c r="E14567" i="1"/>
  <c r="D14567" i="1"/>
  <c r="C14567" i="1"/>
  <c r="B14567" i="1"/>
  <c r="A14567" i="1"/>
  <c r="F14566" i="1"/>
  <c r="E14566" i="1"/>
  <c r="D14566" i="1"/>
  <c r="C14566" i="1"/>
  <c r="B14566" i="1"/>
  <c r="A14566" i="1"/>
  <c r="F14565" i="1"/>
  <c r="E14565" i="1"/>
  <c r="D14565" i="1"/>
  <c r="C14565" i="1"/>
  <c r="B14565" i="1"/>
  <c r="A14565" i="1"/>
  <c r="F14564" i="1"/>
  <c r="E14564" i="1"/>
  <c r="D14564" i="1"/>
  <c r="C14564" i="1"/>
  <c r="B14564" i="1"/>
  <c r="A14564" i="1"/>
  <c r="F14563" i="1"/>
  <c r="E14563" i="1"/>
  <c r="D14563" i="1"/>
  <c r="C14563" i="1"/>
  <c r="B14563" i="1"/>
  <c r="A14563" i="1"/>
  <c r="F14562" i="1"/>
  <c r="E14562" i="1"/>
  <c r="D14562" i="1"/>
  <c r="C14562" i="1"/>
  <c r="B14562" i="1"/>
  <c r="A14562" i="1"/>
  <c r="F14561" i="1"/>
  <c r="E14561" i="1"/>
  <c r="D14561" i="1"/>
  <c r="C14561" i="1"/>
  <c r="B14561" i="1"/>
  <c r="A14561" i="1"/>
  <c r="F14560" i="1"/>
  <c r="E14560" i="1"/>
  <c r="D14560" i="1"/>
  <c r="C14560" i="1"/>
  <c r="B14560" i="1"/>
  <c r="A14560" i="1"/>
  <c r="F14559" i="1"/>
  <c r="E14559" i="1"/>
  <c r="D14559" i="1"/>
  <c r="C14559" i="1"/>
  <c r="B14559" i="1"/>
  <c r="A14559" i="1"/>
  <c r="F14558" i="1"/>
  <c r="E14558" i="1"/>
  <c r="D14558" i="1"/>
  <c r="C14558" i="1"/>
  <c r="B14558" i="1"/>
  <c r="A14558" i="1"/>
  <c r="F14557" i="1"/>
  <c r="E14557" i="1"/>
  <c r="D14557" i="1"/>
  <c r="C14557" i="1"/>
  <c r="B14557" i="1"/>
  <c r="A14557" i="1"/>
  <c r="F14556" i="1"/>
  <c r="E14556" i="1"/>
  <c r="D14556" i="1"/>
  <c r="C14556" i="1"/>
  <c r="B14556" i="1"/>
  <c r="A14556" i="1"/>
  <c r="F14555" i="1"/>
  <c r="E14555" i="1"/>
  <c r="D14555" i="1"/>
  <c r="C14555" i="1"/>
  <c r="B14555" i="1"/>
  <c r="A14555" i="1"/>
  <c r="F14554" i="1"/>
  <c r="E14554" i="1"/>
  <c r="D14554" i="1"/>
  <c r="C14554" i="1"/>
  <c r="B14554" i="1"/>
  <c r="A14554" i="1"/>
  <c r="F14553" i="1"/>
  <c r="E14553" i="1"/>
  <c r="D14553" i="1"/>
  <c r="C14553" i="1"/>
  <c r="B14553" i="1"/>
  <c r="A14553" i="1"/>
  <c r="F14552" i="1"/>
  <c r="E14552" i="1"/>
  <c r="D14552" i="1"/>
  <c r="C14552" i="1"/>
  <c r="B14552" i="1"/>
  <c r="A14552" i="1"/>
  <c r="F14551" i="1"/>
  <c r="E14551" i="1"/>
  <c r="D14551" i="1"/>
  <c r="C14551" i="1"/>
  <c r="B14551" i="1"/>
  <c r="A14551" i="1"/>
  <c r="F14550" i="1"/>
  <c r="E14550" i="1"/>
  <c r="D14550" i="1"/>
  <c r="C14550" i="1"/>
  <c r="B14550" i="1"/>
  <c r="A14550" i="1"/>
  <c r="F14549" i="1"/>
  <c r="E14549" i="1"/>
  <c r="D14549" i="1"/>
  <c r="C14549" i="1"/>
  <c r="B14549" i="1"/>
  <c r="A14549" i="1"/>
  <c r="F14548" i="1"/>
  <c r="E14548" i="1"/>
  <c r="D14548" i="1"/>
  <c r="C14548" i="1"/>
  <c r="B14548" i="1"/>
  <c r="A14548" i="1"/>
  <c r="F14547" i="1"/>
  <c r="E14547" i="1"/>
  <c r="D14547" i="1"/>
  <c r="C14547" i="1"/>
  <c r="B14547" i="1"/>
  <c r="A14547" i="1"/>
  <c r="F14546" i="1"/>
  <c r="E14546" i="1"/>
  <c r="D14546" i="1"/>
  <c r="C14546" i="1"/>
  <c r="B14546" i="1"/>
  <c r="A14546" i="1"/>
  <c r="F14545" i="1"/>
  <c r="E14545" i="1"/>
  <c r="D14545" i="1"/>
  <c r="C14545" i="1"/>
  <c r="B14545" i="1"/>
  <c r="A14545" i="1"/>
  <c r="F14544" i="1"/>
  <c r="E14544" i="1"/>
  <c r="D14544" i="1"/>
  <c r="C14544" i="1"/>
  <c r="B14544" i="1"/>
  <c r="A14544" i="1"/>
  <c r="F14543" i="1"/>
  <c r="E14543" i="1"/>
  <c r="D14543" i="1"/>
  <c r="C14543" i="1"/>
  <c r="B14543" i="1"/>
  <c r="A14543" i="1"/>
  <c r="F14542" i="1"/>
  <c r="E14542" i="1"/>
  <c r="D14542" i="1"/>
  <c r="C14542" i="1"/>
  <c r="B14542" i="1"/>
  <c r="A14542" i="1"/>
  <c r="F14541" i="1"/>
  <c r="E14541" i="1"/>
  <c r="D14541" i="1"/>
  <c r="C14541" i="1"/>
  <c r="B14541" i="1"/>
  <c r="A14541" i="1"/>
  <c r="F14540" i="1"/>
  <c r="E14540" i="1"/>
  <c r="D14540" i="1"/>
  <c r="C14540" i="1"/>
  <c r="B14540" i="1"/>
  <c r="A14540" i="1"/>
  <c r="F14539" i="1"/>
  <c r="E14539" i="1"/>
  <c r="D14539" i="1"/>
  <c r="C14539" i="1"/>
  <c r="B14539" i="1"/>
  <c r="A14539" i="1"/>
  <c r="F14538" i="1"/>
  <c r="E14538" i="1"/>
  <c r="D14538" i="1"/>
  <c r="C14538" i="1"/>
  <c r="B14538" i="1"/>
  <c r="A14538" i="1"/>
  <c r="F14537" i="1"/>
  <c r="E14537" i="1"/>
  <c r="D14537" i="1"/>
  <c r="C14537" i="1"/>
  <c r="B14537" i="1"/>
  <c r="A14537" i="1"/>
  <c r="F14536" i="1"/>
  <c r="E14536" i="1"/>
  <c r="D14536" i="1"/>
  <c r="C14536" i="1"/>
  <c r="B14536" i="1"/>
  <c r="A14536" i="1"/>
  <c r="F14535" i="1"/>
  <c r="E14535" i="1"/>
  <c r="D14535" i="1"/>
  <c r="C14535" i="1"/>
  <c r="B14535" i="1"/>
  <c r="A14535" i="1"/>
  <c r="F14534" i="1"/>
  <c r="E14534" i="1"/>
  <c r="D14534" i="1"/>
  <c r="C14534" i="1"/>
  <c r="B14534" i="1"/>
  <c r="A14534" i="1"/>
  <c r="F14533" i="1"/>
  <c r="E14533" i="1"/>
  <c r="D14533" i="1"/>
  <c r="C14533" i="1"/>
  <c r="B14533" i="1"/>
  <c r="A14533" i="1"/>
  <c r="F14532" i="1"/>
  <c r="E14532" i="1"/>
  <c r="D14532" i="1"/>
  <c r="C14532" i="1"/>
  <c r="B14532" i="1"/>
  <c r="A14532" i="1"/>
  <c r="F14531" i="1"/>
  <c r="E14531" i="1"/>
  <c r="D14531" i="1"/>
  <c r="C14531" i="1"/>
  <c r="B14531" i="1"/>
  <c r="A14531" i="1"/>
  <c r="F14530" i="1"/>
  <c r="E14530" i="1"/>
  <c r="D14530" i="1"/>
  <c r="C14530" i="1"/>
  <c r="B14530" i="1"/>
  <c r="A14530" i="1"/>
  <c r="F14529" i="1"/>
  <c r="E14529" i="1"/>
  <c r="D14529" i="1"/>
  <c r="C14529" i="1"/>
  <c r="B14529" i="1"/>
  <c r="A14529" i="1"/>
  <c r="F14528" i="1"/>
  <c r="E14528" i="1"/>
  <c r="D14528" i="1"/>
  <c r="C14528" i="1"/>
  <c r="B14528" i="1"/>
  <c r="A14528" i="1"/>
  <c r="F14527" i="1"/>
  <c r="E14527" i="1"/>
  <c r="D14527" i="1"/>
  <c r="C14527" i="1"/>
  <c r="B14527" i="1"/>
  <c r="A14527" i="1"/>
  <c r="F14526" i="1"/>
  <c r="E14526" i="1"/>
  <c r="D14526" i="1"/>
  <c r="C14526" i="1"/>
  <c r="B14526" i="1"/>
  <c r="A14526" i="1"/>
  <c r="F14525" i="1"/>
  <c r="E14525" i="1"/>
  <c r="D14525" i="1"/>
  <c r="C14525" i="1"/>
  <c r="B14525" i="1"/>
  <c r="A14525" i="1"/>
  <c r="F14524" i="1"/>
  <c r="E14524" i="1"/>
  <c r="D14524" i="1"/>
  <c r="C14524" i="1"/>
  <c r="B14524" i="1"/>
  <c r="A14524" i="1"/>
  <c r="F14523" i="1"/>
  <c r="E14523" i="1"/>
  <c r="D14523" i="1"/>
  <c r="C14523" i="1"/>
  <c r="B14523" i="1"/>
  <c r="A14523" i="1"/>
  <c r="F14522" i="1"/>
  <c r="E14522" i="1"/>
  <c r="D14522" i="1"/>
  <c r="C14522" i="1"/>
  <c r="B14522" i="1"/>
  <c r="A14522" i="1"/>
  <c r="F14521" i="1"/>
  <c r="E14521" i="1"/>
  <c r="D14521" i="1"/>
  <c r="C14521" i="1"/>
  <c r="B14521" i="1"/>
  <c r="A14521" i="1"/>
  <c r="F14520" i="1"/>
  <c r="E14520" i="1"/>
  <c r="D14520" i="1"/>
  <c r="C14520" i="1"/>
  <c r="B14520" i="1"/>
  <c r="A14520" i="1"/>
  <c r="F14519" i="1"/>
  <c r="E14519" i="1"/>
  <c r="D14519" i="1"/>
  <c r="C14519" i="1"/>
  <c r="B14519" i="1"/>
  <c r="A14519" i="1"/>
  <c r="F14518" i="1"/>
  <c r="E14518" i="1"/>
  <c r="D14518" i="1"/>
  <c r="C14518" i="1"/>
  <c r="B14518" i="1"/>
  <c r="A14518" i="1"/>
  <c r="F14517" i="1"/>
  <c r="E14517" i="1"/>
  <c r="D14517" i="1"/>
  <c r="C14517" i="1"/>
  <c r="B14517" i="1"/>
  <c r="A14517" i="1"/>
  <c r="F14516" i="1"/>
  <c r="E14516" i="1"/>
  <c r="D14516" i="1"/>
  <c r="C14516" i="1"/>
  <c r="B14516" i="1"/>
  <c r="A14516" i="1"/>
  <c r="F14515" i="1"/>
  <c r="E14515" i="1"/>
  <c r="D14515" i="1"/>
  <c r="C14515" i="1"/>
  <c r="B14515" i="1"/>
  <c r="A14515" i="1"/>
  <c r="F14514" i="1"/>
  <c r="E14514" i="1"/>
  <c r="D14514" i="1"/>
  <c r="C14514" i="1"/>
  <c r="B14514" i="1"/>
  <c r="A14514" i="1"/>
  <c r="F14513" i="1"/>
  <c r="E14513" i="1"/>
  <c r="D14513" i="1"/>
  <c r="C14513" i="1"/>
  <c r="B14513" i="1"/>
  <c r="A14513" i="1"/>
  <c r="F14512" i="1"/>
  <c r="E14512" i="1"/>
  <c r="D14512" i="1"/>
  <c r="C14512" i="1"/>
  <c r="B14512" i="1"/>
  <c r="A14512" i="1"/>
  <c r="F14511" i="1"/>
  <c r="E14511" i="1"/>
  <c r="D14511" i="1"/>
  <c r="C14511" i="1"/>
  <c r="B14511" i="1"/>
  <c r="A14511" i="1"/>
  <c r="F14510" i="1"/>
  <c r="E14510" i="1"/>
  <c r="D14510" i="1"/>
  <c r="C14510" i="1"/>
  <c r="B14510" i="1"/>
  <c r="A14510" i="1"/>
  <c r="F14509" i="1"/>
  <c r="E14509" i="1"/>
  <c r="D14509" i="1"/>
  <c r="C14509" i="1"/>
  <c r="B14509" i="1"/>
  <c r="A14509" i="1"/>
  <c r="F14508" i="1"/>
  <c r="E14508" i="1"/>
  <c r="D14508" i="1"/>
  <c r="C14508" i="1"/>
  <c r="B14508" i="1"/>
  <c r="A14508" i="1"/>
  <c r="F14507" i="1"/>
  <c r="E14507" i="1"/>
  <c r="D14507" i="1"/>
  <c r="C14507" i="1"/>
  <c r="B14507" i="1"/>
  <c r="A14507" i="1"/>
  <c r="F14506" i="1"/>
  <c r="E14506" i="1"/>
  <c r="D14506" i="1"/>
  <c r="C14506" i="1"/>
  <c r="B14506" i="1"/>
  <c r="A14506" i="1"/>
  <c r="F14505" i="1"/>
  <c r="E14505" i="1"/>
  <c r="D14505" i="1"/>
  <c r="C14505" i="1"/>
  <c r="B14505" i="1"/>
  <c r="A14505" i="1"/>
  <c r="F14504" i="1"/>
  <c r="E14504" i="1"/>
  <c r="D14504" i="1"/>
  <c r="C14504" i="1"/>
  <c r="B14504" i="1"/>
  <c r="A14504" i="1"/>
  <c r="F14503" i="1"/>
  <c r="E14503" i="1"/>
  <c r="D14503" i="1"/>
  <c r="C14503" i="1"/>
  <c r="B14503" i="1"/>
  <c r="A14503" i="1"/>
  <c r="F14502" i="1"/>
  <c r="E14502" i="1"/>
  <c r="D14502" i="1"/>
  <c r="C14502" i="1"/>
  <c r="B14502" i="1"/>
  <c r="A14502" i="1"/>
  <c r="F14501" i="1"/>
  <c r="E14501" i="1"/>
  <c r="D14501" i="1"/>
  <c r="C14501" i="1"/>
  <c r="B14501" i="1"/>
  <c r="A14501" i="1"/>
  <c r="F14500" i="1"/>
  <c r="E14500" i="1"/>
  <c r="D14500" i="1"/>
  <c r="C14500" i="1"/>
  <c r="B14500" i="1"/>
  <c r="A14500" i="1"/>
  <c r="F14499" i="1"/>
  <c r="E14499" i="1"/>
  <c r="D14499" i="1"/>
  <c r="C14499" i="1"/>
  <c r="B14499" i="1"/>
  <c r="A14499" i="1"/>
  <c r="F14498" i="1"/>
  <c r="E14498" i="1"/>
  <c r="D14498" i="1"/>
  <c r="C14498" i="1"/>
  <c r="B14498" i="1"/>
  <c r="A14498" i="1"/>
  <c r="F14497" i="1"/>
  <c r="E14497" i="1"/>
  <c r="D14497" i="1"/>
  <c r="C14497" i="1"/>
  <c r="B14497" i="1"/>
  <c r="A14497" i="1"/>
  <c r="F14496" i="1"/>
  <c r="E14496" i="1"/>
  <c r="D14496" i="1"/>
  <c r="C14496" i="1"/>
  <c r="B14496" i="1"/>
  <c r="A14496" i="1"/>
  <c r="F14495" i="1"/>
  <c r="E14495" i="1"/>
  <c r="D14495" i="1"/>
  <c r="C14495" i="1"/>
  <c r="B14495" i="1"/>
  <c r="A14495" i="1"/>
  <c r="F14494" i="1"/>
  <c r="E14494" i="1"/>
  <c r="D14494" i="1"/>
  <c r="C14494" i="1"/>
  <c r="B14494" i="1"/>
  <c r="A14494" i="1"/>
  <c r="F14493" i="1"/>
  <c r="E14493" i="1"/>
  <c r="D14493" i="1"/>
  <c r="C14493" i="1"/>
  <c r="B14493" i="1"/>
  <c r="A14493" i="1"/>
  <c r="F14492" i="1"/>
  <c r="E14492" i="1"/>
  <c r="D14492" i="1"/>
  <c r="C14492" i="1"/>
  <c r="B14492" i="1"/>
  <c r="A14492" i="1"/>
  <c r="F14491" i="1"/>
  <c r="E14491" i="1"/>
  <c r="D14491" i="1"/>
  <c r="C14491" i="1"/>
  <c r="B14491" i="1"/>
  <c r="A14491" i="1"/>
  <c r="F14490" i="1"/>
  <c r="E14490" i="1"/>
  <c r="D14490" i="1"/>
  <c r="C14490" i="1"/>
  <c r="B14490" i="1"/>
  <c r="A14490" i="1"/>
  <c r="F14489" i="1"/>
  <c r="E14489" i="1"/>
  <c r="D14489" i="1"/>
  <c r="C14489" i="1"/>
  <c r="B14489" i="1"/>
  <c r="A14489" i="1"/>
  <c r="F14488" i="1"/>
  <c r="E14488" i="1"/>
  <c r="D14488" i="1"/>
  <c r="C14488" i="1"/>
  <c r="B14488" i="1"/>
  <c r="A14488" i="1"/>
  <c r="F14487" i="1"/>
  <c r="E14487" i="1"/>
  <c r="D14487" i="1"/>
  <c r="C14487" i="1"/>
  <c r="B14487" i="1"/>
  <c r="A14487" i="1"/>
  <c r="F14486" i="1"/>
  <c r="E14486" i="1"/>
  <c r="D14486" i="1"/>
  <c r="C14486" i="1"/>
  <c r="B14486" i="1"/>
  <c r="A14486" i="1"/>
  <c r="F14485" i="1"/>
  <c r="E14485" i="1"/>
  <c r="D14485" i="1"/>
  <c r="C14485" i="1"/>
  <c r="B14485" i="1"/>
  <c r="A14485" i="1"/>
  <c r="F14484" i="1"/>
  <c r="E14484" i="1"/>
  <c r="D14484" i="1"/>
  <c r="C14484" i="1"/>
  <c r="B14484" i="1"/>
  <c r="A14484" i="1"/>
  <c r="F14483" i="1"/>
  <c r="E14483" i="1"/>
  <c r="D14483" i="1"/>
  <c r="C14483" i="1"/>
  <c r="B14483" i="1"/>
  <c r="A14483" i="1"/>
  <c r="F14482" i="1"/>
  <c r="E14482" i="1"/>
  <c r="D14482" i="1"/>
  <c r="C14482" i="1"/>
  <c r="B14482" i="1"/>
  <c r="A14482" i="1"/>
  <c r="F14481" i="1"/>
  <c r="E14481" i="1"/>
  <c r="D14481" i="1"/>
  <c r="C14481" i="1"/>
  <c r="B14481" i="1"/>
  <c r="A14481" i="1"/>
  <c r="F14480" i="1"/>
  <c r="E14480" i="1"/>
  <c r="D14480" i="1"/>
  <c r="C14480" i="1"/>
  <c r="B14480" i="1"/>
  <c r="A14480" i="1"/>
  <c r="F14479" i="1"/>
  <c r="E14479" i="1"/>
  <c r="D14479" i="1"/>
  <c r="C14479" i="1"/>
  <c r="B14479" i="1"/>
  <c r="A14479" i="1"/>
  <c r="F14478" i="1"/>
  <c r="E14478" i="1"/>
  <c r="D14478" i="1"/>
  <c r="C14478" i="1"/>
  <c r="B14478" i="1"/>
  <c r="A14478" i="1"/>
  <c r="F14477" i="1"/>
  <c r="E14477" i="1"/>
  <c r="D14477" i="1"/>
  <c r="C14477" i="1"/>
  <c r="B14477" i="1"/>
  <c r="A14477" i="1"/>
  <c r="F14476" i="1"/>
  <c r="E14476" i="1"/>
  <c r="D14476" i="1"/>
  <c r="C14476" i="1"/>
  <c r="B14476" i="1"/>
  <c r="A14476" i="1"/>
  <c r="F14475" i="1"/>
  <c r="E14475" i="1"/>
  <c r="D14475" i="1"/>
  <c r="C14475" i="1"/>
  <c r="B14475" i="1"/>
  <c r="A14475" i="1"/>
  <c r="F14474" i="1"/>
  <c r="E14474" i="1"/>
  <c r="D14474" i="1"/>
  <c r="C14474" i="1"/>
  <c r="B14474" i="1"/>
  <c r="A14474" i="1"/>
  <c r="F14473" i="1"/>
  <c r="E14473" i="1"/>
  <c r="D14473" i="1"/>
  <c r="C14473" i="1"/>
  <c r="B14473" i="1"/>
  <c r="A14473" i="1"/>
  <c r="F14472" i="1"/>
  <c r="E14472" i="1"/>
  <c r="D14472" i="1"/>
  <c r="C14472" i="1"/>
  <c r="B14472" i="1"/>
  <c r="A14472" i="1"/>
  <c r="F14471" i="1"/>
  <c r="E14471" i="1"/>
  <c r="D14471" i="1"/>
  <c r="C14471" i="1"/>
  <c r="B14471" i="1"/>
  <c r="A14471" i="1"/>
  <c r="F14470" i="1"/>
  <c r="E14470" i="1"/>
  <c r="D14470" i="1"/>
  <c r="C14470" i="1"/>
  <c r="B14470" i="1"/>
  <c r="A14470" i="1"/>
  <c r="F14469" i="1"/>
  <c r="E14469" i="1"/>
  <c r="D14469" i="1"/>
  <c r="C14469" i="1"/>
  <c r="B14469" i="1"/>
  <c r="A14469" i="1"/>
  <c r="F14468" i="1"/>
  <c r="E14468" i="1"/>
  <c r="D14468" i="1"/>
  <c r="C14468" i="1"/>
  <c r="B14468" i="1"/>
  <c r="A14468" i="1"/>
  <c r="F14467" i="1"/>
  <c r="E14467" i="1"/>
  <c r="D14467" i="1"/>
  <c r="C14467" i="1"/>
  <c r="B14467" i="1"/>
  <c r="A14467" i="1"/>
  <c r="F14466" i="1"/>
  <c r="E14466" i="1"/>
  <c r="D14466" i="1"/>
  <c r="C14466" i="1"/>
  <c r="B14466" i="1"/>
  <c r="A14466" i="1"/>
  <c r="F14465" i="1"/>
  <c r="E14465" i="1"/>
  <c r="D14465" i="1"/>
  <c r="C14465" i="1"/>
  <c r="B14465" i="1"/>
  <c r="A14465" i="1"/>
  <c r="F14464" i="1"/>
  <c r="E14464" i="1"/>
  <c r="D14464" i="1"/>
  <c r="C14464" i="1"/>
  <c r="B14464" i="1"/>
  <c r="A14464" i="1"/>
  <c r="F14463" i="1"/>
  <c r="E14463" i="1"/>
  <c r="D14463" i="1"/>
  <c r="C14463" i="1"/>
  <c r="B14463" i="1"/>
  <c r="A14463" i="1"/>
  <c r="F14462" i="1"/>
  <c r="E14462" i="1"/>
  <c r="D14462" i="1"/>
  <c r="C14462" i="1"/>
  <c r="B14462" i="1"/>
  <c r="A14462" i="1"/>
  <c r="F14461" i="1"/>
  <c r="E14461" i="1"/>
  <c r="D14461" i="1"/>
  <c r="C14461" i="1"/>
  <c r="B14461" i="1"/>
  <c r="A14461" i="1"/>
  <c r="F14460" i="1"/>
  <c r="E14460" i="1"/>
  <c r="D14460" i="1"/>
  <c r="C14460" i="1"/>
  <c r="B14460" i="1"/>
  <c r="A14460" i="1"/>
  <c r="F14459" i="1"/>
  <c r="E14459" i="1"/>
  <c r="D14459" i="1"/>
  <c r="C14459" i="1"/>
  <c r="B14459" i="1"/>
  <c r="A14459" i="1"/>
  <c r="F14458" i="1"/>
  <c r="E14458" i="1"/>
  <c r="D14458" i="1"/>
  <c r="C14458" i="1"/>
  <c r="B14458" i="1"/>
  <c r="A14458" i="1"/>
  <c r="F14457" i="1"/>
  <c r="E14457" i="1"/>
  <c r="D14457" i="1"/>
  <c r="C14457" i="1"/>
  <c r="B14457" i="1"/>
  <c r="A14457" i="1"/>
  <c r="F14456" i="1"/>
  <c r="E14456" i="1"/>
  <c r="D14456" i="1"/>
  <c r="C14456" i="1"/>
  <c r="B14456" i="1"/>
  <c r="A14456" i="1"/>
  <c r="F14455" i="1"/>
  <c r="E14455" i="1"/>
  <c r="D14455" i="1"/>
  <c r="C14455" i="1"/>
  <c r="B14455" i="1"/>
  <c r="A14455" i="1"/>
  <c r="F14454" i="1"/>
  <c r="E14454" i="1"/>
  <c r="D14454" i="1"/>
  <c r="C14454" i="1"/>
  <c r="B14454" i="1"/>
  <c r="A14454" i="1"/>
  <c r="F14453" i="1"/>
  <c r="E14453" i="1"/>
  <c r="D14453" i="1"/>
  <c r="C14453" i="1"/>
  <c r="B14453" i="1"/>
  <c r="A14453" i="1"/>
  <c r="F14452" i="1"/>
  <c r="E14452" i="1"/>
  <c r="D14452" i="1"/>
  <c r="C14452" i="1"/>
  <c r="B14452" i="1"/>
  <c r="A14452" i="1"/>
  <c r="F14451" i="1"/>
  <c r="E14451" i="1"/>
  <c r="D14451" i="1"/>
  <c r="C14451" i="1"/>
  <c r="B14451" i="1"/>
  <c r="A14451" i="1"/>
  <c r="F14450" i="1"/>
  <c r="E14450" i="1"/>
  <c r="D14450" i="1"/>
  <c r="C14450" i="1"/>
  <c r="B14450" i="1"/>
  <c r="A14450" i="1"/>
  <c r="F14449" i="1"/>
  <c r="E14449" i="1"/>
  <c r="D14449" i="1"/>
  <c r="C14449" i="1"/>
  <c r="B14449" i="1"/>
  <c r="A14449" i="1"/>
  <c r="F14448" i="1"/>
  <c r="E14448" i="1"/>
  <c r="D14448" i="1"/>
  <c r="C14448" i="1"/>
  <c r="B14448" i="1"/>
  <c r="A14448" i="1"/>
  <c r="F14447" i="1"/>
  <c r="E14447" i="1"/>
  <c r="D14447" i="1"/>
  <c r="C14447" i="1"/>
  <c r="B14447" i="1"/>
  <c r="A14447" i="1"/>
  <c r="F14446" i="1"/>
  <c r="E14446" i="1"/>
  <c r="D14446" i="1"/>
  <c r="C14446" i="1"/>
  <c r="B14446" i="1"/>
  <c r="A14446" i="1"/>
  <c r="F14445" i="1"/>
  <c r="E14445" i="1"/>
  <c r="D14445" i="1"/>
  <c r="C14445" i="1"/>
  <c r="B14445" i="1"/>
  <c r="A14445" i="1"/>
  <c r="F14444" i="1"/>
  <c r="E14444" i="1"/>
  <c r="D14444" i="1"/>
  <c r="C14444" i="1"/>
  <c r="B14444" i="1"/>
  <c r="A14444" i="1"/>
  <c r="F14443" i="1"/>
  <c r="E14443" i="1"/>
  <c r="D14443" i="1"/>
  <c r="C14443" i="1"/>
  <c r="B14443" i="1"/>
  <c r="A14443" i="1"/>
  <c r="F14442" i="1"/>
  <c r="E14442" i="1"/>
  <c r="D14442" i="1"/>
  <c r="C14442" i="1"/>
  <c r="B14442" i="1"/>
  <c r="A14442" i="1"/>
  <c r="F14441" i="1"/>
  <c r="E14441" i="1"/>
  <c r="D14441" i="1"/>
  <c r="C14441" i="1"/>
  <c r="B14441" i="1"/>
  <c r="A14441" i="1"/>
  <c r="F14440" i="1"/>
  <c r="E14440" i="1"/>
  <c r="D14440" i="1"/>
  <c r="C14440" i="1"/>
  <c r="B14440" i="1"/>
  <c r="A14440" i="1"/>
  <c r="F14439" i="1"/>
  <c r="E14439" i="1"/>
  <c r="D14439" i="1"/>
  <c r="C14439" i="1"/>
  <c r="B14439" i="1"/>
  <c r="A14439" i="1"/>
  <c r="F14438" i="1"/>
  <c r="E14438" i="1"/>
  <c r="D14438" i="1"/>
  <c r="C14438" i="1"/>
  <c r="B14438" i="1"/>
  <c r="A14438" i="1"/>
  <c r="F14437" i="1"/>
  <c r="E14437" i="1"/>
  <c r="D14437" i="1"/>
  <c r="C14437" i="1"/>
  <c r="B14437" i="1"/>
  <c r="A14437" i="1"/>
  <c r="F14436" i="1"/>
  <c r="E14436" i="1"/>
  <c r="D14436" i="1"/>
  <c r="C14436" i="1"/>
  <c r="B14436" i="1"/>
  <c r="A14436" i="1"/>
  <c r="F14435" i="1"/>
  <c r="E14435" i="1"/>
  <c r="D14435" i="1"/>
  <c r="C14435" i="1"/>
  <c r="B14435" i="1"/>
  <c r="A14435" i="1"/>
  <c r="F14434" i="1"/>
  <c r="E14434" i="1"/>
  <c r="D14434" i="1"/>
  <c r="C14434" i="1"/>
  <c r="B14434" i="1"/>
  <c r="A14434" i="1"/>
  <c r="F14433" i="1"/>
  <c r="E14433" i="1"/>
  <c r="D14433" i="1"/>
  <c r="C14433" i="1"/>
  <c r="B14433" i="1"/>
  <c r="A14433" i="1"/>
  <c r="F14432" i="1"/>
  <c r="E14432" i="1"/>
  <c r="D14432" i="1"/>
  <c r="C14432" i="1"/>
  <c r="B14432" i="1"/>
  <c r="A14432" i="1"/>
  <c r="F14431" i="1"/>
  <c r="E14431" i="1"/>
  <c r="D14431" i="1"/>
  <c r="C14431" i="1"/>
  <c r="B14431" i="1"/>
  <c r="A14431" i="1"/>
  <c r="F14430" i="1"/>
  <c r="E14430" i="1"/>
  <c r="D14430" i="1"/>
  <c r="C14430" i="1"/>
  <c r="B14430" i="1"/>
  <c r="A14430" i="1"/>
  <c r="F14429" i="1"/>
  <c r="E14429" i="1"/>
  <c r="D14429" i="1"/>
  <c r="C14429" i="1"/>
  <c r="B14429" i="1"/>
  <c r="A14429" i="1"/>
  <c r="F14428" i="1"/>
  <c r="E14428" i="1"/>
  <c r="D14428" i="1"/>
  <c r="C14428" i="1"/>
  <c r="B14428" i="1"/>
  <c r="A14428" i="1"/>
  <c r="F14427" i="1"/>
  <c r="E14427" i="1"/>
  <c r="D14427" i="1"/>
  <c r="C14427" i="1"/>
  <c r="B14427" i="1"/>
  <c r="A14427" i="1"/>
  <c r="F14426" i="1"/>
  <c r="E14426" i="1"/>
  <c r="D14426" i="1"/>
  <c r="C14426" i="1"/>
  <c r="B14426" i="1"/>
  <c r="A14426" i="1"/>
  <c r="F14425" i="1"/>
  <c r="E14425" i="1"/>
  <c r="D14425" i="1"/>
  <c r="C14425" i="1"/>
  <c r="B14425" i="1"/>
  <c r="A14425" i="1"/>
  <c r="F14424" i="1"/>
  <c r="E14424" i="1"/>
  <c r="D14424" i="1"/>
  <c r="C14424" i="1"/>
  <c r="B14424" i="1"/>
  <c r="A14424" i="1"/>
  <c r="F14423" i="1"/>
  <c r="E14423" i="1"/>
  <c r="D14423" i="1"/>
  <c r="C14423" i="1"/>
  <c r="B14423" i="1"/>
  <c r="A14423" i="1"/>
  <c r="F14422" i="1"/>
  <c r="E14422" i="1"/>
  <c r="D14422" i="1"/>
  <c r="C14422" i="1"/>
  <c r="B14422" i="1"/>
  <c r="A14422" i="1"/>
  <c r="F14421" i="1"/>
  <c r="E14421" i="1"/>
  <c r="D14421" i="1"/>
  <c r="C14421" i="1"/>
  <c r="B14421" i="1"/>
  <c r="A14421" i="1"/>
  <c r="F14420" i="1"/>
  <c r="E14420" i="1"/>
  <c r="D14420" i="1"/>
  <c r="C14420" i="1"/>
  <c r="B14420" i="1"/>
  <c r="A14420" i="1"/>
  <c r="F14419" i="1"/>
  <c r="E14419" i="1"/>
  <c r="D14419" i="1"/>
  <c r="C14419" i="1"/>
  <c r="B14419" i="1"/>
  <c r="A14419" i="1"/>
  <c r="F14418" i="1"/>
  <c r="E14418" i="1"/>
  <c r="D14418" i="1"/>
  <c r="C14418" i="1"/>
  <c r="B14418" i="1"/>
  <c r="A14418" i="1"/>
  <c r="F14417" i="1"/>
  <c r="E14417" i="1"/>
  <c r="D14417" i="1"/>
  <c r="C14417" i="1"/>
  <c r="B14417" i="1"/>
  <c r="A14417" i="1"/>
  <c r="F14416" i="1"/>
  <c r="E14416" i="1"/>
  <c r="D14416" i="1"/>
  <c r="C14416" i="1"/>
  <c r="B14416" i="1"/>
  <c r="A14416" i="1"/>
  <c r="F14415" i="1"/>
  <c r="E14415" i="1"/>
  <c r="D14415" i="1"/>
  <c r="C14415" i="1"/>
  <c r="B14415" i="1"/>
  <c r="A14415" i="1"/>
  <c r="F14414" i="1"/>
  <c r="E14414" i="1"/>
  <c r="D14414" i="1"/>
  <c r="C14414" i="1"/>
  <c r="B14414" i="1"/>
  <c r="A14414" i="1"/>
  <c r="F14413" i="1"/>
  <c r="E14413" i="1"/>
  <c r="D14413" i="1"/>
  <c r="C14413" i="1"/>
  <c r="B14413" i="1"/>
  <c r="A14413" i="1"/>
  <c r="F14412" i="1"/>
  <c r="E14412" i="1"/>
  <c r="D14412" i="1"/>
  <c r="C14412" i="1"/>
  <c r="B14412" i="1"/>
  <c r="A14412" i="1"/>
  <c r="F14411" i="1"/>
  <c r="E14411" i="1"/>
  <c r="D14411" i="1"/>
  <c r="C14411" i="1"/>
  <c r="B14411" i="1"/>
  <c r="A14411" i="1"/>
  <c r="F14410" i="1"/>
  <c r="E14410" i="1"/>
  <c r="D14410" i="1"/>
  <c r="C14410" i="1"/>
  <c r="B14410" i="1"/>
  <c r="A14410" i="1"/>
  <c r="F14409" i="1"/>
  <c r="E14409" i="1"/>
  <c r="D14409" i="1"/>
  <c r="C14409" i="1"/>
  <c r="B14409" i="1"/>
  <c r="A14409" i="1"/>
  <c r="F14408" i="1"/>
  <c r="E14408" i="1"/>
  <c r="D14408" i="1"/>
  <c r="C14408" i="1"/>
  <c r="B14408" i="1"/>
  <c r="A14408" i="1"/>
  <c r="F14407" i="1"/>
  <c r="E14407" i="1"/>
  <c r="D14407" i="1"/>
  <c r="C14407" i="1"/>
  <c r="B14407" i="1"/>
  <c r="A14407" i="1"/>
  <c r="F14406" i="1"/>
  <c r="E14406" i="1"/>
  <c r="D14406" i="1"/>
  <c r="C14406" i="1"/>
  <c r="B14406" i="1"/>
  <c r="A14406" i="1"/>
  <c r="F14405" i="1"/>
  <c r="E14405" i="1"/>
  <c r="D14405" i="1"/>
  <c r="C14405" i="1"/>
  <c r="B14405" i="1"/>
  <c r="A14405" i="1"/>
  <c r="F14404" i="1"/>
  <c r="E14404" i="1"/>
  <c r="D14404" i="1"/>
  <c r="C14404" i="1"/>
  <c r="B14404" i="1"/>
  <c r="A14404" i="1"/>
  <c r="F14403" i="1"/>
  <c r="E14403" i="1"/>
  <c r="D14403" i="1"/>
  <c r="C14403" i="1"/>
  <c r="B14403" i="1"/>
  <c r="A14403" i="1"/>
  <c r="F14402" i="1"/>
  <c r="E14402" i="1"/>
  <c r="D14402" i="1"/>
  <c r="C14402" i="1"/>
  <c r="B14402" i="1"/>
  <c r="A14402" i="1"/>
  <c r="F14401" i="1"/>
  <c r="E14401" i="1"/>
  <c r="D14401" i="1"/>
  <c r="C14401" i="1"/>
  <c r="B14401" i="1"/>
  <c r="A14401" i="1"/>
  <c r="F14400" i="1"/>
  <c r="E14400" i="1"/>
  <c r="D14400" i="1"/>
  <c r="C14400" i="1"/>
  <c r="B14400" i="1"/>
  <c r="A14400" i="1"/>
  <c r="F14399" i="1"/>
  <c r="E14399" i="1"/>
  <c r="D14399" i="1"/>
  <c r="C14399" i="1"/>
  <c r="B14399" i="1"/>
  <c r="A14399" i="1"/>
  <c r="F14398" i="1"/>
  <c r="E14398" i="1"/>
  <c r="D14398" i="1"/>
  <c r="C14398" i="1"/>
  <c r="B14398" i="1"/>
  <c r="A14398" i="1"/>
  <c r="F14397" i="1"/>
  <c r="E14397" i="1"/>
  <c r="D14397" i="1"/>
  <c r="C14397" i="1"/>
  <c r="B14397" i="1"/>
  <c r="A14397" i="1"/>
  <c r="F14396" i="1"/>
  <c r="E14396" i="1"/>
  <c r="D14396" i="1"/>
  <c r="C14396" i="1"/>
  <c r="B14396" i="1"/>
  <c r="A14396" i="1"/>
  <c r="F14395" i="1"/>
  <c r="E14395" i="1"/>
  <c r="D14395" i="1"/>
  <c r="C14395" i="1"/>
  <c r="B14395" i="1"/>
  <c r="A14395" i="1"/>
  <c r="F14394" i="1"/>
  <c r="E14394" i="1"/>
  <c r="D14394" i="1"/>
  <c r="C14394" i="1"/>
  <c r="B14394" i="1"/>
  <c r="A14394" i="1"/>
  <c r="F14393" i="1"/>
  <c r="E14393" i="1"/>
  <c r="D14393" i="1"/>
  <c r="C14393" i="1"/>
  <c r="B14393" i="1"/>
  <c r="A14393" i="1"/>
  <c r="F14392" i="1"/>
  <c r="E14392" i="1"/>
  <c r="D14392" i="1"/>
  <c r="C14392" i="1"/>
  <c r="B14392" i="1"/>
  <c r="A14392" i="1"/>
  <c r="F14391" i="1"/>
  <c r="E14391" i="1"/>
  <c r="D14391" i="1"/>
  <c r="C14391" i="1"/>
  <c r="B14391" i="1"/>
  <c r="A14391" i="1"/>
  <c r="F14390" i="1"/>
  <c r="E14390" i="1"/>
  <c r="D14390" i="1"/>
  <c r="C14390" i="1"/>
  <c r="B14390" i="1"/>
  <c r="A14390" i="1"/>
  <c r="F14389" i="1"/>
  <c r="E14389" i="1"/>
  <c r="D14389" i="1"/>
  <c r="C14389" i="1"/>
  <c r="B14389" i="1"/>
  <c r="A14389" i="1"/>
  <c r="F14388" i="1"/>
  <c r="E14388" i="1"/>
  <c r="D14388" i="1"/>
  <c r="C14388" i="1"/>
  <c r="B14388" i="1"/>
  <c r="A14388" i="1"/>
  <c r="F14387" i="1"/>
  <c r="E14387" i="1"/>
  <c r="D14387" i="1"/>
  <c r="C14387" i="1"/>
  <c r="B14387" i="1"/>
  <c r="A14387" i="1"/>
  <c r="F14386" i="1"/>
  <c r="E14386" i="1"/>
  <c r="D14386" i="1"/>
  <c r="C14386" i="1"/>
  <c r="B14386" i="1"/>
  <c r="A14386" i="1"/>
  <c r="F14385" i="1"/>
  <c r="E14385" i="1"/>
  <c r="D14385" i="1"/>
  <c r="C14385" i="1"/>
  <c r="B14385" i="1"/>
  <c r="A14385" i="1"/>
  <c r="F14384" i="1"/>
  <c r="E14384" i="1"/>
  <c r="D14384" i="1"/>
  <c r="C14384" i="1"/>
  <c r="B14384" i="1"/>
  <c r="A14384" i="1"/>
  <c r="F14383" i="1"/>
  <c r="E14383" i="1"/>
  <c r="D14383" i="1"/>
  <c r="C14383" i="1"/>
  <c r="B14383" i="1"/>
  <c r="A14383" i="1"/>
  <c r="F14382" i="1"/>
  <c r="E14382" i="1"/>
  <c r="D14382" i="1"/>
  <c r="C14382" i="1"/>
  <c r="B14382" i="1"/>
  <c r="A14382" i="1"/>
  <c r="F14381" i="1"/>
  <c r="E14381" i="1"/>
  <c r="D14381" i="1"/>
  <c r="C14381" i="1"/>
  <c r="B14381" i="1"/>
  <c r="A14381" i="1"/>
  <c r="F14380" i="1"/>
  <c r="E14380" i="1"/>
  <c r="D14380" i="1"/>
  <c r="C14380" i="1"/>
  <c r="B14380" i="1"/>
  <c r="A14380" i="1"/>
  <c r="F14379" i="1"/>
  <c r="E14379" i="1"/>
  <c r="D14379" i="1"/>
  <c r="C14379" i="1"/>
  <c r="B14379" i="1"/>
  <c r="A14379" i="1"/>
  <c r="F14378" i="1"/>
  <c r="E14378" i="1"/>
  <c r="D14378" i="1"/>
  <c r="C14378" i="1"/>
  <c r="B14378" i="1"/>
  <c r="A14378" i="1"/>
  <c r="F14377" i="1"/>
  <c r="E14377" i="1"/>
  <c r="D14377" i="1"/>
  <c r="C14377" i="1"/>
  <c r="B14377" i="1"/>
  <c r="A14377" i="1"/>
  <c r="F14376" i="1"/>
  <c r="E14376" i="1"/>
  <c r="D14376" i="1"/>
  <c r="C14376" i="1"/>
  <c r="B14376" i="1"/>
  <c r="A14376" i="1"/>
  <c r="F14375" i="1"/>
  <c r="E14375" i="1"/>
  <c r="D14375" i="1"/>
  <c r="C14375" i="1"/>
  <c r="B14375" i="1"/>
  <c r="A14375" i="1"/>
  <c r="F14374" i="1"/>
  <c r="E14374" i="1"/>
  <c r="D14374" i="1"/>
  <c r="C14374" i="1"/>
  <c r="B14374" i="1"/>
  <c r="A14374" i="1"/>
  <c r="F14373" i="1"/>
  <c r="E14373" i="1"/>
  <c r="D14373" i="1"/>
  <c r="C14373" i="1"/>
  <c r="B14373" i="1"/>
  <c r="A14373" i="1"/>
  <c r="F14372" i="1"/>
  <c r="E14372" i="1"/>
  <c r="D14372" i="1"/>
  <c r="C14372" i="1"/>
  <c r="B14372" i="1"/>
  <c r="A14372" i="1"/>
  <c r="F14371" i="1"/>
  <c r="E14371" i="1"/>
  <c r="D14371" i="1"/>
  <c r="C14371" i="1"/>
  <c r="B14371" i="1"/>
  <c r="A14371" i="1"/>
  <c r="F14370" i="1"/>
  <c r="E14370" i="1"/>
  <c r="D14370" i="1"/>
  <c r="C14370" i="1"/>
  <c r="B14370" i="1"/>
  <c r="A14370" i="1"/>
  <c r="F14369" i="1"/>
  <c r="E14369" i="1"/>
  <c r="D14369" i="1"/>
  <c r="C14369" i="1"/>
  <c r="B14369" i="1"/>
  <c r="A14369" i="1"/>
  <c r="F14368" i="1"/>
  <c r="E14368" i="1"/>
  <c r="D14368" i="1"/>
  <c r="C14368" i="1"/>
  <c r="B14368" i="1"/>
  <c r="A14368" i="1"/>
  <c r="F14367" i="1"/>
  <c r="E14367" i="1"/>
  <c r="D14367" i="1"/>
  <c r="C14367" i="1"/>
  <c r="B14367" i="1"/>
  <c r="A14367" i="1"/>
  <c r="F14366" i="1"/>
  <c r="E14366" i="1"/>
  <c r="D14366" i="1"/>
  <c r="C14366" i="1"/>
  <c r="B14366" i="1"/>
  <c r="A14366" i="1"/>
  <c r="F14365" i="1"/>
  <c r="E14365" i="1"/>
  <c r="D14365" i="1"/>
  <c r="C14365" i="1"/>
  <c r="B14365" i="1"/>
  <c r="A14365" i="1"/>
  <c r="F14364" i="1"/>
  <c r="E14364" i="1"/>
  <c r="D14364" i="1"/>
  <c r="C14364" i="1"/>
  <c r="B14364" i="1"/>
  <c r="A14364" i="1"/>
  <c r="F14363" i="1"/>
  <c r="E14363" i="1"/>
  <c r="D14363" i="1"/>
  <c r="C14363" i="1"/>
  <c r="B14363" i="1"/>
  <c r="A14363" i="1"/>
  <c r="F14362" i="1"/>
  <c r="E14362" i="1"/>
  <c r="D14362" i="1"/>
  <c r="C14362" i="1"/>
  <c r="B14362" i="1"/>
  <c r="A14362" i="1"/>
  <c r="F14361" i="1"/>
  <c r="E14361" i="1"/>
  <c r="D14361" i="1"/>
  <c r="C14361" i="1"/>
  <c r="B14361" i="1"/>
  <c r="A14361" i="1"/>
  <c r="F14360" i="1"/>
  <c r="E14360" i="1"/>
  <c r="D14360" i="1"/>
  <c r="C14360" i="1"/>
  <c r="B14360" i="1"/>
  <c r="A14360" i="1"/>
  <c r="F14359" i="1"/>
  <c r="E14359" i="1"/>
  <c r="D14359" i="1"/>
  <c r="C14359" i="1"/>
  <c r="B14359" i="1"/>
  <c r="A14359" i="1"/>
  <c r="F14358" i="1"/>
  <c r="E14358" i="1"/>
  <c r="D14358" i="1"/>
  <c r="C14358" i="1"/>
  <c r="B14358" i="1"/>
  <c r="A14358" i="1"/>
  <c r="F14357" i="1"/>
  <c r="E14357" i="1"/>
  <c r="D14357" i="1"/>
  <c r="C14357" i="1"/>
  <c r="B14357" i="1"/>
  <c r="A14357" i="1"/>
  <c r="F14356" i="1"/>
  <c r="E14356" i="1"/>
  <c r="D14356" i="1"/>
  <c r="C14356" i="1"/>
  <c r="B14356" i="1"/>
  <c r="A14356" i="1"/>
  <c r="F14355" i="1"/>
  <c r="E14355" i="1"/>
  <c r="D14355" i="1"/>
  <c r="C14355" i="1"/>
  <c r="B14355" i="1"/>
  <c r="A14355" i="1"/>
  <c r="F14354" i="1"/>
  <c r="E14354" i="1"/>
  <c r="D14354" i="1"/>
  <c r="C14354" i="1"/>
  <c r="B14354" i="1"/>
  <c r="A14354" i="1"/>
  <c r="F14353" i="1"/>
  <c r="E14353" i="1"/>
  <c r="D14353" i="1"/>
  <c r="C14353" i="1"/>
  <c r="B14353" i="1"/>
  <c r="A14353" i="1"/>
  <c r="F14352" i="1"/>
  <c r="E14352" i="1"/>
  <c r="D14352" i="1"/>
  <c r="C14352" i="1"/>
  <c r="B14352" i="1"/>
  <c r="A14352" i="1"/>
  <c r="F14351" i="1"/>
  <c r="E14351" i="1"/>
  <c r="D14351" i="1"/>
  <c r="C14351" i="1"/>
  <c r="B14351" i="1"/>
  <c r="A14351" i="1"/>
  <c r="F14350" i="1"/>
  <c r="E14350" i="1"/>
  <c r="D14350" i="1"/>
  <c r="C14350" i="1"/>
  <c r="B14350" i="1"/>
  <c r="A14350" i="1"/>
  <c r="F14349" i="1"/>
  <c r="E14349" i="1"/>
  <c r="D14349" i="1"/>
  <c r="C14349" i="1"/>
  <c r="B14349" i="1"/>
  <c r="A14349" i="1"/>
  <c r="F14348" i="1"/>
  <c r="E14348" i="1"/>
  <c r="D14348" i="1"/>
  <c r="C14348" i="1"/>
  <c r="B14348" i="1"/>
  <c r="A14348" i="1"/>
  <c r="F14347" i="1"/>
  <c r="E14347" i="1"/>
  <c r="D14347" i="1"/>
  <c r="C14347" i="1"/>
  <c r="B14347" i="1"/>
  <c r="A14347" i="1"/>
  <c r="F14346" i="1"/>
  <c r="E14346" i="1"/>
  <c r="D14346" i="1"/>
  <c r="C14346" i="1"/>
  <c r="B14346" i="1"/>
  <c r="A14346" i="1"/>
  <c r="F14345" i="1"/>
  <c r="E14345" i="1"/>
  <c r="D14345" i="1"/>
  <c r="C14345" i="1"/>
  <c r="B14345" i="1"/>
  <c r="A14345" i="1"/>
  <c r="F14344" i="1"/>
  <c r="E14344" i="1"/>
  <c r="D14344" i="1"/>
  <c r="C14344" i="1"/>
  <c r="B14344" i="1"/>
  <c r="A14344" i="1"/>
  <c r="F14343" i="1"/>
  <c r="E14343" i="1"/>
  <c r="D14343" i="1"/>
  <c r="C14343" i="1"/>
  <c r="B14343" i="1"/>
  <c r="A14343" i="1"/>
  <c r="F14342" i="1"/>
  <c r="E14342" i="1"/>
  <c r="D14342" i="1"/>
  <c r="C14342" i="1"/>
  <c r="B14342" i="1"/>
  <c r="A14342" i="1"/>
  <c r="F14341" i="1"/>
  <c r="E14341" i="1"/>
  <c r="D14341" i="1"/>
  <c r="C14341" i="1"/>
  <c r="B14341" i="1"/>
  <c r="A14341" i="1"/>
  <c r="F14340" i="1"/>
  <c r="E14340" i="1"/>
  <c r="D14340" i="1"/>
  <c r="C14340" i="1"/>
  <c r="B14340" i="1"/>
  <c r="A14340" i="1"/>
  <c r="F14339" i="1"/>
  <c r="E14339" i="1"/>
  <c r="D14339" i="1"/>
  <c r="C14339" i="1"/>
  <c r="B14339" i="1"/>
  <c r="A14339" i="1"/>
  <c r="F14338" i="1"/>
  <c r="E14338" i="1"/>
  <c r="D14338" i="1"/>
  <c r="C14338" i="1"/>
  <c r="B14338" i="1"/>
  <c r="A14338" i="1"/>
  <c r="F14337" i="1"/>
  <c r="E14337" i="1"/>
  <c r="D14337" i="1"/>
  <c r="C14337" i="1"/>
  <c r="B14337" i="1"/>
  <c r="A14337" i="1"/>
  <c r="F14336" i="1"/>
  <c r="E14336" i="1"/>
  <c r="D14336" i="1"/>
  <c r="C14336" i="1"/>
  <c r="B14336" i="1"/>
  <c r="A14336" i="1"/>
  <c r="F14335" i="1"/>
  <c r="E14335" i="1"/>
  <c r="D14335" i="1"/>
  <c r="C14335" i="1"/>
  <c r="B14335" i="1"/>
  <c r="A14335" i="1"/>
  <c r="F14334" i="1"/>
  <c r="E14334" i="1"/>
  <c r="D14334" i="1"/>
  <c r="C14334" i="1"/>
  <c r="B14334" i="1"/>
  <c r="A14334" i="1"/>
  <c r="F14333" i="1"/>
  <c r="E14333" i="1"/>
  <c r="D14333" i="1"/>
  <c r="C14333" i="1"/>
  <c r="B14333" i="1"/>
  <c r="A14333" i="1"/>
  <c r="F14332" i="1"/>
  <c r="E14332" i="1"/>
  <c r="D14332" i="1"/>
  <c r="C14332" i="1"/>
  <c r="B14332" i="1"/>
  <c r="A14332" i="1"/>
  <c r="F14331" i="1"/>
  <c r="E14331" i="1"/>
  <c r="D14331" i="1"/>
  <c r="C14331" i="1"/>
  <c r="B14331" i="1"/>
  <c r="A14331" i="1"/>
  <c r="F14330" i="1"/>
  <c r="E14330" i="1"/>
  <c r="D14330" i="1"/>
  <c r="C14330" i="1"/>
  <c r="B14330" i="1"/>
  <c r="A14330" i="1"/>
  <c r="F14329" i="1"/>
  <c r="E14329" i="1"/>
  <c r="D14329" i="1"/>
  <c r="C14329" i="1"/>
  <c r="B14329" i="1"/>
  <c r="A14329" i="1"/>
  <c r="F14328" i="1"/>
  <c r="E14328" i="1"/>
  <c r="D14328" i="1"/>
  <c r="C14328" i="1"/>
  <c r="B14328" i="1"/>
  <c r="A14328" i="1"/>
  <c r="F14327" i="1"/>
  <c r="E14327" i="1"/>
  <c r="D14327" i="1"/>
  <c r="C14327" i="1"/>
  <c r="B14327" i="1"/>
  <c r="A14327" i="1"/>
  <c r="F14326" i="1"/>
  <c r="E14326" i="1"/>
  <c r="D14326" i="1"/>
  <c r="C14326" i="1"/>
  <c r="B14326" i="1"/>
  <c r="A14326" i="1"/>
  <c r="F14325" i="1"/>
  <c r="E14325" i="1"/>
  <c r="D14325" i="1"/>
  <c r="C14325" i="1"/>
  <c r="B14325" i="1"/>
  <c r="A14325" i="1"/>
  <c r="F14324" i="1"/>
  <c r="E14324" i="1"/>
  <c r="D14324" i="1"/>
  <c r="C14324" i="1"/>
  <c r="B14324" i="1"/>
  <c r="A14324" i="1"/>
  <c r="F14323" i="1"/>
  <c r="E14323" i="1"/>
  <c r="D14323" i="1"/>
  <c r="C14323" i="1"/>
  <c r="B14323" i="1"/>
  <c r="A14323" i="1"/>
  <c r="F14322" i="1"/>
  <c r="E14322" i="1"/>
  <c r="D14322" i="1"/>
  <c r="C14322" i="1"/>
  <c r="B14322" i="1"/>
  <c r="A14322" i="1"/>
  <c r="F14321" i="1"/>
  <c r="E14321" i="1"/>
  <c r="D14321" i="1"/>
  <c r="C14321" i="1"/>
  <c r="B14321" i="1"/>
  <c r="A14321" i="1"/>
  <c r="F14320" i="1"/>
  <c r="E14320" i="1"/>
  <c r="D14320" i="1"/>
  <c r="C14320" i="1"/>
  <c r="B14320" i="1"/>
  <c r="A14320" i="1"/>
  <c r="F14319" i="1"/>
  <c r="E14319" i="1"/>
  <c r="D14319" i="1"/>
  <c r="C14319" i="1"/>
  <c r="B14319" i="1"/>
  <c r="A14319" i="1"/>
  <c r="F14318" i="1"/>
  <c r="E14318" i="1"/>
  <c r="D14318" i="1"/>
  <c r="C14318" i="1"/>
  <c r="B14318" i="1"/>
  <c r="A14318" i="1"/>
  <c r="F14317" i="1"/>
  <c r="E14317" i="1"/>
  <c r="D14317" i="1"/>
  <c r="C14317" i="1"/>
  <c r="B14317" i="1"/>
  <c r="A14317" i="1"/>
  <c r="F14316" i="1"/>
  <c r="E14316" i="1"/>
  <c r="D14316" i="1"/>
  <c r="C14316" i="1"/>
  <c r="B14316" i="1"/>
  <c r="A14316" i="1"/>
  <c r="F14315" i="1"/>
  <c r="E14315" i="1"/>
  <c r="D14315" i="1"/>
  <c r="C14315" i="1"/>
  <c r="B14315" i="1"/>
  <c r="A14315" i="1"/>
  <c r="F14314" i="1"/>
  <c r="E14314" i="1"/>
  <c r="D14314" i="1"/>
  <c r="C14314" i="1"/>
  <c r="B14314" i="1"/>
  <c r="A14314" i="1"/>
  <c r="F14313" i="1"/>
  <c r="E14313" i="1"/>
  <c r="D14313" i="1"/>
  <c r="C14313" i="1"/>
  <c r="B14313" i="1"/>
  <c r="A14313" i="1"/>
  <c r="F14312" i="1"/>
  <c r="E14312" i="1"/>
  <c r="D14312" i="1"/>
  <c r="C14312" i="1"/>
  <c r="B14312" i="1"/>
  <c r="A14312" i="1"/>
  <c r="F14311" i="1"/>
  <c r="E14311" i="1"/>
  <c r="D14311" i="1"/>
  <c r="C14311" i="1"/>
  <c r="B14311" i="1"/>
  <c r="A14311" i="1"/>
  <c r="F14310" i="1"/>
  <c r="E14310" i="1"/>
  <c r="D14310" i="1"/>
  <c r="C14310" i="1"/>
  <c r="B14310" i="1"/>
  <c r="A14310" i="1"/>
  <c r="F14309" i="1"/>
  <c r="E14309" i="1"/>
  <c r="D14309" i="1"/>
  <c r="C14309" i="1"/>
  <c r="B14309" i="1"/>
  <c r="A14309" i="1"/>
  <c r="F14308" i="1"/>
  <c r="E14308" i="1"/>
  <c r="D14308" i="1"/>
  <c r="C14308" i="1"/>
  <c r="B14308" i="1"/>
  <c r="A14308" i="1"/>
  <c r="F14307" i="1"/>
  <c r="E14307" i="1"/>
  <c r="D14307" i="1"/>
  <c r="C14307" i="1"/>
  <c r="B14307" i="1"/>
  <c r="A14307" i="1"/>
  <c r="F14306" i="1"/>
  <c r="E14306" i="1"/>
  <c r="D14306" i="1"/>
  <c r="C14306" i="1"/>
  <c r="B14306" i="1"/>
  <c r="A14306" i="1"/>
  <c r="F14305" i="1"/>
  <c r="E14305" i="1"/>
  <c r="D14305" i="1"/>
  <c r="C14305" i="1"/>
  <c r="B14305" i="1"/>
  <c r="A14305" i="1"/>
  <c r="F14304" i="1"/>
  <c r="E14304" i="1"/>
  <c r="D14304" i="1"/>
  <c r="C14304" i="1"/>
  <c r="B14304" i="1"/>
  <c r="A14304" i="1"/>
  <c r="F14303" i="1"/>
  <c r="E14303" i="1"/>
  <c r="D14303" i="1"/>
  <c r="C14303" i="1"/>
  <c r="B14303" i="1"/>
  <c r="A14303" i="1"/>
  <c r="F14302" i="1"/>
  <c r="E14302" i="1"/>
  <c r="D14302" i="1"/>
  <c r="C14302" i="1"/>
  <c r="B14302" i="1"/>
  <c r="A14302" i="1"/>
  <c r="F14301" i="1"/>
  <c r="E14301" i="1"/>
  <c r="D14301" i="1"/>
  <c r="C14301" i="1"/>
  <c r="B14301" i="1"/>
  <c r="A14301" i="1"/>
  <c r="F14300" i="1"/>
  <c r="E14300" i="1"/>
  <c r="D14300" i="1"/>
  <c r="C14300" i="1"/>
  <c r="B14300" i="1"/>
  <c r="A14300" i="1"/>
  <c r="F14299" i="1"/>
  <c r="E14299" i="1"/>
  <c r="D14299" i="1"/>
  <c r="C14299" i="1"/>
  <c r="B14299" i="1"/>
  <c r="A14299" i="1"/>
  <c r="F14298" i="1"/>
  <c r="E14298" i="1"/>
  <c r="D14298" i="1"/>
  <c r="C14298" i="1"/>
  <c r="B14298" i="1"/>
  <c r="A14298" i="1"/>
  <c r="F14297" i="1"/>
  <c r="E14297" i="1"/>
  <c r="D14297" i="1"/>
  <c r="C14297" i="1"/>
  <c r="B14297" i="1"/>
  <c r="A14297" i="1"/>
  <c r="F14296" i="1"/>
  <c r="E14296" i="1"/>
  <c r="D14296" i="1"/>
  <c r="C14296" i="1"/>
  <c r="B14296" i="1"/>
  <c r="A14296" i="1"/>
  <c r="F14295" i="1"/>
  <c r="E14295" i="1"/>
  <c r="D14295" i="1"/>
  <c r="C14295" i="1"/>
  <c r="B14295" i="1"/>
  <c r="A14295" i="1"/>
  <c r="F14294" i="1"/>
  <c r="E14294" i="1"/>
  <c r="D14294" i="1"/>
  <c r="C14294" i="1"/>
  <c r="B14294" i="1"/>
  <c r="A14294" i="1"/>
  <c r="F14293" i="1"/>
  <c r="E14293" i="1"/>
  <c r="D14293" i="1"/>
  <c r="C14293" i="1"/>
  <c r="B14293" i="1"/>
  <c r="A14293" i="1"/>
  <c r="F14292" i="1"/>
  <c r="E14292" i="1"/>
  <c r="D14292" i="1"/>
  <c r="C14292" i="1"/>
  <c r="B14292" i="1"/>
  <c r="A14292" i="1"/>
  <c r="F14291" i="1"/>
  <c r="E14291" i="1"/>
  <c r="D14291" i="1"/>
  <c r="C14291" i="1"/>
  <c r="B14291" i="1"/>
  <c r="A14291" i="1"/>
  <c r="F14290" i="1"/>
  <c r="E14290" i="1"/>
  <c r="D14290" i="1"/>
  <c r="C14290" i="1"/>
  <c r="B14290" i="1"/>
  <c r="A14290" i="1"/>
  <c r="F14289" i="1"/>
  <c r="E14289" i="1"/>
  <c r="D14289" i="1"/>
  <c r="C14289" i="1"/>
  <c r="B14289" i="1"/>
  <c r="A14289" i="1"/>
  <c r="F14288" i="1"/>
  <c r="E14288" i="1"/>
  <c r="D14288" i="1"/>
  <c r="C14288" i="1"/>
  <c r="B14288" i="1"/>
  <c r="A14288" i="1"/>
  <c r="F14287" i="1"/>
  <c r="E14287" i="1"/>
  <c r="D14287" i="1"/>
  <c r="C14287" i="1"/>
  <c r="B14287" i="1"/>
  <c r="A14287" i="1"/>
  <c r="F14286" i="1"/>
  <c r="E14286" i="1"/>
  <c r="D14286" i="1"/>
  <c r="C14286" i="1"/>
  <c r="B14286" i="1"/>
  <c r="A14286" i="1"/>
  <c r="F14285" i="1"/>
  <c r="E14285" i="1"/>
  <c r="D14285" i="1"/>
  <c r="C14285" i="1"/>
  <c r="B14285" i="1"/>
  <c r="A14285" i="1"/>
  <c r="F14284" i="1"/>
  <c r="E14284" i="1"/>
  <c r="D14284" i="1"/>
  <c r="C14284" i="1"/>
  <c r="B14284" i="1"/>
  <c r="A14284" i="1"/>
  <c r="F14283" i="1"/>
  <c r="E14283" i="1"/>
  <c r="D14283" i="1"/>
  <c r="C14283" i="1"/>
  <c r="B14283" i="1"/>
  <c r="A14283" i="1"/>
  <c r="F14282" i="1"/>
  <c r="E14282" i="1"/>
  <c r="D14282" i="1"/>
  <c r="C14282" i="1"/>
  <c r="B14282" i="1"/>
  <c r="A14282" i="1"/>
  <c r="F14281" i="1"/>
  <c r="E14281" i="1"/>
  <c r="D14281" i="1"/>
  <c r="C14281" i="1"/>
  <c r="B14281" i="1"/>
  <c r="A14281" i="1"/>
  <c r="F14280" i="1"/>
  <c r="E14280" i="1"/>
  <c r="D14280" i="1"/>
  <c r="C14280" i="1"/>
  <c r="B14280" i="1"/>
  <c r="A14280" i="1"/>
  <c r="F14279" i="1"/>
  <c r="E14279" i="1"/>
  <c r="D14279" i="1"/>
  <c r="C14279" i="1"/>
  <c r="B14279" i="1"/>
  <c r="A14279" i="1"/>
  <c r="F14278" i="1"/>
  <c r="E14278" i="1"/>
  <c r="D14278" i="1"/>
  <c r="C14278" i="1"/>
  <c r="B14278" i="1"/>
  <c r="A14278" i="1"/>
  <c r="F14277" i="1"/>
  <c r="E14277" i="1"/>
  <c r="D14277" i="1"/>
  <c r="C14277" i="1"/>
  <c r="B14277" i="1"/>
  <c r="A14277" i="1"/>
  <c r="F14276" i="1"/>
  <c r="E14276" i="1"/>
  <c r="D14276" i="1"/>
  <c r="C14276" i="1"/>
  <c r="B14276" i="1"/>
  <c r="A14276" i="1"/>
  <c r="F14275" i="1"/>
  <c r="E14275" i="1"/>
  <c r="D14275" i="1"/>
  <c r="C14275" i="1"/>
  <c r="B14275" i="1"/>
  <c r="A14275" i="1"/>
  <c r="F14274" i="1"/>
  <c r="E14274" i="1"/>
  <c r="D14274" i="1"/>
  <c r="C14274" i="1"/>
  <c r="B14274" i="1"/>
  <c r="A14274" i="1"/>
  <c r="F14273" i="1"/>
  <c r="E14273" i="1"/>
  <c r="D14273" i="1"/>
  <c r="C14273" i="1"/>
  <c r="B14273" i="1"/>
  <c r="A14273" i="1"/>
  <c r="F14272" i="1"/>
  <c r="E14272" i="1"/>
  <c r="D14272" i="1"/>
  <c r="C14272" i="1"/>
  <c r="B14272" i="1"/>
  <c r="A14272" i="1"/>
  <c r="F14271" i="1"/>
  <c r="E14271" i="1"/>
  <c r="D14271" i="1"/>
  <c r="C14271" i="1"/>
  <c r="B14271" i="1"/>
  <c r="A14271" i="1"/>
  <c r="F14270" i="1"/>
  <c r="E14270" i="1"/>
  <c r="D14270" i="1"/>
  <c r="C14270" i="1"/>
  <c r="B14270" i="1"/>
  <c r="A14270" i="1"/>
  <c r="F14269" i="1"/>
  <c r="E14269" i="1"/>
  <c r="D14269" i="1"/>
  <c r="C14269" i="1"/>
  <c r="B14269" i="1"/>
  <c r="A14269" i="1"/>
  <c r="F14268" i="1"/>
  <c r="E14268" i="1"/>
  <c r="D14268" i="1"/>
  <c r="C14268" i="1"/>
  <c r="B14268" i="1"/>
  <c r="A14268" i="1"/>
  <c r="F14267" i="1"/>
  <c r="E14267" i="1"/>
  <c r="D14267" i="1"/>
  <c r="C14267" i="1"/>
  <c r="B14267" i="1"/>
  <c r="A14267" i="1"/>
  <c r="F14266" i="1"/>
  <c r="E14266" i="1"/>
  <c r="D14266" i="1"/>
  <c r="C14266" i="1"/>
  <c r="B14266" i="1"/>
  <c r="A14266" i="1"/>
  <c r="F14265" i="1"/>
  <c r="E14265" i="1"/>
  <c r="D14265" i="1"/>
  <c r="C14265" i="1"/>
  <c r="B14265" i="1"/>
  <c r="A14265" i="1"/>
  <c r="F14264" i="1"/>
  <c r="E14264" i="1"/>
  <c r="D14264" i="1"/>
  <c r="C14264" i="1"/>
  <c r="B14264" i="1"/>
  <c r="A14264" i="1"/>
  <c r="F14263" i="1"/>
  <c r="E14263" i="1"/>
  <c r="D14263" i="1"/>
  <c r="C14263" i="1"/>
  <c r="B14263" i="1"/>
  <c r="A14263" i="1"/>
  <c r="F14262" i="1"/>
  <c r="E14262" i="1"/>
  <c r="D14262" i="1"/>
  <c r="C14262" i="1"/>
  <c r="B14262" i="1"/>
  <c r="A14262" i="1"/>
  <c r="F14261" i="1"/>
  <c r="E14261" i="1"/>
  <c r="D14261" i="1"/>
  <c r="C14261" i="1"/>
  <c r="B14261" i="1"/>
  <c r="A14261" i="1"/>
  <c r="F14260" i="1"/>
  <c r="E14260" i="1"/>
  <c r="D14260" i="1"/>
  <c r="C14260" i="1"/>
  <c r="B14260" i="1"/>
  <c r="A14260" i="1"/>
  <c r="F14259" i="1"/>
  <c r="E14259" i="1"/>
  <c r="D14259" i="1"/>
  <c r="C14259" i="1"/>
  <c r="B14259" i="1"/>
  <c r="A14259" i="1"/>
  <c r="F14258" i="1"/>
  <c r="E14258" i="1"/>
  <c r="D14258" i="1"/>
  <c r="C14258" i="1"/>
  <c r="B14258" i="1"/>
  <c r="A14258" i="1"/>
  <c r="F14257" i="1"/>
  <c r="E14257" i="1"/>
  <c r="D14257" i="1"/>
  <c r="C14257" i="1"/>
  <c r="B14257" i="1"/>
  <c r="A14257" i="1"/>
  <c r="F14256" i="1"/>
  <c r="E14256" i="1"/>
  <c r="D14256" i="1"/>
  <c r="C14256" i="1"/>
  <c r="B14256" i="1"/>
  <c r="A14256" i="1"/>
  <c r="F14255" i="1"/>
  <c r="E14255" i="1"/>
  <c r="D14255" i="1"/>
  <c r="C14255" i="1"/>
  <c r="B14255" i="1"/>
  <c r="A14255" i="1"/>
  <c r="F14254" i="1"/>
  <c r="E14254" i="1"/>
  <c r="D14254" i="1"/>
  <c r="C14254" i="1"/>
  <c r="B14254" i="1"/>
  <c r="A14254" i="1"/>
  <c r="F14253" i="1"/>
  <c r="E14253" i="1"/>
  <c r="D14253" i="1"/>
  <c r="C14253" i="1"/>
  <c r="B14253" i="1"/>
  <c r="A14253" i="1"/>
  <c r="F14252" i="1"/>
  <c r="E14252" i="1"/>
  <c r="D14252" i="1"/>
  <c r="C14252" i="1"/>
  <c r="B14252" i="1"/>
  <c r="A14252" i="1"/>
  <c r="F14251" i="1"/>
  <c r="E14251" i="1"/>
  <c r="D14251" i="1"/>
  <c r="C14251" i="1"/>
  <c r="B14251" i="1"/>
  <c r="A14251" i="1"/>
  <c r="F14250" i="1"/>
  <c r="E14250" i="1"/>
  <c r="D14250" i="1"/>
  <c r="C14250" i="1"/>
  <c r="B14250" i="1"/>
  <c r="A14250" i="1"/>
  <c r="F14249" i="1"/>
  <c r="E14249" i="1"/>
  <c r="D14249" i="1"/>
  <c r="C14249" i="1"/>
  <c r="B14249" i="1"/>
  <c r="A14249" i="1"/>
  <c r="F14248" i="1"/>
  <c r="E14248" i="1"/>
  <c r="D14248" i="1"/>
  <c r="C14248" i="1"/>
  <c r="B14248" i="1"/>
  <c r="A14248" i="1"/>
  <c r="F14247" i="1"/>
  <c r="E14247" i="1"/>
  <c r="D14247" i="1"/>
  <c r="C14247" i="1"/>
  <c r="B14247" i="1"/>
  <c r="A14247" i="1"/>
  <c r="F14246" i="1"/>
  <c r="E14246" i="1"/>
  <c r="D14246" i="1"/>
  <c r="C14246" i="1"/>
  <c r="B14246" i="1"/>
  <c r="A14246" i="1"/>
  <c r="F14245" i="1"/>
  <c r="E14245" i="1"/>
  <c r="D14245" i="1"/>
  <c r="C14245" i="1"/>
  <c r="B14245" i="1"/>
  <c r="A14245" i="1"/>
  <c r="F14244" i="1"/>
  <c r="E14244" i="1"/>
  <c r="D14244" i="1"/>
  <c r="C14244" i="1"/>
  <c r="B14244" i="1"/>
  <c r="A14244" i="1"/>
  <c r="F14243" i="1"/>
  <c r="E14243" i="1"/>
  <c r="D14243" i="1"/>
  <c r="C14243" i="1"/>
  <c r="B14243" i="1"/>
  <c r="A14243" i="1"/>
  <c r="F14242" i="1"/>
  <c r="E14242" i="1"/>
  <c r="D14242" i="1"/>
  <c r="C14242" i="1"/>
  <c r="B14242" i="1"/>
  <c r="A14242" i="1"/>
  <c r="F14241" i="1"/>
  <c r="E14241" i="1"/>
  <c r="D14241" i="1"/>
  <c r="C14241" i="1"/>
  <c r="B14241" i="1"/>
  <c r="A14241" i="1"/>
  <c r="F14240" i="1"/>
  <c r="E14240" i="1"/>
  <c r="D14240" i="1"/>
  <c r="C14240" i="1"/>
  <c r="B14240" i="1"/>
  <c r="A14240" i="1"/>
  <c r="F14239" i="1"/>
  <c r="E14239" i="1"/>
  <c r="D14239" i="1"/>
  <c r="C14239" i="1"/>
  <c r="B14239" i="1"/>
  <c r="A14239" i="1"/>
  <c r="F14238" i="1"/>
  <c r="E14238" i="1"/>
  <c r="D14238" i="1"/>
  <c r="C14238" i="1"/>
  <c r="B14238" i="1"/>
  <c r="A14238" i="1"/>
  <c r="F14237" i="1"/>
  <c r="E14237" i="1"/>
  <c r="D14237" i="1"/>
  <c r="C14237" i="1"/>
  <c r="B14237" i="1"/>
  <c r="A14237" i="1"/>
  <c r="F14236" i="1"/>
  <c r="E14236" i="1"/>
  <c r="D14236" i="1"/>
  <c r="C14236" i="1"/>
  <c r="B14236" i="1"/>
  <c r="A14236" i="1"/>
  <c r="F14235" i="1"/>
  <c r="E14235" i="1"/>
  <c r="D14235" i="1"/>
  <c r="C14235" i="1"/>
  <c r="B14235" i="1"/>
  <c r="A14235" i="1"/>
  <c r="F14234" i="1"/>
  <c r="E14234" i="1"/>
  <c r="D14234" i="1"/>
  <c r="C14234" i="1"/>
  <c r="B14234" i="1"/>
  <c r="A14234" i="1"/>
  <c r="F14233" i="1"/>
  <c r="E14233" i="1"/>
  <c r="D14233" i="1"/>
  <c r="C14233" i="1"/>
  <c r="B14233" i="1"/>
  <c r="A14233" i="1"/>
  <c r="F14232" i="1"/>
  <c r="E14232" i="1"/>
  <c r="D14232" i="1"/>
  <c r="C14232" i="1"/>
  <c r="B14232" i="1"/>
  <c r="A14232" i="1"/>
  <c r="F14231" i="1"/>
  <c r="E14231" i="1"/>
  <c r="D14231" i="1"/>
  <c r="C14231" i="1"/>
  <c r="B14231" i="1"/>
  <c r="A14231" i="1"/>
  <c r="F14230" i="1"/>
  <c r="E14230" i="1"/>
  <c r="D14230" i="1"/>
  <c r="C14230" i="1"/>
  <c r="B14230" i="1"/>
  <c r="A14230" i="1"/>
  <c r="F14229" i="1"/>
  <c r="E14229" i="1"/>
  <c r="D14229" i="1"/>
  <c r="C14229" i="1"/>
  <c r="B14229" i="1"/>
  <c r="A14229" i="1"/>
  <c r="F14228" i="1"/>
  <c r="E14228" i="1"/>
  <c r="D14228" i="1"/>
  <c r="C14228" i="1"/>
  <c r="B14228" i="1"/>
  <c r="A14228" i="1"/>
  <c r="F14227" i="1"/>
  <c r="E14227" i="1"/>
  <c r="D14227" i="1"/>
  <c r="C14227" i="1"/>
  <c r="B14227" i="1"/>
  <c r="A14227" i="1"/>
  <c r="F14226" i="1"/>
  <c r="E14226" i="1"/>
  <c r="D14226" i="1"/>
  <c r="C14226" i="1"/>
  <c r="B14226" i="1"/>
  <c r="A14226" i="1"/>
  <c r="F14225" i="1"/>
  <c r="E14225" i="1"/>
  <c r="D14225" i="1"/>
  <c r="C14225" i="1"/>
  <c r="B14225" i="1"/>
  <c r="A14225" i="1"/>
  <c r="F14224" i="1"/>
  <c r="E14224" i="1"/>
  <c r="D14224" i="1"/>
  <c r="C14224" i="1"/>
  <c r="B14224" i="1"/>
  <c r="A14224" i="1"/>
  <c r="F14223" i="1"/>
  <c r="E14223" i="1"/>
  <c r="D14223" i="1"/>
  <c r="C14223" i="1"/>
  <c r="B14223" i="1"/>
  <c r="A14223" i="1"/>
  <c r="F14222" i="1"/>
  <c r="E14222" i="1"/>
  <c r="D14222" i="1"/>
  <c r="C14222" i="1"/>
  <c r="B14222" i="1"/>
  <c r="A14222" i="1"/>
  <c r="F14221" i="1"/>
  <c r="E14221" i="1"/>
  <c r="D14221" i="1"/>
  <c r="C14221" i="1"/>
  <c r="B14221" i="1"/>
  <c r="A14221" i="1"/>
  <c r="F14220" i="1"/>
  <c r="E14220" i="1"/>
  <c r="D14220" i="1"/>
  <c r="C14220" i="1"/>
  <c r="B14220" i="1"/>
  <c r="A14220" i="1"/>
  <c r="F14219" i="1"/>
  <c r="E14219" i="1"/>
  <c r="D14219" i="1"/>
  <c r="C14219" i="1"/>
  <c r="B14219" i="1"/>
  <c r="A14219" i="1"/>
  <c r="F14218" i="1"/>
  <c r="E14218" i="1"/>
  <c r="D14218" i="1"/>
  <c r="C14218" i="1"/>
  <c r="B14218" i="1"/>
  <c r="A14218" i="1"/>
  <c r="F14217" i="1"/>
  <c r="E14217" i="1"/>
  <c r="D14217" i="1"/>
  <c r="C14217" i="1"/>
  <c r="B14217" i="1"/>
  <c r="A14217" i="1"/>
  <c r="F14216" i="1"/>
  <c r="E14216" i="1"/>
  <c r="D14216" i="1"/>
  <c r="C14216" i="1"/>
  <c r="B14216" i="1"/>
  <c r="A14216" i="1"/>
  <c r="F14215" i="1"/>
  <c r="E14215" i="1"/>
  <c r="D14215" i="1"/>
  <c r="C14215" i="1"/>
  <c r="B14215" i="1"/>
  <c r="A14215" i="1"/>
  <c r="F14214" i="1"/>
  <c r="E14214" i="1"/>
  <c r="D14214" i="1"/>
  <c r="C14214" i="1"/>
  <c r="B14214" i="1"/>
  <c r="A14214" i="1"/>
  <c r="F14213" i="1"/>
  <c r="E14213" i="1"/>
  <c r="D14213" i="1"/>
  <c r="C14213" i="1"/>
  <c r="B14213" i="1"/>
  <c r="A14213" i="1"/>
  <c r="F14212" i="1"/>
  <c r="E14212" i="1"/>
  <c r="D14212" i="1"/>
  <c r="C14212" i="1"/>
  <c r="B14212" i="1"/>
  <c r="A14212" i="1"/>
  <c r="F14211" i="1"/>
  <c r="E14211" i="1"/>
  <c r="D14211" i="1"/>
  <c r="C14211" i="1"/>
  <c r="B14211" i="1"/>
  <c r="A14211" i="1"/>
  <c r="F14210" i="1"/>
  <c r="E14210" i="1"/>
  <c r="D14210" i="1"/>
  <c r="C14210" i="1"/>
  <c r="B14210" i="1"/>
  <c r="A14210" i="1"/>
  <c r="F14209" i="1"/>
  <c r="E14209" i="1"/>
  <c r="D14209" i="1"/>
  <c r="C14209" i="1"/>
  <c r="B14209" i="1"/>
  <c r="A14209" i="1"/>
  <c r="F14208" i="1"/>
  <c r="E14208" i="1"/>
  <c r="D14208" i="1"/>
  <c r="C14208" i="1"/>
  <c r="B14208" i="1"/>
  <c r="A14208" i="1"/>
  <c r="F14207" i="1"/>
  <c r="E14207" i="1"/>
  <c r="D14207" i="1"/>
  <c r="C14207" i="1"/>
  <c r="B14207" i="1"/>
  <c r="A14207" i="1"/>
  <c r="F14206" i="1"/>
  <c r="E14206" i="1"/>
  <c r="D14206" i="1"/>
  <c r="C14206" i="1"/>
  <c r="B14206" i="1"/>
  <c r="A14206" i="1"/>
  <c r="F14205" i="1"/>
  <c r="E14205" i="1"/>
  <c r="D14205" i="1"/>
  <c r="C14205" i="1"/>
  <c r="B14205" i="1"/>
  <c r="A14205" i="1"/>
  <c r="F14204" i="1"/>
  <c r="E14204" i="1"/>
  <c r="D14204" i="1"/>
  <c r="C14204" i="1"/>
  <c r="B14204" i="1"/>
  <c r="A14204" i="1"/>
  <c r="F14203" i="1"/>
  <c r="E14203" i="1"/>
  <c r="D14203" i="1"/>
  <c r="C14203" i="1"/>
  <c r="B14203" i="1"/>
  <c r="A14203" i="1"/>
  <c r="F14202" i="1"/>
  <c r="E14202" i="1"/>
  <c r="D14202" i="1"/>
  <c r="C14202" i="1"/>
  <c r="B14202" i="1"/>
  <c r="A14202" i="1"/>
  <c r="F14201" i="1"/>
  <c r="E14201" i="1"/>
  <c r="D14201" i="1"/>
  <c r="C14201" i="1"/>
  <c r="B14201" i="1"/>
  <c r="A14201" i="1"/>
  <c r="F14200" i="1"/>
  <c r="E14200" i="1"/>
  <c r="D14200" i="1"/>
  <c r="C14200" i="1"/>
  <c r="B14200" i="1"/>
  <c r="A14200" i="1"/>
  <c r="F14199" i="1"/>
  <c r="E14199" i="1"/>
  <c r="D14199" i="1"/>
  <c r="C14199" i="1"/>
  <c r="B14199" i="1"/>
  <c r="A14199" i="1"/>
  <c r="F14198" i="1"/>
  <c r="E14198" i="1"/>
  <c r="D14198" i="1"/>
  <c r="C14198" i="1"/>
  <c r="B14198" i="1"/>
  <c r="A14198" i="1"/>
  <c r="F14197" i="1"/>
  <c r="E14197" i="1"/>
  <c r="D14197" i="1"/>
  <c r="C14197" i="1"/>
  <c r="B14197" i="1"/>
  <c r="A14197" i="1"/>
  <c r="F14196" i="1"/>
  <c r="E14196" i="1"/>
  <c r="D14196" i="1"/>
  <c r="C14196" i="1"/>
  <c r="B14196" i="1"/>
  <c r="A14196" i="1"/>
  <c r="F14195" i="1"/>
  <c r="E14195" i="1"/>
  <c r="D14195" i="1"/>
  <c r="C14195" i="1"/>
  <c r="B14195" i="1"/>
  <c r="A14195" i="1"/>
  <c r="F14194" i="1"/>
  <c r="E14194" i="1"/>
  <c r="D14194" i="1"/>
  <c r="C14194" i="1"/>
  <c r="B14194" i="1"/>
  <c r="A14194" i="1"/>
  <c r="F14193" i="1"/>
  <c r="E14193" i="1"/>
  <c r="D14193" i="1"/>
  <c r="C14193" i="1"/>
  <c r="B14193" i="1"/>
  <c r="A14193" i="1"/>
  <c r="F14192" i="1"/>
  <c r="E14192" i="1"/>
  <c r="D14192" i="1"/>
  <c r="C14192" i="1"/>
  <c r="B14192" i="1"/>
  <c r="A14192" i="1"/>
  <c r="F14191" i="1"/>
  <c r="E14191" i="1"/>
  <c r="D14191" i="1"/>
  <c r="C14191" i="1"/>
  <c r="B14191" i="1"/>
  <c r="A14191" i="1"/>
  <c r="F14190" i="1"/>
  <c r="E14190" i="1"/>
  <c r="D14190" i="1"/>
  <c r="C14190" i="1"/>
  <c r="B14190" i="1"/>
  <c r="A14190" i="1"/>
  <c r="F14189" i="1"/>
  <c r="E14189" i="1"/>
  <c r="D14189" i="1"/>
  <c r="C14189" i="1"/>
  <c r="B14189" i="1"/>
  <c r="A14189" i="1"/>
  <c r="F14188" i="1"/>
  <c r="E14188" i="1"/>
  <c r="D14188" i="1"/>
  <c r="C14188" i="1"/>
  <c r="B14188" i="1"/>
  <c r="A14188" i="1"/>
  <c r="F14187" i="1"/>
  <c r="E14187" i="1"/>
  <c r="D14187" i="1"/>
  <c r="C14187" i="1"/>
  <c r="B14187" i="1"/>
  <c r="A14187" i="1"/>
  <c r="F14186" i="1"/>
  <c r="E14186" i="1"/>
  <c r="D14186" i="1"/>
  <c r="C14186" i="1"/>
  <c r="B14186" i="1"/>
  <c r="A14186" i="1"/>
  <c r="F14185" i="1"/>
  <c r="E14185" i="1"/>
  <c r="D14185" i="1"/>
  <c r="C14185" i="1"/>
  <c r="B14185" i="1"/>
  <c r="A14185" i="1"/>
  <c r="F14184" i="1"/>
  <c r="E14184" i="1"/>
  <c r="D14184" i="1"/>
  <c r="C14184" i="1"/>
  <c r="B14184" i="1"/>
  <c r="A14184" i="1"/>
  <c r="F14183" i="1"/>
  <c r="E14183" i="1"/>
  <c r="D14183" i="1"/>
  <c r="C14183" i="1"/>
  <c r="B14183" i="1"/>
  <c r="A14183" i="1"/>
  <c r="F14182" i="1"/>
  <c r="E14182" i="1"/>
  <c r="D14182" i="1"/>
  <c r="C14182" i="1"/>
  <c r="B14182" i="1"/>
  <c r="A14182" i="1"/>
  <c r="F14181" i="1"/>
  <c r="E14181" i="1"/>
  <c r="D14181" i="1"/>
  <c r="C14181" i="1"/>
  <c r="B14181" i="1"/>
  <c r="A14181" i="1"/>
  <c r="F14180" i="1"/>
  <c r="E14180" i="1"/>
  <c r="D14180" i="1"/>
  <c r="C14180" i="1"/>
  <c r="B14180" i="1"/>
  <c r="A14180" i="1"/>
  <c r="F14179" i="1"/>
  <c r="E14179" i="1"/>
  <c r="D14179" i="1"/>
  <c r="C14179" i="1"/>
  <c r="B14179" i="1"/>
  <c r="A14179" i="1"/>
  <c r="F14178" i="1"/>
  <c r="E14178" i="1"/>
  <c r="D14178" i="1"/>
  <c r="C14178" i="1"/>
  <c r="B14178" i="1"/>
  <c r="A14178" i="1"/>
  <c r="F14177" i="1"/>
  <c r="E14177" i="1"/>
  <c r="D14177" i="1"/>
  <c r="C14177" i="1"/>
  <c r="B14177" i="1"/>
  <c r="A14177" i="1"/>
  <c r="F14176" i="1"/>
  <c r="E14176" i="1"/>
  <c r="D14176" i="1"/>
  <c r="C14176" i="1"/>
  <c r="B14176" i="1"/>
  <c r="A14176" i="1"/>
  <c r="F14175" i="1"/>
  <c r="E14175" i="1"/>
  <c r="D14175" i="1"/>
  <c r="C14175" i="1"/>
  <c r="B14175" i="1"/>
  <c r="A14175" i="1"/>
  <c r="F14174" i="1"/>
  <c r="E14174" i="1"/>
  <c r="D14174" i="1"/>
  <c r="C14174" i="1"/>
  <c r="B14174" i="1"/>
  <c r="A14174" i="1"/>
  <c r="F14173" i="1"/>
  <c r="E14173" i="1"/>
  <c r="D14173" i="1"/>
  <c r="C14173" i="1"/>
  <c r="B14173" i="1"/>
  <c r="A14173" i="1"/>
  <c r="F14172" i="1"/>
  <c r="E14172" i="1"/>
  <c r="D14172" i="1"/>
  <c r="C14172" i="1"/>
  <c r="B14172" i="1"/>
  <c r="A14172" i="1"/>
  <c r="F14171" i="1"/>
  <c r="E14171" i="1"/>
  <c r="D14171" i="1"/>
  <c r="C14171" i="1"/>
  <c r="B14171" i="1"/>
  <c r="A14171" i="1"/>
  <c r="F14170" i="1"/>
  <c r="E14170" i="1"/>
  <c r="D14170" i="1"/>
  <c r="C14170" i="1"/>
  <c r="B14170" i="1"/>
  <c r="A14170" i="1"/>
  <c r="F14169" i="1"/>
  <c r="E14169" i="1"/>
  <c r="D14169" i="1"/>
  <c r="C14169" i="1"/>
  <c r="B14169" i="1"/>
  <c r="A14169" i="1"/>
  <c r="F14168" i="1"/>
  <c r="E14168" i="1"/>
  <c r="D14168" i="1"/>
  <c r="C14168" i="1"/>
  <c r="B14168" i="1"/>
  <c r="A14168" i="1"/>
  <c r="F14167" i="1"/>
  <c r="E14167" i="1"/>
  <c r="D14167" i="1"/>
  <c r="C14167" i="1"/>
  <c r="B14167" i="1"/>
  <c r="A14167" i="1"/>
  <c r="F14166" i="1"/>
  <c r="E14166" i="1"/>
  <c r="D14166" i="1"/>
  <c r="C14166" i="1"/>
  <c r="B14166" i="1"/>
  <c r="A14166" i="1"/>
  <c r="F14165" i="1"/>
  <c r="E14165" i="1"/>
  <c r="D14165" i="1"/>
  <c r="C14165" i="1"/>
  <c r="B14165" i="1"/>
  <c r="A14165" i="1"/>
  <c r="F14164" i="1"/>
  <c r="E14164" i="1"/>
  <c r="D14164" i="1"/>
  <c r="C14164" i="1"/>
  <c r="B14164" i="1"/>
  <c r="A14164" i="1"/>
  <c r="F14163" i="1"/>
  <c r="E14163" i="1"/>
  <c r="D14163" i="1"/>
  <c r="C14163" i="1"/>
  <c r="B14163" i="1"/>
  <c r="A14163" i="1"/>
  <c r="F14162" i="1"/>
  <c r="E14162" i="1"/>
  <c r="D14162" i="1"/>
  <c r="C14162" i="1"/>
  <c r="B14162" i="1"/>
  <c r="A14162" i="1"/>
  <c r="F14161" i="1"/>
  <c r="E14161" i="1"/>
  <c r="D14161" i="1"/>
  <c r="C14161" i="1"/>
  <c r="B14161" i="1"/>
  <c r="A14161" i="1"/>
  <c r="F14160" i="1"/>
  <c r="E14160" i="1"/>
  <c r="D14160" i="1"/>
  <c r="C14160" i="1"/>
  <c r="B14160" i="1"/>
  <c r="A14160" i="1"/>
  <c r="F14159" i="1"/>
  <c r="E14159" i="1"/>
  <c r="D14159" i="1"/>
  <c r="C14159" i="1"/>
  <c r="B14159" i="1"/>
  <c r="A14159" i="1"/>
  <c r="F14158" i="1"/>
  <c r="E14158" i="1"/>
  <c r="D14158" i="1"/>
  <c r="C14158" i="1"/>
  <c r="B14158" i="1"/>
  <c r="A14158" i="1"/>
  <c r="F14157" i="1"/>
  <c r="E14157" i="1"/>
  <c r="D14157" i="1"/>
  <c r="C14157" i="1"/>
  <c r="B14157" i="1"/>
  <c r="A14157" i="1"/>
  <c r="F14156" i="1"/>
  <c r="E14156" i="1"/>
  <c r="D14156" i="1"/>
  <c r="C14156" i="1"/>
  <c r="B14156" i="1"/>
  <c r="A14156" i="1"/>
  <c r="F14155" i="1"/>
  <c r="E14155" i="1"/>
  <c r="D14155" i="1"/>
  <c r="C14155" i="1"/>
  <c r="B14155" i="1"/>
  <c r="A14155" i="1"/>
  <c r="F14154" i="1"/>
  <c r="E14154" i="1"/>
  <c r="D14154" i="1"/>
  <c r="C14154" i="1"/>
  <c r="B14154" i="1"/>
  <c r="A14154" i="1"/>
  <c r="F14153" i="1"/>
  <c r="E14153" i="1"/>
  <c r="D14153" i="1"/>
  <c r="C14153" i="1"/>
  <c r="B14153" i="1"/>
  <c r="A14153" i="1"/>
  <c r="F14152" i="1"/>
  <c r="E14152" i="1"/>
  <c r="D14152" i="1"/>
  <c r="C14152" i="1"/>
  <c r="B14152" i="1"/>
  <c r="A14152" i="1"/>
  <c r="F14151" i="1"/>
  <c r="E14151" i="1"/>
  <c r="D14151" i="1"/>
  <c r="C14151" i="1"/>
  <c r="B14151" i="1"/>
  <c r="A14151" i="1"/>
  <c r="F14150" i="1"/>
  <c r="E14150" i="1"/>
  <c r="D14150" i="1"/>
  <c r="C14150" i="1"/>
  <c r="B14150" i="1"/>
  <c r="A14150" i="1"/>
  <c r="F14149" i="1"/>
  <c r="E14149" i="1"/>
  <c r="D14149" i="1"/>
  <c r="C14149" i="1"/>
  <c r="B14149" i="1"/>
  <c r="A14149" i="1"/>
  <c r="F14148" i="1"/>
  <c r="E14148" i="1"/>
  <c r="D14148" i="1"/>
  <c r="C14148" i="1"/>
  <c r="B14148" i="1"/>
  <c r="A14148" i="1"/>
  <c r="F14147" i="1"/>
  <c r="E14147" i="1"/>
  <c r="D14147" i="1"/>
  <c r="C14147" i="1"/>
  <c r="B14147" i="1"/>
  <c r="A14147" i="1"/>
  <c r="F14146" i="1"/>
  <c r="E14146" i="1"/>
  <c r="D14146" i="1"/>
  <c r="C14146" i="1"/>
  <c r="B14146" i="1"/>
  <c r="A14146" i="1"/>
  <c r="F14145" i="1"/>
  <c r="E14145" i="1"/>
  <c r="D14145" i="1"/>
  <c r="C14145" i="1"/>
  <c r="B14145" i="1"/>
  <c r="A14145" i="1"/>
  <c r="F14144" i="1"/>
  <c r="E14144" i="1"/>
  <c r="D14144" i="1"/>
  <c r="C14144" i="1"/>
  <c r="B14144" i="1"/>
  <c r="A14144" i="1"/>
  <c r="F14143" i="1"/>
  <c r="E14143" i="1"/>
  <c r="D14143" i="1"/>
  <c r="C14143" i="1"/>
  <c r="B14143" i="1"/>
  <c r="A14143" i="1"/>
  <c r="F14142" i="1"/>
  <c r="E14142" i="1"/>
  <c r="D14142" i="1"/>
  <c r="C14142" i="1"/>
  <c r="B14142" i="1"/>
  <c r="A14142" i="1"/>
  <c r="F14141" i="1"/>
  <c r="E14141" i="1"/>
  <c r="D14141" i="1"/>
  <c r="C14141" i="1"/>
  <c r="B14141" i="1"/>
  <c r="A14141" i="1"/>
  <c r="F14140" i="1"/>
  <c r="E14140" i="1"/>
  <c r="D14140" i="1"/>
  <c r="C14140" i="1"/>
  <c r="B14140" i="1"/>
  <c r="A14140" i="1"/>
  <c r="F14139" i="1"/>
  <c r="E14139" i="1"/>
  <c r="D14139" i="1"/>
  <c r="C14139" i="1"/>
  <c r="B14139" i="1"/>
  <c r="A14139" i="1"/>
  <c r="F14138" i="1"/>
  <c r="E14138" i="1"/>
  <c r="D14138" i="1"/>
  <c r="C14138" i="1"/>
  <c r="B14138" i="1"/>
  <c r="A14138" i="1"/>
  <c r="F14137" i="1"/>
  <c r="E14137" i="1"/>
  <c r="D14137" i="1"/>
  <c r="C14137" i="1"/>
  <c r="B14137" i="1"/>
  <c r="A14137" i="1"/>
  <c r="F14136" i="1"/>
  <c r="E14136" i="1"/>
  <c r="D14136" i="1"/>
  <c r="C14136" i="1"/>
  <c r="B14136" i="1"/>
  <c r="A14136" i="1"/>
  <c r="F14135" i="1"/>
  <c r="E14135" i="1"/>
  <c r="D14135" i="1"/>
  <c r="C14135" i="1"/>
  <c r="B14135" i="1"/>
  <c r="A14135" i="1"/>
  <c r="F14134" i="1"/>
  <c r="E14134" i="1"/>
  <c r="D14134" i="1"/>
  <c r="C14134" i="1"/>
  <c r="B14134" i="1"/>
  <c r="A14134" i="1"/>
  <c r="F14133" i="1"/>
  <c r="E14133" i="1"/>
  <c r="D14133" i="1"/>
  <c r="C14133" i="1"/>
  <c r="B14133" i="1"/>
  <c r="A14133" i="1"/>
  <c r="F14132" i="1"/>
  <c r="E14132" i="1"/>
  <c r="D14132" i="1"/>
  <c r="C14132" i="1"/>
  <c r="B14132" i="1"/>
  <c r="A14132" i="1"/>
  <c r="F14131" i="1"/>
  <c r="E14131" i="1"/>
  <c r="D14131" i="1"/>
  <c r="C14131" i="1"/>
  <c r="B14131" i="1"/>
  <c r="A14131" i="1"/>
  <c r="F14130" i="1"/>
  <c r="E14130" i="1"/>
  <c r="D14130" i="1"/>
  <c r="C14130" i="1"/>
  <c r="B14130" i="1"/>
  <c r="A14130" i="1"/>
  <c r="F14129" i="1"/>
  <c r="E14129" i="1"/>
  <c r="D14129" i="1"/>
  <c r="C14129" i="1"/>
  <c r="B14129" i="1"/>
  <c r="A14129" i="1"/>
  <c r="F14128" i="1"/>
  <c r="E14128" i="1"/>
  <c r="D14128" i="1"/>
  <c r="C14128" i="1"/>
  <c r="B14128" i="1"/>
  <c r="A14128" i="1"/>
  <c r="F14127" i="1"/>
  <c r="E14127" i="1"/>
  <c r="D14127" i="1"/>
  <c r="C14127" i="1"/>
  <c r="B14127" i="1"/>
  <c r="A14127" i="1"/>
  <c r="F14126" i="1"/>
  <c r="E14126" i="1"/>
  <c r="D14126" i="1"/>
  <c r="C14126" i="1"/>
  <c r="B14126" i="1"/>
  <c r="A14126" i="1"/>
  <c r="F14125" i="1"/>
  <c r="E14125" i="1"/>
  <c r="D14125" i="1"/>
  <c r="C14125" i="1"/>
  <c r="B14125" i="1"/>
  <c r="A14125" i="1"/>
  <c r="F14124" i="1"/>
  <c r="E14124" i="1"/>
  <c r="D14124" i="1"/>
  <c r="C14124" i="1"/>
  <c r="B14124" i="1"/>
  <c r="A14124" i="1"/>
  <c r="F14123" i="1"/>
  <c r="E14123" i="1"/>
  <c r="D14123" i="1"/>
  <c r="C14123" i="1"/>
  <c r="B14123" i="1"/>
  <c r="A14123" i="1"/>
  <c r="F14122" i="1"/>
  <c r="E14122" i="1"/>
  <c r="D14122" i="1"/>
  <c r="C14122" i="1"/>
  <c r="B14122" i="1"/>
  <c r="A14122" i="1"/>
  <c r="F14121" i="1"/>
  <c r="E14121" i="1"/>
  <c r="D14121" i="1"/>
  <c r="C14121" i="1"/>
  <c r="B14121" i="1"/>
  <c r="A14121" i="1"/>
  <c r="F14120" i="1"/>
  <c r="E14120" i="1"/>
  <c r="D14120" i="1"/>
  <c r="C14120" i="1"/>
  <c r="B14120" i="1"/>
  <c r="A14120" i="1"/>
  <c r="F14119" i="1"/>
  <c r="E14119" i="1"/>
  <c r="D14119" i="1"/>
  <c r="C14119" i="1"/>
  <c r="B14119" i="1"/>
  <c r="A14119" i="1"/>
  <c r="F14118" i="1"/>
  <c r="E14118" i="1"/>
  <c r="D14118" i="1"/>
  <c r="C14118" i="1"/>
  <c r="B14118" i="1"/>
  <c r="A14118" i="1"/>
  <c r="F14117" i="1"/>
  <c r="E14117" i="1"/>
  <c r="D14117" i="1"/>
  <c r="C14117" i="1"/>
  <c r="B14117" i="1"/>
  <c r="A14117" i="1"/>
  <c r="F14116" i="1"/>
  <c r="E14116" i="1"/>
  <c r="D14116" i="1"/>
  <c r="C14116" i="1"/>
  <c r="B14116" i="1"/>
  <c r="A14116" i="1"/>
  <c r="F14115" i="1"/>
  <c r="E14115" i="1"/>
  <c r="D14115" i="1"/>
  <c r="C14115" i="1"/>
  <c r="B14115" i="1"/>
  <c r="A14115" i="1"/>
  <c r="F14114" i="1"/>
  <c r="E14114" i="1"/>
  <c r="D14114" i="1"/>
  <c r="C14114" i="1"/>
  <c r="B14114" i="1"/>
  <c r="A14114" i="1"/>
  <c r="F14113" i="1"/>
  <c r="E14113" i="1"/>
  <c r="D14113" i="1"/>
  <c r="C14113" i="1"/>
  <c r="B14113" i="1"/>
  <c r="A14113" i="1"/>
  <c r="F14112" i="1"/>
  <c r="E14112" i="1"/>
  <c r="D14112" i="1"/>
  <c r="C14112" i="1"/>
  <c r="B14112" i="1"/>
  <c r="A14112" i="1"/>
  <c r="F14111" i="1"/>
  <c r="E14111" i="1"/>
  <c r="D14111" i="1"/>
  <c r="C14111" i="1"/>
  <c r="B14111" i="1"/>
  <c r="A14111" i="1"/>
  <c r="F14110" i="1"/>
  <c r="E14110" i="1"/>
  <c r="D14110" i="1"/>
  <c r="C14110" i="1"/>
  <c r="B14110" i="1"/>
  <c r="A14110" i="1"/>
  <c r="F14109" i="1"/>
  <c r="E14109" i="1"/>
  <c r="D14109" i="1"/>
  <c r="C14109" i="1"/>
  <c r="B14109" i="1"/>
  <c r="A14109" i="1"/>
  <c r="F14108" i="1"/>
  <c r="E14108" i="1"/>
  <c r="D14108" i="1"/>
  <c r="C14108" i="1"/>
  <c r="B14108" i="1"/>
  <c r="A14108" i="1"/>
  <c r="F14107" i="1"/>
  <c r="E14107" i="1"/>
  <c r="D14107" i="1"/>
  <c r="C14107" i="1"/>
  <c r="B14107" i="1"/>
  <c r="A14107" i="1"/>
  <c r="F14106" i="1"/>
  <c r="E14106" i="1"/>
  <c r="D14106" i="1"/>
  <c r="C14106" i="1"/>
  <c r="B14106" i="1"/>
  <c r="A14106" i="1"/>
  <c r="F14105" i="1"/>
  <c r="E14105" i="1"/>
  <c r="D14105" i="1"/>
  <c r="C14105" i="1"/>
  <c r="B14105" i="1"/>
  <c r="A14105" i="1"/>
  <c r="F14104" i="1"/>
  <c r="E14104" i="1"/>
  <c r="D14104" i="1"/>
  <c r="C14104" i="1"/>
  <c r="B14104" i="1"/>
  <c r="A14104" i="1"/>
  <c r="F14103" i="1"/>
  <c r="E14103" i="1"/>
  <c r="D14103" i="1"/>
  <c r="C14103" i="1"/>
  <c r="B14103" i="1"/>
  <c r="A14103" i="1"/>
  <c r="F14102" i="1"/>
  <c r="E14102" i="1"/>
  <c r="D14102" i="1"/>
  <c r="C14102" i="1"/>
  <c r="B14102" i="1"/>
  <c r="A14102" i="1"/>
  <c r="F14101" i="1"/>
  <c r="E14101" i="1"/>
  <c r="D14101" i="1"/>
  <c r="C14101" i="1"/>
  <c r="B14101" i="1"/>
  <c r="A14101" i="1"/>
  <c r="F14100" i="1"/>
  <c r="E14100" i="1"/>
  <c r="D14100" i="1"/>
  <c r="C14100" i="1"/>
  <c r="B14100" i="1"/>
  <c r="A14100" i="1"/>
  <c r="F14099" i="1"/>
  <c r="E14099" i="1"/>
  <c r="D14099" i="1"/>
  <c r="C14099" i="1"/>
  <c r="B14099" i="1"/>
  <c r="A14099" i="1"/>
  <c r="F14098" i="1"/>
  <c r="E14098" i="1"/>
  <c r="D14098" i="1"/>
  <c r="C14098" i="1"/>
  <c r="B14098" i="1"/>
  <c r="A14098" i="1"/>
  <c r="F14097" i="1"/>
  <c r="E14097" i="1"/>
  <c r="D14097" i="1"/>
  <c r="C14097" i="1"/>
  <c r="B14097" i="1"/>
  <c r="A14097" i="1"/>
  <c r="F14096" i="1"/>
  <c r="E14096" i="1"/>
  <c r="D14096" i="1"/>
  <c r="C14096" i="1"/>
  <c r="B14096" i="1"/>
  <c r="A14096" i="1"/>
  <c r="F14095" i="1"/>
  <c r="E14095" i="1"/>
  <c r="D14095" i="1"/>
  <c r="C14095" i="1"/>
  <c r="B14095" i="1"/>
  <c r="A14095" i="1"/>
  <c r="F14094" i="1"/>
  <c r="E14094" i="1"/>
  <c r="D14094" i="1"/>
  <c r="C14094" i="1"/>
  <c r="B14094" i="1"/>
  <c r="A14094" i="1"/>
  <c r="F14093" i="1"/>
  <c r="E14093" i="1"/>
  <c r="D14093" i="1"/>
  <c r="C14093" i="1"/>
  <c r="B14093" i="1"/>
  <c r="A14093" i="1"/>
  <c r="F14092" i="1"/>
  <c r="E14092" i="1"/>
  <c r="D14092" i="1"/>
  <c r="C14092" i="1"/>
  <c r="B14092" i="1"/>
  <c r="A14092" i="1"/>
  <c r="F14091" i="1"/>
  <c r="E14091" i="1"/>
  <c r="D14091" i="1"/>
  <c r="C14091" i="1"/>
  <c r="B14091" i="1"/>
  <c r="A14091" i="1"/>
  <c r="F14090" i="1"/>
  <c r="E14090" i="1"/>
  <c r="D14090" i="1"/>
  <c r="C14090" i="1"/>
  <c r="B14090" i="1"/>
  <c r="A14090" i="1"/>
  <c r="F14089" i="1"/>
  <c r="E14089" i="1"/>
  <c r="D14089" i="1"/>
  <c r="C14089" i="1"/>
  <c r="B14089" i="1"/>
  <c r="A14089" i="1"/>
  <c r="F14088" i="1"/>
  <c r="E14088" i="1"/>
  <c r="D14088" i="1"/>
  <c r="C14088" i="1"/>
  <c r="B14088" i="1"/>
  <c r="A14088" i="1"/>
  <c r="F14087" i="1"/>
  <c r="E14087" i="1"/>
  <c r="D14087" i="1"/>
  <c r="C14087" i="1"/>
  <c r="B14087" i="1"/>
  <c r="A14087" i="1"/>
  <c r="F14086" i="1"/>
  <c r="E14086" i="1"/>
  <c r="D14086" i="1"/>
  <c r="C14086" i="1"/>
  <c r="B14086" i="1"/>
  <c r="A14086" i="1"/>
  <c r="F14085" i="1"/>
  <c r="E14085" i="1"/>
  <c r="D14085" i="1"/>
  <c r="C14085" i="1"/>
  <c r="B14085" i="1"/>
  <c r="A14085" i="1"/>
  <c r="F14084" i="1"/>
  <c r="E14084" i="1"/>
  <c r="D14084" i="1"/>
  <c r="C14084" i="1"/>
  <c r="B14084" i="1"/>
  <c r="A14084" i="1"/>
  <c r="F14083" i="1"/>
  <c r="E14083" i="1"/>
  <c r="D14083" i="1"/>
  <c r="C14083" i="1"/>
  <c r="B14083" i="1"/>
  <c r="A14083" i="1"/>
  <c r="F14082" i="1"/>
  <c r="E14082" i="1"/>
  <c r="D14082" i="1"/>
  <c r="C14082" i="1"/>
  <c r="B14082" i="1"/>
  <c r="A14082" i="1"/>
  <c r="F14081" i="1"/>
  <c r="E14081" i="1"/>
  <c r="D14081" i="1"/>
  <c r="C14081" i="1"/>
  <c r="B14081" i="1"/>
  <c r="A14081" i="1"/>
  <c r="F14080" i="1"/>
  <c r="E14080" i="1"/>
  <c r="D14080" i="1"/>
  <c r="C14080" i="1"/>
  <c r="B14080" i="1"/>
  <c r="A14080" i="1"/>
  <c r="F14079" i="1"/>
  <c r="E14079" i="1"/>
  <c r="D14079" i="1"/>
  <c r="C14079" i="1"/>
  <c r="B14079" i="1"/>
  <c r="A14079" i="1"/>
  <c r="F14078" i="1"/>
  <c r="E14078" i="1"/>
  <c r="D14078" i="1"/>
  <c r="C14078" i="1"/>
  <c r="B14078" i="1"/>
  <c r="A14078" i="1"/>
  <c r="F14077" i="1"/>
  <c r="E14077" i="1"/>
  <c r="D14077" i="1"/>
  <c r="C14077" i="1"/>
  <c r="B14077" i="1"/>
  <c r="A14077" i="1"/>
  <c r="F14076" i="1"/>
  <c r="E14076" i="1"/>
  <c r="D14076" i="1"/>
  <c r="C14076" i="1"/>
  <c r="B14076" i="1"/>
  <c r="A14076" i="1"/>
  <c r="F14075" i="1"/>
  <c r="E14075" i="1"/>
  <c r="D14075" i="1"/>
  <c r="C14075" i="1"/>
  <c r="B14075" i="1"/>
  <c r="A14075" i="1"/>
  <c r="F14074" i="1"/>
  <c r="E14074" i="1"/>
  <c r="D14074" i="1"/>
  <c r="C14074" i="1"/>
  <c r="B14074" i="1"/>
  <c r="A14074" i="1"/>
  <c r="F14073" i="1"/>
  <c r="E14073" i="1"/>
  <c r="D14073" i="1"/>
  <c r="C14073" i="1"/>
  <c r="B14073" i="1"/>
  <c r="A14073" i="1"/>
  <c r="F14072" i="1"/>
  <c r="E14072" i="1"/>
  <c r="D14072" i="1"/>
  <c r="C14072" i="1"/>
  <c r="B14072" i="1"/>
  <c r="A14072" i="1"/>
  <c r="F14071" i="1"/>
  <c r="E14071" i="1"/>
  <c r="D14071" i="1"/>
  <c r="C14071" i="1"/>
  <c r="B14071" i="1"/>
  <c r="A14071" i="1"/>
  <c r="F14070" i="1"/>
  <c r="E14070" i="1"/>
  <c r="D14070" i="1"/>
  <c r="C14070" i="1"/>
  <c r="B14070" i="1"/>
  <c r="A14070" i="1"/>
  <c r="F14069" i="1"/>
  <c r="E14069" i="1"/>
  <c r="D14069" i="1"/>
  <c r="C14069" i="1"/>
  <c r="B14069" i="1"/>
  <c r="A14069" i="1"/>
  <c r="F14068" i="1"/>
  <c r="E14068" i="1"/>
  <c r="D14068" i="1"/>
  <c r="C14068" i="1"/>
  <c r="B14068" i="1"/>
  <c r="A14068" i="1"/>
  <c r="F14067" i="1"/>
  <c r="E14067" i="1"/>
  <c r="D14067" i="1"/>
  <c r="C14067" i="1"/>
  <c r="B14067" i="1"/>
  <c r="A14067" i="1"/>
  <c r="F14066" i="1"/>
  <c r="E14066" i="1"/>
  <c r="D14066" i="1"/>
  <c r="C14066" i="1"/>
  <c r="B14066" i="1"/>
  <c r="A14066" i="1"/>
  <c r="F14065" i="1"/>
  <c r="E14065" i="1"/>
  <c r="D14065" i="1"/>
  <c r="C14065" i="1"/>
  <c r="B14065" i="1"/>
  <c r="A14065" i="1"/>
  <c r="F14064" i="1"/>
  <c r="E14064" i="1"/>
  <c r="D14064" i="1"/>
  <c r="C14064" i="1"/>
  <c r="B14064" i="1"/>
  <c r="A14064" i="1"/>
  <c r="F14063" i="1"/>
  <c r="E14063" i="1"/>
  <c r="D14063" i="1"/>
  <c r="C14063" i="1"/>
  <c r="B14063" i="1"/>
  <c r="A14063" i="1"/>
  <c r="F14062" i="1"/>
  <c r="E14062" i="1"/>
  <c r="D14062" i="1"/>
  <c r="C14062" i="1"/>
  <c r="B14062" i="1"/>
  <c r="A14062" i="1"/>
  <c r="F14061" i="1"/>
  <c r="E14061" i="1"/>
  <c r="D14061" i="1"/>
  <c r="C14061" i="1"/>
  <c r="B14061" i="1"/>
  <c r="A14061" i="1"/>
  <c r="F14060" i="1"/>
  <c r="E14060" i="1"/>
  <c r="D14060" i="1"/>
  <c r="C14060" i="1"/>
  <c r="B14060" i="1"/>
  <c r="A14060" i="1"/>
  <c r="F14059" i="1"/>
  <c r="E14059" i="1"/>
  <c r="D14059" i="1"/>
  <c r="C14059" i="1"/>
  <c r="B14059" i="1"/>
  <c r="A14059" i="1"/>
  <c r="F14058" i="1"/>
  <c r="E14058" i="1"/>
  <c r="D14058" i="1"/>
  <c r="C14058" i="1"/>
  <c r="B14058" i="1"/>
  <c r="A14058" i="1"/>
  <c r="F14057" i="1"/>
  <c r="E14057" i="1"/>
  <c r="D14057" i="1"/>
  <c r="C14057" i="1"/>
  <c r="B14057" i="1"/>
  <c r="A14057" i="1"/>
  <c r="F14056" i="1"/>
  <c r="E14056" i="1"/>
  <c r="D14056" i="1"/>
  <c r="C14056" i="1"/>
  <c r="B14056" i="1"/>
  <c r="A14056" i="1"/>
  <c r="F14055" i="1"/>
  <c r="E14055" i="1"/>
  <c r="D14055" i="1"/>
  <c r="C14055" i="1"/>
  <c r="B14055" i="1"/>
  <c r="A14055" i="1"/>
  <c r="F14054" i="1"/>
  <c r="E14054" i="1"/>
  <c r="D14054" i="1"/>
  <c r="C14054" i="1"/>
  <c r="B14054" i="1"/>
  <c r="A14054" i="1"/>
  <c r="F14053" i="1"/>
  <c r="E14053" i="1"/>
  <c r="D14053" i="1"/>
  <c r="C14053" i="1"/>
  <c r="B14053" i="1"/>
  <c r="A14053" i="1"/>
  <c r="F14052" i="1"/>
  <c r="E14052" i="1"/>
  <c r="D14052" i="1"/>
  <c r="C14052" i="1"/>
  <c r="B14052" i="1"/>
  <c r="A14052" i="1"/>
  <c r="F14051" i="1"/>
  <c r="E14051" i="1"/>
  <c r="D14051" i="1"/>
  <c r="C14051" i="1"/>
  <c r="B14051" i="1"/>
  <c r="A14051" i="1"/>
  <c r="F14050" i="1"/>
  <c r="E14050" i="1"/>
  <c r="D14050" i="1"/>
  <c r="C14050" i="1"/>
  <c r="B14050" i="1"/>
  <c r="A14050" i="1"/>
  <c r="F14049" i="1"/>
  <c r="E14049" i="1"/>
  <c r="D14049" i="1"/>
  <c r="C14049" i="1"/>
  <c r="B14049" i="1"/>
  <c r="A14049" i="1"/>
  <c r="F14048" i="1"/>
  <c r="E14048" i="1"/>
  <c r="D14048" i="1"/>
  <c r="C14048" i="1"/>
  <c r="B14048" i="1"/>
  <c r="A14048" i="1"/>
  <c r="F14047" i="1"/>
  <c r="E14047" i="1"/>
  <c r="D14047" i="1"/>
  <c r="C14047" i="1"/>
  <c r="B14047" i="1"/>
  <c r="A14047" i="1"/>
  <c r="F14046" i="1"/>
  <c r="E14046" i="1"/>
  <c r="D14046" i="1"/>
  <c r="C14046" i="1"/>
  <c r="B14046" i="1"/>
  <c r="A14046" i="1"/>
  <c r="F14045" i="1"/>
  <c r="E14045" i="1"/>
  <c r="D14045" i="1"/>
  <c r="C14045" i="1"/>
  <c r="B14045" i="1"/>
  <c r="A14045" i="1"/>
  <c r="F14044" i="1"/>
  <c r="E14044" i="1"/>
  <c r="D14044" i="1"/>
  <c r="C14044" i="1"/>
  <c r="B14044" i="1"/>
  <c r="A14044" i="1"/>
  <c r="F14043" i="1"/>
  <c r="E14043" i="1"/>
  <c r="D14043" i="1"/>
  <c r="C14043" i="1"/>
  <c r="B14043" i="1"/>
  <c r="A14043" i="1"/>
  <c r="F14042" i="1"/>
  <c r="E14042" i="1"/>
  <c r="D14042" i="1"/>
  <c r="C14042" i="1"/>
  <c r="B14042" i="1"/>
  <c r="A14042" i="1"/>
  <c r="F14041" i="1"/>
  <c r="E14041" i="1"/>
  <c r="D14041" i="1"/>
  <c r="C14041" i="1"/>
  <c r="B14041" i="1"/>
  <c r="A14041" i="1"/>
  <c r="F14040" i="1"/>
  <c r="E14040" i="1"/>
  <c r="D14040" i="1"/>
  <c r="C14040" i="1"/>
  <c r="B14040" i="1"/>
  <c r="A14040" i="1"/>
  <c r="F14039" i="1"/>
  <c r="E14039" i="1"/>
  <c r="D14039" i="1"/>
  <c r="C14039" i="1"/>
  <c r="B14039" i="1"/>
  <c r="A14039" i="1"/>
  <c r="F14038" i="1"/>
  <c r="E14038" i="1"/>
  <c r="D14038" i="1"/>
  <c r="C14038" i="1"/>
  <c r="B14038" i="1"/>
  <c r="A14038" i="1"/>
  <c r="F14037" i="1"/>
  <c r="E14037" i="1"/>
  <c r="D14037" i="1"/>
  <c r="C14037" i="1"/>
  <c r="B14037" i="1"/>
  <c r="A14037" i="1"/>
  <c r="F14036" i="1"/>
  <c r="E14036" i="1"/>
  <c r="D14036" i="1"/>
  <c r="C14036" i="1"/>
  <c r="B14036" i="1"/>
  <c r="A14036" i="1"/>
  <c r="F14035" i="1"/>
  <c r="E14035" i="1"/>
  <c r="D14035" i="1"/>
  <c r="C14035" i="1"/>
  <c r="B14035" i="1"/>
  <c r="A14035" i="1"/>
  <c r="F14034" i="1"/>
  <c r="E14034" i="1"/>
  <c r="D14034" i="1"/>
  <c r="C14034" i="1"/>
  <c r="B14034" i="1"/>
  <c r="A14034" i="1"/>
  <c r="F14033" i="1"/>
  <c r="E14033" i="1"/>
  <c r="D14033" i="1"/>
  <c r="C14033" i="1"/>
  <c r="B14033" i="1"/>
  <c r="A14033" i="1"/>
  <c r="F14032" i="1"/>
  <c r="E14032" i="1"/>
  <c r="D14032" i="1"/>
  <c r="C14032" i="1"/>
  <c r="B14032" i="1"/>
  <c r="A14032" i="1"/>
  <c r="F14031" i="1"/>
  <c r="E14031" i="1"/>
  <c r="D14031" i="1"/>
  <c r="C14031" i="1"/>
  <c r="B14031" i="1"/>
  <c r="A14031" i="1"/>
  <c r="F14030" i="1"/>
  <c r="E14030" i="1"/>
  <c r="D14030" i="1"/>
  <c r="C14030" i="1"/>
  <c r="B14030" i="1"/>
  <c r="A14030" i="1"/>
  <c r="F14029" i="1"/>
  <c r="E14029" i="1"/>
  <c r="D14029" i="1"/>
  <c r="C14029" i="1"/>
  <c r="B14029" i="1"/>
  <c r="A14029" i="1"/>
  <c r="F14028" i="1"/>
  <c r="E14028" i="1"/>
  <c r="D14028" i="1"/>
  <c r="C14028" i="1"/>
  <c r="B14028" i="1"/>
  <c r="A14028" i="1"/>
  <c r="F14027" i="1"/>
  <c r="E14027" i="1"/>
  <c r="D14027" i="1"/>
  <c r="C14027" i="1"/>
  <c r="B14027" i="1"/>
  <c r="A14027" i="1"/>
  <c r="F14026" i="1"/>
  <c r="E14026" i="1"/>
  <c r="D14026" i="1"/>
  <c r="C14026" i="1"/>
  <c r="B14026" i="1"/>
  <c r="A14026" i="1"/>
  <c r="F14025" i="1"/>
  <c r="E14025" i="1"/>
  <c r="D14025" i="1"/>
  <c r="C14025" i="1"/>
  <c r="B14025" i="1"/>
  <c r="A14025" i="1"/>
  <c r="F14024" i="1"/>
  <c r="E14024" i="1"/>
  <c r="D14024" i="1"/>
  <c r="C14024" i="1"/>
  <c r="B14024" i="1"/>
  <c r="A14024" i="1"/>
  <c r="F14023" i="1"/>
  <c r="E14023" i="1"/>
  <c r="D14023" i="1"/>
  <c r="C14023" i="1"/>
  <c r="B14023" i="1"/>
  <c r="A14023" i="1"/>
  <c r="F14022" i="1"/>
  <c r="E14022" i="1"/>
  <c r="D14022" i="1"/>
  <c r="C14022" i="1"/>
  <c r="B14022" i="1"/>
  <c r="A14022" i="1"/>
  <c r="F14021" i="1"/>
  <c r="E14021" i="1"/>
  <c r="D14021" i="1"/>
  <c r="C14021" i="1"/>
  <c r="B14021" i="1"/>
  <c r="A14021" i="1"/>
  <c r="F14020" i="1"/>
  <c r="E14020" i="1"/>
  <c r="D14020" i="1"/>
  <c r="C14020" i="1"/>
  <c r="B14020" i="1"/>
  <c r="A14020" i="1"/>
  <c r="F14019" i="1"/>
  <c r="E14019" i="1"/>
  <c r="D14019" i="1"/>
  <c r="C14019" i="1"/>
  <c r="B14019" i="1"/>
  <c r="A14019" i="1"/>
  <c r="F14018" i="1"/>
  <c r="E14018" i="1"/>
  <c r="D14018" i="1"/>
  <c r="C14018" i="1"/>
  <c r="B14018" i="1"/>
  <c r="A14018" i="1"/>
  <c r="F14017" i="1"/>
  <c r="E14017" i="1"/>
  <c r="D14017" i="1"/>
  <c r="C14017" i="1"/>
  <c r="B14017" i="1"/>
  <c r="A14017" i="1"/>
  <c r="F14016" i="1"/>
  <c r="E14016" i="1"/>
  <c r="D14016" i="1"/>
  <c r="C14016" i="1"/>
  <c r="B14016" i="1"/>
  <c r="A14016" i="1"/>
  <c r="F14015" i="1"/>
  <c r="E14015" i="1"/>
  <c r="D14015" i="1"/>
  <c r="C14015" i="1"/>
  <c r="B14015" i="1"/>
  <c r="A14015" i="1"/>
  <c r="F14014" i="1"/>
  <c r="E14014" i="1"/>
  <c r="D14014" i="1"/>
  <c r="C14014" i="1"/>
  <c r="B14014" i="1"/>
  <c r="A14014" i="1"/>
  <c r="F14013" i="1"/>
  <c r="E14013" i="1"/>
  <c r="D14013" i="1"/>
  <c r="C14013" i="1"/>
  <c r="B14013" i="1"/>
  <c r="A14013" i="1"/>
  <c r="F14012" i="1"/>
  <c r="E14012" i="1"/>
  <c r="D14012" i="1"/>
  <c r="C14012" i="1"/>
  <c r="B14012" i="1"/>
  <c r="A14012" i="1"/>
  <c r="F14011" i="1"/>
  <c r="E14011" i="1"/>
  <c r="D14011" i="1"/>
  <c r="C14011" i="1"/>
  <c r="B14011" i="1"/>
  <c r="A14011" i="1"/>
  <c r="F14010" i="1"/>
  <c r="E14010" i="1"/>
  <c r="D14010" i="1"/>
  <c r="C14010" i="1"/>
  <c r="B14010" i="1"/>
  <c r="A14010" i="1"/>
  <c r="F14009" i="1"/>
  <c r="E14009" i="1"/>
  <c r="D14009" i="1"/>
  <c r="C14009" i="1"/>
  <c r="B14009" i="1"/>
  <c r="A14009" i="1"/>
  <c r="F14008" i="1"/>
  <c r="E14008" i="1"/>
  <c r="D14008" i="1"/>
  <c r="C14008" i="1"/>
  <c r="B14008" i="1"/>
  <c r="A14008" i="1"/>
  <c r="F14007" i="1"/>
  <c r="E14007" i="1"/>
  <c r="D14007" i="1"/>
  <c r="C14007" i="1"/>
  <c r="B14007" i="1"/>
  <c r="A14007" i="1"/>
  <c r="F14006" i="1"/>
  <c r="E14006" i="1"/>
  <c r="D14006" i="1"/>
  <c r="C14006" i="1"/>
  <c r="B14006" i="1"/>
  <c r="A14006" i="1"/>
  <c r="F14005" i="1"/>
  <c r="E14005" i="1"/>
  <c r="D14005" i="1"/>
  <c r="C14005" i="1"/>
  <c r="B14005" i="1"/>
  <c r="A14005" i="1"/>
  <c r="F14004" i="1"/>
  <c r="E14004" i="1"/>
  <c r="D14004" i="1"/>
  <c r="C14004" i="1"/>
  <c r="B14004" i="1"/>
  <c r="A14004" i="1"/>
  <c r="F14003" i="1"/>
  <c r="E14003" i="1"/>
  <c r="D14003" i="1"/>
  <c r="C14003" i="1"/>
  <c r="B14003" i="1"/>
  <c r="A14003" i="1"/>
  <c r="F14002" i="1"/>
  <c r="E14002" i="1"/>
  <c r="D14002" i="1"/>
  <c r="C14002" i="1"/>
  <c r="B14002" i="1"/>
  <c r="A14002" i="1"/>
  <c r="F14001" i="1"/>
  <c r="E14001" i="1"/>
  <c r="D14001" i="1"/>
  <c r="C14001" i="1"/>
  <c r="B14001" i="1"/>
  <c r="A14001" i="1"/>
  <c r="F14000" i="1"/>
  <c r="E14000" i="1"/>
  <c r="D14000" i="1"/>
  <c r="C14000" i="1"/>
  <c r="B14000" i="1"/>
  <c r="A14000" i="1"/>
  <c r="F13999" i="1"/>
  <c r="E13999" i="1"/>
  <c r="D13999" i="1"/>
  <c r="C13999" i="1"/>
  <c r="B13999" i="1"/>
  <c r="A13999" i="1"/>
  <c r="F13998" i="1"/>
  <c r="E13998" i="1"/>
  <c r="D13998" i="1"/>
  <c r="C13998" i="1"/>
  <c r="B13998" i="1"/>
  <c r="A13998" i="1"/>
  <c r="F13997" i="1"/>
  <c r="E13997" i="1"/>
  <c r="D13997" i="1"/>
  <c r="C13997" i="1"/>
  <c r="B13997" i="1"/>
  <c r="A13997" i="1"/>
  <c r="F13996" i="1"/>
  <c r="E13996" i="1"/>
  <c r="D13996" i="1"/>
  <c r="C13996" i="1"/>
  <c r="B13996" i="1"/>
  <c r="A13996" i="1"/>
  <c r="F13995" i="1"/>
  <c r="E13995" i="1"/>
  <c r="D13995" i="1"/>
  <c r="C13995" i="1"/>
  <c r="B13995" i="1"/>
  <c r="A13995" i="1"/>
  <c r="F13994" i="1"/>
  <c r="E13994" i="1"/>
  <c r="D13994" i="1"/>
  <c r="C13994" i="1"/>
  <c r="B13994" i="1"/>
  <c r="A13994" i="1"/>
  <c r="F13993" i="1"/>
  <c r="E13993" i="1"/>
  <c r="D13993" i="1"/>
  <c r="C13993" i="1"/>
  <c r="B13993" i="1"/>
  <c r="A13993" i="1"/>
  <c r="F13992" i="1"/>
  <c r="E13992" i="1"/>
  <c r="D13992" i="1"/>
  <c r="C13992" i="1"/>
  <c r="B13992" i="1"/>
  <c r="A13992" i="1"/>
  <c r="F13991" i="1"/>
  <c r="E13991" i="1"/>
  <c r="D13991" i="1"/>
  <c r="C13991" i="1"/>
  <c r="B13991" i="1"/>
  <c r="A13991" i="1"/>
  <c r="F13990" i="1"/>
  <c r="E13990" i="1"/>
  <c r="D13990" i="1"/>
  <c r="C13990" i="1"/>
  <c r="B13990" i="1"/>
  <c r="A13990" i="1"/>
  <c r="F13989" i="1"/>
  <c r="E13989" i="1"/>
  <c r="D13989" i="1"/>
  <c r="C13989" i="1"/>
  <c r="B13989" i="1"/>
  <c r="A13989" i="1"/>
  <c r="F13988" i="1"/>
  <c r="E13988" i="1"/>
  <c r="D13988" i="1"/>
  <c r="C13988" i="1"/>
  <c r="B13988" i="1"/>
  <c r="A13988" i="1"/>
  <c r="F13987" i="1"/>
  <c r="E13987" i="1"/>
  <c r="D13987" i="1"/>
  <c r="C13987" i="1"/>
  <c r="B13987" i="1"/>
  <c r="A13987" i="1"/>
  <c r="F13986" i="1"/>
  <c r="E13986" i="1"/>
  <c r="D13986" i="1"/>
  <c r="C13986" i="1"/>
  <c r="B13986" i="1"/>
  <c r="A13986" i="1"/>
  <c r="F13985" i="1"/>
  <c r="E13985" i="1"/>
  <c r="D13985" i="1"/>
  <c r="C13985" i="1"/>
  <c r="B13985" i="1"/>
  <c r="A13985" i="1"/>
  <c r="F13984" i="1"/>
  <c r="E13984" i="1"/>
  <c r="D13984" i="1"/>
  <c r="C13984" i="1"/>
  <c r="B13984" i="1"/>
  <c r="A13984" i="1"/>
  <c r="F13983" i="1"/>
  <c r="E13983" i="1"/>
  <c r="D13983" i="1"/>
  <c r="C13983" i="1"/>
  <c r="B13983" i="1"/>
  <c r="A13983" i="1"/>
  <c r="F13982" i="1"/>
  <c r="E13982" i="1"/>
  <c r="D13982" i="1"/>
  <c r="C13982" i="1"/>
  <c r="B13982" i="1"/>
  <c r="A13982" i="1"/>
  <c r="F13981" i="1"/>
  <c r="E13981" i="1"/>
  <c r="D13981" i="1"/>
  <c r="C13981" i="1"/>
  <c r="B13981" i="1"/>
  <c r="A13981" i="1"/>
  <c r="F13980" i="1"/>
  <c r="E13980" i="1"/>
  <c r="D13980" i="1"/>
  <c r="C13980" i="1"/>
  <c r="B13980" i="1"/>
  <c r="A13980" i="1"/>
  <c r="F13979" i="1"/>
  <c r="E13979" i="1"/>
  <c r="D13979" i="1"/>
  <c r="C13979" i="1"/>
  <c r="B13979" i="1"/>
  <c r="A13979" i="1"/>
  <c r="F13978" i="1"/>
  <c r="E13978" i="1"/>
  <c r="D13978" i="1"/>
  <c r="C13978" i="1"/>
  <c r="B13978" i="1"/>
  <c r="A13978" i="1"/>
  <c r="F13977" i="1"/>
  <c r="E13977" i="1"/>
  <c r="D13977" i="1"/>
  <c r="C13977" i="1"/>
  <c r="B13977" i="1"/>
  <c r="A13977" i="1"/>
  <c r="F13976" i="1"/>
  <c r="E13976" i="1"/>
  <c r="D13976" i="1"/>
  <c r="C13976" i="1"/>
  <c r="B13976" i="1"/>
  <c r="A13976" i="1"/>
  <c r="F13975" i="1"/>
  <c r="E13975" i="1"/>
  <c r="D13975" i="1"/>
  <c r="C13975" i="1"/>
  <c r="B13975" i="1"/>
  <c r="A13975" i="1"/>
  <c r="F13974" i="1"/>
  <c r="E13974" i="1"/>
  <c r="D13974" i="1"/>
  <c r="C13974" i="1"/>
  <c r="B13974" i="1"/>
  <c r="A13974" i="1"/>
  <c r="F13973" i="1"/>
  <c r="E13973" i="1"/>
  <c r="D13973" i="1"/>
  <c r="C13973" i="1"/>
  <c r="B13973" i="1"/>
  <c r="A13973" i="1"/>
  <c r="F13972" i="1"/>
  <c r="E13972" i="1"/>
  <c r="D13972" i="1"/>
  <c r="C13972" i="1"/>
  <c r="B13972" i="1"/>
  <c r="A13972" i="1"/>
  <c r="F13971" i="1"/>
  <c r="E13971" i="1"/>
  <c r="D13971" i="1"/>
  <c r="C13971" i="1"/>
  <c r="B13971" i="1"/>
  <c r="A13971" i="1"/>
  <c r="F13970" i="1"/>
  <c r="E13970" i="1"/>
  <c r="D13970" i="1"/>
  <c r="C13970" i="1"/>
  <c r="B13970" i="1"/>
  <c r="A13970" i="1"/>
  <c r="F13969" i="1"/>
  <c r="E13969" i="1"/>
  <c r="D13969" i="1"/>
  <c r="C13969" i="1"/>
  <c r="B13969" i="1"/>
  <c r="A13969" i="1"/>
  <c r="F13968" i="1"/>
  <c r="E13968" i="1"/>
  <c r="D13968" i="1"/>
  <c r="C13968" i="1"/>
  <c r="B13968" i="1"/>
  <c r="A13968" i="1"/>
  <c r="F13967" i="1"/>
  <c r="E13967" i="1"/>
  <c r="D13967" i="1"/>
  <c r="C13967" i="1"/>
  <c r="B13967" i="1"/>
  <c r="A13967" i="1"/>
  <c r="F13966" i="1"/>
  <c r="E13966" i="1"/>
  <c r="D13966" i="1"/>
  <c r="C13966" i="1"/>
  <c r="B13966" i="1"/>
  <c r="A13966" i="1"/>
  <c r="F13965" i="1"/>
  <c r="E13965" i="1"/>
  <c r="D13965" i="1"/>
  <c r="C13965" i="1"/>
  <c r="B13965" i="1"/>
  <c r="A13965" i="1"/>
  <c r="F13964" i="1"/>
  <c r="E13964" i="1"/>
  <c r="D13964" i="1"/>
  <c r="C13964" i="1"/>
  <c r="B13964" i="1"/>
  <c r="A13964" i="1"/>
  <c r="F13963" i="1"/>
  <c r="E13963" i="1"/>
  <c r="D13963" i="1"/>
  <c r="C13963" i="1"/>
  <c r="B13963" i="1"/>
  <c r="A13963" i="1"/>
  <c r="F13962" i="1"/>
  <c r="E13962" i="1"/>
  <c r="D13962" i="1"/>
  <c r="C13962" i="1"/>
  <c r="B13962" i="1"/>
  <c r="A13962" i="1"/>
  <c r="F13961" i="1"/>
  <c r="E13961" i="1"/>
  <c r="D13961" i="1"/>
  <c r="C13961" i="1"/>
  <c r="B13961" i="1"/>
  <c r="A13961" i="1"/>
  <c r="F13960" i="1"/>
  <c r="E13960" i="1"/>
  <c r="D13960" i="1"/>
  <c r="C13960" i="1"/>
  <c r="B13960" i="1"/>
  <c r="A13960" i="1"/>
  <c r="F13959" i="1"/>
  <c r="E13959" i="1"/>
  <c r="D13959" i="1"/>
  <c r="C13959" i="1"/>
  <c r="B13959" i="1"/>
  <c r="A13959" i="1"/>
  <c r="F13958" i="1"/>
  <c r="E13958" i="1"/>
  <c r="D13958" i="1"/>
  <c r="C13958" i="1"/>
  <c r="B13958" i="1"/>
  <c r="A13958" i="1"/>
  <c r="F13957" i="1"/>
  <c r="E13957" i="1"/>
  <c r="D13957" i="1"/>
  <c r="C13957" i="1"/>
  <c r="B13957" i="1"/>
  <c r="A13957" i="1"/>
  <c r="F13956" i="1"/>
  <c r="E13956" i="1"/>
  <c r="D13956" i="1"/>
  <c r="C13956" i="1"/>
  <c r="B13956" i="1"/>
  <c r="A13956" i="1"/>
  <c r="F13955" i="1"/>
  <c r="E13955" i="1"/>
  <c r="D13955" i="1"/>
  <c r="C13955" i="1"/>
  <c r="B13955" i="1"/>
  <c r="A13955" i="1"/>
  <c r="F13954" i="1"/>
  <c r="E13954" i="1"/>
  <c r="D13954" i="1"/>
  <c r="C13954" i="1"/>
  <c r="B13954" i="1"/>
  <c r="A13954" i="1"/>
  <c r="F13953" i="1"/>
  <c r="E13953" i="1"/>
  <c r="D13953" i="1"/>
  <c r="C13953" i="1"/>
  <c r="B13953" i="1"/>
  <c r="A13953" i="1"/>
  <c r="F13952" i="1"/>
  <c r="E13952" i="1"/>
  <c r="D13952" i="1"/>
  <c r="C13952" i="1"/>
  <c r="B13952" i="1"/>
  <c r="A13952" i="1"/>
  <c r="F13951" i="1"/>
  <c r="E13951" i="1"/>
  <c r="D13951" i="1"/>
  <c r="C13951" i="1"/>
  <c r="B13951" i="1"/>
  <c r="A13951" i="1"/>
  <c r="F13950" i="1"/>
  <c r="E13950" i="1"/>
  <c r="D13950" i="1"/>
  <c r="C13950" i="1"/>
  <c r="B13950" i="1"/>
  <c r="A13950" i="1"/>
  <c r="F13949" i="1"/>
  <c r="E13949" i="1"/>
  <c r="D13949" i="1"/>
  <c r="C13949" i="1"/>
  <c r="B13949" i="1"/>
  <c r="A13949" i="1"/>
  <c r="F13948" i="1"/>
  <c r="E13948" i="1"/>
  <c r="D13948" i="1"/>
  <c r="C13948" i="1"/>
  <c r="B13948" i="1"/>
  <c r="A13948" i="1"/>
  <c r="F13947" i="1"/>
  <c r="E13947" i="1"/>
  <c r="D13947" i="1"/>
  <c r="C13947" i="1"/>
  <c r="B13947" i="1"/>
  <c r="A13947" i="1"/>
  <c r="F13946" i="1"/>
  <c r="E13946" i="1"/>
  <c r="D13946" i="1"/>
  <c r="C13946" i="1"/>
  <c r="B13946" i="1"/>
  <c r="A13946" i="1"/>
  <c r="F13945" i="1"/>
  <c r="E13945" i="1"/>
  <c r="D13945" i="1"/>
  <c r="C13945" i="1"/>
  <c r="B13945" i="1"/>
  <c r="A13945" i="1"/>
  <c r="F13944" i="1"/>
  <c r="E13944" i="1"/>
  <c r="D13944" i="1"/>
  <c r="C13944" i="1"/>
  <c r="B13944" i="1"/>
  <c r="A13944" i="1"/>
  <c r="F13943" i="1"/>
  <c r="E13943" i="1"/>
  <c r="D13943" i="1"/>
  <c r="C13943" i="1"/>
  <c r="B13943" i="1"/>
  <c r="A13943" i="1"/>
  <c r="F13942" i="1"/>
  <c r="E13942" i="1"/>
  <c r="D13942" i="1"/>
  <c r="C13942" i="1"/>
  <c r="B13942" i="1"/>
  <c r="A13942" i="1"/>
  <c r="F13941" i="1"/>
  <c r="E13941" i="1"/>
  <c r="D13941" i="1"/>
  <c r="C13941" i="1"/>
  <c r="B13941" i="1"/>
  <c r="A13941" i="1"/>
  <c r="F13940" i="1"/>
  <c r="E13940" i="1"/>
  <c r="D13940" i="1"/>
  <c r="C13940" i="1"/>
  <c r="B13940" i="1"/>
  <c r="A13940" i="1"/>
  <c r="F13939" i="1"/>
  <c r="E13939" i="1"/>
  <c r="D13939" i="1"/>
  <c r="C13939" i="1"/>
  <c r="B13939" i="1"/>
  <c r="A13939" i="1"/>
  <c r="F13938" i="1"/>
  <c r="E13938" i="1"/>
  <c r="D13938" i="1"/>
  <c r="C13938" i="1"/>
  <c r="B13938" i="1"/>
  <c r="A13938" i="1"/>
  <c r="F13937" i="1"/>
  <c r="E13937" i="1"/>
  <c r="D13937" i="1"/>
  <c r="C13937" i="1"/>
  <c r="B13937" i="1"/>
  <c r="A13937" i="1"/>
  <c r="F13936" i="1"/>
  <c r="E13936" i="1"/>
  <c r="D13936" i="1"/>
  <c r="C13936" i="1"/>
  <c r="B13936" i="1"/>
  <c r="A13936" i="1"/>
  <c r="F13935" i="1"/>
  <c r="E13935" i="1"/>
  <c r="D13935" i="1"/>
  <c r="C13935" i="1"/>
  <c r="B13935" i="1"/>
  <c r="A13935" i="1"/>
  <c r="F13934" i="1"/>
  <c r="E13934" i="1"/>
  <c r="D13934" i="1"/>
  <c r="C13934" i="1"/>
  <c r="B13934" i="1"/>
  <c r="A13934" i="1"/>
  <c r="F13933" i="1"/>
  <c r="E13933" i="1"/>
  <c r="D13933" i="1"/>
  <c r="C13933" i="1"/>
  <c r="B13933" i="1"/>
  <c r="A13933" i="1"/>
  <c r="F13932" i="1"/>
  <c r="E13932" i="1"/>
  <c r="D13932" i="1"/>
  <c r="C13932" i="1"/>
  <c r="B13932" i="1"/>
  <c r="A13932" i="1"/>
  <c r="F13931" i="1"/>
  <c r="E13931" i="1"/>
  <c r="D13931" i="1"/>
  <c r="C13931" i="1"/>
  <c r="B13931" i="1"/>
  <c r="A13931" i="1"/>
  <c r="F13930" i="1"/>
  <c r="E13930" i="1"/>
  <c r="D13930" i="1"/>
  <c r="C13930" i="1"/>
  <c r="B13930" i="1"/>
  <c r="A13930" i="1"/>
  <c r="F13929" i="1"/>
  <c r="E13929" i="1"/>
  <c r="D13929" i="1"/>
  <c r="C13929" i="1"/>
  <c r="B13929" i="1"/>
  <c r="A13929" i="1"/>
  <c r="F13928" i="1"/>
  <c r="E13928" i="1"/>
  <c r="D13928" i="1"/>
  <c r="C13928" i="1"/>
  <c r="B13928" i="1"/>
  <c r="A13928" i="1"/>
  <c r="F13927" i="1"/>
  <c r="E13927" i="1"/>
  <c r="D13927" i="1"/>
  <c r="C13927" i="1"/>
  <c r="B13927" i="1"/>
  <c r="A13927" i="1"/>
  <c r="F13926" i="1"/>
  <c r="E13926" i="1"/>
  <c r="D13926" i="1"/>
  <c r="C13926" i="1"/>
  <c r="B13926" i="1"/>
  <c r="A13926" i="1"/>
  <c r="F13925" i="1"/>
  <c r="E13925" i="1"/>
  <c r="D13925" i="1"/>
  <c r="C13925" i="1"/>
  <c r="B13925" i="1"/>
  <c r="A13925" i="1"/>
  <c r="F13924" i="1"/>
  <c r="E13924" i="1"/>
  <c r="D13924" i="1"/>
  <c r="C13924" i="1"/>
  <c r="B13924" i="1"/>
  <c r="A13924" i="1"/>
  <c r="F13923" i="1"/>
  <c r="E13923" i="1"/>
  <c r="D13923" i="1"/>
  <c r="C13923" i="1"/>
  <c r="B13923" i="1"/>
  <c r="A13923" i="1"/>
  <c r="F13922" i="1"/>
  <c r="E13922" i="1"/>
  <c r="D13922" i="1"/>
  <c r="C13922" i="1"/>
  <c r="B13922" i="1"/>
  <c r="A13922" i="1"/>
  <c r="F13921" i="1"/>
  <c r="E13921" i="1"/>
  <c r="D13921" i="1"/>
  <c r="C13921" i="1"/>
  <c r="B13921" i="1"/>
  <c r="A13921" i="1"/>
  <c r="F13920" i="1"/>
  <c r="E13920" i="1"/>
  <c r="D13920" i="1"/>
  <c r="C13920" i="1"/>
  <c r="B13920" i="1"/>
  <c r="A13920" i="1"/>
  <c r="F13919" i="1"/>
  <c r="E13919" i="1"/>
  <c r="D13919" i="1"/>
  <c r="C13919" i="1"/>
  <c r="B13919" i="1"/>
  <c r="A13919" i="1"/>
  <c r="F13918" i="1"/>
  <c r="E13918" i="1"/>
  <c r="D13918" i="1"/>
  <c r="C13918" i="1"/>
  <c r="B13918" i="1"/>
  <c r="A13918" i="1"/>
  <c r="F13917" i="1"/>
  <c r="E13917" i="1"/>
  <c r="D13917" i="1"/>
  <c r="C13917" i="1"/>
  <c r="B13917" i="1"/>
  <c r="A13917" i="1"/>
  <c r="F13916" i="1"/>
  <c r="E13916" i="1"/>
  <c r="D13916" i="1"/>
  <c r="C13916" i="1"/>
  <c r="B13916" i="1"/>
  <c r="A13916" i="1"/>
  <c r="F13915" i="1"/>
  <c r="E13915" i="1"/>
  <c r="D13915" i="1"/>
  <c r="C13915" i="1"/>
  <c r="B13915" i="1"/>
  <c r="A13915" i="1"/>
  <c r="F13914" i="1"/>
  <c r="E13914" i="1"/>
  <c r="D13914" i="1"/>
  <c r="C13914" i="1"/>
  <c r="B13914" i="1"/>
  <c r="A13914" i="1"/>
  <c r="F13913" i="1"/>
  <c r="E13913" i="1"/>
  <c r="D13913" i="1"/>
  <c r="C13913" i="1"/>
  <c r="B13913" i="1"/>
  <c r="A13913" i="1"/>
  <c r="F13912" i="1"/>
  <c r="E13912" i="1"/>
  <c r="D13912" i="1"/>
  <c r="C13912" i="1"/>
  <c r="B13912" i="1"/>
  <c r="A13912" i="1"/>
  <c r="F13911" i="1"/>
  <c r="E13911" i="1"/>
  <c r="D13911" i="1"/>
  <c r="C13911" i="1"/>
  <c r="B13911" i="1"/>
  <c r="A13911" i="1"/>
  <c r="F13910" i="1"/>
  <c r="E13910" i="1"/>
  <c r="D13910" i="1"/>
  <c r="C13910" i="1"/>
  <c r="B13910" i="1"/>
  <c r="A13910" i="1"/>
  <c r="F13909" i="1"/>
  <c r="E13909" i="1"/>
  <c r="D13909" i="1"/>
  <c r="C13909" i="1"/>
  <c r="B13909" i="1"/>
  <c r="A13909" i="1"/>
  <c r="F13908" i="1"/>
  <c r="E13908" i="1"/>
  <c r="D13908" i="1"/>
  <c r="C13908" i="1"/>
  <c r="B13908" i="1"/>
  <c r="A13908" i="1"/>
  <c r="F13907" i="1"/>
  <c r="E13907" i="1"/>
  <c r="D13907" i="1"/>
  <c r="C13907" i="1"/>
  <c r="B13907" i="1"/>
  <c r="A13907" i="1"/>
  <c r="F13906" i="1"/>
  <c r="E13906" i="1"/>
  <c r="D13906" i="1"/>
  <c r="C13906" i="1"/>
  <c r="B13906" i="1"/>
  <c r="A13906" i="1"/>
  <c r="F13905" i="1"/>
  <c r="E13905" i="1"/>
  <c r="D13905" i="1"/>
  <c r="C13905" i="1"/>
  <c r="B13905" i="1"/>
  <c r="A13905" i="1"/>
  <c r="F13904" i="1"/>
  <c r="E13904" i="1"/>
  <c r="D13904" i="1"/>
  <c r="C13904" i="1"/>
  <c r="B13904" i="1"/>
  <c r="A13904" i="1"/>
  <c r="F13903" i="1"/>
  <c r="E13903" i="1"/>
  <c r="D13903" i="1"/>
  <c r="C13903" i="1"/>
  <c r="B13903" i="1"/>
  <c r="A13903" i="1"/>
  <c r="F13902" i="1"/>
  <c r="E13902" i="1"/>
  <c r="D13902" i="1"/>
  <c r="C13902" i="1"/>
  <c r="B13902" i="1"/>
  <c r="A13902" i="1"/>
  <c r="F13901" i="1"/>
  <c r="E13901" i="1"/>
  <c r="D13901" i="1"/>
  <c r="C13901" i="1"/>
  <c r="B13901" i="1"/>
  <c r="A13901" i="1"/>
  <c r="F13900" i="1"/>
  <c r="E13900" i="1"/>
  <c r="D13900" i="1"/>
  <c r="C13900" i="1"/>
  <c r="B13900" i="1"/>
  <c r="A13900" i="1"/>
  <c r="F13899" i="1"/>
  <c r="E13899" i="1"/>
  <c r="D13899" i="1"/>
  <c r="C13899" i="1"/>
  <c r="B13899" i="1"/>
  <c r="A13899" i="1"/>
  <c r="F13898" i="1"/>
  <c r="E13898" i="1"/>
  <c r="D13898" i="1"/>
  <c r="C13898" i="1"/>
  <c r="B13898" i="1"/>
  <c r="A13898" i="1"/>
  <c r="F13897" i="1"/>
  <c r="E13897" i="1"/>
  <c r="D13897" i="1"/>
  <c r="C13897" i="1"/>
  <c r="B13897" i="1"/>
  <c r="A13897" i="1"/>
  <c r="F13896" i="1"/>
  <c r="E13896" i="1"/>
  <c r="D13896" i="1"/>
  <c r="C13896" i="1"/>
  <c r="B13896" i="1"/>
  <c r="A13896" i="1"/>
  <c r="F13895" i="1"/>
  <c r="E13895" i="1"/>
  <c r="D13895" i="1"/>
  <c r="C13895" i="1"/>
  <c r="B13895" i="1"/>
  <c r="A13895" i="1"/>
  <c r="F13894" i="1"/>
  <c r="E13894" i="1"/>
  <c r="D13894" i="1"/>
  <c r="C13894" i="1"/>
  <c r="B13894" i="1"/>
  <c r="A13894" i="1"/>
  <c r="F13893" i="1"/>
  <c r="E13893" i="1"/>
  <c r="D13893" i="1"/>
  <c r="C13893" i="1"/>
  <c r="B13893" i="1"/>
  <c r="A13893" i="1"/>
  <c r="F13892" i="1"/>
  <c r="E13892" i="1"/>
  <c r="D13892" i="1"/>
  <c r="C13892" i="1"/>
  <c r="B13892" i="1"/>
  <c r="A13892" i="1"/>
  <c r="F13891" i="1"/>
  <c r="E13891" i="1"/>
  <c r="D13891" i="1"/>
  <c r="C13891" i="1"/>
  <c r="B13891" i="1"/>
  <c r="A13891" i="1"/>
  <c r="F13890" i="1"/>
  <c r="E13890" i="1"/>
  <c r="D13890" i="1"/>
  <c r="C13890" i="1"/>
  <c r="B13890" i="1"/>
  <c r="A13890" i="1"/>
  <c r="F13889" i="1"/>
  <c r="E13889" i="1"/>
  <c r="D13889" i="1"/>
  <c r="C13889" i="1"/>
  <c r="B13889" i="1"/>
  <c r="A13889" i="1"/>
  <c r="F13888" i="1"/>
  <c r="E13888" i="1"/>
  <c r="D13888" i="1"/>
  <c r="C13888" i="1"/>
  <c r="B13888" i="1"/>
  <c r="A13888" i="1"/>
  <c r="F13887" i="1"/>
  <c r="E13887" i="1"/>
  <c r="D13887" i="1"/>
  <c r="C13887" i="1"/>
  <c r="B13887" i="1"/>
  <c r="A13887" i="1"/>
  <c r="F13886" i="1"/>
  <c r="E13886" i="1"/>
  <c r="D13886" i="1"/>
  <c r="C13886" i="1"/>
  <c r="B13886" i="1"/>
  <c r="A13886" i="1"/>
  <c r="F13885" i="1"/>
  <c r="E13885" i="1"/>
  <c r="D13885" i="1"/>
  <c r="C13885" i="1"/>
  <c r="B13885" i="1"/>
  <c r="A13885" i="1"/>
  <c r="F13884" i="1"/>
  <c r="E13884" i="1"/>
  <c r="D13884" i="1"/>
  <c r="C13884" i="1"/>
  <c r="B13884" i="1"/>
  <c r="A13884" i="1"/>
  <c r="F13883" i="1"/>
  <c r="E13883" i="1"/>
  <c r="D13883" i="1"/>
  <c r="C13883" i="1"/>
  <c r="B13883" i="1"/>
  <c r="A13883" i="1"/>
  <c r="F13882" i="1"/>
  <c r="E13882" i="1"/>
  <c r="D13882" i="1"/>
  <c r="C13882" i="1"/>
  <c r="B13882" i="1"/>
  <c r="A13882" i="1"/>
  <c r="F13881" i="1"/>
  <c r="E13881" i="1"/>
  <c r="D13881" i="1"/>
  <c r="C13881" i="1"/>
  <c r="B13881" i="1"/>
  <c r="A13881" i="1"/>
  <c r="F13880" i="1"/>
  <c r="E13880" i="1"/>
  <c r="D13880" i="1"/>
  <c r="C13880" i="1"/>
  <c r="B13880" i="1"/>
  <c r="A13880" i="1"/>
  <c r="F13879" i="1"/>
  <c r="E13879" i="1"/>
  <c r="D13879" i="1"/>
  <c r="C13879" i="1"/>
  <c r="B13879" i="1"/>
  <c r="A13879" i="1"/>
  <c r="F13878" i="1"/>
  <c r="E13878" i="1"/>
  <c r="D13878" i="1"/>
  <c r="C13878" i="1"/>
  <c r="B13878" i="1"/>
  <c r="A13878" i="1"/>
  <c r="F13877" i="1"/>
  <c r="E13877" i="1"/>
  <c r="D13877" i="1"/>
  <c r="C13877" i="1"/>
  <c r="B13877" i="1"/>
  <c r="A13877" i="1"/>
  <c r="F13876" i="1"/>
  <c r="E13876" i="1"/>
  <c r="D13876" i="1"/>
  <c r="C13876" i="1"/>
  <c r="B13876" i="1"/>
  <c r="A13876" i="1"/>
  <c r="F13875" i="1"/>
  <c r="E13875" i="1"/>
  <c r="D13875" i="1"/>
  <c r="C13875" i="1"/>
  <c r="B13875" i="1"/>
  <c r="A13875" i="1"/>
  <c r="F13874" i="1"/>
  <c r="E13874" i="1"/>
  <c r="D13874" i="1"/>
  <c r="C13874" i="1"/>
  <c r="B13874" i="1"/>
  <c r="A13874" i="1"/>
  <c r="F13873" i="1"/>
  <c r="E13873" i="1"/>
  <c r="D13873" i="1"/>
  <c r="C13873" i="1"/>
  <c r="B13873" i="1"/>
  <c r="A13873" i="1"/>
  <c r="F13872" i="1"/>
  <c r="E13872" i="1"/>
  <c r="D13872" i="1"/>
  <c r="C13872" i="1"/>
  <c r="B13872" i="1"/>
  <c r="A13872" i="1"/>
  <c r="F13871" i="1"/>
  <c r="E13871" i="1"/>
  <c r="D13871" i="1"/>
  <c r="C13871" i="1"/>
  <c r="B13871" i="1"/>
  <c r="A13871" i="1"/>
  <c r="F13870" i="1"/>
  <c r="E13870" i="1"/>
  <c r="D13870" i="1"/>
  <c r="C13870" i="1"/>
  <c r="B13870" i="1"/>
  <c r="A13870" i="1"/>
  <c r="F13869" i="1"/>
  <c r="E13869" i="1"/>
  <c r="D13869" i="1"/>
  <c r="C13869" i="1"/>
  <c r="B13869" i="1"/>
  <c r="A13869" i="1"/>
  <c r="F13868" i="1"/>
  <c r="E13868" i="1"/>
  <c r="D13868" i="1"/>
  <c r="C13868" i="1"/>
  <c r="B13868" i="1"/>
  <c r="A13868" i="1"/>
  <c r="F13867" i="1"/>
  <c r="E13867" i="1"/>
  <c r="D13867" i="1"/>
  <c r="C13867" i="1"/>
  <c r="B13867" i="1"/>
  <c r="A13867" i="1"/>
  <c r="F13866" i="1"/>
  <c r="E13866" i="1"/>
  <c r="D13866" i="1"/>
  <c r="C13866" i="1"/>
  <c r="B13866" i="1"/>
  <c r="A13866" i="1"/>
  <c r="F13865" i="1"/>
  <c r="E13865" i="1"/>
  <c r="D13865" i="1"/>
  <c r="C13865" i="1"/>
  <c r="B13865" i="1"/>
  <c r="A13865" i="1"/>
  <c r="F13864" i="1"/>
  <c r="E13864" i="1"/>
  <c r="D13864" i="1"/>
  <c r="C13864" i="1"/>
  <c r="B13864" i="1"/>
  <c r="A13864" i="1"/>
  <c r="F13863" i="1"/>
  <c r="E13863" i="1"/>
  <c r="D13863" i="1"/>
  <c r="C13863" i="1"/>
  <c r="B13863" i="1"/>
  <c r="A13863" i="1"/>
  <c r="F13862" i="1"/>
  <c r="E13862" i="1"/>
  <c r="D13862" i="1"/>
  <c r="C13862" i="1"/>
  <c r="B13862" i="1"/>
  <c r="A13862" i="1"/>
  <c r="F13861" i="1"/>
  <c r="E13861" i="1"/>
  <c r="D13861" i="1"/>
  <c r="C13861" i="1"/>
  <c r="B13861" i="1"/>
  <c r="A13861" i="1"/>
  <c r="F13860" i="1"/>
  <c r="E13860" i="1"/>
  <c r="D13860" i="1"/>
  <c r="C13860" i="1"/>
  <c r="B13860" i="1"/>
  <c r="A13860" i="1"/>
  <c r="F13859" i="1"/>
  <c r="E13859" i="1"/>
  <c r="D13859" i="1"/>
  <c r="C13859" i="1"/>
  <c r="B13859" i="1"/>
  <c r="A13859" i="1"/>
  <c r="F13858" i="1"/>
  <c r="E13858" i="1"/>
  <c r="D13858" i="1"/>
  <c r="C13858" i="1"/>
  <c r="B13858" i="1"/>
  <c r="A13858" i="1"/>
  <c r="F13857" i="1"/>
  <c r="E13857" i="1"/>
  <c r="D13857" i="1"/>
  <c r="C13857" i="1"/>
  <c r="B13857" i="1"/>
  <c r="A13857" i="1"/>
  <c r="F13856" i="1"/>
  <c r="E13856" i="1"/>
  <c r="D13856" i="1"/>
  <c r="C13856" i="1"/>
  <c r="B13856" i="1"/>
  <c r="A13856" i="1"/>
  <c r="F13855" i="1"/>
  <c r="E13855" i="1"/>
  <c r="D13855" i="1"/>
  <c r="C13855" i="1"/>
  <c r="B13855" i="1"/>
  <c r="A13855" i="1"/>
  <c r="F13854" i="1"/>
  <c r="E13854" i="1"/>
  <c r="D13854" i="1"/>
  <c r="C13854" i="1"/>
  <c r="B13854" i="1"/>
  <c r="A13854" i="1"/>
  <c r="F13853" i="1"/>
  <c r="E13853" i="1"/>
  <c r="D13853" i="1"/>
  <c r="C13853" i="1"/>
  <c r="B13853" i="1"/>
  <c r="A13853" i="1"/>
  <c r="F13852" i="1"/>
  <c r="E13852" i="1"/>
  <c r="D13852" i="1"/>
  <c r="C13852" i="1"/>
  <c r="B13852" i="1"/>
  <c r="A13852" i="1"/>
  <c r="F13851" i="1"/>
  <c r="E13851" i="1"/>
  <c r="D13851" i="1"/>
  <c r="C13851" i="1"/>
  <c r="B13851" i="1"/>
  <c r="A13851" i="1"/>
  <c r="F13850" i="1"/>
  <c r="E13850" i="1"/>
  <c r="D13850" i="1"/>
  <c r="C13850" i="1"/>
  <c r="B13850" i="1"/>
  <c r="A13850" i="1"/>
  <c r="F13849" i="1"/>
  <c r="E13849" i="1"/>
  <c r="D13849" i="1"/>
  <c r="C13849" i="1"/>
  <c r="B13849" i="1"/>
  <c r="A13849" i="1"/>
  <c r="F13848" i="1"/>
  <c r="E13848" i="1"/>
  <c r="D13848" i="1"/>
  <c r="C13848" i="1"/>
  <c r="B13848" i="1"/>
  <c r="A13848" i="1"/>
  <c r="F13847" i="1"/>
  <c r="E13847" i="1"/>
  <c r="D13847" i="1"/>
  <c r="C13847" i="1"/>
  <c r="B13847" i="1"/>
  <c r="A13847" i="1"/>
  <c r="F13846" i="1"/>
  <c r="E13846" i="1"/>
  <c r="D13846" i="1"/>
  <c r="C13846" i="1"/>
  <c r="B13846" i="1"/>
  <c r="A13846" i="1"/>
  <c r="F13845" i="1"/>
  <c r="E13845" i="1"/>
  <c r="D13845" i="1"/>
  <c r="C13845" i="1"/>
  <c r="B13845" i="1"/>
  <c r="A13845" i="1"/>
  <c r="F13844" i="1"/>
  <c r="E13844" i="1"/>
  <c r="D13844" i="1"/>
  <c r="C13844" i="1"/>
  <c r="B13844" i="1"/>
  <c r="A13844" i="1"/>
  <c r="F13843" i="1"/>
  <c r="E13843" i="1"/>
  <c r="D13843" i="1"/>
  <c r="C13843" i="1"/>
  <c r="B13843" i="1"/>
  <c r="A13843" i="1"/>
  <c r="F13842" i="1"/>
  <c r="E13842" i="1"/>
  <c r="D13842" i="1"/>
  <c r="C13842" i="1"/>
  <c r="B13842" i="1"/>
  <c r="A13842" i="1"/>
  <c r="F13841" i="1"/>
  <c r="E13841" i="1"/>
  <c r="D13841" i="1"/>
  <c r="C13841" i="1"/>
  <c r="B13841" i="1"/>
  <c r="A13841" i="1"/>
  <c r="F13840" i="1"/>
  <c r="E13840" i="1"/>
  <c r="D13840" i="1"/>
  <c r="C13840" i="1"/>
  <c r="B13840" i="1"/>
  <c r="A13840" i="1"/>
  <c r="F13839" i="1"/>
  <c r="E13839" i="1"/>
  <c r="D13839" i="1"/>
  <c r="C13839" i="1"/>
  <c r="B13839" i="1"/>
  <c r="A13839" i="1"/>
  <c r="F13838" i="1"/>
  <c r="E13838" i="1"/>
  <c r="D13838" i="1"/>
  <c r="C13838" i="1"/>
  <c r="B13838" i="1"/>
  <c r="A13838" i="1"/>
  <c r="F13837" i="1"/>
  <c r="E13837" i="1"/>
  <c r="D13837" i="1"/>
  <c r="C13837" i="1"/>
  <c r="B13837" i="1"/>
  <c r="A13837" i="1"/>
  <c r="F13836" i="1"/>
  <c r="E13836" i="1"/>
  <c r="D13836" i="1"/>
  <c r="C13836" i="1"/>
  <c r="B13836" i="1"/>
  <c r="A13836" i="1"/>
  <c r="F13835" i="1"/>
  <c r="E13835" i="1"/>
  <c r="D13835" i="1"/>
  <c r="C13835" i="1"/>
  <c r="B13835" i="1"/>
  <c r="A13835" i="1"/>
  <c r="F13834" i="1"/>
  <c r="E13834" i="1"/>
  <c r="D13834" i="1"/>
  <c r="C13834" i="1"/>
  <c r="B13834" i="1"/>
  <c r="A13834" i="1"/>
  <c r="F13833" i="1"/>
  <c r="E13833" i="1"/>
  <c r="D13833" i="1"/>
  <c r="C13833" i="1"/>
  <c r="B13833" i="1"/>
  <c r="A13833" i="1"/>
  <c r="F13832" i="1"/>
  <c r="E13832" i="1"/>
  <c r="D13832" i="1"/>
  <c r="C13832" i="1"/>
  <c r="B13832" i="1"/>
  <c r="A13832" i="1"/>
  <c r="F13831" i="1"/>
  <c r="E13831" i="1"/>
  <c r="D13831" i="1"/>
  <c r="C13831" i="1"/>
  <c r="B13831" i="1"/>
  <c r="A13831" i="1"/>
  <c r="F13830" i="1"/>
  <c r="E13830" i="1"/>
  <c r="D13830" i="1"/>
  <c r="C13830" i="1"/>
  <c r="B13830" i="1"/>
  <c r="A13830" i="1"/>
  <c r="F13829" i="1"/>
  <c r="E13829" i="1"/>
  <c r="D13829" i="1"/>
  <c r="C13829" i="1"/>
  <c r="B13829" i="1"/>
  <c r="A13829" i="1"/>
  <c r="F13828" i="1"/>
  <c r="E13828" i="1"/>
  <c r="D13828" i="1"/>
  <c r="C13828" i="1"/>
  <c r="B13828" i="1"/>
  <c r="A13828" i="1"/>
  <c r="F13827" i="1"/>
  <c r="E13827" i="1"/>
  <c r="D13827" i="1"/>
  <c r="C13827" i="1"/>
  <c r="B13827" i="1"/>
  <c r="A13827" i="1"/>
  <c r="F13826" i="1"/>
  <c r="E13826" i="1"/>
  <c r="D13826" i="1"/>
  <c r="C13826" i="1"/>
  <c r="B13826" i="1"/>
  <c r="A13826" i="1"/>
  <c r="F13825" i="1"/>
  <c r="E13825" i="1"/>
  <c r="D13825" i="1"/>
  <c r="C13825" i="1"/>
  <c r="B13825" i="1"/>
  <c r="A13825" i="1"/>
  <c r="F13824" i="1"/>
  <c r="E13824" i="1"/>
  <c r="D13824" i="1"/>
  <c r="C13824" i="1"/>
  <c r="B13824" i="1"/>
  <c r="A13824" i="1"/>
  <c r="F13823" i="1"/>
  <c r="E13823" i="1"/>
  <c r="D13823" i="1"/>
  <c r="C13823" i="1"/>
  <c r="B13823" i="1"/>
  <c r="A13823" i="1"/>
  <c r="F13822" i="1"/>
  <c r="E13822" i="1"/>
  <c r="D13822" i="1"/>
  <c r="C13822" i="1"/>
  <c r="B13822" i="1"/>
  <c r="A13822" i="1"/>
  <c r="F13821" i="1"/>
  <c r="E13821" i="1"/>
  <c r="D13821" i="1"/>
  <c r="C13821" i="1"/>
  <c r="B13821" i="1"/>
  <c r="A13821" i="1"/>
  <c r="F13820" i="1"/>
  <c r="E13820" i="1"/>
  <c r="D13820" i="1"/>
  <c r="C13820" i="1"/>
  <c r="B13820" i="1"/>
  <c r="A13820" i="1"/>
  <c r="F13819" i="1"/>
  <c r="E13819" i="1"/>
  <c r="D13819" i="1"/>
  <c r="C13819" i="1"/>
  <c r="B13819" i="1"/>
  <c r="A13819" i="1"/>
  <c r="F13818" i="1"/>
  <c r="E13818" i="1"/>
  <c r="D13818" i="1"/>
  <c r="C13818" i="1"/>
  <c r="B13818" i="1"/>
  <c r="A13818" i="1"/>
  <c r="F13817" i="1"/>
  <c r="E13817" i="1"/>
  <c r="D13817" i="1"/>
  <c r="C13817" i="1"/>
  <c r="B13817" i="1"/>
  <c r="A13817" i="1"/>
  <c r="F13816" i="1"/>
  <c r="E13816" i="1"/>
  <c r="D13816" i="1"/>
  <c r="C13816" i="1"/>
  <c r="B13816" i="1"/>
  <c r="A13816" i="1"/>
  <c r="F13815" i="1"/>
  <c r="E13815" i="1"/>
  <c r="D13815" i="1"/>
  <c r="C13815" i="1"/>
  <c r="B13815" i="1"/>
  <c r="A13815" i="1"/>
  <c r="F13814" i="1"/>
  <c r="E13814" i="1"/>
  <c r="D13814" i="1"/>
  <c r="C13814" i="1"/>
  <c r="B13814" i="1"/>
  <c r="A13814" i="1"/>
  <c r="F13813" i="1"/>
  <c r="E13813" i="1"/>
  <c r="D13813" i="1"/>
  <c r="C13813" i="1"/>
  <c r="B13813" i="1"/>
  <c r="A13813" i="1"/>
  <c r="F13812" i="1"/>
  <c r="E13812" i="1"/>
  <c r="D13812" i="1"/>
  <c r="C13812" i="1"/>
  <c r="B13812" i="1"/>
  <c r="A13812" i="1"/>
  <c r="F13811" i="1"/>
  <c r="E13811" i="1"/>
  <c r="D13811" i="1"/>
  <c r="C13811" i="1"/>
  <c r="B13811" i="1"/>
  <c r="A13811" i="1"/>
  <c r="F13810" i="1"/>
  <c r="E13810" i="1"/>
  <c r="D13810" i="1"/>
  <c r="C13810" i="1"/>
  <c r="B13810" i="1"/>
  <c r="A13810" i="1"/>
  <c r="F13809" i="1"/>
  <c r="E13809" i="1"/>
  <c r="D13809" i="1"/>
  <c r="C13809" i="1"/>
  <c r="B13809" i="1"/>
  <c r="A13809" i="1"/>
  <c r="F13808" i="1"/>
  <c r="E13808" i="1"/>
  <c r="D13808" i="1"/>
  <c r="C13808" i="1"/>
  <c r="B13808" i="1"/>
  <c r="A13808" i="1"/>
  <c r="F13807" i="1"/>
  <c r="E13807" i="1"/>
  <c r="D13807" i="1"/>
  <c r="C13807" i="1"/>
  <c r="B13807" i="1"/>
  <c r="A13807" i="1"/>
  <c r="F13806" i="1"/>
  <c r="E13806" i="1"/>
  <c r="D13806" i="1"/>
  <c r="C13806" i="1"/>
  <c r="B13806" i="1"/>
  <c r="A13806" i="1"/>
  <c r="F13805" i="1"/>
  <c r="E13805" i="1"/>
  <c r="D13805" i="1"/>
  <c r="C13805" i="1"/>
  <c r="B13805" i="1"/>
  <c r="A13805" i="1"/>
  <c r="F13804" i="1"/>
  <c r="E13804" i="1"/>
  <c r="D13804" i="1"/>
  <c r="C13804" i="1"/>
  <c r="B13804" i="1"/>
  <c r="A13804" i="1"/>
  <c r="F13803" i="1"/>
  <c r="E13803" i="1"/>
  <c r="D13803" i="1"/>
  <c r="C13803" i="1"/>
  <c r="B13803" i="1"/>
  <c r="A13803" i="1"/>
  <c r="F13802" i="1"/>
  <c r="E13802" i="1"/>
  <c r="D13802" i="1"/>
  <c r="C13802" i="1"/>
  <c r="B13802" i="1"/>
  <c r="A13802" i="1"/>
  <c r="F13801" i="1"/>
  <c r="E13801" i="1"/>
  <c r="D13801" i="1"/>
  <c r="C13801" i="1"/>
  <c r="B13801" i="1"/>
  <c r="A13801" i="1"/>
  <c r="F13800" i="1"/>
  <c r="E13800" i="1"/>
  <c r="D13800" i="1"/>
  <c r="C13800" i="1"/>
  <c r="B13800" i="1"/>
  <c r="A13800" i="1"/>
  <c r="F13799" i="1"/>
  <c r="E13799" i="1"/>
  <c r="D13799" i="1"/>
  <c r="C13799" i="1"/>
  <c r="B13799" i="1"/>
  <c r="A13799" i="1"/>
  <c r="F13798" i="1"/>
  <c r="E13798" i="1"/>
  <c r="D13798" i="1"/>
  <c r="C13798" i="1"/>
  <c r="B13798" i="1"/>
  <c r="A13798" i="1"/>
  <c r="F13797" i="1"/>
  <c r="E13797" i="1"/>
  <c r="D13797" i="1"/>
  <c r="C13797" i="1"/>
  <c r="B13797" i="1"/>
  <c r="A13797" i="1"/>
  <c r="F13796" i="1"/>
  <c r="E13796" i="1"/>
  <c r="D13796" i="1"/>
  <c r="C13796" i="1"/>
  <c r="B13796" i="1"/>
  <c r="A13796" i="1"/>
  <c r="F13795" i="1"/>
  <c r="E13795" i="1"/>
  <c r="D13795" i="1"/>
  <c r="C13795" i="1"/>
  <c r="B13795" i="1"/>
  <c r="A13795" i="1"/>
  <c r="F13794" i="1"/>
  <c r="E13794" i="1"/>
  <c r="D13794" i="1"/>
  <c r="C13794" i="1"/>
  <c r="B13794" i="1"/>
  <c r="A13794" i="1"/>
  <c r="F13793" i="1"/>
  <c r="E13793" i="1"/>
  <c r="D13793" i="1"/>
  <c r="C13793" i="1"/>
  <c r="B13793" i="1"/>
  <c r="A13793" i="1"/>
  <c r="F13792" i="1"/>
  <c r="E13792" i="1"/>
  <c r="D13792" i="1"/>
  <c r="C13792" i="1"/>
  <c r="B13792" i="1"/>
  <c r="A13792" i="1"/>
  <c r="F13791" i="1"/>
  <c r="E13791" i="1"/>
  <c r="D13791" i="1"/>
  <c r="C13791" i="1"/>
  <c r="B13791" i="1"/>
  <c r="A13791" i="1"/>
  <c r="F13790" i="1"/>
  <c r="E13790" i="1"/>
  <c r="D13790" i="1"/>
  <c r="C13790" i="1"/>
  <c r="B13790" i="1"/>
  <c r="A13790" i="1"/>
  <c r="F13789" i="1"/>
  <c r="E13789" i="1"/>
  <c r="D13789" i="1"/>
  <c r="C13789" i="1"/>
  <c r="B13789" i="1"/>
  <c r="A13789" i="1"/>
  <c r="F13788" i="1"/>
  <c r="E13788" i="1"/>
  <c r="D13788" i="1"/>
  <c r="C13788" i="1"/>
  <c r="B13788" i="1"/>
  <c r="A13788" i="1"/>
  <c r="F13787" i="1"/>
  <c r="E13787" i="1"/>
  <c r="D13787" i="1"/>
  <c r="C13787" i="1"/>
  <c r="B13787" i="1"/>
  <c r="A13787" i="1"/>
  <c r="F13786" i="1"/>
  <c r="E13786" i="1"/>
  <c r="D13786" i="1"/>
  <c r="C13786" i="1"/>
  <c r="B13786" i="1"/>
  <c r="A13786" i="1"/>
  <c r="F13785" i="1"/>
  <c r="E13785" i="1"/>
  <c r="D13785" i="1"/>
  <c r="C13785" i="1"/>
  <c r="B13785" i="1"/>
  <c r="A13785" i="1"/>
  <c r="F13784" i="1"/>
  <c r="E13784" i="1"/>
  <c r="D13784" i="1"/>
  <c r="C13784" i="1"/>
  <c r="B13784" i="1"/>
  <c r="A13784" i="1"/>
  <c r="F13783" i="1"/>
  <c r="E13783" i="1"/>
  <c r="D13783" i="1"/>
  <c r="C13783" i="1"/>
  <c r="B13783" i="1"/>
  <c r="A13783" i="1"/>
  <c r="F13782" i="1"/>
  <c r="E13782" i="1"/>
  <c r="D13782" i="1"/>
  <c r="C13782" i="1"/>
  <c r="B13782" i="1"/>
  <c r="A13782" i="1"/>
  <c r="F13781" i="1"/>
  <c r="E13781" i="1"/>
  <c r="D13781" i="1"/>
  <c r="C13781" i="1"/>
  <c r="B13781" i="1"/>
  <c r="A13781" i="1"/>
  <c r="F13780" i="1"/>
  <c r="E13780" i="1"/>
  <c r="D13780" i="1"/>
  <c r="C13780" i="1"/>
  <c r="B13780" i="1"/>
  <c r="A13780" i="1"/>
  <c r="F13779" i="1"/>
  <c r="E13779" i="1"/>
  <c r="D13779" i="1"/>
  <c r="C13779" i="1"/>
  <c r="B13779" i="1"/>
  <c r="A13779" i="1"/>
  <c r="F13778" i="1"/>
  <c r="E13778" i="1"/>
  <c r="D13778" i="1"/>
  <c r="C13778" i="1"/>
  <c r="B13778" i="1"/>
  <c r="A13778" i="1"/>
  <c r="F13777" i="1"/>
  <c r="E13777" i="1"/>
  <c r="D13777" i="1"/>
  <c r="C13777" i="1"/>
  <c r="B13777" i="1"/>
  <c r="A13777" i="1"/>
  <c r="F13776" i="1"/>
  <c r="E13776" i="1"/>
  <c r="D13776" i="1"/>
  <c r="C13776" i="1"/>
  <c r="B13776" i="1"/>
  <c r="A13776" i="1"/>
  <c r="F13775" i="1"/>
  <c r="E13775" i="1"/>
  <c r="D13775" i="1"/>
  <c r="C13775" i="1"/>
  <c r="B13775" i="1"/>
  <c r="A13775" i="1"/>
  <c r="F13774" i="1"/>
  <c r="E13774" i="1"/>
  <c r="D13774" i="1"/>
  <c r="C13774" i="1"/>
  <c r="B13774" i="1"/>
  <c r="A13774" i="1"/>
  <c r="F13773" i="1"/>
  <c r="E13773" i="1"/>
  <c r="D13773" i="1"/>
  <c r="C13773" i="1"/>
  <c r="B13773" i="1"/>
  <c r="A13773" i="1"/>
  <c r="F13772" i="1"/>
  <c r="E13772" i="1"/>
  <c r="D13772" i="1"/>
  <c r="C13772" i="1"/>
  <c r="B13772" i="1"/>
  <c r="A13772" i="1"/>
  <c r="F13771" i="1"/>
  <c r="E13771" i="1"/>
  <c r="D13771" i="1"/>
  <c r="C13771" i="1"/>
  <c r="B13771" i="1"/>
  <c r="A13771" i="1"/>
  <c r="F13770" i="1"/>
  <c r="E13770" i="1"/>
  <c r="D13770" i="1"/>
  <c r="C13770" i="1"/>
  <c r="B13770" i="1"/>
  <c r="A13770" i="1"/>
  <c r="F13769" i="1"/>
  <c r="E13769" i="1"/>
  <c r="D13769" i="1"/>
  <c r="C13769" i="1"/>
  <c r="B13769" i="1"/>
  <c r="A13769" i="1"/>
  <c r="F13768" i="1"/>
  <c r="E13768" i="1"/>
  <c r="D13768" i="1"/>
  <c r="C13768" i="1"/>
  <c r="B13768" i="1"/>
  <c r="A13768" i="1"/>
  <c r="F13767" i="1"/>
  <c r="E13767" i="1"/>
  <c r="D13767" i="1"/>
  <c r="C13767" i="1"/>
  <c r="B13767" i="1"/>
  <c r="A13767" i="1"/>
  <c r="F13766" i="1"/>
  <c r="E13766" i="1"/>
  <c r="D13766" i="1"/>
  <c r="C13766" i="1"/>
  <c r="B13766" i="1"/>
  <c r="A13766" i="1"/>
  <c r="F13765" i="1"/>
  <c r="E13765" i="1"/>
  <c r="D13765" i="1"/>
  <c r="C13765" i="1"/>
  <c r="B13765" i="1"/>
  <c r="A13765" i="1"/>
  <c r="F13764" i="1"/>
  <c r="E13764" i="1"/>
  <c r="D13764" i="1"/>
  <c r="C13764" i="1"/>
  <c r="B13764" i="1"/>
  <c r="A13764" i="1"/>
  <c r="F13763" i="1"/>
  <c r="E13763" i="1"/>
  <c r="D13763" i="1"/>
  <c r="C13763" i="1"/>
  <c r="B13763" i="1"/>
  <c r="A13763" i="1"/>
  <c r="F13762" i="1"/>
  <c r="E13762" i="1"/>
  <c r="D13762" i="1"/>
  <c r="C13762" i="1"/>
  <c r="B13762" i="1"/>
  <c r="A13762" i="1"/>
  <c r="F13761" i="1"/>
  <c r="E13761" i="1"/>
  <c r="D13761" i="1"/>
  <c r="C13761" i="1"/>
  <c r="B13761" i="1"/>
  <c r="A13761" i="1"/>
  <c r="F13760" i="1"/>
  <c r="E13760" i="1"/>
  <c r="D13760" i="1"/>
  <c r="C13760" i="1"/>
  <c r="B13760" i="1"/>
  <c r="A13760" i="1"/>
  <c r="F13759" i="1"/>
  <c r="E13759" i="1"/>
  <c r="D13759" i="1"/>
  <c r="C13759" i="1"/>
  <c r="B13759" i="1"/>
  <c r="A13759" i="1"/>
  <c r="F13758" i="1"/>
  <c r="E13758" i="1"/>
  <c r="D13758" i="1"/>
  <c r="C13758" i="1"/>
  <c r="B13758" i="1"/>
  <c r="A13758" i="1"/>
  <c r="F13757" i="1"/>
  <c r="E13757" i="1"/>
  <c r="D13757" i="1"/>
  <c r="C13757" i="1"/>
  <c r="B13757" i="1"/>
  <c r="A13757" i="1"/>
  <c r="F13756" i="1"/>
  <c r="E13756" i="1"/>
  <c r="D13756" i="1"/>
  <c r="C13756" i="1"/>
  <c r="B13756" i="1"/>
  <c r="A13756" i="1"/>
  <c r="F13755" i="1"/>
  <c r="E13755" i="1"/>
  <c r="D13755" i="1"/>
  <c r="C13755" i="1"/>
  <c r="B13755" i="1"/>
  <c r="A13755" i="1"/>
  <c r="F13754" i="1"/>
  <c r="E13754" i="1"/>
  <c r="D13754" i="1"/>
  <c r="C13754" i="1"/>
  <c r="B13754" i="1"/>
  <c r="A13754" i="1"/>
  <c r="F13753" i="1"/>
  <c r="E13753" i="1"/>
  <c r="D13753" i="1"/>
  <c r="C13753" i="1"/>
  <c r="B13753" i="1"/>
  <c r="A13753" i="1"/>
  <c r="F13752" i="1"/>
  <c r="E13752" i="1"/>
  <c r="D13752" i="1"/>
  <c r="C13752" i="1"/>
  <c r="B13752" i="1"/>
  <c r="A13752" i="1"/>
  <c r="F13751" i="1"/>
  <c r="E13751" i="1"/>
  <c r="D13751" i="1"/>
  <c r="C13751" i="1"/>
  <c r="B13751" i="1"/>
  <c r="A13751" i="1"/>
  <c r="F13750" i="1"/>
  <c r="E13750" i="1"/>
  <c r="D13750" i="1"/>
  <c r="C13750" i="1"/>
  <c r="B13750" i="1"/>
  <c r="A13750" i="1"/>
  <c r="F13749" i="1"/>
  <c r="E13749" i="1"/>
  <c r="D13749" i="1"/>
  <c r="C13749" i="1"/>
  <c r="B13749" i="1"/>
  <c r="A13749" i="1"/>
  <c r="F13748" i="1"/>
  <c r="E13748" i="1"/>
  <c r="D13748" i="1"/>
  <c r="C13748" i="1"/>
  <c r="B13748" i="1"/>
  <c r="A13748" i="1"/>
  <c r="F13747" i="1"/>
  <c r="E13747" i="1"/>
  <c r="D13747" i="1"/>
  <c r="C13747" i="1"/>
  <c r="B13747" i="1"/>
  <c r="A13747" i="1"/>
  <c r="F13746" i="1"/>
  <c r="E13746" i="1"/>
  <c r="D13746" i="1"/>
  <c r="C13746" i="1"/>
  <c r="B13746" i="1"/>
  <c r="A13746" i="1"/>
  <c r="F13745" i="1"/>
  <c r="E13745" i="1"/>
  <c r="D13745" i="1"/>
  <c r="C13745" i="1"/>
  <c r="B13745" i="1"/>
  <c r="A13745" i="1"/>
  <c r="F13744" i="1"/>
  <c r="E13744" i="1"/>
  <c r="D13744" i="1"/>
  <c r="C13744" i="1"/>
  <c r="B13744" i="1"/>
  <c r="A13744" i="1"/>
  <c r="F13743" i="1"/>
  <c r="E13743" i="1"/>
  <c r="D13743" i="1"/>
  <c r="C13743" i="1"/>
  <c r="B13743" i="1"/>
  <c r="A13743" i="1"/>
  <c r="F13742" i="1"/>
  <c r="E13742" i="1"/>
  <c r="D13742" i="1"/>
  <c r="C13742" i="1"/>
  <c r="B13742" i="1"/>
  <c r="A13742" i="1"/>
  <c r="F13741" i="1"/>
  <c r="E13741" i="1"/>
  <c r="D13741" i="1"/>
  <c r="C13741" i="1"/>
  <c r="B13741" i="1"/>
  <c r="A13741" i="1"/>
  <c r="F13740" i="1"/>
  <c r="E13740" i="1"/>
  <c r="D13740" i="1"/>
  <c r="C13740" i="1"/>
  <c r="B13740" i="1"/>
  <c r="A13740" i="1"/>
  <c r="F13739" i="1"/>
  <c r="E13739" i="1"/>
  <c r="D13739" i="1"/>
  <c r="C13739" i="1"/>
  <c r="B13739" i="1"/>
  <c r="A13739" i="1"/>
  <c r="F13738" i="1"/>
  <c r="E13738" i="1"/>
  <c r="D13738" i="1"/>
  <c r="C13738" i="1"/>
  <c r="B13738" i="1"/>
  <c r="A13738" i="1"/>
  <c r="F13737" i="1"/>
  <c r="E13737" i="1"/>
  <c r="D13737" i="1"/>
  <c r="C13737" i="1"/>
  <c r="B13737" i="1"/>
  <c r="A13737" i="1"/>
  <c r="F13736" i="1"/>
  <c r="E13736" i="1"/>
  <c r="D13736" i="1"/>
  <c r="C13736" i="1"/>
  <c r="B13736" i="1"/>
  <c r="A13736" i="1"/>
  <c r="F13735" i="1"/>
  <c r="E13735" i="1"/>
  <c r="D13735" i="1"/>
  <c r="C13735" i="1"/>
  <c r="B13735" i="1"/>
  <c r="A13735" i="1"/>
  <c r="F13734" i="1"/>
  <c r="E13734" i="1"/>
  <c r="D13734" i="1"/>
  <c r="C13734" i="1"/>
  <c r="B13734" i="1"/>
  <c r="A13734" i="1"/>
  <c r="F13733" i="1"/>
  <c r="E13733" i="1"/>
  <c r="D13733" i="1"/>
  <c r="C13733" i="1"/>
  <c r="B13733" i="1"/>
  <c r="A13733" i="1"/>
  <c r="F13732" i="1"/>
  <c r="E13732" i="1"/>
  <c r="D13732" i="1"/>
  <c r="C13732" i="1"/>
  <c r="B13732" i="1"/>
  <c r="A13732" i="1"/>
  <c r="F13731" i="1"/>
  <c r="E13731" i="1"/>
  <c r="D13731" i="1"/>
  <c r="C13731" i="1"/>
  <c r="B13731" i="1"/>
  <c r="A13731" i="1"/>
  <c r="F13730" i="1"/>
  <c r="E13730" i="1"/>
  <c r="D13730" i="1"/>
  <c r="C13730" i="1"/>
  <c r="B13730" i="1"/>
  <c r="A13730" i="1"/>
  <c r="F13729" i="1"/>
  <c r="E13729" i="1"/>
  <c r="D13729" i="1"/>
  <c r="C13729" i="1"/>
  <c r="B13729" i="1"/>
  <c r="A13729" i="1"/>
  <c r="F13728" i="1"/>
  <c r="E13728" i="1"/>
  <c r="D13728" i="1"/>
  <c r="C13728" i="1"/>
  <c r="B13728" i="1"/>
  <c r="A13728" i="1"/>
  <c r="F13727" i="1"/>
  <c r="E13727" i="1"/>
  <c r="D13727" i="1"/>
  <c r="C13727" i="1"/>
  <c r="B13727" i="1"/>
  <c r="A13727" i="1"/>
  <c r="F13726" i="1"/>
  <c r="E13726" i="1"/>
  <c r="D13726" i="1"/>
  <c r="C13726" i="1"/>
  <c r="B13726" i="1"/>
  <c r="A13726" i="1"/>
  <c r="F13725" i="1"/>
  <c r="E13725" i="1"/>
  <c r="D13725" i="1"/>
  <c r="C13725" i="1"/>
  <c r="B13725" i="1"/>
  <c r="A13725" i="1"/>
  <c r="F13724" i="1"/>
  <c r="E13724" i="1"/>
  <c r="D13724" i="1"/>
  <c r="C13724" i="1"/>
  <c r="B13724" i="1"/>
  <c r="A13724" i="1"/>
  <c r="F13723" i="1"/>
  <c r="E13723" i="1"/>
  <c r="D13723" i="1"/>
  <c r="C13723" i="1"/>
  <c r="B13723" i="1"/>
  <c r="A13723" i="1"/>
  <c r="F13722" i="1"/>
  <c r="E13722" i="1"/>
  <c r="D13722" i="1"/>
  <c r="C13722" i="1"/>
  <c r="B13722" i="1"/>
  <c r="A13722" i="1"/>
  <c r="F13721" i="1"/>
  <c r="E13721" i="1"/>
  <c r="D13721" i="1"/>
  <c r="C13721" i="1"/>
  <c r="B13721" i="1"/>
  <c r="A13721" i="1"/>
  <c r="F13720" i="1"/>
  <c r="E13720" i="1"/>
  <c r="D13720" i="1"/>
  <c r="C13720" i="1"/>
  <c r="B13720" i="1"/>
  <c r="A13720" i="1"/>
  <c r="F13719" i="1"/>
  <c r="E13719" i="1"/>
  <c r="D13719" i="1"/>
  <c r="C13719" i="1"/>
  <c r="B13719" i="1"/>
  <c r="A13719" i="1"/>
  <c r="F13718" i="1"/>
  <c r="E13718" i="1"/>
  <c r="D13718" i="1"/>
  <c r="C13718" i="1"/>
  <c r="B13718" i="1"/>
  <c r="A13718" i="1"/>
  <c r="F13717" i="1"/>
  <c r="E13717" i="1"/>
  <c r="D13717" i="1"/>
  <c r="C13717" i="1"/>
  <c r="B13717" i="1"/>
  <c r="A13717" i="1"/>
  <c r="F13716" i="1"/>
  <c r="E13716" i="1"/>
  <c r="D13716" i="1"/>
  <c r="C13716" i="1"/>
  <c r="B13716" i="1"/>
  <c r="A13716" i="1"/>
  <c r="F13715" i="1"/>
  <c r="E13715" i="1"/>
  <c r="D13715" i="1"/>
  <c r="C13715" i="1"/>
  <c r="B13715" i="1"/>
  <c r="A13715" i="1"/>
  <c r="F13714" i="1"/>
  <c r="E13714" i="1"/>
  <c r="D13714" i="1"/>
  <c r="C13714" i="1"/>
  <c r="B13714" i="1"/>
  <c r="A13714" i="1"/>
  <c r="F13713" i="1"/>
  <c r="E13713" i="1"/>
  <c r="D13713" i="1"/>
  <c r="C13713" i="1"/>
  <c r="B13713" i="1"/>
  <c r="A13713" i="1"/>
  <c r="F13712" i="1"/>
  <c r="E13712" i="1"/>
  <c r="D13712" i="1"/>
  <c r="C13712" i="1"/>
  <c r="B13712" i="1"/>
  <c r="A13712" i="1"/>
  <c r="F13711" i="1"/>
  <c r="E13711" i="1"/>
  <c r="D13711" i="1"/>
  <c r="C13711" i="1"/>
  <c r="B13711" i="1"/>
  <c r="A13711" i="1"/>
  <c r="F13710" i="1"/>
  <c r="E13710" i="1"/>
  <c r="D13710" i="1"/>
  <c r="C13710" i="1"/>
  <c r="B13710" i="1"/>
  <c r="A13710" i="1"/>
  <c r="F13709" i="1"/>
  <c r="E13709" i="1"/>
  <c r="D13709" i="1"/>
  <c r="C13709" i="1"/>
  <c r="B13709" i="1"/>
  <c r="A13709" i="1"/>
  <c r="F13708" i="1"/>
  <c r="E13708" i="1"/>
  <c r="D13708" i="1"/>
  <c r="C13708" i="1"/>
  <c r="B13708" i="1"/>
  <c r="A13708" i="1"/>
  <c r="F13707" i="1"/>
  <c r="E13707" i="1"/>
  <c r="D13707" i="1"/>
  <c r="C13707" i="1"/>
  <c r="B13707" i="1"/>
  <c r="A13707" i="1"/>
  <c r="F13706" i="1"/>
  <c r="E13706" i="1"/>
  <c r="D13706" i="1"/>
  <c r="C13706" i="1"/>
  <c r="B13706" i="1"/>
  <c r="A13706" i="1"/>
  <c r="F13705" i="1"/>
  <c r="E13705" i="1"/>
  <c r="D13705" i="1"/>
  <c r="C13705" i="1"/>
  <c r="B13705" i="1"/>
  <c r="A13705" i="1"/>
  <c r="F13704" i="1"/>
  <c r="E13704" i="1"/>
  <c r="D13704" i="1"/>
  <c r="C13704" i="1"/>
  <c r="B13704" i="1"/>
  <c r="A13704" i="1"/>
  <c r="F13703" i="1"/>
  <c r="E13703" i="1"/>
  <c r="D13703" i="1"/>
  <c r="C13703" i="1"/>
  <c r="B13703" i="1"/>
  <c r="A13703" i="1"/>
  <c r="F13702" i="1"/>
  <c r="E13702" i="1"/>
  <c r="D13702" i="1"/>
  <c r="C13702" i="1"/>
  <c r="B13702" i="1"/>
  <c r="A13702" i="1"/>
  <c r="F13701" i="1"/>
  <c r="E13701" i="1"/>
  <c r="D13701" i="1"/>
  <c r="C13701" i="1"/>
  <c r="B13701" i="1"/>
  <c r="A13701" i="1"/>
  <c r="F13700" i="1"/>
  <c r="E13700" i="1"/>
  <c r="D13700" i="1"/>
  <c r="C13700" i="1"/>
  <c r="B13700" i="1"/>
  <c r="A13700" i="1"/>
  <c r="F13699" i="1"/>
  <c r="E13699" i="1"/>
  <c r="D13699" i="1"/>
  <c r="C13699" i="1"/>
  <c r="B13699" i="1"/>
  <c r="A13699" i="1"/>
  <c r="F13698" i="1"/>
  <c r="E13698" i="1"/>
  <c r="D13698" i="1"/>
  <c r="C13698" i="1"/>
  <c r="B13698" i="1"/>
  <c r="A13698" i="1"/>
  <c r="F13697" i="1"/>
  <c r="E13697" i="1"/>
  <c r="D13697" i="1"/>
  <c r="C13697" i="1"/>
  <c r="B13697" i="1"/>
  <c r="A13697" i="1"/>
  <c r="F13696" i="1"/>
  <c r="E13696" i="1"/>
  <c r="D13696" i="1"/>
  <c r="C13696" i="1"/>
  <c r="B13696" i="1"/>
  <c r="A13696" i="1"/>
  <c r="F13695" i="1"/>
  <c r="E13695" i="1"/>
  <c r="D13695" i="1"/>
  <c r="C13695" i="1"/>
  <c r="B13695" i="1"/>
  <c r="A13695" i="1"/>
  <c r="F13694" i="1"/>
  <c r="E13694" i="1"/>
  <c r="D13694" i="1"/>
  <c r="C13694" i="1"/>
  <c r="B13694" i="1"/>
  <c r="A13694" i="1"/>
  <c r="F13693" i="1"/>
  <c r="E13693" i="1"/>
  <c r="D13693" i="1"/>
  <c r="C13693" i="1"/>
  <c r="B13693" i="1"/>
  <c r="A13693" i="1"/>
  <c r="F13692" i="1"/>
  <c r="E13692" i="1"/>
  <c r="D13692" i="1"/>
  <c r="C13692" i="1"/>
  <c r="B13692" i="1"/>
  <c r="A13692" i="1"/>
  <c r="F13691" i="1"/>
  <c r="E13691" i="1"/>
  <c r="D13691" i="1"/>
  <c r="C13691" i="1"/>
  <c r="B13691" i="1"/>
  <c r="A13691" i="1"/>
  <c r="F13690" i="1"/>
  <c r="E13690" i="1"/>
  <c r="D13690" i="1"/>
  <c r="C13690" i="1"/>
  <c r="B13690" i="1"/>
  <c r="A13690" i="1"/>
  <c r="F13689" i="1"/>
  <c r="E13689" i="1"/>
  <c r="D13689" i="1"/>
  <c r="C13689" i="1"/>
  <c r="B13689" i="1"/>
  <c r="A13689" i="1"/>
  <c r="F13688" i="1"/>
  <c r="E13688" i="1"/>
  <c r="D13688" i="1"/>
  <c r="C13688" i="1"/>
  <c r="B13688" i="1"/>
  <c r="A13688" i="1"/>
  <c r="F13687" i="1"/>
  <c r="E13687" i="1"/>
  <c r="D13687" i="1"/>
  <c r="C13687" i="1"/>
  <c r="B13687" i="1"/>
  <c r="A13687" i="1"/>
  <c r="F13686" i="1"/>
  <c r="E13686" i="1"/>
  <c r="D13686" i="1"/>
  <c r="C13686" i="1"/>
  <c r="B13686" i="1"/>
  <c r="A13686" i="1"/>
  <c r="F13685" i="1"/>
  <c r="E13685" i="1"/>
  <c r="D13685" i="1"/>
  <c r="C13685" i="1"/>
  <c r="B13685" i="1"/>
  <c r="A13685" i="1"/>
  <c r="F13684" i="1"/>
  <c r="E13684" i="1"/>
  <c r="D13684" i="1"/>
  <c r="C13684" i="1"/>
  <c r="B13684" i="1"/>
  <c r="A13684" i="1"/>
  <c r="F13683" i="1"/>
  <c r="E13683" i="1"/>
  <c r="D13683" i="1"/>
  <c r="C13683" i="1"/>
  <c r="B13683" i="1"/>
  <c r="A13683" i="1"/>
  <c r="F13682" i="1"/>
  <c r="E13682" i="1"/>
  <c r="D13682" i="1"/>
  <c r="C13682" i="1"/>
  <c r="B13682" i="1"/>
  <c r="A13682" i="1"/>
  <c r="F13681" i="1"/>
  <c r="E13681" i="1"/>
  <c r="D13681" i="1"/>
  <c r="C13681" i="1"/>
  <c r="B13681" i="1"/>
  <c r="A13681" i="1"/>
  <c r="F13680" i="1"/>
  <c r="E13680" i="1"/>
  <c r="D13680" i="1"/>
  <c r="C13680" i="1"/>
  <c r="B13680" i="1"/>
  <c r="A13680" i="1"/>
  <c r="F13679" i="1"/>
  <c r="E13679" i="1"/>
  <c r="D13679" i="1"/>
  <c r="C13679" i="1"/>
  <c r="B13679" i="1"/>
  <c r="A13679" i="1"/>
  <c r="F13678" i="1"/>
  <c r="E13678" i="1"/>
  <c r="D13678" i="1"/>
  <c r="C13678" i="1"/>
  <c r="B13678" i="1"/>
  <c r="A13678" i="1"/>
  <c r="F13677" i="1"/>
  <c r="E13677" i="1"/>
  <c r="D13677" i="1"/>
  <c r="C13677" i="1"/>
  <c r="B13677" i="1"/>
  <c r="A13677" i="1"/>
  <c r="F13676" i="1"/>
  <c r="E13676" i="1"/>
  <c r="D13676" i="1"/>
  <c r="C13676" i="1"/>
  <c r="B13676" i="1"/>
  <c r="A13676" i="1"/>
  <c r="F13675" i="1"/>
  <c r="E13675" i="1"/>
  <c r="D13675" i="1"/>
  <c r="C13675" i="1"/>
  <c r="B13675" i="1"/>
  <c r="A13675" i="1"/>
  <c r="F13674" i="1"/>
  <c r="E13674" i="1"/>
  <c r="D13674" i="1"/>
  <c r="C13674" i="1"/>
  <c r="B13674" i="1"/>
  <c r="A13674" i="1"/>
  <c r="F13673" i="1"/>
  <c r="E13673" i="1"/>
  <c r="D13673" i="1"/>
  <c r="C13673" i="1"/>
  <c r="B13673" i="1"/>
  <c r="A13673" i="1"/>
  <c r="F13672" i="1"/>
  <c r="E13672" i="1"/>
  <c r="D13672" i="1"/>
  <c r="C13672" i="1"/>
  <c r="B13672" i="1"/>
  <c r="A13672" i="1"/>
  <c r="F13671" i="1"/>
  <c r="E13671" i="1"/>
  <c r="D13671" i="1"/>
  <c r="C13671" i="1"/>
  <c r="B13671" i="1"/>
  <c r="A13671" i="1"/>
  <c r="F13670" i="1"/>
  <c r="E13670" i="1"/>
  <c r="D13670" i="1"/>
  <c r="C13670" i="1"/>
  <c r="B13670" i="1"/>
  <c r="A13670" i="1"/>
  <c r="F13669" i="1"/>
  <c r="E13669" i="1"/>
  <c r="D13669" i="1"/>
  <c r="C13669" i="1"/>
  <c r="B13669" i="1"/>
  <c r="A13669" i="1"/>
  <c r="F13668" i="1"/>
  <c r="E13668" i="1"/>
  <c r="D13668" i="1"/>
  <c r="C13668" i="1"/>
  <c r="B13668" i="1"/>
  <c r="A13668" i="1"/>
  <c r="F13667" i="1"/>
  <c r="E13667" i="1"/>
  <c r="D13667" i="1"/>
  <c r="C13667" i="1"/>
  <c r="B13667" i="1"/>
  <c r="A13667" i="1"/>
  <c r="F13666" i="1"/>
  <c r="E13666" i="1"/>
  <c r="D13666" i="1"/>
  <c r="C13666" i="1"/>
  <c r="B13666" i="1"/>
  <c r="A13666" i="1"/>
  <c r="F13665" i="1"/>
  <c r="E13665" i="1"/>
  <c r="D13665" i="1"/>
  <c r="C13665" i="1"/>
  <c r="B13665" i="1"/>
  <c r="A13665" i="1"/>
  <c r="F13664" i="1"/>
  <c r="E13664" i="1"/>
  <c r="D13664" i="1"/>
  <c r="C13664" i="1"/>
  <c r="B13664" i="1"/>
  <c r="A13664" i="1"/>
  <c r="F13663" i="1"/>
  <c r="E13663" i="1"/>
  <c r="D13663" i="1"/>
  <c r="C13663" i="1"/>
  <c r="B13663" i="1"/>
  <c r="A13663" i="1"/>
  <c r="F13662" i="1"/>
  <c r="E13662" i="1"/>
  <c r="D13662" i="1"/>
  <c r="C13662" i="1"/>
  <c r="B13662" i="1"/>
  <c r="A13662" i="1"/>
  <c r="F13661" i="1"/>
  <c r="E13661" i="1"/>
  <c r="D13661" i="1"/>
  <c r="C13661" i="1"/>
  <c r="B13661" i="1"/>
  <c r="A13661" i="1"/>
  <c r="F13660" i="1"/>
  <c r="E13660" i="1"/>
  <c r="D13660" i="1"/>
  <c r="C13660" i="1"/>
  <c r="B13660" i="1"/>
  <c r="A13660" i="1"/>
  <c r="F13659" i="1"/>
  <c r="E13659" i="1"/>
  <c r="D13659" i="1"/>
  <c r="C13659" i="1"/>
  <c r="B13659" i="1"/>
  <c r="A13659" i="1"/>
  <c r="F13658" i="1"/>
  <c r="E13658" i="1"/>
  <c r="D13658" i="1"/>
  <c r="C13658" i="1"/>
  <c r="B13658" i="1"/>
  <c r="A13658" i="1"/>
  <c r="F13657" i="1"/>
  <c r="E13657" i="1"/>
  <c r="D13657" i="1"/>
  <c r="C13657" i="1"/>
  <c r="B13657" i="1"/>
  <c r="A13657" i="1"/>
  <c r="F13656" i="1"/>
  <c r="E13656" i="1"/>
  <c r="D13656" i="1"/>
  <c r="C13656" i="1"/>
  <c r="B13656" i="1"/>
  <c r="A13656" i="1"/>
  <c r="F13655" i="1"/>
  <c r="E13655" i="1"/>
  <c r="D13655" i="1"/>
  <c r="C13655" i="1"/>
  <c r="B13655" i="1"/>
  <c r="A13655" i="1"/>
  <c r="F13654" i="1"/>
  <c r="E13654" i="1"/>
  <c r="D13654" i="1"/>
  <c r="C13654" i="1"/>
  <c r="B13654" i="1"/>
  <c r="A13654" i="1"/>
  <c r="F13653" i="1"/>
  <c r="E13653" i="1"/>
  <c r="D13653" i="1"/>
  <c r="C13653" i="1"/>
  <c r="B13653" i="1"/>
  <c r="A13653" i="1"/>
  <c r="F13652" i="1"/>
  <c r="E13652" i="1"/>
  <c r="D13652" i="1"/>
  <c r="C13652" i="1"/>
  <c r="B13652" i="1"/>
  <c r="A13652" i="1"/>
  <c r="F13651" i="1"/>
  <c r="E13651" i="1"/>
  <c r="D13651" i="1"/>
  <c r="C13651" i="1"/>
  <c r="B13651" i="1"/>
  <c r="A13651" i="1"/>
  <c r="F13650" i="1"/>
  <c r="E13650" i="1"/>
  <c r="D13650" i="1"/>
  <c r="C13650" i="1"/>
  <c r="B13650" i="1"/>
  <c r="A13650" i="1"/>
  <c r="F13649" i="1"/>
  <c r="E13649" i="1"/>
  <c r="D13649" i="1"/>
  <c r="C13649" i="1"/>
  <c r="B13649" i="1"/>
  <c r="A13649" i="1"/>
  <c r="F13648" i="1"/>
  <c r="E13648" i="1"/>
  <c r="D13648" i="1"/>
  <c r="C13648" i="1"/>
  <c r="B13648" i="1"/>
  <c r="A13648" i="1"/>
  <c r="F13647" i="1"/>
  <c r="E13647" i="1"/>
  <c r="D13647" i="1"/>
  <c r="C13647" i="1"/>
  <c r="B13647" i="1"/>
  <c r="A13647" i="1"/>
  <c r="F13646" i="1"/>
  <c r="E13646" i="1"/>
  <c r="D13646" i="1"/>
  <c r="C13646" i="1"/>
  <c r="B13646" i="1"/>
  <c r="A13646" i="1"/>
  <c r="F13645" i="1"/>
  <c r="E13645" i="1"/>
  <c r="D13645" i="1"/>
  <c r="C13645" i="1"/>
  <c r="B13645" i="1"/>
  <c r="A13645" i="1"/>
  <c r="F13644" i="1"/>
  <c r="E13644" i="1"/>
  <c r="D13644" i="1"/>
  <c r="C13644" i="1"/>
  <c r="B13644" i="1"/>
  <c r="A13644" i="1"/>
  <c r="F13643" i="1"/>
  <c r="E13643" i="1"/>
  <c r="D13643" i="1"/>
  <c r="C13643" i="1"/>
  <c r="B13643" i="1"/>
  <c r="A13643" i="1"/>
  <c r="F13642" i="1"/>
  <c r="E13642" i="1"/>
  <c r="D13642" i="1"/>
  <c r="C13642" i="1"/>
  <c r="B13642" i="1"/>
  <c r="A13642" i="1"/>
  <c r="F13641" i="1"/>
  <c r="E13641" i="1"/>
  <c r="D13641" i="1"/>
  <c r="C13641" i="1"/>
  <c r="B13641" i="1"/>
  <c r="A13641" i="1"/>
  <c r="F13640" i="1"/>
  <c r="E13640" i="1"/>
  <c r="D13640" i="1"/>
  <c r="C13640" i="1"/>
  <c r="B13640" i="1"/>
  <c r="A13640" i="1"/>
  <c r="F13639" i="1"/>
  <c r="E13639" i="1"/>
  <c r="D13639" i="1"/>
  <c r="C13639" i="1"/>
  <c r="B13639" i="1"/>
  <c r="A13639" i="1"/>
  <c r="F13638" i="1"/>
  <c r="E13638" i="1"/>
  <c r="D13638" i="1"/>
  <c r="C13638" i="1"/>
  <c r="B13638" i="1"/>
  <c r="A13638" i="1"/>
  <c r="F13637" i="1"/>
  <c r="E13637" i="1"/>
  <c r="D13637" i="1"/>
  <c r="C13637" i="1"/>
  <c r="B13637" i="1"/>
  <c r="A13637" i="1"/>
  <c r="F13636" i="1"/>
  <c r="E13636" i="1"/>
  <c r="D13636" i="1"/>
  <c r="C13636" i="1"/>
  <c r="B13636" i="1"/>
  <c r="A13636" i="1"/>
  <c r="F13635" i="1"/>
  <c r="E13635" i="1"/>
  <c r="D13635" i="1"/>
  <c r="C13635" i="1"/>
  <c r="B13635" i="1"/>
  <c r="A13635" i="1"/>
  <c r="F13634" i="1"/>
  <c r="E13634" i="1"/>
  <c r="D13634" i="1"/>
  <c r="C13634" i="1"/>
  <c r="B13634" i="1"/>
  <c r="A13634" i="1"/>
  <c r="F13633" i="1"/>
  <c r="E13633" i="1"/>
  <c r="D13633" i="1"/>
  <c r="C13633" i="1"/>
  <c r="B13633" i="1"/>
  <c r="A13633" i="1"/>
  <c r="F13632" i="1"/>
  <c r="E13632" i="1"/>
  <c r="D13632" i="1"/>
  <c r="C13632" i="1"/>
  <c r="B13632" i="1"/>
  <c r="A13632" i="1"/>
  <c r="F13631" i="1"/>
  <c r="E13631" i="1"/>
  <c r="D13631" i="1"/>
  <c r="C13631" i="1"/>
  <c r="B13631" i="1"/>
  <c r="A13631" i="1"/>
  <c r="F13630" i="1"/>
  <c r="E13630" i="1"/>
  <c r="D13630" i="1"/>
  <c r="C13630" i="1"/>
  <c r="B13630" i="1"/>
  <c r="A13630" i="1"/>
  <c r="F13629" i="1"/>
  <c r="E13629" i="1"/>
  <c r="D13629" i="1"/>
  <c r="C13629" i="1"/>
  <c r="B13629" i="1"/>
  <c r="A13629" i="1"/>
  <c r="F13628" i="1"/>
  <c r="E13628" i="1"/>
  <c r="D13628" i="1"/>
  <c r="C13628" i="1"/>
  <c r="B13628" i="1"/>
  <c r="A13628" i="1"/>
  <c r="F13627" i="1"/>
  <c r="E13627" i="1"/>
  <c r="D13627" i="1"/>
  <c r="C13627" i="1"/>
  <c r="B13627" i="1"/>
  <c r="A13627" i="1"/>
  <c r="F13626" i="1"/>
  <c r="E13626" i="1"/>
  <c r="D13626" i="1"/>
  <c r="C13626" i="1"/>
  <c r="B13626" i="1"/>
  <c r="A13626" i="1"/>
  <c r="F13625" i="1"/>
  <c r="E13625" i="1"/>
  <c r="D13625" i="1"/>
  <c r="C13625" i="1"/>
  <c r="B13625" i="1"/>
  <c r="A13625" i="1"/>
  <c r="F13624" i="1"/>
  <c r="E13624" i="1"/>
  <c r="D13624" i="1"/>
  <c r="C13624" i="1"/>
  <c r="B13624" i="1"/>
  <c r="A13624" i="1"/>
  <c r="F13623" i="1"/>
  <c r="E13623" i="1"/>
  <c r="D13623" i="1"/>
  <c r="C13623" i="1"/>
  <c r="B13623" i="1"/>
  <c r="A13623" i="1"/>
  <c r="F13622" i="1"/>
  <c r="E13622" i="1"/>
  <c r="D13622" i="1"/>
  <c r="C13622" i="1"/>
  <c r="B13622" i="1"/>
  <c r="A13622" i="1"/>
  <c r="F13621" i="1"/>
  <c r="E13621" i="1"/>
  <c r="D13621" i="1"/>
  <c r="C13621" i="1"/>
  <c r="B13621" i="1"/>
  <c r="A13621" i="1"/>
  <c r="F13620" i="1"/>
  <c r="E13620" i="1"/>
  <c r="D13620" i="1"/>
  <c r="C13620" i="1"/>
  <c r="B13620" i="1"/>
  <c r="A13620" i="1"/>
  <c r="F13619" i="1"/>
  <c r="E13619" i="1"/>
  <c r="D13619" i="1"/>
  <c r="C13619" i="1"/>
  <c r="B13619" i="1"/>
  <c r="A13619" i="1"/>
  <c r="F13618" i="1"/>
  <c r="E13618" i="1"/>
  <c r="D13618" i="1"/>
  <c r="C13618" i="1"/>
  <c r="B13618" i="1"/>
  <c r="A13618" i="1"/>
  <c r="F13617" i="1"/>
  <c r="E13617" i="1"/>
  <c r="D13617" i="1"/>
  <c r="C13617" i="1"/>
  <c r="B13617" i="1"/>
  <c r="A13617" i="1"/>
  <c r="F13616" i="1"/>
  <c r="E13616" i="1"/>
  <c r="D13616" i="1"/>
  <c r="C13616" i="1"/>
  <c r="B13616" i="1"/>
  <c r="A13616" i="1"/>
  <c r="F13615" i="1"/>
  <c r="E13615" i="1"/>
  <c r="D13615" i="1"/>
  <c r="C13615" i="1"/>
  <c r="B13615" i="1"/>
  <c r="A13615" i="1"/>
  <c r="F13614" i="1"/>
  <c r="E13614" i="1"/>
  <c r="D13614" i="1"/>
  <c r="C13614" i="1"/>
  <c r="B13614" i="1"/>
  <c r="A13614" i="1"/>
  <c r="F13613" i="1"/>
  <c r="E13613" i="1"/>
  <c r="D13613" i="1"/>
  <c r="C13613" i="1"/>
  <c r="B13613" i="1"/>
  <c r="A13613" i="1"/>
  <c r="F13612" i="1"/>
  <c r="E13612" i="1"/>
  <c r="D13612" i="1"/>
  <c r="C13612" i="1"/>
  <c r="B13612" i="1"/>
  <c r="A13612" i="1"/>
  <c r="F13611" i="1"/>
  <c r="E13611" i="1"/>
  <c r="D13611" i="1"/>
  <c r="C13611" i="1"/>
  <c r="B13611" i="1"/>
  <c r="A13611" i="1"/>
  <c r="F13610" i="1"/>
  <c r="E13610" i="1"/>
  <c r="D13610" i="1"/>
  <c r="C13610" i="1"/>
  <c r="B13610" i="1"/>
  <c r="A13610" i="1"/>
  <c r="F13609" i="1"/>
  <c r="E13609" i="1"/>
  <c r="D13609" i="1"/>
  <c r="C13609" i="1"/>
  <c r="B13609" i="1"/>
  <c r="A13609" i="1"/>
  <c r="F13608" i="1"/>
  <c r="E13608" i="1"/>
  <c r="D13608" i="1"/>
  <c r="C13608" i="1"/>
  <c r="B13608" i="1"/>
  <c r="A13608" i="1"/>
  <c r="F13607" i="1"/>
  <c r="E13607" i="1"/>
  <c r="D13607" i="1"/>
  <c r="C13607" i="1"/>
  <c r="B13607" i="1"/>
  <c r="A13607" i="1"/>
  <c r="F13606" i="1"/>
  <c r="E13606" i="1"/>
  <c r="D13606" i="1"/>
  <c r="C13606" i="1"/>
  <c r="B13606" i="1"/>
  <c r="A13606" i="1"/>
  <c r="F13605" i="1"/>
  <c r="E13605" i="1"/>
  <c r="D13605" i="1"/>
  <c r="C13605" i="1"/>
  <c r="B13605" i="1"/>
  <c r="A13605" i="1"/>
  <c r="F13604" i="1"/>
  <c r="E13604" i="1"/>
  <c r="D13604" i="1"/>
  <c r="C13604" i="1"/>
  <c r="B13604" i="1"/>
  <c r="A13604" i="1"/>
  <c r="F13603" i="1"/>
  <c r="E13603" i="1"/>
  <c r="D13603" i="1"/>
  <c r="C13603" i="1"/>
  <c r="B13603" i="1"/>
  <c r="A13603" i="1"/>
  <c r="F13602" i="1"/>
  <c r="E13602" i="1"/>
  <c r="D13602" i="1"/>
  <c r="C13602" i="1"/>
  <c r="B13602" i="1"/>
  <c r="A13602" i="1"/>
  <c r="F13601" i="1"/>
  <c r="E13601" i="1"/>
  <c r="D13601" i="1"/>
  <c r="C13601" i="1"/>
  <c r="B13601" i="1"/>
  <c r="A13601" i="1"/>
  <c r="F13600" i="1"/>
  <c r="E13600" i="1"/>
  <c r="D13600" i="1"/>
  <c r="C13600" i="1"/>
  <c r="B13600" i="1"/>
  <c r="A13600" i="1"/>
  <c r="F13599" i="1"/>
  <c r="E13599" i="1"/>
  <c r="D13599" i="1"/>
  <c r="C13599" i="1"/>
  <c r="B13599" i="1"/>
  <c r="A13599" i="1"/>
  <c r="F13598" i="1"/>
  <c r="E13598" i="1"/>
  <c r="D13598" i="1"/>
  <c r="C13598" i="1"/>
  <c r="B13598" i="1"/>
  <c r="A13598" i="1"/>
  <c r="F13597" i="1"/>
  <c r="E13597" i="1"/>
  <c r="D13597" i="1"/>
  <c r="C13597" i="1"/>
  <c r="B13597" i="1"/>
  <c r="A13597" i="1"/>
  <c r="F13596" i="1"/>
  <c r="E13596" i="1"/>
  <c r="D13596" i="1"/>
  <c r="C13596" i="1"/>
  <c r="B13596" i="1"/>
  <c r="A13596" i="1"/>
  <c r="F13595" i="1"/>
  <c r="E13595" i="1"/>
  <c r="D13595" i="1"/>
  <c r="C13595" i="1"/>
  <c r="B13595" i="1"/>
  <c r="A13595" i="1"/>
  <c r="F13594" i="1"/>
  <c r="E13594" i="1"/>
  <c r="D13594" i="1"/>
  <c r="C13594" i="1"/>
  <c r="B13594" i="1"/>
  <c r="A13594" i="1"/>
  <c r="F13593" i="1"/>
  <c r="E13593" i="1"/>
  <c r="D13593" i="1"/>
  <c r="C13593" i="1"/>
  <c r="B13593" i="1"/>
  <c r="A13593" i="1"/>
  <c r="F13592" i="1"/>
  <c r="E13592" i="1"/>
  <c r="D13592" i="1"/>
  <c r="C13592" i="1"/>
  <c r="B13592" i="1"/>
  <c r="A13592" i="1"/>
  <c r="F13591" i="1"/>
  <c r="E13591" i="1"/>
  <c r="D13591" i="1"/>
  <c r="C13591" i="1"/>
  <c r="B13591" i="1"/>
  <c r="A13591" i="1"/>
  <c r="F13590" i="1"/>
  <c r="E13590" i="1"/>
  <c r="D13590" i="1"/>
  <c r="C13590" i="1"/>
  <c r="B13590" i="1"/>
  <c r="A13590" i="1"/>
  <c r="F13589" i="1"/>
  <c r="E13589" i="1"/>
  <c r="D13589" i="1"/>
  <c r="C13589" i="1"/>
  <c r="B13589" i="1"/>
  <c r="A13589" i="1"/>
  <c r="F13588" i="1"/>
  <c r="E13588" i="1"/>
  <c r="D13588" i="1"/>
  <c r="C13588" i="1"/>
  <c r="B13588" i="1"/>
  <c r="A13588" i="1"/>
  <c r="F13587" i="1"/>
  <c r="E13587" i="1"/>
  <c r="D13587" i="1"/>
  <c r="C13587" i="1"/>
  <c r="B13587" i="1"/>
  <c r="A13587" i="1"/>
  <c r="F13586" i="1"/>
  <c r="E13586" i="1"/>
  <c r="D13586" i="1"/>
  <c r="C13586" i="1"/>
  <c r="B13586" i="1"/>
  <c r="A13586" i="1"/>
  <c r="F13585" i="1"/>
  <c r="E13585" i="1"/>
  <c r="D13585" i="1"/>
  <c r="C13585" i="1"/>
  <c r="B13585" i="1"/>
  <c r="A13585" i="1"/>
  <c r="F13584" i="1"/>
  <c r="E13584" i="1"/>
  <c r="D13584" i="1"/>
  <c r="C13584" i="1"/>
  <c r="B13584" i="1"/>
  <c r="A13584" i="1"/>
  <c r="F13583" i="1"/>
  <c r="E13583" i="1"/>
  <c r="D13583" i="1"/>
  <c r="C13583" i="1"/>
  <c r="B13583" i="1"/>
  <c r="A13583" i="1"/>
  <c r="F13582" i="1"/>
  <c r="E13582" i="1"/>
  <c r="D13582" i="1"/>
  <c r="C13582" i="1"/>
  <c r="B13582" i="1"/>
  <c r="A13582" i="1"/>
  <c r="F13581" i="1"/>
  <c r="E13581" i="1"/>
  <c r="D13581" i="1"/>
  <c r="C13581" i="1"/>
  <c r="B13581" i="1"/>
  <c r="A13581" i="1"/>
  <c r="F13580" i="1"/>
  <c r="E13580" i="1"/>
  <c r="D13580" i="1"/>
  <c r="C13580" i="1"/>
  <c r="B13580" i="1"/>
  <c r="A13580" i="1"/>
  <c r="F13579" i="1"/>
  <c r="E13579" i="1"/>
  <c r="D13579" i="1"/>
  <c r="C13579" i="1"/>
  <c r="B13579" i="1"/>
  <c r="A13579" i="1"/>
  <c r="F13578" i="1"/>
  <c r="E13578" i="1"/>
  <c r="D13578" i="1"/>
  <c r="C13578" i="1"/>
  <c r="B13578" i="1"/>
  <c r="A13578" i="1"/>
  <c r="F13577" i="1"/>
  <c r="E13577" i="1"/>
  <c r="D13577" i="1"/>
  <c r="C13577" i="1"/>
  <c r="B13577" i="1"/>
  <c r="A13577" i="1"/>
  <c r="F13576" i="1"/>
  <c r="E13576" i="1"/>
  <c r="D13576" i="1"/>
  <c r="C13576" i="1"/>
  <c r="B13576" i="1"/>
  <c r="A13576" i="1"/>
  <c r="F13575" i="1"/>
  <c r="E13575" i="1"/>
  <c r="D13575" i="1"/>
  <c r="C13575" i="1"/>
  <c r="B13575" i="1"/>
  <c r="A13575" i="1"/>
  <c r="F13574" i="1"/>
  <c r="E13574" i="1"/>
  <c r="D13574" i="1"/>
  <c r="C13574" i="1"/>
  <c r="B13574" i="1"/>
  <c r="A13574" i="1"/>
  <c r="F13573" i="1"/>
  <c r="E13573" i="1"/>
  <c r="D13573" i="1"/>
  <c r="C13573" i="1"/>
  <c r="B13573" i="1"/>
  <c r="A13573" i="1"/>
  <c r="F13572" i="1"/>
  <c r="E13572" i="1"/>
  <c r="D13572" i="1"/>
  <c r="C13572" i="1"/>
  <c r="B13572" i="1"/>
  <c r="A13572" i="1"/>
  <c r="F13571" i="1"/>
  <c r="E13571" i="1"/>
  <c r="D13571" i="1"/>
  <c r="C13571" i="1"/>
  <c r="B13571" i="1"/>
  <c r="A13571" i="1"/>
  <c r="F13570" i="1"/>
  <c r="E13570" i="1"/>
  <c r="D13570" i="1"/>
  <c r="C13570" i="1"/>
  <c r="B13570" i="1"/>
  <c r="A13570" i="1"/>
  <c r="F13569" i="1"/>
  <c r="E13569" i="1"/>
  <c r="D13569" i="1"/>
  <c r="C13569" i="1"/>
  <c r="B13569" i="1"/>
  <c r="A13569" i="1"/>
  <c r="F13568" i="1"/>
  <c r="E13568" i="1"/>
  <c r="D13568" i="1"/>
  <c r="C13568" i="1"/>
  <c r="B13568" i="1"/>
  <c r="A13568" i="1"/>
  <c r="F13567" i="1"/>
  <c r="E13567" i="1"/>
  <c r="D13567" i="1"/>
  <c r="C13567" i="1"/>
  <c r="B13567" i="1"/>
  <c r="A13567" i="1"/>
  <c r="F13566" i="1"/>
  <c r="E13566" i="1"/>
  <c r="D13566" i="1"/>
  <c r="C13566" i="1"/>
  <c r="B13566" i="1"/>
  <c r="A13566" i="1"/>
  <c r="F13565" i="1"/>
  <c r="E13565" i="1"/>
  <c r="D13565" i="1"/>
  <c r="C13565" i="1"/>
  <c r="B13565" i="1"/>
  <c r="A13565" i="1"/>
  <c r="F13564" i="1"/>
  <c r="E13564" i="1"/>
  <c r="D13564" i="1"/>
  <c r="C13564" i="1"/>
  <c r="B13564" i="1"/>
  <c r="A13564" i="1"/>
  <c r="F13563" i="1"/>
  <c r="E13563" i="1"/>
  <c r="D13563" i="1"/>
  <c r="C13563" i="1"/>
  <c r="B13563" i="1"/>
  <c r="A13563" i="1"/>
  <c r="F13562" i="1"/>
  <c r="E13562" i="1"/>
  <c r="D13562" i="1"/>
  <c r="C13562" i="1"/>
  <c r="B13562" i="1"/>
  <c r="A13562" i="1"/>
  <c r="F13561" i="1"/>
  <c r="E13561" i="1"/>
  <c r="D13561" i="1"/>
  <c r="C13561" i="1"/>
  <c r="B13561" i="1"/>
  <c r="A13561" i="1"/>
  <c r="F13560" i="1"/>
  <c r="E13560" i="1"/>
  <c r="D13560" i="1"/>
  <c r="C13560" i="1"/>
  <c r="B13560" i="1"/>
  <c r="A13560" i="1"/>
  <c r="F13559" i="1"/>
  <c r="E13559" i="1"/>
  <c r="D13559" i="1"/>
  <c r="C13559" i="1"/>
  <c r="B13559" i="1"/>
  <c r="A13559" i="1"/>
  <c r="F13558" i="1"/>
  <c r="E13558" i="1"/>
  <c r="D13558" i="1"/>
  <c r="C13558" i="1"/>
  <c r="B13558" i="1"/>
  <c r="A13558" i="1"/>
  <c r="F13557" i="1"/>
  <c r="E13557" i="1"/>
  <c r="D13557" i="1"/>
  <c r="C13557" i="1"/>
  <c r="B13557" i="1"/>
  <c r="A13557" i="1"/>
  <c r="F13556" i="1"/>
  <c r="E13556" i="1"/>
  <c r="D13556" i="1"/>
  <c r="C13556" i="1"/>
  <c r="B13556" i="1"/>
  <c r="A13556" i="1"/>
  <c r="F13555" i="1"/>
  <c r="E13555" i="1"/>
  <c r="D13555" i="1"/>
  <c r="C13555" i="1"/>
  <c r="B13555" i="1"/>
  <c r="A13555" i="1"/>
  <c r="F13554" i="1"/>
  <c r="E13554" i="1"/>
  <c r="D13554" i="1"/>
  <c r="C13554" i="1"/>
  <c r="B13554" i="1"/>
  <c r="A13554" i="1"/>
  <c r="F13553" i="1"/>
  <c r="E13553" i="1"/>
  <c r="D13553" i="1"/>
  <c r="C13553" i="1"/>
  <c r="B13553" i="1"/>
  <c r="A13553" i="1"/>
  <c r="F13552" i="1"/>
  <c r="E13552" i="1"/>
  <c r="D13552" i="1"/>
  <c r="C13552" i="1"/>
  <c r="B13552" i="1"/>
  <c r="A13552" i="1"/>
  <c r="F13551" i="1"/>
  <c r="E13551" i="1"/>
  <c r="D13551" i="1"/>
  <c r="C13551" i="1"/>
  <c r="B13551" i="1"/>
  <c r="A13551" i="1"/>
  <c r="F13550" i="1"/>
  <c r="E13550" i="1"/>
  <c r="D13550" i="1"/>
  <c r="C13550" i="1"/>
  <c r="B13550" i="1"/>
  <c r="A13550" i="1"/>
  <c r="F13549" i="1"/>
  <c r="E13549" i="1"/>
  <c r="D13549" i="1"/>
  <c r="C13549" i="1"/>
  <c r="B13549" i="1"/>
  <c r="A13549" i="1"/>
  <c r="F13548" i="1"/>
  <c r="E13548" i="1"/>
  <c r="D13548" i="1"/>
  <c r="C13548" i="1"/>
  <c r="B13548" i="1"/>
  <c r="A13548" i="1"/>
  <c r="F13547" i="1"/>
  <c r="E13547" i="1"/>
  <c r="D13547" i="1"/>
  <c r="C13547" i="1"/>
  <c r="B13547" i="1"/>
  <c r="A13547" i="1"/>
  <c r="F13546" i="1"/>
  <c r="E13546" i="1"/>
  <c r="D13546" i="1"/>
  <c r="C13546" i="1"/>
  <c r="B13546" i="1"/>
  <c r="A13546" i="1"/>
  <c r="F13545" i="1"/>
  <c r="E13545" i="1"/>
  <c r="D13545" i="1"/>
  <c r="C13545" i="1"/>
  <c r="B13545" i="1"/>
  <c r="A13545" i="1"/>
  <c r="F13544" i="1"/>
  <c r="E13544" i="1"/>
  <c r="D13544" i="1"/>
  <c r="C13544" i="1"/>
  <c r="B13544" i="1"/>
  <c r="A13544" i="1"/>
  <c r="F13543" i="1"/>
  <c r="E13543" i="1"/>
  <c r="D13543" i="1"/>
  <c r="C13543" i="1"/>
  <c r="B13543" i="1"/>
  <c r="A13543" i="1"/>
  <c r="F13542" i="1"/>
  <c r="E13542" i="1"/>
  <c r="D13542" i="1"/>
  <c r="C13542" i="1"/>
  <c r="B13542" i="1"/>
  <c r="A13542" i="1"/>
  <c r="F13541" i="1"/>
  <c r="E13541" i="1"/>
  <c r="D13541" i="1"/>
  <c r="C13541" i="1"/>
  <c r="B13541" i="1"/>
  <c r="A13541" i="1"/>
  <c r="F13540" i="1"/>
  <c r="E13540" i="1"/>
  <c r="D13540" i="1"/>
  <c r="C13540" i="1"/>
  <c r="B13540" i="1"/>
  <c r="A13540" i="1"/>
  <c r="F13539" i="1"/>
  <c r="E13539" i="1"/>
  <c r="D13539" i="1"/>
  <c r="C13539" i="1"/>
  <c r="B13539" i="1"/>
  <c r="A13539" i="1"/>
  <c r="F13538" i="1"/>
  <c r="E13538" i="1"/>
  <c r="D13538" i="1"/>
  <c r="C13538" i="1"/>
  <c r="B13538" i="1"/>
  <c r="A13538" i="1"/>
  <c r="F13537" i="1"/>
  <c r="E13537" i="1"/>
  <c r="D13537" i="1"/>
  <c r="C13537" i="1"/>
  <c r="B13537" i="1"/>
  <c r="A13537" i="1"/>
  <c r="F13536" i="1"/>
  <c r="E13536" i="1"/>
  <c r="D13536" i="1"/>
  <c r="C13536" i="1"/>
  <c r="B13536" i="1"/>
  <c r="A13536" i="1"/>
  <c r="F13535" i="1"/>
  <c r="E13535" i="1"/>
  <c r="D13535" i="1"/>
  <c r="C13535" i="1"/>
  <c r="B13535" i="1"/>
  <c r="A13535" i="1"/>
  <c r="F13534" i="1"/>
  <c r="E13534" i="1"/>
  <c r="D13534" i="1"/>
  <c r="C13534" i="1"/>
  <c r="B13534" i="1"/>
  <c r="A13534" i="1"/>
  <c r="F13533" i="1"/>
  <c r="E13533" i="1"/>
  <c r="D13533" i="1"/>
  <c r="C13533" i="1"/>
  <c r="B13533" i="1"/>
  <c r="A13533" i="1"/>
  <c r="F13532" i="1"/>
  <c r="E13532" i="1"/>
  <c r="D13532" i="1"/>
  <c r="C13532" i="1"/>
  <c r="B13532" i="1"/>
  <c r="A13532" i="1"/>
  <c r="F13531" i="1"/>
  <c r="E13531" i="1"/>
  <c r="D13531" i="1"/>
  <c r="C13531" i="1"/>
  <c r="B13531" i="1"/>
  <c r="A13531" i="1"/>
  <c r="F13530" i="1"/>
  <c r="E13530" i="1"/>
  <c r="D13530" i="1"/>
  <c r="C13530" i="1"/>
  <c r="B13530" i="1"/>
  <c r="A13530" i="1"/>
  <c r="F13529" i="1"/>
  <c r="E13529" i="1"/>
  <c r="D13529" i="1"/>
  <c r="C13529" i="1"/>
  <c r="B13529" i="1"/>
  <c r="A13529" i="1"/>
  <c r="F13528" i="1"/>
  <c r="E13528" i="1"/>
  <c r="D13528" i="1"/>
  <c r="C13528" i="1"/>
  <c r="B13528" i="1"/>
  <c r="A13528" i="1"/>
  <c r="F13527" i="1"/>
  <c r="E13527" i="1"/>
  <c r="D13527" i="1"/>
  <c r="C13527" i="1"/>
  <c r="B13527" i="1"/>
  <c r="A13527" i="1"/>
  <c r="F13526" i="1"/>
  <c r="E13526" i="1"/>
  <c r="D13526" i="1"/>
  <c r="C13526" i="1"/>
  <c r="B13526" i="1"/>
  <c r="A13526" i="1"/>
  <c r="F13525" i="1"/>
  <c r="E13525" i="1"/>
  <c r="D13525" i="1"/>
  <c r="C13525" i="1"/>
  <c r="B13525" i="1"/>
  <c r="A13525" i="1"/>
  <c r="F13524" i="1"/>
  <c r="E13524" i="1"/>
  <c r="D13524" i="1"/>
  <c r="C13524" i="1"/>
  <c r="B13524" i="1"/>
  <c r="A13524" i="1"/>
  <c r="F13523" i="1"/>
  <c r="E13523" i="1"/>
  <c r="D13523" i="1"/>
  <c r="C13523" i="1"/>
  <c r="B13523" i="1"/>
  <c r="A13523" i="1"/>
  <c r="F13522" i="1"/>
  <c r="E13522" i="1"/>
  <c r="D13522" i="1"/>
  <c r="C13522" i="1"/>
  <c r="B13522" i="1"/>
  <c r="A13522" i="1"/>
  <c r="F13521" i="1"/>
  <c r="E13521" i="1"/>
  <c r="D13521" i="1"/>
  <c r="C13521" i="1"/>
  <c r="B13521" i="1"/>
  <c r="A13521" i="1"/>
  <c r="F13520" i="1"/>
  <c r="E13520" i="1"/>
  <c r="D13520" i="1"/>
  <c r="C13520" i="1"/>
  <c r="B13520" i="1"/>
  <c r="A13520" i="1"/>
  <c r="F13519" i="1"/>
  <c r="E13519" i="1"/>
  <c r="D13519" i="1"/>
  <c r="C13519" i="1"/>
  <c r="B13519" i="1"/>
  <c r="A13519" i="1"/>
  <c r="F13518" i="1"/>
  <c r="E13518" i="1"/>
  <c r="D13518" i="1"/>
  <c r="C13518" i="1"/>
  <c r="B13518" i="1"/>
  <c r="A13518" i="1"/>
  <c r="F13517" i="1"/>
  <c r="E13517" i="1"/>
  <c r="D13517" i="1"/>
  <c r="C13517" i="1"/>
  <c r="B13517" i="1"/>
  <c r="A13517" i="1"/>
  <c r="F13516" i="1"/>
  <c r="E13516" i="1"/>
  <c r="D13516" i="1"/>
  <c r="C13516" i="1"/>
  <c r="B13516" i="1"/>
  <c r="A13516" i="1"/>
  <c r="F13515" i="1"/>
  <c r="E13515" i="1"/>
  <c r="D13515" i="1"/>
  <c r="C13515" i="1"/>
  <c r="B13515" i="1"/>
  <c r="A13515" i="1"/>
  <c r="F13514" i="1"/>
  <c r="E13514" i="1"/>
  <c r="D13514" i="1"/>
  <c r="C13514" i="1"/>
  <c r="B13514" i="1"/>
  <c r="A13514" i="1"/>
  <c r="F13513" i="1"/>
  <c r="E13513" i="1"/>
  <c r="D13513" i="1"/>
  <c r="C13513" i="1"/>
  <c r="B13513" i="1"/>
  <c r="A13513" i="1"/>
  <c r="F13512" i="1"/>
  <c r="E13512" i="1"/>
  <c r="D13512" i="1"/>
  <c r="C13512" i="1"/>
  <c r="B13512" i="1"/>
  <c r="A13512" i="1"/>
  <c r="F13511" i="1"/>
  <c r="E13511" i="1"/>
  <c r="D13511" i="1"/>
  <c r="C13511" i="1"/>
  <c r="B13511" i="1"/>
  <c r="A13511" i="1"/>
  <c r="F13510" i="1"/>
  <c r="E13510" i="1"/>
  <c r="D13510" i="1"/>
  <c r="C13510" i="1"/>
  <c r="B13510" i="1"/>
  <c r="A13510" i="1"/>
  <c r="F13509" i="1"/>
  <c r="E13509" i="1"/>
  <c r="D13509" i="1"/>
  <c r="C13509" i="1"/>
  <c r="B13509" i="1"/>
  <c r="A13509" i="1"/>
  <c r="F13508" i="1"/>
  <c r="E13508" i="1"/>
  <c r="D13508" i="1"/>
  <c r="C13508" i="1"/>
  <c r="B13508" i="1"/>
  <c r="A13508" i="1"/>
  <c r="F13507" i="1"/>
  <c r="E13507" i="1"/>
  <c r="D13507" i="1"/>
  <c r="C13507" i="1"/>
  <c r="B13507" i="1"/>
  <c r="A13507" i="1"/>
  <c r="F13506" i="1"/>
  <c r="E13506" i="1"/>
  <c r="D13506" i="1"/>
  <c r="C13506" i="1"/>
  <c r="B13506" i="1"/>
  <c r="A13506" i="1"/>
  <c r="F13505" i="1"/>
  <c r="E13505" i="1"/>
  <c r="D13505" i="1"/>
  <c r="C13505" i="1"/>
  <c r="B13505" i="1"/>
  <c r="A13505" i="1"/>
  <c r="F13504" i="1"/>
  <c r="E13504" i="1"/>
  <c r="D13504" i="1"/>
  <c r="C13504" i="1"/>
  <c r="B13504" i="1"/>
  <c r="A13504" i="1"/>
  <c r="F13503" i="1"/>
  <c r="E13503" i="1"/>
  <c r="D13503" i="1"/>
  <c r="C13503" i="1"/>
  <c r="B13503" i="1"/>
  <c r="A13503" i="1"/>
  <c r="F13502" i="1"/>
  <c r="E13502" i="1"/>
  <c r="D13502" i="1"/>
  <c r="C13502" i="1"/>
  <c r="B13502" i="1"/>
  <c r="A13502" i="1"/>
  <c r="F13501" i="1"/>
  <c r="E13501" i="1"/>
  <c r="D13501" i="1"/>
  <c r="C13501" i="1"/>
  <c r="B13501" i="1"/>
  <c r="A13501" i="1"/>
  <c r="F13500" i="1"/>
  <c r="E13500" i="1"/>
  <c r="D13500" i="1"/>
  <c r="C13500" i="1"/>
  <c r="B13500" i="1"/>
  <c r="A13500" i="1"/>
  <c r="F13499" i="1"/>
  <c r="E13499" i="1"/>
  <c r="D13499" i="1"/>
  <c r="C13499" i="1"/>
  <c r="B13499" i="1"/>
  <c r="A13499" i="1"/>
  <c r="F13498" i="1"/>
  <c r="E13498" i="1"/>
  <c r="D13498" i="1"/>
  <c r="C13498" i="1"/>
  <c r="B13498" i="1"/>
  <c r="A13498" i="1"/>
  <c r="F13497" i="1"/>
  <c r="E13497" i="1"/>
  <c r="D13497" i="1"/>
  <c r="C13497" i="1"/>
  <c r="B13497" i="1"/>
  <c r="A13497" i="1"/>
  <c r="F13496" i="1"/>
  <c r="E13496" i="1"/>
  <c r="D13496" i="1"/>
  <c r="C13496" i="1"/>
  <c r="B13496" i="1"/>
  <c r="A13496" i="1"/>
  <c r="F13495" i="1"/>
  <c r="E13495" i="1"/>
  <c r="D13495" i="1"/>
  <c r="C13495" i="1"/>
  <c r="B13495" i="1"/>
  <c r="A13495" i="1"/>
  <c r="F13494" i="1"/>
  <c r="E13494" i="1"/>
  <c r="D13494" i="1"/>
  <c r="C13494" i="1"/>
  <c r="B13494" i="1"/>
  <c r="A13494" i="1"/>
  <c r="F13493" i="1"/>
  <c r="E13493" i="1"/>
  <c r="D13493" i="1"/>
  <c r="C13493" i="1"/>
  <c r="B13493" i="1"/>
  <c r="A13493" i="1"/>
  <c r="F13492" i="1"/>
  <c r="E13492" i="1"/>
  <c r="D13492" i="1"/>
  <c r="C13492" i="1"/>
  <c r="B13492" i="1"/>
  <c r="A13492" i="1"/>
  <c r="F13491" i="1"/>
  <c r="E13491" i="1"/>
  <c r="D13491" i="1"/>
  <c r="C13491" i="1"/>
  <c r="B13491" i="1"/>
  <c r="A13491" i="1"/>
  <c r="F13490" i="1"/>
  <c r="E13490" i="1"/>
  <c r="D13490" i="1"/>
  <c r="C13490" i="1"/>
  <c r="B13490" i="1"/>
  <c r="A13490" i="1"/>
  <c r="F13489" i="1"/>
  <c r="E13489" i="1"/>
  <c r="D13489" i="1"/>
  <c r="C13489" i="1"/>
  <c r="B13489" i="1"/>
  <c r="A13489" i="1"/>
  <c r="F13488" i="1"/>
  <c r="E13488" i="1"/>
  <c r="D13488" i="1"/>
  <c r="C13488" i="1"/>
  <c r="B13488" i="1"/>
  <c r="A13488" i="1"/>
  <c r="F13487" i="1"/>
  <c r="E13487" i="1"/>
  <c r="D13487" i="1"/>
  <c r="C13487" i="1"/>
  <c r="B13487" i="1"/>
  <c r="A13487" i="1"/>
  <c r="F13486" i="1"/>
  <c r="E13486" i="1"/>
  <c r="D13486" i="1"/>
  <c r="C13486" i="1"/>
  <c r="B13486" i="1"/>
  <c r="A13486" i="1"/>
  <c r="F13485" i="1"/>
  <c r="E13485" i="1"/>
  <c r="D13485" i="1"/>
  <c r="C13485" i="1"/>
  <c r="B13485" i="1"/>
  <c r="A13485" i="1"/>
  <c r="F13484" i="1"/>
  <c r="E13484" i="1"/>
  <c r="D13484" i="1"/>
  <c r="C13484" i="1"/>
  <c r="B13484" i="1"/>
  <c r="A13484" i="1"/>
  <c r="F13483" i="1"/>
  <c r="E13483" i="1"/>
  <c r="D13483" i="1"/>
  <c r="C13483" i="1"/>
  <c r="B13483" i="1"/>
  <c r="A13483" i="1"/>
  <c r="F13482" i="1"/>
  <c r="E13482" i="1"/>
  <c r="D13482" i="1"/>
  <c r="C13482" i="1"/>
  <c r="B13482" i="1"/>
  <c r="A13482" i="1"/>
  <c r="F13481" i="1"/>
  <c r="E13481" i="1"/>
  <c r="D13481" i="1"/>
  <c r="C13481" i="1"/>
  <c r="B13481" i="1"/>
  <c r="A13481" i="1"/>
  <c r="F13480" i="1"/>
  <c r="E13480" i="1"/>
  <c r="D13480" i="1"/>
  <c r="C13480" i="1"/>
  <c r="B13480" i="1"/>
  <c r="A13480" i="1"/>
  <c r="F13479" i="1"/>
  <c r="E13479" i="1"/>
  <c r="D13479" i="1"/>
  <c r="C13479" i="1"/>
  <c r="B13479" i="1"/>
  <c r="A13479" i="1"/>
  <c r="F13478" i="1"/>
  <c r="E13478" i="1"/>
  <c r="D13478" i="1"/>
  <c r="C13478" i="1"/>
  <c r="B13478" i="1"/>
  <c r="A13478" i="1"/>
  <c r="F13477" i="1"/>
  <c r="E13477" i="1"/>
  <c r="D13477" i="1"/>
  <c r="C13477" i="1"/>
  <c r="B13477" i="1"/>
  <c r="A13477" i="1"/>
  <c r="F13476" i="1"/>
  <c r="E13476" i="1"/>
  <c r="D13476" i="1"/>
  <c r="C13476" i="1"/>
  <c r="B13476" i="1"/>
  <c r="A13476" i="1"/>
  <c r="F13475" i="1"/>
  <c r="E13475" i="1"/>
  <c r="D13475" i="1"/>
  <c r="C13475" i="1"/>
  <c r="B13475" i="1"/>
  <c r="A13475" i="1"/>
  <c r="F13474" i="1"/>
  <c r="E13474" i="1"/>
  <c r="D13474" i="1"/>
  <c r="C13474" i="1"/>
  <c r="B13474" i="1"/>
  <c r="A13474" i="1"/>
  <c r="F13473" i="1"/>
  <c r="E13473" i="1"/>
  <c r="D13473" i="1"/>
  <c r="C13473" i="1"/>
  <c r="B13473" i="1"/>
  <c r="A13473" i="1"/>
  <c r="F13472" i="1"/>
  <c r="E13472" i="1"/>
  <c r="D13472" i="1"/>
  <c r="C13472" i="1"/>
  <c r="B13472" i="1"/>
  <c r="A13472" i="1"/>
  <c r="F13471" i="1"/>
  <c r="E13471" i="1"/>
  <c r="D13471" i="1"/>
  <c r="C13471" i="1"/>
  <c r="B13471" i="1"/>
  <c r="A13471" i="1"/>
  <c r="F13470" i="1"/>
  <c r="E13470" i="1"/>
  <c r="D13470" i="1"/>
  <c r="C13470" i="1"/>
  <c r="B13470" i="1"/>
  <c r="A13470" i="1"/>
  <c r="F13469" i="1"/>
  <c r="E13469" i="1"/>
  <c r="D13469" i="1"/>
  <c r="C13469" i="1"/>
  <c r="B13469" i="1"/>
  <c r="A13469" i="1"/>
  <c r="F13468" i="1"/>
  <c r="E13468" i="1"/>
  <c r="D13468" i="1"/>
  <c r="C13468" i="1"/>
  <c r="B13468" i="1"/>
  <c r="A13468" i="1"/>
  <c r="F13467" i="1"/>
  <c r="E13467" i="1"/>
  <c r="D13467" i="1"/>
  <c r="C13467" i="1"/>
  <c r="B13467" i="1"/>
  <c r="A13467" i="1"/>
  <c r="F13466" i="1"/>
  <c r="E13466" i="1"/>
  <c r="D13466" i="1"/>
  <c r="C13466" i="1"/>
  <c r="B13466" i="1"/>
  <c r="A13466" i="1"/>
  <c r="F13465" i="1"/>
  <c r="E13465" i="1"/>
  <c r="D13465" i="1"/>
  <c r="C13465" i="1"/>
  <c r="B13465" i="1"/>
  <c r="A13465" i="1"/>
  <c r="F13464" i="1"/>
  <c r="E13464" i="1"/>
  <c r="D13464" i="1"/>
  <c r="C13464" i="1"/>
  <c r="B13464" i="1"/>
  <c r="A13464" i="1"/>
  <c r="F13463" i="1"/>
  <c r="E13463" i="1"/>
  <c r="D13463" i="1"/>
  <c r="C13463" i="1"/>
  <c r="B13463" i="1"/>
  <c r="A13463" i="1"/>
  <c r="F13462" i="1"/>
  <c r="E13462" i="1"/>
  <c r="D13462" i="1"/>
  <c r="C13462" i="1"/>
  <c r="B13462" i="1"/>
  <c r="A13462" i="1"/>
  <c r="F13461" i="1"/>
  <c r="E13461" i="1"/>
  <c r="D13461" i="1"/>
  <c r="C13461" i="1"/>
  <c r="B13461" i="1"/>
  <c r="A13461" i="1"/>
  <c r="F13460" i="1"/>
  <c r="E13460" i="1"/>
  <c r="D13460" i="1"/>
  <c r="C13460" i="1"/>
  <c r="B13460" i="1"/>
  <c r="A13460" i="1"/>
  <c r="F13459" i="1"/>
  <c r="E13459" i="1"/>
  <c r="D13459" i="1"/>
  <c r="C13459" i="1"/>
  <c r="B13459" i="1"/>
  <c r="A13459" i="1"/>
  <c r="F13458" i="1"/>
  <c r="E13458" i="1"/>
  <c r="D13458" i="1"/>
  <c r="C13458" i="1"/>
  <c r="B13458" i="1"/>
  <c r="A13458" i="1"/>
  <c r="F13457" i="1"/>
  <c r="E13457" i="1"/>
  <c r="D13457" i="1"/>
  <c r="C13457" i="1"/>
  <c r="B13457" i="1"/>
  <c r="A13457" i="1"/>
  <c r="F13456" i="1"/>
  <c r="E13456" i="1"/>
  <c r="D13456" i="1"/>
  <c r="C13456" i="1"/>
  <c r="B13456" i="1"/>
  <c r="A13456" i="1"/>
  <c r="F13455" i="1"/>
  <c r="E13455" i="1"/>
  <c r="D13455" i="1"/>
  <c r="C13455" i="1"/>
  <c r="B13455" i="1"/>
  <c r="A13455" i="1"/>
  <c r="F13454" i="1"/>
  <c r="E13454" i="1"/>
  <c r="D13454" i="1"/>
  <c r="C13454" i="1"/>
  <c r="B13454" i="1"/>
  <c r="A13454" i="1"/>
  <c r="F13453" i="1"/>
  <c r="E13453" i="1"/>
  <c r="D13453" i="1"/>
  <c r="C13453" i="1"/>
  <c r="B13453" i="1"/>
  <c r="A13453" i="1"/>
  <c r="F13452" i="1"/>
  <c r="E13452" i="1"/>
  <c r="D13452" i="1"/>
  <c r="C13452" i="1"/>
  <c r="B13452" i="1"/>
  <c r="A13452" i="1"/>
  <c r="F13451" i="1"/>
  <c r="E13451" i="1"/>
  <c r="D13451" i="1"/>
  <c r="C13451" i="1"/>
  <c r="B13451" i="1"/>
  <c r="A13451" i="1"/>
  <c r="F13450" i="1"/>
  <c r="E13450" i="1"/>
  <c r="D13450" i="1"/>
  <c r="C13450" i="1"/>
  <c r="B13450" i="1"/>
  <c r="A13450" i="1"/>
  <c r="F13449" i="1"/>
  <c r="E13449" i="1"/>
  <c r="D13449" i="1"/>
  <c r="C13449" i="1"/>
  <c r="B13449" i="1"/>
  <c r="A13449" i="1"/>
  <c r="F13448" i="1"/>
  <c r="E13448" i="1"/>
  <c r="D13448" i="1"/>
  <c r="C13448" i="1"/>
  <c r="B13448" i="1"/>
  <c r="A13448" i="1"/>
  <c r="F13447" i="1"/>
  <c r="E13447" i="1"/>
  <c r="D13447" i="1"/>
  <c r="C13447" i="1"/>
  <c r="B13447" i="1"/>
  <c r="A13447" i="1"/>
  <c r="F13446" i="1"/>
  <c r="E13446" i="1"/>
  <c r="D13446" i="1"/>
  <c r="C13446" i="1"/>
  <c r="B13446" i="1"/>
  <c r="A13446" i="1"/>
  <c r="F13445" i="1"/>
  <c r="E13445" i="1"/>
  <c r="D13445" i="1"/>
  <c r="C13445" i="1"/>
  <c r="B13445" i="1"/>
  <c r="A13445" i="1"/>
  <c r="F13444" i="1"/>
  <c r="E13444" i="1"/>
  <c r="D13444" i="1"/>
  <c r="C13444" i="1"/>
  <c r="B13444" i="1"/>
  <c r="A13444" i="1"/>
  <c r="F13443" i="1"/>
  <c r="E13443" i="1"/>
  <c r="D13443" i="1"/>
  <c r="C13443" i="1"/>
  <c r="B13443" i="1"/>
  <c r="A13443" i="1"/>
  <c r="F13442" i="1"/>
  <c r="E13442" i="1"/>
  <c r="D13442" i="1"/>
  <c r="C13442" i="1"/>
  <c r="B13442" i="1"/>
  <c r="A13442" i="1"/>
  <c r="F13441" i="1"/>
  <c r="E13441" i="1"/>
  <c r="D13441" i="1"/>
  <c r="C13441" i="1"/>
  <c r="B13441" i="1"/>
  <c r="A13441" i="1"/>
  <c r="F13440" i="1"/>
  <c r="E13440" i="1"/>
  <c r="D13440" i="1"/>
  <c r="C13440" i="1"/>
  <c r="B13440" i="1"/>
  <c r="A13440" i="1"/>
  <c r="F13439" i="1"/>
  <c r="E13439" i="1"/>
  <c r="D13439" i="1"/>
  <c r="C13439" i="1"/>
  <c r="B13439" i="1"/>
  <c r="A13439" i="1"/>
  <c r="F13438" i="1"/>
  <c r="E13438" i="1"/>
  <c r="D13438" i="1"/>
  <c r="C13438" i="1"/>
  <c r="B13438" i="1"/>
  <c r="A13438" i="1"/>
  <c r="F13437" i="1"/>
  <c r="E13437" i="1"/>
  <c r="D13437" i="1"/>
  <c r="C13437" i="1"/>
  <c r="B13437" i="1"/>
  <c r="A13437" i="1"/>
  <c r="F13436" i="1"/>
  <c r="E13436" i="1"/>
  <c r="D13436" i="1"/>
  <c r="C13436" i="1"/>
  <c r="B13436" i="1"/>
  <c r="A13436" i="1"/>
  <c r="F13435" i="1"/>
  <c r="E13435" i="1"/>
  <c r="D13435" i="1"/>
  <c r="C13435" i="1"/>
  <c r="B13435" i="1"/>
  <c r="A13435" i="1"/>
  <c r="F13434" i="1"/>
  <c r="E13434" i="1"/>
  <c r="D13434" i="1"/>
  <c r="C13434" i="1"/>
  <c r="B13434" i="1"/>
  <c r="A13434" i="1"/>
  <c r="F13433" i="1"/>
  <c r="E13433" i="1"/>
  <c r="D13433" i="1"/>
  <c r="C13433" i="1"/>
  <c r="B13433" i="1"/>
  <c r="A13433" i="1"/>
  <c r="F13432" i="1"/>
  <c r="E13432" i="1"/>
  <c r="D13432" i="1"/>
  <c r="C13432" i="1"/>
  <c r="B13432" i="1"/>
  <c r="A13432" i="1"/>
  <c r="F13431" i="1"/>
  <c r="E13431" i="1"/>
  <c r="D13431" i="1"/>
  <c r="C13431" i="1"/>
  <c r="B13431" i="1"/>
  <c r="A13431" i="1"/>
  <c r="F13430" i="1"/>
  <c r="E13430" i="1"/>
  <c r="D13430" i="1"/>
  <c r="C13430" i="1"/>
  <c r="B13430" i="1"/>
  <c r="A13430" i="1"/>
  <c r="F13429" i="1"/>
  <c r="E13429" i="1"/>
  <c r="D13429" i="1"/>
  <c r="C13429" i="1"/>
  <c r="B13429" i="1"/>
  <c r="A13429" i="1"/>
  <c r="F13428" i="1"/>
  <c r="E13428" i="1"/>
  <c r="D13428" i="1"/>
  <c r="C13428" i="1"/>
  <c r="B13428" i="1"/>
  <c r="A13428" i="1"/>
  <c r="F13427" i="1"/>
  <c r="E13427" i="1"/>
  <c r="D13427" i="1"/>
  <c r="C13427" i="1"/>
  <c r="B13427" i="1"/>
  <c r="A13427" i="1"/>
  <c r="F13426" i="1"/>
  <c r="E13426" i="1"/>
  <c r="D13426" i="1"/>
  <c r="C13426" i="1"/>
  <c r="B13426" i="1"/>
  <c r="A13426" i="1"/>
  <c r="F13425" i="1"/>
  <c r="E13425" i="1"/>
  <c r="D13425" i="1"/>
  <c r="C13425" i="1"/>
  <c r="B13425" i="1"/>
  <c r="A13425" i="1"/>
  <c r="F13424" i="1"/>
  <c r="E13424" i="1"/>
  <c r="D13424" i="1"/>
  <c r="C13424" i="1"/>
  <c r="B13424" i="1"/>
  <c r="A13424" i="1"/>
  <c r="F13423" i="1"/>
  <c r="E13423" i="1"/>
  <c r="D13423" i="1"/>
  <c r="C13423" i="1"/>
  <c r="B13423" i="1"/>
  <c r="A13423" i="1"/>
  <c r="F13422" i="1"/>
  <c r="E13422" i="1"/>
  <c r="D13422" i="1"/>
  <c r="C13422" i="1"/>
  <c r="B13422" i="1"/>
  <c r="A13422" i="1"/>
  <c r="F13421" i="1"/>
  <c r="E13421" i="1"/>
  <c r="D13421" i="1"/>
  <c r="C13421" i="1"/>
  <c r="B13421" i="1"/>
  <c r="A13421" i="1"/>
  <c r="F13420" i="1"/>
  <c r="E13420" i="1"/>
  <c r="D13420" i="1"/>
  <c r="C13420" i="1"/>
  <c r="B13420" i="1"/>
  <c r="A13420" i="1"/>
  <c r="F13419" i="1"/>
  <c r="E13419" i="1"/>
  <c r="D13419" i="1"/>
  <c r="C13419" i="1"/>
  <c r="B13419" i="1"/>
  <c r="A13419" i="1"/>
  <c r="F13418" i="1"/>
  <c r="E13418" i="1"/>
  <c r="D13418" i="1"/>
  <c r="C13418" i="1"/>
  <c r="B13418" i="1"/>
  <c r="A13418" i="1"/>
  <c r="F13417" i="1"/>
  <c r="E13417" i="1"/>
  <c r="D13417" i="1"/>
  <c r="C13417" i="1"/>
  <c r="B13417" i="1"/>
  <c r="A13417" i="1"/>
  <c r="F13416" i="1"/>
  <c r="E13416" i="1"/>
  <c r="D13416" i="1"/>
  <c r="C13416" i="1"/>
  <c r="B13416" i="1"/>
  <c r="A13416" i="1"/>
  <c r="F13415" i="1"/>
  <c r="E13415" i="1"/>
  <c r="D13415" i="1"/>
  <c r="C13415" i="1"/>
  <c r="B13415" i="1"/>
  <c r="A13415" i="1"/>
  <c r="F13414" i="1"/>
  <c r="E13414" i="1"/>
  <c r="D13414" i="1"/>
  <c r="C13414" i="1"/>
  <c r="B13414" i="1"/>
  <c r="A13414" i="1"/>
  <c r="F13413" i="1"/>
  <c r="E13413" i="1"/>
  <c r="D13413" i="1"/>
  <c r="C13413" i="1"/>
  <c r="B13413" i="1"/>
  <c r="A13413" i="1"/>
  <c r="F13412" i="1"/>
  <c r="E13412" i="1"/>
  <c r="D13412" i="1"/>
  <c r="C13412" i="1"/>
  <c r="B13412" i="1"/>
  <c r="A13412" i="1"/>
  <c r="F13411" i="1"/>
  <c r="E13411" i="1"/>
  <c r="D13411" i="1"/>
  <c r="C13411" i="1"/>
  <c r="B13411" i="1"/>
  <c r="A13411" i="1"/>
  <c r="F13410" i="1"/>
  <c r="E13410" i="1"/>
  <c r="D13410" i="1"/>
  <c r="C13410" i="1"/>
  <c r="B13410" i="1"/>
  <c r="A13410" i="1"/>
  <c r="F13409" i="1"/>
  <c r="E13409" i="1"/>
  <c r="D13409" i="1"/>
  <c r="C13409" i="1"/>
  <c r="B13409" i="1"/>
  <c r="A13409" i="1"/>
  <c r="F13408" i="1"/>
  <c r="E13408" i="1"/>
  <c r="D13408" i="1"/>
  <c r="C13408" i="1"/>
  <c r="B13408" i="1"/>
  <c r="A13408" i="1"/>
  <c r="F13407" i="1"/>
  <c r="E13407" i="1"/>
  <c r="D13407" i="1"/>
  <c r="C13407" i="1"/>
  <c r="B13407" i="1"/>
  <c r="A13407" i="1"/>
  <c r="F13406" i="1"/>
  <c r="E13406" i="1"/>
  <c r="D13406" i="1"/>
  <c r="C13406" i="1"/>
  <c r="B13406" i="1"/>
  <c r="A13406" i="1"/>
  <c r="F13405" i="1"/>
  <c r="E13405" i="1"/>
  <c r="D13405" i="1"/>
  <c r="C13405" i="1"/>
  <c r="B13405" i="1"/>
  <c r="A13405" i="1"/>
  <c r="F13404" i="1"/>
  <c r="E13404" i="1"/>
  <c r="D13404" i="1"/>
  <c r="C13404" i="1"/>
  <c r="B13404" i="1"/>
  <c r="A13404" i="1"/>
  <c r="F13403" i="1"/>
  <c r="E13403" i="1"/>
  <c r="D13403" i="1"/>
  <c r="C13403" i="1"/>
  <c r="B13403" i="1"/>
  <c r="A13403" i="1"/>
  <c r="F13402" i="1"/>
  <c r="E13402" i="1"/>
  <c r="D13402" i="1"/>
  <c r="C13402" i="1"/>
  <c r="B13402" i="1"/>
  <c r="A13402" i="1"/>
  <c r="F13401" i="1"/>
  <c r="E13401" i="1"/>
  <c r="D13401" i="1"/>
  <c r="C13401" i="1"/>
  <c r="B13401" i="1"/>
  <c r="A13401" i="1"/>
  <c r="F13400" i="1"/>
  <c r="E13400" i="1"/>
  <c r="D13400" i="1"/>
  <c r="C13400" i="1"/>
  <c r="B13400" i="1"/>
  <c r="A13400" i="1"/>
  <c r="F13399" i="1"/>
  <c r="E13399" i="1"/>
  <c r="D13399" i="1"/>
  <c r="C13399" i="1"/>
  <c r="B13399" i="1"/>
  <c r="A13399" i="1"/>
  <c r="F13398" i="1"/>
  <c r="E13398" i="1"/>
  <c r="D13398" i="1"/>
  <c r="C13398" i="1"/>
  <c r="B13398" i="1"/>
  <c r="A13398" i="1"/>
  <c r="F13397" i="1"/>
  <c r="E13397" i="1"/>
  <c r="D13397" i="1"/>
  <c r="C13397" i="1"/>
  <c r="B13397" i="1"/>
  <c r="A13397" i="1"/>
  <c r="F13396" i="1"/>
  <c r="E13396" i="1"/>
  <c r="D13396" i="1"/>
  <c r="C13396" i="1"/>
  <c r="B13396" i="1"/>
  <c r="A13396" i="1"/>
  <c r="F13395" i="1"/>
  <c r="E13395" i="1"/>
  <c r="D13395" i="1"/>
  <c r="C13395" i="1"/>
  <c r="B13395" i="1"/>
  <c r="A13395" i="1"/>
  <c r="F13394" i="1"/>
  <c r="E13394" i="1"/>
  <c r="D13394" i="1"/>
  <c r="C13394" i="1"/>
  <c r="B13394" i="1"/>
  <c r="A13394" i="1"/>
  <c r="F13393" i="1"/>
  <c r="E13393" i="1"/>
  <c r="D13393" i="1"/>
  <c r="C13393" i="1"/>
  <c r="B13393" i="1"/>
  <c r="A13393" i="1"/>
  <c r="F13392" i="1"/>
  <c r="E13392" i="1"/>
  <c r="D13392" i="1"/>
  <c r="C13392" i="1"/>
  <c r="B13392" i="1"/>
  <c r="A13392" i="1"/>
  <c r="F13391" i="1"/>
  <c r="E13391" i="1"/>
  <c r="D13391" i="1"/>
  <c r="C13391" i="1"/>
  <c r="B13391" i="1"/>
  <c r="A13391" i="1"/>
  <c r="F13390" i="1"/>
  <c r="E13390" i="1"/>
  <c r="D13390" i="1"/>
  <c r="C13390" i="1"/>
  <c r="B13390" i="1"/>
  <c r="A13390" i="1"/>
  <c r="F13389" i="1"/>
  <c r="E13389" i="1"/>
  <c r="D13389" i="1"/>
  <c r="C13389" i="1"/>
  <c r="B13389" i="1"/>
  <c r="A13389" i="1"/>
  <c r="F13388" i="1"/>
  <c r="E13388" i="1"/>
  <c r="D13388" i="1"/>
  <c r="C13388" i="1"/>
  <c r="B13388" i="1"/>
  <c r="A13388" i="1"/>
  <c r="F13387" i="1"/>
  <c r="E13387" i="1"/>
  <c r="D13387" i="1"/>
  <c r="C13387" i="1"/>
  <c r="B13387" i="1"/>
  <c r="A13387" i="1"/>
  <c r="F13386" i="1"/>
  <c r="E13386" i="1"/>
  <c r="D13386" i="1"/>
  <c r="C13386" i="1"/>
  <c r="B13386" i="1"/>
  <c r="A13386" i="1"/>
  <c r="F13385" i="1"/>
  <c r="E13385" i="1"/>
  <c r="D13385" i="1"/>
  <c r="C13385" i="1"/>
  <c r="B13385" i="1"/>
  <c r="A13385" i="1"/>
  <c r="F13384" i="1"/>
  <c r="E13384" i="1"/>
  <c r="D13384" i="1"/>
  <c r="C13384" i="1"/>
  <c r="B13384" i="1"/>
  <c r="A13384" i="1"/>
  <c r="F13383" i="1"/>
  <c r="E13383" i="1"/>
  <c r="D13383" i="1"/>
  <c r="C13383" i="1"/>
  <c r="B13383" i="1"/>
  <c r="A13383" i="1"/>
  <c r="F13382" i="1"/>
  <c r="E13382" i="1"/>
  <c r="D13382" i="1"/>
  <c r="C13382" i="1"/>
  <c r="B13382" i="1"/>
  <c r="A13382" i="1"/>
  <c r="F13381" i="1"/>
  <c r="E13381" i="1"/>
  <c r="D13381" i="1"/>
  <c r="C13381" i="1"/>
  <c r="B13381" i="1"/>
  <c r="A13381" i="1"/>
  <c r="F13380" i="1"/>
  <c r="E13380" i="1"/>
  <c r="D13380" i="1"/>
  <c r="C13380" i="1"/>
  <c r="B13380" i="1"/>
  <c r="A13380" i="1"/>
  <c r="F13379" i="1"/>
  <c r="E13379" i="1"/>
  <c r="D13379" i="1"/>
  <c r="C13379" i="1"/>
  <c r="B13379" i="1"/>
  <c r="A13379" i="1"/>
  <c r="F13378" i="1"/>
  <c r="E13378" i="1"/>
  <c r="D13378" i="1"/>
  <c r="C13378" i="1"/>
  <c r="B13378" i="1"/>
  <c r="A13378" i="1"/>
  <c r="F13377" i="1"/>
  <c r="E13377" i="1"/>
  <c r="D13377" i="1"/>
  <c r="C13377" i="1"/>
  <c r="B13377" i="1"/>
  <c r="A13377" i="1"/>
  <c r="F13376" i="1"/>
  <c r="E13376" i="1"/>
  <c r="D13376" i="1"/>
  <c r="C13376" i="1"/>
  <c r="B13376" i="1"/>
  <c r="A13376" i="1"/>
  <c r="F13375" i="1"/>
  <c r="E13375" i="1"/>
  <c r="D13375" i="1"/>
  <c r="C13375" i="1"/>
  <c r="B13375" i="1"/>
  <c r="A13375" i="1"/>
  <c r="F13374" i="1"/>
  <c r="E13374" i="1"/>
  <c r="D13374" i="1"/>
  <c r="C13374" i="1"/>
  <c r="B13374" i="1"/>
  <c r="A13374" i="1"/>
  <c r="F13373" i="1"/>
  <c r="E13373" i="1"/>
  <c r="D13373" i="1"/>
  <c r="C13373" i="1"/>
  <c r="B13373" i="1"/>
  <c r="A13373" i="1"/>
  <c r="F13372" i="1"/>
  <c r="E13372" i="1"/>
  <c r="D13372" i="1"/>
  <c r="C13372" i="1"/>
  <c r="B13372" i="1"/>
  <c r="A13372" i="1"/>
  <c r="F13371" i="1"/>
  <c r="E13371" i="1"/>
  <c r="D13371" i="1"/>
  <c r="C13371" i="1"/>
  <c r="B13371" i="1"/>
  <c r="A13371" i="1"/>
  <c r="F13370" i="1"/>
  <c r="E13370" i="1"/>
  <c r="D13370" i="1"/>
  <c r="C13370" i="1"/>
  <c r="B13370" i="1"/>
  <c r="A13370" i="1"/>
  <c r="F13369" i="1"/>
  <c r="E13369" i="1"/>
  <c r="D13369" i="1"/>
  <c r="C13369" i="1"/>
  <c r="B13369" i="1"/>
  <c r="A13369" i="1"/>
  <c r="F13368" i="1"/>
  <c r="E13368" i="1"/>
  <c r="D13368" i="1"/>
  <c r="C13368" i="1"/>
  <c r="B13368" i="1"/>
  <c r="A13368" i="1"/>
  <c r="F13367" i="1"/>
  <c r="E13367" i="1"/>
  <c r="D13367" i="1"/>
  <c r="C13367" i="1"/>
  <c r="B13367" i="1"/>
  <c r="A13367" i="1"/>
  <c r="F13366" i="1"/>
  <c r="E13366" i="1"/>
  <c r="D13366" i="1"/>
  <c r="C13366" i="1"/>
  <c r="B13366" i="1"/>
  <c r="A13366" i="1"/>
  <c r="F13365" i="1"/>
  <c r="E13365" i="1"/>
  <c r="D13365" i="1"/>
  <c r="C13365" i="1"/>
  <c r="B13365" i="1"/>
  <c r="A13365" i="1"/>
  <c r="F13364" i="1"/>
  <c r="E13364" i="1"/>
  <c r="D13364" i="1"/>
  <c r="C13364" i="1"/>
  <c r="B13364" i="1"/>
  <c r="A13364" i="1"/>
  <c r="F13363" i="1"/>
  <c r="E13363" i="1"/>
  <c r="D13363" i="1"/>
  <c r="C13363" i="1"/>
  <c r="B13363" i="1"/>
  <c r="A13363" i="1"/>
  <c r="F13362" i="1"/>
  <c r="E13362" i="1"/>
  <c r="D13362" i="1"/>
  <c r="C13362" i="1"/>
  <c r="B13362" i="1"/>
  <c r="A13362" i="1"/>
  <c r="F13361" i="1"/>
  <c r="E13361" i="1"/>
  <c r="D13361" i="1"/>
  <c r="C13361" i="1"/>
  <c r="B13361" i="1"/>
  <c r="A13361" i="1"/>
  <c r="F13360" i="1"/>
  <c r="E13360" i="1"/>
  <c r="D13360" i="1"/>
  <c r="C13360" i="1"/>
  <c r="B13360" i="1"/>
  <c r="A13360" i="1"/>
  <c r="F13359" i="1"/>
  <c r="E13359" i="1"/>
  <c r="D13359" i="1"/>
  <c r="C13359" i="1"/>
  <c r="B13359" i="1"/>
  <c r="A13359" i="1"/>
  <c r="F13358" i="1"/>
  <c r="E13358" i="1"/>
  <c r="D13358" i="1"/>
  <c r="C13358" i="1"/>
  <c r="B13358" i="1"/>
  <c r="A13358" i="1"/>
  <c r="F13357" i="1"/>
  <c r="E13357" i="1"/>
  <c r="D13357" i="1"/>
  <c r="C13357" i="1"/>
  <c r="B13357" i="1"/>
  <c r="A13357" i="1"/>
  <c r="F13356" i="1"/>
  <c r="E13356" i="1"/>
  <c r="D13356" i="1"/>
  <c r="C13356" i="1"/>
  <c r="B13356" i="1"/>
  <c r="A13356" i="1"/>
  <c r="F13355" i="1"/>
  <c r="E13355" i="1"/>
  <c r="D13355" i="1"/>
  <c r="C13355" i="1"/>
  <c r="B13355" i="1"/>
  <c r="A13355" i="1"/>
  <c r="F13354" i="1"/>
  <c r="E13354" i="1"/>
  <c r="D13354" i="1"/>
  <c r="C13354" i="1"/>
  <c r="B13354" i="1"/>
  <c r="A13354" i="1"/>
  <c r="F13353" i="1"/>
  <c r="E13353" i="1"/>
  <c r="D13353" i="1"/>
  <c r="C13353" i="1"/>
  <c r="B13353" i="1"/>
  <c r="A13353" i="1"/>
  <c r="F13352" i="1"/>
  <c r="E13352" i="1"/>
  <c r="D13352" i="1"/>
  <c r="C13352" i="1"/>
  <c r="B13352" i="1"/>
  <c r="A13352" i="1"/>
  <c r="F13351" i="1"/>
  <c r="E13351" i="1"/>
  <c r="D13351" i="1"/>
  <c r="C13351" i="1"/>
  <c r="B13351" i="1"/>
  <c r="A13351" i="1"/>
  <c r="F13350" i="1"/>
  <c r="E13350" i="1"/>
  <c r="D13350" i="1"/>
  <c r="C13350" i="1"/>
  <c r="B13350" i="1"/>
  <c r="A13350" i="1"/>
  <c r="F13349" i="1"/>
  <c r="E13349" i="1"/>
  <c r="D13349" i="1"/>
  <c r="C13349" i="1"/>
  <c r="B13349" i="1"/>
  <c r="A13349" i="1"/>
  <c r="F13348" i="1"/>
  <c r="E13348" i="1"/>
  <c r="D13348" i="1"/>
  <c r="C13348" i="1"/>
  <c r="B13348" i="1"/>
  <c r="A13348" i="1"/>
  <c r="F13347" i="1"/>
  <c r="E13347" i="1"/>
  <c r="D13347" i="1"/>
  <c r="C13347" i="1"/>
  <c r="B13347" i="1"/>
  <c r="A13347" i="1"/>
  <c r="F13346" i="1"/>
  <c r="E13346" i="1"/>
  <c r="D13346" i="1"/>
  <c r="C13346" i="1"/>
  <c r="B13346" i="1"/>
  <c r="A13346" i="1"/>
  <c r="F13345" i="1"/>
  <c r="E13345" i="1"/>
  <c r="D13345" i="1"/>
  <c r="C13345" i="1"/>
  <c r="B13345" i="1"/>
  <c r="A13345" i="1"/>
  <c r="F13344" i="1"/>
  <c r="E13344" i="1"/>
  <c r="D13344" i="1"/>
  <c r="C13344" i="1"/>
  <c r="B13344" i="1"/>
  <c r="A13344" i="1"/>
  <c r="F13343" i="1"/>
  <c r="E13343" i="1"/>
  <c r="D13343" i="1"/>
  <c r="C13343" i="1"/>
  <c r="B13343" i="1"/>
  <c r="A13343" i="1"/>
  <c r="F13342" i="1"/>
  <c r="E13342" i="1"/>
  <c r="D13342" i="1"/>
  <c r="C13342" i="1"/>
  <c r="B13342" i="1"/>
  <c r="A13342" i="1"/>
  <c r="F13341" i="1"/>
  <c r="E13341" i="1"/>
  <c r="D13341" i="1"/>
  <c r="C13341" i="1"/>
  <c r="B13341" i="1"/>
  <c r="A13341" i="1"/>
  <c r="F13340" i="1"/>
  <c r="E13340" i="1"/>
  <c r="D13340" i="1"/>
  <c r="C13340" i="1"/>
  <c r="B13340" i="1"/>
  <c r="A13340" i="1"/>
  <c r="F13339" i="1"/>
  <c r="E13339" i="1"/>
  <c r="D13339" i="1"/>
  <c r="C13339" i="1"/>
  <c r="B13339" i="1"/>
  <c r="A13339" i="1"/>
  <c r="F13338" i="1"/>
  <c r="E13338" i="1"/>
  <c r="D13338" i="1"/>
  <c r="C13338" i="1"/>
  <c r="B13338" i="1"/>
  <c r="A13338" i="1"/>
  <c r="F13337" i="1"/>
  <c r="E13337" i="1"/>
  <c r="D13337" i="1"/>
  <c r="C13337" i="1"/>
  <c r="B13337" i="1"/>
  <c r="A13337" i="1"/>
  <c r="F13336" i="1"/>
  <c r="E13336" i="1"/>
  <c r="D13336" i="1"/>
  <c r="C13336" i="1"/>
  <c r="B13336" i="1"/>
  <c r="A13336" i="1"/>
  <c r="F13335" i="1"/>
  <c r="E13335" i="1"/>
  <c r="D13335" i="1"/>
  <c r="C13335" i="1"/>
  <c r="B13335" i="1"/>
  <c r="A13335" i="1"/>
  <c r="F13334" i="1"/>
  <c r="E13334" i="1"/>
  <c r="D13334" i="1"/>
  <c r="C13334" i="1"/>
  <c r="B13334" i="1"/>
  <c r="A13334" i="1"/>
  <c r="F13333" i="1"/>
  <c r="E13333" i="1"/>
  <c r="D13333" i="1"/>
  <c r="C13333" i="1"/>
  <c r="B13333" i="1"/>
  <c r="A13333" i="1"/>
  <c r="F13332" i="1"/>
  <c r="E13332" i="1"/>
  <c r="D13332" i="1"/>
  <c r="C13332" i="1"/>
  <c r="B13332" i="1"/>
  <c r="A13332" i="1"/>
  <c r="F13331" i="1"/>
  <c r="E13331" i="1"/>
  <c r="D13331" i="1"/>
  <c r="C13331" i="1"/>
  <c r="B13331" i="1"/>
  <c r="A13331" i="1"/>
  <c r="F13330" i="1"/>
  <c r="E13330" i="1"/>
  <c r="D13330" i="1"/>
  <c r="C13330" i="1"/>
  <c r="B13330" i="1"/>
  <c r="A13330" i="1"/>
  <c r="F13329" i="1"/>
  <c r="E13329" i="1"/>
  <c r="D13329" i="1"/>
  <c r="C13329" i="1"/>
  <c r="B13329" i="1"/>
  <c r="A13329" i="1"/>
  <c r="F13328" i="1"/>
  <c r="E13328" i="1"/>
  <c r="D13328" i="1"/>
  <c r="C13328" i="1"/>
  <c r="B13328" i="1"/>
  <c r="A13328" i="1"/>
  <c r="F13327" i="1"/>
  <c r="E13327" i="1"/>
  <c r="D13327" i="1"/>
  <c r="C13327" i="1"/>
  <c r="B13327" i="1"/>
  <c r="A13327" i="1"/>
  <c r="F13326" i="1"/>
  <c r="E13326" i="1"/>
  <c r="D13326" i="1"/>
  <c r="C13326" i="1"/>
  <c r="B13326" i="1"/>
  <c r="A13326" i="1"/>
  <c r="F13325" i="1"/>
  <c r="E13325" i="1"/>
  <c r="D13325" i="1"/>
  <c r="C13325" i="1"/>
  <c r="B13325" i="1"/>
  <c r="A13325" i="1"/>
  <c r="F13324" i="1"/>
  <c r="E13324" i="1"/>
  <c r="D13324" i="1"/>
  <c r="C13324" i="1"/>
  <c r="B13324" i="1"/>
  <c r="A13324" i="1"/>
  <c r="F13323" i="1"/>
  <c r="E13323" i="1"/>
  <c r="D13323" i="1"/>
  <c r="C13323" i="1"/>
  <c r="B13323" i="1"/>
  <c r="A13323" i="1"/>
  <c r="F13322" i="1"/>
  <c r="E13322" i="1"/>
  <c r="D13322" i="1"/>
  <c r="C13322" i="1"/>
  <c r="B13322" i="1"/>
  <c r="A13322" i="1"/>
  <c r="F13321" i="1"/>
  <c r="E13321" i="1"/>
  <c r="D13321" i="1"/>
  <c r="C13321" i="1"/>
  <c r="B13321" i="1"/>
  <c r="A13321" i="1"/>
  <c r="F13320" i="1"/>
  <c r="E13320" i="1"/>
  <c r="D13320" i="1"/>
  <c r="C13320" i="1"/>
  <c r="B13320" i="1"/>
  <c r="A13320" i="1"/>
  <c r="F13319" i="1"/>
  <c r="E13319" i="1"/>
  <c r="D13319" i="1"/>
  <c r="C13319" i="1"/>
  <c r="B13319" i="1"/>
  <c r="A13319" i="1"/>
  <c r="F13318" i="1"/>
  <c r="E13318" i="1"/>
  <c r="D13318" i="1"/>
  <c r="C13318" i="1"/>
  <c r="B13318" i="1"/>
  <c r="A13318" i="1"/>
  <c r="F13317" i="1"/>
  <c r="E13317" i="1"/>
  <c r="D13317" i="1"/>
  <c r="C13317" i="1"/>
  <c r="B13317" i="1"/>
  <c r="A13317" i="1"/>
  <c r="F13316" i="1"/>
  <c r="E13316" i="1"/>
  <c r="D13316" i="1"/>
  <c r="C13316" i="1"/>
  <c r="B13316" i="1"/>
  <c r="A13316" i="1"/>
  <c r="F13315" i="1"/>
  <c r="E13315" i="1"/>
  <c r="D13315" i="1"/>
  <c r="C13315" i="1"/>
  <c r="B13315" i="1"/>
  <c r="A13315" i="1"/>
  <c r="F13314" i="1"/>
  <c r="E13314" i="1"/>
  <c r="D13314" i="1"/>
  <c r="C13314" i="1"/>
  <c r="B13314" i="1"/>
  <c r="A13314" i="1"/>
  <c r="F13313" i="1"/>
  <c r="E13313" i="1"/>
  <c r="D13313" i="1"/>
  <c r="C13313" i="1"/>
  <c r="B13313" i="1"/>
  <c r="A13313" i="1"/>
  <c r="F13312" i="1"/>
  <c r="E13312" i="1"/>
  <c r="D13312" i="1"/>
  <c r="C13312" i="1"/>
  <c r="B13312" i="1"/>
  <c r="A13312" i="1"/>
  <c r="F13311" i="1"/>
  <c r="E13311" i="1"/>
  <c r="D13311" i="1"/>
  <c r="C13311" i="1"/>
  <c r="B13311" i="1"/>
  <c r="A13311" i="1"/>
  <c r="F13310" i="1"/>
  <c r="E13310" i="1"/>
  <c r="D13310" i="1"/>
  <c r="C13310" i="1"/>
  <c r="B13310" i="1"/>
  <c r="A13310" i="1"/>
  <c r="F13309" i="1"/>
  <c r="E13309" i="1"/>
  <c r="D13309" i="1"/>
  <c r="C13309" i="1"/>
  <c r="B13309" i="1"/>
  <c r="A13309" i="1"/>
  <c r="F13308" i="1"/>
  <c r="E13308" i="1"/>
  <c r="D13308" i="1"/>
  <c r="C13308" i="1"/>
  <c r="B13308" i="1"/>
  <c r="A13308" i="1"/>
  <c r="F13307" i="1"/>
  <c r="E13307" i="1"/>
  <c r="D13307" i="1"/>
  <c r="C13307" i="1"/>
  <c r="B13307" i="1"/>
  <c r="A13307" i="1"/>
  <c r="F13306" i="1"/>
  <c r="E13306" i="1"/>
  <c r="D13306" i="1"/>
  <c r="C13306" i="1"/>
  <c r="B13306" i="1"/>
  <c r="A13306" i="1"/>
  <c r="F13305" i="1"/>
  <c r="E13305" i="1"/>
  <c r="D13305" i="1"/>
  <c r="C13305" i="1"/>
  <c r="B13305" i="1"/>
  <c r="A13305" i="1"/>
  <c r="F13304" i="1"/>
  <c r="E13304" i="1"/>
  <c r="D13304" i="1"/>
  <c r="C13304" i="1"/>
  <c r="B13304" i="1"/>
  <c r="A13304" i="1"/>
  <c r="F13303" i="1"/>
  <c r="E13303" i="1"/>
  <c r="D13303" i="1"/>
  <c r="C13303" i="1"/>
  <c r="B13303" i="1"/>
  <c r="A13303" i="1"/>
  <c r="F13302" i="1"/>
  <c r="E13302" i="1"/>
  <c r="D13302" i="1"/>
  <c r="C13302" i="1"/>
  <c r="B13302" i="1"/>
  <c r="A13302" i="1"/>
  <c r="F13301" i="1"/>
  <c r="E13301" i="1"/>
  <c r="D13301" i="1"/>
  <c r="C13301" i="1"/>
  <c r="B13301" i="1"/>
  <c r="A13301" i="1"/>
  <c r="F13300" i="1"/>
  <c r="E13300" i="1"/>
  <c r="D13300" i="1"/>
  <c r="C13300" i="1"/>
  <c r="B13300" i="1"/>
  <c r="A13300" i="1"/>
  <c r="F13299" i="1"/>
  <c r="E13299" i="1"/>
  <c r="D13299" i="1"/>
  <c r="C13299" i="1"/>
  <c r="B13299" i="1"/>
  <c r="A13299" i="1"/>
  <c r="F13298" i="1"/>
  <c r="E13298" i="1"/>
  <c r="D13298" i="1"/>
  <c r="C13298" i="1"/>
  <c r="B13298" i="1"/>
  <c r="A13298" i="1"/>
  <c r="F13297" i="1"/>
  <c r="E13297" i="1"/>
  <c r="D13297" i="1"/>
  <c r="C13297" i="1"/>
  <c r="B13297" i="1"/>
  <c r="A13297" i="1"/>
  <c r="F13296" i="1"/>
  <c r="E13296" i="1"/>
  <c r="D13296" i="1"/>
  <c r="C13296" i="1"/>
  <c r="B13296" i="1"/>
  <c r="A13296" i="1"/>
  <c r="F13295" i="1"/>
  <c r="E13295" i="1"/>
  <c r="D13295" i="1"/>
  <c r="C13295" i="1"/>
  <c r="B13295" i="1"/>
  <c r="A13295" i="1"/>
  <c r="F13294" i="1"/>
  <c r="E13294" i="1"/>
  <c r="D13294" i="1"/>
  <c r="C13294" i="1"/>
  <c r="B13294" i="1"/>
  <c r="A13294" i="1"/>
  <c r="F13293" i="1"/>
  <c r="E13293" i="1"/>
  <c r="D13293" i="1"/>
  <c r="C13293" i="1"/>
  <c r="B13293" i="1"/>
  <c r="A13293" i="1"/>
  <c r="F13292" i="1"/>
  <c r="E13292" i="1"/>
  <c r="D13292" i="1"/>
  <c r="C13292" i="1"/>
  <c r="B13292" i="1"/>
  <c r="A13292" i="1"/>
  <c r="F13291" i="1"/>
  <c r="E13291" i="1"/>
  <c r="D13291" i="1"/>
  <c r="C13291" i="1"/>
  <c r="B13291" i="1"/>
  <c r="A13291" i="1"/>
  <c r="F13290" i="1"/>
  <c r="E13290" i="1"/>
  <c r="D13290" i="1"/>
  <c r="C13290" i="1"/>
  <c r="B13290" i="1"/>
  <c r="A13290" i="1"/>
  <c r="F13289" i="1"/>
  <c r="E13289" i="1"/>
  <c r="D13289" i="1"/>
  <c r="C13289" i="1"/>
  <c r="B13289" i="1"/>
  <c r="A13289" i="1"/>
  <c r="F13288" i="1"/>
  <c r="E13288" i="1"/>
  <c r="D13288" i="1"/>
  <c r="C13288" i="1"/>
  <c r="B13288" i="1"/>
  <c r="A13288" i="1"/>
  <c r="F13287" i="1"/>
  <c r="E13287" i="1"/>
  <c r="D13287" i="1"/>
  <c r="C13287" i="1"/>
  <c r="B13287" i="1"/>
  <c r="A13287" i="1"/>
  <c r="F13286" i="1"/>
  <c r="E13286" i="1"/>
  <c r="D13286" i="1"/>
  <c r="C13286" i="1"/>
  <c r="B13286" i="1"/>
  <c r="A13286" i="1"/>
  <c r="F13285" i="1"/>
  <c r="E13285" i="1"/>
  <c r="D13285" i="1"/>
  <c r="C13285" i="1"/>
  <c r="B13285" i="1"/>
  <c r="A13285" i="1"/>
  <c r="F13284" i="1"/>
  <c r="E13284" i="1"/>
  <c r="D13284" i="1"/>
  <c r="C13284" i="1"/>
  <c r="B13284" i="1"/>
  <c r="A13284" i="1"/>
  <c r="F13283" i="1"/>
  <c r="E13283" i="1"/>
  <c r="D13283" i="1"/>
  <c r="C13283" i="1"/>
  <c r="B13283" i="1"/>
  <c r="A13283" i="1"/>
  <c r="F13282" i="1"/>
  <c r="E13282" i="1"/>
  <c r="D13282" i="1"/>
  <c r="C13282" i="1"/>
  <c r="B13282" i="1"/>
  <c r="A13282" i="1"/>
  <c r="F13281" i="1"/>
  <c r="E13281" i="1"/>
  <c r="D13281" i="1"/>
  <c r="C13281" i="1"/>
  <c r="B13281" i="1"/>
  <c r="A13281" i="1"/>
  <c r="F13280" i="1"/>
  <c r="E13280" i="1"/>
  <c r="D13280" i="1"/>
  <c r="C13280" i="1"/>
  <c r="B13280" i="1"/>
  <c r="A13280" i="1"/>
  <c r="F13279" i="1"/>
  <c r="E13279" i="1"/>
  <c r="D13279" i="1"/>
  <c r="C13279" i="1"/>
  <c r="B13279" i="1"/>
  <c r="A13279" i="1"/>
  <c r="F13278" i="1"/>
  <c r="E13278" i="1"/>
  <c r="D13278" i="1"/>
  <c r="C13278" i="1"/>
  <c r="B13278" i="1"/>
  <c r="A13278" i="1"/>
  <c r="F13277" i="1"/>
  <c r="E13277" i="1"/>
  <c r="D13277" i="1"/>
  <c r="C13277" i="1"/>
  <c r="B13277" i="1"/>
  <c r="A13277" i="1"/>
  <c r="F13276" i="1"/>
  <c r="E13276" i="1"/>
  <c r="D13276" i="1"/>
  <c r="C13276" i="1"/>
  <c r="B13276" i="1"/>
  <c r="A13276" i="1"/>
  <c r="F13275" i="1"/>
  <c r="E13275" i="1"/>
  <c r="D13275" i="1"/>
  <c r="C13275" i="1"/>
  <c r="B13275" i="1"/>
  <c r="A13275" i="1"/>
  <c r="F13274" i="1"/>
  <c r="E13274" i="1"/>
  <c r="D13274" i="1"/>
  <c r="C13274" i="1"/>
  <c r="B13274" i="1"/>
  <c r="A13274" i="1"/>
  <c r="F13273" i="1"/>
  <c r="E13273" i="1"/>
  <c r="D13273" i="1"/>
  <c r="C13273" i="1"/>
  <c r="B13273" i="1"/>
  <c r="A13273" i="1"/>
  <c r="F13272" i="1"/>
  <c r="E13272" i="1"/>
  <c r="D13272" i="1"/>
  <c r="C13272" i="1"/>
  <c r="B13272" i="1"/>
  <c r="A13272" i="1"/>
  <c r="F13271" i="1"/>
  <c r="E13271" i="1"/>
  <c r="D13271" i="1"/>
  <c r="C13271" i="1"/>
  <c r="B13271" i="1"/>
  <c r="A13271" i="1"/>
  <c r="F13270" i="1"/>
  <c r="E13270" i="1"/>
  <c r="D13270" i="1"/>
  <c r="C13270" i="1"/>
  <c r="B13270" i="1"/>
  <c r="A13270" i="1"/>
  <c r="F13269" i="1"/>
  <c r="E13269" i="1"/>
  <c r="D13269" i="1"/>
  <c r="C13269" i="1"/>
  <c r="B13269" i="1"/>
  <c r="A13269" i="1"/>
  <c r="F13268" i="1"/>
  <c r="E13268" i="1"/>
  <c r="D13268" i="1"/>
  <c r="C13268" i="1"/>
  <c r="B13268" i="1"/>
  <c r="A13268" i="1"/>
  <c r="F13267" i="1"/>
  <c r="E13267" i="1"/>
  <c r="D13267" i="1"/>
  <c r="C13267" i="1"/>
  <c r="B13267" i="1"/>
  <c r="A13267" i="1"/>
  <c r="F13266" i="1"/>
  <c r="E13266" i="1"/>
  <c r="D13266" i="1"/>
  <c r="C13266" i="1"/>
  <c r="B13266" i="1"/>
  <c r="A13266" i="1"/>
  <c r="F13265" i="1"/>
  <c r="E13265" i="1"/>
  <c r="D13265" i="1"/>
  <c r="C13265" i="1"/>
  <c r="B13265" i="1"/>
  <c r="A13265" i="1"/>
  <c r="F13264" i="1"/>
  <c r="E13264" i="1"/>
  <c r="D13264" i="1"/>
  <c r="C13264" i="1"/>
  <c r="B13264" i="1"/>
  <c r="A13264" i="1"/>
  <c r="F13263" i="1"/>
  <c r="E13263" i="1"/>
  <c r="D13263" i="1"/>
  <c r="C13263" i="1"/>
  <c r="B13263" i="1"/>
  <c r="A13263" i="1"/>
  <c r="F13262" i="1"/>
  <c r="E13262" i="1"/>
  <c r="D13262" i="1"/>
  <c r="C13262" i="1"/>
  <c r="B13262" i="1"/>
  <c r="A13262" i="1"/>
  <c r="F13261" i="1"/>
  <c r="E13261" i="1"/>
  <c r="D13261" i="1"/>
  <c r="C13261" i="1"/>
  <c r="B13261" i="1"/>
  <c r="A13261" i="1"/>
  <c r="F13260" i="1"/>
  <c r="E13260" i="1"/>
  <c r="D13260" i="1"/>
  <c r="C13260" i="1"/>
  <c r="B13260" i="1"/>
  <c r="A13260" i="1"/>
  <c r="F13259" i="1"/>
  <c r="E13259" i="1"/>
  <c r="D13259" i="1"/>
  <c r="C13259" i="1"/>
  <c r="B13259" i="1"/>
  <c r="A13259" i="1"/>
  <c r="F13258" i="1"/>
  <c r="E13258" i="1"/>
  <c r="D13258" i="1"/>
  <c r="C13258" i="1"/>
  <c r="B13258" i="1"/>
  <c r="A13258" i="1"/>
  <c r="F13257" i="1"/>
  <c r="E13257" i="1"/>
  <c r="D13257" i="1"/>
  <c r="C13257" i="1"/>
  <c r="B13257" i="1"/>
  <c r="A13257" i="1"/>
  <c r="F13256" i="1"/>
  <c r="E13256" i="1"/>
  <c r="D13256" i="1"/>
  <c r="C13256" i="1"/>
  <c r="B13256" i="1"/>
  <c r="A13256" i="1"/>
  <c r="F13255" i="1"/>
  <c r="E13255" i="1"/>
  <c r="D13255" i="1"/>
  <c r="C13255" i="1"/>
  <c r="B13255" i="1"/>
  <c r="A13255" i="1"/>
  <c r="F13254" i="1"/>
  <c r="E13254" i="1"/>
  <c r="D13254" i="1"/>
  <c r="C13254" i="1"/>
  <c r="B13254" i="1"/>
  <c r="A13254" i="1"/>
  <c r="F13253" i="1"/>
  <c r="E13253" i="1"/>
  <c r="D13253" i="1"/>
  <c r="C13253" i="1"/>
  <c r="B13253" i="1"/>
  <c r="A13253" i="1"/>
  <c r="F13252" i="1"/>
  <c r="E13252" i="1"/>
  <c r="D13252" i="1"/>
  <c r="C13252" i="1"/>
  <c r="B13252" i="1"/>
  <c r="A13252" i="1"/>
  <c r="F13251" i="1"/>
  <c r="E13251" i="1"/>
  <c r="D13251" i="1"/>
  <c r="C13251" i="1"/>
  <c r="B13251" i="1"/>
  <c r="A13251" i="1"/>
  <c r="F13250" i="1"/>
  <c r="E13250" i="1"/>
  <c r="D13250" i="1"/>
  <c r="C13250" i="1"/>
  <c r="B13250" i="1"/>
  <c r="A13250" i="1"/>
  <c r="F13249" i="1"/>
  <c r="E13249" i="1"/>
  <c r="D13249" i="1"/>
  <c r="C13249" i="1"/>
  <c r="B13249" i="1"/>
  <c r="A13249" i="1"/>
  <c r="F13248" i="1"/>
  <c r="E13248" i="1"/>
  <c r="D13248" i="1"/>
  <c r="C13248" i="1"/>
  <c r="B13248" i="1"/>
  <c r="A13248" i="1"/>
  <c r="F13247" i="1"/>
  <c r="E13247" i="1"/>
  <c r="D13247" i="1"/>
  <c r="C13247" i="1"/>
  <c r="B13247" i="1"/>
  <c r="A13247" i="1"/>
  <c r="F13246" i="1"/>
  <c r="E13246" i="1"/>
  <c r="D13246" i="1"/>
  <c r="C13246" i="1"/>
  <c r="B13246" i="1"/>
  <c r="A13246" i="1"/>
  <c r="F13245" i="1"/>
  <c r="E13245" i="1"/>
  <c r="D13245" i="1"/>
  <c r="C13245" i="1"/>
  <c r="B13245" i="1"/>
  <c r="A13245" i="1"/>
  <c r="F13244" i="1"/>
  <c r="E13244" i="1"/>
  <c r="D13244" i="1"/>
  <c r="C13244" i="1"/>
  <c r="B13244" i="1"/>
  <c r="A13244" i="1"/>
  <c r="F13243" i="1"/>
  <c r="E13243" i="1"/>
  <c r="D13243" i="1"/>
  <c r="C13243" i="1"/>
  <c r="B13243" i="1"/>
  <c r="A13243" i="1"/>
  <c r="F13242" i="1"/>
  <c r="E13242" i="1"/>
  <c r="D13242" i="1"/>
  <c r="C13242" i="1"/>
  <c r="B13242" i="1"/>
  <c r="A13242" i="1"/>
  <c r="F13241" i="1"/>
  <c r="E13241" i="1"/>
  <c r="D13241" i="1"/>
  <c r="C13241" i="1"/>
  <c r="B13241" i="1"/>
  <c r="A13241" i="1"/>
  <c r="F13240" i="1"/>
  <c r="E13240" i="1"/>
  <c r="D13240" i="1"/>
  <c r="C13240" i="1"/>
  <c r="B13240" i="1"/>
  <c r="A13240" i="1"/>
  <c r="F13239" i="1"/>
  <c r="E13239" i="1"/>
  <c r="D13239" i="1"/>
  <c r="C13239" i="1"/>
  <c r="B13239" i="1"/>
  <c r="A13239" i="1"/>
  <c r="F13238" i="1"/>
  <c r="E13238" i="1"/>
  <c r="D13238" i="1"/>
  <c r="C13238" i="1"/>
  <c r="B13238" i="1"/>
  <c r="A13238" i="1"/>
  <c r="F13237" i="1"/>
  <c r="E13237" i="1"/>
  <c r="D13237" i="1"/>
  <c r="C13237" i="1"/>
  <c r="B13237" i="1"/>
  <c r="A13237" i="1"/>
  <c r="F13236" i="1"/>
  <c r="E13236" i="1"/>
  <c r="D13236" i="1"/>
  <c r="C13236" i="1"/>
  <c r="B13236" i="1"/>
  <c r="A13236" i="1"/>
  <c r="F13235" i="1"/>
  <c r="E13235" i="1"/>
  <c r="D13235" i="1"/>
  <c r="C13235" i="1"/>
  <c r="B13235" i="1"/>
  <c r="A13235" i="1"/>
  <c r="F13234" i="1"/>
  <c r="E13234" i="1"/>
  <c r="D13234" i="1"/>
  <c r="C13234" i="1"/>
  <c r="B13234" i="1"/>
  <c r="A13234" i="1"/>
  <c r="F13233" i="1"/>
  <c r="E13233" i="1"/>
  <c r="D13233" i="1"/>
  <c r="C13233" i="1"/>
  <c r="B13233" i="1"/>
  <c r="A13233" i="1"/>
  <c r="F13232" i="1"/>
  <c r="E13232" i="1"/>
  <c r="D13232" i="1"/>
  <c r="C13232" i="1"/>
  <c r="B13232" i="1"/>
  <c r="A13232" i="1"/>
  <c r="F13231" i="1"/>
  <c r="E13231" i="1"/>
  <c r="D13231" i="1"/>
  <c r="C13231" i="1"/>
  <c r="B13231" i="1"/>
  <c r="A13231" i="1"/>
  <c r="F13230" i="1"/>
  <c r="E13230" i="1"/>
  <c r="D13230" i="1"/>
  <c r="C13230" i="1"/>
  <c r="B13230" i="1"/>
  <c r="A13230" i="1"/>
  <c r="F13229" i="1"/>
  <c r="E13229" i="1"/>
  <c r="D13229" i="1"/>
  <c r="C13229" i="1"/>
  <c r="B13229" i="1"/>
  <c r="A13229" i="1"/>
  <c r="F13228" i="1"/>
  <c r="E13228" i="1"/>
  <c r="D13228" i="1"/>
  <c r="C13228" i="1"/>
  <c r="B13228" i="1"/>
  <c r="A13228" i="1"/>
  <c r="F13227" i="1"/>
  <c r="E13227" i="1"/>
  <c r="D13227" i="1"/>
  <c r="C13227" i="1"/>
  <c r="B13227" i="1"/>
  <c r="A13227" i="1"/>
  <c r="F13226" i="1"/>
  <c r="E13226" i="1"/>
  <c r="D13226" i="1"/>
  <c r="C13226" i="1"/>
  <c r="B13226" i="1"/>
  <c r="A13226" i="1"/>
  <c r="F13225" i="1"/>
  <c r="E13225" i="1"/>
  <c r="D13225" i="1"/>
  <c r="C13225" i="1"/>
  <c r="B13225" i="1"/>
  <c r="A13225" i="1"/>
  <c r="F13224" i="1"/>
  <c r="E13224" i="1"/>
  <c r="D13224" i="1"/>
  <c r="C13224" i="1"/>
  <c r="B13224" i="1"/>
  <c r="A13224" i="1"/>
  <c r="F13223" i="1"/>
  <c r="E13223" i="1"/>
  <c r="D13223" i="1"/>
  <c r="C13223" i="1"/>
  <c r="B13223" i="1"/>
  <c r="A13223" i="1"/>
  <c r="F13222" i="1"/>
  <c r="E13222" i="1"/>
  <c r="D13222" i="1"/>
  <c r="C13222" i="1"/>
  <c r="B13222" i="1"/>
  <c r="A13222" i="1"/>
  <c r="F13221" i="1"/>
  <c r="E13221" i="1"/>
  <c r="D13221" i="1"/>
  <c r="C13221" i="1"/>
  <c r="B13221" i="1"/>
  <c r="A13221" i="1"/>
  <c r="F13220" i="1"/>
  <c r="E13220" i="1"/>
  <c r="D13220" i="1"/>
  <c r="C13220" i="1"/>
  <c r="B13220" i="1"/>
  <c r="A13220" i="1"/>
  <c r="F13219" i="1"/>
  <c r="E13219" i="1"/>
  <c r="D13219" i="1"/>
  <c r="C13219" i="1"/>
  <c r="B13219" i="1"/>
  <c r="A13219" i="1"/>
  <c r="F13218" i="1"/>
  <c r="E13218" i="1"/>
  <c r="D13218" i="1"/>
  <c r="C13218" i="1"/>
  <c r="B13218" i="1"/>
  <c r="A13218" i="1"/>
  <c r="F13217" i="1"/>
  <c r="E13217" i="1"/>
  <c r="D13217" i="1"/>
  <c r="C13217" i="1"/>
  <c r="B13217" i="1"/>
  <c r="A13217" i="1"/>
  <c r="F13216" i="1"/>
  <c r="E13216" i="1"/>
  <c r="D13216" i="1"/>
  <c r="C13216" i="1"/>
  <c r="B13216" i="1"/>
  <c r="A13216" i="1"/>
  <c r="F13215" i="1"/>
  <c r="E13215" i="1"/>
  <c r="D13215" i="1"/>
  <c r="C13215" i="1"/>
  <c r="B13215" i="1"/>
  <c r="A13215" i="1"/>
  <c r="F13214" i="1"/>
  <c r="E13214" i="1"/>
  <c r="D13214" i="1"/>
  <c r="C13214" i="1"/>
  <c r="B13214" i="1"/>
  <c r="A13214" i="1"/>
  <c r="F13213" i="1"/>
  <c r="E13213" i="1"/>
  <c r="D13213" i="1"/>
  <c r="C13213" i="1"/>
  <c r="B13213" i="1"/>
  <c r="A13213" i="1"/>
  <c r="F13212" i="1"/>
  <c r="E13212" i="1"/>
  <c r="D13212" i="1"/>
  <c r="C13212" i="1"/>
  <c r="B13212" i="1"/>
  <c r="A13212" i="1"/>
  <c r="F13211" i="1"/>
  <c r="E13211" i="1"/>
  <c r="D13211" i="1"/>
  <c r="C13211" i="1"/>
  <c r="B13211" i="1"/>
  <c r="A13211" i="1"/>
  <c r="F13210" i="1"/>
  <c r="E13210" i="1"/>
  <c r="D13210" i="1"/>
  <c r="C13210" i="1"/>
  <c r="B13210" i="1"/>
  <c r="A13210" i="1"/>
  <c r="F13209" i="1"/>
  <c r="E13209" i="1"/>
  <c r="D13209" i="1"/>
  <c r="C13209" i="1"/>
  <c r="B13209" i="1"/>
  <c r="A13209" i="1"/>
  <c r="F13208" i="1"/>
  <c r="E13208" i="1"/>
  <c r="D13208" i="1"/>
  <c r="C13208" i="1"/>
  <c r="B13208" i="1"/>
  <c r="A13208" i="1"/>
  <c r="F13207" i="1"/>
  <c r="E13207" i="1"/>
  <c r="D13207" i="1"/>
  <c r="C13207" i="1"/>
  <c r="B13207" i="1"/>
  <c r="A13207" i="1"/>
  <c r="F13206" i="1"/>
  <c r="E13206" i="1"/>
  <c r="D13206" i="1"/>
  <c r="C13206" i="1"/>
  <c r="B13206" i="1"/>
  <c r="A13206" i="1"/>
  <c r="F13205" i="1"/>
  <c r="E13205" i="1"/>
  <c r="D13205" i="1"/>
  <c r="C13205" i="1"/>
  <c r="B13205" i="1"/>
  <c r="A13205" i="1"/>
  <c r="F13204" i="1"/>
  <c r="E13204" i="1"/>
  <c r="D13204" i="1"/>
  <c r="C13204" i="1"/>
  <c r="B13204" i="1"/>
  <c r="A13204" i="1"/>
  <c r="F13203" i="1"/>
  <c r="E13203" i="1"/>
  <c r="D13203" i="1"/>
  <c r="C13203" i="1"/>
  <c r="B13203" i="1"/>
  <c r="A13203" i="1"/>
  <c r="F13202" i="1"/>
  <c r="E13202" i="1"/>
  <c r="D13202" i="1"/>
  <c r="C13202" i="1"/>
  <c r="B13202" i="1"/>
  <c r="A13202" i="1"/>
  <c r="F13201" i="1"/>
  <c r="E13201" i="1"/>
  <c r="D13201" i="1"/>
  <c r="C13201" i="1"/>
  <c r="B13201" i="1"/>
  <c r="A13201" i="1"/>
  <c r="F13200" i="1"/>
  <c r="E13200" i="1"/>
  <c r="D13200" i="1"/>
  <c r="C13200" i="1"/>
  <c r="B13200" i="1"/>
  <c r="A13200" i="1"/>
  <c r="F13199" i="1"/>
  <c r="E13199" i="1"/>
  <c r="D13199" i="1"/>
  <c r="C13199" i="1"/>
  <c r="B13199" i="1"/>
  <c r="A13199" i="1"/>
  <c r="F13198" i="1"/>
  <c r="E13198" i="1"/>
  <c r="D13198" i="1"/>
  <c r="C13198" i="1"/>
  <c r="B13198" i="1"/>
  <c r="A13198" i="1"/>
  <c r="F13197" i="1"/>
  <c r="E13197" i="1"/>
  <c r="D13197" i="1"/>
  <c r="C13197" i="1"/>
  <c r="B13197" i="1"/>
  <c r="A13197" i="1"/>
  <c r="F13196" i="1"/>
  <c r="E13196" i="1"/>
  <c r="D13196" i="1"/>
  <c r="C13196" i="1"/>
  <c r="B13196" i="1"/>
  <c r="A13196" i="1"/>
  <c r="F13195" i="1"/>
  <c r="E13195" i="1"/>
  <c r="D13195" i="1"/>
  <c r="C13195" i="1"/>
  <c r="B13195" i="1"/>
  <c r="A13195" i="1"/>
  <c r="F13194" i="1"/>
  <c r="E13194" i="1"/>
  <c r="D13194" i="1"/>
  <c r="C13194" i="1"/>
  <c r="B13194" i="1"/>
  <c r="A13194" i="1"/>
  <c r="F13193" i="1"/>
  <c r="E13193" i="1"/>
  <c r="D13193" i="1"/>
  <c r="C13193" i="1"/>
  <c r="B13193" i="1"/>
  <c r="A13193" i="1"/>
  <c r="F13192" i="1"/>
  <c r="E13192" i="1"/>
  <c r="D13192" i="1"/>
  <c r="C13192" i="1"/>
  <c r="B13192" i="1"/>
  <c r="A13192" i="1"/>
  <c r="F13191" i="1"/>
  <c r="E13191" i="1"/>
  <c r="D13191" i="1"/>
  <c r="C13191" i="1"/>
  <c r="B13191" i="1"/>
  <c r="A13191" i="1"/>
  <c r="F13190" i="1"/>
  <c r="E13190" i="1"/>
  <c r="D13190" i="1"/>
  <c r="C13190" i="1"/>
  <c r="B13190" i="1"/>
  <c r="A13190" i="1"/>
  <c r="F13189" i="1"/>
  <c r="E13189" i="1"/>
  <c r="D13189" i="1"/>
  <c r="C13189" i="1"/>
  <c r="B13189" i="1"/>
  <c r="A13189" i="1"/>
  <c r="F13188" i="1"/>
  <c r="E13188" i="1"/>
  <c r="D13188" i="1"/>
  <c r="C13188" i="1"/>
  <c r="B13188" i="1"/>
  <c r="A13188" i="1"/>
  <c r="F13187" i="1"/>
  <c r="E13187" i="1"/>
  <c r="D13187" i="1"/>
  <c r="C13187" i="1"/>
  <c r="B13187" i="1"/>
  <c r="A13187" i="1"/>
  <c r="F13186" i="1"/>
  <c r="E13186" i="1"/>
  <c r="D13186" i="1"/>
  <c r="C13186" i="1"/>
  <c r="B13186" i="1"/>
  <c r="A13186" i="1"/>
  <c r="F13185" i="1"/>
  <c r="E13185" i="1"/>
  <c r="D13185" i="1"/>
  <c r="C13185" i="1"/>
  <c r="B13185" i="1"/>
  <c r="A13185" i="1"/>
  <c r="F13184" i="1"/>
  <c r="E13184" i="1"/>
  <c r="D13184" i="1"/>
  <c r="C13184" i="1"/>
  <c r="B13184" i="1"/>
  <c r="A13184" i="1"/>
  <c r="F13183" i="1"/>
  <c r="E13183" i="1"/>
  <c r="D13183" i="1"/>
  <c r="C13183" i="1"/>
  <c r="B13183" i="1"/>
  <c r="A13183" i="1"/>
  <c r="F13182" i="1"/>
  <c r="E13182" i="1"/>
  <c r="D13182" i="1"/>
  <c r="C13182" i="1"/>
  <c r="B13182" i="1"/>
  <c r="A13182" i="1"/>
  <c r="F13181" i="1"/>
  <c r="E13181" i="1"/>
  <c r="D13181" i="1"/>
  <c r="C13181" i="1"/>
  <c r="B13181" i="1"/>
  <c r="A13181" i="1"/>
  <c r="F13180" i="1"/>
  <c r="E13180" i="1"/>
  <c r="D13180" i="1"/>
  <c r="C13180" i="1"/>
  <c r="B13180" i="1"/>
  <c r="A13180" i="1"/>
  <c r="F13179" i="1"/>
  <c r="E13179" i="1"/>
  <c r="D13179" i="1"/>
  <c r="C13179" i="1"/>
  <c r="B13179" i="1"/>
  <c r="A13179" i="1"/>
  <c r="F13178" i="1"/>
  <c r="E13178" i="1"/>
  <c r="D13178" i="1"/>
  <c r="C13178" i="1"/>
  <c r="B13178" i="1"/>
  <c r="A13178" i="1"/>
  <c r="F13177" i="1"/>
  <c r="E13177" i="1"/>
  <c r="D13177" i="1"/>
  <c r="C13177" i="1"/>
  <c r="B13177" i="1"/>
  <c r="A13177" i="1"/>
  <c r="F13176" i="1"/>
  <c r="E13176" i="1"/>
  <c r="D13176" i="1"/>
  <c r="C13176" i="1"/>
  <c r="B13176" i="1"/>
  <c r="A13176" i="1"/>
  <c r="F13175" i="1"/>
  <c r="E13175" i="1"/>
  <c r="D13175" i="1"/>
  <c r="C13175" i="1"/>
  <c r="B13175" i="1"/>
  <c r="A13175" i="1"/>
  <c r="F13174" i="1"/>
  <c r="E13174" i="1"/>
  <c r="D13174" i="1"/>
  <c r="C13174" i="1"/>
  <c r="B13174" i="1"/>
  <c r="A13174" i="1"/>
  <c r="F13173" i="1"/>
  <c r="E13173" i="1"/>
  <c r="D13173" i="1"/>
  <c r="C13173" i="1"/>
  <c r="B13173" i="1"/>
  <c r="A13173" i="1"/>
  <c r="F13172" i="1"/>
  <c r="E13172" i="1"/>
  <c r="D13172" i="1"/>
  <c r="C13172" i="1"/>
  <c r="B13172" i="1"/>
  <c r="A13172" i="1"/>
  <c r="F13171" i="1"/>
  <c r="E13171" i="1"/>
  <c r="D13171" i="1"/>
  <c r="C13171" i="1"/>
  <c r="B13171" i="1"/>
  <c r="A13171" i="1"/>
  <c r="F13170" i="1"/>
  <c r="E13170" i="1"/>
  <c r="D13170" i="1"/>
  <c r="C13170" i="1"/>
  <c r="B13170" i="1"/>
  <c r="A13170" i="1"/>
  <c r="F13169" i="1"/>
  <c r="E13169" i="1"/>
  <c r="D13169" i="1"/>
  <c r="C13169" i="1"/>
  <c r="B13169" i="1"/>
  <c r="A13169" i="1"/>
  <c r="F13168" i="1"/>
  <c r="E13168" i="1"/>
  <c r="D13168" i="1"/>
  <c r="C13168" i="1"/>
  <c r="B13168" i="1"/>
  <c r="A13168" i="1"/>
  <c r="F13167" i="1"/>
  <c r="E13167" i="1"/>
  <c r="D13167" i="1"/>
  <c r="C13167" i="1"/>
  <c r="B13167" i="1"/>
  <c r="A13167" i="1"/>
  <c r="F13166" i="1"/>
  <c r="E13166" i="1"/>
  <c r="D13166" i="1"/>
  <c r="C13166" i="1"/>
  <c r="B13166" i="1"/>
  <c r="A13166" i="1"/>
  <c r="F13165" i="1"/>
  <c r="E13165" i="1"/>
  <c r="D13165" i="1"/>
  <c r="C13165" i="1"/>
  <c r="B13165" i="1"/>
  <c r="A13165" i="1"/>
  <c r="F13164" i="1"/>
  <c r="E13164" i="1"/>
  <c r="D13164" i="1"/>
  <c r="C13164" i="1"/>
  <c r="B13164" i="1"/>
  <c r="A13164" i="1"/>
  <c r="F13163" i="1"/>
  <c r="E13163" i="1"/>
  <c r="D13163" i="1"/>
  <c r="C13163" i="1"/>
  <c r="B13163" i="1"/>
  <c r="A13163" i="1"/>
  <c r="F13162" i="1"/>
  <c r="E13162" i="1"/>
  <c r="D13162" i="1"/>
  <c r="C13162" i="1"/>
  <c r="B13162" i="1"/>
  <c r="A13162" i="1"/>
  <c r="F13161" i="1"/>
  <c r="E13161" i="1"/>
  <c r="D13161" i="1"/>
  <c r="C13161" i="1"/>
  <c r="B13161" i="1"/>
  <c r="A13161" i="1"/>
  <c r="F13160" i="1"/>
  <c r="E13160" i="1"/>
  <c r="D13160" i="1"/>
  <c r="C13160" i="1"/>
  <c r="B13160" i="1"/>
  <c r="A13160" i="1"/>
  <c r="F13159" i="1"/>
  <c r="E13159" i="1"/>
  <c r="D13159" i="1"/>
  <c r="C13159" i="1"/>
  <c r="B13159" i="1"/>
  <c r="A13159" i="1"/>
  <c r="F13158" i="1"/>
  <c r="E13158" i="1"/>
  <c r="D13158" i="1"/>
  <c r="C13158" i="1"/>
  <c r="B13158" i="1"/>
  <c r="A13158" i="1"/>
  <c r="F13157" i="1"/>
  <c r="E13157" i="1"/>
  <c r="D13157" i="1"/>
  <c r="C13157" i="1"/>
  <c r="B13157" i="1"/>
  <c r="A13157" i="1"/>
  <c r="F13156" i="1"/>
  <c r="E13156" i="1"/>
  <c r="D13156" i="1"/>
  <c r="C13156" i="1"/>
  <c r="B13156" i="1"/>
  <c r="A13156" i="1"/>
  <c r="F13155" i="1"/>
  <c r="E13155" i="1"/>
  <c r="D13155" i="1"/>
  <c r="C13155" i="1"/>
  <c r="B13155" i="1"/>
  <c r="A13155" i="1"/>
  <c r="F13154" i="1"/>
  <c r="E13154" i="1"/>
  <c r="D13154" i="1"/>
  <c r="C13154" i="1"/>
  <c r="B13154" i="1"/>
  <c r="A13154" i="1"/>
  <c r="F13153" i="1"/>
  <c r="E13153" i="1"/>
  <c r="D13153" i="1"/>
  <c r="C13153" i="1"/>
  <c r="B13153" i="1"/>
  <c r="A13153" i="1"/>
  <c r="F13152" i="1"/>
  <c r="E13152" i="1"/>
  <c r="D13152" i="1"/>
  <c r="C13152" i="1"/>
  <c r="B13152" i="1"/>
  <c r="A13152" i="1"/>
  <c r="F13151" i="1"/>
  <c r="E13151" i="1"/>
  <c r="D13151" i="1"/>
  <c r="C13151" i="1"/>
  <c r="B13151" i="1"/>
  <c r="A13151" i="1"/>
  <c r="F13150" i="1"/>
  <c r="E13150" i="1"/>
  <c r="D13150" i="1"/>
  <c r="C13150" i="1"/>
  <c r="B13150" i="1"/>
  <c r="A13150" i="1"/>
  <c r="F13149" i="1"/>
  <c r="E13149" i="1"/>
  <c r="D13149" i="1"/>
  <c r="C13149" i="1"/>
  <c r="B13149" i="1"/>
  <c r="A13149" i="1"/>
  <c r="F13148" i="1"/>
  <c r="E13148" i="1"/>
  <c r="D13148" i="1"/>
  <c r="C13148" i="1"/>
  <c r="B13148" i="1"/>
  <c r="A13148" i="1"/>
  <c r="F13147" i="1"/>
  <c r="E13147" i="1"/>
  <c r="D13147" i="1"/>
  <c r="C13147" i="1"/>
  <c r="B13147" i="1"/>
  <c r="A13147" i="1"/>
  <c r="F13146" i="1"/>
  <c r="E13146" i="1"/>
  <c r="D13146" i="1"/>
  <c r="C13146" i="1"/>
  <c r="B13146" i="1"/>
  <c r="A13146" i="1"/>
  <c r="F13145" i="1"/>
  <c r="E13145" i="1"/>
  <c r="D13145" i="1"/>
  <c r="C13145" i="1"/>
  <c r="B13145" i="1"/>
  <c r="A13145" i="1"/>
  <c r="F13144" i="1"/>
  <c r="E13144" i="1"/>
  <c r="D13144" i="1"/>
  <c r="C13144" i="1"/>
  <c r="B13144" i="1"/>
  <c r="A13144" i="1"/>
  <c r="F13143" i="1"/>
  <c r="E13143" i="1"/>
  <c r="D13143" i="1"/>
  <c r="C13143" i="1"/>
  <c r="B13143" i="1"/>
  <c r="A13143" i="1"/>
  <c r="F13142" i="1"/>
  <c r="E13142" i="1"/>
  <c r="D13142" i="1"/>
  <c r="C13142" i="1"/>
  <c r="B13142" i="1"/>
  <c r="A13142" i="1"/>
  <c r="F13141" i="1"/>
  <c r="E13141" i="1"/>
  <c r="D13141" i="1"/>
  <c r="C13141" i="1"/>
  <c r="B13141" i="1"/>
  <c r="A13141" i="1"/>
  <c r="F13140" i="1"/>
  <c r="E13140" i="1"/>
  <c r="D13140" i="1"/>
  <c r="C13140" i="1"/>
  <c r="B13140" i="1"/>
  <c r="A13140" i="1"/>
  <c r="F13139" i="1"/>
  <c r="E13139" i="1"/>
  <c r="D13139" i="1"/>
  <c r="C13139" i="1"/>
  <c r="B13139" i="1"/>
  <c r="A13139" i="1"/>
  <c r="F13138" i="1"/>
  <c r="E13138" i="1"/>
  <c r="D13138" i="1"/>
  <c r="C13138" i="1"/>
  <c r="B13138" i="1"/>
  <c r="A13138" i="1"/>
  <c r="F13137" i="1"/>
  <c r="E13137" i="1"/>
  <c r="D13137" i="1"/>
  <c r="C13137" i="1"/>
  <c r="B13137" i="1"/>
  <c r="A13137" i="1"/>
  <c r="F13136" i="1"/>
  <c r="E13136" i="1"/>
  <c r="D13136" i="1"/>
  <c r="C13136" i="1"/>
  <c r="B13136" i="1"/>
  <c r="A13136" i="1"/>
  <c r="F13135" i="1"/>
  <c r="E13135" i="1"/>
  <c r="D13135" i="1"/>
  <c r="C13135" i="1"/>
  <c r="B13135" i="1"/>
  <c r="A13135" i="1"/>
  <c r="F13134" i="1"/>
  <c r="E13134" i="1"/>
  <c r="D13134" i="1"/>
  <c r="C13134" i="1"/>
  <c r="B13134" i="1"/>
  <c r="A13134" i="1"/>
  <c r="F13133" i="1"/>
  <c r="E13133" i="1"/>
  <c r="D13133" i="1"/>
  <c r="C13133" i="1"/>
  <c r="B13133" i="1"/>
  <c r="A13133" i="1"/>
  <c r="F13132" i="1"/>
  <c r="E13132" i="1"/>
  <c r="D13132" i="1"/>
  <c r="C13132" i="1"/>
  <c r="B13132" i="1"/>
  <c r="A13132" i="1"/>
  <c r="F13131" i="1"/>
  <c r="E13131" i="1"/>
  <c r="D13131" i="1"/>
  <c r="C13131" i="1"/>
  <c r="B13131" i="1"/>
  <c r="A13131" i="1"/>
  <c r="F13130" i="1"/>
  <c r="E13130" i="1"/>
  <c r="D13130" i="1"/>
  <c r="C13130" i="1"/>
  <c r="B13130" i="1"/>
  <c r="A13130" i="1"/>
  <c r="F13129" i="1"/>
  <c r="E13129" i="1"/>
  <c r="D13129" i="1"/>
  <c r="C13129" i="1"/>
  <c r="B13129" i="1"/>
  <c r="A13129" i="1"/>
  <c r="F13128" i="1"/>
  <c r="E13128" i="1"/>
  <c r="D13128" i="1"/>
  <c r="C13128" i="1"/>
  <c r="B13128" i="1"/>
  <c r="A13128" i="1"/>
  <c r="F13127" i="1"/>
  <c r="E13127" i="1"/>
  <c r="D13127" i="1"/>
  <c r="C13127" i="1"/>
  <c r="B13127" i="1"/>
  <c r="A13127" i="1"/>
  <c r="F13126" i="1"/>
  <c r="E13126" i="1"/>
  <c r="D13126" i="1"/>
  <c r="C13126" i="1"/>
  <c r="B13126" i="1"/>
  <c r="A13126" i="1"/>
  <c r="F13125" i="1"/>
  <c r="E13125" i="1"/>
  <c r="D13125" i="1"/>
  <c r="C13125" i="1"/>
  <c r="B13125" i="1"/>
  <c r="A13125" i="1"/>
  <c r="F13124" i="1"/>
  <c r="E13124" i="1"/>
  <c r="D13124" i="1"/>
  <c r="C13124" i="1"/>
  <c r="B13124" i="1"/>
  <c r="A13124" i="1"/>
  <c r="F13123" i="1"/>
  <c r="E13123" i="1"/>
  <c r="D13123" i="1"/>
  <c r="C13123" i="1"/>
  <c r="B13123" i="1"/>
  <c r="A13123" i="1"/>
  <c r="F13122" i="1"/>
  <c r="E13122" i="1"/>
  <c r="D13122" i="1"/>
  <c r="C13122" i="1"/>
  <c r="B13122" i="1"/>
  <c r="A13122" i="1"/>
  <c r="F13121" i="1"/>
  <c r="E13121" i="1"/>
  <c r="D13121" i="1"/>
  <c r="C13121" i="1"/>
  <c r="B13121" i="1"/>
  <c r="A13121" i="1"/>
  <c r="F13120" i="1"/>
  <c r="E13120" i="1"/>
  <c r="D13120" i="1"/>
  <c r="C13120" i="1"/>
  <c r="B13120" i="1"/>
  <c r="A13120" i="1"/>
  <c r="F13119" i="1"/>
  <c r="E13119" i="1"/>
  <c r="D13119" i="1"/>
  <c r="C13119" i="1"/>
  <c r="B13119" i="1"/>
  <c r="A13119" i="1"/>
  <c r="F13118" i="1"/>
  <c r="E13118" i="1"/>
  <c r="D13118" i="1"/>
  <c r="C13118" i="1"/>
  <c r="B13118" i="1"/>
  <c r="A13118" i="1"/>
  <c r="F13117" i="1"/>
  <c r="E13117" i="1"/>
  <c r="D13117" i="1"/>
  <c r="C13117" i="1"/>
  <c r="B13117" i="1"/>
  <c r="A13117" i="1"/>
  <c r="F13116" i="1"/>
  <c r="E13116" i="1"/>
  <c r="D13116" i="1"/>
  <c r="C13116" i="1"/>
  <c r="B13116" i="1"/>
  <c r="A13116" i="1"/>
  <c r="F13115" i="1"/>
  <c r="E13115" i="1"/>
  <c r="D13115" i="1"/>
  <c r="C13115" i="1"/>
  <c r="B13115" i="1"/>
  <c r="A13115" i="1"/>
  <c r="F13114" i="1"/>
  <c r="E13114" i="1"/>
  <c r="D13114" i="1"/>
  <c r="C13114" i="1"/>
  <c r="B13114" i="1"/>
  <c r="A13114" i="1"/>
  <c r="F13113" i="1"/>
  <c r="E13113" i="1"/>
  <c r="D13113" i="1"/>
  <c r="C13113" i="1"/>
  <c r="B13113" i="1"/>
  <c r="A13113" i="1"/>
  <c r="F13112" i="1"/>
  <c r="E13112" i="1"/>
  <c r="D13112" i="1"/>
  <c r="C13112" i="1"/>
  <c r="B13112" i="1"/>
  <c r="A13112" i="1"/>
  <c r="F13111" i="1"/>
  <c r="E13111" i="1"/>
  <c r="D13111" i="1"/>
  <c r="C13111" i="1"/>
  <c r="B13111" i="1"/>
  <c r="A13111" i="1"/>
  <c r="F13110" i="1"/>
  <c r="E13110" i="1"/>
  <c r="D13110" i="1"/>
  <c r="C13110" i="1"/>
  <c r="B13110" i="1"/>
  <c r="A13110" i="1"/>
  <c r="F13109" i="1"/>
  <c r="E13109" i="1"/>
  <c r="D13109" i="1"/>
  <c r="C13109" i="1"/>
  <c r="B13109" i="1"/>
  <c r="A13109" i="1"/>
  <c r="F13108" i="1"/>
  <c r="E13108" i="1"/>
  <c r="D13108" i="1"/>
  <c r="C13108" i="1"/>
  <c r="B13108" i="1"/>
  <c r="A13108" i="1"/>
  <c r="F13107" i="1"/>
  <c r="E13107" i="1"/>
  <c r="D13107" i="1"/>
  <c r="C13107" i="1"/>
  <c r="B13107" i="1"/>
  <c r="A13107" i="1"/>
  <c r="F13106" i="1"/>
  <c r="E13106" i="1"/>
  <c r="D13106" i="1"/>
  <c r="C13106" i="1"/>
  <c r="B13106" i="1"/>
  <c r="A13106" i="1"/>
  <c r="F13105" i="1"/>
  <c r="E13105" i="1"/>
  <c r="D13105" i="1"/>
  <c r="C13105" i="1"/>
  <c r="B13105" i="1"/>
  <c r="A13105" i="1"/>
  <c r="F13104" i="1"/>
  <c r="E13104" i="1"/>
  <c r="D13104" i="1"/>
  <c r="C13104" i="1"/>
  <c r="B13104" i="1"/>
  <c r="A13104" i="1"/>
  <c r="F13103" i="1"/>
  <c r="E13103" i="1"/>
  <c r="D13103" i="1"/>
  <c r="C13103" i="1"/>
  <c r="B13103" i="1"/>
  <c r="A13103" i="1"/>
  <c r="F13102" i="1"/>
  <c r="E13102" i="1"/>
  <c r="D13102" i="1"/>
  <c r="C13102" i="1"/>
  <c r="B13102" i="1"/>
  <c r="A13102" i="1"/>
  <c r="F13101" i="1"/>
  <c r="E13101" i="1"/>
  <c r="D13101" i="1"/>
  <c r="C13101" i="1"/>
  <c r="B13101" i="1"/>
  <c r="A13101" i="1"/>
  <c r="F13100" i="1"/>
  <c r="E13100" i="1"/>
  <c r="D13100" i="1"/>
  <c r="C13100" i="1"/>
  <c r="B13100" i="1"/>
  <c r="A13100" i="1"/>
  <c r="F13099" i="1"/>
  <c r="E13099" i="1"/>
  <c r="D13099" i="1"/>
  <c r="C13099" i="1"/>
  <c r="B13099" i="1"/>
  <c r="A13099" i="1"/>
  <c r="F13098" i="1"/>
  <c r="E13098" i="1"/>
  <c r="D13098" i="1"/>
  <c r="C13098" i="1"/>
  <c r="B13098" i="1"/>
  <c r="A13098" i="1"/>
  <c r="F13097" i="1"/>
  <c r="E13097" i="1"/>
  <c r="D13097" i="1"/>
  <c r="C13097" i="1"/>
  <c r="B13097" i="1"/>
  <c r="A13097" i="1"/>
  <c r="F13096" i="1"/>
  <c r="E13096" i="1"/>
  <c r="D13096" i="1"/>
  <c r="C13096" i="1"/>
  <c r="B13096" i="1"/>
  <c r="A13096" i="1"/>
  <c r="F13095" i="1"/>
  <c r="E13095" i="1"/>
  <c r="D13095" i="1"/>
  <c r="C13095" i="1"/>
  <c r="B13095" i="1"/>
  <c r="A13095" i="1"/>
  <c r="F13094" i="1"/>
  <c r="E13094" i="1"/>
  <c r="D13094" i="1"/>
  <c r="C13094" i="1"/>
  <c r="B13094" i="1"/>
  <c r="A13094" i="1"/>
  <c r="F13093" i="1"/>
  <c r="E13093" i="1"/>
  <c r="D13093" i="1"/>
  <c r="C13093" i="1"/>
  <c r="B13093" i="1"/>
  <c r="A13093" i="1"/>
  <c r="F13092" i="1"/>
  <c r="E13092" i="1"/>
  <c r="D13092" i="1"/>
  <c r="C13092" i="1"/>
  <c r="B13092" i="1"/>
  <c r="A13092" i="1"/>
  <c r="F13091" i="1"/>
  <c r="E13091" i="1"/>
  <c r="D13091" i="1"/>
  <c r="C13091" i="1"/>
  <c r="B13091" i="1"/>
  <c r="A13091" i="1"/>
  <c r="F13090" i="1"/>
  <c r="E13090" i="1"/>
  <c r="D13090" i="1"/>
  <c r="C13090" i="1"/>
  <c r="B13090" i="1"/>
  <c r="A13090" i="1"/>
  <c r="F13089" i="1"/>
  <c r="E13089" i="1"/>
  <c r="D13089" i="1"/>
  <c r="C13089" i="1"/>
  <c r="B13089" i="1"/>
  <c r="A13089" i="1"/>
  <c r="F13088" i="1"/>
  <c r="E13088" i="1"/>
  <c r="D13088" i="1"/>
  <c r="C13088" i="1"/>
  <c r="B13088" i="1"/>
  <c r="A13088" i="1"/>
  <c r="F13087" i="1"/>
  <c r="E13087" i="1"/>
  <c r="D13087" i="1"/>
  <c r="C13087" i="1"/>
  <c r="B13087" i="1"/>
  <c r="A13087" i="1"/>
  <c r="F13086" i="1"/>
  <c r="E13086" i="1"/>
  <c r="D13086" i="1"/>
  <c r="C13086" i="1"/>
  <c r="B13086" i="1"/>
  <c r="A13086" i="1"/>
  <c r="F13085" i="1"/>
  <c r="E13085" i="1"/>
  <c r="D13085" i="1"/>
  <c r="C13085" i="1"/>
  <c r="B13085" i="1"/>
  <c r="A13085" i="1"/>
  <c r="F13084" i="1"/>
  <c r="E13084" i="1"/>
  <c r="D13084" i="1"/>
  <c r="C13084" i="1"/>
  <c r="B13084" i="1"/>
  <c r="A13084" i="1"/>
  <c r="F13083" i="1"/>
  <c r="E13083" i="1"/>
  <c r="D13083" i="1"/>
  <c r="C13083" i="1"/>
  <c r="B13083" i="1"/>
  <c r="A13083" i="1"/>
  <c r="F13082" i="1"/>
  <c r="E13082" i="1"/>
  <c r="D13082" i="1"/>
  <c r="C13082" i="1"/>
  <c r="B13082" i="1"/>
  <c r="A13082" i="1"/>
  <c r="F13081" i="1"/>
  <c r="E13081" i="1"/>
  <c r="D13081" i="1"/>
  <c r="C13081" i="1"/>
  <c r="B13081" i="1"/>
  <c r="A13081" i="1"/>
  <c r="F13080" i="1"/>
  <c r="E13080" i="1"/>
  <c r="D13080" i="1"/>
  <c r="C13080" i="1"/>
  <c r="B13080" i="1"/>
  <c r="A13080" i="1"/>
  <c r="F13079" i="1"/>
  <c r="E13079" i="1"/>
  <c r="D13079" i="1"/>
  <c r="C13079" i="1"/>
  <c r="B13079" i="1"/>
  <c r="A13079" i="1"/>
  <c r="F13078" i="1"/>
  <c r="E13078" i="1"/>
  <c r="D13078" i="1"/>
  <c r="C13078" i="1"/>
  <c r="B13078" i="1"/>
  <c r="A13078" i="1"/>
  <c r="F13077" i="1"/>
  <c r="E13077" i="1"/>
  <c r="D13077" i="1"/>
  <c r="C13077" i="1"/>
  <c r="B13077" i="1"/>
  <c r="A13077" i="1"/>
  <c r="F13076" i="1"/>
  <c r="E13076" i="1"/>
  <c r="D13076" i="1"/>
  <c r="C13076" i="1"/>
  <c r="B13076" i="1"/>
  <c r="A13076" i="1"/>
  <c r="F13075" i="1"/>
  <c r="E13075" i="1"/>
  <c r="D13075" i="1"/>
  <c r="C13075" i="1"/>
  <c r="B13075" i="1"/>
  <c r="A13075" i="1"/>
  <c r="F13074" i="1"/>
  <c r="E13074" i="1"/>
  <c r="D13074" i="1"/>
  <c r="C13074" i="1"/>
  <c r="B13074" i="1"/>
  <c r="A13074" i="1"/>
  <c r="F13073" i="1"/>
  <c r="E13073" i="1"/>
  <c r="D13073" i="1"/>
  <c r="C13073" i="1"/>
  <c r="B13073" i="1"/>
  <c r="A13073" i="1"/>
  <c r="F13072" i="1"/>
  <c r="E13072" i="1"/>
  <c r="D13072" i="1"/>
  <c r="C13072" i="1"/>
  <c r="B13072" i="1"/>
  <c r="A13072" i="1"/>
  <c r="F13071" i="1"/>
  <c r="E13071" i="1"/>
  <c r="D13071" i="1"/>
  <c r="C13071" i="1"/>
  <c r="B13071" i="1"/>
  <c r="A13071" i="1"/>
  <c r="F13070" i="1"/>
  <c r="E13070" i="1"/>
  <c r="D13070" i="1"/>
  <c r="C13070" i="1"/>
  <c r="B13070" i="1"/>
  <c r="A13070" i="1"/>
  <c r="F13069" i="1"/>
  <c r="E13069" i="1"/>
  <c r="D13069" i="1"/>
  <c r="C13069" i="1"/>
  <c r="B13069" i="1"/>
  <c r="A13069" i="1"/>
  <c r="F13068" i="1"/>
  <c r="E13068" i="1"/>
  <c r="D13068" i="1"/>
  <c r="C13068" i="1"/>
  <c r="B13068" i="1"/>
  <c r="A13068" i="1"/>
  <c r="F13067" i="1"/>
  <c r="E13067" i="1"/>
  <c r="D13067" i="1"/>
  <c r="C13067" i="1"/>
  <c r="B13067" i="1"/>
  <c r="A13067" i="1"/>
  <c r="F13066" i="1"/>
  <c r="E13066" i="1"/>
  <c r="D13066" i="1"/>
  <c r="C13066" i="1"/>
  <c r="B13066" i="1"/>
  <c r="A13066" i="1"/>
  <c r="F13065" i="1"/>
  <c r="E13065" i="1"/>
  <c r="D13065" i="1"/>
  <c r="C13065" i="1"/>
  <c r="B13065" i="1"/>
  <c r="A13065" i="1"/>
  <c r="F13064" i="1"/>
  <c r="E13064" i="1"/>
  <c r="D13064" i="1"/>
  <c r="C13064" i="1"/>
  <c r="B13064" i="1"/>
  <c r="A13064" i="1"/>
  <c r="F13063" i="1"/>
  <c r="E13063" i="1"/>
  <c r="D13063" i="1"/>
  <c r="C13063" i="1"/>
  <c r="B13063" i="1"/>
  <c r="A13063" i="1"/>
  <c r="F13062" i="1"/>
  <c r="E13062" i="1"/>
  <c r="D13062" i="1"/>
  <c r="C13062" i="1"/>
  <c r="B13062" i="1"/>
  <c r="A13062" i="1"/>
  <c r="F13061" i="1"/>
  <c r="E13061" i="1"/>
  <c r="D13061" i="1"/>
  <c r="C13061" i="1"/>
  <c r="B13061" i="1"/>
  <c r="A13061" i="1"/>
  <c r="F13060" i="1"/>
  <c r="E13060" i="1"/>
  <c r="D13060" i="1"/>
  <c r="C13060" i="1"/>
  <c r="B13060" i="1"/>
  <c r="A13060" i="1"/>
  <c r="F13059" i="1"/>
  <c r="E13059" i="1"/>
  <c r="D13059" i="1"/>
  <c r="C13059" i="1"/>
  <c r="B13059" i="1"/>
  <c r="A13059" i="1"/>
  <c r="F13058" i="1"/>
  <c r="E13058" i="1"/>
  <c r="D13058" i="1"/>
  <c r="C13058" i="1"/>
  <c r="B13058" i="1"/>
  <c r="A13058" i="1"/>
  <c r="F13057" i="1"/>
  <c r="E13057" i="1"/>
  <c r="D13057" i="1"/>
  <c r="C13057" i="1"/>
  <c r="B13057" i="1"/>
  <c r="A13057" i="1"/>
  <c r="F13056" i="1"/>
  <c r="E13056" i="1"/>
  <c r="D13056" i="1"/>
  <c r="C13056" i="1"/>
  <c r="B13056" i="1"/>
  <c r="A13056" i="1"/>
  <c r="F13055" i="1"/>
  <c r="E13055" i="1"/>
  <c r="D13055" i="1"/>
  <c r="C13055" i="1"/>
  <c r="B13055" i="1"/>
  <c r="A13055" i="1"/>
  <c r="F13054" i="1"/>
  <c r="E13054" i="1"/>
  <c r="D13054" i="1"/>
  <c r="C13054" i="1"/>
  <c r="B13054" i="1"/>
  <c r="A13054" i="1"/>
  <c r="F13053" i="1"/>
  <c r="E13053" i="1"/>
  <c r="D13053" i="1"/>
  <c r="C13053" i="1"/>
  <c r="B13053" i="1"/>
  <c r="A13053" i="1"/>
  <c r="F13052" i="1"/>
  <c r="E13052" i="1"/>
  <c r="D13052" i="1"/>
  <c r="C13052" i="1"/>
  <c r="B13052" i="1"/>
  <c r="A13052" i="1"/>
  <c r="F13051" i="1"/>
  <c r="E13051" i="1"/>
  <c r="D13051" i="1"/>
  <c r="C13051" i="1"/>
  <c r="B13051" i="1"/>
  <c r="A13051" i="1"/>
  <c r="F13050" i="1"/>
  <c r="E13050" i="1"/>
  <c r="D13050" i="1"/>
  <c r="C13050" i="1"/>
  <c r="B13050" i="1"/>
  <c r="A13050" i="1"/>
  <c r="F13049" i="1"/>
  <c r="E13049" i="1"/>
  <c r="D13049" i="1"/>
  <c r="C13049" i="1"/>
  <c r="B13049" i="1"/>
  <c r="A13049" i="1"/>
  <c r="F13048" i="1"/>
  <c r="E13048" i="1"/>
  <c r="D13048" i="1"/>
  <c r="C13048" i="1"/>
  <c r="B13048" i="1"/>
  <c r="A13048" i="1"/>
  <c r="F13047" i="1"/>
  <c r="E13047" i="1"/>
  <c r="D13047" i="1"/>
  <c r="C13047" i="1"/>
  <c r="B13047" i="1"/>
  <c r="A13047" i="1"/>
  <c r="F13046" i="1"/>
  <c r="E13046" i="1"/>
  <c r="D13046" i="1"/>
  <c r="C13046" i="1"/>
  <c r="B13046" i="1"/>
  <c r="A13046" i="1"/>
  <c r="F13045" i="1"/>
  <c r="E13045" i="1"/>
  <c r="D13045" i="1"/>
  <c r="C13045" i="1"/>
  <c r="B13045" i="1"/>
  <c r="A13045" i="1"/>
  <c r="F13044" i="1"/>
  <c r="E13044" i="1"/>
  <c r="D13044" i="1"/>
  <c r="C13044" i="1"/>
  <c r="B13044" i="1"/>
  <c r="A13044" i="1"/>
  <c r="F13043" i="1"/>
  <c r="E13043" i="1"/>
  <c r="D13043" i="1"/>
  <c r="C13043" i="1"/>
  <c r="B13043" i="1"/>
  <c r="A13043" i="1"/>
  <c r="F13042" i="1"/>
  <c r="E13042" i="1"/>
  <c r="D13042" i="1"/>
  <c r="C13042" i="1"/>
  <c r="B13042" i="1"/>
  <c r="A13042" i="1"/>
  <c r="F13041" i="1"/>
  <c r="E13041" i="1"/>
  <c r="D13041" i="1"/>
  <c r="C13041" i="1"/>
  <c r="B13041" i="1"/>
  <c r="A13041" i="1"/>
  <c r="F13040" i="1"/>
  <c r="E13040" i="1"/>
  <c r="D13040" i="1"/>
  <c r="C13040" i="1"/>
  <c r="B13040" i="1"/>
  <c r="A13040" i="1"/>
  <c r="F13039" i="1"/>
  <c r="E13039" i="1"/>
  <c r="D13039" i="1"/>
  <c r="C13039" i="1"/>
  <c r="B13039" i="1"/>
  <c r="A13039" i="1"/>
  <c r="F13038" i="1"/>
  <c r="E13038" i="1"/>
  <c r="D13038" i="1"/>
  <c r="C13038" i="1"/>
  <c r="B13038" i="1"/>
  <c r="A13038" i="1"/>
  <c r="F13037" i="1"/>
  <c r="E13037" i="1"/>
  <c r="D13037" i="1"/>
  <c r="C13037" i="1"/>
  <c r="B13037" i="1"/>
  <c r="A13037" i="1"/>
  <c r="F13036" i="1"/>
  <c r="E13036" i="1"/>
  <c r="D13036" i="1"/>
  <c r="C13036" i="1"/>
  <c r="B13036" i="1"/>
  <c r="A13036" i="1"/>
  <c r="F13035" i="1"/>
  <c r="E13035" i="1"/>
  <c r="D13035" i="1"/>
  <c r="C13035" i="1"/>
  <c r="B13035" i="1"/>
  <c r="A13035" i="1"/>
  <c r="F13034" i="1"/>
  <c r="E13034" i="1"/>
  <c r="D13034" i="1"/>
  <c r="C13034" i="1"/>
  <c r="B13034" i="1"/>
  <c r="A13034" i="1"/>
  <c r="F13033" i="1"/>
  <c r="E13033" i="1"/>
  <c r="D13033" i="1"/>
  <c r="C13033" i="1"/>
  <c r="B13033" i="1"/>
  <c r="A13033" i="1"/>
  <c r="F13032" i="1"/>
  <c r="E13032" i="1"/>
  <c r="D13032" i="1"/>
  <c r="C13032" i="1"/>
  <c r="B13032" i="1"/>
  <c r="A13032" i="1"/>
  <c r="F13031" i="1"/>
  <c r="E13031" i="1"/>
  <c r="D13031" i="1"/>
  <c r="C13031" i="1"/>
  <c r="B13031" i="1"/>
  <c r="A13031" i="1"/>
  <c r="F13030" i="1"/>
  <c r="E13030" i="1"/>
  <c r="D13030" i="1"/>
  <c r="C13030" i="1"/>
  <c r="B13030" i="1"/>
  <c r="A13030" i="1"/>
  <c r="F13029" i="1"/>
  <c r="E13029" i="1"/>
  <c r="D13029" i="1"/>
  <c r="C13029" i="1"/>
  <c r="B13029" i="1"/>
  <c r="A13029" i="1"/>
  <c r="F13028" i="1"/>
  <c r="E13028" i="1"/>
  <c r="D13028" i="1"/>
  <c r="C13028" i="1"/>
  <c r="B13028" i="1"/>
  <c r="A13028" i="1"/>
  <c r="F13027" i="1"/>
  <c r="E13027" i="1"/>
  <c r="D13027" i="1"/>
  <c r="C13027" i="1"/>
  <c r="B13027" i="1"/>
  <c r="A13027" i="1"/>
  <c r="F13026" i="1"/>
  <c r="E13026" i="1"/>
  <c r="D13026" i="1"/>
  <c r="C13026" i="1"/>
  <c r="B13026" i="1"/>
  <c r="A13026" i="1"/>
  <c r="F13025" i="1"/>
  <c r="E13025" i="1"/>
  <c r="D13025" i="1"/>
  <c r="C13025" i="1"/>
  <c r="B13025" i="1"/>
  <c r="A13025" i="1"/>
  <c r="F13024" i="1"/>
  <c r="E13024" i="1"/>
  <c r="D13024" i="1"/>
  <c r="C13024" i="1"/>
  <c r="B13024" i="1"/>
  <c r="A13024" i="1"/>
  <c r="F13023" i="1"/>
  <c r="E13023" i="1"/>
  <c r="D13023" i="1"/>
  <c r="C13023" i="1"/>
  <c r="B13023" i="1"/>
  <c r="A13023" i="1"/>
  <c r="F13022" i="1"/>
  <c r="E13022" i="1"/>
  <c r="D13022" i="1"/>
  <c r="C13022" i="1"/>
  <c r="B13022" i="1"/>
  <c r="A13022" i="1"/>
  <c r="F13021" i="1"/>
  <c r="E13021" i="1"/>
  <c r="D13021" i="1"/>
  <c r="C13021" i="1"/>
  <c r="B13021" i="1"/>
  <c r="A13021" i="1"/>
  <c r="F13020" i="1"/>
  <c r="E13020" i="1"/>
  <c r="D13020" i="1"/>
  <c r="C13020" i="1"/>
  <c r="B13020" i="1"/>
  <c r="A13020" i="1"/>
  <c r="F13019" i="1"/>
  <c r="E13019" i="1"/>
  <c r="D13019" i="1"/>
  <c r="C13019" i="1"/>
  <c r="B13019" i="1"/>
  <c r="A13019" i="1"/>
  <c r="F13018" i="1"/>
  <c r="E13018" i="1"/>
  <c r="D13018" i="1"/>
  <c r="C13018" i="1"/>
  <c r="B13018" i="1"/>
  <c r="A13018" i="1"/>
  <c r="F13017" i="1"/>
  <c r="E13017" i="1"/>
  <c r="D13017" i="1"/>
  <c r="C13017" i="1"/>
  <c r="B13017" i="1"/>
  <c r="A13017" i="1"/>
  <c r="F13016" i="1"/>
  <c r="E13016" i="1"/>
  <c r="D13016" i="1"/>
  <c r="C13016" i="1"/>
  <c r="B13016" i="1"/>
  <c r="A13016" i="1"/>
  <c r="F13015" i="1"/>
  <c r="E13015" i="1"/>
  <c r="D13015" i="1"/>
  <c r="C13015" i="1"/>
  <c r="B13015" i="1"/>
  <c r="A13015" i="1"/>
  <c r="F13014" i="1"/>
  <c r="E13014" i="1"/>
  <c r="D13014" i="1"/>
  <c r="C13014" i="1"/>
  <c r="B13014" i="1"/>
  <c r="A13014" i="1"/>
  <c r="F13013" i="1"/>
  <c r="E13013" i="1"/>
  <c r="D13013" i="1"/>
  <c r="C13013" i="1"/>
  <c r="B13013" i="1"/>
  <c r="A13013" i="1"/>
  <c r="F13012" i="1"/>
  <c r="E13012" i="1"/>
  <c r="D13012" i="1"/>
  <c r="C13012" i="1"/>
  <c r="B13012" i="1"/>
  <c r="A13012" i="1"/>
  <c r="F13011" i="1"/>
  <c r="E13011" i="1"/>
  <c r="D13011" i="1"/>
  <c r="C13011" i="1"/>
  <c r="B13011" i="1"/>
  <c r="A13011" i="1"/>
  <c r="F13010" i="1"/>
  <c r="E13010" i="1"/>
  <c r="D13010" i="1"/>
  <c r="C13010" i="1"/>
  <c r="B13010" i="1"/>
  <c r="A13010" i="1"/>
  <c r="F13009" i="1"/>
  <c r="E13009" i="1"/>
  <c r="D13009" i="1"/>
  <c r="C13009" i="1"/>
  <c r="B13009" i="1"/>
  <c r="A13009" i="1"/>
  <c r="F13008" i="1"/>
  <c r="E13008" i="1"/>
  <c r="D13008" i="1"/>
  <c r="C13008" i="1"/>
  <c r="B13008" i="1"/>
  <c r="A13008" i="1"/>
  <c r="F13007" i="1"/>
  <c r="E13007" i="1"/>
  <c r="D13007" i="1"/>
  <c r="C13007" i="1"/>
  <c r="B13007" i="1"/>
  <c r="A13007" i="1"/>
  <c r="F13006" i="1"/>
  <c r="E13006" i="1"/>
  <c r="D13006" i="1"/>
  <c r="C13006" i="1"/>
  <c r="B13006" i="1"/>
  <c r="A13006" i="1"/>
  <c r="F13005" i="1"/>
  <c r="E13005" i="1"/>
  <c r="D13005" i="1"/>
  <c r="C13005" i="1"/>
  <c r="B13005" i="1"/>
  <c r="A13005" i="1"/>
  <c r="F13004" i="1"/>
  <c r="E13004" i="1"/>
  <c r="D13004" i="1"/>
  <c r="C13004" i="1"/>
  <c r="B13004" i="1"/>
  <c r="A13004" i="1"/>
  <c r="F13003" i="1"/>
  <c r="E13003" i="1"/>
  <c r="D13003" i="1"/>
  <c r="C13003" i="1"/>
  <c r="B13003" i="1"/>
  <c r="A13003" i="1"/>
  <c r="F13002" i="1"/>
  <c r="E13002" i="1"/>
  <c r="D13002" i="1"/>
  <c r="C13002" i="1"/>
  <c r="B13002" i="1"/>
  <c r="A13002" i="1"/>
  <c r="F13001" i="1"/>
  <c r="E13001" i="1"/>
  <c r="D13001" i="1"/>
  <c r="C13001" i="1"/>
  <c r="B13001" i="1"/>
  <c r="A13001" i="1"/>
  <c r="F13000" i="1"/>
  <c r="E13000" i="1"/>
  <c r="D13000" i="1"/>
  <c r="C13000" i="1"/>
  <c r="B13000" i="1"/>
  <c r="A13000" i="1"/>
  <c r="F12999" i="1"/>
  <c r="E12999" i="1"/>
  <c r="D12999" i="1"/>
  <c r="C12999" i="1"/>
  <c r="B12999" i="1"/>
  <c r="A12999" i="1"/>
  <c r="F12998" i="1"/>
  <c r="E12998" i="1"/>
  <c r="D12998" i="1"/>
  <c r="C12998" i="1"/>
  <c r="B12998" i="1"/>
  <c r="A12998" i="1"/>
  <c r="F12997" i="1"/>
  <c r="E12997" i="1"/>
  <c r="D12997" i="1"/>
  <c r="C12997" i="1"/>
  <c r="B12997" i="1"/>
  <c r="A12997" i="1"/>
  <c r="F12996" i="1"/>
  <c r="E12996" i="1"/>
  <c r="D12996" i="1"/>
  <c r="C12996" i="1"/>
  <c r="B12996" i="1"/>
  <c r="A12996" i="1"/>
  <c r="F12995" i="1"/>
  <c r="E12995" i="1"/>
  <c r="D12995" i="1"/>
  <c r="C12995" i="1"/>
  <c r="B12995" i="1"/>
  <c r="A12995" i="1"/>
  <c r="F12994" i="1"/>
  <c r="E12994" i="1"/>
  <c r="D12994" i="1"/>
  <c r="C12994" i="1"/>
  <c r="B12994" i="1"/>
  <c r="A12994" i="1"/>
  <c r="F12993" i="1"/>
  <c r="E12993" i="1"/>
  <c r="D12993" i="1"/>
  <c r="C12993" i="1"/>
  <c r="B12993" i="1"/>
  <c r="A12993" i="1"/>
  <c r="F12992" i="1"/>
  <c r="E12992" i="1"/>
  <c r="D12992" i="1"/>
  <c r="C12992" i="1"/>
  <c r="B12992" i="1"/>
  <c r="A12992" i="1"/>
  <c r="F12991" i="1"/>
  <c r="E12991" i="1"/>
  <c r="D12991" i="1"/>
  <c r="C12991" i="1"/>
  <c r="B12991" i="1"/>
  <c r="A12991" i="1"/>
  <c r="F12990" i="1"/>
  <c r="E12990" i="1"/>
  <c r="D12990" i="1"/>
  <c r="C12990" i="1"/>
  <c r="B12990" i="1"/>
  <c r="A12990" i="1"/>
  <c r="F12989" i="1"/>
  <c r="E12989" i="1"/>
  <c r="D12989" i="1"/>
  <c r="C12989" i="1"/>
  <c r="B12989" i="1"/>
  <c r="A12989" i="1"/>
  <c r="F12988" i="1"/>
  <c r="E12988" i="1"/>
  <c r="D12988" i="1"/>
  <c r="C12988" i="1"/>
  <c r="B12988" i="1"/>
  <c r="A12988" i="1"/>
  <c r="F12987" i="1"/>
  <c r="E12987" i="1"/>
  <c r="D12987" i="1"/>
  <c r="C12987" i="1"/>
  <c r="B12987" i="1"/>
  <c r="A12987" i="1"/>
  <c r="F12986" i="1"/>
  <c r="E12986" i="1"/>
  <c r="D12986" i="1"/>
  <c r="C12986" i="1"/>
  <c r="B12986" i="1"/>
  <c r="A12986" i="1"/>
  <c r="F12985" i="1"/>
  <c r="E12985" i="1"/>
  <c r="D12985" i="1"/>
  <c r="C12985" i="1"/>
  <c r="B12985" i="1"/>
  <c r="A12985" i="1"/>
  <c r="F12984" i="1"/>
  <c r="E12984" i="1"/>
  <c r="D12984" i="1"/>
  <c r="C12984" i="1"/>
  <c r="B12984" i="1"/>
  <c r="A12984" i="1"/>
  <c r="F12983" i="1"/>
  <c r="E12983" i="1"/>
  <c r="D12983" i="1"/>
  <c r="C12983" i="1"/>
  <c r="B12983" i="1"/>
  <c r="A12983" i="1"/>
  <c r="F12982" i="1"/>
  <c r="E12982" i="1"/>
  <c r="D12982" i="1"/>
  <c r="C12982" i="1"/>
  <c r="B12982" i="1"/>
  <c r="A12982" i="1"/>
  <c r="F12981" i="1"/>
  <c r="E12981" i="1"/>
  <c r="D12981" i="1"/>
  <c r="C12981" i="1"/>
  <c r="B12981" i="1"/>
  <c r="A12981" i="1"/>
  <c r="F12980" i="1"/>
  <c r="E12980" i="1"/>
  <c r="D12980" i="1"/>
  <c r="C12980" i="1"/>
  <c r="B12980" i="1"/>
  <c r="A12980" i="1"/>
  <c r="F12979" i="1"/>
  <c r="E12979" i="1"/>
  <c r="D12979" i="1"/>
  <c r="C12979" i="1"/>
  <c r="B12979" i="1"/>
  <c r="A12979" i="1"/>
  <c r="F12978" i="1"/>
  <c r="E12978" i="1"/>
  <c r="D12978" i="1"/>
  <c r="C12978" i="1"/>
  <c r="B12978" i="1"/>
  <c r="A12978" i="1"/>
  <c r="F12977" i="1"/>
  <c r="E12977" i="1"/>
  <c r="D12977" i="1"/>
  <c r="C12977" i="1"/>
  <c r="B12977" i="1"/>
  <c r="A12977" i="1"/>
  <c r="F12976" i="1"/>
  <c r="E12976" i="1"/>
  <c r="D12976" i="1"/>
  <c r="C12976" i="1"/>
  <c r="B12976" i="1"/>
  <c r="A12976" i="1"/>
  <c r="F12975" i="1"/>
  <c r="E12975" i="1"/>
  <c r="D12975" i="1"/>
  <c r="C12975" i="1"/>
  <c r="B12975" i="1"/>
  <c r="A12975" i="1"/>
  <c r="F12974" i="1"/>
  <c r="E12974" i="1"/>
  <c r="D12974" i="1"/>
  <c r="C12974" i="1"/>
  <c r="B12974" i="1"/>
  <c r="A12974" i="1"/>
  <c r="F12973" i="1"/>
  <c r="E12973" i="1"/>
  <c r="D12973" i="1"/>
  <c r="C12973" i="1"/>
  <c r="B12973" i="1"/>
  <c r="A12973" i="1"/>
  <c r="F12972" i="1"/>
  <c r="E12972" i="1"/>
  <c r="D12972" i="1"/>
  <c r="C12972" i="1"/>
  <c r="B12972" i="1"/>
  <c r="A12972" i="1"/>
  <c r="F12971" i="1"/>
  <c r="E12971" i="1"/>
  <c r="D12971" i="1"/>
  <c r="C12971" i="1"/>
  <c r="B12971" i="1"/>
  <c r="A12971" i="1"/>
  <c r="F12970" i="1"/>
  <c r="E12970" i="1"/>
  <c r="D12970" i="1"/>
  <c r="C12970" i="1"/>
  <c r="B12970" i="1"/>
  <c r="A12970" i="1"/>
  <c r="F12969" i="1"/>
  <c r="E12969" i="1"/>
  <c r="D12969" i="1"/>
  <c r="C12969" i="1"/>
  <c r="B12969" i="1"/>
  <c r="A12969" i="1"/>
  <c r="F12968" i="1"/>
  <c r="E12968" i="1"/>
  <c r="D12968" i="1"/>
  <c r="C12968" i="1"/>
  <c r="B12968" i="1"/>
  <c r="A12968" i="1"/>
  <c r="F12967" i="1"/>
  <c r="E12967" i="1"/>
  <c r="D12967" i="1"/>
  <c r="C12967" i="1"/>
  <c r="B12967" i="1"/>
  <c r="A12967" i="1"/>
  <c r="F12966" i="1"/>
  <c r="E12966" i="1"/>
  <c r="D12966" i="1"/>
  <c r="C12966" i="1"/>
  <c r="B12966" i="1"/>
  <c r="A12966" i="1"/>
  <c r="F12965" i="1"/>
  <c r="E12965" i="1"/>
  <c r="D12965" i="1"/>
  <c r="C12965" i="1"/>
  <c r="B12965" i="1"/>
  <c r="A12965" i="1"/>
  <c r="F12964" i="1"/>
  <c r="E12964" i="1"/>
  <c r="D12964" i="1"/>
  <c r="C12964" i="1"/>
  <c r="B12964" i="1"/>
  <c r="A12964" i="1"/>
  <c r="F12963" i="1"/>
  <c r="E12963" i="1"/>
  <c r="D12963" i="1"/>
  <c r="C12963" i="1"/>
  <c r="B12963" i="1"/>
  <c r="A12963" i="1"/>
  <c r="F12962" i="1"/>
  <c r="E12962" i="1"/>
  <c r="D12962" i="1"/>
  <c r="C12962" i="1"/>
  <c r="B12962" i="1"/>
  <c r="A12962" i="1"/>
  <c r="F12961" i="1"/>
  <c r="E12961" i="1"/>
  <c r="D12961" i="1"/>
  <c r="C12961" i="1"/>
  <c r="B12961" i="1"/>
  <c r="A12961" i="1"/>
  <c r="F12960" i="1"/>
  <c r="E12960" i="1"/>
  <c r="D12960" i="1"/>
  <c r="C12960" i="1"/>
  <c r="B12960" i="1"/>
  <c r="A12960" i="1"/>
  <c r="F12959" i="1"/>
  <c r="E12959" i="1"/>
  <c r="D12959" i="1"/>
  <c r="C12959" i="1"/>
  <c r="B12959" i="1"/>
  <c r="A12959" i="1"/>
  <c r="F12958" i="1"/>
  <c r="E12958" i="1"/>
  <c r="D12958" i="1"/>
  <c r="C12958" i="1"/>
  <c r="B12958" i="1"/>
  <c r="A12958" i="1"/>
  <c r="F12957" i="1"/>
  <c r="E12957" i="1"/>
  <c r="D12957" i="1"/>
  <c r="C12957" i="1"/>
  <c r="B12957" i="1"/>
  <c r="A12957" i="1"/>
  <c r="F12956" i="1"/>
  <c r="E12956" i="1"/>
  <c r="D12956" i="1"/>
  <c r="C12956" i="1"/>
  <c r="B12956" i="1"/>
  <c r="A12956" i="1"/>
  <c r="F12955" i="1"/>
  <c r="E12955" i="1"/>
  <c r="D12955" i="1"/>
  <c r="C12955" i="1"/>
  <c r="B12955" i="1"/>
  <c r="A12955" i="1"/>
  <c r="F12954" i="1"/>
  <c r="E12954" i="1"/>
  <c r="D12954" i="1"/>
  <c r="C12954" i="1"/>
  <c r="B12954" i="1"/>
  <c r="A12954" i="1"/>
  <c r="F12953" i="1"/>
  <c r="E12953" i="1"/>
  <c r="D12953" i="1"/>
  <c r="C12953" i="1"/>
  <c r="B12953" i="1"/>
  <c r="A12953" i="1"/>
  <c r="F12952" i="1"/>
  <c r="E12952" i="1"/>
  <c r="D12952" i="1"/>
  <c r="C12952" i="1"/>
  <c r="B12952" i="1"/>
  <c r="A12952" i="1"/>
  <c r="F12951" i="1"/>
  <c r="E12951" i="1"/>
  <c r="D12951" i="1"/>
  <c r="C12951" i="1"/>
  <c r="B12951" i="1"/>
  <c r="A12951" i="1"/>
  <c r="F12950" i="1"/>
  <c r="E12950" i="1"/>
  <c r="D12950" i="1"/>
  <c r="C12950" i="1"/>
  <c r="B12950" i="1"/>
  <c r="A12950" i="1"/>
  <c r="F12949" i="1"/>
  <c r="E12949" i="1"/>
  <c r="D12949" i="1"/>
  <c r="C12949" i="1"/>
  <c r="B12949" i="1"/>
  <c r="A12949" i="1"/>
  <c r="F12948" i="1"/>
  <c r="E12948" i="1"/>
  <c r="D12948" i="1"/>
  <c r="C12948" i="1"/>
  <c r="B12948" i="1"/>
  <c r="A12948" i="1"/>
  <c r="F12947" i="1"/>
  <c r="E12947" i="1"/>
  <c r="D12947" i="1"/>
  <c r="C12947" i="1"/>
  <c r="B12947" i="1"/>
  <c r="A12947" i="1"/>
  <c r="F12946" i="1"/>
  <c r="E12946" i="1"/>
  <c r="D12946" i="1"/>
  <c r="C12946" i="1"/>
  <c r="B12946" i="1"/>
  <c r="A12946" i="1"/>
  <c r="F12945" i="1"/>
  <c r="E12945" i="1"/>
  <c r="D12945" i="1"/>
  <c r="C12945" i="1"/>
  <c r="B12945" i="1"/>
  <c r="A12945" i="1"/>
  <c r="F12944" i="1"/>
  <c r="E12944" i="1"/>
  <c r="D12944" i="1"/>
  <c r="C12944" i="1"/>
  <c r="B12944" i="1"/>
  <c r="A12944" i="1"/>
  <c r="F12943" i="1"/>
  <c r="E12943" i="1"/>
  <c r="D12943" i="1"/>
  <c r="C12943" i="1"/>
  <c r="B12943" i="1"/>
  <c r="A12943" i="1"/>
  <c r="F12942" i="1"/>
  <c r="E12942" i="1"/>
  <c r="D12942" i="1"/>
  <c r="C12942" i="1"/>
  <c r="B12942" i="1"/>
  <c r="A12942" i="1"/>
  <c r="F12941" i="1"/>
  <c r="E12941" i="1"/>
  <c r="D12941" i="1"/>
  <c r="C12941" i="1"/>
  <c r="B12941" i="1"/>
  <c r="A12941" i="1"/>
  <c r="F12940" i="1"/>
  <c r="E12940" i="1"/>
  <c r="D12940" i="1"/>
  <c r="C12940" i="1"/>
  <c r="B12940" i="1"/>
  <c r="A12940" i="1"/>
  <c r="F12939" i="1"/>
  <c r="E12939" i="1"/>
  <c r="D12939" i="1"/>
  <c r="C12939" i="1"/>
  <c r="B12939" i="1"/>
  <c r="A12939" i="1"/>
  <c r="F12938" i="1"/>
  <c r="E12938" i="1"/>
  <c r="D12938" i="1"/>
  <c r="C12938" i="1"/>
  <c r="B12938" i="1"/>
  <c r="A12938" i="1"/>
  <c r="F12937" i="1"/>
  <c r="E12937" i="1"/>
  <c r="D12937" i="1"/>
  <c r="C12937" i="1"/>
  <c r="B12937" i="1"/>
  <c r="A12937" i="1"/>
  <c r="F12936" i="1"/>
  <c r="E12936" i="1"/>
  <c r="D12936" i="1"/>
  <c r="C12936" i="1"/>
  <c r="B12936" i="1"/>
  <c r="A12936" i="1"/>
  <c r="F12935" i="1"/>
  <c r="E12935" i="1"/>
  <c r="D12935" i="1"/>
  <c r="C12935" i="1"/>
  <c r="B12935" i="1"/>
  <c r="A12935" i="1"/>
  <c r="F12934" i="1"/>
  <c r="E12934" i="1"/>
  <c r="D12934" i="1"/>
  <c r="C12934" i="1"/>
  <c r="B12934" i="1"/>
  <c r="A12934" i="1"/>
  <c r="F12933" i="1"/>
  <c r="E12933" i="1"/>
  <c r="D12933" i="1"/>
  <c r="C12933" i="1"/>
  <c r="B12933" i="1"/>
  <c r="A12933" i="1"/>
  <c r="F12932" i="1"/>
  <c r="E12932" i="1"/>
  <c r="D12932" i="1"/>
  <c r="C12932" i="1"/>
  <c r="B12932" i="1"/>
  <c r="A12932" i="1"/>
  <c r="F12931" i="1"/>
  <c r="E12931" i="1"/>
  <c r="D12931" i="1"/>
  <c r="C12931" i="1"/>
  <c r="B12931" i="1"/>
  <c r="A12931" i="1"/>
  <c r="F12930" i="1"/>
  <c r="E12930" i="1"/>
  <c r="D12930" i="1"/>
  <c r="C12930" i="1"/>
  <c r="B12930" i="1"/>
  <c r="A12930" i="1"/>
  <c r="F12929" i="1"/>
  <c r="E12929" i="1"/>
  <c r="D12929" i="1"/>
  <c r="C12929" i="1"/>
  <c r="B12929" i="1"/>
  <c r="A12929" i="1"/>
  <c r="F12928" i="1"/>
  <c r="E12928" i="1"/>
  <c r="D12928" i="1"/>
  <c r="C12928" i="1"/>
  <c r="B12928" i="1"/>
  <c r="A12928" i="1"/>
  <c r="F12927" i="1"/>
  <c r="E12927" i="1"/>
  <c r="D12927" i="1"/>
  <c r="C12927" i="1"/>
  <c r="B12927" i="1"/>
  <c r="A12927" i="1"/>
  <c r="F12926" i="1"/>
  <c r="E12926" i="1"/>
  <c r="D12926" i="1"/>
  <c r="C12926" i="1"/>
  <c r="B12926" i="1"/>
  <c r="A12926" i="1"/>
  <c r="F12925" i="1"/>
  <c r="E12925" i="1"/>
  <c r="D12925" i="1"/>
  <c r="C12925" i="1"/>
  <c r="B12925" i="1"/>
  <c r="A12925" i="1"/>
  <c r="F12924" i="1"/>
  <c r="E12924" i="1"/>
  <c r="D12924" i="1"/>
  <c r="C12924" i="1"/>
  <c r="B12924" i="1"/>
  <c r="A12924" i="1"/>
  <c r="F12923" i="1"/>
  <c r="E12923" i="1"/>
  <c r="D12923" i="1"/>
  <c r="C12923" i="1"/>
  <c r="B12923" i="1"/>
  <c r="A12923" i="1"/>
  <c r="F12922" i="1"/>
  <c r="E12922" i="1"/>
  <c r="D12922" i="1"/>
  <c r="C12922" i="1"/>
  <c r="B12922" i="1"/>
  <c r="A12922" i="1"/>
  <c r="F12921" i="1"/>
  <c r="E12921" i="1"/>
  <c r="D12921" i="1"/>
  <c r="C12921" i="1"/>
  <c r="B12921" i="1"/>
  <c r="A12921" i="1"/>
  <c r="F12920" i="1"/>
  <c r="E12920" i="1"/>
  <c r="D12920" i="1"/>
  <c r="C12920" i="1"/>
  <c r="B12920" i="1"/>
  <c r="A12920" i="1"/>
  <c r="F12919" i="1"/>
  <c r="E12919" i="1"/>
  <c r="D12919" i="1"/>
  <c r="C12919" i="1"/>
  <c r="B12919" i="1"/>
  <c r="A12919" i="1"/>
  <c r="F12918" i="1"/>
  <c r="E12918" i="1"/>
  <c r="D12918" i="1"/>
  <c r="C12918" i="1"/>
  <c r="B12918" i="1"/>
  <c r="A12918" i="1"/>
  <c r="F12917" i="1"/>
  <c r="E12917" i="1"/>
  <c r="D12917" i="1"/>
  <c r="C12917" i="1"/>
  <c r="B12917" i="1"/>
  <c r="A12917" i="1"/>
  <c r="F12916" i="1"/>
  <c r="E12916" i="1"/>
  <c r="D12916" i="1"/>
  <c r="C12916" i="1"/>
  <c r="B12916" i="1"/>
  <c r="A12916" i="1"/>
  <c r="F12915" i="1"/>
  <c r="E12915" i="1"/>
  <c r="D12915" i="1"/>
  <c r="C12915" i="1"/>
  <c r="B12915" i="1"/>
  <c r="A12915" i="1"/>
  <c r="F12914" i="1"/>
  <c r="E12914" i="1"/>
  <c r="D12914" i="1"/>
  <c r="C12914" i="1"/>
  <c r="B12914" i="1"/>
  <c r="A12914" i="1"/>
  <c r="F12913" i="1"/>
  <c r="E12913" i="1"/>
  <c r="D12913" i="1"/>
  <c r="C12913" i="1"/>
  <c r="B12913" i="1"/>
  <c r="A12913" i="1"/>
  <c r="F12912" i="1"/>
  <c r="E12912" i="1"/>
  <c r="D12912" i="1"/>
  <c r="C12912" i="1"/>
  <c r="B12912" i="1"/>
  <c r="A12912" i="1"/>
  <c r="F12911" i="1"/>
  <c r="E12911" i="1"/>
  <c r="D12911" i="1"/>
  <c r="C12911" i="1"/>
  <c r="B12911" i="1"/>
  <c r="A12911" i="1"/>
  <c r="F12910" i="1"/>
  <c r="E12910" i="1"/>
  <c r="D12910" i="1"/>
  <c r="C12910" i="1"/>
  <c r="B12910" i="1"/>
  <c r="A12910" i="1"/>
  <c r="F12909" i="1"/>
  <c r="E12909" i="1"/>
  <c r="D12909" i="1"/>
  <c r="C12909" i="1"/>
  <c r="B12909" i="1"/>
  <c r="A12909" i="1"/>
  <c r="F12908" i="1"/>
  <c r="E12908" i="1"/>
  <c r="D12908" i="1"/>
  <c r="C12908" i="1"/>
  <c r="B12908" i="1"/>
  <c r="A12908" i="1"/>
  <c r="F12907" i="1"/>
  <c r="E12907" i="1"/>
  <c r="D12907" i="1"/>
  <c r="C12907" i="1"/>
  <c r="B12907" i="1"/>
  <c r="A12907" i="1"/>
  <c r="F12906" i="1"/>
  <c r="E12906" i="1"/>
  <c r="D12906" i="1"/>
  <c r="C12906" i="1"/>
  <c r="B12906" i="1"/>
  <c r="A12906" i="1"/>
  <c r="F12905" i="1"/>
  <c r="E12905" i="1"/>
  <c r="D12905" i="1"/>
  <c r="C12905" i="1"/>
  <c r="B12905" i="1"/>
  <c r="A12905" i="1"/>
  <c r="F12904" i="1"/>
  <c r="E12904" i="1"/>
  <c r="D12904" i="1"/>
  <c r="C12904" i="1"/>
  <c r="B12904" i="1"/>
  <c r="A12904" i="1"/>
  <c r="F12903" i="1"/>
  <c r="E12903" i="1"/>
  <c r="D12903" i="1"/>
  <c r="C12903" i="1"/>
  <c r="B12903" i="1"/>
  <c r="A12903" i="1"/>
  <c r="F12902" i="1"/>
  <c r="E12902" i="1"/>
  <c r="D12902" i="1"/>
  <c r="C12902" i="1"/>
  <c r="B12902" i="1"/>
  <c r="A12902" i="1"/>
  <c r="F12901" i="1"/>
  <c r="E12901" i="1"/>
  <c r="D12901" i="1"/>
  <c r="C12901" i="1"/>
  <c r="B12901" i="1"/>
  <c r="A12901" i="1"/>
  <c r="F12900" i="1"/>
  <c r="E12900" i="1"/>
  <c r="D12900" i="1"/>
  <c r="C12900" i="1"/>
  <c r="B12900" i="1"/>
  <c r="A12900" i="1"/>
  <c r="F12899" i="1"/>
  <c r="E12899" i="1"/>
  <c r="D12899" i="1"/>
  <c r="C12899" i="1"/>
  <c r="B12899" i="1"/>
  <c r="A12899" i="1"/>
  <c r="F12898" i="1"/>
  <c r="E12898" i="1"/>
  <c r="D12898" i="1"/>
  <c r="C12898" i="1"/>
  <c r="B12898" i="1"/>
  <c r="A12898" i="1"/>
  <c r="F12897" i="1"/>
  <c r="E12897" i="1"/>
  <c r="D12897" i="1"/>
  <c r="C12897" i="1"/>
  <c r="B12897" i="1"/>
  <c r="A12897" i="1"/>
  <c r="F12896" i="1"/>
  <c r="E12896" i="1"/>
  <c r="D12896" i="1"/>
  <c r="C12896" i="1"/>
  <c r="B12896" i="1"/>
  <c r="A12896" i="1"/>
  <c r="F12895" i="1"/>
  <c r="E12895" i="1"/>
  <c r="D12895" i="1"/>
  <c r="C12895" i="1"/>
  <c r="B12895" i="1"/>
  <c r="A12895" i="1"/>
  <c r="F12894" i="1"/>
  <c r="E12894" i="1"/>
  <c r="D12894" i="1"/>
  <c r="C12894" i="1"/>
  <c r="B12894" i="1"/>
  <c r="A12894" i="1"/>
  <c r="F12893" i="1"/>
  <c r="E12893" i="1"/>
  <c r="D12893" i="1"/>
  <c r="C12893" i="1"/>
  <c r="B12893" i="1"/>
  <c r="A12893" i="1"/>
  <c r="F12892" i="1"/>
  <c r="E12892" i="1"/>
  <c r="D12892" i="1"/>
  <c r="C12892" i="1"/>
  <c r="B12892" i="1"/>
  <c r="A12892" i="1"/>
  <c r="F12891" i="1"/>
  <c r="E12891" i="1"/>
  <c r="D12891" i="1"/>
  <c r="C12891" i="1"/>
  <c r="B12891" i="1"/>
  <c r="A12891" i="1"/>
  <c r="F12890" i="1"/>
  <c r="E12890" i="1"/>
  <c r="D12890" i="1"/>
  <c r="C12890" i="1"/>
  <c r="B12890" i="1"/>
  <c r="A12890" i="1"/>
  <c r="F12889" i="1"/>
  <c r="E12889" i="1"/>
  <c r="D12889" i="1"/>
  <c r="C12889" i="1"/>
  <c r="B12889" i="1"/>
  <c r="A12889" i="1"/>
  <c r="F12888" i="1"/>
  <c r="E12888" i="1"/>
  <c r="D12888" i="1"/>
  <c r="C12888" i="1"/>
  <c r="B12888" i="1"/>
  <c r="A12888" i="1"/>
  <c r="F12887" i="1"/>
  <c r="E12887" i="1"/>
  <c r="D12887" i="1"/>
  <c r="C12887" i="1"/>
  <c r="B12887" i="1"/>
  <c r="A12887" i="1"/>
  <c r="F12886" i="1"/>
  <c r="E12886" i="1"/>
  <c r="D12886" i="1"/>
  <c r="C12886" i="1"/>
  <c r="B12886" i="1"/>
  <c r="A12886" i="1"/>
  <c r="F12885" i="1"/>
  <c r="E12885" i="1"/>
  <c r="D12885" i="1"/>
  <c r="C12885" i="1"/>
  <c r="B12885" i="1"/>
  <c r="A12885" i="1"/>
  <c r="F12884" i="1"/>
  <c r="E12884" i="1"/>
  <c r="D12884" i="1"/>
  <c r="C12884" i="1"/>
  <c r="B12884" i="1"/>
  <c r="A12884" i="1"/>
  <c r="F12883" i="1"/>
  <c r="E12883" i="1"/>
  <c r="D12883" i="1"/>
  <c r="C12883" i="1"/>
  <c r="B12883" i="1"/>
  <c r="A12883" i="1"/>
  <c r="F12882" i="1"/>
  <c r="E12882" i="1"/>
  <c r="D12882" i="1"/>
  <c r="C12882" i="1"/>
  <c r="B12882" i="1"/>
  <c r="A12882" i="1"/>
  <c r="F12881" i="1"/>
  <c r="E12881" i="1"/>
  <c r="D12881" i="1"/>
  <c r="C12881" i="1"/>
  <c r="B12881" i="1"/>
  <c r="A12881" i="1"/>
  <c r="F12880" i="1"/>
  <c r="E12880" i="1"/>
  <c r="D12880" i="1"/>
  <c r="C12880" i="1"/>
  <c r="B12880" i="1"/>
  <c r="A12880" i="1"/>
  <c r="F12879" i="1"/>
  <c r="E12879" i="1"/>
  <c r="D12879" i="1"/>
  <c r="C12879" i="1"/>
  <c r="B12879" i="1"/>
  <c r="A12879" i="1"/>
  <c r="F12878" i="1"/>
  <c r="E12878" i="1"/>
  <c r="D12878" i="1"/>
  <c r="C12878" i="1"/>
  <c r="B12878" i="1"/>
  <c r="A12878" i="1"/>
  <c r="F12877" i="1"/>
  <c r="E12877" i="1"/>
  <c r="D12877" i="1"/>
  <c r="C12877" i="1"/>
  <c r="B12877" i="1"/>
  <c r="A12877" i="1"/>
  <c r="F12876" i="1"/>
  <c r="E12876" i="1"/>
  <c r="D12876" i="1"/>
  <c r="C12876" i="1"/>
  <c r="B12876" i="1"/>
  <c r="A12876" i="1"/>
  <c r="F12875" i="1"/>
  <c r="E12875" i="1"/>
  <c r="D12875" i="1"/>
  <c r="C12875" i="1"/>
  <c r="B12875" i="1"/>
  <c r="A12875" i="1"/>
  <c r="F12874" i="1"/>
  <c r="E12874" i="1"/>
  <c r="D12874" i="1"/>
  <c r="C12874" i="1"/>
  <c r="B12874" i="1"/>
  <c r="A12874" i="1"/>
  <c r="F12873" i="1"/>
  <c r="E12873" i="1"/>
  <c r="D12873" i="1"/>
  <c r="C12873" i="1"/>
  <c r="B12873" i="1"/>
  <c r="A12873" i="1"/>
  <c r="F12872" i="1"/>
  <c r="E12872" i="1"/>
  <c r="D12872" i="1"/>
  <c r="C12872" i="1"/>
  <c r="B12872" i="1"/>
  <c r="A12872" i="1"/>
  <c r="F12871" i="1"/>
  <c r="E12871" i="1"/>
  <c r="D12871" i="1"/>
  <c r="C12871" i="1"/>
  <c r="B12871" i="1"/>
  <c r="A12871" i="1"/>
  <c r="F12870" i="1"/>
  <c r="E12870" i="1"/>
  <c r="D12870" i="1"/>
  <c r="C12870" i="1"/>
  <c r="B12870" i="1"/>
  <c r="A12870" i="1"/>
  <c r="F12869" i="1"/>
  <c r="E12869" i="1"/>
  <c r="D12869" i="1"/>
  <c r="C12869" i="1"/>
  <c r="B12869" i="1"/>
  <c r="A12869" i="1"/>
  <c r="F12868" i="1"/>
  <c r="E12868" i="1"/>
  <c r="D12868" i="1"/>
  <c r="C12868" i="1"/>
  <c r="B12868" i="1"/>
  <c r="A12868" i="1"/>
  <c r="F12867" i="1"/>
  <c r="E12867" i="1"/>
  <c r="D12867" i="1"/>
  <c r="C12867" i="1"/>
  <c r="B12867" i="1"/>
  <c r="A12867" i="1"/>
  <c r="F12866" i="1"/>
  <c r="E12866" i="1"/>
  <c r="D12866" i="1"/>
  <c r="C12866" i="1"/>
  <c r="B12866" i="1"/>
  <c r="A12866" i="1"/>
  <c r="F12865" i="1"/>
  <c r="E12865" i="1"/>
  <c r="D12865" i="1"/>
  <c r="C12865" i="1"/>
  <c r="B12865" i="1"/>
  <c r="A12865" i="1"/>
  <c r="F12864" i="1"/>
  <c r="E12864" i="1"/>
  <c r="D12864" i="1"/>
  <c r="C12864" i="1"/>
  <c r="B12864" i="1"/>
  <c r="A12864" i="1"/>
  <c r="F12863" i="1"/>
  <c r="E12863" i="1"/>
  <c r="D12863" i="1"/>
  <c r="C12863" i="1"/>
  <c r="B12863" i="1"/>
  <c r="A12863" i="1"/>
  <c r="F12862" i="1"/>
  <c r="E12862" i="1"/>
  <c r="D12862" i="1"/>
  <c r="C12862" i="1"/>
  <c r="B12862" i="1"/>
  <c r="A12862" i="1"/>
  <c r="F12861" i="1"/>
  <c r="E12861" i="1"/>
  <c r="D12861" i="1"/>
  <c r="C12861" i="1"/>
  <c r="B12861" i="1"/>
  <c r="A12861" i="1"/>
  <c r="F12860" i="1"/>
  <c r="E12860" i="1"/>
  <c r="D12860" i="1"/>
  <c r="C12860" i="1"/>
  <c r="B12860" i="1"/>
  <c r="A12860" i="1"/>
  <c r="F12859" i="1"/>
  <c r="E12859" i="1"/>
  <c r="D12859" i="1"/>
  <c r="C12859" i="1"/>
  <c r="B12859" i="1"/>
  <c r="A12859" i="1"/>
  <c r="F12858" i="1"/>
  <c r="E12858" i="1"/>
  <c r="D12858" i="1"/>
  <c r="C12858" i="1"/>
  <c r="B12858" i="1"/>
  <c r="A12858" i="1"/>
  <c r="F12857" i="1"/>
  <c r="E12857" i="1"/>
  <c r="D12857" i="1"/>
  <c r="C12857" i="1"/>
  <c r="B12857" i="1"/>
  <c r="A12857" i="1"/>
  <c r="F12856" i="1"/>
  <c r="E12856" i="1"/>
  <c r="D12856" i="1"/>
  <c r="C12856" i="1"/>
  <c r="B12856" i="1"/>
  <c r="A12856" i="1"/>
  <c r="F12855" i="1"/>
  <c r="E12855" i="1"/>
  <c r="D12855" i="1"/>
  <c r="C12855" i="1"/>
  <c r="B12855" i="1"/>
  <c r="A12855" i="1"/>
  <c r="F12854" i="1"/>
  <c r="E12854" i="1"/>
  <c r="D12854" i="1"/>
  <c r="C12854" i="1"/>
  <c r="B12854" i="1"/>
  <c r="A12854" i="1"/>
  <c r="F12853" i="1"/>
  <c r="E12853" i="1"/>
  <c r="D12853" i="1"/>
  <c r="C12853" i="1"/>
  <c r="B12853" i="1"/>
  <c r="A12853" i="1"/>
  <c r="F12852" i="1"/>
  <c r="E12852" i="1"/>
  <c r="D12852" i="1"/>
  <c r="C12852" i="1"/>
  <c r="B12852" i="1"/>
  <c r="A12852" i="1"/>
  <c r="F12851" i="1"/>
  <c r="E12851" i="1"/>
  <c r="D12851" i="1"/>
  <c r="C12851" i="1"/>
  <c r="B12851" i="1"/>
  <c r="A12851" i="1"/>
  <c r="F12850" i="1"/>
  <c r="E12850" i="1"/>
  <c r="D12850" i="1"/>
  <c r="C12850" i="1"/>
  <c r="B12850" i="1"/>
  <c r="A12850" i="1"/>
  <c r="F12849" i="1"/>
  <c r="E12849" i="1"/>
  <c r="D12849" i="1"/>
  <c r="C12849" i="1"/>
  <c r="B12849" i="1"/>
  <c r="A12849" i="1"/>
  <c r="F12848" i="1"/>
  <c r="E12848" i="1"/>
  <c r="D12848" i="1"/>
  <c r="C12848" i="1"/>
  <c r="B12848" i="1"/>
  <c r="A12848" i="1"/>
  <c r="F12847" i="1"/>
  <c r="E12847" i="1"/>
  <c r="D12847" i="1"/>
  <c r="C12847" i="1"/>
  <c r="B12847" i="1"/>
  <c r="A12847" i="1"/>
  <c r="F12846" i="1"/>
  <c r="E12846" i="1"/>
  <c r="D12846" i="1"/>
  <c r="C12846" i="1"/>
  <c r="B12846" i="1"/>
  <c r="A12846" i="1"/>
  <c r="F12845" i="1"/>
  <c r="E12845" i="1"/>
  <c r="D12845" i="1"/>
  <c r="C12845" i="1"/>
  <c r="B12845" i="1"/>
  <c r="A12845" i="1"/>
  <c r="F12844" i="1"/>
  <c r="E12844" i="1"/>
  <c r="D12844" i="1"/>
  <c r="C12844" i="1"/>
  <c r="B12844" i="1"/>
  <c r="A12844" i="1"/>
  <c r="F12843" i="1"/>
  <c r="E12843" i="1"/>
  <c r="D12843" i="1"/>
  <c r="C12843" i="1"/>
  <c r="B12843" i="1"/>
  <c r="A12843" i="1"/>
  <c r="F12842" i="1"/>
  <c r="E12842" i="1"/>
  <c r="D12842" i="1"/>
  <c r="C12842" i="1"/>
  <c r="B12842" i="1"/>
  <c r="A12842" i="1"/>
  <c r="F12841" i="1"/>
  <c r="E12841" i="1"/>
  <c r="D12841" i="1"/>
  <c r="C12841" i="1"/>
  <c r="B12841" i="1"/>
  <c r="A12841" i="1"/>
  <c r="F12840" i="1"/>
  <c r="E12840" i="1"/>
  <c r="D12840" i="1"/>
  <c r="C12840" i="1"/>
  <c r="B12840" i="1"/>
  <c r="A12840" i="1"/>
  <c r="F12839" i="1"/>
  <c r="E12839" i="1"/>
  <c r="D12839" i="1"/>
  <c r="C12839" i="1"/>
  <c r="B12839" i="1"/>
  <c r="A12839" i="1"/>
  <c r="F12838" i="1"/>
  <c r="E12838" i="1"/>
  <c r="D12838" i="1"/>
  <c r="C12838" i="1"/>
  <c r="B12838" i="1"/>
  <c r="A12838" i="1"/>
  <c r="F12837" i="1"/>
  <c r="E12837" i="1"/>
  <c r="D12837" i="1"/>
  <c r="C12837" i="1"/>
  <c r="B12837" i="1"/>
  <c r="A12837" i="1"/>
  <c r="F12836" i="1"/>
  <c r="E12836" i="1"/>
  <c r="D12836" i="1"/>
  <c r="C12836" i="1"/>
  <c r="B12836" i="1"/>
  <c r="A12836" i="1"/>
  <c r="F12835" i="1"/>
  <c r="E12835" i="1"/>
  <c r="D12835" i="1"/>
  <c r="C12835" i="1"/>
  <c r="B12835" i="1"/>
  <c r="A12835" i="1"/>
  <c r="F12834" i="1"/>
  <c r="E12834" i="1"/>
  <c r="D12834" i="1"/>
  <c r="C12834" i="1"/>
  <c r="B12834" i="1"/>
  <c r="A12834" i="1"/>
  <c r="F12833" i="1"/>
  <c r="E12833" i="1"/>
  <c r="D12833" i="1"/>
  <c r="C12833" i="1"/>
  <c r="B12833" i="1"/>
  <c r="A12833" i="1"/>
  <c r="F12832" i="1"/>
  <c r="E12832" i="1"/>
  <c r="D12832" i="1"/>
  <c r="C12832" i="1"/>
  <c r="B12832" i="1"/>
  <c r="A12832" i="1"/>
  <c r="F12831" i="1"/>
  <c r="E12831" i="1"/>
  <c r="D12831" i="1"/>
  <c r="C12831" i="1"/>
  <c r="B12831" i="1"/>
  <c r="A12831" i="1"/>
  <c r="F12830" i="1"/>
  <c r="E12830" i="1"/>
  <c r="D12830" i="1"/>
  <c r="C12830" i="1"/>
  <c r="B12830" i="1"/>
  <c r="A12830" i="1"/>
  <c r="F12829" i="1"/>
  <c r="E12829" i="1"/>
  <c r="D12829" i="1"/>
  <c r="C12829" i="1"/>
  <c r="B12829" i="1"/>
  <c r="A12829" i="1"/>
  <c r="F12828" i="1"/>
  <c r="E12828" i="1"/>
  <c r="D12828" i="1"/>
  <c r="C12828" i="1"/>
  <c r="B12828" i="1"/>
  <c r="A12828" i="1"/>
  <c r="F12827" i="1"/>
  <c r="E12827" i="1"/>
  <c r="D12827" i="1"/>
  <c r="C12827" i="1"/>
  <c r="B12827" i="1"/>
  <c r="A12827" i="1"/>
  <c r="F12826" i="1"/>
  <c r="E12826" i="1"/>
  <c r="D12826" i="1"/>
  <c r="C12826" i="1"/>
  <c r="B12826" i="1"/>
  <c r="A12826" i="1"/>
  <c r="F12825" i="1"/>
  <c r="E12825" i="1"/>
  <c r="D12825" i="1"/>
  <c r="C12825" i="1"/>
  <c r="B12825" i="1"/>
  <c r="A12825" i="1"/>
  <c r="F12824" i="1"/>
  <c r="E12824" i="1"/>
  <c r="D12824" i="1"/>
  <c r="C12824" i="1"/>
  <c r="B12824" i="1"/>
  <c r="A12824" i="1"/>
  <c r="F12823" i="1"/>
  <c r="E12823" i="1"/>
  <c r="D12823" i="1"/>
  <c r="C12823" i="1"/>
  <c r="B12823" i="1"/>
  <c r="A12823" i="1"/>
  <c r="F12822" i="1"/>
  <c r="E12822" i="1"/>
  <c r="D12822" i="1"/>
  <c r="C12822" i="1"/>
  <c r="B12822" i="1"/>
  <c r="A12822" i="1"/>
  <c r="F12821" i="1"/>
  <c r="E12821" i="1"/>
  <c r="D12821" i="1"/>
  <c r="C12821" i="1"/>
  <c r="B12821" i="1"/>
  <c r="A12821" i="1"/>
  <c r="F12820" i="1"/>
  <c r="E12820" i="1"/>
  <c r="D12820" i="1"/>
  <c r="C12820" i="1"/>
  <c r="B12820" i="1"/>
  <c r="A12820" i="1"/>
  <c r="F12819" i="1"/>
  <c r="E12819" i="1"/>
  <c r="D12819" i="1"/>
  <c r="C12819" i="1"/>
  <c r="B12819" i="1"/>
  <c r="A12819" i="1"/>
  <c r="F12818" i="1"/>
  <c r="E12818" i="1"/>
  <c r="D12818" i="1"/>
  <c r="C12818" i="1"/>
  <c r="B12818" i="1"/>
  <c r="A12818" i="1"/>
  <c r="F12817" i="1"/>
  <c r="E12817" i="1"/>
  <c r="D12817" i="1"/>
  <c r="C12817" i="1"/>
  <c r="B12817" i="1"/>
  <c r="A12817" i="1"/>
  <c r="F12816" i="1"/>
  <c r="E12816" i="1"/>
  <c r="D12816" i="1"/>
  <c r="C12816" i="1"/>
  <c r="B12816" i="1"/>
  <c r="A12816" i="1"/>
  <c r="F12815" i="1"/>
  <c r="E12815" i="1"/>
  <c r="D12815" i="1"/>
  <c r="C12815" i="1"/>
  <c r="B12815" i="1"/>
  <c r="A12815" i="1"/>
  <c r="F12814" i="1"/>
  <c r="E12814" i="1"/>
  <c r="D12814" i="1"/>
  <c r="C12814" i="1"/>
  <c r="B12814" i="1"/>
  <c r="A12814" i="1"/>
  <c r="F12813" i="1"/>
  <c r="E12813" i="1"/>
  <c r="D12813" i="1"/>
  <c r="C12813" i="1"/>
  <c r="B12813" i="1"/>
  <c r="A12813" i="1"/>
  <c r="F12812" i="1"/>
  <c r="E12812" i="1"/>
  <c r="D12812" i="1"/>
  <c r="C12812" i="1"/>
  <c r="B12812" i="1"/>
  <c r="A12812" i="1"/>
  <c r="F12811" i="1"/>
  <c r="E12811" i="1"/>
  <c r="D12811" i="1"/>
  <c r="C12811" i="1"/>
  <c r="B12811" i="1"/>
  <c r="A12811" i="1"/>
  <c r="F12810" i="1"/>
  <c r="E12810" i="1"/>
  <c r="D12810" i="1"/>
  <c r="C12810" i="1"/>
  <c r="B12810" i="1"/>
  <c r="A12810" i="1"/>
  <c r="F12809" i="1"/>
  <c r="E12809" i="1"/>
  <c r="D12809" i="1"/>
  <c r="C12809" i="1"/>
  <c r="B12809" i="1"/>
  <c r="A12809" i="1"/>
  <c r="F12808" i="1"/>
  <c r="E12808" i="1"/>
  <c r="D12808" i="1"/>
  <c r="C12808" i="1"/>
  <c r="B12808" i="1"/>
  <c r="A12808" i="1"/>
  <c r="F12807" i="1"/>
  <c r="E12807" i="1"/>
  <c r="D12807" i="1"/>
  <c r="C12807" i="1"/>
  <c r="B12807" i="1"/>
  <c r="A12807" i="1"/>
  <c r="F12806" i="1"/>
  <c r="E12806" i="1"/>
  <c r="D12806" i="1"/>
  <c r="C12806" i="1"/>
  <c r="B12806" i="1"/>
  <c r="A12806" i="1"/>
  <c r="F12805" i="1"/>
  <c r="E12805" i="1"/>
  <c r="D12805" i="1"/>
  <c r="C12805" i="1"/>
  <c r="B12805" i="1"/>
  <c r="A12805" i="1"/>
  <c r="F12804" i="1"/>
  <c r="E12804" i="1"/>
  <c r="D12804" i="1"/>
  <c r="C12804" i="1"/>
  <c r="B12804" i="1"/>
  <c r="A12804" i="1"/>
  <c r="F12803" i="1"/>
  <c r="E12803" i="1"/>
  <c r="D12803" i="1"/>
  <c r="C12803" i="1"/>
  <c r="B12803" i="1"/>
  <c r="A12803" i="1"/>
  <c r="F12802" i="1"/>
  <c r="E12802" i="1"/>
  <c r="D12802" i="1"/>
  <c r="C12802" i="1"/>
  <c r="B12802" i="1"/>
  <c r="A12802" i="1"/>
  <c r="F12801" i="1"/>
  <c r="E12801" i="1"/>
  <c r="D12801" i="1"/>
  <c r="C12801" i="1"/>
  <c r="B12801" i="1"/>
  <c r="A12801" i="1"/>
  <c r="F12800" i="1"/>
  <c r="E12800" i="1"/>
  <c r="D12800" i="1"/>
  <c r="C12800" i="1"/>
  <c r="B12800" i="1"/>
  <c r="A12800" i="1"/>
  <c r="F12799" i="1"/>
  <c r="E12799" i="1"/>
  <c r="D12799" i="1"/>
  <c r="C12799" i="1"/>
  <c r="B12799" i="1"/>
  <c r="A12799" i="1"/>
  <c r="F12798" i="1"/>
  <c r="E12798" i="1"/>
  <c r="D12798" i="1"/>
  <c r="C12798" i="1"/>
  <c r="B12798" i="1"/>
  <c r="A12798" i="1"/>
  <c r="F12797" i="1"/>
  <c r="E12797" i="1"/>
  <c r="D12797" i="1"/>
  <c r="C12797" i="1"/>
  <c r="B12797" i="1"/>
  <c r="A12797" i="1"/>
  <c r="F12796" i="1"/>
  <c r="E12796" i="1"/>
  <c r="D12796" i="1"/>
  <c r="C12796" i="1"/>
  <c r="B12796" i="1"/>
  <c r="A12796" i="1"/>
  <c r="F12795" i="1"/>
  <c r="E12795" i="1"/>
  <c r="D12795" i="1"/>
  <c r="C12795" i="1"/>
  <c r="B12795" i="1"/>
  <c r="A12795" i="1"/>
  <c r="F12794" i="1"/>
  <c r="E12794" i="1"/>
  <c r="D12794" i="1"/>
  <c r="C12794" i="1"/>
  <c r="B12794" i="1"/>
  <c r="A12794" i="1"/>
  <c r="F12793" i="1"/>
  <c r="E12793" i="1"/>
  <c r="D12793" i="1"/>
  <c r="C12793" i="1"/>
  <c r="B12793" i="1"/>
  <c r="A12793" i="1"/>
  <c r="F12792" i="1"/>
  <c r="E12792" i="1"/>
  <c r="D12792" i="1"/>
  <c r="C12792" i="1"/>
  <c r="B12792" i="1"/>
  <c r="A12792" i="1"/>
  <c r="F12791" i="1"/>
  <c r="E12791" i="1"/>
  <c r="D12791" i="1"/>
  <c r="C12791" i="1"/>
  <c r="B12791" i="1"/>
  <c r="A12791" i="1"/>
  <c r="F12790" i="1"/>
  <c r="E12790" i="1"/>
  <c r="D12790" i="1"/>
  <c r="C12790" i="1"/>
  <c r="B12790" i="1"/>
  <c r="A12790" i="1"/>
  <c r="F12789" i="1"/>
  <c r="E12789" i="1"/>
  <c r="D12789" i="1"/>
  <c r="C12789" i="1"/>
  <c r="B12789" i="1"/>
  <c r="A12789" i="1"/>
  <c r="F12788" i="1"/>
  <c r="E12788" i="1"/>
  <c r="D12788" i="1"/>
  <c r="C12788" i="1"/>
  <c r="B12788" i="1"/>
  <c r="A12788" i="1"/>
  <c r="F12787" i="1"/>
  <c r="E12787" i="1"/>
  <c r="D12787" i="1"/>
  <c r="C12787" i="1"/>
  <c r="B12787" i="1"/>
  <c r="A12787" i="1"/>
  <c r="F12786" i="1"/>
  <c r="E12786" i="1"/>
  <c r="D12786" i="1"/>
  <c r="C12786" i="1"/>
  <c r="B12786" i="1"/>
  <c r="A12786" i="1"/>
  <c r="F12785" i="1"/>
  <c r="E12785" i="1"/>
  <c r="D12785" i="1"/>
  <c r="C12785" i="1"/>
  <c r="B12785" i="1"/>
  <c r="A12785" i="1"/>
  <c r="F12784" i="1"/>
  <c r="E12784" i="1"/>
  <c r="D12784" i="1"/>
  <c r="C12784" i="1"/>
  <c r="B12784" i="1"/>
  <c r="A12784" i="1"/>
  <c r="F12783" i="1"/>
  <c r="E12783" i="1"/>
  <c r="D12783" i="1"/>
  <c r="C12783" i="1"/>
  <c r="B12783" i="1"/>
  <c r="A12783" i="1"/>
  <c r="F12782" i="1"/>
  <c r="E12782" i="1"/>
  <c r="D12782" i="1"/>
  <c r="C12782" i="1"/>
  <c r="B12782" i="1"/>
  <c r="A12782" i="1"/>
  <c r="F12781" i="1"/>
  <c r="E12781" i="1"/>
  <c r="D12781" i="1"/>
  <c r="C12781" i="1"/>
  <c r="B12781" i="1"/>
  <c r="A12781" i="1"/>
  <c r="F12780" i="1"/>
  <c r="E12780" i="1"/>
  <c r="D12780" i="1"/>
  <c r="C12780" i="1"/>
  <c r="B12780" i="1"/>
  <c r="A12780" i="1"/>
  <c r="F12779" i="1"/>
  <c r="E12779" i="1"/>
  <c r="D12779" i="1"/>
  <c r="C12779" i="1"/>
  <c r="B12779" i="1"/>
  <c r="A12779" i="1"/>
  <c r="F12778" i="1"/>
  <c r="E12778" i="1"/>
  <c r="D12778" i="1"/>
  <c r="C12778" i="1"/>
  <c r="B12778" i="1"/>
  <c r="A12778" i="1"/>
  <c r="F12777" i="1"/>
  <c r="E12777" i="1"/>
  <c r="D12777" i="1"/>
  <c r="C12777" i="1"/>
  <c r="B12777" i="1"/>
  <c r="A12777" i="1"/>
  <c r="F12776" i="1"/>
  <c r="E12776" i="1"/>
  <c r="D12776" i="1"/>
  <c r="C12776" i="1"/>
  <c r="B12776" i="1"/>
  <c r="A12776" i="1"/>
  <c r="F12775" i="1"/>
  <c r="E12775" i="1"/>
  <c r="D12775" i="1"/>
  <c r="C12775" i="1"/>
  <c r="B12775" i="1"/>
  <c r="A12775" i="1"/>
  <c r="F12774" i="1"/>
  <c r="E12774" i="1"/>
  <c r="D12774" i="1"/>
  <c r="C12774" i="1"/>
  <c r="B12774" i="1"/>
  <c r="A12774" i="1"/>
  <c r="F12773" i="1"/>
  <c r="E12773" i="1"/>
  <c r="D12773" i="1"/>
  <c r="C12773" i="1"/>
  <c r="B12773" i="1"/>
  <c r="A12773" i="1"/>
  <c r="F12772" i="1"/>
  <c r="E12772" i="1"/>
  <c r="D12772" i="1"/>
  <c r="C12772" i="1"/>
  <c r="B12772" i="1"/>
  <c r="A12772" i="1"/>
  <c r="F12771" i="1"/>
  <c r="E12771" i="1"/>
  <c r="D12771" i="1"/>
  <c r="C12771" i="1"/>
  <c r="B12771" i="1"/>
  <c r="A12771" i="1"/>
  <c r="F12770" i="1"/>
  <c r="E12770" i="1"/>
  <c r="D12770" i="1"/>
  <c r="C12770" i="1"/>
  <c r="B12770" i="1"/>
  <c r="A12770" i="1"/>
  <c r="F12769" i="1"/>
  <c r="E12769" i="1"/>
  <c r="D12769" i="1"/>
  <c r="C12769" i="1"/>
  <c r="B12769" i="1"/>
  <c r="A12769" i="1"/>
  <c r="F12768" i="1"/>
  <c r="E12768" i="1"/>
  <c r="D12768" i="1"/>
  <c r="C12768" i="1"/>
  <c r="B12768" i="1"/>
  <c r="A12768" i="1"/>
  <c r="F12767" i="1"/>
  <c r="E12767" i="1"/>
  <c r="D12767" i="1"/>
  <c r="C12767" i="1"/>
  <c r="B12767" i="1"/>
  <c r="A12767" i="1"/>
  <c r="F12766" i="1"/>
  <c r="E12766" i="1"/>
  <c r="D12766" i="1"/>
  <c r="C12766" i="1"/>
  <c r="B12766" i="1"/>
  <c r="A12766" i="1"/>
  <c r="F12765" i="1"/>
  <c r="E12765" i="1"/>
  <c r="D12765" i="1"/>
  <c r="C12765" i="1"/>
  <c r="B12765" i="1"/>
  <c r="A12765" i="1"/>
  <c r="F12764" i="1"/>
  <c r="E12764" i="1"/>
  <c r="D12764" i="1"/>
  <c r="C12764" i="1"/>
  <c r="B12764" i="1"/>
  <c r="A12764" i="1"/>
  <c r="F12763" i="1"/>
  <c r="E12763" i="1"/>
  <c r="D12763" i="1"/>
  <c r="C12763" i="1"/>
  <c r="B12763" i="1"/>
  <c r="A12763" i="1"/>
  <c r="F12762" i="1"/>
  <c r="E12762" i="1"/>
  <c r="D12762" i="1"/>
  <c r="C12762" i="1"/>
  <c r="B12762" i="1"/>
  <c r="A12762" i="1"/>
  <c r="F12761" i="1"/>
  <c r="E12761" i="1"/>
  <c r="D12761" i="1"/>
  <c r="C12761" i="1"/>
  <c r="B12761" i="1"/>
  <c r="A12761" i="1"/>
  <c r="F12760" i="1"/>
  <c r="E12760" i="1"/>
  <c r="D12760" i="1"/>
  <c r="C12760" i="1"/>
  <c r="B12760" i="1"/>
  <c r="A12760" i="1"/>
  <c r="F12759" i="1"/>
  <c r="E12759" i="1"/>
  <c r="D12759" i="1"/>
  <c r="C12759" i="1"/>
  <c r="B12759" i="1"/>
  <c r="A12759" i="1"/>
  <c r="F12758" i="1"/>
  <c r="E12758" i="1"/>
  <c r="D12758" i="1"/>
  <c r="C12758" i="1"/>
  <c r="B12758" i="1"/>
  <c r="A12758" i="1"/>
  <c r="F12757" i="1"/>
  <c r="E12757" i="1"/>
  <c r="D12757" i="1"/>
  <c r="C12757" i="1"/>
  <c r="B12757" i="1"/>
  <c r="A12757" i="1"/>
  <c r="F12756" i="1"/>
  <c r="E12756" i="1"/>
  <c r="D12756" i="1"/>
  <c r="C12756" i="1"/>
  <c r="B12756" i="1"/>
  <c r="A12756" i="1"/>
  <c r="F12755" i="1"/>
  <c r="E12755" i="1"/>
  <c r="D12755" i="1"/>
  <c r="C12755" i="1"/>
  <c r="B12755" i="1"/>
  <c r="A12755" i="1"/>
  <c r="F12754" i="1"/>
  <c r="E12754" i="1"/>
  <c r="D12754" i="1"/>
  <c r="C12754" i="1"/>
  <c r="B12754" i="1"/>
  <c r="A12754" i="1"/>
  <c r="F12753" i="1"/>
  <c r="E12753" i="1"/>
  <c r="D12753" i="1"/>
  <c r="C12753" i="1"/>
  <c r="B12753" i="1"/>
  <c r="A12753" i="1"/>
  <c r="F12752" i="1"/>
  <c r="E12752" i="1"/>
  <c r="D12752" i="1"/>
  <c r="C12752" i="1"/>
  <c r="B12752" i="1"/>
  <c r="A12752" i="1"/>
  <c r="F12751" i="1"/>
  <c r="E12751" i="1"/>
  <c r="D12751" i="1"/>
  <c r="C12751" i="1"/>
  <c r="B12751" i="1"/>
  <c r="A12751" i="1"/>
  <c r="F12750" i="1"/>
  <c r="E12750" i="1"/>
  <c r="D12750" i="1"/>
  <c r="C12750" i="1"/>
  <c r="B12750" i="1"/>
  <c r="A12750" i="1"/>
  <c r="F12749" i="1"/>
  <c r="E12749" i="1"/>
  <c r="D12749" i="1"/>
  <c r="C12749" i="1"/>
  <c r="B12749" i="1"/>
  <c r="A12749" i="1"/>
  <c r="F12748" i="1"/>
  <c r="E12748" i="1"/>
  <c r="D12748" i="1"/>
  <c r="C12748" i="1"/>
  <c r="B12748" i="1"/>
  <c r="A12748" i="1"/>
  <c r="F12747" i="1"/>
  <c r="E12747" i="1"/>
  <c r="D12747" i="1"/>
  <c r="C12747" i="1"/>
  <c r="B12747" i="1"/>
  <c r="A12747" i="1"/>
  <c r="F12746" i="1"/>
  <c r="E12746" i="1"/>
  <c r="D12746" i="1"/>
  <c r="C12746" i="1"/>
  <c r="B12746" i="1"/>
  <c r="A12746" i="1"/>
  <c r="F12745" i="1"/>
  <c r="E12745" i="1"/>
  <c r="D12745" i="1"/>
  <c r="C12745" i="1"/>
  <c r="B12745" i="1"/>
  <c r="A12745" i="1"/>
  <c r="F12744" i="1"/>
  <c r="E12744" i="1"/>
  <c r="D12744" i="1"/>
  <c r="C12744" i="1"/>
  <c r="B12744" i="1"/>
  <c r="A12744" i="1"/>
  <c r="F12743" i="1"/>
  <c r="E12743" i="1"/>
  <c r="D12743" i="1"/>
  <c r="C12743" i="1"/>
  <c r="B12743" i="1"/>
  <c r="A12743" i="1"/>
  <c r="F12742" i="1"/>
  <c r="E12742" i="1"/>
  <c r="D12742" i="1"/>
  <c r="C12742" i="1"/>
  <c r="B12742" i="1"/>
  <c r="A12742" i="1"/>
  <c r="F12741" i="1"/>
  <c r="E12741" i="1"/>
  <c r="D12741" i="1"/>
  <c r="C12741" i="1"/>
  <c r="B12741" i="1"/>
  <c r="A12741" i="1"/>
  <c r="F12740" i="1"/>
  <c r="E12740" i="1"/>
  <c r="D12740" i="1"/>
  <c r="C12740" i="1"/>
  <c r="B12740" i="1"/>
  <c r="A12740" i="1"/>
  <c r="F12739" i="1"/>
  <c r="E12739" i="1"/>
  <c r="D12739" i="1"/>
  <c r="C12739" i="1"/>
  <c r="B12739" i="1"/>
  <c r="A12739" i="1"/>
  <c r="F12738" i="1"/>
  <c r="E12738" i="1"/>
  <c r="D12738" i="1"/>
  <c r="C12738" i="1"/>
  <c r="B12738" i="1"/>
  <c r="A12738" i="1"/>
  <c r="F12737" i="1"/>
  <c r="E12737" i="1"/>
  <c r="D12737" i="1"/>
  <c r="C12737" i="1"/>
  <c r="B12737" i="1"/>
  <c r="A12737" i="1"/>
  <c r="F12736" i="1"/>
  <c r="E12736" i="1"/>
  <c r="D12736" i="1"/>
  <c r="C12736" i="1"/>
  <c r="B12736" i="1"/>
  <c r="A12736" i="1"/>
  <c r="F12735" i="1"/>
  <c r="E12735" i="1"/>
  <c r="D12735" i="1"/>
  <c r="C12735" i="1"/>
  <c r="B12735" i="1"/>
  <c r="A12735" i="1"/>
  <c r="F12734" i="1"/>
  <c r="E12734" i="1"/>
  <c r="D12734" i="1"/>
  <c r="C12734" i="1"/>
  <c r="B12734" i="1"/>
  <c r="A12734" i="1"/>
  <c r="F12733" i="1"/>
  <c r="E12733" i="1"/>
  <c r="D12733" i="1"/>
  <c r="C12733" i="1"/>
  <c r="B12733" i="1"/>
  <c r="A12733" i="1"/>
  <c r="F12732" i="1"/>
  <c r="E12732" i="1"/>
  <c r="D12732" i="1"/>
  <c r="C12732" i="1"/>
  <c r="B12732" i="1"/>
  <c r="A12732" i="1"/>
  <c r="F12731" i="1"/>
  <c r="E12731" i="1"/>
  <c r="D12731" i="1"/>
  <c r="C12731" i="1"/>
  <c r="B12731" i="1"/>
  <c r="A12731" i="1"/>
  <c r="F12730" i="1"/>
  <c r="E12730" i="1"/>
  <c r="D12730" i="1"/>
  <c r="C12730" i="1"/>
  <c r="B12730" i="1"/>
  <c r="A12730" i="1"/>
  <c r="F12729" i="1"/>
  <c r="E12729" i="1"/>
  <c r="D12729" i="1"/>
  <c r="C12729" i="1"/>
  <c r="B12729" i="1"/>
  <c r="A12729" i="1"/>
  <c r="F12728" i="1"/>
  <c r="E12728" i="1"/>
  <c r="D12728" i="1"/>
  <c r="C12728" i="1"/>
  <c r="B12728" i="1"/>
  <c r="A12728" i="1"/>
  <c r="F12727" i="1"/>
  <c r="E12727" i="1"/>
  <c r="D12727" i="1"/>
  <c r="C12727" i="1"/>
  <c r="B12727" i="1"/>
  <c r="A12727" i="1"/>
  <c r="F12726" i="1"/>
  <c r="E12726" i="1"/>
  <c r="D12726" i="1"/>
  <c r="C12726" i="1"/>
  <c r="B12726" i="1"/>
  <c r="A12726" i="1"/>
  <c r="F12725" i="1"/>
  <c r="E12725" i="1"/>
  <c r="D12725" i="1"/>
  <c r="C12725" i="1"/>
  <c r="B12725" i="1"/>
  <c r="A12725" i="1"/>
  <c r="F12724" i="1"/>
  <c r="E12724" i="1"/>
  <c r="D12724" i="1"/>
  <c r="C12724" i="1"/>
  <c r="B12724" i="1"/>
  <c r="A12724" i="1"/>
  <c r="F12723" i="1"/>
  <c r="E12723" i="1"/>
  <c r="D12723" i="1"/>
  <c r="C12723" i="1"/>
  <c r="B12723" i="1"/>
  <c r="A12723" i="1"/>
  <c r="F12722" i="1"/>
  <c r="E12722" i="1"/>
  <c r="D12722" i="1"/>
  <c r="C12722" i="1"/>
  <c r="B12722" i="1"/>
  <c r="A12722" i="1"/>
  <c r="F12721" i="1"/>
  <c r="E12721" i="1"/>
  <c r="D12721" i="1"/>
  <c r="C12721" i="1"/>
  <c r="B12721" i="1"/>
  <c r="A12721" i="1"/>
  <c r="F12720" i="1"/>
  <c r="E12720" i="1"/>
  <c r="D12720" i="1"/>
  <c r="C12720" i="1"/>
  <c r="B12720" i="1"/>
  <c r="A12720" i="1"/>
  <c r="F12719" i="1"/>
  <c r="E12719" i="1"/>
  <c r="D12719" i="1"/>
  <c r="C12719" i="1"/>
  <c r="B12719" i="1"/>
  <c r="A12719" i="1"/>
  <c r="F12718" i="1"/>
  <c r="E12718" i="1"/>
  <c r="D12718" i="1"/>
  <c r="C12718" i="1"/>
  <c r="B12718" i="1"/>
  <c r="A12718" i="1"/>
  <c r="F12717" i="1"/>
  <c r="E12717" i="1"/>
  <c r="D12717" i="1"/>
  <c r="C12717" i="1"/>
  <c r="B12717" i="1"/>
  <c r="A12717" i="1"/>
  <c r="F12716" i="1"/>
  <c r="E12716" i="1"/>
  <c r="D12716" i="1"/>
  <c r="C12716" i="1"/>
  <c r="B12716" i="1"/>
  <c r="A12716" i="1"/>
  <c r="F12715" i="1"/>
  <c r="E12715" i="1"/>
  <c r="D12715" i="1"/>
  <c r="C12715" i="1"/>
  <c r="B12715" i="1"/>
  <c r="A12715" i="1"/>
  <c r="F12714" i="1"/>
  <c r="E12714" i="1"/>
  <c r="D12714" i="1"/>
  <c r="C12714" i="1"/>
  <c r="B12714" i="1"/>
  <c r="A12714" i="1"/>
  <c r="F12713" i="1"/>
  <c r="E12713" i="1"/>
  <c r="D12713" i="1"/>
  <c r="C12713" i="1"/>
  <c r="B12713" i="1"/>
  <c r="A12713" i="1"/>
  <c r="F12712" i="1"/>
  <c r="E12712" i="1"/>
  <c r="D12712" i="1"/>
  <c r="C12712" i="1"/>
  <c r="B12712" i="1"/>
  <c r="A12712" i="1"/>
  <c r="F12711" i="1"/>
  <c r="E12711" i="1"/>
  <c r="D12711" i="1"/>
  <c r="C12711" i="1"/>
  <c r="B12711" i="1"/>
  <c r="A12711" i="1"/>
  <c r="F12710" i="1"/>
  <c r="E12710" i="1"/>
  <c r="D12710" i="1"/>
  <c r="C12710" i="1"/>
  <c r="B12710" i="1"/>
  <c r="A12710" i="1"/>
  <c r="F12709" i="1"/>
  <c r="E12709" i="1"/>
  <c r="D12709" i="1"/>
  <c r="C12709" i="1"/>
  <c r="B12709" i="1"/>
  <c r="A12709" i="1"/>
  <c r="F12708" i="1"/>
  <c r="E12708" i="1"/>
  <c r="D12708" i="1"/>
  <c r="C12708" i="1"/>
  <c r="B12708" i="1"/>
  <c r="A12708" i="1"/>
  <c r="F12707" i="1"/>
  <c r="E12707" i="1"/>
  <c r="D12707" i="1"/>
  <c r="C12707" i="1"/>
  <c r="B12707" i="1"/>
  <c r="A12707" i="1"/>
  <c r="F12706" i="1"/>
  <c r="E12706" i="1"/>
  <c r="D12706" i="1"/>
  <c r="C12706" i="1"/>
  <c r="B12706" i="1"/>
  <c r="A12706" i="1"/>
  <c r="F12705" i="1"/>
  <c r="E12705" i="1"/>
  <c r="D12705" i="1"/>
  <c r="C12705" i="1"/>
  <c r="B12705" i="1"/>
  <c r="A12705" i="1"/>
  <c r="F12704" i="1"/>
  <c r="E12704" i="1"/>
  <c r="D12704" i="1"/>
  <c r="C12704" i="1"/>
  <c r="B12704" i="1"/>
  <c r="A12704" i="1"/>
  <c r="F12703" i="1"/>
  <c r="E12703" i="1"/>
  <c r="D12703" i="1"/>
  <c r="C12703" i="1"/>
  <c r="B12703" i="1"/>
  <c r="A12703" i="1"/>
  <c r="F12702" i="1"/>
  <c r="E12702" i="1"/>
  <c r="D12702" i="1"/>
  <c r="C12702" i="1"/>
  <c r="B12702" i="1"/>
  <c r="A12702" i="1"/>
  <c r="F12701" i="1"/>
  <c r="E12701" i="1"/>
  <c r="D12701" i="1"/>
  <c r="C12701" i="1"/>
  <c r="B12701" i="1"/>
  <c r="A12701" i="1"/>
  <c r="F12700" i="1"/>
  <c r="E12700" i="1"/>
  <c r="D12700" i="1"/>
  <c r="C12700" i="1"/>
  <c r="B12700" i="1"/>
  <c r="A12700" i="1"/>
  <c r="F12699" i="1"/>
  <c r="E12699" i="1"/>
  <c r="D12699" i="1"/>
  <c r="C12699" i="1"/>
  <c r="B12699" i="1"/>
  <c r="A12699" i="1"/>
  <c r="F12698" i="1"/>
  <c r="E12698" i="1"/>
  <c r="D12698" i="1"/>
  <c r="C12698" i="1"/>
  <c r="B12698" i="1"/>
  <c r="A12698" i="1"/>
  <c r="F12697" i="1"/>
  <c r="E12697" i="1"/>
  <c r="D12697" i="1"/>
  <c r="C12697" i="1"/>
  <c r="B12697" i="1"/>
  <c r="A12697" i="1"/>
  <c r="F12696" i="1"/>
  <c r="E12696" i="1"/>
  <c r="D12696" i="1"/>
  <c r="C12696" i="1"/>
  <c r="B12696" i="1"/>
  <c r="A12696" i="1"/>
  <c r="F12695" i="1"/>
  <c r="E12695" i="1"/>
  <c r="D12695" i="1"/>
  <c r="C12695" i="1"/>
  <c r="B12695" i="1"/>
  <c r="A12695" i="1"/>
  <c r="F12694" i="1"/>
  <c r="E12694" i="1"/>
  <c r="D12694" i="1"/>
  <c r="C12694" i="1"/>
  <c r="B12694" i="1"/>
  <c r="A12694" i="1"/>
  <c r="F12693" i="1"/>
  <c r="E12693" i="1"/>
  <c r="D12693" i="1"/>
  <c r="C12693" i="1"/>
  <c r="B12693" i="1"/>
  <c r="A12693" i="1"/>
  <c r="F12692" i="1"/>
  <c r="E12692" i="1"/>
  <c r="D12692" i="1"/>
  <c r="C12692" i="1"/>
  <c r="B12692" i="1"/>
  <c r="A12692" i="1"/>
  <c r="F12691" i="1"/>
  <c r="E12691" i="1"/>
  <c r="D12691" i="1"/>
  <c r="C12691" i="1"/>
  <c r="B12691" i="1"/>
  <c r="A12691" i="1"/>
  <c r="F12690" i="1"/>
  <c r="E12690" i="1"/>
  <c r="D12690" i="1"/>
  <c r="C12690" i="1"/>
  <c r="B12690" i="1"/>
  <c r="A12690" i="1"/>
  <c r="F12689" i="1"/>
  <c r="E12689" i="1"/>
  <c r="D12689" i="1"/>
  <c r="C12689" i="1"/>
  <c r="B12689" i="1"/>
  <c r="A12689" i="1"/>
  <c r="F12688" i="1"/>
  <c r="E12688" i="1"/>
  <c r="D12688" i="1"/>
  <c r="C12688" i="1"/>
  <c r="B12688" i="1"/>
  <c r="A12688" i="1"/>
  <c r="F12687" i="1"/>
  <c r="E12687" i="1"/>
  <c r="D12687" i="1"/>
  <c r="C12687" i="1"/>
  <c r="B12687" i="1"/>
  <c r="A12687" i="1"/>
  <c r="F12686" i="1"/>
  <c r="E12686" i="1"/>
  <c r="D12686" i="1"/>
  <c r="C12686" i="1"/>
  <c r="B12686" i="1"/>
  <c r="A12686" i="1"/>
  <c r="F12685" i="1"/>
  <c r="E12685" i="1"/>
  <c r="D12685" i="1"/>
  <c r="C12685" i="1"/>
  <c r="B12685" i="1"/>
  <c r="A12685" i="1"/>
  <c r="F12684" i="1"/>
  <c r="E12684" i="1"/>
  <c r="D12684" i="1"/>
  <c r="C12684" i="1"/>
  <c r="B12684" i="1"/>
  <c r="A12684" i="1"/>
  <c r="F12683" i="1"/>
  <c r="E12683" i="1"/>
  <c r="D12683" i="1"/>
  <c r="C12683" i="1"/>
  <c r="B12683" i="1"/>
  <c r="A12683" i="1"/>
  <c r="F12682" i="1"/>
  <c r="E12682" i="1"/>
  <c r="D12682" i="1"/>
  <c r="C12682" i="1"/>
  <c r="B12682" i="1"/>
  <c r="A12682" i="1"/>
  <c r="F12681" i="1"/>
  <c r="E12681" i="1"/>
  <c r="D12681" i="1"/>
  <c r="C12681" i="1"/>
  <c r="B12681" i="1"/>
  <c r="A12681" i="1"/>
  <c r="F12680" i="1"/>
  <c r="E12680" i="1"/>
  <c r="D12680" i="1"/>
  <c r="C12680" i="1"/>
  <c r="B12680" i="1"/>
  <c r="A12680" i="1"/>
  <c r="F12679" i="1"/>
  <c r="E12679" i="1"/>
  <c r="D12679" i="1"/>
  <c r="C12679" i="1"/>
  <c r="B12679" i="1"/>
  <c r="A12679" i="1"/>
  <c r="F12678" i="1"/>
  <c r="E12678" i="1"/>
  <c r="D12678" i="1"/>
  <c r="C12678" i="1"/>
  <c r="B12678" i="1"/>
  <c r="A12678" i="1"/>
  <c r="F12677" i="1"/>
  <c r="E12677" i="1"/>
  <c r="D12677" i="1"/>
  <c r="C12677" i="1"/>
  <c r="B12677" i="1"/>
  <c r="A12677" i="1"/>
  <c r="F12676" i="1"/>
  <c r="E12676" i="1"/>
  <c r="D12676" i="1"/>
  <c r="C12676" i="1"/>
  <c r="B12676" i="1"/>
  <c r="A12676" i="1"/>
  <c r="F12675" i="1"/>
  <c r="E12675" i="1"/>
  <c r="D12675" i="1"/>
  <c r="C12675" i="1"/>
  <c r="B12675" i="1"/>
  <c r="A12675" i="1"/>
  <c r="F12674" i="1"/>
  <c r="E12674" i="1"/>
  <c r="D12674" i="1"/>
  <c r="C12674" i="1"/>
  <c r="B12674" i="1"/>
  <c r="A12674" i="1"/>
  <c r="F12673" i="1"/>
  <c r="E12673" i="1"/>
  <c r="D12673" i="1"/>
  <c r="C12673" i="1"/>
  <c r="B12673" i="1"/>
  <c r="A12673" i="1"/>
  <c r="F12672" i="1"/>
  <c r="E12672" i="1"/>
  <c r="D12672" i="1"/>
  <c r="C12672" i="1"/>
  <c r="B12672" i="1"/>
  <c r="A12672" i="1"/>
  <c r="F12671" i="1"/>
  <c r="E12671" i="1"/>
  <c r="D12671" i="1"/>
  <c r="C12671" i="1"/>
  <c r="B12671" i="1"/>
  <c r="A12671" i="1"/>
  <c r="F12670" i="1"/>
  <c r="E12670" i="1"/>
  <c r="D12670" i="1"/>
  <c r="C12670" i="1"/>
  <c r="B12670" i="1"/>
  <c r="A12670" i="1"/>
  <c r="F12669" i="1"/>
  <c r="E12669" i="1"/>
  <c r="D12669" i="1"/>
  <c r="C12669" i="1"/>
  <c r="B12669" i="1"/>
  <c r="A12669" i="1"/>
  <c r="F12668" i="1"/>
  <c r="E12668" i="1"/>
  <c r="D12668" i="1"/>
  <c r="C12668" i="1"/>
  <c r="B12668" i="1"/>
  <c r="A12668" i="1"/>
  <c r="F12667" i="1"/>
  <c r="E12667" i="1"/>
  <c r="D12667" i="1"/>
  <c r="C12667" i="1"/>
  <c r="B12667" i="1"/>
  <c r="A12667" i="1"/>
  <c r="F12666" i="1"/>
  <c r="E12666" i="1"/>
  <c r="D12666" i="1"/>
  <c r="C12666" i="1"/>
  <c r="B12666" i="1"/>
  <c r="A12666" i="1"/>
  <c r="F12665" i="1"/>
  <c r="E12665" i="1"/>
  <c r="D12665" i="1"/>
  <c r="C12665" i="1"/>
  <c r="B12665" i="1"/>
  <c r="A12665" i="1"/>
  <c r="F12664" i="1"/>
  <c r="E12664" i="1"/>
  <c r="D12664" i="1"/>
  <c r="C12664" i="1"/>
  <c r="B12664" i="1"/>
  <c r="A12664" i="1"/>
  <c r="F12663" i="1"/>
  <c r="E12663" i="1"/>
  <c r="D12663" i="1"/>
  <c r="C12663" i="1"/>
  <c r="B12663" i="1"/>
  <c r="A12663" i="1"/>
  <c r="F12662" i="1"/>
  <c r="E12662" i="1"/>
  <c r="D12662" i="1"/>
  <c r="C12662" i="1"/>
  <c r="B12662" i="1"/>
  <c r="A12662" i="1"/>
  <c r="F12661" i="1"/>
  <c r="E12661" i="1"/>
  <c r="D12661" i="1"/>
  <c r="C12661" i="1"/>
  <c r="B12661" i="1"/>
  <c r="A12661" i="1"/>
  <c r="F12660" i="1"/>
  <c r="E12660" i="1"/>
  <c r="D12660" i="1"/>
  <c r="C12660" i="1"/>
  <c r="B12660" i="1"/>
  <c r="A12660" i="1"/>
  <c r="F12659" i="1"/>
  <c r="E12659" i="1"/>
  <c r="D12659" i="1"/>
  <c r="C12659" i="1"/>
  <c r="B12659" i="1"/>
  <c r="A12659" i="1"/>
  <c r="F12658" i="1"/>
  <c r="E12658" i="1"/>
  <c r="D12658" i="1"/>
  <c r="C12658" i="1"/>
  <c r="B12658" i="1"/>
  <c r="A12658" i="1"/>
  <c r="F12657" i="1"/>
  <c r="E12657" i="1"/>
  <c r="D12657" i="1"/>
  <c r="C12657" i="1"/>
  <c r="B12657" i="1"/>
  <c r="A12657" i="1"/>
  <c r="F12656" i="1"/>
  <c r="E12656" i="1"/>
  <c r="D12656" i="1"/>
  <c r="C12656" i="1"/>
  <c r="B12656" i="1"/>
  <c r="A12656" i="1"/>
  <c r="F12655" i="1"/>
  <c r="E12655" i="1"/>
  <c r="D12655" i="1"/>
  <c r="C12655" i="1"/>
  <c r="B12655" i="1"/>
  <c r="A12655" i="1"/>
  <c r="F12654" i="1"/>
  <c r="E12654" i="1"/>
  <c r="D12654" i="1"/>
  <c r="C12654" i="1"/>
  <c r="B12654" i="1"/>
  <c r="A12654" i="1"/>
  <c r="F12653" i="1"/>
  <c r="E12653" i="1"/>
  <c r="D12653" i="1"/>
  <c r="C12653" i="1"/>
  <c r="B12653" i="1"/>
  <c r="A12653" i="1"/>
  <c r="F12652" i="1"/>
  <c r="E12652" i="1"/>
  <c r="D12652" i="1"/>
  <c r="C12652" i="1"/>
  <c r="B12652" i="1"/>
  <c r="A12652" i="1"/>
  <c r="F12651" i="1"/>
  <c r="E12651" i="1"/>
  <c r="D12651" i="1"/>
  <c r="C12651" i="1"/>
  <c r="B12651" i="1"/>
  <c r="A12651" i="1"/>
  <c r="F12650" i="1"/>
  <c r="E12650" i="1"/>
  <c r="D12650" i="1"/>
  <c r="C12650" i="1"/>
  <c r="B12650" i="1"/>
  <c r="A12650" i="1"/>
  <c r="F12649" i="1"/>
  <c r="E12649" i="1"/>
  <c r="D12649" i="1"/>
  <c r="C12649" i="1"/>
  <c r="B12649" i="1"/>
  <c r="A12649" i="1"/>
  <c r="F12648" i="1"/>
  <c r="E12648" i="1"/>
  <c r="D12648" i="1"/>
  <c r="C12648" i="1"/>
  <c r="B12648" i="1"/>
  <c r="A12648" i="1"/>
  <c r="F12647" i="1"/>
  <c r="E12647" i="1"/>
  <c r="D12647" i="1"/>
  <c r="C12647" i="1"/>
  <c r="B12647" i="1"/>
  <c r="A12647" i="1"/>
  <c r="F12646" i="1"/>
  <c r="E12646" i="1"/>
  <c r="D12646" i="1"/>
  <c r="C12646" i="1"/>
  <c r="B12646" i="1"/>
  <c r="A12646" i="1"/>
  <c r="F12645" i="1"/>
  <c r="E12645" i="1"/>
  <c r="D12645" i="1"/>
  <c r="C12645" i="1"/>
  <c r="B12645" i="1"/>
  <c r="A12645" i="1"/>
  <c r="F12644" i="1"/>
  <c r="E12644" i="1"/>
  <c r="D12644" i="1"/>
  <c r="C12644" i="1"/>
  <c r="B12644" i="1"/>
  <c r="A12644" i="1"/>
  <c r="F12643" i="1"/>
  <c r="E12643" i="1"/>
  <c r="D12643" i="1"/>
  <c r="C12643" i="1"/>
  <c r="B12643" i="1"/>
  <c r="A12643" i="1"/>
  <c r="F12642" i="1"/>
  <c r="E12642" i="1"/>
  <c r="D12642" i="1"/>
  <c r="C12642" i="1"/>
  <c r="B12642" i="1"/>
  <c r="A12642" i="1"/>
  <c r="F12641" i="1"/>
  <c r="E12641" i="1"/>
  <c r="D12641" i="1"/>
  <c r="C12641" i="1"/>
  <c r="B12641" i="1"/>
  <c r="A12641" i="1"/>
  <c r="F12640" i="1"/>
  <c r="E12640" i="1"/>
  <c r="D12640" i="1"/>
  <c r="C12640" i="1"/>
  <c r="B12640" i="1"/>
  <c r="A12640" i="1"/>
  <c r="F12639" i="1"/>
  <c r="E12639" i="1"/>
  <c r="D12639" i="1"/>
  <c r="C12639" i="1"/>
  <c r="B12639" i="1"/>
  <c r="A12639" i="1"/>
  <c r="F12638" i="1"/>
  <c r="E12638" i="1"/>
  <c r="D12638" i="1"/>
  <c r="C12638" i="1"/>
  <c r="B12638" i="1"/>
  <c r="A12638" i="1"/>
  <c r="F12637" i="1"/>
  <c r="E12637" i="1"/>
  <c r="D12637" i="1"/>
  <c r="C12637" i="1"/>
  <c r="B12637" i="1"/>
  <c r="A12637" i="1"/>
  <c r="F12636" i="1"/>
  <c r="E12636" i="1"/>
  <c r="D12636" i="1"/>
  <c r="C12636" i="1"/>
  <c r="B12636" i="1"/>
  <c r="A12636" i="1"/>
  <c r="F12635" i="1"/>
  <c r="E12635" i="1"/>
  <c r="D12635" i="1"/>
  <c r="C12635" i="1"/>
  <c r="B12635" i="1"/>
  <c r="A12635" i="1"/>
  <c r="F12634" i="1"/>
  <c r="E12634" i="1"/>
  <c r="D12634" i="1"/>
  <c r="C12634" i="1"/>
  <c r="B12634" i="1"/>
  <c r="A12634" i="1"/>
  <c r="F12633" i="1"/>
  <c r="E12633" i="1"/>
  <c r="D12633" i="1"/>
  <c r="C12633" i="1"/>
  <c r="B12633" i="1"/>
  <c r="A12633" i="1"/>
  <c r="F12632" i="1"/>
  <c r="E12632" i="1"/>
  <c r="D12632" i="1"/>
  <c r="C12632" i="1"/>
  <c r="B12632" i="1"/>
  <c r="A12632" i="1"/>
  <c r="F12631" i="1"/>
  <c r="E12631" i="1"/>
  <c r="D12631" i="1"/>
  <c r="C12631" i="1"/>
  <c r="B12631" i="1"/>
  <c r="A12631" i="1"/>
  <c r="F12630" i="1"/>
  <c r="E12630" i="1"/>
  <c r="D12630" i="1"/>
  <c r="C12630" i="1"/>
  <c r="B12630" i="1"/>
  <c r="A12630" i="1"/>
  <c r="F12629" i="1"/>
  <c r="E12629" i="1"/>
  <c r="D12629" i="1"/>
  <c r="C12629" i="1"/>
  <c r="B12629" i="1"/>
  <c r="A12629" i="1"/>
  <c r="F12628" i="1"/>
  <c r="E12628" i="1"/>
  <c r="D12628" i="1"/>
  <c r="C12628" i="1"/>
  <c r="B12628" i="1"/>
  <c r="A12628" i="1"/>
  <c r="F12627" i="1"/>
  <c r="E12627" i="1"/>
  <c r="D12627" i="1"/>
  <c r="C12627" i="1"/>
  <c r="B12627" i="1"/>
  <c r="A12627" i="1"/>
  <c r="F12626" i="1"/>
  <c r="E12626" i="1"/>
  <c r="D12626" i="1"/>
  <c r="C12626" i="1"/>
  <c r="B12626" i="1"/>
  <c r="A12626" i="1"/>
  <c r="F12625" i="1"/>
  <c r="E12625" i="1"/>
  <c r="D12625" i="1"/>
  <c r="C12625" i="1"/>
  <c r="B12625" i="1"/>
  <c r="A12625" i="1"/>
  <c r="F12624" i="1"/>
  <c r="E12624" i="1"/>
  <c r="D12624" i="1"/>
  <c r="C12624" i="1"/>
  <c r="B12624" i="1"/>
  <c r="A12624" i="1"/>
  <c r="F12623" i="1"/>
  <c r="E12623" i="1"/>
  <c r="D12623" i="1"/>
  <c r="C12623" i="1"/>
  <c r="B12623" i="1"/>
  <c r="A12623" i="1"/>
  <c r="F12622" i="1"/>
  <c r="E12622" i="1"/>
  <c r="D12622" i="1"/>
  <c r="C12622" i="1"/>
  <c r="B12622" i="1"/>
  <c r="A12622" i="1"/>
  <c r="F12621" i="1"/>
  <c r="E12621" i="1"/>
  <c r="D12621" i="1"/>
  <c r="C12621" i="1"/>
  <c r="B12621" i="1"/>
  <c r="A12621" i="1"/>
  <c r="F12620" i="1"/>
  <c r="E12620" i="1"/>
  <c r="D12620" i="1"/>
  <c r="C12620" i="1"/>
  <c r="B12620" i="1"/>
  <c r="A12620" i="1"/>
  <c r="F12619" i="1"/>
  <c r="E12619" i="1"/>
  <c r="D12619" i="1"/>
  <c r="C12619" i="1"/>
  <c r="B12619" i="1"/>
  <c r="A12619" i="1"/>
  <c r="F12618" i="1"/>
  <c r="E12618" i="1"/>
  <c r="D12618" i="1"/>
  <c r="C12618" i="1"/>
  <c r="B12618" i="1"/>
  <c r="A12618" i="1"/>
  <c r="F12617" i="1"/>
  <c r="E12617" i="1"/>
  <c r="D12617" i="1"/>
  <c r="C12617" i="1"/>
  <c r="B12617" i="1"/>
  <c r="A12617" i="1"/>
  <c r="F12616" i="1"/>
  <c r="E12616" i="1"/>
  <c r="D12616" i="1"/>
  <c r="C12616" i="1"/>
  <c r="B12616" i="1"/>
  <c r="A12616" i="1"/>
  <c r="F12615" i="1"/>
  <c r="E12615" i="1"/>
  <c r="D12615" i="1"/>
  <c r="C12615" i="1"/>
  <c r="B12615" i="1"/>
  <c r="A12615" i="1"/>
  <c r="F12614" i="1"/>
  <c r="E12614" i="1"/>
  <c r="D12614" i="1"/>
  <c r="C12614" i="1"/>
  <c r="B12614" i="1"/>
  <c r="A12614" i="1"/>
  <c r="F12613" i="1"/>
  <c r="E12613" i="1"/>
  <c r="D12613" i="1"/>
  <c r="C12613" i="1"/>
  <c r="B12613" i="1"/>
  <c r="A12613" i="1"/>
  <c r="F12612" i="1"/>
  <c r="E12612" i="1"/>
  <c r="D12612" i="1"/>
  <c r="C12612" i="1"/>
  <c r="B12612" i="1"/>
  <c r="A12612" i="1"/>
  <c r="F12611" i="1"/>
  <c r="E12611" i="1"/>
  <c r="D12611" i="1"/>
  <c r="C12611" i="1"/>
  <c r="B12611" i="1"/>
  <c r="A12611" i="1"/>
  <c r="F12610" i="1"/>
  <c r="E12610" i="1"/>
  <c r="D12610" i="1"/>
  <c r="C12610" i="1"/>
  <c r="B12610" i="1"/>
  <c r="A12610" i="1"/>
  <c r="F12609" i="1"/>
  <c r="E12609" i="1"/>
  <c r="D12609" i="1"/>
  <c r="C12609" i="1"/>
  <c r="B12609" i="1"/>
  <c r="A12609" i="1"/>
  <c r="F12608" i="1"/>
  <c r="E12608" i="1"/>
  <c r="D12608" i="1"/>
  <c r="C12608" i="1"/>
  <c r="B12608" i="1"/>
  <c r="A12608" i="1"/>
  <c r="F12607" i="1"/>
  <c r="E12607" i="1"/>
  <c r="D12607" i="1"/>
  <c r="C12607" i="1"/>
  <c r="B12607" i="1"/>
  <c r="A12607" i="1"/>
  <c r="F12606" i="1"/>
  <c r="E12606" i="1"/>
  <c r="D12606" i="1"/>
  <c r="C12606" i="1"/>
  <c r="B12606" i="1"/>
  <c r="A12606" i="1"/>
  <c r="F12605" i="1"/>
  <c r="E12605" i="1"/>
  <c r="D12605" i="1"/>
  <c r="C12605" i="1"/>
  <c r="B12605" i="1"/>
  <c r="A12605" i="1"/>
  <c r="F12604" i="1"/>
  <c r="E12604" i="1"/>
  <c r="D12604" i="1"/>
  <c r="C12604" i="1"/>
  <c r="B12604" i="1"/>
  <c r="A12604" i="1"/>
  <c r="F12603" i="1"/>
  <c r="E12603" i="1"/>
  <c r="D12603" i="1"/>
  <c r="C12603" i="1"/>
  <c r="B12603" i="1"/>
  <c r="A12603" i="1"/>
  <c r="F12602" i="1"/>
  <c r="E12602" i="1"/>
  <c r="D12602" i="1"/>
  <c r="C12602" i="1"/>
  <c r="B12602" i="1"/>
  <c r="A12602" i="1"/>
  <c r="F12601" i="1"/>
  <c r="E12601" i="1"/>
  <c r="D12601" i="1"/>
  <c r="C12601" i="1"/>
  <c r="B12601" i="1"/>
  <c r="A12601" i="1"/>
  <c r="F12600" i="1"/>
  <c r="E12600" i="1"/>
  <c r="D12600" i="1"/>
  <c r="C12600" i="1"/>
  <c r="B12600" i="1"/>
  <c r="A12600" i="1"/>
  <c r="F12599" i="1"/>
  <c r="E12599" i="1"/>
  <c r="D12599" i="1"/>
  <c r="C12599" i="1"/>
  <c r="B12599" i="1"/>
  <c r="A12599" i="1"/>
  <c r="F12598" i="1"/>
  <c r="E12598" i="1"/>
  <c r="D12598" i="1"/>
  <c r="C12598" i="1"/>
  <c r="B12598" i="1"/>
  <c r="A12598" i="1"/>
  <c r="F12597" i="1"/>
  <c r="E12597" i="1"/>
  <c r="D12597" i="1"/>
  <c r="C12597" i="1"/>
  <c r="B12597" i="1"/>
  <c r="A12597" i="1"/>
  <c r="F12596" i="1"/>
  <c r="E12596" i="1"/>
  <c r="D12596" i="1"/>
  <c r="C12596" i="1"/>
  <c r="B12596" i="1"/>
  <c r="A12596" i="1"/>
  <c r="F12595" i="1"/>
  <c r="E12595" i="1"/>
  <c r="D12595" i="1"/>
  <c r="C12595" i="1"/>
  <c r="B12595" i="1"/>
  <c r="A12595" i="1"/>
  <c r="F12594" i="1"/>
  <c r="E12594" i="1"/>
  <c r="D12594" i="1"/>
  <c r="C12594" i="1"/>
  <c r="B12594" i="1"/>
  <c r="A12594" i="1"/>
  <c r="F12593" i="1"/>
  <c r="E12593" i="1"/>
  <c r="D12593" i="1"/>
  <c r="C12593" i="1"/>
  <c r="B12593" i="1"/>
  <c r="A12593" i="1"/>
  <c r="F12592" i="1"/>
  <c r="E12592" i="1"/>
  <c r="D12592" i="1"/>
  <c r="C12592" i="1"/>
  <c r="B12592" i="1"/>
  <c r="A12592" i="1"/>
  <c r="F12591" i="1"/>
  <c r="E12591" i="1"/>
  <c r="D12591" i="1"/>
  <c r="C12591" i="1"/>
  <c r="B12591" i="1"/>
  <c r="A12591" i="1"/>
  <c r="F12590" i="1"/>
  <c r="E12590" i="1"/>
  <c r="D12590" i="1"/>
  <c r="C12590" i="1"/>
  <c r="B12590" i="1"/>
  <c r="A12590" i="1"/>
  <c r="F12589" i="1"/>
  <c r="E12589" i="1"/>
  <c r="D12589" i="1"/>
  <c r="C12589" i="1"/>
  <c r="B12589" i="1"/>
  <c r="A12589" i="1"/>
  <c r="F12588" i="1"/>
  <c r="E12588" i="1"/>
  <c r="D12588" i="1"/>
  <c r="C12588" i="1"/>
  <c r="B12588" i="1"/>
  <c r="A12588" i="1"/>
  <c r="F12587" i="1"/>
  <c r="E12587" i="1"/>
  <c r="D12587" i="1"/>
  <c r="C12587" i="1"/>
  <c r="B12587" i="1"/>
  <c r="A12587" i="1"/>
  <c r="F12586" i="1"/>
  <c r="E12586" i="1"/>
  <c r="D12586" i="1"/>
  <c r="C12586" i="1"/>
  <c r="B12586" i="1"/>
  <c r="A12586" i="1"/>
  <c r="F12585" i="1"/>
  <c r="E12585" i="1"/>
  <c r="D12585" i="1"/>
  <c r="C12585" i="1"/>
  <c r="B12585" i="1"/>
  <c r="A12585" i="1"/>
  <c r="F12584" i="1"/>
  <c r="E12584" i="1"/>
  <c r="D12584" i="1"/>
  <c r="C12584" i="1"/>
  <c r="B12584" i="1"/>
  <c r="A12584" i="1"/>
  <c r="F12583" i="1"/>
  <c r="E12583" i="1"/>
  <c r="D12583" i="1"/>
  <c r="C12583" i="1"/>
  <c r="B12583" i="1"/>
  <c r="A12583" i="1"/>
  <c r="F12582" i="1"/>
  <c r="E12582" i="1"/>
  <c r="D12582" i="1"/>
  <c r="C12582" i="1"/>
  <c r="B12582" i="1"/>
  <c r="A12582" i="1"/>
  <c r="F12581" i="1"/>
  <c r="E12581" i="1"/>
  <c r="D12581" i="1"/>
  <c r="C12581" i="1"/>
  <c r="B12581" i="1"/>
  <c r="A12581" i="1"/>
  <c r="F12580" i="1"/>
  <c r="E12580" i="1"/>
  <c r="D12580" i="1"/>
  <c r="C12580" i="1"/>
  <c r="B12580" i="1"/>
  <c r="A12580" i="1"/>
  <c r="F12579" i="1"/>
  <c r="E12579" i="1"/>
  <c r="D12579" i="1"/>
  <c r="C12579" i="1"/>
  <c r="B12579" i="1"/>
  <c r="A12579" i="1"/>
  <c r="F12578" i="1"/>
  <c r="E12578" i="1"/>
  <c r="D12578" i="1"/>
  <c r="C12578" i="1"/>
  <c r="B12578" i="1"/>
  <c r="A12578" i="1"/>
  <c r="F12577" i="1"/>
  <c r="E12577" i="1"/>
  <c r="D12577" i="1"/>
  <c r="C12577" i="1"/>
  <c r="B12577" i="1"/>
  <c r="A12577" i="1"/>
  <c r="F12576" i="1"/>
  <c r="E12576" i="1"/>
  <c r="D12576" i="1"/>
  <c r="C12576" i="1"/>
  <c r="B12576" i="1"/>
  <c r="A12576" i="1"/>
  <c r="F12575" i="1"/>
  <c r="E12575" i="1"/>
  <c r="D12575" i="1"/>
  <c r="C12575" i="1"/>
  <c r="B12575" i="1"/>
  <c r="A12575" i="1"/>
  <c r="F12574" i="1"/>
  <c r="E12574" i="1"/>
  <c r="D12574" i="1"/>
  <c r="C12574" i="1"/>
  <c r="B12574" i="1"/>
  <c r="A12574" i="1"/>
  <c r="F12573" i="1"/>
  <c r="E12573" i="1"/>
  <c r="D12573" i="1"/>
  <c r="C12573" i="1"/>
  <c r="B12573" i="1"/>
  <c r="A12573" i="1"/>
  <c r="F12572" i="1"/>
  <c r="E12572" i="1"/>
  <c r="D12572" i="1"/>
  <c r="C12572" i="1"/>
  <c r="B12572" i="1"/>
  <c r="A12572" i="1"/>
  <c r="F12571" i="1"/>
  <c r="E12571" i="1"/>
  <c r="D12571" i="1"/>
  <c r="C12571" i="1"/>
  <c r="B12571" i="1"/>
  <c r="A12571" i="1"/>
  <c r="F12570" i="1"/>
  <c r="E12570" i="1"/>
  <c r="D12570" i="1"/>
  <c r="C12570" i="1"/>
  <c r="B12570" i="1"/>
  <c r="A12570" i="1"/>
  <c r="F12569" i="1"/>
  <c r="E12569" i="1"/>
  <c r="D12569" i="1"/>
  <c r="C12569" i="1"/>
  <c r="B12569" i="1"/>
  <c r="A12569" i="1"/>
  <c r="F12568" i="1"/>
  <c r="E12568" i="1"/>
  <c r="D12568" i="1"/>
  <c r="C12568" i="1"/>
  <c r="B12568" i="1"/>
  <c r="A12568" i="1"/>
  <c r="F12567" i="1"/>
  <c r="E12567" i="1"/>
  <c r="D12567" i="1"/>
  <c r="C12567" i="1"/>
  <c r="B12567" i="1"/>
  <c r="A12567" i="1"/>
  <c r="F12566" i="1"/>
  <c r="E12566" i="1"/>
  <c r="D12566" i="1"/>
  <c r="C12566" i="1"/>
  <c r="B12566" i="1"/>
  <c r="A12566" i="1"/>
  <c r="F12565" i="1"/>
  <c r="E12565" i="1"/>
  <c r="D12565" i="1"/>
  <c r="C12565" i="1"/>
  <c r="B12565" i="1"/>
  <c r="A12565" i="1"/>
  <c r="F12564" i="1"/>
  <c r="E12564" i="1"/>
  <c r="D12564" i="1"/>
  <c r="C12564" i="1"/>
  <c r="B12564" i="1"/>
  <c r="A12564" i="1"/>
  <c r="F12563" i="1"/>
  <c r="E12563" i="1"/>
  <c r="D12563" i="1"/>
  <c r="C12563" i="1"/>
  <c r="B12563" i="1"/>
  <c r="A12563" i="1"/>
  <c r="F12562" i="1"/>
  <c r="E12562" i="1"/>
  <c r="D12562" i="1"/>
  <c r="C12562" i="1"/>
  <c r="B12562" i="1"/>
  <c r="A12562" i="1"/>
  <c r="F12561" i="1"/>
  <c r="E12561" i="1"/>
  <c r="D12561" i="1"/>
  <c r="C12561" i="1"/>
  <c r="B12561" i="1"/>
  <c r="A12561" i="1"/>
  <c r="F12560" i="1"/>
  <c r="E12560" i="1"/>
  <c r="D12560" i="1"/>
  <c r="C12560" i="1"/>
  <c r="B12560" i="1"/>
  <c r="A12560" i="1"/>
  <c r="F12559" i="1"/>
  <c r="E12559" i="1"/>
  <c r="D12559" i="1"/>
  <c r="C12559" i="1"/>
  <c r="B12559" i="1"/>
  <c r="A12559" i="1"/>
  <c r="F12558" i="1"/>
  <c r="E12558" i="1"/>
  <c r="D12558" i="1"/>
  <c r="C12558" i="1"/>
  <c r="B12558" i="1"/>
  <c r="A12558" i="1"/>
  <c r="F12557" i="1"/>
  <c r="E12557" i="1"/>
  <c r="D12557" i="1"/>
  <c r="C12557" i="1"/>
  <c r="B12557" i="1"/>
  <c r="A12557" i="1"/>
  <c r="F12556" i="1"/>
  <c r="E12556" i="1"/>
  <c r="D12556" i="1"/>
  <c r="C12556" i="1"/>
  <c r="B12556" i="1"/>
  <c r="A12556" i="1"/>
  <c r="F12555" i="1"/>
  <c r="E12555" i="1"/>
  <c r="D12555" i="1"/>
  <c r="C12555" i="1"/>
  <c r="B12555" i="1"/>
  <c r="A12555" i="1"/>
  <c r="F12554" i="1"/>
  <c r="E12554" i="1"/>
  <c r="D12554" i="1"/>
  <c r="C12554" i="1"/>
  <c r="B12554" i="1"/>
  <c r="A12554" i="1"/>
  <c r="F12553" i="1"/>
  <c r="E12553" i="1"/>
  <c r="D12553" i="1"/>
  <c r="C12553" i="1"/>
  <c r="B12553" i="1"/>
  <c r="A12553" i="1"/>
  <c r="F12552" i="1"/>
  <c r="E12552" i="1"/>
  <c r="D12552" i="1"/>
  <c r="C12552" i="1"/>
  <c r="B12552" i="1"/>
  <c r="A12552" i="1"/>
  <c r="F12551" i="1"/>
  <c r="E12551" i="1"/>
  <c r="D12551" i="1"/>
  <c r="C12551" i="1"/>
  <c r="B12551" i="1"/>
  <c r="A12551" i="1"/>
  <c r="F12550" i="1"/>
  <c r="E12550" i="1"/>
  <c r="D12550" i="1"/>
  <c r="C12550" i="1"/>
  <c r="B12550" i="1"/>
  <c r="A12550" i="1"/>
  <c r="F12549" i="1"/>
  <c r="E12549" i="1"/>
  <c r="D12549" i="1"/>
  <c r="C12549" i="1"/>
  <c r="B12549" i="1"/>
  <c r="A12549" i="1"/>
  <c r="F12548" i="1"/>
  <c r="E12548" i="1"/>
  <c r="D12548" i="1"/>
  <c r="C12548" i="1"/>
  <c r="B12548" i="1"/>
  <c r="A12548" i="1"/>
  <c r="F12547" i="1"/>
  <c r="E12547" i="1"/>
  <c r="D12547" i="1"/>
  <c r="C12547" i="1"/>
  <c r="B12547" i="1"/>
  <c r="A12547" i="1"/>
  <c r="F12546" i="1"/>
  <c r="E12546" i="1"/>
  <c r="D12546" i="1"/>
  <c r="C12546" i="1"/>
  <c r="B12546" i="1"/>
  <c r="A12546" i="1"/>
  <c r="F12545" i="1"/>
  <c r="E12545" i="1"/>
  <c r="D12545" i="1"/>
  <c r="C12545" i="1"/>
  <c r="B12545" i="1"/>
  <c r="A12545" i="1"/>
  <c r="F12544" i="1"/>
  <c r="E12544" i="1"/>
  <c r="D12544" i="1"/>
  <c r="C12544" i="1"/>
  <c r="B12544" i="1"/>
  <c r="A12544" i="1"/>
  <c r="F12543" i="1"/>
  <c r="E12543" i="1"/>
  <c r="D12543" i="1"/>
  <c r="C12543" i="1"/>
  <c r="B12543" i="1"/>
  <c r="A12543" i="1"/>
  <c r="F12542" i="1"/>
  <c r="E12542" i="1"/>
  <c r="D12542" i="1"/>
  <c r="C12542" i="1"/>
  <c r="B12542" i="1"/>
  <c r="A12542" i="1"/>
  <c r="F12541" i="1"/>
  <c r="E12541" i="1"/>
  <c r="D12541" i="1"/>
  <c r="C12541" i="1"/>
  <c r="B12541" i="1"/>
  <c r="A12541" i="1"/>
  <c r="F12540" i="1"/>
  <c r="E12540" i="1"/>
  <c r="D12540" i="1"/>
  <c r="C12540" i="1"/>
  <c r="B12540" i="1"/>
  <c r="A12540" i="1"/>
  <c r="F12539" i="1"/>
  <c r="E12539" i="1"/>
  <c r="D12539" i="1"/>
  <c r="C12539" i="1"/>
  <c r="B12539" i="1"/>
  <c r="A12539" i="1"/>
  <c r="F12538" i="1"/>
  <c r="E12538" i="1"/>
  <c r="D12538" i="1"/>
  <c r="C12538" i="1"/>
  <c r="B12538" i="1"/>
  <c r="A12538" i="1"/>
  <c r="F12537" i="1"/>
  <c r="E12537" i="1"/>
  <c r="D12537" i="1"/>
  <c r="C12537" i="1"/>
  <c r="B12537" i="1"/>
  <c r="A12537" i="1"/>
  <c r="F12536" i="1"/>
  <c r="E12536" i="1"/>
  <c r="D12536" i="1"/>
  <c r="C12536" i="1"/>
  <c r="B12536" i="1"/>
  <c r="A12536" i="1"/>
  <c r="F12535" i="1"/>
  <c r="E12535" i="1"/>
  <c r="D12535" i="1"/>
  <c r="C12535" i="1"/>
  <c r="B12535" i="1"/>
  <c r="A12535" i="1"/>
  <c r="F12534" i="1"/>
  <c r="E12534" i="1"/>
  <c r="D12534" i="1"/>
  <c r="C12534" i="1"/>
  <c r="B12534" i="1"/>
  <c r="A12534" i="1"/>
  <c r="F12533" i="1"/>
  <c r="E12533" i="1"/>
  <c r="D12533" i="1"/>
  <c r="C12533" i="1"/>
  <c r="B12533" i="1"/>
  <c r="A12533" i="1"/>
  <c r="F12532" i="1"/>
  <c r="E12532" i="1"/>
  <c r="D12532" i="1"/>
  <c r="C12532" i="1"/>
  <c r="B12532" i="1"/>
  <c r="A12532" i="1"/>
  <c r="F12531" i="1"/>
  <c r="E12531" i="1"/>
  <c r="D12531" i="1"/>
  <c r="C12531" i="1"/>
  <c r="B12531" i="1"/>
  <c r="A12531" i="1"/>
  <c r="F12530" i="1"/>
  <c r="E12530" i="1"/>
  <c r="D12530" i="1"/>
  <c r="C12530" i="1"/>
  <c r="B12530" i="1"/>
  <c r="A12530" i="1"/>
  <c r="F12529" i="1"/>
  <c r="E12529" i="1"/>
  <c r="D12529" i="1"/>
  <c r="C12529" i="1"/>
  <c r="B12529" i="1"/>
  <c r="A12529" i="1"/>
  <c r="F12528" i="1"/>
  <c r="E12528" i="1"/>
  <c r="D12528" i="1"/>
  <c r="C12528" i="1"/>
  <c r="B12528" i="1"/>
  <c r="A12528" i="1"/>
  <c r="F12527" i="1"/>
  <c r="E12527" i="1"/>
  <c r="D12527" i="1"/>
  <c r="C12527" i="1"/>
  <c r="B12527" i="1"/>
  <c r="A12527" i="1"/>
  <c r="F12526" i="1"/>
  <c r="E12526" i="1"/>
  <c r="D12526" i="1"/>
  <c r="C12526" i="1"/>
  <c r="B12526" i="1"/>
  <c r="A12526" i="1"/>
  <c r="F12525" i="1"/>
  <c r="E12525" i="1"/>
  <c r="D12525" i="1"/>
  <c r="C12525" i="1"/>
  <c r="B12525" i="1"/>
  <c r="A12525" i="1"/>
  <c r="F12524" i="1"/>
  <c r="E12524" i="1"/>
  <c r="D12524" i="1"/>
  <c r="C12524" i="1"/>
  <c r="B12524" i="1"/>
  <c r="A12524" i="1"/>
  <c r="F12523" i="1"/>
  <c r="E12523" i="1"/>
  <c r="D12523" i="1"/>
  <c r="C12523" i="1"/>
  <c r="B12523" i="1"/>
  <c r="A12523" i="1"/>
  <c r="F12522" i="1"/>
  <c r="E12522" i="1"/>
  <c r="D12522" i="1"/>
  <c r="C12522" i="1"/>
  <c r="B12522" i="1"/>
  <c r="A12522" i="1"/>
  <c r="F12521" i="1"/>
  <c r="E12521" i="1"/>
  <c r="D12521" i="1"/>
  <c r="C12521" i="1"/>
  <c r="B12521" i="1"/>
  <c r="A12521" i="1"/>
  <c r="F12520" i="1"/>
  <c r="E12520" i="1"/>
  <c r="D12520" i="1"/>
  <c r="C12520" i="1"/>
  <c r="B12520" i="1"/>
  <c r="A12520" i="1"/>
  <c r="F12519" i="1"/>
  <c r="E12519" i="1"/>
  <c r="D12519" i="1"/>
  <c r="C12519" i="1"/>
  <c r="B12519" i="1"/>
  <c r="A12519" i="1"/>
  <c r="F12518" i="1"/>
  <c r="E12518" i="1"/>
  <c r="D12518" i="1"/>
  <c r="C12518" i="1"/>
  <c r="B12518" i="1"/>
  <c r="A12518" i="1"/>
  <c r="F12517" i="1"/>
  <c r="E12517" i="1"/>
  <c r="D12517" i="1"/>
  <c r="C12517" i="1"/>
  <c r="B12517" i="1"/>
  <c r="A12517" i="1"/>
  <c r="F12516" i="1"/>
  <c r="E12516" i="1"/>
  <c r="D12516" i="1"/>
  <c r="C12516" i="1"/>
  <c r="B12516" i="1"/>
  <c r="A12516" i="1"/>
  <c r="F12515" i="1"/>
  <c r="E12515" i="1"/>
  <c r="D12515" i="1"/>
  <c r="C12515" i="1"/>
  <c r="B12515" i="1"/>
  <c r="A12515" i="1"/>
  <c r="F12514" i="1"/>
  <c r="E12514" i="1"/>
  <c r="D12514" i="1"/>
  <c r="C12514" i="1"/>
  <c r="B12514" i="1"/>
  <c r="A12514" i="1"/>
  <c r="F12513" i="1"/>
  <c r="E12513" i="1"/>
  <c r="D12513" i="1"/>
  <c r="C12513" i="1"/>
  <c r="B12513" i="1"/>
  <c r="A12513" i="1"/>
  <c r="F12512" i="1"/>
  <c r="E12512" i="1"/>
  <c r="D12512" i="1"/>
  <c r="C12512" i="1"/>
  <c r="B12512" i="1"/>
  <c r="A12512" i="1"/>
  <c r="F12511" i="1"/>
  <c r="E12511" i="1"/>
  <c r="D12511" i="1"/>
  <c r="C12511" i="1"/>
  <c r="B12511" i="1"/>
  <c r="A12511" i="1"/>
  <c r="F12510" i="1"/>
  <c r="E12510" i="1"/>
  <c r="D12510" i="1"/>
  <c r="C12510" i="1"/>
  <c r="B12510" i="1"/>
  <c r="A12510" i="1"/>
  <c r="F12509" i="1"/>
  <c r="E12509" i="1"/>
  <c r="D12509" i="1"/>
  <c r="C12509" i="1"/>
  <c r="B12509" i="1"/>
  <c r="A12509" i="1"/>
  <c r="F12508" i="1"/>
  <c r="E12508" i="1"/>
  <c r="D12508" i="1"/>
  <c r="C12508" i="1"/>
  <c r="B12508" i="1"/>
  <c r="A12508" i="1"/>
  <c r="F12507" i="1"/>
  <c r="E12507" i="1"/>
  <c r="D12507" i="1"/>
  <c r="C12507" i="1"/>
  <c r="B12507" i="1"/>
  <c r="A12507" i="1"/>
  <c r="F12506" i="1"/>
  <c r="E12506" i="1"/>
  <c r="D12506" i="1"/>
  <c r="C12506" i="1"/>
  <c r="B12506" i="1"/>
  <c r="A12506" i="1"/>
  <c r="F12505" i="1"/>
  <c r="E12505" i="1"/>
  <c r="D12505" i="1"/>
  <c r="C12505" i="1"/>
  <c r="B12505" i="1"/>
  <c r="A12505" i="1"/>
  <c r="F12504" i="1"/>
  <c r="E12504" i="1"/>
  <c r="D12504" i="1"/>
  <c r="C12504" i="1"/>
  <c r="B12504" i="1"/>
  <c r="A12504" i="1"/>
  <c r="F12503" i="1"/>
  <c r="E12503" i="1"/>
  <c r="D12503" i="1"/>
  <c r="C12503" i="1"/>
  <c r="B12503" i="1"/>
  <c r="A12503" i="1"/>
  <c r="F12502" i="1"/>
  <c r="E12502" i="1"/>
  <c r="D12502" i="1"/>
  <c r="C12502" i="1"/>
  <c r="B12502" i="1"/>
  <c r="A12502" i="1"/>
  <c r="F12501" i="1"/>
  <c r="E12501" i="1"/>
  <c r="D12501" i="1"/>
  <c r="C12501" i="1"/>
  <c r="B12501" i="1"/>
  <c r="A12501" i="1"/>
  <c r="F12500" i="1"/>
  <c r="E12500" i="1"/>
  <c r="D12500" i="1"/>
  <c r="C12500" i="1"/>
  <c r="B12500" i="1"/>
  <c r="A12500" i="1"/>
  <c r="F12499" i="1"/>
  <c r="E12499" i="1"/>
  <c r="D12499" i="1"/>
  <c r="C12499" i="1"/>
  <c r="B12499" i="1"/>
  <c r="A12499" i="1"/>
  <c r="F12498" i="1"/>
  <c r="E12498" i="1"/>
  <c r="D12498" i="1"/>
  <c r="C12498" i="1"/>
  <c r="B12498" i="1"/>
  <c r="A12498" i="1"/>
  <c r="F12497" i="1"/>
  <c r="E12497" i="1"/>
  <c r="D12497" i="1"/>
  <c r="C12497" i="1"/>
  <c r="B12497" i="1"/>
  <c r="A12497" i="1"/>
  <c r="F12496" i="1"/>
  <c r="E12496" i="1"/>
  <c r="D12496" i="1"/>
  <c r="C12496" i="1"/>
  <c r="B12496" i="1"/>
  <c r="A12496" i="1"/>
  <c r="F12495" i="1"/>
  <c r="E12495" i="1"/>
  <c r="D12495" i="1"/>
  <c r="C12495" i="1"/>
  <c r="B12495" i="1"/>
  <c r="A12495" i="1"/>
  <c r="F12494" i="1"/>
  <c r="E12494" i="1"/>
  <c r="D12494" i="1"/>
  <c r="C12494" i="1"/>
  <c r="B12494" i="1"/>
  <c r="A12494" i="1"/>
  <c r="F12493" i="1"/>
  <c r="E12493" i="1"/>
  <c r="D12493" i="1"/>
  <c r="C12493" i="1"/>
  <c r="B12493" i="1"/>
  <c r="A12493" i="1"/>
  <c r="F12492" i="1"/>
  <c r="E12492" i="1"/>
  <c r="D12492" i="1"/>
  <c r="C12492" i="1"/>
  <c r="B12492" i="1"/>
  <c r="A12492" i="1"/>
  <c r="F12491" i="1"/>
  <c r="E12491" i="1"/>
  <c r="D12491" i="1"/>
  <c r="C12491" i="1"/>
  <c r="B12491" i="1"/>
  <c r="A12491" i="1"/>
  <c r="F12490" i="1"/>
  <c r="E12490" i="1"/>
  <c r="D12490" i="1"/>
  <c r="C12490" i="1"/>
  <c r="B12490" i="1"/>
  <c r="A12490" i="1"/>
  <c r="F12489" i="1"/>
  <c r="E12489" i="1"/>
  <c r="D12489" i="1"/>
  <c r="C12489" i="1"/>
  <c r="B12489" i="1"/>
  <c r="A12489" i="1"/>
  <c r="F12488" i="1"/>
  <c r="E12488" i="1"/>
  <c r="D12488" i="1"/>
  <c r="C12488" i="1"/>
  <c r="B12488" i="1"/>
  <c r="A12488" i="1"/>
  <c r="F12487" i="1"/>
  <c r="E12487" i="1"/>
  <c r="D12487" i="1"/>
  <c r="C12487" i="1"/>
  <c r="B12487" i="1"/>
  <c r="A12487" i="1"/>
  <c r="F12486" i="1"/>
  <c r="E12486" i="1"/>
  <c r="D12486" i="1"/>
  <c r="C12486" i="1"/>
  <c r="B12486" i="1"/>
  <c r="A12486" i="1"/>
  <c r="F12485" i="1"/>
  <c r="E12485" i="1"/>
  <c r="D12485" i="1"/>
  <c r="C12485" i="1"/>
  <c r="B12485" i="1"/>
  <c r="A12485" i="1"/>
  <c r="F12484" i="1"/>
  <c r="E12484" i="1"/>
  <c r="D12484" i="1"/>
  <c r="C12484" i="1"/>
  <c r="B12484" i="1"/>
  <c r="A12484" i="1"/>
  <c r="F12483" i="1"/>
  <c r="E12483" i="1"/>
  <c r="D12483" i="1"/>
  <c r="C12483" i="1"/>
  <c r="B12483" i="1"/>
  <c r="A12483" i="1"/>
  <c r="F12482" i="1"/>
  <c r="E12482" i="1"/>
  <c r="D12482" i="1"/>
  <c r="C12482" i="1"/>
  <c r="B12482" i="1"/>
  <c r="A12482" i="1"/>
  <c r="F12481" i="1"/>
  <c r="E12481" i="1"/>
  <c r="D12481" i="1"/>
  <c r="C12481" i="1"/>
  <c r="B12481" i="1"/>
  <c r="A12481" i="1"/>
  <c r="F12480" i="1"/>
  <c r="E12480" i="1"/>
  <c r="D12480" i="1"/>
  <c r="C12480" i="1"/>
  <c r="B12480" i="1"/>
  <c r="A12480" i="1"/>
  <c r="F12479" i="1"/>
  <c r="E12479" i="1"/>
  <c r="D12479" i="1"/>
  <c r="C12479" i="1"/>
  <c r="B12479" i="1"/>
  <c r="A12479" i="1"/>
  <c r="F12478" i="1"/>
  <c r="E12478" i="1"/>
  <c r="D12478" i="1"/>
  <c r="C12478" i="1"/>
  <c r="B12478" i="1"/>
  <c r="A12478" i="1"/>
  <c r="F12477" i="1"/>
  <c r="E12477" i="1"/>
  <c r="D12477" i="1"/>
  <c r="C12477" i="1"/>
  <c r="B12477" i="1"/>
  <c r="A12477" i="1"/>
  <c r="F12476" i="1"/>
  <c r="E12476" i="1"/>
  <c r="D12476" i="1"/>
  <c r="C12476" i="1"/>
  <c r="B12476" i="1"/>
  <c r="A12476" i="1"/>
  <c r="F12475" i="1"/>
  <c r="E12475" i="1"/>
  <c r="D12475" i="1"/>
  <c r="C12475" i="1"/>
  <c r="B12475" i="1"/>
  <c r="A12475" i="1"/>
  <c r="F12474" i="1"/>
  <c r="E12474" i="1"/>
  <c r="D12474" i="1"/>
  <c r="C12474" i="1"/>
  <c r="B12474" i="1"/>
  <c r="A12474" i="1"/>
  <c r="F12473" i="1"/>
  <c r="E12473" i="1"/>
  <c r="D12473" i="1"/>
  <c r="C12473" i="1"/>
  <c r="B12473" i="1"/>
  <c r="A12473" i="1"/>
  <c r="F12472" i="1"/>
  <c r="E12472" i="1"/>
  <c r="D12472" i="1"/>
  <c r="C12472" i="1"/>
  <c r="B12472" i="1"/>
  <c r="A12472" i="1"/>
  <c r="F12471" i="1"/>
  <c r="E12471" i="1"/>
  <c r="D12471" i="1"/>
  <c r="C12471" i="1"/>
  <c r="B12471" i="1"/>
  <c r="A12471" i="1"/>
  <c r="F12470" i="1"/>
  <c r="E12470" i="1"/>
  <c r="D12470" i="1"/>
  <c r="C12470" i="1"/>
  <c r="B12470" i="1"/>
  <c r="A12470" i="1"/>
  <c r="F12469" i="1"/>
  <c r="E12469" i="1"/>
  <c r="D12469" i="1"/>
  <c r="C12469" i="1"/>
  <c r="B12469" i="1"/>
  <c r="A12469" i="1"/>
  <c r="F12468" i="1"/>
  <c r="E12468" i="1"/>
  <c r="D12468" i="1"/>
  <c r="C12468" i="1"/>
  <c r="B12468" i="1"/>
  <c r="A12468" i="1"/>
  <c r="F12467" i="1"/>
  <c r="E12467" i="1"/>
  <c r="D12467" i="1"/>
  <c r="C12467" i="1"/>
  <c r="B12467" i="1"/>
  <c r="A12467" i="1"/>
  <c r="F12466" i="1"/>
  <c r="E12466" i="1"/>
  <c r="D12466" i="1"/>
  <c r="C12466" i="1"/>
  <c r="B12466" i="1"/>
  <c r="A12466" i="1"/>
  <c r="F12465" i="1"/>
  <c r="E12465" i="1"/>
  <c r="D12465" i="1"/>
  <c r="C12465" i="1"/>
  <c r="B12465" i="1"/>
  <c r="A12465" i="1"/>
  <c r="F12464" i="1"/>
  <c r="E12464" i="1"/>
  <c r="D12464" i="1"/>
  <c r="C12464" i="1"/>
  <c r="B12464" i="1"/>
  <c r="A12464" i="1"/>
  <c r="F12463" i="1"/>
  <c r="E12463" i="1"/>
  <c r="D12463" i="1"/>
  <c r="C12463" i="1"/>
  <c r="B12463" i="1"/>
  <c r="A12463" i="1"/>
  <c r="F12462" i="1"/>
  <c r="E12462" i="1"/>
  <c r="D12462" i="1"/>
  <c r="C12462" i="1"/>
  <c r="B12462" i="1"/>
  <c r="A12462" i="1"/>
  <c r="F12461" i="1"/>
  <c r="E12461" i="1"/>
  <c r="D12461" i="1"/>
  <c r="C12461" i="1"/>
  <c r="B12461" i="1"/>
  <c r="A12461" i="1"/>
  <c r="F12460" i="1"/>
  <c r="E12460" i="1"/>
  <c r="D12460" i="1"/>
  <c r="C12460" i="1"/>
  <c r="B12460" i="1"/>
  <c r="A12460" i="1"/>
  <c r="F12459" i="1"/>
  <c r="E12459" i="1"/>
  <c r="D12459" i="1"/>
  <c r="C12459" i="1"/>
  <c r="B12459" i="1"/>
  <c r="A12459" i="1"/>
  <c r="F12458" i="1"/>
  <c r="E12458" i="1"/>
  <c r="D12458" i="1"/>
  <c r="C12458" i="1"/>
  <c r="B12458" i="1"/>
  <c r="A12458" i="1"/>
  <c r="F12457" i="1"/>
  <c r="E12457" i="1"/>
  <c r="D12457" i="1"/>
  <c r="C12457" i="1"/>
  <c r="B12457" i="1"/>
  <c r="A12457" i="1"/>
  <c r="F12456" i="1"/>
  <c r="E12456" i="1"/>
  <c r="D12456" i="1"/>
  <c r="C12456" i="1"/>
  <c r="B12456" i="1"/>
  <c r="A12456" i="1"/>
  <c r="F12455" i="1"/>
  <c r="E12455" i="1"/>
  <c r="D12455" i="1"/>
  <c r="C12455" i="1"/>
  <c r="B12455" i="1"/>
  <c r="A12455" i="1"/>
  <c r="F12454" i="1"/>
  <c r="E12454" i="1"/>
  <c r="D12454" i="1"/>
  <c r="C12454" i="1"/>
  <c r="B12454" i="1"/>
  <c r="A12454" i="1"/>
  <c r="F12453" i="1"/>
  <c r="E12453" i="1"/>
  <c r="D12453" i="1"/>
  <c r="C12453" i="1"/>
  <c r="B12453" i="1"/>
  <c r="A12453" i="1"/>
  <c r="F12452" i="1"/>
  <c r="E12452" i="1"/>
  <c r="D12452" i="1"/>
  <c r="C12452" i="1"/>
  <c r="B12452" i="1"/>
  <c r="A12452" i="1"/>
  <c r="F12451" i="1"/>
  <c r="E12451" i="1"/>
  <c r="D12451" i="1"/>
  <c r="C12451" i="1"/>
  <c r="B12451" i="1"/>
  <c r="A12451" i="1"/>
  <c r="F12450" i="1"/>
  <c r="E12450" i="1"/>
  <c r="D12450" i="1"/>
  <c r="C12450" i="1"/>
  <c r="B12450" i="1"/>
  <c r="A12450" i="1"/>
  <c r="F12449" i="1"/>
  <c r="E12449" i="1"/>
  <c r="D12449" i="1"/>
  <c r="C12449" i="1"/>
  <c r="B12449" i="1"/>
  <c r="A12449" i="1"/>
  <c r="F12448" i="1"/>
  <c r="E12448" i="1"/>
  <c r="D12448" i="1"/>
  <c r="C12448" i="1"/>
  <c r="B12448" i="1"/>
  <c r="A12448" i="1"/>
  <c r="F12447" i="1"/>
  <c r="E12447" i="1"/>
  <c r="D12447" i="1"/>
  <c r="C12447" i="1"/>
  <c r="B12447" i="1"/>
  <c r="A12447" i="1"/>
  <c r="F12446" i="1"/>
  <c r="E12446" i="1"/>
  <c r="D12446" i="1"/>
  <c r="C12446" i="1"/>
  <c r="B12446" i="1"/>
  <c r="A12446" i="1"/>
  <c r="F12445" i="1"/>
  <c r="E12445" i="1"/>
  <c r="D12445" i="1"/>
  <c r="C12445" i="1"/>
  <c r="B12445" i="1"/>
  <c r="A12445" i="1"/>
  <c r="F12444" i="1"/>
  <c r="E12444" i="1"/>
  <c r="D12444" i="1"/>
  <c r="C12444" i="1"/>
  <c r="B12444" i="1"/>
  <c r="A12444" i="1"/>
  <c r="F12443" i="1"/>
  <c r="E12443" i="1"/>
  <c r="D12443" i="1"/>
  <c r="C12443" i="1"/>
  <c r="B12443" i="1"/>
  <c r="A12443" i="1"/>
  <c r="F12442" i="1"/>
  <c r="E12442" i="1"/>
  <c r="D12442" i="1"/>
  <c r="C12442" i="1"/>
  <c r="B12442" i="1"/>
  <c r="A12442" i="1"/>
  <c r="F12441" i="1"/>
  <c r="E12441" i="1"/>
  <c r="D12441" i="1"/>
  <c r="C12441" i="1"/>
  <c r="B12441" i="1"/>
  <c r="A12441" i="1"/>
  <c r="F12440" i="1"/>
  <c r="E12440" i="1"/>
  <c r="D12440" i="1"/>
  <c r="C12440" i="1"/>
  <c r="B12440" i="1"/>
  <c r="A12440" i="1"/>
  <c r="F12439" i="1"/>
  <c r="E12439" i="1"/>
  <c r="D12439" i="1"/>
  <c r="C12439" i="1"/>
  <c r="B12439" i="1"/>
  <c r="A12439" i="1"/>
  <c r="F12438" i="1"/>
  <c r="E12438" i="1"/>
  <c r="D12438" i="1"/>
  <c r="C12438" i="1"/>
  <c r="B12438" i="1"/>
  <c r="A12438" i="1"/>
  <c r="F12437" i="1"/>
  <c r="E12437" i="1"/>
  <c r="D12437" i="1"/>
  <c r="C12437" i="1"/>
  <c r="B12437" i="1"/>
  <c r="A12437" i="1"/>
  <c r="F12436" i="1"/>
  <c r="E12436" i="1"/>
  <c r="D12436" i="1"/>
  <c r="C12436" i="1"/>
  <c r="B12436" i="1"/>
  <c r="A12436" i="1"/>
  <c r="F12435" i="1"/>
  <c r="E12435" i="1"/>
  <c r="D12435" i="1"/>
  <c r="C12435" i="1"/>
  <c r="B12435" i="1"/>
  <c r="A12435" i="1"/>
  <c r="F12434" i="1"/>
  <c r="E12434" i="1"/>
  <c r="D12434" i="1"/>
  <c r="C12434" i="1"/>
  <c r="B12434" i="1"/>
  <c r="A12434" i="1"/>
  <c r="F12433" i="1"/>
  <c r="E12433" i="1"/>
  <c r="D12433" i="1"/>
  <c r="C12433" i="1"/>
  <c r="B12433" i="1"/>
  <c r="A12433" i="1"/>
  <c r="F12432" i="1"/>
  <c r="E12432" i="1"/>
  <c r="D12432" i="1"/>
  <c r="C12432" i="1"/>
  <c r="B12432" i="1"/>
  <c r="A12432" i="1"/>
  <c r="F12431" i="1"/>
  <c r="E12431" i="1"/>
  <c r="D12431" i="1"/>
  <c r="C12431" i="1"/>
  <c r="B12431" i="1"/>
  <c r="A12431" i="1"/>
  <c r="F12430" i="1"/>
  <c r="E12430" i="1"/>
  <c r="D12430" i="1"/>
  <c r="C12430" i="1"/>
  <c r="B12430" i="1"/>
  <c r="A12430" i="1"/>
  <c r="F12429" i="1"/>
  <c r="E12429" i="1"/>
  <c r="D12429" i="1"/>
  <c r="C12429" i="1"/>
  <c r="B12429" i="1"/>
  <c r="A12429" i="1"/>
  <c r="F12428" i="1"/>
  <c r="E12428" i="1"/>
  <c r="D12428" i="1"/>
  <c r="C12428" i="1"/>
  <c r="B12428" i="1"/>
  <c r="A12428" i="1"/>
  <c r="F12427" i="1"/>
  <c r="E12427" i="1"/>
  <c r="D12427" i="1"/>
  <c r="C12427" i="1"/>
  <c r="B12427" i="1"/>
  <c r="A12427" i="1"/>
  <c r="F12426" i="1"/>
  <c r="E12426" i="1"/>
  <c r="D12426" i="1"/>
  <c r="C12426" i="1"/>
  <c r="B12426" i="1"/>
  <c r="A12426" i="1"/>
  <c r="F12425" i="1"/>
  <c r="E12425" i="1"/>
  <c r="D12425" i="1"/>
  <c r="C12425" i="1"/>
  <c r="B12425" i="1"/>
  <c r="A12425" i="1"/>
  <c r="F12424" i="1"/>
  <c r="E12424" i="1"/>
  <c r="D12424" i="1"/>
  <c r="C12424" i="1"/>
  <c r="B12424" i="1"/>
  <c r="A12424" i="1"/>
  <c r="F12423" i="1"/>
  <c r="E12423" i="1"/>
  <c r="D12423" i="1"/>
  <c r="C12423" i="1"/>
  <c r="B12423" i="1"/>
  <c r="A12423" i="1"/>
  <c r="F12422" i="1"/>
  <c r="E12422" i="1"/>
  <c r="D12422" i="1"/>
  <c r="C12422" i="1"/>
  <c r="B12422" i="1"/>
  <c r="A12422" i="1"/>
  <c r="F12421" i="1"/>
  <c r="E12421" i="1"/>
  <c r="D12421" i="1"/>
  <c r="C12421" i="1"/>
  <c r="B12421" i="1"/>
  <c r="A12421" i="1"/>
  <c r="F12420" i="1"/>
  <c r="E12420" i="1"/>
  <c r="D12420" i="1"/>
  <c r="C12420" i="1"/>
  <c r="B12420" i="1"/>
  <c r="A12420" i="1"/>
  <c r="F12419" i="1"/>
  <c r="E12419" i="1"/>
  <c r="D12419" i="1"/>
  <c r="C12419" i="1"/>
  <c r="B12419" i="1"/>
  <c r="A12419" i="1"/>
  <c r="F12418" i="1"/>
  <c r="E12418" i="1"/>
  <c r="D12418" i="1"/>
  <c r="C12418" i="1"/>
  <c r="B12418" i="1"/>
  <c r="A12418" i="1"/>
  <c r="F12417" i="1"/>
  <c r="E12417" i="1"/>
  <c r="D12417" i="1"/>
  <c r="C12417" i="1"/>
  <c r="B12417" i="1"/>
  <c r="A12417" i="1"/>
  <c r="F12416" i="1"/>
  <c r="E12416" i="1"/>
  <c r="D12416" i="1"/>
  <c r="C12416" i="1"/>
  <c r="B12416" i="1"/>
  <c r="A12416" i="1"/>
  <c r="F12415" i="1"/>
  <c r="E12415" i="1"/>
  <c r="D12415" i="1"/>
  <c r="C12415" i="1"/>
  <c r="B12415" i="1"/>
  <c r="A12415" i="1"/>
  <c r="F12414" i="1"/>
  <c r="E12414" i="1"/>
  <c r="D12414" i="1"/>
  <c r="C12414" i="1"/>
  <c r="B12414" i="1"/>
  <c r="A12414" i="1"/>
  <c r="F12413" i="1"/>
  <c r="E12413" i="1"/>
  <c r="D12413" i="1"/>
  <c r="C12413" i="1"/>
  <c r="B12413" i="1"/>
  <c r="A12413" i="1"/>
  <c r="F12412" i="1"/>
  <c r="E12412" i="1"/>
  <c r="D12412" i="1"/>
  <c r="C12412" i="1"/>
  <c r="B12412" i="1"/>
  <c r="A12412" i="1"/>
  <c r="F12411" i="1"/>
  <c r="E12411" i="1"/>
  <c r="D12411" i="1"/>
  <c r="C12411" i="1"/>
  <c r="B12411" i="1"/>
  <c r="A12411" i="1"/>
  <c r="F12410" i="1"/>
  <c r="E12410" i="1"/>
  <c r="D12410" i="1"/>
  <c r="C12410" i="1"/>
  <c r="B12410" i="1"/>
  <c r="A12410" i="1"/>
  <c r="F12409" i="1"/>
  <c r="E12409" i="1"/>
  <c r="D12409" i="1"/>
  <c r="C12409" i="1"/>
  <c r="B12409" i="1"/>
  <c r="A12409" i="1"/>
  <c r="F12408" i="1"/>
  <c r="E12408" i="1"/>
  <c r="D12408" i="1"/>
  <c r="C12408" i="1"/>
  <c r="B12408" i="1"/>
  <c r="A12408" i="1"/>
  <c r="F12407" i="1"/>
  <c r="E12407" i="1"/>
  <c r="D12407" i="1"/>
  <c r="C12407" i="1"/>
  <c r="B12407" i="1"/>
  <c r="A12407" i="1"/>
  <c r="F12406" i="1"/>
  <c r="E12406" i="1"/>
  <c r="D12406" i="1"/>
  <c r="C12406" i="1"/>
  <c r="B12406" i="1"/>
  <c r="A12406" i="1"/>
  <c r="F12405" i="1"/>
  <c r="E12405" i="1"/>
  <c r="D12405" i="1"/>
  <c r="C12405" i="1"/>
  <c r="B12405" i="1"/>
  <c r="A12405" i="1"/>
  <c r="F12404" i="1"/>
  <c r="E12404" i="1"/>
  <c r="D12404" i="1"/>
  <c r="C12404" i="1"/>
  <c r="B12404" i="1"/>
  <c r="A12404" i="1"/>
  <c r="F12403" i="1"/>
  <c r="E12403" i="1"/>
  <c r="D12403" i="1"/>
  <c r="C12403" i="1"/>
  <c r="B12403" i="1"/>
  <c r="A12403" i="1"/>
  <c r="F12402" i="1"/>
  <c r="E12402" i="1"/>
  <c r="D12402" i="1"/>
  <c r="C12402" i="1"/>
  <c r="B12402" i="1"/>
  <c r="A12402" i="1"/>
  <c r="F12401" i="1"/>
  <c r="E12401" i="1"/>
  <c r="D12401" i="1"/>
  <c r="C12401" i="1"/>
  <c r="B12401" i="1"/>
  <c r="A12401" i="1"/>
  <c r="F12400" i="1"/>
  <c r="E12400" i="1"/>
  <c r="D12400" i="1"/>
  <c r="C12400" i="1"/>
  <c r="B12400" i="1"/>
  <c r="A12400" i="1"/>
  <c r="F12399" i="1"/>
  <c r="E12399" i="1"/>
  <c r="D12399" i="1"/>
  <c r="C12399" i="1"/>
  <c r="B12399" i="1"/>
  <c r="A12399" i="1"/>
  <c r="F12398" i="1"/>
  <c r="E12398" i="1"/>
  <c r="D12398" i="1"/>
  <c r="C12398" i="1"/>
  <c r="B12398" i="1"/>
  <c r="A12398" i="1"/>
  <c r="F12397" i="1"/>
  <c r="E12397" i="1"/>
  <c r="D12397" i="1"/>
  <c r="C12397" i="1"/>
  <c r="B12397" i="1"/>
  <c r="A12397" i="1"/>
  <c r="F12396" i="1"/>
  <c r="E12396" i="1"/>
  <c r="D12396" i="1"/>
  <c r="C12396" i="1"/>
  <c r="B12396" i="1"/>
  <c r="A12396" i="1"/>
  <c r="F12395" i="1"/>
  <c r="E12395" i="1"/>
  <c r="D12395" i="1"/>
  <c r="C12395" i="1"/>
  <c r="B12395" i="1"/>
  <c r="A12395" i="1"/>
  <c r="F12394" i="1"/>
  <c r="E12394" i="1"/>
  <c r="D12394" i="1"/>
  <c r="C12394" i="1"/>
  <c r="B12394" i="1"/>
  <c r="A12394" i="1"/>
  <c r="F12393" i="1"/>
  <c r="E12393" i="1"/>
  <c r="D12393" i="1"/>
  <c r="C12393" i="1"/>
  <c r="B12393" i="1"/>
  <c r="A12393" i="1"/>
  <c r="F12392" i="1"/>
  <c r="E12392" i="1"/>
  <c r="D12392" i="1"/>
  <c r="C12392" i="1"/>
  <c r="B12392" i="1"/>
  <c r="A12392" i="1"/>
  <c r="F12391" i="1"/>
  <c r="E12391" i="1"/>
  <c r="D12391" i="1"/>
  <c r="C12391" i="1"/>
  <c r="B12391" i="1"/>
  <c r="A12391" i="1"/>
  <c r="F12390" i="1"/>
  <c r="E12390" i="1"/>
  <c r="D12390" i="1"/>
  <c r="C12390" i="1"/>
  <c r="B12390" i="1"/>
  <c r="A12390" i="1"/>
  <c r="F12389" i="1"/>
  <c r="E12389" i="1"/>
  <c r="D12389" i="1"/>
  <c r="C12389" i="1"/>
  <c r="B12389" i="1"/>
  <c r="A12389" i="1"/>
  <c r="F12388" i="1"/>
  <c r="E12388" i="1"/>
  <c r="D12388" i="1"/>
  <c r="C12388" i="1"/>
  <c r="B12388" i="1"/>
  <c r="A12388" i="1"/>
  <c r="F12387" i="1"/>
  <c r="E12387" i="1"/>
  <c r="D12387" i="1"/>
  <c r="C12387" i="1"/>
  <c r="B12387" i="1"/>
  <c r="A12387" i="1"/>
  <c r="F12386" i="1"/>
  <c r="E12386" i="1"/>
  <c r="D12386" i="1"/>
  <c r="C12386" i="1"/>
  <c r="B12386" i="1"/>
  <c r="A12386" i="1"/>
  <c r="F12385" i="1"/>
  <c r="E12385" i="1"/>
  <c r="D12385" i="1"/>
  <c r="C12385" i="1"/>
  <c r="B12385" i="1"/>
  <c r="A12385" i="1"/>
  <c r="F12384" i="1"/>
  <c r="E12384" i="1"/>
  <c r="D12384" i="1"/>
  <c r="C12384" i="1"/>
  <c r="B12384" i="1"/>
  <c r="A12384" i="1"/>
  <c r="F12383" i="1"/>
  <c r="E12383" i="1"/>
  <c r="D12383" i="1"/>
  <c r="C12383" i="1"/>
  <c r="B12383" i="1"/>
  <c r="A12383" i="1"/>
  <c r="F12382" i="1"/>
  <c r="E12382" i="1"/>
  <c r="D12382" i="1"/>
  <c r="C12382" i="1"/>
  <c r="B12382" i="1"/>
  <c r="A12382" i="1"/>
  <c r="F12381" i="1"/>
  <c r="E12381" i="1"/>
  <c r="D12381" i="1"/>
  <c r="C12381" i="1"/>
  <c r="B12381" i="1"/>
  <c r="A12381" i="1"/>
  <c r="F12380" i="1"/>
  <c r="E12380" i="1"/>
  <c r="D12380" i="1"/>
  <c r="C12380" i="1"/>
  <c r="B12380" i="1"/>
  <c r="A12380" i="1"/>
  <c r="F12379" i="1"/>
  <c r="E12379" i="1"/>
  <c r="D12379" i="1"/>
  <c r="C12379" i="1"/>
  <c r="B12379" i="1"/>
  <c r="A12379" i="1"/>
  <c r="F12378" i="1"/>
  <c r="E12378" i="1"/>
  <c r="D12378" i="1"/>
  <c r="C12378" i="1"/>
  <c r="B12378" i="1"/>
  <c r="A12378" i="1"/>
  <c r="F12377" i="1"/>
  <c r="E12377" i="1"/>
  <c r="D12377" i="1"/>
  <c r="C12377" i="1"/>
  <c r="B12377" i="1"/>
  <c r="A12377" i="1"/>
  <c r="F12376" i="1"/>
  <c r="E12376" i="1"/>
  <c r="D12376" i="1"/>
  <c r="C12376" i="1"/>
  <c r="B12376" i="1"/>
  <c r="A12376" i="1"/>
  <c r="F12375" i="1"/>
  <c r="E12375" i="1"/>
  <c r="D12375" i="1"/>
  <c r="C12375" i="1"/>
  <c r="B12375" i="1"/>
  <c r="A12375" i="1"/>
  <c r="F12374" i="1"/>
  <c r="E12374" i="1"/>
  <c r="D12374" i="1"/>
  <c r="C12374" i="1"/>
  <c r="B12374" i="1"/>
  <c r="A12374" i="1"/>
  <c r="F12373" i="1"/>
  <c r="E12373" i="1"/>
  <c r="D12373" i="1"/>
  <c r="C12373" i="1"/>
  <c r="B12373" i="1"/>
  <c r="A12373" i="1"/>
  <c r="F12372" i="1"/>
  <c r="E12372" i="1"/>
  <c r="D12372" i="1"/>
  <c r="C12372" i="1"/>
  <c r="B12372" i="1"/>
  <c r="A12372" i="1"/>
  <c r="F12371" i="1"/>
  <c r="E12371" i="1"/>
  <c r="D12371" i="1"/>
  <c r="C12371" i="1"/>
  <c r="B12371" i="1"/>
  <c r="A12371" i="1"/>
  <c r="F12370" i="1"/>
  <c r="E12370" i="1"/>
  <c r="D12370" i="1"/>
  <c r="C12370" i="1"/>
  <c r="B12370" i="1"/>
  <c r="A12370" i="1"/>
  <c r="F12369" i="1"/>
  <c r="E12369" i="1"/>
  <c r="D12369" i="1"/>
  <c r="C12369" i="1"/>
  <c r="B12369" i="1"/>
  <c r="A12369" i="1"/>
  <c r="F12368" i="1"/>
  <c r="E12368" i="1"/>
  <c r="D12368" i="1"/>
  <c r="C12368" i="1"/>
  <c r="B12368" i="1"/>
  <c r="A12368" i="1"/>
  <c r="F12367" i="1"/>
  <c r="E12367" i="1"/>
  <c r="D12367" i="1"/>
  <c r="C12367" i="1"/>
  <c r="B12367" i="1"/>
  <c r="A12367" i="1"/>
  <c r="F12366" i="1"/>
  <c r="E12366" i="1"/>
  <c r="D12366" i="1"/>
  <c r="C12366" i="1"/>
  <c r="B12366" i="1"/>
  <c r="A12366" i="1"/>
  <c r="F12365" i="1"/>
  <c r="E12365" i="1"/>
  <c r="D12365" i="1"/>
  <c r="C12365" i="1"/>
  <c r="B12365" i="1"/>
  <c r="A12365" i="1"/>
  <c r="F12364" i="1"/>
  <c r="E12364" i="1"/>
  <c r="D12364" i="1"/>
  <c r="C12364" i="1"/>
  <c r="B12364" i="1"/>
  <c r="A12364" i="1"/>
  <c r="F12363" i="1"/>
  <c r="E12363" i="1"/>
  <c r="D12363" i="1"/>
  <c r="C12363" i="1"/>
  <c r="B12363" i="1"/>
  <c r="A12363" i="1"/>
  <c r="F12362" i="1"/>
  <c r="E12362" i="1"/>
  <c r="D12362" i="1"/>
  <c r="C12362" i="1"/>
  <c r="B12362" i="1"/>
  <c r="A12362" i="1"/>
  <c r="F12361" i="1"/>
  <c r="E12361" i="1"/>
  <c r="D12361" i="1"/>
  <c r="C12361" i="1"/>
  <c r="B12361" i="1"/>
  <c r="A12361" i="1"/>
  <c r="F12360" i="1"/>
  <c r="E12360" i="1"/>
  <c r="D12360" i="1"/>
  <c r="C12360" i="1"/>
  <c r="B12360" i="1"/>
  <c r="A12360" i="1"/>
  <c r="F12359" i="1"/>
  <c r="E12359" i="1"/>
  <c r="D12359" i="1"/>
  <c r="C12359" i="1"/>
  <c r="B12359" i="1"/>
  <c r="A12359" i="1"/>
  <c r="F12358" i="1"/>
  <c r="E12358" i="1"/>
  <c r="D12358" i="1"/>
  <c r="C12358" i="1"/>
  <c r="B12358" i="1"/>
  <c r="A12358" i="1"/>
  <c r="F12357" i="1"/>
  <c r="E12357" i="1"/>
  <c r="D12357" i="1"/>
  <c r="C12357" i="1"/>
  <c r="B12357" i="1"/>
  <c r="A12357" i="1"/>
  <c r="F12356" i="1"/>
  <c r="E12356" i="1"/>
  <c r="D12356" i="1"/>
  <c r="C12356" i="1"/>
  <c r="B12356" i="1"/>
  <c r="A12356" i="1"/>
  <c r="F12355" i="1"/>
  <c r="E12355" i="1"/>
  <c r="D12355" i="1"/>
  <c r="C12355" i="1"/>
  <c r="B12355" i="1"/>
  <c r="A12355" i="1"/>
  <c r="F12354" i="1"/>
  <c r="E12354" i="1"/>
  <c r="D12354" i="1"/>
  <c r="C12354" i="1"/>
  <c r="B12354" i="1"/>
  <c r="A12354" i="1"/>
  <c r="F12353" i="1"/>
  <c r="E12353" i="1"/>
  <c r="D12353" i="1"/>
  <c r="C12353" i="1"/>
  <c r="B12353" i="1"/>
  <c r="A12353" i="1"/>
  <c r="F12352" i="1"/>
  <c r="E12352" i="1"/>
  <c r="D12352" i="1"/>
  <c r="C12352" i="1"/>
  <c r="B12352" i="1"/>
  <c r="A12352" i="1"/>
  <c r="F12351" i="1"/>
  <c r="E12351" i="1"/>
  <c r="D12351" i="1"/>
  <c r="C12351" i="1"/>
  <c r="B12351" i="1"/>
  <c r="A12351" i="1"/>
  <c r="F12350" i="1"/>
  <c r="E12350" i="1"/>
  <c r="D12350" i="1"/>
  <c r="C12350" i="1"/>
  <c r="B12350" i="1"/>
  <c r="A12350" i="1"/>
  <c r="F12349" i="1"/>
  <c r="E12349" i="1"/>
  <c r="D12349" i="1"/>
  <c r="C12349" i="1"/>
  <c r="B12349" i="1"/>
  <c r="A12349" i="1"/>
  <c r="F12348" i="1"/>
  <c r="E12348" i="1"/>
  <c r="D12348" i="1"/>
  <c r="C12348" i="1"/>
  <c r="B12348" i="1"/>
  <c r="A12348" i="1"/>
  <c r="F12347" i="1"/>
  <c r="E12347" i="1"/>
  <c r="D12347" i="1"/>
  <c r="C12347" i="1"/>
  <c r="B12347" i="1"/>
  <c r="A12347" i="1"/>
  <c r="F12346" i="1"/>
  <c r="E12346" i="1"/>
  <c r="D12346" i="1"/>
  <c r="C12346" i="1"/>
  <c r="B12346" i="1"/>
  <c r="A12346" i="1"/>
  <c r="F12345" i="1"/>
  <c r="E12345" i="1"/>
  <c r="D12345" i="1"/>
  <c r="C12345" i="1"/>
  <c r="B12345" i="1"/>
  <c r="A12345" i="1"/>
  <c r="F12344" i="1"/>
  <c r="E12344" i="1"/>
  <c r="D12344" i="1"/>
  <c r="C12344" i="1"/>
  <c r="B12344" i="1"/>
  <c r="A12344" i="1"/>
  <c r="F12343" i="1"/>
  <c r="E12343" i="1"/>
  <c r="D12343" i="1"/>
  <c r="C12343" i="1"/>
  <c r="B12343" i="1"/>
  <c r="A12343" i="1"/>
  <c r="F12342" i="1"/>
  <c r="E12342" i="1"/>
  <c r="D12342" i="1"/>
  <c r="C12342" i="1"/>
  <c r="B12342" i="1"/>
  <c r="A12342" i="1"/>
  <c r="F12341" i="1"/>
  <c r="E12341" i="1"/>
  <c r="D12341" i="1"/>
  <c r="C12341" i="1"/>
  <c r="B12341" i="1"/>
  <c r="A12341" i="1"/>
  <c r="F12340" i="1"/>
  <c r="E12340" i="1"/>
  <c r="D12340" i="1"/>
  <c r="C12340" i="1"/>
  <c r="B12340" i="1"/>
  <c r="A12340" i="1"/>
  <c r="F12339" i="1"/>
  <c r="E12339" i="1"/>
  <c r="D12339" i="1"/>
  <c r="C12339" i="1"/>
  <c r="B12339" i="1"/>
  <c r="A12339" i="1"/>
  <c r="F12338" i="1"/>
  <c r="E12338" i="1"/>
  <c r="D12338" i="1"/>
  <c r="C12338" i="1"/>
  <c r="B12338" i="1"/>
  <c r="A12338" i="1"/>
  <c r="F12337" i="1"/>
  <c r="E12337" i="1"/>
  <c r="D12337" i="1"/>
  <c r="C12337" i="1"/>
  <c r="B12337" i="1"/>
  <c r="A12337" i="1"/>
  <c r="F12336" i="1"/>
  <c r="E12336" i="1"/>
  <c r="D12336" i="1"/>
  <c r="C12336" i="1"/>
  <c r="B12336" i="1"/>
  <c r="A12336" i="1"/>
  <c r="F12335" i="1"/>
  <c r="E12335" i="1"/>
  <c r="D12335" i="1"/>
  <c r="C12335" i="1"/>
  <c r="B12335" i="1"/>
  <c r="A12335" i="1"/>
  <c r="F12334" i="1"/>
  <c r="E12334" i="1"/>
  <c r="D12334" i="1"/>
  <c r="C12334" i="1"/>
  <c r="B12334" i="1"/>
  <c r="A12334" i="1"/>
  <c r="F12333" i="1"/>
  <c r="E12333" i="1"/>
  <c r="D12333" i="1"/>
  <c r="C12333" i="1"/>
  <c r="B12333" i="1"/>
  <c r="A12333" i="1"/>
  <c r="F12332" i="1"/>
  <c r="E12332" i="1"/>
  <c r="D12332" i="1"/>
  <c r="C12332" i="1"/>
  <c r="B12332" i="1"/>
  <c r="A12332" i="1"/>
  <c r="F12331" i="1"/>
  <c r="E12331" i="1"/>
  <c r="D12331" i="1"/>
  <c r="C12331" i="1"/>
  <c r="B12331" i="1"/>
  <c r="A12331" i="1"/>
  <c r="F12330" i="1"/>
  <c r="E12330" i="1"/>
  <c r="D12330" i="1"/>
  <c r="C12330" i="1"/>
  <c r="B12330" i="1"/>
  <c r="A12330" i="1"/>
  <c r="F12329" i="1"/>
  <c r="E12329" i="1"/>
  <c r="D12329" i="1"/>
  <c r="C12329" i="1"/>
  <c r="B12329" i="1"/>
  <c r="A12329" i="1"/>
  <c r="F12328" i="1"/>
  <c r="E12328" i="1"/>
  <c r="D12328" i="1"/>
  <c r="C12328" i="1"/>
  <c r="B12328" i="1"/>
  <c r="A12328" i="1"/>
  <c r="F12327" i="1"/>
  <c r="E12327" i="1"/>
  <c r="D12327" i="1"/>
  <c r="C12327" i="1"/>
  <c r="B12327" i="1"/>
  <c r="A12327" i="1"/>
  <c r="F12326" i="1"/>
  <c r="E12326" i="1"/>
  <c r="D12326" i="1"/>
  <c r="C12326" i="1"/>
  <c r="B12326" i="1"/>
  <c r="A12326" i="1"/>
  <c r="F12325" i="1"/>
  <c r="E12325" i="1"/>
  <c r="D12325" i="1"/>
  <c r="C12325" i="1"/>
  <c r="B12325" i="1"/>
  <c r="A12325" i="1"/>
  <c r="F12324" i="1"/>
  <c r="E12324" i="1"/>
  <c r="D12324" i="1"/>
  <c r="C12324" i="1"/>
  <c r="B12324" i="1"/>
  <c r="A12324" i="1"/>
  <c r="F12323" i="1"/>
  <c r="E12323" i="1"/>
  <c r="D12323" i="1"/>
  <c r="C12323" i="1"/>
  <c r="B12323" i="1"/>
  <c r="A12323" i="1"/>
  <c r="F12322" i="1"/>
  <c r="E12322" i="1"/>
  <c r="D12322" i="1"/>
  <c r="C12322" i="1"/>
  <c r="B12322" i="1"/>
  <c r="A12322" i="1"/>
  <c r="F12321" i="1"/>
  <c r="E12321" i="1"/>
  <c r="D12321" i="1"/>
  <c r="C12321" i="1"/>
  <c r="B12321" i="1"/>
  <c r="A12321" i="1"/>
  <c r="F12320" i="1"/>
  <c r="E12320" i="1"/>
  <c r="D12320" i="1"/>
  <c r="C12320" i="1"/>
  <c r="B12320" i="1"/>
  <c r="A12320" i="1"/>
  <c r="F12319" i="1"/>
  <c r="E12319" i="1"/>
  <c r="D12319" i="1"/>
  <c r="C12319" i="1"/>
  <c r="B12319" i="1"/>
  <c r="A12319" i="1"/>
  <c r="F12318" i="1"/>
  <c r="E12318" i="1"/>
  <c r="D12318" i="1"/>
  <c r="C12318" i="1"/>
  <c r="B12318" i="1"/>
  <c r="A12318" i="1"/>
  <c r="F12317" i="1"/>
  <c r="E12317" i="1"/>
  <c r="D12317" i="1"/>
  <c r="C12317" i="1"/>
  <c r="B12317" i="1"/>
  <c r="A12317" i="1"/>
  <c r="F12316" i="1"/>
  <c r="E12316" i="1"/>
  <c r="D12316" i="1"/>
  <c r="C12316" i="1"/>
  <c r="B12316" i="1"/>
  <c r="A12316" i="1"/>
  <c r="F12315" i="1"/>
  <c r="E12315" i="1"/>
  <c r="D12315" i="1"/>
  <c r="C12315" i="1"/>
  <c r="B12315" i="1"/>
  <c r="A12315" i="1"/>
  <c r="F12314" i="1"/>
  <c r="E12314" i="1"/>
  <c r="D12314" i="1"/>
  <c r="C12314" i="1"/>
  <c r="B12314" i="1"/>
  <c r="A12314" i="1"/>
  <c r="F12313" i="1"/>
  <c r="E12313" i="1"/>
  <c r="D12313" i="1"/>
  <c r="C12313" i="1"/>
  <c r="B12313" i="1"/>
  <c r="A12313" i="1"/>
  <c r="F12312" i="1"/>
  <c r="E12312" i="1"/>
  <c r="D12312" i="1"/>
  <c r="C12312" i="1"/>
  <c r="B12312" i="1"/>
  <c r="A12312" i="1"/>
  <c r="F12311" i="1"/>
  <c r="E12311" i="1"/>
  <c r="D12311" i="1"/>
  <c r="C12311" i="1"/>
  <c r="B12311" i="1"/>
  <c r="A12311" i="1"/>
  <c r="F12310" i="1"/>
  <c r="E12310" i="1"/>
  <c r="D12310" i="1"/>
  <c r="C12310" i="1"/>
  <c r="B12310" i="1"/>
  <c r="A12310" i="1"/>
  <c r="F12309" i="1"/>
  <c r="E12309" i="1"/>
  <c r="D12309" i="1"/>
  <c r="C12309" i="1"/>
  <c r="B12309" i="1"/>
  <c r="A12309" i="1"/>
  <c r="F12308" i="1"/>
  <c r="E12308" i="1"/>
  <c r="D12308" i="1"/>
  <c r="C12308" i="1"/>
  <c r="B12308" i="1"/>
  <c r="A12308" i="1"/>
  <c r="F12307" i="1"/>
  <c r="E12307" i="1"/>
  <c r="D12307" i="1"/>
  <c r="C12307" i="1"/>
  <c r="B12307" i="1"/>
  <c r="A12307" i="1"/>
  <c r="F12306" i="1"/>
  <c r="E12306" i="1"/>
  <c r="D12306" i="1"/>
  <c r="C12306" i="1"/>
  <c r="B12306" i="1"/>
  <c r="A12306" i="1"/>
  <c r="F12305" i="1"/>
  <c r="E12305" i="1"/>
  <c r="D12305" i="1"/>
  <c r="C12305" i="1"/>
  <c r="B12305" i="1"/>
  <c r="A12305" i="1"/>
  <c r="F12304" i="1"/>
  <c r="E12304" i="1"/>
  <c r="D12304" i="1"/>
  <c r="C12304" i="1"/>
  <c r="B12304" i="1"/>
  <c r="A12304" i="1"/>
  <c r="F12303" i="1"/>
  <c r="E12303" i="1"/>
  <c r="D12303" i="1"/>
  <c r="C12303" i="1"/>
  <c r="B12303" i="1"/>
  <c r="A12303" i="1"/>
  <c r="F12302" i="1"/>
  <c r="E12302" i="1"/>
  <c r="D12302" i="1"/>
  <c r="C12302" i="1"/>
  <c r="B12302" i="1"/>
  <c r="A12302" i="1"/>
  <c r="F12301" i="1"/>
  <c r="E12301" i="1"/>
  <c r="D12301" i="1"/>
  <c r="C12301" i="1"/>
  <c r="B12301" i="1"/>
  <c r="A12301" i="1"/>
  <c r="F12300" i="1"/>
  <c r="E12300" i="1"/>
  <c r="D12300" i="1"/>
  <c r="C12300" i="1"/>
  <c r="B12300" i="1"/>
  <c r="A12300" i="1"/>
  <c r="F12299" i="1"/>
  <c r="E12299" i="1"/>
  <c r="D12299" i="1"/>
  <c r="C12299" i="1"/>
  <c r="B12299" i="1"/>
  <c r="A12299" i="1"/>
  <c r="F12298" i="1"/>
  <c r="E12298" i="1"/>
  <c r="D12298" i="1"/>
  <c r="C12298" i="1"/>
  <c r="B12298" i="1"/>
  <c r="A12298" i="1"/>
  <c r="F12297" i="1"/>
  <c r="E12297" i="1"/>
  <c r="D12297" i="1"/>
  <c r="C12297" i="1"/>
  <c r="B12297" i="1"/>
  <c r="A12297" i="1"/>
  <c r="F12296" i="1"/>
  <c r="E12296" i="1"/>
  <c r="D12296" i="1"/>
  <c r="C12296" i="1"/>
  <c r="B12296" i="1"/>
  <c r="A12296" i="1"/>
  <c r="F12295" i="1"/>
  <c r="E12295" i="1"/>
  <c r="D12295" i="1"/>
  <c r="C12295" i="1"/>
  <c r="B12295" i="1"/>
  <c r="A12295" i="1"/>
  <c r="F12294" i="1"/>
  <c r="E12294" i="1"/>
  <c r="D12294" i="1"/>
  <c r="C12294" i="1"/>
  <c r="B12294" i="1"/>
  <c r="A12294" i="1"/>
  <c r="F12293" i="1"/>
  <c r="E12293" i="1"/>
  <c r="D12293" i="1"/>
  <c r="C12293" i="1"/>
  <c r="B12293" i="1"/>
  <c r="A12293" i="1"/>
  <c r="F12292" i="1"/>
  <c r="E12292" i="1"/>
  <c r="D12292" i="1"/>
  <c r="C12292" i="1"/>
  <c r="B12292" i="1"/>
  <c r="A12292" i="1"/>
  <c r="F12291" i="1"/>
  <c r="E12291" i="1"/>
  <c r="D12291" i="1"/>
  <c r="C12291" i="1"/>
  <c r="B12291" i="1"/>
  <c r="A12291" i="1"/>
  <c r="F12290" i="1"/>
  <c r="E12290" i="1"/>
  <c r="D12290" i="1"/>
  <c r="C12290" i="1"/>
  <c r="B12290" i="1"/>
  <c r="A12290" i="1"/>
  <c r="F12289" i="1"/>
  <c r="E12289" i="1"/>
  <c r="D12289" i="1"/>
  <c r="C12289" i="1"/>
  <c r="B12289" i="1"/>
  <c r="A12289" i="1"/>
  <c r="F12288" i="1"/>
  <c r="E12288" i="1"/>
  <c r="D12288" i="1"/>
  <c r="C12288" i="1"/>
  <c r="B12288" i="1"/>
  <c r="A12288" i="1"/>
  <c r="F12287" i="1"/>
  <c r="E12287" i="1"/>
  <c r="D12287" i="1"/>
  <c r="C12287" i="1"/>
  <c r="B12287" i="1"/>
  <c r="A12287" i="1"/>
  <c r="F12286" i="1"/>
  <c r="E12286" i="1"/>
  <c r="D12286" i="1"/>
  <c r="C12286" i="1"/>
  <c r="B12286" i="1"/>
  <c r="A12286" i="1"/>
  <c r="F12285" i="1"/>
  <c r="E12285" i="1"/>
  <c r="D12285" i="1"/>
  <c r="C12285" i="1"/>
  <c r="B12285" i="1"/>
  <c r="A12285" i="1"/>
  <c r="F12284" i="1"/>
  <c r="E12284" i="1"/>
  <c r="D12284" i="1"/>
  <c r="C12284" i="1"/>
  <c r="B12284" i="1"/>
  <c r="A12284" i="1"/>
  <c r="F12283" i="1"/>
  <c r="E12283" i="1"/>
  <c r="D12283" i="1"/>
  <c r="C12283" i="1"/>
  <c r="B12283" i="1"/>
  <c r="A12283" i="1"/>
  <c r="F12282" i="1"/>
  <c r="E12282" i="1"/>
  <c r="D12282" i="1"/>
  <c r="C12282" i="1"/>
  <c r="B12282" i="1"/>
  <c r="A12282" i="1"/>
  <c r="F12281" i="1"/>
  <c r="E12281" i="1"/>
  <c r="D12281" i="1"/>
  <c r="C12281" i="1"/>
  <c r="B12281" i="1"/>
  <c r="A12281" i="1"/>
  <c r="F12280" i="1"/>
  <c r="E12280" i="1"/>
  <c r="D12280" i="1"/>
  <c r="C12280" i="1"/>
  <c r="B12280" i="1"/>
  <c r="A12280" i="1"/>
  <c r="F12279" i="1"/>
  <c r="E12279" i="1"/>
  <c r="D12279" i="1"/>
  <c r="C12279" i="1"/>
  <c r="B12279" i="1"/>
  <c r="A12279" i="1"/>
  <c r="F12278" i="1"/>
  <c r="E12278" i="1"/>
  <c r="D12278" i="1"/>
  <c r="C12278" i="1"/>
  <c r="B12278" i="1"/>
  <c r="A12278" i="1"/>
  <c r="F12277" i="1"/>
  <c r="E12277" i="1"/>
  <c r="D12277" i="1"/>
  <c r="C12277" i="1"/>
  <c r="B12277" i="1"/>
  <c r="A12277" i="1"/>
  <c r="F12276" i="1"/>
  <c r="E12276" i="1"/>
  <c r="D12276" i="1"/>
  <c r="C12276" i="1"/>
  <c r="B12276" i="1"/>
  <c r="A12276" i="1"/>
  <c r="F12275" i="1"/>
  <c r="E12275" i="1"/>
  <c r="D12275" i="1"/>
  <c r="C12275" i="1"/>
  <c r="B12275" i="1"/>
  <c r="A12275" i="1"/>
  <c r="F12274" i="1"/>
  <c r="E12274" i="1"/>
  <c r="D12274" i="1"/>
  <c r="C12274" i="1"/>
  <c r="B12274" i="1"/>
  <c r="A12274" i="1"/>
  <c r="F12273" i="1"/>
  <c r="E12273" i="1"/>
  <c r="D12273" i="1"/>
  <c r="C12273" i="1"/>
  <c r="B12273" i="1"/>
  <c r="A12273" i="1"/>
  <c r="F12272" i="1"/>
  <c r="E12272" i="1"/>
  <c r="D12272" i="1"/>
  <c r="C12272" i="1"/>
  <c r="B12272" i="1"/>
  <c r="A12272" i="1"/>
  <c r="F12271" i="1"/>
  <c r="E12271" i="1"/>
  <c r="D12271" i="1"/>
  <c r="C12271" i="1"/>
  <c r="B12271" i="1"/>
  <c r="A12271" i="1"/>
  <c r="F12270" i="1"/>
  <c r="E12270" i="1"/>
  <c r="D12270" i="1"/>
  <c r="C12270" i="1"/>
  <c r="B12270" i="1"/>
  <c r="A12270" i="1"/>
  <c r="F12269" i="1"/>
  <c r="E12269" i="1"/>
  <c r="D12269" i="1"/>
  <c r="C12269" i="1"/>
  <c r="B12269" i="1"/>
  <c r="A12269" i="1"/>
  <c r="F12268" i="1"/>
  <c r="E12268" i="1"/>
  <c r="D12268" i="1"/>
  <c r="C12268" i="1"/>
  <c r="B12268" i="1"/>
  <c r="A12268" i="1"/>
  <c r="F12267" i="1"/>
  <c r="E12267" i="1"/>
  <c r="D12267" i="1"/>
  <c r="C12267" i="1"/>
  <c r="B12267" i="1"/>
  <c r="A12267" i="1"/>
  <c r="F12266" i="1"/>
  <c r="E12266" i="1"/>
  <c r="D12266" i="1"/>
  <c r="C12266" i="1"/>
  <c r="B12266" i="1"/>
  <c r="A12266" i="1"/>
  <c r="F12265" i="1"/>
  <c r="E12265" i="1"/>
  <c r="D12265" i="1"/>
  <c r="C12265" i="1"/>
  <c r="B12265" i="1"/>
  <c r="A12265" i="1"/>
  <c r="F12264" i="1"/>
  <c r="E12264" i="1"/>
  <c r="D12264" i="1"/>
  <c r="C12264" i="1"/>
  <c r="B12264" i="1"/>
  <c r="A12264" i="1"/>
  <c r="F12263" i="1"/>
  <c r="E12263" i="1"/>
  <c r="D12263" i="1"/>
  <c r="C12263" i="1"/>
  <c r="B12263" i="1"/>
  <c r="A12263" i="1"/>
  <c r="F12262" i="1"/>
  <c r="E12262" i="1"/>
  <c r="D12262" i="1"/>
  <c r="C12262" i="1"/>
  <c r="B12262" i="1"/>
  <c r="A12262" i="1"/>
  <c r="F12261" i="1"/>
  <c r="E12261" i="1"/>
  <c r="D12261" i="1"/>
  <c r="C12261" i="1"/>
  <c r="B12261" i="1"/>
  <c r="A12261" i="1"/>
  <c r="F12260" i="1"/>
  <c r="E12260" i="1"/>
  <c r="D12260" i="1"/>
  <c r="C12260" i="1"/>
  <c r="B12260" i="1"/>
  <c r="A12260" i="1"/>
  <c r="F12259" i="1"/>
  <c r="E12259" i="1"/>
  <c r="D12259" i="1"/>
  <c r="C12259" i="1"/>
  <c r="B12259" i="1"/>
  <c r="A12259" i="1"/>
  <c r="F12258" i="1"/>
  <c r="E12258" i="1"/>
  <c r="D12258" i="1"/>
  <c r="C12258" i="1"/>
  <c r="B12258" i="1"/>
  <c r="A12258" i="1"/>
  <c r="F12257" i="1"/>
  <c r="E12257" i="1"/>
  <c r="D12257" i="1"/>
  <c r="C12257" i="1"/>
  <c r="B12257" i="1"/>
  <c r="A12257" i="1"/>
  <c r="F12256" i="1"/>
  <c r="E12256" i="1"/>
  <c r="D12256" i="1"/>
  <c r="C12256" i="1"/>
  <c r="B12256" i="1"/>
  <c r="A12256" i="1"/>
  <c r="F12255" i="1"/>
  <c r="E12255" i="1"/>
  <c r="D12255" i="1"/>
  <c r="C12255" i="1"/>
  <c r="B12255" i="1"/>
  <c r="A12255" i="1"/>
  <c r="F12254" i="1"/>
  <c r="E12254" i="1"/>
  <c r="D12254" i="1"/>
  <c r="C12254" i="1"/>
  <c r="B12254" i="1"/>
  <c r="A12254" i="1"/>
  <c r="F12253" i="1"/>
  <c r="E12253" i="1"/>
  <c r="D12253" i="1"/>
  <c r="C12253" i="1"/>
  <c r="B12253" i="1"/>
  <c r="A12253" i="1"/>
  <c r="F12252" i="1"/>
  <c r="E12252" i="1"/>
  <c r="D12252" i="1"/>
  <c r="C12252" i="1"/>
  <c r="B12252" i="1"/>
  <c r="A12252" i="1"/>
  <c r="F12251" i="1"/>
  <c r="E12251" i="1"/>
  <c r="D12251" i="1"/>
  <c r="C12251" i="1"/>
  <c r="B12251" i="1"/>
  <c r="A12251" i="1"/>
  <c r="F12250" i="1"/>
  <c r="E12250" i="1"/>
  <c r="D12250" i="1"/>
  <c r="C12250" i="1"/>
  <c r="B12250" i="1"/>
  <c r="A12250" i="1"/>
  <c r="F12249" i="1"/>
  <c r="E12249" i="1"/>
  <c r="D12249" i="1"/>
  <c r="C12249" i="1"/>
  <c r="B12249" i="1"/>
  <c r="A12249" i="1"/>
  <c r="F12248" i="1"/>
  <c r="E12248" i="1"/>
  <c r="D12248" i="1"/>
  <c r="C12248" i="1"/>
  <c r="B12248" i="1"/>
  <c r="A12248" i="1"/>
  <c r="F12247" i="1"/>
  <c r="E12247" i="1"/>
  <c r="D12247" i="1"/>
  <c r="C12247" i="1"/>
  <c r="B12247" i="1"/>
  <c r="A12247" i="1"/>
  <c r="F12246" i="1"/>
  <c r="E12246" i="1"/>
  <c r="D12246" i="1"/>
  <c r="C12246" i="1"/>
  <c r="B12246" i="1"/>
  <c r="A12246" i="1"/>
  <c r="F12245" i="1"/>
  <c r="E12245" i="1"/>
  <c r="D12245" i="1"/>
  <c r="C12245" i="1"/>
  <c r="B12245" i="1"/>
  <c r="A12245" i="1"/>
  <c r="F12244" i="1"/>
  <c r="E12244" i="1"/>
  <c r="D12244" i="1"/>
  <c r="C12244" i="1"/>
  <c r="B12244" i="1"/>
  <c r="A12244" i="1"/>
  <c r="F12243" i="1"/>
  <c r="E12243" i="1"/>
  <c r="D12243" i="1"/>
  <c r="C12243" i="1"/>
  <c r="B12243" i="1"/>
  <c r="A12243" i="1"/>
  <c r="F12242" i="1"/>
  <c r="E12242" i="1"/>
  <c r="D12242" i="1"/>
  <c r="C12242" i="1"/>
  <c r="B12242" i="1"/>
  <c r="A12242" i="1"/>
  <c r="F12241" i="1"/>
  <c r="E12241" i="1"/>
  <c r="D12241" i="1"/>
  <c r="C12241" i="1"/>
  <c r="B12241" i="1"/>
  <c r="A12241" i="1"/>
  <c r="F12240" i="1"/>
  <c r="E12240" i="1"/>
  <c r="D12240" i="1"/>
  <c r="C12240" i="1"/>
  <c r="B12240" i="1"/>
  <c r="A12240" i="1"/>
  <c r="F12239" i="1"/>
  <c r="E12239" i="1"/>
  <c r="D12239" i="1"/>
  <c r="C12239" i="1"/>
  <c r="B12239" i="1"/>
  <c r="A12239" i="1"/>
  <c r="F12238" i="1"/>
  <c r="E12238" i="1"/>
  <c r="D12238" i="1"/>
  <c r="C12238" i="1"/>
  <c r="B12238" i="1"/>
  <c r="A12238" i="1"/>
  <c r="F12237" i="1"/>
  <c r="E12237" i="1"/>
  <c r="D12237" i="1"/>
  <c r="C12237" i="1"/>
  <c r="B12237" i="1"/>
  <c r="A12237" i="1"/>
  <c r="F12236" i="1"/>
  <c r="E12236" i="1"/>
  <c r="D12236" i="1"/>
  <c r="C12236" i="1"/>
  <c r="B12236" i="1"/>
  <c r="A12236" i="1"/>
  <c r="F12235" i="1"/>
  <c r="E12235" i="1"/>
  <c r="D12235" i="1"/>
  <c r="C12235" i="1"/>
  <c r="B12235" i="1"/>
  <c r="A12235" i="1"/>
  <c r="F12234" i="1"/>
  <c r="E12234" i="1"/>
  <c r="D12234" i="1"/>
  <c r="C12234" i="1"/>
  <c r="B12234" i="1"/>
  <c r="A12234" i="1"/>
  <c r="F12233" i="1"/>
  <c r="E12233" i="1"/>
  <c r="D12233" i="1"/>
  <c r="C12233" i="1"/>
  <c r="B12233" i="1"/>
  <c r="A12233" i="1"/>
  <c r="F12232" i="1"/>
  <c r="E12232" i="1"/>
  <c r="D12232" i="1"/>
  <c r="C12232" i="1"/>
  <c r="B12232" i="1"/>
  <c r="A12232" i="1"/>
  <c r="F12231" i="1"/>
  <c r="E12231" i="1"/>
  <c r="D12231" i="1"/>
  <c r="C12231" i="1"/>
  <c r="B12231" i="1"/>
  <c r="A12231" i="1"/>
  <c r="F12230" i="1"/>
  <c r="E12230" i="1"/>
  <c r="D12230" i="1"/>
  <c r="C12230" i="1"/>
  <c r="B12230" i="1"/>
  <c r="A12230" i="1"/>
  <c r="F12229" i="1"/>
  <c r="E12229" i="1"/>
  <c r="D12229" i="1"/>
  <c r="C12229" i="1"/>
  <c r="B12229" i="1"/>
  <c r="A12229" i="1"/>
  <c r="F12228" i="1"/>
  <c r="E12228" i="1"/>
  <c r="D12228" i="1"/>
  <c r="C12228" i="1"/>
  <c r="B12228" i="1"/>
  <c r="A12228" i="1"/>
  <c r="F12227" i="1"/>
  <c r="E12227" i="1"/>
  <c r="D12227" i="1"/>
  <c r="C12227" i="1"/>
  <c r="B12227" i="1"/>
  <c r="A12227" i="1"/>
  <c r="F12226" i="1"/>
  <c r="E12226" i="1"/>
  <c r="D12226" i="1"/>
  <c r="C12226" i="1"/>
  <c r="B12226" i="1"/>
  <c r="A12226" i="1"/>
  <c r="F12225" i="1"/>
  <c r="E12225" i="1"/>
  <c r="D12225" i="1"/>
  <c r="C12225" i="1"/>
  <c r="B12225" i="1"/>
  <c r="A12225" i="1"/>
  <c r="F12224" i="1"/>
  <c r="E12224" i="1"/>
  <c r="D12224" i="1"/>
  <c r="C12224" i="1"/>
  <c r="B12224" i="1"/>
  <c r="A12224" i="1"/>
  <c r="F12223" i="1"/>
  <c r="E12223" i="1"/>
  <c r="D12223" i="1"/>
  <c r="C12223" i="1"/>
  <c r="B12223" i="1"/>
  <c r="A12223" i="1"/>
  <c r="F12222" i="1"/>
  <c r="E12222" i="1"/>
  <c r="D12222" i="1"/>
  <c r="C12222" i="1"/>
  <c r="B12222" i="1"/>
  <c r="A12222" i="1"/>
  <c r="F12221" i="1"/>
  <c r="E12221" i="1"/>
  <c r="D12221" i="1"/>
  <c r="C12221" i="1"/>
  <c r="B12221" i="1"/>
  <c r="A12221" i="1"/>
  <c r="F12220" i="1"/>
  <c r="E12220" i="1"/>
  <c r="D12220" i="1"/>
  <c r="C12220" i="1"/>
  <c r="B12220" i="1"/>
  <c r="A12220" i="1"/>
  <c r="F12219" i="1"/>
  <c r="E12219" i="1"/>
  <c r="D12219" i="1"/>
  <c r="C12219" i="1"/>
  <c r="B12219" i="1"/>
  <c r="A12219" i="1"/>
  <c r="F12218" i="1"/>
  <c r="E12218" i="1"/>
  <c r="D12218" i="1"/>
  <c r="C12218" i="1"/>
  <c r="B12218" i="1"/>
  <c r="A12218" i="1"/>
  <c r="F12217" i="1"/>
  <c r="E12217" i="1"/>
  <c r="D12217" i="1"/>
  <c r="C12217" i="1"/>
  <c r="B12217" i="1"/>
  <c r="A12217" i="1"/>
  <c r="F12216" i="1"/>
  <c r="E12216" i="1"/>
  <c r="D12216" i="1"/>
  <c r="C12216" i="1"/>
  <c r="B12216" i="1"/>
  <c r="A12216" i="1"/>
  <c r="F12215" i="1"/>
  <c r="E12215" i="1"/>
  <c r="D12215" i="1"/>
  <c r="C12215" i="1"/>
  <c r="B12215" i="1"/>
  <c r="A12215" i="1"/>
  <c r="F12214" i="1"/>
  <c r="E12214" i="1"/>
  <c r="D12214" i="1"/>
  <c r="C12214" i="1"/>
  <c r="B12214" i="1"/>
  <c r="A12214" i="1"/>
  <c r="F12213" i="1"/>
  <c r="E12213" i="1"/>
  <c r="D12213" i="1"/>
  <c r="C12213" i="1"/>
  <c r="B12213" i="1"/>
  <c r="A12213" i="1"/>
  <c r="F12212" i="1"/>
  <c r="E12212" i="1"/>
  <c r="D12212" i="1"/>
  <c r="C12212" i="1"/>
  <c r="B12212" i="1"/>
  <c r="A12212" i="1"/>
  <c r="F12211" i="1"/>
  <c r="E12211" i="1"/>
  <c r="D12211" i="1"/>
  <c r="C12211" i="1"/>
  <c r="B12211" i="1"/>
  <c r="A12211" i="1"/>
  <c r="F12210" i="1"/>
  <c r="E12210" i="1"/>
  <c r="D12210" i="1"/>
  <c r="C12210" i="1"/>
  <c r="B12210" i="1"/>
  <c r="A12210" i="1"/>
  <c r="F12209" i="1"/>
  <c r="E12209" i="1"/>
  <c r="D12209" i="1"/>
  <c r="C12209" i="1"/>
  <c r="B12209" i="1"/>
  <c r="A12209" i="1"/>
  <c r="F12208" i="1"/>
  <c r="E12208" i="1"/>
  <c r="D12208" i="1"/>
  <c r="C12208" i="1"/>
  <c r="B12208" i="1"/>
  <c r="A12208" i="1"/>
  <c r="F12207" i="1"/>
  <c r="E12207" i="1"/>
  <c r="D12207" i="1"/>
  <c r="C12207" i="1"/>
  <c r="B12207" i="1"/>
  <c r="A12207" i="1"/>
  <c r="F12206" i="1"/>
  <c r="E12206" i="1"/>
  <c r="D12206" i="1"/>
  <c r="C12206" i="1"/>
  <c r="B12206" i="1"/>
  <c r="A12206" i="1"/>
  <c r="F12205" i="1"/>
  <c r="E12205" i="1"/>
  <c r="D12205" i="1"/>
  <c r="C12205" i="1"/>
  <c r="B12205" i="1"/>
  <c r="A12205" i="1"/>
  <c r="F12204" i="1"/>
  <c r="E12204" i="1"/>
  <c r="D12204" i="1"/>
  <c r="C12204" i="1"/>
  <c r="B12204" i="1"/>
  <c r="A12204" i="1"/>
  <c r="F12203" i="1"/>
  <c r="E12203" i="1"/>
  <c r="D12203" i="1"/>
  <c r="C12203" i="1"/>
  <c r="B12203" i="1"/>
  <c r="A12203" i="1"/>
  <c r="F12202" i="1"/>
  <c r="E12202" i="1"/>
  <c r="D12202" i="1"/>
  <c r="C12202" i="1"/>
  <c r="B12202" i="1"/>
  <c r="A12202" i="1"/>
  <c r="F12201" i="1"/>
  <c r="E12201" i="1"/>
  <c r="D12201" i="1"/>
  <c r="C12201" i="1"/>
  <c r="B12201" i="1"/>
  <c r="A12201" i="1"/>
  <c r="F12200" i="1"/>
  <c r="E12200" i="1"/>
  <c r="D12200" i="1"/>
  <c r="C12200" i="1"/>
  <c r="B12200" i="1"/>
  <c r="A12200" i="1"/>
  <c r="F12199" i="1"/>
  <c r="E12199" i="1"/>
  <c r="D12199" i="1"/>
  <c r="C12199" i="1"/>
  <c r="B12199" i="1"/>
  <c r="A12199" i="1"/>
  <c r="F12198" i="1"/>
  <c r="E12198" i="1"/>
  <c r="D12198" i="1"/>
  <c r="C12198" i="1"/>
  <c r="B12198" i="1"/>
  <c r="A12198" i="1"/>
  <c r="F12197" i="1"/>
  <c r="E12197" i="1"/>
  <c r="D12197" i="1"/>
  <c r="C12197" i="1"/>
  <c r="B12197" i="1"/>
  <c r="A12197" i="1"/>
  <c r="F12196" i="1"/>
  <c r="E12196" i="1"/>
  <c r="D12196" i="1"/>
  <c r="C12196" i="1"/>
  <c r="B12196" i="1"/>
  <c r="A12196" i="1"/>
  <c r="F12195" i="1"/>
  <c r="E12195" i="1"/>
  <c r="D12195" i="1"/>
  <c r="C12195" i="1"/>
  <c r="B12195" i="1"/>
  <c r="A12195" i="1"/>
  <c r="F12194" i="1"/>
  <c r="E12194" i="1"/>
  <c r="D12194" i="1"/>
  <c r="C12194" i="1"/>
  <c r="B12194" i="1"/>
  <c r="A12194" i="1"/>
  <c r="F12193" i="1"/>
  <c r="E12193" i="1"/>
  <c r="D12193" i="1"/>
  <c r="C12193" i="1"/>
  <c r="B12193" i="1"/>
  <c r="A12193" i="1"/>
  <c r="F12192" i="1"/>
  <c r="E12192" i="1"/>
  <c r="D12192" i="1"/>
  <c r="C12192" i="1"/>
  <c r="B12192" i="1"/>
  <c r="A12192" i="1"/>
  <c r="F12191" i="1"/>
  <c r="E12191" i="1"/>
  <c r="D12191" i="1"/>
  <c r="C12191" i="1"/>
  <c r="B12191" i="1"/>
  <c r="A12191" i="1"/>
  <c r="F12190" i="1"/>
  <c r="E12190" i="1"/>
  <c r="D12190" i="1"/>
  <c r="C12190" i="1"/>
  <c r="B12190" i="1"/>
  <c r="A12190" i="1"/>
  <c r="F12189" i="1"/>
  <c r="E12189" i="1"/>
  <c r="D12189" i="1"/>
  <c r="C12189" i="1"/>
  <c r="B12189" i="1"/>
  <c r="A12189" i="1"/>
  <c r="F12188" i="1"/>
  <c r="E12188" i="1"/>
  <c r="D12188" i="1"/>
  <c r="C12188" i="1"/>
  <c r="B12188" i="1"/>
  <c r="A12188" i="1"/>
  <c r="F12187" i="1"/>
  <c r="E12187" i="1"/>
  <c r="D12187" i="1"/>
  <c r="C12187" i="1"/>
  <c r="B12187" i="1"/>
  <c r="A12187" i="1"/>
  <c r="F12186" i="1"/>
  <c r="E12186" i="1"/>
  <c r="D12186" i="1"/>
  <c r="C12186" i="1"/>
  <c r="B12186" i="1"/>
  <c r="A12186" i="1"/>
  <c r="F12185" i="1"/>
  <c r="E12185" i="1"/>
  <c r="D12185" i="1"/>
  <c r="C12185" i="1"/>
  <c r="B12185" i="1"/>
  <c r="A12185" i="1"/>
  <c r="F12184" i="1"/>
  <c r="E12184" i="1"/>
  <c r="D12184" i="1"/>
  <c r="C12184" i="1"/>
  <c r="B12184" i="1"/>
  <c r="A12184" i="1"/>
  <c r="F12183" i="1"/>
  <c r="E12183" i="1"/>
  <c r="D12183" i="1"/>
  <c r="C12183" i="1"/>
  <c r="B12183" i="1"/>
  <c r="A12183" i="1"/>
  <c r="F12182" i="1"/>
  <c r="E12182" i="1"/>
  <c r="D12182" i="1"/>
  <c r="C12182" i="1"/>
  <c r="B12182" i="1"/>
  <c r="A12182" i="1"/>
  <c r="F12181" i="1"/>
  <c r="E12181" i="1"/>
  <c r="D12181" i="1"/>
  <c r="C12181" i="1"/>
  <c r="B12181" i="1"/>
  <c r="A12181" i="1"/>
  <c r="F12180" i="1"/>
  <c r="E12180" i="1"/>
  <c r="D12180" i="1"/>
  <c r="C12180" i="1"/>
  <c r="B12180" i="1"/>
  <c r="A12180" i="1"/>
  <c r="F12179" i="1"/>
  <c r="E12179" i="1"/>
  <c r="D12179" i="1"/>
  <c r="C12179" i="1"/>
  <c r="B12179" i="1"/>
  <c r="A12179" i="1"/>
  <c r="F12178" i="1"/>
  <c r="E12178" i="1"/>
  <c r="D12178" i="1"/>
  <c r="C12178" i="1"/>
  <c r="B12178" i="1"/>
  <c r="A12178" i="1"/>
  <c r="F12177" i="1"/>
  <c r="E12177" i="1"/>
  <c r="D12177" i="1"/>
  <c r="C12177" i="1"/>
  <c r="B12177" i="1"/>
  <c r="A12177" i="1"/>
  <c r="F12176" i="1"/>
  <c r="E12176" i="1"/>
  <c r="D12176" i="1"/>
  <c r="C12176" i="1"/>
  <c r="B12176" i="1"/>
  <c r="A12176" i="1"/>
  <c r="F12175" i="1"/>
  <c r="E12175" i="1"/>
  <c r="D12175" i="1"/>
  <c r="C12175" i="1"/>
  <c r="B12175" i="1"/>
  <c r="A12175" i="1"/>
  <c r="F12174" i="1"/>
  <c r="E12174" i="1"/>
  <c r="D12174" i="1"/>
  <c r="C12174" i="1"/>
  <c r="B12174" i="1"/>
  <c r="A12174" i="1"/>
  <c r="F12173" i="1"/>
  <c r="E12173" i="1"/>
  <c r="D12173" i="1"/>
  <c r="C12173" i="1"/>
  <c r="B12173" i="1"/>
  <c r="A12173" i="1"/>
  <c r="F12172" i="1"/>
  <c r="E12172" i="1"/>
  <c r="D12172" i="1"/>
  <c r="C12172" i="1"/>
  <c r="B12172" i="1"/>
  <c r="A12172" i="1"/>
  <c r="F12171" i="1"/>
  <c r="E12171" i="1"/>
  <c r="D12171" i="1"/>
  <c r="C12171" i="1"/>
  <c r="B12171" i="1"/>
  <c r="A12171" i="1"/>
  <c r="F12170" i="1"/>
  <c r="E12170" i="1"/>
  <c r="D12170" i="1"/>
  <c r="C12170" i="1"/>
  <c r="B12170" i="1"/>
  <c r="A12170" i="1"/>
  <c r="F12169" i="1"/>
  <c r="E12169" i="1"/>
  <c r="D12169" i="1"/>
  <c r="C12169" i="1"/>
  <c r="B12169" i="1"/>
  <c r="A12169" i="1"/>
  <c r="F12168" i="1"/>
  <c r="E12168" i="1"/>
  <c r="D12168" i="1"/>
  <c r="C12168" i="1"/>
  <c r="B12168" i="1"/>
  <c r="A12168" i="1"/>
  <c r="F12167" i="1"/>
  <c r="E12167" i="1"/>
  <c r="D12167" i="1"/>
  <c r="C12167" i="1"/>
  <c r="B12167" i="1"/>
  <c r="A12167" i="1"/>
  <c r="F12166" i="1"/>
  <c r="E12166" i="1"/>
  <c r="D12166" i="1"/>
  <c r="C12166" i="1"/>
  <c r="B12166" i="1"/>
  <c r="A12166" i="1"/>
  <c r="F12165" i="1"/>
  <c r="E12165" i="1"/>
  <c r="D12165" i="1"/>
  <c r="C12165" i="1"/>
  <c r="B12165" i="1"/>
  <c r="A12165" i="1"/>
  <c r="F12164" i="1"/>
  <c r="E12164" i="1"/>
  <c r="D12164" i="1"/>
  <c r="C12164" i="1"/>
  <c r="B12164" i="1"/>
  <c r="A12164" i="1"/>
  <c r="F12163" i="1"/>
  <c r="E12163" i="1"/>
  <c r="D12163" i="1"/>
  <c r="C12163" i="1"/>
  <c r="B12163" i="1"/>
  <c r="A12163" i="1"/>
  <c r="F12162" i="1"/>
  <c r="E12162" i="1"/>
  <c r="D12162" i="1"/>
  <c r="C12162" i="1"/>
  <c r="B12162" i="1"/>
  <c r="A12162" i="1"/>
  <c r="F12161" i="1"/>
  <c r="E12161" i="1"/>
  <c r="D12161" i="1"/>
  <c r="C12161" i="1"/>
  <c r="B12161" i="1"/>
  <c r="A12161" i="1"/>
  <c r="F12160" i="1"/>
  <c r="E12160" i="1"/>
  <c r="D12160" i="1"/>
  <c r="C12160" i="1"/>
  <c r="B12160" i="1"/>
  <c r="A12160" i="1"/>
  <c r="F12159" i="1"/>
  <c r="E12159" i="1"/>
  <c r="D12159" i="1"/>
  <c r="C12159" i="1"/>
  <c r="B12159" i="1"/>
  <c r="A12159" i="1"/>
  <c r="F12158" i="1"/>
  <c r="E12158" i="1"/>
  <c r="D12158" i="1"/>
  <c r="C12158" i="1"/>
  <c r="B12158" i="1"/>
  <c r="A12158" i="1"/>
  <c r="F12157" i="1"/>
  <c r="E12157" i="1"/>
  <c r="D12157" i="1"/>
  <c r="C12157" i="1"/>
  <c r="B12157" i="1"/>
  <c r="A12157" i="1"/>
  <c r="F12156" i="1"/>
  <c r="E12156" i="1"/>
  <c r="D12156" i="1"/>
  <c r="C12156" i="1"/>
  <c r="B12156" i="1"/>
  <c r="A12156" i="1"/>
  <c r="F12155" i="1"/>
  <c r="E12155" i="1"/>
  <c r="D12155" i="1"/>
  <c r="C12155" i="1"/>
  <c r="B12155" i="1"/>
  <c r="A12155" i="1"/>
  <c r="F12154" i="1"/>
  <c r="E12154" i="1"/>
  <c r="D12154" i="1"/>
  <c r="C12154" i="1"/>
  <c r="B12154" i="1"/>
  <c r="A12154" i="1"/>
  <c r="F12153" i="1"/>
  <c r="E12153" i="1"/>
  <c r="D12153" i="1"/>
  <c r="C12153" i="1"/>
  <c r="B12153" i="1"/>
  <c r="A12153" i="1"/>
  <c r="F12152" i="1"/>
  <c r="E12152" i="1"/>
  <c r="D12152" i="1"/>
  <c r="C12152" i="1"/>
  <c r="B12152" i="1"/>
  <c r="A12152" i="1"/>
  <c r="F12151" i="1"/>
  <c r="E12151" i="1"/>
  <c r="D12151" i="1"/>
  <c r="C12151" i="1"/>
  <c r="B12151" i="1"/>
  <c r="A12151" i="1"/>
  <c r="F12150" i="1"/>
  <c r="E12150" i="1"/>
  <c r="D12150" i="1"/>
  <c r="C12150" i="1"/>
  <c r="B12150" i="1"/>
  <c r="A12150" i="1"/>
  <c r="F12149" i="1"/>
  <c r="E12149" i="1"/>
  <c r="D12149" i="1"/>
  <c r="C12149" i="1"/>
  <c r="B12149" i="1"/>
  <c r="A12149" i="1"/>
  <c r="F12148" i="1"/>
  <c r="E12148" i="1"/>
  <c r="D12148" i="1"/>
  <c r="C12148" i="1"/>
  <c r="B12148" i="1"/>
  <c r="A12148" i="1"/>
  <c r="F12147" i="1"/>
  <c r="E12147" i="1"/>
  <c r="D12147" i="1"/>
  <c r="C12147" i="1"/>
  <c r="B12147" i="1"/>
  <c r="A12147" i="1"/>
  <c r="F12146" i="1"/>
  <c r="E12146" i="1"/>
  <c r="D12146" i="1"/>
  <c r="C12146" i="1"/>
  <c r="B12146" i="1"/>
  <c r="A12146" i="1"/>
  <c r="F12145" i="1"/>
  <c r="E12145" i="1"/>
  <c r="D12145" i="1"/>
  <c r="C12145" i="1"/>
  <c r="B12145" i="1"/>
  <c r="A12145" i="1"/>
  <c r="F12144" i="1"/>
  <c r="E12144" i="1"/>
  <c r="D12144" i="1"/>
  <c r="C12144" i="1"/>
  <c r="B12144" i="1"/>
  <c r="A12144" i="1"/>
  <c r="F12143" i="1"/>
  <c r="E12143" i="1"/>
  <c r="D12143" i="1"/>
  <c r="C12143" i="1"/>
  <c r="B12143" i="1"/>
  <c r="A12143" i="1"/>
  <c r="F12142" i="1"/>
  <c r="E12142" i="1"/>
  <c r="D12142" i="1"/>
  <c r="C12142" i="1"/>
  <c r="B12142" i="1"/>
  <c r="A12142" i="1"/>
  <c r="F12141" i="1"/>
  <c r="E12141" i="1"/>
  <c r="D12141" i="1"/>
  <c r="C12141" i="1"/>
  <c r="B12141" i="1"/>
  <c r="A12141" i="1"/>
  <c r="F12140" i="1"/>
  <c r="E12140" i="1"/>
  <c r="D12140" i="1"/>
  <c r="C12140" i="1"/>
  <c r="B12140" i="1"/>
  <c r="A12140" i="1"/>
  <c r="F12139" i="1"/>
  <c r="E12139" i="1"/>
  <c r="D12139" i="1"/>
  <c r="C12139" i="1"/>
  <c r="B12139" i="1"/>
  <c r="A12139" i="1"/>
  <c r="F12138" i="1"/>
  <c r="E12138" i="1"/>
  <c r="D12138" i="1"/>
  <c r="C12138" i="1"/>
  <c r="B12138" i="1"/>
  <c r="A12138" i="1"/>
  <c r="F12137" i="1"/>
  <c r="E12137" i="1"/>
  <c r="D12137" i="1"/>
  <c r="C12137" i="1"/>
  <c r="B12137" i="1"/>
  <c r="A12137" i="1"/>
  <c r="F12136" i="1"/>
  <c r="E12136" i="1"/>
  <c r="D12136" i="1"/>
  <c r="C12136" i="1"/>
  <c r="B12136" i="1"/>
  <c r="A12136" i="1"/>
  <c r="F12135" i="1"/>
  <c r="E12135" i="1"/>
  <c r="D12135" i="1"/>
  <c r="C12135" i="1"/>
  <c r="B12135" i="1"/>
  <c r="A12135" i="1"/>
  <c r="F12134" i="1"/>
  <c r="E12134" i="1"/>
  <c r="D12134" i="1"/>
  <c r="C12134" i="1"/>
  <c r="B12134" i="1"/>
  <c r="A12134" i="1"/>
  <c r="F12133" i="1"/>
  <c r="E12133" i="1"/>
  <c r="D12133" i="1"/>
  <c r="C12133" i="1"/>
  <c r="B12133" i="1"/>
  <c r="A12133" i="1"/>
  <c r="F12132" i="1"/>
  <c r="E12132" i="1"/>
  <c r="D12132" i="1"/>
  <c r="C12132" i="1"/>
  <c r="B12132" i="1"/>
  <c r="A12132" i="1"/>
  <c r="F12131" i="1"/>
  <c r="E12131" i="1"/>
  <c r="D12131" i="1"/>
  <c r="C12131" i="1"/>
  <c r="B12131" i="1"/>
  <c r="A12131" i="1"/>
  <c r="F12130" i="1"/>
  <c r="E12130" i="1"/>
  <c r="D12130" i="1"/>
  <c r="C12130" i="1"/>
  <c r="B12130" i="1"/>
  <c r="A12130" i="1"/>
  <c r="F12129" i="1"/>
  <c r="E12129" i="1"/>
  <c r="D12129" i="1"/>
  <c r="C12129" i="1"/>
  <c r="B12129" i="1"/>
  <c r="A12129" i="1"/>
  <c r="F12128" i="1"/>
  <c r="E12128" i="1"/>
  <c r="D12128" i="1"/>
  <c r="C12128" i="1"/>
  <c r="B12128" i="1"/>
  <c r="A12128" i="1"/>
  <c r="F12127" i="1"/>
  <c r="E12127" i="1"/>
  <c r="D12127" i="1"/>
  <c r="C12127" i="1"/>
  <c r="B12127" i="1"/>
  <c r="A12127" i="1"/>
  <c r="F12126" i="1"/>
  <c r="E12126" i="1"/>
  <c r="D12126" i="1"/>
  <c r="C12126" i="1"/>
  <c r="B12126" i="1"/>
  <c r="A12126" i="1"/>
  <c r="F12125" i="1"/>
  <c r="E12125" i="1"/>
  <c r="D12125" i="1"/>
  <c r="C12125" i="1"/>
  <c r="B12125" i="1"/>
  <c r="A12125" i="1"/>
  <c r="F12124" i="1"/>
  <c r="E12124" i="1"/>
  <c r="D12124" i="1"/>
  <c r="C12124" i="1"/>
  <c r="B12124" i="1"/>
  <c r="A12124" i="1"/>
  <c r="F12123" i="1"/>
  <c r="E12123" i="1"/>
  <c r="D12123" i="1"/>
  <c r="C12123" i="1"/>
  <c r="B12123" i="1"/>
  <c r="A12123" i="1"/>
  <c r="F12122" i="1"/>
  <c r="E12122" i="1"/>
  <c r="D12122" i="1"/>
  <c r="C12122" i="1"/>
  <c r="B12122" i="1"/>
  <c r="A12122" i="1"/>
  <c r="F12121" i="1"/>
  <c r="E12121" i="1"/>
  <c r="D12121" i="1"/>
  <c r="C12121" i="1"/>
  <c r="B12121" i="1"/>
  <c r="A12121" i="1"/>
  <c r="F12120" i="1"/>
  <c r="E12120" i="1"/>
  <c r="D12120" i="1"/>
  <c r="C12120" i="1"/>
  <c r="B12120" i="1"/>
  <c r="A12120" i="1"/>
  <c r="F12119" i="1"/>
  <c r="E12119" i="1"/>
  <c r="D12119" i="1"/>
  <c r="C12119" i="1"/>
  <c r="B12119" i="1"/>
  <c r="A12119" i="1"/>
  <c r="F12118" i="1"/>
  <c r="E12118" i="1"/>
  <c r="D12118" i="1"/>
  <c r="C12118" i="1"/>
  <c r="B12118" i="1"/>
  <c r="A12118" i="1"/>
  <c r="F12117" i="1"/>
  <c r="E12117" i="1"/>
  <c r="D12117" i="1"/>
  <c r="C12117" i="1"/>
  <c r="B12117" i="1"/>
  <c r="A12117" i="1"/>
  <c r="F12116" i="1"/>
  <c r="E12116" i="1"/>
  <c r="D12116" i="1"/>
  <c r="C12116" i="1"/>
  <c r="B12116" i="1"/>
  <c r="A12116" i="1"/>
  <c r="F12115" i="1"/>
  <c r="E12115" i="1"/>
  <c r="D12115" i="1"/>
  <c r="C12115" i="1"/>
  <c r="B12115" i="1"/>
  <c r="A12115" i="1"/>
  <c r="F12114" i="1"/>
  <c r="E12114" i="1"/>
  <c r="D12114" i="1"/>
  <c r="C12114" i="1"/>
  <c r="B12114" i="1"/>
  <c r="A12114" i="1"/>
  <c r="F12113" i="1"/>
  <c r="E12113" i="1"/>
  <c r="D12113" i="1"/>
  <c r="C12113" i="1"/>
  <c r="B12113" i="1"/>
  <c r="A12113" i="1"/>
  <c r="F12112" i="1"/>
  <c r="E12112" i="1"/>
  <c r="D12112" i="1"/>
  <c r="C12112" i="1"/>
  <c r="B12112" i="1"/>
  <c r="A12112" i="1"/>
  <c r="F12111" i="1"/>
  <c r="E12111" i="1"/>
  <c r="D12111" i="1"/>
  <c r="C12111" i="1"/>
  <c r="B12111" i="1"/>
  <c r="A12111" i="1"/>
  <c r="F12110" i="1"/>
  <c r="E12110" i="1"/>
  <c r="D12110" i="1"/>
  <c r="C12110" i="1"/>
  <c r="B12110" i="1"/>
  <c r="A12110" i="1"/>
  <c r="F12109" i="1"/>
  <c r="E12109" i="1"/>
  <c r="D12109" i="1"/>
  <c r="C12109" i="1"/>
  <c r="B12109" i="1"/>
  <c r="A12109" i="1"/>
  <c r="F12108" i="1"/>
  <c r="E12108" i="1"/>
  <c r="D12108" i="1"/>
  <c r="C12108" i="1"/>
  <c r="B12108" i="1"/>
  <c r="A12108" i="1"/>
  <c r="F12107" i="1"/>
  <c r="E12107" i="1"/>
  <c r="D12107" i="1"/>
  <c r="C12107" i="1"/>
  <c r="B12107" i="1"/>
  <c r="A12107" i="1"/>
  <c r="F12106" i="1"/>
  <c r="E12106" i="1"/>
  <c r="D12106" i="1"/>
  <c r="C12106" i="1"/>
  <c r="B12106" i="1"/>
  <c r="A12106" i="1"/>
  <c r="F12105" i="1"/>
  <c r="E12105" i="1"/>
  <c r="D12105" i="1"/>
  <c r="C12105" i="1"/>
  <c r="B12105" i="1"/>
  <c r="A12105" i="1"/>
  <c r="F12104" i="1"/>
  <c r="E12104" i="1"/>
  <c r="D12104" i="1"/>
  <c r="C12104" i="1"/>
  <c r="B12104" i="1"/>
  <c r="A12104" i="1"/>
  <c r="F12103" i="1"/>
  <c r="E12103" i="1"/>
  <c r="D12103" i="1"/>
  <c r="C12103" i="1"/>
  <c r="B12103" i="1"/>
  <c r="A12103" i="1"/>
  <c r="F12102" i="1"/>
  <c r="E12102" i="1"/>
  <c r="D12102" i="1"/>
  <c r="C12102" i="1"/>
  <c r="B12102" i="1"/>
  <c r="A12102" i="1"/>
  <c r="F12101" i="1"/>
  <c r="E12101" i="1"/>
  <c r="D12101" i="1"/>
  <c r="C12101" i="1"/>
  <c r="B12101" i="1"/>
  <c r="A12101" i="1"/>
  <c r="F12100" i="1"/>
  <c r="E12100" i="1"/>
  <c r="D12100" i="1"/>
  <c r="C12100" i="1"/>
  <c r="B12100" i="1"/>
  <c r="A12100" i="1"/>
  <c r="F12099" i="1"/>
  <c r="E12099" i="1"/>
  <c r="D12099" i="1"/>
  <c r="C12099" i="1"/>
  <c r="B12099" i="1"/>
  <c r="A12099" i="1"/>
  <c r="F12098" i="1"/>
  <c r="E12098" i="1"/>
  <c r="D12098" i="1"/>
  <c r="C12098" i="1"/>
  <c r="B12098" i="1"/>
  <c r="A12098" i="1"/>
  <c r="F12097" i="1"/>
  <c r="E12097" i="1"/>
  <c r="D12097" i="1"/>
  <c r="C12097" i="1"/>
  <c r="B12097" i="1"/>
  <c r="A12097" i="1"/>
  <c r="F12096" i="1"/>
  <c r="E12096" i="1"/>
  <c r="D12096" i="1"/>
  <c r="C12096" i="1"/>
  <c r="B12096" i="1"/>
  <c r="A12096" i="1"/>
  <c r="F12095" i="1"/>
  <c r="E12095" i="1"/>
  <c r="D12095" i="1"/>
  <c r="C12095" i="1"/>
  <c r="B12095" i="1"/>
  <c r="A12095" i="1"/>
  <c r="F12094" i="1"/>
  <c r="E12094" i="1"/>
  <c r="D12094" i="1"/>
  <c r="C12094" i="1"/>
  <c r="B12094" i="1"/>
  <c r="A12094" i="1"/>
  <c r="F12093" i="1"/>
  <c r="E12093" i="1"/>
  <c r="D12093" i="1"/>
  <c r="C12093" i="1"/>
  <c r="B12093" i="1"/>
  <c r="A12093" i="1"/>
  <c r="F12092" i="1"/>
  <c r="E12092" i="1"/>
  <c r="D12092" i="1"/>
  <c r="C12092" i="1"/>
  <c r="B12092" i="1"/>
  <c r="A12092" i="1"/>
  <c r="F12091" i="1"/>
  <c r="E12091" i="1"/>
  <c r="D12091" i="1"/>
  <c r="C12091" i="1"/>
  <c r="B12091" i="1"/>
  <c r="A12091" i="1"/>
  <c r="F12090" i="1"/>
  <c r="E12090" i="1"/>
  <c r="D12090" i="1"/>
  <c r="C12090" i="1"/>
  <c r="B12090" i="1"/>
  <c r="A12090" i="1"/>
  <c r="F12089" i="1"/>
  <c r="E12089" i="1"/>
  <c r="D12089" i="1"/>
  <c r="C12089" i="1"/>
  <c r="B12089" i="1"/>
  <c r="A12089" i="1"/>
  <c r="F12088" i="1"/>
  <c r="E12088" i="1"/>
  <c r="D12088" i="1"/>
  <c r="C12088" i="1"/>
  <c r="B12088" i="1"/>
  <c r="A12088" i="1"/>
  <c r="F12087" i="1"/>
  <c r="E12087" i="1"/>
  <c r="D12087" i="1"/>
  <c r="C12087" i="1"/>
  <c r="B12087" i="1"/>
  <c r="A12087" i="1"/>
  <c r="F12086" i="1"/>
  <c r="E12086" i="1"/>
  <c r="D12086" i="1"/>
  <c r="C12086" i="1"/>
  <c r="B12086" i="1"/>
  <c r="A12086" i="1"/>
  <c r="F12085" i="1"/>
  <c r="E12085" i="1"/>
  <c r="D12085" i="1"/>
  <c r="C12085" i="1"/>
  <c r="B12085" i="1"/>
  <c r="A12085" i="1"/>
  <c r="F12084" i="1"/>
  <c r="E12084" i="1"/>
  <c r="D12084" i="1"/>
  <c r="C12084" i="1"/>
  <c r="B12084" i="1"/>
  <c r="A12084" i="1"/>
  <c r="F12083" i="1"/>
  <c r="E12083" i="1"/>
  <c r="D12083" i="1"/>
  <c r="C12083" i="1"/>
  <c r="B12083" i="1"/>
  <c r="A12083" i="1"/>
  <c r="F12082" i="1"/>
  <c r="E12082" i="1"/>
  <c r="D12082" i="1"/>
  <c r="C12082" i="1"/>
  <c r="B12082" i="1"/>
  <c r="A12082" i="1"/>
  <c r="F12081" i="1"/>
  <c r="E12081" i="1"/>
  <c r="D12081" i="1"/>
  <c r="C12081" i="1"/>
  <c r="B12081" i="1"/>
  <c r="A12081" i="1"/>
  <c r="F12080" i="1"/>
  <c r="E12080" i="1"/>
  <c r="D12080" i="1"/>
  <c r="C12080" i="1"/>
  <c r="B12080" i="1"/>
  <c r="A12080" i="1"/>
  <c r="F12079" i="1"/>
  <c r="E12079" i="1"/>
  <c r="D12079" i="1"/>
  <c r="C12079" i="1"/>
  <c r="B12079" i="1"/>
  <c r="A12079" i="1"/>
  <c r="F12078" i="1"/>
  <c r="E12078" i="1"/>
  <c r="D12078" i="1"/>
  <c r="C12078" i="1"/>
  <c r="B12078" i="1"/>
  <c r="A12078" i="1"/>
  <c r="F12077" i="1"/>
  <c r="E12077" i="1"/>
  <c r="D12077" i="1"/>
  <c r="C12077" i="1"/>
  <c r="B12077" i="1"/>
  <c r="A12077" i="1"/>
  <c r="F12076" i="1"/>
  <c r="E12076" i="1"/>
  <c r="D12076" i="1"/>
  <c r="C12076" i="1"/>
  <c r="B12076" i="1"/>
  <c r="A12076" i="1"/>
  <c r="F12075" i="1"/>
  <c r="E12075" i="1"/>
  <c r="D12075" i="1"/>
  <c r="C12075" i="1"/>
  <c r="B12075" i="1"/>
  <c r="A12075" i="1"/>
  <c r="F12074" i="1"/>
  <c r="E12074" i="1"/>
  <c r="D12074" i="1"/>
  <c r="C12074" i="1"/>
  <c r="B12074" i="1"/>
  <c r="A12074" i="1"/>
  <c r="F12073" i="1"/>
  <c r="E12073" i="1"/>
  <c r="D12073" i="1"/>
  <c r="C12073" i="1"/>
  <c r="B12073" i="1"/>
  <c r="A12073" i="1"/>
  <c r="F12072" i="1"/>
  <c r="E12072" i="1"/>
  <c r="D12072" i="1"/>
  <c r="C12072" i="1"/>
  <c r="B12072" i="1"/>
  <c r="A12072" i="1"/>
  <c r="F12071" i="1"/>
  <c r="E12071" i="1"/>
  <c r="D12071" i="1"/>
  <c r="C12071" i="1"/>
  <c r="B12071" i="1"/>
  <c r="A12071" i="1"/>
  <c r="F12070" i="1"/>
  <c r="E12070" i="1"/>
  <c r="D12070" i="1"/>
  <c r="C12070" i="1"/>
  <c r="B12070" i="1"/>
  <c r="A12070" i="1"/>
  <c r="F12069" i="1"/>
  <c r="E12069" i="1"/>
  <c r="D12069" i="1"/>
  <c r="C12069" i="1"/>
  <c r="B12069" i="1"/>
  <c r="A12069" i="1"/>
  <c r="F12068" i="1"/>
  <c r="E12068" i="1"/>
  <c r="D12068" i="1"/>
  <c r="C12068" i="1"/>
  <c r="B12068" i="1"/>
  <c r="A12068" i="1"/>
  <c r="F12067" i="1"/>
  <c r="E12067" i="1"/>
  <c r="D12067" i="1"/>
  <c r="C12067" i="1"/>
  <c r="B12067" i="1"/>
  <c r="A12067" i="1"/>
  <c r="F12066" i="1"/>
  <c r="E12066" i="1"/>
  <c r="D12066" i="1"/>
  <c r="C12066" i="1"/>
  <c r="B12066" i="1"/>
  <c r="A12066" i="1"/>
  <c r="F12065" i="1"/>
  <c r="E12065" i="1"/>
  <c r="D12065" i="1"/>
  <c r="C12065" i="1"/>
  <c r="B12065" i="1"/>
  <c r="A12065" i="1"/>
  <c r="F12064" i="1"/>
  <c r="E12064" i="1"/>
  <c r="D12064" i="1"/>
  <c r="C12064" i="1"/>
  <c r="B12064" i="1"/>
  <c r="A12064" i="1"/>
  <c r="F12063" i="1"/>
  <c r="E12063" i="1"/>
  <c r="D12063" i="1"/>
  <c r="C12063" i="1"/>
  <c r="B12063" i="1"/>
  <c r="A12063" i="1"/>
  <c r="F12062" i="1"/>
  <c r="E12062" i="1"/>
  <c r="D12062" i="1"/>
  <c r="C12062" i="1"/>
  <c r="B12062" i="1"/>
  <c r="A12062" i="1"/>
  <c r="F12061" i="1"/>
  <c r="E12061" i="1"/>
  <c r="D12061" i="1"/>
  <c r="C12061" i="1"/>
  <c r="B12061" i="1"/>
  <c r="A12061" i="1"/>
  <c r="F12060" i="1"/>
  <c r="E12060" i="1"/>
  <c r="D12060" i="1"/>
  <c r="C12060" i="1"/>
  <c r="B12060" i="1"/>
  <c r="A12060" i="1"/>
  <c r="F12059" i="1"/>
  <c r="E12059" i="1"/>
  <c r="D12059" i="1"/>
  <c r="C12059" i="1"/>
  <c r="B12059" i="1"/>
  <c r="A12059" i="1"/>
  <c r="F12058" i="1"/>
  <c r="E12058" i="1"/>
  <c r="D12058" i="1"/>
  <c r="C12058" i="1"/>
  <c r="B12058" i="1"/>
  <c r="A12058" i="1"/>
  <c r="F12057" i="1"/>
  <c r="E12057" i="1"/>
  <c r="D12057" i="1"/>
  <c r="C12057" i="1"/>
  <c r="B12057" i="1"/>
  <c r="A12057" i="1"/>
  <c r="F12056" i="1"/>
  <c r="E12056" i="1"/>
  <c r="D12056" i="1"/>
  <c r="C12056" i="1"/>
  <c r="B12056" i="1"/>
  <c r="A12056" i="1"/>
  <c r="F12055" i="1"/>
  <c r="E12055" i="1"/>
  <c r="D12055" i="1"/>
  <c r="C12055" i="1"/>
  <c r="B12055" i="1"/>
  <c r="A12055" i="1"/>
  <c r="F12054" i="1"/>
  <c r="E12054" i="1"/>
  <c r="D12054" i="1"/>
  <c r="C12054" i="1"/>
  <c r="B12054" i="1"/>
  <c r="A12054" i="1"/>
  <c r="F12053" i="1"/>
  <c r="E12053" i="1"/>
  <c r="D12053" i="1"/>
  <c r="C12053" i="1"/>
  <c r="B12053" i="1"/>
  <c r="A12053" i="1"/>
  <c r="F12052" i="1"/>
  <c r="E12052" i="1"/>
  <c r="D12052" i="1"/>
  <c r="C12052" i="1"/>
  <c r="B12052" i="1"/>
  <c r="A12052" i="1"/>
  <c r="F12051" i="1"/>
  <c r="E12051" i="1"/>
  <c r="D12051" i="1"/>
  <c r="C12051" i="1"/>
  <c r="B12051" i="1"/>
  <c r="A12051" i="1"/>
  <c r="F12050" i="1"/>
  <c r="E12050" i="1"/>
  <c r="D12050" i="1"/>
  <c r="C12050" i="1"/>
  <c r="B12050" i="1"/>
  <c r="A12050" i="1"/>
  <c r="F12049" i="1"/>
  <c r="E12049" i="1"/>
  <c r="D12049" i="1"/>
  <c r="C12049" i="1"/>
  <c r="B12049" i="1"/>
  <c r="A12049" i="1"/>
  <c r="F12048" i="1"/>
  <c r="E12048" i="1"/>
  <c r="D12048" i="1"/>
  <c r="C12048" i="1"/>
  <c r="B12048" i="1"/>
  <c r="A12048" i="1"/>
  <c r="F12047" i="1"/>
  <c r="E12047" i="1"/>
  <c r="D12047" i="1"/>
  <c r="C12047" i="1"/>
  <c r="B12047" i="1"/>
  <c r="A12047" i="1"/>
  <c r="F12046" i="1"/>
  <c r="E12046" i="1"/>
  <c r="D12046" i="1"/>
  <c r="C12046" i="1"/>
  <c r="B12046" i="1"/>
  <c r="A12046" i="1"/>
  <c r="F12045" i="1"/>
  <c r="E12045" i="1"/>
  <c r="D12045" i="1"/>
  <c r="C12045" i="1"/>
  <c r="B12045" i="1"/>
  <c r="A12045" i="1"/>
  <c r="F12044" i="1"/>
  <c r="E12044" i="1"/>
  <c r="D12044" i="1"/>
  <c r="C12044" i="1"/>
  <c r="B12044" i="1"/>
  <c r="A12044" i="1"/>
  <c r="F12043" i="1"/>
  <c r="E12043" i="1"/>
  <c r="D12043" i="1"/>
  <c r="C12043" i="1"/>
  <c r="B12043" i="1"/>
  <c r="A12043" i="1"/>
  <c r="F12042" i="1"/>
  <c r="E12042" i="1"/>
  <c r="D12042" i="1"/>
  <c r="C12042" i="1"/>
  <c r="B12042" i="1"/>
  <c r="A12042" i="1"/>
  <c r="F12041" i="1"/>
  <c r="E12041" i="1"/>
  <c r="D12041" i="1"/>
  <c r="C12041" i="1"/>
  <c r="B12041" i="1"/>
  <c r="A12041" i="1"/>
  <c r="F12040" i="1"/>
  <c r="E12040" i="1"/>
  <c r="D12040" i="1"/>
  <c r="C12040" i="1"/>
  <c r="B12040" i="1"/>
  <c r="A12040" i="1"/>
  <c r="F12039" i="1"/>
  <c r="E12039" i="1"/>
  <c r="D12039" i="1"/>
  <c r="C12039" i="1"/>
  <c r="B12039" i="1"/>
  <c r="A12039" i="1"/>
  <c r="F12038" i="1"/>
  <c r="E12038" i="1"/>
  <c r="D12038" i="1"/>
  <c r="C12038" i="1"/>
  <c r="B12038" i="1"/>
  <c r="A12038" i="1"/>
  <c r="F12037" i="1"/>
  <c r="E12037" i="1"/>
  <c r="D12037" i="1"/>
  <c r="C12037" i="1"/>
  <c r="B12037" i="1"/>
  <c r="A12037" i="1"/>
  <c r="F12036" i="1"/>
  <c r="E12036" i="1"/>
  <c r="D12036" i="1"/>
  <c r="C12036" i="1"/>
  <c r="B12036" i="1"/>
  <c r="A12036" i="1"/>
  <c r="F12035" i="1"/>
  <c r="E12035" i="1"/>
  <c r="D12035" i="1"/>
  <c r="C12035" i="1"/>
  <c r="B12035" i="1"/>
  <c r="A12035" i="1"/>
  <c r="F12034" i="1"/>
  <c r="E12034" i="1"/>
  <c r="D12034" i="1"/>
  <c r="C12034" i="1"/>
  <c r="B12034" i="1"/>
  <c r="A12034" i="1"/>
  <c r="F12033" i="1"/>
  <c r="E12033" i="1"/>
  <c r="D12033" i="1"/>
  <c r="C12033" i="1"/>
  <c r="B12033" i="1"/>
  <c r="A12033" i="1"/>
  <c r="F12032" i="1"/>
  <c r="E12032" i="1"/>
  <c r="D12032" i="1"/>
  <c r="C12032" i="1"/>
  <c r="B12032" i="1"/>
  <c r="A12032" i="1"/>
  <c r="F12031" i="1"/>
  <c r="E12031" i="1"/>
  <c r="D12031" i="1"/>
  <c r="C12031" i="1"/>
  <c r="B12031" i="1"/>
  <c r="A12031" i="1"/>
  <c r="F12030" i="1"/>
  <c r="E12030" i="1"/>
  <c r="D12030" i="1"/>
  <c r="C12030" i="1"/>
  <c r="B12030" i="1"/>
  <c r="A12030" i="1"/>
  <c r="F12029" i="1"/>
  <c r="E12029" i="1"/>
  <c r="D12029" i="1"/>
  <c r="C12029" i="1"/>
  <c r="B12029" i="1"/>
  <c r="A12029" i="1"/>
  <c r="F12028" i="1"/>
  <c r="E12028" i="1"/>
  <c r="D12028" i="1"/>
  <c r="C12028" i="1"/>
  <c r="B12028" i="1"/>
  <c r="A12028" i="1"/>
  <c r="F12027" i="1"/>
  <c r="E12027" i="1"/>
  <c r="D12027" i="1"/>
  <c r="C12027" i="1"/>
  <c r="B12027" i="1"/>
  <c r="A12027" i="1"/>
  <c r="F12026" i="1"/>
  <c r="E12026" i="1"/>
  <c r="D12026" i="1"/>
  <c r="C12026" i="1"/>
  <c r="B12026" i="1"/>
  <c r="A12026" i="1"/>
  <c r="F12025" i="1"/>
  <c r="E12025" i="1"/>
  <c r="D12025" i="1"/>
  <c r="C12025" i="1"/>
  <c r="B12025" i="1"/>
  <c r="A12025" i="1"/>
  <c r="F12024" i="1"/>
  <c r="E12024" i="1"/>
  <c r="D12024" i="1"/>
  <c r="C12024" i="1"/>
  <c r="B12024" i="1"/>
  <c r="A12024" i="1"/>
  <c r="F12023" i="1"/>
  <c r="E12023" i="1"/>
  <c r="D12023" i="1"/>
  <c r="C12023" i="1"/>
  <c r="B12023" i="1"/>
  <c r="A12023" i="1"/>
  <c r="F12022" i="1"/>
  <c r="E12022" i="1"/>
  <c r="D12022" i="1"/>
  <c r="C12022" i="1"/>
  <c r="B12022" i="1"/>
  <c r="A12022" i="1"/>
  <c r="F12021" i="1"/>
  <c r="E12021" i="1"/>
  <c r="D12021" i="1"/>
  <c r="C12021" i="1"/>
  <c r="B12021" i="1"/>
  <c r="A12021" i="1"/>
  <c r="F12020" i="1"/>
  <c r="E12020" i="1"/>
  <c r="D12020" i="1"/>
  <c r="C12020" i="1"/>
  <c r="B12020" i="1"/>
  <c r="A12020" i="1"/>
  <c r="F12019" i="1"/>
  <c r="E12019" i="1"/>
  <c r="D12019" i="1"/>
  <c r="C12019" i="1"/>
  <c r="B12019" i="1"/>
  <c r="A12019" i="1"/>
  <c r="F12018" i="1"/>
  <c r="E12018" i="1"/>
  <c r="D12018" i="1"/>
  <c r="C12018" i="1"/>
  <c r="B12018" i="1"/>
  <c r="A12018" i="1"/>
  <c r="F12017" i="1"/>
  <c r="E12017" i="1"/>
  <c r="D12017" i="1"/>
  <c r="C12017" i="1"/>
  <c r="B12017" i="1"/>
  <c r="A12017" i="1"/>
  <c r="F12016" i="1"/>
  <c r="E12016" i="1"/>
  <c r="D12016" i="1"/>
  <c r="C12016" i="1"/>
  <c r="B12016" i="1"/>
  <c r="A12016" i="1"/>
  <c r="F12015" i="1"/>
  <c r="E12015" i="1"/>
  <c r="D12015" i="1"/>
  <c r="C12015" i="1"/>
  <c r="B12015" i="1"/>
  <c r="A12015" i="1"/>
  <c r="F12014" i="1"/>
  <c r="E12014" i="1"/>
  <c r="D12014" i="1"/>
  <c r="C12014" i="1"/>
  <c r="B12014" i="1"/>
  <c r="A12014" i="1"/>
  <c r="F12013" i="1"/>
  <c r="E12013" i="1"/>
  <c r="D12013" i="1"/>
  <c r="C12013" i="1"/>
  <c r="B12013" i="1"/>
  <c r="A12013" i="1"/>
  <c r="F12012" i="1"/>
  <c r="E12012" i="1"/>
  <c r="D12012" i="1"/>
  <c r="C12012" i="1"/>
  <c r="B12012" i="1"/>
  <c r="A12012" i="1"/>
  <c r="F12011" i="1"/>
  <c r="E12011" i="1"/>
  <c r="D12011" i="1"/>
  <c r="C12011" i="1"/>
  <c r="B12011" i="1"/>
  <c r="A12011" i="1"/>
  <c r="F12010" i="1"/>
  <c r="E12010" i="1"/>
  <c r="D12010" i="1"/>
  <c r="C12010" i="1"/>
  <c r="B12010" i="1"/>
  <c r="A12010" i="1"/>
  <c r="F12009" i="1"/>
  <c r="E12009" i="1"/>
  <c r="D12009" i="1"/>
  <c r="C12009" i="1"/>
  <c r="B12009" i="1"/>
  <c r="A12009" i="1"/>
  <c r="F12008" i="1"/>
  <c r="E12008" i="1"/>
  <c r="D12008" i="1"/>
  <c r="C12008" i="1"/>
  <c r="B12008" i="1"/>
  <c r="A12008" i="1"/>
  <c r="F12007" i="1"/>
  <c r="E12007" i="1"/>
  <c r="D12007" i="1"/>
  <c r="C12007" i="1"/>
  <c r="B12007" i="1"/>
  <c r="A12007" i="1"/>
  <c r="F12006" i="1"/>
  <c r="E12006" i="1"/>
  <c r="D12006" i="1"/>
  <c r="C12006" i="1"/>
  <c r="B12006" i="1"/>
  <c r="A12006" i="1"/>
  <c r="F12005" i="1"/>
  <c r="E12005" i="1"/>
  <c r="D12005" i="1"/>
  <c r="C12005" i="1"/>
  <c r="B12005" i="1"/>
  <c r="A12005" i="1"/>
  <c r="F12004" i="1"/>
  <c r="E12004" i="1"/>
  <c r="D12004" i="1"/>
  <c r="C12004" i="1"/>
  <c r="B12004" i="1"/>
  <c r="A12004" i="1"/>
  <c r="F12003" i="1"/>
  <c r="E12003" i="1"/>
  <c r="D12003" i="1"/>
  <c r="C12003" i="1"/>
  <c r="B12003" i="1"/>
  <c r="A12003" i="1"/>
  <c r="F12002" i="1"/>
  <c r="E12002" i="1"/>
  <c r="D12002" i="1"/>
  <c r="C12002" i="1"/>
  <c r="B12002" i="1"/>
  <c r="A12002" i="1"/>
  <c r="F12001" i="1"/>
  <c r="E12001" i="1"/>
  <c r="D12001" i="1"/>
  <c r="C12001" i="1"/>
  <c r="B12001" i="1"/>
  <c r="A12001" i="1"/>
  <c r="F12000" i="1"/>
  <c r="E12000" i="1"/>
  <c r="D12000" i="1"/>
  <c r="C12000" i="1"/>
  <c r="B12000" i="1"/>
  <c r="A12000" i="1"/>
  <c r="F11999" i="1"/>
  <c r="E11999" i="1"/>
  <c r="D11999" i="1"/>
  <c r="C11999" i="1"/>
  <c r="B11999" i="1"/>
  <c r="A11999" i="1"/>
  <c r="F11998" i="1"/>
  <c r="E11998" i="1"/>
  <c r="D11998" i="1"/>
  <c r="C11998" i="1"/>
  <c r="B11998" i="1"/>
  <c r="A11998" i="1"/>
  <c r="F11997" i="1"/>
  <c r="E11997" i="1"/>
  <c r="D11997" i="1"/>
  <c r="C11997" i="1"/>
  <c r="B11997" i="1"/>
  <c r="A11997" i="1"/>
  <c r="F11996" i="1"/>
  <c r="E11996" i="1"/>
  <c r="D11996" i="1"/>
  <c r="C11996" i="1"/>
  <c r="B11996" i="1"/>
  <c r="A11996" i="1"/>
  <c r="F11995" i="1"/>
  <c r="E11995" i="1"/>
  <c r="D11995" i="1"/>
  <c r="C11995" i="1"/>
  <c r="B11995" i="1"/>
  <c r="A11995" i="1"/>
  <c r="F11994" i="1"/>
  <c r="E11994" i="1"/>
  <c r="D11994" i="1"/>
  <c r="C11994" i="1"/>
  <c r="B11994" i="1"/>
  <c r="A11994" i="1"/>
  <c r="F11993" i="1"/>
  <c r="E11993" i="1"/>
  <c r="D11993" i="1"/>
  <c r="C11993" i="1"/>
  <c r="B11993" i="1"/>
  <c r="A11993" i="1"/>
  <c r="F11992" i="1"/>
  <c r="E11992" i="1"/>
  <c r="D11992" i="1"/>
  <c r="C11992" i="1"/>
  <c r="B11992" i="1"/>
  <c r="A11992" i="1"/>
  <c r="F11991" i="1"/>
  <c r="E11991" i="1"/>
  <c r="D11991" i="1"/>
  <c r="C11991" i="1"/>
  <c r="B11991" i="1"/>
  <c r="A11991" i="1"/>
  <c r="F11990" i="1"/>
  <c r="E11990" i="1"/>
  <c r="D11990" i="1"/>
  <c r="C11990" i="1"/>
  <c r="B11990" i="1"/>
  <c r="A11990" i="1"/>
  <c r="F11989" i="1"/>
  <c r="E11989" i="1"/>
  <c r="D11989" i="1"/>
  <c r="C11989" i="1"/>
  <c r="B11989" i="1"/>
  <c r="A11989" i="1"/>
  <c r="F11988" i="1"/>
  <c r="E11988" i="1"/>
  <c r="D11988" i="1"/>
  <c r="C11988" i="1"/>
  <c r="B11988" i="1"/>
  <c r="A11988" i="1"/>
  <c r="F11987" i="1"/>
  <c r="E11987" i="1"/>
  <c r="D11987" i="1"/>
  <c r="C11987" i="1"/>
  <c r="B11987" i="1"/>
  <c r="A11987" i="1"/>
  <c r="F11986" i="1"/>
  <c r="E11986" i="1"/>
  <c r="D11986" i="1"/>
  <c r="C11986" i="1"/>
  <c r="B11986" i="1"/>
  <c r="A11986" i="1"/>
  <c r="F11985" i="1"/>
  <c r="E11985" i="1"/>
  <c r="D11985" i="1"/>
  <c r="C11985" i="1"/>
  <c r="B11985" i="1"/>
  <c r="A11985" i="1"/>
  <c r="F11984" i="1"/>
  <c r="E11984" i="1"/>
  <c r="D11984" i="1"/>
  <c r="C11984" i="1"/>
  <c r="B11984" i="1"/>
  <c r="A11984" i="1"/>
  <c r="F11983" i="1"/>
  <c r="E11983" i="1"/>
  <c r="D11983" i="1"/>
  <c r="C11983" i="1"/>
  <c r="B11983" i="1"/>
  <c r="A11983" i="1"/>
  <c r="F11982" i="1"/>
  <c r="E11982" i="1"/>
  <c r="D11982" i="1"/>
  <c r="C11982" i="1"/>
  <c r="B11982" i="1"/>
  <c r="A11982" i="1"/>
  <c r="F11981" i="1"/>
  <c r="E11981" i="1"/>
  <c r="D11981" i="1"/>
  <c r="C11981" i="1"/>
  <c r="B11981" i="1"/>
  <c r="A11981" i="1"/>
  <c r="F11980" i="1"/>
  <c r="E11980" i="1"/>
  <c r="D11980" i="1"/>
  <c r="C11980" i="1"/>
  <c r="B11980" i="1"/>
  <c r="A11980" i="1"/>
  <c r="F11979" i="1"/>
  <c r="E11979" i="1"/>
  <c r="D11979" i="1"/>
  <c r="C11979" i="1"/>
  <c r="B11979" i="1"/>
  <c r="A11979" i="1"/>
  <c r="F11978" i="1"/>
  <c r="E11978" i="1"/>
  <c r="D11978" i="1"/>
  <c r="C11978" i="1"/>
  <c r="B11978" i="1"/>
  <c r="A11978" i="1"/>
  <c r="F11977" i="1"/>
  <c r="E11977" i="1"/>
  <c r="D11977" i="1"/>
  <c r="C11977" i="1"/>
  <c r="B11977" i="1"/>
  <c r="A11977" i="1"/>
  <c r="F11976" i="1"/>
  <c r="E11976" i="1"/>
  <c r="D11976" i="1"/>
  <c r="C11976" i="1"/>
  <c r="B11976" i="1"/>
  <c r="A11976" i="1"/>
  <c r="F11975" i="1"/>
  <c r="E11975" i="1"/>
  <c r="D11975" i="1"/>
  <c r="C11975" i="1"/>
  <c r="B11975" i="1"/>
  <c r="A11975" i="1"/>
  <c r="F11974" i="1"/>
  <c r="E11974" i="1"/>
  <c r="D11974" i="1"/>
  <c r="C11974" i="1"/>
  <c r="B11974" i="1"/>
  <c r="A11974" i="1"/>
  <c r="F11973" i="1"/>
  <c r="E11973" i="1"/>
  <c r="D11973" i="1"/>
  <c r="C11973" i="1"/>
  <c r="B11973" i="1"/>
  <c r="A11973" i="1"/>
  <c r="F11972" i="1"/>
  <c r="E11972" i="1"/>
  <c r="D11972" i="1"/>
  <c r="C11972" i="1"/>
  <c r="B11972" i="1"/>
  <c r="A11972" i="1"/>
  <c r="F11971" i="1"/>
  <c r="E11971" i="1"/>
  <c r="D11971" i="1"/>
  <c r="C11971" i="1"/>
  <c r="B11971" i="1"/>
  <c r="A11971" i="1"/>
  <c r="F11970" i="1"/>
  <c r="E11970" i="1"/>
  <c r="D11970" i="1"/>
  <c r="C11970" i="1"/>
  <c r="B11970" i="1"/>
  <c r="A11970" i="1"/>
  <c r="F11969" i="1"/>
  <c r="E11969" i="1"/>
  <c r="D11969" i="1"/>
  <c r="C11969" i="1"/>
  <c r="B11969" i="1"/>
  <c r="A11969" i="1"/>
  <c r="F11968" i="1"/>
  <c r="E11968" i="1"/>
  <c r="D11968" i="1"/>
  <c r="C11968" i="1"/>
  <c r="B11968" i="1"/>
  <c r="A11968" i="1"/>
  <c r="F11967" i="1"/>
  <c r="E11967" i="1"/>
  <c r="D11967" i="1"/>
  <c r="C11967" i="1"/>
  <c r="B11967" i="1"/>
  <c r="A11967" i="1"/>
  <c r="F11966" i="1"/>
  <c r="E11966" i="1"/>
  <c r="D11966" i="1"/>
  <c r="C11966" i="1"/>
  <c r="B11966" i="1"/>
  <c r="A11966" i="1"/>
  <c r="F11965" i="1"/>
  <c r="E11965" i="1"/>
  <c r="D11965" i="1"/>
  <c r="C11965" i="1"/>
  <c r="B11965" i="1"/>
  <c r="A11965" i="1"/>
  <c r="F11964" i="1"/>
  <c r="E11964" i="1"/>
  <c r="D11964" i="1"/>
  <c r="C11964" i="1"/>
  <c r="B11964" i="1"/>
  <c r="A11964" i="1"/>
  <c r="F11963" i="1"/>
  <c r="E11963" i="1"/>
  <c r="D11963" i="1"/>
  <c r="C11963" i="1"/>
  <c r="B11963" i="1"/>
  <c r="A11963" i="1"/>
  <c r="F11962" i="1"/>
  <c r="E11962" i="1"/>
  <c r="D11962" i="1"/>
  <c r="C11962" i="1"/>
  <c r="B11962" i="1"/>
  <c r="A11962" i="1"/>
  <c r="F11961" i="1"/>
  <c r="E11961" i="1"/>
  <c r="D11961" i="1"/>
  <c r="C11961" i="1"/>
  <c r="B11961" i="1"/>
  <c r="A11961" i="1"/>
  <c r="F11960" i="1"/>
  <c r="E11960" i="1"/>
  <c r="D11960" i="1"/>
  <c r="C11960" i="1"/>
  <c r="B11960" i="1"/>
  <c r="A11960" i="1"/>
  <c r="F11959" i="1"/>
  <c r="E11959" i="1"/>
  <c r="D11959" i="1"/>
  <c r="C11959" i="1"/>
  <c r="B11959" i="1"/>
  <c r="A11959" i="1"/>
  <c r="F11958" i="1"/>
  <c r="E11958" i="1"/>
  <c r="D11958" i="1"/>
  <c r="C11958" i="1"/>
  <c r="B11958" i="1"/>
  <c r="A11958" i="1"/>
  <c r="F11957" i="1"/>
  <c r="E11957" i="1"/>
  <c r="D11957" i="1"/>
  <c r="C11957" i="1"/>
  <c r="B11957" i="1"/>
  <c r="A11957" i="1"/>
  <c r="F11956" i="1"/>
  <c r="E11956" i="1"/>
  <c r="D11956" i="1"/>
  <c r="C11956" i="1"/>
  <c r="B11956" i="1"/>
  <c r="A11956" i="1"/>
  <c r="F11955" i="1"/>
  <c r="E11955" i="1"/>
  <c r="D11955" i="1"/>
  <c r="C11955" i="1"/>
  <c r="B11955" i="1"/>
  <c r="A11955" i="1"/>
  <c r="F11954" i="1"/>
  <c r="E11954" i="1"/>
  <c r="D11954" i="1"/>
  <c r="C11954" i="1"/>
  <c r="B11954" i="1"/>
  <c r="A11954" i="1"/>
  <c r="F11953" i="1"/>
  <c r="E11953" i="1"/>
  <c r="D11953" i="1"/>
  <c r="C11953" i="1"/>
  <c r="B11953" i="1"/>
  <c r="A11953" i="1"/>
  <c r="F11952" i="1"/>
  <c r="E11952" i="1"/>
  <c r="D11952" i="1"/>
  <c r="C11952" i="1"/>
  <c r="B11952" i="1"/>
  <c r="A11952" i="1"/>
  <c r="F11951" i="1"/>
  <c r="E11951" i="1"/>
  <c r="D11951" i="1"/>
  <c r="C11951" i="1"/>
  <c r="B11951" i="1"/>
  <c r="A11951" i="1"/>
  <c r="F11950" i="1"/>
  <c r="E11950" i="1"/>
  <c r="D11950" i="1"/>
  <c r="C11950" i="1"/>
  <c r="B11950" i="1"/>
  <c r="A11950" i="1"/>
  <c r="F11949" i="1"/>
  <c r="E11949" i="1"/>
  <c r="D11949" i="1"/>
  <c r="C11949" i="1"/>
  <c r="B11949" i="1"/>
  <c r="A11949" i="1"/>
  <c r="F11948" i="1"/>
  <c r="E11948" i="1"/>
  <c r="D11948" i="1"/>
  <c r="C11948" i="1"/>
  <c r="B11948" i="1"/>
  <c r="A11948" i="1"/>
  <c r="F11947" i="1"/>
  <c r="E11947" i="1"/>
  <c r="D11947" i="1"/>
  <c r="C11947" i="1"/>
  <c r="B11947" i="1"/>
  <c r="A11947" i="1"/>
  <c r="F11946" i="1"/>
  <c r="E11946" i="1"/>
  <c r="D11946" i="1"/>
  <c r="C11946" i="1"/>
  <c r="B11946" i="1"/>
  <c r="A11946" i="1"/>
  <c r="F11945" i="1"/>
  <c r="E11945" i="1"/>
  <c r="D11945" i="1"/>
  <c r="C11945" i="1"/>
  <c r="B11945" i="1"/>
  <c r="A11945" i="1"/>
  <c r="F11944" i="1"/>
  <c r="E11944" i="1"/>
  <c r="D11944" i="1"/>
  <c r="C11944" i="1"/>
  <c r="B11944" i="1"/>
  <c r="A11944" i="1"/>
  <c r="F11943" i="1"/>
  <c r="E11943" i="1"/>
  <c r="D11943" i="1"/>
  <c r="C11943" i="1"/>
  <c r="B11943" i="1"/>
  <c r="A11943" i="1"/>
  <c r="F11942" i="1"/>
  <c r="E11942" i="1"/>
  <c r="D11942" i="1"/>
  <c r="C11942" i="1"/>
  <c r="B11942" i="1"/>
  <c r="A11942" i="1"/>
  <c r="F11941" i="1"/>
  <c r="E11941" i="1"/>
  <c r="D11941" i="1"/>
  <c r="C11941" i="1"/>
  <c r="B11941" i="1"/>
  <c r="A11941" i="1"/>
  <c r="F11940" i="1"/>
  <c r="E11940" i="1"/>
  <c r="D11940" i="1"/>
  <c r="C11940" i="1"/>
  <c r="B11940" i="1"/>
  <c r="A11940" i="1"/>
  <c r="F11939" i="1"/>
  <c r="E11939" i="1"/>
  <c r="D11939" i="1"/>
  <c r="C11939" i="1"/>
  <c r="B11939" i="1"/>
  <c r="A11939" i="1"/>
  <c r="F11938" i="1"/>
  <c r="E11938" i="1"/>
  <c r="D11938" i="1"/>
  <c r="C11938" i="1"/>
  <c r="B11938" i="1"/>
  <c r="A11938" i="1"/>
  <c r="F11937" i="1"/>
  <c r="E11937" i="1"/>
  <c r="D11937" i="1"/>
  <c r="C11937" i="1"/>
  <c r="B11937" i="1"/>
  <c r="A11937" i="1"/>
  <c r="F11936" i="1"/>
  <c r="E11936" i="1"/>
  <c r="D11936" i="1"/>
  <c r="C11936" i="1"/>
  <c r="B11936" i="1"/>
  <c r="A11936" i="1"/>
  <c r="F11935" i="1"/>
  <c r="E11935" i="1"/>
  <c r="D11935" i="1"/>
  <c r="C11935" i="1"/>
  <c r="B11935" i="1"/>
  <c r="A11935" i="1"/>
  <c r="F11934" i="1"/>
  <c r="E11934" i="1"/>
  <c r="D11934" i="1"/>
  <c r="C11934" i="1"/>
  <c r="B11934" i="1"/>
  <c r="A11934" i="1"/>
  <c r="F11933" i="1"/>
  <c r="E11933" i="1"/>
  <c r="D11933" i="1"/>
  <c r="C11933" i="1"/>
  <c r="B11933" i="1"/>
  <c r="A11933" i="1"/>
  <c r="F11932" i="1"/>
  <c r="E11932" i="1"/>
  <c r="D11932" i="1"/>
  <c r="C11932" i="1"/>
  <c r="B11932" i="1"/>
  <c r="A11932" i="1"/>
  <c r="F11931" i="1"/>
  <c r="E11931" i="1"/>
  <c r="D11931" i="1"/>
  <c r="C11931" i="1"/>
  <c r="B11931" i="1"/>
  <c r="A11931" i="1"/>
  <c r="F11930" i="1"/>
  <c r="E11930" i="1"/>
  <c r="D11930" i="1"/>
  <c r="C11930" i="1"/>
  <c r="B11930" i="1"/>
  <c r="A11930" i="1"/>
  <c r="F11929" i="1"/>
  <c r="E11929" i="1"/>
  <c r="D11929" i="1"/>
  <c r="C11929" i="1"/>
  <c r="B11929" i="1"/>
  <c r="A11929" i="1"/>
  <c r="F11928" i="1"/>
  <c r="E11928" i="1"/>
  <c r="D11928" i="1"/>
  <c r="C11928" i="1"/>
  <c r="B11928" i="1"/>
  <c r="A11928" i="1"/>
  <c r="F11927" i="1"/>
  <c r="E11927" i="1"/>
  <c r="D11927" i="1"/>
  <c r="C11927" i="1"/>
  <c r="B11927" i="1"/>
  <c r="A11927" i="1"/>
  <c r="F11926" i="1"/>
  <c r="E11926" i="1"/>
  <c r="D11926" i="1"/>
  <c r="C11926" i="1"/>
  <c r="B11926" i="1"/>
  <c r="A11926" i="1"/>
  <c r="F11925" i="1"/>
  <c r="E11925" i="1"/>
  <c r="D11925" i="1"/>
  <c r="C11925" i="1"/>
  <c r="B11925" i="1"/>
  <c r="A11925" i="1"/>
  <c r="F11924" i="1"/>
  <c r="E11924" i="1"/>
  <c r="D11924" i="1"/>
  <c r="C11924" i="1"/>
  <c r="B11924" i="1"/>
  <c r="A11924" i="1"/>
  <c r="F11923" i="1"/>
  <c r="E11923" i="1"/>
  <c r="D11923" i="1"/>
  <c r="C11923" i="1"/>
  <c r="B11923" i="1"/>
  <c r="A11923" i="1"/>
  <c r="F11922" i="1"/>
  <c r="E11922" i="1"/>
  <c r="D11922" i="1"/>
  <c r="C11922" i="1"/>
  <c r="B11922" i="1"/>
  <c r="A11922" i="1"/>
  <c r="F11921" i="1"/>
  <c r="E11921" i="1"/>
  <c r="D11921" i="1"/>
  <c r="C11921" i="1"/>
  <c r="B11921" i="1"/>
  <c r="A11921" i="1"/>
  <c r="F11920" i="1"/>
  <c r="E11920" i="1"/>
  <c r="D11920" i="1"/>
  <c r="C11920" i="1"/>
  <c r="B11920" i="1"/>
  <c r="A11920" i="1"/>
  <c r="F11919" i="1"/>
  <c r="E11919" i="1"/>
  <c r="D11919" i="1"/>
  <c r="C11919" i="1"/>
  <c r="B11919" i="1"/>
  <c r="A11919" i="1"/>
  <c r="F11918" i="1"/>
  <c r="E11918" i="1"/>
  <c r="D11918" i="1"/>
  <c r="C11918" i="1"/>
  <c r="B11918" i="1"/>
  <c r="A11918" i="1"/>
  <c r="F11917" i="1"/>
  <c r="E11917" i="1"/>
  <c r="D11917" i="1"/>
  <c r="C11917" i="1"/>
  <c r="B11917" i="1"/>
  <c r="A11917" i="1"/>
  <c r="F11916" i="1"/>
  <c r="E11916" i="1"/>
  <c r="D11916" i="1"/>
  <c r="C11916" i="1"/>
  <c r="B11916" i="1"/>
  <c r="A11916" i="1"/>
  <c r="F11915" i="1"/>
  <c r="E11915" i="1"/>
  <c r="D11915" i="1"/>
  <c r="C11915" i="1"/>
  <c r="B11915" i="1"/>
  <c r="A11915" i="1"/>
  <c r="F11914" i="1"/>
  <c r="E11914" i="1"/>
  <c r="D11914" i="1"/>
  <c r="C11914" i="1"/>
  <c r="B11914" i="1"/>
  <c r="A11914" i="1"/>
  <c r="F11913" i="1"/>
  <c r="E11913" i="1"/>
  <c r="D11913" i="1"/>
  <c r="C11913" i="1"/>
  <c r="B11913" i="1"/>
  <c r="A11913" i="1"/>
  <c r="F11912" i="1"/>
  <c r="E11912" i="1"/>
  <c r="D11912" i="1"/>
  <c r="C11912" i="1"/>
  <c r="B11912" i="1"/>
  <c r="A11912" i="1"/>
  <c r="F11911" i="1"/>
  <c r="E11911" i="1"/>
  <c r="D11911" i="1"/>
  <c r="C11911" i="1"/>
  <c r="B11911" i="1"/>
  <c r="A11911" i="1"/>
  <c r="F11910" i="1"/>
  <c r="E11910" i="1"/>
  <c r="D11910" i="1"/>
  <c r="C11910" i="1"/>
  <c r="B11910" i="1"/>
  <c r="A11910" i="1"/>
  <c r="F11909" i="1"/>
  <c r="E11909" i="1"/>
  <c r="D11909" i="1"/>
  <c r="C11909" i="1"/>
  <c r="B11909" i="1"/>
  <c r="A11909" i="1"/>
  <c r="F11908" i="1"/>
  <c r="E11908" i="1"/>
  <c r="D11908" i="1"/>
  <c r="C11908" i="1"/>
  <c r="B11908" i="1"/>
  <c r="A11908" i="1"/>
  <c r="F11907" i="1"/>
  <c r="E11907" i="1"/>
  <c r="D11907" i="1"/>
  <c r="C11907" i="1"/>
  <c r="B11907" i="1"/>
  <c r="A11907" i="1"/>
  <c r="F11906" i="1"/>
  <c r="E11906" i="1"/>
  <c r="D11906" i="1"/>
  <c r="C11906" i="1"/>
  <c r="B11906" i="1"/>
  <c r="A11906" i="1"/>
  <c r="F11905" i="1"/>
  <c r="E11905" i="1"/>
  <c r="D11905" i="1"/>
  <c r="C11905" i="1"/>
  <c r="B11905" i="1"/>
  <c r="A11905" i="1"/>
  <c r="F11904" i="1"/>
  <c r="E11904" i="1"/>
  <c r="D11904" i="1"/>
  <c r="C11904" i="1"/>
  <c r="B11904" i="1"/>
  <c r="A11904" i="1"/>
  <c r="F11903" i="1"/>
  <c r="E11903" i="1"/>
  <c r="D11903" i="1"/>
  <c r="C11903" i="1"/>
  <c r="B11903" i="1"/>
  <c r="A11903" i="1"/>
  <c r="F11902" i="1"/>
  <c r="E11902" i="1"/>
  <c r="D11902" i="1"/>
  <c r="C11902" i="1"/>
  <c r="B11902" i="1"/>
  <c r="A11902" i="1"/>
  <c r="F11901" i="1"/>
  <c r="E11901" i="1"/>
  <c r="D11901" i="1"/>
  <c r="C11901" i="1"/>
  <c r="B11901" i="1"/>
  <c r="A11901" i="1"/>
  <c r="F11900" i="1"/>
  <c r="E11900" i="1"/>
  <c r="D11900" i="1"/>
  <c r="C11900" i="1"/>
  <c r="B11900" i="1"/>
  <c r="A11900" i="1"/>
  <c r="F11899" i="1"/>
  <c r="E11899" i="1"/>
  <c r="D11899" i="1"/>
  <c r="C11899" i="1"/>
  <c r="B11899" i="1"/>
  <c r="A11899" i="1"/>
  <c r="F11898" i="1"/>
  <c r="E11898" i="1"/>
  <c r="D11898" i="1"/>
  <c r="C11898" i="1"/>
  <c r="B11898" i="1"/>
  <c r="A11898" i="1"/>
  <c r="F11897" i="1"/>
  <c r="E11897" i="1"/>
  <c r="D11897" i="1"/>
  <c r="C11897" i="1"/>
  <c r="B11897" i="1"/>
  <c r="A11897" i="1"/>
  <c r="F11896" i="1"/>
  <c r="E11896" i="1"/>
  <c r="D11896" i="1"/>
  <c r="C11896" i="1"/>
  <c r="B11896" i="1"/>
  <c r="A11896" i="1"/>
  <c r="F11895" i="1"/>
  <c r="E11895" i="1"/>
  <c r="D11895" i="1"/>
  <c r="C11895" i="1"/>
  <c r="B11895" i="1"/>
  <c r="A11895" i="1"/>
  <c r="F11894" i="1"/>
  <c r="E11894" i="1"/>
  <c r="D11894" i="1"/>
  <c r="C11894" i="1"/>
  <c r="B11894" i="1"/>
  <c r="A11894" i="1"/>
  <c r="F11893" i="1"/>
  <c r="E11893" i="1"/>
  <c r="D11893" i="1"/>
  <c r="C11893" i="1"/>
  <c r="B11893" i="1"/>
  <c r="A11893" i="1"/>
  <c r="F11892" i="1"/>
  <c r="E11892" i="1"/>
  <c r="D11892" i="1"/>
  <c r="C11892" i="1"/>
  <c r="B11892" i="1"/>
  <c r="A11892" i="1"/>
  <c r="F11891" i="1"/>
  <c r="E11891" i="1"/>
  <c r="D11891" i="1"/>
  <c r="C11891" i="1"/>
  <c r="B11891" i="1"/>
  <c r="A11891" i="1"/>
  <c r="F11890" i="1"/>
  <c r="E11890" i="1"/>
  <c r="D11890" i="1"/>
  <c r="C11890" i="1"/>
  <c r="B11890" i="1"/>
  <c r="A11890" i="1"/>
  <c r="F11889" i="1"/>
  <c r="E11889" i="1"/>
  <c r="D11889" i="1"/>
  <c r="C11889" i="1"/>
  <c r="B11889" i="1"/>
  <c r="A11889" i="1"/>
  <c r="F11888" i="1"/>
  <c r="E11888" i="1"/>
  <c r="D11888" i="1"/>
  <c r="C11888" i="1"/>
  <c r="B11888" i="1"/>
  <c r="A11888" i="1"/>
  <c r="F11887" i="1"/>
  <c r="E11887" i="1"/>
  <c r="D11887" i="1"/>
  <c r="C11887" i="1"/>
  <c r="B11887" i="1"/>
  <c r="A11887" i="1"/>
  <c r="F11886" i="1"/>
  <c r="E11886" i="1"/>
  <c r="D11886" i="1"/>
  <c r="C11886" i="1"/>
  <c r="B11886" i="1"/>
  <c r="A11886" i="1"/>
  <c r="F11885" i="1"/>
  <c r="E11885" i="1"/>
  <c r="D11885" i="1"/>
  <c r="C11885" i="1"/>
  <c r="B11885" i="1"/>
  <c r="A11885" i="1"/>
  <c r="F11884" i="1"/>
  <c r="E11884" i="1"/>
  <c r="D11884" i="1"/>
  <c r="C11884" i="1"/>
  <c r="B11884" i="1"/>
  <c r="A11884" i="1"/>
  <c r="F11883" i="1"/>
  <c r="E11883" i="1"/>
  <c r="D11883" i="1"/>
  <c r="C11883" i="1"/>
  <c r="B11883" i="1"/>
  <c r="A11883" i="1"/>
  <c r="F11882" i="1"/>
  <c r="E11882" i="1"/>
  <c r="D11882" i="1"/>
  <c r="C11882" i="1"/>
  <c r="B11882" i="1"/>
  <c r="A11882" i="1"/>
  <c r="F11881" i="1"/>
  <c r="E11881" i="1"/>
  <c r="D11881" i="1"/>
  <c r="C11881" i="1"/>
  <c r="B11881" i="1"/>
  <c r="A11881" i="1"/>
  <c r="F11880" i="1"/>
  <c r="E11880" i="1"/>
  <c r="D11880" i="1"/>
  <c r="C11880" i="1"/>
  <c r="B11880" i="1"/>
  <c r="A11880" i="1"/>
  <c r="F11879" i="1"/>
  <c r="E11879" i="1"/>
  <c r="D11879" i="1"/>
  <c r="C11879" i="1"/>
  <c r="B11879" i="1"/>
  <c r="A11879" i="1"/>
  <c r="F11878" i="1"/>
  <c r="E11878" i="1"/>
  <c r="D11878" i="1"/>
  <c r="C11878" i="1"/>
  <c r="B11878" i="1"/>
  <c r="A11878" i="1"/>
  <c r="F11877" i="1"/>
  <c r="E11877" i="1"/>
  <c r="D11877" i="1"/>
  <c r="C11877" i="1"/>
  <c r="B11877" i="1"/>
  <c r="A11877" i="1"/>
  <c r="F11876" i="1"/>
  <c r="E11876" i="1"/>
  <c r="D11876" i="1"/>
  <c r="C11876" i="1"/>
  <c r="B11876" i="1"/>
  <c r="A11876" i="1"/>
  <c r="F11875" i="1"/>
  <c r="E11875" i="1"/>
  <c r="D11875" i="1"/>
  <c r="C11875" i="1"/>
  <c r="B11875" i="1"/>
  <c r="A11875" i="1"/>
  <c r="F11874" i="1"/>
  <c r="E11874" i="1"/>
  <c r="D11874" i="1"/>
  <c r="C11874" i="1"/>
  <c r="B11874" i="1"/>
  <c r="A11874" i="1"/>
  <c r="F11873" i="1"/>
  <c r="E11873" i="1"/>
  <c r="D11873" i="1"/>
  <c r="C11873" i="1"/>
  <c r="B11873" i="1"/>
  <c r="A11873" i="1"/>
  <c r="F11872" i="1"/>
  <c r="E11872" i="1"/>
  <c r="D11872" i="1"/>
  <c r="C11872" i="1"/>
  <c r="B11872" i="1"/>
  <c r="A11872" i="1"/>
  <c r="F11871" i="1"/>
  <c r="E11871" i="1"/>
  <c r="D11871" i="1"/>
  <c r="C11871" i="1"/>
  <c r="B11871" i="1"/>
  <c r="A11871" i="1"/>
  <c r="F11870" i="1"/>
  <c r="E11870" i="1"/>
  <c r="D11870" i="1"/>
  <c r="C11870" i="1"/>
  <c r="B11870" i="1"/>
  <c r="A11870" i="1"/>
  <c r="F11869" i="1"/>
  <c r="E11869" i="1"/>
  <c r="D11869" i="1"/>
  <c r="C11869" i="1"/>
  <c r="B11869" i="1"/>
  <c r="A11869" i="1"/>
  <c r="F11868" i="1"/>
  <c r="E11868" i="1"/>
  <c r="D11868" i="1"/>
  <c r="C11868" i="1"/>
  <c r="B11868" i="1"/>
  <c r="A11868" i="1"/>
  <c r="F11867" i="1"/>
  <c r="E11867" i="1"/>
  <c r="D11867" i="1"/>
  <c r="C11867" i="1"/>
  <c r="B11867" i="1"/>
  <c r="A11867" i="1"/>
  <c r="F11866" i="1"/>
  <c r="E11866" i="1"/>
  <c r="D11866" i="1"/>
  <c r="C11866" i="1"/>
  <c r="B11866" i="1"/>
  <c r="A11866" i="1"/>
  <c r="F11865" i="1"/>
  <c r="E11865" i="1"/>
  <c r="D11865" i="1"/>
  <c r="C11865" i="1"/>
  <c r="B11865" i="1"/>
  <c r="A11865" i="1"/>
  <c r="F11864" i="1"/>
  <c r="E11864" i="1"/>
  <c r="D11864" i="1"/>
  <c r="C11864" i="1"/>
  <c r="B11864" i="1"/>
  <c r="A11864" i="1"/>
  <c r="F11863" i="1"/>
  <c r="E11863" i="1"/>
  <c r="D11863" i="1"/>
  <c r="C11863" i="1"/>
  <c r="B11863" i="1"/>
  <c r="A11863" i="1"/>
  <c r="F11862" i="1"/>
  <c r="E11862" i="1"/>
  <c r="D11862" i="1"/>
  <c r="C11862" i="1"/>
  <c r="B11862" i="1"/>
  <c r="A11862" i="1"/>
  <c r="F11861" i="1"/>
  <c r="E11861" i="1"/>
  <c r="D11861" i="1"/>
  <c r="C11861" i="1"/>
  <c r="B11861" i="1"/>
  <c r="A11861" i="1"/>
  <c r="F11860" i="1"/>
  <c r="E11860" i="1"/>
  <c r="D11860" i="1"/>
  <c r="C11860" i="1"/>
  <c r="B11860" i="1"/>
  <c r="A11860" i="1"/>
  <c r="F11859" i="1"/>
  <c r="E11859" i="1"/>
  <c r="D11859" i="1"/>
  <c r="C11859" i="1"/>
  <c r="B11859" i="1"/>
  <c r="A11859" i="1"/>
  <c r="F11858" i="1"/>
  <c r="E11858" i="1"/>
  <c r="D11858" i="1"/>
  <c r="C11858" i="1"/>
  <c r="B11858" i="1"/>
  <c r="A11858" i="1"/>
  <c r="F11857" i="1"/>
  <c r="E11857" i="1"/>
  <c r="D11857" i="1"/>
  <c r="C11857" i="1"/>
  <c r="B11857" i="1"/>
  <c r="A11857" i="1"/>
  <c r="F11856" i="1"/>
  <c r="E11856" i="1"/>
  <c r="D11856" i="1"/>
  <c r="C11856" i="1"/>
  <c r="B11856" i="1"/>
  <c r="A11856" i="1"/>
  <c r="F11855" i="1"/>
  <c r="E11855" i="1"/>
  <c r="D11855" i="1"/>
  <c r="C11855" i="1"/>
  <c r="B11855" i="1"/>
  <c r="A11855" i="1"/>
  <c r="F11854" i="1"/>
  <c r="E11854" i="1"/>
  <c r="D11854" i="1"/>
  <c r="C11854" i="1"/>
  <c r="B11854" i="1"/>
  <c r="A11854" i="1"/>
  <c r="F11853" i="1"/>
  <c r="E11853" i="1"/>
  <c r="D11853" i="1"/>
  <c r="C11853" i="1"/>
  <c r="B11853" i="1"/>
  <c r="A11853" i="1"/>
  <c r="F11852" i="1"/>
  <c r="E11852" i="1"/>
  <c r="D11852" i="1"/>
  <c r="C11852" i="1"/>
  <c r="B11852" i="1"/>
  <c r="A11852" i="1"/>
  <c r="F11851" i="1"/>
  <c r="E11851" i="1"/>
  <c r="D11851" i="1"/>
  <c r="C11851" i="1"/>
  <c r="B11851" i="1"/>
  <c r="A11851" i="1"/>
  <c r="F11850" i="1"/>
  <c r="E11850" i="1"/>
  <c r="D11850" i="1"/>
  <c r="C11850" i="1"/>
  <c r="B11850" i="1"/>
  <c r="A11850" i="1"/>
  <c r="F11849" i="1"/>
  <c r="E11849" i="1"/>
  <c r="D11849" i="1"/>
  <c r="C11849" i="1"/>
  <c r="B11849" i="1"/>
  <c r="A11849" i="1"/>
  <c r="F11848" i="1"/>
  <c r="E11848" i="1"/>
  <c r="D11848" i="1"/>
  <c r="C11848" i="1"/>
  <c r="B11848" i="1"/>
  <c r="A11848" i="1"/>
  <c r="F11847" i="1"/>
  <c r="E11847" i="1"/>
  <c r="D11847" i="1"/>
  <c r="C11847" i="1"/>
  <c r="B11847" i="1"/>
  <c r="A11847" i="1"/>
  <c r="F11846" i="1"/>
  <c r="E11846" i="1"/>
  <c r="D11846" i="1"/>
  <c r="C11846" i="1"/>
  <c r="B11846" i="1"/>
  <c r="A11846" i="1"/>
  <c r="F11845" i="1"/>
  <c r="E11845" i="1"/>
  <c r="D11845" i="1"/>
  <c r="C11845" i="1"/>
  <c r="B11845" i="1"/>
  <c r="A11845" i="1"/>
  <c r="F11844" i="1"/>
  <c r="E11844" i="1"/>
  <c r="D11844" i="1"/>
  <c r="C11844" i="1"/>
  <c r="B11844" i="1"/>
  <c r="A11844" i="1"/>
  <c r="F11843" i="1"/>
  <c r="E11843" i="1"/>
  <c r="D11843" i="1"/>
  <c r="C11843" i="1"/>
  <c r="B11843" i="1"/>
  <c r="A11843" i="1"/>
  <c r="F11842" i="1"/>
  <c r="E11842" i="1"/>
  <c r="D11842" i="1"/>
  <c r="C11842" i="1"/>
  <c r="B11842" i="1"/>
  <c r="A11842" i="1"/>
  <c r="F11841" i="1"/>
  <c r="E11841" i="1"/>
  <c r="D11841" i="1"/>
  <c r="C11841" i="1"/>
  <c r="B11841" i="1"/>
  <c r="A11841" i="1"/>
  <c r="F11840" i="1"/>
  <c r="E11840" i="1"/>
  <c r="D11840" i="1"/>
  <c r="C11840" i="1"/>
  <c r="B11840" i="1"/>
  <c r="A11840" i="1"/>
  <c r="F11839" i="1"/>
  <c r="E11839" i="1"/>
  <c r="D11839" i="1"/>
  <c r="C11839" i="1"/>
  <c r="B11839" i="1"/>
  <c r="A11839" i="1"/>
  <c r="F11838" i="1"/>
  <c r="E11838" i="1"/>
  <c r="D11838" i="1"/>
  <c r="C11838" i="1"/>
  <c r="B11838" i="1"/>
  <c r="A11838" i="1"/>
  <c r="F11837" i="1"/>
  <c r="E11837" i="1"/>
  <c r="D11837" i="1"/>
  <c r="C11837" i="1"/>
  <c r="B11837" i="1"/>
  <c r="A11837" i="1"/>
  <c r="F11836" i="1"/>
  <c r="E11836" i="1"/>
  <c r="D11836" i="1"/>
  <c r="C11836" i="1"/>
  <c r="B11836" i="1"/>
  <c r="A11836" i="1"/>
  <c r="F11835" i="1"/>
  <c r="E11835" i="1"/>
  <c r="D11835" i="1"/>
  <c r="C11835" i="1"/>
  <c r="B11835" i="1"/>
  <c r="A11835" i="1"/>
  <c r="F11834" i="1"/>
  <c r="E11834" i="1"/>
  <c r="D11834" i="1"/>
  <c r="C11834" i="1"/>
  <c r="B11834" i="1"/>
  <c r="A11834" i="1"/>
  <c r="F11833" i="1"/>
  <c r="E11833" i="1"/>
  <c r="D11833" i="1"/>
  <c r="C11833" i="1"/>
  <c r="B11833" i="1"/>
  <c r="A11833" i="1"/>
  <c r="F11832" i="1"/>
  <c r="E11832" i="1"/>
  <c r="D11832" i="1"/>
  <c r="C11832" i="1"/>
  <c r="B11832" i="1"/>
  <c r="A11832" i="1"/>
  <c r="F11831" i="1"/>
  <c r="E11831" i="1"/>
  <c r="D11831" i="1"/>
  <c r="C11831" i="1"/>
  <c r="B11831" i="1"/>
  <c r="A11831" i="1"/>
  <c r="F11830" i="1"/>
  <c r="E11830" i="1"/>
  <c r="D11830" i="1"/>
  <c r="C11830" i="1"/>
  <c r="B11830" i="1"/>
  <c r="A11830" i="1"/>
  <c r="F11829" i="1"/>
  <c r="E11829" i="1"/>
  <c r="D11829" i="1"/>
  <c r="C11829" i="1"/>
  <c r="B11829" i="1"/>
  <c r="A11829" i="1"/>
  <c r="F11828" i="1"/>
  <c r="E11828" i="1"/>
  <c r="D11828" i="1"/>
  <c r="C11828" i="1"/>
  <c r="B11828" i="1"/>
  <c r="A11828" i="1"/>
  <c r="F11827" i="1"/>
  <c r="E11827" i="1"/>
  <c r="D11827" i="1"/>
  <c r="C11827" i="1"/>
  <c r="B11827" i="1"/>
  <c r="A11827" i="1"/>
  <c r="F11826" i="1"/>
  <c r="E11826" i="1"/>
  <c r="D11826" i="1"/>
  <c r="C11826" i="1"/>
  <c r="B11826" i="1"/>
  <c r="A11826" i="1"/>
  <c r="F11825" i="1"/>
  <c r="E11825" i="1"/>
  <c r="D11825" i="1"/>
  <c r="C11825" i="1"/>
  <c r="B11825" i="1"/>
  <c r="A11825" i="1"/>
  <c r="F11824" i="1"/>
  <c r="E11824" i="1"/>
  <c r="D11824" i="1"/>
  <c r="C11824" i="1"/>
  <c r="B11824" i="1"/>
  <c r="A11824" i="1"/>
  <c r="F11823" i="1"/>
  <c r="E11823" i="1"/>
  <c r="D11823" i="1"/>
  <c r="C11823" i="1"/>
  <c r="B11823" i="1"/>
  <c r="A11823" i="1"/>
  <c r="F11822" i="1"/>
  <c r="E11822" i="1"/>
  <c r="D11822" i="1"/>
  <c r="C11822" i="1"/>
  <c r="B11822" i="1"/>
  <c r="A11822" i="1"/>
  <c r="F11821" i="1"/>
  <c r="E11821" i="1"/>
  <c r="D11821" i="1"/>
  <c r="C11821" i="1"/>
  <c r="B11821" i="1"/>
  <c r="A11821" i="1"/>
  <c r="F11820" i="1"/>
  <c r="E11820" i="1"/>
  <c r="D11820" i="1"/>
  <c r="C11820" i="1"/>
  <c r="B11820" i="1"/>
  <c r="A11820" i="1"/>
  <c r="F11819" i="1"/>
  <c r="E11819" i="1"/>
  <c r="D11819" i="1"/>
  <c r="C11819" i="1"/>
  <c r="B11819" i="1"/>
  <c r="A11819" i="1"/>
  <c r="F11818" i="1"/>
  <c r="E11818" i="1"/>
  <c r="D11818" i="1"/>
  <c r="C11818" i="1"/>
  <c r="B11818" i="1"/>
  <c r="A11818" i="1"/>
  <c r="F11817" i="1"/>
  <c r="E11817" i="1"/>
  <c r="D11817" i="1"/>
  <c r="C11817" i="1"/>
  <c r="B11817" i="1"/>
  <c r="A11817" i="1"/>
  <c r="F11816" i="1"/>
  <c r="E11816" i="1"/>
  <c r="D11816" i="1"/>
  <c r="C11816" i="1"/>
  <c r="B11816" i="1"/>
  <c r="A11816" i="1"/>
  <c r="F11815" i="1"/>
  <c r="E11815" i="1"/>
  <c r="D11815" i="1"/>
  <c r="C11815" i="1"/>
  <c r="B11815" i="1"/>
  <c r="A11815" i="1"/>
  <c r="F11814" i="1"/>
  <c r="E11814" i="1"/>
  <c r="D11814" i="1"/>
  <c r="C11814" i="1"/>
  <c r="B11814" i="1"/>
  <c r="A11814" i="1"/>
  <c r="F11813" i="1"/>
  <c r="E11813" i="1"/>
  <c r="D11813" i="1"/>
  <c r="C11813" i="1"/>
  <c r="B11813" i="1"/>
  <c r="A11813" i="1"/>
  <c r="F11812" i="1"/>
  <c r="E11812" i="1"/>
  <c r="D11812" i="1"/>
  <c r="C11812" i="1"/>
  <c r="B11812" i="1"/>
  <c r="A11812" i="1"/>
  <c r="F11811" i="1"/>
  <c r="E11811" i="1"/>
  <c r="D11811" i="1"/>
  <c r="C11811" i="1"/>
  <c r="B11811" i="1"/>
  <c r="A11811" i="1"/>
  <c r="F11810" i="1"/>
  <c r="E11810" i="1"/>
  <c r="D11810" i="1"/>
  <c r="C11810" i="1"/>
  <c r="B11810" i="1"/>
  <c r="A11810" i="1"/>
  <c r="F11809" i="1"/>
  <c r="E11809" i="1"/>
  <c r="D11809" i="1"/>
  <c r="C11809" i="1"/>
  <c r="B11809" i="1"/>
  <c r="A11809" i="1"/>
  <c r="F11808" i="1"/>
  <c r="E11808" i="1"/>
  <c r="D11808" i="1"/>
  <c r="C11808" i="1"/>
  <c r="B11808" i="1"/>
  <c r="A11808" i="1"/>
  <c r="F11807" i="1"/>
  <c r="E11807" i="1"/>
  <c r="D11807" i="1"/>
  <c r="C11807" i="1"/>
  <c r="B11807" i="1"/>
  <c r="A11807" i="1"/>
  <c r="F11806" i="1"/>
  <c r="E11806" i="1"/>
  <c r="D11806" i="1"/>
  <c r="C11806" i="1"/>
  <c r="B11806" i="1"/>
  <c r="A11806" i="1"/>
  <c r="F11805" i="1"/>
  <c r="E11805" i="1"/>
  <c r="D11805" i="1"/>
  <c r="C11805" i="1"/>
  <c r="B11805" i="1"/>
  <c r="A11805" i="1"/>
  <c r="F11804" i="1"/>
  <c r="E11804" i="1"/>
  <c r="D11804" i="1"/>
  <c r="C11804" i="1"/>
  <c r="B11804" i="1"/>
  <c r="A11804" i="1"/>
  <c r="F11803" i="1"/>
  <c r="E11803" i="1"/>
  <c r="D11803" i="1"/>
  <c r="C11803" i="1"/>
  <c r="B11803" i="1"/>
  <c r="A11803" i="1"/>
  <c r="F11802" i="1"/>
  <c r="E11802" i="1"/>
  <c r="D11802" i="1"/>
  <c r="C11802" i="1"/>
  <c r="B11802" i="1"/>
  <c r="A11802" i="1"/>
  <c r="F11801" i="1"/>
  <c r="E11801" i="1"/>
  <c r="D11801" i="1"/>
  <c r="C11801" i="1"/>
  <c r="B11801" i="1"/>
  <c r="A11801" i="1"/>
  <c r="F11800" i="1"/>
  <c r="E11800" i="1"/>
  <c r="D11800" i="1"/>
  <c r="C11800" i="1"/>
  <c r="B11800" i="1"/>
  <c r="A11800" i="1"/>
  <c r="F11799" i="1"/>
  <c r="E11799" i="1"/>
  <c r="D11799" i="1"/>
  <c r="C11799" i="1"/>
  <c r="B11799" i="1"/>
  <c r="A11799" i="1"/>
  <c r="F11798" i="1"/>
  <c r="E11798" i="1"/>
  <c r="D11798" i="1"/>
  <c r="C11798" i="1"/>
  <c r="B11798" i="1"/>
  <c r="A11798" i="1"/>
  <c r="F11797" i="1"/>
  <c r="E11797" i="1"/>
  <c r="D11797" i="1"/>
  <c r="C11797" i="1"/>
  <c r="B11797" i="1"/>
  <c r="A11797" i="1"/>
  <c r="F11796" i="1"/>
  <c r="E11796" i="1"/>
  <c r="D11796" i="1"/>
  <c r="C11796" i="1"/>
  <c r="B11796" i="1"/>
  <c r="A11796" i="1"/>
  <c r="F11795" i="1"/>
  <c r="E11795" i="1"/>
  <c r="D11795" i="1"/>
  <c r="C11795" i="1"/>
  <c r="B11795" i="1"/>
  <c r="A11795" i="1"/>
  <c r="F11794" i="1"/>
  <c r="E11794" i="1"/>
  <c r="D11794" i="1"/>
  <c r="C11794" i="1"/>
  <c r="B11794" i="1"/>
  <c r="A11794" i="1"/>
  <c r="F11793" i="1"/>
  <c r="E11793" i="1"/>
  <c r="D11793" i="1"/>
  <c r="C11793" i="1"/>
  <c r="B11793" i="1"/>
  <c r="A11793" i="1"/>
  <c r="F11792" i="1"/>
  <c r="E11792" i="1"/>
  <c r="D11792" i="1"/>
  <c r="C11792" i="1"/>
  <c r="B11792" i="1"/>
  <c r="A11792" i="1"/>
  <c r="F11791" i="1"/>
  <c r="E11791" i="1"/>
  <c r="D11791" i="1"/>
  <c r="C11791" i="1"/>
  <c r="B11791" i="1"/>
  <c r="A11791" i="1"/>
  <c r="F11790" i="1"/>
  <c r="E11790" i="1"/>
  <c r="D11790" i="1"/>
  <c r="C11790" i="1"/>
  <c r="B11790" i="1"/>
  <c r="A11790" i="1"/>
  <c r="F11789" i="1"/>
  <c r="E11789" i="1"/>
  <c r="D11789" i="1"/>
  <c r="C11789" i="1"/>
  <c r="B11789" i="1"/>
  <c r="A11789" i="1"/>
  <c r="F11788" i="1"/>
  <c r="E11788" i="1"/>
  <c r="D11788" i="1"/>
  <c r="C11788" i="1"/>
  <c r="B11788" i="1"/>
  <c r="A11788" i="1"/>
  <c r="F11787" i="1"/>
  <c r="E11787" i="1"/>
  <c r="D11787" i="1"/>
  <c r="C11787" i="1"/>
  <c r="B11787" i="1"/>
  <c r="A11787" i="1"/>
  <c r="F11786" i="1"/>
  <c r="E11786" i="1"/>
  <c r="D11786" i="1"/>
  <c r="C11786" i="1"/>
  <c r="B11786" i="1"/>
  <c r="A11786" i="1"/>
  <c r="F11785" i="1"/>
  <c r="E11785" i="1"/>
  <c r="D11785" i="1"/>
  <c r="C11785" i="1"/>
  <c r="B11785" i="1"/>
  <c r="A11785" i="1"/>
  <c r="F11784" i="1"/>
  <c r="E11784" i="1"/>
  <c r="D11784" i="1"/>
  <c r="C11784" i="1"/>
  <c r="B11784" i="1"/>
  <c r="A11784" i="1"/>
  <c r="F11783" i="1"/>
  <c r="E11783" i="1"/>
  <c r="D11783" i="1"/>
  <c r="C11783" i="1"/>
  <c r="B11783" i="1"/>
  <c r="A11783" i="1"/>
  <c r="F11782" i="1"/>
  <c r="E11782" i="1"/>
  <c r="D11782" i="1"/>
  <c r="C11782" i="1"/>
  <c r="B11782" i="1"/>
  <c r="A11782" i="1"/>
  <c r="F11781" i="1"/>
  <c r="E11781" i="1"/>
  <c r="D11781" i="1"/>
  <c r="C11781" i="1"/>
  <c r="B11781" i="1"/>
  <c r="A11781" i="1"/>
  <c r="F11780" i="1"/>
  <c r="E11780" i="1"/>
  <c r="D11780" i="1"/>
  <c r="C11780" i="1"/>
  <c r="B11780" i="1"/>
  <c r="A11780" i="1"/>
  <c r="F11779" i="1"/>
  <c r="E11779" i="1"/>
  <c r="D11779" i="1"/>
  <c r="C11779" i="1"/>
  <c r="B11779" i="1"/>
  <c r="A11779" i="1"/>
  <c r="F11778" i="1"/>
  <c r="E11778" i="1"/>
  <c r="D11778" i="1"/>
  <c r="C11778" i="1"/>
  <c r="B11778" i="1"/>
  <c r="A11778" i="1"/>
  <c r="F11777" i="1"/>
  <c r="E11777" i="1"/>
  <c r="D11777" i="1"/>
  <c r="C11777" i="1"/>
  <c r="B11777" i="1"/>
  <c r="A11777" i="1"/>
  <c r="F11776" i="1"/>
  <c r="E11776" i="1"/>
  <c r="D11776" i="1"/>
  <c r="C11776" i="1"/>
  <c r="B11776" i="1"/>
  <c r="A11776" i="1"/>
  <c r="F11775" i="1"/>
  <c r="E11775" i="1"/>
  <c r="D11775" i="1"/>
  <c r="C11775" i="1"/>
  <c r="B11775" i="1"/>
  <c r="A11775" i="1"/>
  <c r="F11774" i="1"/>
  <c r="E11774" i="1"/>
  <c r="D11774" i="1"/>
  <c r="C11774" i="1"/>
  <c r="B11774" i="1"/>
  <c r="A11774" i="1"/>
  <c r="F11773" i="1"/>
  <c r="E11773" i="1"/>
  <c r="D11773" i="1"/>
  <c r="C11773" i="1"/>
  <c r="B11773" i="1"/>
  <c r="A11773" i="1"/>
  <c r="F11772" i="1"/>
  <c r="E11772" i="1"/>
  <c r="D11772" i="1"/>
  <c r="C11772" i="1"/>
  <c r="B11772" i="1"/>
  <c r="A11772" i="1"/>
  <c r="F11771" i="1"/>
  <c r="E11771" i="1"/>
  <c r="D11771" i="1"/>
  <c r="C11771" i="1"/>
  <c r="B11771" i="1"/>
  <c r="A11771" i="1"/>
  <c r="F11770" i="1"/>
  <c r="E11770" i="1"/>
  <c r="D11770" i="1"/>
  <c r="C11770" i="1"/>
  <c r="B11770" i="1"/>
  <c r="A11770" i="1"/>
  <c r="F11769" i="1"/>
  <c r="E11769" i="1"/>
  <c r="D11769" i="1"/>
  <c r="C11769" i="1"/>
  <c r="B11769" i="1"/>
  <c r="A11769" i="1"/>
  <c r="F11768" i="1"/>
  <c r="E11768" i="1"/>
  <c r="D11768" i="1"/>
  <c r="C11768" i="1"/>
  <c r="B11768" i="1"/>
  <c r="A11768" i="1"/>
  <c r="F11767" i="1"/>
  <c r="E11767" i="1"/>
  <c r="D11767" i="1"/>
  <c r="C11767" i="1"/>
  <c r="B11767" i="1"/>
  <c r="A11767" i="1"/>
  <c r="F11766" i="1"/>
  <c r="E11766" i="1"/>
  <c r="D11766" i="1"/>
  <c r="C11766" i="1"/>
  <c r="B11766" i="1"/>
  <c r="A11766" i="1"/>
  <c r="F11765" i="1"/>
  <c r="E11765" i="1"/>
  <c r="D11765" i="1"/>
  <c r="C11765" i="1"/>
  <c r="B11765" i="1"/>
  <c r="A11765" i="1"/>
  <c r="F11764" i="1"/>
  <c r="E11764" i="1"/>
  <c r="D11764" i="1"/>
  <c r="C11764" i="1"/>
  <c r="B11764" i="1"/>
  <c r="A11764" i="1"/>
  <c r="F11763" i="1"/>
  <c r="E11763" i="1"/>
  <c r="D11763" i="1"/>
  <c r="C11763" i="1"/>
  <c r="B11763" i="1"/>
  <c r="A11763" i="1"/>
  <c r="F11762" i="1"/>
  <c r="E11762" i="1"/>
  <c r="D11762" i="1"/>
  <c r="C11762" i="1"/>
  <c r="B11762" i="1"/>
  <c r="A11762" i="1"/>
  <c r="F11761" i="1"/>
  <c r="E11761" i="1"/>
  <c r="D11761" i="1"/>
  <c r="C11761" i="1"/>
  <c r="B11761" i="1"/>
  <c r="A11761" i="1"/>
  <c r="F11760" i="1"/>
  <c r="E11760" i="1"/>
  <c r="D11760" i="1"/>
  <c r="C11760" i="1"/>
  <c r="B11760" i="1"/>
  <c r="A11760" i="1"/>
  <c r="F11759" i="1"/>
  <c r="E11759" i="1"/>
  <c r="D11759" i="1"/>
  <c r="C11759" i="1"/>
  <c r="B11759" i="1"/>
  <c r="A11759" i="1"/>
  <c r="F11758" i="1"/>
  <c r="E11758" i="1"/>
  <c r="D11758" i="1"/>
  <c r="C11758" i="1"/>
  <c r="B11758" i="1"/>
  <c r="A11758" i="1"/>
  <c r="F11757" i="1"/>
  <c r="E11757" i="1"/>
  <c r="D11757" i="1"/>
  <c r="C11757" i="1"/>
  <c r="B11757" i="1"/>
  <c r="A11757" i="1"/>
  <c r="F11756" i="1"/>
  <c r="E11756" i="1"/>
  <c r="D11756" i="1"/>
  <c r="C11756" i="1"/>
  <c r="B11756" i="1"/>
  <c r="A11756" i="1"/>
  <c r="F11755" i="1"/>
  <c r="E11755" i="1"/>
  <c r="D11755" i="1"/>
  <c r="C11755" i="1"/>
  <c r="B11755" i="1"/>
  <c r="A11755" i="1"/>
  <c r="F11754" i="1"/>
  <c r="E11754" i="1"/>
  <c r="D11754" i="1"/>
  <c r="C11754" i="1"/>
  <c r="B11754" i="1"/>
  <c r="A11754" i="1"/>
  <c r="F11753" i="1"/>
  <c r="E11753" i="1"/>
  <c r="D11753" i="1"/>
  <c r="C11753" i="1"/>
  <c r="B11753" i="1"/>
  <c r="A11753" i="1"/>
  <c r="F11752" i="1"/>
  <c r="E11752" i="1"/>
  <c r="D11752" i="1"/>
  <c r="C11752" i="1"/>
  <c r="B11752" i="1"/>
  <c r="A11752" i="1"/>
  <c r="F11751" i="1"/>
  <c r="E11751" i="1"/>
  <c r="D11751" i="1"/>
  <c r="C11751" i="1"/>
  <c r="B11751" i="1"/>
  <c r="A11751" i="1"/>
  <c r="F11750" i="1"/>
  <c r="E11750" i="1"/>
  <c r="D11750" i="1"/>
  <c r="C11750" i="1"/>
  <c r="B11750" i="1"/>
  <c r="A11750" i="1"/>
  <c r="F11749" i="1"/>
  <c r="E11749" i="1"/>
  <c r="D11749" i="1"/>
  <c r="C11749" i="1"/>
  <c r="B11749" i="1"/>
  <c r="A11749" i="1"/>
  <c r="F11748" i="1"/>
  <c r="E11748" i="1"/>
  <c r="D11748" i="1"/>
  <c r="C11748" i="1"/>
  <c r="B11748" i="1"/>
  <c r="A11748" i="1"/>
  <c r="F11747" i="1"/>
  <c r="E11747" i="1"/>
  <c r="D11747" i="1"/>
  <c r="C11747" i="1"/>
  <c r="B11747" i="1"/>
  <c r="A11747" i="1"/>
  <c r="F11746" i="1"/>
  <c r="E11746" i="1"/>
  <c r="D11746" i="1"/>
  <c r="C11746" i="1"/>
  <c r="B11746" i="1"/>
  <c r="A11746" i="1"/>
  <c r="F11745" i="1"/>
  <c r="E11745" i="1"/>
  <c r="D11745" i="1"/>
  <c r="C11745" i="1"/>
  <c r="B11745" i="1"/>
  <c r="A11745" i="1"/>
  <c r="F11744" i="1"/>
  <c r="E11744" i="1"/>
  <c r="D11744" i="1"/>
  <c r="C11744" i="1"/>
  <c r="B11744" i="1"/>
  <c r="A11744" i="1"/>
  <c r="F11743" i="1"/>
  <c r="E11743" i="1"/>
  <c r="D11743" i="1"/>
  <c r="C11743" i="1"/>
  <c r="B11743" i="1"/>
  <c r="A11743" i="1"/>
  <c r="F11742" i="1"/>
  <c r="E11742" i="1"/>
  <c r="D11742" i="1"/>
  <c r="C11742" i="1"/>
  <c r="B11742" i="1"/>
  <c r="A11742" i="1"/>
  <c r="F11741" i="1"/>
  <c r="E11741" i="1"/>
  <c r="D11741" i="1"/>
  <c r="C11741" i="1"/>
  <c r="B11741" i="1"/>
  <c r="A11741" i="1"/>
  <c r="F11740" i="1"/>
  <c r="E11740" i="1"/>
  <c r="D11740" i="1"/>
  <c r="C11740" i="1"/>
  <c r="B11740" i="1"/>
  <c r="A11740" i="1"/>
  <c r="F11739" i="1"/>
  <c r="E11739" i="1"/>
  <c r="D11739" i="1"/>
  <c r="C11739" i="1"/>
  <c r="B11739" i="1"/>
  <c r="A11739" i="1"/>
  <c r="F11738" i="1"/>
  <c r="E11738" i="1"/>
  <c r="D11738" i="1"/>
  <c r="C11738" i="1"/>
  <c r="B11738" i="1"/>
  <c r="A11738" i="1"/>
  <c r="F11737" i="1"/>
  <c r="E11737" i="1"/>
  <c r="D11737" i="1"/>
  <c r="C11737" i="1"/>
  <c r="B11737" i="1"/>
  <c r="A11737" i="1"/>
  <c r="F11736" i="1"/>
  <c r="E11736" i="1"/>
  <c r="D11736" i="1"/>
  <c r="C11736" i="1"/>
  <c r="B11736" i="1"/>
  <c r="A11736" i="1"/>
  <c r="F11735" i="1"/>
  <c r="E11735" i="1"/>
  <c r="D11735" i="1"/>
  <c r="C11735" i="1"/>
  <c r="B11735" i="1"/>
  <c r="A11735" i="1"/>
  <c r="F11734" i="1"/>
  <c r="E11734" i="1"/>
  <c r="D11734" i="1"/>
  <c r="C11734" i="1"/>
  <c r="B11734" i="1"/>
  <c r="A11734" i="1"/>
  <c r="F11733" i="1"/>
  <c r="E11733" i="1"/>
  <c r="D11733" i="1"/>
  <c r="C11733" i="1"/>
  <c r="B11733" i="1"/>
  <c r="A11733" i="1"/>
  <c r="F11732" i="1"/>
  <c r="E11732" i="1"/>
  <c r="D11732" i="1"/>
  <c r="C11732" i="1"/>
  <c r="B11732" i="1"/>
  <c r="A11732" i="1"/>
  <c r="F11731" i="1"/>
  <c r="E11731" i="1"/>
  <c r="D11731" i="1"/>
  <c r="C11731" i="1"/>
  <c r="B11731" i="1"/>
  <c r="A11731" i="1"/>
  <c r="F11730" i="1"/>
  <c r="E11730" i="1"/>
  <c r="D11730" i="1"/>
  <c r="C11730" i="1"/>
  <c r="B11730" i="1"/>
  <c r="A11730" i="1"/>
  <c r="F11729" i="1"/>
  <c r="E11729" i="1"/>
  <c r="D11729" i="1"/>
  <c r="C11729" i="1"/>
  <c r="B11729" i="1"/>
  <c r="A11729" i="1"/>
  <c r="F11728" i="1"/>
  <c r="E11728" i="1"/>
  <c r="D11728" i="1"/>
  <c r="C11728" i="1"/>
  <c r="B11728" i="1"/>
  <c r="A11728" i="1"/>
  <c r="F11727" i="1"/>
  <c r="E11727" i="1"/>
  <c r="D11727" i="1"/>
  <c r="C11727" i="1"/>
  <c r="B11727" i="1"/>
  <c r="A11727" i="1"/>
  <c r="F11726" i="1"/>
  <c r="E11726" i="1"/>
  <c r="D11726" i="1"/>
  <c r="C11726" i="1"/>
  <c r="B11726" i="1"/>
  <c r="A11726" i="1"/>
  <c r="F11725" i="1"/>
  <c r="E11725" i="1"/>
  <c r="D11725" i="1"/>
  <c r="C11725" i="1"/>
  <c r="B11725" i="1"/>
  <c r="A11725" i="1"/>
  <c r="F11724" i="1"/>
  <c r="E11724" i="1"/>
  <c r="D11724" i="1"/>
  <c r="C11724" i="1"/>
  <c r="B11724" i="1"/>
  <c r="A11724" i="1"/>
  <c r="F11723" i="1"/>
  <c r="E11723" i="1"/>
  <c r="D11723" i="1"/>
  <c r="C11723" i="1"/>
  <c r="B11723" i="1"/>
  <c r="A11723" i="1"/>
  <c r="F11722" i="1"/>
  <c r="E11722" i="1"/>
  <c r="D11722" i="1"/>
  <c r="C11722" i="1"/>
  <c r="B11722" i="1"/>
  <c r="A11722" i="1"/>
  <c r="F11721" i="1"/>
  <c r="E11721" i="1"/>
  <c r="D11721" i="1"/>
  <c r="C11721" i="1"/>
  <c r="B11721" i="1"/>
  <c r="A11721" i="1"/>
  <c r="F11720" i="1"/>
  <c r="E11720" i="1"/>
  <c r="D11720" i="1"/>
  <c r="C11720" i="1"/>
  <c r="B11720" i="1"/>
  <c r="A11720" i="1"/>
  <c r="F11719" i="1"/>
  <c r="E11719" i="1"/>
  <c r="D11719" i="1"/>
  <c r="C11719" i="1"/>
  <c r="B11719" i="1"/>
  <c r="A11719" i="1"/>
  <c r="F11718" i="1"/>
  <c r="E11718" i="1"/>
  <c r="D11718" i="1"/>
  <c r="C11718" i="1"/>
  <c r="B11718" i="1"/>
  <c r="A11718" i="1"/>
  <c r="F11717" i="1"/>
  <c r="E11717" i="1"/>
  <c r="D11717" i="1"/>
  <c r="C11717" i="1"/>
  <c r="B11717" i="1"/>
  <c r="A11717" i="1"/>
  <c r="F11716" i="1"/>
  <c r="E11716" i="1"/>
  <c r="D11716" i="1"/>
  <c r="C11716" i="1"/>
  <c r="B11716" i="1"/>
  <c r="A11716" i="1"/>
  <c r="F11715" i="1"/>
  <c r="E11715" i="1"/>
  <c r="D11715" i="1"/>
  <c r="C11715" i="1"/>
  <c r="B11715" i="1"/>
  <c r="A11715" i="1"/>
  <c r="F11714" i="1"/>
  <c r="E11714" i="1"/>
  <c r="D11714" i="1"/>
  <c r="C11714" i="1"/>
  <c r="B11714" i="1"/>
  <c r="A11714" i="1"/>
  <c r="F11713" i="1"/>
  <c r="E11713" i="1"/>
  <c r="D11713" i="1"/>
  <c r="C11713" i="1"/>
  <c r="B11713" i="1"/>
  <c r="A11713" i="1"/>
  <c r="F11712" i="1"/>
  <c r="E11712" i="1"/>
  <c r="D11712" i="1"/>
  <c r="C11712" i="1"/>
  <c r="B11712" i="1"/>
  <c r="A11712" i="1"/>
  <c r="F11711" i="1"/>
  <c r="E11711" i="1"/>
  <c r="D11711" i="1"/>
  <c r="C11711" i="1"/>
  <c r="B11711" i="1"/>
  <c r="A11711" i="1"/>
  <c r="F11710" i="1"/>
  <c r="E11710" i="1"/>
  <c r="D11710" i="1"/>
  <c r="C11710" i="1"/>
  <c r="B11710" i="1"/>
  <c r="A11710" i="1"/>
  <c r="F11709" i="1"/>
  <c r="E11709" i="1"/>
  <c r="D11709" i="1"/>
  <c r="C11709" i="1"/>
  <c r="B11709" i="1"/>
  <c r="A11709" i="1"/>
  <c r="F11708" i="1"/>
  <c r="E11708" i="1"/>
  <c r="D11708" i="1"/>
  <c r="C11708" i="1"/>
  <c r="B11708" i="1"/>
  <c r="A11708" i="1"/>
  <c r="F11707" i="1"/>
  <c r="E11707" i="1"/>
  <c r="D11707" i="1"/>
  <c r="C11707" i="1"/>
  <c r="B11707" i="1"/>
  <c r="A11707" i="1"/>
  <c r="F11706" i="1"/>
  <c r="E11706" i="1"/>
  <c r="D11706" i="1"/>
  <c r="C11706" i="1"/>
  <c r="B11706" i="1"/>
  <c r="A11706" i="1"/>
  <c r="F11705" i="1"/>
  <c r="E11705" i="1"/>
  <c r="D11705" i="1"/>
  <c r="C11705" i="1"/>
  <c r="B11705" i="1"/>
  <c r="A11705" i="1"/>
  <c r="F11704" i="1"/>
  <c r="E11704" i="1"/>
  <c r="D11704" i="1"/>
  <c r="C11704" i="1"/>
  <c r="B11704" i="1"/>
  <c r="A11704" i="1"/>
  <c r="F11703" i="1"/>
  <c r="E11703" i="1"/>
  <c r="D11703" i="1"/>
  <c r="C11703" i="1"/>
  <c r="B11703" i="1"/>
  <c r="A11703" i="1"/>
  <c r="F11702" i="1"/>
  <c r="E11702" i="1"/>
  <c r="D11702" i="1"/>
  <c r="C11702" i="1"/>
  <c r="B11702" i="1"/>
  <c r="A11702" i="1"/>
  <c r="F11701" i="1"/>
  <c r="E11701" i="1"/>
  <c r="D11701" i="1"/>
  <c r="C11701" i="1"/>
  <c r="B11701" i="1"/>
  <c r="A11701" i="1"/>
  <c r="F11700" i="1"/>
  <c r="E11700" i="1"/>
  <c r="D11700" i="1"/>
  <c r="C11700" i="1"/>
  <c r="B11700" i="1"/>
  <c r="A11700" i="1"/>
  <c r="F11699" i="1"/>
  <c r="E11699" i="1"/>
  <c r="D11699" i="1"/>
  <c r="C11699" i="1"/>
  <c r="B11699" i="1"/>
  <c r="A11699" i="1"/>
  <c r="F11698" i="1"/>
  <c r="E11698" i="1"/>
  <c r="D11698" i="1"/>
  <c r="C11698" i="1"/>
  <c r="B11698" i="1"/>
  <c r="A11698" i="1"/>
  <c r="F11697" i="1"/>
  <c r="E11697" i="1"/>
  <c r="D11697" i="1"/>
  <c r="C11697" i="1"/>
  <c r="B11697" i="1"/>
  <c r="A11697" i="1"/>
  <c r="F11696" i="1"/>
  <c r="E11696" i="1"/>
  <c r="D11696" i="1"/>
  <c r="C11696" i="1"/>
  <c r="B11696" i="1"/>
  <c r="A11696" i="1"/>
  <c r="F11695" i="1"/>
  <c r="E11695" i="1"/>
  <c r="D11695" i="1"/>
  <c r="C11695" i="1"/>
  <c r="B11695" i="1"/>
  <c r="A11695" i="1"/>
  <c r="F11694" i="1"/>
  <c r="E11694" i="1"/>
  <c r="D11694" i="1"/>
  <c r="C11694" i="1"/>
  <c r="B11694" i="1"/>
  <c r="A11694" i="1"/>
  <c r="F11693" i="1"/>
  <c r="E11693" i="1"/>
  <c r="D11693" i="1"/>
  <c r="C11693" i="1"/>
  <c r="B11693" i="1"/>
  <c r="A11693" i="1"/>
  <c r="F11692" i="1"/>
  <c r="E11692" i="1"/>
  <c r="D11692" i="1"/>
  <c r="C11692" i="1"/>
  <c r="B11692" i="1"/>
  <c r="A11692" i="1"/>
  <c r="F11691" i="1"/>
  <c r="E11691" i="1"/>
  <c r="D11691" i="1"/>
  <c r="C11691" i="1"/>
  <c r="B11691" i="1"/>
  <c r="A11691" i="1"/>
  <c r="F11690" i="1"/>
  <c r="E11690" i="1"/>
  <c r="D11690" i="1"/>
  <c r="C11690" i="1"/>
  <c r="B11690" i="1"/>
  <c r="A11690" i="1"/>
  <c r="F11689" i="1"/>
  <c r="E11689" i="1"/>
  <c r="D11689" i="1"/>
  <c r="C11689" i="1"/>
  <c r="B11689" i="1"/>
  <c r="A11689" i="1"/>
  <c r="F11688" i="1"/>
  <c r="E11688" i="1"/>
  <c r="D11688" i="1"/>
  <c r="C11688" i="1"/>
  <c r="B11688" i="1"/>
  <c r="A11688" i="1"/>
  <c r="F11687" i="1"/>
  <c r="E11687" i="1"/>
  <c r="D11687" i="1"/>
  <c r="C11687" i="1"/>
  <c r="B11687" i="1"/>
  <c r="A11687" i="1"/>
  <c r="F11686" i="1"/>
  <c r="E11686" i="1"/>
  <c r="D11686" i="1"/>
  <c r="C11686" i="1"/>
  <c r="B11686" i="1"/>
  <c r="A11686" i="1"/>
  <c r="F11685" i="1"/>
  <c r="E11685" i="1"/>
  <c r="D11685" i="1"/>
  <c r="C11685" i="1"/>
  <c r="B11685" i="1"/>
  <c r="A11685" i="1"/>
  <c r="F11684" i="1"/>
  <c r="E11684" i="1"/>
  <c r="D11684" i="1"/>
  <c r="C11684" i="1"/>
  <c r="B11684" i="1"/>
  <c r="A11684" i="1"/>
  <c r="F11683" i="1"/>
  <c r="E11683" i="1"/>
  <c r="D11683" i="1"/>
  <c r="C11683" i="1"/>
  <c r="B11683" i="1"/>
  <c r="A11683" i="1"/>
  <c r="F11682" i="1"/>
  <c r="E11682" i="1"/>
  <c r="D11682" i="1"/>
  <c r="C11682" i="1"/>
  <c r="B11682" i="1"/>
  <c r="A11682" i="1"/>
  <c r="F11681" i="1"/>
  <c r="E11681" i="1"/>
  <c r="D11681" i="1"/>
  <c r="C11681" i="1"/>
  <c r="B11681" i="1"/>
  <c r="A11681" i="1"/>
  <c r="F11680" i="1"/>
  <c r="E11680" i="1"/>
  <c r="D11680" i="1"/>
  <c r="C11680" i="1"/>
  <c r="B11680" i="1"/>
  <c r="A11680" i="1"/>
  <c r="F11679" i="1"/>
  <c r="E11679" i="1"/>
  <c r="D11679" i="1"/>
  <c r="C11679" i="1"/>
  <c r="B11679" i="1"/>
  <c r="A11679" i="1"/>
  <c r="F11678" i="1"/>
  <c r="E11678" i="1"/>
  <c r="D11678" i="1"/>
  <c r="C11678" i="1"/>
  <c r="B11678" i="1"/>
  <c r="A11678" i="1"/>
  <c r="F11677" i="1"/>
  <c r="E11677" i="1"/>
  <c r="D11677" i="1"/>
  <c r="C11677" i="1"/>
  <c r="B11677" i="1"/>
  <c r="A11677" i="1"/>
  <c r="F11676" i="1"/>
  <c r="E11676" i="1"/>
  <c r="D11676" i="1"/>
  <c r="C11676" i="1"/>
  <c r="B11676" i="1"/>
  <c r="A11676" i="1"/>
  <c r="F11675" i="1"/>
  <c r="E11675" i="1"/>
  <c r="D11675" i="1"/>
  <c r="C11675" i="1"/>
  <c r="B11675" i="1"/>
  <c r="A11675" i="1"/>
  <c r="F11674" i="1"/>
  <c r="E11674" i="1"/>
  <c r="D11674" i="1"/>
  <c r="C11674" i="1"/>
  <c r="B11674" i="1"/>
  <c r="A11674" i="1"/>
  <c r="F11673" i="1"/>
  <c r="E11673" i="1"/>
  <c r="D11673" i="1"/>
  <c r="C11673" i="1"/>
  <c r="B11673" i="1"/>
  <c r="A11673" i="1"/>
  <c r="F11672" i="1"/>
  <c r="E11672" i="1"/>
  <c r="D11672" i="1"/>
  <c r="C11672" i="1"/>
  <c r="B11672" i="1"/>
  <c r="A11672" i="1"/>
  <c r="F11671" i="1"/>
  <c r="E11671" i="1"/>
  <c r="D11671" i="1"/>
  <c r="C11671" i="1"/>
  <c r="B11671" i="1"/>
  <c r="A11671" i="1"/>
  <c r="F11670" i="1"/>
  <c r="E11670" i="1"/>
  <c r="D11670" i="1"/>
  <c r="C11670" i="1"/>
  <c r="B11670" i="1"/>
  <c r="A11670" i="1"/>
  <c r="F11669" i="1"/>
  <c r="E11669" i="1"/>
  <c r="D11669" i="1"/>
  <c r="C11669" i="1"/>
  <c r="B11669" i="1"/>
  <c r="A11669" i="1"/>
  <c r="F11668" i="1"/>
  <c r="E11668" i="1"/>
  <c r="D11668" i="1"/>
  <c r="C11668" i="1"/>
  <c r="B11668" i="1"/>
  <c r="A11668" i="1"/>
  <c r="F11667" i="1"/>
  <c r="E11667" i="1"/>
  <c r="D11667" i="1"/>
  <c r="C11667" i="1"/>
  <c r="B11667" i="1"/>
  <c r="A11667" i="1"/>
  <c r="F11666" i="1"/>
  <c r="E11666" i="1"/>
  <c r="D11666" i="1"/>
  <c r="C11666" i="1"/>
  <c r="B11666" i="1"/>
  <c r="A11666" i="1"/>
  <c r="F11665" i="1"/>
  <c r="E11665" i="1"/>
  <c r="D11665" i="1"/>
  <c r="C11665" i="1"/>
  <c r="B11665" i="1"/>
  <c r="A11665" i="1"/>
  <c r="F11664" i="1"/>
  <c r="E11664" i="1"/>
  <c r="D11664" i="1"/>
  <c r="C11664" i="1"/>
  <c r="B11664" i="1"/>
  <c r="A11664" i="1"/>
  <c r="F11663" i="1"/>
  <c r="E11663" i="1"/>
  <c r="D11663" i="1"/>
  <c r="C11663" i="1"/>
  <c r="B11663" i="1"/>
  <c r="A11663" i="1"/>
  <c r="F11662" i="1"/>
  <c r="E11662" i="1"/>
  <c r="D11662" i="1"/>
  <c r="C11662" i="1"/>
  <c r="B11662" i="1"/>
  <c r="A11662" i="1"/>
  <c r="F11661" i="1"/>
  <c r="E11661" i="1"/>
  <c r="D11661" i="1"/>
  <c r="C11661" i="1"/>
  <c r="B11661" i="1"/>
  <c r="A11661" i="1"/>
  <c r="F11660" i="1"/>
  <c r="E11660" i="1"/>
  <c r="D11660" i="1"/>
  <c r="C11660" i="1"/>
  <c r="B11660" i="1"/>
  <c r="A11660" i="1"/>
  <c r="F11659" i="1"/>
  <c r="E11659" i="1"/>
  <c r="D11659" i="1"/>
  <c r="C11659" i="1"/>
  <c r="B11659" i="1"/>
  <c r="A11659" i="1"/>
  <c r="F11658" i="1"/>
  <c r="E11658" i="1"/>
  <c r="D11658" i="1"/>
  <c r="C11658" i="1"/>
  <c r="B11658" i="1"/>
  <c r="A11658" i="1"/>
  <c r="F11657" i="1"/>
  <c r="E11657" i="1"/>
  <c r="D11657" i="1"/>
  <c r="C11657" i="1"/>
  <c r="B11657" i="1"/>
  <c r="A11657" i="1"/>
  <c r="F11656" i="1"/>
  <c r="E11656" i="1"/>
  <c r="D11656" i="1"/>
  <c r="C11656" i="1"/>
  <c r="B11656" i="1"/>
  <c r="A11656" i="1"/>
  <c r="F11655" i="1"/>
  <c r="E11655" i="1"/>
  <c r="D11655" i="1"/>
  <c r="C11655" i="1"/>
  <c r="B11655" i="1"/>
  <c r="A11655" i="1"/>
  <c r="F11654" i="1"/>
  <c r="E11654" i="1"/>
  <c r="D11654" i="1"/>
  <c r="C11654" i="1"/>
  <c r="B11654" i="1"/>
  <c r="A11654" i="1"/>
  <c r="F11653" i="1"/>
  <c r="E11653" i="1"/>
  <c r="D11653" i="1"/>
  <c r="C11653" i="1"/>
  <c r="B11653" i="1"/>
  <c r="A11653" i="1"/>
  <c r="F11652" i="1"/>
  <c r="E11652" i="1"/>
  <c r="D11652" i="1"/>
  <c r="C11652" i="1"/>
  <c r="B11652" i="1"/>
  <c r="A11652" i="1"/>
  <c r="F11651" i="1"/>
  <c r="E11651" i="1"/>
  <c r="D11651" i="1"/>
  <c r="C11651" i="1"/>
  <c r="B11651" i="1"/>
  <c r="A11651" i="1"/>
  <c r="F11650" i="1"/>
  <c r="E11650" i="1"/>
  <c r="D11650" i="1"/>
  <c r="C11650" i="1"/>
  <c r="B11650" i="1"/>
  <c r="A11650" i="1"/>
  <c r="F11649" i="1"/>
  <c r="E11649" i="1"/>
  <c r="D11649" i="1"/>
  <c r="C11649" i="1"/>
  <c r="B11649" i="1"/>
  <c r="A11649" i="1"/>
  <c r="F11648" i="1"/>
  <c r="E11648" i="1"/>
  <c r="D11648" i="1"/>
  <c r="C11648" i="1"/>
  <c r="B11648" i="1"/>
  <c r="A11648" i="1"/>
  <c r="F11647" i="1"/>
  <c r="E11647" i="1"/>
  <c r="D11647" i="1"/>
  <c r="C11647" i="1"/>
  <c r="B11647" i="1"/>
  <c r="A11647" i="1"/>
  <c r="F11646" i="1"/>
  <c r="E11646" i="1"/>
  <c r="D11646" i="1"/>
  <c r="C11646" i="1"/>
  <c r="B11646" i="1"/>
  <c r="A11646" i="1"/>
  <c r="F11645" i="1"/>
  <c r="E11645" i="1"/>
  <c r="D11645" i="1"/>
  <c r="C11645" i="1"/>
  <c r="B11645" i="1"/>
  <c r="A11645" i="1"/>
  <c r="F11644" i="1"/>
  <c r="E11644" i="1"/>
  <c r="D11644" i="1"/>
  <c r="C11644" i="1"/>
  <c r="B11644" i="1"/>
  <c r="A11644" i="1"/>
  <c r="F11643" i="1"/>
  <c r="E11643" i="1"/>
  <c r="D11643" i="1"/>
  <c r="C11643" i="1"/>
  <c r="B11643" i="1"/>
  <c r="A11643" i="1"/>
  <c r="F11642" i="1"/>
  <c r="E11642" i="1"/>
  <c r="D11642" i="1"/>
  <c r="C11642" i="1"/>
  <c r="B11642" i="1"/>
  <c r="A11642" i="1"/>
  <c r="F11641" i="1"/>
  <c r="E11641" i="1"/>
  <c r="D11641" i="1"/>
  <c r="C11641" i="1"/>
  <c r="B11641" i="1"/>
  <c r="A11641" i="1"/>
  <c r="F11640" i="1"/>
  <c r="E11640" i="1"/>
  <c r="D11640" i="1"/>
  <c r="C11640" i="1"/>
  <c r="B11640" i="1"/>
  <c r="A11640" i="1"/>
  <c r="F11639" i="1"/>
  <c r="E11639" i="1"/>
  <c r="D11639" i="1"/>
  <c r="C11639" i="1"/>
  <c r="B11639" i="1"/>
  <c r="A11639" i="1"/>
  <c r="F11638" i="1"/>
  <c r="E11638" i="1"/>
  <c r="D11638" i="1"/>
  <c r="C11638" i="1"/>
  <c r="B11638" i="1"/>
  <c r="A11638" i="1"/>
  <c r="F11637" i="1"/>
  <c r="E11637" i="1"/>
  <c r="D11637" i="1"/>
  <c r="C11637" i="1"/>
  <c r="B11637" i="1"/>
  <c r="A11637" i="1"/>
  <c r="F11636" i="1"/>
  <c r="E11636" i="1"/>
  <c r="D11636" i="1"/>
  <c r="C11636" i="1"/>
  <c r="B11636" i="1"/>
  <c r="A11636" i="1"/>
  <c r="F11635" i="1"/>
  <c r="E11635" i="1"/>
  <c r="D11635" i="1"/>
  <c r="C11635" i="1"/>
  <c r="B11635" i="1"/>
  <c r="A11635" i="1"/>
  <c r="F11634" i="1"/>
  <c r="E11634" i="1"/>
  <c r="D11634" i="1"/>
  <c r="C11634" i="1"/>
  <c r="B11634" i="1"/>
  <c r="A11634" i="1"/>
  <c r="F11633" i="1"/>
  <c r="E11633" i="1"/>
  <c r="D11633" i="1"/>
  <c r="C11633" i="1"/>
  <c r="B11633" i="1"/>
  <c r="A11633" i="1"/>
  <c r="F11632" i="1"/>
  <c r="E11632" i="1"/>
  <c r="D11632" i="1"/>
  <c r="C11632" i="1"/>
  <c r="B11632" i="1"/>
  <c r="A11632" i="1"/>
  <c r="F11631" i="1"/>
  <c r="E11631" i="1"/>
  <c r="D11631" i="1"/>
  <c r="C11631" i="1"/>
  <c r="B11631" i="1"/>
  <c r="A11631" i="1"/>
  <c r="F11630" i="1"/>
  <c r="E11630" i="1"/>
  <c r="D11630" i="1"/>
  <c r="C11630" i="1"/>
  <c r="B11630" i="1"/>
  <c r="A11630" i="1"/>
  <c r="F11629" i="1"/>
  <c r="E11629" i="1"/>
  <c r="D11629" i="1"/>
  <c r="C11629" i="1"/>
  <c r="B11629" i="1"/>
  <c r="A11629" i="1"/>
  <c r="F11628" i="1"/>
  <c r="E11628" i="1"/>
  <c r="D11628" i="1"/>
  <c r="C11628" i="1"/>
  <c r="B11628" i="1"/>
  <c r="A11628" i="1"/>
  <c r="F11627" i="1"/>
  <c r="E11627" i="1"/>
  <c r="D11627" i="1"/>
  <c r="C11627" i="1"/>
  <c r="B11627" i="1"/>
  <c r="A11627" i="1"/>
  <c r="F11626" i="1"/>
  <c r="E11626" i="1"/>
  <c r="D11626" i="1"/>
  <c r="C11626" i="1"/>
  <c r="B11626" i="1"/>
  <c r="A11626" i="1"/>
  <c r="F11625" i="1"/>
  <c r="E11625" i="1"/>
  <c r="D11625" i="1"/>
  <c r="C11625" i="1"/>
  <c r="B11625" i="1"/>
  <c r="A11625" i="1"/>
  <c r="F11624" i="1"/>
  <c r="E11624" i="1"/>
  <c r="D11624" i="1"/>
  <c r="C11624" i="1"/>
  <c r="B11624" i="1"/>
  <c r="A11624" i="1"/>
  <c r="F11623" i="1"/>
  <c r="E11623" i="1"/>
  <c r="D11623" i="1"/>
  <c r="C11623" i="1"/>
  <c r="B11623" i="1"/>
  <c r="A11623" i="1"/>
  <c r="F11622" i="1"/>
  <c r="E11622" i="1"/>
  <c r="D11622" i="1"/>
  <c r="C11622" i="1"/>
  <c r="B11622" i="1"/>
  <c r="A11622" i="1"/>
  <c r="F11621" i="1"/>
  <c r="E11621" i="1"/>
  <c r="D11621" i="1"/>
  <c r="C11621" i="1"/>
  <c r="B11621" i="1"/>
  <c r="A11621" i="1"/>
  <c r="F11620" i="1"/>
  <c r="E11620" i="1"/>
  <c r="D11620" i="1"/>
  <c r="C11620" i="1"/>
  <c r="B11620" i="1"/>
  <c r="A11620" i="1"/>
  <c r="F11619" i="1"/>
  <c r="E11619" i="1"/>
  <c r="D11619" i="1"/>
  <c r="C11619" i="1"/>
  <c r="B11619" i="1"/>
  <c r="A11619" i="1"/>
  <c r="F11618" i="1"/>
  <c r="E11618" i="1"/>
  <c r="D11618" i="1"/>
  <c r="C11618" i="1"/>
  <c r="B11618" i="1"/>
  <c r="A11618" i="1"/>
  <c r="F11617" i="1"/>
  <c r="E11617" i="1"/>
  <c r="D11617" i="1"/>
  <c r="C11617" i="1"/>
  <c r="B11617" i="1"/>
  <c r="A11617" i="1"/>
  <c r="F11616" i="1"/>
  <c r="E11616" i="1"/>
  <c r="D11616" i="1"/>
  <c r="C11616" i="1"/>
  <c r="B11616" i="1"/>
  <c r="A11616" i="1"/>
  <c r="F11615" i="1"/>
  <c r="E11615" i="1"/>
  <c r="D11615" i="1"/>
  <c r="C11615" i="1"/>
  <c r="B11615" i="1"/>
  <c r="A11615" i="1"/>
  <c r="F11614" i="1"/>
  <c r="E11614" i="1"/>
  <c r="D11614" i="1"/>
  <c r="C11614" i="1"/>
  <c r="B11614" i="1"/>
  <c r="A11614" i="1"/>
  <c r="F11613" i="1"/>
  <c r="E11613" i="1"/>
  <c r="D11613" i="1"/>
  <c r="C11613" i="1"/>
  <c r="B11613" i="1"/>
  <c r="A11613" i="1"/>
  <c r="F11612" i="1"/>
  <c r="E11612" i="1"/>
  <c r="D11612" i="1"/>
  <c r="C11612" i="1"/>
  <c r="B11612" i="1"/>
  <c r="A11612" i="1"/>
  <c r="F11611" i="1"/>
  <c r="E11611" i="1"/>
  <c r="D11611" i="1"/>
  <c r="C11611" i="1"/>
  <c r="B11611" i="1"/>
  <c r="A11611" i="1"/>
  <c r="F11610" i="1"/>
  <c r="E11610" i="1"/>
  <c r="D11610" i="1"/>
  <c r="C11610" i="1"/>
  <c r="B11610" i="1"/>
  <c r="A11610" i="1"/>
  <c r="F11609" i="1"/>
  <c r="E11609" i="1"/>
  <c r="D11609" i="1"/>
  <c r="C11609" i="1"/>
  <c r="B11609" i="1"/>
  <c r="A11609" i="1"/>
  <c r="F11608" i="1"/>
  <c r="E11608" i="1"/>
  <c r="D11608" i="1"/>
  <c r="C11608" i="1"/>
  <c r="B11608" i="1"/>
  <c r="A11608" i="1"/>
  <c r="F11607" i="1"/>
  <c r="E11607" i="1"/>
  <c r="D11607" i="1"/>
  <c r="C11607" i="1"/>
  <c r="B11607" i="1"/>
  <c r="A11607" i="1"/>
  <c r="F11606" i="1"/>
  <c r="E11606" i="1"/>
  <c r="D11606" i="1"/>
  <c r="C11606" i="1"/>
  <c r="B11606" i="1"/>
  <c r="A11606" i="1"/>
  <c r="F11605" i="1"/>
  <c r="E11605" i="1"/>
  <c r="D11605" i="1"/>
  <c r="C11605" i="1"/>
  <c r="B11605" i="1"/>
  <c r="A11605" i="1"/>
  <c r="F11604" i="1"/>
  <c r="E11604" i="1"/>
  <c r="D11604" i="1"/>
  <c r="C11604" i="1"/>
  <c r="B11604" i="1"/>
  <c r="A11604" i="1"/>
  <c r="F11603" i="1"/>
  <c r="E11603" i="1"/>
  <c r="D11603" i="1"/>
  <c r="C11603" i="1"/>
  <c r="B11603" i="1"/>
  <c r="A11603" i="1"/>
  <c r="F11602" i="1"/>
  <c r="E11602" i="1"/>
  <c r="D11602" i="1"/>
  <c r="C11602" i="1"/>
  <c r="B11602" i="1"/>
  <c r="A11602" i="1"/>
  <c r="F11601" i="1"/>
  <c r="E11601" i="1"/>
  <c r="D11601" i="1"/>
  <c r="C11601" i="1"/>
  <c r="B11601" i="1"/>
  <c r="A11601" i="1"/>
  <c r="F11600" i="1"/>
  <c r="E11600" i="1"/>
  <c r="D11600" i="1"/>
  <c r="C11600" i="1"/>
  <c r="B11600" i="1"/>
  <c r="A11600" i="1"/>
  <c r="F11599" i="1"/>
  <c r="E11599" i="1"/>
  <c r="D11599" i="1"/>
  <c r="C11599" i="1"/>
  <c r="B11599" i="1"/>
  <c r="A11599" i="1"/>
  <c r="F11598" i="1"/>
  <c r="E11598" i="1"/>
  <c r="D11598" i="1"/>
  <c r="C11598" i="1"/>
  <c r="B11598" i="1"/>
  <c r="A11598" i="1"/>
  <c r="F11597" i="1"/>
  <c r="E11597" i="1"/>
  <c r="D11597" i="1"/>
  <c r="C11597" i="1"/>
  <c r="B11597" i="1"/>
  <c r="A11597" i="1"/>
  <c r="F11596" i="1"/>
  <c r="E11596" i="1"/>
  <c r="D11596" i="1"/>
  <c r="C11596" i="1"/>
  <c r="B11596" i="1"/>
  <c r="A11596" i="1"/>
  <c r="F11595" i="1"/>
  <c r="E11595" i="1"/>
  <c r="D11595" i="1"/>
  <c r="C11595" i="1"/>
  <c r="B11595" i="1"/>
  <c r="A11595" i="1"/>
  <c r="F11594" i="1"/>
  <c r="E11594" i="1"/>
  <c r="D11594" i="1"/>
  <c r="C11594" i="1"/>
  <c r="B11594" i="1"/>
  <c r="A11594" i="1"/>
  <c r="F11593" i="1"/>
  <c r="E11593" i="1"/>
  <c r="D11593" i="1"/>
  <c r="C11593" i="1"/>
  <c r="B11593" i="1"/>
  <c r="A11593" i="1"/>
  <c r="F11592" i="1"/>
  <c r="E11592" i="1"/>
  <c r="D11592" i="1"/>
  <c r="C11592" i="1"/>
  <c r="B11592" i="1"/>
  <c r="A11592" i="1"/>
  <c r="F11591" i="1"/>
  <c r="E11591" i="1"/>
  <c r="D11591" i="1"/>
  <c r="C11591" i="1"/>
  <c r="B11591" i="1"/>
  <c r="A11591" i="1"/>
  <c r="F11590" i="1"/>
  <c r="E11590" i="1"/>
  <c r="D11590" i="1"/>
  <c r="C11590" i="1"/>
  <c r="B11590" i="1"/>
  <c r="A11590" i="1"/>
  <c r="F11589" i="1"/>
  <c r="E11589" i="1"/>
  <c r="D11589" i="1"/>
  <c r="C11589" i="1"/>
  <c r="B11589" i="1"/>
  <c r="A11589" i="1"/>
  <c r="F11588" i="1"/>
  <c r="E11588" i="1"/>
  <c r="D11588" i="1"/>
  <c r="C11588" i="1"/>
  <c r="B11588" i="1"/>
  <c r="A11588" i="1"/>
  <c r="F11587" i="1"/>
  <c r="E11587" i="1"/>
  <c r="D11587" i="1"/>
  <c r="C11587" i="1"/>
  <c r="B11587" i="1"/>
  <c r="A11587" i="1"/>
  <c r="F11586" i="1"/>
  <c r="E11586" i="1"/>
  <c r="D11586" i="1"/>
  <c r="C11586" i="1"/>
  <c r="B11586" i="1"/>
  <c r="A11586" i="1"/>
  <c r="F11585" i="1"/>
  <c r="E11585" i="1"/>
  <c r="D11585" i="1"/>
  <c r="C11585" i="1"/>
  <c r="B11585" i="1"/>
  <c r="A11585" i="1"/>
  <c r="F11584" i="1"/>
  <c r="E11584" i="1"/>
  <c r="D11584" i="1"/>
  <c r="C11584" i="1"/>
  <c r="B11584" i="1"/>
  <c r="A11584" i="1"/>
  <c r="F11583" i="1"/>
  <c r="E11583" i="1"/>
  <c r="D11583" i="1"/>
  <c r="C11583" i="1"/>
  <c r="B11583" i="1"/>
  <c r="A11583" i="1"/>
  <c r="F11582" i="1"/>
  <c r="E11582" i="1"/>
  <c r="D11582" i="1"/>
  <c r="C11582" i="1"/>
  <c r="B11582" i="1"/>
  <c r="A11582" i="1"/>
  <c r="F11581" i="1"/>
  <c r="E11581" i="1"/>
  <c r="D11581" i="1"/>
  <c r="C11581" i="1"/>
  <c r="B11581" i="1"/>
  <c r="A11581" i="1"/>
  <c r="F11580" i="1"/>
  <c r="E11580" i="1"/>
  <c r="D11580" i="1"/>
  <c r="C11580" i="1"/>
  <c r="B11580" i="1"/>
  <c r="A11580" i="1"/>
  <c r="F11579" i="1"/>
  <c r="E11579" i="1"/>
  <c r="D11579" i="1"/>
  <c r="C11579" i="1"/>
  <c r="B11579" i="1"/>
  <c r="A11579" i="1"/>
  <c r="F11578" i="1"/>
  <c r="E11578" i="1"/>
  <c r="D11578" i="1"/>
  <c r="C11578" i="1"/>
  <c r="B11578" i="1"/>
  <c r="A11578" i="1"/>
  <c r="F11577" i="1"/>
  <c r="E11577" i="1"/>
  <c r="D11577" i="1"/>
  <c r="C11577" i="1"/>
  <c r="B11577" i="1"/>
  <c r="A11577" i="1"/>
  <c r="F11576" i="1"/>
  <c r="E11576" i="1"/>
  <c r="D11576" i="1"/>
  <c r="C11576" i="1"/>
  <c r="B11576" i="1"/>
  <c r="A11576" i="1"/>
  <c r="F11575" i="1"/>
  <c r="E11575" i="1"/>
  <c r="D11575" i="1"/>
  <c r="C11575" i="1"/>
  <c r="B11575" i="1"/>
  <c r="A11575" i="1"/>
  <c r="F11574" i="1"/>
  <c r="E11574" i="1"/>
  <c r="D11574" i="1"/>
  <c r="C11574" i="1"/>
  <c r="B11574" i="1"/>
  <c r="A11574" i="1"/>
  <c r="F11573" i="1"/>
  <c r="E11573" i="1"/>
  <c r="D11573" i="1"/>
  <c r="C11573" i="1"/>
  <c r="B11573" i="1"/>
  <c r="A11573" i="1"/>
  <c r="F11572" i="1"/>
  <c r="E11572" i="1"/>
  <c r="D11572" i="1"/>
  <c r="C11572" i="1"/>
  <c r="B11572" i="1"/>
  <c r="A11572" i="1"/>
  <c r="F11571" i="1"/>
  <c r="E11571" i="1"/>
  <c r="D11571" i="1"/>
  <c r="C11571" i="1"/>
  <c r="B11571" i="1"/>
  <c r="A11571" i="1"/>
  <c r="F11570" i="1"/>
  <c r="E11570" i="1"/>
  <c r="D11570" i="1"/>
  <c r="C11570" i="1"/>
  <c r="B11570" i="1"/>
  <c r="A11570" i="1"/>
  <c r="F11569" i="1"/>
  <c r="E11569" i="1"/>
  <c r="D11569" i="1"/>
  <c r="C11569" i="1"/>
  <c r="B11569" i="1"/>
  <c r="A11569" i="1"/>
  <c r="F11568" i="1"/>
  <c r="E11568" i="1"/>
  <c r="D11568" i="1"/>
  <c r="C11568" i="1"/>
  <c r="B11568" i="1"/>
  <c r="A11568" i="1"/>
  <c r="F11567" i="1"/>
  <c r="E11567" i="1"/>
  <c r="D11567" i="1"/>
  <c r="C11567" i="1"/>
  <c r="B11567" i="1"/>
  <c r="A11567" i="1"/>
  <c r="F11566" i="1"/>
  <c r="E11566" i="1"/>
  <c r="D11566" i="1"/>
  <c r="C11566" i="1"/>
  <c r="B11566" i="1"/>
  <c r="A11566" i="1"/>
  <c r="F11565" i="1"/>
  <c r="E11565" i="1"/>
  <c r="D11565" i="1"/>
  <c r="C11565" i="1"/>
  <c r="B11565" i="1"/>
  <c r="A11565" i="1"/>
  <c r="F11564" i="1"/>
  <c r="E11564" i="1"/>
  <c r="D11564" i="1"/>
  <c r="C11564" i="1"/>
  <c r="B11564" i="1"/>
  <c r="A11564" i="1"/>
  <c r="F11563" i="1"/>
  <c r="E11563" i="1"/>
  <c r="D11563" i="1"/>
  <c r="C11563" i="1"/>
  <c r="B11563" i="1"/>
  <c r="A11563" i="1"/>
  <c r="F11562" i="1"/>
  <c r="E11562" i="1"/>
  <c r="D11562" i="1"/>
  <c r="C11562" i="1"/>
  <c r="B11562" i="1"/>
  <c r="A11562" i="1"/>
  <c r="F11561" i="1"/>
  <c r="E11561" i="1"/>
  <c r="D11561" i="1"/>
  <c r="C11561" i="1"/>
  <c r="B11561" i="1"/>
  <c r="A11561" i="1"/>
  <c r="F11560" i="1"/>
  <c r="E11560" i="1"/>
  <c r="D11560" i="1"/>
  <c r="C11560" i="1"/>
  <c r="B11560" i="1"/>
  <c r="A11560" i="1"/>
  <c r="F11559" i="1"/>
  <c r="E11559" i="1"/>
  <c r="D11559" i="1"/>
  <c r="C11559" i="1"/>
  <c r="B11559" i="1"/>
  <c r="A11559" i="1"/>
  <c r="F11558" i="1"/>
  <c r="E11558" i="1"/>
  <c r="D11558" i="1"/>
  <c r="C11558" i="1"/>
  <c r="B11558" i="1"/>
  <c r="A11558" i="1"/>
  <c r="F11557" i="1"/>
  <c r="E11557" i="1"/>
  <c r="D11557" i="1"/>
  <c r="C11557" i="1"/>
  <c r="B11557" i="1"/>
  <c r="A11557" i="1"/>
  <c r="F11556" i="1"/>
  <c r="E11556" i="1"/>
  <c r="D11556" i="1"/>
  <c r="C11556" i="1"/>
  <c r="B11556" i="1"/>
  <c r="A11556" i="1"/>
  <c r="F11555" i="1"/>
  <c r="E11555" i="1"/>
  <c r="D11555" i="1"/>
  <c r="C11555" i="1"/>
  <c r="B11555" i="1"/>
  <c r="A11555" i="1"/>
  <c r="F11554" i="1"/>
  <c r="E11554" i="1"/>
  <c r="D11554" i="1"/>
  <c r="C11554" i="1"/>
  <c r="B11554" i="1"/>
  <c r="A11554" i="1"/>
  <c r="F11553" i="1"/>
  <c r="E11553" i="1"/>
  <c r="D11553" i="1"/>
  <c r="C11553" i="1"/>
  <c r="B11553" i="1"/>
  <c r="A11553" i="1"/>
  <c r="F11552" i="1"/>
  <c r="E11552" i="1"/>
  <c r="D11552" i="1"/>
  <c r="C11552" i="1"/>
  <c r="B11552" i="1"/>
  <c r="A11552" i="1"/>
  <c r="F11551" i="1"/>
  <c r="E11551" i="1"/>
  <c r="D11551" i="1"/>
  <c r="C11551" i="1"/>
  <c r="B11551" i="1"/>
  <c r="A11551" i="1"/>
  <c r="F11550" i="1"/>
  <c r="E11550" i="1"/>
  <c r="D11550" i="1"/>
  <c r="C11550" i="1"/>
  <c r="B11550" i="1"/>
  <c r="A11550" i="1"/>
  <c r="F11549" i="1"/>
  <c r="E11549" i="1"/>
  <c r="D11549" i="1"/>
  <c r="C11549" i="1"/>
  <c r="B11549" i="1"/>
  <c r="A11549" i="1"/>
  <c r="F11548" i="1"/>
  <c r="E11548" i="1"/>
  <c r="D11548" i="1"/>
  <c r="C11548" i="1"/>
  <c r="B11548" i="1"/>
  <c r="A11548" i="1"/>
  <c r="F11547" i="1"/>
  <c r="E11547" i="1"/>
  <c r="D11547" i="1"/>
  <c r="C11547" i="1"/>
  <c r="B11547" i="1"/>
  <c r="A11547" i="1"/>
  <c r="F11546" i="1"/>
  <c r="E11546" i="1"/>
  <c r="D11546" i="1"/>
  <c r="C11546" i="1"/>
  <c r="B11546" i="1"/>
  <c r="A11546" i="1"/>
  <c r="F11545" i="1"/>
  <c r="E11545" i="1"/>
  <c r="D11545" i="1"/>
  <c r="C11545" i="1"/>
  <c r="B11545" i="1"/>
  <c r="A11545" i="1"/>
  <c r="F11544" i="1"/>
  <c r="E11544" i="1"/>
  <c r="D11544" i="1"/>
  <c r="C11544" i="1"/>
  <c r="B11544" i="1"/>
  <c r="A11544" i="1"/>
  <c r="F11543" i="1"/>
  <c r="E11543" i="1"/>
  <c r="D11543" i="1"/>
  <c r="C11543" i="1"/>
  <c r="B11543" i="1"/>
  <c r="A11543" i="1"/>
  <c r="F11542" i="1"/>
  <c r="E11542" i="1"/>
  <c r="D11542" i="1"/>
  <c r="C11542" i="1"/>
  <c r="B11542" i="1"/>
  <c r="A11542" i="1"/>
  <c r="F11541" i="1"/>
  <c r="E11541" i="1"/>
  <c r="D11541" i="1"/>
  <c r="C11541" i="1"/>
  <c r="B11541" i="1"/>
  <c r="A11541" i="1"/>
  <c r="F11540" i="1"/>
  <c r="E11540" i="1"/>
  <c r="D11540" i="1"/>
  <c r="C11540" i="1"/>
  <c r="B11540" i="1"/>
  <c r="A11540" i="1"/>
  <c r="F11539" i="1"/>
  <c r="E11539" i="1"/>
  <c r="D11539" i="1"/>
  <c r="C11539" i="1"/>
  <c r="B11539" i="1"/>
  <c r="A11539" i="1"/>
  <c r="F11538" i="1"/>
  <c r="E11538" i="1"/>
  <c r="D11538" i="1"/>
  <c r="C11538" i="1"/>
  <c r="B11538" i="1"/>
  <c r="A11538" i="1"/>
  <c r="F11537" i="1"/>
  <c r="E11537" i="1"/>
  <c r="D11537" i="1"/>
  <c r="C11537" i="1"/>
  <c r="B11537" i="1"/>
  <c r="A11537" i="1"/>
  <c r="F11536" i="1"/>
  <c r="E11536" i="1"/>
  <c r="D11536" i="1"/>
  <c r="C11536" i="1"/>
  <c r="B11536" i="1"/>
  <c r="A11536" i="1"/>
  <c r="F11535" i="1"/>
  <c r="E11535" i="1"/>
  <c r="D11535" i="1"/>
  <c r="C11535" i="1"/>
  <c r="B11535" i="1"/>
  <c r="A11535" i="1"/>
  <c r="F11534" i="1"/>
  <c r="E11534" i="1"/>
  <c r="D11534" i="1"/>
  <c r="C11534" i="1"/>
  <c r="B11534" i="1"/>
  <c r="A11534" i="1"/>
  <c r="F11533" i="1"/>
  <c r="E11533" i="1"/>
  <c r="D11533" i="1"/>
  <c r="C11533" i="1"/>
  <c r="B11533" i="1"/>
  <c r="A11533" i="1"/>
  <c r="F11532" i="1"/>
  <c r="E11532" i="1"/>
  <c r="D11532" i="1"/>
  <c r="C11532" i="1"/>
  <c r="B11532" i="1"/>
  <c r="A11532" i="1"/>
  <c r="F11531" i="1"/>
  <c r="E11531" i="1"/>
  <c r="D11531" i="1"/>
  <c r="C11531" i="1"/>
  <c r="B11531" i="1"/>
  <c r="A11531" i="1"/>
  <c r="F11530" i="1"/>
  <c r="E11530" i="1"/>
  <c r="D11530" i="1"/>
  <c r="C11530" i="1"/>
  <c r="B11530" i="1"/>
  <c r="A11530" i="1"/>
  <c r="F11529" i="1"/>
  <c r="E11529" i="1"/>
  <c r="D11529" i="1"/>
  <c r="C11529" i="1"/>
  <c r="B11529" i="1"/>
  <c r="A11529" i="1"/>
  <c r="F11528" i="1"/>
  <c r="E11528" i="1"/>
  <c r="D11528" i="1"/>
  <c r="C11528" i="1"/>
  <c r="B11528" i="1"/>
  <c r="A11528" i="1"/>
  <c r="F11527" i="1"/>
  <c r="E11527" i="1"/>
  <c r="D11527" i="1"/>
  <c r="C11527" i="1"/>
  <c r="B11527" i="1"/>
  <c r="A11527" i="1"/>
  <c r="F11526" i="1"/>
  <c r="E11526" i="1"/>
  <c r="D11526" i="1"/>
  <c r="C11526" i="1"/>
  <c r="B11526" i="1"/>
  <c r="A11526" i="1"/>
  <c r="F11525" i="1"/>
  <c r="E11525" i="1"/>
  <c r="D11525" i="1"/>
  <c r="C11525" i="1"/>
  <c r="B11525" i="1"/>
  <c r="A11525" i="1"/>
  <c r="F11524" i="1"/>
  <c r="E11524" i="1"/>
  <c r="D11524" i="1"/>
  <c r="C11524" i="1"/>
  <c r="B11524" i="1"/>
  <c r="A11524" i="1"/>
  <c r="F11523" i="1"/>
  <c r="E11523" i="1"/>
  <c r="D11523" i="1"/>
  <c r="C11523" i="1"/>
  <c r="B11523" i="1"/>
  <c r="A11523" i="1"/>
  <c r="F11522" i="1"/>
  <c r="E11522" i="1"/>
  <c r="D11522" i="1"/>
  <c r="C11522" i="1"/>
  <c r="B11522" i="1"/>
  <c r="A11522" i="1"/>
  <c r="F11521" i="1"/>
  <c r="E11521" i="1"/>
  <c r="D11521" i="1"/>
  <c r="C11521" i="1"/>
  <c r="B11521" i="1"/>
  <c r="A11521" i="1"/>
  <c r="F11520" i="1"/>
  <c r="E11520" i="1"/>
  <c r="D11520" i="1"/>
  <c r="C11520" i="1"/>
  <c r="B11520" i="1"/>
  <c r="A11520" i="1"/>
  <c r="F11519" i="1"/>
  <c r="E11519" i="1"/>
  <c r="D11519" i="1"/>
  <c r="C11519" i="1"/>
  <c r="B11519" i="1"/>
  <c r="A11519" i="1"/>
  <c r="F11518" i="1"/>
  <c r="E11518" i="1"/>
  <c r="D11518" i="1"/>
  <c r="C11518" i="1"/>
  <c r="B11518" i="1"/>
  <c r="A11518" i="1"/>
  <c r="F11517" i="1"/>
  <c r="E11517" i="1"/>
  <c r="D11517" i="1"/>
  <c r="C11517" i="1"/>
  <c r="B11517" i="1"/>
  <c r="A11517" i="1"/>
  <c r="F11516" i="1"/>
  <c r="E11516" i="1"/>
  <c r="D11516" i="1"/>
  <c r="C11516" i="1"/>
  <c r="B11516" i="1"/>
  <c r="A11516" i="1"/>
  <c r="F11515" i="1"/>
  <c r="E11515" i="1"/>
  <c r="D11515" i="1"/>
  <c r="C11515" i="1"/>
  <c r="B11515" i="1"/>
  <c r="A11515" i="1"/>
  <c r="F11514" i="1"/>
  <c r="E11514" i="1"/>
  <c r="D11514" i="1"/>
  <c r="C11514" i="1"/>
  <c r="B11514" i="1"/>
  <c r="A11514" i="1"/>
  <c r="F11513" i="1"/>
  <c r="E11513" i="1"/>
  <c r="D11513" i="1"/>
  <c r="C11513" i="1"/>
  <c r="B11513" i="1"/>
  <c r="A11513" i="1"/>
  <c r="F11512" i="1"/>
  <c r="E11512" i="1"/>
  <c r="D11512" i="1"/>
  <c r="C11512" i="1"/>
  <c r="B11512" i="1"/>
  <c r="A11512" i="1"/>
  <c r="F11511" i="1"/>
  <c r="E11511" i="1"/>
  <c r="D11511" i="1"/>
  <c r="C11511" i="1"/>
  <c r="B11511" i="1"/>
  <c r="A11511" i="1"/>
  <c r="F11510" i="1"/>
  <c r="E11510" i="1"/>
  <c r="D11510" i="1"/>
  <c r="C11510" i="1"/>
  <c r="B11510" i="1"/>
  <c r="A11510" i="1"/>
  <c r="F11509" i="1"/>
  <c r="E11509" i="1"/>
  <c r="D11509" i="1"/>
  <c r="C11509" i="1"/>
  <c r="B11509" i="1"/>
  <c r="A11509" i="1"/>
  <c r="F11508" i="1"/>
  <c r="E11508" i="1"/>
  <c r="D11508" i="1"/>
  <c r="C11508" i="1"/>
  <c r="B11508" i="1"/>
  <c r="A11508" i="1"/>
  <c r="F11507" i="1"/>
  <c r="E11507" i="1"/>
  <c r="D11507" i="1"/>
  <c r="C11507" i="1"/>
  <c r="B11507" i="1"/>
  <c r="A11507" i="1"/>
  <c r="F11506" i="1"/>
  <c r="E11506" i="1"/>
  <c r="D11506" i="1"/>
  <c r="C11506" i="1"/>
  <c r="B11506" i="1"/>
  <c r="A11506" i="1"/>
  <c r="F11505" i="1"/>
  <c r="E11505" i="1"/>
  <c r="D11505" i="1"/>
  <c r="C11505" i="1"/>
  <c r="B11505" i="1"/>
  <c r="A11505" i="1"/>
  <c r="F11504" i="1"/>
  <c r="E11504" i="1"/>
  <c r="D11504" i="1"/>
  <c r="C11504" i="1"/>
  <c r="B11504" i="1"/>
  <c r="A11504" i="1"/>
  <c r="F11503" i="1"/>
  <c r="E11503" i="1"/>
  <c r="D11503" i="1"/>
  <c r="C11503" i="1"/>
  <c r="B11503" i="1"/>
  <c r="A11503" i="1"/>
  <c r="F11502" i="1"/>
  <c r="E11502" i="1"/>
  <c r="D11502" i="1"/>
  <c r="C11502" i="1"/>
  <c r="B11502" i="1"/>
  <c r="A11502" i="1"/>
  <c r="F11501" i="1"/>
  <c r="E11501" i="1"/>
  <c r="D11501" i="1"/>
  <c r="C11501" i="1"/>
  <c r="B11501" i="1"/>
  <c r="A11501" i="1"/>
  <c r="F11500" i="1"/>
  <c r="E11500" i="1"/>
  <c r="D11500" i="1"/>
  <c r="C11500" i="1"/>
  <c r="B11500" i="1"/>
  <c r="A11500" i="1"/>
  <c r="F11499" i="1"/>
  <c r="E11499" i="1"/>
  <c r="D11499" i="1"/>
  <c r="C11499" i="1"/>
  <c r="B11499" i="1"/>
  <c r="A11499" i="1"/>
  <c r="F11498" i="1"/>
  <c r="E11498" i="1"/>
  <c r="D11498" i="1"/>
  <c r="C11498" i="1"/>
  <c r="B11498" i="1"/>
  <c r="A11498" i="1"/>
  <c r="F11497" i="1"/>
  <c r="E11497" i="1"/>
  <c r="D11497" i="1"/>
  <c r="C11497" i="1"/>
  <c r="B11497" i="1"/>
  <c r="A11497" i="1"/>
  <c r="F11496" i="1"/>
  <c r="E11496" i="1"/>
  <c r="D11496" i="1"/>
  <c r="C11496" i="1"/>
  <c r="B11496" i="1"/>
  <c r="A11496" i="1"/>
  <c r="F11495" i="1"/>
  <c r="E11495" i="1"/>
  <c r="D11495" i="1"/>
  <c r="C11495" i="1"/>
  <c r="B11495" i="1"/>
  <c r="A11495" i="1"/>
  <c r="F11494" i="1"/>
  <c r="E11494" i="1"/>
  <c r="D11494" i="1"/>
  <c r="C11494" i="1"/>
  <c r="B11494" i="1"/>
  <c r="A11494" i="1"/>
  <c r="F11493" i="1"/>
  <c r="E11493" i="1"/>
  <c r="D11493" i="1"/>
  <c r="C11493" i="1"/>
  <c r="B11493" i="1"/>
  <c r="A11493" i="1"/>
  <c r="F11492" i="1"/>
  <c r="E11492" i="1"/>
  <c r="D11492" i="1"/>
  <c r="C11492" i="1"/>
  <c r="B11492" i="1"/>
  <c r="A11492" i="1"/>
  <c r="F11491" i="1"/>
  <c r="E11491" i="1"/>
  <c r="D11491" i="1"/>
  <c r="C11491" i="1"/>
  <c r="B11491" i="1"/>
  <c r="A11491" i="1"/>
  <c r="F11490" i="1"/>
  <c r="E11490" i="1"/>
  <c r="D11490" i="1"/>
  <c r="C11490" i="1"/>
  <c r="B11490" i="1"/>
  <c r="A11490" i="1"/>
  <c r="F11489" i="1"/>
  <c r="E11489" i="1"/>
  <c r="D11489" i="1"/>
  <c r="C11489" i="1"/>
  <c r="B11489" i="1"/>
  <c r="A11489" i="1"/>
  <c r="F11488" i="1"/>
  <c r="E11488" i="1"/>
  <c r="D11488" i="1"/>
  <c r="C11488" i="1"/>
  <c r="B11488" i="1"/>
  <c r="A11488" i="1"/>
  <c r="F11487" i="1"/>
  <c r="E11487" i="1"/>
  <c r="D11487" i="1"/>
  <c r="C11487" i="1"/>
  <c r="B11487" i="1"/>
  <c r="A11487" i="1"/>
  <c r="F11486" i="1"/>
  <c r="E11486" i="1"/>
  <c r="D11486" i="1"/>
  <c r="C11486" i="1"/>
  <c r="B11486" i="1"/>
  <c r="A11486" i="1"/>
  <c r="F11485" i="1"/>
  <c r="E11485" i="1"/>
  <c r="D11485" i="1"/>
  <c r="C11485" i="1"/>
  <c r="B11485" i="1"/>
  <c r="A11485" i="1"/>
  <c r="F11484" i="1"/>
  <c r="E11484" i="1"/>
  <c r="D11484" i="1"/>
  <c r="C11484" i="1"/>
  <c r="B11484" i="1"/>
  <c r="A11484" i="1"/>
  <c r="F11483" i="1"/>
  <c r="E11483" i="1"/>
  <c r="D11483" i="1"/>
  <c r="C11483" i="1"/>
  <c r="B11483" i="1"/>
  <c r="A11483" i="1"/>
  <c r="F11482" i="1"/>
  <c r="E11482" i="1"/>
  <c r="D11482" i="1"/>
  <c r="C11482" i="1"/>
  <c r="B11482" i="1"/>
  <c r="A11482" i="1"/>
  <c r="F11481" i="1"/>
  <c r="E11481" i="1"/>
  <c r="D11481" i="1"/>
  <c r="C11481" i="1"/>
  <c r="B11481" i="1"/>
  <c r="A11481" i="1"/>
  <c r="F11480" i="1"/>
  <c r="E11480" i="1"/>
  <c r="D11480" i="1"/>
  <c r="C11480" i="1"/>
  <c r="B11480" i="1"/>
  <c r="A11480" i="1"/>
  <c r="F11479" i="1"/>
  <c r="E11479" i="1"/>
  <c r="D11479" i="1"/>
  <c r="C11479" i="1"/>
  <c r="B11479" i="1"/>
  <c r="A11479" i="1"/>
  <c r="F11478" i="1"/>
  <c r="E11478" i="1"/>
  <c r="D11478" i="1"/>
  <c r="C11478" i="1"/>
  <c r="B11478" i="1"/>
  <c r="A11478" i="1"/>
  <c r="F11477" i="1"/>
  <c r="E11477" i="1"/>
  <c r="D11477" i="1"/>
  <c r="C11477" i="1"/>
  <c r="B11477" i="1"/>
  <c r="A11477" i="1"/>
  <c r="F11476" i="1"/>
  <c r="E11476" i="1"/>
  <c r="D11476" i="1"/>
  <c r="C11476" i="1"/>
  <c r="B11476" i="1"/>
  <c r="A11476" i="1"/>
  <c r="F11475" i="1"/>
  <c r="E11475" i="1"/>
  <c r="D11475" i="1"/>
  <c r="C11475" i="1"/>
  <c r="B11475" i="1"/>
  <c r="A11475" i="1"/>
  <c r="F11474" i="1"/>
  <c r="E11474" i="1"/>
  <c r="D11474" i="1"/>
  <c r="C11474" i="1"/>
  <c r="B11474" i="1"/>
  <c r="A11474" i="1"/>
  <c r="F11473" i="1"/>
  <c r="E11473" i="1"/>
  <c r="D11473" i="1"/>
  <c r="C11473" i="1"/>
  <c r="B11473" i="1"/>
  <c r="A11473" i="1"/>
  <c r="F11472" i="1"/>
  <c r="E11472" i="1"/>
  <c r="D11472" i="1"/>
  <c r="C11472" i="1"/>
  <c r="B11472" i="1"/>
  <c r="A11472" i="1"/>
  <c r="F11471" i="1"/>
  <c r="E11471" i="1"/>
  <c r="D11471" i="1"/>
  <c r="C11471" i="1"/>
  <c r="B11471" i="1"/>
  <c r="A11471" i="1"/>
  <c r="F11470" i="1"/>
  <c r="E11470" i="1"/>
  <c r="D11470" i="1"/>
  <c r="C11470" i="1"/>
  <c r="B11470" i="1"/>
  <c r="A11470" i="1"/>
  <c r="F11469" i="1"/>
  <c r="E11469" i="1"/>
  <c r="D11469" i="1"/>
  <c r="C11469" i="1"/>
  <c r="B11469" i="1"/>
  <c r="A11469" i="1"/>
  <c r="F11468" i="1"/>
  <c r="E11468" i="1"/>
  <c r="D11468" i="1"/>
  <c r="C11468" i="1"/>
  <c r="B11468" i="1"/>
  <c r="A11468" i="1"/>
  <c r="F11467" i="1"/>
  <c r="E11467" i="1"/>
  <c r="D11467" i="1"/>
  <c r="C11467" i="1"/>
  <c r="B11467" i="1"/>
  <c r="A11467" i="1"/>
  <c r="F11466" i="1"/>
  <c r="E11466" i="1"/>
  <c r="D11466" i="1"/>
  <c r="C11466" i="1"/>
  <c r="B11466" i="1"/>
  <c r="A11466" i="1"/>
  <c r="F11465" i="1"/>
  <c r="E11465" i="1"/>
  <c r="D11465" i="1"/>
  <c r="C11465" i="1"/>
  <c r="B11465" i="1"/>
  <c r="A11465" i="1"/>
  <c r="F11464" i="1"/>
  <c r="E11464" i="1"/>
  <c r="D11464" i="1"/>
  <c r="C11464" i="1"/>
  <c r="B11464" i="1"/>
  <c r="A11464" i="1"/>
  <c r="F11463" i="1"/>
  <c r="E11463" i="1"/>
  <c r="D11463" i="1"/>
  <c r="C11463" i="1"/>
  <c r="B11463" i="1"/>
  <c r="A11463" i="1"/>
  <c r="F11462" i="1"/>
  <c r="E11462" i="1"/>
  <c r="D11462" i="1"/>
  <c r="C11462" i="1"/>
  <c r="B11462" i="1"/>
  <c r="A11462" i="1"/>
  <c r="F11461" i="1"/>
  <c r="E11461" i="1"/>
  <c r="D11461" i="1"/>
  <c r="C11461" i="1"/>
  <c r="B11461" i="1"/>
  <c r="A11461" i="1"/>
  <c r="F11460" i="1"/>
  <c r="E11460" i="1"/>
  <c r="D11460" i="1"/>
  <c r="C11460" i="1"/>
  <c r="B11460" i="1"/>
  <c r="A11460" i="1"/>
  <c r="F11459" i="1"/>
  <c r="E11459" i="1"/>
  <c r="D11459" i="1"/>
  <c r="C11459" i="1"/>
  <c r="B11459" i="1"/>
  <c r="A11459" i="1"/>
  <c r="F11458" i="1"/>
  <c r="E11458" i="1"/>
  <c r="D11458" i="1"/>
  <c r="C11458" i="1"/>
  <c r="B11458" i="1"/>
  <c r="A11458" i="1"/>
  <c r="F11457" i="1"/>
  <c r="E11457" i="1"/>
  <c r="D11457" i="1"/>
  <c r="C11457" i="1"/>
  <c r="B11457" i="1"/>
  <c r="A11457" i="1"/>
  <c r="F11456" i="1"/>
  <c r="E11456" i="1"/>
  <c r="D11456" i="1"/>
  <c r="C11456" i="1"/>
  <c r="B11456" i="1"/>
  <c r="A11456" i="1"/>
  <c r="F11455" i="1"/>
  <c r="E11455" i="1"/>
  <c r="D11455" i="1"/>
  <c r="C11455" i="1"/>
  <c r="B11455" i="1"/>
  <c r="A11455" i="1"/>
  <c r="F11454" i="1"/>
  <c r="E11454" i="1"/>
  <c r="D11454" i="1"/>
  <c r="C11454" i="1"/>
  <c r="B11454" i="1"/>
  <c r="A11454" i="1"/>
  <c r="F11453" i="1"/>
  <c r="E11453" i="1"/>
  <c r="D11453" i="1"/>
  <c r="C11453" i="1"/>
  <c r="B11453" i="1"/>
  <c r="A11453" i="1"/>
  <c r="F11452" i="1"/>
  <c r="E11452" i="1"/>
  <c r="D11452" i="1"/>
  <c r="C11452" i="1"/>
  <c r="B11452" i="1"/>
  <c r="A11452" i="1"/>
  <c r="F11451" i="1"/>
  <c r="E11451" i="1"/>
  <c r="D11451" i="1"/>
  <c r="C11451" i="1"/>
  <c r="B11451" i="1"/>
  <c r="A11451" i="1"/>
  <c r="F11450" i="1"/>
  <c r="E11450" i="1"/>
  <c r="D11450" i="1"/>
  <c r="C11450" i="1"/>
  <c r="B11450" i="1"/>
  <c r="A11450" i="1"/>
  <c r="F11449" i="1"/>
  <c r="E11449" i="1"/>
  <c r="D11449" i="1"/>
  <c r="C11449" i="1"/>
  <c r="B11449" i="1"/>
  <c r="A11449" i="1"/>
  <c r="F11448" i="1"/>
  <c r="E11448" i="1"/>
  <c r="D11448" i="1"/>
  <c r="C11448" i="1"/>
  <c r="B11448" i="1"/>
  <c r="A11448" i="1"/>
  <c r="F11447" i="1"/>
  <c r="E11447" i="1"/>
  <c r="D11447" i="1"/>
  <c r="C11447" i="1"/>
  <c r="B11447" i="1"/>
  <c r="A11447" i="1"/>
  <c r="F11446" i="1"/>
  <c r="E11446" i="1"/>
  <c r="D11446" i="1"/>
  <c r="C11446" i="1"/>
  <c r="B11446" i="1"/>
  <c r="A11446" i="1"/>
  <c r="F11445" i="1"/>
  <c r="E11445" i="1"/>
  <c r="D11445" i="1"/>
  <c r="C11445" i="1"/>
  <c r="B11445" i="1"/>
  <c r="A11445" i="1"/>
  <c r="F11444" i="1"/>
  <c r="E11444" i="1"/>
  <c r="D11444" i="1"/>
  <c r="C11444" i="1"/>
  <c r="B11444" i="1"/>
  <c r="A11444" i="1"/>
  <c r="F11443" i="1"/>
  <c r="E11443" i="1"/>
  <c r="D11443" i="1"/>
  <c r="C11443" i="1"/>
  <c r="B11443" i="1"/>
  <c r="A11443" i="1"/>
  <c r="F11442" i="1"/>
  <c r="E11442" i="1"/>
  <c r="D11442" i="1"/>
  <c r="C11442" i="1"/>
  <c r="B11442" i="1"/>
  <c r="A11442" i="1"/>
  <c r="F11441" i="1"/>
  <c r="E11441" i="1"/>
  <c r="D11441" i="1"/>
  <c r="C11441" i="1"/>
  <c r="B11441" i="1"/>
  <c r="A11441" i="1"/>
  <c r="F11440" i="1"/>
  <c r="E11440" i="1"/>
  <c r="D11440" i="1"/>
  <c r="C11440" i="1"/>
  <c r="B11440" i="1"/>
  <c r="A11440" i="1"/>
  <c r="F11439" i="1"/>
  <c r="E11439" i="1"/>
  <c r="D11439" i="1"/>
  <c r="C11439" i="1"/>
  <c r="B11439" i="1"/>
  <c r="A11439" i="1"/>
  <c r="F11438" i="1"/>
  <c r="E11438" i="1"/>
  <c r="D11438" i="1"/>
  <c r="C11438" i="1"/>
  <c r="B11438" i="1"/>
  <c r="A11438" i="1"/>
  <c r="F11437" i="1"/>
  <c r="E11437" i="1"/>
  <c r="D11437" i="1"/>
  <c r="C11437" i="1"/>
  <c r="B11437" i="1"/>
  <c r="A11437" i="1"/>
  <c r="F11436" i="1"/>
  <c r="E11436" i="1"/>
  <c r="D11436" i="1"/>
  <c r="C11436" i="1"/>
  <c r="B11436" i="1"/>
  <c r="A11436" i="1"/>
  <c r="F11435" i="1"/>
  <c r="E11435" i="1"/>
  <c r="D11435" i="1"/>
  <c r="C11435" i="1"/>
  <c r="B11435" i="1"/>
  <c r="A11435" i="1"/>
  <c r="F11434" i="1"/>
  <c r="E11434" i="1"/>
  <c r="D11434" i="1"/>
  <c r="C11434" i="1"/>
  <c r="B11434" i="1"/>
  <c r="A11434" i="1"/>
  <c r="F11433" i="1"/>
  <c r="E11433" i="1"/>
  <c r="D11433" i="1"/>
  <c r="C11433" i="1"/>
  <c r="B11433" i="1"/>
  <c r="A11433" i="1"/>
  <c r="F11432" i="1"/>
  <c r="E11432" i="1"/>
  <c r="D11432" i="1"/>
  <c r="C11432" i="1"/>
  <c r="B11432" i="1"/>
  <c r="A11432" i="1"/>
  <c r="F11431" i="1"/>
  <c r="E11431" i="1"/>
  <c r="D11431" i="1"/>
  <c r="C11431" i="1"/>
  <c r="B11431" i="1"/>
  <c r="A11431" i="1"/>
  <c r="F11430" i="1"/>
  <c r="E11430" i="1"/>
  <c r="D11430" i="1"/>
  <c r="C11430" i="1"/>
  <c r="B11430" i="1"/>
  <c r="A11430" i="1"/>
  <c r="F11429" i="1"/>
  <c r="E11429" i="1"/>
  <c r="D11429" i="1"/>
  <c r="C11429" i="1"/>
  <c r="B11429" i="1"/>
  <c r="A11429" i="1"/>
  <c r="F11428" i="1"/>
  <c r="E11428" i="1"/>
  <c r="D11428" i="1"/>
  <c r="C11428" i="1"/>
  <c r="B11428" i="1"/>
  <c r="A11428" i="1"/>
  <c r="F11427" i="1"/>
  <c r="E11427" i="1"/>
  <c r="D11427" i="1"/>
  <c r="C11427" i="1"/>
  <c r="B11427" i="1"/>
  <c r="A11427" i="1"/>
  <c r="F11426" i="1"/>
  <c r="E11426" i="1"/>
  <c r="D11426" i="1"/>
  <c r="C11426" i="1"/>
  <c r="B11426" i="1"/>
  <c r="A11426" i="1"/>
  <c r="F11425" i="1"/>
  <c r="E11425" i="1"/>
  <c r="D11425" i="1"/>
  <c r="C11425" i="1"/>
  <c r="B11425" i="1"/>
  <c r="A11425" i="1"/>
  <c r="F11424" i="1"/>
  <c r="E11424" i="1"/>
  <c r="D11424" i="1"/>
  <c r="C11424" i="1"/>
  <c r="B11424" i="1"/>
  <c r="A11424" i="1"/>
  <c r="F11423" i="1"/>
  <c r="E11423" i="1"/>
  <c r="D11423" i="1"/>
  <c r="C11423" i="1"/>
  <c r="B11423" i="1"/>
  <c r="A11423" i="1"/>
  <c r="F11422" i="1"/>
  <c r="E11422" i="1"/>
  <c r="D11422" i="1"/>
  <c r="C11422" i="1"/>
  <c r="B11422" i="1"/>
  <c r="A11422" i="1"/>
  <c r="F11421" i="1"/>
  <c r="E11421" i="1"/>
  <c r="D11421" i="1"/>
  <c r="C11421" i="1"/>
  <c r="B11421" i="1"/>
  <c r="A11421" i="1"/>
  <c r="F11420" i="1"/>
  <c r="E11420" i="1"/>
  <c r="D11420" i="1"/>
  <c r="C11420" i="1"/>
  <c r="B11420" i="1"/>
  <c r="A11420" i="1"/>
  <c r="F11419" i="1"/>
  <c r="E11419" i="1"/>
  <c r="D11419" i="1"/>
  <c r="C11419" i="1"/>
  <c r="B11419" i="1"/>
  <c r="A11419" i="1"/>
  <c r="F11418" i="1"/>
  <c r="E11418" i="1"/>
  <c r="D11418" i="1"/>
  <c r="C11418" i="1"/>
  <c r="B11418" i="1"/>
  <c r="A11418" i="1"/>
  <c r="F11417" i="1"/>
  <c r="E11417" i="1"/>
  <c r="D11417" i="1"/>
  <c r="C11417" i="1"/>
  <c r="B11417" i="1"/>
  <c r="A11417" i="1"/>
  <c r="F11416" i="1"/>
  <c r="E11416" i="1"/>
  <c r="D11416" i="1"/>
  <c r="C11416" i="1"/>
  <c r="B11416" i="1"/>
  <c r="A11416" i="1"/>
  <c r="F11415" i="1"/>
  <c r="E11415" i="1"/>
  <c r="D11415" i="1"/>
  <c r="C11415" i="1"/>
  <c r="B11415" i="1"/>
  <c r="A11415" i="1"/>
  <c r="F11414" i="1"/>
  <c r="E11414" i="1"/>
  <c r="D11414" i="1"/>
  <c r="C11414" i="1"/>
  <c r="B11414" i="1"/>
  <c r="A11414" i="1"/>
  <c r="F11413" i="1"/>
  <c r="E11413" i="1"/>
  <c r="D11413" i="1"/>
  <c r="C11413" i="1"/>
  <c r="B11413" i="1"/>
  <c r="A11413" i="1"/>
  <c r="F11412" i="1"/>
  <c r="E11412" i="1"/>
  <c r="D11412" i="1"/>
  <c r="C11412" i="1"/>
  <c r="B11412" i="1"/>
  <c r="A11412" i="1"/>
  <c r="F11411" i="1"/>
  <c r="E11411" i="1"/>
  <c r="D11411" i="1"/>
  <c r="C11411" i="1"/>
  <c r="B11411" i="1"/>
  <c r="A11411" i="1"/>
  <c r="F11410" i="1"/>
  <c r="E11410" i="1"/>
  <c r="D11410" i="1"/>
  <c r="C11410" i="1"/>
  <c r="B11410" i="1"/>
  <c r="A11410" i="1"/>
  <c r="F11409" i="1"/>
  <c r="E11409" i="1"/>
  <c r="D11409" i="1"/>
  <c r="C11409" i="1"/>
  <c r="B11409" i="1"/>
  <c r="A11409" i="1"/>
  <c r="F11408" i="1"/>
  <c r="E11408" i="1"/>
  <c r="D11408" i="1"/>
  <c r="C11408" i="1"/>
  <c r="B11408" i="1"/>
  <c r="A11408" i="1"/>
  <c r="F11407" i="1"/>
  <c r="E11407" i="1"/>
  <c r="D11407" i="1"/>
  <c r="C11407" i="1"/>
  <c r="B11407" i="1"/>
  <c r="A11407" i="1"/>
  <c r="F11406" i="1"/>
  <c r="E11406" i="1"/>
  <c r="D11406" i="1"/>
  <c r="C11406" i="1"/>
  <c r="B11406" i="1"/>
  <c r="A11406" i="1"/>
  <c r="F11405" i="1"/>
  <c r="E11405" i="1"/>
  <c r="D11405" i="1"/>
  <c r="C11405" i="1"/>
  <c r="B11405" i="1"/>
  <c r="A11405" i="1"/>
  <c r="F11404" i="1"/>
  <c r="E11404" i="1"/>
  <c r="D11404" i="1"/>
  <c r="C11404" i="1"/>
  <c r="B11404" i="1"/>
  <c r="A11404" i="1"/>
  <c r="F11403" i="1"/>
  <c r="E11403" i="1"/>
  <c r="D11403" i="1"/>
  <c r="C11403" i="1"/>
  <c r="B11403" i="1"/>
  <c r="A11403" i="1"/>
  <c r="F11402" i="1"/>
  <c r="E11402" i="1"/>
  <c r="D11402" i="1"/>
  <c r="C11402" i="1"/>
  <c r="B11402" i="1"/>
  <c r="A11402" i="1"/>
  <c r="F11401" i="1"/>
  <c r="E11401" i="1"/>
  <c r="D11401" i="1"/>
  <c r="C11401" i="1"/>
  <c r="B11401" i="1"/>
  <c r="A11401" i="1"/>
  <c r="F11400" i="1"/>
  <c r="E11400" i="1"/>
  <c r="D11400" i="1"/>
  <c r="C11400" i="1"/>
  <c r="B11400" i="1"/>
  <c r="A11400" i="1"/>
  <c r="F11399" i="1"/>
  <c r="E11399" i="1"/>
  <c r="D11399" i="1"/>
  <c r="C11399" i="1"/>
  <c r="B11399" i="1"/>
  <c r="A11399" i="1"/>
  <c r="F11398" i="1"/>
  <c r="E11398" i="1"/>
  <c r="D11398" i="1"/>
  <c r="C11398" i="1"/>
  <c r="B11398" i="1"/>
  <c r="A11398" i="1"/>
  <c r="F11397" i="1"/>
  <c r="E11397" i="1"/>
  <c r="D11397" i="1"/>
  <c r="C11397" i="1"/>
  <c r="B11397" i="1"/>
  <c r="A11397" i="1"/>
  <c r="F11396" i="1"/>
  <c r="E11396" i="1"/>
  <c r="D11396" i="1"/>
  <c r="C11396" i="1"/>
  <c r="B11396" i="1"/>
  <c r="A11396" i="1"/>
  <c r="F11395" i="1"/>
  <c r="E11395" i="1"/>
  <c r="D11395" i="1"/>
  <c r="C11395" i="1"/>
  <c r="B11395" i="1"/>
  <c r="A11395" i="1"/>
  <c r="F11394" i="1"/>
  <c r="E11394" i="1"/>
  <c r="D11394" i="1"/>
  <c r="C11394" i="1"/>
  <c r="B11394" i="1"/>
  <c r="A11394" i="1"/>
  <c r="F11393" i="1"/>
  <c r="E11393" i="1"/>
  <c r="D11393" i="1"/>
  <c r="C11393" i="1"/>
  <c r="B11393" i="1"/>
  <c r="A11393" i="1"/>
  <c r="F11392" i="1"/>
  <c r="E11392" i="1"/>
  <c r="D11392" i="1"/>
  <c r="C11392" i="1"/>
  <c r="B11392" i="1"/>
  <c r="A11392" i="1"/>
  <c r="F11391" i="1"/>
  <c r="E11391" i="1"/>
  <c r="D11391" i="1"/>
  <c r="C11391" i="1"/>
  <c r="B11391" i="1"/>
  <c r="A11391" i="1"/>
  <c r="F11390" i="1"/>
  <c r="E11390" i="1"/>
  <c r="D11390" i="1"/>
  <c r="C11390" i="1"/>
  <c r="B11390" i="1"/>
  <c r="A11390" i="1"/>
  <c r="F11389" i="1"/>
  <c r="E11389" i="1"/>
  <c r="D11389" i="1"/>
  <c r="C11389" i="1"/>
  <c r="B11389" i="1"/>
  <c r="A11389" i="1"/>
  <c r="F11388" i="1"/>
  <c r="E11388" i="1"/>
  <c r="D11388" i="1"/>
  <c r="C11388" i="1"/>
  <c r="B11388" i="1"/>
  <c r="A11388" i="1"/>
  <c r="F11387" i="1"/>
  <c r="E11387" i="1"/>
  <c r="D11387" i="1"/>
  <c r="C11387" i="1"/>
  <c r="B11387" i="1"/>
  <c r="A11387" i="1"/>
  <c r="F11386" i="1"/>
  <c r="E11386" i="1"/>
  <c r="D11386" i="1"/>
  <c r="C11386" i="1"/>
  <c r="B11386" i="1"/>
  <c r="A11386" i="1"/>
  <c r="F11385" i="1"/>
  <c r="E11385" i="1"/>
  <c r="D11385" i="1"/>
  <c r="C11385" i="1"/>
  <c r="B11385" i="1"/>
  <c r="A11385" i="1"/>
  <c r="F11384" i="1"/>
  <c r="E11384" i="1"/>
  <c r="D11384" i="1"/>
  <c r="C11384" i="1"/>
  <c r="B11384" i="1"/>
  <c r="A11384" i="1"/>
  <c r="F11383" i="1"/>
  <c r="E11383" i="1"/>
  <c r="D11383" i="1"/>
  <c r="C11383" i="1"/>
  <c r="B11383" i="1"/>
  <c r="A11383" i="1"/>
  <c r="F11382" i="1"/>
  <c r="E11382" i="1"/>
  <c r="D11382" i="1"/>
  <c r="C11382" i="1"/>
  <c r="B11382" i="1"/>
  <c r="A11382" i="1"/>
  <c r="F11381" i="1"/>
  <c r="E11381" i="1"/>
  <c r="D11381" i="1"/>
  <c r="C11381" i="1"/>
  <c r="B11381" i="1"/>
  <c r="A11381" i="1"/>
  <c r="F11380" i="1"/>
  <c r="E11380" i="1"/>
  <c r="D11380" i="1"/>
  <c r="C11380" i="1"/>
  <c r="B11380" i="1"/>
  <c r="A11380" i="1"/>
  <c r="F11379" i="1"/>
  <c r="E11379" i="1"/>
  <c r="D11379" i="1"/>
  <c r="C11379" i="1"/>
  <c r="B11379" i="1"/>
  <c r="A11379" i="1"/>
  <c r="F11378" i="1"/>
  <c r="E11378" i="1"/>
  <c r="D11378" i="1"/>
  <c r="C11378" i="1"/>
  <c r="B11378" i="1"/>
  <c r="A11378" i="1"/>
  <c r="F11377" i="1"/>
  <c r="E11377" i="1"/>
  <c r="D11377" i="1"/>
  <c r="C11377" i="1"/>
  <c r="B11377" i="1"/>
  <c r="A11377" i="1"/>
  <c r="F11376" i="1"/>
  <c r="E11376" i="1"/>
  <c r="D11376" i="1"/>
  <c r="C11376" i="1"/>
  <c r="B11376" i="1"/>
  <c r="A11376" i="1"/>
  <c r="F11375" i="1"/>
  <c r="E11375" i="1"/>
  <c r="D11375" i="1"/>
  <c r="C11375" i="1"/>
  <c r="B11375" i="1"/>
  <c r="A11375" i="1"/>
  <c r="F11374" i="1"/>
  <c r="E11374" i="1"/>
  <c r="D11374" i="1"/>
  <c r="C11374" i="1"/>
  <c r="B11374" i="1"/>
  <c r="A11374" i="1"/>
  <c r="F11373" i="1"/>
  <c r="E11373" i="1"/>
  <c r="D11373" i="1"/>
  <c r="C11373" i="1"/>
  <c r="B11373" i="1"/>
  <c r="A11373" i="1"/>
  <c r="F11372" i="1"/>
  <c r="E11372" i="1"/>
  <c r="D11372" i="1"/>
  <c r="C11372" i="1"/>
  <c r="B11372" i="1"/>
  <c r="A11372" i="1"/>
  <c r="F11371" i="1"/>
  <c r="E11371" i="1"/>
  <c r="D11371" i="1"/>
  <c r="C11371" i="1"/>
  <c r="B11371" i="1"/>
  <c r="A11371" i="1"/>
  <c r="F11370" i="1"/>
  <c r="E11370" i="1"/>
  <c r="D11370" i="1"/>
  <c r="C11370" i="1"/>
  <c r="B11370" i="1"/>
  <c r="A11370" i="1"/>
  <c r="F11369" i="1"/>
  <c r="E11369" i="1"/>
  <c r="D11369" i="1"/>
  <c r="C11369" i="1"/>
  <c r="B11369" i="1"/>
  <c r="A11369" i="1"/>
  <c r="F11368" i="1"/>
  <c r="E11368" i="1"/>
  <c r="D11368" i="1"/>
  <c r="C11368" i="1"/>
  <c r="B11368" i="1"/>
  <c r="A11368" i="1"/>
  <c r="F11367" i="1"/>
  <c r="E11367" i="1"/>
  <c r="D11367" i="1"/>
  <c r="C11367" i="1"/>
  <c r="B11367" i="1"/>
  <c r="A11367" i="1"/>
  <c r="F11366" i="1"/>
  <c r="E11366" i="1"/>
  <c r="D11366" i="1"/>
  <c r="C11366" i="1"/>
  <c r="B11366" i="1"/>
  <c r="A11366" i="1"/>
  <c r="F11365" i="1"/>
  <c r="E11365" i="1"/>
  <c r="D11365" i="1"/>
  <c r="C11365" i="1"/>
  <c r="B11365" i="1"/>
  <c r="A11365" i="1"/>
  <c r="F11364" i="1"/>
  <c r="E11364" i="1"/>
  <c r="D11364" i="1"/>
  <c r="C11364" i="1"/>
  <c r="B11364" i="1"/>
  <c r="A11364" i="1"/>
  <c r="F11363" i="1"/>
  <c r="E11363" i="1"/>
  <c r="D11363" i="1"/>
  <c r="C11363" i="1"/>
  <c r="B11363" i="1"/>
  <c r="A11363" i="1"/>
  <c r="F11362" i="1"/>
  <c r="E11362" i="1"/>
  <c r="D11362" i="1"/>
  <c r="C11362" i="1"/>
  <c r="B11362" i="1"/>
  <c r="A11362" i="1"/>
  <c r="F11361" i="1"/>
  <c r="E11361" i="1"/>
  <c r="D11361" i="1"/>
  <c r="C11361" i="1"/>
  <c r="B11361" i="1"/>
  <c r="A11361" i="1"/>
  <c r="F11360" i="1"/>
  <c r="E11360" i="1"/>
  <c r="D11360" i="1"/>
  <c r="C11360" i="1"/>
  <c r="B11360" i="1"/>
  <c r="A11360" i="1"/>
  <c r="F11359" i="1"/>
  <c r="E11359" i="1"/>
  <c r="D11359" i="1"/>
  <c r="C11359" i="1"/>
  <c r="B11359" i="1"/>
  <c r="A11359" i="1"/>
  <c r="F11358" i="1"/>
  <c r="E11358" i="1"/>
  <c r="D11358" i="1"/>
  <c r="C11358" i="1"/>
  <c r="B11358" i="1"/>
  <c r="A11358" i="1"/>
  <c r="F11357" i="1"/>
  <c r="E11357" i="1"/>
  <c r="D11357" i="1"/>
  <c r="C11357" i="1"/>
  <c r="B11357" i="1"/>
  <c r="A11357" i="1"/>
  <c r="F11356" i="1"/>
  <c r="E11356" i="1"/>
  <c r="D11356" i="1"/>
  <c r="C11356" i="1"/>
  <c r="B11356" i="1"/>
  <c r="A11356" i="1"/>
  <c r="F11355" i="1"/>
  <c r="E11355" i="1"/>
  <c r="D11355" i="1"/>
  <c r="C11355" i="1"/>
  <c r="B11355" i="1"/>
  <c r="A11355" i="1"/>
  <c r="F11354" i="1"/>
  <c r="E11354" i="1"/>
  <c r="D11354" i="1"/>
  <c r="C11354" i="1"/>
  <c r="B11354" i="1"/>
  <c r="A11354" i="1"/>
  <c r="F11353" i="1"/>
  <c r="E11353" i="1"/>
  <c r="D11353" i="1"/>
  <c r="C11353" i="1"/>
  <c r="B11353" i="1"/>
  <c r="A11353" i="1"/>
  <c r="F11352" i="1"/>
  <c r="E11352" i="1"/>
  <c r="D11352" i="1"/>
  <c r="C11352" i="1"/>
  <c r="B11352" i="1"/>
  <c r="A11352" i="1"/>
  <c r="F11351" i="1"/>
  <c r="E11351" i="1"/>
  <c r="D11351" i="1"/>
  <c r="C11351" i="1"/>
  <c r="B11351" i="1"/>
  <c r="A11351" i="1"/>
  <c r="F11350" i="1"/>
  <c r="E11350" i="1"/>
  <c r="D11350" i="1"/>
  <c r="C11350" i="1"/>
  <c r="B11350" i="1"/>
  <c r="A11350" i="1"/>
  <c r="F11349" i="1"/>
  <c r="E11349" i="1"/>
  <c r="D11349" i="1"/>
  <c r="C11349" i="1"/>
  <c r="B11349" i="1"/>
  <c r="A11349" i="1"/>
  <c r="F11348" i="1"/>
  <c r="E11348" i="1"/>
  <c r="D11348" i="1"/>
  <c r="C11348" i="1"/>
  <c r="B11348" i="1"/>
  <c r="A11348" i="1"/>
  <c r="F11347" i="1"/>
  <c r="E11347" i="1"/>
  <c r="D11347" i="1"/>
  <c r="C11347" i="1"/>
  <c r="B11347" i="1"/>
  <c r="A11347" i="1"/>
  <c r="F11346" i="1"/>
  <c r="E11346" i="1"/>
  <c r="D11346" i="1"/>
  <c r="C11346" i="1"/>
  <c r="B11346" i="1"/>
  <c r="A11346" i="1"/>
  <c r="F11345" i="1"/>
  <c r="E11345" i="1"/>
  <c r="D11345" i="1"/>
  <c r="C11345" i="1"/>
  <c r="B11345" i="1"/>
  <c r="A11345" i="1"/>
  <c r="F11344" i="1"/>
  <c r="E11344" i="1"/>
  <c r="D11344" i="1"/>
  <c r="C11344" i="1"/>
  <c r="B11344" i="1"/>
  <c r="A11344" i="1"/>
  <c r="F11343" i="1"/>
  <c r="E11343" i="1"/>
  <c r="D11343" i="1"/>
  <c r="C11343" i="1"/>
  <c r="B11343" i="1"/>
  <c r="A11343" i="1"/>
  <c r="F11342" i="1"/>
  <c r="E11342" i="1"/>
  <c r="D11342" i="1"/>
  <c r="C11342" i="1"/>
  <c r="B11342" i="1"/>
  <c r="A11342" i="1"/>
  <c r="F11341" i="1"/>
  <c r="E11341" i="1"/>
  <c r="D11341" i="1"/>
  <c r="C11341" i="1"/>
  <c r="B11341" i="1"/>
  <c r="A11341" i="1"/>
  <c r="F11340" i="1"/>
  <c r="E11340" i="1"/>
  <c r="D11340" i="1"/>
  <c r="C11340" i="1"/>
  <c r="B11340" i="1"/>
  <c r="A11340" i="1"/>
  <c r="F11339" i="1"/>
  <c r="E11339" i="1"/>
  <c r="D11339" i="1"/>
  <c r="C11339" i="1"/>
  <c r="B11339" i="1"/>
  <c r="A11339" i="1"/>
  <c r="F11338" i="1"/>
  <c r="E11338" i="1"/>
  <c r="D11338" i="1"/>
  <c r="C11338" i="1"/>
  <c r="B11338" i="1"/>
  <c r="A11338" i="1"/>
  <c r="F11337" i="1"/>
  <c r="E11337" i="1"/>
  <c r="D11337" i="1"/>
  <c r="C11337" i="1"/>
  <c r="B11337" i="1"/>
  <c r="A11337" i="1"/>
  <c r="F11336" i="1"/>
  <c r="E11336" i="1"/>
  <c r="D11336" i="1"/>
  <c r="C11336" i="1"/>
  <c r="B11336" i="1"/>
  <c r="A11336" i="1"/>
  <c r="F11335" i="1"/>
  <c r="E11335" i="1"/>
  <c r="D11335" i="1"/>
  <c r="C11335" i="1"/>
  <c r="B11335" i="1"/>
  <c r="A11335" i="1"/>
  <c r="F11334" i="1"/>
  <c r="E11334" i="1"/>
  <c r="D11334" i="1"/>
  <c r="C11334" i="1"/>
  <c r="B11334" i="1"/>
  <c r="A11334" i="1"/>
  <c r="F11333" i="1"/>
  <c r="E11333" i="1"/>
  <c r="D11333" i="1"/>
  <c r="C11333" i="1"/>
  <c r="B11333" i="1"/>
  <c r="A11333" i="1"/>
  <c r="F11332" i="1"/>
  <c r="E11332" i="1"/>
  <c r="D11332" i="1"/>
  <c r="C11332" i="1"/>
  <c r="B11332" i="1"/>
  <c r="A11332" i="1"/>
  <c r="F11331" i="1"/>
  <c r="E11331" i="1"/>
  <c r="D11331" i="1"/>
  <c r="C11331" i="1"/>
  <c r="B11331" i="1"/>
  <c r="A11331" i="1"/>
  <c r="F11330" i="1"/>
  <c r="E11330" i="1"/>
  <c r="D11330" i="1"/>
  <c r="C11330" i="1"/>
  <c r="B11330" i="1"/>
  <c r="A11330" i="1"/>
  <c r="F11329" i="1"/>
  <c r="E11329" i="1"/>
  <c r="D11329" i="1"/>
  <c r="C11329" i="1"/>
  <c r="B11329" i="1"/>
  <c r="A11329" i="1"/>
  <c r="F11328" i="1"/>
  <c r="E11328" i="1"/>
  <c r="D11328" i="1"/>
  <c r="C11328" i="1"/>
  <c r="B11328" i="1"/>
  <c r="A11328" i="1"/>
  <c r="F11327" i="1"/>
  <c r="E11327" i="1"/>
  <c r="D11327" i="1"/>
  <c r="C11327" i="1"/>
  <c r="B11327" i="1"/>
  <c r="A11327" i="1"/>
  <c r="F11326" i="1"/>
  <c r="E11326" i="1"/>
  <c r="D11326" i="1"/>
  <c r="C11326" i="1"/>
  <c r="B11326" i="1"/>
  <c r="A11326" i="1"/>
  <c r="F11325" i="1"/>
  <c r="E11325" i="1"/>
  <c r="D11325" i="1"/>
  <c r="C11325" i="1"/>
  <c r="B11325" i="1"/>
  <c r="A11325" i="1"/>
  <c r="F11324" i="1"/>
  <c r="E11324" i="1"/>
  <c r="D11324" i="1"/>
  <c r="C11324" i="1"/>
  <c r="B11324" i="1"/>
  <c r="A11324" i="1"/>
  <c r="F11323" i="1"/>
  <c r="E11323" i="1"/>
  <c r="D11323" i="1"/>
  <c r="C11323" i="1"/>
  <c r="B11323" i="1"/>
  <c r="A11323" i="1"/>
  <c r="F11322" i="1"/>
  <c r="E11322" i="1"/>
  <c r="D11322" i="1"/>
  <c r="C11322" i="1"/>
  <c r="B11322" i="1"/>
  <c r="A11322" i="1"/>
  <c r="F11321" i="1"/>
  <c r="E11321" i="1"/>
  <c r="D11321" i="1"/>
  <c r="C11321" i="1"/>
  <c r="B11321" i="1"/>
  <c r="A11321" i="1"/>
  <c r="F11320" i="1"/>
  <c r="E11320" i="1"/>
  <c r="D11320" i="1"/>
  <c r="C11320" i="1"/>
  <c r="B11320" i="1"/>
  <c r="A11320" i="1"/>
  <c r="F11319" i="1"/>
  <c r="E11319" i="1"/>
  <c r="D11319" i="1"/>
  <c r="C11319" i="1"/>
  <c r="B11319" i="1"/>
  <c r="A11319" i="1"/>
  <c r="F11318" i="1"/>
  <c r="E11318" i="1"/>
  <c r="D11318" i="1"/>
  <c r="C11318" i="1"/>
  <c r="B11318" i="1"/>
  <c r="A11318" i="1"/>
  <c r="F11317" i="1"/>
  <c r="E11317" i="1"/>
  <c r="D11317" i="1"/>
  <c r="C11317" i="1"/>
  <c r="B11317" i="1"/>
  <c r="A11317" i="1"/>
  <c r="F11316" i="1"/>
  <c r="E11316" i="1"/>
  <c r="D11316" i="1"/>
  <c r="C11316" i="1"/>
  <c r="B11316" i="1"/>
  <c r="A11316" i="1"/>
  <c r="F11315" i="1"/>
  <c r="E11315" i="1"/>
  <c r="D11315" i="1"/>
  <c r="C11315" i="1"/>
  <c r="B11315" i="1"/>
  <c r="A11315" i="1"/>
  <c r="F11314" i="1"/>
  <c r="E11314" i="1"/>
  <c r="D11314" i="1"/>
  <c r="C11314" i="1"/>
  <c r="B11314" i="1"/>
  <c r="A11314" i="1"/>
  <c r="F11313" i="1"/>
  <c r="E11313" i="1"/>
  <c r="D11313" i="1"/>
  <c r="C11313" i="1"/>
  <c r="B11313" i="1"/>
  <c r="A11313" i="1"/>
  <c r="F11312" i="1"/>
  <c r="E11312" i="1"/>
  <c r="D11312" i="1"/>
  <c r="C11312" i="1"/>
  <c r="B11312" i="1"/>
  <c r="A11312" i="1"/>
  <c r="F11311" i="1"/>
  <c r="E11311" i="1"/>
  <c r="D11311" i="1"/>
  <c r="C11311" i="1"/>
  <c r="B11311" i="1"/>
  <c r="A11311" i="1"/>
  <c r="F11310" i="1"/>
  <c r="E11310" i="1"/>
  <c r="D11310" i="1"/>
  <c r="C11310" i="1"/>
  <c r="B11310" i="1"/>
  <c r="A11310" i="1"/>
  <c r="F11309" i="1"/>
  <c r="E11309" i="1"/>
  <c r="D11309" i="1"/>
  <c r="C11309" i="1"/>
  <c r="B11309" i="1"/>
  <c r="A11309" i="1"/>
  <c r="F11308" i="1"/>
  <c r="E11308" i="1"/>
  <c r="D11308" i="1"/>
  <c r="C11308" i="1"/>
  <c r="B11308" i="1"/>
  <c r="A11308" i="1"/>
  <c r="F11307" i="1"/>
  <c r="E11307" i="1"/>
  <c r="D11307" i="1"/>
  <c r="C11307" i="1"/>
  <c r="B11307" i="1"/>
  <c r="A11307" i="1"/>
  <c r="F11306" i="1"/>
  <c r="E11306" i="1"/>
  <c r="D11306" i="1"/>
  <c r="C11306" i="1"/>
  <c r="B11306" i="1"/>
  <c r="A11306" i="1"/>
  <c r="F11305" i="1"/>
  <c r="E11305" i="1"/>
  <c r="D11305" i="1"/>
  <c r="C11305" i="1"/>
  <c r="B11305" i="1"/>
  <c r="A11305" i="1"/>
  <c r="F11304" i="1"/>
  <c r="E11304" i="1"/>
  <c r="D11304" i="1"/>
  <c r="C11304" i="1"/>
  <c r="B11304" i="1"/>
  <c r="A11304" i="1"/>
  <c r="F11303" i="1"/>
  <c r="E11303" i="1"/>
  <c r="D11303" i="1"/>
  <c r="C11303" i="1"/>
  <c r="B11303" i="1"/>
  <c r="A11303" i="1"/>
  <c r="F11302" i="1"/>
  <c r="E11302" i="1"/>
  <c r="D11302" i="1"/>
  <c r="C11302" i="1"/>
  <c r="B11302" i="1"/>
  <c r="A11302" i="1"/>
  <c r="F11301" i="1"/>
  <c r="E11301" i="1"/>
  <c r="D11301" i="1"/>
  <c r="C11301" i="1"/>
  <c r="B11301" i="1"/>
  <c r="A11301" i="1"/>
  <c r="F11300" i="1"/>
  <c r="E11300" i="1"/>
  <c r="D11300" i="1"/>
  <c r="C11300" i="1"/>
  <c r="B11300" i="1"/>
  <c r="A11300" i="1"/>
  <c r="F11299" i="1"/>
  <c r="E11299" i="1"/>
  <c r="D11299" i="1"/>
  <c r="C11299" i="1"/>
  <c r="B11299" i="1"/>
  <c r="A11299" i="1"/>
  <c r="F11298" i="1"/>
  <c r="E11298" i="1"/>
  <c r="D11298" i="1"/>
  <c r="C11298" i="1"/>
  <c r="B11298" i="1"/>
  <c r="A11298" i="1"/>
  <c r="F11297" i="1"/>
  <c r="E11297" i="1"/>
  <c r="D11297" i="1"/>
  <c r="C11297" i="1"/>
  <c r="B11297" i="1"/>
  <c r="A11297" i="1"/>
  <c r="F11296" i="1"/>
  <c r="E11296" i="1"/>
  <c r="D11296" i="1"/>
  <c r="C11296" i="1"/>
  <c r="B11296" i="1"/>
  <c r="A11296" i="1"/>
  <c r="F11295" i="1"/>
  <c r="E11295" i="1"/>
  <c r="D11295" i="1"/>
  <c r="C11295" i="1"/>
  <c r="B11295" i="1"/>
  <c r="A11295" i="1"/>
  <c r="F11294" i="1"/>
  <c r="E11294" i="1"/>
  <c r="D11294" i="1"/>
  <c r="C11294" i="1"/>
  <c r="B11294" i="1"/>
  <c r="A11294" i="1"/>
  <c r="F11293" i="1"/>
  <c r="E11293" i="1"/>
  <c r="D11293" i="1"/>
  <c r="C11293" i="1"/>
  <c r="B11293" i="1"/>
  <c r="A11293" i="1"/>
  <c r="F11292" i="1"/>
  <c r="E11292" i="1"/>
  <c r="D11292" i="1"/>
  <c r="C11292" i="1"/>
  <c r="B11292" i="1"/>
  <c r="A11292" i="1"/>
  <c r="F11291" i="1"/>
  <c r="E11291" i="1"/>
  <c r="D11291" i="1"/>
  <c r="C11291" i="1"/>
  <c r="B11291" i="1"/>
  <c r="A11291" i="1"/>
  <c r="F11290" i="1"/>
  <c r="E11290" i="1"/>
  <c r="D11290" i="1"/>
  <c r="C11290" i="1"/>
  <c r="B11290" i="1"/>
  <c r="A11290" i="1"/>
  <c r="F11289" i="1"/>
  <c r="E11289" i="1"/>
  <c r="D11289" i="1"/>
  <c r="C11289" i="1"/>
  <c r="B11289" i="1"/>
  <c r="A11289" i="1"/>
  <c r="F11288" i="1"/>
  <c r="E11288" i="1"/>
  <c r="D11288" i="1"/>
  <c r="C11288" i="1"/>
  <c r="B11288" i="1"/>
  <c r="A11288" i="1"/>
  <c r="F11287" i="1"/>
  <c r="E11287" i="1"/>
  <c r="D11287" i="1"/>
  <c r="C11287" i="1"/>
  <c r="B11287" i="1"/>
  <c r="A11287" i="1"/>
  <c r="F11286" i="1"/>
  <c r="E11286" i="1"/>
  <c r="D11286" i="1"/>
  <c r="C11286" i="1"/>
  <c r="B11286" i="1"/>
  <c r="A11286" i="1"/>
  <c r="F11285" i="1"/>
  <c r="E11285" i="1"/>
  <c r="D11285" i="1"/>
  <c r="C11285" i="1"/>
  <c r="B11285" i="1"/>
  <c r="A11285" i="1"/>
  <c r="F11284" i="1"/>
  <c r="E11284" i="1"/>
  <c r="D11284" i="1"/>
  <c r="C11284" i="1"/>
  <c r="B11284" i="1"/>
  <c r="A11284" i="1"/>
  <c r="F11283" i="1"/>
  <c r="E11283" i="1"/>
  <c r="D11283" i="1"/>
  <c r="C11283" i="1"/>
  <c r="B11283" i="1"/>
  <c r="A11283" i="1"/>
  <c r="F11282" i="1"/>
  <c r="E11282" i="1"/>
  <c r="D11282" i="1"/>
  <c r="C11282" i="1"/>
  <c r="B11282" i="1"/>
  <c r="A11282" i="1"/>
  <c r="F11281" i="1"/>
  <c r="E11281" i="1"/>
  <c r="D11281" i="1"/>
  <c r="C11281" i="1"/>
  <c r="B11281" i="1"/>
  <c r="A11281" i="1"/>
  <c r="F11280" i="1"/>
  <c r="E11280" i="1"/>
  <c r="D11280" i="1"/>
  <c r="C11280" i="1"/>
  <c r="B11280" i="1"/>
  <c r="A11280" i="1"/>
  <c r="F11279" i="1"/>
  <c r="E11279" i="1"/>
  <c r="D11279" i="1"/>
  <c r="C11279" i="1"/>
  <c r="B11279" i="1"/>
  <c r="A11279" i="1"/>
  <c r="F11278" i="1"/>
  <c r="E11278" i="1"/>
  <c r="D11278" i="1"/>
  <c r="C11278" i="1"/>
  <c r="B11278" i="1"/>
  <c r="A11278" i="1"/>
  <c r="F11277" i="1"/>
  <c r="E11277" i="1"/>
  <c r="D11277" i="1"/>
  <c r="C11277" i="1"/>
  <c r="B11277" i="1"/>
  <c r="A11277" i="1"/>
  <c r="F11276" i="1"/>
  <c r="E11276" i="1"/>
  <c r="D11276" i="1"/>
  <c r="C11276" i="1"/>
  <c r="B11276" i="1"/>
  <c r="A11276" i="1"/>
  <c r="F11275" i="1"/>
  <c r="E11275" i="1"/>
  <c r="D11275" i="1"/>
  <c r="C11275" i="1"/>
  <c r="B11275" i="1"/>
  <c r="A11275" i="1"/>
  <c r="F11274" i="1"/>
  <c r="E11274" i="1"/>
  <c r="D11274" i="1"/>
  <c r="C11274" i="1"/>
  <c r="B11274" i="1"/>
  <c r="A11274" i="1"/>
  <c r="F11273" i="1"/>
  <c r="E11273" i="1"/>
  <c r="D11273" i="1"/>
  <c r="C11273" i="1"/>
  <c r="B11273" i="1"/>
  <c r="A11273" i="1"/>
  <c r="F11272" i="1"/>
  <c r="E11272" i="1"/>
  <c r="D11272" i="1"/>
  <c r="C11272" i="1"/>
  <c r="B11272" i="1"/>
  <c r="A11272" i="1"/>
  <c r="F11271" i="1"/>
  <c r="E11271" i="1"/>
  <c r="D11271" i="1"/>
  <c r="C11271" i="1"/>
  <c r="B11271" i="1"/>
  <c r="A11271" i="1"/>
  <c r="F11270" i="1"/>
  <c r="E11270" i="1"/>
  <c r="D11270" i="1"/>
  <c r="C11270" i="1"/>
  <c r="B11270" i="1"/>
  <c r="A11270" i="1"/>
  <c r="F11269" i="1"/>
  <c r="E11269" i="1"/>
  <c r="D11269" i="1"/>
  <c r="C11269" i="1"/>
  <c r="B11269" i="1"/>
  <c r="A11269" i="1"/>
  <c r="F11268" i="1"/>
  <c r="E11268" i="1"/>
  <c r="D11268" i="1"/>
  <c r="C11268" i="1"/>
  <c r="B11268" i="1"/>
  <c r="A11268" i="1"/>
  <c r="F11267" i="1"/>
  <c r="E11267" i="1"/>
  <c r="D11267" i="1"/>
  <c r="C11267" i="1"/>
  <c r="B11267" i="1"/>
  <c r="A11267" i="1"/>
  <c r="F11266" i="1"/>
  <c r="E11266" i="1"/>
  <c r="D11266" i="1"/>
  <c r="C11266" i="1"/>
  <c r="B11266" i="1"/>
  <c r="A11266" i="1"/>
  <c r="F11265" i="1"/>
  <c r="E11265" i="1"/>
  <c r="D11265" i="1"/>
  <c r="C11265" i="1"/>
  <c r="B11265" i="1"/>
  <c r="A11265" i="1"/>
  <c r="F11264" i="1"/>
  <c r="E11264" i="1"/>
  <c r="D11264" i="1"/>
  <c r="C11264" i="1"/>
  <c r="B11264" i="1"/>
  <c r="A11264" i="1"/>
  <c r="F11263" i="1"/>
  <c r="E11263" i="1"/>
  <c r="D11263" i="1"/>
  <c r="C11263" i="1"/>
  <c r="B11263" i="1"/>
  <c r="A11263" i="1"/>
  <c r="F11262" i="1"/>
  <c r="E11262" i="1"/>
  <c r="D11262" i="1"/>
  <c r="C11262" i="1"/>
  <c r="B11262" i="1"/>
  <c r="A11262" i="1"/>
  <c r="F11261" i="1"/>
  <c r="E11261" i="1"/>
  <c r="D11261" i="1"/>
  <c r="C11261" i="1"/>
  <c r="B11261" i="1"/>
  <c r="A11261" i="1"/>
  <c r="F11260" i="1"/>
  <c r="E11260" i="1"/>
  <c r="D11260" i="1"/>
  <c r="C11260" i="1"/>
  <c r="B11260" i="1"/>
  <c r="A11260" i="1"/>
  <c r="F11259" i="1"/>
  <c r="E11259" i="1"/>
  <c r="D11259" i="1"/>
  <c r="C11259" i="1"/>
  <c r="B11259" i="1"/>
  <c r="A11259" i="1"/>
  <c r="F11258" i="1"/>
  <c r="E11258" i="1"/>
  <c r="D11258" i="1"/>
  <c r="C11258" i="1"/>
  <c r="B11258" i="1"/>
  <c r="A11258" i="1"/>
  <c r="F11257" i="1"/>
  <c r="E11257" i="1"/>
  <c r="D11257" i="1"/>
  <c r="C11257" i="1"/>
  <c r="B11257" i="1"/>
  <c r="A11257" i="1"/>
  <c r="F11256" i="1"/>
  <c r="E11256" i="1"/>
  <c r="D11256" i="1"/>
  <c r="C11256" i="1"/>
  <c r="B11256" i="1"/>
  <c r="A11256" i="1"/>
  <c r="F11255" i="1"/>
  <c r="E11255" i="1"/>
  <c r="D11255" i="1"/>
  <c r="C11255" i="1"/>
  <c r="B11255" i="1"/>
  <c r="A11255" i="1"/>
  <c r="F11254" i="1"/>
  <c r="E11254" i="1"/>
  <c r="D11254" i="1"/>
  <c r="C11254" i="1"/>
  <c r="B11254" i="1"/>
  <c r="A11254" i="1"/>
  <c r="F11253" i="1"/>
  <c r="E11253" i="1"/>
  <c r="D11253" i="1"/>
  <c r="C11253" i="1"/>
  <c r="B11253" i="1"/>
  <c r="A11253" i="1"/>
  <c r="F11252" i="1"/>
  <c r="E11252" i="1"/>
  <c r="D11252" i="1"/>
  <c r="C11252" i="1"/>
  <c r="B11252" i="1"/>
  <c r="A11252" i="1"/>
  <c r="F11251" i="1"/>
  <c r="E11251" i="1"/>
  <c r="D11251" i="1"/>
  <c r="C11251" i="1"/>
  <c r="B11251" i="1"/>
  <c r="A11251" i="1"/>
  <c r="F11250" i="1"/>
  <c r="E11250" i="1"/>
  <c r="D11250" i="1"/>
  <c r="C11250" i="1"/>
  <c r="B11250" i="1"/>
  <c r="A11250" i="1"/>
  <c r="F11249" i="1"/>
  <c r="E11249" i="1"/>
  <c r="D11249" i="1"/>
  <c r="C11249" i="1"/>
  <c r="B11249" i="1"/>
  <c r="A11249" i="1"/>
  <c r="F11248" i="1"/>
  <c r="E11248" i="1"/>
  <c r="D11248" i="1"/>
  <c r="C11248" i="1"/>
  <c r="B11248" i="1"/>
  <c r="A11248" i="1"/>
  <c r="F11247" i="1"/>
  <c r="E11247" i="1"/>
  <c r="D11247" i="1"/>
  <c r="C11247" i="1"/>
  <c r="B11247" i="1"/>
  <c r="A11247" i="1"/>
  <c r="F11246" i="1"/>
  <c r="E11246" i="1"/>
  <c r="D11246" i="1"/>
  <c r="C11246" i="1"/>
  <c r="B11246" i="1"/>
  <c r="A11246" i="1"/>
  <c r="F11245" i="1"/>
  <c r="E11245" i="1"/>
  <c r="D11245" i="1"/>
  <c r="C11245" i="1"/>
  <c r="B11245" i="1"/>
  <c r="A11245" i="1"/>
  <c r="F11244" i="1"/>
  <c r="E11244" i="1"/>
  <c r="D11244" i="1"/>
  <c r="C11244" i="1"/>
  <c r="B11244" i="1"/>
  <c r="A11244" i="1"/>
  <c r="F11243" i="1"/>
  <c r="E11243" i="1"/>
  <c r="D11243" i="1"/>
  <c r="C11243" i="1"/>
  <c r="B11243" i="1"/>
  <c r="A11243" i="1"/>
  <c r="F11242" i="1"/>
  <c r="E11242" i="1"/>
  <c r="D11242" i="1"/>
  <c r="C11242" i="1"/>
  <c r="B11242" i="1"/>
  <c r="A11242" i="1"/>
  <c r="F11241" i="1"/>
  <c r="E11241" i="1"/>
  <c r="D11241" i="1"/>
  <c r="C11241" i="1"/>
  <c r="B11241" i="1"/>
  <c r="A11241" i="1"/>
  <c r="F11240" i="1"/>
  <c r="E11240" i="1"/>
  <c r="D11240" i="1"/>
  <c r="C11240" i="1"/>
  <c r="B11240" i="1"/>
  <c r="A11240" i="1"/>
  <c r="F11239" i="1"/>
  <c r="E11239" i="1"/>
  <c r="D11239" i="1"/>
  <c r="C11239" i="1"/>
  <c r="B11239" i="1"/>
  <c r="A11239" i="1"/>
  <c r="F11238" i="1"/>
  <c r="E11238" i="1"/>
  <c r="D11238" i="1"/>
  <c r="C11238" i="1"/>
  <c r="B11238" i="1"/>
  <c r="A11238" i="1"/>
  <c r="F11237" i="1"/>
  <c r="E11237" i="1"/>
  <c r="D11237" i="1"/>
  <c r="C11237" i="1"/>
  <c r="B11237" i="1"/>
  <c r="A11237" i="1"/>
  <c r="F11236" i="1"/>
  <c r="E11236" i="1"/>
  <c r="D11236" i="1"/>
  <c r="C11236" i="1"/>
  <c r="B11236" i="1"/>
  <c r="A11236" i="1"/>
  <c r="F11235" i="1"/>
  <c r="E11235" i="1"/>
  <c r="D11235" i="1"/>
  <c r="C11235" i="1"/>
  <c r="B11235" i="1"/>
  <c r="A11235" i="1"/>
  <c r="F11234" i="1"/>
  <c r="E11234" i="1"/>
  <c r="D11234" i="1"/>
  <c r="C11234" i="1"/>
  <c r="B11234" i="1"/>
  <c r="A11234" i="1"/>
  <c r="F11233" i="1"/>
  <c r="E11233" i="1"/>
  <c r="D11233" i="1"/>
  <c r="C11233" i="1"/>
  <c r="B11233" i="1"/>
  <c r="A11233" i="1"/>
  <c r="F11232" i="1"/>
  <c r="E11232" i="1"/>
  <c r="D11232" i="1"/>
  <c r="C11232" i="1"/>
  <c r="B11232" i="1"/>
  <c r="A11232" i="1"/>
  <c r="F11231" i="1"/>
  <c r="E11231" i="1"/>
  <c r="D11231" i="1"/>
  <c r="C11231" i="1"/>
  <c r="B11231" i="1"/>
  <c r="A11231" i="1"/>
  <c r="F11230" i="1"/>
  <c r="E11230" i="1"/>
  <c r="D11230" i="1"/>
  <c r="C11230" i="1"/>
  <c r="B11230" i="1"/>
  <c r="A11230" i="1"/>
  <c r="F11229" i="1"/>
  <c r="E11229" i="1"/>
  <c r="D11229" i="1"/>
  <c r="C11229" i="1"/>
  <c r="B11229" i="1"/>
  <c r="A11229" i="1"/>
  <c r="F11228" i="1"/>
  <c r="E11228" i="1"/>
  <c r="D11228" i="1"/>
  <c r="C11228" i="1"/>
  <c r="B11228" i="1"/>
  <c r="A11228" i="1"/>
  <c r="F11227" i="1"/>
  <c r="E11227" i="1"/>
  <c r="D11227" i="1"/>
  <c r="C11227" i="1"/>
  <c r="B11227" i="1"/>
  <c r="A11227" i="1"/>
  <c r="F11226" i="1"/>
  <c r="E11226" i="1"/>
  <c r="D11226" i="1"/>
  <c r="C11226" i="1"/>
  <c r="B11226" i="1"/>
  <c r="A11226" i="1"/>
  <c r="F11225" i="1"/>
  <c r="E11225" i="1"/>
  <c r="D11225" i="1"/>
  <c r="C11225" i="1"/>
  <c r="B11225" i="1"/>
  <c r="A11225" i="1"/>
  <c r="F11224" i="1"/>
  <c r="E11224" i="1"/>
  <c r="D11224" i="1"/>
  <c r="C11224" i="1"/>
  <c r="B11224" i="1"/>
  <c r="A11224" i="1"/>
  <c r="F11223" i="1"/>
  <c r="E11223" i="1"/>
  <c r="D11223" i="1"/>
  <c r="C11223" i="1"/>
  <c r="B11223" i="1"/>
  <c r="A11223" i="1"/>
  <c r="F11222" i="1"/>
  <c r="E11222" i="1"/>
  <c r="D11222" i="1"/>
  <c r="C11222" i="1"/>
  <c r="B11222" i="1"/>
  <c r="A11222" i="1"/>
  <c r="F11221" i="1"/>
  <c r="E11221" i="1"/>
  <c r="D11221" i="1"/>
  <c r="C11221" i="1"/>
  <c r="B11221" i="1"/>
  <c r="A11221" i="1"/>
  <c r="F11220" i="1"/>
  <c r="E11220" i="1"/>
  <c r="D11220" i="1"/>
  <c r="C11220" i="1"/>
  <c r="B11220" i="1"/>
  <c r="A11220" i="1"/>
  <c r="F11219" i="1"/>
  <c r="E11219" i="1"/>
  <c r="D11219" i="1"/>
  <c r="C11219" i="1"/>
  <c r="B11219" i="1"/>
  <c r="A11219" i="1"/>
  <c r="F11218" i="1"/>
  <c r="E11218" i="1"/>
  <c r="D11218" i="1"/>
  <c r="C11218" i="1"/>
  <c r="B11218" i="1"/>
  <c r="A11218" i="1"/>
  <c r="F11217" i="1"/>
  <c r="E11217" i="1"/>
  <c r="D11217" i="1"/>
  <c r="C11217" i="1"/>
  <c r="B11217" i="1"/>
  <c r="A11217" i="1"/>
  <c r="F11216" i="1"/>
  <c r="E11216" i="1"/>
  <c r="D11216" i="1"/>
  <c r="C11216" i="1"/>
  <c r="B11216" i="1"/>
  <c r="A11216" i="1"/>
  <c r="F11215" i="1"/>
  <c r="E11215" i="1"/>
  <c r="D11215" i="1"/>
  <c r="C11215" i="1"/>
  <c r="B11215" i="1"/>
  <c r="A11215" i="1"/>
  <c r="F11214" i="1"/>
  <c r="E11214" i="1"/>
  <c r="D11214" i="1"/>
  <c r="C11214" i="1"/>
  <c r="B11214" i="1"/>
  <c r="A11214" i="1"/>
  <c r="F11213" i="1"/>
  <c r="E11213" i="1"/>
  <c r="D11213" i="1"/>
  <c r="C11213" i="1"/>
  <c r="B11213" i="1"/>
  <c r="A11213" i="1"/>
  <c r="F11212" i="1"/>
  <c r="E11212" i="1"/>
  <c r="D11212" i="1"/>
  <c r="C11212" i="1"/>
  <c r="B11212" i="1"/>
  <c r="A11212" i="1"/>
  <c r="F11211" i="1"/>
  <c r="E11211" i="1"/>
  <c r="D11211" i="1"/>
  <c r="C11211" i="1"/>
  <c r="B11211" i="1"/>
  <c r="A11211" i="1"/>
  <c r="F11210" i="1"/>
  <c r="E11210" i="1"/>
  <c r="D11210" i="1"/>
  <c r="C11210" i="1"/>
  <c r="B11210" i="1"/>
  <c r="A11210" i="1"/>
  <c r="F11209" i="1"/>
  <c r="E11209" i="1"/>
  <c r="D11209" i="1"/>
  <c r="C11209" i="1"/>
  <c r="B11209" i="1"/>
  <c r="A11209" i="1"/>
  <c r="F11208" i="1"/>
  <c r="E11208" i="1"/>
  <c r="D11208" i="1"/>
  <c r="C11208" i="1"/>
  <c r="B11208" i="1"/>
  <c r="A11208" i="1"/>
  <c r="F11207" i="1"/>
  <c r="E11207" i="1"/>
  <c r="D11207" i="1"/>
  <c r="C11207" i="1"/>
  <c r="B11207" i="1"/>
  <c r="A11207" i="1"/>
  <c r="F11206" i="1"/>
  <c r="E11206" i="1"/>
  <c r="D11206" i="1"/>
  <c r="C11206" i="1"/>
  <c r="B11206" i="1"/>
  <c r="A11206" i="1"/>
  <c r="F11205" i="1"/>
  <c r="E11205" i="1"/>
  <c r="D11205" i="1"/>
  <c r="C11205" i="1"/>
  <c r="B11205" i="1"/>
  <c r="A11205" i="1"/>
  <c r="F11204" i="1"/>
  <c r="E11204" i="1"/>
  <c r="D11204" i="1"/>
  <c r="C11204" i="1"/>
  <c r="B11204" i="1"/>
  <c r="A11204" i="1"/>
  <c r="F11203" i="1"/>
  <c r="E11203" i="1"/>
  <c r="D11203" i="1"/>
  <c r="C11203" i="1"/>
  <c r="B11203" i="1"/>
  <c r="A11203" i="1"/>
  <c r="F11202" i="1"/>
  <c r="E11202" i="1"/>
  <c r="D11202" i="1"/>
  <c r="C11202" i="1"/>
  <c r="B11202" i="1"/>
  <c r="A11202" i="1"/>
  <c r="F11201" i="1"/>
  <c r="E11201" i="1"/>
  <c r="D11201" i="1"/>
  <c r="C11201" i="1"/>
  <c r="B11201" i="1"/>
  <c r="A11201" i="1"/>
  <c r="F11200" i="1"/>
  <c r="E11200" i="1"/>
  <c r="D11200" i="1"/>
  <c r="C11200" i="1"/>
  <c r="B11200" i="1"/>
  <c r="A11200" i="1"/>
  <c r="F11199" i="1"/>
  <c r="E11199" i="1"/>
  <c r="D11199" i="1"/>
  <c r="C11199" i="1"/>
  <c r="B11199" i="1"/>
  <c r="A11199" i="1"/>
  <c r="F11198" i="1"/>
  <c r="E11198" i="1"/>
  <c r="D11198" i="1"/>
  <c r="C11198" i="1"/>
  <c r="B11198" i="1"/>
  <c r="A11198" i="1"/>
  <c r="F11197" i="1"/>
  <c r="E11197" i="1"/>
  <c r="D11197" i="1"/>
  <c r="C11197" i="1"/>
  <c r="B11197" i="1"/>
  <c r="A11197" i="1"/>
  <c r="F11196" i="1"/>
  <c r="E11196" i="1"/>
  <c r="D11196" i="1"/>
  <c r="C11196" i="1"/>
  <c r="B11196" i="1"/>
  <c r="A11196" i="1"/>
  <c r="F11195" i="1"/>
  <c r="E11195" i="1"/>
  <c r="D11195" i="1"/>
  <c r="C11195" i="1"/>
  <c r="B11195" i="1"/>
  <c r="A11195" i="1"/>
  <c r="F11194" i="1"/>
  <c r="E11194" i="1"/>
  <c r="D11194" i="1"/>
  <c r="C11194" i="1"/>
  <c r="B11194" i="1"/>
  <c r="A11194" i="1"/>
  <c r="F11193" i="1"/>
  <c r="E11193" i="1"/>
  <c r="D11193" i="1"/>
  <c r="C11193" i="1"/>
  <c r="B11193" i="1"/>
  <c r="A11193" i="1"/>
  <c r="F11192" i="1"/>
  <c r="E11192" i="1"/>
  <c r="D11192" i="1"/>
  <c r="C11192" i="1"/>
  <c r="B11192" i="1"/>
  <c r="A11192" i="1"/>
  <c r="F11191" i="1"/>
  <c r="E11191" i="1"/>
  <c r="D11191" i="1"/>
  <c r="C11191" i="1"/>
  <c r="B11191" i="1"/>
  <c r="A11191" i="1"/>
  <c r="F11190" i="1"/>
  <c r="E11190" i="1"/>
  <c r="D11190" i="1"/>
  <c r="C11190" i="1"/>
  <c r="B11190" i="1"/>
  <c r="A11190" i="1"/>
  <c r="F11189" i="1"/>
  <c r="E11189" i="1"/>
  <c r="D11189" i="1"/>
  <c r="C11189" i="1"/>
  <c r="B11189" i="1"/>
  <c r="A11189" i="1"/>
  <c r="F11188" i="1"/>
  <c r="E11188" i="1"/>
  <c r="D11188" i="1"/>
  <c r="C11188" i="1"/>
  <c r="B11188" i="1"/>
  <c r="A11188" i="1"/>
  <c r="F11187" i="1"/>
  <c r="E11187" i="1"/>
  <c r="D11187" i="1"/>
  <c r="C11187" i="1"/>
  <c r="B11187" i="1"/>
  <c r="A11187" i="1"/>
  <c r="F11186" i="1"/>
  <c r="E11186" i="1"/>
  <c r="D11186" i="1"/>
  <c r="C11186" i="1"/>
  <c r="B11186" i="1"/>
  <c r="A11186" i="1"/>
  <c r="F11185" i="1"/>
  <c r="E11185" i="1"/>
  <c r="D11185" i="1"/>
  <c r="C11185" i="1"/>
  <c r="B11185" i="1"/>
  <c r="A11185" i="1"/>
  <c r="F11184" i="1"/>
  <c r="E11184" i="1"/>
  <c r="D11184" i="1"/>
  <c r="C11184" i="1"/>
  <c r="B11184" i="1"/>
  <c r="A11184" i="1"/>
  <c r="F11183" i="1"/>
  <c r="E11183" i="1"/>
  <c r="D11183" i="1"/>
  <c r="C11183" i="1"/>
  <c r="B11183" i="1"/>
  <c r="A11183" i="1"/>
  <c r="F11182" i="1"/>
  <c r="E11182" i="1"/>
  <c r="D11182" i="1"/>
  <c r="C11182" i="1"/>
  <c r="B11182" i="1"/>
  <c r="A11182" i="1"/>
  <c r="F11181" i="1"/>
  <c r="E11181" i="1"/>
  <c r="D11181" i="1"/>
  <c r="C11181" i="1"/>
  <c r="B11181" i="1"/>
  <c r="A11181" i="1"/>
  <c r="F11180" i="1"/>
  <c r="E11180" i="1"/>
  <c r="D11180" i="1"/>
  <c r="C11180" i="1"/>
  <c r="B11180" i="1"/>
  <c r="A11180" i="1"/>
  <c r="F11179" i="1"/>
  <c r="E11179" i="1"/>
  <c r="D11179" i="1"/>
  <c r="C11179" i="1"/>
  <c r="B11179" i="1"/>
  <c r="A11179" i="1"/>
  <c r="F11178" i="1"/>
  <c r="E11178" i="1"/>
  <c r="D11178" i="1"/>
  <c r="C11178" i="1"/>
  <c r="B11178" i="1"/>
  <c r="A11178" i="1"/>
  <c r="F11177" i="1"/>
  <c r="E11177" i="1"/>
  <c r="D11177" i="1"/>
  <c r="C11177" i="1"/>
  <c r="B11177" i="1"/>
  <c r="A11177" i="1"/>
  <c r="F11176" i="1"/>
  <c r="E11176" i="1"/>
  <c r="D11176" i="1"/>
  <c r="C11176" i="1"/>
  <c r="B11176" i="1"/>
  <c r="A11176" i="1"/>
  <c r="F11175" i="1"/>
  <c r="E11175" i="1"/>
  <c r="D11175" i="1"/>
  <c r="C11175" i="1"/>
  <c r="B11175" i="1"/>
  <c r="A11175" i="1"/>
  <c r="F11174" i="1"/>
  <c r="E11174" i="1"/>
  <c r="D11174" i="1"/>
  <c r="C11174" i="1"/>
  <c r="B11174" i="1"/>
  <c r="A11174" i="1"/>
  <c r="F11173" i="1"/>
  <c r="E11173" i="1"/>
  <c r="D11173" i="1"/>
  <c r="C11173" i="1"/>
  <c r="B11173" i="1"/>
  <c r="A11173" i="1"/>
  <c r="F11172" i="1"/>
  <c r="E11172" i="1"/>
  <c r="D11172" i="1"/>
  <c r="C11172" i="1"/>
  <c r="B11172" i="1"/>
  <c r="A11172" i="1"/>
  <c r="F11171" i="1"/>
  <c r="E11171" i="1"/>
  <c r="D11171" i="1"/>
  <c r="C11171" i="1"/>
  <c r="B11171" i="1"/>
  <c r="A11171" i="1"/>
  <c r="F11170" i="1"/>
  <c r="E11170" i="1"/>
  <c r="D11170" i="1"/>
  <c r="C11170" i="1"/>
  <c r="B11170" i="1"/>
  <c r="A11170" i="1"/>
  <c r="F11169" i="1"/>
  <c r="E11169" i="1"/>
  <c r="D11169" i="1"/>
  <c r="C11169" i="1"/>
  <c r="B11169" i="1"/>
  <c r="A11169" i="1"/>
  <c r="F11168" i="1"/>
  <c r="E11168" i="1"/>
  <c r="D11168" i="1"/>
  <c r="C11168" i="1"/>
  <c r="B11168" i="1"/>
  <c r="A11168" i="1"/>
  <c r="F11167" i="1"/>
  <c r="E11167" i="1"/>
  <c r="D11167" i="1"/>
  <c r="C11167" i="1"/>
  <c r="B11167" i="1"/>
  <c r="A11167" i="1"/>
  <c r="F11166" i="1"/>
  <c r="E11166" i="1"/>
  <c r="D11166" i="1"/>
  <c r="C11166" i="1"/>
  <c r="B11166" i="1"/>
  <c r="A11166" i="1"/>
  <c r="F11165" i="1"/>
  <c r="E11165" i="1"/>
  <c r="D11165" i="1"/>
  <c r="C11165" i="1"/>
  <c r="B11165" i="1"/>
  <c r="A11165" i="1"/>
  <c r="F11164" i="1"/>
  <c r="E11164" i="1"/>
  <c r="D11164" i="1"/>
  <c r="C11164" i="1"/>
  <c r="B11164" i="1"/>
  <c r="A11164" i="1"/>
  <c r="F11163" i="1"/>
  <c r="E11163" i="1"/>
  <c r="D11163" i="1"/>
  <c r="C11163" i="1"/>
  <c r="B11163" i="1"/>
  <c r="A11163" i="1"/>
  <c r="F11162" i="1"/>
  <c r="E11162" i="1"/>
  <c r="D11162" i="1"/>
  <c r="C11162" i="1"/>
  <c r="B11162" i="1"/>
  <c r="A11162" i="1"/>
  <c r="F11161" i="1"/>
  <c r="E11161" i="1"/>
  <c r="D11161" i="1"/>
  <c r="C11161" i="1"/>
  <c r="B11161" i="1"/>
  <c r="A11161" i="1"/>
  <c r="F11160" i="1"/>
  <c r="E11160" i="1"/>
  <c r="D11160" i="1"/>
  <c r="C11160" i="1"/>
  <c r="B11160" i="1"/>
  <c r="A11160" i="1"/>
  <c r="F11159" i="1"/>
  <c r="E11159" i="1"/>
  <c r="D11159" i="1"/>
  <c r="C11159" i="1"/>
  <c r="B11159" i="1"/>
  <c r="A11159" i="1"/>
  <c r="F11158" i="1"/>
  <c r="E11158" i="1"/>
  <c r="D11158" i="1"/>
  <c r="C11158" i="1"/>
  <c r="B11158" i="1"/>
  <c r="A11158" i="1"/>
  <c r="F11157" i="1"/>
  <c r="E11157" i="1"/>
  <c r="D11157" i="1"/>
  <c r="C11157" i="1"/>
  <c r="B11157" i="1"/>
  <c r="A11157" i="1"/>
  <c r="F11156" i="1"/>
  <c r="E11156" i="1"/>
  <c r="D11156" i="1"/>
  <c r="C11156" i="1"/>
  <c r="B11156" i="1"/>
  <c r="A11156" i="1"/>
  <c r="F11155" i="1"/>
  <c r="E11155" i="1"/>
  <c r="D11155" i="1"/>
  <c r="C11155" i="1"/>
  <c r="B11155" i="1"/>
  <c r="A11155" i="1"/>
  <c r="F11154" i="1"/>
  <c r="E11154" i="1"/>
  <c r="D11154" i="1"/>
  <c r="C11154" i="1"/>
  <c r="B11154" i="1"/>
  <c r="A11154" i="1"/>
  <c r="F11153" i="1"/>
  <c r="E11153" i="1"/>
  <c r="D11153" i="1"/>
  <c r="C11153" i="1"/>
  <c r="B11153" i="1"/>
  <c r="A11153" i="1"/>
  <c r="F11152" i="1"/>
  <c r="E11152" i="1"/>
  <c r="D11152" i="1"/>
  <c r="C11152" i="1"/>
  <c r="B11152" i="1"/>
  <c r="A11152" i="1"/>
  <c r="F11151" i="1"/>
  <c r="E11151" i="1"/>
  <c r="D11151" i="1"/>
  <c r="C11151" i="1"/>
  <c r="B11151" i="1"/>
  <c r="A11151" i="1"/>
  <c r="F11150" i="1"/>
  <c r="E11150" i="1"/>
  <c r="D11150" i="1"/>
  <c r="C11150" i="1"/>
  <c r="B11150" i="1"/>
  <c r="A11150" i="1"/>
  <c r="F11149" i="1"/>
  <c r="E11149" i="1"/>
  <c r="D11149" i="1"/>
  <c r="C11149" i="1"/>
  <c r="B11149" i="1"/>
  <c r="A11149" i="1"/>
  <c r="F11148" i="1"/>
  <c r="E11148" i="1"/>
  <c r="D11148" i="1"/>
  <c r="C11148" i="1"/>
  <c r="B11148" i="1"/>
  <c r="A11148" i="1"/>
  <c r="F11147" i="1"/>
  <c r="E11147" i="1"/>
  <c r="D11147" i="1"/>
  <c r="C11147" i="1"/>
  <c r="B11147" i="1"/>
  <c r="A11147" i="1"/>
  <c r="F11146" i="1"/>
  <c r="E11146" i="1"/>
  <c r="D11146" i="1"/>
  <c r="C11146" i="1"/>
  <c r="B11146" i="1"/>
  <c r="A11146" i="1"/>
  <c r="F11145" i="1"/>
  <c r="E11145" i="1"/>
  <c r="D11145" i="1"/>
  <c r="C11145" i="1"/>
  <c r="B11145" i="1"/>
  <c r="A11145" i="1"/>
  <c r="F11144" i="1"/>
  <c r="E11144" i="1"/>
  <c r="D11144" i="1"/>
  <c r="C11144" i="1"/>
  <c r="B11144" i="1"/>
  <c r="A11144" i="1"/>
  <c r="F11143" i="1"/>
  <c r="E11143" i="1"/>
  <c r="D11143" i="1"/>
  <c r="C11143" i="1"/>
  <c r="B11143" i="1"/>
  <c r="A11143" i="1"/>
  <c r="F11142" i="1"/>
  <c r="E11142" i="1"/>
  <c r="D11142" i="1"/>
  <c r="C11142" i="1"/>
  <c r="B11142" i="1"/>
  <c r="A11142" i="1"/>
  <c r="F11141" i="1"/>
  <c r="E11141" i="1"/>
  <c r="D11141" i="1"/>
  <c r="C11141" i="1"/>
  <c r="B11141" i="1"/>
  <c r="A11141" i="1"/>
  <c r="F11140" i="1"/>
  <c r="E11140" i="1"/>
  <c r="D11140" i="1"/>
  <c r="C11140" i="1"/>
  <c r="B11140" i="1"/>
  <c r="A11140" i="1"/>
  <c r="F11139" i="1"/>
  <c r="E11139" i="1"/>
  <c r="D11139" i="1"/>
  <c r="C11139" i="1"/>
  <c r="B11139" i="1"/>
  <c r="A11139" i="1"/>
  <c r="F11138" i="1"/>
  <c r="E11138" i="1"/>
  <c r="D11138" i="1"/>
  <c r="C11138" i="1"/>
  <c r="B11138" i="1"/>
  <c r="A11138" i="1"/>
  <c r="F11137" i="1"/>
  <c r="E11137" i="1"/>
  <c r="D11137" i="1"/>
  <c r="C11137" i="1"/>
  <c r="B11137" i="1"/>
  <c r="A11137" i="1"/>
  <c r="F11136" i="1"/>
  <c r="E11136" i="1"/>
  <c r="D11136" i="1"/>
  <c r="C11136" i="1"/>
  <c r="B11136" i="1"/>
  <c r="A11136" i="1"/>
  <c r="F11135" i="1"/>
  <c r="E11135" i="1"/>
  <c r="D11135" i="1"/>
  <c r="C11135" i="1"/>
  <c r="B11135" i="1"/>
  <c r="A11135" i="1"/>
  <c r="F11134" i="1"/>
  <c r="E11134" i="1"/>
  <c r="D11134" i="1"/>
  <c r="C11134" i="1"/>
  <c r="B11134" i="1"/>
  <c r="A11134" i="1"/>
  <c r="F11133" i="1"/>
  <c r="E11133" i="1"/>
  <c r="D11133" i="1"/>
  <c r="C11133" i="1"/>
  <c r="B11133" i="1"/>
  <c r="A11133" i="1"/>
  <c r="F11132" i="1"/>
  <c r="E11132" i="1"/>
  <c r="D11132" i="1"/>
  <c r="C11132" i="1"/>
  <c r="B11132" i="1"/>
  <c r="A11132" i="1"/>
  <c r="F11131" i="1"/>
  <c r="E11131" i="1"/>
  <c r="D11131" i="1"/>
  <c r="C11131" i="1"/>
  <c r="B11131" i="1"/>
  <c r="A11131" i="1"/>
  <c r="F11130" i="1"/>
  <c r="E11130" i="1"/>
  <c r="D11130" i="1"/>
  <c r="C11130" i="1"/>
  <c r="B11130" i="1"/>
  <c r="A11130" i="1"/>
  <c r="F11129" i="1"/>
  <c r="E11129" i="1"/>
  <c r="D11129" i="1"/>
  <c r="C11129" i="1"/>
  <c r="B11129" i="1"/>
  <c r="A11129" i="1"/>
  <c r="F11128" i="1"/>
  <c r="E11128" i="1"/>
  <c r="D11128" i="1"/>
  <c r="C11128" i="1"/>
  <c r="B11128" i="1"/>
  <c r="A11128" i="1"/>
  <c r="F11127" i="1"/>
  <c r="E11127" i="1"/>
  <c r="D11127" i="1"/>
  <c r="C11127" i="1"/>
  <c r="B11127" i="1"/>
  <c r="A11127" i="1"/>
  <c r="F11126" i="1"/>
  <c r="E11126" i="1"/>
  <c r="D11126" i="1"/>
  <c r="C11126" i="1"/>
  <c r="B11126" i="1"/>
  <c r="A11126" i="1"/>
  <c r="F11125" i="1"/>
  <c r="E11125" i="1"/>
  <c r="D11125" i="1"/>
  <c r="C11125" i="1"/>
  <c r="B11125" i="1"/>
  <c r="A11125" i="1"/>
  <c r="F11124" i="1"/>
  <c r="E11124" i="1"/>
  <c r="D11124" i="1"/>
  <c r="C11124" i="1"/>
  <c r="B11124" i="1"/>
  <c r="A11124" i="1"/>
  <c r="F11123" i="1"/>
  <c r="E11123" i="1"/>
  <c r="D11123" i="1"/>
  <c r="C11123" i="1"/>
  <c r="B11123" i="1"/>
  <c r="A11123" i="1"/>
  <c r="F11122" i="1"/>
  <c r="E11122" i="1"/>
  <c r="D11122" i="1"/>
  <c r="C11122" i="1"/>
  <c r="B11122" i="1"/>
  <c r="A11122" i="1"/>
  <c r="F11121" i="1"/>
  <c r="E11121" i="1"/>
  <c r="D11121" i="1"/>
  <c r="C11121" i="1"/>
  <c r="B11121" i="1"/>
  <c r="A11121" i="1"/>
  <c r="F11120" i="1"/>
  <c r="E11120" i="1"/>
  <c r="D11120" i="1"/>
  <c r="C11120" i="1"/>
  <c r="B11120" i="1"/>
  <c r="A11120" i="1"/>
  <c r="F11119" i="1"/>
  <c r="E11119" i="1"/>
  <c r="D11119" i="1"/>
  <c r="C11119" i="1"/>
  <c r="B11119" i="1"/>
  <c r="A11119" i="1"/>
  <c r="F11118" i="1"/>
  <c r="E11118" i="1"/>
  <c r="D11118" i="1"/>
  <c r="C11118" i="1"/>
  <c r="B11118" i="1"/>
  <c r="A11118" i="1"/>
  <c r="F11117" i="1"/>
  <c r="E11117" i="1"/>
  <c r="D11117" i="1"/>
  <c r="C11117" i="1"/>
  <c r="B11117" i="1"/>
  <c r="A11117" i="1"/>
  <c r="F11116" i="1"/>
  <c r="E11116" i="1"/>
  <c r="D11116" i="1"/>
  <c r="C11116" i="1"/>
  <c r="B11116" i="1"/>
  <c r="A11116" i="1"/>
  <c r="F11115" i="1"/>
  <c r="E11115" i="1"/>
  <c r="D11115" i="1"/>
  <c r="C11115" i="1"/>
  <c r="B11115" i="1"/>
  <c r="A11115" i="1"/>
  <c r="F11114" i="1"/>
  <c r="E11114" i="1"/>
  <c r="D11114" i="1"/>
  <c r="C11114" i="1"/>
  <c r="B11114" i="1"/>
  <c r="A11114" i="1"/>
  <c r="F11113" i="1"/>
  <c r="E11113" i="1"/>
  <c r="D11113" i="1"/>
  <c r="C11113" i="1"/>
  <c r="B11113" i="1"/>
  <c r="A11113" i="1"/>
  <c r="F11112" i="1"/>
  <c r="E11112" i="1"/>
  <c r="D11112" i="1"/>
  <c r="C11112" i="1"/>
  <c r="B11112" i="1"/>
  <c r="A11112" i="1"/>
  <c r="F11111" i="1"/>
  <c r="E11111" i="1"/>
  <c r="D11111" i="1"/>
  <c r="C11111" i="1"/>
  <c r="B11111" i="1"/>
  <c r="A11111" i="1"/>
  <c r="F11110" i="1"/>
  <c r="E11110" i="1"/>
  <c r="D11110" i="1"/>
  <c r="C11110" i="1"/>
  <c r="B11110" i="1"/>
  <c r="A11110" i="1"/>
  <c r="F11109" i="1"/>
  <c r="E11109" i="1"/>
  <c r="D11109" i="1"/>
  <c r="C11109" i="1"/>
  <c r="B11109" i="1"/>
  <c r="A11109" i="1"/>
  <c r="F11108" i="1"/>
  <c r="E11108" i="1"/>
  <c r="D11108" i="1"/>
  <c r="C11108" i="1"/>
  <c r="B11108" i="1"/>
  <c r="A11108" i="1"/>
  <c r="F11107" i="1"/>
  <c r="E11107" i="1"/>
  <c r="D11107" i="1"/>
  <c r="C11107" i="1"/>
  <c r="B11107" i="1"/>
  <c r="A11107" i="1"/>
  <c r="F11106" i="1"/>
  <c r="E11106" i="1"/>
  <c r="D11106" i="1"/>
  <c r="C11106" i="1"/>
  <c r="B11106" i="1"/>
  <c r="A11106" i="1"/>
  <c r="F11105" i="1"/>
  <c r="E11105" i="1"/>
  <c r="D11105" i="1"/>
  <c r="C11105" i="1"/>
  <c r="B11105" i="1"/>
  <c r="A11105" i="1"/>
  <c r="F11104" i="1"/>
  <c r="E11104" i="1"/>
  <c r="D11104" i="1"/>
  <c r="C11104" i="1"/>
  <c r="B11104" i="1"/>
  <c r="A11104" i="1"/>
  <c r="F11103" i="1"/>
  <c r="E11103" i="1"/>
  <c r="D11103" i="1"/>
  <c r="C11103" i="1"/>
  <c r="B11103" i="1"/>
  <c r="A11103" i="1"/>
  <c r="F11102" i="1"/>
  <c r="E11102" i="1"/>
  <c r="D11102" i="1"/>
  <c r="C11102" i="1"/>
  <c r="B11102" i="1"/>
  <c r="A11102" i="1"/>
  <c r="F11101" i="1"/>
  <c r="E11101" i="1"/>
  <c r="D11101" i="1"/>
  <c r="C11101" i="1"/>
  <c r="B11101" i="1"/>
  <c r="A11101" i="1"/>
  <c r="F11100" i="1"/>
  <c r="E11100" i="1"/>
  <c r="D11100" i="1"/>
  <c r="C11100" i="1"/>
  <c r="B11100" i="1"/>
  <c r="A11100" i="1"/>
  <c r="F11099" i="1"/>
  <c r="E11099" i="1"/>
  <c r="D11099" i="1"/>
  <c r="C11099" i="1"/>
  <c r="B11099" i="1"/>
  <c r="A11099" i="1"/>
  <c r="F11098" i="1"/>
  <c r="E11098" i="1"/>
  <c r="D11098" i="1"/>
  <c r="C11098" i="1"/>
  <c r="B11098" i="1"/>
  <c r="A11098" i="1"/>
  <c r="F11097" i="1"/>
  <c r="E11097" i="1"/>
  <c r="D11097" i="1"/>
  <c r="C11097" i="1"/>
  <c r="B11097" i="1"/>
  <c r="A11097" i="1"/>
  <c r="F11096" i="1"/>
  <c r="E11096" i="1"/>
  <c r="D11096" i="1"/>
  <c r="C11096" i="1"/>
  <c r="B11096" i="1"/>
  <c r="A11096" i="1"/>
  <c r="F11095" i="1"/>
  <c r="E11095" i="1"/>
  <c r="D11095" i="1"/>
  <c r="C11095" i="1"/>
  <c r="B11095" i="1"/>
  <c r="A11095" i="1"/>
  <c r="F11094" i="1"/>
  <c r="E11094" i="1"/>
  <c r="D11094" i="1"/>
  <c r="C11094" i="1"/>
  <c r="B11094" i="1"/>
  <c r="A11094" i="1"/>
  <c r="F11093" i="1"/>
  <c r="E11093" i="1"/>
  <c r="D11093" i="1"/>
  <c r="C11093" i="1"/>
  <c r="B11093" i="1"/>
  <c r="A11093" i="1"/>
  <c r="F11092" i="1"/>
  <c r="E11092" i="1"/>
  <c r="D11092" i="1"/>
  <c r="C11092" i="1"/>
  <c r="B11092" i="1"/>
  <c r="A11092" i="1"/>
  <c r="F11091" i="1"/>
  <c r="E11091" i="1"/>
  <c r="D11091" i="1"/>
  <c r="C11091" i="1"/>
  <c r="B11091" i="1"/>
  <c r="A11091" i="1"/>
  <c r="F11090" i="1"/>
  <c r="E11090" i="1"/>
  <c r="D11090" i="1"/>
  <c r="C11090" i="1"/>
  <c r="B11090" i="1"/>
  <c r="A11090" i="1"/>
  <c r="F11089" i="1"/>
  <c r="E11089" i="1"/>
  <c r="D11089" i="1"/>
  <c r="C11089" i="1"/>
  <c r="B11089" i="1"/>
  <c r="A11089" i="1"/>
  <c r="F11088" i="1"/>
  <c r="E11088" i="1"/>
  <c r="D11088" i="1"/>
  <c r="C11088" i="1"/>
  <c r="B11088" i="1"/>
  <c r="A11088" i="1"/>
  <c r="F11087" i="1"/>
  <c r="E11087" i="1"/>
  <c r="D11087" i="1"/>
  <c r="C11087" i="1"/>
  <c r="B11087" i="1"/>
  <c r="A11087" i="1"/>
  <c r="F11086" i="1"/>
  <c r="E11086" i="1"/>
  <c r="D11086" i="1"/>
  <c r="C11086" i="1"/>
  <c r="B11086" i="1"/>
  <c r="A11086" i="1"/>
  <c r="F11085" i="1"/>
  <c r="E11085" i="1"/>
  <c r="D11085" i="1"/>
  <c r="C11085" i="1"/>
  <c r="B11085" i="1"/>
  <c r="A11085" i="1"/>
  <c r="F11084" i="1"/>
  <c r="E11084" i="1"/>
  <c r="D11084" i="1"/>
  <c r="C11084" i="1"/>
  <c r="B11084" i="1"/>
  <c r="A11084" i="1"/>
  <c r="F11083" i="1"/>
  <c r="E11083" i="1"/>
  <c r="D11083" i="1"/>
  <c r="C11083" i="1"/>
  <c r="B11083" i="1"/>
  <c r="A11083" i="1"/>
  <c r="F11082" i="1"/>
  <c r="E11082" i="1"/>
  <c r="D11082" i="1"/>
  <c r="C11082" i="1"/>
  <c r="B11082" i="1"/>
  <c r="A11082" i="1"/>
  <c r="F11081" i="1"/>
  <c r="E11081" i="1"/>
  <c r="D11081" i="1"/>
  <c r="C11081" i="1"/>
  <c r="B11081" i="1"/>
  <c r="A11081" i="1"/>
  <c r="F11080" i="1"/>
  <c r="E11080" i="1"/>
  <c r="D11080" i="1"/>
  <c r="C11080" i="1"/>
  <c r="B11080" i="1"/>
  <c r="A11080" i="1"/>
  <c r="F11079" i="1"/>
  <c r="E11079" i="1"/>
  <c r="D11079" i="1"/>
  <c r="C11079" i="1"/>
  <c r="B11079" i="1"/>
  <c r="A11079" i="1"/>
  <c r="F11078" i="1"/>
  <c r="E11078" i="1"/>
  <c r="D11078" i="1"/>
  <c r="C11078" i="1"/>
  <c r="B11078" i="1"/>
  <c r="A11078" i="1"/>
  <c r="F11077" i="1"/>
  <c r="E11077" i="1"/>
  <c r="D11077" i="1"/>
  <c r="C11077" i="1"/>
  <c r="B11077" i="1"/>
  <c r="A11077" i="1"/>
  <c r="F11076" i="1"/>
  <c r="E11076" i="1"/>
  <c r="D11076" i="1"/>
  <c r="C11076" i="1"/>
  <c r="B11076" i="1"/>
  <c r="A11076" i="1"/>
  <c r="F11075" i="1"/>
  <c r="E11075" i="1"/>
  <c r="D11075" i="1"/>
  <c r="C11075" i="1"/>
  <c r="B11075" i="1"/>
  <c r="A11075" i="1"/>
  <c r="F11074" i="1"/>
  <c r="E11074" i="1"/>
  <c r="D11074" i="1"/>
  <c r="C11074" i="1"/>
  <c r="B11074" i="1"/>
  <c r="A11074" i="1"/>
  <c r="F11073" i="1"/>
  <c r="E11073" i="1"/>
  <c r="D11073" i="1"/>
  <c r="C11073" i="1"/>
  <c r="B11073" i="1"/>
  <c r="A11073" i="1"/>
  <c r="F11072" i="1"/>
  <c r="E11072" i="1"/>
  <c r="D11072" i="1"/>
  <c r="C11072" i="1"/>
  <c r="B11072" i="1"/>
  <c r="A11072" i="1"/>
  <c r="F11071" i="1"/>
  <c r="E11071" i="1"/>
  <c r="D11071" i="1"/>
  <c r="C11071" i="1"/>
  <c r="B11071" i="1"/>
  <c r="A11071" i="1"/>
  <c r="F11070" i="1"/>
  <c r="E11070" i="1"/>
  <c r="D11070" i="1"/>
  <c r="C11070" i="1"/>
  <c r="B11070" i="1"/>
  <c r="A11070" i="1"/>
  <c r="F11069" i="1"/>
  <c r="E11069" i="1"/>
  <c r="D11069" i="1"/>
  <c r="C11069" i="1"/>
  <c r="B11069" i="1"/>
  <c r="A11069" i="1"/>
  <c r="F11068" i="1"/>
  <c r="E11068" i="1"/>
  <c r="D11068" i="1"/>
  <c r="C11068" i="1"/>
  <c r="B11068" i="1"/>
  <c r="A11068" i="1"/>
  <c r="F11067" i="1"/>
  <c r="E11067" i="1"/>
  <c r="D11067" i="1"/>
  <c r="C11067" i="1"/>
  <c r="B11067" i="1"/>
  <c r="A11067" i="1"/>
  <c r="F11066" i="1"/>
  <c r="E11066" i="1"/>
  <c r="D11066" i="1"/>
  <c r="C11066" i="1"/>
  <c r="B11066" i="1"/>
  <c r="A11066" i="1"/>
  <c r="F11065" i="1"/>
  <c r="E11065" i="1"/>
  <c r="D11065" i="1"/>
  <c r="C11065" i="1"/>
  <c r="B11065" i="1"/>
  <c r="A11065" i="1"/>
  <c r="F11064" i="1"/>
  <c r="E11064" i="1"/>
  <c r="D11064" i="1"/>
  <c r="C11064" i="1"/>
  <c r="B11064" i="1"/>
  <c r="A11064" i="1"/>
  <c r="F11063" i="1"/>
  <c r="E11063" i="1"/>
  <c r="D11063" i="1"/>
  <c r="C11063" i="1"/>
  <c r="B11063" i="1"/>
  <c r="A11063" i="1"/>
  <c r="F11062" i="1"/>
  <c r="E11062" i="1"/>
  <c r="D11062" i="1"/>
  <c r="C11062" i="1"/>
  <c r="B11062" i="1"/>
  <c r="A11062" i="1"/>
  <c r="F11061" i="1"/>
  <c r="E11061" i="1"/>
  <c r="D11061" i="1"/>
  <c r="C11061" i="1"/>
  <c r="B11061" i="1"/>
  <c r="A11061" i="1"/>
  <c r="F11060" i="1"/>
  <c r="E11060" i="1"/>
  <c r="D11060" i="1"/>
  <c r="C11060" i="1"/>
  <c r="B11060" i="1"/>
  <c r="A11060" i="1"/>
  <c r="F11059" i="1"/>
  <c r="E11059" i="1"/>
  <c r="D11059" i="1"/>
  <c r="C11059" i="1"/>
  <c r="B11059" i="1"/>
  <c r="A11059" i="1"/>
  <c r="F11058" i="1"/>
  <c r="E11058" i="1"/>
  <c r="D11058" i="1"/>
  <c r="C11058" i="1"/>
  <c r="B11058" i="1"/>
  <c r="A11058" i="1"/>
  <c r="F11057" i="1"/>
  <c r="E11057" i="1"/>
  <c r="D11057" i="1"/>
  <c r="C11057" i="1"/>
  <c r="B11057" i="1"/>
  <c r="A11057" i="1"/>
  <c r="F11056" i="1"/>
  <c r="E11056" i="1"/>
  <c r="D11056" i="1"/>
  <c r="C11056" i="1"/>
  <c r="B11056" i="1"/>
  <c r="A11056" i="1"/>
  <c r="F11055" i="1"/>
  <c r="E11055" i="1"/>
  <c r="D11055" i="1"/>
  <c r="C11055" i="1"/>
  <c r="B11055" i="1"/>
  <c r="A11055" i="1"/>
  <c r="F11054" i="1"/>
  <c r="E11054" i="1"/>
  <c r="D11054" i="1"/>
  <c r="C11054" i="1"/>
  <c r="B11054" i="1"/>
  <c r="A11054" i="1"/>
  <c r="F11053" i="1"/>
  <c r="E11053" i="1"/>
  <c r="D11053" i="1"/>
  <c r="C11053" i="1"/>
  <c r="B11053" i="1"/>
  <c r="A11053" i="1"/>
  <c r="F11052" i="1"/>
  <c r="E11052" i="1"/>
  <c r="D11052" i="1"/>
  <c r="C11052" i="1"/>
  <c r="B11052" i="1"/>
  <c r="A11052" i="1"/>
  <c r="F11051" i="1"/>
  <c r="E11051" i="1"/>
  <c r="D11051" i="1"/>
  <c r="C11051" i="1"/>
  <c r="B11051" i="1"/>
  <c r="A11051" i="1"/>
  <c r="F11050" i="1"/>
  <c r="E11050" i="1"/>
  <c r="D11050" i="1"/>
  <c r="C11050" i="1"/>
  <c r="B11050" i="1"/>
  <c r="A11050" i="1"/>
  <c r="F11049" i="1"/>
  <c r="E11049" i="1"/>
  <c r="D11049" i="1"/>
  <c r="C11049" i="1"/>
  <c r="B11049" i="1"/>
  <c r="A11049" i="1"/>
  <c r="F11048" i="1"/>
  <c r="E11048" i="1"/>
  <c r="D11048" i="1"/>
  <c r="C11048" i="1"/>
  <c r="B11048" i="1"/>
  <c r="A11048" i="1"/>
  <c r="F11047" i="1"/>
  <c r="E11047" i="1"/>
  <c r="D11047" i="1"/>
  <c r="C11047" i="1"/>
  <c r="B11047" i="1"/>
  <c r="A11047" i="1"/>
  <c r="F11046" i="1"/>
  <c r="E11046" i="1"/>
  <c r="D11046" i="1"/>
  <c r="C11046" i="1"/>
  <c r="B11046" i="1"/>
  <c r="A11046" i="1"/>
  <c r="F11045" i="1"/>
  <c r="E11045" i="1"/>
  <c r="D11045" i="1"/>
  <c r="C11045" i="1"/>
  <c r="B11045" i="1"/>
  <c r="A11045" i="1"/>
  <c r="F11044" i="1"/>
  <c r="E11044" i="1"/>
  <c r="D11044" i="1"/>
  <c r="C11044" i="1"/>
  <c r="B11044" i="1"/>
  <c r="A11044" i="1"/>
  <c r="F11043" i="1"/>
  <c r="E11043" i="1"/>
  <c r="D11043" i="1"/>
  <c r="C11043" i="1"/>
  <c r="B11043" i="1"/>
  <c r="A11043" i="1"/>
  <c r="F11042" i="1"/>
  <c r="E11042" i="1"/>
  <c r="D11042" i="1"/>
  <c r="C11042" i="1"/>
  <c r="B11042" i="1"/>
  <c r="A11042" i="1"/>
  <c r="F11041" i="1"/>
  <c r="E11041" i="1"/>
  <c r="D11041" i="1"/>
  <c r="C11041" i="1"/>
  <c r="B11041" i="1"/>
  <c r="A11041" i="1"/>
  <c r="F11040" i="1"/>
  <c r="E11040" i="1"/>
  <c r="D11040" i="1"/>
  <c r="C11040" i="1"/>
  <c r="B11040" i="1"/>
  <c r="A11040" i="1"/>
  <c r="F11039" i="1"/>
  <c r="E11039" i="1"/>
  <c r="D11039" i="1"/>
  <c r="C11039" i="1"/>
  <c r="B11039" i="1"/>
  <c r="A11039" i="1"/>
  <c r="F11038" i="1"/>
  <c r="E11038" i="1"/>
  <c r="D11038" i="1"/>
  <c r="C11038" i="1"/>
  <c r="B11038" i="1"/>
  <c r="A11038" i="1"/>
  <c r="F11037" i="1"/>
  <c r="E11037" i="1"/>
  <c r="D11037" i="1"/>
  <c r="C11037" i="1"/>
  <c r="B11037" i="1"/>
  <c r="A11037" i="1"/>
  <c r="F11036" i="1"/>
  <c r="E11036" i="1"/>
  <c r="D11036" i="1"/>
  <c r="C11036" i="1"/>
  <c r="B11036" i="1"/>
  <c r="A11036" i="1"/>
  <c r="F11035" i="1"/>
  <c r="E11035" i="1"/>
  <c r="D11035" i="1"/>
  <c r="C11035" i="1"/>
  <c r="B11035" i="1"/>
  <c r="A11035" i="1"/>
  <c r="F11034" i="1"/>
  <c r="E11034" i="1"/>
  <c r="D11034" i="1"/>
  <c r="C11034" i="1"/>
  <c r="B11034" i="1"/>
  <c r="A11034" i="1"/>
  <c r="F11033" i="1"/>
  <c r="E11033" i="1"/>
  <c r="D11033" i="1"/>
  <c r="C11033" i="1"/>
  <c r="B11033" i="1"/>
  <c r="A11033" i="1"/>
  <c r="F11032" i="1"/>
  <c r="E11032" i="1"/>
  <c r="D11032" i="1"/>
  <c r="C11032" i="1"/>
  <c r="B11032" i="1"/>
  <c r="A11032" i="1"/>
  <c r="F11031" i="1"/>
  <c r="E11031" i="1"/>
  <c r="D11031" i="1"/>
  <c r="C11031" i="1"/>
  <c r="B11031" i="1"/>
  <c r="A11031" i="1"/>
  <c r="F11030" i="1"/>
  <c r="E11030" i="1"/>
  <c r="D11030" i="1"/>
  <c r="C11030" i="1"/>
  <c r="B11030" i="1"/>
  <c r="A11030" i="1"/>
  <c r="F11029" i="1"/>
  <c r="E11029" i="1"/>
  <c r="D11029" i="1"/>
  <c r="C11029" i="1"/>
  <c r="B11029" i="1"/>
  <c r="A11029" i="1"/>
  <c r="F11028" i="1"/>
  <c r="E11028" i="1"/>
  <c r="D11028" i="1"/>
  <c r="C11028" i="1"/>
  <c r="B11028" i="1"/>
  <c r="A11028" i="1"/>
  <c r="F11027" i="1"/>
  <c r="E11027" i="1"/>
  <c r="D11027" i="1"/>
  <c r="C11027" i="1"/>
  <c r="B11027" i="1"/>
  <c r="A11027" i="1"/>
  <c r="F11026" i="1"/>
  <c r="E11026" i="1"/>
  <c r="D11026" i="1"/>
  <c r="C11026" i="1"/>
  <c r="B11026" i="1"/>
  <c r="A11026" i="1"/>
  <c r="F11025" i="1"/>
  <c r="E11025" i="1"/>
  <c r="D11025" i="1"/>
  <c r="C11025" i="1"/>
  <c r="B11025" i="1"/>
  <c r="A11025" i="1"/>
  <c r="F11024" i="1"/>
  <c r="E11024" i="1"/>
  <c r="D11024" i="1"/>
  <c r="C11024" i="1"/>
  <c r="B11024" i="1"/>
  <c r="A11024" i="1"/>
  <c r="F11023" i="1"/>
  <c r="E11023" i="1"/>
  <c r="D11023" i="1"/>
  <c r="C11023" i="1"/>
  <c r="B11023" i="1"/>
  <c r="A11023" i="1"/>
  <c r="F11022" i="1"/>
  <c r="E11022" i="1"/>
  <c r="D11022" i="1"/>
  <c r="C11022" i="1"/>
  <c r="B11022" i="1"/>
  <c r="A11022" i="1"/>
  <c r="F11021" i="1"/>
  <c r="E11021" i="1"/>
  <c r="D11021" i="1"/>
  <c r="C11021" i="1"/>
  <c r="B11021" i="1"/>
  <c r="A11021" i="1"/>
  <c r="F11020" i="1"/>
  <c r="E11020" i="1"/>
  <c r="D11020" i="1"/>
  <c r="C11020" i="1"/>
  <c r="B11020" i="1"/>
  <c r="A11020" i="1"/>
  <c r="F11019" i="1"/>
  <c r="E11019" i="1"/>
  <c r="D11019" i="1"/>
  <c r="C11019" i="1"/>
  <c r="B11019" i="1"/>
  <c r="A11019" i="1"/>
  <c r="F11018" i="1"/>
  <c r="E11018" i="1"/>
  <c r="D11018" i="1"/>
  <c r="C11018" i="1"/>
  <c r="B11018" i="1"/>
  <c r="A11018" i="1"/>
  <c r="F11017" i="1"/>
  <c r="E11017" i="1"/>
  <c r="D11017" i="1"/>
  <c r="C11017" i="1"/>
  <c r="B11017" i="1"/>
  <c r="A11017" i="1"/>
  <c r="F11016" i="1"/>
  <c r="E11016" i="1"/>
  <c r="D11016" i="1"/>
  <c r="C11016" i="1"/>
  <c r="B11016" i="1"/>
  <c r="A11016" i="1"/>
  <c r="F11015" i="1"/>
  <c r="E11015" i="1"/>
  <c r="D11015" i="1"/>
  <c r="C11015" i="1"/>
  <c r="B11015" i="1"/>
  <c r="A11015" i="1"/>
  <c r="F11014" i="1"/>
  <c r="E11014" i="1"/>
  <c r="D11014" i="1"/>
  <c r="C11014" i="1"/>
  <c r="B11014" i="1"/>
  <c r="A11014" i="1"/>
  <c r="F11013" i="1"/>
  <c r="E11013" i="1"/>
  <c r="D11013" i="1"/>
  <c r="C11013" i="1"/>
  <c r="B11013" i="1"/>
  <c r="A11013" i="1"/>
  <c r="F11012" i="1"/>
  <c r="E11012" i="1"/>
  <c r="D11012" i="1"/>
  <c r="C11012" i="1"/>
  <c r="B11012" i="1"/>
  <c r="A11012" i="1"/>
  <c r="F11011" i="1"/>
  <c r="E11011" i="1"/>
  <c r="D11011" i="1"/>
  <c r="C11011" i="1"/>
  <c r="B11011" i="1"/>
  <c r="A11011" i="1"/>
  <c r="F11010" i="1"/>
  <c r="E11010" i="1"/>
  <c r="D11010" i="1"/>
  <c r="C11010" i="1"/>
  <c r="B11010" i="1"/>
  <c r="A11010" i="1"/>
  <c r="F11009" i="1"/>
  <c r="E11009" i="1"/>
  <c r="D11009" i="1"/>
  <c r="C11009" i="1"/>
  <c r="B11009" i="1"/>
  <c r="A11009" i="1"/>
  <c r="F11008" i="1"/>
  <c r="E11008" i="1"/>
  <c r="D11008" i="1"/>
  <c r="C11008" i="1"/>
  <c r="B11008" i="1"/>
  <c r="A11008" i="1"/>
  <c r="F11007" i="1"/>
  <c r="E11007" i="1"/>
  <c r="D11007" i="1"/>
  <c r="C11007" i="1"/>
  <c r="B11007" i="1"/>
  <c r="A11007" i="1"/>
  <c r="F11006" i="1"/>
  <c r="E11006" i="1"/>
  <c r="D11006" i="1"/>
  <c r="C11006" i="1"/>
  <c r="B11006" i="1"/>
  <c r="A11006" i="1"/>
  <c r="F11005" i="1"/>
  <c r="E11005" i="1"/>
  <c r="D11005" i="1"/>
  <c r="C11005" i="1"/>
  <c r="B11005" i="1"/>
  <c r="A11005" i="1"/>
  <c r="F11004" i="1"/>
  <c r="E11004" i="1"/>
  <c r="D11004" i="1"/>
  <c r="C11004" i="1"/>
  <c r="B11004" i="1"/>
  <c r="A11004" i="1"/>
  <c r="F11003" i="1"/>
  <c r="E11003" i="1"/>
  <c r="D11003" i="1"/>
  <c r="C11003" i="1"/>
  <c r="B11003" i="1"/>
  <c r="A11003" i="1"/>
  <c r="F11002" i="1"/>
  <c r="E11002" i="1"/>
  <c r="D11002" i="1"/>
  <c r="C11002" i="1"/>
  <c r="B11002" i="1"/>
  <c r="A11002" i="1"/>
  <c r="F11001" i="1"/>
  <c r="E11001" i="1"/>
  <c r="D11001" i="1"/>
  <c r="C11001" i="1"/>
  <c r="B11001" i="1"/>
  <c r="A11001" i="1"/>
  <c r="F11000" i="1"/>
  <c r="E11000" i="1"/>
  <c r="D11000" i="1"/>
  <c r="C11000" i="1"/>
  <c r="B11000" i="1"/>
  <c r="A11000" i="1"/>
  <c r="F10999" i="1"/>
  <c r="E10999" i="1"/>
  <c r="D10999" i="1"/>
  <c r="C10999" i="1"/>
  <c r="B10999" i="1"/>
  <c r="A10999" i="1"/>
  <c r="F10998" i="1"/>
  <c r="E10998" i="1"/>
  <c r="D10998" i="1"/>
  <c r="C10998" i="1"/>
  <c r="B10998" i="1"/>
  <c r="A10998" i="1"/>
  <c r="F10997" i="1"/>
  <c r="E10997" i="1"/>
  <c r="D10997" i="1"/>
  <c r="C10997" i="1"/>
  <c r="B10997" i="1"/>
  <c r="A10997" i="1"/>
  <c r="F10996" i="1"/>
  <c r="E10996" i="1"/>
  <c r="D10996" i="1"/>
  <c r="C10996" i="1"/>
  <c r="B10996" i="1"/>
  <c r="A10996" i="1"/>
  <c r="F10995" i="1"/>
  <c r="E10995" i="1"/>
  <c r="D10995" i="1"/>
  <c r="C10995" i="1"/>
  <c r="B10995" i="1"/>
  <c r="A10995" i="1"/>
  <c r="F10994" i="1"/>
  <c r="E10994" i="1"/>
  <c r="D10994" i="1"/>
  <c r="C10994" i="1"/>
  <c r="B10994" i="1"/>
  <c r="A10994" i="1"/>
  <c r="F10993" i="1"/>
  <c r="E10993" i="1"/>
  <c r="D10993" i="1"/>
  <c r="C10993" i="1"/>
  <c r="B10993" i="1"/>
  <c r="A10993" i="1"/>
  <c r="F10992" i="1"/>
  <c r="E10992" i="1"/>
  <c r="D10992" i="1"/>
  <c r="C10992" i="1"/>
  <c r="B10992" i="1"/>
  <c r="A10992" i="1"/>
  <c r="F10991" i="1"/>
  <c r="E10991" i="1"/>
  <c r="D10991" i="1"/>
  <c r="C10991" i="1"/>
  <c r="B10991" i="1"/>
  <c r="A10991" i="1"/>
  <c r="F10990" i="1"/>
  <c r="E10990" i="1"/>
  <c r="D10990" i="1"/>
  <c r="C10990" i="1"/>
  <c r="B10990" i="1"/>
  <c r="A10990" i="1"/>
  <c r="F10989" i="1"/>
  <c r="E10989" i="1"/>
  <c r="D10989" i="1"/>
  <c r="C10989" i="1"/>
  <c r="B10989" i="1"/>
  <c r="A10989" i="1"/>
  <c r="F10988" i="1"/>
  <c r="E10988" i="1"/>
  <c r="D10988" i="1"/>
  <c r="C10988" i="1"/>
  <c r="B10988" i="1"/>
  <c r="A10988" i="1"/>
  <c r="F10987" i="1"/>
  <c r="E10987" i="1"/>
  <c r="D10987" i="1"/>
  <c r="C10987" i="1"/>
  <c r="B10987" i="1"/>
  <c r="A10987" i="1"/>
  <c r="F10986" i="1"/>
  <c r="E10986" i="1"/>
  <c r="D10986" i="1"/>
  <c r="C10986" i="1"/>
  <c r="B10986" i="1"/>
  <c r="A10986" i="1"/>
  <c r="F10985" i="1"/>
  <c r="E10985" i="1"/>
  <c r="D10985" i="1"/>
  <c r="C10985" i="1"/>
  <c r="B10985" i="1"/>
  <c r="A10985" i="1"/>
  <c r="F10984" i="1"/>
  <c r="E10984" i="1"/>
  <c r="D10984" i="1"/>
  <c r="C10984" i="1"/>
  <c r="B10984" i="1"/>
  <c r="A10984" i="1"/>
  <c r="F10983" i="1"/>
  <c r="E10983" i="1"/>
  <c r="D10983" i="1"/>
  <c r="C10983" i="1"/>
  <c r="B10983" i="1"/>
  <c r="A10983" i="1"/>
  <c r="F10982" i="1"/>
  <c r="E10982" i="1"/>
  <c r="D10982" i="1"/>
  <c r="C10982" i="1"/>
  <c r="B10982" i="1"/>
  <c r="A10982" i="1"/>
  <c r="F10981" i="1"/>
  <c r="E10981" i="1"/>
  <c r="D10981" i="1"/>
  <c r="C10981" i="1"/>
  <c r="B10981" i="1"/>
  <c r="A10981" i="1"/>
  <c r="F10980" i="1"/>
  <c r="E10980" i="1"/>
  <c r="D10980" i="1"/>
  <c r="C10980" i="1"/>
  <c r="B10980" i="1"/>
  <c r="A10980" i="1"/>
  <c r="F10979" i="1"/>
  <c r="E10979" i="1"/>
  <c r="D10979" i="1"/>
  <c r="C10979" i="1"/>
  <c r="B10979" i="1"/>
  <c r="A10979" i="1"/>
  <c r="F10978" i="1"/>
  <c r="E10978" i="1"/>
  <c r="D10978" i="1"/>
  <c r="C10978" i="1"/>
  <c r="B10978" i="1"/>
  <c r="A10978" i="1"/>
  <c r="F10977" i="1"/>
  <c r="E10977" i="1"/>
  <c r="D10977" i="1"/>
  <c r="C10977" i="1"/>
  <c r="B10977" i="1"/>
  <c r="A10977" i="1"/>
  <c r="F10976" i="1"/>
  <c r="E10976" i="1"/>
  <c r="D10976" i="1"/>
  <c r="C10976" i="1"/>
  <c r="B10976" i="1"/>
  <c r="A10976" i="1"/>
  <c r="F10975" i="1"/>
  <c r="E10975" i="1"/>
  <c r="D10975" i="1"/>
  <c r="C10975" i="1"/>
  <c r="B10975" i="1"/>
  <c r="A10975" i="1"/>
  <c r="F10974" i="1"/>
  <c r="E10974" i="1"/>
  <c r="D10974" i="1"/>
  <c r="C10974" i="1"/>
  <c r="B10974" i="1"/>
  <c r="A10974" i="1"/>
  <c r="F10973" i="1"/>
  <c r="E10973" i="1"/>
  <c r="D10973" i="1"/>
  <c r="C10973" i="1"/>
  <c r="B10973" i="1"/>
  <c r="A10973" i="1"/>
  <c r="F10972" i="1"/>
  <c r="E10972" i="1"/>
  <c r="D10972" i="1"/>
  <c r="C10972" i="1"/>
  <c r="B10972" i="1"/>
  <c r="A10972" i="1"/>
  <c r="F10971" i="1"/>
  <c r="E10971" i="1"/>
  <c r="D10971" i="1"/>
  <c r="C10971" i="1"/>
  <c r="B10971" i="1"/>
  <c r="A10971" i="1"/>
  <c r="F10970" i="1"/>
  <c r="E10970" i="1"/>
  <c r="D10970" i="1"/>
  <c r="C10970" i="1"/>
  <c r="B10970" i="1"/>
  <c r="A10970" i="1"/>
  <c r="F10969" i="1"/>
  <c r="E10969" i="1"/>
  <c r="D10969" i="1"/>
  <c r="C10969" i="1"/>
  <c r="B10969" i="1"/>
  <c r="A10969" i="1"/>
  <c r="F10968" i="1"/>
  <c r="E10968" i="1"/>
  <c r="D10968" i="1"/>
  <c r="C10968" i="1"/>
  <c r="B10968" i="1"/>
  <c r="A10968" i="1"/>
  <c r="F10967" i="1"/>
  <c r="E10967" i="1"/>
  <c r="D10967" i="1"/>
  <c r="C10967" i="1"/>
  <c r="B10967" i="1"/>
  <c r="A10967" i="1"/>
  <c r="F10966" i="1"/>
  <c r="E10966" i="1"/>
  <c r="D10966" i="1"/>
  <c r="C10966" i="1"/>
  <c r="B10966" i="1"/>
  <c r="A10966" i="1"/>
  <c r="F10965" i="1"/>
  <c r="E10965" i="1"/>
  <c r="D10965" i="1"/>
  <c r="C10965" i="1"/>
  <c r="B10965" i="1"/>
  <c r="A10965" i="1"/>
  <c r="F10964" i="1"/>
  <c r="E10964" i="1"/>
  <c r="D10964" i="1"/>
  <c r="C10964" i="1"/>
  <c r="B10964" i="1"/>
  <c r="A10964" i="1"/>
  <c r="F10963" i="1"/>
  <c r="E10963" i="1"/>
  <c r="D10963" i="1"/>
  <c r="C10963" i="1"/>
  <c r="B10963" i="1"/>
  <c r="A10963" i="1"/>
  <c r="F10962" i="1"/>
  <c r="E10962" i="1"/>
  <c r="D10962" i="1"/>
  <c r="C10962" i="1"/>
  <c r="B10962" i="1"/>
  <c r="A10962" i="1"/>
  <c r="F10961" i="1"/>
  <c r="E10961" i="1"/>
  <c r="D10961" i="1"/>
  <c r="C10961" i="1"/>
  <c r="B10961" i="1"/>
  <c r="A10961" i="1"/>
  <c r="F10960" i="1"/>
  <c r="E10960" i="1"/>
  <c r="D10960" i="1"/>
  <c r="C10960" i="1"/>
  <c r="B10960" i="1"/>
  <c r="A10960" i="1"/>
  <c r="F10959" i="1"/>
  <c r="E10959" i="1"/>
  <c r="D10959" i="1"/>
  <c r="C10959" i="1"/>
  <c r="B10959" i="1"/>
  <c r="A10959" i="1"/>
  <c r="F10958" i="1"/>
  <c r="E10958" i="1"/>
  <c r="D10958" i="1"/>
  <c r="C10958" i="1"/>
  <c r="B10958" i="1"/>
  <c r="A10958" i="1"/>
  <c r="F10957" i="1"/>
  <c r="E10957" i="1"/>
  <c r="D10957" i="1"/>
  <c r="C10957" i="1"/>
  <c r="B10957" i="1"/>
  <c r="A10957" i="1"/>
  <c r="F10956" i="1"/>
  <c r="E10956" i="1"/>
  <c r="D10956" i="1"/>
  <c r="C10956" i="1"/>
  <c r="B10956" i="1"/>
  <c r="A10956" i="1"/>
  <c r="F10955" i="1"/>
  <c r="E10955" i="1"/>
  <c r="D10955" i="1"/>
  <c r="C10955" i="1"/>
  <c r="B10955" i="1"/>
  <c r="A10955" i="1"/>
  <c r="F10954" i="1"/>
  <c r="E10954" i="1"/>
  <c r="D10954" i="1"/>
  <c r="C10954" i="1"/>
  <c r="B10954" i="1"/>
  <c r="A10954" i="1"/>
  <c r="F10953" i="1"/>
  <c r="E10953" i="1"/>
  <c r="D10953" i="1"/>
  <c r="C10953" i="1"/>
  <c r="B10953" i="1"/>
  <c r="A10953" i="1"/>
  <c r="F10952" i="1"/>
  <c r="E10952" i="1"/>
  <c r="D10952" i="1"/>
  <c r="C10952" i="1"/>
  <c r="B10952" i="1"/>
  <c r="A10952" i="1"/>
  <c r="F10951" i="1"/>
  <c r="E10951" i="1"/>
  <c r="D10951" i="1"/>
  <c r="C10951" i="1"/>
  <c r="B10951" i="1"/>
  <c r="A10951" i="1"/>
  <c r="F10950" i="1"/>
  <c r="E10950" i="1"/>
  <c r="D10950" i="1"/>
  <c r="C10950" i="1"/>
  <c r="B10950" i="1"/>
  <c r="A10950" i="1"/>
  <c r="F10949" i="1"/>
  <c r="E10949" i="1"/>
  <c r="D10949" i="1"/>
  <c r="C10949" i="1"/>
  <c r="B10949" i="1"/>
  <c r="A10949" i="1"/>
  <c r="F10948" i="1"/>
  <c r="E10948" i="1"/>
  <c r="D10948" i="1"/>
  <c r="C10948" i="1"/>
  <c r="B10948" i="1"/>
  <c r="A10948" i="1"/>
  <c r="F10947" i="1"/>
  <c r="E10947" i="1"/>
  <c r="D10947" i="1"/>
  <c r="C10947" i="1"/>
  <c r="B10947" i="1"/>
  <c r="A10947" i="1"/>
  <c r="F10946" i="1"/>
  <c r="E10946" i="1"/>
  <c r="D10946" i="1"/>
  <c r="C10946" i="1"/>
  <c r="B10946" i="1"/>
  <c r="A10946" i="1"/>
  <c r="F10945" i="1"/>
  <c r="E10945" i="1"/>
  <c r="D10945" i="1"/>
  <c r="C10945" i="1"/>
  <c r="B10945" i="1"/>
  <c r="A10945" i="1"/>
  <c r="F10944" i="1"/>
  <c r="E10944" i="1"/>
  <c r="D10944" i="1"/>
  <c r="C10944" i="1"/>
  <c r="B10944" i="1"/>
  <c r="A10944" i="1"/>
  <c r="F10943" i="1"/>
  <c r="E10943" i="1"/>
  <c r="D10943" i="1"/>
  <c r="C10943" i="1"/>
  <c r="B10943" i="1"/>
  <c r="A10943" i="1"/>
  <c r="F10942" i="1"/>
  <c r="E10942" i="1"/>
  <c r="D10942" i="1"/>
  <c r="C10942" i="1"/>
  <c r="B10942" i="1"/>
  <c r="A10942" i="1"/>
  <c r="F10941" i="1"/>
  <c r="E10941" i="1"/>
  <c r="D10941" i="1"/>
  <c r="C10941" i="1"/>
  <c r="B10941" i="1"/>
  <c r="A10941" i="1"/>
  <c r="F10940" i="1"/>
  <c r="E10940" i="1"/>
  <c r="D10940" i="1"/>
  <c r="C10940" i="1"/>
  <c r="B10940" i="1"/>
  <c r="A10940" i="1"/>
  <c r="F10939" i="1"/>
  <c r="E10939" i="1"/>
  <c r="D10939" i="1"/>
  <c r="C10939" i="1"/>
  <c r="B10939" i="1"/>
  <c r="A10939" i="1"/>
  <c r="F10938" i="1"/>
  <c r="E10938" i="1"/>
  <c r="D10938" i="1"/>
  <c r="C10938" i="1"/>
  <c r="B10938" i="1"/>
  <c r="A10938" i="1"/>
  <c r="F10937" i="1"/>
  <c r="E10937" i="1"/>
  <c r="D10937" i="1"/>
  <c r="C10937" i="1"/>
  <c r="B10937" i="1"/>
  <c r="A10937" i="1"/>
  <c r="F10936" i="1"/>
  <c r="E10936" i="1"/>
  <c r="D10936" i="1"/>
  <c r="C10936" i="1"/>
  <c r="B10936" i="1"/>
  <c r="A10936" i="1"/>
  <c r="F10935" i="1"/>
  <c r="E10935" i="1"/>
  <c r="D10935" i="1"/>
  <c r="C10935" i="1"/>
  <c r="B10935" i="1"/>
  <c r="A10935" i="1"/>
  <c r="F10934" i="1"/>
  <c r="E10934" i="1"/>
  <c r="D10934" i="1"/>
  <c r="C10934" i="1"/>
  <c r="B10934" i="1"/>
  <c r="A10934" i="1"/>
  <c r="F10933" i="1"/>
  <c r="E10933" i="1"/>
  <c r="D10933" i="1"/>
  <c r="C10933" i="1"/>
  <c r="B10933" i="1"/>
  <c r="A10933" i="1"/>
  <c r="F10932" i="1"/>
  <c r="E10932" i="1"/>
  <c r="D10932" i="1"/>
  <c r="C10932" i="1"/>
  <c r="B10932" i="1"/>
  <c r="A10932" i="1"/>
  <c r="F10931" i="1"/>
  <c r="E10931" i="1"/>
  <c r="D10931" i="1"/>
  <c r="C10931" i="1"/>
  <c r="B10931" i="1"/>
  <c r="A10931" i="1"/>
  <c r="F10930" i="1"/>
  <c r="E10930" i="1"/>
  <c r="D10930" i="1"/>
  <c r="C10930" i="1"/>
  <c r="B10930" i="1"/>
  <c r="A10930" i="1"/>
  <c r="F10929" i="1"/>
  <c r="E10929" i="1"/>
  <c r="D10929" i="1"/>
  <c r="C10929" i="1"/>
  <c r="B10929" i="1"/>
  <c r="A10929" i="1"/>
  <c r="F10928" i="1"/>
  <c r="E10928" i="1"/>
  <c r="D10928" i="1"/>
  <c r="C10928" i="1"/>
  <c r="B10928" i="1"/>
  <c r="A10928" i="1"/>
  <c r="F10927" i="1"/>
  <c r="E10927" i="1"/>
  <c r="D10927" i="1"/>
  <c r="C10927" i="1"/>
  <c r="B10927" i="1"/>
  <c r="A10927" i="1"/>
  <c r="F10926" i="1"/>
  <c r="E10926" i="1"/>
  <c r="D10926" i="1"/>
  <c r="C10926" i="1"/>
  <c r="B10926" i="1"/>
  <c r="A10926" i="1"/>
  <c r="F10925" i="1"/>
  <c r="E10925" i="1"/>
  <c r="D10925" i="1"/>
  <c r="C10925" i="1"/>
  <c r="B10925" i="1"/>
  <c r="A10925" i="1"/>
  <c r="F10924" i="1"/>
  <c r="E10924" i="1"/>
  <c r="D10924" i="1"/>
  <c r="C10924" i="1"/>
  <c r="B10924" i="1"/>
  <c r="A10924" i="1"/>
  <c r="F10923" i="1"/>
  <c r="E10923" i="1"/>
  <c r="D10923" i="1"/>
  <c r="C10923" i="1"/>
  <c r="B10923" i="1"/>
  <c r="A10923" i="1"/>
  <c r="F10922" i="1"/>
  <c r="E10922" i="1"/>
  <c r="D10922" i="1"/>
  <c r="C10922" i="1"/>
  <c r="B10922" i="1"/>
  <c r="A10922" i="1"/>
  <c r="F10921" i="1"/>
  <c r="E10921" i="1"/>
  <c r="D10921" i="1"/>
  <c r="C10921" i="1"/>
  <c r="B10921" i="1"/>
  <c r="A10921" i="1"/>
  <c r="F10920" i="1"/>
  <c r="E10920" i="1"/>
  <c r="D10920" i="1"/>
  <c r="C10920" i="1"/>
  <c r="B10920" i="1"/>
  <c r="A10920" i="1"/>
  <c r="F10919" i="1"/>
  <c r="E10919" i="1"/>
  <c r="D10919" i="1"/>
  <c r="C10919" i="1"/>
  <c r="B10919" i="1"/>
  <c r="A10919" i="1"/>
  <c r="F10918" i="1"/>
  <c r="E10918" i="1"/>
  <c r="D10918" i="1"/>
  <c r="C10918" i="1"/>
  <c r="B10918" i="1"/>
  <c r="A10918" i="1"/>
  <c r="F10917" i="1"/>
  <c r="E10917" i="1"/>
  <c r="D10917" i="1"/>
  <c r="C10917" i="1"/>
  <c r="B10917" i="1"/>
  <c r="A10917" i="1"/>
  <c r="F10916" i="1"/>
  <c r="E10916" i="1"/>
  <c r="D10916" i="1"/>
  <c r="C10916" i="1"/>
  <c r="B10916" i="1"/>
  <c r="A10916" i="1"/>
  <c r="F10915" i="1"/>
  <c r="E10915" i="1"/>
  <c r="D10915" i="1"/>
  <c r="C10915" i="1"/>
  <c r="B10915" i="1"/>
  <c r="A10915" i="1"/>
  <c r="F10914" i="1"/>
  <c r="E10914" i="1"/>
  <c r="D10914" i="1"/>
  <c r="C10914" i="1"/>
  <c r="B10914" i="1"/>
  <c r="A10914" i="1"/>
  <c r="F10913" i="1"/>
  <c r="E10913" i="1"/>
  <c r="D10913" i="1"/>
  <c r="C10913" i="1"/>
  <c r="B10913" i="1"/>
  <c r="A10913" i="1"/>
  <c r="F10912" i="1"/>
  <c r="E10912" i="1"/>
  <c r="D10912" i="1"/>
  <c r="C10912" i="1"/>
  <c r="B10912" i="1"/>
  <c r="A10912" i="1"/>
  <c r="F10911" i="1"/>
  <c r="E10911" i="1"/>
  <c r="D10911" i="1"/>
  <c r="C10911" i="1"/>
  <c r="B10911" i="1"/>
  <c r="A10911" i="1"/>
  <c r="F10910" i="1"/>
  <c r="E10910" i="1"/>
  <c r="D10910" i="1"/>
  <c r="C10910" i="1"/>
  <c r="B10910" i="1"/>
  <c r="A10910" i="1"/>
  <c r="F10909" i="1"/>
  <c r="E10909" i="1"/>
  <c r="D10909" i="1"/>
  <c r="C10909" i="1"/>
  <c r="B10909" i="1"/>
  <c r="A10909" i="1"/>
  <c r="F10908" i="1"/>
  <c r="E10908" i="1"/>
  <c r="D10908" i="1"/>
  <c r="C10908" i="1"/>
  <c r="B10908" i="1"/>
  <c r="A10908" i="1"/>
  <c r="F10907" i="1"/>
  <c r="E10907" i="1"/>
  <c r="D10907" i="1"/>
  <c r="C10907" i="1"/>
  <c r="B10907" i="1"/>
  <c r="A10907" i="1"/>
  <c r="F10906" i="1"/>
  <c r="E10906" i="1"/>
  <c r="D10906" i="1"/>
  <c r="C10906" i="1"/>
  <c r="B10906" i="1"/>
  <c r="A10906" i="1"/>
  <c r="F10905" i="1"/>
  <c r="E10905" i="1"/>
  <c r="D10905" i="1"/>
  <c r="C10905" i="1"/>
  <c r="B10905" i="1"/>
  <c r="A10905" i="1"/>
  <c r="F10904" i="1"/>
  <c r="E10904" i="1"/>
  <c r="D10904" i="1"/>
  <c r="C10904" i="1"/>
  <c r="B10904" i="1"/>
  <c r="A10904" i="1"/>
  <c r="F10903" i="1"/>
  <c r="E10903" i="1"/>
  <c r="D10903" i="1"/>
  <c r="C10903" i="1"/>
  <c r="B10903" i="1"/>
  <c r="A10903" i="1"/>
  <c r="F10902" i="1"/>
  <c r="E10902" i="1"/>
  <c r="D10902" i="1"/>
  <c r="C10902" i="1"/>
  <c r="B10902" i="1"/>
  <c r="A10902" i="1"/>
  <c r="F10901" i="1"/>
  <c r="E10901" i="1"/>
  <c r="D10901" i="1"/>
  <c r="C10901" i="1"/>
  <c r="B10901" i="1"/>
  <c r="A10901" i="1"/>
  <c r="F10900" i="1"/>
  <c r="E10900" i="1"/>
  <c r="D10900" i="1"/>
  <c r="C10900" i="1"/>
  <c r="B10900" i="1"/>
  <c r="A10900" i="1"/>
  <c r="F10899" i="1"/>
  <c r="E10899" i="1"/>
  <c r="D10899" i="1"/>
  <c r="C10899" i="1"/>
  <c r="B10899" i="1"/>
  <c r="A10899" i="1"/>
  <c r="F10898" i="1"/>
  <c r="E10898" i="1"/>
  <c r="D10898" i="1"/>
  <c r="C10898" i="1"/>
  <c r="B10898" i="1"/>
  <c r="A10898" i="1"/>
  <c r="F10897" i="1"/>
  <c r="E10897" i="1"/>
  <c r="D10897" i="1"/>
  <c r="C10897" i="1"/>
  <c r="B10897" i="1"/>
  <c r="A10897" i="1"/>
  <c r="F10896" i="1"/>
  <c r="E10896" i="1"/>
  <c r="D10896" i="1"/>
  <c r="C10896" i="1"/>
  <c r="B10896" i="1"/>
  <c r="A10896" i="1"/>
  <c r="F10895" i="1"/>
  <c r="E10895" i="1"/>
  <c r="D10895" i="1"/>
  <c r="C10895" i="1"/>
  <c r="B10895" i="1"/>
  <c r="A10895" i="1"/>
  <c r="F10894" i="1"/>
  <c r="E10894" i="1"/>
  <c r="D10894" i="1"/>
  <c r="C10894" i="1"/>
  <c r="B10894" i="1"/>
  <c r="A10894" i="1"/>
  <c r="F10893" i="1"/>
  <c r="E10893" i="1"/>
  <c r="D10893" i="1"/>
  <c r="C10893" i="1"/>
  <c r="B10893" i="1"/>
  <c r="A10893" i="1"/>
  <c r="F10892" i="1"/>
  <c r="E10892" i="1"/>
  <c r="D10892" i="1"/>
  <c r="C10892" i="1"/>
  <c r="B10892" i="1"/>
  <c r="A10892" i="1"/>
  <c r="F10891" i="1"/>
  <c r="E10891" i="1"/>
  <c r="D10891" i="1"/>
  <c r="C10891" i="1"/>
  <c r="B10891" i="1"/>
  <c r="A10891" i="1"/>
  <c r="F10890" i="1"/>
  <c r="E10890" i="1"/>
  <c r="D10890" i="1"/>
  <c r="C10890" i="1"/>
  <c r="B10890" i="1"/>
  <c r="A10890" i="1"/>
  <c r="F10889" i="1"/>
  <c r="E10889" i="1"/>
  <c r="D10889" i="1"/>
  <c r="C10889" i="1"/>
  <c r="B10889" i="1"/>
  <c r="A10889" i="1"/>
  <c r="F10888" i="1"/>
  <c r="E10888" i="1"/>
  <c r="D10888" i="1"/>
  <c r="C10888" i="1"/>
  <c r="B10888" i="1"/>
  <c r="A10888" i="1"/>
  <c r="F10887" i="1"/>
  <c r="E10887" i="1"/>
  <c r="D10887" i="1"/>
  <c r="C10887" i="1"/>
  <c r="B10887" i="1"/>
  <c r="A10887" i="1"/>
  <c r="F10886" i="1"/>
  <c r="E10886" i="1"/>
  <c r="D10886" i="1"/>
  <c r="C10886" i="1"/>
  <c r="B10886" i="1"/>
  <c r="A10886" i="1"/>
  <c r="F10885" i="1"/>
  <c r="E10885" i="1"/>
  <c r="D10885" i="1"/>
  <c r="C10885" i="1"/>
  <c r="B10885" i="1"/>
  <c r="A10885" i="1"/>
  <c r="F10884" i="1"/>
  <c r="E10884" i="1"/>
  <c r="D10884" i="1"/>
  <c r="C10884" i="1"/>
  <c r="B10884" i="1"/>
  <c r="A10884" i="1"/>
  <c r="F10883" i="1"/>
  <c r="E10883" i="1"/>
  <c r="D10883" i="1"/>
  <c r="C10883" i="1"/>
  <c r="B10883" i="1"/>
  <c r="A10883" i="1"/>
  <c r="F10882" i="1"/>
  <c r="E10882" i="1"/>
  <c r="D10882" i="1"/>
  <c r="C10882" i="1"/>
  <c r="B10882" i="1"/>
  <c r="A10882" i="1"/>
  <c r="F10881" i="1"/>
  <c r="E10881" i="1"/>
  <c r="D10881" i="1"/>
  <c r="C10881" i="1"/>
  <c r="B10881" i="1"/>
  <c r="A10881" i="1"/>
  <c r="F10880" i="1"/>
  <c r="E10880" i="1"/>
  <c r="D10880" i="1"/>
  <c r="C10880" i="1"/>
  <c r="B10880" i="1"/>
  <c r="A10880" i="1"/>
  <c r="F10879" i="1"/>
  <c r="E10879" i="1"/>
  <c r="D10879" i="1"/>
  <c r="C10879" i="1"/>
  <c r="B10879" i="1"/>
  <c r="A10879" i="1"/>
  <c r="F10878" i="1"/>
  <c r="E10878" i="1"/>
  <c r="D10878" i="1"/>
  <c r="C10878" i="1"/>
  <c r="B10878" i="1"/>
  <c r="A10878" i="1"/>
  <c r="F10877" i="1"/>
  <c r="E10877" i="1"/>
  <c r="D10877" i="1"/>
  <c r="C10877" i="1"/>
  <c r="B10877" i="1"/>
  <c r="A10877" i="1"/>
  <c r="F10876" i="1"/>
  <c r="E10876" i="1"/>
  <c r="D10876" i="1"/>
  <c r="C10876" i="1"/>
  <c r="B10876" i="1"/>
  <c r="A10876" i="1"/>
  <c r="F10875" i="1"/>
  <c r="E10875" i="1"/>
  <c r="D10875" i="1"/>
  <c r="C10875" i="1"/>
  <c r="B10875" i="1"/>
  <c r="A10875" i="1"/>
  <c r="F10874" i="1"/>
  <c r="E10874" i="1"/>
  <c r="D10874" i="1"/>
  <c r="C10874" i="1"/>
  <c r="B10874" i="1"/>
  <c r="A10874" i="1"/>
  <c r="F10873" i="1"/>
  <c r="E10873" i="1"/>
  <c r="D10873" i="1"/>
  <c r="C10873" i="1"/>
  <c r="B10873" i="1"/>
  <c r="A10873" i="1"/>
  <c r="F10872" i="1"/>
  <c r="E10872" i="1"/>
  <c r="D10872" i="1"/>
  <c r="C10872" i="1"/>
  <c r="B10872" i="1"/>
  <c r="A10872" i="1"/>
  <c r="F10871" i="1"/>
  <c r="E10871" i="1"/>
  <c r="D10871" i="1"/>
  <c r="C10871" i="1"/>
  <c r="B10871" i="1"/>
  <c r="A10871" i="1"/>
  <c r="F10870" i="1"/>
  <c r="E10870" i="1"/>
  <c r="D10870" i="1"/>
  <c r="C10870" i="1"/>
  <c r="B10870" i="1"/>
  <c r="A10870" i="1"/>
  <c r="F10869" i="1"/>
  <c r="E10869" i="1"/>
  <c r="D10869" i="1"/>
  <c r="C10869" i="1"/>
  <c r="B10869" i="1"/>
  <c r="A10869" i="1"/>
  <c r="F10868" i="1"/>
  <c r="E10868" i="1"/>
  <c r="D10868" i="1"/>
  <c r="C10868" i="1"/>
  <c r="B10868" i="1"/>
  <c r="A10868" i="1"/>
  <c r="F10867" i="1"/>
  <c r="E10867" i="1"/>
  <c r="D10867" i="1"/>
  <c r="C10867" i="1"/>
  <c r="B10867" i="1"/>
  <c r="A10867" i="1"/>
  <c r="F10866" i="1"/>
  <c r="E10866" i="1"/>
  <c r="D10866" i="1"/>
  <c r="C10866" i="1"/>
  <c r="B10866" i="1"/>
  <c r="A10866" i="1"/>
  <c r="F10865" i="1"/>
  <c r="E10865" i="1"/>
  <c r="D10865" i="1"/>
  <c r="C10865" i="1"/>
  <c r="B10865" i="1"/>
  <c r="A10865" i="1"/>
  <c r="F10864" i="1"/>
  <c r="E10864" i="1"/>
  <c r="D10864" i="1"/>
  <c r="C10864" i="1"/>
  <c r="B10864" i="1"/>
  <c r="A10864" i="1"/>
  <c r="F10863" i="1"/>
  <c r="E10863" i="1"/>
  <c r="D10863" i="1"/>
  <c r="C10863" i="1"/>
  <c r="B10863" i="1"/>
  <c r="A10863" i="1"/>
  <c r="F10862" i="1"/>
  <c r="E10862" i="1"/>
  <c r="D10862" i="1"/>
  <c r="C10862" i="1"/>
  <c r="B10862" i="1"/>
  <c r="A10862" i="1"/>
  <c r="F10861" i="1"/>
  <c r="E10861" i="1"/>
  <c r="D10861" i="1"/>
  <c r="C10861" i="1"/>
  <c r="B10861" i="1"/>
  <c r="A10861" i="1"/>
  <c r="F10860" i="1"/>
  <c r="E10860" i="1"/>
  <c r="D10860" i="1"/>
  <c r="C10860" i="1"/>
  <c r="B10860" i="1"/>
  <c r="A10860" i="1"/>
  <c r="F10859" i="1"/>
  <c r="E10859" i="1"/>
  <c r="D10859" i="1"/>
  <c r="C10859" i="1"/>
  <c r="B10859" i="1"/>
  <c r="A10859" i="1"/>
  <c r="F10858" i="1"/>
  <c r="E10858" i="1"/>
  <c r="D10858" i="1"/>
  <c r="C10858" i="1"/>
  <c r="B10858" i="1"/>
  <c r="A10858" i="1"/>
  <c r="F10857" i="1"/>
  <c r="E10857" i="1"/>
  <c r="D10857" i="1"/>
  <c r="C10857" i="1"/>
  <c r="B10857" i="1"/>
  <c r="A10857" i="1"/>
  <c r="F10856" i="1"/>
  <c r="E10856" i="1"/>
  <c r="D10856" i="1"/>
  <c r="C10856" i="1"/>
  <c r="B10856" i="1"/>
  <c r="A10856" i="1"/>
  <c r="F10855" i="1"/>
  <c r="E10855" i="1"/>
  <c r="D10855" i="1"/>
  <c r="C10855" i="1"/>
  <c r="B10855" i="1"/>
  <c r="A10855" i="1"/>
  <c r="F10854" i="1"/>
  <c r="E10854" i="1"/>
  <c r="D10854" i="1"/>
  <c r="C10854" i="1"/>
  <c r="B10854" i="1"/>
  <c r="A10854" i="1"/>
  <c r="F10853" i="1"/>
  <c r="E10853" i="1"/>
  <c r="D10853" i="1"/>
  <c r="C10853" i="1"/>
  <c r="B10853" i="1"/>
  <c r="A10853" i="1"/>
  <c r="F10852" i="1"/>
  <c r="E10852" i="1"/>
  <c r="D10852" i="1"/>
  <c r="C10852" i="1"/>
  <c r="B10852" i="1"/>
  <c r="A10852" i="1"/>
  <c r="F10851" i="1"/>
  <c r="E10851" i="1"/>
  <c r="D10851" i="1"/>
  <c r="C10851" i="1"/>
  <c r="B10851" i="1"/>
  <c r="A10851" i="1"/>
  <c r="F10850" i="1"/>
  <c r="E10850" i="1"/>
  <c r="D10850" i="1"/>
  <c r="C10850" i="1"/>
  <c r="B10850" i="1"/>
  <c r="A10850" i="1"/>
  <c r="F10849" i="1"/>
  <c r="E10849" i="1"/>
  <c r="D10849" i="1"/>
  <c r="C10849" i="1"/>
  <c r="B10849" i="1"/>
  <c r="A10849" i="1"/>
  <c r="F10848" i="1"/>
  <c r="E10848" i="1"/>
  <c r="D10848" i="1"/>
  <c r="C10848" i="1"/>
  <c r="B10848" i="1"/>
  <c r="A10848" i="1"/>
  <c r="F10847" i="1"/>
  <c r="E10847" i="1"/>
  <c r="D10847" i="1"/>
  <c r="C10847" i="1"/>
  <c r="B10847" i="1"/>
  <c r="A10847" i="1"/>
  <c r="F10846" i="1"/>
  <c r="E10846" i="1"/>
  <c r="D10846" i="1"/>
  <c r="C10846" i="1"/>
  <c r="B10846" i="1"/>
  <c r="A10846" i="1"/>
  <c r="F10845" i="1"/>
  <c r="E10845" i="1"/>
  <c r="D10845" i="1"/>
  <c r="C10845" i="1"/>
  <c r="B10845" i="1"/>
  <c r="A10845" i="1"/>
  <c r="F10844" i="1"/>
  <c r="E10844" i="1"/>
  <c r="D10844" i="1"/>
  <c r="C10844" i="1"/>
  <c r="B10844" i="1"/>
  <c r="A10844" i="1"/>
  <c r="F10843" i="1"/>
  <c r="E10843" i="1"/>
  <c r="D10843" i="1"/>
  <c r="C10843" i="1"/>
  <c r="B10843" i="1"/>
  <c r="A10843" i="1"/>
  <c r="F10842" i="1"/>
  <c r="E10842" i="1"/>
  <c r="D10842" i="1"/>
  <c r="C10842" i="1"/>
  <c r="B10842" i="1"/>
  <c r="A10842" i="1"/>
  <c r="F10841" i="1"/>
  <c r="E10841" i="1"/>
  <c r="D10841" i="1"/>
  <c r="C10841" i="1"/>
  <c r="B10841" i="1"/>
  <c r="A10841" i="1"/>
  <c r="F10840" i="1"/>
  <c r="E10840" i="1"/>
  <c r="D10840" i="1"/>
  <c r="C10840" i="1"/>
  <c r="B10840" i="1"/>
  <c r="A10840" i="1"/>
  <c r="F10839" i="1"/>
  <c r="E10839" i="1"/>
  <c r="D10839" i="1"/>
  <c r="C10839" i="1"/>
  <c r="B10839" i="1"/>
  <c r="A10839" i="1"/>
  <c r="F10838" i="1"/>
  <c r="E10838" i="1"/>
  <c r="D10838" i="1"/>
  <c r="C10838" i="1"/>
  <c r="B10838" i="1"/>
  <c r="A10838" i="1"/>
  <c r="F10837" i="1"/>
  <c r="E10837" i="1"/>
  <c r="D10837" i="1"/>
  <c r="C10837" i="1"/>
  <c r="B10837" i="1"/>
  <c r="A10837" i="1"/>
  <c r="F10836" i="1"/>
  <c r="E10836" i="1"/>
  <c r="D10836" i="1"/>
  <c r="C10836" i="1"/>
  <c r="B10836" i="1"/>
  <c r="A10836" i="1"/>
  <c r="F10835" i="1"/>
  <c r="E10835" i="1"/>
  <c r="D10835" i="1"/>
  <c r="C10835" i="1"/>
  <c r="B10835" i="1"/>
  <c r="A10835" i="1"/>
  <c r="F10834" i="1"/>
  <c r="E10834" i="1"/>
  <c r="D10834" i="1"/>
  <c r="C10834" i="1"/>
  <c r="B10834" i="1"/>
  <c r="A10834" i="1"/>
  <c r="F10833" i="1"/>
  <c r="E10833" i="1"/>
  <c r="D10833" i="1"/>
  <c r="C10833" i="1"/>
  <c r="B10833" i="1"/>
  <c r="A10833" i="1"/>
  <c r="F10832" i="1"/>
  <c r="E10832" i="1"/>
  <c r="D10832" i="1"/>
  <c r="C10832" i="1"/>
  <c r="B10832" i="1"/>
  <c r="A10832" i="1"/>
  <c r="F10831" i="1"/>
  <c r="E10831" i="1"/>
  <c r="D10831" i="1"/>
  <c r="C10831" i="1"/>
  <c r="B10831" i="1"/>
  <c r="A10831" i="1"/>
  <c r="F10830" i="1"/>
  <c r="E10830" i="1"/>
  <c r="D10830" i="1"/>
  <c r="C10830" i="1"/>
  <c r="B10830" i="1"/>
  <c r="A10830" i="1"/>
  <c r="F10829" i="1"/>
  <c r="E10829" i="1"/>
  <c r="D10829" i="1"/>
  <c r="C10829" i="1"/>
  <c r="B10829" i="1"/>
  <c r="A10829" i="1"/>
  <c r="F10828" i="1"/>
  <c r="E10828" i="1"/>
  <c r="D10828" i="1"/>
  <c r="C10828" i="1"/>
  <c r="B10828" i="1"/>
  <c r="A10828" i="1"/>
  <c r="F10827" i="1"/>
  <c r="E10827" i="1"/>
  <c r="D10827" i="1"/>
  <c r="C10827" i="1"/>
  <c r="B10827" i="1"/>
  <c r="A10827" i="1"/>
  <c r="F10826" i="1"/>
  <c r="E10826" i="1"/>
  <c r="D10826" i="1"/>
  <c r="C10826" i="1"/>
  <c r="B10826" i="1"/>
  <c r="A10826" i="1"/>
  <c r="F10825" i="1"/>
  <c r="E10825" i="1"/>
  <c r="D10825" i="1"/>
  <c r="C10825" i="1"/>
  <c r="B10825" i="1"/>
  <c r="A10825" i="1"/>
  <c r="F10824" i="1"/>
  <c r="E10824" i="1"/>
  <c r="D10824" i="1"/>
  <c r="C10824" i="1"/>
  <c r="B10824" i="1"/>
  <c r="A10824" i="1"/>
  <c r="F10823" i="1"/>
  <c r="E10823" i="1"/>
  <c r="D10823" i="1"/>
  <c r="C10823" i="1"/>
  <c r="B10823" i="1"/>
  <c r="A10823" i="1"/>
  <c r="F10822" i="1"/>
  <c r="E10822" i="1"/>
  <c r="D10822" i="1"/>
  <c r="C10822" i="1"/>
  <c r="B10822" i="1"/>
  <c r="A10822" i="1"/>
  <c r="F10821" i="1"/>
  <c r="E10821" i="1"/>
  <c r="D10821" i="1"/>
  <c r="C10821" i="1"/>
  <c r="B10821" i="1"/>
  <c r="A10821" i="1"/>
  <c r="F10820" i="1"/>
  <c r="E10820" i="1"/>
  <c r="D10820" i="1"/>
  <c r="C10820" i="1"/>
  <c r="B10820" i="1"/>
  <c r="A10820" i="1"/>
  <c r="F10819" i="1"/>
  <c r="E10819" i="1"/>
  <c r="D10819" i="1"/>
  <c r="C10819" i="1"/>
  <c r="B10819" i="1"/>
  <c r="A10819" i="1"/>
  <c r="F10818" i="1"/>
  <c r="E10818" i="1"/>
  <c r="D10818" i="1"/>
  <c r="C10818" i="1"/>
  <c r="B10818" i="1"/>
  <c r="A10818" i="1"/>
  <c r="F10817" i="1"/>
  <c r="E10817" i="1"/>
  <c r="D10817" i="1"/>
  <c r="C10817" i="1"/>
  <c r="B10817" i="1"/>
  <c r="A10817" i="1"/>
  <c r="F10816" i="1"/>
  <c r="E10816" i="1"/>
  <c r="D10816" i="1"/>
  <c r="C10816" i="1"/>
  <c r="B10816" i="1"/>
  <c r="A10816" i="1"/>
  <c r="F10815" i="1"/>
  <c r="E10815" i="1"/>
  <c r="D10815" i="1"/>
  <c r="C10815" i="1"/>
  <c r="B10815" i="1"/>
  <c r="A10815" i="1"/>
  <c r="F10814" i="1"/>
  <c r="E10814" i="1"/>
  <c r="D10814" i="1"/>
  <c r="C10814" i="1"/>
  <c r="B10814" i="1"/>
  <c r="A10814" i="1"/>
  <c r="F10813" i="1"/>
  <c r="E10813" i="1"/>
  <c r="D10813" i="1"/>
  <c r="C10813" i="1"/>
  <c r="B10813" i="1"/>
  <c r="A10813" i="1"/>
  <c r="F10812" i="1"/>
  <c r="E10812" i="1"/>
  <c r="D10812" i="1"/>
  <c r="C10812" i="1"/>
  <c r="B10812" i="1"/>
  <c r="A10812" i="1"/>
  <c r="F10811" i="1"/>
  <c r="E10811" i="1"/>
  <c r="D10811" i="1"/>
  <c r="C10811" i="1"/>
  <c r="B10811" i="1"/>
  <c r="A10811" i="1"/>
  <c r="F10810" i="1"/>
  <c r="E10810" i="1"/>
  <c r="D10810" i="1"/>
  <c r="C10810" i="1"/>
  <c r="B10810" i="1"/>
  <c r="A10810" i="1"/>
  <c r="F10809" i="1"/>
  <c r="E10809" i="1"/>
  <c r="D10809" i="1"/>
  <c r="C10809" i="1"/>
  <c r="B10809" i="1"/>
  <c r="A10809" i="1"/>
  <c r="F10808" i="1"/>
  <c r="E10808" i="1"/>
  <c r="D10808" i="1"/>
  <c r="C10808" i="1"/>
  <c r="B10808" i="1"/>
  <c r="A10808" i="1"/>
  <c r="F10807" i="1"/>
  <c r="E10807" i="1"/>
  <c r="D10807" i="1"/>
  <c r="C10807" i="1"/>
  <c r="B10807" i="1"/>
  <c r="A10807" i="1"/>
  <c r="F10806" i="1"/>
  <c r="E10806" i="1"/>
  <c r="D10806" i="1"/>
  <c r="C10806" i="1"/>
  <c r="B10806" i="1"/>
  <c r="A10806" i="1"/>
  <c r="F10805" i="1"/>
  <c r="E10805" i="1"/>
  <c r="D10805" i="1"/>
  <c r="C10805" i="1"/>
  <c r="B10805" i="1"/>
  <c r="A10805" i="1"/>
  <c r="F10804" i="1"/>
  <c r="E10804" i="1"/>
  <c r="D10804" i="1"/>
  <c r="C10804" i="1"/>
  <c r="B10804" i="1"/>
  <c r="A10804" i="1"/>
  <c r="F10803" i="1"/>
  <c r="E10803" i="1"/>
  <c r="D10803" i="1"/>
  <c r="C10803" i="1"/>
  <c r="B10803" i="1"/>
  <c r="A10803" i="1"/>
  <c r="F10802" i="1"/>
  <c r="E10802" i="1"/>
  <c r="D10802" i="1"/>
  <c r="C10802" i="1"/>
  <c r="B10802" i="1"/>
  <c r="A10802" i="1"/>
  <c r="F10801" i="1"/>
  <c r="E10801" i="1"/>
  <c r="D10801" i="1"/>
  <c r="C10801" i="1"/>
  <c r="B10801" i="1"/>
  <c r="A10801" i="1"/>
  <c r="F10800" i="1"/>
  <c r="E10800" i="1"/>
  <c r="D10800" i="1"/>
  <c r="C10800" i="1"/>
  <c r="B10800" i="1"/>
  <c r="A10800" i="1"/>
  <c r="F10799" i="1"/>
  <c r="E10799" i="1"/>
  <c r="D10799" i="1"/>
  <c r="C10799" i="1"/>
  <c r="B10799" i="1"/>
  <c r="A10799" i="1"/>
  <c r="F10798" i="1"/>
  <c r="E10798" i="1"/>
  <c r="D10798" i="1"/>
  <c r="C10798" i="1"/>
  <c r="B10798" i="1"/>
  <c r="A10798" i="1"/>
  <c r="F10797" i="1"/>
  <c r="E10797" i="1"/>
  <c r="D10797" i="1"/>
  <c r="C10797" i="1"/>
  <c r="B10797" i="1"/>
  <c r="A10797" i="1"/>
  <c r="F10796" i="1"/>
  <c r="E10796" i="1"/>
  <c r="D10796" i="1"/>
  <c r="C10796" i="1"/>
  <c r="B10796" i="1"/>
  <c r="A10796" i="1"/>
  <c r="F10795" i="1"/>
  <c r="E10795" i="1"/>
  <c r="D10795" i="1"/>
  <c r="C10795" i="1"/>
  <c r="B10795" i="1"/>
  <c r="A10795" i="1"/>
  <c r="F10794" i="1"/>
  <c r="E10794" i="1"/>
  <c r="D10794" i="1"/>
  <c r="C10794" i="1"/>
  <c r="B10794" i="1"/>
  <c r="A10794" i="1"/>
  <c r="F10793" i="1"/>
  <c r="E10793" i="1"/>
  <c r="D10793" i="1"/>
  <c r="C10793" i="1"/>
  <c r="B10793" i="1"/>
  <c r="A10793" i="1"/>
  <c r="F10792" i="1"/>
  <c r="E10792" i="1"/>
  <c r="D10792" i="1"/>
  <c r="C10792" i="1"/>
  <c r="B10792" i="1"/>
  <c r="A10792" i="1"/>
  <c r="F10791" i="1"/>
  <c r="E10791" i="1"/>
  <c r="D10791" i="1"/>
  <c r="C10791" i="1"/>
  <c r="B10791" i="1"/>
  <c r="A10791" i="1"/>
  <c r="F10790" i="1"/>
  <c r="E10790" i="1"/>
  <c r="D10790" i="1"/>
  <c r="C10790" i="1"/>
  <c r="B10790" i="1"/>
  <c r="A10790" i="1"/>
  <c r="F10789" i="1"/>
  <c r="E10789" i="1"/>
  <c r="D10789" i="1"/>
  <c r="C10789" i="1"/>
  <c r="B10789" i="1"/>
  <c r="A10789" i="1"/>
  <c r="F10788" i="1"/>
  <c r="E10788" i="1"/>
  <c r="D10788" i="1"/>
  <c r="C10788" i="1"/>
  <c r="B10788" i="1"/>
  <c r="A10788" i="1"/>
  <c r="F10787" i="1"/>
  <c r="E10787" i="1"/>
  <c r="D10787" i="1"/>
  <c r="C10787" i="1"/>
  <c r="B10787" i="1"/>
  <c r="A10787" i="1"/>
  <c r="F10786" i="1"/>
  <c r="E10786" i="1"/>
  <c r="D10786" i="1"/>
  <c r="C10786" i="1"/>
  <c r="B10786" i="1"/>
  <c r="A10786" i="1"/>
  <c r="F10785" i="1"/>
  <c r="E10785" i="1"/>
  <c r="D10785" i="1"/>
  <c r="C10785" i="1"/>
  <c r="B10785" i="1"/>
  <c r="A10785" i="1"/>
  <c r="F10784" i="1"/>
  <c r="E10784" i="1"/>
  <c r="D10784" i="1"/>
  <c r="C10784" i="1"/>
  <c r="B10784" i="1"/>
  <c r="A10784" i="1"/>
  <c r="F10783" i="1"/>
  <c r="E10783" i="1"/>
  <c r="D10783" i="1"/>
  <c r="C10783" i="1"/>
  <c r="B10783" i="1"/>
  <c r="A10783" i="1"/>
  <c r="F10782" i="1"/>
  <c r="E10782" i="1"/>
  <c r="D10782" i="1"/>
  <c r="C10782" i="1"/>
  <c r="B10782" i="1"/>
  <c r="A10782" i="1"/>
  <c r="F10781" i="1"/>
  <c r="E10781" i="1"/>
  <c r="D10781" i="1"/>
  <c r="C10781" i="1"/>
  <c r="B10781" i="1"/>
  <c r="A10781" i="1"/>
  <c r="F10780" i="1"/>
  <c r="E10780" i="1"/>
  <c r="D10780" i="1"/>
  <c r="C10780" i="1"/>
  <c r="B10780" i="1"/>
  <c r="A10780" i="1"/>
  <c r="F10779" i="1"/>
  <c r="E10779" i="1"/>
  <c r="D10779" i="1"/>
  <c r="C10779" i="1"/>
  <c r="B10779" i="1"/>
  <c r="A10779" i="1"/>
  <c r="F10778" i="1"/>
  <c r="E10778" i="1"/>
  <c r="D10778" i="1"/>
  <c r="C10778" i="1"/>
  <c r="B10778" i="1"/>
  <c r="A10778" i="1"/>
  <c r="F10777" i="1"/>
  <c r="E10777" i="1"/>
  <c r="D10777" i="1"/>
  <c r="C10777" i="1"/>
  <c r="B10777" i="1"/>
  <c r="A10777" i="1"/>
  <c r="F10776" i="1"/>
  <c r="E10776" i="1"/>
  <c r="D10776" i="1"/>
  <c r="C10776" i="1"/>
  <c r="B10776" i="1"/>
  <c r="A10776" i="1"/>
  <c r="F10775" i="1"/>
  <c r="E10775" i="1"/>
  <c r="D10775" i="1"/>
  <c r="C10775" i="1"/>
  <c r="B10775" i="1"/>
  <c r="A10775" i="1"/>
  <c r="F10774" i="1"/>
  <c r="E10774" i="1"/>
  <c r="D10774" i="1"/>
  <c r="C10774" i="1"/>
  <c r="B10774" i="1"/>
  <c r="A10774" i="1"/>
  <c r="F10773" i="1"/>
  <c r="E10773" i="1"/>
  <c r="D10773" i="1"/>
  <c r="C10773" i="1"/>
  <c r="B10773" i="1"/>
  <c r="A10773" i="1"/>
  <c r="F10772" i="1"/>
  <c r="E10772" i="1"/>
  <c r="D10772" i="1"/>
  <c r="C10772" i="1"/>
  <c r="B10772" i="1"/>
  <c r="A10772" i="1"/>
  <c r="F10771" i="1"/>
  <c r="E10771" i="1"/>
  <c r="D10771" i="1"/>
  <c r="C10771" i="1"/>
  <c r="B10771" i="1"/>
  <c r="A10771" i="1"/>
  <c r="F10770" i="1"/>
  <c r="E10770" i="1"/>
  <c r="D10770" i="1"/>
  <c r="C10770" i="1"/>
  <c r="B10770" i="1"/>
  <c r="A10770" i="1"/>
  <c r="F10769" i="1"/>
  <c r="E10769" i="1"/>
  <c r="D10769" i="1"/>
  <c r="C10769" i="1"/>
  <c r="B10769" i="1"/>
  <c r="A10769" i="1"/>
  <c r="F10768" i="1"/>
  <c r="E10768" i="1"/>
  <c r="D10768" i="1"/>
  <c r="C10768" i="1"/>
  <c r="B10768" i="1"/>
  <c r="A10768" i="1"/>
  <c r="F10767" i="1"/>
  <c r="E10767" i="1"/>
  <c r="D10767" i="1"/>
  <c r="C10767" i="1"/>
  <c r="B10767" i="1"/>
  <c r="A10767" i="1"/>
  <c r="F10766" i="1"/>
  <c r="E10766" i="1"/>
  <c r="D10766" i="1"/>
  <c r="C10766" i="1"/>
  <c r="B10766" i="1"/>
  <c r="A10766" i="1"/>
  <c r="F10765" i="1"/>
  <c r="E10765" i="1"/>
  <c r="D10765" i="1"/>
  <c r="C10765" i="1"/>
  <c r="B10765" i="1"/>
  <c r="A10765" i="1"/>
  <c r="F10764" i="1"/>
  <c r="E10764" i="1"/>
  <c r="D10764" i="1"/>
  <c r="C10764" i="1"/>
  <c r="B10764" i="1"/>
  <c r="A10764" i="1"/>
  <c r="F10763" i="1"/>
  <c r="E10763" i="1"/>
  <c r="D10763" i="1"/>
  <c r="C10763" i="1"/>
  <c r="B10763" i="1"/>
  <c r="A10763" i="1"/>
  <c r="F10762" i="1"/>
  <c r="E10762" i="1"/>
  <c r="D10762" i="1"/>
  <c r="C10762" i="1"/>
  <c r="B10762" i="1"/>
  <c r="A10762" i="1"/>
  <c r="F10761" i="1"/>
  <c r="E10761" i="1"/>
  <c r="D10761" i="1"/>
  <c r="C10761" i="1"/>
  <c r="B10761" i="1"/>
  <c r="A10761" i="1"/>
  <c r="F10760" i="1"/>
  <c r="E10760" i="1"/>
  <c r="D10760" i="1"/>
  <c r="C10760" i="1"/>
  <c r="B10760" i="1"/>
  <c r="A10760" i="1"/>
  <c r="F10759" i="1"/>
  <c r="E10759" i="1"/>
  <c r="D10759" i="1"/>
  <c r="C10759" i="1"/>
  <c r="B10759" i="1"/>
  <c r="A10759" i="1"/>
  <c r="F10758" i="1"/>
  <c r="E10758" i="1"/>
  <c r="D10758" i="1"/>
  <c r="C10758" i="1"/>
  <c r="B10758" i="1"/>
  <c r="A10758" i="1"/>
  <c r="F10757" i="1"/>
  <c r="E10757" i="1"/>
  <c r="D10757" i="1"/>
  <c r="C10757" i="1"/>
  <c r="B10757" i="1"/>
  <c r="A10757" i="1"/>
  <c r="F10756" i="1"/>
  <c r="E10756" i="1"/>
  <c r="D10756" i="1"/>
  <c r="C10756" i="1"/>
  <c r="B10756" i="1"/>
  <c r="A10756" i="1"/>
  <c r="F10755" i="1"/>
  <c r="E10755" i="1"/>
  <c r="D10755" i="1"/>
  <c r="C10755" i="1"/>
  <c r="B10755" i="1"/>
  <c r="A10755" i="1"/>
  <c r="F10754" i="1"/>
  <c r="E10754" i="1"/>
  <c r="D10754" i="1"/>
  <c r="C10754" i="1"/>
  <c r="B10754" i="1"/>
  <c r="A10754" i="1"/>
  <c r="F10753" i="1"/>
  <c r="E10753" i="1"/>
  <c r="D10753" i="1"/>
  <c r="C10753" i="1"/>
  <c r="B10753" i="1"/>
  <c r="A10753" i="1"/>
  <c r="F10752" i="1"/>
  <c r="E10752" i="1"/>
  <c r="D10752" i="1"/>
  <c r="C10752" i="1"/>
  <c r="B10752" i="1"/>
  <c r="A10752" i="1"/>
  <c r="F10751" i="1"/>
  <c r="E10751" i="1"/>
  <c r="D10751" i="1"/>
  <c r="C10751" i="1"/>
  <c r="B10751" i="1"/>
  <c r="A10751" i="1"/>
  <c r="F10750" i="1"/>
  <c r="E10750" i="1"/>
  <c r="D10750" i="1"/>
  <c r="C10750" i="1"/>
  <c r="B10750" i="1"/>
  <c r="A10750" i="1"/>
  <c r="F10749" i="1"/>
  <c r="E10749" i="1"/>
  <c r="D10749" i="1"/>
  <c r="C10749" i="1"/>
  <c r="B10749" i="1"/>
  <c r="A10749" i="1"/>
  <c r="F10748" i="1"/>
  <c r="E10748" i="1"/>
  <c r="D10748" i="1"/>
  <c r="C10748" i="1"/>
  <c r="B10748" i="1"/>
  <c r="A10748" i="1"/>
  <c r="F10747" i="1"/>
  <c r="E10747" i="1"/>
  <c r="D10747" i="1"/>
  <c r="C10747" i="1"/>
  <c r="B10747" i="1"/>
  <c r="A10747" i="1"/>
  <c r="F10746" i="1"/>
  <c r="E10746" i="1"/>
  <c r="D10746" i="1"/>
  <c r="C10746" i="1"/>
  <c r="B10746" i="1"/>
  <c r="A10746" i="1"/>
  <c r="F10745" i="1"/>
  <c r="E10745" i="1"/>
  <c r="D10745" i="1"/>
  <c r="C10745" i="1"/>
  <c r="B10745" i="1"/>
  <c r="A10745" i="1"/>
  <c r="F10744" i="1"/>
  <c r="E10744" i="1"/>
  <c r="D10744" i="1"/>
  <c r="C10744" i="1"/>
  <c r="B10744" i="1"/>
  <c r="A10744" i="1"/>
  <c r="F10743" i="1"/>
  <c r="E10743" i="1"/>
  <c r="D10743" i="1"/>
  <c r="C10743" i="1"/>
  <c r="B10743" i="1"/>
  <c r="A10743" i="1"/>
  <c r="F10742" i="1"/>
  <c r="E10742" i="1"/>
  <c r="D10742" i="1"/>
  <c r="C10742" i="1"/>
  <c r="B10742" i="1"/>
  <c r="A10742" i="1"/>
  <c r="F10741" i="1"/>
  <c r="E10741" i="1"/>
  <c r="D10741" i="1"/>
  <c r="C10741" i="1"/>
  <c r="B10741" i="1"/>
  <c r="A10741" i="1"/>
  <c r="F10740" i="1"/>
  <c r="E10740" i="1"/>
  <c r="D10740" i="1"/>
  <c r="C10740" i="1"/>
  <c r="B10740" i="1"/>
  <c r="A10740" i="1"/>
  <c r="F10739" i="1"/>
  <c r="E10739" i="1"/>
  <c r="D10739" i="1"/>
  <c r="C10739" i="1"/>
  <c r="B10739" i="1"/>
  <c r="A10739" i="1"/>
  <c r="F10738" i="1"/>
  <c r="E10738" i="1"/>
  <c r="D10738" i="1"/>
  <c r="C10738" i="1"/>
  <c r="B10738" i="1"/>
  <c r="A10738" i="1"/>
  <c r="F10737" i="1"/>
  <c r="E10737" i="1"/>
  <c r="D10737" i="1"/>
  <c r="C10737" i="1"/>
  <c r="B10737" i="1"/>
  <c r="A10737" i="1"/>
  <c r="F10736" i="1"/>
  <c r="E10736" i="1"/>
  <c r="D10736" i="1"/>
  <c r="C10736" i="1"/>
  <c r="B10736" i="1"/>
  <c r="A10736" i="1"/>
  <c r="F10735" i="1"/>
  <c r="E10735" i="1"/>
  <c r="D10735" i="1"/>
  <c r="C10735" i="1"/>
  <c r="B10735" i="1"/>
  <c r="A10735" i="1"/>
  <c r="F10734" i="1"/>
  <c r="E10734" i="1"/>
  <c r="D10734" i="1"/>
  <c r="C10734" i="1"/>
  <c r="B10734" i="1"/>
  <c r="A10734" i="1"/>
  <c r="F10733" i="1"/>
  <c r="E10733" i="1"/>
  <c r="D10733" i="1"/>
  <c r="C10733" i="1"/>
  <c r="B10733" i="1"/>
  <c r="A10733" i="1"/>
  <c r="F10732" i="1"/>
  <c r="E10732" i="1"/>
  <c r="D10732" i="1"/>
  <c r="C10732" i="1"/>
  <c r="B10732" i="1"/>
  <c r="A10732" i="1"/>
  <c r="F10731" i="1"/>
  <c r="E10731" i="1"/>
  <c r="D10731" i="1"/>
  <c r="C10731" i="1"/>
  <c r="B10731" i="1"/>
  <c r="A10731" i="1"/>
  <c r="F10730" i="1"/>
  <c r="E10730" i="1"/>
  <c r="D10730" i="1"/>
  <c r="C10730" i="1"/>
  <c r="B10730" i="1"/>
  <c r="A10730" i="1"/>
  <c r="F10729" i="1"/>
  <c r="E10729" i="1"/>
  <c r="D10729" i="1"/>
  <c r="C10729" i="1"/>
  <c r="B10729" i="1"/>
  <c r="A10729" i="1"/>
  <c r="F10728" i="1"/>
  <c r="E10728" i="1"/>
  <c r="D10728" i="1"/>
  <c r="C10728" i="1"/>
  <c r="B10728" i="1"/>
  <c r="A10728" i="1"/>
  <c r="F10727" i="1"/>
  <c r="E10727" i="1"/>
  <c r="D10727" i="1"/>
  <c r="C10727" i="1"/>
  <c r="B10727" i="1"/>
  <c r="A10727" i="1"/>
  <c r="F10726" i="1"/>
  <c r="E10726" i="1"/>
  <c r="D10726" i="1"/>
  <c r="C10726" i="1"/>
  <c r="B10726" i="1"/>
  <c r="A10726" i="1"/>
  <c r="F10725" i="1"/>
  <c r="E10725" i="1"/>
  <c r="D10725" i="1"/>
  <c r="C10725" i="1"/>
  <c r="B10725" i="1"/>
  <c r="A10725" i="1"/>
  <c r="F10724" i="1"/>
  <c r="E10724" i="1"/>
  <c r="D10724" i="1"/>
  <c r="C10724" i="1"/>
  <c r="B10724" i="1"/>
  <c r="A10724" i="1"/>
  <c r="F10723" i="1"/>
  <c r="E10723" i="1"/>
  <c r="D10723" i="1"/>
  <c r="C10723" i="1"/>
  <c r="B10723" i="1"/>
  <c r="A10723" i="1"/>
  <c r="F10722" i="1"/>
  <c r="E10722" i="1"/>
  <c r="D10722" i="1"/>
  <c r="C10722" i="1"/>
  <c r="B10722" i="1"/>
  <c r="A10722" i="1"/>
  <c r="F10721" i="1"/>
  <c r="E10721" i="1"/>
  <c r="D10721" i="1"/>
  <c r="C10721" i="1"/>
  <c r="B10721" i="1"/>
  <c r="A10721" i="1"/>
  <c r="F10720" i="1"/>
  <c r="E10720" i="1"/>
  <c r="D10720" i="1"/>
  <c r="C10720" i="1"/>
  <c r="B10720" i="1"/>
  <c r="A10720" i="1"/>
  <c r="F10719" i="1"/>
  <c r="E10719" i="1"/>
  <c r="D10719" i="1"/>
  <c r="C10719" i="1"/>
  <c r="B10719" i="1"/>
  <c r="A10719" i="1"/>
  <c r="F10718" i="1"/>
  <c r="E10718" i="1"/>
  <c r="D10718" i="1"/>
  <c r="C10718" i="1"/>
  <c r="B10718" i="1"/>
  <c r="A10718" i="1"/>
  <c r="F10717" i="1"/>
  <c r="E10717" i="1"/>
  <c r="D10717" i="1"/>
  <c r="C10717" i="1"/>
  <c r="B10717" i="1"/>
  <c r="A10717" i="1"/>
  <c r="F10716" i="1"/>
  <c r="E10716" i="1"/>
  <c r="D10716" i="1"/>
  <c r="C10716" i="1"/>
  <c r="B10716" i="1"/>
  <c r="A10716" i="1"/>
  <c r="F10715" i="1"/>
  <c r="E10715" i="1"/>
  <c r="D10715" i="1"/>
  <c r="C10715" i="1"/>
  <c r="B10715" i="1"/>
  <c r="A10715" i="1"/>
  <c r="F10714" i="1"/>
  <c r="E10714" i="1"/>
  <c r="D10714" i="1"/>
  <c r="C10714" i="1"/>
  <c r="B10714" i="1"/>
  <c r="A10714" i="1"/>
  <c r="F10713" i="1"/>
  <c r="E10713" i="1"/>
  <c r="D10713" i="1"/>
  <c r="C10713" i="1"/>
  <c r="B10713" i="1"/>
  <c r="A10713" i="1"/>
  <c r="F10712" i="1"/>
  <c r="E10712" i="1"/>
  <c r="D10712" i="1"/>
  <c r="C10712" i="1"/>
  <c r="B10712" i="1"/>
  <c r="A10712" i="1"/>
  <c r="F10711" i="1"/>
  <c r="E10711" i="1"/>
  <c r="D10711" i="1"/>
  <c r="C10711" i="1"/>
  <c r="B10711" i="1"/>
  <c r="A10711" i="1"/>
  <c r="F10710" i="1"/>
  <c r="E10710" i="1"/>
  <c r="D10710" i="1"/>
  <c r="C10710" i="1"/>
  <c r="B10710" i="1"/>
  <c r="A10710" i="1"/>
  <c r="F10709" i="1"/>
  <c r="E10709" i="1"/>
  <c r="D10709" i="1"/>
  <c r="C10709" i="1"/>
  <c r="B10709" i="1"/>
  <c r="A10709" i="1"/>
  <c r="F10708" i="1"/>
  <c r="E10708" i="1"/>
  <c r="D10708" i="1"/>
  <c r="C10708" i="1"/>
  <c r="B10708" i="1"/>
  <c r="A10708" i="1"/>
  <c r="F10707" i="1"/>
  <c r="E10707" i="1"/>
  <c r="D10707" i="1"/>
  <c r="C10707" i="1"/>
  <c r="B10707" i="1"/>
  <c r="A10707" i="1"/>
  <c r="F10706" i="1"/>
  <c r="E10706" i="1"/>
  <c r="D10706" i="1"/>
  <c r="C10706" i="1"/>
  <c r="B10706" i="1"/>
  <c r="A10706" i="1"/>
  <c r="F10705" i="1"/>
  <c r="E10705" i="1"/>
  <c r="D10705" i="1"/>
  <c r="C10705" i="1"/>
  <c r="B10705" i="1"/>
  <c r="A10705" i="1"/>
  <c r="F10704" i="1"/>
  <c r="E10704" i="1"/>
  <c r="D10704" i="1"/>
  <c r="C10704" i="1"/>
  <c r="B10704" i="1"/>
  <c r="A10704" i="1"/>
  <c r="F10703" i="1"/>
  <c r="E10703" i="1"/>
  <c r="D10703" i="1"/>
  <c r="C10703" i="1"/>
  <c r="B10703" i="1"/>
  <c r="A10703" i="1"/>
  <c r="F10702" i="1"/>
  <c r="E10702" i="1"/>
  <c r="D10702" i="1"/>
  <c r="C10702" i="1"/>
  <c r="B10702" i="1"/>
  <c r="A10702" i="1"/>
  <c r="F10701" i="1"/>
  <c r="E10701" i="1"/>
  <c r="D10701" i="1"/>
  <c r="C10701" i="1"/>
  <c r="B10701" i="1"/>
  <c r="A10701" i="1"/>
  <c r="F10700" i="1"/>
  <c r="E10700" i="1"/>
  <c r="D10700" i="1"/>
  <c r="C10700" i="1"/>
  <c r="B10700" i="1"/>
  <c r="A10700" i="1"/>
  <c r="F10699" i="1"/>
  <c r="E10699" i="1"/>
  <c r="D10699" i="1"/>
  <c r="C10699" i="1"/>
  <c r="B10699" i="1"/>
  <c r="A10699" i="1"/>
  <c r="F10698" i="1"/>
  <c r="E10698" i="1"/>
  <c r="D10698" i="1"/>
  <c r="C10698" i="1"/>
  <c r="B10698" i="1"/>
  <c r="A10698" i="1"/>
  <c r="F10697" i="1"/>
  <c r="E10697" i="1"/>
  <c r="D10697" i="1"/>
  <c r="C10697" i="1"/>
  <c r="B10697" i="1"/>
  <c r="A10697" i="1"/>
  <c r="F10696" i="1"/>
  <c r="E10696" i="1"/>
  <c r="D10696" i="1"/>
  <c r="C10696" i="1"/>
  <c r="B10696" i="1"/>
  <c r="A10696" i="1"/>
  <c r="F10695" i="1"/>
  <c r="E10695" i="1"/>
  <c r="D10695" i="1"/>
  <c r="C10695" i="1"/>
  <c r="B10695" i="1"/>
  <c r="A10695" i="1"/>
  <c r="F10694" i="1"/>
  <c r="E10694" i="1"/>
  <c r="D10694" i="1"/>
  <c r="C10694" i="1"/>
  <c r="B10694" i="1"/>
  <c r="A10694" i="1"/>
  <c r="F10693" i="1"/>
  <c r="E10693" i="1"/>
  <c r="D10693" i="1"/>
  <c r="C10693" i="1"/>
  <c r="B10693" i="1"/>
  <c r="A10693" i="1"/>
  <c r="F10692" i="1"/>
  <c r="E10692" i="1"/>
  <c r="D10692" i="1"/>
  <c r="C10692" i="1"/>
  <c r="B10692" i="1"/>
  <c r="A10692" i="1"/>
  <c r="F10691" i="1"/>
  <c r="E10691" i="1"/>
  <c r="D10691" i="1"/>
  <c r="C10691" i="1"/>
  <c r="B10691" i="1"/>
  <c r="A10691" i="1"/>
  <c r="F10690" i="1"/>
  <c r="E10690" i="1"/>
  <c r="D10690" i="1"/>
  <c r="C10690" i="1"/>
  <c r="B10690" i="1"/>
  <c r="A10690" i="1"/>
  <c r="F10689" i="1"/>
  <c r="E10689" i="1"/>
  <c r="D10689" i="1"/>
  <c r="C10689" i="1"/>
  <c r="B10689" i="1"/>
  <c r="A10689" i="1"/>
  <c r="F10688" i="1"/>
  <c r="E10688" i="1"/>
  <c r="D10688" i="1"/>
  <c r="C10688" i="1"/>
  <c r="B10688" i="1"/>
  <c r="A10688" i="1"/>
  <c r="F10687" i="1"/>
  <c r="E10687" i="1"/>
  <c r="D10687" i="1"/>
  <c r="C10687" i="1"/>
  <c r="B10687" i="1"/>
  <c r="A10687" i="1"/>
  <c r="F10686" i="1"/>
  <c r="E10686" i="1"/>
  <c r="D10686" i="1"/>
  <c r="C10686" i="1"/>
  <c r="B10686" i="1"/>
  <c r="A10686" i="1"/>
  <c r="F10685" i="1"/>
  <c r="E10685" i="1"/>
  <c r="D10685" i="1"/>
  <c r="C10685" i="1"/>
  <c r="B10685" i="1"/>
  <c r="A10685" i="1"/>
  <c r="F10684" i="1"/>
  <c r="E10684" i="1"/>
  <c r="D10684" i="1"/>
  <c r="C10684" i="1"/>
  <c r="B10684" i="1"/>
  <c r="A10684" i="1"/>
  <c r="F10683" i="1"/>
  <c r="E10683" i="1"/>
  <c r="D10683" i="1"/>
  <c r="C10683" i="1"/>
  <c r="B10683" i="1"/>
  <c r="A10683" i="1"/>
  <c r="F10682" i="1"/>
  <c r="E10682" i="1"/>
  <c r="D10682" i="1"/>
  <c r="C10682" i="1"/>
  <c r="B10682" i="1"/>
  <c r="A10682" i="1"/>
  <c r="F10681" i="1"/>
  <c r="E10681" i="1"/>
  <c r="D10681" i="1"/>
  <c r="C10681" i="1"/>
  <c r="B10681" i="1"/>
  <c r="A10681" i="1"/>
  <c r="F10680" i="1"/>
  <c r="E10680" i="1"/>
  <c r="D10680" i="1"/>
  <c r="C10680" i="1"/>
  <c r="B10680" i="1"/>
  <c r="A10680" i="1"/>
  <c r="F10679" i="1"/>
  <c r="E10679" i="1"/>
  <c r="D10679" i="1"/>
  <c r="C10679" i="1"/>
  <c r="B10679" i="1"/>
  <c r="A10679" i="1"/>
  <c r="F10678" i="1"/>
  <c r="E10678" i="1"/>
  <c r="D10678" i="1"/>
  <c r="C10678" i="1"/>
  <c r="B10678" i="1"/>
  <c r="A10678" i="1"/>
  <c r="F10677" i="1"/>
  <c r="E10677" i="1"/>
  <c r="D10677" i="1"/>
  <c r="C10677" i="1"/>
  <c r="B10677" i="1"/>
  <c r="A10677" i="1"/>
  <c r="F10676" i="1"/>
  <c r="E10676" i="1"/>
  <c r="D10676" i="1"/>
  <c r="C10676" i="1"/>
  <c r="B10676" i="1"/>
  <c r="A10676" i="1"/>
  <c r="F10675" i="1"/>
  <c r="E10675" i="1"/>
  <c r="D10675" i="1"/>
  <c r="C10675" i="1"/>
  <c r="B10675" i="1"/>
  <c r="A10675" i="1"/>
  <c r="F10674" i="1"/>
  <c r="E10674" i="1"/>
  <c r="D10674" i="1"/>
  <c r="C10674" i="1"/>
  <c r="B10674" i="1"/>
  <c r="A10674" i="1"/>
  <c r="F10673" i="1"/>
  <c r="E10673" i="1"/>
  <c r="D10673" i="1"/>
  <c r="C10673" i="1"/>
  <c r="B10673" i="1"/>
  <c r="A10673" i="1"/>
  <c r="F10672" i="1"/>
  <c r="E10672" i="1"/>
  <c r="D10672" i="1"/>
  <c r="C10672" i="1"/>
  <c r="B10672" i="1"/>
  <c r="A10672" i="1"/>
  <c r="F10671" i="1"/>
  <c r="E10671" i="1"/>
  <c r="D10671" i="1"/>
  <c r="C10671" i="1"/>
  <c r="B10671" i="1"/>
  <c r="A10671" i="1"/>
  <c r="F10670" i="1"/>
  <c r="E10670" i="1"/>
  <c r="D10670" i="1"/>
  <c r="C10670" i="1"/>
  <c r="B10670" i="1"/>
  <c r="A10670" i="1"/>
  <c r="F10669" i="1"/>
  <c r="E10669" i="1"/>
  <c r="D10669" i="1"/>
  <c r="C10669" i="1"/>
  <c r="B10669" i="1"/>
  <c r="A10669" i="1"/>
  <c r="F10668" i="1"/>
  <c r="E10668" i="1"/>
  <c r="D10668" i="1"/>
  <c r="C10668" i="1"/>
  <c r="B10668" i="1"/>
  <c r="A10668" i="1"/>
  <c r="F10667" i="1"/>
  <c r="E10667" i="1"/>
  <c r="D10667" i="1"/>
  <c r="C10667" i="1"/>
  <c r="B10667" i="1"/>
  <c r="A10667" i="1"/>
  <c r="F10666" i="1"/>
  <c r="E10666" i="1"/>
  <c r="D10666" i="1"/>
  <c r="C10666" i="1"/>
  <c r="B10666" i="1"/>
  <c r="A10666" i="1"/>
  <c r="F10665" i="1"/>
  <c r="E10665" i="1"/>
  <c r="D10665" i="1"/>
  <c r="C10665" i="1"/>
  <c r="B10665" i="1"/>
  <c r="A10665" i="1"/>
  <c r="F10664" i="1"/>
  <c r="E10664" i="1"/>
  <c r="D10664" i="1"/>
  <c r="C10664" i="1"/>
  <c r="B10664" i="1"/>
  <c r="A10664" i="1"/>
  <c r="F10663" i="1"/>
  <c r="E10663" i="1"/>
  <c r="D10663" i="1"/>
  <c r="C10663" i="1"/>
  <c r="B10663" i="1"/>
  <c r="A10663" i="1"/>
  <c r="F10662" i="1"/>
  <c r="E10662" i="1"/>
  <c r="D10662" i="1"/>
  <c r="C10662" i="1"/>
  <c r="B10662" i="1"/>
  <c r="A10662" i="1"/>
  <c r="F10661" i="1"/>
  <c r="E10661" i="1"/>
  <c r="D10661" i="1"/>
  <c r="C10661" i="1"/>
  <c r="B10661" i="1"/>
  <c r="A10661" i="1"/>
  <c r="F10660" i="1"/>
  <c r="E10660" i="1"/>
  <c r="D10660" i="1"/>
  <c r="C10660" i="1"/>
  <c r="B10660" i="1"/>
  <c r="A10660" i="1"/>
  <c r="F10659" i="1"/>
  <c r="E10659" i="1"/>
  <c r="D10659" i="1"/>
  <c r="C10659" i="1"/>
  <c r="B10659" i="1"/>
  <c r="A10659" i="1"/>
  <c r="F10658" i="1"/>
  <c r="E10658" i="1"/>
  <c r="D10658" i="1"/>
  <c r="C10658" i="1"/>
  <c r="B10658" i="1"/>
  <c r="A10658" i="1"/>
  <c r="F10657" i="1"/>
  <c r="E10657" i="1"/>
  <c r="D10657" i="1"/>
  <c r="C10657" i="1"/>
  <c r="B10657" i="1"/>
  <c r="A10657" i="1"/>
  <c r="F10656" i="1"/>
  <c r="E10656" i="1"/>
  <c r="D10656" i="1"/>
  <c r="C10656" i="1"/>
  <c r="B10656" i="1"/>
  <c r="A10656" i="1"/>
  <c r="F10655" i="1"/>
  <c r="E10655" i="1"/>
  <c r="D10655" i="1"/>
  <c r="C10655" i="1"/>
  <c r="B10655" i="1"/>
  <c r="A10655" i="1"/>
  <c r="F10654" i="1"/>
  <c r="E10654" i="1"/>
  <c r="D10654" i="1"/>
  <c r="C10654" i="1"/>
  <c r="B10654" i="1"/>
  <c r="A10654" i="1"/>
  <c r="F10653" i="1"/>
  <c r="E10653" i="1"/>
  <c r="D10653" i="1"/>
  <c r="C10653" i="1"/>
  <c r="B10653" i="1"/>
  <c r="A10653" i="1"/>
  <c r="F10652" i="1"/>
  <c r="E10652" i="1"/>
  <c r="D10652" i="1"/>
  <c r="C10652" i="1"/>
  <c r="B10652" i="1"/>
  <c r="A10652" i="1"/>
  <c r="F10651" i="1"/>
  <c r="E10651" i="1"/>
  <c r="D10651" i="1"/>
  <c r="C10651" i="1"/>
  <c r="B10651" i="1"/>
  <c r="A10651" i="1"/>
  <c r="F10650" i="1"/>
  <c r="E10650" i="1"/>
  <c r="D10650" i="1"/>
  <c r="C10650" i="1"/>
  <c r="B10650" i="1"/>
  <c r="A10650" i="1"/>
  <c r="F10649" i="1"/>
  <c r="E10649" i="1"/>
  <c r="D10649" i="1"/>
  <c r="C10649" i="1"/>
  <c r="B10649" i="1"/>
  <c r="A10649" i="1"/>
  <c r="F10648" i="1"/>
  <c r="E10648" i="1"/>
  <c r="D10648" i="1"/>
  <c r="C10648" i="1"/>
  <c r="B10648" i="1"/>
  <c r="A10648" i="1"/>
  <c r="F10647" i="1"/>
  <c r="E10647" i="1"/>
  <c r="D10647" i="1"/>
  <c r="C10647" i="1"/>
  <c r="B10647" i="1"/>
  <c r="A10647" i="1"/>
  <c r="F10646" i="1"/>
  <c r="E10646" i="1"/>
  <c r="D10646" i="1"/>
  <c r="C10646" i="1"/>
  <c r="B10646" i="1"/>
  <c r="A10646" i="1"/>
  <c r="F10645" i="1"/>
  <c r="E10645" i="1"/>
  <c r="D10645" i="1"/>
  <c r="C10645" i="1"/>
  <c r="B10645" i="1"/>
  <c r="A10645" i="1"/>
  <c r="F10644" i="1"/>
  <c r="E10644" i="1"/>
  <c r="D10644" i="1"/>
  <c r="C10644" i="1"/>
  <c r="B10644" i="1"/>
  <c r="A10644" i="1"/>
  <c r="F10643" i="1"/>
  <c r="E10643" i="1"/>
  <c r="D10643" i="1"/>
  <c r="C10643" i="1"/>
  <c r="B10643" i="1"/>
  <c r="A10643" i="1"/>
  <c r="F10642" i="1"/>
  <c r="E10642" i="1"/>
  <c r="D10642" i="1"/>
  <c r="C10642" i="1"/>
  <c r="B10642" i="1"/>
  <c r="A10642" i="1"/>
  <c r="F10641" i="1"/>
  <c r="E10641" i="1"/>
  <c r="D10641" i="1"/>
  <c r="C10641" i="1"/>
  <c r="B10641" i="1"/>
  <c r="A10641" i="1"/>
  <c r="F10640" i="1"/>
  <c r="E10640" i="1"/>
  <c r="D10640" i="1"/>
  <c r="C10640" i="1"/>
  <c r="B10640" i="1"/>
  <c r="A10640" i="1"/>
  <c r="F10639" i="1"/>
  <c r="E10639" i="1"/>
  <c r="D10639" i="1"/>
  <c r="C10639" i="1"/>
  <c r="B10639" i="1"/>
  <c r="A10639" i="1"/>
  <c r="F10638" i="1"/>
  <c r="E10638" i="1"/>
  <c r="D10638" i="1"/>
  <c r="C10638" i="1"/>
  <c r="B10638" i="1"/>
  <c r="A10638" i="1"/>
  <c r="F10637" i="1"/>
  <c r="E10637" i="1"/>
  <c r="D10637" i="1"/>
  <c r="C10637" i="1"/>
  <c r="B10637" i="1"/>
  <c r="A10637" i="1"/>
  <c r="F10636" i="1"/>
  <c r="E10636" i="1"/>
  <c r="D10636" i="1"/>
  <c r="C10636" i="1"/>
  <c r="B10636" i="1"/>
  <c r="A10636" i="1"/>
  <c r="F10635" i="1"/>
  <c r="E10635" i="1"/>
  <c r="D10635" i="1"/>
  <c r="C10635" i="1"/>
  <c r="B10635" i="1"/>
  <c r="A10635" i="1"/>
  <c r="F10634" i="1"/>
  <c r="E10634" i="1"/>
  <c r="D10634" i="1"/>
  <c r="C10634" i="1"/>
  <c r="B10634" i="1"/>
  <c r="A10634" i="1"/>
  <c r="F10633" i="1"/>
  <c r="E10633" i="1"/>
  <c r="D10633" i="1"/>
  <c r="C10633" i="1"/>
  <c r="B10633" i="1"/>
  <c r="A10633" i="1"/>
  <c r="F10632" i="1"/>
  <c r="E10632" i="1"/>
  <c r="D10632" i="1"/>
  <c r="C10632" i="1"/>
  <c r="B10632" i="1"/>
  <c r="A10632" i="1"/>
  <c r="F10631" i="1"/>
  <c r="E10631" i="1"/>
  <c r="D10631" i="1"/>
  <c r="C10631" i="1"/>
  <c r="B10631" i="1"/>
  <c r="A10631" i="1"/>
  <c r="F10630" i="1"/>
  <c r="E10630" i="1"/>
  <c r="D10630" i="1"/>
  <c r="C10630" i="1"/>
  <c r="B10630" i="1"/>
  <c r="A10630" i="1"/>
  <c r="F10629" i="1"/>
  <c r="E10629" i="1"/>
  <c r="D10629" i="1"/>
  <c r="C10629" i="1"/>
  <c r="B10629" i="1"/>
  <c r="A10629" i="1"/>
  <c r="F10628" i="1"/>
  <c r="E10628" i="1"/>
  <c r="D10628" i="1"/>
  <c r="C10628" i="1"/>
  <c r="B10628" i="1"/>
  <c r="A10628" i="1"/>
  <c r="F10627" i="1"/>
  <c r="E10627" i="1"/>
  <c r="D10627" i="1"/>
  <c r="C10627" i="1"/>
  <c r="B10627" i="1"/>
  <c r="A10627" i="1"/>
  <c r="F10626" i="1"/>
  <c r="E10626" i="1"/>
  <c r="D10626" i="1"/>
  <c r="C10626" i="1"/>
  <c r="B10626" i="1"/>
  <c r="A10626" i="1"/>
  <c r="F10625" i="1"/>
  <c r="E10625" i="1"/>
  <c r="D10625" i="1"/>
  <c r="C10625" i="1"/>
  <c r="B10625" i="1"/>
  <c r="A10625" i="1"/>
  <c r="F10624" i="1"/>
  <c r="E10624" i="1"/>
  <c r="D10624" i="1"/>
  <c r="C10624" i="1"/>
  <c r="B10624" i="1"/>
  <c r="A10624" i="1"/>
  <c r="F10623" i="1"/>
  <c r="E10623" i="1"/>
  <c r="D10623" i="1"/>
  <c r="C10623" i="1"/>
  <c r="B10623" i="1"/>
  <c r="A10623" i="1"/>
  <c r="F10622" i="1"/>
  <c r="E10622" i="1"/>
  <c r="D10622" i="1"/>
  <c r="C10622" i="1"/>
  <c r="B10622" i="1"/>
  <c r="A10622" i="1"/>
  <c r="F10621" i="1"/>
  <c r="E10621" i="1"/>
  <c r="D10621" i="1"/>
  <c r="C10621" i="1"/>
  <c r="B10621" i="1"/>
  <c r="A10621" i="1"/>
  <c r="F10620" i="1"/>
  <c r="E10620" i="1"/>
  <c r="D10620" i="1"/>
  <c r="C10620" i="1"/>
  <c r="B10620" i="1"/>
  <c r="A10620" i="1"/>
  <c r="F10619" i="1"/>
  <c r="E10619" i="1"/>
  <c r="D10619" i="1"/>
  <c r="C10619" i="1"/>
  <c r="B10619" i="1"/>
  <c r="A10619" i="1"/>
  <c r="F10618" i="1"/>
  <c r="E10618" i="1"/>
  <c r="D10618" i="1"/>
  <c r="C10618" i="1"/>
  <c r="B10618" i="1"/>
  <c r="A10618" i="1"/>
  <c r="F10617" i="1"/>
  <c r="E10617" i="1"/>
  <c r="D10617" i="1"/>
  <c r="C10617" i="1"/>
  <c r="B10617" i="1"/>
  <c r="A10617" i="1"/>
  <c r="F10616" i="1"/>
  <c r="E10616" i="1"/>
  <c r="D10616" i="1"/>
  <c r="C10616" i="1"/>
  <c r="B10616" i="1"/>
  <c r="A10616" i="1"/>
  <c r="F10615" i="1"/>
  <c r="E10615" i="1"/>
  <c r="D10615" i="1"/>
  <c r="C10615" i="1"/>
  <c r="B10615" i="1"/>
  <c r="A10615" i="1"/>
  <c r="F10614" i="1"/>
  <c r="E10614" i="1"/>
  <c r="D10614" i="1"/>
  <c r="C10614" i="1"/>
  <c r="B10614" i="1"/>
  <c r="A10614" i="1"/>
  <c r="F10613" i="1"/>
  <c r="E10613" i="1"/>
  <c r="D10613" i="1"/>
  <c r="C10613" i="1"/>
  <c r="B10613" i="1"/>
  <c r="A10613" i="1"/>
  <c r="F10612" i="1"/>
  <c r="E10612" i="1"/>
  <c r="D10612" i="1"/>
  <c r="C10612" i="1"/>
  <c r="B10612" i="1"/>
  <c r="A10612" i="1"/>
  <c r="F10611" i="1"/>
  <c r="E10611" i="1"/>
  <c r="D10611" i="1"/>
  <c r="C10611" i="1"/>
  <c r="B10611" i="1"/>
  <c r="A10611" i="1"/>
  <c r="F10610" i="1"/>
  <c r="E10610" i="1"/>
  <c r="D10610" i="1"/>
  <c r="C10610" i="1"/>
  <c r="B10610" i="1"/>
  <c r="A10610" i="1"/>
  <c r="F10609" i="1"/>
  <c r="E10609" i="1"/>
  <c r="D10609" i="1"/>
  <c r="C10609" i="1"/>
  <c r="B10609" i="1"/>
  <c r="A10609" i="1"/>
  <c r="F10608" i="1"/>
  <c r="E10608" i="1"/>
  <c r="D10608" i="1"/>
  <c r="C10608" i="1"/>
  <c r="B10608" i="1"/>
  <c r="A10608" i="1"/>
  <c r="F10607" i="1"/>
  <c r="E10607" i="1"/>
  <c r="D10607" i="1"/>
  <c r="C10607" i="1"/>
  <c r="B10607" i="1"/>
  <c r="A10607" i="1"/>
  <c r="F10606" i="1"/>
  <c r="E10606" i="1"/>
  <c r="D10606" i="1"/>
  <c r="C10606" i="1"/>
  <c r="B10606" i="1"/>
  <c r="A10606" i="1"/>
  <c r="F10605" i="1"/>
  <c r="E10605" i="1"/>
  <c r="D10605" i="1"/>
  <c r="C10605" i="1"/>
  <c r="B10605" i="1"/>
  <c r="A10605" i="1"/>
  <c r="F10604" i="1"/>
  <c r="E10604" i="1"/>
  <c r="D10604" i="1"/>
  <c r="C10604" i="1"/>
  <c r="B10604" i="1"/>
  <c r="A10604" i="1"/>
  <c r="F10603" i="1"/>
  <c r="E10603" i="1"/>
  <c r="D10603" i="1"/>
  <c r="C10603" i="1"/>
  <c r="B10603" i="1"/>
  <c r="A10603" i="1"/>
  <c r="F10602" i="1"/>
  <c r="E10602" i="1"/>
  <c r="D10602" i="1"/>
  <c r="C10602" i="1"/>
  <c r="B10602" i="1"/>
  <c r="A10602" i="1"/>
  <c r="F10601" i="1"/>
  <c r="E10601" i="1"/>
  <c r="D10601" i="1"/>
  <c r="C10601" i="1"/>
  <c r="B10601" i="1"/>
  <c r="A10601" i="1"/>
  <c r="F10600" i="1"/>
  <c r="E10600" i="1"/>
  <c r="D10600" i="1"/>
  <c r="C10600" i="1"/>
  <c r="B10600" i="1"/>
  <c r="A10600" i="1"/>
  <c r="F10599" i="1"/>
  <c r="E10599" i="1"/>
  <c r="D10599" i="1"/>
  <c r="C10599" i="1"/>
  <c r="B10599" i="1"/>
  <c r="A10599" i="1"/>
  <c r="F10598" i="1"/>
  <c r="E10598" i="1"/>
  <c r="D10598" i="1"/>
  <c r="C10598" i="1"/>
  <c r="B10598" i="1"/>
  <c r="A10598" i="1"/>
  <c r="F10597" i="1"/>
  <c r="E10597" i="1"/>
  <c r="D10597" i="1"/>
  <c r="C10597" i="1"/>
  <c r="B10597" i="1"/>
  <c r="A10597" i="1"/>
  <c r="F10596" i="1"/>
  <c r="E10596" i="1"/>
  <c r="D10596" i="1"/>
  <c r="C10596" i="1"/>
  <c r="B10596" i="1"/>
  <c r="A10596" i="1"/>
  <c r="F10595" i="1"/>
  <c r="E10595" i="1"/>
  <c r="D10595" i="1"/>
  <c r="C10595" i="1"/>
  <c r="B10595" i="1"/>
  <c r="A10595" i="1"/>
  <c r="F10594" i="1"/>
  <c r="E10594" i="1"/>
  <c r="D10594" i="1"/>
  <c r="C10594" i="1"/>
  <c r="B10594" i="1"/>
  <c r="A10594" i="1"/>
  <c r="F10593" i="1"/>
  <c r="E10593" i="1"/>
  <c r="D10593" i="1"/>
  <c r="C10593" i="1"/>
  <c r="B10593" i="1"/>
  <c r="A10593" i="1"/>
  <c r="F10592" i="1"/>
  <c r="E10592" i="1"/>
  <c r="D10592" i="1"/>
  <c r="C10592" i="1"/>
  <c r="B10592" i="1"/>
  <c r="A10592" i="1"/>
  <c r="F10591" i="1"/>
  <c r="E10591" i="1"/>
  <c r="D10591" i="1"/>
  <c r="C10591" i="1"/>
  <c r="B10591" i="1"/>
  <c r="A10591" i="1"/>
  <c r="F10590" i="1"/>
  <c r="E10590" i="1"/>
  <c r="D10590" i="1"/>
  <c r="C10590" i="1"/>
  <c r="B10590" i="1"/>
  <c r="A10590" i="1"/>
  <c r="F10589" i="1"/>
  <c r="E10589" i="1"/>
  <c r="D10589" i="1"/>
  <c r="C10589" i="1"/>
  <c r="B10589" i="1"/>
  <c r="A10589" i="1"/>
  <c r="F10588" i="1"/>
  <c r="E10588" i="1"/>
  <c r="D10588" i="1"/>
  <c r="C10588" i="1"/>
  <c r="B10588" i="1"/>
  <c r="A10588" i="1"/>
  <c r="F10587" i="1"/>
  <c r="E10587" i="1"/>
  <c r="D10587" i="1"/>
  <c r="C10587" i="1"/>
  <c r="B10587" i="1"/>
  <c r="A10587" i="1"/>
  <c r="F10586" i="1"/>
  <c r="E10586" i="1"/>
  <c r="D10586" i="1"/>
  <c r="C10586" i="1"/>
  <c r="B10586" i="1"/>
  <c r="A10586" i="1"/>
  <c r="F10585" i="1"/>
  <c r="E10585" i="1"/>
  <c r="D10585" i="1"/>
  <c r="C10585" i="1"/>
  <c r="B10585" i="1"/>
  <c r="A10585" i="1"/>
  <c r="F10584" i="1"/>
  <c r="E10584" i="1"/>
  <c r="D10584" i="1"/>
  <c r="C10584" i="1"/>
  <c r="B10584" i="1"/>
  <c r="A10584" i="1"/>
  <c r="F10583" i="1"/>
  <c r="E10583" i="1"/>
  <c r="D10583" i="1"/>
  <c r="C10583" i="1"/>
  <c r="B10583" i="1"/>
  <c r="A10583" i="1"/>
  <c r="F10582" i="1"/>
  <c r="E10582" i="1"/>
  <c r="D10582" i="1"/>
  <c r="C10582" i="1"/>
  <c r="B10582" i="1"/>
  <c r="A10582" i="1"/>
  <c r="F10581" i="1"/>
  <c r="E10581" i="1"/>
  <c r="D10581" i="1"/>
  <c r="C10581" i="1"/>
  <c r="B10581" i="1"/>
  <c r="A10581" i="1"/>
  <c r="F10580" i="1"/>
  <c r="E10580" i="1"/>
  <c r="D10580" i="1"/>
  <c r="C10580" i="1"/>
  <c r="B10580" i="1"/>
  <c r="A10580" i="1"/>
  <c r="F10579" i="1"/>
  <c r="E10579" i="1"/>
  <c r="D10579" i="1"/>
  <c r="C10579" i="1"/>
  <c r="B10579" i="1"/>
  <c r="A10579" i="1"/>
  <c r="F10578" i="1"/>
  <c r="E10578" i="1"/>
  <c r="D10578" i="1"/>
  <c r="C10578" i="1"/>
  <c r="B10578" i="1"/>
  <c r="A10578" i="1"/>
  <c r="F10577" i="1"/>
  <c r="E10577" i="1"/>
  <c r="D10577" i="1"/>
  <c r="C10577" i="1"/>
  <c r="B10577" i="1"/>
  <c r="A10577" i="1"/>
  <c r="F10576" i="1"/>
  <c r="E10576" i="1"/>
  <c r="D10576" i="1"/>
  <c r="C10576" i="1"/>
  <c r="B10576" i="1"/>
  <c r="A10576" i="1"/>
  <c r="F10575" i="1"/>
  <c r="E10575" i="1"/>
  <c r="D10575" i="1"/>
  <c r="C10575" i="1"/>
  <c r="B10575" i="1"/>
  <c r="A10575" i="1"/>
  <c r="F10574" i="1"/>
  <c r="E10574" i="1"/>
  <c r="D10574" i="1"/>
  <c r="C10574" i="1"/>
  <c r="B10574" i="1"/>
  <c r="A10574" i="1"/>
  <c r="F10573" i="1"/>
  <c r="E10573" i="1"/>
  <c r="D10573" i="1"/>
  <c r="C10573" i="1"/>
  <c r="B10573" i="1"/>
  <c r="A10573" i="1"/>
  <c r="F10572" i="1"/>
  <c r="E10572" i="1"/>
  <c r="D10572" i="1"/>
  <c r="C10572" i="1"/>
  <c r="B10572" i="1"/>
  <c r="A10572" i="1"/>
  <c r="F10571" i="1"/>
  <c r="E10571" i="1"/>
  <c r="D10571" i="1"/>
  <c r="C10571" i="1"/>
  <c r="B10571" i="1"/>
  <c r="A10571" i="1"/>
  <c r="F10570" i="1"/>
  <c r="E10570" i="1"/>
  <c r="D10570" i="1"/>
  <c r="C10570" i="1"/>
  <c r="B10570" i="1"/>
  <c r="A10570" i="1"/>
  <c r="F10569" i="1"/>
  <c r="E10569" i="1"/>
  <c r="D10569" i="1"/>
  <c r="C10569" i="1"/>
  <c r="B10569" i="1"/>
  <c r="A10569" i="1"/>
  <c r="F10568" i="1"/>
  <c r="E10568" i="1"/>
  <c r="D10568" i="1"/>
  <c r="C10568" i="1"/>
  <c r="B10568" i="1"/>
  <c r="A10568" i="1"/>
  <c r="F10567" i="1"/>
  <c r="E10567" i="1"/>
  <c r="D10567" i="1"/>
  <c r="C10567" i="1"/>
  <c r="B10567" i="1"/>
  <c r="A10567" i="1"/>
  <c r="F10566" i="1"/>
  <c r="E10566" i="1"/>
  <c r="D10566" i="1"/>
  <c r="C10566" i="1"/>
  <c r="B10566" i="1"/>
  <c r="A10566" i="1"/>
  <c r="F10565" i="1"/>
  <c r="E10565" i="1"/>
  <c r="D10565" i="1"/>
  <c r="C10565" i="1"/>
  <c r="B10565" i="1"/>
  <c r="A10565" i="1"/>
  <c r="F10564" i="1"/>
  <c r="E10564" i="1"/>
  <c r="D10564" i="1"/>
  <c r="C10564" i="1"/>
  <c r="B10564" i="1"/>
  <c r="A10564" i="1"/>
  <c r="F10563" i="1"/>
  <c r="E10563" i="1"/>
  <c r="D10563" i="1"/>
  <c r="C10563" i="1"/>
  <c r="B10563" i="1"/>
  <c r="A10563" i="1"/>
  <c r="F10562" i="1"/>
  <c r="E10562" i="1"/>
  <c r="D10562" i="1"/>
  <c r="C10562" i="1"/>
  <c r="B10562" i="1"/>
  <c r="A10562" i="1"/>
  <c r="F10561" i="1"/>
  <c r="E10561" i="1"/>
  <c r="D10561" i="1"/>
  <c r="C10561" i="1"/>
  <c r="B10561" i="1"/>
  <c r="A10561" i="1"/>
  <c r="F10560" i="1"/>
  <c r="E10560" i="1"/>
  <c r="D10560" i="1"/>
  <c r="C10560" i="1"/>
  <c r="B10560" i="1"/>
  <c r="A10560" i="1"/>
  <c r="F10559" i="1"/>
  <c r="E10559" i="1"/>
  <c r="D10559" i="1"/>
  <c r="C10559" i="1"/>
  <c r="B10559" i="1"/>
  <c r="A10559" i="1"/>
  <c r="F10558" i="1"/>
  <c r="E10558" i="1"/>
  <c r="D10558" i="1"/>
  <c r="C10558" i="1"/>
  <c r="B10558" i="1"/>
  <c r="A10558" i="1"/>
  <c r="F10557" i="1"/>
  <c r="E10557" i="1"/>
  <c r="D10557" i="1"/>
  <c r="C10557" i="1"/>
  <c r="B10557" i="1"/>
  <c r="A10557" i="1"/>
  <c r="F10556" i="1"/>
  <c r="E10556" i="1"/>
  <c r="D10556" i="1"/>
  <c r="C10556" i="1"/>
  <c r="B10556" i="1"/>
  <c r="A10556" i="1"/>
  <c r="F10555" i="1"/>
  <c r="E10555" i="1"/>
  <c r="D10555" i="1"/>
  <c r="C10555" i="1"/>
  <c r="B10555" i="1"/>
  <c r="A10555" i="1"/>
  <c r="F10554" i="1"/>
  <c r="E10554" i="1"/>
  <c r="D10554" i="1"/>
  <c r="C10554" i="1"/>
  <c r="B10554" i="1"/>
  <c r="A10554" i="1"/>
  <c r="F10553" i="1"/>
  <c r="E10553" i="1"/>
  <c r="D10553" i="1"/>
  <c r="C10553" i="1"/>
  <c r="B10553" i="1"/>
  <c r="A10553" i="1"/>
  <c r="F10552" i="1"/>
  <c r="E10552" i="1"/>
  <c r="D10552" i="1"/>
  <c r="C10552" i="1"/>
  <c r="B10552" i="1"/>
  <c r="A10552" i="1"/>
  <c r="F10551" i="1"/>
  <c r="E10551" i="1"/>
  <c r="D10551" i="1"/>
  <c r="C10551" i="1"/>
  <c r="B10551" i="1"/>
  <c r="A10551" i="1"/>
  <c r="F10550" i="1"/>
  <c r="E10550" i="1"/>
  <c r="D10550" i="1"/>
  <c r="C10550" i="1"/>
  <c r="B10550" i="1"/>
  <c r="A10550" i="1"/>
  <c r="F10549" i="1"/>
  <c r="E10549" i="1"/>
  <c r="D10549" i="1"/>
  <c r="C10549" i="1"/>
  <c r="B10549" i="1"/>
  <c r="A10549" i="1"/>
  <c r="F10548" i="1"/>
  <c r="E10548" i="1"/>
  <c r="D10548" i="1"/>
  <c r="C10548" i="1"/>
  <c r="B10548" i="1"/>
  <c r="A10548" i="1"/>
  <c r="F10547" i="1"/>
  <c r="E10547" i="1"/>
  <c r="D10547" i="1"/>
  <c r="C10547" i="1"/>
  <c r="B10547" i="1"/>
  <c r="A10547" i="1"/>
  <c r="F10546" i="1"/>
  <c r="E10546" i="1"/>
  <c r="D10546" i="1"/>
  <c r="C10546" i="1"/>
  <c r="B10546" i="1"/>
  <c r="A10546" i="1"/>
  <c r="F10545" i="1"/>
  <c r="E10545" i="1"/>
  <c r="D10545" i="1"/>
  <c r="C10545" i="1"/>
  <c r="B10545" i="1"/>
  <c r="A10545" i="1"/>
  <c r="F10544" i="1"/>
  <c r="E10544" i="1"/>
  <c r="D10544" i="1"/>
  <c r="C10544" i="1"/>
  <c r="B10544" i="1"/>
  <c r="A10544" i="1"/>
  <c r="F10543" i="1"/>
  <c r="E10543" i="1"/>
  <c r="D10543" i="1"/>
  <c r="C10543" i="1"/>
  <c r="B10543" i="1"/>
  <c r="A10543" i="1"/>
  <c r="F10542" i="1"/>
  <c r="E10542" i="1"/>
  <c r="D10542" i="1"/>
  <c r="C10542" i="1"/>
  <c r="B10542" i="1"/>
  <c r="A10542" i="1"/>
  <c r="F10541" i="1"/>
  <c r="E10541" i="1"/>
  <c r="D10541" i="1"/>
  <c r="C10541" i="1"/>
  <c r="B10541" i="1"/>
  <c r="A10541" i="1"/>
  <c r="F10540" i="1"/>
  <c r="E10540" i="1"/>
  <c r="D10540" i="1"/>
  <c r="C10540" i="1"/>
  <c r="B10540" i="1"/>
  <c r="A10540" i="1"/>
  <c r="F10539" i="1"/>
  <c r="E10539" i="1"/>
  <c r="D10539" i="1"/>
  <c r="C10539" i="1"/>
  <c r="B10539" i="1"/>
  <c r="A10539" i="1"/>
  <c r="F10538" i="1"/>
  <c r="E10538" i="1"/>
  <c r="D10538" i="1"/>
  <c r="C10538" i="1"/>
  <c r="B10538" i="1"/>
  <c r="A10538" i="1"/>
  <c r="F10537" i="1"/>
  <c r="E10537" i="1"/>
  <c r="D10537" i="1"/>
  <c r="C10537" i="1"/>
  <c r="B10537" i="1"/>
  <c r="A10537" i="1"/>
  <c r="F10536" i="1"/>
  <c r="E10536" i="1"/>
  <c r="D10536" i="1"/>
  <c r="C10536" i="1"/>
  <c r="B10536" i="1"/>
  <c r="A10536" i="1"/>
  <c r="F10535" i="1"/>
  <c r="E10535" i="1"/>
  <c r="D10535" i="1"/>
  <c r="C10535" i="1"/>
  <c r="B10535" i="1"/>
  <c r="A10535" i="1"/>
  <c r="F10534" i="1"/>
  <c r="E10534" i="1"/>
  <c r="D10534" i="1"/>
  <c r="C10534" i="1"/>
  <c r="B10534" i="1"/>
  <c r="A10534" i="1"/>
  <c r="F10533" i="1"/>
  <c r="E10533" i="1"/>
  <c r="D10533" i="1"/>
  <c r="C10533" i="1"/>
  <c r="B10533" i="1"/>
  <c r="A10533" i="1"/>
  <c r="F10532" i="1"/>
  <c r="E10532" i="1"/>
  <c r="D10532" i="1"/>
  <c r="C10532" i="1"/>
  <c r="B10532" i="1"/>
  <c r="A10532" i="1"/>
  <c r="F10531" i="1"/>
  <c r="E10531" i="1"/>
  <c r="D10531" i="1"/>
  <c r="C10531" i="1"/>
  <c r="B10531" i="1"/>
  <c r="A10531" i="1"/>
  <c r="F10530" i="1"/>
  <c r="E10530" i="1"/>
  <c r="D10530" i="1"/>
  <c r="C10530" i="1"/>
  <c r="B10530" i="1"/>
  <c r="A10530" i="1"/>
  <c r="F10529" i="1"/>
  <c r="E10529" i="1"/>
  <c r="D10529" i="1"/>
  <c r="C10529" i="1"/>
  <c r="B10529" i="1"/>
  <c r="A10529" i="1"/>
  <c r="F10528" i="1"/>
  <c r="E10528" i="1"/>
  <c r="D10528" i="1"/>
  <c r="C10528" i="1"/>
  <c r="B10528" i="1"/>
  <c r="A10528" i="1"/>
  <c r="F10527" i="1"/>
  <c r="E10527" i="1"/>
  <c r="D10527" i="1"/>
  <c r="C10527" i="1"/>
  <c r="B10527" i="1"/>
  <c r="A10527" i="1"/>
  <c r="F10526" i="1"/>
  <c r="E10526" i="1"/>
  <c r="D10526" i="1"/>
  <c r="C10526" i="1"/>
  <c r="B10526" i="1"/>
  <c r="A10526" i="1"/>
  <c r="F10525" i="1"/>
  <c r="E10525" i="1"/>
  <c r="D10525" i="1"/>
  <c r="C10525" i="1"/>
  <c r="B10525" i="1"/>
  <c r="A10525" i="1"/>
  <c r="F10524" i="1"/>
  <c r="E10524" i="1"/>
  <c r="D10524" i="1"/>
  <c r="C10524" i="1"/>
  <c r="B10524" i="1"/>
  <c r="A10524" i="1"/>
  <c r="F10523" i="1"/>
  <c r="E10523" i="1"/>
  <c r="D10523" i="1"/>
  <c r="C10523" i="1"/>
  <c r="B10523" i="1"/>
  <c r="A10523" i="1"/>
  <c r="F10522" i="1"/>
  <c r="E10522" i="1"/>
  <c r="D10522" i="1"/>
  <c r="C10522" i="1"/>
  <c r="B10522" i="1"/>
  <c r="A10522" i="1"/>
  <c r="F10521" i="1"/>
  <c r="E10521" i="1"/>
  <c r="D10521" i="1"/>
  <c r="C10521" i="1"/>
  <c r="B10521" i="1"/>
  <c r="A10521" i="1"/>
  <c r="F10520" i="1"/>
  <c r="E10520" i="1"/>
  <c r="D10520" i="1"/>
  <c r="C10520" i="1"/>
  <c r="B10520" i="1"/>
  <c r="A10520" i="1"/>
  <c r="F10519" i="1"/>
  <c r="E10519" i="1"/>
  <c r="D10519" i="1"/>
  <c r="C10519" i="1"/>
  <c r="B10519" i="1"/>
  <c r="A10519" i="1"/>
  <c r="F10518" i="1"/>
  <c r="E10518" i="1"/>
  <c r="D10518" i="1"/>
  <c r="C10518" i="1"/>
  <c r="B10518" i="1"/>
  <c r="A10518" i="1"/>
  <c r="F10517" i="1"/>
  <c r="E10517" i="1"/>
  <c r="D10517" i="1"/>
  <c r="C10517" i="1"/>
  <c r="B10517" i="1"/>
  <c r="A10517" i="1"/>
  <c r="F10516" i="1"/>
  <c r="E10516" i="1"/>
  <c r="D10516" i="1"/>
  <c r="C10516" i="1"/>
  <c r="B10516" i="1"/>
  <c r="A10516" i="1"/>
  <c r="F10515" i="1"/>
  <c r="E10515" i="1"/>
  <c r="D10515" i="1"/>
  <c r="C10515" i="1"/>
  <c r="B10515" i="1"/>
  <c r="A10515" i="1"/>
  <c r="F10514" i="1"/>
  <c r="E10514" i="1"/>
  <c r="D10514" i="1"/>
  <c r="C10514" i="1"/>
  <c r="B10514" i="1"/>
  <c r="A10514" i="1"/>
  <c r="F10513" i="1"/>
  <c r="E10513" i="1"/>
  <c r="D10513" i="1"/>
  <c r="C10513" i="1"/>
  <c r="B10513" i="1"/>
  <c r="A10513" i="1"/>
  <c r="F10512" i="1"/>
  <c r="E10512" i="1"/>
  <c r="D10512" i="1"/>
  <c r="C10512" i="1"/>
  <c r="B10512" i="1"/>
  <c r="A10512" i="1"/>
  <c r="F10511" i="1"/>
  <c r="E10511" i="1"/>
  <c r="D10511" i="1"/>
  <c r="C10511" i="1"/>
  <c r="B10511" i="1"/>
  <c r="A10511" i="1"/>
  <c r="F10510" i="1"/>
  <c r="E10510" i="1"/>
  <c r="D10510" i="1"/>
  <c r="C10510" i="1"/>
  <c r="B10510" i="1"/>
  <c r="A10510" i="1"/>
  <c r="F10509" i="1"/>
  <c r="E10509" i="1"/>
  <c r="D10509" i="1"/>
  <c r="C10509" i="1"/>
  <c r="B10509" i="1"/>
  <c r="A10509" i="1"/>
  <c r="F10508" i="1"/>
  <c r="E10508" i="1"/>
  <c r="D10508" i="1"/>
  <c r="C10508" i="1"/>
  <c r="B10508" i="1"/>
  <c r="A10508" i="1"/>
  <c r="F10507" i="1"/>
  <c r="E10507" i="1"/>
  <c r="D10507" i="1"/>
  <c r="C10507" i="1"/>
  <c r="B10507" i="1"/>
  <c r="A10507" i="1"/>
  <c r="F10506" i="1"/>
  <c r="E10506" i="1"/>
  <c r="D10506" i="1"/>
  <c r="C10506" i="1"/>
  <c r="B10506" i="1"/>
  <c r="A10506" i="1"/>
  <c r="F10505" i="1"/>
  <c r="E10505" i="1"/>
  <c r="D10505" i="1"/>
  <c r="C10505" i="1"/>
  <c r="B10505" i="1"/>
  <c r="A10505" i="1"/>
  <c r="F10504" i="1"/>
  <c r="E10504" i="1"/>
  <c r="D10504" i="1"/>
  <c r="C10504" i="1"/>
  <c r="B10504" i="1"/>
  <c r="A10504" i="1"/>
  <c r="F10503" i="1"/>
  <c r="E10503" i="1"/>
  <c r="D10503" i="1"/>
  <c r="C10503" i="1"/>
  <c r="B10503" i="1"/>
  <c r="A10503" i="1"/>
  <c r="F10502" i="1"/>
  <c r="E10502" i="1"/>
  <c r="D10502" i="1"/>
  <c r="C10502" i="1"/>
  <c r="B10502" i="1"/>
  <c r="A10502" i="1"/>
  <c r="F10501" i="1"/>
  <c r="E10501" i="1"/>
  <c r="D10501" i="1"/>
  <c r="C10501" i="1"/>
  <c r="B10501" i="1"/>
  <c r="A10501" i="1"/>
  <c r="F10500" i="1"/>
  <c r="E10500" i="1"/>
  <c r="D10500" i="1"/>
  <c r="C10500" i="1"/>
  <c r="B10500" i="1"/>
  <c r="A10500" i="1"/>
  <c r="F10499" i="1"/>
  <c r="E10499" i="1"/>
  <c r="D10499" i="1"/>
  <c r="C10499" i="1"/>
  <c r="B10499" i="1"/>
  <c r="A10499" i="1"/>
  <c r="F10498" i="1"/>
  <c r="E10498" i="1"/>
  <c r="D10498" i="1"/>
  <c r="C10498" i="1"/>
  <c r="B10498" i="1"/>
  <c r="A10498" i="1"/>
  <c r="F10497" i="1"/>
  <c r="E10497" i="1"/>
  <c r="D10497" i="1"/>
  <c r="C10497" i="1"/>
  <c r="B10497" i="1"/>
  <c r="A10497" i="1"/>
  <c r="F10496" i="1"/>
  <c r="E10496" i="1"/>
  <c r="D10496" i="1"/>
  <c r="C10496" i="1"/>
  <c r="B10496" i="1"/>
  <c r="A10496" i="1"/>
  <c r="F10495" i="1"/>
  <c r="E10495" i="1"/>
  <c r="D10495" i="1"/>
  <c r="C10495" i="1"/>
  <c r="B10495" i="1"/>
  <c r="A10495" i="1"/>
  <c r="F10494" i="1"/>
  <c r="E10494" i="1"/>
  <c r="D10494" i="1"/>
  <c r="C10494" i="1"/>
  <c r="B10494" i="1"/>
  <c r="A10494" i="1"/>
  <c r="F10493" i="1"/>
  <c r="E10493" i="1"/>
  <c r="D10493" i="1"/>
  <c r="C10493" i="1"/>
  <c r="B10493" i="1"/>
  <c r="A10493" i="1"/>
  <c r="F10492" i="1"/>
  <c r="E10492" i="1"/>
  <c r="D10492" i="1"/>
  <c r="C10492" i="1"/>
  <c r="B10492" i="1"/>
  <c r="A10492" i="1"/>
  <c r="F10491" i="1"/>
  <c r="E10491" i="1"/>
  <c r="D10491" i="1"/>
  <c r="C10491" i="1"/>
  <c r="B10491" i="1"/>
  <c r="A10491" i="1"/>
  <c r="F10490" i="1"/>
  <c r="E10490" i="1"/>
  <c r="D10490" i="1"/>
  <c r="C10490" i="1"/>
  <c r="B10490" i="1"/>
  <c r="A10490" i="1"/>
  <c r="F10489" i="1"/>
  <c r="E10489" i="1"/>
  <c r="D10489" i="1"/>
  <c r="C10489" i="1"/>
  <c r="B10489" i="1"/>
  <c r="A10489" i="1"/>
  <c r="F10488" i="1"/>
  <c r="E10488" i="1"/>
  <c r="D10488" i="1"/>
  <c r="C10488" i="1"/>
  <c r="B10488" i="1"/>
  <c r="A10488" i="1"/>
  <c r="F10487" i="1"/>
  <c r="E10487" i="1"/>
  <c r="D10487" i="1"/>
  <c r="C10487" i="1"/>
  <c r="B10487" i="1"/>
  <c r="A10487" i="1"/>
  <c r="F10486" i="1"/>
  <c r="E10486" i="1"/>
  <c r="D10486" i="1"/>
  <c r="C10486" i="1"/>
  <c r="B10486" i="1"/>
  <c r="A10486" i="1"/>
  <c r="F10485" i="1"/>
  <c r="E10485" i="1"/>
  <c r="D10485" i="1"/>
  <c r="C10485" i="1"/>
  <c r="B10485" i="1"/>
  <c r="A10485" i="1"/>
  <c r="F10484" i="1"/>
  <c r="E10484" i="1"/>
  <c r="D10484" i="1"/>
  <c r="C10484" i="1"/>
  <c r="B10484" i="1"/>
  <c r="A10484" i="1"/>
  <c r="F10483" i="1"/>
  <c r="E10483" i="1"/>
  <c r="D10483" i="1"/>
  <c r="C10483" i="1"/>
  <c r="B10483" i="1"/>
  <c r="A10483" i="1"/>
  <c r="F10482" i="1"/>
  <c r="E10482" i="1"/>
  <c r="D10482" i="1"/>
  <c r="C10482" i="1"/>
  <c r="B10482" i="1"/>
  <c r="A10482" i="1"/>
  <c r="F10481" i="1"/>
  <c r="E10481" i="1"/>
  <c r="D10481" i="1"/>
  <c r="C10481" i="1"/>
  <c r="B10481" i="1"/>
  <c r="A10481" i="1"/>
  <c r="F10480" i="1"/>
  <c r="E10480" i="1"/>
  <c r="D10480" i="1"/>
  <c r="C10480" i="1"/>
  <c r="B10480" i="1"/>
  <c r="A10480" i="1"/>
  <c r="F10479" i="1"/>
  <c r="E10479" i="1"/>
  <c r="D10479" i="1"/>
  <c r="C10479" i="1"/>
  <c r="B10479" i="1"/>
  <c r="A10479" i="1"/>
  <c r="F10478" i="1"/>
  <c r="E10478" i="1"/>
  <c r="D10478" i="1"/>
  <c r="C10478" i="1"/>
  <c r="B10478" i="1"/>
  <c r="A10478" i="1"/>
  <c r="F10477" i="1"/>
  <c r="E10477" i="1"/>
  <c r="D10477" i="1"/>
  <c r="C10477" i="1"/>
  <c r="B10477" i="1"/>
  <c r="A10477" i="1"/>
  <c r="F10476" i="1"/>
  <c r="E10476" i="1"/>
  <c r="D10476" i="1"/>
  <c r="C10476" i="1"/>
  <c r="B10476" i="1"/>
  <c r="A10476" i="1"/>
  <c r="F10475" i="1"/>
  <c r="E10475" i="1"/>
  <c r="D10475" i="1"/>
  <c r="C10475" i="1"/>
  <c r="B10475" i="1"/>
  <c r="A10475" i="1"/>
  <c r="F10474" i="1"/>
  <c r="E10474" i="1"/>
  <c r="D10474" i="1"/>
  <c r="C10474" i="1"/>
  <c r="B10474" i="1"/>
  <c r="A10474" i="1"/>
  <c r="F10473" i="1"/>
  <c r="E10473" i="1"/>
  <c r="D10473" i="1"/>
  <c r="C10473" i="1"/>
  <c r="B10473" i="1"/>
  <c r="A10473" i="1"/>
  <c r="F10472" i="1"/>
  <c r="E10472" i="1"/>
  <c r="D10472" i="1"/>
  <c r="C10472" i="1"/>
  <c r="B10472" i="1"/>
  <c r="A10472" i="1"/>
  <c r="F10471" i="1"/>
  <c r="E10471" i="1"/>
  <c r="D10471" i="1"/>
  <c r="C10471" i="1"/>
  <c r="B10471" i="1"/>
  <c r="A10471" i="1"/>
  <c r="F10470" i="1"/>
  <c r="E10470" i="1"/>
  <c r="D10470" i="1"/>
  <c r="C10470" i="1"/>
  <c r="B10470" i="1"/>
  <c r="A10470" i="1"/>
  <c r="F10469" i="1"/>
  <c r="E10469" i="1"/>
  <c r="D10469" i="1"/>
  <c r="C10469" i="1"/>
  <c r="B10469" i="1"/>
  <c r="A10469" i="1"/>
  <c r="F10468" i="1"/>
  <c r="E10468" i="1"/>
  <c r="D10468" i="1"/>
  <c r="C10468" i="1"/>
  <c r="B10468" i="1"/>
  <c r="A10468" i="1"/>
  <c r="F10467" i="1"/>
  <c r="E10467" i="1"/>
  <c r="D10467" i="1"/>
  <c r="C10467" i="1"/>
  <c r="B10467" i="1"/>
  <c r="A10467" i="1"/>
  <c r="F10466" i="1"/>
  <c r="E10466" i="1"/>
  <c r="D10466" i="1"/>
  <c r="C10466" i="1"/>
  <c r="B10466" i="1"/>
  <c r="A10466" i="1"/>
  <c r="F10465" i="1"/>
  <c r="E10465" i="1"/>
  <c r="D10465" i="1"/>
  <c r="C10465" i="1"/>
  <c r="B10465" i="1"/>
  <c r="A10465" i="1"/>
  <c r="F10464" i="1"/>
  <c r="E10464" i="1"/>
  <c r="D10464" i="1"/>
  <c r="C10464" i="1"/>
  <c r="B10464" i="1"/>
  <c r="A10464" i="1"/>
  <c r="F10463" i="1"/>
  <c r="E10463" i="1"/>
  <c r="D10463" i="1"/>
  <c r="C10463" i="1"/>
  <c r="B10463" i="1"/>
  <c r="A10463" i="1"/>
  <c r="F10462" i="1"/>
  <c r="E10462" i="1"/>
  <c r="D10462" i="1"/>
  <c r="C10462" i="1"/>
  <c r="B10462" i="1"/>
  <c r="A10462" i="1"/>
  <c r="F10461" i="1"/>
  <c r="E10461" i="1"/>
  <c r="D10461" i="1"/>
  <c r="C10461" i="1"/>
  <c r="B10461" i="1"/>
  <c r="A10461" i="1"/>
  <c r="F10460" i="1"/>
  <c r="E10460" i="1"/>
  <c r="D10460" i="1"/>
  <c r="C10460" i="1"/>
  <c r="B10460" i="1"/>
  <c r="A10460" i="1"/>
  <c r="F10459" i="1"/>
  <c r="E10459" i="1"/>
  <c r="D10459" i="1"/>
  <c r="C10459" i="1"/>
  <c r="B10459" i="1"/>
  <c r="A10459" i="1"/>
  <c r="F10458" i="1"/>
  <c r="E10458" i="1"/>
  <c r="D10458" i="1"/>
  <c r="C10458" i="1"/>
  <c r="B10458" i="1"/>
  <c r="A10458" i="1"/>
  <c r="F10457" i="1"/>
  <c r="E10457" i="1"/>
  <c r="D10457" i="1"/>
  <c r="C10457" i="1"/>
  <c r="B10457" i="1"/>
  <c r="A10457" i="1"/>
  <c r="F10456" i="1"/>
  <c r="E10456" i="1"/>
  <c r="D10456" i="1"/>
  <c r="C10456" i="1"/>
  <c r="B10456" i="1"/>
  <c r="A10456" i="1"/>
  <c r="F10455" i="1"/>
  <c r="E10455" i="1"/>
  <c r="D10455" i="1"/>
  <c r="C10455" i="1"/>
  <c r="B10455" i="1"/>
  <c r="A10455" i="1"/>
  <c r="F10454" i="1"/>
  <c r="E10454" i="1"/>
  <c r="D10454" i="1"/>
  <c r="C10454" i="1"/>
  <c r="B10454" i="1"/>
  <c r="A10454" i="1"/>
  <c r="F10453" i="1"/>
  <c r="E10453" i="1"/>
  <c r="D10453" i="1"/>
  <c r="C10453" i="1"/>
  <c r="B10453" i="1"/>
  <c r="A10453" i="1"/>
  <c r="F10452" i="1"/>
  <c r="E10452" i="1"/>
  <c r="D10452" i="1"/>
  <c r="C10452" i="1"/>
  <c r="B10452" i="1"/>
  <c r="A10452" i="1"/>
  <c r="F10451" i="1"/>
  <c r="E10451" i="1"/>
  <c r="D10451" i="1"/>
  <c r="C10451" i="1"/>
  <c r="B10451" i="1"/>
  <c r="A10451" i="1"/>
  <c r="F10450" i="1"/>
  <c r="E10450" i="1"/>
  <c r="D10450" i="1"/>
  <c r="C10450" i="1"/>
  <c r="B10450" i="1"/>
  <c r="A10450" i="1"/>
  <c r="F10449" i="1"/>
  <c r="E10449" i="1"/>
  <c r="D10449" i="1"/>
  <c r="C10449" i="1"/>
  <c r="B10449" i="1"/>
  <c r="A10449" i="1"/>
  <c r="F10448" i="1"/>
  <c r="E10448" i="1"/>
  <c r="D10448" i="1"/>
  <c r="C10448" i="1"/>
  <c r="B10448" i="1"/>
  <c r="A10448" i="1"/>
  <c r="F10447" i="1"/>
  <c r="E10447" i="1"/>
  <c r="D10447" i="1"/>
  <c r="C10447" i="1"/>
  <c r="B10447" i="1"/>
  <c r="A10447" i="1"/>
  <c r="F10446" i="1"/>
  <c r="E10446" i="1"/>
  <c r="D10446" i="1"/>
  <c r="C10446" i="1"/>
  <c r="B10446" i="1"/>
  <c r="A10446" i="1"/>
  <c r="F10445" i="1"/>
  <c r="E10445" i="1"/>
  <c r="D10445" i="1"/>
  <c r="C10445" i="1"/>
  <c r="B10445" i="1"/>
  <c r="A10445" i="1"/>
  <c r="F10444" i="1"/>
  <c r="E10444" i="1"/>
  <c r="D10444" i="1"/>
  <c r="C10444" i="1"/>
  <c r="B10444" i="1"/>
  <c r="A10444" i="1"/>
  <c r="F10443" i="1"/>
  <c r="E10443" i="1"/>
  <c r="D10443" i="1"/>
  <c r="C10443" i="1"/>
  <c r="B10443" i="1"/>
  <c r="A10443" i="1"/>
  <c r="F10442" i="1"/>
  <c r="E10442" i="1"/>
  <c r="D10442" i="1"/>
  <c r="C10442" i="1"/>
  <c r="B10442" i="1"/>
  <c r="A10442" i="1"/>
  <c r="F10441" i="1"/>
  <c r="E10441" i="1"/>
  <c r="D10441" i="1"/>
  <c r="C10441" i="1"/>
  <c r="B10441" i="1"/>
  <c r="A10441" i="1"/>
  <c r="F10440" i="1"/>
  <c r="E10440" i="1"/>
  <c r="D10440" i="1"/>
  <c r="C10440" i="1"/>
  <c r="B10440" i="1"/>
  <c r="A10440" i="1"/>
  <c r="F10439" i="1"/>
  <c r="E10439" i="1"/>
  <c r="D10439" i="1"/>
  <c r="C10439" i="1"/>
  <c r="B10439" i="1"/>
  <c r="A10439" i="1"/>
  <c r="F10438" i="1"/>
  <c r="E10438" i="1"/>
  <c r="D10438" i="1"/>
  <c r="C10438" i="1"/>
  <c r="B10438" i="1"/>
  <c r="A10438" i="1"/>
  <c r="F10437" i="1"/>
  <c r="E10437" i="1"/>
  <c r="D10437" i="1"/>
  <c r="C10437" i="1"/>
  <c r="B10437" i="1"/>
  <c r="A10437" i="1"/>
  <c r="F10436" i="1"/>
  <c r="E10436" i="1"/>
  <c r="D10436" i="1"/>
  <c r="C10436" i="1"/>
  <c r="B10436" i="1"/>
  <c r="A10436" i="1"/>
  <c r="F10435" i="1"/>
  <c r="E10435" i="1"/>
  <c r="D10435" i="1"/>
  <c r="C10435" i="1"/>
  <c r="B10435" i="1"/>
  <c r="A10435" i="1"/>
  <c r="F10434" i="1"/>
  <c r="E10434" i="1"/>
  <c r="D10434" i="1"/>
  <c r="C10434" i="1"/>
  <c r="B10434" i="1"/>
  <c r="A10434" i="1"/>
  <c r="F10433" i="1"/>
  <c r="E10433" i="1"/>
  <c r="D10433" i="1"/>
  <c r="C10433" i="1"/>
  <c r="B10433" i="1"/>
  <c r="A10433" i="1"/>
  <c r="F10432" i="1"/>
  <c r="E10432" i="1"/>
  <c r="D10432" i="1"/>
  <c r="C10432" i="1"/>
  <c r="B10432" i="1"/>
  <c r="A10432" i="1"/>
  <c r="F10431" i="1"/>
  <c r="E10431" i="1"/>
  <c r="D10431" i="1"/>
  <c r="C10431" i="1"/>
  <c r="B10431" i="1"/>
  <c r="A10431" i="1"/>
  <c r="F10430" i="1"/>
  <c r="E10430" i="1"/>
  <c r="D10430" i="1"/>
  <c r="C10430" i="1"/>
  <c r="B10430" i="1"/>
  <c r="A10430" i="1"/>
  <c r="F10429" i="1"/>
  <c r="E10429" i="1"/>
  <c r="D10429" i="1"/>
  <c r="C10429" i="1"/>
  <c r="B10429" i="1"/>
  <c r="A10429" i="1"/>
  <c r="F10428" i="1"/>
  <c r="E10428" i="1"/>
  <c r="D10428" i="1"/>
  <c r="C10428" i="1"/>
  <c r="B10428" i="1"/>
  <c r="A10428" i="1"/>
  <c r="F10427" i="1"/>
  <c r="E10427" i="1"/>
  <c r="D10427" i="1"/>
  <c r="C10427" i="1"/>
  <c r="B10427" i="1"/>
  <c r="A10427" i="1"/>
  <c r="F10426" i="1"/>
  <c r="E10426" i="1"/>
  <c r="D10426" i="1"/>
  <c r="C10426" i="1"/>
  <c r="B10426" i="1"/>
  <c r="A10426" i="1"/>
  <c r="F10425" i="1"/>
  <c r="E10425" i="1"/>
  <c r="D10425" i="1"/>
  <c r="C10425" i="1"/>
  <c r="B10425" i="1"/>
  <c r="A10425" i="1"/>
  <c r="F10424" i="1"/>
  <c r="E10424" i="1"/>
  <c r="D10424" i="1"/>
  <c r="C10424" i="1"/>
  <c r="B10424" i="1"/>
  <c r="A10424" i="1"/>
  <c r="F10423" i="1"/>
  <c r="E10423" i="1"/>
  <c r="D10423" i="1"/>
  <c r="C10423" i="1"/>
  <c r="B10423" i="1"/>
  <c r="A10423" i="1"/>
  <c r="F10422" i="1"/>
  <c r="E10422" i="1"/>
  <c r="D10422" i="1"/>
  <c r="C10422" i="1"/>
  <c r="B10422" i="1"/>
  <c r="A10422" i="1"/>
  <c r="F10421" i="1"/>
  <c r="E10421" i="1"/>
  <c r="D10421" i="1"/>
  <c r="C10421" i="1"/>
  <c r="B10421" i="1"/>
  <c r="A10421" i="1"/>
  <c r="F10420" i="1"/>
  <c r="E10420" i="1"/>
  <c r="D10420" i="1"/>
  <c r="C10420" i="1"/>
  <c r="B10420" i="1"/>
  <c r="A10420" i="1"/>
  <c r="F10419" i="1"/>
  <c r="E10419" i="1"/>
  <c r="D10419" i="1"/>
  <c r="C10419" i="1"/>
  <c r="B10419" i="1"/>
  <c r="A10419" i="1"/>
  <c r="F10418" i="1"/>
  <c r="E10418" i="1"/>
  <c r="D10418" i="1"/>
  <c r="C10418" i="1"/>
  <c r="B10418" i="1"/>
  <c r="A10418" i="1"/>
  <c r="F10417" i="1"/>
  <c r="E10417" i="1"/>
  <c r="D10417" i="1"/>
  <c r="C10417" i="1"/>
  <c r="B10417" i="1"/>
  <c r="A10417" i="1"/>
  <c r="F10416" i="1"/>
  <c r="E10416" i="1"/>
  <c r="D10416" i="1"/>
  <c r="C10416" i="1"/>
  <c r="B10416" i="1"/>
  <c r="A10416" i="1"/>
  <c r="F10415" i="1"/>
  <c r="E10415" i="1"/>
  <c r="D10415" i="1"/>
  <c r="C10415" i="1"/>
  <c r="B10415" i="1"/>
  <c r="A10415" i="1"/>
  <c r="F10414" i="1"/>
  <c r="E10414" i="1"/>
  <c r="D10414" i="1"/>
  <c r="C10414" i="1"/>
  <c r="B10414" i="1"/>
  <c r="A10414" i="1"/>
  <c r="F10413" i="1"/>
  <c r="E10413" i="1"/>
  <c r="D10413" i="1"/>
  <c r="C10413" i="1"/>
  <c r="B10413" i="1"/>
  <c r="A10413" i="1"/>
  <c r="F10412" i="1"/>
  <c r="E10412" i="1"/>
  <c r="D10412" i="1"/>
  <c r="C10412" i="1"/>
  <c r="B10412" i="1"/>
  <c r="A10412" i="1"/>
  <c r="F10411" i="1"/>
  <c r="E10411" i="1"/>
  <c r="D10411" i="1"/>
  <c r="C10411" i="1"/>
  <c r="B10411" i="1"/>
  <c r="A10411" i="1"/>
  <c r="F10410" i="1"/>
  <c r="E10410" i="1"/>
  <c r="D10410" i="1"/>
  <c r="C10410" i="1"/>
  <c r="B10410" i="1"/>
  <c r="A10410" i="1"/>
  <c r="F10409" i="1"/>
  <c r="E10409" i="1"/>
  <c r="D10409" i="1"/>
  <c r="C10409" i="1"/>
  <c r="B10409" i="1"/>
  <c r="A10409" i="1"/>
  <c r="F10408" i="1"/>
  <c r="E10408" i="1"/>
  <c r="D10408" i="1"/>
  <c r="C10408" i="1"/>
  <c r="B10408" i="1"/>
  <c r="A10408" i="1"/>
  <c r="F10407" i="1"/>
  <c r="E10407" i="1"/>
  <c r="D10407" i="1"/>
  <c r="C10407" i="1"/>
  <c r="B10407" i="1"/>
  <c r="A10407" i="1"/>
  <c r="F10406" i="1"/>
  <c r="E10406" i="1"/>
  <c r="D10406" i="1"/>
  <c r="C10406" i="1"/>
  <c r="B10406" i="1"/>
  <c r="A10406" i="1"/>
  <c r="F10405" i="1"/>
  <c r="E10405" i="1"/>
  <c r="D10405" i="1"/>
  <c r="C10405" i="1"/>
  <c r="B10405" i="1"/>
  <c r="A10405" i="1"/>
  <c r="F10404" i="1"/>
  <c r="E10404" i="1"/>
  <c r="D10404" i="1"/>
  <c r="C10404" i="1"/>
  <c r="B10404" i="1"/>
  <c r="A10404" i="1"/>
  <c r="F10403" i="1"/>
  <c r="E10403" i="1"/>
  <c r="D10403" i="1"/>
  <c r="C10403" i="1"/>
  <c r="B10403" i="1"/>
  <c r="A10403" i="1"/>
  <c r="F10402" i="1"/>
  <c r="E10402" i="1"/>
  <c r="D10402" i="1"/>
  <c r="C10402" i="1"/>
  <c r="B10402" i="1"/>
  <c r="A10402" i="1"/>
  <c r="F10401" i="1"/>
  <c r="E10401" i="1"/>
  <c r="D10401" i="1"/>
  <c r="C10401" i="1"/>
  <c r="B10401" i="1"/>
  <c r="A10401" i="1"/>
  <c r="F10400" i="1"/>
  <c r="E10400" i="1"/>
  <c r="D10400" i="1"/>
  <c r="C10400" i="1"/>
  <c r="B10400" i="1"/>
  <c r="A10400" i="1"/>
  <c r="F10399" i="1"/>
  <c r="E10399" i="1"/>
  <c r="D10399" i="1"/>
  <c r="C10399" i="1"/>
  <c r="B10399" i="1"/>
  <c r="A10399" i="1"/>
  <c r="F10398" i="1"/>
  <c r="E10398" i="1"/>
  <c r="D10398" i="1"/>
  <c r="C10398" i="1"/>
  <c r="B10398" i="1"/>
  <c r="A10398" i="1"/>
  <c r="F10397" i="1"/>
  <c r="E10397" i="1"/>
  <c r="D10397" i="1"/>
  <c r="C10397" i="1"/>
  <c r="B10397" i="1"/>
  <c r="A10397" i="1"/>
  <c r="F10396" i="1"/>
  <c r="E10396" i="1"/>
  <c r="D10396" i="1"/>
  <c r="C10396" i="1"/>
  <c r="B10396" i="1"/>
  <c r="A10396" i="1"/>
  <c r="F10395" i="1"/>
  <c r="E10395" i="1"/>
  <c r="D10395" i="1"/>
  <c r="C10395" i="1"/>
  <c r="B10395" i="1"/>
  <c r="A10395" i="1"/>
  <c r="F10394" i="1"/>
  <c r="E10394" i="1"/>
  <c r="D10394" i="1"/>
  <c r="C10394" i="1"/>
  <c r="B10394" i="1"/>
  <c r="A10394" i="1"/>
  <c r="F10393" i="1"/>
  <c r="E10393" i="1"/>
  <c r="D10393" i="1"/>
  <c r="C10393" i="1"/>
  <c r="B10393" i="1"/>
  <c r="A10393" i="1"/>
  <c r="F10392" i="1"/>
  <c r="E10392" i="1"/>
  <c r="D10392" i="1"/>
  <c r="C10392" i="1"/>
  <c r="B10392" i="1"/>
  <c r="A10392" i="1"/>
  <c r="F10391" i="1"/>
  <c r="E10391" i="1"/>
  <c r="D10391" i="1"/>
  <c r="C10391" i="1"/>
  <c r="B10391" i="1"/>
  <c r="A10391" i="1"/>
  <c r="F10390" i="1"/>
  <c r="E10390" i="1"/>
  <c r="D10390" i="1"/>
  <c r="C10390" i="1"/>
  <c r="B10390" i="1"/>
  <c r="A10390" i="1"/>
  <c r="F10389" i="1"/>
  <c r="E10389" i="1"/>
  <c r="D10389" i="1"/>
  <c r="C10389" i="1"/>
  <c r="B10389" i="1"/>
  <c r="A10389" i="1"/>
  <c r="F10388" i="1"/>
  <c r="E10388" i="1"/>
  <c r="D10388" i="1"/>
  <c r="C10388" i="1"/>
  <c r="B10388" i="1"/>
  <c r="A10388" i="1"/>
  <c r="F10387" i="1"/>
  <c r="E10387" i="1"/>
  <c r="D10387" i="1"/>
  <c r="C10387" i="1"/>
  <c r="B10387" i="1"/>
  <c r="A10387" i="1"/>
  <c r="F10386" i="1"/>
  <c r="E10386" i="1"/>
  <c r="D10386" i="1"/>
  <c r="C10386" i="1"/>
  <c r="B10386" i="1"/>
  <c r="A10386" i="1"/>
  <c r="F10385" i="1"/>
  <c r="E10385" i="1"/>
  <c r="D10385" i="1"/>
  <c r="C10385" i="1"/>
  <c r="B10385" i="1"/>
  <c r="A10385" i="1"/>
  <c r="F10384" i="1"/>
  <c r="E10384" i="1"/>
  <c r="D10384" i="1"/>
  <c r="C10384" i="1"/>
  <c r="B10384" i="1"/>
  <c r="A10384" i="1"/>
  <c r="F10383" i="1"/>
  <c r="E10383" i="1"/>
  <c r="D10383" i="1"/>
  <c r="C10383" i="1"/>
  <c r="B10383" i="1"/>
  <c r="A10383" i="1"/>
  <c r="F10382" i="1"/>
  <c r="E10382" i="1"/>
  <c r="D10382" i="1"/>
  <c r="C10382" i="1"/>
  <c r="B10382" i="1"/>
  <c r="A10382" i="1"/>
  <c r="F10381" i="1"/>
  <c r="E10381" i="1"/>
  <c r="D10381" i="1"/>
  <c r="C10381" i="1"/>
  <c r="B10381" i="1"/>
  <c r="A10381" i="1"/>
  <c r="F10380" i="1"/>
  <c r="E10380" i="1"/>
  <c r="D10380" i="1"/>
  <c r="C10380" i="1"/>
  <c r="B10380" i="1"/>
  <c r="A10380" i="1"/>
  <c r="F10379" i="1"/>
  <c r="E10379" i="1"/>
  <c r="D10379" i="1"/>
  <c r="C10379" i="1"/>
  <c r="B10379" i="1"/>
  <c r="A10379" i="1"/>
  <c r="F10378" i="1"/>
  <c r="E10378" i="1"/>
  <c r="D10378" i="1"/>
  <c r="C10378" i="1"/>
  <c r="B10378" i="1"/>
  <c r="A10378" i="1"/>
  <c r="F10377" i="1"/>
  <c r="E10377" i="1"/>
  <c r="D10377" i="1"/>
  <c r="C10377" i="1"/>
  <c r="B10377" i="1"/>
  <c r="A10377" i="1"/>
  <c r="F10376" i="1"/>
  <c r="E10376" i="1"/>
  <c r="D10376" i="1"/>
  <c r="C10376" i="1"/>
  <c r="B10376" i="1"/>
  <c r="A10376" i="1"/>
  <c r="F10375" i="1"/>
  <c r="E10375" i="1"/>
  <c r="D10375" i="1"/>
  <c r="C10375" i="1"/>
  <c r="B10375" i="1"/>
  <c r="A10375" i="1"/>
  <c r="F10374" i="1"/>
  <c r="E10374" i="1"/>
  <c r="D10374" i="1"/>
  <c r="C10374" i="1"/>
  <c r="B10374" i="1"/>
  <c r="A10374" i="1"/>
  <c r="F10373" i="1"/>
  <c r="E10373" i="1"/>
  <c r="D10373" i="1"/>
  <c r="C10373" i="1"/>
  <c r="B10373" i="1"/>
  <c r="A10373" i="1"/>
  <c r="F10372" i="1"/>
  <c r="E10372" i="1"/>
  <c r="D10372" i="1"/>
  <c r="C10372" i="1"/>
  <c r="B10372" i="1"/>
  <c r="A10372" i="1"/>
  <c r="F10371" i="1"/>
  <c r="E10371" i="1"/>
  <c r="D10371" i="1"/>
  <c r="C10371" i="1"/>
  <c r="B10371" i="1"/>
  <c r="A10371" i="1"/>
  <c r="F10370" i="1"/>
  <c r="E10370" i="1"/>
  <c r="D10370" i="1"/>
  <c r="C10370" i="1"/>
  <c r="B10370" i="1"/>
  <c r="A10370" i="1"/>
  <c r="F10369" i="1"/>
  <c r="E10369" i="1"/>
  <c r="D10369" i="1"/>
  <c r="C10369" i="1"/>
  <c r="B10369" i="1"/>
  <c r="A10369" i="1"/>
  <c r="F10368" i="1"/>
  <c r="E10368" i="1"/>
  <c r="D10368" i="1"/>
  <c r="C10368" i="1"/>
  <c r="B10368" i="1"/>
  <c r="A10368" i="1"/>
  <c r="F10367" i="1"/>
  <c r="E10367" i="1"/>
  <c r="D10367" i="1"/>
  <c r="C10367" i="1"/>
  <c r="B10367" i="1"/>
  <c r="A10367" i="1"/>
  <c r="F10366" i="1"/>
  <c r="E10366" i="1"/>
  <c r="D10366" i="1"/>
  <c r="C10366" i="1"/>
  <c r="B10366" i="1"/>
  <c r="A10366" i="1"/>
  <c r="F10365" i="1"/>
  <c r="E10365" i="1"/>
  <c r="D10365" i="1"/>
  <c r="C10365" i="1"/>
  <c r="B10365" i="1"/>
  <c r="A10365" i="1"/>
  <c r="F10364" i="1"/>
  <c r="E10364" i="1"/>
  <c r="D10364" i="1"/>
  <c r="C10364" i="1"/>
  <c r="B10364" i="1"/>
  <c r="A10364" i="1"/>
  <c r="F10363" i="1"/>
  <c r="E10363" i="1"/>
  <c r="D10363" i="1"/>
  <c r="C10363" i="1"/>
  <c r="B10363" i="1"/>
  <c r="A10363" i="1"/>
  <c r="F10362" i="1"/>
  <c r="E10362" i="1"/>
  <c r="D10362" i="1"/>
  <c r="C10362" i="1"/>
  <c r="B10362" i="1"/>
  <c r="A10362" i="1"/>
  <c r="F10361" i="1"/>
  <c r="E10361" i="1"/>
  <c r="D10361" i="1"/>
  <c r="C10361" i="1"/>
  <c r="B10361" i="1"/>
  <c r="A10361" i="1"/>
  <c r="F10360" i="1"/>
  <c r="E10360" i="1"/>
  <c r="D10360" i="1"/>
  <c r="C10360" i="1"/>
  <c r="B10360" i="1"/>
  <c r="A10360" i="1"/>
  <c r="F10359" i="1"/>
  <c r="E10359" i="1"/>
  <c r="D10359" i="1"/>
  <c r="C10359" i="1"/>
  <c r="B10359" i="1"/>
  <c r="A10359" i="1"/>
  <c r="F10358" i="1"/>
  <c r="E10358" i="1"/>
  <c r="D10358" i="1"/>
  <c r="C10358" i="1"/>
  <c r="B10358" i="1"/>
  <c r="A10358" i="1"/>
  <c r="F10357" i="1"/>
  <c r="E10357" i="1"/>
  <c r="D10357" i="1"/>
  <c r="C10357" i="1"/>
  <c r="B10357" i="1"/>
  <c r="A10357" i="1"/>
  <c r="F10356" i="1"/>
  <c r="E10356" i="1"/>
  <c r="D10356" i="1"/>
  <c r="C10356" i="1"/>
  <c r="B10356" i="1"/>
  <c r="A10356" i="1"/>
  <c r="F10355" i="1"/>
  <c r="E10355" i="1"/>
  <c r="D10355" i="1"/>
  <c r="C10355" i="1"/>
  <c r="B10355" i="1"/>
  <c r="A10355" i="1"/>
  <c r="F10354" i="1"/>
  <c r="E10354" i="1"/>
  <c r="D10354" i="1"/>
  <c r="C10354" i="1"/>
  <c r="B10354" i="1"/>
  <c r="A10354" i="1"/>
  <c r="F10353" i="1"/>
  <c r="E10353" i="1"/>
  <c r="D10353" i="1"/>
  <c r="C10353" i="1"/>
  <c r="B10353" i="1"/>
  <c r="A10353" i="1"/>
  <c r="F10352" i="1"/>
  <c r="E10352" i="1"/>
  <c r="D10352" i="1"/>
  <c r="C10352" i="1"/>
  <c r="B10352" i="1"/>
  <c r="A10352" i="1"/>
  <c r="F10351" i="1"/>
  <c r="E10351" i="1"/>
  <c r="D10351" i="1"/>
  <c r="C10351" i="1"/>
  <c r="B10351" i="1"/>
  <c r="A10351" i="1"/>
  <c r="F10350" i="1"/>
  <c r="E10350" i="1"/>
  <c r="D10350" i="1"/>
  <c r="C10350" i="1"/>
  <c r="B10350" i="1"/>
  <c r="A10350" i="1"/>
  <c r="F10349" i="1"/>
  <c r="E10349" i="1"/>
  <c r="D10349" i="1"/>
  <c r="C10349" i="1"/>
  <c r="B10349" i="1"/>
  <c r="A10349" i="1"/>
  <c r="F10348" i="1"/>
  <c r="E10348" i="1"/>
  <c r="D10348" i="1"/>
  <c r="C10348" i="1"/>
  <c r="B10348" i="1"/>
  <c r="A10348" i="1"/>
  <c r="F10347" i="1"/>
  <c r="E10347" i="1"/>
  <c r="D10347" i="1"/>
  <c r="C10347" i="1"/>
  <c r="B10347" i="1"/>
  <c r="A10347" i="1"/>
  <c r="F10346" i="1"/>
  <c r="E10346" i="1"/>
  <c r="D10346" i="1"/>
  <c r="C10346" i="1"/>
  <c r="B10346" i="1"/>
  <c r="A10346" i="1"/>
  <c r="F10345" i="1"/>
  <c r="E10345" i="1"/>
  <c r="D10345" i="1"/>
  <c r="C10345" i="1"/>
  <c r="B10345" i="1"/>
  <c r="A10345" i="1"/>
  <c r="F10344" i="1"/>
  <c r="E10344" i="1"/>
  <c r="D10344" i="1"/>
  <c r="C10344" i="1"/>
  <c r="B10344" i="1"/>
  <c r="A10344" i="1"/>
  <c r="F10343" i="1"/>
  <c r="E10343" i="1"/>
  <c r="D10343" i="1"/>
  <c r="C10343" i="1"/>
  <c r="B10343" i="1"/>
  <c r="A10343" i="1"/>
  <c r="F10342" i="1"/>
  <c r="E10342" i="1"/>
  <c r="D10342" i="1"/>
  <c r="C10342" i="1"/>
  <c r="B10342" i="1"/>
  <c r="A10342" i="1"/>
  <c r="F10341" i="1"/>
  <c r="E10341" i="1"/>
  <c r="D10341" i="1"/>
  <c r="C10341" i="1"/>
  <c r="B10341" i="1"/>
  <c r="A10341" i="1"/>
  <c r="F10340" i="1"/>
  <c r="E10340" i="1"/>
  <c r="D10340" i="1"/>
  <c r="C10340" i="1"/>
  <c r="B10340" i="1"/>
  <c r="A10340" i="1"/>
  <c r="F10339" i="1"/>
  <c r="E10339" i="1"/>
  <c r="D10339" i="1"/>
  <c r="C10339" i="1"/>
  <c r="B10339" i="1"/>
  <c r="A10339" i="1"/>
  <c r="F10338" i="1"/>
  <c r="E10338" i="1"/>
  <c r="D10338" i="1"/>
  <c r="C10338" i="1"/>
  <c r="B10338" i="1"/>
  <c r="A10338" i="1"/>
  <c r="F10337" i="1"/>
  <c r="E10337" i="1"/>
  <c r="D10337" i="1"/>
  <c r="C10337" i="1"/>
  <c r="B10337" i="1"/>
  <c r="A10337" i="1"/>
  <c r="F10336" i="1"/>
  <c r="E10336" i="1"/>
  <c r="D10336" i="1"/>
  <c r="C10336" i="1"/>
  <c r="B10336" i="1"/>
  <c r="A10336" i="1"/>
  <c r="F10335" i="1"/>
  <c r="E10335" i="1"/>
  <c r="D10335" i="1"/>
  <c r="C10335" i="1"/>
  <c r="B10335" i="1"/>
  <c r="A10335" i="1"/>
  <c r="F10334" i="1"/>
  <c r="E10334" i="1"/>
  <c r="D10334" i="1"/>
  <c r="C10334" i="1"/>
  <c r="B10334" i="1"/>
  <c r="A10334" i="1"/>
  <c r="F10333" i="1"/>
  <c r="E10333" i="1"/>
  <c r="D10333" i="1"/>
  <c r="C10333" i="1"/>
  <c r="B10333" i="1"/>
  <c r="A10333" i="1"/>
  <c r="F10332" i="1"/>
  <c r="E10332" i="1"/>
  <c r="D10332" i="1"/>
  <c r="C10332" i="1"/>
  <c r="B10332" i="1"/>
  <c r="A10332" i="1"/>
  <c r="F10331" i="1"/>
  <c r="E10331" i="1"/>
  <c r="D10331" i="1"/>
  <c r="C10331" i="1"/>
  <c r="B10331" i="1"/>
  <c r="A10331" i="1"/>
  <c r="F10330" i="1"/>
  <c r="E10330" i="1"/>
  <c r="D10330" i="1"/>
  <c r="C10330" i="1"/>
  <c r="B10330" i="1"/>
  <c r="A10330" i="1"/>
  <c r="F10329" i="1"/>
  <c r="E10329" i="1"/>
  <c r="D10329" i="1"/>
  <c r="C10329" i="1"/>
  <c r="B10329" i="1"/>
  <c r="A10329" i="1"/>
  <c r="F10328" i="1"/>
  <c r="E10328" i="1"/>
  <c r="D10328" i="1"/>
  <c r="C10328" i="1"/>
  <c r="B10328" i="1"/>
  <c r="A10328" i="1"/>
  <c r="F10327" i="1"/>
  <c r="E10327" i="1"/>
  <c r="D10327" i="1"/>
  <c r="C10327" i="1"/>
  <c r="B10327" i="1"/>
  <c r="A10327" i="1"/>
  <c r="F10326" i="1"/>
  <c r="E10326" i="1"/>
  <c r="D10326" i="1"/>
  <c r="C10326" i="1"/>
  <c r="B10326" i="1"/>
  <c r="A10326" i="1"/>
  <c r="F10325" i="1"/>
  <c r="E10325" i="1"/>
  <c r="D10325" i="1"/>
  <c r="C10325" i="1"/>
  <c r="B10325" i="1"/>
  <c r="A10325" i="1"/>
  <c r="F10324" i="1"/>
  <c r="E10324" i="1"/>
  <c r="D10324" i="1"/>
  <c r="C10324" i="1"/>
  <c r="B10324" i="1"/>
  <c r="A10324" i="1"/>
  <c r="F10323" i="1"/>
  <c r="E10323" i="1"/>
  <c r="D10323" i="1"/>
  <c r="C10323" i="1"/>
  <c r="B10323" i="1"/>
  <c r="A10323" i="1"/>
  <c r="F10322" i="1"/>
  <c r="E10322" i="1"/>
  <c r="D10322" i="1"/>
  <c r="C10322" i="1"/>
  <c r="B10322" i="1"/>
  <c r="A10322" i="1"/>
  <c r="F10321" i="1"/>
  <c r="E10321" i="1"/>
  <c r="D10321" i="1"/>
  <c r="C10321" i="1"/>
  <c r="B10321" i="1"/>
  <c r="A10321" i="1"/>
  <c r="F10320" i="1"/>
  <c r="E10320" i="1"/>
  <c r="D10320" i="1"/>
  <c r="C10320" i="1"/>
  <c r="B10320" i="1"/>
  <c r="A10320" i="1"/>
  <c r="F10319" i="1"/>
  <c r="E10319" i="1"/>
  <c r="D10319" i="1"/>
  <c r="C10319" i="1"/>
  <c r="B10319" i="1"/>
  <c r="A10319" i="1"/>
  <c r="F10318" i="1"/>
  <c r="E10318" i="1"/>
  <c r="D10318" i="1"/>
  <c r="C10318" i="1"/>
  <c r="B10318" i="1"/>
  <c r="A10318" i="1"/>
  <c r="F10317" i="1"/>
  <c r="E10317" i="1"/>
  <c r="D10317" i="1"/>
  <c r="C10317" i="1"/>
  <c r="B10317" i="1"/>
  <c r="A10317" i="1"/>
  <c r="F10316" i="1"/>
  <c r="E10316" i="1"/>
  <c r="D10316" i="1"/>
  <c r="C10316" i="1"/>
  <c r="B10316" i="1"/>
  <c r="A10316" i="1"/>
  <c r="F10315" i="1"/>
  <c r="E10315" i="1"/>
  <c r="D10315" i="1"/>
  <c r="C10315" i="1"/>
  <c r="B10315" i="1"/>
  <c r="A10315" i="1"/>
  <c r="F10314" i="1"/>
  <c r="E10314" i="1"/>
  <c r="D10314" i="1"/>
  <c r="C10314" i="1"/>
  <c r="B10314" i="1"/>
  <c r="A10314" i="1"/>
  <c r="F10313" i="1"/>
  <c r="E10313" i="1"/>
  <c r="D10313" i="1"/>
  <c r="C10313" i="1"/>
  <c r="B10313" i="1"/>
  <c r="A10313" i="1"/>
  <c r="F10312" i="1"/>
  <c r="E10312" i="1"/>
  <c r="D10312" i="1"/>
  <c r="C10312" i="1"/>
  <c r="B10312" i="1"/>
  <c r="A10312" i="1"/>
  <c r="F10311" i="1"/>
  <c r="E10311" i="1"/>
  <c r="D10311" i="1"/>
  <c r="C10311" i="1"/>
  <c r="B10311" i="1"/>
  <c r="A10311" i="1"/>
  <c r="F10310" i="1"/>
  <c r="E10310" i="1"/>
  <c r="D10310" i="1"/>
  <c r="C10310" i="1"/>
  <c r="B10310" i="1"/>
  <c r="A10310" i="1"/>
  <c r="F10309" i="1"/>
  <c r="E10309" i="1"/>
  <c r="D10309" i="1"/>
  <c r="C10309" i="1"/>
  <c r="B10309" i="1"/>
  <c r="A10309" i="1"/>
  <c r="F10308" i="1"/>
  <c r="E10308" i="1"/>
  <c r="D10308" i="1"/>
  <c r="C10308" i="1"/>
  <c r="B10308" i="1"/>
  <c r="A10308" i="1"/>
  <c r="F10307" i="1"/>
  <c r="E10307" i="1"/>
  <c r="D10307" i="1"/>
  <c r="C10307" i="1"/>
  <c r="B10307" i="1"/>
  <c r="A10307" i="1"/>
  <c r="F10306" i="1"/>
  <c r="E10306" i="1"/>
  <c r="D10306" i="1"/>
  <c r="C10306" i="1"/>
  <c r="B10306" i="1"/>
  <c r="A10306" i="1"/>
  <c r="F10305" i="1"/>
  <c r="E10305" i="1"/>
  <c r="D10305" i="1"/>
  <c r="C10305" i="1"/>
  <c r="B10305" i="1"/>
  <c r="A10305" i="1"/>
  <c r="F10304" i="1"/>
  <c r="E10304" i="1"/>
  <c r="D10304" i="1"/>
  <c r="C10304" i="1"/>
  <c r="B10304" i="1"/>
  <c r="A10304" i="1"/>
  <c r="F10303" i="1"/>
  <c r="E10303" i="1"/>
  <c r="D10303" i="1"/>
  <c r="C10303" i="1"/>
  <c r="B10303" i="1"/>
  <c r="A10303" i="1"/>
  <c r="F10302" i="1"/>
  <c r="E10302" i="1"/>
  <c r="D10302" i="1"/>
  <c r="C10302" i="1"/>
  <c r="B10302" i="1"/>
  <c r="A10302" i="1"/>
  <c r="F10301" i="1"/>
  <c r="E10301" i="1"/>
  <c r="D10301" i="1"/>
  <c r="C10301" i="1"/>
  <c r="B10301" i="1"/>
  <c r="A10301" i="1"/>
  <c r="F10300" i="1"/>
  <c r="E10300" i="1"/>
  <c r="D10300" i="1"/>
  <c r="C10300" i="1"/>
  <c r="B10300" i="1"/>
  <c r="A10300" i="1"/>
  <c r="F10299" i="1"/>
  <c r="E10299" i="1"/>
  <c r="D10299" i="1"/>
  <c r="C10299" i="1"/>
  <c r="B10299" i="1"/>
  <c r="A10299" i="1"/>
  <c r="F10298" i="1"/>
  <c r="E10298" i="1"/>
  <c r="D10298" i="1"/>
  <c r="C10298" i="1"/>
  <c r="B10298" i="1"/>
  <c r="A10298" i="1"/>
  <c r="F10297" i="1"/>
  <c r="E10297" i="1"/>
  <c r="D10297" i="1"/>
  <c r="C10297" i="1"/>
  <c r="B10297" i="1"/>
  <c r="A10297" i="1"/>
  <c r="F10296" i="1"/>
  <c r="E10296" i="1"/>
  <c r="D10296" i="1"/>
  <c r="C10296" i="1"/>
  <c r="B10296" i="1"/>
  <c r="A10296" i="1"/>
  <c r="F10295" i="1"/>
  <c r="E10295" i="1"/>
  <c r="D10295" i="1"/>
  <c r="C10295" i="1"/>
  <c r="B10295" i="1"/>
  <c r="A10295" i="1"/>
  <c r="F10294" i="1"/>
  <c r="E10294" i="1"/>
  <c r="D10294" i="1"/>
  <c r="C10294" i="1"/>
  <c r="B10294" i="1"/>
  <c r="A10294" i="1"/>
  <c r="F10293" i="1"/>
  <c r="E10293" i="1"/>
  <c r="D10293" i="1"/>
  <c r="C10293" i="1"/>
  <c r="B10293" i="1"/>
  <c r="A10293" i="1"/>
  <c r="F10292" i="1"/>
  <c r="E10292" i="1"/>
  <c r="D10292" i="1"/>
  <c r="C10292" i="1"/>
  <c r="B10292" i="1"/>
  <c r="A10292" i="1"/>
  <c r="F10291" i="1"/>
  <c r="E10291" i="1"/>
  <c r="D10291" i="1"/>
  <c r="C10291" i="1"/>
  <c r="B10291" i="1"/>
  <c r="A10291" i="1"/>
  <c r="F10290" i="1"/>
  <c r="E10290" i="1"/>
  <c r="D10290" i="1"/>
  <c r="C10290" i="1"/>
  <c r="B10290" i="1"/>
  <c r="A10290" i="1"/>
  <c r="F10289" i="1"/>
  <c r="E10289" i="1"/>
  <c r="D10289" i="1"/>
  <c r="C10289" i="1"/>
  <c r="B10289" i="1"/>
  <c r="A10289" i="1"/>
  <c r="F10288" i="1"/>
  <c r="E10288" i="1"/>
  <c r="D10288" i="1"/>
  <c r="C10288" i="1"/>
  <c r="B10288" i="1"/>
  <c r="A10288" i="1"/>
  <c r="F10287" i="1"/>
  <c r="E10287" i="1"/>
  <c r="D10287" i="1"/>
  <c r="C10287" i="1"/>
  <c r="B10287" i="1"/>
  <c r="A10287" i="1"/>
  <c r="F10286" i="1"/>
  <c r="E10286" i="1"/>
  <c r="D10286" i="1"/>
  <c r="C10286" i="1"/>
  <c r="B10286" i="1"/>
  <c r="A10286" i="1"/>
  <c r="F10285" i="1"/>
  <c r="E10285" i="1"/>
  <c r="D10285" i="1"/>
  <c r="C10285" i="1"/>
  <c r="B10285" i="1"/>
  <c r="A10285" i="1"/>
  <c r="F10284" i="1"/>
  <c r="E10284" i="1"/>
  <c r="D10284" i="1"/>
  <c r="C10284" i="1"/>
  <c r="B10284" i="1"/>
  <c r="A10284" i="1"/>
  <c r="F10283" i="1"/>
  <c r="E10283" i="1"/>
  <c r="D10283" i="1"/>
  <c r="C10283" i="1"/>
  <c r="B10283" i="1"/>
  <c r="A10283" i="1"/>
  <c r="F10282" i="1"/>
  <c r="E10282" i="1"/>
  <c r="D10282" i="1"/>
  <c r="C10282" i="1"/>
  <c r="B10282" i="1"/>
  <c r="A10282" i="1"/>
  <c r="F10281" i="1"/>
  <c r="E10281" i="1"/>
  <c r="D10281" i="1"/>
  <c r="C10281" i="1"/>
  <c r="B10281" i="1"/>
  <c r="A10281" i="1"/>
  <c r="F10280" i="1"/>
  <c r="E10280" i="1"/>
  <c r="D10280" i="1"/>
  <c r="C10280" i="1"/>
  <c r="B10280" i="1"/>
  <c r="A10280" i="1"/>
  <c r="F10279" i="1"/>
  <c r="E10279" i="1"/>
  <c r="D10279" i="1"/>
  <c r="C10279" i="1"/>
  <c r="B10279" i="1"/>
  <c r="A10279" i="1"/>
  <c r="F10278" i="1"/>
  <c r="E10278" i="1"/>
  <c r="D10278" i="1"/>
  <c r="C10278" i="1"/>
  <c r="B10278" i="1"/>
  <c r="A10278" i="1"/>
  <c r="F10277" i="1"/>
  <c r="E10277" i="1"/>
  <c r="D10277" i="1"/>
  <c r="C10277" i="1"/>
  <c r="B10277" i="1"/>
  <c r="A10277" i="1"/>
  <c r="F10276" i="1"/>
  <c r="E10276" i="1"/>
  <c r="D10276" i="1"/>
  <c r="C10276" i="1"/>
  <c r="B10276" i="1"/>
  <c r="A10276" i="1"/>
  <c r="F10275" i="1"/>
  <c r="E10275" i="1"/>
  <c r="D10275" i="1"/>
  <c r="C10275" i="1"/>
  <c r="B10275" i="1"/>
  <c r="A10275" i="1"/>
  <c r="F10274" i="1"/>
  <c r="E10274" i="1"/>
  <c r="D10274" i="1"/>
  <c r="C10274" i="1"/>
  <c r="B10274" i="1"/>
  <c r="A10274" i="1"/>
  <c r="F10273" i="1"/>
  <c r="E10273" i="1"/>
  <c r="D10273" i="1"/>
  <c r="C10273" i="1"/>
  <c r="B10273" i="1"/>
  <c r="A10273" i="1"/>
  <c r="F10272" i="1"/>
  <c r="E10272" i="1"/>
  <c r="D10272" i="1"/>
  <c r="C10272" i="1"/>
  <c r="B10272" i="1"/>
  <c r="A10272" i="1"/>
  <c r="F10271" i="1"/>
  <c r="E10271" i="1"/>
  <c r="D10271" i="1"/>
  <c r="C10271" i="1"/>
  <c r="B10271" i="1"/>
  <c r="A10271" i="1"/>
  <c r="F10270" i="1"/>
  <c r="E10270" i="1"/>
  <c r="D10270" i="1"/>
  <c r="C10270" i="1"/>
  <c r="B10270" i="1"/>
  <c r="A10270" i="1"/>
  <c r="F10269" i="1"/>
  <c r="E10269" i="1"/>
  <c r="D10269" i="1"/>
  <c r="C10269" i="1"/>
  <c r="B10269" i="1"/>
  <c r="A10269" i="1"/>
  <c r="F10268" i="1"/>
  <c r="E10268" i="1"/>
  <c r="D10268" i="1"/>
  <c r="C10268" i="1"/>
  <c r="B10268" i="1"/>
  <c r="A10268" i="1"/>
  <c r="F10267" i="1"/>
  <c r="E10267" i="1"/>
  <c r="D10267" i="1"/>
  <c r="C10267" i="1"/>
  <c r="B10267" i="1"/>
  <c r="A10267" i="1"/>
  <c r="F10266" i="1"/>
  <c r="E10266" i="1"/>
  <c r="D10266" i="1"/>
  <c r="C10266" i="1"/>
  <c r="B10266" i="1"/>
  <c r="A10266" i="1"/>
  <c r="F10265" i="1"/>
  <c r="E10265" i="1"/>
  <c r="D10265" i="1"/>
  <c r="C10265" i="1"/>
  <c r="B10265" i="1"/>
  <c r="A10265" i="1"/>
  <c r="F10264" i="1"/>
  <c r="E10264" i="1"/>
  <c r="D10264" i="1"/>
  <c r="C10264" i="1"/>
  <c r="B10264" i="1"/>
  <c r="A10264" i="1"/>
  <c r="F10263" i="1"/>
  <c r="E10263" i="1"/>
  <c r="D10263" i="1"/>
  <c r="C10263" i="1"/>
  <c r="B10263" i="1"/>
  <c r="A10263" i="1"/>
  <c r="F10262" i="1"/>
  <c r="E10262" i="1"/>
  <c r="D10262" i="1"/>
  <c r="C10262" i="1"/>
  <c r="B10262" i="1"/>
  <c r="A10262" i="1"/>
  <c r="F10261" i="1"/>
  <c r="E10261" i="1"/>
  <c r="D10261" i="1"/>
  <c r="C10261" i="1"/>
  <c r="B10261" i="1"/>
  <c r="A10261" i="1"/>
  <c r="F10260" i="1"/>
  <c r="E10260" i="1"/>
  <c r="D10260" i="1"/>
  <c r="C10260" i="1"/>
  <c r="B10260" i="1"/>
  <c r="A10260" i="1"/>
  <c r="F10259" i="1"/>
  <c r="E10259" i="1"/>
  <c r="D10259" i="1"/>
  <c r="C10259" i="1"/>
  <c r="B10259" i="1"/>
  <c r="A10259" i="1"/>
  <c r="F10258" i="1"/>
  <c r="E10258" i="1"/>
  <c r="D10258" i="1"/>
  <c r="C10258" i="1"/>
  <c r="B10258" i="1"/>
  <c r="A10258" i="1"/>
  <c r="F10257" i="1"/>
  <c r="E10257" i="1"/>
  <c r="D10257" i="1"/>
  <c r="C10257" i="1"/>
  <c r="B10257" i="1"/>
  <c r="A10257" i="1"/>
  <c r="F10256" i="1"/>
  <c r="E10256" i="1"/>
  <c r="D10256" i="1"/>
  <c r="C10256" i="1"/>
  <c r="B10256" i="1"/>
  <c r="A10256" i="1"/>
  <c r="F10255" i="1"/>
  <c r="E10255" i="1"/>
  <c r="D10255" i="1"/>
  <c r="C10255" i="1"/>
  <c r="B10255" i="1"/>
  <c r="A10255" i="1"/>
  <c r="F10254" i="1"/>
  <c r="E10254" i="1"/>
  <c r="D10254" i="1"/>
  <c r="C10254" i="1"/>
  <c r="B10254" i="1"/>
  <c r="A10254" i="1"/>
  <c r="F10253" i="1"/>
  <c r="E10253" i="1"/>
  <c r="D10253" i="1"/>
  <c r="C10253" i="1"/>
  <c r="B10253" i="1"/>
  <c r="A10253" i="1"/>
  <c r="F10252" i="1"/>
  <c r="E10252" i="1"/>
  <c r="D10252" i="1"/>
  <c r="C10252" i="1"/>
  <c r="B10252" i="1"/>
  <c r="A10252" i="1"/>
  <c r="F10251" i="1"/>
  <c r="E10251" i="1"/>
  <c r="D10251" i="1"/>
  <c r="C10251" i="1"/>
  <c r="B10251" i="1"/>
  <c r="A10251" i="1"/>
  <c r="F10250" i="1"/>
  <c r="E10250" i="1"/>
  <c r="D10250" i="1"/>
  <c r="C10250" i="1"/>
  <c r="B10250" i="1"/>
  <c r="A10250" i="1"/>
  <c r="F10249" i="1"/>
  <c r="E10249" i="1"/>
  <c r="D10249" i="1"/>
  <c r="C10249" i="1"/>
  <c r="B10249" i="1"/>
  <c r="A10249" i="1"/>
  <c r="F10248" i="1"/>
  <c r="E10248" i="1"/>
  <c r="D10248" i="1"/>
  <c r="C10248" i="1"/>
  <c r="B10248" i="1"/>
  <c r="A10248" i="1"/>
  <c r="F10247" i="1"/>
  <c r="E10247" i="1"/>
  <c r="D10247" i="1"/>
  <c r="C10247" i="1"/>
  <c r="B10247" i="1"/>
  <c r="A10247" i="1"/>
  <c r="F10246" i="1"/>
  <c r="E10246" i="1"/>
  <c r="D10246" i="1"/>
  <c r="C10246" i="1"/>
  <c r="B10246" i="1"/>
  <c r="A10246" i="1"/>
  <c r="F10245" i="1"/>
  <c r="E10245" i="1"/>
  <c r="D10245" i="1"/>
  <c r="C10245" i="1"/>
  <c r="B10245" i="1"/>
  <c r="A10245" i="1"/>
  <c r="F10244" i="1"/>
  <c r="E10244" i="1"/>
  <c r="D10244" i="1"/>
  <c r="C10244" i="1"/>
  <c r="B10244" i="1"/>
  <c r="A10244" i="1"/>
  <c r="F10243" i="1"/>
  <c r="E10243" i="1"/>
  <c r="D10243" i="1"/>
  <c r="C10243" i="1"/>
  <c r="B10243" i="1"/>
  <c r="A10243" i="1"/>
  <c r="F10242" i="1"/>
  <c r="E10242" i="1"/>
  <c r="D10242" i="1"/>
  <c r="C10242" i="1"/>
  <c r="B10242" i="1"/>
  <c r="A10242" i="1"/>
  <c r="F10241" i="1"/>
  <c r="E10241" i="1"/>
  <c r="D10241" i="1"/>
  <c r="C10241" i="1"/>
  <c r="B10241" i="1"/>
  <c r="A10241" i="1"/>
  <c r="F10240" i="1"/>
  <c r="E10240" i="1"/>
  <c r="D10240" i="1"/>
  <c r="C10240" i="1"/>
  <c r="B10240" i="1"/>
  <c r="A10240" i="1"/>
  <c r="F10239" i="1"/>
  <c r="E10239" i="1"/>
  <c r="D10239" i="1"/>
  <c r="C10239" i="1"/>
  <c r="B10239" i="1"/>
  <c r="A10239" i="1"/>
  <c r="F10238" i="1"/>
  <c r="E10238" i="1"/>
  <c r="D10238" i="1"/>
  <c r="C10238" i="1"/>
  <c r="B10238" i="1"/>
  <c r="A10238" i="1"/>
  <c r="F10237" i="1"/>
  <c r="E10237" i="1"/>
  <c r="D10237" i="1"/>
  <c r="C10237" i="1"/>
  <c r="B10237" i="1"/>
  <c r="A10237" i="1"/>
  <c r="F10236" i="1"/>
  <c r="E10236" i="1"/>
  <c r="D10236" i="1"/>
  <c r="C10236" i="1"/>
  <c r="B10236" i="1"/>
  <c r="A10236" i="1"/>
  <c r="F10235" i="1"/>
  <c r="E10235" i="1"/>
  <c r="D10235" i="1"/>
  <c r="C10235" i="1"/>
  <c r="B10235" i="1"/>
  <c r="A10235" i="1"/>
  <c r="F10234" i="1"/>
  <c r="E10234" i="1"/>
  <c r="D10234" i="1"/>
  <c r="C10234" i="1"/>
  <c r="B10234" i="1"/>
  <c r="A10234" i="1"/>
  <c r="F10233" i="1"/>
  <c r="E10233" i="1"/>
  <c r="D10233" i="1"/>
  <c r="C10233" i="1"/>
  <c r="B10233" i="1"/>
  <c r="A10233" i="1"/>
  <c r="F10232" i="1"/>
  <c r="E10232" i="1"/>
  <c r="D10232" i="1"/>
  <c r="C10232" i="1"/>
  <c r="B10232" i="1"/>
  <c r="A10232" i="1"/>
  <c r="F10231" i="1"/>
  <c r="E10231" i="1"/>
  <c r="D10231" i="1"/>
  <c r="C10231" i="1"/>
  <c r="B10231" i="1"/>
  <c r="A10231" i="1"/>
  <c r="F10230" i="1"/>
  <c r="E10230" i="1"/>
  <c r="D10230" i="1"/>
  <c r="C10230" i="1"/>
  <c r="B10230" i="1"/>
  <c r="A10230" i="1"/>
  <c r="F10229" i="1"/>
  <c r="E10229" i="1"/>
  <c r="D10229" i="1"/>
  <c r="C10229" i="1"/>
  <c r="B10229" i="1"/>
  <c r="A10229" i="1"/>
  <c r="F10228" i="1"/>
  <c r="E10228" i="1"/>
  <c r="D10228" i="1"/>
  <c r="C10228" i="1"/>
  <c r="B10228" i="1"/>
  <c r="A10228" i="1"/>
  <c r="F10227" i="1"/>
  <c r="E10227" i="1"/>
  <c r="D10227" i="1"/>
  <c r="C10227" i="1"/>
  <c r="B10227" i="1"/>
  <c r="A10227" i="1"/>
  <c r="F10226" i="1"/>
  <c r="E10226" i="1"/>
  <c r="D10226" i="1"/>
  <c r="C10226" i="1"/>
  <c r="B10226" i="1"/>
  <c r="A10226" i="1"/>
  <c r="F10225" i="1"/>
  <c r="E10225" i="1"/>
  <c r="D10225" i="1"/>
  <c r="C10225" i="1"/>
  <c r="B10225" i="1"/>
  <c r="A10225" i="1"/>
  <c r="F10224" i="1"/>
  <c r="E10224" i="1"/>
  <c r="D10224" i="1"/>
  <c r="C10224" i="1"/>
  <c r="B10224" i="1"/>
  <c r="A10224" i="1"/>
  <c r="F10223" i="1"/>
  <c r="E10223" i="1"/>
  <c r="D10223" i="1"/>
  <c r="C10223" i="1"/>
  <c r="B10223" i="1"/>
  <c r="A10223" i="1"/>
  <c r="F10222" i="1"/>
  <c r="E10222" i="1"/>
  <c r="D10222" i="1"/>
  <c r="C10222" i="1"/>
  <c r="B10222" i="1"/>
  <c r="A10222" i="1"/>
  <c r="F10221" i="1"/>
  <c r="E10221" i="1"/>
  <c r="D10221" i="1"/>
  <c r="C10221" i="1"/>
  <c r="B10221" i="1"/>
  <c r="A10221" i="1"/>
  <c r="F10220" i="1"/>
  <c r="E10220" i="1"/>
  <c r="D10220" i="1"/>
  <c r="C10220" i="1"/>
  <c r="B10220" i="1"/>
  <c r="A10220" i="1"/>
  <c r="F10219" i="1"/>
  <c r="E10219" i="1"/>
  <c r="D10219" i="1"/>
  <c r="C10219" i="1"/>
  <c r="B10219" i="1"/>
  <c r="A10219" i="1"/>
  <c r="F10218" i="1"/>
  <c r="E10218" i="1"/>
  <c r="D10218" i="1"/>
  <c r="C10218" i="1"/>
  <c r="B10218" i="1"/>
  <c r="A10218" i="1"/>
  <c r="F10217" i="1"/>
  <c r="E10217" i="1"/>
  <c r="D10217" i="1"/>
  <c r="C10217" i="1"/>
  <c r="B10217" i="1"/>
  <c r="A10217" i="1"/>
  <c r="F10216" i="1"/>
  <c r="E10216" i="1"/>
  <c r="D10216" i="1"/>
  <c r="C10216" i="1"/>
  <c r="B10216" i="1"/>
  <c r="A10216" i="1"/>
  <c r="F10215" i="1"/>
  <c r="E10215" i="1"/>
  <c r="D10215" i="1"/>
  <c r="C10215" i="1"/>
  <c r="B10215" i="1"/>
  <c r="A10215" i="1"/>
  <c r="F10214" i="1"/>
  <c r="E10214" i="1"/>
  <c r="D10214" i="1"/>
  <c r="C10214" i="1"/>
  <c r="B10214" i="1"/>
  <c r="A10214" i="1"/>
  <c r="F10213" i="1"/>
  <c r="E10213" i="1"/>
  <c r="D10213" i="1"/>
  <c r="C10213" i="1"/>
  <c r="B10213" i="1"/>
  <c r="A10213" i="1"/>
  <c r="F10212" i="1"/>
  <c r="E10212" i="1"/>
  <c r="D10212" i="1"/>
  <c r="C10212" i="1"/>
  <c r="B10212" i="1"/>
  <c r="A10212" i="1"/>
  <c r="F10211" i="1"/>
  <c r="E10211" i="1"/>
  <c r="D10211" i="1"/>
  <c r="C10211" i="1"/>
  <c r="B10211" i="1"/>
  <c r="A10211" i="1"/>
  <c r="F10210" i="1"/>
  <c r="E10210" i="1"/>
  <c r="D10210" i="1"/>
  <c r="C10210" i="1"/>
  <c r="B10210" i="1"/>
  <c r="A10210" i="1"/>
  <c r="F10209" i="1"/>
  <c r="E10209" i="1"/>
  <c r="D10209" i="1"/>
  <c r="C10209" i="1"/>
  <c r="B10209" i="1"/>
  <c r="A10209" i="1"/>
  <c r="F10208" i="1"/>
  <c r="E10208" i="1"/>
  <c r="D10208" i="1"/>
  <c r="C10208" i="1"/>
  <c r="B10208" i="1"/>
  <c r="A10208" i="1"/>
  <c r="F10207" i="1"/>
  <c r="E10207" i="1"/>
  <c r="D10207" i="1"/>
  <c r="C10207" i="1"/>
  <c r="B10207" i="1"/>
  <c r="A10207" i="1"/>
  <c r="F10206" i="1"/>
  <c r="E10206" i="1"/>
  <c r="D10206" i="1"/>
  <c r="C10206" i="1"/>
  <c r="B10206" i="1"/>
  <c r="A10206" i="1"/>
  <c r="F10205" i="1"/>
  <c r="E10205" i="1"/>
  <c r="D10205" i="1"/>
  <c r="C10205" i="1"/>
  <c r="B10205" i="1"/>
  <c r="A10205" i="1"/>
  <c r="F10204" i="1"/>
  <c r="E10204" i="1"/>
  <c r="D10204" i="1"/>
  <c r="C10204" i="1"/>
  <c r="B10204" i="1"/>
  <c r="A10204" i="1"/>
  <c r="F10203" i="1"/>
  <c r="E10203" i="1"/>
  <c r="D10203" i="1"/>
  <c r="C10203" i="1"/>
  <c r="B10203" i="1"/>
  <c r="A10203" i="1"/>
  <c r="F10202" i="1"/>
  <c r="E10202" i="1"/>
  <c r="D10202" i="1"/>
  <c r="C10202" i="1"/>
  <c r="B10202" i="1"/>
  <c r="A10202" i="1"/>
  <c r="F10201" i="1"/>
  <c r="E10201" i="1"/>
  <c r="D10201" i="1"/>
  <c r="C10201" i="1"/>
  <c r="B10201" i="1"/>
  <c r="A10201" i="1"/>
  <c r="F10200" i="1"/>
  <c r="E10200" i="1"/>
  <c r="D10200" i="1"/>
  <c r="C10200" i="1"/>
  <c r="B10200" i="1"/>
  <c r="A10200" i="1"/>
  <c r="F10199" i="1"/>
  <c r="E10199" i="1"/>
  <c r="D10199" i="1"/>
  <c r="C10199" i="1"/>
  <c r="B10199" i="1"/>
  <c r="A10199" i="1"/>
  <c r="F10198" i="1"/>
  <c r="E10198" i="1"/>
  <c r="D10198" i="1"/>
  <c r="C10198" i="1"/>
  <c r="B10198" i="1"/>
  <c r="A10198" i="1"/>
  <c r="F10197" i="1"/>
  <c r="E10197" i="1"/>
  <c r="D10197" i="1"/>
  <c r="C10197" i="1"/>
  <c r="B10197" i="1"/>
  <c r="A10197" i="1"/>
  <c r="F10196" i="1"/>
  <c r="E10196" i="1"/>
  <c r="D10196" i="1"/>
  <c r="C10196" i="1"/>
  <c r="B10196" i="1"/>
  <c r="A10196" i="1"/>
  <c r="F10195" i="1"/>
  <c r="E10195" i="1"/>
  <c r="D10195" i="1"/>
  <c r="C10195" i="1"/>
  <c r="B10195" i="1"/>
  <c r="A10195" i="1"/>
  <c r="F10194" i="1"/>
  <c r="E10194" i="1"/>
  <c r="D10194" i="1"/>
  <c r="C10194" i="1"/>
  <c r="B10194" i="1"/>
  <c r="A10194" i="1"/>
  <c r="F10193" i="1"/>
  <c r="E10193" i="1"/>
  <c r="D10193" i="1"/>
  <c r="C10193" i="1"/>
  <c r="B10193" i="1"/>
  <c r="A10193" i="1"/>
  <c r="F10192" i="1"/>
  <c r="E10192" i="1"/>
  <c r="D10192" i="1"/>
  <c r="C10192" i="1"/>
  <c r="B10192" i="1"/>
  <c r="A10192" i="1"/>
  <c r="F10191" i="1"/>
  <c r="E10191" i="1"/>
  <c r="D10191" i="1"/>
  <c r="C10191" i="1"/>
  <c r="B10191" i="1"/>
  <c r="A10191" i="1"/>
  <c r="F10190" i="1"/>
  <c r="E10190" i="1"/>
  <c r="D10190" i="1"/>
  <c r="C10190" i="1"/>
  <c r="B10190" i="1"/>
  <c r="A10190" i="1"/>
  <c r="F10189" i="1"/>
  <c r="E10189" i="1"/>
  <c r="D10189" i="1"/>
  <c r="C10189" i="1"/>
  <c r="B10189" i="1"/>
  <c r="A10189" i="1"/>
  <c r="F10188" i="1"/>
  <c r="E10188" i="1"/>
  <c r="D10188" i="1"/>
  <c r="C10188" i="1"/>
  <c r="B10188" i="1"/>
  <c r="A10188" i="1"/>
  <c r="F10187" i="1"/>
  <c r="E10187" i="1"/>
  <c r="D10187" i="1"/>
  <c r="C10187" i="1"/>
  <c r="B10187" i="1"/>
  <c r="A10187" i="1"/>
  <c r="F10186" i="1"/>
  <c r="E10186" i="1"/>
  <c r="D10186" i="1"/>
  <c r="C10186" i="1"/>
  <c r="B10186" i="1"/>
  <c r="A10186" i="1"/>
  <c r="F10185" i="1"/>
  <c r="E10185" i="1"/>
  <c r="D10185" i="1"/>
  <c r="C10185" i="1"/>
  <c r="B10185" i="1"/>
  <c r="A10185" i="1"/>
  <c r="F10184" i="1"/>
  <c r="E10184" i="1"/>
  <c r="D10184" i="1"/>
  <c r="C10184" i="1"/>
  <c r="B10184" i="1"/>
  <c r="A10184" i="1"/>
  <c r="F10183" i="1"/>
  <c r="E10183" i="1"/>
  <c r="D10183" i="1"/>
  <c r="C10183" i="1"/>
  <c r="B10183" i="1"/>
  <c r="A10183" i="1"/>
  <c r="F10182" i="1"/>
  <c r="E10182" i="1"/>
  <c r="D10182" i="1"/>
  <c r="C10182" i="1"/>
  <c r="B10182" i="1"/>
  <c r="A10182" i="1"/>
  <c r="F10181" i="1"/>
  <c r="E10181" i="1"/>
  <c r="D10181" i="1"/>
  <c r="C10181" i="1"/>
  <c r="B10181" i="1"/>
  <c r="A10181" i="1"/>
  <c r="F10180" i="1"/>
  <c r="E10180" i="1"/>
  <c r="D10180" i="1"/>
  <c r="C10180" i="1"/>
  <c r="B10180" i="1"/>
  <c r="A10180" i="1"/>
  <c r="F10179" i="1"/>
  <c r="E10179" i="1"/>
  <c r="D10179" i="1"/>
  <c r="C10179" i="1"/>
  <c r="B10179" i="1"/>
  <c r="A10179" i="1"/>
  <c r="F10178" i="1"/>
  <c r="E10178" i="1"/>
  <c r="D10178" i="1"/>
  <c r="C10178" i="1"/>
  <c r="B10178" i="1"/>
  <c r="A10178" i="1"/>
  <c r="F10177" i="1"/>
  <c r="E10177" i="1"/>
  <c r="D10177" i="1"/>
  <c r="C10177" i="1"/>
  <c r="B10177" i="1"/>
  <c r="A10177" i="1"/>
  <c r="F10176" i="1"/>
  <c r="E10176" i="1"/>
  <c r="D10176" i="1"/>
  <c r="C10176" i="1"/>
  <c r="B10176" i="1"/>
  <c r="A10176" i="1"/>
  <c r="F10175" i="1"/>
  <c r="E10175" i="1"/>
  <c r="D10175" i="1"/>
  <c r="C10175" i="1"/>
  <c r="B10175" i="1"/>
  <c r="A10175" i="1"/>
  <c r="F10174" i="1"/>
  <c r="E10174" i="1"/>
  <c r="D10174" i="1"/>
  <c r="C10174" i="1"/>
  <c r="B10174" i="1"/>
  <c r="A10174" i="1"/>
  <c r="F10173" i="1"/>
  <c r="E10173" i="1"/>
  <c r="D10173" i="1"/>
  <c r="C10173" i="1"/>
  <c r="B10173" i="1"/>
  <c r="A10173" i="1"/>
  <c r="F10172" i="1"/>
  <c r="E10172" i="1"/>
  <c r="D10172" i="1"/>
  <c r="C10172" i="1"/>
  <c r="B10172" i="1"/>
  <c r="A10172" i="1"/>
  <c r="F10171" i="1"/>
  <c r="E10171" i="1"/>
  <c r="D10171" i="1"/>
  <c r="C10171" i="1"/>
  <c r="B10171" i="1"/>
  <c r="A10171" i="1"/>
  <c r="F10170" i="1"/>
  <c r="E10170" i="1"/>
  <c r="D10170" i="1"/>
  <c r="C10170" i="1"/>
  <c r="B10170" i="1"/>
  <c r="A10170" i="1"/>
  <c r="F10169" i="1"/>
  <c r="E10169" i="1"/>
  <c r="D10169" i="1"/>
  <c r="C10169" i="1"/>
  <c r="B10169" i="1"/>
  <c r="A10169" i="1"/>
  <c r="F10168" i="1"/>
  <c r="E10168" i="1"/>
  <c r="D10168" i="1"/>
  <c r="C10168" i="1"/>
  <c r="B10168" i="1"/>
  <c r="A10168" i="1"/>
  <c r="F10167" i="1"/>
  <c r="E10167" i="1"/>
  <c r="D10167" i="1"/>
  <c r="C10167" i="1"/>
  <c r="B10167" i="1"/>
  <c r="A10167" i="1"/>
  <c r="F10166" i="1"/>
  <c r="E10166" i="1"/>
  <c r="D10166" i="1"/>
  <c r="C10166" i="1"/>
  <c r="B10166" i="1"/>
  <c r="A10166" i="1"/>
  <c r="F10165" i="1"/>
  <c r="E10165" i="1"/>
  <c r="D10165" i="1"/>
  <c r="C10165" i="1"/>
  <c r="B10165" i="1"/>
  <c r="A10165" i="1"/>
  <c r="F10164" i="1"/>
  <c r="E10164" i="1"/>
  <c r="D10164" i="1"/>
  <c r="C10164" i="1"/>
  <c r="B10164" i="1"/>
  <c r="A10164" i="1"/>
  <c r="F10163" i="1"/>
  <c r="E10163" i="1"/>
  <c r="D10163" i="1"/>
  <c r="C10163" i="1"/>
  <c r="B10163" i="1"/>
  <c r="A10163" i="1"/>
  <c r="F10162" i="1"/>
  <c r="E10162" i="1"/>
  <c r="D10162" i="1"/>
  <c r="C10162" i="1"/>
  <c r="B10162" i="1"/>
  <c r="A10162" i="1"/>
  <c r="F10161" i="1"/>
  <c r="E10161" i="1"/>
  <c r="D10161" i="1"/>
  <c r="C10161" i="1"/>
  <c r="B10161" i="1"/>
  <c r="A10161" i="1"/>
  <c r="F10160" i="1"/>
  <c r="E10160" i="1"/>
  <c r="D10160" i="1"/>
  <c r="C10160" i="1"/>
  <c r="B10160" i="1"/>
  <c r="A10160" i="1"/>
  <c r="F10159" i="1"/>
  <c r="E10159" i="1"/>
  <c r="D10159" i="1"/>
  <c r="C10159" i="1"/>
  <c r="B10159" i="1"/>
  <c r="A10159" i="1"/>
  <c r="F10158" i="1"/>
  <c r="E10158" i="1"/>
  <c r="D10158" i="1"/>
  <c r="C10158" i="1"/>
  <c r="B10158" i="1"/>
  <c r="A10158" i="1"/>
  <c r="F10157" i="1"/>
  <c r="E10157" i="1"/>
  <c r="D10157" i="1"/>
  <c r="C10157" i="1"/>
  <c r="B10157" i="1"/>
  <c r="A10157" i="1"/>
  <c r="F10156" i="1"/>
  <c r="E10156" i="1"/>
  <c r="D10156" i="1"/>
  <c r="C10156" i="1"/>
  <c r="B10156" i="1"/>
  <c r="A10156" i="1"/>
  <c r="F10155" i="1"/>
  <c r="E10155" i="1"/>
  <c r="D10155" i="1"/>
  <c r="C10155" i="1"/>
  <c r="B10155" i="1"/>
  <c r="A10155" i="1"/>
  <c r="F10154" i="1"/>
  <c r="E10154" i="1"/>
  <c r="D10154" i="1"/>
  <c r="C10154" i="1"/>
  <c r="B10154" i="1"/>
  <c r="A10154" i="1"/>
  <c r="F10153" i="1"/>
  <c r="E10153" i="1"/>
  <c r="D10153" i="1"/>
  <c r="C10153" i="1"/>
  <c r="B10153" i="1"/>
  <c r="A10153" i="1"/>
  <c r="F10152" i="1"/>
  <c r="E10152" i="1"/>
  <c r="D10152" i="1"/>
  <c r="C10152" i="1"/>
  <c r="B10152" i="1"/>
  <c r="A10152" i="1"/>
  <c r="F10151" i="1"/>
  <c r="E10151" i="1"/>
  <c r="D10151" i="1"/>
  <c r="C10151" i="1"/>
  <c r="B10151" i="1"/>
  <c r="A10151" i="1"/>
  <c r="F10150" i="1"/>
  <c r="E10150" i="1"/>
  <c r="D10150" i="1"/>
  <c r="C10150" i="1"/>
  <c r="B10150" i="1"/>
  <c r="A10150" i="1"/>
  <c r="F10149" i="1"/>
  <c r="E10149" i="1"/>
  <c r="D10149" i="1"/>
  <c r="C10149" i="1"/>
  <c r="B10149" i="1"/>
  <c r="A10149" i="1"/>
  <c r="F10148" i="1"/>
  <c r="E10148" i="1"/>
  <c r="D10148" i="1"/>
  <c r="C10148" i="1"/>
  <c r="B10148" i="1"/>
  <c r="A10148" i="1"/>
  <c r="F10147" i="1"/>
  <c r="E10147" i="1"/>
  <c r="D10147" i="1"/>
  <c r="C10147" i="1"/>
  <c r="B10147" i="1"/>
  <c r="A10147" i="1"/>
  <c r="F10146" i="1"/>
  <c r="E10146" i="1"/>
  <c r="D10146" i="1"/>
  <c r="C10146" i="1"/>
  <c r="B10146" i="1"/>
  <c r="A10146" i="1"/>
  <c r="F10145" i="1"/>
  <c r="E10145" i="1"/>
  <c r="D10145" i="1"/>
  <c r="C10145" i="1"/>
  <c r="B10145" i="1"/>
  <c r="A10145" i="1"/>
  <c r="F10144" i="1"/>
  <c r="E10144" i="1"/>
  <c r="D10144" i="1"/>
  <c r="C10144" i="1"/>
  <c r="B10144" i="1"/>
  <c r="A10144" i="1"/>
  <c r="F10143" i="1"/>
  <c r="E10143" i="1"/>
  <c r="D10143" i="1"/>
  <c r="C10143" i="1"/>
  <c r="B10143" i="1"/>
  <c r="A10143" i="1"/>
  <c r="F10142" i="1"/>
  <c r="E10142" i="1"/>
  <c r="D10142" i="1"/>
  <c r="C10142" i="1"/>
  <c r="B10142" i="1"/>
  <c r="A10142" i="1"/>
  <c r="F10141" i="1"/>
  <c r="E10141" i="1"/>
  <c r="D10141" i="1"/>
  <c r="C10141" i="1"/>
  <c r="B10141" i="1"/>
  <c r="A10141" i="1"/>
  <c r="F10140" i="1"/>
  <c r="E10140" i="1"/>
  <c r="D10140" i="1"/>
  <c r="C10140" i="1"/>
  <c r="B10140" i="1"/>
  <c r="A10140" i="1"/>
  <c r="F10139" i="1"/>
  <c r="E10139" i="1"/>
  <c r="D10139" i="1"/>
  <c r="C10139" i="1"/>
  <c r="B10139" i="1"/>
  <c r="A10139" i="1"/>
  <c r="F10138" i="1"/>
  <c r="E10138" i="1"/>
  <c r="D10138" i="1"/>
  <c r="C10138" i="1"/>
  <c r="B10138" i="1"/>
  <c r="A10138" i="1"/>
  <c r="F10137" i="1"/>
  <c r="E10137" i="1"/>
  <c r="D10137" i="1"/>
  <c r="C10137" i="1"/>
  <c r="B10137" i="1"/>
  <c r="A10137" i="1"/>
  <c r="F10136" i="1"/>
  <c r="E10136" i="1"/>
  <c r="D10136" i="1"/>
  <c r="C10136" i="1"/>
  <c r="B10136" i="1"/>
  <c r="A10136" i="1"/>
  <c r="F10135" i="1"/>
  <c r="E10135" i="1"/>
  <c r="D10135" i="1"/>
  <c r="C10135" i="1"/>
  <c r="B10135" i="1"/>
  <c r="A10135" i="1"/>
  <c r="F10134" i="1"/>
  <c r="E10134" i="1"/>
  <c r="D10134" i="1"/>
  <c r="C10134" i="1"/>
  <c r="B10134" i="1"/>
  <c r="A10134" i="1"/>
  <c r="F10133" i="1"/>
  <c r="E10133" i="1"/>
  <c r="D10133" i="1"/>
  <c r="C10133" i="1"/>
  <c r="B10133" i="1"/>
  <c r="A10133" i="1"/>
  <c r="F10132" i="1"/>
  <c r="E10132" i="1"/>
  <c r="D10132" i="1"/>
  <c r="C10132" i="1"/>
  <c r="B10132" i="1"/>
  <c r="A10132" i="1"/>
  <c r="F10131" i="1"/>
  <c r="E10131" i="1"/>
  <c r="D10131" i="1"/>
  <c r="C10131" i="1"/>
  <c r="B10131" i="1"/>
  <c r="A10131" i="1"/>
  <c r="F10130" i="1"/>
  <c r="E10130" i="1"/>
  <c r="D10130" i="1"/>
  <c r="C10130" i="1"/>
  <c r="B10130" i="1"/>
  <c r="A10130" i="1"/>
  <c r="F10129" i="1"/>
  <c r="E10129" i="1"/>
  <c r="D10129" i="1"/>
  <c r="C10129" i="1"/>
  <c r="B10129" i="1"/>
  <c r="A10129" i="1"/>
  <c r="F10128" i="1"/>
  <c r="E10128" i="1"/>
  <c r="D10128" i="1"/>
  <c r="C10128" i="1"/>
  <c r="B10128" i="1"/>
  <c r="A10128" i="1"/>
  <c r="F10127" i="1"/>
  <c r="E10127" i="1"/>
  <c r="D10127" i="1"/>
  <c r="C10127" i="1"/>
  <c r="B10127" i="1"/>
  <c r="A10127" i="1"/>
  <c r="F10126" i="1"/>
  <c r="E10126" i="1"/>
  <c r="D10126" i="1"/>
  <c r="C10126" i="1"/>
  <c r="B10126" i="1"/>
  <c r="A10126" i="1"/>
  <c r="F10125" i="1"/>
  <c r="E10125" i="1"/>
  <c r="D10125" i="1"/>
  <c r="C10125" i="1"/>
  <c r="B10125" i="1"/>
  <c r="A10125" i="1"/>
  <c r="F10124" i="1"/>
  <c r="E10124" i="1"/>
  <c r="D10124" i="1"/>
  <c r="C10124" i="1"/>
  <c r="B10124" i="1"/>
  <c r="A10124" i="1"/>
  <c r="F10123" i="1"/>
  <c r="E10123" i="1"/>
  <c r="D10123" i="1"/>
  <c r="C10123" i="1"/>
  <c r="B10123" i="1"/>
  <c r="A10123" i="1"/>
  <c r="F10122" i="1"/>
  <c r="E10122" i="1"/>
  <c r="D10122" i="1"/>
  <c r="C10122" i="1"/>
  <c r="B10122" i="1"/>
  <c r="A10122" i="1"/>
  <c r="F10121" i="1"/>
  <c r="E10121" i="1"/>
  <c r="D10121" i="1"/>
  <c r="C10121" i="1"/>
  <c r="B10121" i="1"/>
  <c r="A10121" i="1"/>
  <c r="F10120" i="1"/>
  <c r="E10120" i="1"/>
  <c r="D10120" i="1"/>
  <c r="C10120" i="1"/>
  <c r="B10120" i="1"/>
  <c r="A10120" i="1"/>
  <c r="F10119" i="1"/>
  <c r="E10119" i="1"/>
  <c r="D10119" i="1"/>
  <c r="C10119" i="1"/>
  <c r="B10119" i="1"/>
  <c r="A10119" i="1"/>
  <c r="F10118" i="1"/>
  <c r="E10118" i="1"/>
  <c r="D10118" i="1"/>
  <c r="C10118" i="1"/>
  <c r="B10118" i="1"/>
  <c r="A10118" i="1"/>
  <c r="F10117" i="1"/>
  <c r="E10117" i="1"/>
  <c r="D10117" i="1"/>
  <c r="C10117" i="1"/>
  <c r="B10117" i="1"/>
  <c r="A10117" i="1"/>
  <c r="F10116" i="1"/>
  <c r="E10116" i="1"/>
  <c r="D10116" i="1"/>
  <c r="C10116" i="1"/>
  <c r="B10116" i="1"/>
  <c r="A10116" i="1"/>
  <c r="F10115" i="1"/>
  <c r="E10115" i="1"/>
  <c r="D10115" i="1"/>
  <c r="C10115" i="1"/>
  <c r="B10115" i="1"/>
  <c r="A10115" i="1"/>
  <c r="F10114" i="1"/>
  <c r="E10114" i="1"/>
  <c r="D10114" i="1"/>
  <c r="C10114" i="1"/>
  <c r="B10114" i="1"/>
  <c r="A10114" i="1"/>
  <c r="F10113" i="1"/>
  <c r="E10113" i="1"/>
  <c r="D10113" i="1"/>
  <c r="C10113" i="1"/>
  <c r="B10113" i="1"/>
  <c r="A10113" i="1"/>
  <c r="F10112" i="1"/>
  <c r="E10112" i="1"/>
  <c r="D10112" i="1"/>
  <c r="C10112" i="1"/>
  <c r="B10112" i="1"/>
  <c r="A10112" i="1"/>
  <c r="F10111" i="1"/>
  <c r="E10111" i="1"/>
  <c r="D10111" i="1"/>
  <c r="C10111" i="1"/>
  <c r="B10111" i="1"/>
  <c r="A10111" i="1"/>
  <c r="F10110" i="1"/>
  <c r="E10110" i="1"/>
  <c r="D10110" i="1"/>
  <c r="C10110" i="1"/>
  <c r="B10110" i="1"/>
  <c r="A10110" i="1"/>
  <c r="F10109" i="1"/>
  <c r="E10109" i="1"/>
  <c r="D10109" i="1"/>
  <c r="C10109" i="1"/>
  <c r="B10109" i="1"/>
  <c r="A10109" i="1"/>
  <c r="F10108" i="1"/>
  <c r="E10108" i="1"/>
  <c r="D10108" i="1"/>
  <c r="C10108" i="1"/>
  <c r="B10108" i="1"/>
  <c r="A10108" i="1"/>
  <c r="F10107" i="1"/>
  <c r="E10107" i="1"/>
  <c r="D10107" i="1"/>
  <c r="C10107" i="1"/>
  <c r="B10107" i="1"/>
  <c r="A10107" i="1"/>
  <c r="F10106" i="1"/>
  <c r="E10106" i="1"/>
  <c r="D10106" i="1"/>
  <c r="C10106" i="1"/>
  <c r="B10106" i="1"/>
  <c r="A10106" i="1"/>
  <c r="F10105" i="1"/>
  <c r="E10105" i="1"/>
  <c r="D10105" i="1"/>
  <c r="C10105" i="1"/>
  <c r="B10105" i="1"/>
  <c r="A10105" i="1"/>
  <c r="F10104" i="1"/>
  <c r="E10104" i="1"/>
  <c r="D10104" i="1"/>
  <c r="C10104" i="1"/>
  <c r="B10104" i="1"/>
  <c r="A10104" i="1"/>
  <c r="F10103" i="1"/>
  <c r="E10103" i="1"/>
  <c r="D10103" i="1"/>
  <c r="C10103" i="1"/>
  <c r="B10103" i="1"/>
  <c r="A10103" i="1"/>
  <c r="F10102" i="1"/>
  <c r="E10102" i="1"/>
  <c r="D10102" i="1"/>
  <c r="C10102" i="1"/>
  <c r="B10102" i="1"/>
  <c r="A10102" i="1"/>
  <c r="F10101" i="1"/>
  <c r="E10101" i="1"/>
  <c r="D10101" i="1"/>
  <c r="C10101" i="1"/>
  <c r="B10101" i="1"/>
  <c r="A10101" i="1"/>
  <c r="F10100" i="1"/>
  <c r="E10100" i="1"/>
  <c r="D10100" i="1"/>
  <c r="C10100" i="1"/>
  <c r="B10100" i="1"/>
  <c r="A10100" i="1"/>
  <c r="F10099" i="1"/>
  <c r="E10099" i="1"/>
  <c r="D10099" i="1"/>
  <c r="C10099" i="1"/>
  <c r="B10099" i="1"/>
  <c r="A10099" i="1"/>
  <c r="F10098" i="1"/>
  <c r="E10098" i="1"/>
  <c r="D10098" i="1"/>
  <c r="C10098" i="1"/>
  <c r="B10098" i="1"/>
  <c r="A10098" i="1"/>
  <c r="F10097" i="1"/>
  <c r="E10097" i="1"/>
  <c r="D10097" i="1"/>
  <c r="C10097" i="1"/>
  <c r="B10097" i="1"/>
  <c r="A10097" i="1"/>
  <c r="F10096" i="1"/>
  <c r="E10096" i="1"/>
  <c r="D10096" i="1"/>
  <c r="C10096" i="1"/>
  <c r="B10096" i="1"/>
  <c r="A10096" i="1"/>
  <c r="F10095" i="1"/>
  <c r="E10095" i="1"/>
  <c r="D10095" i="1"/>
  <c r="C10095" i="1"/>
  <c r="B10095" i="1"/>
  <c r="A10095" i="1"/>
  <c r="F10094" i="1"/>
  <c r="E10094" i="1"/>
  <c r="D10094" i="1"/>
  <c r="C10094" i="1"/>
  <c r="B10094" i="1"/>
  <c r="A10094" i="1"/>
  <c r="F10093" i="1"/>
  <c r="E10093" i="1"/>
  <c r="D10093" i="1"/>
  <c r="C10093" i="1"/>
  <c r="B10093" i="1"/>
  <c r="A10093" i="1"/>
  <c r="F10092" i="1"/>
  <c r="E10092" i="1"/>
  <c r="D10092" i="1"/>
  <c r="C10092" i="1"/>
  <c r="B10092" i="1"/>
  <c r="A10092" i="1"/>
  <c r="F10091" i="1"/>
  <c r="E10091" i="1"/>
  <c r="D10091" i="1"/>
  <c r="C10091" i="1"/>
  <c r="B10091" i="1"/>
  <c r="A10091" i="1"/>
  <c r="F10090" i="1"/>
  <c r="E10090" i="1"/>
  <c r="D10090" i="1"/>
  <c r="C10090" i="1"/>
  <c r="B10090" i="1"/>
  <c r="A10090" i="1"/>
  <c r="F10089" i="1"/>
  <c r="E10089" i="1"/>
  <c r="D10089" i="1"/>
  <c r="C10089" i="1"/>
  <c r="B10089" i="1"/>
  <c r="A10089" i="1"/>
  <c r="F10088" i="1"/>
  <c r="E10088" i="1"/>
  <c r="D10088" i="1"/>
  <c r="C10088" i="1"/>
  <c r="B10088" i="1"/>
  <c r="A10088" i="1"/>
  <c r="F10087" i="1"/>
  <c r="E10087" i="1"/>
  <c r="D10087" i="1"/>
  <c r="C10087" i="1"/>
  <c r="B10087" i="1"/>
  <c r="A10087" i="1"/>
  <c r="F10086" i="1"/>
  <c r="E10086" i="1"/>
  <c r="D10086" i="1"/>
  <c r="C10086" i="1"/>
  <c r="B10086" i="1"/>
  <c r="A10086" i="1"/>
  <c r="F10085" i="1"/>
  <c r="E10085" i="1"/>
  <c r="D10085" i="1"/>
  <c r="C10085" i="1"/>
  <c r="B10085" i="1"/>
  <c r="A10085" i="1"/>
  <c r="F10084" i="1"/>
  <c r="E10084" i="1"/>
  <c r="D10084" i="1"/>
  <c r="C10084" i="1"/>
  <c r="B10084" i="1"/>
  <c r="A10084" i="1"/>
  <c r="F10083" i="1"/>
  <c r="E10083" i="1"/>
  <c r="D10083" i="1"/>
  <c r="C10083" i="1"/>
  <c r="B10083" i="1"/>
  <c r="A10083" i="1"/>
  <c r="F10082" i="1"/>
  <c r="E10082" i="1"/>
  <c r="D10082" i="1"/>
  <c r="C10082" i="1"/>
  <c r="B10082" i="1"/>
  <c r="A10082" i="1"/>
  <c r="F10081" i="1"/>
  <c r="E10081" i="1"/>
  <c r="D10081" i="1"/>
  <c r="C10081" i="1"/>
  <c r="B10081" i="1"/>
  <c r="A10081" i="1"/>
  <c r="F10080" i="1"/>
  <c r="E10080" i="1"/>
  <c r="D10080" i="1"/>
  <c r="C10080" i="1"/>
  <c r="B10080" i="1"/>
  <c r="A10080" i="1"/>
  <c r="F10079" i="1"/>
  <c r="E10079" i="1"/>
  <c r="D10079" i="1"/>
  <c r="C10079" i="1"/>
  <c r="B10079" i="1"/>
  <c r="A10079" i="1"/>
  <c r="F10078" i="1"/>
  <c r="E10078" i="1"/>
  <c r="D10078" i="1"/>
  <c r="C10078" i="1"/>
  <c r="B10078" i="1"/>
  <c r="A10078" i="1"/>
  <c r="F10077" i="1"/>
  <c r="E10077" i="1"/>
  <c r="D10077" i="1"/>
  <c r="C10077" i="1"/>
  <c r="B10077" i="1"/>
  <c r="A10077" i="1"/>
  <c r="F10076" i="1"/>
  <c r="E10076" i="1"/>
  <c r="D10076" i="1"/>
  <c r="C10076" i="1"/>
  <c r="B10076" i="1"/>
  <c r="A10076" i="1"/>
  <c r="F10075" i="1"/>
  <c r="E10075" i="1"/>
  <c r="D10075" i="1"/>
  <c r="C10075" i="1"/>
  <c r="B10075" i="1"/>
  <c r="A10075" i="1"/>
  <c r="F10074" i="1"/>
  <c r="E10074" i="1"/>
  <c r="D10074" i="1"/>
  <c r="C10074" i="1"/>
  <c r="B10074" i="1"/>
  <c r="A10074" i="1"/>
  <c r="F10073" i="1"/>
  <c r="E10073" i="1"/>
  <c r="D10073" i="1"/>
  <c r="C10073" i="1"/>
  <c r="B10073" i="1"/>
  <c r="A10073" i="1"/>
  <c r="F10072" i="1"/>
  <c r="E10072" i="1"/>
  <c r="D10072" i="1"/>
  <c r="C10072" i="1"/>
  <c r="B10072" i="1"/>
  <c r="A10072" i="1"/>
  <c r="F10071" i="1"/>
  <c r="E10071" i="1"/>
  <c r="D10071" i="1"/>
  <c r="C10071" i="1"/>
  <c r="B10071" i="1"/>
  <c r="A10071" i="1"/>
  <c r="F10070" i="1"/>
  <c r="E10070" i="1"/>
  <c r="D10070" i="1"/>
  <c r="C10070" i="1"/>
  <c r="B10070" i="1"/>
  <c r="A10070" i="1"/>
  <c r="F10069" i="1"/>
  <c r="E10069" i="1"/>
  <c r="D10069" i="1"/>
  <c r="C10069" i="1"/>
  <c r="B10069" i="1"/>
  <c r="A10069" i="1"/>
  <c r="F10068" i="1"/>
  <c r="E10068" i="1"/>
  <c r="D10068" i="1"/>
  <c r="C10068" i="1"/>
  <c r="B10068" i="1"/>
  <c r="A10068" i="1"/>
  <c r="F10067" i="1"/>
  <c r="E10067" i="1"/>
  <c r="D10067" i="1"/>
  <c r="C10067" i="1"/>
  <c r="B10067" i="1"/>
  <c r="A10067" i="1"/>
  <c r="F10066" i="1"/>
  <c r="E10066" i="1"/>
  <c r="D10066" i="1"/>
  <c r="C10066" i="1"/>
  <c r="B10066" i="1"/>
  <c r="A10066" i="1"/>
  <c r="F10065" i="1"/>
  <c r="E10065" i="1"/>
  <c r="D10065" i="1"/>
  <c r="C10065" i="1"/>
  <c r="B10065" i="1"/>
  <c r="A10065" i="1"/>
  <c r="F10064" i="1"/>
  <c r="E10064" i="1"/>
  <c r="D10064" i="1"/>
  <c r="C10064" i="1"/>
  <c r="B10064" i="1"/>
  <c r="A10064" i="1"/>
  <c r="F10063" i="1"/>
  <c r="E10063" i="1"/>
  <c r="D10063" i="1"/>
  <c r="C10063" i="1"/>
  <c r="B10063" i="1"/>
  <c r="A10063" i="1"/>
  <c r="F10062" i="1"/>
  <c r="E10062" i="1"/>
  <c r="D10062" i="1"/>
  <c r="C10062" i="1"/>
  <c r="B10062" i="1"/>
  <c r="A10062" i="1"/>
  <c r="F10061" i="1"/>
  <c r="E10061" i="1"/>
  <c r="D10061" i="1"/>
  <c r="C10061" i="1"/>
  <c r="B10061" i="1"/>
  <c r="A10061" i="1"/>
  <c r="F10060" i="1"/>
  <c r="E10060" i="1"/>
  <c r="D10060" i="1"/>
  <c r="C10060" i="1"/>
  <c r="B10060" i="1"/>
  <c r="A10060" i="1"/>
  <c r="F10059" i="1"/>
  <c r="E10059" i="1"/>
  <c r="D10059" i="1"/>
  <c r="C10059" i="1"/>
  <c r="B10059" i="1"/>
  <c r="A10059" i="1"/>
  <c r="F10058" i="1"/>
  <c r="E10058" i="1"/>
  <c r="D10058" i="1"/>
  <c r="C10058" i="1"/>
  <c r="B10058" i="1"/>
  <c r="A10058" i="1"/>
  <c r="F10057" i="1"/>
  <c r="E10057" i="1"/>
  <c r="D10057" i="1"/>
  <c r="C10057" i="1"/>
  <c r="B10057" i="1"/>
  <c r="A10057" i="1"/>
  <c r="F10056" i="1"/>
  <c r="E10056" i="1"/>
  <c r="D10056" i="1"/>
  <c r="C10056" i="1"/>
  <c r="B10056" i="1"/>
  <c r="A10056" i="1"/>
  <c r="F10055" i="1"/>
  <c r="E10055" i="1"/>
  <c r="D10055" i="1"/>
  <c r="C10055" i="1"/>
  <c r="B10055" i="1"/>
  <c r="A10055" i="1"/>
  <c r="F10054" i="1"/>
  <c r="E10054" i="1"/>
  <c r="D10054" i="1"/>
  <c r="C10054" i="1"/>
  <c r="B10054" i="1"/>
  <c r="A10054" i="1"/>
  <c r="F10053" i="1"/>
  <c r="E10053" i="1"/>
  <c r="D10053" i="1"/>
  <c r="C10053" i="1"/>
  <c r="B10053" i="1"/>
  <c r="A10053" i="1"/>
  <c r="F10052" i="1"/>
  <c r="E10052" i="1"/>
  <c r="D10052" i="1"/>
  <c r="C10052" i="1"/>
  <c r="B10052" i="1"/>
  <c r="A10052" i="1"/>
  <c r="F10051" i="1"/>
  <c r="E10051" i="1"/>
  <c r="D10051" i="1"/>
  <c r="C10051" i="1"/>
  <c r="B10051" i="1"/>
  <c r="A10051" i="1"/>
  <c r="F10050" i="1"/>
  <c r="E10050" i="1"/>
  <c r="D10050" i="1"/>
  <c r="C10050" i="1"/>
  <c r="B10050" i="1"/>
  <c r="A10050" i="1"/>
  <c r="F10049" i="1"/>
  <c r="E10049" i="1"/>
  <c r="D10049" i="1"/>
  <c r="C10049" i="1"/>
  <c r="B10049" i="1"/>
  <c r="A10049" i="1"/>
  <c r="F10048" i="1"/>
  <c r="E10048" i="1"/>
  <c r="D10048" i="1"/>
  <c r="C10048" i="1"/>
  <c r="B10048" i="1"/>
  <c r="A10048" i="1"/>
  <c r="F10047" i="1"/>
  <c r="E10047" i="1"/>
  <c r="D10047" i="1"/>
  <c r="C10047" i="1"/>
  <c r="B10047" i="1"/>
  <c r="A10047" i="1"/>
  <c r="F10046" i="1"/>
  <c r="E10046" i="1"/>
  <c r="D10046" i="1"/>
  <c r="C10046" i="1"/>
  <c r="B10046" i="1"/>
  <c r="A10046" i="1"/>
  <c r="F10045" i="1"/>
  <c r="E10045" i="1"/>
  <c r="D10045" i="1"/>
  <c r="C10045" i="1"/>
  <c r="B10045" i="1"/>
  <c r="A10045" i="1"/>
  <c r="F10044" i="1"/>
  <c r="E10044" i="1"/>
  <c r="D10044" i="1"/>
  <c r="C10044" i="1"/>
  <c r="B10044" i="1"/>
  <c r="A10044" i="1"/>
  <c r="F10043" i="1"/>
  <c r="E10043" i="1"/>
  <c r="D10043" i="1"/>
  <c r="C10043" i="1"/>
  <c r="B10043" i="1"/>
  <c r="A10043" i="1"/>
  <c r="F10042" i="1"/>
  <c r="E10042" i="1"/>
  <c r="D10042" i="1"/>
  <c r="C10042" i="1"/>
  <c r="B10042" i="1"/>
  <c r="A10042" i="1"/>
  <c r="F10041" i="1"/>
  <c r="E10041" i="1"/>
  <c r="D10041" i="1"/>
  <c r="C10041" i="1"/>
  <c r="B10041" i="1"/>
  <c r="A10041" i="1"/>
  <c r="F10040" i="1"/>
  <c r="E10040" i="1"/>
  <c r="D10040" i="1"/>
  <c r="C10040" i="1"/>
  <c r="B10040" i="1"/>
  <c r="A10040" i="1"/>
  <c r="F10039" i="1"/>
  <c r="E10039" i="1"/>
  <c r="D10039" i="1"/>
  <c r="C10039" i="1"/>
  <c r="B10039" i="1"/>
  <c r="A10039" i="1"/>
  <c r="F10038" i="1"/>
  <c r="E10038" i="1"/>
  <c r="D10038" i="1"/>
  <c r="C10038" i="1"/>
  <c r="B10038" i="1"/>
  <c r="A10038" i="1"/>
  <c r="F10037" i="1"/>
  <c r="E10037" i="1"/>
  <c r="D10037" i="1"/>
  <c r="C10037" i="1"/>
  <c r="B10037" i="1"/>
  <c r="A10037" i="1"/>
  <c r="F10036" i="1"/>
  <c r="E10036" i="1"/>
  <c r="D10036" i="1"/>
  <c r="C10036" i="1"/>
  <c r="B10036" i="1"/>
  <c r="A10036" i="1"/>
  <c r="F10035" i="1"/>
  <c r="E10035" i="1"/>
  <c r="D10035" i="1"/>
  <c r="C10035" i="1"/>
  <c r="B10035" i="1"/>
  <c r="A10035" i="1"/>
  <c r="F10034" i="1"/>
  <c r="E10034" i="1"/>
  <c r="D10034" i="1"/>
  <c r="C10034" i="1"/>
  <c r="B10034" i="1"/>
  <c r="A10034" i="1"/>
  <c r="F10033" i="1"/>
  <c r="E10033" i="1"/>
  <c r="D10033" i="1"/>
  <c r="C10033" i="1"/>
  <c r="B10033" i="1"/>
  <c r="A10033" i="1"/>
  <c r="F10032" i="1"/>
  <c r="E10032" i="1"/>
  <c r="D10032" i="1"/>
  <c r="C10032" i="1"/>
  <c r="B10032" i="1"/>
  <c r="A10032" i="1"/>
  <c r="F10031" i="1"/>
  <c r="E10031" i="1"/>
  <c r="D10031" i="1"/>
  <c r="C10031" i="1"/>
  <c r="B10031" i="1"/>
  <c r="A10031" i="1"/>
  <c r="F10030" i="1"/>
  <c r="E10030" i="1"/>
  <c r="D10030" i="1"/>
  <c r="C10030" i="1"/>
  <c r="B10030" i="1"/>
  <c r="A10030" i="1"/>
  <c r="F10029" i="1"/>
  <c r="E10029" i="1"/>
  <c r="D10029" i="1"/>
  <c r="C10029" i="1"/>
  <c r="B10029" i="1"/>
  <c r="A10029" i="1"/>
  <c r="F10028" i="1"/>
  <c r="E10028" i="1"/>
  <c r="D10028" i="1"/>
  <c r="C10028" i="1"/>
  <c r="B10028" i="1"/>
  <c r="A10028" i="1"/>
  <c r="F10027" i="1"/>
  <c r="E10027" i="1"/>
  <c r="D10027" i="1"/>
  <c r="C10027" i="1"/>
  <c r="B10027" i="1"/>
  <c r="A10027" i="1"/>
  <c r="F10026" i="1"/>
  <c r="E10026" i="1"/>
  <c r="D10026" i="1"/>
  <c r="C10026" i="1"/>
  <c r="B10026" i="1"/>
  <c r="A10026" i="1"/>
  <c r="F10025" i="1"/>
  <c r="E10025" i="1"/>
  <c r="D10025" i="1"/>
  <c r="C10025" i="1"/>
  <c r="B10025" i="1"/>
  <c r="A10025" i="1"/>
  <c r="F10024" i="1"/>
  <c r="E10024" i="1"/>
  <c r="D10024" i="1"/>
  <c r="C10024" i="1"/>
  <c r="B10024" i="1"/>
  <c r="A10024" i="1"/>
  <c r="F10023" i="1"/>
  <c r="E10023" i="1"/>
  <c r="D10023" i="1"/>
  <c r="C10023" i="1"/>
  <c r="B10023" i="1"/>
  <c r="A10023" i="1"/>
  <c r="F10022" i="1"/>
  <c r="E10022" i="1"/>
  <c r="D10022" i="1"/>
  <c r="C10022" i="1"/>
  <c r="B10022" i="1"/>
  <c r="A10022" i="1"/>
  <c r="F10021" i="1"/>
  <c r="E10021" i="1"/>
  <c r="D10021" i="1"/>
  <c r="C10021" i="1"/>
  <c r="B10021" i="1"/>
  <c r="A10021" i="1"/>
  <c r="F10020" i="1"/>
  <c r="E10020" i="1"/>
  <c r="D10020" i="1"/>
  <c r="C10020" i="1"/>
  <c r="B10020" i="1"/>
  <c r="A10020" i="1"/>
  <c r="F10019" i="1"/>
  <c r="E10019" i="1"/>
  <c r="D10019" i="1"/>
  <c r="C10019" i="1"/>
  <c r="B10019" i="1"/>
  <c r="A10019" i="1"/>
  <c r="F10018" i="1"/>
  <c r="E10018" i="1"/>
  <c r="D10018" i="1"/>
  <c r="C10018" i="1"/>
  <c r="B10018" i="1"/>
  <c r="A10018" i="1"/>
  <c r="F10017" i="1"/>
  <c r="E10017" i="1"/>
  <c r="D10017" i="1"/>
  <c r="C10017" i="1"/>
  <c r="B10017" i="1"/>
  <c r="A10017" i="1"/>
  <c r="F10016" i="1"/>
  <c r="E10016" i="1"/>
  <c r="D10016" i="1"/>
  <c r="C10016" i="1"/>
  <c r="B10016" i="1"/>
  <c r="A10016" i="1"/>
  <c r="F10015" i="1"/>
  <c r="E10015" i="1"/>
  <c r="D10015" i="1"/>
  <c r="C10015" i="1"/>
  <c r="B10015" i="1"/>
  <c r="A10015" i="1"/>
  <c r="F10014" i="1"/>
  <c r="E10014" i="1"/>
  <c r="D10014" i="1"/>
  <c r="C10014" i="1"/>
  <c r="B10014" i="1"/>
  <c r="A10014" i="1"/>
  <c r="F10013" i="1"/>
  <c r="E10013" i="1"/>
  <c r="D10013" i="1"/>
  <c r="C10013" i="1"/>
  <c r="B10013" i="1"/>
  <c r="A10013" i="1"/>
  <c r="F10012" i="1"/>
  <c r="E10012" i="1"/>
  <c r="D10012" i="1"/>
  <c r="C10012" i="1"/>
  <c r="B10012" i="1"/>
  <c r="A10012" i="1"/>
  <c r="F10011" i="1"/>
  <c r="E10011" i="1"/>
  <c r="D10011" i="1"/>
  <c r="C10011" i="1"/>
  <c r="B10011" i="1"/>
  <c r="A10011" i="1"/>
  <c r="F10010" i="1"/>
  <c r="E10010" i="1"/>
  <c r="D10010" i="1"/>
  <c r="C10010" i="1"/>
  <c r="B10010" i="1"/>
  <c r="A10010" i="1"/>
  <c r="F10009" i="1"/>
  <c r="E10009" i="1"/>
  <c r="D10009" i="1"/>
  <c r="C10009" i="1"/>
  <c r="B10009" i="1"/>
  <c r="A10009" i="1"/>
  <c r="F10008" i="1"/>
  <c r="E10008" i="1"/>
  <c r="D10008" i="1"/>
  <c r="C10008" i="1"/>
  <c r="B10008" i="1"/>
  <c r="A10008" i="1"/>
  <c r="F10007" i="1"/>
  <c r="E10007" i="1"/>
  <c r="D10007" i="1"/>
  <c r="C10007" i="1"/>
  <c r="B10007" i="1"/>
  <c r="A10007" i="1"/>
  <c r="F10006" i="1"/>
  <c r="E10006" i="1"/>
  <c r="D10006" i="1"/>
  <c r="C10006" i="1"/>
  <c r="B10006" i="1"/>
  <c r="A10006" i="1"/>
  <c r="F10005" i="1"/>
  <c r="E10005" i="1"/>
  <c r="D10005" i="1"/>
  <c r="C10005" i="1"/>
  <c r="B10005" i="1"/>
  <c r="A10005" i="1"/>
  <c r="F10004" i="1"/>
  <c r="E10004" i="1"/>
  <c r="D10004" i="1"/>
  <c r="C10004" i="1"/>
  <c r="B10004" i="1"/>
  <c r="A10004" i="1"/>
  <c r="F10003" i="1"/>
  <c r="E10003" i="1"/>
  <c r="D10003" i="1"/>
  <c r="C10003" i="1"/>
  <c r="B10003" i="1"/>
  <c r="A10003" i="1"/>
  <c r="F10002" i="1"/>
  <c r="E10002" i="1"/>
  <c r="D10002" i="1"/>
  <c r="C10002" i="1"/>
  <c r="B10002" i="1"/>
  <c r="A10002" i="1"/>
  <c r="F10001" i="1"/>
  <c r="E10001" i="1"/>
  <c r="D10001" i="1"/>
  <c r="C10001" i="1"/>
  <c r="B10001" i="1"/>
  <c r="A10001" i="1"/>
  <c r="F10000" i="1"/>
  <c r="E10000" i="1"/>
  <c r="D10000" i="1"/>
  <c r="C10000" i="1"/>
  <c r="B10000" i="1"/>
  <c r="A10000" i="1"/>
  <c r="F9999" i="1"/>
  <c r="E9999" i="1"/>
  <c r="D9999" i="1"/>
  <c r="C9999" i="1"/>
  <c r="B9999" i="1"/>
  <c r="A9999" i="1"/>
  <c r="F9998" i="1"/>
  <c r="E9998" i="1"/>
  <c r="D9998" i="1"/>
  <c r="C9998" i="1"/>
  <c r="B9998" i="1"/>
  <c r="A9998" i="1"/>
  <c r="F9997" i="1"/>
  <c r="E9997" i="1"/>
  <c r="D9997" i="1"/>
  <c r="C9997" i="1"/>
  <c r="B9997" i="1"/>
  <c r="A9997" i="1"/>
  <c r="F9996" i="1"/>
  <c r="E9996" i="1"/>
  <c r="D9996" i="1"/>
  <c r="C9996" i="1"/>
  <c r="B9996" i="1"/>
  <c r="A9996" i="1"/>
  <c r="F9995" i="1"/>
  <c r="E9995" i="1"/>
  <c r="D9995" i="1"/>
  <c r="C9995" i="1"/>
  <c r="B9995" i="1"/>
  <c r="A9995" i="1"/>
  <c r="F9994" i="1"/>
  <c r="E9994" i="1"/>
  <c r="D9994" i="1"/>
  <c r="C9994" i="1"/>
  <c r="B9994" i="1"/>
  <c r="A9994" i="1"/>
  <c r="F9993" i="1"/>
  <c r="E9993" i="1"/>
  <c r="D9993" i="1"/>
  <c r="C9993" i="1"/>
  <c r="B9993" i="1"/>
  <c r="A9993" i="1"/>
  <c r="F9992" i="1"/>
  <c r="E9992" i="1"/>
  <c r="D9992" i="1"/>
  <c r="C9992" i="1"/>
  <c r="B9992" i="1"/>
  <c r="A9992" i="1"/>
  <c r="F9991" i="1"/>
  <c r="E9991" i="1"/>
  <c r="D9991" i="1"/>
  <c r="C9991" i="1"/>
  <c r="B9991" i="1"/>
  <c r="A9991" i="1"/>
  <c r="F9990" i="1"/>
  <c r="E9990" i="1"/>
  <c r="D9990" i="1"/>
  <c r="C9990" i="1"/>
  <c r="B9990" i="1"/>
  <c r="A9990" i="1"/>
  <c r="F9989" i="1"/>
  <c r="E9989" i="1"/>
  <c r="D9989" i="1"/>
  <c r="C9989" i="1"/>
  <c r="B9989" i="1"/>
  <c r="A9989" i="1"/>
  <c r="F9988" i="1"/>
  <c r="E9988" i="1"/>
  <c r="D9988" i="1"/>
  <c r="C9988" i="1"/>
  <c r="B9988" i="1"/>
  <c r="A9988" i="1"/>
  <c r="F9987" i="1"/>
  <c r="E9987" i="1"/>
  <c r="D9987" i="1"/>
  <c r="C9987" i="1"/>
  <c r="B9987" i="1"/>
  <c r="A9987" i="1"/>
  <c r="F9986" i="1"/>
  <c r="E9986" i="1"/>
  <c r="D9986" i="1"/>
  <c r="C9986" i="1"/>
  <c r="B9986" i="1"/>
  <c r="A9986" i="1"/>
  <c r="F9985" i="1"/>
  <c r="E9985" i="1"/>
  <c r="D9985" i="1"/>
  <c r="C9985" i="1"/>
  <c r="B9985" i="1"/>
  <c r="A9985" i="1"/>
  <c r="F9984" i="1"/>
  <c r="E9984" i="1"/>
  <c r="D9984" i="1"/>
  <c r="C9984" i="1"/>
  <c r="B9984" i="1"/>
  <c r="A9984" i="1"/>
  <c r="F9983" i="1"/>
  <c r="E9983" i="1"/>
  <c r="D9983" i="1"/>
  <c r="C9983" i="1"/>
  <c r="B9983" i="1"/>
  <c r="A9983" i="1"/>
  <c r="F9982" i="1"/>
  <c r="E9982" i="1"/>
  <c r="D9982" i="1"/>
  <c r="C9982" i="1"/>
  <c r="B9982" i="1"/>
  <c r="A9982" i="1"/>
  <c r="F9981" i="1"/>
  <c r="E9981" i="1"/>
  <c r="D9981" i="1"/>
  <c r="C9981" i="1"/>
  <c r="B9981" i="1"/>
  <c r="A9981" i="1"/>
  <c r="F9980" i="1"/>
  <c r="E9980" i="1"/>
  <c r="D9980" i="1"/>
  <c r="C9980" i="1"/>
  <c r="B9980" i="1"/>
  <c r="A9980" i="1"/>
  <c r="F9979" i="1"/>
  <c r="E9979" i="1"/>
  <c r="D9979" i="1"/>
  <c r="C9979" i="1"/>
  <c r="B9979" i="1"/>
  <c r="A9979" i="1"/>
  <c r="F9978" i="1"/>
  <c r="E9978" i="1"/>
  <c r="D9978" i="1"/>
  <c r="C9978" i="1"/>
  <c r="B9978" i="1"/>
  <c r="A9978" i="1"/>
  <c r="F9977" i="1"/>
  <c r="E9977" i="1"/>
  <c r="D9977" i="1"/>
  <c r="C9977" i="1"/>
  <c r="B9977" i="1"/>
  <c r="A9977" i="1"/>
  <c r="F9976" i="1"/>
  <c r="E9976" i="1"/>
  <c r="D9976" i="1"/>
  <c r="C9976" i="1"/>
  <c r="B9976" i="1"/>
  <c r="A9976" i="1"/>
  <c r="F9975" i="1"/>
  <c r="E9975" i="1"/>
  <c r="D9975" i="1"/>
  <c r="C9975" i="1"/>
  <c r="B9975" i="1"/>
  <c r="A9975" i="1"/>
  <c r="F9974" i="1"/>
  <c r="E9974" i="1"/>
  <c r="D9974" i="1"/>
  <c r="C9974" i="1"/>
  <c r="B9974" i="1"/>
  <c r="A9974" i="1"/>
  <c r="F9973" i="1"/>
  <c r="E9973" i="1"/>
  <c r="D9973" i="1"/>
  <c r="C9973" i="1"/>
  <c r="B9973" i="1"/>
  <c r="A9973" i="1"/>
  <c r="F9972" i="1"/>
  <c r="E9972" i="1"/>
  <c r="D9972" i="1"/>
  <c r="C9972" i="1"/>
  <c r="B9972" i="1"/>
  <c r="A9972" i="1"/>
  <c r="F9971" i="1"/>
  <c r="E9971" i="1"/>
  <c r="D9971" i="1"/>
  <c r="C9971" i="1"/>
  <c r="B9971" i="1"/>
  <c r="A9971" i="1"/>
  <c r="F9970" i="1"/>
  <c r="E9970" i="1"/>
  <c r="D9970" i="1"/>
  <c r="C9970" i="1"/>
  <c r="B9970" i="1"/>
  <c r="A9970" i="1"/>
  <c r="F9969" i="1"/>
  <c r="E9969" i="1"/>
  <c r="D9969" i="1"/>
  <c r="C9969" i="1"/>
  <c r="B9969" i="1"/>
  <c r="A9969" i="1"/>
  <c r="F9968" i="1"/>
  <c r="E9968" i="1"/>
  <c r="D9968" i="1"/>
  <c r="C9968" i="1"/>
  <c r="B9968" i="1"/>
  <c r="A9968" i="1"/>
  <c r="F9967" i="1"/>
  <c r="E9967" i="1"/>
  <c r="D9967" i="1"/>
  <c r="C9967" i="1"/>
  <c r="B9967" i="1"/>
  <c r="A9967" i="1"/>
  <c r="F9966" i="1"/>
  <c r="E9966" i="1"/>
  <c r="D9966" i="1"/>
  <c r="C9966" i="1"/>
  <c r="B9966" i="1"/>
  <c r="A9966" i="1"/>
  <c r="F9965" i="1"/>
  <c r="E9965" i="1"/>
  <c r="D9965" i="1"/>
  <c r="C9965" i="1"/>
  <c r="B9965" i="1"/>
  <c r="A9965" i="1"/>
  <c r="F9964" i="1"/>
  <c r="E9964" i="1"/>
  <c r="D9964" i="1"/>
  <c r="C9964" i="1"/>
  <c r="B9964" i="1"/>
  <c r="A9964" i="1"/>
  <c r="F9963" i="1"/>
  <c r="E9963" i="1"/>
  <c r="D9963" i="1"/>
  <c r="C9963" i="1"/>
  <c r="B9963" i="1"/>
  <c r="A9963" i="1"/>
  <c r="F9962" i="1"/>
  <c r="E9962" i="1"/>
  <c r="D9962" i="1"/>
  <c r="C9962" i="1"/>
  <c r="B9962" i="1"/>
  <c r="A9962" i="1"/>
  <c r="F9961" i="1"/>
  <c r="E9961" i="1"/>
  <c r="D9961" i="1"/>
  <c r="C9961" i="1"/>
  <c r="B9961" i="1"/>
  <c r="A9961" i="1"/>
  <c r="F9960" i="1"/>
  <c r="E9960" i="1"/>
  <c r="D9960" i="1"/>
  <c r="C9960" i="1"/>
  <c r="B9960" i="1"/>
  <c r="A9960" i="1"/>
  <c r="F9959" i="1"/>
  <c r="E9959" i="1"/>
  <c r="D9959" i="1"/>
  <c r="C9959" i="1"/>
  <c r="B9959" i="1"/>
  <c r="A9959" i="1"/>
  <c r="F9958" i="1"/>
  <c r="E9958" i="1"/>
  <c r="D9958" i="1"/>
  <c r="C9958" i="1"/>
  <c r="B9958" i="1"/>
  <c r="A9958" i="1"/>
  <c r="F9957" i="1"/>
  <c r="E9957" i="1"/>
  <c r="D9957" i="1"/>
  <c r="C9957" i="1"/>
  <c r="B9957" i="1"/>
  <c r="A9957" i="1"/>
  <c r="F9956" i="1"/>
  <c r="E9956" i="1"/>
  <c r="D9956" i="1"/>
  <c r="C9956" i="1"/>
  <c r="B9956" i="1"/>
  <c r="A9956" i="1"/>
  <c r="F9955" i="1"/>
  <c r="E9955" i="1"/>
  <c r="D9955" i="1"/>
  <c r="C9955" i="1"/>
  <c r="B9955" i="1"/>
  <c r="A9955" i="1"/>
  <c r="F9954" i="1"/>
  <c r="E9954" i="1"/>
  <c r="D9954" i="1"/>
  <c r="C9954" i="1"/>
  <c r="B9954" i="1"/>
  <c r="A9954" i="1"/>
  <c r="F9953" i="1"/>
  <c r="E9953" i="1"/>
  <c r="D9953" i="1"/>
  <c r="C9953" i="1"/>
  <c r="B9953" i="1"/>
  <c r="A9953" i="1"/>
  <c r="F9952" i="1"/>
  <c r="E9952" i="1"/>
  <c r="D9952" i="1"/>
  <c r="C9952" i="1"/>
  <c r="B9952" i="1"/>
  <c r="A9952" i="1"/>
  <c r="F9951" i="1"/>
  <c r="E9951" i="1"/>
  <c r="D9951" i="1"/>
  <c r="C9951" i="1"/>
  <c r="B9951" i="1"/>
  <c r="A9951" i="1"/>
  <c r="F9950" i="1"/>
  <c r="E9950" i="1"/>
  <c r="D9950" i="1"/>
  <c r="C9950" i="1"/>
  <c r="B9950" i="1"/>
  <c r="A9950" i="1"/>
  <c r="F9949" i="1"/>
  <c r="E9949" i="1"/>
  <c r="D9949" i="1"/>
  <c r="C9949" i="1"/>
  <c r="B9949" i="1"/>
  <c r="A9949" i="1"/>
  <c r="F9948" i="1"/>
  <c r="E9948" i="1"/>
  <c r="D9948" i="1"/>
  <c r="C9948" i="1"/>
  <c r="B9948" i="1"/>
  <c r="A9948" i="1"/>
  <c r="F9947" i="1"/>
  <c r="E9947" i="1"/>
  <c r="D9947" i="1"/>
  <c r="C9947" i="1"/>
  <c r="B9947" i="1"/>
  <c r="A9947" i="1"/>
  <c r="F9946" i="1"/>
  <c r="E9946" i="1"/>
  <c r="D9946" i="1"/>
  <c r="C9946" i="1"/>
  <c r="B9946" i="1"/>
  <c r="A9946" i="1"/>
  <c r="F9945" i="1"/>
  <c r="E9945" i="1"/>
  <c r="D9945" i="1"/>
  <c r="C9945" i="1"/>
  <c r="B9945" i="1"/>
  <c r="A9945" i="1"/>
  <c r="F9944" i="1"/>
  <c r="E9944" i="1"/>
  <c r="D9944" i="1"/>
  <c r="C9944" i="1"/>
  <c r="B9944" i="1"/>
  <c r="A9944" i="1"/>
  <c r="F9943" i="1"/>
  <c r="E9943" i="1"/>
  <c r="D9943" i="1"/>
  <c r="C9943" i="1"/>
  <c r="B9943" i="1"/>
  <c r="A9943" i="1"/>
  <c r="F9942" i="1"/>
  <c r="E9942" i="1"/>
  <c r="D9942" i="1"/>
  <c r="C9942" i="1"/>
  <c r="B9942" i="1"/>
  <c r="A9942" i="1"/>
  <c r="F9941" i="1"/>
  <c r="E9941" i="1"/>
  <c r="D9941" i="1"/>
  <c r="C9941" i="1"/>
  <c r="B9941" i="1"/>
  <c r="A9941" i="1"/>
  <c r="F9940" i="1"/>
  <c r="E9940" i="1"/>
  <c r="D9940" i="1"/>
  <c r="C9940" i="1"/>
  <c r="B9940" i="1"/>
  <c r="A9940" i="1"/>
  <c r="F9939" i="1"/>
  <c r="E9939" i="1"/>
  <c r="D9939" i="1"/>
  <c r="C9939" i="1"/>
  <c r="B9939" i="1"/>
  <c r="A9939" i="1"/>
  <c r="F9938" i="1"/>
  <c r="E9938" i="1"/>
  <c r="D9938" i="1"/>
  <c r="C9938" i="1"/>
  <c r="B9938" i="1"/>
  <c r="A9938" i="1"/>
  <c r="F9937" i="1"/>
  <c r="E9937" i="1"/>
  <c r="D9937" i="1"/>
  <c r="C9937" i="1"/>
  <c r="B9937" i="1"/>
  <c r="A9937" i="1"/>
  <c r="F9936" i="1"/>
  <c r="E9936" i="1"/>
  <c r="D9936" i="1"/>
  <c r="C9936" i="1"/>
  <c r="B9936" i="1"/>
  <c r="A9936" i="1"/>
  <c r="F9935" i="1"/>
  <c r="E9935" i="1"/>
  <c r="D9935" i="1"/>
  <c r="C9935" i="1"/>
  <c r="B9935" i="1"/>
  <c r="A9935" i="1"/>
  <c r="F9934" i="1"/>
  <c r="E9934" i="1"/>
  <c r="D9934" i="1"/>
  <c r="C9934" i="1"/>
  <c r="B9934" i="1"/>
  <c r="A9934" i="1"/>
  <c r="F9933" i="1"/>
  <c r="E9933" i="1"/>
  <c r="D9933" i="1"/>
  <c r="C9933" i="1"/>
  <c r="B9933" i="1"/>
  <c r="A9933" i="1"/>
  <c r="F9932" i="1"/>
  <c r="E9932" i="1"/>
  <c r="D9932" i="1"/>
  <c r="C9932" i="1"/>
  <c r="B9932" i="1"/>
  <c r="A9932" i="1"/>
  <c r="F9931" i="1"/>
  <c r="E9931" i="1"/>
  <c r="D9931" i="1"/>
  <c r="C9931" i="1"/>
  <c r="B9931" i="1"/>
  <c r="A9931" i="1"/>
  <c r="F9930" i="1"/>
  <c r="E9930" i="1"/>
  <c r="D9930" i="1"/>
  <c r="C9930" i="1"/>
  <c r="B9930" i="1"/>
  <c r="A9930" i="1"/>
  <c r="F9929" i="1"/>
  <c r="E9929" i="1"/>
  <c r="D9929" i="1"/>
  <c r="C9929" i="1"/>
  <c r="B9929" i="1"/>
  <c r="A9929" i="1"/>
  <c r="F9928" i="1"/>
  <c r="E9928" i="1"/>
  <c r="D9928" i="1"/>
  <c r="C9928" i="1"/>
  <c r="B9928" i="1"/>
  <c r="A9928" i="1"/>
  <c r="F9927" i="1"/>
  <c r="E9927" i="1"/>
  <c r="D9927" i="1"/>
  <c r="C9927" i="1"/>
  <c r="B9927" i="1"/>
  <c r="A9927" i="1"/>
  <c r="F9926" i="1"/>
  <c r="E9926" i="1"/>
  <c r="D9926" i="1"/>
  <c r="C9926" i="1"/>
  <c r="B9926" i="1"/>
  <c r="A9926" i="1"/>
  <c r="F9925" i="1"/>
  <c r="E9925" i="1"/>
  <c r="D9925" i="1"/>
  <c r="C9925" i="1"/>
  <c r="B9925" i="1"/>
  <c r="A9925" i="1"/>
  <c r="F9924" i="1"/>
  <c r="E9924" i="1"/>
  <c r="D9924" i="1"/>
  <c r="C9924" i="1"/>
  <c r="B9924" i="1"/>
  <c r="A9924" i="1"/>
  <c r="F9923" i="1"/>
  <c r="E9923" i="1"/>
  <c r="D9923" i="1"/>
  <c r="C9923" i="1"/>
  <c r="B9923" i="1"/>
  <c r="A9923" i="1"/>
  <c r="F9922" i="1"/>
  <c r="E9922" i="1"/>
  <c r="D9922" i="1"/>
  <c r="C9922" i="1"/>
  <c r="B9922" i="1"/>
  <c r="A9922" i="1"/>
  <c r="F9921" i="1"/>
  <c r="E9921" i="1"/>
  <c r="D9921" i="1"/>
  <c r="C9921" i="1"/>
  <c r="B9921" i="1"/>
  <c r="A9921" i="1"/>
  <c r="F9920" i="1"/>
  <c r="E9920" i="1"/>
  <c r="D9920" i="1"/>
  <c r="C9920" i="1"/>
  <c r="B9920" i="1"/>
  <c r="A9920" i="1"/>
  <c r="F9919" i="1"/>
  <c r="E9919" i="1"/>
  <c r="D9919" i="1"/>
  <c r="C9919" i="1"/>
  <c r="B9919" i="1"/>
  <c r="A9919" i="1"/>
  <c r="F9918" i="1"/>
  <c r="E9918" i="1"/>
  <c r="D9918" i="1"/>
  <c r="C9918" i="1"/>
  <c r="B9918" i="1"/>
  <c r="A9918" i="1"/>
  <c r="F9917" i="1"/>
  <c r="E9917" i="1"/>
  <c r="D9917" i="1"/>
  <c r="C9917" i="1"/>
  <c r="B9917" i="1"/>
  <c r="A9917" i="1"/>
  <c r="F9916" i="1"/>
  <c r="E9916" i="1"/>
  <c r="D9916" i="1"/>
  <c r="C9916" i="1"/>
  <c r="B9916" i="1"/>
  <c r="A9916" i="1"/>
  <c r="F9915" i="1"/>
  <c r="E9915" i="1"/>
  <c r="D9915" i="1"/>
  <c r="C9915" i="1"/>
  <c r="B9915" i="1"/>
  <c r="A9915" i="1"/>
  <c r="F9914" i="1"/>
  <c r="E9914" i="1"/>
  <c r="D9914" i="1"/>
  <c r="C9914" i="1"/>
  <c r="B9914" i="1"/>
  <c r="A9914" i="1"/>
  <c r="F9913" i="1"/>
  <c r="E9913" i="1"/>
  <c r="D9913" i="1"/>
  <c r="C9913" i="1"/>
  <c r="B9913" i="1"/>
  <c r="A9913" i="1"/>
  <c r="F9912" i="1"/>
  <c r="E9912" i="1"/>
  <c r="D9912" i="1"/>
  <c r="C9912" i="1"/>
  <c r="B9912" i="1"/>
  <c r="A9912" i="1"/>
  <c r="F9911" i="1"/>
  <c r="E9911" i="1"/>
  <c r="D9911" i="1"/>
  <c r="C9911" i="1"/>
  <c r="B9911" i="1"/>
  <c r="A9911" i="1"/>
  <c r="F9910" i="1"/>
  <c r="E9910" i="1"/>
  <c r="D9910" i="1"/>
  <c r="C9910" i="1"/>
  <c r="B9910" i="1"/>
  <c r="A9910" i="1"/>
  <c r="F9909" i="1"/>
  <c r="E9909" i="1"/>
  <c r="D9909" i="1"/>
  <c r="C9909" i="1"/>
  <c r="B9909" i="1"/>
  <c r="A9909" i="1"/>
  <c r="F9908" i="1"/>
  <c r="E9908" i="1"/>
  <c r="D9908" i="1"/>
  <c r="C9908" i="1"/>
  <c r="B9908" i="1"/>
  <c r="A9908" i="1"/>
  <c r="F9907" i="1"/>
  <c r="E9907" i="1"/>
  <c r="D9907" i="1"/>
  <c r="C9907" i="1"/>
  <c r="B9907" i="1"/>
  <c r="A9907" i="1"/>
  <c r="F9906" i="1"/>
  <c r="E9906" i="1"/>
  <c r="D9906" i="1"/>
  <c r="C9906" i="1"/>
  <c r="B9906" i="1"/>
  <c r="A9906" i="1"/>
  <c r="F9905" i="1"/>
  <c r="E9905" i="1"/>
  <c r="D9905" i="1"/>
  <c r="C9905" i="1"/>
  <c r="B9905" i="1"/>
  <c r="A9905" i="1"/>
  <c r="F9904" i="1"/>
  <c r="E9904" i="1"/>
  <c r="D9904" i="1"/>
  <c r="C9904" i="1"/>
  <c r="B9904" i="1"/>
  <c r="A9904" i="1"/>
  <c r="F9903" i="1"/>
  <c r="E9903" i="1"/>
  <c r="D9903" i="1"/>
  <c r="C9903" i="1"/>
  <c r="B9903" i="1"/>
  <c r="A9903" i="1"/>
  <c r="F9902" i="1"/>
  <c r="E9902" i="1"/>
  <c r="D9902" i="1"/>
  <c r="C9902" i="1"/>
  <c r="B9902" i="1"/>
  <c r="A9902" i="1"/>
  <c r="F9901" i="1"/>
  <c r="E9901" i="1"/>
  <c r="D9901" i="1"/>
  <c r="C9901" i="1"/>
  <c r="B9901" i="1"/>
  <c r="A9901" i="1"/>
  <c r="F9900" i="1"/>
  <c r="E9900" i="1"/>
  <c r="D9900" i="1"/>
  <c r="C9900" i="1"/>
  <c r="B9900" i="1"/>
  <c r="A9900" i="1"/>
  <c r="F9899" i="1"/>
  <c r="E9899" i="1"/>
  <c r="D9899" i="1"/>
  <c r="C9899" i="1"/>
  <c r="B9899" i="1"/>
  <c r="A9899" i="1"/>
  <c r="F9898" i="1"/>
  <c r="E9898" i="1"/>
  <c r="D9898" i="1"/>
  <c r="C9898" i="1"/>
  <c r="B9898" i="1"/>
  <c r="A9898" i="1"/>
  <c r="F9897" i="1"/>
  <c r="E9897" i="1"/>
  <c r="D9897" i="1"/>
  <c r="C9897" i="1"/>
  <c r="B9897" i="1"/>
  <c r="A9897" i="1"/>
  <c r="F9896" i="1"/>
  <c r="E9896" i="1"/>
  <c r="D9896" i="1"/>
  <c r="C9896" i="1"/>
  <c r="B9896" i="1"/>
  <c r="A9896" i="1"/>
  <c r="F9895" i="1"/>
  <c r="E9895" i="1"/>
  <c r="D9895" i="1"/>
  <c r="C9895" i="1"/>
  <c r="B9895" i="1"/>
  <c r="A9895" i="1"/>
  <c r="F9894" i="1"/>
  <c r="E9894" i="1"/>
  <c r="D9894" i="1"/>
  <c r="C9894" i="1"/>
  <c r="B9894" i="1"/>
  <c r="A9894" i="1"/>
  <c r="F9893" i="1"/>
  <c r="E9893" i="1"/>
  <c r="D9893" i="1"/>
  <c r="C9893" i="1"/>
  <c r="B9893" i="1"/>
  <c r="A9893" i="1"/>
  <c r="F9892" i="1"/>
  <c r="E9892" i="1"/>
  <c r="D9892" i="1"/>
  <c r="C9892" i="1"/>
  <c r="B9892" i="1"/>
  <c r="A9892" i="1"/>
  <c r="F9891" i="1"/>
  <c r="E9891" i="1"/>
  <c r="D9891" i="1"/>
  <c r="C9891" i="1"/>
  <c r="B9891" i="1"/>
  <c r="A9891" i="1"/>
  <c r="F9890" i="1"/>
  <c r="E9890" i="1"/>
  <c r="D9890" i="1"/>
  <c r="C9890" i="1"/>
  <c r="B9890" i="1"/>
  <c r="A9890" i="1"/>
  <c r="F9889" i="1"/>
  <c r="E9889" i="1"/>
  <c r="D9889" i="1"/>
  <c r="C9889" i="1"/>
  <c r="B9889" i="1"/>
  <c r="A9889" i="1"/>
  <c r="F9888" i="1"/>
  <c r="E9888" i="1"/>
  <c r="D9888" i="1"/>
  <c r="C9888" i="1"/>
  <c r="B9888" i="1"/>
  <c r="A9888" i="1"/>
  <c r="F9887" i="1"/>
  <c r="E9887" i="1"/>
  <c r="D9887" i="1"/>
  <c r="C9887" i="1"/>
  <c r="B9887" i="1"/>
  <c r="A9887" i="1"/>
  <c r="F9886" i="1"/>
  <c r="E9886" i="1"/>
  <c r="D9886" i="1"/>
  <c r="C9886" i="1"/>
  <c r="B9886" i="1"/>
  <c r="A9886" i="1"/>
  <c r="F9885" i="1"/>
  <c r="E9885" i="1"/>
  <c r="D9885" i="1"/>
  <c r="C9885" i="1"/>
  <c r="B9885" i="1"/>
  <c r="A9885" i="1"/>
  <c r="F9884" i="1"/>
  <c r="E9884" i="1"/>
  <c r="D9884" i="1"/>
  <c r="C9884" i="1"/>
  <c r="B9884" i="1"/>
  <c r="A9884" i="1"/>
  <c r="F9883" i="1"/>
  <c r="E9883" i="1"/>
  <c r="D9883" i="1"/>
  <c r="C9883" i="1"/>
  <c r="B9883" i="1"/>
  <c r="A9883" i="1"/>
  <c r="F9882" i="1"/>
  <c r="E9882" i="1"/>
  <c r="D9882" i="1"/>
  <c r="C9882" i="1"/>
  <c r="B9882" i="1"/>
  <c r="A9882" i="1"/>
  <c r="F9881" i="1"/>
  <c r="E9881" i="1"/>
  <c r="D9881" i="1"/>
  <c r="C9881" i="1"/>
  <c r="B9881" i="1"/>
  <c r="A9881" i="1"/>
  <c r="F9880" i="1"/>
  <c r="E9880" i="1"/>
  <c r="D9880" i="1"/>
  <c r="C9880" i="1"/>
  <c r="B9880" i="1"/>
  <c r="A9880" i="1"/>
  <c r="F9879" i="1"/>
  <c r="E9879" i="1"/>
  <c r="D9879" i="1"/>
  <c r="C9879" i="1"/>
  <c r="B9879" i="1"/>
  <c r="A9879" i="1"/>
  <c r="F9878" i="1"/>
  <c r="E9878" i="1"/>
  <c r="D9878" i="1"/>
  <c r="C9878" i="1"/>
  <c r="B9878" i="1"/>
  <c r="A9878" i="1"/>
  <c r="F9877" i="1"/>
  <c r="E9877" i="1"/>
  <c r="D9877" i="1"/>
  <c r="C9877" i="1"/>
  <c r="B9877" i="1"/>
  <c r="A9877" i="1"/>
  <c r="F9876" i="1"/>
  <c r="E9876" i="1"/>
  <c r="D9876" i="1"/>
  <c r="C9876" i="1"/>
  <c r="B9876" i="1"/>
  <c r="A9876" i="1"/>
  <c r="F9875" i="1"/>
  <c r="E9875" i="1"/>
  <c r="D9875" i="1"/>
  <c r="C9875" i="1"/>
  <c r="B9875" i="1"/>
  <c r="A9875" i="1"/>
  <c r="F9874" i="1"/>
  <c r="E9874" i="1"/>
  <c r="D9874" i="1"/>
  <c r="C9874" i="1"/>
  <c r="B9874" i="1"/>
  <c r="A9874" i="1"/>
  <c r="F9873" i="1"/>
  <c r="E9873" i="1"/>
  <c r="D9873" i="1"/>
  <c r="C9873" i="1"/>
  <c r="B9873" i="1"/>
  <c r="A9873" i="1"/>
  <c r="F9872" i="1"/>
  <c r="E9872" i="1"/>
  <c r="D9872" i="1"/>
  <c r="C9872" i="1"/>
  <c r="B9872" i="1"/>
  <c r="A9872" i="1"/>
  <c r="F9871" i="1"/>
  <c r="E9871" i="1"/>
  <c r="D9871" i="1"/>
  <c r="C9871" i="1"/>
  <c r="B9871" i="1"/>
  <c r="A9871" i="1"/>
  <c r="F9870" i="1"/>
  <c r="E9870" i="1"/>
  <c r="D9870" i="1"/>
  <c r="C9870" i="1"/>
  <c r="B9870" i="1"/>
  <c r="A9870" i="1"/>
  <c r="F9869" i="1"/>
  <c r="E9869" i="1"/>
  <c r="D9869" i="1"/>
  <c r="C9869" i="1"/>
  <c r="B9869" i="1"/>
  <c r="A9869" i="1"/>
  <c r="F9868" i="1"/>
  <c r="E9868" i="1"/>
  <c r="D9868" i="1"/>
  <c r="C9868" i="1"/>
  <c r="B9868" i="1"/>
  <c r="A9868" i="1"/>
  <c r="F9867" i="1"/>
  <c r="E9867" i="1"/>
  <c r="D9867" i="1"/>
  <c r="C9867" i="1"/>
  <c r="B9867" i="1"/>
  <c r="A9867" i="1"/>
  <c r="F9866" i="1"/>
  <c r="E9866" i="1"/>
  <c r="D9866" i="1"/>
  <c r="C9866" i="1"/>
  <c r="B9866" i="1"/>
  <c r="A9866" i="1"/>
  <c r="F9865" i="1"/>
  <c r="E9865" i="1"/>
  <c r="D9865" i="1"/>
  <c r="C9865" i="1"/>
  <c r="B9865" i="1"/>
  <c r="A9865" i="1"/>
  <c r="F9864" i="1"/>
  <c r="E9864" i="1"/>
  <c r="D9864" i="1"/>
  <c r="C9864" i="1"/>
  <c r="B9864" i="1"/>
  <c r="A9864" i="1"/>
  <c r="F9863" i="1"/>
  <c r="E9863" i="1"/>
  <c r="D9863" i="1"/>
  <c r="C9863" i="1"/>
  <c r="B9863" i="1"/>
  <c r="A9863" i="1"/>
  <c r="F9862" i="1"/>
  <c r="E9862" i="1"/>
  <c r="D9862" i="1"/>
  <c r="C9862" i="1"/>
  <c r="B9862" i="1"/>
  <c r="A9862" i="1"/>
  <c r="F9861" i="1"/>
  <c r="E9861" i="1"/>
  <c r="D9861" i="1"/>
  <c r="C9861" i="1"/>
  <c r="B9861" i="1"/>
  <c r="A9861" i="1"/>
  <c r="F9860" i="1"/>
  <c r="E9860" i="1"/>
  <c r="D9860" i="1"/>
  <c r="C9860" i="1"/>
  <c r="B9860" i="1"/>
  <c r="A9860" i="1"/>
  <c r="F9859" i="1"/>
  <c r="E9859" i="1"/>
  <c r="D9859" i="1"/>
  <c r="C9859" i="1"/>
  <c r="B9859" i="1"/>
  <c r="A9859" i="1"/>
  <c r="F9858" i="1"/>
  <c r="E9858" i="1"/>
  <c r="D9858" i="1"/>
  <c r="C9858" i="1"/>
  <c r="B9858" i="1"/>
  <c r="A9858" i="1"/>
  <c r="F9857" i="1"/>
  <c r="E9857" i="1"/>
  <c r="D9857" i="1"/>
  <c r="C9857" i="1"/>
  <c r="B9857" i="1"/>
  <c r="A9857" i="1"/>
  <c r="F9856" i="1"/>
  <c r="E9856" i="1"/>
  <c r="D9856" i="1"/>
  <c r="C9856" i="1"/>
  <c r="B9856" i="1"/>
  <c r="A9856" i="1"/>
  <c r="F9855" i="1"/>
  <c r="E9855" i="1"/>
  <c r="D9855" i="1"/>
  <c r="C9855" i="1"/>
  <c r="B9855" i="1"/>
  <c r="A9855" i="1"/>
  <c r="F9854" i="1"/>
  <c r="E9854" i="1"/>
  <c r="D9854" i="1"/>
  <c r="C9854" i="1"/>
  <c r="B9854" i="1"/>
  <c r="A9854" i="1"/>
  <c r="F9853" i="1"/>
  <c r="E9853" i="1"/>
  <c r="D9853" i="1"/>
  <c r="C9853" i="1"/>
  <c r="B9853" i="1"/>
  <c r="A9853" i="1"/>
  <c r="F9852" i="1"/>
  <c r="E9852" i="1"/>
  <c r="D9852" i="1"/>
  <c r="C9852" i="1"/>
  <c r="B9852" i="1"/>
  <c r="A9852" i="1"/>
  <c r="F9851" i="1"/>
  <c r="E9851" i="1"/>
  <c r="D9851" i="1"/>
  <c r="C9851" i="1"/>
  <c r="B9851" i="1"/>
  <c r="A9851" i="1"/>
  <c r="F9850" i="1"/>
  <c r="E9850" i="1"/>
  <c r="D9850" i="1"/>
  <c r="C9850" i="1"/>
  <c r="B9850" i="1"/>
  <c r="A9850" i="1"/>
  <c r="F9849" i="1"/>
  <c r="E9849" i="1"/>
  <c r="D9849" i="1"/>
  <c r="C9849" i="1"/>
  <c r="B9849" i="1"/>
  <c r="A9849" i="1"/>
  <c r="F9848" i="1"/>
  <c r="E9848" i="1"/>
  <c r="D9848" i="1"/>
  <c r="C9848" i="1"/>
  <c r="B9848" i="1"/>
  <c r="A9848" i="1"/>
  <c r="F9847" i="1"/>
  <c r="E9847" i="1"/>
  <c r="D9847" i="1"/>
  <c r="C9847" i="1"/>
  <c r="B9847" i="1"/>
  <c r="A9847" i="1"/>
  <c r="F9846" i="1"/>
  <c r="E9846" i="1"/>
  <c r="D9846" i="1"/>
  <c r="C9846" i="1"/>
  <c r="B9846" i="1"/>
  <c r="A9846" i="1"/>
  <c r="F9845" i="1"/>
  <c r="E9845" i="1"/>
  <c r="D9845" i="1"/>
  <c r="C9845" i="1"/>
  <c r="B9845" i="1"/>
  <c r="A9845" i="1"/>
  <c r="F9844" i="1"/>
  <c r="E9844" i="1"/>
  <c r="D9844" i="1"/>
  <c r="C9844" i="1"/>
  <c r="B9844" i="1"/>
  <c r="A9844" i="1"/>
  <c r="F9843" i="1"/>
  <c r="E9843" i="1"/>
  <c r="D9843" i="1"/>
  <c r="C9843" i="1"/>
  <c r="B9843" i="1"/>
  <c r="A9843" i="1"/>
  <c r="F9842" i="1"/>
  <c r="E9842" i="1"/>
  <c r="D9842" i="1"/>
  <c r="C9842" i="1"/>
  <c r="B9842" i="1"/>
  <c r="A9842" i="1"/>
  <c r="F9841" i="1"/>
  <c r="E9841" i="1"/>
  <c r="D9841" i="1"/>
  <c r="C9841" i="1"/>
  <c r="B9841" i="1"/>
  <c r="A9841" i="1"/>
  <c r="F9840" i="1"/>
  <c r="E9840" i="1"/>
  <c r="D9840" i="1"/>
  <c r="C9840" i="1"/>
  <c r="B9840" i="1"/>
  <c r="A9840" i="1"/>
  <c r="F9839" i="1"/>
  <c r="E9839" i="1"/>
  <c r="D9839" i="1"/>
  <c r="C9839" i="1"/>
  <c r="B9839" i="1"/>
  <c r="A9839" i="1"/>
  <c r="F9838" i="1"/>
  <c r="E9838" i="1"/>
  <c r="D9838" i="1"/>
  <c r="C9838" i="1"/>
  <c r="B9838" i="1"/>
  <c r="A9838" i="1"/>
  <c r="F9837" i="1"/>
  <c r="E9837" i="1"/>
  <c r="D9837" i="1"/>
  <c r="C9837" i="1"/>
  <c r="B9837" i="1"/>
  <c r="A9837" i="1"/>
  <c r="F9836" i="1"/>
  <c r="E9836" i="1"/>
  <c r="D9836" i="1"/>
  <c r="C9836" i="1"/>
  <c r="B9836" i="1"/>
  <c r="A9836" i="1"/>
  <c r="F9835" i="1"/>
  <c r="E9835" i="1"/>
  <c r="D9835" i="1"/>
  <c r="C9835" i="1"/>
  <c r="B9835" i="1"/>
  <c r="A9835" i="1"/>
  <c r="F9834" i="1"/>
  <c r="E9834" i="1"/>
  <c r="D9834" i="1"/>
  <c r="C9834" i="1"/>
  <c r="B9834" i="1"/>
  <c r="A9834" i="1"/>
  <c r="F9833" i="1"/>
  <c r="E9833" i="1"/>
  <c r="D9833" i="1"/>
  <c r="C9833" i="1"/>
  <c r="B9833" i="1"/>
  <c r="A9833" i="1"/>
  <c r="F9832" i="1"/>
  <c r="E9832" i="1"/>
  <c r="D9832" i="1"/>
  <c r="C9832" i="1"/>
  <c r="B9832" i="1"/>
  <c r="A9832" i="1"/>
  <c r="F9831" i="1"/>
  <c r="E9831" i="1"/>
  <c r="D9831" i="1"/>
  <c r="C9831" i="1"/>
  <c r="B9831" i="1"/>
  <c r="A9831" i="1"/>
  <c r="F9830" i="1"/>
  <c r="E9830" i="1"/>
  <c r="D9830" i="1"/>
  <c r="C9830" i="1"/>
  <c r="B9830" i="1"/>
  <c r="A9830" i="1"/>
  <c r="F9829" i="1"/>
  <c r="E9829" i="1"/>
  <c r="D9829" i="1"/>
  <c r="C9829" i="1"/>
  <c r="B9829" i="1"/>
  <c r="A9829" i="1"/>
  <c r="F9828" i="1"/>
  <c r="E9828" i="1"/>
  <c r="D9828" i="1"/>
  <c r="C9828" i="1"/>
  <c r="B9828" i="1"/>
  <c r="A9828" i="1"/>
  <c r="F9827" i="1"/>
  <c r="E9827" i="1"/>
  <c r="D9827" i="1"/>
  <c r="C9827" i="1"/>
  <c r="B9827" i="1"/>
  <c r="A9827" i="1"/>
  <c r="F9826" i="1"/>
  <c r="E9826" i="1"/>
  <c r="D9826" i="1"/>
  <c r="C9826" i="1"/>
  <c r="B9826" i="1"/>
  <c r="A9826" i="1"/>
  <c r="F9825" i="1"/>
  <c r="E9825" i="1"/>
  <c r="D9825" i="1"/>
  <c r="C9825" i="1"/>
  <c r="B9825" i="1"/>
  <c r="A9825" i="1"/>
  <c r="F9824" i="1"/>
  <c r="E9824" i="1"/>
  <c r="D9824" i="1"/>
  <c r="C9824" i="1"/>
  <c r="B9824" i="1"/>
  <c r="A9824" i="1"/>
  <c r="F9823" i="1"/>
  <c r="E9823" i="1"/>
  <c r="D9823" i="1"/>
  <c r="C9823" i="1"/>
  <c r="B9823" i="1"/>
  <c r="A9823" i="1"/>
  <c r="F9822" i="1"/>
  <c r="E9822" i="1"/>
  <c r="D9822" i="1"/>
  <c r="C9822" i="1"/>
  <c r="B9822" i="1"/>
  <c r="A9822" i="1"/>
  <c r="F9821" i="1"/>
  <c r="E9821" i="1"/>
  <c r="D9821" i="1"/>
  <c r="C9821" i="1"/>
  <c r="B9821" i="1"/>
  <c r="A9821" i="1"/>
  <c r="F9820" i="1"/>
  <c r="E9820" i="1"/>
  <c r="D9820" i="1"/>
  <c r="C9820" i="1"/>
  <c r="B9820" i="1"/>
  <c r="A9820" i="1"/>
  <c r="F9819" i="1"/>
  <c r="E9819" i="1"/>
  <c r="D9819" i="1"/>
  <c r="C9819" i="1"/>
  <c r="B9819" i="1"/>
  <c r="A9819" i="1"/>
  <c r="F9818" i="1"/>
  <c r="E9818" i="1"/>
  <c r="D9818" i="1"/>
  <c r="C9818" i="1"/>
  <c r="B9818" i="1"/>
  <c r="A9818" i="1"/>
  <c r="F9817" i="1"/>
  <c r="E9817" i="1"/>
  <c r="D9817" i="1"/>
  <c r="C9817" i="1"/>
  <c r="B9817" i="1"/>
  <c r="A9817" i="1"/>
  <c r="F9816" i="1"/>
  <c r="E9816" i="1"/>
  <c r="D9816" i="1"/>
  <c r="C9816" i="1"/>
  <c r="B9816" i="1"/>
  <c r="A9816" i="1"/>
  <c r="F9815" i="1"/>
  <c r="E9815" i="1"/>
  <c r="D9815" i="1"/>
  <c r="C9815" i="1"/>
  <c r="B9815" i="1"/>
  <c r="A9815" i="1"/>
  <c r="F9814" i="1"/>
  <c r="E9814" i="1"/>
  <c r="D9814" i="1"/>
  <c r="C9814" i="1"/>
  <c r="B9814" i="1"/>
  <c r="A9814" i="1"/>
  <c r="F9813" i="1"/>
  <c r="E9813" i="1"/>
  <c r="D9813" i="1"/>
  <c r="C9813" i="1"/>
  <c r="B9813" i="1"/>
  <c r="A9813" i="1"/>
  <c r="F9812" i="1"/>
  <c r="E9812" i="1"/>
  <c r="D9812" i="1"/>
  <c r="C9812" i="1"/>
  <c r="B9812" i="1"/>
  <c r="A9812" i="1"/>
  <c r="F9811" i="1"/>
  <c r="E9811" i="1"/>
  <c r="D9811" i="1"/>
  <c r="C9811" i="1"/>
  <c r="B9811" i="1"/>
  <c r="A9811" i="1"/>
  <c r="F9810" i="1"/>
  <c r="E9810" i="1"/>
  <c r="D9810" i="1"/>
  <c r="C9810" i="1"/>
  <c r="B9810" i="1"/>
  <c r="A9810" i="1"/>
  <c r="F9809" i="1"/>
  <c r="E9809" i="1"/>
  <c r="D9809" i="1"/>
  <c r="C9809" i="1"/>
  <c r="B9809" i="1"/>
  <c r="A9809" i="1"/>
  <c r="F9808" i="1"/>
  <c r="E9808" i="1"/>
  <c r="D9808" i="1"/>
  <c r="C9808" i="1"/>
  <c r="B9808" i="1"/>
  <c r="A9808" i="1"/>
  <c r="F9807" i="1"/>
  <c r="E9807" i="1"/>
  <c r="D9807" i="1"/>
  <c r="C9807" i="1"/>
  <c r="B9807" i="1"/>
  <c r="A9807" i="1"/>
  <c r="F9806" i="1"/>
  <c r="E9806" i="1"/>
  <c r="D9806" i="1"/>
  <c r="C9806" i="1"/>
  <c r="B9806" i="1"/>
  <c r="A9806" i="1"/>
  <c r="F9805" i="1"/>
  <c r="E9805" i="1"/>
  <c r="D9805" i="1"/>
  <c r="C9805" i="1"/>
  <c r="B9805" i="1"/>
  <c r="A9805" i="1"/>
  <c r="F9804" i="1"/>
  <c r="E9804" i="1"/>
  <c r="D9804" i="1"/>
  <c r="C9804" i="1"/>
  <c r="B9804" i="1"/>
  <c r="A9804" i="1"/>
  <c r="F9803" i="1"/>
  <c r="E9803" i="1"/>
  <c r="D9803" i="1"/>
  <c r="C9803" i="1"/>
  <c r="B9803" i="1"/>
  <c r="A9803" i="1"/>
  <c r="F9802" i="1"/>
  <c r="E9802" i="1"/>
  <c r="D9802" i="1"/>
  <c r="C9802" i="1"/>
  <c r="B9802" i="1"/>
  <c r="A9802" i="1"/>
  <c r="F9801" i="1"/>
  <c r="E9801" i="1"/>
  <c r="D9801" i="1"/>
  <c r="C9801" i="1"/>
  <c r="B9801" i="1"/>
  <c r="A9801" i="1"/>
  <c r="F9800" i="1"/>
  <c r="E9800" i="1"/>
  <c r="D9800" i="1"/>
  <c r="C9800" i="1"/>
  <c r="B9800" i="1"/>
  <c r="A9800" i="1"/>
  <c r="F9799" i="1"/>
  <c r="E9799" i="1"/>
  <c r="D9799" i="1"/>
  <c r="C9799" i="1"/>
  <c r="B9799" i="1"/>
  <c r="A9799" i="1"/>
  <c r="F9798" i="1"/>
  <c r="E9798" i="1"/>
  <c r="D9798" i="1"/>
  <c r="C9798" i="1"/>
  <c r="B9798" i="1"/>
  <c r="A9798" i="1"/>
  <c r="F9797" i="1"/>
  <c r="E9797" i="1"/>
  <c r="D9797" i="1"/>
  <c r="C9797" i="1"/>
  <c r="B9797" i="1"/>
  <c r="A9797" i="1"/>
  <c r="F9796" i="1"/>
  <c r="E9796" i="1"/>
  <c r="D9796" i="1"/>
  <c r="C9796" i="1"/>
  <c r="B9796" i="1"/>
  <c r="A9796" i="1"/>
  <c r="F9795" i="1"/>
  <c r="E9795" i="1"/>
  <c r="D9795" i="1"/>
  <c r="C9795" i="1"/>
  <c r="B9795" i="1"/>
  <c r="A9795" i="1"/>
  <c r="F9794" i="1"/>
  <c r="E9794" i="1"/>
  <c r="D9794" i="1"/>
  <c r="C9794" i="1"/>
  <c r="B9794" i="1"/>
  <c r="A9794" i="1"/>
  <c r="F9793" i="1"/>
  <c r="E9793" i="1"/>
  <c r="D9793" i="1"/>
  <c r="C9793" i="1"/>
  <c r="B9793" i="1"/>
  <c r="A9793" i="1"/>
  <c r="F9792" i="1"/>
  <c r="E9792" i="1"/>
  <c r="D9792" i="1"/>
  <c r="C9792" i="1"/>
  <c r="B9792" i="1"/>
  <c r="A9792" i="1"/>
  <c r="F9791" i="1"/>
  <c r="E9791" i="1"/>
  <c r="D9791" i="1"/>
  <c r="C9791" i="1"/>
  <c r="B9791" i="1"/>
  <c r="A9791" i="1"/>
  <c r="F9790" i="1"/>
  <c r="E9790" i="1"/>
  <c r="D9790" i="1"/>
  <c r="C9790" i="1"/>
  <c r="B9790" i="1"/>
  <c r="A9790" i="1"/>
  <c r="F9789" i="1"/>
  <c r="E9789" i="1"/>
  <c r="D9789" i="1"/>
  <c r="C9789" i="1"/>
  <c r="B9789" i="1"/>
  <c r="A9789" i="1"/>
  <c r="F9788" i="1"/>
  <c r="E9788" i="1"/>
  <c r="D9788" i="1"/>
  <c r="C9788" i="1"/>
  <c r="B9788" i="1"/>
  <c r="A9788" i="1"/>
  <c r="F9787" i="1"/>
  <c r="E9787" i="1"/>
  <c r="D9787" i="1"/>
  <c r="C9787" i="1"/>
  <c r="B9787" i="1"/>
  <c r="A9787" i="1"/>
  <c r="F9786" i="1"/>
  <c r="E9786" i="1"/>
  <c r="D9786" i="1"/>
  <c r="C9786" i="1"/>
  <c r="B9786" i="1"/>
  <c r="A9786" i="1"/>
  <c r="F9785" i="1"/>
  <c r="E9785" i="1"/>
  <c r="D9785" i="1"/>
  <c r="C9785" i="1"/>
  <c r="B9785" i="1"/>
  <c r="A9785" i="1"/>
  <c r="F9784" i="1"/>
  <c r="E9784" i="1"/>
  <c r="D9784" i="1"/>
  <c r="C9784" i="1"/>
  <c r="B9784" i="1"/>
  <c r="A9784" i="1"/>
  <c r="F9783" i="1"/>
  <c r="E9783" i="1"/>
  <c r="D9783" i="1"/>
  <c r="C9783" i="1"/>
  <c r="B9783" i="1"/>
  <c r="A9783" i="1"/>
  <c r="F9782" i="1"/>
  <c r="E9782" i="1"/>
  <c r="D9782" i="1"/>
  <c r="C9782" i="1"/>
  <c r="B9782" i="1"/>
  <c r="A9782" i="1"/>
  <c r="F9781" i="1"/>
  <c r="E9781" i="1"/>
  <c r="D9781" i="1"/>
  <c r="C9781" i="1"/>
  <c r="B9781" i="1"/>
  <c r="A9781" i="1"/>
  <c r="F9780" i="1"/>
  <c r="E9780" i="1"/>
  <c r="D9780" i="1"/>
  <c r="C9780" i="1"/>
  <c r="B9780" i="1"/>
  <c r="A9780" i="1"/>
  <c r="F9779" i="1"/>
  <c r="E9779" i="1"/>
  <c r="D9779" i="1"/>
  <c r="C9779" i="1"/>
  <c r="B9779" i="1"/>
  <c r="A9779" i="1"/>
  <c r="F9778" i="1"/>
  <c r="E9778" i="1"/>
  <c r="D9778" i="1"/>
  <c r="C9778" i="1"/>
  <c r="B9778" i="1"/>
  <c r="A9778" i="1"/>
  <c r="F9777" i="1"/>
  <c r="E9777" i="1"/>
  <c r="D9777" i="1"/>
  <c r="C9777" i="1"/>
  <c r="B9777" i="1"/>
  <c r="A9777" i="1"/>
  <c r="F9776" i="1"/>
  <c r="E9776" i="1"/>
  <c r="D9776" i="1"/>
  <c r="C9776" i="1"/>
  <c r="B9776" i="1"/>
  <c r="A9776" i="1"/>
  <c r="F9775" i="1"/>
  <c r="E9775" i="1"/>
  <c r="D9775" i="1"/>
  <c r="C9775" i="1"/>
  <c r="B9775" i="1"/>
  <c r="A9775" i="1"/>
  <c r="F9774" i="1"/>
  <c r="E9774" i="1"/>
  <c r="D9774" i="1"/>
  <c r="C9774" i="1"/>
  <c r="B9774" i="1"/>
  <c r="A9774" i="1"/>
  <c r="F9773" i="1"/>
  <c r="E9773" i="1"/>
  <c r="D9773" i="1"/>
  <c r="C9773" i="1"/>
  <c r="B9773" i="1"/>
  <c r="A9773" i="1"/>
  <c r="F9772" i="1"/>
  <c r="E9772" i="1"/>
  <c r="D9772" i="1"/>
  <c r="C9772" i="1"/>
  <c r="B9772" i="1"/>
  <c r="A9772" i="1"/>
  <c r="F9771" i="1"/>
  <c r="E9771" i="1"/>
  <c r="D9771" i="1"/>
  <c r="C9771" i="1"/>
  <c r="B9771" i="1"/>
  <c r="A9771" i="1"/>
  <c r="F9770" i="1"/>
  <c r="E9770" i="1"/>
  <c r="D9770" i="1"/>
  <c r="C9770" i="1"/>
  <c r="B9770" i="1"/>
  <c r="A9770" i="1"/>
  <c r="F9769" i="1"/>
  <c r="E9769" i="1"/>
  <c r="D9769" i="1"/>
  <c r="C9769" i="1"/>
  <c r="B9769" i="1"/>
  <c r="A9769" i="1"/>
  <c r="F9768" i="1"/>
  <c r="E9768" i="1"/>
  <c r="D9768" i="1"/>
  <c r="C9768" i="1"/>
  <c r="B9768" i="1"/>
  <c r="A9768" i="1"/>
  <c r="F9767" i="1"/>
  <c r="E9767" i="1"/>
  <c r="D9767" i="1"/>
  <c r="C9767" i="1"/>
  <c r="B9767" i="1"/>
  <c r="A9767" i="1"/>
  <c r="F9766" i="1"/>
  <c r="E9766" i="1"/>
  <c r="D9766" i="1"/>
  <c r="C9766" i="1"/>
  <c r="B9766" i="1"/>
  <c r="A9766" i="1"/>
  <c r="F9765" i="1"/>
  <c r="E9765" i="1"/>
  <c r="D9765" i="1"/>
  <c r="C9765" i="1"/>
  <c r="B9765" i="1"/>
  <c r="A9765" i="1"/>
  <c r="F9764" i="1"/>
  <c r="E9764" i="1"/>
  <c r="D9764" i="1"/>
  <c r="C9764" i="1"/>
  <c r="B9764" i="1"/>
  <c r="A9764" i="1"/>
  <c r="F9763" i="1"/>
  <c r="E9763" i="1"/>
  <c r="D9763" i="1"/>
  <c r="C9763" i="1"/>
  <c r="B9763" i="1"/>
  <c r="A9763" i="1"/>
  <c r="F9762" i="1"/>
  <c r="E9762" i="1"/>
  <c r="D9762" i="1"/>
  <c r="C9762" i="1"/>
  <c r="B9762" i="1"/>
  <c r="A9762" i="1"/>
  <c r="F9761" i="1"/>
  <c r="E9761" i="1"/>
  <c r="D9761" i="1"/>
  <c r="C9761" i="1"/>
  <c r="B9761" i="1"/>
  <c r="A9761" i="1"/>
  <c r="F9760" i="1"/>
  <c r="E9760" i="1"/>
  <c r="D9760" i="1"/>
  <c r="C9760" i="1"/>
  <c r="B9760" i="1"/>
  <c r="A9760" i="1"/>
  <c r="F9759" i="1"/>
  <c r="E9759" i="1"/>
  <c r="D9759" i="1"/>
  <c r="C9759" i="1"/>
  <c r="B9759" i="1"/>
  <c r="A9759" i="1"/>
  <c r="F9758" i="1"/>
  <c r="E9758" i="1"/>
  <c r="D9758" i="1"/>
  <c r="C9758" i="1"/>
  <c r="B9758" i="1"/>
  <c r="A9758" i="1"/>
  <c r="F9757" i="1"/>
  <c r="E9757" i="1"/>
  <c r="D9757" i="1"/>
  <c r="C9757" i="1"/>
  <c r="B9757" i="1"/>
  <c r="A9757" i="1"/>
  <c r="F9756" i="1"/>
  <c r="E9756" i="1"/>
  <c r="D9756" i="1"/>
  <c r="C9756" i="1"/>
  <c r="B9756" i="1"/>
  <c r="A9756" i="1"/>
  <c r="F9755" i="1"/>
  <c r="E9755" i="1"/>
  <c r="D9755" i="1"/>
  <c r="C9755" i="1"/>
  <c r="B9755" i="1"/>
  <c r="A9755" i="1"/>
  <c r="F9754" i="1"/>
  <c r="E9754" i="1"/>
  <c r="D9754" i="1"/>
  <c r="C9754" i="1"/>
  <c r="B9754" i="1"/>
  <c r="A9754" i="1"/>
  <c r="F9753" i="1"/>
  <c r="E9753" i="1"/>
  <c r="D9753" i="1"/>
  <c r="C9753" i="1"/>
  <c r="B9753" i="1"/>
  <c r="A9753" i="1"/>
  <c r="F9752" i="1"/>
  <c r="E9752" i="1"/>
  <c r="D9752" i="1"/>
  <c r="C9752" i="1"/>
  <c r="B9752" i="1"/>
  <c r="A9752" i="1"/>
  <c r="F9751" i="1"/>
  <c r="E9751" i="1"/>
  <c r="D9751" i="1"/>
  <c r="C9751" i="1"/>
  <c r="B9751" i="1"/>
  <c r="A9751" i="1"/>
  <c r="F9750" i="1"/>
  <c r="E9750" i="1"/>
  <c r="D9750" i="1"/>
  <c r="C9750" i="1"/>
  <c r="B9750" i="1"/>
  <c r="A9750" i="1"/>
  <c r="F9749" i="1"/>
  <c r="E9749" i="1"/>
  <c r="D9749" i="1"/>
  <c r="C9749" i="1"/>
  <c r="B9749" i="1"/>
  <c r="A9749" i="1"/>
  <c r="F9748" i="1"/>
  <c r="E9748" i="1"/>
  <c r="D9748" i="1"/>
  <c r="C9748" i="1"/>
  <c r="B9748" i="1"/>
  <c r="A9748" i="1"/>
  <c r="F9747" i="1"/>
  <c r="E9747" i="1"/>
  <c r="D9747" i="1"/>
  <c r="C9747" i="1"/>
  <c r="B9747" i="1"/>
  <c r="A9747" i="1"/>
  <c r="F9746" i="1"/>
  <c r="E9746" i="1"/>
  <c r="D9746" i="1"/>
  <c r="C9746" i="1"/>
  <c r="B9746" i="1"/>
  <c r="A9746" i="1"/>
  <c r="F9745" i="1"/>
  <c r="E9745" i="1"/>
  <c r="D9745" i="1"/>
  <c r="C9745" i="1"/>
  <c r="B9745" i="1"/>
  <c r="A9745" i="1"/>
  <c r="F9744" i="1"/>
  <c r="E9744" i="1"/>
  <c r="D9744" i="1"/>
  <c r="C9744" i="1"/>
  <c r="B9744" i="1"/>
  <c r="A9744" i="1"/>
  <c r="F9743" i="1"/>
  <c r="E9743" i="1"/>
  <c r="D9743" i="1"/>
  <c r="C9743" i="1"/>
  <c r="B9743" i="1"/>
  <c r="A9743" i="1"/>
  <c r="F9742" i="1"/>
  <c r="E9742" i="1"/>
  <c r="D9742" i="1"/>
  <c r="C9742" i="1"/>
  <c r="B9742" i="1"/>
  <c r="A9742" i="1"/>
  <c r="F9741" i="1"/>
  <c r="E9741" i="1"/>
  <c r="D9741" i="1"/>
  <c r="C9741" i="1"/>
  <c r="B9741" i="1"/>
  <c r="A9741" i="1"/>
  <c r="F9740" i="1"/>
  <c r="E9740" i="1"/>
  <c r="D9740" i="1"/>
  <c r="C9740" i="1"/>
  <c r="B9740" i="1"/>
  <c r="A9740" i="1"/>
  <c r="F9739" i="1"/>
  <c r="E9739" i="1"/>
  <c r="D9739" i="1"/>
  <c r="C9739" i="1"/>
  <c r="B9739" i="1"/>
  <c r="A9739" i="1"/>
  <c r="F9738" i="1"/>
  <c r="E9738" i="1"/>
  <c r="D9738" i="1"/>
  <c r="C9738" i="1"/>
  <c r="B9738" i="1"/>
  <c r="A9738" i="1"/>
  <c r="F9737" i="1"/>
  <c r="E9737" i="1"/>
  <c r="D9737" i="1"/>
  <c r="C9737" i="1"/>
  <c r="B9737" i="1"/>
  <c r="A9737" i="1"/>
  <c r="F9736" i="1"/>
  <c r="E9736" i="1"/>
  <c r="D9736" i="1"/>
  <c r="C9736" i="1"/>
  <c r="B9736" i="1"/>
  <c r="A9736" i="1"/>
  <c r="F9735" i="1"/>
  <c r="E9735" i="1"/>
  <c r="D9735" i="1"/>
  <c r="C9735" i="1"/>
  <c r="B9735" i="1"/>
  <c r="A9735" i="1"/>
  <c r="F9734" i="1"/>
  <c r="E9734" i="1"/>
  <c r="D9734" i="1"/>
  <c r="C9734" i="1"/>
  <c r="B9734" i="1"/>
  <c r="A9734" i="1"/>
  <c r="F9733" i="1"/>
  <c r="E9733" i="1"/>
  <c r="D9733" i="1"/>
  <c r="C9733" i="1"/>
  <c r="B9733" i="1"/>
  <c r="A9733" i="1"/>
  <c r="F9732" i="1"/>
  <c r="E9732" i="1"/>
  <c r="D9732" i="1"/>
  <c r="C9732" i="1"/>
  <c r="B9732" i="1"/>
  <c r="A9732" i="1"/>
  <c r="F9731" i="1"/>
  <c r="E9731" i="1"/>
  <c r="D9731" i="1"/>
  <c r="C9731" i="1"/>
  <c r="B9731" i="1"/>
  <c r="A9731" i="1"/>
  <c r="F9730" i="1"/>
  <c r="E9730" i="1"/>
  <c r="D9730" i="1"/>
  <c r="C9730" i="1"/>
  <c r="B9730" i="1"/>
  <c r="A9730" i="1"/>
  <c r="F9729" i="1"/>
  <c r="E9729" i="1"/>
  <c r="D9729" i="1"/>
  <c r="C9729" i="1"/>
  <c r="B9729" i="1"/>
  <c r="A9729" i="1"/>
  <c r="F9728" i="1"/>
  <c r="E9728" i="1"/>
  <c r="D9728" i="1"/>
  <c r="C9728" i="1"/>
  <c r="B9728" i="1"/>
  <c r="A9728" i="1"/>
  <c r="F9727" i="1"/>
  <c r="E9727" i="1"/>
  <c r="D9727" i="1"/>
  <c r="C9727" i="1"/>
  <c r="B9727" i="1"/>
  <c r="A9727" i="1"/>
  <c r="F9726" i="1"/>
  <c r="E9726" i="1"/>
  <c r="D9726" i="1"/>
  <c r="C9726" i="1"/>
  <c r="B9726" i="1"/>
  <c r="A9726" i="1"/>
  <c r="F9725" i="1"/>
  <c r="E9725" i="1"/>
  <c r="D9725" i="1"/>
  <c r="C9725" i="1"/>
  <c r="B9725" i="1"/>
  <c r="A9725" i="1"/>
  <c r="F9724" i="1"/>
  <c r="E9724" i="1"/>
  <c r="D9724" i="1"/>
  <c r="C9724" i="1"/>
  <c r="B9724" i="1"/>
  <c r="A9724" i="1"/>
  <c r="F9723" i="1"/>
  <c r="E9723" i="1"/>
  <c r="D9723" i="1"/>
  <c r="C9723" i="1"/>
  <c r="B9723" i="1"/>
  <c r="A9723" i="1"/>
  <c r="F9722" i="1"/>
  <c r="E9722" i="1"/>
  <c r="D9722" i="1"/>
  <c r="C9722" i="1"/>
  <c r="B9722" i="1"/>
  <c r="A9722" i="1"/>
  <c r="F9721" i="1"/>
  <c r="E9721" i="1"/>
  <c r="D9721" i="1"/>
  <c r="C9721" i="1"/>
  <c r="B9721" i="1"/>
  <c r="A9721" i="1"/>
  <c r="F9720" i="1"/>
  <c r="E9720" i="1"/>
  <c r="D9720" i="1"/>
  <c r="C9720" i="1"/>
  <c r="B9720" i="1"/>
  <c r="A9720" i="1"/>
  <c r="F9719" i="1"/>
  <c r="E9719" i="1"/>
  <c r="D9719" i="1"/>
  <c r="C9719" i="1"/>
  <c r="B9719" i="1"/>
  <c r="A9719" i="1"/>
  <c r="F9718" i="1"/>
  <c r="E9718" i="1"/>
  <c r="D9718" i="1"/>
  <c r="C9718" i="1"/>
  <c r="B9718" i="1"/>
  <c r="A9718" i="1"/>
  <c r="F9717" i="1"/>
  <c r="E9717" i="1"/>
  <c r="D9717" i="1"/>
  <c r="C9717" i="1"/>
  <c r="B9717" i="1"/>
  <c r="A9717" i="1"/>
  <c r="F9716" i="1"/>
  <c r="E9716" i="1"/>
  <c r="D9716" i="1"/>
  <c r="C9716" i="1"/>
  <c r="B9716" i="1"/>
  <c r="A9716" i="1"/>
  <c r="F9715" i="1"/>
  <c r="E9715" i="1"/>
  <c r="D9715" i="1"/>
  <c r="C9715" i="1"/>
  <c r="B9715" i="1"/>
  <c r="A9715" i="1"/>
  <c r="F9714" i="1"/>
  <c r="E9714" i="1"/>
  <c r="D9714" i="1"/>
  <c r="C9714" i="1"/>
  <c r="B9714" i="1"/>
  <c r="A9714" i="1"/>
  <c r="F9713" i="1"/>
  <c r="E9713" i="1"/>
  <c r="D9713" i="1"/>
  <c r="C9713" i="1"/>
  <c r="B9713" i="1"/>
  <c r="A9713" i="1"/>
  <c r="F9712" i="1"/>
  <c r="E9712" i="1"/>
  <c r="D9712" i="1"/>
  <c r="C9712" i="1"/>
  <c r="B9712" i="1"/>
  <c r="A9712" i="1"/>
  <c r="F9711" i="1"/>
  <c r="E9711" i="1"/>
  <c r="D9711" i="1"/>
  <c r="C9711" i="1"/>
  <c r="B9711" i="1"/>
  <c r="A9711" i="1"/>
  <c r="F9710" i="1"/>
  <c r="E9710" i="1"/>
  <c r="D9710" i="1"/>
  <c r="C9710" i="1"/>
  <c r="B9710" i="1"/>
  <c r="A9710" i="1"/>
  <c r="F9709" i="1"/>
  <c r="E9709" i="1"/>
  <c r="D9709" i="1"/>
  <c r="C9709" i="1"/>
  <c r="B9709" i="1"/>
  <c r="A9709" i="1"/>
  <c r="F9708" i="1"/>
  <c r="E9708" i="1"/>
  <c r="D9708" i="1"/>
  <c r="C9708" i="1"/>
  <c r="B9708" i="1"/>
  <c r="A9708" i="1"/>
  <c r="F9707" i="1"/>
  <c r="E9707" i="1"/>
  <c r="D9707" i="1"/>
  <c r="C9707" i="1"/>
  <c r="B9707" i="1"/>
  <c r="A9707" i="1"/>
  <c r="F9706" i="1"/>
  <c r="E9706" i="1"/>
  <c r="D9706" i="1"/>
  <c r="C9706" i="1"/>
  <c r="B9706" i="1"/>
  <c r="A9706" i="1"/>
  <c r="F9705" i="1"/>
  <c r="E9705" i="1"/>
  <c r="D9705" i="1"/>
  <c r="C9705" i="1"/>
  <c r="B9705" i="1"/>
  <c r="A9705" i="1"/>
  <c r="F9704" i="1"/>
  <c r="E9704" i="1"/>
  <c r="D9704" i="1"/>
  <c r="C9704" i="1"/>
  <c r="B9704" i="1"/>
  <c r="A9704" i="1"/>
  <c r="F9703" i="1"/>
  <c r="E9703" i="1"/>
  <c r="D9703" i="1"/>
  <c r="C9703" i="1"/>
  <c r="B9703" i="1"/>
  <c r="A9703" i="1"/>
  <c r="F9702" i="1"/>
  <c r="E9702" i="1"/>
  <c r="D9702" i="1"/>
  <c r="C9702" i="1"/>
  <c r="B9702" i="1"/>
  <c r="A9702" i="1"/>
  <c r="F9701" i="1"/>
  <c r="E9701" i="1"/>
  <c r="D9701" i="1"/>
  <c r="C9701" i="1"/>
  <c r="B9701" i="1"/>
  <c r="A9701" i="1"/>
  <c r="F9700" i="1"/>
  <c r="E9700" i="1"/>
  <c r="D9700" i="1"/>
  <c r="C9700" i="1"/>
  <c r="B9700" i="1"/>
  <c r="A9700" i="1"/>
  <c r="F9699" i="1"/>
  <c r="E9699" i="1"/>
  <c r="D9699" i="1"/>
  <c r="C9699" i="1"/>
  <c r="B9699" i="1"/>
  <c r="A9699" i="1"/>
  <c r="F9698" i="1"/>
  <c r="E9698" i="1"/>
  <c r="D9698" i="1"/>
  <c r="C9698" i="1"/>
  <c r="B9698" i="1"/>
  <c r="A9698" i="1"/>
  <c r="F9697" i="1"/>
  <c r="E9697" i="1"/>
  <c r="D9697" i="1"/>
  <c r="C9697" i="1"/>
  <c r="B9697" i="1"/>
  <c r="A9697" i="1"/>
  <c r="F9696" i="1"/>
  <c r="E9696" i="1"/>
  <c r="D9696" i="1"/>
  <c r="C9696" i="1"/>
  <c r="B9696" i="1"/>
  <c r="A9696" i="1"/>
  <c r="F9695" i="1"/>
  <c r="E9695" i="1"/>
  <c r="D9695" i="1"/>
  <c r="C9695" i="1"/>
  <c r="B9695" i="1"/>
  <c r="A9695" i="1"/>
  <c r="F9694" i="1"/>
  <c r="E9694" i="1"/>
  <c r="D9694" i="1"/>
  <c r="C9694" i="1"/>
  <c r="B9694" i="1"/>
  <c r="A9694" i="1"/>
  <c r="F9693" i="1"/>
  <c r="E9693" i="1"/>
  <c r="D9693" i="1"/>
  <c r="C9693" i="1"/>
  <c r="B9693" i="1"/>
  <c r="A9693" i="1"/>
  <c r="F9692" i="1"/>
  <c r="E9692" i="1"/>
  <c r="D9692" i="1"/>
  <c r="C9692" i="1"/>
  <c r="B9692" i="1"/>
  <c r="A9692" i="1"/>
  <c r="F9691" i="1"/>
  <c r="E9691" i="1"/>
  <c r="D9691" i="1"/>
  <c r="C9691" i="1"/>
  <c r="B9691" i="1"/>
  <c r="A9691" i="1"/>
  <c r="F9690" i="1"/>
  <c r="E9690" i="1"/>
  <c r="D9690" i="1"/>
  <c r="C9690" i="1"/>
  <c r="B9690" i="1"/>
  <c r="A9690" i="1"/>
  <c r="F9689" i="1"/>
  <c r="E9689" i="1"/>
  <c r="D9689" i="1"/>
  <c r="C9689" i="1"/>
  <c r="B9689" i="1"/>
  <c r="A9689" i="1"/>
  <c r="F9688" i="1"/>
  <c r="E9688" i="1"/>
  <c r="D9688" i="1"/>
  <c r="C9688" i="1"/>
  <c r="B9688" i="1"/>
  <c r="A9688" i="1"/>
  <c r="F9687" i="1"/>
  <c r="E9687" i="1"/>
  <c r="D9687" i="1"/>
  <c r="C9687" i="1"/>
  <c r="B9687" i="1"/>
  <c r="A9687" i="1"/>
  <c r="F9686" i="1"/>
  <c r="E9686" i="1"/>
  <c r="D9686" i="1"/>
  <c r="C9686" i="1"/>
  <c r="B9686" i="1"/>
  <c r="A9686" i="1"/>
  <c r="F9685" i="1"/>
  <c r="E9685" i="1"/>
  <c r="D9685" i="1"/>
  <c r="C9685" i="1"/>
  <c r="B9685" i="1"/>
  <c r="A9685" i="1"/>
  <c r="F9684" i="1"/>
  <c r="E9684" i="1"/>
  <c r="D9684" i="1"/>
  <c r="C9684" i="1"/>
  <c r="B9684" i="1"/>
  <c r="A9684" i="1"/>
  <c r="F9683" i="1"/>
  <c r="E9683" i="1"/>
  <c r="D9683" i="1"/>
  <c r="C9683" i="1"/>
  <c r="B9683" i="1"/>
  <c r="A9683" i="1"/>
  <c r="F9682" i="1"/>
  <c r="E9682" i="1"/>
  <c r="D9682" i="1"/>
  <c r="C9682" i="1"/>
  <c r="B9682" i="1"/>
  <c r="A9682" i="1"/>
  <c r="F9681" i="1"/>
  <c r="E9681" i="1"/>
  <c r="D9681" i="1"/>
  <c r="C9681" i="1"/>
  <c r="B9681" i="1"/>
  <c r="A9681" i="1"/>
  <c r="F9680" i="1"/>
  <c r="E9680" i="1"/>
  <c r="D9680" i="1"/>
  <c r="C9680" i="1"/>
  <c r="B9680" i="1"/>
  <c r="A9680" i="1"/>
  <c r="F9679" i="1"/>
  <c r="E9679" i="1"/>
  <c r="D9679" i="1"/>
  <c r="C9679" i="1"/>
  <c r="B9679" i="1"/>
  <c r="A9679" i="1"/>
  <c r="F9678" i="1"/>
  <c r="E9678" i="1"/>
  <c r="D9678" i="1"/>
  <c r="C9678" i="1"/>
  <c r="B9678" i="1"/>
  <c r="A9678" i="1"/>
  <c r="F9677" i="1"/>
  <c r="E9677" i="1"/>
  <c r="D9677" i="1"/>
  <c r="C9677" i="1"/>
  <c r="B9677" i="1"/>
  <c r="A9677" i="1"/>
  <c r="F9676" i="1"/>
  <c r="E9676" i="1"/>
  <c r="D9676" i="1"/>
  <c r="C9676" i="1"/>
  <c r="B9676" i="1"/>
  <c r="A9676" i="1"/>
  <c r="F9675" i="1"/>
  <c r="E9675" i="1"/>
  <c r="D9675" i="1"/>
  <c r="C9675" i="1"/>
  <c r="B9675" i="1"/>
  <c r="A9675" i="1"/>
  <c r="F9674" i="1"/>
  <c r="E9674" i="1"/>
  <c r="D9674" i="1"/>
  <c r="C9674" i="1"/>
  <c r="B9674" i="1"/>
  <c r="A9674" i="1"/>
  <c r="F9673" i="1"/>
  <c r="E9673" i="1"/>
  <c r="D9673" i="1"/>
  <c r="C9673" i="1"/>
  <c r="B9673" i="1"/>
  <c r="A9673" i="1"/>
  <c r="F9672" i="1"/>
  <c r="E9672" i="1"/>
  <c r="D9672" i="1"/>
  <c r="C9672" i="1"/>
  <c r="B9672" i="1"/>
  <c r="A9672" i="1"/>
  <c r="F9671" i="1"/>
  <c r="E9671" i="1"/>
  <c r="D9671" i="1"/>
  <c r="C9671" i="1"/>
  <c r="B9671" i="1"/>
  <c r="A9671" i="1"/>
  <c r="F9670" i="1"/>
  <c r="E9670" i="1"/>
  <c r="D9670" i="1"/>
  <c r="C9670" i="1"/>
  <c r="B9670" i="1"/>
  <c r="A9670" i="1"/>
  <c r="F9669" i="1"/>
  <c r="E9669" i="1"/>
  <c r="D9669" i="1"/>
  <c r="C9669" i="1"/>
  <c r="B9669" i="1"/>
  <c r="A9669" i="1"/>
  <c r="F9668" i="1"/>
  <c r="E9668" i="1"/>
  <c r="D9668" i="1"/>
  <c r="C9668" i="1"/>
  <c r="B9668" i="1"/>
  <c r="A9668" i="1"/>
  <c r="F9667" i="1"/>
  <c r="E9667" i="1"/>
  <c r="D9667" i="1"/>
  <c r="C9667" i="1"/>
  <c r="B9667" i="1"/>
  <c r="A9667" i="1"/>
  <c r="F9666" i="1"/>
  <c r="E9666" i="1"/>
  <c r="D9666" i="1"/>
  <c r="C9666" i="1"/>
  <c r="B9666" i="1"/>
  <c r="A9666" i="1"/>
  <c r="F9665" i="1"/>
  <c r="E9665" i="1"/>
  <c r="D9665" i="1"/>
  <c r="C9665" i="1"/>
  <c r="B9665" i="1"/>
  <c r="A9665" i="1"/>
  <c r="F9664" i="1"/>
  <c r="E9664" i="1"/>
  <c r="D9664" i="1"/>
  <c r="C9664" i="1"/>
  <c r="B9664" i="1"/>
  <c r="A9664" i="1"/>
  <c r="F9663" i="1"/>
  <c r="E9663" i="1"/>
  <c r="D9663" i="1"/>
  <c r="C9663" i="1"/>
  <c r="B9663" i="1"/>
  <c r="A9663" i="1"/>
  <c r="F9662" i="1"/>
  <c r="E9662" i="1"/>
  <c r="D9662" i="1"/>
  <c r="C9662" i="1"/>
  <c r="B9662" i="1"/>
  <c r="A9662" i="1"/>
  <c r="F9661" i="1"/>
  <c r="E9661" i="1"/>
  <c r="D9661" i="1"/>
  <c r="C9661" i="1"/>
  <c r="B9661" i="1"/>
  <c r="A9661" i="1"/>
  <c r="F9660" i="1"/>
  <c r="E9660" i="1"/>
  <c r="D9660" i="1"/>
  <c r="C9660" i="1"/>
  <c r="B9660" i="1"/>
  <c r="A9660" i="1"/>
  <c r="F9659" i="1"/>
  <c r="E9659" i="1"/>
  <c r="D9659" i="1"/>
  <c r="C9659" i="1"/>
  <c r="B9659" i="1"/>
  <c r="A9659" i="1"/>
  <c r="F9658" i="1"/>
  <c r="E9658" i="1"/>
  <c r="D9658" i="1"/>
  <c r="C9658" i="1"/>
  <c r="B9658" i="1"/>
  <c r="A9658" i="1"/>
  <c r="F9657" i="1"/>
  <c r="E9657" i="1"/>
  <c r="D9657" i="1"/>
  <c r="C9657" i="1"/>
  <c r="B9657" i="1"/>
  <c r="A9657" i="1"/>
  <c r="F9656" i="1"/>
  <c r="E9656" i="1"/>
  <c r="D9656" i="1"/>
  <c r="C9656" i="1"/>
  <c r="B9656" i="1"/>
  <c r="A9656" i="1"/>
  <c r="F9655" i="1"/>
  <c r="E9655" i="1"/>
  <c r="D9655" i="1"/>
  <c r="C9655" i="1"/>
  <c r="B9655" i="1"/>
  <c r="A9655" i="1"/>
  <c r="F9654" i="1"/>
  <c r="E9654" i="1"/>
  <c r="D9654" i="1"/>
  <c r="C9654" i="1"/>
  <c r="B9654" i="1"/>
  <c r="A9654" i="1"/>
  <c r="F9653" i="1"/>
  <c r="E9653" i="1"/>
  <c r="D9653" i="1"/>
  <c r="C9653" i="1"/>
  <c r="B9653" i="1"/>
  <c r="A9653" i="1"/>
  <c r="F9652" i="1"/>
  <c r="E9652" i="1"/>
  <c r="D9652" i="1"/>
  <c r="C9652" i="1"/>
  <c r="B9652" i="1"/>
  <c r="A9652" i="1"/>
  <c r="F9651" i="1"/>
  <c r="E9651" i="1"/>
  <c r="D9651" i="1"/>
  <c r="C9651" i="1"/>
  <c r="B9651" i="1"/>
  <c r="A9651" i="1"/>
  <c r="F9650" i="1"/>
  <c r="E9650" i="1"/>
  <c r="D9650" i="1"/>
  <c r="C9650" i="1"/>
  <c r="B9650" i="1"/>
  <c r="A9650" i="1"/>
  <c r="F9649" i="1"/>
  <c r="E9649" i="1"/>
  <c r="D9649" i="1"/>
  <c r="C9649" i="1"/>
  <c r="B9649" i="1"/>
  <c r="A9649" i="1"/>
  <c r="F9648" i="1"/>
  <c r="E9648" i="1"/>
  <c r="D9648" i="1"/>
  <c r="C9648" i="1"/>
  <c r="B9648" i="1"/>
  <c r="A9648" i="1"/>
  <c r="F9647" i="1"/>
  <c r="E9647" i="1"/>
  <c r="D9647" i="1"/>
  <c r="C9647" i="1"/>
  <c r="B9647" i="1"/>
  <c r="A9647" i="1"/>
  <c r="F9646" i="1"/>
  <c r="E9646" i="1"/>
  <c r="D9646" i="1"/>
  <c r="C9646" i="1"/>
  <c r="B9646" i="1"/>
  <c r="A9646" i="1"/>
  <c r="F9645" i="1"/>
  <c r="E9645" i="1"/>
  <c r="D9645" i="1"/>
  <c r="C9645" i="1"/>
  <c r="B9645" i="1"/>
  <c r="A9645" i="1"/>
  <c r="F9644" i="1"/>
  <c r="E9644" i="1"/>
  <c r="D9644" i="1"/>
  <c r="C9644" i="1"/>
  <c r="B9644" i="1"/>
  <c r="A9644" i="1"/>
  <c r="F9643" i="1"/>
  <c r="E9643" i="1"/>
  <c r="D9643" i="1"/>
  <c r="C9643" i="1"/>
  <c r="B9643" i="1"/>
  <c r="A9643" i="1"/>
  <c r="F9642" i="1"/>
  <c r="E9642" i="1"/>
  <c r="D9642" i="1"/>
  <c r="C9642" i="1"/>
  <c r="B9642" i="1"/>
  <c r="A9642" i="1"/>
  <c r="F9641" i="1"/>
  <c r="E9641" i="1"/>
  <c r="D9641" i="1"/>
  <c r="C9641" i="1"/>
  <c r="B9641" i="1"/>
  <c r="A9641" i="1"/>
  <c r="F9640" i="1"/>
  <c r="E9640" i="1"/>
  <c r="D9640" i="1"/>
  <c r="C9640" i="1"/>
  <c r="B9640" i="1"/>
  <c r="A9640" i="1"/>
  <c r="F9639" i="1"/>
  <c r="E9639" i="1"/>
  <c r="D9639" i="1"/>
  <c r="C9639" i="1"/>
  <c r="B9639" i="1"/>
  <c r="A9639" i="1"/>
  <c r="F9638" i="1"/>
  <c r="E9638" i="1"/>
  <c r="D9638" i="1"/>
  <c r="C9638" i="1"/>
  <c r="B9638" i="1"/>
  <c r="A9638" i="1"/>
  <c r="F9637" i="1"/>
  <c r="E9637" i="1"/>
  <c r="D9637" i="1"/>
  <c r="C9637" i="1"/>
  <c r="B9637" i="1"/>
  <c r="A9637" i="1"/>
  <c r="F9636" i="1"/>
  <c r="E9636" i="1"/>
  <c r="D9636" i="1"/>
  <c r="C9636" i="1"/>
  <c r="B9636" i="1"/>
  <c r="A9636" i="1"/>
  <c r="F9635" i="1"/>
  <c r="E9635" i="1"/>
  <c r="D9635" i="1"/>
  <c r="C9635" i="1"/>
  <c r="B9635" i="1"/>
  <c r="A9635" i="1"/>
  <c r="F9634" i="1"/>
  <c r="E9634" i="1"/>
  <c r="D9634" i="1"/>
  <c r="C9634" i="1"/>
  <c r="B9634" i="1"/>
  <c r="A9634" i="1"/>
  <c r="F9633" i="1"/>
  <c r="E9633" i="1"/>
  <c r="D9633" i="1"/>
  <c r="C9633" i="1"/>
  <c r="B9633" i="1"/>
  <c r="A9633" i="1"/>
  <c r="F9632" i="1"/>
  <c r="E9632" i="1"/>
  <c r="D9632" i="1"/>
  <c r="C9632" i="1"/>
  <c r="B9632" i="1"/>
  <c r="A9632" i="1"/>
  <c r="F9631" i="1"/>
  <c r="E9631" i="1"/>
  <c r="D9631" i="1"/>
  <c r="C9631" i="1"/>
  <c r="B9631" i="1"/>
  <c r="A9631" i="1"/>
  <c r="F9630" i="1"/>
  <c r="E9630" i="1"/>
  <c r="D9630" i="1"/>
  <c r="C9630" i="1"/>
  <c r="B9630" i="1"/>
  <c r="A9630" i="1"/>
  <c r="F9629" i="1"/>
  <c r="E9629" i="1"/>
  <c r="D9629" i="1"/>
  <c r="C9629" i="1"/>
  <c r="B9629" i="1"/>
  <c r="A9629" i="1"/>
  <c r="F9628" i="1"/>
  <c r="E9628" i="1"/>
  <c r="D9628" i="1"/>
  <c r="C9628" i="1"/>
  <c r="B9628" i="1"/>
  <c r="A9628" i="1"/>
  <c r="F9627" i="1"/>
  <c r="E9627" i="1"/>
  <c r="D9627" i="1"/>
  <c r="C9627" i="1"/>
  <c r="B9627" i="1"/>
  <c r="A9627" i="1"/>
  <c r="F9626" i="1"/>
  <c r="E9626" i="1"/>
  <c r="D9626" i="1"/>
  <c r="C9626" i="1"/>
  <c r="B9626" i="1"/>
  <c r="A9626" i="1"/>
  <c r="F9625" i="1"/>
  <c r="E9625" i="1"/>
  <c r="D9625" i="1"/>
  <c r="C9625" i="1"/>
  <c r="B9625" i="1"/>
  <c r="A9625" i="1"/>
  <c r="F9624" i="1"/>
  <c r="E9624" i="1"/>
  <c r="D9624" i="1"/>
  <c r="C9624" i="1"/>
  <c r="B9624" i="1"/>
  <c r="A9624" i="1"/>
  <c r="F9623" i="1"/>
  <c r="E9623" i="1"/>
  <c r="D9623" i="1"/>
  <c r="C9623" i="1"/>
  <c r="B9623" i="1"/>
  <c r="A9623" i="1"/>
  <c r="F9622" i="1"/>
  <c r="E9622" i="1"/>
  <c r="D9622" i="1"/>
  <c r="C9622" i="1"/>
  <c r="B9622" i="1"/>
  <c r="A9622" i="1"/>
  <c r="F9621" i="1"/>
  <c r="E9621" i="1"/>
  <c r="D9621" i="1"/>
  <c r="C9621" i="1"/>
  <c r="B9621" i="1"/>
  <c r="A9621" i="1"/>
  <c r="F9620" i="1"/>
  <c r="E9620" i="1"/>
  <c r="D9620" i="1"/>
  <c r="C9620" i="1"/>
  <c r="B9620" i="1"/>
  <c r="A9620" i="1"/>
  <c r="F9619" i="1"/>
  <c r="E9619" i="1"/>
  <c r="D9619" i="1"/>
  <c r="C9619" i="1"/>
  <c r="B9619" i="1"/>
  <c r="A9619" i="1"/>
  <c r="F9618" i="1"/>
  <c r="E9618" i="1"/>
  <c r="D9618" i="1"/>
  <c r="C9618" i="1"/>
  <c r="B9618" i="1"/>
  <c r="A9618" i="1"/>
  <c r="F9617" i="1"/>
  <c r="E9617" i="1"/>
  <c r="D9617" i="1"/>
  <c r="C9617" i="1"/>
  <c r="B9617" i="1"/>
  <c r="A9617" i="1"/>
  <c r="F9616" i="1"/>
  <c r="E9616" i="1"/>
  <c r="D9616" i="1"/>
  <c r="C9616" i="1"/>
  <c r="B9616" i="1"/>
  <c r="A9616" i="1"/>
  <c r="F9615" i="1"/>
  <c r="E9615" i="1"/>
  <c r="D9615" i="1"/>
  <c r="C9615" i="1"/>
  <c r="B9615" i="1"/>
  <c r="A9615" i="1"/>
  <c r="F9614" i="1"/>
  <c r="E9614" i="1"/>
  <c r="D9614" i="1"/>
  <c r="C9614" i="1"/>
  <c r="B9614" i="1"/>
  <c r="A9614" i="1"/>
  <c r="F9613" i="1"/>
  <c r="E9613" i="1"/>
  <c r="D9613" i="1"/>
  <c r="C9613" i="1"/>
  <c r="B9613" i="1"/>
  <c r="A9613" i="1"/>
  <c r="F9612" i="1"/>
  <c r="E9612" i="1"/>
  <c r="D9612" i="1"/>
  <c r="C9612" i="1"/>
  <c r="B9612" i="1"/>
  <c r="A9612" i="1"/>
  <c r="F9611" i="1"/>
  <c r="E9611" i="1"/>
  <c r="D9611" i="1"/>
  <c r="C9611" i="1"/>
  <c r="B9611" i="1"/>
  <c r="A9611" i="1"/>
  <c r="F9610" i="1"/>
  <c r="E9610" i="1"/>
  <c r="D9610" i="1"/>
  <c r="C9610" i="1"/>
  <c r="B9610" i="1"/>
  <c r="A9610" i="1"/>
  <c r="F9609" i="1"/>
  <c r="E9609" i="1"/>
  <c r="D9609" i="1"/>
  <c r="C9609" i="1"/>
  <c r="B9609" i="1"/>
  <c r="A9609" i="1"/>
  <c r="F9608" i="1"/>
  <c r="E9608" i="1"/>
  <c r="D9608" i="1"/>
  <c r="C9608" i="1"/>
  <c r="B9608" i="1"/>
  <c r="A9608" i="1"/>
  <c r="F9607" i="1"/>
  <c r="E9607" i="1"/>
  <c r="D9607" i="1"/>
  <c r="C9607" i="1"/>
  <c r="B9607" i="1"/>
  <c r="A9607" i="1"/>
  <c r="F9606" i="1"/>
  <c r="E9606" i="1"/>
  <c r="D9606" i="1"/>
  <c r="C9606" i="1"/>
  <c r="B9606" i="1"/>
  <c r="A9606" i="1"/>
  <c r="F9605" i="1"/>
  <c r="E9605" i="1"/>
  <c r="D9605" i="1"/>
  <c r="C9605" i="1"/>
  <c r="B9605" i="1"/>
  <c r="A9605" i="1"/>
  <c r="F9604" i="1"/>
  <c r="E9604" i="1"/>
  <c r="D9604" i="1"/>
  <c r="C9604" i="1"/>
  <c r="B9604" i="1"/>
  <c r="A9604" i="1"/>
  <c r="F9603" i="1"/>
  <c r="E9603" i="1"/>
  <c r="D9603" i="1"/>
  <c r="C9603" i="1"/>
  <c r="B9603" i="1"/>
  <c r="A9603" i="1"/>
  <c r="F9602" i="1"/>
  <c r="E9602" i="1"/>
  <c r="D9602" i="1"/>
  <c r="C9602" i="1"/>
  <c r="B9602" i="1"/>
  <c r="A9602" i="1"/>
  <c r="F9601" i="1"/>
  <c r="E9601" i="1"/>
  <c r="D9601" i="1"/>
  <c r="C9601" i="1"/>
  <c r="B9601" i="1"/>
  <c r="A9601" i="1"/>
  <c r="F9600" i="1"/>
  <c r="E9600" i="1"/>
  <c r="D9600" i="1"/>
  <c r="C9600" i="1"/>
  <c r="B9600" i="1"/>
  <c r="A9600" i="1"/>
  <c r="F9599" i="1"/>
  <c r="E9599" i="1"/>
  <c r="D9599" i="1"/>
  <c r="C9599" i="1"/>
  <c r="B9599" i="1"/>
  <c r="A9599" i="1"/>
  <c r="F9598" i="1"/>
  <c r="E9598" i="1"/>
  <c r="D9598" i="1"/>
  <c r="C9598" i="1"/>
  <c r="B9598" i="1"/>
  <c r="A9598" i="1"/>
  <c r="F9597" i="1"/>
  <c r="E9597" i="1"/>
  <c r="D9597" i="1"/>
  <c r="C9597" i="1"/>
  <c r="B9597" i="1"/>
  <c r="A9597" i="1"/>
  <c r="F9596" i="1"/>
  <c r="E9596" i="1"/>
  <c r="D9596" i="1"/>
  <c r="C9596" i="1"/>
  <c r="B9596" i="1"/>
  <c r="A9596" i="1"/>
  <c r="F9595" i="1"/>
  <c r="E9595" i="1"/>
  <c r="D9595" i="1"/>
  <c r="C9595" i="1"/>
  <c r="B9595" i="1"/>
  <c r="A9595" i="1"/>
  <c r="F9594" i="1"/>
  <c r="E9594" i="1"/>
  <c r="D9594" i="1"/>
  <c r="C9594" i="1"/>
  <c r="B9594" i="1"/>
  <c r="A9594" i="1"/>
  <c r="F9593" i="1"/>
  <c r="E9593" i="1"/>
  <c r="D9593" i="1"/>
  <c r="C9593" i="1"/>
  <c r="B9593" i="1"/>
  <c r="A9593" i="1"/>
  <c r="F9592" i="1"/>
  <c r="E9592" i="1"/>
  <c r="D9592" i="1"/>
  <c r="C9592" i="1"/>
  <c r="B9592" i="1"/>
  <c r="A9592" i="1"/>
  <c r="F9591" i="1"/>
  <c r="E9591" i="1"/>
  <c r="D9591" i="1"/>
  <c r="C9591" i="1"/>
  <c r="B9591" i="1"/>
  <c r="A9591" i="1"/>
  <c r="F9590" i="1"/>
  <c r="E9590" i="1"/>
  <c r="D9590" i="1"/>
  <c r="C9590" i="1"/>
  <c r="B9590" i="1"/>
  <c r="A9590" i="1"/>
  <c r="F9589" i="1"/>
  <c r="E9589" i="1"/>
  <c r="D9589" i="1"/>
  <c r="C9589" i="1"/>
  <c r="B9589" i="1"/>
  <c r="A9589" i="1"/>
  <c r="F9588" i="1"/>
  <c r="E9588" i="1"/>
  <c r="D9588" i="1"/>
  <c r="C9588" i="1"/>
  <c r="B9588" i="1"/>
  <c r="A9588" i="1"/>
  <c r="F9587" i="1"/>
  <c r="E9587" i="1"/>
  <c r="D9587" i="1"/>
  <c r="C9587" i="1"/>
  <c r="B9587" i="1"/>
  <c r="A9587" i="1"/>
  <c r="F9586" i="1"/>
  <c r="E9586" i="1"/>
  <c r="D9586" i="1"/>
  <c r="C9586" i="1"/>
  <c r="B9586" i="1"/>
  <c r="A9586" i="1"/>
  <c r="F9585" i="1"/>
  <c r="E9585" i="1"/>
  <c r="D9585" i="1"/>
  <c r="C9585" i="1"/>
  <c r="B9585" i="1"/>
  <c r="A9585" i="1"/>
  <c r="F9584" i="1"/>
  <c r="E9584" i="1"/>
  <c r="D9584" i="1"/>
  <c r="C9584" i="1"/>
  <c r="B9584" i="1"/>
  <c r="A9584" i="1"/>
  <c r="F9583" i="1"/>
  <c r="E9583" i="1"/>
  <c r="D9583" i="1"/>
  <c r="C9583" i="1"/>
  <c r="B9583" i="1"/>
  <c r="A9583" i="1"/>
  <c r="F9582" i="1"/>
  <c r="E9582" i="1"/>
  <c r="D9582" i="1"/>
  <c r="C9582" i="1"/>
  <c r="B9582" i="1"/>
  <c r="A9582" i="1"/>
  <c r="F9581" i="1"/>
  <c r="E9581" i="1"/>
  <c r="D9581" i="1"/>
  <c r="C9581" i="1"/>
  <c r="B9581" i="1"/>
  <c r="A9581" i="1"/>
  <c r="F9580" i="1"/>
  <c r="E9580" i="1"/>
  <c r="D9580" i="1"/>
  <c r="C9580" i="1"/>
  <c r="B9580" i="1"/>
  <c r="A9580" i="1"/>
  <c r="F9579" i="1"/>
  <c r="E9579" i="1"/>
  <c r="D9579" i="1"/>
  <c r="C9579" i="1"/>
  <c r="B9579" i="1"/>
  <c r="A9579" i="1"/>
  <c r="F9578" i="1"/>
  <c r="E9578" i="1"/>
  <c r="D9578" i="1"/>
  <c r="C9578" i="1"/>
  <c r="B9578" i="1"/>
  <c r="A9578" i="1"/>
  <c r="F9577" i="1"/>
  <c r="E9577" i="1"/>
  <c r="D9577" i="1"/>
  <c r="C9577" i="1"/>
  <c r="B9577" i="1"/>
  <c r="A9577" i="1"/>
  <c r="F9576" i="1"/>
  <c r="E9576" i="1"/>
  <c r="D9576" i="1"/>
  <c r="C9576" i="1"/>
  <c r="B9576" i="1"/>
  <c r="A9576" i="1"/>
  <c r="F9575" i="1"/>
  <c r="E9575" i="1"/>
  <c r="D9575" i="1"/>
  <c r="C9575" i="1"/>
  <c r="B9575" i="1"/>
  <c r="A9575" i="1"/>
  <c r="F9574" i="1"/>
  <c r="E9574" i="1"/>
  <c r="D9574" i="1"/>
  <c r="C9574" i="1"/>
  <c r="B9574" i="1"/>
  <c r="A9574" i="1"/>
  <c r="F9573" i="1"/>
  <c r="E9573" i="1"/>
  <c r="D9573" i="1"/>
  <c r="C9573" i="1"/>
  <c r="B9573" i="1"/>
  <c r="A9573" i="1"/>
  <c r="F9572" i="1"/>
  <c r="E9572" i="1"/>
  <c r="D9572" i="1"/>
  <c r="C9572" i="1"/>
  <c r="B9572" i="1"/>
  <c r="A9572" i="1"/>
  <c r="F9571" i="1"/>
  <c r="E9571" i="1"/>
  <c r="D9571" i="1"/>
  <c r="C9571" i="1"/>
  <c r="B9571" i="1"/>
  <c r="A9571" i="1"/>
  <c r="F9570" i="1"/>
  <c r="E9570" i="1"/>
  <c r="D9570" i="1"/>
  <c r="C9570" i="1"/>
  <c r="B9570" i="1"/>
  <c r="A9570" i="1"/>
  <c r="F9569" i="1"/>
  <c r="E9569" i="1"/>
  <c r="D9569" i="1"/>
  <c r="C9569" i="1"/>
  <c r="B9569" i="1"/>
  <c r="A9569" i="1"/>
  <c r="F9568" i="1"/>
  <c r="E9568" i="1"/>
  <c r="D9568" i="1"/>
  <c r="C9568" i="1"/>
  <c r="B9568" i="1"/>
  <c r="A9568" i="1"/>
  <c r="F9567" i="1"/>
  <c r="E9567" i="1"/>
  <c r="D9567" i="1"/>
  <c r="C9567" i="1"/>
  <c r="B9567" i="1"/>
  <c r="A9567" i="1"/>
  <c r="F9566" i="1"/>
  <c r="E9566" i="1"/>
  <c r="D9566" i="1"/>
  <c r="C9566" i="1"/>
  <c r="B9566" i="1"/>
  <c r="A9566" i="1"/>
  <c r="F9565" i="1"/>
  <c r="E9565" i="1"/>
  <c r="D9565" i="1"/>
  <c r="C9565" i="1"/>
  <c r="B9565" i="1"/>
  <c r="A9565" i="1"/>
  <c r="F9564" i="1"/>
  <c r="E9564" i="1"/>
  <c r="D9564" i="1"/>
  <c r="C9564" i="1"/>
  <c r="B9564" i="1"/>
  <c r="A9564" i="1"/>
  <c r="F9563" i="1"/>
  <c r="E9563" i="1"/>
  <c r="D9563" i="1"/>
  <c r="C9563" i="1"/>
  <c r="B9563" i="1"/>
  <c r="A9563" i="1"/>
  <c r="F9562" i="1"/>
  <c r="E9562" i="1"/>
  <c r="D9562" i="1"/>
  <c r="C9562" i="1"/>
  <c r="B9562" i="1"/>
  <c r="A9562" i="1"/>
  <c r="F9561" i="1"/>
  <c r="E9561" i="1"/>
  <c r="D9561" i="1"/>
  <c r="C9561" i="1"/>
  <c r="B9561" i="1"/>
  <c r="A9561" i="1"/>
  <c r="F9560" i="1"/>
  <c r="E9560" i="1"/>
  <c r="D9560" i="1"/>
  <c r="C9560" i="1"/>
  <c r="B9560" i="1"/>
  <c r="A9560" i="1"/>
  <c r="F9559" i="1"/>
  <c r="E9559" i="1"/>
  <c r="D9559" i="1"/>
  <c r="C9559" i="1"/>
  <c r="B9559" i="1"/>
  <c r="A9559" i="1"/>
  <c r="F9558" i="1"/>
  <c r="E9558" i="1"/>
  <c r="D9558" i="1"/>
  <c r="C9558" i="1"/>
  <c r="B9558" i="1"/>
  <c r="A9558" i="1"/>
  <c r="F9557" i="1"/>
  <c r="E9557" i="1"/>
  <c r="D9557" i="1"/>
  <c r="C9557" i="1"/>
  <c r="B9557" i="1"/>
  <c r="A9557" i="1"/>
  <c r="F9556" i="1"/>
  <c r="E9556" i="1"/>
  <c r="D9556" i="1"/>
  <c r="C9556" i="1"/>
  <c r="B9556" i="1"/>
  <c r="A9556" i="1"/>
  <c r="F9555" i="1"/>
  <c r="E9555" i="1"/>
  <c r="D9555" i="1"/>
  <c r="C9555" i="1"/>
  <c r="B9555" i="1"/>
  <c r="A9555" i="1"/>
  <c r="F9554" i="1"/>
  <c r="E9554" i="1"/>
  <c r="D9554" i="1"/>
  <c r="C9554" i="1"/>
  <c r="B9554" i="1"/>
  <c r="A9554" i="1"/>
  <c r="F9553" i="1"/>
  <c r="E9553" i="1"/>
  <c r="D9553" i="1"/>
  <c r="C9553" i="1"/>
  <c r="B9553" i="1"/>
  <c r="A9553" i="1"/>
  <c r="F9552" i="1"/>
  <c r="E9552" i="1"/>
  <c r="D9552" i="1"/>
  <c r="C9552" i="1"/>
  <c r="B9552" i="1"/>
  <c r="A9552" i="1"/>
  <c r="F9551" i="1"/>
  <c r="E9551" i="1"/>
  <c r="D9551" i="1"/>
  <c r="C9551" i="1"/>
  <c r="B9551" i="1"/>
  <c r="A9551" i="1"/>
  <c r="F9550" i="1"/>
  <c r="E9550" i="1"/>
  <c r="D9550" i="1"/>
  <c r="C9550" i="1"/>
  <c r="B9550" i="1"/>
  <c r="A9550" i="1"/>
  <c r="F9549" i="1"/>
  <c r="E9549" i="1"/>
  <c r="D9549" i="1"/>
  <c r="C9549" i="1"/>
  <c r="B9549" i="1"/>
  <c r="A9549" i="1"/>
  <c r="F9548" i="1"/>
  <c r="E9548" i="1"/>
  <c r="D9548" i="1"/>
  <c r="C9548" i="1"/>
  <c r="B9548" i="1"/>
  <c r="A9548" i="1"/>
  <c r="F9547" i="1"/>
  <c r="E9547" i="1"/>
  <c r="D9547" i="1"/>
  <c r="C9547" i="1"/>
  <c r="B9547" i="1"/>
  <c r="A9547" i="1"/>
  <c r="F9546" i="1"/>
  <c r="E9546" i="1"/>
  <c r="D9546" i="1"/>
  <c r="C9546" i="1"/>
  <c r="B9546" i="1"/>
  <c r="A9546" i="1"/>
  <c r="F9545" i="1"/>
  <c r="E9545" i="1"/>
  <c r="D9545" i="1"/>
  <c r="C9545" i="1"/>
  <c r="B9545" i="1"/>
  <c r="A9545" i="1"/>
  <c r="F9544" i="1"/>
  <c r="E9544" i="1"/>
  <c r="D9544" i="1"/>
  <c r="C9544" i="1"/>
  <c r="B9544" i="1"/>
  <c r="A9544" i="1"/>
  <c r="F9543" i="1"/>
  <c r="E9543" i="1"/>
  <c r="D9543" i="1"/>
  <c r="C9543" i="1"/>
  <c r="B9543" i="1"/>
  <c r="A9543" i="1"/>
  <c r="F9542" i="1"/>
  <c r="E9542" i="1"/>
  <c r="D9542" i="1"/>
  <c r="C9542" i="1"/>
  <c r="B9542" i="1"/>
  <c r="A9542" i="1"/>
  <c r="F9541" i="1"/>
  <c r="E9541" i="1"/>
  <c r="D9541" i="1"/>
  <c r="C9541" i="1"/>
  <c r="B9541" i="1"/>
  <c r="A9541" i="1"/>
  <c r="F9540" i="1"/>
  <c r="E9540" i="1"/>
  <c r="D9540" i="1"/>
  <c r="C9540" i="1"/>
  <c r="B9540" i="1"/>
  <c r="A9540" i="1"/>
  <c r="F9539" i="1"/>
  <c r="E9539" i="1"/>
  <c r="D9539" i="1"/>
  <c r="C9539" i="1"/>
  <c r="B9539" i="1"/>
  <c r="A9539" i="1"/>
  <c r="F9538" i="1"/>
  <c r="E9538" i="1"/>
  <c r="D9538" i="1"/>
  <c r="C9538" i="1"/>
  <c r="B9538" i="1"/>
  <c r="A9538" i="1"/>
  <c r="F9537" i="1"/>
  <c r="E9537" i="1"/>
  <c r="D9537" i="1"/>
  <c r="C9537" i="1"/>
  <c r="B9537" i="1"/>
  <c r="A9537" i="1"/>
  <c r="F9536" i="1"/>
  <c r="E9536" i="1"/>
  <c r="D9536" i="1"/>
  <c r="C9536" i="1"/>
  <c r="B9536" i="1"/>
  <c r="A9536" i="1"/>
  <c r="F9535" i="1"/>
  <c r="E9535" i="1"/>
  <c r="D9535" i="1"/>
  <c r="C9535" i="1"/>
  <c r="B9535" i="1"/>
  <c r="A9535" i="1"/>
  <c r="F9534" i="1"/>
  <c r="E9534" i="1"/>
  <c r="D9534" i="1"/>
  <c r="C9534" i="1"/>
  <c r="B9534" i="1"/>
  <c r="A9534" i="1"/>
  <c r="F9533" i="1"/>
  <c r="E9533" i="1"/>
  <c r="D9533" i="1"/>
  <c r="C9533" i="1"/>
  <c r="B9533" i="1"/>
  <c r="A9533" i="1"/>
  <c r="F9532" i="1"/>
  <c r="E9532" i="1"/>
  <c r="D9532" i="1"/>
  <c r="C9532" i="1"/>
  <c r="B9532" i="1"/>
  <c r="A9532" i="1"/>
  <c r="F9531" i="1"/>
  <c r="E9531" i="1"/>
  <c r="D9531" i="1"/>
  <c r="C9531" i="1"/>
  <c r="B9531" i="1"/>
  <c r="A9531" i="1"/>
  <c r="F9530" i="1"/>
  <c r="E9530" i="1"/>
  <c r="D9530" i="1"/>
  <c r="C9530" i="1"/>
  <c r="B9530" i="1"/>
  <c r="A9530" i="1"/>
  <c r="F9529" i="1"/>
  <c r="E9529" i="1"/>
  <c r="D9529" i="1"/>
  <c r="C9529" i="1"/>
  <c r="B9529" i="1"/>
  <c r="A9529" i="1"/>
  <c r="F9528" i="1"/>
  <c r="E9528" i="1"/>
  <c r="D9528" i="1"/>
  <c r="C9528" i="1"/>
  <c r="B9528" i="1"/>
  <c r="A9528" i="1"/>
  <c r="F9527" i="1"/>
  <c r="E9527" i="1"/>
  <c r="D9527" i="1"/>
  <c r="C9527" i="1"/>
  <c r="B9527" i="1"/>
  <c r="A9527" i="1"/>
  <c r="F9526" i="1"/>
  <c r="E9526" i="1"/>
  <c r="D9526" i="1"/>
  <c r="C9526" i="1"/>
  <c r="B9526" i="1"/>
  <c r="A9526" i="1"/>
  <c r="F9525" i="1"/>
  <c r="E9525" i="1"/>
  <c r="D9525" i="1"/>
  <c r="C9525" i="1"/>
  <c r="B9525" i="1"/>
  <c r="A9525" i="1"/>
  <c r="F9524" i="1"/>
  <c r="E9524" i="1"/>
  <c r="D9524" i="1"/>
  <c r="C9524" i="1"/>
  <c r="B9524" i="1"/>
  <c r="A9524" i="1"/>
  <c r="F9523" i="1"/>
  <c r="E9523" i="1"/>
  <c r="D9523" i="1"/>
  <c r="C9523" i="1"/>
  <c r="B9523" i="1"/>
  <c r="A9523" i="1"/>
  <c r="F9522" i="1"/>
  <c r="E9522" i="1"/>
  <c r="D9522" i="1"/>
  <c r="C9522" i="1"/>
  <c r="B9522" i="1"/>
  <c r="A9522" i="1"/>
  <c r="F9521" i="1"/>
  <c r="E9521" i="1"/>
  <c r="D9521" i="1"/>
  <c r="C9521" i="1"/>
  <c r="B9521" i="1"/>
  <c r="A9521" i="1"/>
  <c r="F9520" i="1"/>
  <c r="E9520" i="1"/>
  <c r="D9520" i="1"/>
  <c r="C9520" i="1"/>
  <c r="B9520" i="1"/>
  <c r="A9520" i="1"/>
  <c r="F9519" i="1"/>
  <c r="E9519" i="1"/>
  <c r="D9519" i="1"/>
  <c r="C9519" i="1"/>
  <c r="B9519" i="1"/>
  <c r="A9519" i="1"/>
  <c r="F9518" i="1"/>
  <c r="E9518" i="1"/>
  <c r="D9518" i="1"/>
  <c r="C9518" i="1"/>
  <c r="B9518" i="1"/>
  <c r="A9518" i="1"/>
  <c r="F9517" i="1"/>
  <c r="E9517" i="1"/>
  <c r="D9517" i="1"/>
  <c r="C9517" i="1"/>
  <c r="B9517" i="1"/>
  <c r="A9517" i="1"/>
  <c r="F9516" i="1"/>
  <c r="E9516" i="1"/>
  <c r="D9516" i="1"/>
  <c r="C9516" i="1"/>
  <c r="B9516" i="1"/>
  <c r="A9516" i="1"/>
  <c r="F9515" i="1"/>
  <c r="E9515" i="1"/>
  <c r="D9515" i="1"/>
  <c r="C9515" i="1"/>
  <c r="B9515" i="1"/>
  <c r="A9515" i="1"/>
  <c r="F9514" i="1"/>
  <c r="E9514" i="1"/>
  <c r="D9514" i="1"/>
  <c r="C9514" i="1"/>
  <c r="B9514" i="1"/>
  <c r="A9514" i="1"/>
  <c r="F9513" i="1"/>
  <c r="E9513" i="1"/>
  <c r="D9513" i="1"/>
  <c r="C9513" i="1"/>
  <c r="B9513" i="1"/>
  <c r="A9513" i="1"/>
  <c r="F9512" i="1"/>
  <c r="E9512" i="1"/>
  <c r="D9512" i="1"/>
  <c r="C9512" i="1"/>
  <c r="B9512" i="1"/>
  <c r="A9512" i="1"/>
  <c r="F9511" i="1"/>
  <c r="E9511" i="1"/>
  <c r="D9511" i="1"/>
  <c r="C9511" i="1"/>
  <c r="B9511" i="1"/>
  <c r="A9511" i="1"/>
  <c r="F9510" i="1"/>
  <c r="E9510" i="1"/>
  <c r="D9510" i="1"/>
  <c r="C9510" i="1"/>
  <c r="B9510" i="1"/>
  <c r="A9510" i="1"/>
  <c r="F9509" i="1"/>
  <c r="E9509" i="1"/>
  <c r="D9509" i="1"/>
  <c r="C9509" i="1"/>
  <c r="B9509" i="1"/>
  <c r="A9509" i="1"/>
  <c r="F9508" i="1"/>
  <c r="E9508" i="1"/>
  <c r="D9508" i="1"/>
  <c r="C9508" i="1"/>
  <c r="B9508" i="1"/>
  <c r="A9508" i="1"/>
  <c r="F9507" i="1"/>
  <c r="E9507" i="1"/>
  <c r="D9507" i="1"/>
  <c r="C9507" i="1"/>
  <c r="B9507" i="1"/>
  <c r="A9507" i="1"/>
  <c r="F9506" i="1"/>
  <c r="E9506" i="1"/>
  <c r="D9506" i="1"/>
  <c r="C9506" i="1"/>
  <c r="B9506" i="1"/>
  <c r="A9506" i="1"/>
  <c r="F9505" i="1"/>
  <c r="E9505" i="1"/>
  <c r="D9505" i="1"/>
  <c r="C9505" i="1"/>
  <c r="B9505" i="1"/>
  <c r="A9505" i="1"/>
  <c r="F9504" i="1"/>
  <c r="E9504" i="1"/>
  <c r="D9504" i="1"/>
  <c r="C9504" i="1"/>
  <c r="B9504" i="1"/>
  <c r="A9504" i="1"/>
  <c r="F9503" i="1"/>
  <c r="E9503" i="1"/>
  <c r="D9503" i="1"/>
  <c r="C9503" i="1"/>
  <c r="B9503" i="1"/>
  <c r="A9503" i="1"/>
  <c r="F9502" i="1"/>
  <c r="E9502" i="1"/>
  <c r="D9502" i="1"/>
  <c r="C9502" i="1"/>
  <c r="B9502" i="1"/>
  <c r="A9502" i="1"/>
  <c r="F9501" i="1"/>
  <c r="E9501" i="1"/>
  <c r="D9501" i="1"/>
  <c r="C9501" i="1"/>
  <c r="B9501" i="1"/>
  <c r="A9501" i="1"/>
  <c r="F9500" i="1"/>
  <c r="E9500" i="1"/>
  <c r="D9500" i="1"/>
  <c r="C9500" i="1"/>
  <c r="B9500" i="1"/>
  <c r="A9500" i="1"/>
  <c r="F9499" i="1"/>
  <c r="E9499" i="1"/>
  <c r="D9499" i="1"/>
  <c r="C9499" i="1"/>
  <c r="B9499" i="1"/>
  <c r="A9499" i="1"/>
  <c r="F9498" i="1"/>
  <c r="E9498" i="1"/>
  <c r="D9498" i="1"/>
  <c r="C9498" i="1"/>
  <c r="B9498" i="1"/>
  <c r="A9498" i="1"/>
  <c r="F9497" i="1"/>
  <c r="E9497" i="1"/>
  <c r="D9497" i="1"/>
  <c r="C9497" i="1"/>
  <c r="B9497" i="1"/>
  <c r="A9497" i="1"/>
  <c r="F9496" i="1"/>
  <c r="E9496" i="1"/>
  <c r="D9496" i="1"/>
  <c r="C9496" i="1"/>
  <c r="B9496" i="1"/>
  <c r="A9496" i="1"/>
  <c r="F9495" i="1"/>
  <c r="E9495" i="1"/>
  <c r="D9495" i="1"/>
  <c r="C9495" i="1"/>
  <c r="B9495" i="1"/>
  <c r="A9495" i="1"/>
  <c r="F9494" i="1"/>
  <c r="E9494" i="1"/>
  <c r="D9494" i="1"/>
  <c r="C9494" i="1"/>
  <c r="B9494" i="1"/>
  <c r="A9494" i="1"/>
  <c r="F9493" i="1"/>
  <c r="E9493" i="1"/>
  <c r="D9493" i="1"/>
  <c r="C9493" i="1"/>
  <c r="B9493" i="1"/>
  <c r="A9493" i="1"/>
  <c r="F9492" i="1"/>
  <c r="E9492" i="1"/>
  <c r="D9492" i="1"/>
  <c r="C9492" i="1"/>
  <c r="B9492" i="1"/>
  <c r="A9492" i="1"/>
  <c r="F9491" i="1"/>
  <c r="E9491" i="1"/>
  <c r="D9491" i="1"/>
  <c r="C9491" i="1"/>
  <c r="B9491" i="1"/>
  <c r="A9491" i="1"/>
  <c r="F9490" i="1"/>
  <c r="E9490" i="1"/>
  <c r="D9490" i="1"/>
  <c r="C9490" i="1"/>
  <c r="B9490" i="1"/>
  <c r="A9490" i="1"/>
  <c r="F9489" i="1"/>
  <c r="E9489" i="1"/>
  <c r="D9489" i="1"/>
  <c r="C9489" i="1"/>
  <c r="B9489" i="1"/>
  <c r="A9489" i="1"/>
  <c r="F9488" i="1"/>
  <c r="E9488" i="1"/>
  <c r="D9488" i="1"/>
  <c r="C9488" i="1"/>
  <c r="B9488" i="1"/>
  <c r="A9488" i="1"/>
  <c r="F9487" i="1"/>
  <c r="E9487" i="1"/>
  <c r="D9487" i="1"/>
  <c r="C9487" i="1"/>
  <c r="B9487" i="1"/>
  <c r="A9487" i="1"/>
  <c r="F9486" i="1"/>
  <c r="E9486" i="1"/>
  <c r="D9486" i="1"/>
  <c r="C9486" i="1"/>
  <c r="B9486" i="1"/>
  <c r="A9486" i="1"/>
  <c r="F9485" i="1"/>
  <c r="E9485" i="1"/>
  <c r="D9485" i="1"/>
  <c r="C9485" i="1"/>
  <c r="B9485" i="1"/>
  <c r="A9485" i="1"/>
  <c r="F9484" i="1"/>
  <c r="E9484" i="1"/>
  <c r="D9484" i="1"/>
  <c r="C9484" i="1"/>
  <c r="B9484" i="1"/>
  <c r="A9484" i="1"/>
  <c r="F9483" i="1"/>
  <c r="E9483" i="1"/>
  <c r="D9483" i="1"/>
  <c r="C9483" i="1"/>
  <c r="B9483" i="1"/>
  <c r="A9483" i="1"/>
  <c r="F9482" i="1"/>
  <c r="E9482" i="1"/>
  <c r="D9482" i="1"/>
  <c r="C9482" i="1"/>
  <c r="B9482" i="1"/>
  <c r="A9482" i="1"/>
  <c r="F9481" i="1"/>
  <c r="E9481" i="1"/>
  <c r="D9481" i="1"/>
  <c r="C9481" i="1"/>
  <c r="B9481" i="1"/>
  <c r="A9481" i="1"/>
  <c r="F9480" i="1"/>
  <c r="E9480" i="1"/>
  <c r="D9480" i="1"/>
  <c r="C9480" i="1"/>
  <c r="B9480" i="1"/>
  <c r="A9480" i="1"/>
  <c r="F9479" i="1"/>
  <c r="E9479" i="1"/>
  <c r="D9479" i="1"/>
  <c r="C9479" i="1"/>
  <c r="B9479" i="1"/>
  <c r="A9479" i="1"/>
  <c r="F9478" i="1"/>
  <c r="E9478" i="1"/>
  <c r="D9478" i="1"/>
  <c r="C9478" i="1"/>
  <c r="B9478" i="1"/>
  <c r="A9478" i="1"/>
  <c r="F9477" i="1"/>
  <c r="E9477" i="1"/>
  <c r="D9477" i="1"/>
  <c r="C9477" i="1"/>
  <c r="B9477" i="1"/>
  <c r="A9477" i="1"/>
  <c r="F9476" i="1"/>
  <c r="E9476" i="1"/>
  <c r="D9476" i="1"/>
  <c r="C9476" i="1"/>
  <c r="B9476" i="1"/>
  <c r="A9476" i="1"/>
  <c r="F9475" i="1"/>
  <c r="E9475" i="1"/>
  <c r="D9475" i="1"/>
  <c r="C9475" i="1"/>
  <c r="B9475" i="1"/>
  <c r="A9475" i="1"/>
  <c r="F9474" i="1"/>
  <c r="E9474" i="1"/>
  <c r="D9474" i="1"/>
  <c r="C9474" i="1"/>
  <c r="B9474" i="1"/>
  <c r="A9474" i="1"/>
  <c r="F9473" i="1"/>
  <c r="E9473" i="1"/>
  <c r="D9473" i="1"/>
  <c r="C9473" i="1"/>
  <c r="B9473" i="1"/>
  <c r="A9473" i="1"/>
  <c r="F9472" i="1"/>
  <c r="E9472" i="1"/>
  <c r="D9472" i="1"/>
  <c r="C9472" i="1"/>
  <c r="B9472" i="1"/>
  <c r="A9472" i="1"/>
  <c r="F9471" i="1"/>
  <c r="E9471" i="1"/>
  <c r="D9471" i="1"/>
  <c r="C9471" i="1"/>
  <c r="B9471" i="1"/>
  <c r="A9471" i="1"/>
  <c r="F9470" i="1"/>
  <c r="E9470" i="1"/>
  <c r="D9470" i="1"/>
  <c r="C9470" i="1"/>
  <c r="B9470" i="1"/>
  <c r="A9470" i="1"/>
  <c r="F9469" i="1"/>
  <c r="E9469" i="1"/>
  <c r="D9469" i="1"/>
  <c r="C9469" i="1"/>
  <c r="B9469" i="1"/>
  <c r="A9469" i="1"/>
  <c r="F9468" i="1"/>
  <c r="E9468" i="1"/>
  <c r="D9468" i="1"/>
  <c r="C9468" i="1"/>
  <c r="B9468" i="1"/>
  <c r="A9468" i="1"/>
  <c r="F9467" i="1"/>
  <c r="E9467" i="1"/>
  <c r="D9467" i="1"/>
  <c r="C9467" i="1"/>
  <c r="B9467" i="1"/>
  <c r="A9467" i="1"/>
  <c r="F9466" i="1"/>
  <c r="E9466" i="1"/>
  <c r="D9466" i="1"/>
  <c r="C9466" i="1"/>
  <c r="B9466" i="1"/>
  <c r="A9466" i="1"/>
  <c r="F9465" i="1"/>
  <c r="E9465" i="1"/>
  <c r="D9465" i="1"/>
  <c r="C9465" i="1"/>
  <c r="B9465" i="1"/>
  <c r="A9465" i="1"/>
  <c r="F9464" i="1"/>
  <c r="E9464" i="1"/>
  <c r="D9464" i="1"/>
  <c r="C9464" i="1"/>
  <c r="B9464" i="1"/>
  <c r="A9464" i="1"/>
  <c r="F9463" i="1"/>
  <c r="E9463" i="1"/>
  <c r="D9463" i="1"/>
  <c r="C9463" i="1"/>
  <c r="B9463" i="1"/>
  <c r="A9463" i="1"/>
  <c r="F9462" i="1"/>
  <c r="E9462" i="1"/>
  <c r="D9462" i="1"/>
  <c r="C9462" i="1"/>
  <c r="B9462" i="1"/>
  <c r="A9462" i="1"/>
  <c r="F9461" i="1"/>
  <c r="E9461" i="1"/>
  <c r="D9461" i="1"/>
  <c r="C9461" i="1"/>
  <c r="B9461" i="1"/>
  <c r="A9461" i="1"/>
  <c r="F9460" i="1"/>
  <c r="E9460" i="1"/>
  <c r="D9460" i="1"/>
  <c r="C9460" i="1"/>
  <c r="B9460" i="1"/>
  <c r="A9460" i="1"/>
  <c r="F9459" i="1"/>
  <c r="E9459" i="1"/>
  <c r="D9459" i="1"/>
  <c r="C9459" i="1"/>
  <c r="B9459" i="1"/>
  <c r="A9459" i="1"/>
  <c r="F9458" i="1"/>
  <c r="E9458" i="1"/>
  <c r="D9458" i="1"/>
  <c r="C9458" i="1"/>
  <c r="B9458" i="1"/>
  <c r="A9458" i="1"/>
  <c r="F9457" i="1"/>
  <c r="E9457" i="1"/>
  <c r="D9457" i="1"/>
  <c r="C9457" i="1"/>
  <c r="B9457" i="1"/>
  <c r="A9457" i="1"/>
  <c r="F9456" i="1"/>
  <c r="E9456" i="1"/>
  <c r="D9456" i="1"/>
  <c r="C9456" i="1"/>
  <c r="B9456" i="1"/>
  <c r="A9456" i="1"/>
  <c r="F9455" i="1"/>
  <c r="E9455" i="1"/>
  <c r="D9455" i="1"/>
  <c r="C9455" i="1"/>
  <c r="B9455" i="1"/>
  <c r="A9455" i="1"/>
  <c r="F9454" i="1"/>
  <c r="E9454" i="1"/>
  <c r="D9454" i="1"/>
  <c r="C9454" i="1"/>
  <c r="B9454" i="1"/>
  <c r="A9454" i="1"/>
  <c r="F9453" i="1"/>
  <c r="E9453" i="1"/>
  <c r="D9453" i="1"/>
  <c r="C9453" i="1"/>
  <c r="B9453" i="1"/>
  <c r="A9453" i="1"/>
  <c r="F9452" i="1"/>
  <c r="E9452" i="1"/>
  <c r="D9452" i="1"/>
  <c r="C9452" i="1"/>
  <c r="B9452" i="1"/>
  <c r="A9452" i="1"/>
  <c r="F9451" i="1"/>
  <c r="E9451" i="1"/>
  <c r="D9451" i="1"/>
  <c r="C9451" i="1"/>
  <c r="B9451" i="1"/>
  <c r="A9451" i="1"/>
  <c r="F9450" i="1"/>
  <c r="E9450" i="1"/>
  <c r="D9450" i="1"/>
  <c r="C9450" i="1"/>
  <c r="B9450" i="1"/>
  <c r="A9450" i="1"/>
  <c r="F9449" i="1"/>
  <c r="E9449" i="1"/>
  <c r="D9449" i="1"/>
  <c r="C9449" i="1"/>
  <c r="B9449" i="1"/>
  <c r="A9449" i="1"/>
  <c r="F9448" i="1"/>
  <c r="E9448" i="1"/>
  <c r="D9448" i="1"/>
  <c r="C9448" i="1"/>
  <c r="B9448" i="1"/>
  <c r="A9448" i="1"/>
  <c r="F9447" i="1"/>
  <c r="E9447" i="1"/>
  <c r="D9447" i="1"/>
  <c r="C9447" i="1"/>
  <c r="B9447" i="1"/>
  <c r="A9447" i="1"/>
  <c r="F9446" i="1"/>
  <c r="E9446" i="1"/>
  <c r="D9446" i="1"/>
  <c r="C9446" i="1"/>
  <c r="B9446" i="1"/>
  <c r="A9446" i="1"/>
  <c r="F9445" i="1"/>
  <c r="E9445" i="1"/>
  <c r="D9445" i="1"/>
  <c r="C9445" i="1"/>
  <c r="B9445" i="1"/>
  <c r="A9445" i="1"/>
  <c r="F9444" i="1"/>
  <c r="E9444" i="1"/>
  <c r="D9444" i="1"/>
  <c r="C9444" i="1"/>
  <c r="B9444" i="1"/>
  <c r="A9444" i="1"/>
  <c r="F9443" i="1"/>
  <c r="E9443" i="1"/>
  <c r="D9443" i="1"/>
  <c r="C9443" i="1"/>
  <c r="B9443" i="1"/>
  <c r="A9443" i="1"/>
  <c r="F9442" i="1"/>
  <c r="E9442" i="1"/>
  <c r="D9442" i="1"/>
  <c r="C9442" i="1"/>
  <c r="B9442" i="1"/>
  <c r="A9442" i="1"/>
  <c r="F9441" i="1"/>
  <c r="E9441" i="1"/>
  <c r="D9441" i="1"/>
  <c r="C9441" i="1"/>
  <c r="B9441" i="1"/>
  <c r="A9441" i="1"/>
  <c r="F9440" i="1"/>
  <c r="E9440" i="1"/>
  <c r="D9440" i="1"/>
  <c r="C9440" i="1"/>
  <c r="B9440" i="1"/>
  <c r="A9440" i="1"/>
  <c r="F9439" i="1"/>
  <c r="E9439" i="1"/>
  <c r="D9439" i="1"/>
  <c r="C9439" i="1"/>
  <c r="B9439" i="1"/>
  <c r="A9439" i="1"/>
  <c r="F9438" i="1"/>
  <c r="E9438" i="1"/>
  <c r="D9438" i="1"/>
  <c r="C9438" i="1"/>
  <c r="B9438" i="1"/>
  <c r="A9438" i="1"/>
  <c r="F9437" i="1"/>
  <c r="E9437" i="1"/>
  <c r="D9437" i="1"/>
  <c r="C9437" i="1"/>
  <c r="B9437" i="1"/>
  <c r="A9437" i="1"/>
  <c r="F9436" i="1"/>
  <c r="E9436" i="1"/>
  <c r="D9436" i="1"/>
  <c r="C9436" i="1"/>
  <c r="B9436" i="1"/>
  <c r="A9436" i="1"/>
  <c r="F9435" i="1"/>
  <c r="E9435" i="1"/>
  <c r="D9435" i="1"/>
  <c r="C9435" i="1"/>
  <c r="B9435" i="1"/>
  <c r="A9435" i="1"/>
  <c r="F9434" i="1"/>
  <c r="E9434" i="1"/>
  <c r="D9434" i="1"/>
  <c r="C9434" i="1"/>
  <c r="B9434" i="1"/>
  <c r="A9434" i="1"/>
  <c r="F9433" i="1"/>
  <c r="E9433" i="1"/>
  <c r="D9433" i="1"/>
  <c r="C9433" i="1"/>
  <c r="B9433" i="1"/>
  <c r="A9433" i="1"/>
  <c r="F9432" i="1"/>
  <c r="E9432" i="1"/>
  <c r="D9432" i="1"/>
  <c r="C9432" i="1"/>
  <c r="B9432" i="1"/>
  <c r="A9432" i="1"/>
  <c r="F9431" i="1"/>
  <c r="E9431" i="1"/>
  <c r="D9431" i="1"/>
  <c r="C9431" i="1"/>
  <c r="B9431" i="1"/>
  <c r="A9431" i="1"/>
  <c r="F9430" i="1"/>
  <c r="E9430" i="1"/>
  <c r="D9430" i="1"/>
  <c r="C9430" i="1"/>
  <c r="B9430" i="1"/>
  <c r="A9430" i="1"/>
  <c r="F9429" i="1"/>
  <c r="E9429" i="1"/>
  <c r="D9429" i="1"/>
  <c r="C9429" i="1"/>
  <c r="B9429" i="1"/>
  <c r="A9429" i="1"/>
  <c r="F9428" i="1"/>
  <c r="E9428" i="1"/>
  <c r="D9428" i="1"/>
  <c r="C9428" i="1"/>
  <c r="B9428" i="1"/>
  <c r="A9428" i="1"/>
  <c r="F9427" i="1"/>
  <c r="E9427" i="1"/>
  <c r="D9427" i="1"/>
  <c r="C9427" i="1"/>
  <c r="B9427" i="1"/>
  <c r="A9427" i="1"/>
  <c r="F9426" i="1"/>
  <c r="E9426" i="1"/>
  <c r="D9426" i="1"/>
  <c r="C9426" i="1"/>
  <c r="B9426" i="1"/>
  <c r="A9426" i="1"/>
  <c r="F9425" i="1"/>
  <c r="E9425" i="1"/>
  <c r="D9425" i="1"/>
  <c r="C9425" i="1"/>
  <c r="B9425" i="1"/>
  <c r="A9425" i="1"/>
  <c r="F9424" i="1"/>
  <c r="E9424" i="1"/>
  <c r="D9424" i="1"/>
  <c r="C9424" i="1"/>
  <c r="B9424" i="1"/>
  <c r="A9424" i="1"/>
  <c r="F9423" i="1"/>
  <c r="E9423" i="1"/>
  <c r="D9423" i="1"/>
  <c r="C9423" i="1"/>
  <c r="B9423" i="1"/>
  <c r="A9423" i="1"/>
  <c r="F9422" i="1"/>
  <c r="E9422" i="1"/>
  <c r="D9422" i="1"/>
  <c r="C9422" i="1"/>
  <c r="B9422" i="1"/>
  <c r="A9422" i="1"/>
  <c r="F9421" i="1"/>
  <c r="E9421" i="1"/>
  <c r="D9421" i="1"/>
  <c r="C9421" i="1"/>
  <c r="B9421" i="1"/>
  <c r="A9421" i="1"/>
  <c r="F9420" i="1"/>
  <c r="E9420" i="1"/>
  <c r="D9420" i="1"/>
  <c r="C9420" i="1"/>
  <c r="B9420" i="1"/>
  <c r="A9420" i="1"/>
  <c r="F9419" i="1"/>
  <c r="E9419" i="1"/>
  <c r="D9419" i="1"/>
  <c r="C9419" i="1"/>
  <c r="B9419" i="1"/>
  <c r="A9419" i="1"/>
  <c r="F9418" i="1"/>
  <c r="E9418" i="1"/>
  <c r="D9418" i="1"/>
  <c r="C9418" i="1"/>
  <c r="B9418" i="1"/>
  <c r="A9418" i="1"/>
  <c r="F9417" i="1"/>
  <c r="E9417" i="1"/>
  <c r="D9417" i="1"/>
  <c r="C9417" i="1"/>
  <c r="B9417" i="1"/>
  <c r="A9417" i="1"/>
  <c r="F9416" i="1"/>
  <c r="E9416" i="1"/>
  <c r="D9416" i="1"/>
  <c r="C9416" i="1"/>
  <c r="B9416" i="1"/>
  <c r="A9416" i="1"/>
  <c r="F9415" i="1"/>
  <c r="E9415" i="1"/>
  <c r="D9415" i="1"/>
  <c r="C9415" i="1"/>
  <c r="B9415" i="1"/>
  <c r="A9415" i="1"/>
  <c r="F9414" i="1"/>
  <c r="E9414" i="1"/>
  <c r="D9414" i="1"/>
  <c r="C9414" i="1"/>
  <c r="B9414" i="1"/>
  <c r="A9414" i="1"/>
  <c r="F9413" i="1"/>
  <c r="E9413" i="1"/>
  <c r="D9413" i="1"/>
  <c r="C9413" i="1"/>
  <c r="B9413" i="1"/>
  <c r="A9413" i="1"/>
  <c r="F9412" i="1"/>
  <c r="E9412" i="1"/>
  <c r="D9412" i="1"/>
  <c r="C9412" i="1"/>
  <c r="B9412" i="1"/>
  <c r="A9412" i="1"/>
  <c r="F9411" i="1"/>
  <c r="E9411" i="1"/>
  <c r="D9411" i="1"/>
  <c r="C9411" i="1"/>
  <c r="B9411" i="1"/>
  <c r="A9411" i="1"/>
  <c r="F9410" i="1"/>
  <c r="E9410" i="1"/>
  <c r="D9410" i="1"/>
  <c r="C9410" i="1"/>
  <c r="B9410" i="1"/>
  <c r="A9410" i="1"/>
  <c r="F9409" i="1"/>
  <c r="E9409" i="1"/>
  <c r="D9409" i="1"/>
  <c r="C9409" i="1"/>
  <c r="B9409" i="1"/>
  <c r="A9409" i="1"/>
  <c r="F9408" i="1"/>
  <c r="E9408" i="1"/>
  <c r="D9408" i="1"/>
  <c r="C9408" i="1"/>
  <c r="B9408" i="1"/>
  <c r="A9408" i="1"/>
  <c r="F9407" i="1"/>
  <c r="E9407" i="1"/>
  <c r="D9407" i="1"/>
  <c r="C9407" i="1"/>
  <c r="B9407" i="1"/>
  <c r="A9407" i="1"/>
  <c r="F9406" i="1"/>
  <c r="E9406" i="1"/>
  <c r="D9406" i="1"/>
  <c r="C9406" i="1"/>
  <c r="B9406" i="1"/>
  <c r="A9406" i="1"/>
  <c r="F9405" i="1"/>
  <c r="E9405" i="1"/>
  <c r="D9405" i="1"/>
  <c r="C9405" i="1"/>
  <c r="B9405" i="1"/>
  <c r="A9405" i="1"/>
  <c r="F9404" i="1"/>
  <c r="E9404" i="1"/>
  <c r="D9404" i="1"/>
  <c r="C9404" i="1"/>
  <c r="B9404" i="1"/>
  <c r="A9404" i="1"/>
  <c r="F9403" i="1"/>
  <c r="E9403" i="1"/>
  <c r="D9403" i="1"/>
  <c r="C9403" i="1"/>
  <c r="B9403" i="1"/>
  <c r="A9403" i="1"/>
  <c r="F9402" i="1"/>
  <c r="E9402" i="1"/>
  <c r="D9402" i="1"/>
  <c r="C9402" i="1"/>
  <c r="B9402" i="1"/>
  <c r="A9402" i="1"/>
  <c r="F9401" i="1"/>
  <c r="E9401" i="1"/>
  <c r="D9401" i="1"/>
  <c r="C9401" i="1"/>
  <c r="B9401" i="1"/>
  <c r="A9401" i="1"/>
  <c r="F9400" i="1"/>
  <c r="E9400" i="1"/>
  <c r="D9400" i="1"/>
  <c r="C9400" i="1"/>
  <c r="B9400" i="1"/>
  <c r="A9400" i="1"/>
  <c r="F9399" i="1"/>
  <c r="E9399" i="1"/>
  <c r="D9399" i="1"/>
  <c r="C9399" i="1"/>
  <c r="B9399" i="1"/>
  <c r="A9399" i="1"/>
  <c r="F9398" i="1"/>
  <c r="E9398" i="1"/>
  <c r="D9398" i="1"/>
  <c r="C9398" i="1"/>
  <c r="B9398" i="1"/>
  <c r="A9398" i="1"/>
  <c r="F9397" i="1"/>
  <c r="E9397" i="1"/>
  <c r="D9397" i="1"/>
  <c r="C9397" i="1"/>
  <c r="B9397" i="1"/>
  <c r="A9397" i="1"/>
  <c r="F9396" i="1"/>
  <c r="E9396" i="1"/>
  <c r="D9396" i="1"/>
  <c r="C9396" i="1"/>
  <c r="B9396" i="1"/>
  <c r="A9396" i="1"/>
  <c r="F9395" i="1"/>
  <c r="E9395" i="1"/>
  <c r="D9395" i="1"/>
  <c r="C9395" i="1"/>
  <c r="B9395" i="1"/>
  <c r="A9395" i="1"/>
  <c r="F9394" i="1"/>
  <c r="E9394" i="1"/>
  <c r="D9394" i="1"/>
  <c r="C9394" i="1"/>
  <c r="B9394" i="1"/>
  <c r="A9394" i="1"/>
  <c r="F9393" i="1"/>
  <c r="E9393" i="1"/>
  <c r="D9393" i="1"/>
  <c r="C9393" i="1"/>
  <c r="B9393" i="1"/>
  <c r="A9393" i="1"/>
  <c r="F9392" i="1"/>
  <c r="E9392" i="1"/>
  <c r="D9392" i="1"/>
  <c r="C9392" i="1"/>
  <c r="B9392" i="1"/>
  <c r="A9392" i="1"/>
  <c r="F9391" i="1"/>
  <c r="E9391" i="1"/>
  <c r="D9391" i="1"/>
  <c r="C9391" i="1"/>
  <c r="B9391" i="1"/>
  <c r="A9391" i="1"/>
  <c r="F9390" i="1"/>
  <c r="E9390" i="1"/>
  <c r="D9390" i="1"/>
  <c r="C9390" i="1"/>
  <c r="B9390" i="1"/>
  <c r="A9390" i="1"/>
  <c r="F9389" i="1"/>
  <c r="E9389" i="1"/>
  <c r="D9389" i="1"/>
  <c r="C9389" i="1"/>
  <c r="B9389" i="1"/>
  <c r="A9389" i="1"/>
  <c r="F9388" i="1"/>
  <c r="E9388" i="1"/>
  <c r="D9388" i="1"/>
  <c r="C9388" i="1"/>
  <c r="B9388" i="1"/>
  <c r="A9388" i="1"/>
  <c r="F9387" i="1"/>
  <c r="E9387" i="1"/>
  <c r="D9387" i="1"/>
  <c r="C9387" i="1"/>
  <c r="B9387" i="1"/>
  <c r="A9387" i="1"/>
  <c r="F9386" i="1"/>
  <c r="E9386" i="1"/>
  <c r="D9386" i="1"/>
  <c r="C9386" i="1"/>
  <c r="B9386" i="1"/>
  <c r="A9386" i="1"/>
  <c r="F9385" i="1"/>
  <c r="E9385" i="1"/>
  <c r="D9385" i="1"/>
  <c r="C9385" i="1"/>
  <c r="B9385" i="1"/>
  <c r="A9385" i="1"/>
  <c r="F9384" i="1"/>
  <c r="E9384" i="1"/>
  <c r="D9384" i="1"/>
  <c r="C9384" i="1"/>
  <c r="B9384" i="1"/>
  <c r="A9384" i="1"/>
  <c r="F9383" i="1"/>
  <c r="E9383" i="1"/>
  <c r="D9383" i="1"/>
  <c r="C9383" i="1"/>
  <c r="B9383" i="1"/>
  <c r="A9383" i="1"/>
  <c r="F9382" i="1"/>
  <c r="E9382" i="1"/>
  <c r="D9382" i="1"/>
  <c r="C9382" i="1"/>
  <c r="B9382" i="1"/>
  <c r="A9382" i="1"/>
  <c r="F9381" i="1"/>
  <c r="E9381" i="1"/>
  <c r="D9381" i="1"/>
  <c r="C9381" i="1"/>
  <c r="B9381" i="1"/>
  <c r="A9381" i="1"/>
  <c r="F9380" i="1"/>
  <c r="E9380" i="1"/>
  <c r="D9380" i="1"/>
  <c r="C9380" i="1"/>
  <c r="B9380" i="1"/>
  <c r="A9380" i="1"/>
  <c r="F9379" i="1"/>
  <c r="E9379" i="1"/>
  <c r="D9379" i="1"/>
  <c r="C9379" i="1"/>
  <c r="B9379" i="1"/>
  <c r="A9379" i="1"/>
  <c r="F9378" i="1"/>
  <c r="E9378" i="1"/>
  <c r="D9378" i="1"/>
  <c r="C9378" i="1"/>
  <c r="B9378" i="1"/>
  <c r="A9378" i="1"/>
  <c r="F9377" i="1"/>
  <c r="E9377" i="1"/>
  <c r="D9377" i="1"/>
  <c r="C9377" i="1"/>
  <c r="B9377" i="1"/>
  <c r="A9377" i="1"/>
  <c r="F9376" i="1"/>
  <c r="E9376" i="1"/>
  <c r="D9376" i="1"/>
  <c r="C9376" i="1"/>
  <c r="B9376" i="1"/>
  <c r="A9376" i="1"/>
  <c r="F9375" i="1"/>
  <c r="E9375" i="1"/>
  <c r="D9375" i="1"/>
  <c r="C9375" i="1"/>
  <c r="B9375" i="1"/>
  <c r="A9375" i="1"/>
  <c r="F9374" i="1"/>
  <c r="E9374" i="1"/>
  <c r="D9374" i="1"/>
  <c r="C9374" i="1"/>
  <c r="B9374" i="1"/>
  <c r="A9374" i="1"/>
  <c r="F9373" i="1"/>
  <c r="E9373" i="1"/>
  <c r="D9373" i="1"/>
  <c r="C9373" i="1"/>
  <c r="B9373" i="1"/>
  <c r="A9373" i="1"/>
  <c r="F9372" i="1"/>
  <c r="E9372" i="1"/>
  <c r="D9372" i="1"/>
  <c r="C9372" i="1"/>
  <c r="B9372" i="1"/>
  <c r="A9372" i="1"/>
  <c r="F9371" i="1"/>
  <c r="E9371" i="1"/>
  <c r="D9371" i="1"/>
  <c r="C9371" i="1"/>
  <c r="B9371" i="1"/>
  <c r="A9371" i="1"/>
  <c r="F9370" i="1"/>
  <c r="E9370" i="1"/>
  <c r="D9370" i="1"/>
  <c r="C9370" i="1"/>
  <c r="B9370" i="1"/>
  <c r="A9370" i="1"/>
  <c r="F9369" i="1"/>
  <c r="E9369" i="1"/>
  <c r="D9369" i="1"/>
  <c r="C9369" i="1"/>
  <c r="B9369" i="1"/>
  <c r="A9369" i="1"/>
  <c r="F9368" i="1"/>
  <c r="E9368" i="1"/>
  <c r="D9368" i="1"/>
  <c r="C9368" i="1"/>
  <c r="B9368" i="1"/>
  <c r="A9368" i="1"/>
  <c r="F9367" i="1"/>
  <c r="E9367" i="1"/>
  <c r="D9367" i="1"/>
  <c r="C9367" i="1"/>
  <c r="B9367" i="1"/>
  <c r="A9367" i="1"/>
  <c r="F9366" i="1"/>
  <c r="E9366" i="1"/>
  <c r="D9366" i="1"/>
  <c r="C9366" i="1"/>
  <c r="B9366" i="1"/>
  <c r="A9366" i="1"/>
  <c r="F9365" i="1"/>
  <c r="E9365" i="1"/>
  <c r="D9365" i="1"/>
  <c r="C9365" i="1"/>
  <c r="B9365" i="1"/>
  <c r="A9365" i="1"/>
  <c r="F9364" i="1"/>
  <c r="E9364" i="1"/>
  <c r="D9364" i="1"/>
  <c r="C9364" i="1"/>
  <c r="B9364" i="1"/>
  <c r="A9364" i="1"/>
  <c r="F9363" i="1"/>
  <c r="E9363" i="1"/>
  <c r="D9363" i="1"/>
  <c r="C9363" i="1"/>
  <c r="B9363" i="1"/>
  <c r="A9363" i="1"/>
  <c r="F9362" i="1"/>
  <c r="E9362" i="1"/>
  <c r="D9362" i="1"/>
  <c r="C9362" i="1"/>
  <c r="B9362" i="1"/>
  <c r="A9362" i="1"/>
  <c r="F9361" i="1"/>
  <c r="E9361" i="1"/>
  <c r="D9361" i="1"/>
  <c r="C9361" i="1"/>
  <c r="B9361" i="1"/>
  <c r="A9361" i="1"/>
  <c r="F9360" i="1"/>
  <c r="E9360" i="1"/>
  <c r="D9360" i="1"/>
  <c r="C9360" i="1"/>
  <c r="B9360" i="1"/>
  <c r="A9360" i="1"/>
  <c r="F9359" i="1"/>
  <c r="E9359" i="1"/>
  <c r="D9359" i="1"/>
  <c r="C9359" i="1"/>
  <c r="B9359" i="1"/>
  <c r="A9359" i="1"/>
  <c r="F9358" i="1"/>
  <c r="E9358" i="1"/>
  <c r="D9358" i="1"/>
  <c r="C9358" i="1"/>
  <c r="B9358" i="1"/>
  <c r="A9358" i="1"/>
  <c r="F9357" i="1"/>
  <c r="E9357" i="1"/>
  <c r="D9357" i="1"/>
  <c r="C9357" i="1"/>
  <c r="B9357" i="1"/>
  <c r="A9357" i="1"/>
  <c r="F9356" i="1"/>
  <c r="E9356" i="1"/>
  <c r="D9356" i="1"/>
  <c r="C9356" i="1"/>
  <c r="B9356" i="1"/>
  <c r="A9356" i="1"/>
  <c r="F9355" i="1"/>
  <c r="E9355" i="1"/>
  <c r="D9355" i="1"/>
  <c r="C9355" i="1"/>
  <c r="B9355" i="1"/>
  <c r="A9355" i="1"/>
  <c r="F9354" i="1"/>
  <c r="E9354" i="1"/>
  <c r="D9354" i="1"/>
  <c r="C9354" i="1"/>
  <c r="B9354" i="1"/>
  <c r="A9354" i="1"/>
  <c r="F9353" i="1"/>
  <c r="E9353" i="1"/>
  <c r="D9353" i="1"/>
  <c r="C9353" i="1"/>
  <c r="B9353" i="1"/>
  <c r="A9353" i="1"/>
  <c r="F9352" i="1"/>
  <c r="E9352" i="1"/>
  <c r="D9352" i="1"/>
  <c r="C9352" i="1"/>
  <c r="B9352" i="1"/>
  <c r="A9352" i="1"/>
  <c r="F9351" i="1"/>
  <c r="E9351" i="1"/>
  <c r="D9351" i="1"/>
  <c r="C9351" i="1"/>
  <c r="B9351" i="1"/>
  <c r="A9351" i="1"/>
  <c r="F9350" i="1"/>
  <c r="E9350" i="1"/>
  <c r="D9350" i="1"/>
  <c r="C9350" i="1"/>
  <c r="B9350" i="1"/>
  <c r="A9350" i="1"/>
  <c r="F9349" i="1"/>
  <c r="E9349" i="1"/>
  <c r="D9349" i="1"/>
  <c r="C9349" i="1"/>
  <c r="B9349" i="1"/>
  <c r="A9349" i="1"/>
  <c r="F9348" i="1"/>
  <c r="E9348" i="1"/>
  <c r="D9348" i="1"/>
  <c r="C9348" i="1"/>
  <c r="B9348" i="1"/>
  <c r="A9348" i="1"/>
  <c r="F9347" i="1"/>
  <c r="E9347" i="1"/>
  <c r="D9347" i="1"/>
  <c r="C9347" i="1"/>
  <c r="B9347" i="1"/>
  <c r="A9347" i="1"/>
  <c r="F9346" i="1"/>
  <c r="E9346" i="1"/>
  <c r="D9346" i="1"/>
  <c r="C9346" i="1"/>
  <c r="B9346" i="1"/>
  <c r="A9346" i="1"/>
  <c r="F9345" i="1"/>
  <c r="E9345" i="1"/>
  <c r="D9345" i="1"/>
  <c r="C9345" i="1"/>
  <c r="B9345" i="1"/>
  <c r="A9345" i="1"/>
  <c r="F9344" i="1"/>
  <c r="E9344" i="1"/>
  <c r="D9344" i="1"/>
  <c r="C9344" i="1"/>
  <c r="B9344" i="1"/>
  <c r="A9344" i="1"/>
  <c r="F9343" i="1"/>
  <c r="E9343" i="1"/>
  <c r="D9343" i="1"/>
  <c r="C9343" i="1"/>
  <c r="B9343" i="1"/>
  <c r="A9343" i="1"/>
  <c r="F9342" i="1"/>
  <c r="E9342" i="1"/>
  <c r="D9342" i="1"/>
  <c r="C9342" i="1"/>
  <c r="B9342" i="1"/>
  <c r="A9342" i="1"/>
  <c r="F9341" i="1"/>
  <c r="E9341" i="1"/>
  <c r="D9341" i="1"/>
  <c r="C9341" i="1"/>
  <c r="B9341" i="1"/>
  <c r="A9341" i="1"/>
  <c r="F9340" i="1"/>
  <c r="E9340" i="1"/>
  <c r="D9340" i="1"/>
  <c r="C9340" i="1"/>
  <c r="B9340" i="1"/>
  <c r="A9340" i="1"/>
  <c r="F9339" i="1"/>
  <c r="E9339" i="1"/>
  <c r="D9339" i="1"/>
  <c r="C9339" i="1"/>
  <c r="B9339" i="1"/>
  <c r="A9339" i="1"/>
  <c r="F9338" i="1"/>
  <c r="E9338" i="1"/>
  <c r="D9338" i="1"/>
  <c r="C9338" i="1"/>
  <c r="B9338" i="1"/>
  <c r="A9338" i="1"/>
  <c r="F9337" i="1"/>
  <c r="E9337" i="1"/>
  <c r="D9337" i="1"/>
  <c r="C9337" i="1"/>
  <c r="B9337" i="1"/>
  <c r="A9337" i="1"/>
  <c r="F9336" i="1"/>
  <c r="E9336" i="1"/>
  <c r="D9336" i="1"/>
  <c r="C9336" i="1"/>
  <c r="B9336" i="1"/>
  <c r="A9336" i="1"/>
  <c r="F9335" i="1"/>
  <c r="E9335" i="1"/>
  <c r="D9335" i="1"/>
  <c r="C9335" i="1"/>
  <c r="B9335" i="1"/>
  <c r="A9335" i="1"/>
  <c r="F9334" i="1"/>
  <c r="E9334" i="1"/>
  <c r="D9334" i="1"/>
  <c r="C9334" i="1"/>
  <c r="B9334" i="1"/>
  <c r="A9334" i="1"/>
  <c r="F9333" i="1"/>
  <c r="E9333" i="1"/>
  <c r="D9333" i="1"/>
  <c r="C9333" i="1"/>
  <c r="B9333" i="1"/>
  <c r="A9333" i="1"/>
  <c r="F9332" i="1"/>
  <c r="E9332" i="1"/>
  <c r="D9332" i="1"/>
  <c r="C9332" i="1"/>
  <c r="B9332" i="1"/>
  <c r="A9332" i="1"/>
  <c r="F9331" i="1"/>
  <c r="E9331" i="1"/>
  <c r="D9331" i="1"/>
  <c r="C9331" i="1"/>
  <c r="B9331" i="1"/>
  <c r="A9331" i="1"/>
  <c r="F9330" i="1"/>
  <c r="E9330" i="1"/>
  <c r="D9330" i="1"/>
  <c r="C9330" i="1"/>
  <c r="B9330" i="1"/>
  <c r="A9330" i="1"/>
  <c r="F9329" i="1"/>
  <c r="E9329" i="1"/>
  <c r="D9329" i="1"/>
  <c r="C9329" i="1"/>
  <c r="B9329" i="1"/>
  <c r="A9329" i="1"/>
  <c r="F9328" i="1"/>
  <c r="E9328" i="1"/>
  <c r="D9328" i="1"/>
  <c r="C9328" i="1"/>
  <c r="B9328" i="1"/>
  <c r="A9328" i="1"/>
  <c r="F9327" i="1"/>
  <c r="E9327" i="1"/>
  <c r="D9327" i="1"/>
  <c r="C9327" i="1"/>
  <c r="B9327" i="1"/>
  <c r="A9327" i="1"/>
  <c r="F9326" i="1"/>
  <c r="E9326" i="1"/>
  <c r="D9326" i="1"/>
  <c r="C9326" i="1"/>
  <c r="B9326" i="1"/>
  <c r="A9326" i="1"/>
  <c r="F9325" i="1"/>
  <c r="E9325" i="1"/>
  <c r="D9325" i="1"/>
  <c r="C9325" i="1"/>
  <c r="B9325" i="1"/>
  <c r="A9325" i="1"/>
  <c r="F9324" i="1"/>
  <c r="E9324" i="1"/>
  <c r="D9324" i="1"/>
  <c r="C9324" i="1"/>
  <c r="B9324" i="1"/>
  <c r="A9324" i="1"/>
  <c r="F9323" i="1"/>
  <c r="E9323" i="1"/>
  <c r="D9323" i="1"/>
  <c r="C9323" i="1"/>
  <c r="B9323" i="1"/>
  <c r="A9323" i="1"/>
  <c r="F9322" i="1"/>
  <c r="E9322" i="1"/>
  <c r="D9322" i="1"/>
  <c r="C9322" i="1"/>
  <c r="B9322" i="1"/>
  <c r="A9322" i="1"/>
  <c r="F9321" i="1"/>
  <c r="E9321" i="1"/>
  <c r="D9321" i="1"/>
  <c r="C9321" i="1"/>
  <c r="B9321" i="1"/>
  <c r="A9321" i="1"/>
  <c r="F9320" i="1"/>
  <c r="E9320" i="1"/>
  <c r="D9320" i="1"/>
  <c r="C9320" i="1"/>
  <c r="B9320" i="1"/>
  <c r="A9320" i="1"/>
  <c r="F9319" i="1"/>
  <c r="E9319" i="1"/>
  <c r="D9319" i="1"/>
  <c r="C9319" i="1"/>
  <c r="B9319" i="1"/>
  <c r="A9319" i="1"/>
  <c r="F9318" i="1"/>
  <c r="E9318" i="1"/>
  <c r="D9318" i="1"/>
  <c r="C9318" i="1"/>
  <c r="B9318" i="1"/>
  <c r="A9318" i="1"/>
  <c r="F9317" i="1"/>
  <c r="E9317" i="1"/>
  <c r="D9317" i="1"/>
  <c r="C9317" i="1"/>
  <c r="B9317" i="1"/>
  <c r="A9317" i="1"/>
  <c r="F9316" i="1"/>
  <c r="E9316" i="1"/>
  <c r="D9316" i="1"/>
  <c r="C9316" i="1"/>
  <c r="B9316" i="1"/>
  <c r="A9316" i="1"/>
  <c r="F9315" i="1"/>
  <c r="E9315" i="1"/>
  <c r="D9315" i="1"/>
  <c r="C9315" i="1"/>
  <c r="B9315" i="1"/>
  <c r="A9315" i="1"/>
  <c r="F9314" i="1"/>
  <c r="E9314" i="1"/>
  <c r="D9314" i="1"/>
  <c r="C9314" i="1"/>
  <c r="B9314" i="1"/>
  <c r="A9314" i="1"/>
  <c r="F9313" i="1"/>
  <c r="E9313" i="1"/>
  <c r="D9313" i="1"/>
  <c r="C9313" i="1"/>
  <c r="B9313" i="1"/>
  <c r="A9313" i="1"/>
  <c r="F9312" i="1"/>
  <c r="E9312" i="1"/>
  <c r="D9312" i="1"/>
  <c r="C9312" i="1"/>
  <c r="B9312" i="1"/>
  <c r="A9312" i="1"/>
  <c r="F9311" i="1"/>
  <c r="E9311" i="1"/>
  <c r="D9311" i="1"/>
  <c r="C9311" i="1"/>
  <c r="B9311" i="1"/>
  <c r="A9311" i="1"/>
  <c r="F9310" i="1"/>
  <c r="E9310" i="1"/>
  <c r="D9310" i="1"/>
  <c r="C9310" i="1"/>
  <c r="B9310" i="1"/>
  <c r="A9310" i="1"/>
  <c r="F9309" i="1"/>
  <c r="E9309" i="1"/>
  <c r="D9309" i="1"/>
  <c r="C9309" i="1"/>
  <c r="B9309" i="1"/>
  <c r="A9309" i="1"/>
  <c r="F9308" i="1"/>
  <c r="E9308" i="1"/>
  <c r="D9308" i="1"/>
  <c r="C9308" i="1"/>
  <c r="B9308" i="1"/>
  <c r="A9308" i="1"/>
  <c r="F9307" i="1"/>
  <c r="E9307" i="1"/>
  <c r="D9307" i="1"/>
  <c r="C9307" i="1"/>
  <c r="B9307" i="1"/>
  <c r="A9307" i="1"/>
  <c r="F9306" i="1"/>
  <c r="E9306" i="1"/>
  <c r="D9306" i="1"/>
  <c r="C9306" i="1"/>
  <c r="B9306" i="1"/>
  <c r="A9306" i="1"/>
  <c r="F9305" i="1"/>
  <c r="E9305" i="1"/>
  <c r="D9305" i="1"/>
  <c r="C9305" i="1"/>
  <c r="B9305" i="1"/>
  <c r="A9305" i="1"/>
  <c r="F9304" i="1"/>
  <c r="E9304" i="1"/>
  <c r="D9304" i="1"/>
  <c r="C9304" i="1"/>
  <c r="B9304" i="1"/>
  <c r="A9304" i="1"/>
  <c r="F9303" i="1"/>
  <c r="E9303" i="1"/>
  <c r="D9303" i="1"/>
  <c r="C9303" i="1"/>
  <c r="B9303" i="1"/>
  <c r="A9303" i="1"/>
  <c r="F9302" i="1"/>
  <c r="E9302" i="1"/>
  <c r="D9302" i="1"/>
  <c r="C9302" i="1"/>
  <c r="B9302" i="1"/>
  <c r="A9302" i="1"/>
  <c r="F9301" i="1"/>
  <c r="E9301" i="1"/>
  <c r="D9301" i="1"/>
  <c r="C9301" i="1"/>
  <c r="B9301" i="1"/>
  <c r="A9301" i="1"/>
  <c r="F9300" i="1"/>
  <c r="E9300" i="1"/>
  <c r="D9300" i="1"/>
  <c r="C9300" i="1"/>
  <c r="B9300" i="1"/>
  <c r="A9300" i="1"/>
  <c r="F9299" i="1"/>
  <c r="E9299" i="1"/>
  <c r="D9299" i="1"/>
  <c r="C9299" i="1"/>
  <c r="B9299" i="1"/>
  <c r="A9299" i="1"/>
  <c r="F9298" i="1"/>
  <c r="E9298" i="1"/>
  <c r="D9298" i="1"/>
  <c r="C9298" i="1"/>
  <c r="B9298" i="1"/>
  <c r="A9298" i="1"/>
  <c r="F9297" i="1"/>
  <c r="E9297" i="1"/>
  <c r="D9297" i="1"/>
  <c r="C9297" i="1"/>
  <c r="B9297" i="1"/>
  <c r="A9297" i="1"/>
  <c r="F9296" i="1"/>
  <c r="E9296" i="1"/>
  <c r="D9296" i="1"/>
  <c r="C9296" i="1"/>
  <c r="B9296" i="1"/>
  <c r="A9296" i="1"/>
  <c r="F9295" i="1"/>
  <c r="E9295" i="1"/>
  <c r="D9295" i="1"/>
  <c r="C9295" i="1"/>
  <c r="B9295" i="1"/>
  <c r="A9295" i="1"/>
  <c r="F9294" i="1"/>
  <c r="E9294" i="1"/>
  <c r="D9294" i="1"/>
  <c r="C9294" i="1"/>
  <c r="B9294" i="1"/>
  <c r="A9294" i="1"/>
  <c r="F9293" i="1"/>
  <c r="E9293" i="1"/>
  <c r="D9293" i="1"/>
  <c r="C9293" i="1"/>
  <c r="B9293" i="1"/>
  <c r="A9293" i="1"/>
  <c r="F9292" i="1"/>
  <c r="E9292" i="1"/>
  <c r="D9292" i="1"/>
  <c r="C9292" i="1"/>
  <c r="B9292" i="1"/>
  <c r="A9292" i="1"/>
  <c r="F9291" i="1"/>
  <c r="E9291" i="1"/>
  <c r="D9291" i="1"/>
  <c r="C9291" i="1"/>
  <c r="B9291" i="1"/>
  <c r="A9291" i="1"/>
  <c r="F9290" i="1"/>
  <c r="E9290" i="1"/>
  <c r="D9290" i="1"/>
  <c r="C9290" i="1"/>
  <c r="B9290" i="1"/>
  <c r="A9290" i="1"/>
  <c r="F9289" i="1"/>
  <c r="E9289" i="1"/>
  <c r="D9289" i="1"/>
  <c r="C9289" i="1"/>
  <c r="B9289" i="1"/>
  <c r="A9289" i="1"/>
  <c r="F9288" i="1"/>
  <c r="E9288" i="1"/>
  <c r="D9288" i="1"/>
  <c r="C9288" i="1"/>
  <c r="B9288" i="1"/>
  <c r="A9288" i="1"/>
  <c r="F9287" i="1"/>
  <c r="E9287" i="1"/>
  <c r="D9287" i="1"/>
  <c r="C9287" i="1"/>
  <c r="B9287" i="1"/>
  <c r="A9287" i="1"/>
  <c r="F9286" i="1"/>
  <c r="E9286" i="1"/>
  <c r="D9286" i="1"/>
  <c r="C9286" i="1"/>
  <c r="B9286" i="1"/>
  <c r="A9286" i="1"/>
  <c r="F9285" i="1"/>
  <c r="E9285" i="1"/>
  <c r="D9285" i="1"/>
  <c r="C9285" i="1"/>
  <c r="B9285" i="1"/>
  <c r="A9285" i="1"/>
  <c r="F9284" i="1"/>
  <c r="E9284" i="1"/>
  <c r="D9284" i="1"/>
  <c r="C9284" i="1"/>
  <c r="B9284" i="1"/>
  <c r="A9284" i="1"/>
  <c r="F9283" i="1"/>
  <c r="E9283" i="1"/>
  <c r="D9283" i="1"/>
  <c r="C9283" i="1"/>
  <c r="B9283" i="1"/>
  <c r="A9283" i="1"/>
  <c r="F9282" i="1"/>
  <c r="E9282" i="1"/>
  <c r="D9282" i="1"/>
  <c r="C9282" i="1"/>
  <c r="B9282" i="1"/>
  <c r="A9282" i="1"/>
  <c r="F9281" i="1"/>
  <c r="E9281" i="1"/>
  <c r="D9281" i="1"/>
  <c r="C9281" i="1"/>
  <c r="B9281" i="1"/>
  <c r="A9281" i="1"/>
  <c r="F9280" i="1"/>
  <c r="E9280" i="1"/>
  <c r="D9280" i="1"/>
  <c r="C9280" i="1"/>
  <c r="B9280" i="1"/>
  <c r="A9280" i="1"/>
  <c r="F9279" i="1"/>
  <c r="E9279" i="1"/>
  <c r="D9279" i="1"/>
  <c r="C9279" i="1"/>
  <c r="B9279" i="1"/>
  <c r="A9279" i="1"/>
  <c r="F9278" i="1"/>
  <c r="E9278" i="1"/>
  <c r="D9278" i="1"/>
  <c r="C9278" i="1"/>
  <c r="B9278" i="1"/>
  <c r="A9278" i="1"/>
  <c r="F9277" i="1"/>
  <c r="E9277" i="1"/>
  <c r="D9277" i="1"/>
  <c r="C9277" i="1"/>
  <c r="B9277" i="1"/>
  <c r="A9277" i="1"/>
  <c r="F9276" i="1"/>
  <c r="E9276" i="1"/>
  <c r="D9276" i="1"/>
  <c r="C9276" i="1"/>
  <c r="B9276" i="1"/>
  <c r="A9276" i="1"/>
  <c r="F9275" i="1"/>
  <c r="E9275" i="1"/>
  <c r="D9275" i="1"/>
  <c r="C9275" i="1"/>
  <c r="B9275" i="1"/>
  <c r="A9275" i="1"/>
  <c r="F9274" i="1"/>
  <c r="E9274" i="1"/>
  <c r="D9274" i="1"/>
  <c r="C9274" i="1"/>
  <c r="B9274" i="1"/>
  <c r="A9274" i="1"/>
  <c r="F9273" i="1"/>
  <c r="E9273" i="1"/>
  <c r="D9273" i="1"/>
  <c r="C9273" i="1"/>
  <c r="B9273" i="1"/>
  <c r="A9273" i="1"/>
  <c r="F9272" i="1"/>
  <c r="E9272" i="1"/>
  <c r="D9272" i="1"/>
  <c r="C9272" i="1"/>
  <c r="B9272" i="1"/>
  <c r="A9272" i="1"/>
  <c r="F9271" i="1"/>
  <c r="E9271" i="1"/>
  <c r="D9271" i="1"/>
  <c r="C9271" i="1"/>
  <c r="B9271" i="1"/>
  <c r="A9271" i="1"/>
  <c r="F9270" i="1"/>
  <c r="E9270" i="1"/>
  <c r="D9270" i="1"/>
  <c r="C9270" i="1"/>
  <c r="B9270" i="1"/>
  <c r="A9270" i="1"/>
  <c r="F9269" i="1"/>
  <c r="E9269" i="1"/>
  <c r="D9269" i="1"/>
  <c r="C9269" i="1"/>
  <c r="B9269" i="1"/>
  <c r="A9269" i="1"/>
  <c r="F9268" i="1"/>
  <c r="E9268" i="1"/>
  <c r="D9268" i="1"/>
  <c r="C9268" i="1"/>
  <c r="B9268" i="1"/>
  <c r="A9268" i="1"/>
  <c r="F9267" i="1"/>
  <c r="E9267" i="1"/>
  <c r="D9267" i="1"/>
  <c r="C9267" i="1"/>
  <c r="B9267" i="1"/>
  <c r="A9267" i="1"/>
  <c r="F9266" i="1"/>
  <c r="E9266" i="1"/>
  <c r="D9266" i="1"/>
  <c r="C9266" i="1"/>
  <c r="B9266" i="1"/>
  <c r="A9266" i="1"/>
  <c r="F9265" i="1"/>
  <c r="E9265" i="1"/>
  <c r="D9265" i="1"/>
  <c r="C9265" i="1"/>
  <c r="B9265" i="1"/>
  <c r="A9265" i="1"/>
  <c r="F9264" i="1"/>
  <c r="E9264" i="1"/>
  <c r="D9264" i="1"/>
  <c r="C9264" i="1"/>
  <c r="B9264" i="1"/>
  <c r="A9264" i="1"/>
  <c r="F9263" i="1"/>
  <c r="E9263" i="1"/>
  <c r="D9263" i="1"/>
  <c r="C9263" i="1"/>
  <c r="B9263" i="1"/>
  <c r="A9263" i="1"/>
  <c r="F9262" i="1"/>
  <c r="E9262" i="1"/>
  <c r="D9262" i="1"/>
  <c r="C9262" i="1"/>
  <c r="B9262" i="1"/>
  <c r="A9262" i="1"/>
  <c r="F9261" i="1"/>
  <c r="E9261" i="1"/>
  <c r="D9261" i="1"/>
  <c r="C9261" i="1"/>
  <c r="B9261" i="1"/>
  <c r="A9261" i="1"/>
  <c r="F9260" i="1"/>
  <c r="E9260" i="1"/>
  <c r="D9260" i="1"/>
  <c r="C9260" i="1"/>
  <c r="B9260" i="1"/>
  <c r="A9260" i="1"/>
  <c r="F9259" i="1"/>
  <c r="E9259" i="1"/>
  <c r="D9259" i="1"/>
  <c r="C9259" i="1"/>
  <c r="B9259" i="1"/>
  <c r="A9259" i="1"/>
  <c r="F9258" i="1"/>
  <c r="E9258" i="1"/>
  <c r="D9258" i="1"/>
  <c r="C9258" i="1"/>
  <c r="B9258" i="1"/>
  <c r="A9258" i="1"/>
  <c r="F9257" i="1"/>
  <c r="E9257" i="1"/>
  <c r="D9257" i="1"/>
  <c r="C9257" i="1"/>
  <c r="B9257" i="1"/>
  <c r="A9257" i="1"/>
  <c r="F9256" i="1"/>
  <c r="E9256" i="1"/>
  <c r="D9256" i="1"/>
  <c r="C9256" i="1"/>
  <c r="B9256" i="1"/>
  <c r="A9256" i="1"/>
  <c r="F9255" i="1"/>
  <c r="E9255" i="1"/>
  <c r="D9255" i="1"/>
  <c r="C9255" i="1"/>
  <c r="B9255" i="1"/>
  <c r="A9255" i="1"/>
  <c r="F9254" i="1"/>
  <c r="E9254" i="1"/>
  <c r="D9254" i="1"/>
  <c r="C9254" i="1"/>
  <c r="B9254" i="1"/>
  <c r="A9254" i="1"/>
  <c r="F9253" i="1"/>
  <c r="E9253" i="1"/>
  <c r="D9253" i="1"/>
  <c r="C9253" i="1"/>
  <c r="B9253" i="1"/>
  <c r="A9253" i="1"/>
  <c r="F9252" i="1"/>
  <c r="E9252" i="1"/>
  <c r="D9252" i="1"/>
  <c r="C9252" i="1"/>
  <c r="B9252" i="1"/>
  <c r="A9252" i="1"/>
  <c r="F9251" i="1"/>
  <c r="E9251" i="1"/>
  <c r="D9251" i="1"/>
  <c r="C9251" i="1"/>
  <c r="B9251" i="1"/>
  <c r="A9251" i="1"/>
  <c r="F9250" i="1"/>
  <c r="E9250" i="1"/>
  <c r="D9250" i="1"/>
  <c r="C9250" i="1"/>
  <c r="B9250" i="1"/>
  <c r="A9250" i="1"/>
  <c r="F9249" i="1"/>
  <c r="E9249" i="1"/>
  <c r="D9249" i="1"/>
  <c r="C9249" i="1"/>
  <c r="B9249" i="1"/>
  <c r="A9249" i="1"/>
  <c r="F9248" i="1"/>
  <c r="E9248" i="1"/>
  <c r="D9248" i="1"/>
  <c r="C9248" i="1"/>
  <c r="B9248" i="1"/>
  <c r="A9248" i="1"/>
  <c r="F9247" i="1"/>
  <c r="E9247" i="1"/>
  <c r="D9247" i="1"/>
  <c r="C9247" i="1"/>
  <c r="B9247" i="1"/>
  <c r="A9247" i="1"/>
  <c r="F9246" i="1"/>
  <c r="E9246" i="1"/>
  <c r="D9246" i="1"/>
  <c r="C9246" i="1"/>
  <c r="B9246" i="1"/>
  <c r="A9246" i="1"/>
  <c r="F9245" i="1"/>
  <c r="E9245" i="1"/>
  <c r="D9245" i="1"/>
  <c r="C9245" i="1"/>
  <c r="B9245" i="1"/>
  <c r="A9245" i="1"/>
  <c r="F9244" i="1"/>
  <c r="E9244" i="1"/>
  <c r="D9244" i="1"/>
  <c r="C9244" i="1"/>
  <c r="B9244" i="1"/>
  <c r="A9244" i="1"/>
  <c r="F9243" i="1"/>
  <c r="E9243" i="1"/>
  <c r="D9243" i="1"/>
  <c r="C9243" i="1"/>
  <c r="B9243" i="1"/>
  <c r="A9243" i="1"/>
  <c r="F9242" i="1"/>
  <c r="E9242" i="1"/>
  <c r="D9242" i="1"/>
  <c r="C9242" i="1"/>
  <c r="B9242" i="1"/>
  <c r="A9242" i="1"/>
  <c r="F9241" i="1"/>
  <c r="E9241" i="1"/>
  <c r="D9241" i="1"/>
  <c r="C9241" i="1"/>
  <c r="B9241" i="1"/>
  <c r="A9241" i="1"/>
  <c r="F9240" i="1"/>
  <c r="E9240" i="1"/>
  <c r="D9240" i="1"/>
  <c r="C9240" i="1"/>
  <c r="B9240" i="1"/>
  <c r="A9240" i="1"/>
  <c r="F9239" i="1"/>
  <c r="E9239" i="1"/>
  <c r="D9239" i="1"/>
  <c r="C9239" i="1"/>
  <c r="B9239" i="1"/>
  <c r="A9239" i="1"/>
  <c r="F9238" i="1"/>
  <c r="E9238" i="1"/>
  <c r="D9238" i="1"/>
  <c r="C9238" i="1"/>
  <c r="B9238" i="1"/>
  <c r="A9238" i="1"/>
  <c r="F9237" i="1"/>
  <c r="E9237" i="1"/>
  <c r="D9237" i="1"/>
  <c r="C9237" i="1"/>
  <c r="B9237" i="1"/>
  <c r="A9237" i="1"/>
  <c r="F9236" i="1"/>
  <c r="E9236" i="1"/>
  <c r="D9236" i="1"/>
  <c r="C9236" i="1"/>
  <c r="B9236" i="1"/>
  <c r="A9236" i="1"/>
  <c r="F9235" i="1"/>
  <c r="E9235" i="1"/>
  <c r="D9235" i="1"/>
  <c r="C9235" i="1"/>
  <c r="B9235" i="1"/>
  <c r="A9235" i="1"/>
  <c r="F9234" i="1"/>
  <c r="E9234" i="1"/>
  <c r="D9234" i="1"/>
  <c r="C9234" i="1"/>
  <c r="B9234" i="1"/>
  <c r="A9234" i="1"/>
  <c r="F9233" i="1"/>
  <c r="E9233" i="1"/>
  <c r="D9233" i="1"/>
  <c r="C9233" i="1"/>
  <c r="B9233" i="1"/>
  <c r="A9233" i="1"/>
  <c r="F9232" i="1"/>
  <c r="E9232" i="1"/>
  <c r="D9232" i="1"/>
  <c r="C9232" i="1"/>
  <c r="B9232" i="1"/>
  <c r="A9232" i="1"/>
  <c r="F9231" i="1"/>
  <c r="E9231" i="1"/>
  <c r="D9231" i="1"/>
  <c r="C9231" i="1"/>
  <c r="B9231" i="1"/>
  <c r="A9231" i="1"/>
  <c r="F9230" i="1"/>
  <c r="E9230" i="1"/>
  <c r="D9230" i="1"/>
  <c r="C9230" i="1"/>
  <c r="B9230" i="1"/>
  <c r="A9230" i="1"/>
  <c r="F9229" i="1"/>
  <c r="E9229" i="1"/>
  <c r="D9229" i="1"/>
  <c r="C9229" i="1"/>
  <c r="B9229" i="1"/>
  <c r="A9229" i="1"/>
  <c r="F9228" i="1"/>
  <c r="E9228" i="1"/>
  <c r="D9228" i="1"/>
  <c r="C9228" i="1"/>
  <c r="B9228" i="1"/>
  <c r="A9228" i="1"/>
  <c r="F9227" i="1"/>
  <c r="E9227" i="1"/>
  <c r="D9227" i="1"/>
  <c r="C9227" i="1"/>
  <c r="B9227" i="1"/>
  <c r="A9227" i="1"/>
  <c r="F9226" i="1"/>
  <c r="E9226" i="1"/>
  <c r="D9226" i="1"/>
  <c r="C9226" i="1"/>
  <c r="B9226" i="1"/>
  <c r="A9226" i="1"/>
  <c r="F9225" i="1"/>
  <c r="E9225" i="1"/>
  <c r="D9225" i="1"/>
  <c r="C9225" i="1"/>
  <c r="B9225" i="1"/>
  <c r="A9225" i="1"/>
  <c r="F9224" i="1"/>
  <c r="E9224" i="1"/>
  <c r="D9224" i="1"/>
  <c r="C9224" i="1"/>
  <c r="B9224" i="1"/>
  <c r="A9224" i="1"/>
  <c r="F9223" i="1"/>
  <c r="E9223" i="1"/>
  <c r="D9223" i="1"/>
  <c r="C9223" i="1"/>
  <c r="B9223" i="1"/>
  <c r="A9223" i="1"/>
  <c r="F9222" i="1"/>
  <c r="E9222" i="1"/>
  <c r="D9222" i="1"/>
  <c r="C9222" i="1"/>
  <c r="B9222" i="1"/>
  <c r="A9222" i="1"/>
  <c r="F9221" i="1"/>
  <c r="E9221" i="1"/>
  <c r="D9221" i="1"/>
  <c r="C9221" i="1"/>
  <c r="B9221" i="1"/>
  <c r="A9221" i="1"/>
  <c r="F9220" i="1"/>
  <c r="E9220" i="1"/>
  <c r="D9220" i="1"/>
  <c r="C9220" i="1"/>
  <c r="B9220" i="1"/>
  <c r="A9220" i="1"/>
  <c r="F9219" i="1"/>
  <c r="E9219" i="1"/>
  <c r="D9219" i="1"/>
  <c r="C9219" i="1"/>
  <c r="B9219" i="1"/>
  <c r="A9219" i="1"/>
  <c r="F9218" i="1"/>
  <c r="E9218" i="1"/>
  <c r="D9218" i="1"/>
  <c r="C9218" i="1"/>
  <c r="B9218" i="1"/>
  <c r="A9218" i="1"/>
  <c r="F9217" i="1"/>
  <c r="E9217" i="1"/>
  <c r="D9217" i="1"/>
  <c r="C9217" i="1"/>
  <c r="B9217" i="1"/>
  <c r="A9217" i="1"/>
  <c r="F9216" i="1"/>
  <c r="E9216" i="1"/>
  <c r="D9216" i="1"/>
  <c r="C9216" i="1"/>
  <c r="B9216" i="1"/>
  <c r="A9216" i="1"/>
  <c r="F9215" i="1"/>
  <c r="E9215" i="1"/>
  <c r="D9215" i="1"/>
  <c r="C9215" i="1"/>
  <c r="B9215" i="1"/>
  <c r="A9215" i="1"/>
  <c r="F9214" i="1"/>
  <c r="E9214" i="1"/>
  <c r="D9214" i="1"/>
  <c r="C9214" i="1"/>
  <c r="B9214" i="1"/>
  <c r="A9214" i="1"/>
  <c r="F9213" i="1"/>
  <c r="E9213" i="1"/>
  <c r="D9213" i="1"/>
  <c r="C9213" i="1"/>
  <c r="B9213" i="1"/>
  <c r="A9213" i="1"/>
  <c r="F9212" i="1"/>
  <c r="E9212" i="1"/>
  <c r="D9212" i="1"/>
  <c r="C9212" i="1"/>
  <c r="B9212" i="1"/>
  <c r="A9212" i="1"/>
  <c r="F9211" i="1"/>
  <c r="E9211" i="1"/>
  <c r="D9211" i="1"/>
  <c r="C9211" i="1"/>
  <c r="B9211" i="1"/>
  <c r="A9211" i="1"/>
  <c r="F9210" i="1"/>
  <c r="E9210" i="1"/>
  <c r="D9210" i="1"/>
  <c r="C9210" i="1"/>
  <c r="B9210" i="1"/>
  <c r="A9210" i="1"/>
  <c r="F9209" i="1"/>
  <c r="E9209" i="1"/>
  <c r="D9209" i="1"/>
  <c r="C9209" i="1"/>
  <c r="B9209" i="1"/>
  <c r="A9209" i="1"/>
  <c r="F9208" i="1"/>
  <c r="E9208" i="1"/>
  <c r="D9208" i="1"/>
  <c r="C9208" i="1"/>
  <c r="B9208" i="1"/>
  <c r="A9208" i="1"/>
  <c r="F9207" i="1"/>
  <c r="E9207" i="1"/>
  <c r="D9207" i="1"/>
  <c r="C9207" i="1"/>
  <c r="B9207" i="1"/>
  <c r="A9207" i="1"/>
  <c r="F9206" i="1"/>
  <c r="E9206" i="1"/>
  <c r="D9206" i="1"/>
  <c r="C9206" i="1"/>
  <c r="B9206" i="1"/>
  <c r="A9206" i="1"/>
  <c r="F9205" i="1"/>
  <c r="E9205" i="1"/>
  <c r="D9205" i="1"/>
  <c r="C9205" i="1"/>
  <c r="B9205" i="1"/>
  <c r="A9205" i="1"/>
  <c r="F9204" i="1"/>
  <c r="E9204" i="1"/>
  <c r="D9204" i="1"/>
  <c r="C9204" i="1"/>
  <c r="B9204" i="1"/>
  <c r="A9204" i="1"/>
  <c r="F9203" i="1"/>
  <c r="E9203" i="1"/>
  <c r="D9203" i="1"/>
  <c r="C9203" i="1"/>
  <c r="B9203" i="1"/>
  <c r="A9203" i="1"/>
  <c r="F9202" i="1"/>
  <c r="E9202" i="1"/>
  <c r="D9202" i="1"/>
  <c r="C9202" i="1"/>
  <c r="B9202" i="1"/>
  <c r="A9202" i="1"/>
  <c r="F9201" i="1"/>
  <c r="E9201" i="1"/>
  <c r="D9201" i="1"/>
  <c r="C9201" i="1"/>
  <c r="B9201" i="1"/>
  <c r="A9201" i="1"/>
  <c r="F9200" i="1"/>
  <c r="E9200" i="1"/>
  <c r="D9200" i="1"/>
  <c r="C9200" i="1"/>
  <c r="B9200" i="1"/>
  <c r="A9200" i="1"/>
  <c r="F9199" i="1"/>
  <c r="E9199" i="1"/>
  <c r="D9199" i="1"/>
  <c r="C9199" i="1"/>
  <c r="B9199" i="1"/>
  <c r="A9199" i="1"/>
  <c r="F9198" i="1"/>
  <c r="E9198" i="1"/>
  <c r="D9198" i="1"/>
  <c r="C9198" i="1"/>
  <c r="B9198" i="1"/>
  <c r="A9198" i="1"/>
  <c r="F9197" i="1"/>
  <c r="E9197" i="1"/>
  <c r="D9197" i="1"/>
  <c r="C9197" i="1"/>
  <c r="B9197" i="1"/>
  <c r="A9197" i="1"/>
  <c r="F9196" i="1"/>
  <c r="E9196" i="1"/>
  <c r="D9196" i="1"/>
  <c r="C9196" i="1"/>
  <c r="B9196" i="1"/>
  <c r="A9196" i="1"/>
  <c r="F9195" i="1"/>
  <c r="E9195" i="1"/>
  <c r="D9195" i="1"/>
  <c r="C9195" i="1"/>
  <c r="B9195" i="1"/>
  <c r="A9195" i="1"/>
  <c r="F9194" i="1"/>
  <c r="E9194" i="1"/>
  <c r="D9194" i="1"/>
  <c r="C9194" i="1"/>
  <c r="B9194" i="1"/>
  <c r="A9194" i="1"/>
  <c r="F9193" i="1"/>
  <c r="E9193" i="1"/>
  <c r="D9193" i="1"/>
  <c r="C9193" i="1"/>
  <c r="B9193" i="1"/>
  <c r="A9193" i="1"/>
  <c r="F9192" i="1"/>
  <c r="E9192" i="1"/>
  <c r="D9192" i="1"/>
  <c r="C9192" i="1"/>
  <c r="B9192" i="1"/>
  <c r="A9192" i="1"/>
  <c r="F9191" i="1"/>
  <c r="E9191" i="1"/>
  <c r="D9191" i="1"/>
  <c r="C9191" i="1"/>
  <c r="B9191" i="1"/>
  <c r="A9191" i="1"/>
  <c r="F9190" i="1"/>
  <c r="E9190" i="1"/>
  <c r="D9190" i="1"/>
  <c r="C9190" i="1"/>
  <c r="B9190" i="1"/>
  <c r="A9190" i="1"/>
  <c r="F9189" i="1"/>
  <c r="E9189" i="1"/>
  <c r="D9189" i="1"/>
  <c r="C9189" i="1"/>
  <c r="B9189" i="1"/>
  <c r="A9189" i="1"/>
  <c r="F9188" i="1"/>
  <c r="E9188" i="1"/>
  <c r="D9188" i="1"/>
  <c r="C9188" i="1"/>
  <c r="B9188" i="1"/>
  <c r="A9188" i="1"/>
  <c r="F9187" i="1"/>
  <c r="E9187" i="1"/>
  <c r="D9187" i="1"/>
  <c r="C9187" i="1"/>
  <c r="B9187" i="1"/>
  <c r="A9187" i="1"/>
  <c r="F9186" i="1"/>
  <c r="E9186" i="1"/>
  <c r="D9186" i="1"/>
  <c r="C9186" i="1"/>
  <c r="B9186" i="1"/>
  <c r="A9186" i="1"/>
  <c r="F9185" i="1"/>
  <c r="E9185" i="1"/>
  <c r="D9185" i="1"/>
  <c r="C9185" i="1"/>
  <c r="B9185" i="1"/>
  <c r="A9185" i="1"/>
  <c r="F9184" i="1"/>
  <c r="E9184" i="1"/>
  <c r="D9184" i="1"/>
  <c r="C9184" i="1"/>
  <c r="B9184" i="1"/>
  <c r="A9184" i="1"/>
  <c r="F9183" i="1"/>
  <c r="E9183" i="1"/>
  <c r="D9183" i="1"/>
  <c r="C9183" i="1"/>
  <c r="B9183" i="1"/>
  <c r="A9183" i="1"/>
  <c r="F9182" i="1"/>
  <c r="E9182" i="1"/>
  <c r="D9182" i="1"/>
  <c r="C9182" i="1"/>
  <c r="B9182" i="1"/>
  <c r="A9182" i="1"/>
  <c r="F9181" i="1"/>
  <c r="E9181" i="1"/>
  <c r="D9181" i="1"/>
  <c r="C9181" i="1"/>
  <c r="B9181" i="1"/>
  <c r="A9181" i="1"/>
  <c r="F9180" i="1"/>
  <c r="E9180" i="1"/>
  <c r="D9180" i="1"/>
  <c r="C9180" i="1"/>
  <c r="B9180" i="1"/>
  <c r="A9180" i="1"/>
  <c r="F9179" i="1"/>
  <c r="E9179" i="1"/>
  <c r="D9179" i="1"/>
  <c r="C9179" i="1"/>
  <c r="B9179" i="1"/>
  <c r="A9179" i="1"/>
  <c r="F9178" i="1"/>
  <c r="E9178" i="1"/>
  <c r="D9178" i="1"/>
  <c r="C9178" i="1"/>
  <c r="B9178" i="1"/>
  <c r="A9178" i="1"/>
  <c r="F9177" i="1"/>
  <c r="E9177" i="1"/>
  <c r="D9177" i="1"/>
  <c r="C9177" i="1"/>
  <c r="B9177" i="1"/>
  <c r="A9177" i="1"/>
  <c r="F9176" i="1"/>
  <c r="E9176" i="1"/>
  <c r="D9176" i="1"/>
  <c r="C9176" i="1"/>
  <c r="B9176" i="1"/>
  <c r="A9176" i="1"/>
  <c r="F9175" i="1"/>
  <c r="E9175" i="1"/>
  <c r="D9175" i="1"/>
  <c r="C9175" i="1"/>
  <c r="B9175" i="1"/>
  <c r="A9175" i="1"/>
  <c r="F9174" i="1"/>
  <c r="E9174" i="1"/>
  <c r="D9174" i="1"/>
  <c r="C9174" i="1"/>
  <c r="B9174" i="1"/>
  <c r="A9174" i="1"/>
  <c r="F9173" i="1"/>
  <c r="E9173" i="1"/>
  <c r="D9173" i="1"/>
  <c r="C9173" i="1"/>
  <c r="B9173" i="1"/>
  <c r="A9173" i="1"/>
  <c r="F9172" i="1"/>
  <c r="E9172" i="1"/>
  <c r="D9172" i="1"/>
  <c r="C9172" i="1"/>
  <c r="B9172" i="1"/>
  <c r="A9172" i="1"/>
  <c r="F9171" i="1"/>
  <c r="E9171" i="1"/>
  <c r="D9171" i="1"/>
  <c r="C9171" i="1"/>
  <c r="B9171" i="1"/>
  <c r="A9171" i="1"/>
  <c r="F9170" i="1"/>
  <c r="E9170" i="1"/>
  <c r="D9170" i="1"/>
  <c r="C9170" i="1"/>
  <c r="B9170" i="1"/>
  <c r="A9170" i="1"/>
  <c r="F9169" i="1"/>
  <c r="E9169" i="1"/>
  <c r="D9169" i="1"/>
  <c r="C9169" i="1"/>
  <c r="B9169" i="1"/>
  <c r="A9169" i="1"/>
  <c r="F9168" i="1"/>
  <c r="E9168" i="1"/>
  <c r="D9168" i="1"/>
  <c r="C9168" i="1"/>
  <c r="B9168" i="1"/>
  <c r="A9168" i="1"/>
  <c r="F9167" i="1"/>
  <c r="E9167" i="1"/>
  <c r="D9167" i="1"/>
  <c r="C9167" i="1"/>
  <c r="B9167" i="1"/>
  <c r="A9167" i="1"/>
  <c r="F9166" i="1"/>
  <c r="E9166" i="1"/>
  <c r="D9166" i="1"/>
  <c r="C9166" i="1"/>
  <c r="B9166" i="1"/>
  <c r="A9166" i="1"/>
  <c r="F9165" i="1"/>
  <c r="E9165" i="1"/>
  <c r="D9165" i="1"/>
  <c r="C9165" i="1"/>
  <c r="B9165" i="1"/>
  <c r="A9165" i="1"/>
  <c r="F9164" i="1"/>
  <c r="E9164" i="1"/>
  <c r="D9164" i="1"/>
  <c r="C9164" i="1"/>
  <c r="B9164" i="1"/>
  <c r="A9164" i="1"/>
  <c r="F9163" i="1"/>
  <c r="E9163" i="1"/>
  <c r="D9163" i="1"/>
  <c r="C9163" i="1"/>
  <c r="B9163" i="1"/>
  <c r="A9163" i="1"/>
  <c r="F9162" i="1"/>
  <c r="E9162" i="1"/>
  <c r="D9162" i="1"/>
  <c r="C9162" i="1"/>
  <c r="B9162" i="1"/>
  <c r="A9162" i="1"/>
  <c r="F9161" i="1"/>
  <c r="E9161" i="1"/>
  <c r="D9161" i="1"/>
  <c r="C9161" i="1"/>
  <c r="B9161" i="1"/>
  <c r="A9161" i="1"/>
  <c r="F9160" i="1"/>
  <c r="E9160" i="1"/>
  <c r="D9160" i="1"/>
  <c r="C9160" i="1"/>
  <c r="B9160" i="1"/>
  <c r="A9160" i="1"/>
  <c r="F9159" i="1"/>
  <c r="E9159" i="1"/>
  <c r="D9159" i="1"/>
  <c r="C9159" i="1"/>
  <c r="B9159" i="1"/>
  <c r="A9159" i="1"/>
  <c r="F9158" i="1"/>
  <c r="E9158" i="1"/>
  <c r="D9158" i="1"/>
  <c r="C9158" i="1"/>
  <c r="B9158" i="1"/>
  <c r="A9158" i="1"/>
  <c r="F9157" i="1"/>
  <c r="E9157" i="1"/>
  <c r="D9157" i="1"/>
  <c r="C9157" i="1"/>
  <c r="B9157" i="1"/>
  <c r="A9157" i="1"/>
  <c r="F9156" i="1"/>
  <c r="E9156" i="1"/>
  <c r="D9156" i="1"/>
  <c r="C9156" i="1"/>
  <c r="B9156" i="1"/>
  <c r="A9156" i="1"/>
  <c r="F9155" i="1"/>
  <c r="E9155" i="1"/>
  <c r="D9155" i="1"/>
  <c r="C9155" i="1"/>
  <c r="B9155" i="1"/>
  <c r="A9155" i="1"/>
  <c r="F9154" i="1"/>
  <c r="E9154" i="1"/>
  <c r="D9154" i="1"/>
  <c r="C9154" i="1"/>
  <c r="B9154" i="1"/>
  <c r="A9154" i="1"/>
  <c r="F9153" i="1"/>
  <c r="E9153" i="1"/>
  <c r="D9153" i="1"/>
  <c r="C9153" i="1"/>
  <c r="B9153" i="1"/>
  <c r="A9153" i="1"/>
  <c r="F9152" i="1"/>
  <c r="E9152" i="1"/>
  <c r="D9152" i="1"/>
  <c r="C9152" i="1"/>
  <c r="B9152" i="1"/>
  <c r="A9152" i="1"/>
  <c r="F9151" i="1"/>
  <c r="E9151" i="1"/>
  <c r="D9151" i="1"/>
  <c r="C9151" i="1"/>
  <c r="B9151" i="1"/>
  <c r="A9151" i="1"/>
  <c r="F9150" i="1"/>
  <c r="E9150" i="1"/>
  <c r="D9150" i="1"/>
  <c r="C9150" i="1"/>
  <c r="B9150" i="1"/>
  <c r="A9150" i="1"/>
  <c r="F9149" i="1"/>
  <c r="E9149" i="1"/>
  <c r="D9149" i="1"/>
  <c r="C9149" i="1"/>
  <c r="B9149" i="1"/>
  <c r="A9149" i="1"/>
  <c r="F9148" i="1"/>
  <c r="E9148" i="1"/>
  <c r="D9148" i="1"/>
  <c r="C9148" i="1"/>
  <c r="B9148" i="1"/>
  <c r="A9148" i="1"/>
  <c r="F9147" i="1"/>
  <c r="E9147" i="1"/>
  <c r="D9147" i="1"/>
  <c r="C9147" i="1"/>
  <c r="B9147" i="1"/>
  <c r="A9147" i="1"/>
  <c r="F9146" i="1"/>
  <c r="E9146" i="1"/>
  <c r="D9146" i="1"/>
  <c r="C9146" i="1"/>
  <c r="B9146" i="1"/>
  <c r="A9146" i="1"/>
  <c r="F9145" i="1"/>
  <c r="E9145" i="1"/>
  <c r="D9145" i="1"/>
  <c r="C9145" i="1"/>
  <c r="B9145" i="1"/>
  <c r="A9145" i="1"/>
  <c r="F9144" i="1"/>
  <c r="E9144" i="1"/>
  <c r="D9144" i="1"/>
  <c r="C9144" i="1"/>
  <c r="B9144" i="1"/>
  <c r="A9144" i="1"/>
  <c r="F9143" i="1"/>
  <c r="E9143" i="1"/>
  <c r="D9143" i="1"/>
  <c r="C9143" i="1"/>
  <c r="B9143" i="1"/>
  <c r="A9143" i="1"/>
  <c r="F9142" i="1"/>
  <c r="E9142" i="1"/>
  <c r="D9142" i="1"/>
  <c r="C9142" i="1"/>
  <c r="B9142" i="1"/>
  <c r="A9142" i="1"/>
  <c r="F9141" i="1"/>
  <c r="E9141" i="1"/>
  <c r="D9141" i="1"/>
  <c r="C9141" i="1"/>
  <c r="B9141" i="1"/>
  <c r="A9141" i="1"/>
  <c r="F9140" i="1"/>
  <c r="E9140" i="1"/>
  <c r="D9140" i="1"/>
  <c r="C9140" i="1"/>
  <c r="B9140" i="1"/>
  <c r="A9140" i="1"/>
  <c r="F9139" i="1"/>
  <c r="E9139" i="1"/>
  <c r="D9139" i="1"/>
  <c r="C9139" i="1"/>
  <c r="B9139" i="1"/>
  <c r="A9139" i="1"/>
  <c r="F9138" i="1"/>
  <c r="E9138" i="1"/>
  <c r="D9138" i="1"/>
  <c r="C9138" i="1"/>
  <c r="B9138" i="1"/>
  <c r="A9138" i="1"/>
  <c r="F9137" i="1"/>
  <c r="E9137" i="1"/>
  <c r="D9137" i="1"/>
  <c r="C9137" i="1"/>
  <c r="B9137" i="1"/>
  <c r="A9137" i="1"/>
  <c r="F9136" i="1"/>
  <c r="E9136" i="1"/>
  <c r="D9136" i="1"/>
  <c r="C9136" i="1"/>
  <c r="B9136" i="1"/>
  <c r="A9136" i="1"/>
  <c r="F9135" i="1"/>
  <c r="E9135" i="1"/>
  <c r="D9135" i="1"/>
  <c r="C9135" i="1"/>
  <c r="B9135" i="1"/>
  <c r="A9135" i="1"/>
  <c r="F9134" i="1"/>
  <c r="E9134" i="1"/>
  <c r="D9134" i="1"/>
  <c r="C9134" i="1"/>
  <c r="B9134" i="1"/>
  <c r="A9134" i="1"/>
  <c r="F9133" i="1"/>
  <c r="E9133" i="1"/>
  <c r="D9133" i="1"/>
  <c r="C9133" i="1"/>
  <c r="B9133" i="1"/>
  <c r="A9133" i="1"/>
  <c r="F9132" i="1"/>
  <c r="E9132" i="1"/>
  <c r="D9132" i="1"/>
  <c r="C9132" i="1"/>
  <c r="B9132" i="1"/>
  <c r="A9132" i="1"/>
  <c r="F9131" i="1"/>
  <c r="E9131" i="1"/>
  <c r="D9131" i="1"/>
  <c r="C9131" i="1"/>
  <c r="B9131" i="1"/>
  <c r="A9131" i="1"/>
  <c r="F9130" i="1"/>
  <c r="E9130" i="1"/>
  <c r="D9130" i="1"/>
  <c r="C9130" i="1"/>
  <c r="B9130" i="1"/>
  <c r="A9130" i="1"/>
  <c r="F9129" i="1"/>
  <c r="E9129" i="1"/>
  <c r="D9129" i="1"/>
  <c r="C9129" i="1"/>
  <c r="B9129" i="1"/>
  <c r="A9129" i="1"/>
  <c r="F9128" i="1"/>
  <c r="E9128" i="1"/>
  <c r="D9128" i="1"/>
  <c r="C9128" i="1"/>
  <c r="B9128" i="1"/>
  <c r="A9128" i="1"/>
  <c r="F9127" i="1"/>
  <c r="E9127" i="1"/>
  <c r="D9127" i="1"/>
  <c r="C9127" i="1"/>
  <c r="B9127" i="1"/>
  <c r="A9127" i="1"/>
  <c r="F9126" i="1"/>
  <c r="E9126" i="1"/>
  <c r="D9126" i="1"/>
  <c r="C9126" i="1"/>
  <c r="B9126" i="1"/>
  <c r="A9126" i="1"/>
  <c r="F9125" i="1"/>
  <c r="E9125" i="1"/>
  <c r="D9125" i="1"/>
  <c r="C9125" i="1"/>
  <c r="B9125" i="1"/>
  <c r="A9125" i="1"/>
  <c r="F9124" i="1"/>
  <c r="E9124" i="1"/>
  <c r="D9124" i="1"/>
  <c r="C9124" i="1"/>
  <c r="B9124" i="1"/>
  <c r="A9124" i="1"/>
  <c r="F9123" i="1"/>
  <c r="E9123" i="1"/>
  <c r="D9123" i="1"/>
  <c r="C9123" i="1"/>
  <c r="B9123" i="1"/>
  <c r="A9123" i="1"/>
  <c r="F9122" i="1"/>
  <c r="E9122" i="1"/>
  <c r="D9122" i="1"/>
  <c r="C9122" i="1"/>
  <c r="B9122" i="1"/>
  <c r="A9122" i="1"/>
  <c r="F9121" i="1"/>
  <c r="E9121" i="1"/>
  <c r="D9121" i="1"/>
  <c r="C9121" i="1"/>
  <c r="B9121" i="1"/>
  <c r="A9121" i="1"/>
  <c r="F9120" i="1"/>
  <c r="E9120" i="1"/>
  <c r="D9120" i="1"/>
  <c r="C9120" i="1"/>
  <c r="B9120" i="1"/>
  <c r="A9120" i="1"/>
  <c r="F9119" i="1"/>
  <c r="E9119" i="1"/>
  <c r="D9119" i="1"/>
  <c r="C9119" i="1"/>
  <c r="B9119" i="1"/>
  <c r="A9119" i="1"/>
  <c r="F9118" i="1"/>
  <c r="E9118" i="1"/>
  <c r="D9118" i="1"/>
  <c r="C9118" i="1"/>
  <c r="B9118" i="1"/>
  <c r="A9118" i="1"/>
  <c r="F9117" i="1"/>
  <c r="E9117" i="1"/>
  <c r="D9117" i="1"/>
  <c r="C9117" i="1"/>
  <c r="B9117" i="1"/>
  <c r="A9117" i="1"/>
  <c r="F9116" i="1"/>
  <c r="E9116" i="1"/>
  <c r="D9116" i="1"/>
  <c r="C9116" i="1"/>
  <c r="B9116" i="1"/>
  <c r="A9116" i="1"/>
  <c r="F9115" i="1"/>
  <c r="E9115" i="1"/>
  <c r="D9115" i="1"/>
  <c r="C9115" i="1"/>
  <c r="B9115" i="1"/>
  <c r="A9115" i="1"/>
  <c r="F9114" i="1"/>
  <c r="E9114" i="1"/>
  <c r="D9114" i="1"/>
  <c r="C9114" i="1"/>
  <c r="B9114" i="1"/>
  <c r="A9114" i="1"/>
  <c r="F9113" i="1"/>
  <c r="E9113" i="1"/>
  <c r="D9113" i="1"/>
  <c r="C9113" i="1"/>
  <c r="B9113" i="1"/>
  <c r="A9113" i="1"/>
  <c r="F9112" i="1"/>
  <c r="E9112" i="1"/>
  <c r="D9112" i="1"/>
  <c r="C9112" i="1"/>
  <c r="B9112" i="1"/>
  <c r="A9112" i="1"/>
  <c r="F9111" i="1"/>
  <c r="E9111" i="1"/>
  <c r="D9111" i="1"/>
  <c r="C9111" i="1"/>
  <c r="B9111" i="1"/>
  <c r="A9111" i="1"/>
  <c r="F9110" i="1"/>
  <c r="E9110" i="1"/>
  <c r="D9110" i="1"/>
  <c r="C9110" i="1"/>
  <c r="B9110" i="1"/>
  <c r="A9110" i="1"/>
  <c r="F9109" i="1"/>
  <c r="E9109" i="1"/>
  <c r="D9109" i="1"/>
  <c r="C9109" i="1"/>
  <c r="B9109" i="1"/>
  <c r="A9109" i="1"/>
  <c r="F9108" i="1"/>
  <c r="E9108" i="1"/>
  <c r="D9108" i="1"/>
  <c r="C9108" i="1"/>
  <c r="B9108" i="1"/>
  <c r="A9108" i="1"/>
  <c r="F9107" i="1"/>
  <c r="E9107" i="1"/>
  <c r="D9107" i="1"/>
  <c r="C9107" i="1"/>
  <c r="B9107" i="1"/>
  <c r="A9107" i="1"/>
  <c r="F9106" i="1"/>
  <c r="E9106" i="1"/>
  <c r="D9106" i="1"/>
  <c r="C9106" i="1"/>
  <c r="B9106" i="1"/>
  <c r="A9106" i="1"/>
  <c r="F9105" i="1"/>
  <c r="E9105" i="1"/>
  <c r="D9105" i="1"/>
  <c r="C9105" i="1"/>
  <c r="B9105" i="1"/>
  <c r="A9105" i="1"/>
  <c r="F9104" i="1"/>
  <c r="E9104" i="1"/>
  <c r="D9104" i="1"/>
  <c r="C9104" i="1"/>
  <c r="B9104" i="1"/>
  <c r="A9104" i="1"/>
  <c r="F9103" i="1"/>
  <c r="E9103" i="1"/>
  <c r="D9103" i="1"/>
  <c r="C9103" i="1"/>
  <c r="B9103" i="1"/>
  <c r="A9103" i="1"/>
  <c r="F9102" i="1"/>
  <c r="E9102" i="1"/>
  <c r="D9102" i="1"/>
  <c r="C9102" i="1"/>
  <c r="B9102" i="1"/>
  <c r="A9102" i="1"/>
  <c r="F9101" i="1"/>
  <c r="E9101" i="1"/>
  <c r="D9101" i="1"/>
  <c r="C9101" i="1"/>
  <c r="B9101" i="1"/>
  <c r="A9101" i="1"/>
  <c r="F9100" i="1"/>
  <c r="E9100" i="1"/>
  <c r="D9100" i="1"/>
  <c r="C9100" i="1"/>
  <c r="B9100" i="1"/>
  <c r="A9100" i="1"/>
  <c r="F9099" i="1"/>
  <c r="E9099" i="1"/>
  <c r="D9099" i="1"/>
  <c r="C9099" i="1"/>
  <c r="B9099" i="1"/>
  <c r="A9099" i="1"/>
  <c r="F9098" i="1"/>
  <c r="E9098" i="1"/>
  <c r="D9098" i="1"/>
  <c r="C9098" i="1"/>
  <c r="B9098" i="1"/>
  <c r="A9098" i="1"/>
  <c r="F9097" i="1"/>
  <c r="E9097" i="1"/>
  <c r="D9097" i="1"/>
  <c r="C9097" i="1"/>
  <c r="B9097" i="1"/>
  <c r="A9097" i="1"/>
  <c r="F9096" i="1"/>
  <c r="E9096" i="1"/>
  <c r="D9096" i="1"/>
  <c r="C9096" i="1"/>
  <c r="B9096" i="1"/>
  <c r="A9096" i="1"/>
  <c r="F9095" i="1"/>
  <c r="E9095" i="1"/>
  <c r="D9095" i="1"/>
  <c r="C9095" i="1"/>
  <c r="B9095" i="1"/>
  <c r="A9095" i="1"/>
  <c r="F9094" i="1"/>
  <c r="E9094" i="1"/>
  <c r="D9094" i="1"/>
  <c r="C9094" i="1"/>
  <c r="B9094" i="1"/>
  <c r="A9094" i="1"/>
  <c r="F9093" i="1"/>
  <c r="E9093" i="1"/>
  <c r="D9093" i="1"/>
  <c r="C9093" i="1"/>
  <c r="B9093" i="1"/>
  <c r="A9093" i="1"/>
  <c r="F9092" i="1"/>
  <c r="E9092" i="1"/>
  <c r="D9092" i="1"/>
  <c r="C9092" i="1"/>
  <c r="B9092" i="1"/>
  <c r="A9092" i="1"/>
  <c r="F9091" i="1"/>
  <c r="E9091" i="1"/>
  <c r="D9091" i="1"/>
  <c r="C9091" i="1"/>
  <c r="B9091" i="1"/>
  <c r="A9091" i="1"/>
  <c r="F9090" i="1"/>
  <c r="E9090" i="1"/>
  <c r="D9090" i="1"/>
  <c r="C9090" i="1"/>
  <c r="B9090" i="1"/>
  <c r="A9090" i="1"/>
  <c r="F9089" i="1"/>
  <c r="E9089" i="1"/>
  <c r="D9089" i="1"/>
  <c r="C9089" i="1"/>
  <c r="B9089" i="1"/>
  <c r="A9089" i="1"/>
  <c r="F9088" i="1"/>
  <c r="E9088" i="1"/>
  <c r="D9088" i="1"/>
  <c r="C9088" i="1"/>
  <c r="B9088" i="1"/>
  <c r="A9088" i="1"/>
  <c r="F9087" i="1"/>
  <c r="E9087" i="1"/>
  <c r="D9087" i="1"/>
  <c r="C9087" i="1"/>
  <c r="B9087" i="1"/>
  <c r="A9087" i="1"/>
  <c r="F9086" i="1"/>
  <c r="E9086" i="1"/>
  <c r="D9086" i="1"/>
  <c r="C9086" i="1"/>
  <c r="B9086" i="1"/>
  <c r="A9086" i="1"/>
  <c r="F9085" i="1"/>
  <c r="E9085" i="1"/>
  <c r="D9085" i="1"/>
  <c r="C9085" i="1"/>
  <c r="B9085" i="1"/>
  <c r="A9085" i="1"/>
  <c r="F9084" i="1"/>
  <c r="E9084" i="1"/>
  <c r="D9084" i="1"/>
  <c r="C9084" i="1"/>
  <c r="B9084" i="1"/>
  <c r="A9084" i="1"/>
  <c r="F9083" i="1"/>
  <c r="E9083" i="1"/>
  <c r="D9083" i="1"/>
  <c r="C9083" i="1"/>
  <c r="B9083" i="1"/>
  <c r="A9083" i="1"/>
  <c r="F9082" i="1"/>
  <c r="E9082" i="1"/>
  <c r="D9082" i="1"/>
  <c r="C9082" i="1"/>
  <c r="B9082" i="1"/>
  <c r="A9082" i="1"/>
  <c r="F9081" i="1"/>
  <c r="E9081" i="1"/>
  <c r="D9081" i="1"/>
  <c r="C9081" i="1"/>
  <c r="B9081" i="1"/>
  <c r="A9081" i="1"/>
  <c r="F9080" i="1"/>
  <c r="E9080" i="1"/>
  <c r="D9080" i="1"/>
  <c r="C9080" i="1"/>
  <c r="B9080" i="1"/>
  <c r="A9080" i="1"/>
  <c r="F9079" i="1"/>
  <c r="E9079" i="1"/>
  <c r="D9079" i="1"/>
  <c r="C9079" i="1"/>
  <c r="B9079" i="1"/>
  <c r="A9079" i="1"/>
  <c r="F9078" i="1"/>
  <c r="E9078" i="1"/>
  <c r="D9078" i="1"/>
  <c r="C9078" i="1"/>
  <c r="B9078" i="1"/>
  <c r="A9078" i="1"/>
  <c r="F9077" i="1"/>
  <c r="E9077" i="1"/>
  <c r="D9077" i="1"/>
  <c r="C9077" i="1"/>
  <c r="B9077" i="1"/>
  <c r="A9077" i="1"/>
  <c r="F9076" i="1"/>
  <c r="E9076" i="1"/>
  <c r="D9076" i="1"/>
  <c r="C9076" i="1"/>
  <c r="B9076" i="1"/>
  <c r="A9076" i="1"/>
  <c r="F9075" i="1"/>
  <c r="E9075" i="1"/>
  <c r="D9075" i="1"/>
  <c r="C9075" i="1"/>
  <c r="B9075" i="1"/>
  <c r="A9075" i="1"/>
  <c r="F9074" i="1"/>
  <c r="E9074" i="1"/>
  <c r="D9074" i="1"/>
  <c r="C9074" i="1"/>
  <c r="B9074" i="1"/>
  <c r="A9074" i="1"/>
  <c r="F9073" i="1"/>
  <c r="E9073" i="1"/>
  <c r="D9073" i="1"/>
  <c r="C9073" i="1"/>
  <c r="B9073" i="1"/>
  <c r="A9073" i="1"/>
  <c r="F9072" i="1"/>
  <c r="E9072" i="1"/>
  <c r="D9072" i="1"/>
  <c r="C9072" i="1"/>
  <c r="B9072" i="1"/>
  <c r="A9072" i="1"/>
  <c r="F9071" i="1"/>
  <c r="E9071" i="1"/>
  <c r="D9071" i="1"/>
  <c r="C9071" i="1"/>
  <c r="B9071" i="1"/>
  <c r="A9071" i="1"/>
  <c r="F9070" i="1"/>
  <c r="E9070" i="1"/>
  <c r="D9070" i="1"/>
  <c r="C9070" i="1"/>
  <c r="B9070" i="1"/>
  <c r="A9070" i="1"/>
  <c r="F9069" i="1"/>
  <c r="E9069" i="1"/>
  <c r="D9069" i="1"/>
  <c r="C9069" i="1"/>
  <c r="B9069" i="1"/>
  <c r="A9069" i="1"/>
  <c r="F9068" i="1"/>
  <c r="E9068" i="1"/>
  <c r="D9068" i="1"/>
  <c r="C9068" i="1"/>
  <c r="B9068" i="1"/>
  <c r="A9068" i="1"/>
  <c r="F9067" i="1"/>
  <c r="E9067" i="1"/>
  <c r="D9067" i="1"/>
  <c r="C9067" i="1"/>
  <c r="B9067" i="1"/>
  <c r="A9067" i="1"/>
  <c r="F9066" i="1"/>
  <c r="E9066" i="1"/>
  <c r="D9066" i="1"/>
  <c r="C9066" i="1"/>
  <c r="B9066" i="1"/>
  <c r="A9066" i="1"/>
  <c r="F9065" i="1"/>
  <c r="E9065" i="1"/>
  <c r="D9065" i="1"/>
  <c r="C9065" i="1"/>
  <c r="B9065" i="1"/>
  <c r="A9065" i="1"/>
  <c r="F9064" i="1"/>
  <c r="E9064" i="1"/>
  <c r="D9064" i="1"/>
  <c r="C9064" i="1"/>
  <c r="B9064" i="1"/>
  <c r="A9064" i="1"/>
  <c r="F9063" i="1"/>
  <c r="E9063" i="1"/>
  <c r="D9063" i="1"/>
  <c r="C9063" i="1"/>
  <c r="B9063" i="1"/>
  <c r="A9063" i="1"/>
  <c r="F9062" i="1"/>
  <c r="E9062" i="1"/>
  <c r="D9062" i="1"/>
  <c r="C9062" i="1"/>
  <c r="B9062" i="1"/>
  <c r="A9062" i="1"/>
  <c r="F9061" i="1"/>
  <c r="E9061" i="1"/>
  <c r="D9061" i="1"/>
  <c r="C9061" i="1"/>
  <c r="B9061" i="1"/>
  <c r="A9061" i="1"/>
  <c r="F9060" i="1"/>
  <c r="E9060" i="1"/>
  <c r="D9060" i="1"/>
  <c r="C9060" i="1"/>
  <c r="B9060" i="1"/>
  <c r="A9060" i="1"/>
  <c r="F9059" i="1"/>
  <c r="E9059" i="1"/>
  <c r="D9059" i="1"/>
  <c r="C9059" i="1"/>
  <c r="B9059" i="1"/>
  <c r="A9059" i="1"/>
  <c r="F9058" i="1"/>
  <c r="E9058" i="1"/>
  <c r="D9058" i="1"/>
  <c r="C9058" i="1"/>
  <c r="B9058" i="1"/>
  <c r="A9058" i="1"/>
  <c r="F9057" i="1"/>
  <c r="E9057" i="1"/>
  <c r="D9057" i="1"/>
  <c r="C9057" i="1"/>
  <c r="B9057" i="1"/>
  <c r="A9057" i="1"/>
  <c r="F9056" i="1"/>
  <c r="E9056" i="1"/>
  <c r="D9056" i="1"/>
  <c r="C9056" i="1"/>
  <c r="B9056" i="1"/>
  <c r="A9056" i="1"/>
  <c r="F9055" i="1"/>
  <c r="E9055" i="1"/>
  <c r="D9055" i="1"/>
  <c r="C9055" i="1"/>
  <c r="B9055" i="1"/>
  <c r="A9055" i="1"/>
  <c r="F9054" i="1"/>
  <c r="E9054" i="1"/>
  <c r="D9054" i="1"/>
  <c r="C9054" i="1"/>
  <c r="B9054" i="1"/>
  <c r="A9054" i="1"/>
  <c r="F9053" i="1"/>
  <c r="E9053" i="1"/>
  <c r="D9053" i="1"/>
  <c r="C9053" i="1"/>
  <c r="B9053" i="1"/>
  <c r="A9053" i="1"/>
  <c r="F9052" i="1"/>
  <c r="E9052" i="1"/>
  <c r="D9052" i="1"/>
  <c r="C9052" i="1"/>
  <c r="B9052" i="1"/>
  <c r="A9052" i="1"/>
  <c r="F9051" i="1"/>
  <c r="E9051" i="1"/>
  <c r="D9051" i="1"/>
  <c r="C9051" i="1"/>
  <c r="B9051" i="1"/>
  <c r="A9051" i="1"/>
  <c r="F9050" i="1"/>
  <c r="E9050" i="1"/>
  <c r="D9050" i="1"/>
  <c r="C9050" i="1"/>
  <c r="B9050" i="1"/>
  <c r="A9050" i="1"/>
  <c r="F9049" i="1"/>
  <c r="E9049" i="1"/>
  <c r="D9049" i="1"/>
  <c r="C9049" i="1"/>
  <c r="B9049" i="1"/>
  <c r="A9049" i="1"/>
  <c r="F9048" i="1"/>
  <c r="E9048" i="1"/>
  <c r="D9048" i="1"/>
  <c r="C9048" i="1"/>
  <c r="B9048" i="1"/>
  <c r="A9048" i="1"/>
  <c r="F9047" i="1"/>
  <c r="E9047" i="1"/>
  <c r="D9047" i="1"/>
  <c r="C9047" i="1"/>
  <c r="B9047" i="1"/>
  <c r="A9047" i="1"/>
  <c r="F9046" i="1"/>
  <c r="E9046" i="1"/>
  <c r="D9046" i="1"/>
  <c r="C9046" i="1"/>
  <c r="B9046" i="1"/>
  <c r="A9046" i="1"/>
  <c r="F9045" i="1"/>
  <c r="E9045" i="1"/>
  <c r="D9045" i="1"/>
  <c r="C9045" i="1"/>
  <c r="B9045" i="1"/>
  <c r="A9045" i="1"/>
  <c r="F9044" i="1"/>
  <c r="E9044" i="1"/>
  <c r="D9044" i="1"/>
  <c r="C9044" i="1"/>
  <c r="B9044" i="1"/>
  <c r="A9044" i="1"/>
  <c r="F9043" i="1"/>
  <c r="E9043" i="1"/>
  <c r="D9043" i="1"/>
  <c r="C9043" i="1"/>
  <c r="B9043" i="1"/>
  <c r="A9043" i="1"/>
  <c r="F9042" i="1"/>
  <c r="E9042" i="1"/>
  <c r="D9042" i="1"/>
  <c r="C9042" i="1"/>
  <c r="B9042" i="1"/>
  <c r="A9042" i="1"/>
  <c r="F9041" i="1"/>
  <c r="E9041" i="1"/>
  <c r="D9041" i="1"/>
  <c r="C9041" i="1"/>
  <c r="B9041" i="1"/>
  <c r="A9041" i="1"/>
  <c r="F9040" i="1"/>
  <c r="E9040" i="1"/>
  <c r="D9040" i="1"/>
  <c r="C9040" i="1"/>
  <c r="B9040" i="1"/>
  <c r="A9040" i="1"/>
  <c r="F9039" i="1"/>
  <c r="E9039" i="1"/>
  <c r="D9039" i="1"/>
  <c r="C9039" i="1"/>
  <c r="B9039" i="1"/>
  <c r="A9039" i="1"/>
  <c r="F9038" i="1"/>
  <c r="E9038" i="1"/>
  <c r="D9038" i="1"/>
  <c r="C9038" i="1"/>
  <c r="B9038" i="1"/>
  <c r="A9038" i="1"/>
  <c r="F9037" i="1"/>
  <c r="E9037" i="1"/>
  <c r="D9037" i="1"/>
  <c r="C9037" i="1"/>
  <c r="B9037" i="1"/>
  <c r="A9037" i="1"/>
  <c r="F9036" i="1"/>
  <c r="E9036" i="1"/>
  <c r="D9036" i="1"/>
  <c r="C9036" i="1"/>
  <c r="B9036" i="1"/>
  <c r="A9036" i="1"/>
  <c r="F9035" i="1"/>
  <c r="E9035" i="1"/>
  <c r="D9035" i="1"/>
  <c r="C9035" i="1"/>
  <c r="B9035" i="1"/>
  <c r="A9035" i="1"/>
  <c r="F9034" i="1"/>
  <c r="E9034" i="1"/>
  <c r="D9034" i="1"/>
  <c r="C9034" i="1"/>
  <c r="B9034" i="1"/>
  <c r="A9034" i="1"/>
  <c r="F9033" i="1"/>
  <c r="E9033" i="1"/>
  <c r="D9033" i="1"/>
  <c r="C9033" i="1"/>
  <c r="B9033" i="1"/>
  <c r="A9033" i="1"/>
  <c r="F9032" i="1"/>
  <c r="E9032" i="1"/>
  <c r="D9032" i="1"/>
  <c r="C9032" i="1"/>
  <c r="B9032" i="1"/>
  <c r="A9032" i="1"/>
  <c r="F9031" i="1"/>
  <c r="E9031" i="1"/>
  <c r="D9031" i="1"/>
  <c r="C9031" i="1"/>
  <c r="B9031" i="1"/>
  <c r="A9031" i="1"/>
  <c r="F9030" i="1"/>
  <c r="E9030" i="1"/>
  <c r="D9030" i="1"/>
  <c r="C9030" i="1"/>
  <c r="B9030" i="1"/>
  <c r="A9030" i="1"/>
  <c r="F9029" i="1"/>
  <c r="E9029" i="1"/>
  <c r="D9029" i="1"/>
  <c r="C9029" i="1"/>
  <c r="B9029" i="1"/>
  <c r="A9029" i="1"/>
  <c r="F9028" i="1"/>
  <c r="E9028" i="1"/>
  <c r="D9028" i="1"/>
  <c r="C9028" i="1"/>
  <c r="B9028" i="1"/>
  <c r="A9028" i="1"/>
  <c r="F9027" i="1"/>
  <c r="E9027" i="1"/>
  <c r="D9027" i="1"/>
  <c r="C9027" i="1"/>
  <c r="B9027" i="1"/>
  <c r="A9027" i="1"/>
  <c r="F9026" i="1"/>
  <c r="E9026" i="1"/>
  <c r="D9026" i="1"/>
  <c r="C9026" i="1"/>
  <c r="B9026" i="1"/>
  <c r="A9026" i="1"/>
  <c r="F9025" i="1"/>
  <c r="E9025" i="1"/>
  <c r="D9025" i="1"/>
  <c r="C9025" i="1"/>
  <c r="B9025" i="1"/>
  <c r="A9025" i="1"/>
  <c r="F9024" i="1"/>
  <c r="E9024" i="1"/>
  <c r="D9024" i="1"/>
  <c r="C9024" i="1"/>
  <c r="B9024" i="1"/>
  <c r="A9024" i="1"/>
  <c r="F9023" i="1"/>
  <c r="E9023" i="1"/>
  <c r="D9023" i="1"/>
  <c r="C9023" i="1"/>
  <c r="B9023" i="1"/>
  <c r="A9023" i="1"/>
  <c r="F9022" i="1"/>
  <c r="E9022" i="1"/>
  <c r="D9022" i="1"/>
  <c r="C9022" i="1"/>
  <c r="B9022" i="1"/>
  <c r="A9022" i="1"/>
  <c r="F9021" i="1"/>
  <c r="E9021" i="1"/>
  <c r="D9021" i="1"/>
  <c r="C9021" i="1"/>
  <c r="B9021" i="1"/>
  <c r="A9021" i="1"/>
  <c r="F9020" i="1"/>
  <c r="E9020" i="1"/>
  <c r="D9020" i="1"/>
  <c r="C9020" i="1"/>
  <c r="B9020" i="1"/>
  <c r="A9020" i="1"/>
  <c r="F9019" i="1"/>
  <c r="E9019" i="1"/>
  <c r="D9019" i="1"/>
  <c r="C9019" i="1"/>
  <c r="B9019" i="1"/>
  <c r="A9019" i="1"/>
  <c r="F9018" i="1"/>
  <c r="E9018" i="1"/>
  <c r="D9018" i="1"/>
  <c r="C9018" i="1"/>
  <c r="B9018" i="1"/>
  <c r="A9018" i="1"/>
  <c r="F9017" i="1"/>
  <c r="E9017" i="1"/>
  <c r="D9017" i="1"/>
  <c r="C9017" i="1"/>
  <c r="B9017" i="1"/>
  <c r="A9017" i="1"/>
  <c r="F9016" i="1"/>
  <c r="E9016" i="1"/>
  <c r="D9016" i="1"/>
  <c r="C9016" i="1"/>
  <c r="B9016" i="1"/>
  <c r="A9016" i="1"/>
  <c r="F9015" i="1"/>
  <c r="E9015" i="1"/>
  <c r="D9015" i="1"/>
  <c r="C9015" i="1"/>
  <c r="B9015" i="1"/>
  <c r="A9015" i="1"/>
  <c r="F9014" i="1"/>
  <c r="E9014" i="1"/>
  <c r="D9014" i="1"/>
  <c r="C9014" i="1"/>
  <c r="B9014" i="1"/>
  <c r="A9014" i="1"/>
  <c r="F9013" i="1"/>
  <c r="E9013" i="1"/>
  <c r="D9013" i="1"/>
  <c r="C9013" i="1"/>
  <c r="B9013" i="1"/>
  <c r="A9013" i="1"/>
  <c r="F9012" i="1"/>
  <c r="E9012" i="1"/>
  <c r="D9012" i="1"/>
  <c r="C9012" i="1"/>
  <c r="B9012" i="1"/>
  <c r="A9012" i="1"/>
  <c r="F9011" i="1"/>
  <c r="E9011" i="1"/>
  <c r="D9011" i="1"/>
  <c r="C9011" i="1"/>
  <c r="B9011" i="1"/>
  <c r="A9011" i="1"/>
  <c r="F9010" i="1"/>
  <c r="E9010" i="1"/>
  <c r="D9010" i="1"/>
  <c r="C9010" i="1"/>
  <c r="B9010" i="1"/>
  <c r="A9010" i="1"/>
  <c r="F9009" i="1"/>
  <c r="E9009" i="1"/>
  <c r="D9009" i="1"/>
  <c r="C9009" i="1"/>
  <c r="B9009" i="1"/>
  <c r="A9009" i="1"/>
  <c r="F9008" i="1"/>
  <c r="E9008" i="1"/>
  <c r="D9008" i="1"/>
  <c r="C9008" i="1"/>
  <c r="B9008" i="1"/>
  <c r="A9008" i="1"/>
  <c r="F9007" i="1"/>
  <c r="E9007" i="1"/>
  <c r="D9007" i="1"/>
  <c r="C9007" i="1"/>
  <c r="B9007" i="1"/>
  <c r="A9007" i="1"/>
  <c r="F9006" i="1"/>
  <c r="E9006" i="1"/>
  <c r="D9006" i="1"/>
  <c r="C9006" i="1"/>
  <c r="B9006" i="1"/>
  <c r="A9006" i="1"/>
  <c r="F9005" i="1"/>
  <c r="E9005" i="1"/>
  <c r="D9005" i="1"/>
  <c r="C9005" i="1"/>
  <c r="B9005" i="1"/>
  <c r="A9005" i="1"/>
  <c r="F9004" i="1"/>
  <c r="E9004" i="1"/>
  <c r="D9004" i="1"/>
  <c r="C9004" i="1"/>
  <c r="B9004" i="1"/>
  <c r="A9004" i="1"/>
  <c r="F9003" i="1"/>
  <c r="E9003" i="1"/>
  <c r="D9003" i="1"/>
  <c r="C9003" i="1"/>
  <c r="B9003" i="1"/>
  <c r="A9003" i="1"/>
  <c r="F9002" i="1"/>
  <c r="E9002" i="1"/>
  <c r="D9002" i="1"/>
  <c r="C9002" i="1"/>
  <c r="B9002" i="1"/>
  <c r="A9002" i="1"/>
  <c r="F9001" i="1"/>
  <c r="E9001" i="1"/>
  <c r="D9001" i="1"/>
  <c r="C9001" i="1"/>
  <c r="B9001" i="1"/>
  <c r="A9001" i="1"/>
  <c r="F9000" i="1"/>
  <c r="E9000" i="1"/>
  <c r="D9000" i="1"/>
  <c r="C9000" i="1"/>
  <c r="B9000" i="1"/>
  <c r="A9000" i="1"/>
  <c r="F8999" i="1"/>
  <c r="E8999" i="1"/>
  <c r="D8999" i="1"/>
  <c r="C8999" i="1"/>
  <c r="B8999" i="1"/>
  <c r="A8999" i="1"/>
  <c r="F8998" i="1"/>
  <c r="E8998" i="1"/>
  <c r="D8998" i="1"/>
  <c r="C8998" i="1"/>
  <c r="B8998" i="1"/>
  <c r="A8998" i="1"/>
  <c r="F8997" i="1"/>
  <c r="E8997" i="1"/>
  <c r="D8997" i="1"/>
  <c r="C8997" i="1"/>
  <c r="B8997" i="1"/>
  <c r="A8997" i="1"/>
  <c r="F8996" i="1"/>
  <c r="E8996" i="1"/>
  <c r="D8996" i="1"/>
  <c r="C8996" i="1"/>
  <c r="B8996" i="1"/>
  <c r="A8996" i="1"/>
  <c r="F8995" i="1"/>
  <c r="E8995" i="1"/>
  <c r="D8995" i="1"/>
  <c r="C8995" i="1"/>
  <c r="B8995" i="1"/>
  <c r="A8995" i="1"/>
  <c r="F8994" i="1"/>
  <c r="E8994" i="1"/>
  <c r="D8994" i="1"/>
  <c r="C8994" i="1"/>
  <c r="B8994" i="1"/>
  <c r="A8994" i="1"/>
  <c r="F8993" i="1"/>
  <c r="E8993" i="1"/>
  <c r="D8993" i="1"/>
  <c r="C8993" i="1"/>
  <c r="B8993" i="1"/>
  <c r="A8993" i="1"/>
  <c r="F8992" i="1"/>
  <c r="E8992" i="1"/>
  <c r="D8992" i="1"/>
  <c r="C8992" i="1"/>
  <c r="B8992" i="1"/>
  <c r="A8992" i="1"/>
  <c r="F8991" i="1"/>
  <c r="E8991" i="1"/>
  <c r="D8991" i="1"/>
  <c r="C8991" i="1"/>
  <c r="B8991" i="1"/>
  <c r="A8991" i="1"/>
  <c r="F8990" i="1"/>
  <c r="E8990" i="1"/>
  <c r="D8990" i="1"/>
  <c r="C8990" i="1"/>
  <c r="B8990" i="1"/>
  <c r="A8990" i="1"/>
  <c r="F8989" i="1"/>
  <c r="E8989" i="1"/>
  <c r="D8989" i="1"/>
  <c r="C8989" i="1"/>
  <c r="B8989" i="1"/>
  <c r="A8989" i="1"/>
  <c r="F8988" i="1"/>
  <c r="E8988" i="1"/>
  <c r="D8988" i="1"/>
  <c r="C8988" i="1"/>
  <c r="B8988" i="1"/>
  <c r="A8988" i="1"/>
  <c r="F8987" i="1"/>
  <c r="E8987" i="1"/>
  <c r="D8987" i="1"/>
  <c r="C8987" i="1"/>
  <c r="B8987" i="1"/>
  <c r="A8987" i="1"/>
  <c r="F8986" i="1"/>
  <c r="E8986" i="1"/>
  <c r="D8986" i="1"/>
  <c r="C8986" i="1"/>
  <c r="B8986" i="1"/>
  <c r="A8986" i="1"/>
  <c r="F8985" i="1"/>
  <c r="E8985" i="1"/>
  <c r="D8985" i="1"/>
  <c r="C8985" i="1"/>
  <c r="B8985" i="1"/>
  <c r="A8985" i="1"/>
  <c r="F8984" i="1"/>
  <c r="E8984" i="1"/>
  <c r="D8984" i="1"/>
  <c r="C8984" i="1"/>
  <c r="B8984" i="1"/>
  <c r="A8984" i="1"/>
  <c r="F8983" i="1"/>
  <c r="E8983" i="1"/>
  <c r="D8983" i="1"/>
  <c r="C8983" i="1"/>
  <c r="B8983" i="1"/>
  <c r="A8983" i="1"/>
  <c r="F8982" i="1"/>
  <c r="E8982" i="1"/>
  <c r="D8982" i="1"/>
  <c r="C8982" i="1"/>
  <c r="B8982" i="1"/>
  <c r="A8982" i="1"/>
  <c r="F8981" i="1"/>
  <c r="E8981" i="1"/>
  <c r="D8981" i="1"/>
  <c r="C8981" i="1"/>
  <c r="B8981" i="1"/>
  <c r="A8981" i="1"/>
  <c r="F8980" i="1"/>
  <c r="E8980" i="1"/>
  <c r="D8980" i="1"/>
  <c r="C8980" i="1"/>
  <c r="B8980" i="1"/>
  <c r="A8980" i="1"/>
  <c r="F8979" i="1"/>
  <c r="E8979" i="1"/>
  <c r="D8979" i="1"/>
  <c r="C8979" i="1"/>
  <c r="B8979" i="1"/>
  <c r="A8979" i="1"/>
  <c r="F8978" i="1"/>
  <c r="E8978" i="1"/>
  <c r="D8978" i="1"/>
  <c r="C8978" i="1"/>
  <c r="B8978" i="1"/>
  <c r="A8978" i="1"/>
  <c r="F8977" i="1"/>
  <c r="E8977" i="1"/>
  <c r="D8977" i="1"/>
  <c r="C8977" i="1"/>
  <c r="B8977" i="1"/>
  <c r="A8977" i="1"/>
  <c r="F8976" i="1"/>
  <c r="E8976" i="1"/>
  <c r="D8976" i="1"/>
  <c r="C8976" i="1"/>
  <c r="B8976" i="1"/>
  <c r="A8976" i="1"/>
  <c r="F8975" i="1"/>
  <c r="E8975" i="1"/>
  <c r="D8975" i="1"/>
  <c r="C8975" i="1"/>
  <c r="B8975" i="1"/>
  <c r="A8975" i="1"/>
  <c r="F8974" i="1"/>
  <c r="E8974" i="1"/>
  <c r="D8974" i="1"/>
  <c r="C8974" i="1"/>
  <c r="B8974" i="1"/>
  <c r="A8974" i="1"/>
  <c r="F8973" i="1"/>
  <c r="E8973" i="1"/>
  <c r="D8973" i="1"/>
  <c r="C8973" i="1"/>
  <c r="B8973" i="1"/>
  <c r="A8973" i="1"/>
  <c r="F8972" i="1"/>
  <c r="E8972" i="1"/>
  <c r="D8972" i="1"/>
  <c r="C8972" i="1"/>
  <c r="B8972" i="1"/>
  <c r="A8972" i="1"/>
  <c r="F8971" i="1"/>
  <c r="E8971" i="1"/>
  <c r="D8971" i="1"/>
  <c r="C8971" i="1"/>
  <c r="B8971" i="1"/>
  <c r="A8971" i="1"/>
  <c r="F8970" i="1"/>
  <c r="E8970" i="1"/>
  <c r="D8970" i="1"/>
  <c r="C8970" i="1"/>
  <c r="B8970" i="1"/>
  <c r="A8970" i="1"/>
  <c r="F8969" i="1"/>
  <c r="E8969" i="1"/>
  <c r="D8969" i="1"/>
  <c r="C8969" i="1"/>
  <c r="B8969" i="1"/>
  <c r="A8969" i="1"/>
  <c r="F8968" i="1"/>
  <c r="E8968" i="1"/>
  <c r="D8968" i="1"/>
  <c r="C8968" i="1"/>
  <c r="B8968" i="1"/>
  <c r="A8968" i="1"/>
  <c r="F8967" i="1"/>
  <c r="E8967" i="1"/>
  <c r="D8967" i="1"/>
  <c r="C8967" i="1"/>
  <c r="B8967" i="1"/>
  <c r="A8967" i="1"/>
  <c r="F8966" i="1"/>
  <c r="E8966" i="1"/>
  <c r="D8966" i="1"/>
  <c r="C8966" i="1"/>
  <c r="B8966" i="1"/>
  <c r="A8966" i="1"/>
  <c r="F8965" i="1"/>
  <c r="E8965" i="1"/>
  <c r="D8965" i="1"/>
  <c r="C8965" i="1"/>
  <c r="B8965" i="1"/>
  <c r="A8965" i="1"/>
  <c r="F8964" i="1"/>
  <c r="E8964" i="1"/>
  <c r="D8964" i="1"/>
  <c r="C8964" i="1"/>
  <c r="B8964" i="1"/>
  <c r="A8964" i="1"/>
  <c r="F8963" i="1"/>
  <c r="E8963" i="1"/>
  <c r="D8963" i="1"/>
  <c r="C8963" i="1"/>
  <c r="B8963" i="1"/>
  <c r="A8963" i="1"/>
  <c r="F8962" i="1"/>
  <c r="E8962" i="1"/>
  <c r="D8962" i="1"/>
  <c r="C8962" i="1"/>
  <c r="B8962" i="1"/>
  <c r="A8962" i="1"/>
  <c r="F8961" i="1"/>
  <c r="E8961" i="1"/>
  <c r="D8961" i="1"/>
  <c r="C8961" i="1"/>
  <c r="B8961" i="1"/>
  <c r="A8961" i="1"/>
  <c r="F8960" i="1"/>
  <c r="E8960" i="1"/>
  <c r="D8960" i="1"/>
  <c r="C8960" i="1"/>
  <c r="B8960" i="1"/>
  <c r="A8960" i="1"/>
  <c r="F8959" i="1"/>
  <c r="E8959" i="1"/>
  <c r="D8959" i="1"/>
  <c r="C8959" i="1"/>
  <c r="B8959" i="1"/>
  <c r="A8959" i="1"/>
  <c r="F8958" i="1"/>
  <c r="E8958" i="1"/>
  <c r="D8958" i="1"/>
  <c r="C8958" i="1"/>
  <c r="B8958" i="1"/>
  <c r="A8958" i="1"/>
  <c r="F8957" i="1"/>
  <c r="E8957" i="1"/>
  <c r="D8957" i="1"/>
  <c r="C8957" i="1"/>
  <c r="B8957" i="1"/>
  <c r="A8957" i="1"/>
  <c r="F8956" i="1"/>
  <c r="E8956" i="1"/>
  <c r="D8956" i="1"/>
  <c r="C8956" i="1"/>
  <c r="B8956" i="1"/>
  <c r="A8956" i="1"/>
  <c r="F8955" i="1"/>
  <c r="E8955" i="1"/>
  <c r="D8955" i="1"/>
  <c r="C8955" i="1"/>
  <c r="B8955" i="1"/>
  <c r="A8955" i="1"/>
  <c r="F8954" i="1"/>
  <c r="E8954" i="1"/>
  <c r="D8954" i="1"/>
  <c r="C8954" i="1"/>
  <c r="B8954" i="1"/>
  <c r="A8954" i="1"/>
  <c r="F8953" i="1"/>
  <c r="E8953" i="1"/>
  <c r="D8953" i="1"/>
  <c r="C8953" i="1"/>
  <c r="B8953" i="1"/>
  <c r="A8953" i="1"/>
  <c r="F8952" i="1"/>
  <c r="E8952" i="1"/>
  <c r="D8952" i="1"/>
  <c r="C8952" i="1"/>
  <c r="B8952" i="1"/>
  <c r="A8952" i="1"/>
  <c r="F8951" i="1"/>
  <c r="E8951" i="1"/>
  <c r="D8951" i="1"/>
  <c r="C8951" i="1"/>
  <c r="B8951" i="1"/>
  <c r="A8951" i="1"/>
  <c r="F8950" i="1"/>
  <c r="E8950" i="1"/>
  <c r="D8950" i="1"/>
  <c r="C8950" i="1"/>
  <c r="B8950" i="1"/>
  <c r="A8950" i="1"/>
  <c r="F8949" i="1"/>
  <c r="E8949" i="1"/>
  <c r="D8949" i="1"/>
  <c r="C8949" i="1"/>
  <c r="B8949" i="1"/>
  <c r="A8949" i="1"/>
  <c r="F8948" i="1"/>
  <c r="E8948" i="1"/>
  <c r="D8948" i="1"/>
  <c r="C8948" i="1"/>
  <c r="B8948" i="1"/>
  <c r="A8948" i="1"/>
  <c r="F8947" i="1"/>
  <c r="E8947" i="1"/>
  <c r="D8947" i="1"/>
  <c r="C8947" i="1"/>
  <c r="B8947" i="1"/>
  <c r="A8947" i="1"/>
  <c r="F8946" i="1"/>
  <c r="E8946" i="1"/>
  <c r="D8946" i="1"/>
  <c r="C8946" i="1"/>
  <c r="B8946" i="1"/>
  <c r="A8946" i="1"/>
  <c r="F8945" i="1"/>
  <c r="E8945" i="1"/>
  <c r="D8945" i="1"/>
  <c r="C8945" i="1"/>
  <c r="B8945" i="1"/>
  <c r="A8945" i="1"/>
  <c r="F8944" i="1"/>
  <c r="E8944" i="1"/>
  <c r="D8944" i="1"/>
  <c r="C8944" i="1"/>
  <c r="B8944" i="1"/>
  <c r="A8944" i="1"/>
  <c r="F8943" i="1"/>
  <c r="E8943" i="1"/>
  <c r="D8943" i="1"/>
  <c r="C8943" i="1"/>
  <c r="B8943" i="1"/>
  <c r="A8943" i="1"/>
  <c r="F8942" i="1"/>
  <c r="E8942" i="1"/>
  <c r="D8942" i="1"/>
  <c r="C8942" i="1"/>
  <c r="B8942" i="1"/>
  <c r="A8942" i="1"/>
  <c r="F8941" i="1"/>
  <c r="E8941" i="1"/>
  <c r="D8941" i="1"/>
  <c r="C8941" i="1"/>
  <c r="B8941" i="1"/>
  <c r="A8941" i="1"/>
  <c r="F8940" i="1"/>
  <c r="E8940" i="1"/>
  <c r="D8940" i="1"/>
  <c r="C8940" i="1"/>
  <c r="B8940" i="1"/>
  <c r="A8940" i="1"/>
  <c r="F8939" i="1"/>
  <c r="E8939" i="1"/>
  <c r="D8939" i="1"/>
  <c r="C8939" i="1"/>
  <c r="B8939" i="1"/>
  <c r="A8939" i="1"/>
  <c r="F8938" i="1"/>
  <c r="E8938" i="1"/>
  <c r="D8938" i="1"/>
  <c r="C8938" i="1"/>
  <c r="B8938" i="1"/>
  <c r="A8938" i="1"/>
  <c r="F8937" i="1"/>
  <c r="E8937" i="1"/>
  <c r="D8937" i="1"/>
  <c r="C8937" i="1"/>
  <c r="B8937" i="1"/>
  <c r="A8937" i="1"/>
  <c r="F8936" i="1"/>
  <c r="E8936" i="1"/>
  <c r="D8936" i="1"/>
  <c r="C8936" i="1"/>
  <c r="B8936" i="1"/>
  <c r="A8936" i="1"/>
  <c r="F8935" i="1"/>
  <c r="E8935" i="1"/>
  <c r="D8935" i="1"/>
  <c r="C8935" i="1"/>
  <c r="B8935" i="1"/>
  <c r="A8935" i="1"/>
  <c r="F8934" i="1"/>
  <c r="E8934" i="1"/>
  <c r="D8934" i="1"/>
  <c r="C8934" i="1"/>
  <c r="B8934" i="1"/>
  <c r="A8934" i="1"/>
  <c r="F8933" i="1"/>
  <c r="E8933" i="1"/>
  <c r="D8933" i="1"/>
  <c r="C8933" i="1"/>
  <c r="B8933" i="1"/>
  <c r="A8933" i="1"/>
  <c r="F8932" i="1"/>
  <c r="E8932" i="1"/>
  <c r="D8932" i="1"/>
  <c r="C8932" i="1"/>
  <c r="B8932" i="1"/>
  <c r="A8932" i="1"/>
  <c r="F8931" i="1"/>
  <c r="E8931" i="1"/>
  <c r="D8931" i="1"/>
  <c r="C8931" i="1"/>
  <c r="B8931" i="1"/>
  <c r="A8931" i="1"/>
  <c r="F8930" i="1"/>
  <c r="E8930" i="1"/>
  <c r="D8930" i="1"/>
  <c r="C8930" i="1"/>
  <c r="B8930" i="1"/>
  <c r="A8930" i="1"/>
  <c r="F8929" i="1"/>
  <c r="E8929" i="1"/>
  <c r="D8929" i="1"/>
  <c r="C8929" i="1"/>
  <c r="B8929" i="1"/>
  <c r="A8929" i="1"/>
  <c r="F8928" i="1"/>
  <c r="E8928" i="1"/>
  <c r="D8928" i="1"/>
  <c r="C8928" i="1"/>
  <c r="B8928" i="1"/>
  <c r="A8928" i="1"/>
  <c r="F8927" i="1"/>
  <c r="E8927" i="1"/>
  <c r="D8927" i="1"/>
  <c r="C8927" i="1"/>
  <c r="B8927" i="1"/>
  <c r="A8927" i="1"/>
  <c r="F8926" i="1"/>
  <c r="E8926" i="1"/>
  <c r="D8926" i="1"/>
  <c r="C8926" i="1"/>
  <c r="B8926" i="1"/>
  <c r="A8926" i="1"/>
  <c r="F8925" i="1"/>
  <c r="E8925" i="1"/>
  <c r="D8925" i="1"/>
  <c r="C8925" i="1"/>
  <c r="B8925" i="1"/>
  <c r="A8925" i="1"/>
  <c r="F8924" i="1"/>
  <c r="E8924" i="1"/>
  <c r="D8924" i="1"/>
  <c r="C8924" i="1"/>
  <c r="B8924" i="1"/>
  <c r="A8924" i="1"/>
  <c r="F8923" i="1"/>
  <c r="E8923" i="1"/>
  <c r="D8923" i="1"/>
  <c r="C8923" i="1"/>
  <c r="B8923" i="1"/>
  <c r="A8923" i="1"/>
  <c r="F8922" i="1"/>
  <c r="E8922" i="1"/>
  <c r="D8922" i="1"/>
  <c r="C8922" i="1"/>
  <c r="B8922" i="1"/>
  <c r="A8922" i="1"/>
  <c r="F8921" i="1"/>
  <c r="E8921" i="1"/>
  <c r="D8921" i="1"/>
  <c r="C8921" i="1"/>
  <c r="B8921" i="1"/>
  <c r="A8921" i="1"/>
  <c r="F8920" i="1"/>
  <c r="E8920" i="1"/>
  <c r="D8920" i="1"/>
  <c r="C8920" i="1"/>
  <c r="B8920" i="1"/>
  <c r="A8920" i="1"/>
  <c r="F8919" i="1"/>
  <c r="E8919" i="1"/>
  <c r="D8919" i="1"/>
  <c r="C8919" i="1"/>
  <c r="B8919" i="1"/>
  <c r="A8919" i="1"/>
  <c r="F8918" i="1"/>
  <c r="E8918" i="1"/>
  <c r="D8918" i="1"/>
  <c r="C8918" i="1"/>
  <c r="B8918" i="1"/>
  <c r="A8918" i="1"/>
  <c r="F8917" i="1"/>
  <c r="E8917" i="1"/>
  <c r="D8917" i="1"/>
  <c r="C8917" i="1"/>
  <c r="B8917" i="1"/>
  <c r="A8917" i="1"/>
  <c r="F8916" i="1"/>
  <c r="E8916" i="1"/>
  <c r="D8916" i="1"/>
  <c r="C8916" i="1"/>
  <c r="B8916" i="1"/>
  <c r="A8916" i="1"/>
  <c r="F8915" i="1"/>
  <c r="E8915" i="1"/>
  <c r="D8915" i="1"/>
  <c r="C8915" i="1"/>
  <c r="B8915" i="1"/>
  <c r="A8915" i="1"/>
  <c r="F8914" i="1"/>
  <c r="E8914" i="1"/>
  <c r="D8914" i="1"/>
  <c r="C8914" i="1"/>
  <c r="B8914" i="1"/>
  <c r="A8914" i="1"/>
  <c r="F8913" i="1"/>
  <c r="E8913" i="1"/>
  <c r="D8913" i="1"/>
  <c r="C8913" i="1"/>
  <c r="B8913" i="1"/>
  <c r="A8913" i="1"/>
  <c r="F8912" i="1"/>
  <c r="E8912" i="1"/>
  <c r="D8912" i="1"/>
  <c r="C8912" i="1"/>
  <c r="B8912" i="1"/>
  <c r="A8912" i="1"/>
  <c r="F8911" i="1"/>
  <c r="E8911" i="1"/>
  <c r="D8911" i="1"/>
  <c r="C8911" i="1"/>
  <c r="B8911" i="1"/>
  <c r="A8911" i="1"/>
  <c r="F8910" i="1"/>
  <c r="E8910" i="1"/>
  <c r="D8910" i="1"/>
  <c r="C8910" i="1"/>
  <c r="B8910" i="1"/>
  <c r="A8910" i="1"/>
  <c r="F8909" i="1"/>
  <c r="E8909" i="1"/>
  <c r="D8909" i="1"/>
  <c r="C8909" i="1"/>
  <c r="B8909" i="1"/>
  <c r="A8909" i="1"/>
  <c r="F8908" i="1"/>
  <c r="E8908" i="1"/>
  <c r="D8908" i="1"/>
  <c r="C8908" i="1"/>
  <c r="B8908" i="1"/>
  <c r="A8908" i="1"/>
  <c r="F8907" i="1"/>
  <c r="E8907" i="1"/>
  <c r="D8907" i="1"/>
  <c r="C8907" i="1"/>
  <c r="B8907" i="1"/>
  <c r="A8907" i="1"/>
  <c r="F8906" i="1"/>
  <c r="E8906" i="1"/>
  <c r="D8906" i="1"/>
  <c r="C8906" i="1"/>
  <c r="B8906" i="1"/>
  <c r="A8906" i="1"/>
  <c r="F8905" i="1"/>
  <c r="E8905" i="1"/>
  <c r="D8905" i="1"/>
  <c r="C8905" i="1"/>
  <c r="B8905" i="1"/>
  <c r="A8905" i="1"/>
  <c r="F8904" i="1"/>
  <c r="E8904" i="1"/>
  <c r="D8904" i="1"/>
  <c r="C8904" i="1"/>
  <c r="B8904" i="1"/>
  <c r="A8904" i="1"/>
  <c r="F8903" i="1"/>
  <c r="E8903" i="1"/>
  <c r="D8903" i="1"/>
  <c r="C8903" i="1"/>
  <c r="B8903" i="1"/>
  <c r="A8903" i="1"/>
  <c r="F8902" i="1"/>
  <c r="E8902" i="1"/>
  <c r="D8902" i="1"/>
  <c r="C8902" i="1"/>
  <c r="B8902" i="1"/>
  <c r="A8902" i="1"/>
  <c r="F8901" i="1"/>
  <c r="E8901" i="1"/>
  <c r="D8901" i="1"/>
  <c r="C8901" i="1"/>
  <c r="B8901" i="1"/>
  <c r="A8901" i="1"/>
  <c r="F8900" i="1"/>
  <c r="E8900" i="1"/>
  <c r="D8900" i="1"/>
  <c r="C8900" i="1"/>
  <c r="B8900" i="1"/>
  <c r="A8900" i="1"/>
  <c r="F8899" i="1"/>
  <c r="E8899" i="1"/>
  <c r="D8899" i="1"/>
  <c r="C8899" i="1"/>
  <c r="B8899" i="1"/>
  <c r="A8899" i="1"/>
  <c r="F8898" i="1"/>
  <c r="E8898" i="1"/>
  <c r="D8898" i="1"/>
  <c r="C8898" i="1"/>
  <c r="B8898" i="1"/>
  <c r="A8898" i="1"/>
  <c r="F8897" i="1"/>
  <c r="E8897" i="1"/>
  <c r="D8897" i="1"/>
  <c r="C8897" i="1"/>
  <c r="B8897" i="1"/>
  <c r="A8897" i="1"/>
  <c r="F8896" i="1"/>
  <c r="E8896" i="1"/>
  <c r="D8896" i="1"/>
  <c r="C8896" i="1"/>
  <c r="B8896" i="1"/>
  <c r="A8896" i="1"/>
  <c r="F8895" i="1"/>
  <c r="E8895" i="1"/>
  <c r="D8895" i="1"/>
  <c r="C8895" i="1"/>
  <c r="B8895" i="1"/>
  <c r="A8895" i="1"/>
  <c r="F8894" i="1"/>
  <c r="E8894" i="1"/>
  <c r="D8894" i="1"/>
  <c r="C8894" i="1"/>
  <c r="B8894" i="1"/>
  <c r="A8894" i="1"/>
  <c r="F8893" i="1"/>
  <c r="E8893" i="1"/>
  <c r="D8893" i="1"/>
  <c r="C8893" i="1"/>
  <c r="B8893" i="1"/>
  <c r="A8893" i="1"/>
  <c r="F8892" i="1"/>
  <c r="E8892" i="1"/>
  <c r="D8892" i="1"/>
  <c r="C8892" i="1"/>
  <c r="B8892" i="1"/>
  <c r="A8892" i="1"/>
  <c r="F8891" i="1"/>
  <c r="E8891" i="1"/>
  <c r="D8891" i="1"/>
  <c r="C8891" i="1"/>
  <c r="B8891" i="1"/>
  <c r="A8891" i="1"/>
  <c r="F8890" i="1"/>
  <c r="E8890" i="1"/>
  <c r="D8890" i="1"/>
  <c r="C8890" i="1"/>
  <c r="B8890" i="1"/>
  <c r="A8890" i="1"/>
  <c r="F8889" i="1"/>
  <c r="E8889" i="1"/>
  <c r="D8889" i="1"/>
  <c r="C8889" i="1"/>
  <c r="B8889" i="1"/>
  <c r="A8889" i="1"/>
  <c r="F8888" i="1"/>
  <c r="E8888" i="1"/>
  <c r="D8888" i="1"/>
  <c r="C8888" i="1"/>
  <c r="B8888" i="1"/>
  <c r="A8888" i="1"/>
  <c r="F8887" i="1"/>
  <c r="E8887" i="1"/>
  <c r="D8887" i="1"/>
  <c r="C8887" i="1"/>
  <c r="B8887" i="1"/>
  <c r="A8887" i="1"/>
  <c r="F8886" i="1"/>
  <c r="E8886" i="1"/>
  <c r="D8886" i="1"/>
  <c r="C8886" i="1"/>
  <c r="B8886" i="1"/>
  <c r="A8886" i="1"/>
  <c r="F8885" i="1"/>
  <c r="E8885" i="1"/>
  <c r="D8885" i="1"/>
  <c r="C8885" i="1"/>
  <c r="B8885" i="1"/>
  <c r="A8885" i="1"/>
  <c r="F8884" i="1"/>
  <c r="E8884" i="1"/>
  <c r="D8884" i="1"/>
  <c r="C8884" i="1"/>
  <c r="B8884" i="1"/>
  <c r="A8884" i="1"/>
  <c r="F8883" i="1"/>
  <c r="E8883" i="1"/>
  <c r="D8883" i="1"/>
  <c r="C8883" i="1"/>
  <c r="B8883" i="1"/>
  <c r="A8883" i="1"/>
  <c r="F8882" i="1"/>
  <c r="E8882" i="1"/>
  <c r="D8882" i="1"/>
  <c r="C8882" i="1"/>
  <c r="B8882" i="1"/>
  <c r="A8882" i="1"/>
  <c r="F8881" i="1"/>
  <c r="E8881" i="1"/>
  <c r="D8881" i="1"/>
  <c r="C8881" i="1"/>
  <c r="B8881" i="1"/>
  <c r="A8881" i="1"/>
  <c r="F8880" i="1"/>
  <c r="E8880" i="1"/>
  <c r="D8880" i="1"/>
  <c r="C8880" i="1"/>
  <c r="B8880" i="1"/>
  <c r="A8880" i="1"/>
  <c r="F8879" i="1"/>
  <c r="E8879" i="1"/>
  <c r="D8879" i="1"/>
  <c r="C8879" i="1"/>
  <c r="B8879" i="1"/>
  <c r="A8879" i="1"/>
  <c r="F8878" i="1"/>
  <c r="E8878" i="1"/>
  <c r="D8878" i="1"/>
  <c r="C8878" i="1"/>
  <c r="B8878" i="1"/>
  <c r="A8878" i="1"/>
  <c r="F8877" i="1"/>
  <c r="E8877" i="1"/>
  <c r="D8877" i="1"/>
  <c r="C8877" i="1"/>
  <c r="B8877" i="1"/>
  <c r="A8877" i="1"/>
  <c r="F8876" i="1"/>
  <c r="E8876" i="1"/>
  <c r="D8876" i="1"/>
  <c r="C8876" i="1"/>
  <c r="B8876" i="1"/>
  <c r="A8876" i="1"/>
  <c r="F8875" i="1"/>
  <c r="E8875" i="1"/>
  <c r="D8875" i="1"/>
  <c r="C8875" i="1"/>
  <c r="B8875" i="1"/>
  <c r="A8875" i="1"/>
  <c r="F8874" i="1"/>
  <c r="E8874" i="1"/>
  <c r="D8874" i="1"/>
  <c r="C8874" i="1"/>
  <c r="B8874" i="1"/>
  <c r="A8874" i="1"/>
  <c r="F8873" i="1"/>
  <c r="E8873" i="1"/>
  <c r="D8873" i="1"/>
  <c r="C8873" i="1"/>
  <c r="B8873" i="1"/>
  <c r="A8873" i="1"/>
  <c r="F8872" i="1"/>
  <c r="E8872" i="1"/>
  <c r="D8872" i="1"/>
  <c r="C8872" i="1"/>
  <c r="B8872" i="1"/>
  <c r="A8872" i="1"/>
  <c r="F8871" i="1"/>
  <c r="E8871" i="1"/>
  <c r="D8871" i="1"/>
  <c r="C8871" i="1"/>
  <c r="B8871" i="1"/>
  <c r="A8871" i="1"/>
  <c r="F8870" i="1"/>
  <c r="E8870" i="1"/>
  <c r="D8870" i="1"/>
  <c r="C8870" i="1"/>
  <c r="B8870" i="1"/>
  <c r="A8870" i="1"/>
  <c r="F8869" i="1"/>
  <c r="E8869" i="1"/>
  <c r="D8869" i="1"/>
  <c r="C8869" i="1"/>
  <c r="B8869" i="1"/>
  <c r="A8869" i="1"/>
  <c r="F8868" i="1"/>
  <c r="E8868" i="1"/>
  <c r="D8868" i="1"/>
  <c r="C8868" i="1"/>
  <c r="B8868" i="1"/>
  <c r="A8868" i="1"/>
  <c r="F8867" i="1"/>
  <c r="E8867" i="1"/>
  <c r="D8867" i="1"/>
  <c r="C8867" i="1"/>
  <c r="B8867" i="1"/>
  <c r="A8867" i="1"/>
  <c r="F8866" i="1"/>
  <c r="E8866" i="1"/>
  <c r="D8866" i="1"/>
  <c r="C8866" i="1"/>
  <c r="B8866" i="1"/>
  <c r="A8866" i="1"/>
  <c r="F8865" i="1"/>
  <c r="E8865" i="1"/>
  <c r="D8865" i="1"/>
  <c r="C8865" i="1"/>
  <c r="B8865" i="1"/>
  <c r="A8865" i="1"/>
  <c r="F8864" i="1"/>
  <c r="E8864" i="1"/>
  <c r="D8864" i="1"/>
  <c r="C8864" i="1"/>
  <c r="B8864" i="1"/>
  <c r="A8864" i="1"/>
  <c r="F8863" i="1"/>
  <c r="E8863" i="1"/>
  <c r="D8863" i="1"/>
  <c r="C8863" i="1"/>
  <c r="B8863" i="1"/>
  <c r="A8863" i="1"/>
  <c r="F8862" i="1"/>
  <c r="E8862" i="1"/>
  <c r="D8862" i="1"/>
  <c r="C8862" i="1"/>
  <c r="B8862" i="1"/>
  <c r="A8862" i="1"/>
  <c r="F8861" i="1"/>
  <c r="E8861" i="1"/>
  <c r="D8861" i="1"/>
  <c r="C8861" i="1"/>
  <c r="B8861" i="1"/>
  <c r="A8861" i="1"/>
  <c r="F8860" i="1"/>
  <c r="E8860" i="1"/>
  <c r="D8860" i="1"/>
  <c r="C8860" i="1"/>
  <c r="B8860" i="1"/>
  <c r="A8860" i="1"/>
  <c r="F8859" i="1"/>
  <c r="E8859" i="1"/>
  <c r="D8859" i="1"/>
  <c r="C8859" i="1"/>
  <c r="B8859" i="1"/>
  <c r="A8859" i="1"/>
  <c r="F8858" i="1"/>
  <c r="E8858" i="1"/>
  <c r="D8858" i="1"/>
  <c r="C8858" i="1"/>
  <c r="B8858" i="1"/>
  <c r="A8858" i="1"/>
  <c r="F8857" i="1"/>
  <c r="E8857" i="1"/>
  <c r="D8857" i="1"/>
  <c r="C8857" i="1"/>
  <c r="B8857" i="1"/>
  <c r="A8857" i="1"/>
  <c r="F8856" i="1"/>
  <c r="E8856" i="1"/>
  <c r="D8856" i="1"/>
  <c r="C8856" i="1"/>
  <c r="B8856" i="1"/>
  <c r="A8856" i="1"/>
  <c r="F8855" i="1"/>
  <c r="E8855" i="1"/>
  <c r="D8855" i="1"/>
  <c r="C8855" i="1"/>
  <c r="B8855" i="1"/>
  <c r="A8855" i="1"/>
  <c r="F8854" i="1"/>
  <c r="E8854" i="1"/>
  <c r="D8854" i="1"/>
  <c r="C8854" i="1"/>
  <c r="B8854" i="1"/>
  <c r="A8854" i="1"/>
  <c r="F8853" i="1"/>
  <c r="E8853" i="1"/>
  <c r="D8853" i="1"/>
  <c r="C8853" i="1"/>
  <c r="B8853" i="1"/>
  <c r="A8853" i="1"/>
  <c r="F8852" i="1"/>
  <c r="E8852" i="1"/>
  <c r="D8852" i="1"/>
  <c r="C8852" i="1"/>
  <c r="B8852" i="1"/>
  <c r="A8852" i="1"/>
  <c r="F8851" i="1"/>
  <c r="E8851" i="1"/>
  <c r="D8851" i="1"/>
  <c r="C8851" i="1"/>
  <c r="B8851" i="1"/>
  <c r="A8851" i="1"/>
  <c r="F8850" i="1"/>
  <c r="E8850" i="1"/>
  <c r="D8850" i="1"/>
  <c r="C8850" i="1"/>
  <c r="B8850" i="1"/>
  <c r="A8850" i="1"/>
  <c r="F8849" i="1"/>
  <c r="E8849" i="1"/>
  <c r="D8849" i="1"/>
  <c r="C8849" i="1"/>
  <c r="B8849" i="1"/>
  <c r="A8849" i="1"/>
  <c r="F8848" i="1"/>
  <c r="E8848" i="1"/>
  <c r="D8848" i="1"/>
  <c r="C8848" i="1"/>
  <c r="B8848" i="1"/>
  <c r="A8848" i="1"/>
  <c r="F8847" i="1"/>
  <c r="E8847" i="1"/>
  <c r="D8847" i="1"/>
  <c r="C8847" i="1"/>
  <c r="B8847" i="1"/>
  <c r="A8847" i="1"/>
  <c r="F8846" i="1"/>
  <c r="E8846" i="1"/>
  <c r="D8846" i="1"/>
  <c r="C8846" i="1"/>
  <c r="B8846" i="1"/>
  <c r="A8846" i="1"/>
  <c r="F8845" i="1"/>
  <c r="E8845" i="1"/>
  <c r="D8845" i="1"/>
  <c r="C8845" i="1"/>
  <c r="B8845" i="1"/>
  <c r="A8845" i="1"/>
  <c r="F8844" i="1"/>
  <c r="E8844" i="1"/>
  <c r="D8844" i="1"/>
  <c r="C8844" i="1"/>
  <c r="B8844" i="1"/>
  <c r="A8844" i="1"/>
  <c r="F8843" i="1"/>
  <c r="E8843" i="1"/>
  <c r="D8843" i="1"/>
  <c r="C8843" i="1"/>
  <c r="B8843" i="1"/>
  <c r="A8843" i="1"/>
  <c r="F8842" i="1"/>
  <c r="E8842" i="1"/>
  <c r="D8842" i="1"/>
  <c r="C8842" i="1"/>
  <c r="B8842" i="1"/>
  <c r="A8842" i="1"/>
  <c r="F8841" i="1"/>
  <c r="E8841" i="1"/>
  <c r="D8841" i="1"/>
  <c r="C8841" i="1"/>
  <c r="B8841" i="1"/>
  <c r="A8841" i="1"/>
  <c r="F8840" i="1"/>
  <c r="E8840" i="1"/>
  <c r="D8840" i="1"/>
  <c r="C8840" i="1"/>
  <c r="B8840" i="1"/>
  <c r="A8840" i="1"/>
  <c r="F8839" i="1"/>
  <c r="E8839" i="1"/>
  <c r="D8839" i="1"/>
  <c r="C8839" i="1"/>
  <c r="B8839" i="1"/>
  <c r="A8839" i="1"/>
  <c r="F8838" i="1"/>
  <c r="E8838" i="1"/>
  <c r="D8838" i="1"/>
  <c r="C8838" i="1"/>
  <c r="B8838" i="1"/>
  <c r="A8838" i="1"/>
  <c r="F8837" i="1"/>
  <c r="E8837" i="1"/>
  <c r="D8837" i="1"/>
  <c r="C8837" i="1"/>
  <c r="B8837" i="1"/>
  <c r="A8837" i="1"/>
  <c r="F8836" i="1"/>
  <c r="E8836" i="1"/>
  <c r="D8836" i="1"/>
  <c r="C8836" i="1"/>
  <c r="B8836" i="1"/>
  <c r="A8836" i="1"/>
  <c r="F8835" i="1"/>
  <c r="E8835" i="1"/>
  <c r="D8835" i="1"/>
  <c r="C8835" i="1"/>
  <c r="B8835" i="1"/>
  <c r="A8835" i="1"/>
  <c r="F8834" i="1"/>
  <c r="E8834" i="1"/>
  <c r="D8834" i="1"/>
  <c r="C8834" i="1"/>
  <c r="B8834" i="1"/>
  <c r="A8834" i="1"/>
  <c r="F8833" i="1"/>
  <c r="E8833" i="1"/>
  <c r="D8833" i="1"/>
  <c r="C8833" i="1"/>
  <c r="B8833" i="1"/>
  <c r="A8833" i="1"/>
  <c r="F8832" i="1"/>
  <c r="E8832" i="1"/>
  <c r="D8832" i="1"/>
  <c r="C8832" i="1"/>
  <c r="B8832" i="1"/>
  <c r="A8832" i="1"/>
  <c r="F8831" i="1"/>
  <c r="E8831" i="1"/>
  <c r="D8831" i="1"/>
  <c r="C8831" i="1"/>
  <c r="B8831" i="1"/>
  <c r="A8831" i="1"/>
  <c r="F8830" i="1"/>
  <c r="E8830" i="1"/>
  <c r="D8830" i="1"/>
  <c r="C8830" i="1"/>
  <c r="B8830" i="1"/>
  <c r="A8830" i="1"/>
  <c r="F8829" i="1"/>
  <c r="E8829" i="1"/>
  <c r="D8829" i="1"/>
  <c r="C8829" i="1"/>
  <c r="B8829" i="1"/>
  <c r="A8829" i="1"/>
  <c r="F8828" i="1"/>
  <c r="E8828" i="1"/>
  <c r="D8828" i="1"/>
  <c r="C8828" i="1"/>
  <c r="B8828" i="1"/>
  <c r="A8828" i="1"/>
  <c r="F8827" i="1"/>
  <c r="E8827" i="1"/>
  <c r="D8827" i="1"/>
  <c r="C8827" i="1"/>
  <c r="B8827" i="1"/>
  <c r="A8827" i="1"/>
  <c r="F8826" i="1"/>
  <c r="E8826" i="1"/>
  <c r="D8826" i="1"/>
  <c r="C8826" i="1"/>
  <c r="B8826" i="1"/>
  <c r="A8826" i="1"/>
  <c r="F8825" i="1"/>
  <c r="E8825" i="1"/>
  <c r="D8825" i="1"/>
  <c r="C8825" i="1"/>
  <c r="B8825" i="1"/>
  <c r="A8825" i="1"/>
  <c r="F8824" i="1"/>
  <c r="E8824" i="1"/>
  <c r="D8824" i="1"/>
  <c r="C8824" i="1"/>
  <c r="B8824" i="1"/>
  <c r="A8824" i="1"/>
  <c r="F8823" i="1"/>
  <c r="E8823" i="1"/>
  <c r="D8823" i="1"/>
  <c r="C8823" i="1"/>
  <c r="B8823" i="1"/>
  <c r="A8823" i="1"/>
  <c r="F8822" i="1"/>
  <c r="E8822" i="1"/>
  <c r="D8822" i="1"/>
  <c r="C8822" i="1"/>
  <c r="B8822" i="1"/>
  <c r="A8822" i="1"/>
  <c r="F8821" i="1"/>
  <c r="E8821" i="1"/>
  <c r="D8821" i="1"/>
  <c r="C8821" i="1"/>
  <c r="B8821" i="1"/>
  <c r="A8821" i="1"/>
  <c r="F8820" i="1"/>
  <c r="E8820" i="1"/>
  <c r="D8820" i="1"/>
  <c r="C8820" i="1"/>
  <c r="B8820" i="1"/>
  <c r="A8820" i="1"/>
  <c r="F8819" i="1"/>
  <c r="E8819" i="1"/>
  <c r="D8819" i="1"/>
  <c r="C8819" i="1"/>
  <c r="B8819" i="1"/>
  <c r="A8819" i="1"/>
  <c r="F8818" i="1"/>
  <c r="E8818" i="1"/>
  <c r="D8818" i="1"/>
  <c r="C8818" i="1"/>
  <c r="B8818" i="1"/>
  <c r="A8818" i="1"/>
  <c r="F8817" i="1"/>
  <c r="E8817" i="1"/>
  <c r="D8817" i="1"/>
  <c r="C8817" i="1"/>
  <c r="B8817" i="1"/>
  <c r="A8817" i="1"/>
  <c r="F8816" i="1"/>
  <c r="E8816" i="1"/>
  <c r="D8816" i="1"/>
  <c r="C8816" i="1"/>
  <c r="B8816" i="1"/>
  <c r="A8816" i="1"/>
  <c r="F8815" i="1"/>
  <c r="E8815" i="1"/>
  <c r="D8815" i="1"/>
  <c r="C8815" i="1"/>
  <c r="B8815" i="1"/>
  <c r="A8815" i="1"/>
  <c r="F8814" i="1"/>
  <c r="E8814" i="1"/>
  <c r="D8814" i="1"/>
  <c r="C8814" i="1"/>
  <c r="B8814" i="1"/>
  <c r="A8814" i="1"/>
  <c r="F8813" i="1"/>
  <c r="E8813" i="1"/>
  <c r="D8813" i="1"/>
  <c r="C8813" i="1"/>
  <c r="B8813" i="1"/>
  <c r="A8813" i="1"/>
  <c r="F8812" i="1"/>
  <c r="E8812" i="1"/>
  <c r="D8812" i="1"/>
  <c r="C8812" i="1"/>
  <c r="B8812" i="1"/>
  <c r="A8812" i="1"/>
  <c r="F8811" i="1"/>
  <c r="E8811" i="1"/>
  <c r="D8811" i="1"/>
  <c r="C8811" i="1"/>
  <c r="B8811" i="1"/>
  <c r="A8811" i="1"/>
  <c r="F8810" i="1"/>
  <c r="E8810" i="1"/>
  <c r="D8810" i="1"/>
  <c r="C8810" i="1"/>
  <c r="B8810" i="1"/>
  <c r="A8810" i="1"/>
  <c r="F8809" i="1"/>
  <c r="E8809" i="1"/>
  <c r="D8809" i="1"/>
  <c r="C8809" i="1"/>
  <c r="B8809" i="1"/>
  <c r="A8809" i="1"/>
  <c r="F8808" i="1"/>
  <c r="E8808" i="1"/>
  <c r="D8808" i="1"/>
  <c r="C8808" i="1"/>
  <c r="B8808" i="1"/>
  <c r="A8808" i="1"/>
  <c r="F8807" i="1"/>
  <c r="E8807" i="1"/>
  <c r="D8807" i="1"/>
  <c r="C8807" i="1"/>
  <c r="B8807" i="1"/>
  <c r="A8807" i="1"/>
  <c r="F8806" i="1"/>
  <c r="E8806" i="1"/>
  <c r="D8806" i="1"/>
  <c r="C8806" i="1"/>
  <c r="B8806" i="1"/>
  <c r="A8806" i="1"/>
  <c r="F8805" i="1"/>
  <c r="E8805" i="1"/>
  <c r="D8805" i="1"/>
  <c r="C8805" i="1"/>
  <c r="B8805" i="1"/>
  <c r="A8805" i="1"/>
  <c r="F8804" i="1"/>
  <c r="E8804" i="1"/>
  <c r="D8804" i="1"/>
  <c r="C8804" i="1"/>
  <c r="B8804" i="1"/>
  <c r="A8804" i="1"/>
  <c r="F8803" i="1"/>
  <c r="E8803" i="1"/>
  <c r="D8803" i="1"/>
  <c r="C8803" i="1"/>
  <c r="B8803" i="1"/>
  <c r="A8803" i="1"/>
  <c r="F8802" i="1"/>
  <c r="E8802" i="1"/>
  <c r="D8802" i="1"/>
  <c r="C8802" i="1"/>
  <c r="B8802" i="1"/>
  <c r="A8802" i="1"/>
  <c r="F8801" i="1"/>
  <c r="E8801" i="1"/>
  <c r="D8801" i="1"/>
  <c r="C8801" i="1"/>
  <c r="B8801" i="1"/>
  <c r="A8801" i="1"/>
  <c r="F8800" i="1"/>
  <c r="E8800" i="1"/>
  <c r="D8800" i="1"/>
  <c r="C8800" i="1"/>
  <c r="B8800" i="1"/>
  <c r="A8800" i="1"/>
  <c r="F8799" i="1"/>
  <c r="E8799" i="1"/>
  <c r="D8799" i="1"/>
  <c r="C8799" i="1"/>
  <c r="B8799" i="1"/>
  <c r="A8799" i="1"/>
  <c r="F8798" i="1"/>
  <c r="E8798" i="1"/>
  <c r="D8798" i="1"/>
  <c r="C8798" i="1"/>
  <c r="B8798" i="1"/>
  <c r="A8798" i="1"/>
  <c r="F8797" i="1"/>
  <c r="E8797" i="1"/>
  <c r="D8797" i="1"/>
  <c r="C8797" i="1"/>
  <c r="B8797" i="1"/>
  <c r="A8797" i="1"/>
  <c r="F8796" i="1"/>
  <c r="E8796" i="1"/>
  <c r="D8796" i="1"/>
  <c r="C8796" i="1"/>
  <c r="B8796" i="1"/>
  <c r="A8796" i="1"/>
  <c r="F8795" i="1"/>
  <c r="E8795" i="1"/>
  <c r="D8795" i="1"/>
  <c r="C8795" i="1"/>
  <c r="B8795" i="1"/>
  <c r="A8795" i="1"/>
  <c r="F8794" i="1"/>
  <c r="E8794" i="1"/>
  <c r="D8794" i="1"/>
  <c r="C8794" i="1"/>
  <c r="B8794" i="1"/>
  <c r="A8794" i="1"/>
  <c r="F8793" i="1"/>
  <c r="E8793" i="1"/>
  <c r="D8793" i="1"/>
  <c r="C8793" i="1"/>
  <c r="B8793" i="1"/>
  <c r="A8793" i="1"/>
  <c r="F8792" i="1"/>
  <c r="E8792" i="1"/>
  <c r="D8792" i="1"/>
  <c r="C8792" i="1"/>
  <c r="B8792" i="1"/>
  <c r="A8792" i="1"/>
  <c r="F8791" i="1"/>
  <c r="E8791" i="1"/>
  <c r="D8791" i="1"/>
  <c r="C8791" i="1"/>
  <c r="B8791" i="1"/>
  <c r="A8791" i="1"/>
  <c r="F8790" i="1"/>
  <c r="E8790" i="1"/>
  <c r="D8790" i="1"/>
  <c r="C8790" i="1"/>
  <c r="B8790" i="1"/>
  <c r="A8790" i="1"/>
  <c r="F8789" i="1"/>
  <c r="E8789" i="1"/>
  <c r="D8789" i="1"/>
  <c r="C8789" i="1"/>
  <c r="B8789" i="1"/>
  <c r="A8789" i="1"/>
  <c r="F8788" i="1"/>
  <c r="E8788" i="1"/>
  <c r="D8788" i="1"/>
  <c r="C8788" i="1"/>
  <c r="B8788" i="1"/>
  <c r="A8788" i="1"/>
  <c r="F8787" i="1"/>
  <c r="E8787" i="1"/>
  <c r="D8787" i="1"/>
  <c r="C8787" i="1"/>
  <c r="B8787" i="1"/>
  <c r="A8787" i="1"/>
  <c r="F8786" i="1"/>
  <c r="E8786" i="1"/>
  <c r="D8786" i="1"/>
  <c r="C8786" i="1"/>
  <c r="B8786" i="1"/>
  <c r="A8786" i="1"/>
  <c r="F8785" i="1"/>
  <c r="E8785" i="1"/>
  <c r="D8785" i="1"/>
  <c r="C8785" i="1"/>
  <c r="B8785" i="1"/>
  <c r="A8785" i="1"/>
  <c r="F8784" i="1"/>
  <c r="E8784" i="1"/>
  <c r="D8784" i="1"/>
  <c r="C8784" i="1"/>
  <c r="B8784" i="1"/>
  <c r="A8784" i="1"/>
  <c r="F8783" i="1"/>
  <c r="E8783" i="1"/>
  <c r="D8783" i="1"/>
  <c r="C8783" i="1"/>
  <c r="B8783" i="1"/>
  <c r="A8783" i="1"/>
  <c r="F8782" i="1"/>
  <c r="E8782" i="1"/>
  <c r="D8782" i="1"/>
  <c r="C8782" i="1"/>
  <c r="B8782" i="1"/>
  <c r="A8782" i="1"/>
  <c r="F8781" i="1"/>
  <c r="E8781" i="1"/>
  <c r="D8781" i="1"/>
  <c r="C8781" i="1"/>
  <c r="B8781" i="1"/>
  <c r="A8781" i="1"/>
  <c r="F8780" i="1"/>
  <c r="E8780" i="1"/>
  <c r="D8780" i="1"/>
  <c r="C8780" i="1"/>
  <c r="B8780" i="1"/>
  <c r="A8780" i="1"/>
  <c r="F8779" i="1"/>
  <c r="E8779" i="1"/>
  <c r="D8779" i="1"/>
  <c r="C8779" i="1"/>
  <c r="B8779" i="1"/>
  <c r="A8779" i="1"/>
  <c r="F8778" i="1"/>
  <c r="E8778" i="1"/>
  <c r="D8778" i="1"/>
  <c r="C8778" i="1"/>
  <c r="B8778" i="1"/>
  <c r="A8778" i="1"/>
  <c r="F8777" i="1"/>
  <c r="E8777" i="1"/>
  <c r="D8777" i="1"/>
  <c r="C8777" i="1"/>
  <c r="B8777" i="1"/>
  <c r="A8777" i="1"/>
  <c r="F8776" i="1"/>
  <c r="E8776" i="1"/>
  <c r="D8776" i="1"/>
  <c r="C8776" i="1"/>
  <c r="B8776" i="1"/>
  <c r="A8776" i="1"/>
  <c r="F8775" i="1"/>
  <c r="E8775" i="1"/>
  <c r="D8775" i="1"/>
  <c r="C8775" i="1"/>
  <c r="B8775" i="1"/>
  <c r="A8775" i="1"/>
  <c r="F8774" i="1"/>
  <c r="E8774" i="1"/>
  <c r="D8774" i="1"/>
  <c r="C8774" i="1"/>
  <c r="B8774" i="1"/>
  <c r="A8774" i="1"/>
  <c r="F8773" i="1"/>
  <c r="E8773" i="1"/>
  <c r="D8773" i="1"/>
  <c r="C8773" i="1"/>
  <c r="B8773" i="1"/>
  <c r="A8773" i="1"/>
  <c r="F8772" i="1"/>
  <c r="E8772" i="1"/>
  <c r="D8772" i="1"/>
  <c r="C8772" i="1"/>
  <c r="B8772" i="1"/>
  <c r="A8772" i="1"/>
  <c r="F8771" i="1"/>
  <c r="E8771" i="1"/>
  <c r="D8771" i="1"/>
  <c r="C8771" i="1"/>
  <c r="B8771" i="1"/>
  <c r="A8771" i="1"/>
  <c r="F8770" i="1"/>
  <c r="E8770" i="1"/>
  <c r="D8770" i="1"/>
  <c r="C8770" i="1"/>
  <c r="B8770" i="1"/>
  <c r="A8770" i="1"/>
  <c r="F8769" i="1"/>
  <c r="E8769" i="1"/>
  <c r="D8769" i="1"/>
  <c r="C8769" i="1"/>
  <c r="B8769" i="1"/>
  <c r="A8769" i="1"/>
  <c r="F8768" i="1"/>
  <c r="E8768" i="1"/>
  <c r="D8768" i="1"/>
  <c r="C8768" i="1"/>
  <c r="B8768" i="1"/>
  <c r="A8768" i="1"/>
  <c r="F8767" i="1"/>
  <c r="E8767" i="1"/>
  <c r="D8767" i="1"/>
  <c r="C8767" i="1"/>
  <c r="B8767" i="1"/>
  <c r="A8767" i="1"/>
  <c r="F8766" i="1"/>
  <c r="E8766" i="1"/>
  <c r="D8766" i="1"/>
  <c r="C8766" i="1"/>
  <c r="B8766" i="1"/>
  <c r="A8766" i="1"/>
  <c r="F8765" i="1"/>
  <c r="E8765" i="1"/>
  <c r="D8765" i="1"/>
  <c r="C8765" i="1"/>
  <c r="B8765" i="1"/>
  <c r="A8765" i="1"/>
  <c r="F8764" i="1"/>
  <c r="E8764" i="1"/>
  <c r="D8764" i="1"/>
  <c r="C8764" i="1"/>
  <c r="B8764" i="1"/>
  <c r="A8764" i="1"/>
  <c r="F8763" i="1"/>
  <c r="E8763" i="1"/>
  <c r="D8763" i="1"/>
  <c r="C8763" i="1"/>
  <c r="B8763" i="1"/>
  <c r="A8763" i="1"/>
  <c r="F8762" i="1"/>
  <c r="E8762" i="1"/>
  <c r="D8762" i="1"/>
  <c r="C8762" i="1"/>
  <c r="B8762" i="1"/>
  <c r="A8762" i="1"/>
  <c r="F8761" i="1"/>
  <c r="E8761" i="1"/>
  <c r="D8761" i="1"/>
  <c r="C8761" i="1"/>
  <c r="B8761" i="1"/>
  <c r="A8761" i="1"/>
  <c r="F8760" i="1"/>
  <c r="E8760" i="1"/>
  <c r="D8760" i="1"/>
  <c r="C8760" i="1"/>
  <c r="B8760" i="1"/>
  <c r="A8760" i="1"/>
  <c r="F8759" i="1"/>
  <c r="E8759" i="1"/>
  <c r="D8759" i="1"/>
  <c r="C8759" i="1"/>
  <c r="B8759" i="1"/>
  <c r="A8759" i="1"/>
  <c r="F8758" i="1"/>
  <c r="E8758" i="1"/>
  <c r="D8758" i="1"/>
  <c r="C8758" i="1"/>
  <c r="B8758" i="1"/>
  <c r="A8758" i="1"/>
  <c r="F8757" i="1"/>
  <c r="E8757" i="1"/>
  <c r="D8757" i="1"/>
  <c r="C8757" i="1"/>
  <c r="B8757" i="1"/>
  <c r="A8757" i="1"/>
  <c r="F8756" i="1"/>
  <c r="E8756" i="1"/>
  <c r="D8756" i="1"/>
  <c r="C8756" i="1"/>
  <c r="B8756" i="1"/>
  <c r="A8756" i="1"/>
  <c r="F8755" i="1"/>
  <c r="E8755" i="1"/>
  <c r="D8755" i="1"/>
  <c r="C8755" i="1"/>
  <c r="B8755" i="1"/>
  <c r="A8755" i="1"/>
  <c r="F8754" i="1"/>
  <c r="E8754" i="1"/>
  <c r="D8754" i="1"/>
  <c r="C8754" i="1"/>
  <c r="B8754" i="1"/>
  <c r="A8754" i="1"/>
  <c r="F8753" i="1"/>
  <c r="E8753" i="1"/>
  <c r="D8753" i="1"/>
  <c r="C8753" i="1"/>
  <c r="B8753" i="1"/>
  <c r="A8753" i="1"/>
  <c r="F8752" i="1"/>
  <c r="E8752" i="1"/>
  <c r="D8752" i="1"/>
  <c r="C8752" i="1"/>
  <c r="B8752" i="1"/>
  <c r="A8752" i="1"/>
  <c r="F8751" i="1"/>
  <c r="E8751" i="1"/>
  <c r="D8751" i="1"/>
  <c r="C8751" i="1"/>
  <c r="B8751" i="1"/>
  <c r="A8751" i="1"/>
  <c r="F8750" i="1"/>
  <c r="E8750" i="1"/>
  <c r="D8750" i="1"/>
  <c r="C8750" i="1"/>
  <c r="B8750" i="1"/>
  <c r="A8750" i="1"/>
  <c r="F8749" i="1"/>
  <c r="E8749" i="1"/>
  <c r="D8749" i="1"/>
  <c r="C8749" i="1"/>
  <c r="B8749" i="1"/>
  <c r="A8749" i="1"/>
  <c r="F8748" i="1"/>
  <c r="E8748" i="1"/>
  <c r="D8748" i="1"/>
  <c r="C8748" i="1"/>
  <c r="B8748" i="1"/>
  <c r="A8748" i="1"/>
  <c r="F8747" i="1"/>
  <c r="E8747" i="1"/>
  <c r="D8747" i="1"/>
  <c r="C8747" i="1"/>
  <c r="B8747" i="1"/>
  <c r="A8747" i="1"/>
  <c r="F8746" i="1"/>
  <c r="E8746" i="1"/>
  <c r="D8746" i="1"/>
  <c r="C8746" i="1"/>
  <c r="B8746" i="1"/>
  <c r="A8746" i="1"/>
  <c r="F8745" i="1"/>
  <c r="E8745" i="1"/>
  <c r="D8745" i="1"/>
  <c r="C8745" i="1"/>
  <c r="B8745" i="1"/>
  <c r="A8745" i="1"/>
  <c r="F8744" i="1"/>
  <c r="E8744" i="1"/>
  <c r="D8744" i="1"/>
  <c r="C8744" i="1"/>
  <c r="B8744" i="1"/>
  <c r="A8744" i="1"/>
  <c r="F8743" i="1"/>
  <c r="E8743" i="1"/>
  <c r="D8743" i="1"/>
  <c r="C8743" i="1"/>
  <c r="B8743" i="1"/>
  <c r="A8743" i="1"/>
  <c r="F8742" i="1"/>
  <c r="E8742" i="1"/>
  <c r="D8742" i="1"/>
  <c r="C8742" i="1"/>
  <c r="B8742" i="1"/>
  <c r="A8742" i="1"/>
  <c r="F8741" i="1"/>
  <c r="E8741" i="1"/>
  <c r="D8741" i="1"/>
  <c r="C8741" i="1"/>
  <c r="B8741" i="1"/>
  <c r="A8741" i="1"/>
  <c r="F8740" i="1"/>
  <c r="E8740" i="1"/>
  <c r="D8740" i="1"/>
  <c r="C8740" i="1"/>
  <c r="B8740" i="1"/>
  <c r="A8740" i="1"/>
  <c r="F8739" i="1"/>
  <c r="E8739" i="1"/>
  <c r="D8739" i="1"/>
  <c r="C8739" i="1"/>
  <c r="B8739" i="1"/>
  <c r="A8739" i="1"/>
  <c r="F8738" i="1"/>
  <c r="E8738" i="1"/>
  <c r="D8738" i="1"/>
  <c r="C8738" i="1"/>
  <c r="B8738" i="1"/>
  <c r="A8738" i="1"/>
  <c r="F8737" i="1"/>
  <c r="E8737" i="1"/>
  <c r="D8737" i="1"/>
  <c r="C8737" i="1"/>
  <c r="B8737" i="1"/>
  <c r="A8737" i="1"/>
  <c r="F8736" i="1"/>
  <c r="E8736" i="1"/>
  <c r="D8736" i="1"/>
  <c r="C8736" i="1"/>
  <c r="B8736" i="1"/>
  <c r="A8736" i="1"/>
  <c r="F8735" i="1"/>
  <c r="E8735" i="1"/>
  <c r="D8735" i="1"/>
  <c r="C8735" i="1"/>
  <c r="B8735" i="1"/>
  <c r="A8735" i="1"/>
  <c r="F8734" i="1"/>
  <c r="E8734" i="1"/>
  <c r="D8734" i="1"/>
  <c r="C8734" i="1"/>
  <c r="B8734" i="1"/>
  <c r="A8734" i="1"/>
  <c r="F8733" i="1"/>
  <c r="E8733" i="1"/>
  <c r="D8733" i="1"/>
  <c r="C8733" i="1"/>
  <c r="B8733" i="1"/>
  <c r="A8733" i="1"/>
  <c r="F8732" i="1"/>
  <c r="E8732" i="1"/>
  <c r="D8732" i="1"/>
  <c r="C8732" i="1"/>
  <c r="B8732" i="1"/>
  <c r="A8732" i="1"/>
  <c r="F8731" i="1"/>
  <c r="E8731" i="1"/>
  <c r="D8731" i="1"/>
  <c r="C8731" i="1"/>
  <c r="B8731" i="1"/>
  <c r="A8731" i="1"/>
  <c r="F8730" i="1"/>
  <c r="E8730" i="1"/>
  <c r="D8730" i="1"/>
  <c r="C8730" i="1"/>
  <c r="B8730" i="1"/>
  <c r="A8730" i="1"/>
  <c r="F8729" i="1"/>
  <c r="E8729" i="1"/>
  <c r="D8729" i="1"/>
  <c r="C8729" i="1"/>
  <c r="B8729" i="1"/>
  <c r="A8729" i="1"/>
  <c r="F8728" i="1"/>
  <c r="E8728" i="1"/>
  <c r="D8728" i="1"/>
  <c r="C8728" i="1"/>
  <c r="B8728" i="1"/>
  <c r="A8728" i="1"/>
  <c r="F8727" i="1"/>
  <c r="E8727" i="1"/>
  <c r="D8727" i="1"/>
  <c r="C8727" i="1"/>
  <c r="B8727" i="1"/>
  <c r="A8727" i="1"/>
  <c r="F8726" i="1"/>
  <c r="E8726" i="1"/>
  <c r="D8726" i="1"/>
  <c r="C8726" i="1"/>
  <c r="B8726" i="1"/>
  <c r="A8726" i="1"/>
  <c r="F8725" i="1"/>
  <c r="E8725" i="1"/>
  <c r="D8725" i="1"/>
  <c r="C8725" i="1"/>
  <c r="B8725" i="1"/>
  <c r="A8725" i="1"/>
  <c r="F8724" i="1"/>
  <c r="E8724" i="1"/>
  <c r="D8724" i="1"/>
  <c r="C8724" i="1"/>
  <c r="B8724" i="1"/>
  <c r="A8724" i="1"/>
  <c r="F8723" i="1"/>
  <c r="E8723" i="1"/>
  <c r="D8723" i="1"/>
  <c r="C8723" i="1"/>
  <c r="B8723" i="1"/>
  <c r="A8723" i="1"/>
  <c r="F8722" i="1"/>
  <c r="E8722" i="1"/>
  <c r="D8722" i="1"/>
  <c r="C8722" i="1"/>
  <c r="B8722" i="1"/>
  <c r="A8722" i="1"/>
  <c r="F8721" i="1"/>
  <c r="E8721" i="1"/>
  <c r="D8721" i="1"/>
  <c r="C8721" i="1"/>
  <c r="B8721" i="1"/>
  <c r="A8721" i="1"/>
  <c r="F8720" i="1"/>
  <c r="E8720" i="1"/>
  <c r="D8720" i="1"/>
  <c r="C8720" i="1"/>
  <c r="B8720" i="1"/>
  <c r="A8720" i="1"/>
  <c r="F8719" i="1"/>
  <c r="E8719" i="1"/>
  <c r="D8719" i="1"/>
  <c r="C8719" i="1"/>
  <c r="B8719" i="1"/>
  <c r="A8719" i="1"/>
  <c r="F8718" i="1"/>
  <c r="E8718" i="1"/>
  <c r="D8718" i="1"/>
  <c r="C8718" i="1"/>
  <c r="B8718" i="1"/>
  <c r="A8718" i="1"/>
  <c r="F8717" i="1"/>
  <c r="E8717" i="1"/>
  <c r="D8717" i="1"/>
  <c r="C8717" i="1"/>
  <c r="B8717" i="1"/>
  <c r="A8717" i="1"/>
  <c r="F8716" i="1"/>
  <c r="E8716" i="1"/>
  <c r="D8716" i="1"/>
  <c r="C8716" i="1"/>
  <c r="B8716" i="1"/>
  <c r="A8716" i="1"/>
  <c r="F8715" i="1"/>
  <c r="E8715" i="1"/>
  <c r="D8715" i="1"/>
  <c r="C8715" i="1"/>
  <c r="B8715" i="1"/>
  <c r="A8715" i="1"/>
  <c r="F8714" i="1"/>
  <c r="E8714" i="1"/>
  <c r="D8714" i="1"/>
  <c r="C8714" i="1"/>
  <c r="B8714" i="1"/>
  <c r="A8714" i="1"/>
  <c r="F8713" i="1"/>
  <c r="E8713" i="1"/>
  <c r="D8713" i="1"/>
  <c r="C8713" i="1"/>
  <c r="B8713" i="1"/>
  <c r="A8713" i="1"/>
  <c r="F8712" i="1"/>
  <c r="E8712" i="1"/>
  <c r="D8712" i="1"/>
  <c r="C8712" i="1"/>
  <c r="B8712" i="1"/>
  <c r="A8712" i="1"/>
  <c r="F8711" i="1"/>
  <c r="E8711" i="1"/>
  <c r="D8711" i="1"/>
  <c r="C8711" i="1"/>
  <c r="B8711" i="1"/>
  <c r="A8711" i="1"/>
  <c r="F8710" i="1"/>
  <c r="E8710" i="1"/>
  <c r="D8710" i="1"/>
  <c r="C8710" i="1"/>
  <c r="B8710" i="1"/>
  <c r="A8710" i="1"/>
  <c r="F8709" i="1"/>
  <c r="E8709" i="1"/>
  <c r="D8709" i="1"/>
  <c r="C8709" i="1"/>
  <c r="B8709" i="1"/>
  <c r="A8709" i="1"/>
  <c r="F8708" i="1"/>
  <c r="E8708" i="1"/>
  <c r="D8708" i="1"/>
  <c r="C8708" i="1"/>
  <c r="B8708" i="1"/>
  <c r="A8708" i="1"/>
  <c r="F8707" i="1"/>
  <c r="E8707" i="1"/>
  <c r="D8707" i="1"/>
  <c r="C8707" i="1"/>
  <c r="B8707" i="1"/>
  <c r="A8707" i="1"/>
  <c r="F8706" i="1"/>
  <c r="E8706" i="1"/>
  <c r="D8706" i="1"/>
  <c r="C8706" i="1"/>
  <c r="B8706" i="1"/>
  <c r="A8706" i="1"/>
  <c r="F8705" i="1"/>
  <c r="E8705" i="1"/>
  <c r="D8705" i="1"/>
  <c r="C8705" i="1"/>
  <c r="B8705" i="1"/>
  <c r="A8705" i="1"/>
  <c r="F8704" i="1"/>
  <c r="E8704" i="1"/>
  <c r="D8704" i="1"/>
  <c r="C8704" i="1"/>
  <c r="B8704" i="1"/>
  <c r="A8704" i="1"/>
  <c r="F8703" i="1"/>
  <c r="E8703" i="1"/>
  <c r="D8703" i="1"/>
  <c r="C8703" i="1"/>
  <c r="B8703" i="1"/>
  <c r="A8703" i="1"/>
  <c r="F8702" i="1"/>
  <c r="E8702" i="1"/>
  <c r="D8702" i="1"/>
  <c r="C8702" i="1"/>
  <c r="B8702" i="1"/>
  <c r="A8702" i="1"/>
  <c r="F8701" i="1"/>
  <c r="E8701" i="1"/>
  <c r="D8701" i="1"/>
  <c r="C8701" i="1"/>
  <c r="B8701" i="1"/>
  <c r="A8701" i="1"/>
  <c r="F8700" i="1"/>
  <c r="E8700" i="1"/>
  <c r="D8700" i="1"/>
  <c r="C8700" i="1"/>
  <c r="B8700" i="1"/>
  <c r="A8700" i="1"/>
  <c r="F8699" i="1"/>
  <c r="E8699" i="1"/>
  <c r="D8699" i="1"/>
  <c r="C8699" i="1"/>
  <c r="B8699" i="1"/>
  <c r="A8699" i="1"/>
  <c r="F8698" i="1"/>
  <c r="E8698" i="1"/>
  <c r="D8698" i="1"/>
  <c r="C8698" i="1"/>
  <c r="B8698" i="1"/>
  <c r="A8698" i="1"/>
  <c r="F8697" i="1"/>
  <c r="E8697" i="1"/>
  <c r="D8697" i="1"/>
  <c r="C8697" i="1"/>
  <c r="B8697" i="1"/>
  <c r="A8697" i="1"/>
  <c r="F8696" i="1"/>
  <c r="E8696" i="1"/>
  <c r="D8696" i="1"/>
  <c r="C8696" i="1"/>
  <c r="B8696" i="1"/>
  <c r="A8696" i="1"/>
  <c r="F8695" i="1"/>
  <c r="E8695" i="1"/>
  <c r="D8695" i="1"/>
  <c r="C8695" i="1"/>
  <c r="B8695" i="1"/>
  <c r="A8695" i="1"/>
  <c r="F8694" i="1"/>
  <c r="E8694" i="1"/>
  <c r="D8694" i="1"/>
  <c r="C8694" i="1"/>
  <c r="B8694" i="1"/>
  <c r="A8694" i="1"/>
  <c r="F8693" i="1"/>
  <c r="E8693" i="1"/>
  <c r="D8693" i="1"/>
  <c r="C8693" i="1"/>
  <c r="B8693" i="1"/>
  <c r="A8693" i="1"/>
  <c r="F8692" i="1"/>
  <c r="E8692" i="1"/>
  <c r="D8692" i="1"/>
  <c r="C8692" i="1"/>
  <c r="B8692" i="1"/>
  <c r="A8692" i="1"/>
  <c r="F8691" i="1"/>
  <c r="E8691" i="1"/>
  <c r="D8691" i="1"/>
  <c r="C8691" i="1"/>
  <c r="B8691" i="1"/>
  <c r="A8691" i="1"/>
  <c r="F8690" i="1"/>
  <c r="E8690" i="1"/>
  <c r="D8690" i="1"/>
  <c r="C8690" i="1"/>
  <c r="B8690" i="1"/>
  <c r="A8690" i="1"/>
  <c r="F8689" i="1"/>
  <c r="E8689" i="1"/>
  <c r="D8689" i="1"/>
  <c r="C8689" i="1"/>
  <c r="B8689" i="1"/>
  <c r="A8689" i="1"/>
  <c r="F8688" i="1"/>
  <c r="E8688" i="1"/>
  <c r="D8688" i="1"/>
  <c r="C8688" i="1"/>
  <c r="B8688" i="1"/>
  <c r="A8688" i="1"/>
  <c r="F8687" i="1"/>
  <c r="E8687" i="1"/>
  <c r="D8687" i="1"/>
  <c r="C8687" i="1"/>
  <c r="B8687" i="1"/>
  <c r="A8687" i="1"/>
  <c r="F8686" i="1"/>
  <c r="E8686" i="1"/>
  <c r="D8686" i="1"/>
  <c r="C8686" i="1"/>
  <c r="B8686" i="1"/>
  <c r="A8686" i="1"/>
  <c r="F8685" i="1"/>
  <c r="E8685" i="1"/>
  <c r="D8685" i="1"/>
  <c r="C8685" i="1"/>
  <c r="B8685" i="1"/>
  <c r="A8685" i="1"/>
  <c r="F8684" i="1"/>
  <c r="E8684" i="1"/>
  <c r="D8684" i="1"/>
  <c r="C8684" i="1"/>
  <c r="B8684" i="1"/>
  <c r="A8684" i="1"/>
  <c r="F8683" i="1"/>
  <c r="E8683" i="1"/>
  <c r="D8683" i="1"/>
  <c r="C8683" i="1"/>
  <c r="B8683" i="1"/>
  <c r="A8683" i="1"/>
  <c r="F8682" i="1"/>
  <c r="E8682" i="1"/>
  <c r="D8682" i="1"/>
  <c r="C8682" i="1"/>
  <c r="B8682" i="1"/>
  <c r="A8682" i="1"/>
  <c r="F8681" i="1"/>
  <c r="E8681" i="1"/>
  <c r="D8681" i="1"/>
  <c r="C8681" i="1"/>
  <c r="B8681" i="1"/>
  <c r="A8681" i="1"/>
  <c r="F8680" i="1"/>
  <c r="E8680" i="1"/>
  <c r="D8680" i="1"/>
  <c r="C8680" i="1"/>
  <c r="B8680" i="1"/>
  <c r="A8680" i="1"/>
  <c r="F8679" i="1"/>
  <c r="E8679" i="1"/>
  <c r="D8679" i="1"/>
  <c r="C8679" i="1"/>
  <c r="B8679" i="1"/>
  <c r="A8679" i="1"/>
  <c r="F8678" i="1"/>
  <c r="E8678" i="1"/>
  <c r="D8678" i="1"/>
  <c r="C8678" i="1"/>
  <c r="B8678" i="1"/>
  <c r="A8678" i="1"/>
  <c r="F8677" i="1"/>
  <c r="E8677" i="1"/>
  <c r="D8677" i="1"/>
  <c r="C8677" i="1"/>
  <c r="B8677" i="1"/>
  <c r="A8677" i="1"/>
  <c r="F8676" i="1"/>
  <c r="E8676" i="1"/>
  <c r="D8676" i="1"/>
  <c r="C8676" i="1"/>
  <c r="B8676" i="1"/>
  <c r="A8676" i="1"/>
  <c r="F8675" i="1"/>
  <c r="E8675" i="1"/>
  <c r="D8675" i="1"/>
  <c r="C8675" i="1"/>
  <c r="B8675" i="1"/>
  <c r="A8675" i="1"/>
  <c r="F8674" i="1"/>
  <c r="E8674" i="1"/>
  <c r="D8674" i="1"/>
  <c r="C8674" i="1"/>
  <c r="B8674" i="1"/>
  <c r="A8674" i="1"/>
  <c r="F8673" i="1"/>
  <c r="E8673" i="1"/>
  <c r="D8673" i="1"/>
  <c r="C8673" i="1"/>
  <c r="B8673" i="1"/>
  <c r="A8673" i="1"/>
  <c r="F8672" i="1"/>
  <c r="E8672" i="1"/>
  <c r="D8672" i="1"/>
  <c r="C8672" i="1"/>
  <c r="B8672" i="1"/>
  <c r="A8672" i="1"/>
  <c r="F8671" i="1"/>
  <c r="E8671" i="1"/>
  <c r="D8671" i="1"/>
  <c r="C8671" i="1"/>
  <c r="B8671" i="1"/>
  <c r="A8671" i="1"/>
  <c r="F8670" i="1"/>
  <c r="E8670" i="1"/>
  <c r="D8670" i="1"/>
  <c r="C8670" i="1"/>
  <c r="B8670" i="1"/>
  <c r="A8670" i="1"/>
  <c r="F8669" i="1"/>
  <c r="E8669" i="1"/>
  <c r="D8669" i="1"/>
  <c r="C8669" i="1"/>
  <c r="B8669" i="1"/>
  <c r="A8669" i="1"/>
  <c r="F8668" i="1"/>
  <c r="E8668" i="1"/>
  <c r="D8668" i="1"/>
  <c r="C8668" i="1"/>
  <c r="B8668" i="1"/>
  <c r="A8668" i="1"/>
  <c r="F8667" i="1"/>
  <c r="E8667" i="1"/>
  <c r="D8667" i="1"/>
  <c r="C8667" i="1"/>
  <c r="B8667" i="1"/>
  <c r="A8667" i="1"/>
  <c r="F8666" i="1"/>
  <c r="E8666" i="1"/>
  <c r="D8666" i="1"/>
  <c r="C8666" i="1"/>
  <c r="B8666" i="1"/>
  <c r="A8666" i="1"/>
  <c r="F8665" i="1"/>
  <c r="E8665" i="1"/>
  <c r="D8665" i="1"/>
  <c r="C8665" i="1"/>
  <c r="B8665" i="1"/>
  <c r="A8665" i="1"/>
  <c r="F8664" i="1"/>
  <c r="E8664" i="1"/>
  <c r="D8664" i="1"/>
  <c r="C8664" i="1"/>
  <c r="B8664" i="1"/>
  <c r="A8664" i="1"/>
  <c r="F8663" i="1"/>
  <c r="E8663" i="1"/>
  <c r="D8663" i="1"/>
  <c r="C8663" i="1"/>
  <c r="B8663" i="1"/>
  <c r="A8663" i="1"/>
  <c r="F8662" i="1"/>
  <c r="E8662" i="1"/>
  <c r="D8662" i="1"/>
  <c r="C8662" i="1"/>
  <c r="B8662" i="1"/>
  <c r="A8662" i="1"/>
  <c r="F8661" i="1"/>
  <c r="E8661" i="1"/>
  <c r="D8661" i="1"/>
  <c r="C8661" i="1"/>
  <c r="B8661" i="1"/>
  <c r="A8661" i="1"/>
  <c r="F8660" i="1"/>
  <c r="E8660" i="1"/>
  <c r="D8660" i="1"/>
  <c r="C8660" i="1"/>
  <c r="B8660" i="1"/>
  <c r="A8660" i="1"/>
  <c r="F8659" i="1"/>
  <c r="E8659" i="1"/>
  <c r="D8659" i="1"/>
  <c r="C8659" i="1"/>
  <c r="B8659" i="1"/>
  <c r="A8659" i="1"/>
  <c r="F8658" i="1"/>
  <c r="E8658" i="1"/>
  <c r="D8658" i="1"/>
  <c r="C8658" i="1"/>
  <c r="B8658" i="1"/>
  <c r="A8658" i="1"/>
  <c r="F8657" i="1"/>
  <c r="E8657" i="1"/>
  <c r="D8657" i="1"/>
  <c r="C8657" i="1"/>
  <c r="B8657" i="1"/>
  <c r="A8657" i="1"/>
  <c r="F8656" i="1"/>
  <c r="E8656" i="1"/>
  <c r="D8656" i="1"/>
  <c r="C8656" i="1"/>
  <c r="B8656" i="1"/>
  <c r="A8656" i="1"/>
  <c r="F8655" i="1"/>
  <c r="E8655" i="1"/>
  <c r="D8655" i="1"/>
  <c r="C8655" i="1"/>
  <c r="B8655" i="1"/>
  <c r="A8655" i="1"/>
  <c r="F8654" i="1"/>
  <c r="E8654" i="1"/>
  <c r="D8654" i="1"/>
  <c r="C8654" i="1"/>
  <c r="B8654" i="1"/>
  <c r="A8654" i="1"/>
  <c r="F8653" i="1"/>
  <c r="E8653" i="1"/>
  <c r="D8653" i="1"/>
  <c r="C8653" i="1"/>
  <c r="B8653" i="1"/>
  <c r="A8653" i="1"/>
  <c r="F8652" i="1"/>
  <c r="E8652" i="1"/>
  <c r="D8652" i="1"/>
  <c r="C8652" i="1"/>
  <c r="B8652" i="1"/>
  <c r="A8652" i="1"/>
  <c r="F8651" i="1"/>
  <c r="E8651" i="1"/>
  <c r="D8651" i="1"/>
  <c r="C8651" i="1"/>
  <c r="B8651" i="1"/>
  <c r="A8651" i="1"/>
  <c r="F8650" i="1"/>
  <c r="E8650" i="1"/>
  <c r="D8650" i="1"/>
  <c r="C8650" i="1"/>
  <c r="B8650" i="1"/>
  <c r="A8650" i="1"/>
  <c r="F8649" i="1"/>
  <c r="E8649" i="1"/>
  <c r="D8649" i="1"/>
  <c r="C8649" i="1"/>
  <c r="B8649" i="1"/>
  <c r="A8649" i="1"/>
  <c r="F8648" i="1"/>
  <c r="E8648" i="1"/>
  <c r="D8648" i="1"/>
  <c r="C8648" i="1"/>
  <c r="B8648" i="1"/>
  <c r="A8648" i="1"/>
  <c r="F8647" i="1"/>
  <c r="E8647" i="1"/>
  <c r="D8647" i="1"/>
  <c r="C8647" i="1"/>
  <c r="B8647" i="1"/>
  <c r="A8647" i="1"/>
  <c r="F8646" i="1"/>
  <c r="E8646" i="1"/>
  <c r="D8646" i="1"/>
  <c r="C8646" i="1"/>
  <c r="B8646" i="1"/>
  <c r="A8646" i="1"/>
  <c r="F8645" i="1"/>
  <c r="E8645" i="1"/>
  <c r="D8645" i="1"/>
  <c r="C8645" i="1"/>
  <c r="B8645" i="1"/>
  <c r="A8645" i="1"/>
  <c r="F8644" i="1"/>
  <c r="E8644" i="1"/>
  <c r="D8644" i="1"/>
  <c r="C8644" i="1"/>
  <c r="B8644" i="1"/>
  <c r="A8644" i="1"/>
  <c r="F8643" i="1"/>
  <c r="E8643" i="1"/>
  <c r="D8643" i="1"/>
  <c r="C8643" i="1"/>
  <c r="B8643" i="1"/>
  <c r="A8643" i="1"/>
  <c r="F8642" i="1"/>
  <c r="E8642" i="1"/>
  <c r="D8642" i="1"/>
  <c r="C8642" i="1"/>
  <c r="B8642" i="1"/>
  <c r="A8642" i="1"/>
  <c r="F8641" i="1"/>
  <c r="E8641" i="1"/>
  <c r="D8641" i="1"/>
  <c r="C8641" i="1"/>
  <c r="B8641" i="1"/>
  <c r="A8641" i="1"/>
  <c r="F8640" i="1"/>
  <c r="E8640" i="1"/>
  <c r="D8640" i="1"/>
  <c r="C8640" i="1"/>
  <c r="B8640" i="1"/>
  <c r="A8640" i="1"/>
  <c r="F8639" i="1"/>
  <c r="E8639" i="1"/>
  <c r="D8639" i="1"/>
  <c r="C8639" i="1"/>
  <c r="B8639" i="1"/>
  <c r="A8639" i="1"/>
  <c r="F8638" i="1"/>
  <c r="E8638" i="1"/>
  <c r="D8638" i="1"/>
  <c r="C8638" i="1"/>
  <c r="B8638" i="1"/>
  <c r="A8638" i="1"/>
  <c r="F8637" i="1"/>
  <c r="E8637" i="1"/>
  <c r="D8637" i="1"/>
  <c r="C8637" i="1"/>
  <c r="B8637" i="1"/>
  <c r="A8637" i="1"/>
  <c r="F8636" i="1"/>
  <c r="E8636" i="1"/>
  <c r="D8636" i="1"/>
  <c r="C8636" i="1"/>
  <c r="B8636" i="1"/>
  <c r="A8636" i="1"/>
  <c r="F8635" i="1"/>
  <c r="E8635" i="1"/>
  <c r="D8635" i="1"/>
  <c r="C8635" i="1"/>
  <c r="B8635" i="1"/>
  <c r="A8635" i="1"/>
  <c r="F8634" i="1"/>
  <c r="E8634" i="1"/>
  <c r="D8634" i="1"/>
  <c r="C8634" i="1"/>
  <c r="B8634" i="1"/>
  <c r="A8634" i="1"/>
  <c r="F8633" i="1"/>
  <c r="E8633" i="1"/>
  <c r="D8633" i="1"/>
  <c r="C8633" i="1"/>
  <c r="B8633" i="1"/>
  <c r="A8633" i="1"/>
  <c r="F8632" i="1"/>
  <c r="E8632" i="1"/>
  <c r="D8632" i="1"/>
  <c r="C8632" i="1"/>
  <c r="B8632" i="1"/>
  <c r="A8632" i="1"/>
  <c r="F8631" i="1"/>
  <c r="E8631" i="1"/>
  <c r="D8631" i="1"/>
  <c r="C8631" i="1"/>
  <c r="B8631" i="1"/>
  <c r="A8631" i="1"/>
  <c r="F8630" i="1"/>
  <c r="E8630" i="1"/>
  <c r="D8630" i="1"/>
  <c r="C8630" i="1"/>
  <c r="B8630" i="1"/>
  <c r="A8630" i="1"/>
  <c r="F8629" i="1"/>
  <c r="E8629" i="1"/>
  <c r="D8629" i="1"/>
  <c r="C8629" i="1"/>
  <c r="B8629" i="1"/>
  <c r="A8629" i="1"/>
  <c r="F8628" i="1"/>
  <c r="E8628" i="1"/>
  <c r="D8628" i="1"/>
  <c r="C8628" i="1"/>
  <c r="B8628" i="1"/>
  <c r="A8628" i="1"/>
  <c r="F8627" i="1"/>
  <c r="E8627" i="1"/>
  <c r="D8627" i="1"/>
  <c r="C8627" i="1"/>
  <c r="B8627" i="1"/>
  <c r="A8627" i="1"/>
  <c r="F8626" i="1"/>
  <c r="E8626" i="1"/>
  <c r="D8626" i="1"/>
  <c r="C8626" i="1"/>
  <c r="B8626" i="1"/>
  <c r="A8626" i="1"/>
  <c r="F8625" i="1"/>
  <c r="E8625" i="1"/>
  <c r="D8625" i="1"/>
  <c r="C8625" i="1"/>
  <c r="B8625" i="1"/>
  <c r="A8625" i="1"/>
  <c r="F8624" i="1"/>
  <c r="E8624" i="1"/>
  <c r="D8624" i="1"/>
  <c r="C8624" i="1"/>
  <c r="B8624" i="1"/>
  <c r="A8624" i="1"/>
  <c r="F8623" i="1"/>
  <c r="E8623" i="1"/>
  <c r="D8623" i="1"/>
  <c r="C8623" i="1"/>
  <c r="B8623" i="1"/>
  <c r="A8623" i="1"/>
  <c r="F8622" i="1"/>
  <c r="E8622" i="1"/>
  <c r="D8622" i="1"/>
  <c r="C8622" i="1"/>
  <c r="B8622" i="1"/>
  <c r="A8622" i="1"/>
  <c r="F8621" i="1"/>
  <c r="E8621" i="1"/>
  <c r="D8621" i="1"/>
  <c r="C8621" i="1"/>
  <c r="B8621" i="1"/>
  <c r="A8621" i="1"/>
  <c r="F8620" i="1"/>
  <c r="E8620" i="1"/>
  <c r="D8620" i="1"/>
  <c r="C8620" i="1"/>
  <c r="B8620" i="1"/>
  <c r="A8620" i="1"/>
  <c r="F8619" i="1"/>
  <c r="E8619" i="1"/>
  <c r="D8619" i="1"/>
  <c r="C8619" i="1"/>
  <c r="B8619" i="1"/>
  <c r="A8619" i="1"/>
  <c r="F8618" i="1"/>
  <c r="E8618" i="1"/>
  <c r="D8618" i="1"/>
  <c r="C8618" i="1"/>
  <c r="B8618" i="1"/>
  <c r="A8618" i="1"/>
  <c r="F8617" i="1"/>
  <c r="E8617" i="1"/>
  <c r="D8617" i="1"/>
  <c r="C8617" i="1"/>
  <c r="B8617" i="1"/>
  <c r="A8617" i="1"/>
  <c r="F8616" i="1"/>
  <c r="E8616" i="1"/>
  <c r="D8616" i="1"/>
  <c r="C8616" i="1"/>
  <c r="B8616" i="1"/>
  <c r="A8616" i="1"/>
  <c r="F8615" i="1"/>
  <c r="E8615" i="1"/>
  <c r="D8615" i="1"/>
  <c r="C8615" i="1"/>
  <c r="B8615" i="1"/>
  <c r="A8615" i="1"/>
  <c r="F8614" i="1"/>
  <c r="E8614" i="1"/>
  <c r="D8614" i="1"/>
  <c r="C8614" i="1"/>
  <c r="B8614" i="1"/>
  <c r="A8614" i="1"/>
  <c r="F8613" i="1"/>
  <c r="E8613" i="1"/>
  <c r="D8613" i="1"/>
  <c r="C8613" i="1"/>
  <c r="B8613" i="1"/>
  <c r="A8613" i="1"/>
  <c r="F8612" i="1"/>
  <c r="E8612" i="1"/>
  <c r="D8612" i="1"/>
  <c r="C8612" i="1"/>
  <c r="B8612" i="1"/>
  <c r="A8612" i="1"/>
  <c r="F8611" i="1"/>
  <c r="E8611" i="1"/>
  <c r="D8611" i="1"/>
  <c r="C8611" i="1"/>
  <c r="B8611" i="1"/>
  <c r="A8611" i="1"/>
  <c r="F8610" i="1"/>
  <c r="E8610" i="1"/>
  <c r="D8610" i="1"/>
  <c r="C8610" i="1"/>
  <c r="B8610" i="1"/>
  <c r="A8610" i="1"/>
  <c r="F8609" i="1"/>
  <c r="E8609" i="1"/>
  <c r="D8609" i="1"/>
  <c r="C8609" i="1"/>
  <c r="B8609" i="1"/>
  <c r="A8609" i="1"/>
  <c r="F8608" i="1"/>
  <c r="E8608" i="1"/>
  <c r="D8608" i="1"/>
  <c r="C8608" i="1"/>
  <c r="B8608" i="1"/>
  <c r="A8608" i="1"/>
  <c r="F8607" i="1"/>
  <c r="E8607" i="1"/>
  <c r="D8607" i="1"/>
  <c r="C8607" i="1"/>
  <c r="B8607" i="1"/>
  <c r="A8607" i="1"/>
  <c r="F8606" i="1"/>
  <c r="E8606" i="1"/>
  <c r="D8606" i="1"/>
  <c r="C8606" i="1"/>
  <c r="B8606" i="1"/>
  <c r="A8606" i="1"/>
  <c r="F8605" i="1"/>
  <c r="E8605" i="1"/>
  <c r="D8605" i="1"/>
  <c r="C8605" i="1"/>
  <c r="B8605" i="1"/>
  <c r="A8605" i="1"/>
  <c r="F8604" i="1"/>
  <c r="E8604" i="1"/>
  <c r="D8604" i="1"/>
  <c r="C8604" i="1"/>
  <c r="B8604" i="1"/>
  <c r="A8604" i="1"/>
  <c r="F8603" i="1"/>
  <c r="E8603" i="1"/>
  <c r="D8603" i="1"/>
  <c r="C8603" i="1"/>
  <c r="B8603" i="1"/>
  <c r="A8603" i="1"/>
  <c r="F8602" i="1"/>
  <c r="E8602" i="1"/>
  <c r="D8602" i="1"/>
  <c r="C8602" i="1"/>
  <c r="B8602" i="1"/>
  <c r="A8602" i="1"/>
  <c r="F8601" i="1"/>
  <c r="E8601" i="1"/>
  <c r="D8601" i="1"/>
  <c r="C8601" i="1"/>
  <c r="B8601" i="1"/>
  <c r="A8601" i="1"/>
  <c r="F8600" i="1"/>
  <c r="E8600" i="1"/>
  <c r="D8600" i="1"/>
  <c r="C8600" i="1"/>
  <c r="B8600" i="1"/>
  <c r="A8600" i="1"/>
  <c r="F8599" i="1"/>
  <c r="E8599" i="1"/>
  <c r="D8599" i="1"/>
  <c r="C8599" i="1"/>
  <c r="B8599" i="1"/>
  <c r="A8599" i="1"/>
  <c r="F8598" i="1"/>
  <c r="E8598" i="1"/>
  <c r="D8598" i="1"/>
  <c r="C8598" i="1"/>
  <c r="B8598" i="1"/>
  <c r="A8598" i="1"/>
  <c r="F8597" i="1"/>
  <c r="E8597" i="1"/>
  <c r="D8597" i="1"/>
  <c r="C8597" i="1"/>
  <c r="B8597" i="1"/>
  <c r="A8597" i="1"/>
  <c r="F8596" i="1"/>
  <c r="E8596" i="1"/>
  <c r="D8596" i="1"/>
  <c r="C8596" i="1"/>
  <c r="B8596" i="1"/>
  <c r="A8596" i="1"/>
  <c r="F8595" i="1"/>
  <c r="E8595" i="1"/>
  <c r="D8595" i="1"/>
  <c r="C8595" i="1"/>
  <c r="B8595" i="1"/>
  <c r="A8595" i="1"/>
  <c r="F8594" i="1"/>
  <c r="E8594" i="1"/>
  <c r="D8594" i="1"/>
  <c r="C8594" i="1"/>
  <c r="B8594" i="1"/>
  <c r="A8594" i="1"/>
  <c r="F8593" i="1"/>
  <c r="E8593" i="1"/>
  <c r="D8593" i="1"/>
  <c r="C8593" i="1"/>
  <c r="B8593" i="1"/>
  <c r="A8593" i="1"/>
  <c r="F8592" i="1"/>
  <c r="E8592" i="1"/>
  <c r="D8592" i="1"/>
  <c r="C8592" i="1"/>
  <c r="B8592" i="1"/>
  <c r="A8592" i="1"/>
  <c r="F8591" i="1"/>
  <c r="E8591" i="1"/>
  <c r="D8591" i="1"/>
  <c r="C8591" i="1"/>
  <c r="B8591" i="1"/>
  <c r="A8591" i="1"/>
  <c r="F8590" i="1"/>
  <c r="E8590" i="1"/>
  <c r="D8590" i="1"/>
  <c r="C8590" i="1"/>
  <c r="B8590" i="1"/>
  <c r="A8590" i="1"/>
  <c r="F8589" i="1"/>
  <c r="E8589" i="1"/>
  <c r="D8589" i="1"/>
  <c r="C8589" i="1"/>
  <c r="B8589" i="1"/>
  <c r="A8589" i="1"/>
  <c r="F8588" i="1"/>
  <c r="E8588" i="1"/>
  <c r="D8588" i="1"/>
  <c r="C8588" i="1"/>
  <c r="B8588" i="1"/>
  <c r="A8588" i="1"/>
  <c r="F8587" i="1"/>
  <c r="E8587" i="1"/>
  <c r="D8587" i="1"/>
  <c r="C8587" i="1"/>
  <c r="B8587" i="1"/>
  <c r="A8587" i="1"/>
  <c r="F8586" i="1"/>
  <c r="E8586" i="1"/>
  <c r="D8586" i="1"/>
  <c r="C8586" i="1"/>
  <c r="B8586" i="1"/>
  <c r="A8586" i="1"/>
  <c r="F8585" i="1"/>
  <c r="E8585" i="1"/>
  <c r="D8585" i="1"/>
  <c r="C8585" i="1"/>
  <c r="B8585" i="1"/>
  <c r="A8585" i="1"/>
  <c r="F8584" i="1"/>
  <c r="E8584" i="1"/>
  <c r="D8584" i="1"/>
  <c r="C8584" i="1"/>
  <c r="B8584" i="1"/>
  <c r="A8584" i="1"/>
  <c r="F8583" i="1"/>
  <c r="E8583" i="1"/>
  <c r="D8583" i="1"/>
  <c r="C8583" i="1"/>
  <c r="B8583" i="1"/>
  <c r="A8583" i="1"/>
  <c r="F8582" i="1"/>
  <c r="E8582" i="1"/>
  <c r="D8582" i="1"/>
  <c r="C8582" i="1"/>
  <c r="B8582" i="1"/>
  <c r="A8582" i="1"/>
  <c r="F8581" i="1"/>
  <c r="E8581" i="1"/>
  <c r="D8581" i="1"/>
  <c r="C8581" i="1"/>
  <c r="B8581" i="1"/>
  <c r="A8581" i="1"/>
  <c r="F8580" i="1"/>
  <c r="E8580" i="1"/>
  <c r="D8580" i="1"/>
  <c r="C8580" i="1"/>
  <c r="B8580" i="1"/>
  <c r="A8580" i="1"/>
  <c r="F8579" i="1"/>
  <c r="E8579" i="1"/>
  <c r="D8579" i="1"/>
  <c r="C8579" i="1"/>
  <c r="B8579" i="1"/>
  <c r="A8579" i="1"/>
  <c r="F8578" i="1"/>
  <c r="E8578" i="1"/>
  <c r="D8578" i="1"/>
  <c r="C8578" i="1"/>
  <c r="B8578" i="1"/>
  <c r="A8578" i="1"/>
  <c r="F8577" i="1"/>
  <c r="E8577" i="1"/>
  <c r="D8577" i="1"/>
  <c r="C8577" i="1"/>
  <c r="B8577" i="1"/>
  <c r="A8577" i="1"/>
  <c r="F8576" i="1"/>
  <c r="E8576" i="1"/>
  <c r="D8576" i="1"/>
  <c r="C8576" i="1"/>
  <c r="B8576" i="1"/>
  <c r="A8576" i="1"/>
  <c r="F8575" i="1"/>
  <c r="E8575" i="1"/>
  <c r="D8575" i="1"/>
  <c r="C8575" i="1"/>
  <c r="B8575" i="1"/>
  <c r="A8575" i="1"/>
  <c r="F8574" i="1"/>
  <c r="E8574" i="1"/>
  <c r="D8574" i="1"/>
  <c r="C8574" i="1"/>
  <c r="B8574" i="1"/>
  <c r="A8574" i="1"/>
  <c r="F8573" i="1"/>
  <c r="E8573" i="1"/>
  <c r="D8573" i="1"/>
  <c r="C8573" i="1"/>
  <c r="B8573" i="1"/>
  <c r="A8573" i="1"/>
  <c r="F8572" i="1"/>
  <c r="E8572" i="1"/>
  <c r="D8572" i="1"/>
  <c r="C8572" i="1"/>
  <c r="B8572" i="1"/>
  <c r="A8572" i="1"/>
  <c r="F8571" i="1"/>
  <c r="E8571" i="1"/>
  <c r="D8571" i="1"/>
  <c r="C8571" i="1"/>
  <c r="B8571" i="1"/>
  <c r="A8571" i="1"/>
  <c r="F8570" i="1"/>
  <c r="E8570" i="1"/>
  <c r="D8570" i="1"/>
  <c r="C8570" i="1"/>
  <c r="B8570" i="1"/>
  <c r="A8570" i="1"/>
  <c r="F8569" i="1"/>
  <c r="E8569" i="1"/>
  <c r="D8569" i="1"/>
  <c r="C8569" i="1"/>
  <c r="B8569" i="1"/>
  <c r="A8569" i="1"/>
  <c r="F8568" i="1"/>
  <c r="E8568" i="1"/>
  <c r="D8568" i="1"/>
  <c r="C8568" i="1"/>
  <c r="B8568" i="1"/>
  <c r="A8568" i="1"/>
  <c r="F8567" i="1"/>
  <c r="E8567" i="1"/>
  <c r="D8567" i="1"/>
  <c r="C8567" i="1"/>
  <c r="B8567" i="1"/>
  <c r="A8567" i="1"/>
  <c r="F8566" i="1"/>
  <c r="E8566" i="1"/>
  <c r="D8566" i="1"/>
  <c r="C8566" i="1"/>
  <c r="B8566" i="1"/>
  <c r="A8566" i="1"/>
  <c r="F8565" i="1"/>
  <c r="E8565" i="1"/>
  <c r="D8565" i="1"/>
  <c r="C8565" i="1"/>
  <c r="B8565" i="1"/>
  <c r="A8565" i="1"/>
  <c r="F8564" i="1"/>
  <c r="E8564" i="1"/>
  <c r="D8564" i="1"/>
  <c r="C8564" i="1"/>
  <c r="B8564" i="1"/>
  <c r="A8564" i="1"/>
  <c r="F8563" i="1"/>
  <c r="E8563" i="1"/>
  <c r="D8563" i="1"/>
  <c r="C8563" i="1"/>
  <c r="B8563" i="1"/>
  <c r="A8563" i="1"/>
  <c r="F8562" i="1"/>
  <c r="E8562" i="1"/>
  <c r="D8562" i="1"/>
  <c r="C8562" i="1"/>
  <c r="B8562" i="1"/>
  <c r="A8562" i="1"/>
  <c r="F8561" i="1"/>
  <c r="E8561" i="1"/>
  <c r="D8561" i="1"/>
  <c r="C8561" i="1"/>
  <c r="B8561" i="1"/>
  <c r="A8561" i="1"/>
  <c r="F8560" i="1"/>
  <c r="E8560" i="1"/>
  <c r="D8560" i="1"/>
  <c r="C8560" i="1"/>
  <c r="B8560" i="1"/>
  <c r="A8560" i="1"/>
  <c r="F8559" i="1"/>
  <c r="E8559" i="1"/>
  <c r="D8559" i="1"/>
  <c r="C8559" i="1"/>
  <c r="B8559" i="1"/>
  <c r="A8559" i="1"/>
  <c r="F8558" i="1"/>
  <c r="E8558" i="1"/>
  <c r="D8558" i="1"/>
  <c r="C8558" i="1"/>
  <c r="B8558" i="1"/>
  <c r="A8558" i="1"/>
  <c r="F8557" i="1"/>
  <c r="E8557" i="1"/>
  <c r="D8557" i="1"/>
  <c r="C8557" i="1"/>
  <c r="B8557" i="1"/>
  <c r="A8557" i="1"/>
  <c r="F8556" i="1"/>
  <c r="E8556" i="1"/>
  <c r="D8556" i="1"/>
  <c r="C8556" i="1"/>
  <c r="B8556" i="1"/>
  <c r="A8556" i="1"/>
  <c r="F8555" i="1"/>
  <c r="E8555" i="1"/>
  <c r="D8555" i="1"/>
  <c r="C8555" i="1"/>
  <c r="B8555" i="1"/>
  <c r="A8555" i="1"/>
  <c r="F8554" i="1"/>
  <c r="E8554" i="1"/>
  <c r="D8554" i="1"/>
  <c r="C8554" i="1"/>
  <c r="B8554" i="1"/>
  <c r="A8554" i="1"/>
  <c r="F8553" i="1"/>
  <c r="E8553" i="1"/>
  <c r="D8553" i="1"/>
  <c r="C8553" i="1"/>
  <c r="B8553" i="1"/>
  <c r="A8553" i="1"/>
  <c r="F8552" i="1"/>
  <c r="E8552" i="1"/>
  <c r="D8552" i="1"/>
  <c r="C8552" i="1"/>
  <c r="B8552" i="1"/>
  <c r="A8552" i="1"/>
  <c r="F8551" i="1"/>
  <c r="E8551" i="1"/>
  <c r="D8551" i="1"/>
  <c r="C8551" i="1"/>
  <c r="B8551" i="1"/>
  <c r="A8551" i="1"/>
  <c r="F8550" i="1"/>
  <c r="E8550" i="1"/>
  <c r="D8550" i="1"/>
  <c r="C8550" i="1"/>
  <c r="B8550" i="1"/>
  <c r="A8550" i="1"/>
  <c r="F8549" i="1"/>
  <c r="E8549" i="1"/>
  <c r="D8549" i="1"/>
  <c r="C8549" i="1"/>
  <c r="B8549" i="1"/>
  <c r="A8549" i="1"/>
  <c r="F8548" i="1"/>
  <c r="E8548" i="1"/>
  <c r="D8548" i="1"/>
  <c r="C8548" i="1"/>
  <c r="B8548" i="1"/>
  <c r="A8548" i="1"/>
  <c r="F8547" i="1"/>
  <c r="E8547" i="1"/>
  <c r="D8547" i="1"/>
  <c r="C8547" i="1"/>
  <c r="B8547" i="1"/>
  <c r="A8547" i="1"/>
  <c r="F8546" i="1"/>
  <c r="E8546" i="1"/>
  <c r="D8546" i="1"/>
  <c r="C8546" i="1"/>
  <c r="B8546" i="1"/>
  <c r="A8546" i="1"/>
  <c r="F8545" i="1"/>
  <c r="E8545" i="1"/>
  <c r="D8545" i="1"/>
  <c r="C8545" i="1"/>
  <c r="B8545" i="1"/>
  <c r="A8545" i="1"/>
  <c r="F8544" i="1"/>
  <c r="E8544" i="1"/>
  <c r="D8544" i="1"/>
  <c r="C8544" i="1"/>
  <c r="B8544" i="1"/>
  <c r="A8544" i="1"/>
  <c r="F8543" i="1"/>
  <c r="E8543" i="1"/>
  <c r="D8543" i="1"/>
  <c r="C8543" i="1"/>
  <c r="B8543" i="1"/>
  <c r="A8543" i="1"/>
  <c r="F8542" i="1"/>
  <c r="E8542" i="1"/>
  <c r="D8542" i="1"/>
  <c r="C8542" i="1"/>
  <c r="B8542" i="1"/>
  <c r="A8542" i="1"/>
  <c r="F8541" i="1"/>
  <c r="E8541" i="1"/>
  <c r="D8541" i="1"/>
  <c r="C8541" i="1"/>
  <c r="B8541" i="1"/>
  <c r="A8541" i="1"/>
  <c r="F8540" i="1"/>
  <c r="E8540" i="1"/>
  <c r="D8540" i="1"/>
  <c r="C8540" i="1"/>
  <c r="B8540" i="1"/>
  <c r="A8540" i="1"/>
  <c r="F8539" i="1"/>
  <c r="E8539" i="1"/>
  <c r="D8539" i="1"/>
  <c r="C8539" i="1"/>
  <c r="B8539" i="1"/>
  <c r="A8539" i="1"/>
  <c r="F8538" i="1"/>
  <c r="E8538" i="1"/>
  <c r="D8538" i="1"/>
  <c r="C8538" i="1"/>
  <c r="B8538" i="1"/>
  <c r="A8538" i="1"/>
  <c r="F8537" i="1"/>
  <c r="E8537" i="1"/>
  <c r="D8537" i="1"/>
  <c r="C8537" i="1"/>
  <c r="B8537" i="1"/>
  <c r="A8537" i="1"/>
  <c r="F8536" i="1"/>
  <c r="E8536" i="1"/>
  <c r="D8536" i="1"/>
  <c r="C8536" i="1"/>
  <c r="B8536" i="1"/>
  <c r="A8536" i="1"/>
  <c r="F8535" i="1"/>
  <c r="E8535" i="1"/>
  <c r="D8535" i="1"/>
  <c r="C8535" i="1"/>
  <c r="B8535" i="1"/>
  <c r="A8535" i="1"/>
  <c r="F8534" i="1"/>
  <c r="E8534" i="1"/>
  <c r="D8534" i="1"/>
  <c r="C8534" i="1"/>
  <c r="B8534" i="1"/>
  <c r="A8534" i="1"/>
  <c r="F8533" i="1"/>
  <c r="E8533" i="1"/>
  <c r="D8533" i="1"/>
  <c r="C8533" i="1"/>
  <c r="B8533" i="1"/>
  <c r="A8533" i="1"/>
  <c r="F8532" i="1"/>
  <c r="E8532" i="1"/>
  <c r="D8532" i="1"/>
  <c r="C8532" i="1"/>
  <c r="B8532" i="1"/>
  <c r="A8532" i="1"/>
  <c r="F8531" i="1"/>
  <c r="E8531" i="1"/>
  <c r="D8531" i="1"/>
  <c r="C8531" i="1"/>
  <c r="B8531" i="1"/>
  <c r="A8531" i="1"/>
  <c r="F8530" i="1"/>
  <c r="E8530" i="1"/>
  <c r="D8530" i="1"/>
  <c r="C8530" i="1"/>
  <c r="B8530" i="1"/>
  <c r="A8530" i="1"/>
  <c r="F8529" i="1"/>
  <c r="E8529" i="1"/>
  <c r="D8529" i="1"/>
  <c r="C8529" i="1"/>
  <c r="B8529" i="1"/>
  <c r="A8529" i="1"/>
  <c r="F8528" i="1"/>
  <c r="E8528" i="1"/>
  <c r="D8528" i="1"/>
  <c r="C8528" i="1"/>
  <c r="B8528" i="1"/>
  <c r="A8528" i="1"/>
  <c r="F8527" i="1"/>
  <c r="E8527" i="1"/>
  <c r="D8527" i="1"/>
  <c r="C8527" i="1"/>
  <c r="B8527" i="1"/>
  <c r="A8527" i="1"/>
  <c r="F8526" i="1"/>
  <c r="E8526" i="1"/>
  <c r="D8526" i="1"/>
  <c r="C8526" i="1"/>
  <c r="B8526" i="1"/>
  <c r="A8526" i="1"/>
  <c r="F8525" i="1"/>
  <c r="E8525" i="1"/>
  <c r="D8525" i="1"/>
  <c r="C8525" i="1"/>
  <c r="B8525" i="1"/>
  <c r="A8525" i="1"/>
  <c r="F8524" i="1"/>
  <c r="E8524" i="1"/>
  <c r="D8524" i="1"/>
  <c r="C8524" i="1"/>
  <c r="B8524" i="1"/>
  <c r="A8524" i="1"/>
  <c r="F8523" i="1"/>
  <c r="E8523" i="1"/>
  <c r="D8523" i="1"/>
  <c r="C8523" i="1"/>
  <c r="B8523" i="1"/>
  <c r="A8523" i="1"/>
  <c r="F8522" i="1"/>
  <c r="E8522" i="1"/>
  <c r="D8522" i="1"/>
  <c r="C8522" i="1"/>
  <c r="B8522" i="1"/>
  <c r="A8522" i="1"/>
  <c r="F8521" i="1"/>
  <c r="E8521" i="1"/>
  <c r="D8521" i="1"/>
  <c r="C8521" i="1"/>
  <c r="B8521" i="1"/>
  <c r="A8521" i="1"/>
  <c r="F8520" i="1"/>
  <c r="E8520" i="1"/>
  <c r="D8520" i="1"/>
  <c r="C8520" i="1"/>
  <c r="B8520" i="1"/>
  <c r="A8520" i="1"/>
  <c r="F8519" i="1"/>
  <c r="E8519" i="1"/>
  <c r="D8519" i="1"/>
  <c r="C8519" i="1"/>
  <c r="B8519" i="1"/>
  <c r="A8519" i="1"/>
  <c r="F8518" i="1"/>
  <c r="E8518" i="1"/>
  <c r="D8518" i="1"/>
  <c r="C8518" i="1"/>
  <c r="B8518" i="1"/>
  <c r="A8518" i="1"/>
  <c r="F8517" i="1"/>
  <c r="E8517" i="1"/>
  <c r="D8517" i="1"/>
  <c r="C8517" i="1"/>
  <c r="B8517" i="1"/>
  <c r="A8517" i="1"/>
  <c r="F8516" i="1"/>
  <c r="E8516" i="1"/>
  <c r="D8516" i="1"/>
  <c r="C8516" i="1"/>
  <c r="B8516" i="1"/>
  <c r="A8516" i="1"/>
  <c r="F8515" i="1"/>
  <c r="E8515" i="1"/>
  <c r="D8515" i="1"/>
  <c r="C8515" i="1"/>
  <c r="B8515" i="1"/>
  <c r="A8515" i="1"/>
  <c r="F8514" i="1"/>
  <c r="E8514" i="1"/>
  <c r="D8514" i="1"/>
  <c r="C8514" i="1"/>
  <c r="B8514" i="1"/>
  <c r="A8514" i="1"/>
  <c r="F8513" i="1"/>
  <c r="E8513" i="1"/>
  <c r="D8513" i="1"/>
  <c r="C8513" i="1"/>
  <c r="B8513" i="1"/>
  <c r="A8513" i="1"/>
  <c r="F8512" i="1"/>
  <c r="E8512" i="1"/>
  <c r="D8512" i="1"/>
  <c r="C8512" i="1"/>
  <c r="B8512" i="1"/>
  <c r="A8512" i="1"/>
  <c r="F8511" i="1"/>
  <c r="E8511" i="1"/>
  <c r="D8511" i="1"/>
  <c r="C8511" i="1"/>
  <c r="B8511" i="1"/>
  <c r="A8511" i="1"/>
  <c r="F8510" i="1"/>
  <c r="E8510" i="1"/>
  <c r="D8510" i="1"/>
  <c r="C8510" i="1"/>
  <c r="B8510" i="1"/>
  <c r="A8510" i="1"/>
  <c r="F8509" i="1"/>
  <c r="E8509" i="1"/>
  <c r="D8509" i="1"/>
  <c r="C8509" i="1"/>
  <c r="B8509" i="1"/>
  <c r="A8509" i="1"/>
  <c r="F8508" i="1"/>
  <c r="E8508" i="1"/>
  <c r="D8508" i="1"/>
  <c r="C8508" i="1"/>
  <c r="B8508" i="1"/>
  <c r="A8508" i="1"/>
  <c r="F8507" i="1"/>
  <c r="E8507" i="1"/>
  <c r="D8507" i="1"/>
  <c r="C8507" i="1"/>
  <c r="B8507" i="1"/>
  <c r="A8507" i="1"/>
  <c r="F8506" i="1"/>
  <c r="E8506" i="1"/>
  <c r="D8506" i="1"/>
  <c r="C8506" i="1"/>
  <c r="B8506" i="1"/>
  <c r="A8506" i="1"/>
  <c r="F8505" i="1"/>
  <c r="E8505" i="1"/>
  <c r="D8505" i="1"/>
  <c r="C8505" i="1"/>
  <c r="B8505" i="1"/>
  <c r="A8505" i="1"/>
  <c r="F8504" i="1"/>
  <c r="E8504" i="1"/>
  <c r="D8504" i="1"/>
  <c r="C8504" i="1"/>
  <c r="B8504" i="1"/>
  <c r="A8504" i="1"/>
  <c r="F8503" i="1"/>
  <c r="E8503" i="1"/>
  <c r="D8503" i="1"/>
  <c r="C8503" i="1"/>
  <c r="B8503" i="1"/>
  <c r="A8503" i="1"/>
  <c r="F8502" i="1"/>
  <c r="E8502" i="1"/>
  <c r="D8502" i="1"/>
  <c r="C8502" i="1"/>
  <c r="B8502" i="1"/>
  <c r="A8502" i="1"/>
  <c r="F8501" i="1"/>
  <c r="E8501" i="1"/>
  <c r="D8501" i="1"/>
  <c r="C8501" i="1"/>
  <c r="B8501" i="1"/>
  <c r="A8501" i="1"/>
  <c r="F8500" i="1"/>
  <c r="E8500" i="1"/>
  <c r="D8500" i="1"/>
  <c r="C8500" i="1"/>
  <c r="B8500" i="1"/>
  <c r="A8500" i="1"/>
  <c r="F8499" i="1"/>
  <c r="E8499" i="1"/>
  <c r="D8499" i="1"/>
  <c r="C8499" i="1"/>
  <c r="B8499" i="1"/>
  <c r="A8499" i="1"/>
  <c r="F8498" i="1"/>
  <c r="E8498" i="1"/>
  <c r="D8498" i="1"/>
  <c r="C8498" i="1"/>
  <c r="B8498" i="1"/>
  <c r="A8498" i="1"/>
  <c r="F8497" i="1"/>
  <c r="E8497" i="1"/>
  <c r="D8497" i="1"/>
  <c r="C8497" i="1"/>
  <c r="B8497" i="1"/>
  <c r="A8497" i="1"/>
  <c r="F8496" i="1"/>
  <c r="E8496" i="1"/>
  <c r="D8496" i="1"/>
  <c r="C8496" i="1"/>
  <c r="B8496" i="1"/>
  <c r="A8496" i="1"/>
  <c r="F8495" i="1"/>
  <c r="E8495" i="1"/>
  <c r="D8495" i="1"/>
  <c r="C8495" i="1"/>
  <c r="B8495" i="1"/>
  <c r="A8495" i="1"/>
  <c r="F8494" i="1"/>
  <c r="E8494" i="1"/>
  <c r="D8494" i="1"/>
  <c r="C8494" i="1"/>
  <c r="B8494" i="1"/>
  <c r="A8494" i="1"/>
  <c r="F8493" i="1"/>
  <c r="E8493" i="1"/>
  <c r="D8493" i="1"/>
  <c r="C8493" i="1"/>
  <c r="B8493" i="1"/>
  <c r="A8493" i="1"/>
  <c r="F8492" i="1"/>
  <c r="E8492" i="1"/>
  <c r="D8492" i="1"/>
  <c r="C8492" i="1"/>
  <c r="B8492" i="1"/>
  <c r="A8492" i="1"/>
  <c r="F8491" i="1"/>
  <c r="E8491" i="1"/>
  <c r="D8491" i="1"/>
  <c r="C8491" i="1"/>
  <c r="B8491" i="1"/>
  <c r="A8491" i="1"/>
  <c r="F8490" i="1"/>
  <c r="E8490" i="1"/>
  <c r="D8490" i="1"/>
  <c r="C8490" i="1"/>
  <c r="B8490" i="1"/>
  <c r="A8490" i="1"/>
  <c r="F8489" i="1"/>
  <c r="E8489" i="1"/>
  <c r="D8489" i="1"/>
  <c r="C8489" i="1"/>
  <c r="B8489" i="1"/>
  <c r="A8489" i="1"/>
  <c r="F8488" i="1"/>
  <c r="E8488" i="1"/>
  <c r="D8488" i="1"/>
  <c r="C8488" i="1"/>
  <c r="B8488" i="1"/>
  <c r="A8488" i="1"/>
  <c r="F8487" i="1"/>
  <c r="E8487" i="1"/>
  <c r="D8487" i="1"/>
  <c r="C8487" i="1"/>
  <c r="B8487" i="1"/>
  <c r="A8487" i="1"/>
  <c r="F8486" i="1"/>
  <c r="E8486" i="1"/>
  <c r="D8486" i="1"/>
  <c r="C8486" i="1"/>
  <c r="B8486" i="1"/>
  <c r="A8486" i="1"/>
  <c r="F8485" i="1"/>
  <c r="E8485" i="1"/>
  <c r="D8485" i="1"/>
  <c r="C8485" i="1"/>
  <c r="B8485" i="1"/>
  <c r="A8485" i="1"/>
  <c r="F8484" i="1"/>
  <c r="E8484" i="1"/>
  <c r="D8484" i="1"/>
  <c r="C8484" i="1"/>
  <c r="B8484" i="1"/>
  <c r="A8484" i="1"/>
  <c r="F8483" i="1"/>
  <c r="E8483" i="1"/>
  <c r="D8483" i="1"/>
  <c r="C8483" i="1"/>
  <c r="B8483" i="1"/>
  <c r="A8483" i="1"/>
  <c r="F8482" i="1"/>
  <c r="E8482" i="1"/>
  <c r="D8482" i="1"/>
  <c r="C8482" i="1"/>
  <c r="B8482" i="1"/>
  <c r="A8482" i="1"/>
  <c r="F8481" i="1"/>
  <c r="E8481" i="1"/>
  <c r="D8481" i="1"/>
  <c r="C8481" i="1"/>
  <c r="B8481" i="1"/>
  <c r="A8481" i="1"/>
  <c r="F8480" i="1"/>
  <c r="E8480" i="1"/>
  <c r="D8480" i="1"/>
  <c r="C8480" i="1"/>
  <c r="B8480" i="1"/>
  <c r="A8480" i="1"/>
  <c r="F8479" i="1"/>
  <c r="E8479" i="1"/>
  <c r="D8479" i="1"/>
  <c r="C8479" i="1"/>
  <c r="B8479" i="1"/>
  <c r="A8479" i="1"/>
  <c r="F8478" i="1"/>
  <c r="E8478" i="1"/>
  <c r="D8478" i="1"/>
  <c r="C8478" i="1"/>
  <c r="B8478" i="1"/>
  <c r="A8478" i="1"/>
  <c r="F8477" i="1"/>
  <c r="E8477" i="1"/>
  <c r="D8477" i="1"/>
  <c r="C8477" i="1"/>
  <c r="B8477" i="1"/>
  <c r="A8477" i="1"/>
  <c r="F8476" i="1"/>
  <c r="E8476" i="1"/>
  <c r="D8476" i="1"/>
  <c r="C8476" i="1"/>
  <c r="B8476" i="1"/>
  <c r="A8476" i="1"/>
  <c r="F8475" i="1"/>
  <c r="E8475" i="1"/>
  <c r="D8475" i="1"/>
  <c r="C8475" i="1"/>
  <c r="B8475" i="1"/>
  <c r="A8475" i="1"/>
  <c r="F8474" i="1"/>
  <c r="E8474" i="1"/>
  <c r="D8474" i="1"/>
  <c r="C8474" i="1"/>
  <c r="B8474" i="1"/>
  <c r="A8474" i="1"/>
  <c r="F8473" i="1"/>
  <c r="E8473" i="1"/>
  <c r="D8473" i="1"/>
  <c r="C8473" i="1"/>
  <c r="B8473" i="1"/>
  <c r="A8473" i="1"/>
  <c r="F8472" i="1"/>
  <c r="E8472" i="1"/>
  <c r="D8472" i="1"/>
  <c r="C8472" i="1"/>
  <c r="B8472" i="1"/>
  <c r="A8472" i="1"/>
  <c r="F8471" i="1"/>
  <c r="E8471" i="1"/>
  <c r="D8471" i="1"/>
  <c r="C8471" i="1"/>
  <c r="B8471" i="1"/>
  <c r="A8471" i="1"/>
  <c r="F8470" i="1"/>
  <c r="E8470" i="1"/>
  <c r="D8470" i="1"/>
  <c r="C8470" i="1"/>
  <c r="B8470" i="1"/>
  <c r="A8470" i="1"/>
  <c r="F8469" i="1"/>
  <c r="E8469" i="1"/>
  <c r="D8469" i="1"/>
  <c r="C8469" i="1"/>
  <c r="B8469" i="1"/>
  <c r="A8469" i="1"/>
  <c r="F8468" i="1"/>
  <c r="E8468" i="1"/>
  <c r="D8468" i="1"/>
  <c r="C8468" i="1"/>
  <c r="B8468" i="1"/>
  <c r="A8468" i="1"/>
  <c r="F8467" i="1"/>
  <c r="E8467" i="1"/>
  <c r="D8467" i="1"/>
  <c r="C8467" i="1"/>
  <c r="B8467" i="1"/>
  <c r="A8467" i="1"/>
  <c r="F8466" i="1"/>
  <c r="E8466" i="1"/>
  <c r="D8466" i="1"/>
  <c r="C8466" i="1"/>
  <c r="B8466" i="1"/>
  <c r="A8466" i="1"/>
  <c r="F8465" i="1"/>
  <c r="E8465" i="1"/>
  <c r="D8465" i="1"/>
  <c r="C8465" i="1"/>
  <c r="B8465" i="1"/>
  <c r="A8465" i="1"/>
  <c r="F8464" i="1"/>
  <c r="E8464" i="1"/>
  <c r="D8464" i="1"/>
  <c r="C8464" i="1"/>
  <c r="B8464" i="1"/>
  <c r="A8464" i="1"/>
  <c r="F8463" i="1"/>
  <c r="E8463" i="1"/>
  <c r="D8463" i="1"/>
  <c r="C8463" i="1"/>
  <c r="B8463" i="1"/>
  <c r="A8463" i="1"/>
  <c r="F8462" i="1"/>
  <c r="E8462" i="1"/>
  <c r="D8462" i="1"/>
  <c r="C8462" i="1"/>
  <c r="B8462" i="1"/>
  <c r="A8462" i="1"/>
  <c r="F8461" i="1"/>
  <c r="E8461" i="1"/>
  <c r="D8461" i="1"/>
  <c r="C8461" i="1"/>
  <c r="B8461" i="1"/>
  <c r="A8461" i="1"/>
  <c r="F8460" i="1"/>
  <c r="E8460" i="1"/>
  <c r="D8460" i="1"/>
  <c r="C8460" i="1"/>
  <c r="B8460" i="1"/>
  <c r="A8460" i="1"/>
  <c r="F8459" i="1"/>
  <c r="E8459" i="1"/>
  <c r="D8459" i="1"/>
  <c r="C8459" i="1"/>
  <c r="B8459" i="1"/>
  <c r="A8459" i="1"/>
  <c r="F8458" i="1"/>
  <c r="E8458" i="1"/>
  <c r="D8458" i="1"/>
  <c r="C8458" i="1"/>
  <c r="B8458" i="1"/>
  <c r="A8458" i="1"/>
  <c r="F8457" i="1"/>
  <c r="E8457" i="1"/>
  <c r="D8457" i="1"/>
  <c r="C8457" i="1"/>
  <c r="B8457" i="1"/>
  <c r="A8457" i="1"/>
  <c r="F8456" i="1"/>
  <c r="E8456" i="1"/>
  <c r="D8456" i="1"/>
  <c r="C8456" i="1"/>
  <c r="B8456" i="1"/>
  <c r="A8456" i="1"/>
  <c r="F8455" i="1"/>
  <c r="E8455" i="1"/>
  <c r="D8455" i="1"/>
  <c r="C8455" i="1"/>
  <c r="B8455" i="1"/>
  <c r="A8455" i="1"/>
  <c r="F8454" i="1"/>
  <c r="E8454" i="1"/>
  <c r="D8454" i="1"/>
  <c r="C8454" i="1"/>
  <c r="B8454" i="1"/>
  <c r="A8454" i="1"/>
  <c r="F8453" i="1"/>
  <c r="E8453" i="1"/>
  <c r="D8453" i="1"/>
  <c r="C8453" i="1"/>
  <c r="B8453" i="1"/>
  <c r="A8453" i="1"/>
  <c r="F8452" i="1"/>
  <c r="E8452" i="1"/>
  <c r="D8452" i="1"/>
  <c r="C8452" i="1"/>
  <c r="B8452" i="1"/>
  <c r="A8452" i="1"/>
  <c r="F8451" i="1"/>
  <c r="E8451" i="1"/>
  <c r="D8451" i="1"/>
  <c r="C8451" i="1"/>
  <c r="B8451" i="1"/>
  <c r="A8451" i="1"/>
  <c r="F8450" i="1"/>
  <c r="E8450" i="1"/>
  <c r="D8450" i="1"/>
  <c r="C8450" i="1"/>
  <c r="B8450" i="1"/>
  <c r="A8450" i="1"/>
  <c r="F8449" i="1"/>
  <c r="E8449" i="1"/>
  <c r="D8449" i="1"/>
  <c r="C8449" i="1"/>
  <c r="B8449" i="1"/>
  <c r="A8449" i="1"/>
  <c r="F8448" i="1"/>
  <c r="E8448" i="1"/>
  <c r="D8448" i="1"/>
  <c r="C8448" i="1"/>
  <c r="B8448" i="1"/>
  <c r="A8448" i="1"/>
  <c r="F8447" i="1"/>
  <c r="E8447" i="1"/>
  <c r="D8447" i="1"/>
  <c r="C8447" i="1"/>
  <c r="B8447" i="1"/>
  <c r="A8447" i="1"/>
  <c r="F8446" i="1"/>
  <c r="E8446" i="1"/>
  <c r="D8446" i="1"/>
  <c r="C8446" i="1"/>
  <c r="B8446" i="1"/>
  <c r="A8446" i="1"/>
  <c r="F8445" i="1"/>
  <c r="E8445" i="1"/>
  <c r="D8445" i="1"/>
  <c r="C8445" i="1"/>
  <c r="B8445" i="1"/>
  <c r="A8445" i="1"/>
  <c r="F8444" i="1"/>
  <c r="E8444" i="1"/>
  <c r="D8444" i="1"/>
  <c r="C8444" i="1"/>
  <c r="B8444" i="1"/>
  <c r="A8444" i="1"/>
  <c r="F8443" i="1"/>
  <c r="E8443" i="1"/>
  <c r="D8443" i="1"/>
  <c r="C8443" i="1"/>
  <c r="B8443" i="1"/>
  <c r="A8443" i="1"/>
  <c r="F8442" i="1"/>
  <c r="E8442" i="1"/>
  <c r="D8442" i="1"/>
  <c r="C8442" i="1"/>
  <c r="B8442" i="1"/>
  <c r="A8442" i="1"/>
  <c r="F8441" i="1"/>
  <c r="E8441" i="1"/>
  <c r="D8441" i="1"/>
  <c r="C8441" i="1"/>
  <c r="B8441" i="1"/>
  <c r="A8441" i="1"/>
  <c r="F8440" i="1"/>
  <c r="E8440" i="1"/>
  <c r="D8440" i="1"/>
  <c r="C8440" i="1"/>
  <c r="B8440" i="1"/>
  <c r="A8440" i="1"/>
  <c r="F8439" i="1"/>
  <c r="E8439" i="1"/>
  <c r="D8439" i="1"/>
  <c r="C8439" i="1"/>
  <c r="B8439" i="1"/>
  <c r="A8439" i="1"/>
  <c r="F8438" i="1"/>
  <c r="E8438" i="1"/>
  <c r="D8438" i="1"/>
  <c r="C8438" i="1"/>
  <c r="B8438" i="1"/>
  <c r="A8438" i="1"/>
  <c r="F8437" i="1"/>
  <c r="E8437" i="1"/>
  <c r="D8437" i="1"/>
  <c r="C8437" i="1"/>
  <c r="B8437" i="1"/>
  <c r="A8437" i="1"/>
  <c r="F8436" i="1"/>
  <c r="E8436" i="1"/>
  <c r="D8436" i="1"/>
  <c r="C8436" i="1"/>
  <c r="B8436" i="1"/>
  <c r="A8436" i="1"/>
  <c r="F8435" i="1"/>
  <c r="E8435" i="1"/>
  <c r="D8435" i="1"/>
  <c r="C8435" i="1"/>
  <c r="B8435" i="1"/>
  <c r="A8435" i="1"/>
  <c r="F8434" i="1"/>
  <c r="E8434" i="1"/>
  <c r="D8434" i="1"/>
  <c r="C8434" i="1"/>
  <c r="B8434" i="1"/>
  <c r="A8434" i="1"/>
  <c r="F8433" i="1"/>
  <c r="E8433" i="1"/>
  <c r="D8433" i="1"/>
  <c r="C8433" i="1"/>
  <c r="B8433" i="1"/>
  <c r="A8433" i="1"/>
  <c r="F8432" i="1"/>
  <c r="E8432" i="1"/>
  <c r="D8432" i="1"/>
  <c r="C8432" i="1"/>
  <c r="B8432" i="1"/>
  <c r="A8432" i="1"/>
  <c r="F8431" i="1"/>
  <c r="E8431" i="1"/>
  <c r="D8431" i="1"/>
  <c r="C8431" i="1"/>
  <c r="B8431" i="1"/>
  <c r="A8431" i="1"/>
  <c r="F8430" i="1"/>
  <c r="E8430" i="1"/>
  <c r="D8430" i="1"/>
  <c r="C8430" i="1"/>
  <c r="B8430" i="1"/>
  <c r="A8430" i="1"/>
  <c r="F8429" i="1"/>
  <c r="E8429" i="1"/>
  <c r="D8429" i="1"/>
  <c r="C8429" i="1"/>
  <c r="B8429" i="1"/>
  <c r="A8429" i="1"/>
  <c r="F8428" i="1"/>
  <c r="E8428" i="1"/>
  <c r="D8428" i="1"/>
  <c r="C8428" i="1"/>
  <c r="B8428" i="1"/>
  <c r="A8428" i="1"/>
  <c r="F8427" i="1"/>
  <c r="E8427" i="1"/>
  <c r="D8427" i="1"/>
  <c r="C8427" i="1"/>
  <c r="B8427" i="1"/>
  <c r="A8427" i="1"/>
  <c r="F8426" i="1"/>
  <c r="E8426" i="1"/>
  <c r="D8426" i="1"/>
  <c r="C8426" i="1"/>
  <c r="B8426" i="1"/>
  <c r="A8426" i="1"/>
  <c r="F8425" i="1"/>
  <c r="E8425" i="1"/>
  <c r="D8425" i="1"/>
  <c r="C8425" i="1"/>
  <c r="B8425" i="1"/>
  <c r="A8425" i="1"/>
  <c r="F8424" i="1"/>
  <c r="E8424" i="1"/>
  <c r="D8424" i="1"/>
  <c r="C8424" i="1"/>
  <c r="B8424" i="1"/>
  <c r="A8424" i="1"/>
  <c r="F8423" i="1"/>
  <c r="E8423" i="1"/>
  <c r="D8423" i="1"/>
  <c r="C8423" i="1"/>
  <c r="B8423" i="1"/>
  <c r="A8423" i="1"/>
  <c r="F8422" i="1"/>
  <c r="E8422" i="1"/>
  <c r="D8422" i="1"/>
  <c r="C8422" i="1"/>
  <c r="B8422" i="1"/>
  <c r="A8422" i="1"/>
  <c r="F8421" i="1"/>
  <c r="E8421" i="1"/>
  <c r="D8421" i="1"/>
  <c r="C8421" i="1"/>
  <c r="B8421" i="1"/>
  <c r="A8421" i="1"/>
  <c r="F8420" i="1"/>
  <c r="E8420" i="1"/>
  <c r="D8420" i="1"/>
  <c r="C8420" i="1"/>
  <c r="B8420" i="1"/>
  <c r="A8420" i="1"/>
  <c r="F8419" i="1"/>
  <c r="E8419" i="1"/>
  <c r="D8419" i="1"/>
  <c r="C8419" i="1"/>
  <c r="B8419" i="1"/>
  <c r="A8419" i="1"/>
  <c r="F8418" i="1"/>
  <c r="E8418" i="1"/>
  <c r="D8418" i="1"/>
  <c r="C8418" i="1"/>
  <c r="B8418" i="1"/>
  <c r="A8418" i="1"/>
  <c r="F8417" i="1"/>
  <c r="E8417" i="1"/>
  <c r="D8417" i="1"/>
  <c r="C8417" i="1"/>
  <c r="B8417" i="1"/>
  <c r="A8417" i="1"/>
  <c r="F8416" i="1"/>
  <c r="E8416" i="1"/>
  <c r="D8416" i="1"/>
  <c r="C8416" i="1"/>
  <c r="B8416" i="1"/>
  <c r="A8416" i="1"/>
  <c r="F8415" i="1"/>
  <c r="E8415" i="1"/>
  <c r="D8415" i="1"/>
  <c r="C8415" i="1"/>
  <c r="B8415" i="1"/>
  <c r="A8415" i="1"/>
  <c r="F8414" i="1"/>
  <c r="E8414" i="1"/>
  <c r="D8414" i="1"/>
  <c r="C8414" i="1"/>
  <c r="B8414" i="1"/>
  <c r="A8414" i="1"/>
  <c r="F8413" i="1"/>
  <c r="E8413" i="1"/>
  <c r="D8413" i="1"/>
  <c r="C8413" i="1"/>
  <c r="B8413" i="1"/>
  <c r="A8413" i="1"/>
  <c r="F8412" i="1"/>
  <c r="E8412" i="1"/>
  <c r="D8412" i="1"/>
  <c r="C8412" i="1"/>
  <c r="B8412" i="1"/>
  <c r="A8412" i="1"/>
  <c r="F8411" i="1"/>
  <c r="E8411" i="1"/>
  <c r="D8411" i="1"/>
  <c r="C8411" i="1"/>
  <c r="B8411" i="1"/>
  <c r="A8411" i="1"/>
  <c r="F8410" i="1"/>
  <c r="E8410" i="1"/>
  <c r="D8410" i="1"/>
  <c r="C8410" i="1"/>
  <c r="B8410" i="1"/>
  <c r="A8410" i="1"/>
  <c r="F8409" i="1"/>
  <c r="E8409" i="1"/>
  <c r="D8409" i="1"/>
  <c r="C8409" i="1"/>
  <c r="B8409" i="1"/>
  <c r="A8409" i="1"/>
  <c r="F8408" i="1"/>
  <c r="E8408" i="1"/>
  <c r="D8408" i="1"/>
  <c r="C8408" i="1"/>
  <c r="B8408" i="1"/>
  <c r="A8408" i="1"/>
  <c r="F8407" i="1"/>
  <c r="E8407" i="1"/>
  <c r="D8407" i="1"/>
  <c r="C8407" i="1"/>
  <c r="B8407" i="1"/>
  <c r="A8407" i="1"/>
  <c r="F8406" i="1"/>
  <c r="E8406" i="1"/>
  <c r="D8406" i="1"/>
  <c r="C8406" i="1"/>
  <c r="B8406" i="1"/>
  <c r="A8406" i="1"/>
  <c r="F8405" i="1"/>
  <c r="E8405" i="1"/>
  <c r="D8405" i="1"/>
  <c r="C8405" i="1"/>
  <c r="B8405" i="1"/>
  <c r="A8405" i="1"/>
  <c r="F8404" i="1"/>
  <c r="E8404" i="1"/>
  <c r="D8404" i="1"/>
  <c r="C8404" i="1"/>
  <c r="B8404" i="1"/>
  <c r="A8404" i="1"/>
  <c r="F8403" i="1"/>
  <c r="E8403" i="1"/>
  <c r="D8403" i="1"/>
  <c r="C8403" i="1"/>
  <c r="B8403" i="1"/>
  <c r="A8403" i="1"/>
  <c r="F8402" i="1"/>
  <c r="E8402" i="1"/>
  <c r="D8402" i="1"/>
  <c r="C8402" i="1"/>
  <c r="B8402" i="1"/>
  <c r="A8402" i="1"/>
  <c r="F8401" i="1"/>
  <c r="E8401" i="1"/>
  <c r="D8401" i="1"/>
  <c r="C8401" i="1"/>
  <c r="B8401" i="1"/>
  <c r="A8401" i="1"/>
  <c r="F8400" i="1"/>
  <c r="E8400" i="1"/>
  <c r="D8400" i="1"/>
  <c r="C8400" i="1"/>
  <c r="B8400" i="1"/>
  <c r="A8400" i="1"/>
  <c r="F8399" i="1"/>
  <c r="E8399" i="1"/>
  <c r="D8399" i="1"/>
  <c r="C8399" i="1"/>
  <c r="B8399" i="1"/>
  <c r="A8399" i="1"/>
  <c r="F8398" i="1"/>
  <c r="E8398" i="1"/>
  <c r="D8398" i="1"/>
  <c r="C8398" i="1"/>
  <c r="B8398" i="1"/>
  <c r="A8398" i="1"/>
  <c r="F8397" i="1"/>
  <c r="E8397" i="1"/>
  <c r="D8397" i="1"/>
  <c r="C8397" i="1"/>
  <c r="B8397" i="1"/>
  <c r="A8397" i="1"/>
  <c r="F8396" i="1"/>
  <c r="E8396" i="1"/>
  <c r="D8396" i="1"/>
  <c r="C8396" i="1"/>
  <c r="B8396" i="1"/>
  <c r="A8396" i="1"/>
  <c r="F8395" i="1"/>
  <c r="E8395" i="1"/>
  <c r="D8395" i="1"/>
  <c r="C8395" i="1"/>
  <c r="B8395" i="1"/>
  <c r="A8395" i="1"/>
  <c r="F8394" i="1"/>
  <c r="E8394" i="1"/>
  <c r="D8394" i="1"/>
  <c r="C8394" i="1"/>
  <c r="B8394" i="1"/>
  <c r="A8394" i="1"/>
  <c r="F8393" i="1"/>
  <c r="E8393" i="1"/>
  <c r="D8393" i="1"/>
  <c r="C8393" i="1"/>
  <c r="B8393" i="1"/>
  <c r="A8393" i="1"/>
  <c r="F8392" i="1"/>
  <c r="E8392" i="1"/>
  <c r="D8392" i="1"/>
  <c r="C8392" i="1"/>
  <c r="B8392" i="1"/>
  <c r="A8392" i="1"/>
  <c r="F8391" i="1"/>
  <c r="E8391" i="1"/>
  <c r="D8391" i="1"/>
  <c r="C8391" i="1"/>
  <c r="B8391" i="1"/>
  <c r="A8391" i="1"/>
  <c r="F8390" i="1"/>
  <c r="E8390" i="1"/>
  <c r="D8390" i="1"/>
  <c r="C8390" i="1"/>
  <c r="B8390" i="1"/>
  <c r="A8390" i="1"/>
  <c r="F8389" i="1"/>
  <c r="E8389" i="1"/>
  <c r="D8389" i="1"/>
  <c r="C8389" i="1"/>
  <c r="B8389" i="1"/>
  <c r="A8389" i="1"/>
  <c r="F8388" i="1"/>
  <c r="E8388" i="1"/>
  <c r="D8388" i="1"/>
  <c r="C8388" i="1"/>
  <c r="B8388" i="1"/>
  <c r="A8388" i="1"/>
  <c r="F8387" i="1"/>
  <c r="E8387" i="1"/>
  <c r="D8387" i="1"/>
  <c r="C8387" i="1"/>
  <c r="B8387" i="1"/>
  <c r="A8387" i="1"/>
  <c r="F8386" i="1"/>
  <c r="E8386" i="1"/>
  <c r="D8386" i="1"/>
  <c r="C8386" i="1"/>
  <c r="B8386" i="1"/>
  <c r="A8386" i="1"/>
  <c r="F8385" i="1"/>
  <c r="E8385" i="1"/>
  <c r="D8385" i="1"/>
  <c r="C8385" i="1"/>
  <c r="B8385" i="1"/>
  <c r="A8385" i="1"/>
  <c r="F8384" i="1"/>
  <c r="E8384" i="1"/>
  <c r="D8384" i="1"/>
  <c r="C8384" i="1"/>
  <c r="B8384" i="1"/>
  <c r="A8384" i="1"/>
  <c r="F8383" i="1"/>
  <c r="E8383" i="1"/>
  <c r="D8383" i="1"/>
  <c r="C8383" i="1"/>
  <c r="B8383" i="1"/>
  <c r="A8383" i="1"/>
  <c r="F8382" i="1"/>
  <c r="E8382" i="1"/>
  <c r="D8382" i="1"/>
  <c r="C8382" i="1"/>
  <c r="B8382" i="1"/>
  <c r="A8382" i="1"/>
  <c r="F8381" i="1"/>
  <c r="E8381" i="1"/>
  <c r="D8381" i="1"/>
  <c r="C8381" i="1"/>
  <c r="B8381" i="1"/>
  <c r="A8381" i="1"/>
  <c r="F8380" i="1"/>
  <c r="E8380" i="1"/>
  <c r="D8380" i="1"/>
  <c r="C8380" i="1"/>
  <c r="B8380" i="1"/>
  <c r="A8380" i="1"/>
  <c r="F8379" i="1"/>
  <c r="E8379" i="1"/>
  <c r="D8379" i="1"/>
  <c r="C8379" i="1"/>
  <c r="B8379" i="1"/>
  <c r="A8379" i="1"/>
  <c r="F8378" i="1"/>
  <c r="E8378" i="1"/>
  <c r="D8378" i="1"/>
  <c r="C8378" i="1"/>
  <c r="B8378" i="1"/>
  <c r="A8378" i="1"/>
  <c r="F8377" i="1"/>
  <c r="E8377" i="1"/>
  <c r="D8377" i="1"/>
  <c r="C8377" i="1"/>
  <c r="B8377" i="1"/>
  <c r="A8377" i="1"/>
  <c r="F8376" i="1"/>
  <c r="E8376" i="1"/>
  <c r="D8376" i="1"/>
  <c r="C8376" i="1"/>
  <c r="B8376" i="1"/>
  <c r="A8376" i="1"/>
  <c r="F8375" i="1"/>
  <c r="E8375" i="1"/>
  <c r="D8375" i="1"/>
  <c r="C8375" i="1"/>
  <c r="B8375" i="1"/>
  <c r="A8375" i="1"/>
  <c r="F8374" i="1"/>
  <c r="E8374" i="1"/>
  <c r="D8374" i="1"/>
  <c r="C8374" i="1"/>
  <c r="B8374" i="1"/>
  <c r="A8374" i="1"/>
  <c r="F8373" i="1"/>
  <c r="E8373" i="1"/>
  <c r="D8373" i="1"/>
  <c r="C8373" i="1"/>
  <c r="B8373" i="1"/>
  <c r="A8373" i="1"/>
  <c r="F8372" i="1"/>
  <c r="E8372" i="1"/>
  <c r="D8372" i="1"/>
  <c r="C8372" i="1"/>
  <c r="B8372" i="1"/>
  <c r="A8372" i="1"/>
  <c r="F8371" i="1"/>
  <c r="E8371" i="1"/>
  <c r="D8371" i="1"/>
  <c r="C8371" i="1"/>
  <c r="B8371" i="1"/>
  <c r="A8371" i="1"/>
  <c r="F8370" i="1"/>
  <c r="E8370" i="1"/>
  <c r="D8370" i="1"/>
  <c r="C8370" i="1"/>
  <c r="B8370" i="1"/>
  <c r="A8370" i="1"/>
  <c r="F8369" i="1"/>
  <c r="E8369" i="1"/>
  <c r="D8369" i="1"/>
  <c r="C8369" i="1"/>
  <c r="B8369" i="1"/>
  <c r="A8369" i="1"/>
  <c r="F8368" i="1"/>
  <c r="E8368" i="1"/>
  <c r="D8368" i="1"/>
  <c r="C8368" i="1"/>
  <c r="B8368" i="1"/>
  <c r="A8368" i="1"/>
  <c r="F8367" i="1"/>
  <c r="E8367" i="1"/>
  <c r="D8367" i="1"/>
  <c r="C8367" i="1"/>
  <c r="B8367" i="1"/>
  <c r="A8367" i="1"/>
  <c r="F8366" i="1"/>
  <c r="E8366" i="1"/>
  <c r="D8366" i="1"/>
  <c r="C8366" i="1"/>
  <c r="B8366" i="1"/>
  <c r="A8366" i="1"/>
  <c r="F8365" i="1"/>
  <c r="E8365" i="1"/>
  <c r="D8365" i="1"/>
  <c r="C8365" i="1"/>
  <c r="B8365" i="1"/>
  <c r="A8365" i="1"/>
  <c r="F8364" i="1"/>
  <c r="E8364" i="1"/>
  <c r="D8364" i="1"/>
  <c r="C8364" i="1"/>
  <c r="B8364" i="1"/>
  <c r="A8364" i="1"/>
  <c r="F8363" i="1"/>
  <c r="E8363" i="1"/>
  <c r="D8363" i="1"/>
  <c r="C8363" i="1"/>
  <c r="B8363" i="1"/>
  <c r="A8363" i="1"/>
  <c r="F8362" i="1"/>
  <c r="E8362" i="1"/>
  <c r="D8362" i="1"/>
  <c r="C8362" i="1"/>
  <c r="B8362" i="1"/>
  <c r="A8362" i="1"/>
  <c r="F8361" i="1"/>
  <c r="E8361" i="1"/>
  <c r="D8361" i="1"/>
  <c r="C8361" i="1"/>
  <c r="B8361" i="1"/>
  <c r="A8361" i="1"/>
  <c r="F8360" i="1"/>
  <c r="E8360" i="1"/>
  <c r="D8360" i="1"/>
  <c r="C8360" i="1"/>
  <c r="B8360" i="1"/>
  <c r="A8360" i="1"/>
  <c r="F8359" i="1"/>
  <c r="E8359" i="1"/>
  <c r="D8359" i="1"/>
  <c r="C8359" i="1"/>
  <c r="B8359" i="1"/>
  <c r="A8359" i="1"/>
  <c r="F8358" i="1"/>
  <c r="E8358" i="1"/>
  <c r="D8358" i="1"/>
  <c r="C8358" i="1"/>
  <c r="B8358" i="1"/>
  <c r="A8358" i="1"/>
  <c r="F8357" i="1"/>
  <c r="E8357" i="1"/>
  <c r="D8357" i="1"/>
  <c r="C8357" i="1"/>
  <c r="B8357" i="1"/>
  <c r="A8357" i="1"/>
  <c r="F8356" i="1"/>
  <c r="E8356" i="1"/>
  <c r="D8356" i="1"/>
  <c r="C8356" i="1"/>
  <c r="B8356" i="1"/>
  <c r="A8356" i="1"/>
  <c r="F8355" i="1"/>
  <c r="E8355" i="1"/>
  <c r="D8355" i="1"/>
  <c r="C8355" i="1"/>
  <c r="B8355" i="1"/>
  <c r="A8355" i="1"/>
  <c r="F8354" i="1"/>
  <c r="E8354" i="1"/>
  <c r="D8354" i="1"/>
  <c r="C8354" i="1"/>
  <c r="B8354" i="1"/>
  <c r="A8354" i="1"/>
  <c r="F8353" i="1"/>
  <c r="E8353" i="1"/>
  <c r="D8353" i="1"/>
  <c r="C8353" i="1"/>
  <c r="B8353" i="1"/>
  <c r="A8353" i="1"/>
  <c r="F8352" i="1"/>
  <c r="E8352" i="1"/>
  <c r="D8352" i="1"/>
  <c r="C8352" i="1"/>
  <c r="B8352" i="1"/>
  <c r="A8352" i="1"/>
  <c r="F8351" i="1"/>
  <c r="E8351" i="1"/>
  <c r="D8351" i="1"/>
  <c r="C8351" i="1"/>
  <c r="B8351" i="1"/>
  <c r="A8351" i="1"/>
  <c r="F8350" i="1"/>
  <c r="E8350" i="1"/>
  <c r="D8350" i="1"/>
  <c r="C8350" i="1"/>
  <c r="B8350" i="1"/>
  <c r="A8350" i="1"/>
  <c r="F8349" i="1"/>
  <c r="E8349" i="1"/>
  <c r="D8349" i="1"/>
  <c r="C8349" i="1"/>
  <c r="B8349" i="1"/>
  <c r="A8349" i="1"/>
  <c r="F8348" i="1"/>
  <c r="E8348" i="1"/>
  <c r="D8348" i="1"/>
  <c r="C8348" i="1"/>
  <c r="B8348" i="1"/>
  <c r="A8348" i="1"/>
  <c r="F8347" i="1"/>
  <c r="E8347" i="1"/>
  <c r="D8347" i="1"/>
  <c r="C8347" i="1"/>
  <c r="B8347" i="1"/>
  <c r="A8347" i="1"/>
  <c r="F8346" i="1"/>
  <c r="E8346" i="1"/>
  <c r="D8346" i="1"/>
  <c r="C8346" i="1"/>
  <c r="B8346" i="1"/>
  <c r="A8346" i="1"/>
  <c r="F8345" i="1"/>
  <c r="E8345" i="1"/>
  <c r="D8345" i="1"/>
  <c r="C8345" i="1"/>
  <c r="B8345" i="1"/>
  <c r="A8345" i="1"/>
  <c r="F8344" i="1"/>
  <c r="E8344" i="1"/>
  <c r="D8344" i="1"/>
  <c r="C8344" i="1"/>
  <c r="B8344" i="1"/>
  <c r="A8344" i="1"/>
  <c r="F8343" i="1"/>
  <c r="E8343" i="1"/>
  <c r="D8343" i="1"/>
  <c r="C8343" i="1"/>
  <c r="B8343" i="1"/>
  <c r="A8343" i="1"/>
  <c r="F8342" i="1"/>
  <c r="E8342" i="1"/>
  <c r="D8342" i="1"/>
  <c r="C8342" i="1"/>
  <c r="B8342" i="1"/>
  <c r="A8342" i="1"/>
  <c r="F8341" i="1"/>
  <c r="E8341" i="1"/>
  <c r="D8341" i="1"/>
  <c r="C8341" i="1"/>
  <c r="B8341" i="1"/>
  <c r="A8341" i="1"/>
  <c r="F8340" i="1"/>
  <c r="E8340" i="1"/>
  <c r="D8340" i="1"/>
  <c r="C8340" i="1"/>
  <c r="B8340" i="1"/>
  <c r="A8340" i="1"/>
  <c r="F8339" i="1"/>
  <c r="E8339" i="1"/>
  <c r="D8339" i="1"/>
  <c r="C8339" i="1"/>
  <c r="B8339" i="1"/>
  <c r="A8339" i="1"/>
  <c r="F8338" i="1"/>
  <c r="E8338" i="1"/>
  <c r="D8338" i="1"/>
  <c r="C8338" i="1"/>
  <c r="B8338" i="1"/>
  <c r="A8338" i="1"/>
  <c r="F8337" i="1"/>
  <c r="E8337" i="1"/>
  <c r="D8337" i="1"/>
  <c r="C8337" i="1"/>
  <c r="B8337" i="1"/>
  <c r="A8337" i="1"/>
  <c r="F8336" i="1"/>
  <c r="E8336" i="1"/>
  <c r="D8336" i="1"/>
  <c r="C8336" i="1"/>
  <c r="B8336" i="1"/>
  <c r="A8336" i="1"/>
  <c r="F8335" i="1"/>
  <c r="E8335" i="1"/>
  <c r="D8335" i="1"/>
  <c r="C8335" i="1"/>
  <c r="B8335" i="1"/>
  <c r="A8335" i="1"/>
  <c r="F8334" i="1"/>
  <c r="E8334" i="1"/>
  <c r="D8334" i="1"/>
  <c r="C8334" i="1"/>
  <c r="B8334" i="1"/>
  <c r="A8334" i="1"/>
  <c r="F8333" i="1"/>
  <c r="E8333" i="1"/>
  <c r="D8333" i="1"/>
  <c r="C8333" i="1"/>
  <c r="B8333" i="1"/>
  <c r="A8333" i="1"/>
  <c r="F8332" i="1"/>
  <c r="E8332" i="1"/>
  <c r="D8332" i="1"/>
  <c r="C8332" i="1"/>
  <c r="B8332" i="1"/>
  <c r="A8332" i="1"/>
  <c r="F8331" i="1"/>
  <c r="E8331" i="1"/>
  <c r="D8331" i="1"/>
  <c r="C8331" i="1"/>
  <c r="B8331" i="1"/>
  <c r="A8331" i="1"/>
  <c r="F8330" i="1"/>
  <c r="E8330" i="1"/>
  <c r="D8330" i="1"/>
  <c r="C8330" i="1"/>
  <c r="B8330" i="1"/>
  <c r="A8330" i="1"/>
  <c r="F8329" i="1"/>
  <c r="E8329" i="1"/>
  <c r="D8329" i="1"/>
  <c r="C8329" i="1"/>
  <c r="B8329" i="1"/>
  <c r="A8329" i="1"/>
  <c r="F8328" i="1"/>
  <c r="E8328" i="1"/>
  <c r="D8328" i="1"/>
  <c r="C8328" i="1"/>
  <c r="B8328" i="1"/>
  <c r="A8328" i="1"/>
  <c r="F8327" i="1"/>
  <c r="E8327" i="1"/>
  <c r="D8327" i="1"/>
  <c r="C8327" i="1"/>
  <c r="B8327" i="1"/>
  <c r="A8327" i="1"/>
  <c r="F8326" i="1"/>
  <c r="E8326" i="1"/>
  <c r="D8326" i="1"/>
  <c r="C8326" i="1"/>
  <c r="B8326" i="1"/>
  <c r="A8326" i="1"/>
  <c r="F8325" i="1"/>
  <c r="E8325" i="1"/>
  <c r="D8325" i="1"/>
  <c r="C8325" i="1"/>
  <c r="B8325" i="1"/>
  <c r="A8325" i="1"/>
  <c r="F8324" i="1"/>
  <c r="E8324" i="1"/>
  <c r="D8324" i="1"/>
  <c r="C8324" i="1"/>
  <c r="B8324" i="1"/>
  <c r="A8324" i="1"/>
  <c r="F8323" i="1"/>
  <c r="E8323" i="1"/>
  <c r="D8323" i="1"/>
  <c r="C8323" i="1"/>
  <c r="B8323" i="1"/>
  <c r="A8323" i="1"/>
  <c r="F8322" i="1"/>
  <c r="E8322" i="1"/>
  <c r="D8322" i="1"/>
  <c r="C8322" i="1"/>
  <c r="B8322" i="1"/>
  <c r="A8322" i="1"/>
  <c r="F8321" i="1"/>
  <c r="E8321" i="1"/>
  <c r="D8321" i="1"/>
  <c r="C8321" i="1"/>
  <c r="B8321" i="1"/>
  <c r="A8321" i="1"/>
  <c r="F8320" i="1"/>
  <c r="E8320" i="1"/>
  <c r="D8320" i="1"/>
  <c r="C8320" i="1"/>
  <c r="B8320" i="1"/>
  <c r="A8320" i="1"/>
  <c r="F8319" i="1"/>
  <c r="E8319" i="1"/>
  <c r="D8319" i="1"/>
  <c r="C8319" i="1"/>
  <c r="B8319" i="1"/>
  <c r="A8319" i="1"/>
  <c r="F8318" i="1"/>
  <c r="E8318" i="1"/>
  <c r="D8318" i="1"/>
  <c r="C8318" i="1"/>
  <c r="B8318" i="1"/>
  <c r="A8318" i="1"/>
  <c r="F8317" i="1"/>
  <c r="E8317" i="1"/>
  <c r="D8317" i="1"/>
  <c r="C8317" i="1"/>
  <c r="B8317" i="1"/>
  <c r="A8317" i="1"/>
  <c r="F8316" i="1"/>
  <c r="E8316" i="1"/>
  <c r="D8316" i="1"/>
  <c r="C8316" i="1"/>
  <c r="B8316" i="1"/>
  <c r="A8316" i="1"/>
  <c r="F8315" i="1"/>
  <c r="E8315" i="1"/>
  <c r="D8315" i="1"/>
  <c r="C8315" i="1"/>
  <c r="B8315" i="1"/>
  <c r="A8315" i="1"/>
  <c r="F8314" i="1"/>
  <c r="E8314" i="1"/>
  <c r="D8314" i="1"/>
  <c r="C8314" i="1"/>
  <c r="B8314" i="1"/>
  <c r="A8314" i="1"/>
  <c r="F8313" i="1"/>
  <c r="E8313" i="1"/>
  <c r="D8313" i="1"/>
  <c r="C8313" i="1"/>
  <c r="B8313" i="1"/>
  <c r="A8313" i="1"/>
  <c r="F8312" i="1"/>
  <c r="E8312" i="1"/>
  <c r="D8312" i="1"/>
  <c r="C8312" i="1"/>
  <c r="B8312" i="1"/>
  <c r="A8312" i="1"/>
  <c r="F8311" i="1"/>
  <c r="E8311" i="1"/>
  <c r="D8311" i="1"/>
  <c r="C8311" i="1"/>
  <c r="B8311" i="1"/>
  <c r="A8311" i="1"/>
  <c r="F8310" i="1"/>
  <c r="E8310" i="1"/>
  <c r="D8310" i="1"/>
  <c r="C8310" i="1"/>
  <c r="B8310" i="1"/>
  <c r="A8310" i="1"/>
  <c r="F8309" i="1"/>
  <c r="E8309" i="1"/>
  <c r="D8309" i="1"/>
  <c r="C8309" i="1"/>
  <c r="B8309" i="1"/>
  <c r="A8309" i="1"/>
  <c r="F8308" i="1"/>
  <c r="E8308" i="1"/>
  <c r="D8308" i="1"/>
  <c r="C8308" i="1"/>
  <c r="B8308" i="1"/>
  <c r="A8308" i="1"/>
  <c r="F8307" i="1"/>
  <c r="E8307" i="1"/>
  <c r="D8307" i="1"/>
  <c r="C8307" i="1"/>
  <c r="B8307" i="1"/>
  <c r="A8307" i="1"/>
  <c r="F8306" i="1"/>
  <c r="E8306" i="1"/>
  <c r="D8306" i="1"/>
  <c r="C8306" i="1"/>
  <c r="B8306" i="1"/>
  <c r="A8306" i="1"/>
  <c r="F8305" i="1"/>
  <c r="E8305" i="1"/>
  <c r="D8305" i="1"/>
  <c r="C8305" i="1"/>
  <c r="B8305" i="1"/>
  <c r="A8305" i="1"/>
  <c r="F8304" i="1"/>
  <c r="E8304" i="1"/>
  <c r="D8304" i="1"/>
  <c r="C8304" i="1"/>
  <c r="B8304" i="1"/>
  <c r="A8304" i="1"/>
  <c r="F8303" i="1"/>
  <c r="E8303" i="1"/>
  <c r="D8303" i="1"/>
  <c r="C8303" i="1"/>
  <c r="B8303" i="1"/>
  <c r="A8303" i="1"/>
  <c r="F8302" i="1"/>
  <c r="E8302" i="1"/>
  <c r="D8302" i="1"/>
  <c r="C8302" i="1"/>
  <c r="B8302" i="1"/>
  <c r="A8302" i="1"/>
  <c r="F8301" i="1"/>
  <c r="E8301" i="1"/>
  <c r="D8301" i="1"/>
  <c r="C8301" i="1"/>
  <c r="B8301" i="1"/>
  <c r="A8301" i="1"/>
  <c r="F8300" i="1"/>
  <c r="E8300" i="1"/>
  <c r="D8300" i="1"/>
  <c r="C8300" i="1"/>
  <c r="B8300" i="1"/>
  <c r="A8300" i="1"/>
  <c r="F8299" i="1"/>
  <c r="E8299" i="1"/>
  <c r="D8299" i="1"/>
  <c r="C8299" i="1"/>
  <c r="B8299" i="1"/>
  <c r="A8299" i="1"/>
  <c r="F8298" i="1"/>
  <c r="E8298" i="1"/>
  <c r="D8298" i="1"/>
  <c r="C8298" i="1"/>
  <c r="B8298" i="1"/>
  <c r="A8298" i="1"/>
  <c r="F8297" i="1"/>
  <c r="E8297" i="1"/>
  <c r="D8297" i="1"/>
  <c r="C8297" i="1"/>
  <c r="B8297" i="1"/>
  <c r="A8297" i="1"/>
  <c r="F8296" i="1"/>
  <c r="E8296" i="1"/>
  <c r="D8296" i="1"/>
  <c r="C8296" i="1"/>
  <c r="B8296" i="1"/>
  <c r="A8296" i="1"/>
  <c r="F8295" i="1"/>
  <c r="E8295" i="1"/>
  <c r="D8295" i="1"/>
  <c r="C8295" i="1"/>
  <c r="B8295" i="1"/>
  <c r="A8295" i="1"/>
  <c r="F8294" i="1"/>
  <c r="E8294" i="1"/>
  <c r="D8294" i="1"/>
  <c r="C8294" i="1"/>
  <c r="B8294" i="1"/>
  <c r="A8294" i="1"/>
  <c r="F8293" i="1"/>
  <c r="E8293" i="1"/>
  <c r="D8293" i="1"/>
  <c r="C8293" i="1"/>
  <c r="B8293" i="1"/>
  <c r="A8293" i="1"/>
  <c r="F8292" i="1"/>
  <c r="E8292" i="1"/>
  <c r="D8292" i="1"/>
  <c r="C8292" i="1"/>
  <c r="B8292" i="1"/>
  <c r="A8292" i="1"/>
  <c r="F8291" i="1"/>
  <c r="E8291" i="1"/>
  <c r="D8291" i="1"/>
  <c r="C8291" i="1"/>
  <c r="B8291" i="1"/>
  <c r="A8291" i="1"/>
  <c r="F8290" i="1"/>
  <c r="E8290" i="1"/>
  <c r="D8290" i="1"/>
  <c r="C8290" i="1"/>
  <c r="B8290" i="1"/>
  <c r="A8290" i="1"/>
  <c r="F8289" i="1"/>
  <c r="E8289" i="1"/>
  <c r="D8289" i="1"/>
  <c r="C8289" i="1"/>
  <c r="B8289" i="1"/>
  <c r="A8289" i="1"/>
  <c r="F8288" i="1"/>
  <c r="E8288" i="1"/>
  <c r="D8288" i="1"/>
  <c r="C8288" i="1"/>
  <c r="B8288" i="1"/>
  <c r="A8288" i="1"/>
  <c r="F8287" i="1"/>
  <c r="E8287" i="1"/>
  <c r="D8287" i="1"/>
  <c r="C8287" i="1"/>
  <c r="B8287" i="1"/>
  <c r="A8287" i="1"/>
  <c r="F8286" i="1"/>
  <c r="E8286" i="1"/>
  <c r="D8286" i="1"/>
  <c r="C8286" i="1"/>
  <c r="B8286" i="1"/>
  <c r="A8286" i="1"/>
  <c r="F8285" i="1"/>
  <c r="E8285" i="1"/>
  <c r="D8285" i="1"/>
  <c r="C8285" i="1"/>
  <c r="B8285" i="1"/>
  <c r="A8285" i="1"/>
  <c r="F8284" i="1"/>
  <c r="E8284" i="1"/>
  <c r="D8284" i="1"/>
  <c r="C8284" i="1"/>
  <c r="B8284" i="1"/>
  <c r="A8284" i="1"/>
  <c r="F8283" i="1"/>
  <c r="E8283" i="1"/>
  <c r="D8283" i="1"/>
  <c r="C8283" i="1"/>
  <c r="B8283" i="1"/>
  <c r="A8283" i="1"/>
  <c r="F8282" i="1"/>
  <c r="E8282" i="1"/>
  <c r="D8282" i="1"/>
  <c r="C8282" i="1"/>
  <c r="B8282" i="1"/>
  <c r="A8282" i="1"/>
  <c r="F8281" i="1"/>
  <c r="E8281" i="1"/>
  <c r="D8281" i="1"/>
  <c r="C8281" i="1"/>
  <c r="B8281" i="1"/>
  <c r="A8281" i="1"/>
  <c r="F8280" i="1"/>
  <c r="E8280" i="1"/>
  <c r="D8280" i="1"/>
  <c r="C8280" i="1"/>
  <c r="B8280" i="1"/>
  <c r="A8280" i="1"/>
  <c r="F8279" i="1"/>
  <c r="E8279" i="1"/>
  <c r="D8279" i="1"/>
  <c r="C8279" i="1"/>
  <c r="B8279" i="1"/>
  <c r="A8279" i="1"/>
  <c r="F8278" i="1"/>
  <c r="E8278" i="1"/>
  <c r="D8278" i="1"/>
  <c r="C8278" i="1"/>
  <c r="B8278" i="1"/>
  <c r="A8278" i="1"/>
  <c r="F8277" i="1"/>
  <c r="E8277" i="1"/>
  <c r="D8277" i="1"/>
  <c r="C8277" i="1"/>
  <c r="B8277" i="1"/>
  <c r="A8277" i="1"/>
  <c r="F8276" i="1"/>
  <c r="E8276" i="1"/>
  <c r="D8276" i="1"/>
  <c r="C8276" i="1"/>
  <c r="B8276" i="1"/>
  <c r="A8276" i="1"/>
  <c r="F8275" i="1"/>
  <c r="E8275" i="1"/>
  <c r="D8275" i="1"/>
  <c r="C8275" i="1"/>
  <c r="B8275" i="1"/>
  <c r="A8275" i="1"/>
  <c r="F8274" i="1"/>
  <c r="E8274" i="1"/>
  <c r="D8274" i="1"/>
  <c r="C8274" i="1"/>
  <c r="B8274" i="1"/>
  <c r="A8274" i="1"/>
  <c r="F8273" i="1"/>
  <c r="E8273" i="1"/>
  <c r="D8273" i="1"/>
  <c r="C8273" i="1"/>
  <c r="B8273" i="1"/>
  <c r="A8273" i="1"/>
  <c r="F8272" i="1"/>
  <c r="E8272" i="1"/>
  <c r="D8272" i="1"/>
  <c r="C8272" i="1"/>
  <c r="B8272" i="1"/>
  <c r="A8272" i="1"/>
  <c r="F8271" i="1"/>
  <c r="E8271" i="1"/>
  <c r="D8271" i="1"/>
  <c r="C8271" i="1"/>
  <c r="B8271" i="1"/>
  <c r="A8271" i="1"/>
  <c r="F8270" i="1"/>
  <c r="E8270" i="1"/>
  <c r="D8270" i="1"/>
  <c r="C8270" i="1"/>
  <c r="B8270" i="1"/>
  <c r="A8270" i="1"/>
  <c r="F8269" i="1"/>
  <c r="E8269" i="1"/>
  <c r="D8269" i="1"/>
  <c r="C8269" i="1"/>
  <c r="B8269" i="1"/>
  <c r="A8269" i="1"/>
  <c r="F8268" i="1"/>
  <c r="E8268" i="1"/>
  <c r="D8268" i="1"/>
  <c r="C8268" i="1"/>
  <c r="B8268" i="1"/>
  <c r="A8268" i="1"/>
  <c r="F8267" i="1"/>
  <c r="E8267" i="1"/>
  <c r="D8267" i="1"/>
  <c r="C8267" i="1"/>
  <c r="B8267" i="1"/>
  <c r="A8267" i="1"/>
  <c r="F8266" i="1"/>
  <c r="E8266" i="1"/>
  <c r="D8266" i="1"/>
  <c r="C8266" i="1"/>
  <c r="B8266" i="1"/>
  <c r="A8266" i="1"/>
  <c r="F8265" i="1"/>
  <c r="E8265" i="1"/>
  <c r="D8265" i="1"/>
  <c r="C8265" i="1"/>
  <c r="B8265" i="1"/>
  <c r="A8265" i="1"/>
  <c r="F8264" i="1"/>
  <c r="E8264" i="1"/>
  <c r="D8264" i="1"/>
  <c r="C8264" i="1"/>
  <c r="B8264" i="1"/>
  <c r="A8264" i="1"/>
  <c r="F8263" i="1"/>
  <c r="E8263" i="1"/>
  <c r="D8263" i="1"/>
  <c r="C8263" i="1"/>
  <c r="B8263" i="1"/>
  <c r="A8263" i="1"/>
  <c r="F8262" i="1"/>
  <c r="E8262" i="1"/>
  <c r="D8262" i="1"/>
  <c r="C8262" i="1"/>
  <c r="B8262" i="1"/>
  <c r="A8262" i="1"/>
  <c r="F8261" i="1"/>
  <c r="E8261" i="1"/>
  <c r="D8261" i="1"/>
  <c r="C8261" i="1"/>
  <c r="B8261" i="1"/>
  <c r="A8261" i="1"/>
  <c r="F8260" i="1"/>
  <c r="E8260" i="1"/>
  <c r="D8260" i="1"/>
  <c r="C8260" i="1"/>
  <c r="B8260" i="1"/>
  <c r="A8260" i="1"/>
  <c r="F8259" i="1"/>
  <c r="E8259" i="1"/>
  <c r="D8259" i="1"/>
  <c r="C8259" i="1"/>
  <c r="B8259" i="1"/>
  <c r="A8259" i="1"/>
  <c r="F8258" i="1"/>
  <c r="E8258" i="1"/>
  <c r="D8258" i="1"/>
  <c r="C8258" i="1"/>
  <c r="B8258" i="1"/>
  <c r="A8258" i="1"/>
  <c r="F8257" i="1"/>
  <c r="E8257" i="1"/>
  <c r="D8257" i="1"/>
  <c r="C8257" i="1"/>
  <c r="B8257" i="1"/>
  <c r="A8257" i="1"/>
  <c r="F8256" i="1"/>
  <c r="E8256" i="1"/>
  <c r="D8256" i="1"/>
  <c r="C8256" i="1"/>
  <c r="B8256" i="1"/>
  <c r="A8256" i="1"/>
  <c r="F8255" i="1"/>
  <c r="E8255" i="1"/>
  <c r="D8255" i="1"/>
  <c r="C8255" i="1"/>
  <c r="B8255" i="1"/>
  <c r="A8255" i="1"/>
  <c r="F8254" i="1"/>
  <c r="E8254" i="1"/>
  <c r="D8254" i="1"/>
  <c r="C8254" i="1"/>
  <c r="B8254" i="1"/>
  <c r="A8254" i="1"/>
  <c r="F8253" i="1"/>
  <c r="E8253" i="1"/>
  <c r="D8253" i="1"/>
  <c r="C8253" i="1"/>
  <c r="B8253" i="1"/>
  <c r="A8253" i="1"/>
  <c r="F8252" i="1"/>
  <c r="E8252" i="1"/>
  <c r="D8252" i="1"/>
  <c r="C8252" i="1"/>
  <c r="B8252" i="1"/>
  <c r="A8252" i="1"/>
  <c r="F8251" i="1"/>
  <c r="E8251" i="1"/>
  <c r="D8251" i="1"/>
  <c r="C8251" i="1"/>
  <c r="B8251" i="1"/>
  <c r="A8251" i="1"/>
  <c r="F8250" i="1"/>
  <c r="E8250" i="1"/>
  <c r="D8250" i="1"/>
  <c r="C8250" i="1"/>
  <c r="B8250" i="1"/>
  <c r="A8250" i="1"/>
  <c r="F8249" i="1"/>
  <c r="E8249" i="1"/>
  <c r="D8249" i="1"/>
  <c r="C8249" i="1"/>
  <c r="B8249" i="1"/>
  <c r="A8249" i="1"/>
  <c r="F8248" i="1"/>
  <c r="E8248" i="1"/>
  <c r="D8248" i="1"/>
  <c r="C8248" i="1"/>
  <c r="B8248" i="1"/>
  <c r="A8248" i="1"/>
  <c r="F8247" i="1"/>
  <c r="E8247" i="1"/>
  <c r="D8247" i="1"/>
  <c r="C8247" i="1"/>
  <c r="B8247" i="1"/>
  <c r="A8247" i="1"/>
  <c r="F8246" i="1"/>
  <c r="E8246" i="1"/>
  <c r="D8246" i="1"/>
  <c r="C8246" i="1"/>
  <c r="B8246" i="1"/>
  <c r="A8246" i="1"/>
  <c r="F8245" i="1"/>
  <c r="E8245" i="1"/>
  <c r="D8245" i="1"/>
  <c r="C8245" i="1"/>
  <c r="B8245" i="1"/>
  <c r="A8245" i="1"/>
  <c r="F8244" i="1"/>
  <c r="E8244" i="1"/>
  <c r="D8244" i="1"/>
  <c r="C8244" i="1"/>
  <c r="B8244" i="1"/>
  <c r="A8244" i="1"/>
  <c r="F8243" i="1"/>
  <c r="E8243" i="1"/>
  <c r="D8243" i="1"/>
  <c r="C8243" i="1"/>
  <c r="B8243" i="1"/>
  <c r="A8243" i="1"/>
  <c r="F8242" i="1"/>
  <c r="E8242" i="1"/>
  <c r="D8242" i="1"/>
  <c r="C8242" i="1"/>
  <c r="B8242" i="1"/>
  <c r="A8242" i="1"/>
  <c r="F8241" i="1"/>
  <c r="E8241" i="1"/>
  <c r="D8241" i="1"/>
  <c r="C8241" i="1"/>
  <c r="B8241" i="1"/>
  <c r="A8241" i="1"/>
  <c r="F8240" i="1"/>
  <c r="E8240" i="1"/>
  <c r="D8240" i="1"/>
  <c r="C8240" i="1"/>
  <c r="B8240" i="1"/>
  <c r="A8240" i="1"/>
  <c r="F8239" i="1"/>
  <c r="E8239" i="1"/>
  <c r="D8239" i="1"/>
  <c r="C8239" i="1"/>
  <c r="B8239" i="1"/>
  <c r="A8239" i="1"/>
  <c r="F8238" i="1"/>
  <c r="E8238" i="1"/>
  <c r="D8238" i="1"/>
  <c r="C8238" i="1"/>
  <c r="B8238" i="1"/>
  <c r="A8238" i="1"/>
  <c r="F8237" i="1"/>
  <c r="E8237" i="1"/>
  <c r="D8237" i="1"/>
  <c r="C8237" i="1"/>
  <c r="B8237" i="1"/>
  <c r="A8237" i="1"/>
  <c r="F8236" i="1"/>
  <c r="E8236" i="1"/>
  <c r="D8236" i="1"/>
  <c r="C8236" i="1"/>
  <c r="B8236" i="1"/>
  <c r="A8236" i="1"/>
  <c r="F8235" i="1"/>
  <c r="E8235" i="1"/>
  <c r="D8235" i="1"/>
  <c r="C8235" i="1"/>
  <c r="B8235" i="1"/>
  <c r="A8235" i="1"/>
  <c r="F8234" i="1"/>
  <c r="E8234" i="1"/>
  <c r="D8234" i="1"/>
  <c r="C8234" i="1"/>
  <c r="B8234" i="1"/>
  <c r="A8234" i="1"/>
  <c r="F8233" i="1"/>
  <c r="E8233" i="1"/>
  <c r="D8233" i="1"/>
  <c r="C8233" i="1"/>
  <c r="B8233" i="1"/>
  <c r="A8233" i="1"/>
  <c r="F8232" i="1"/>
  <c r="E8232" i="1"/>
  <c r="D8232" i="1"/>
  <c r="C8232" i="1"/>
  <c r="B8232" i="1"/>
  <c r="A8232" i="1"/>
  <c r="F8231" i="1"/>
  <c r="E8231" i="1"/>
  <c r="D8231" i="1"/>
  <c r="C8231" i="1"/>
  <c r="B8231" i="1"/>
  <c r="A8231" i="1"/>
  <c r="F8230" i="1"/>
  <c r="E8230" i="1"/>
  <c r="D8230" i="1"/>
  <c r="C8230" i="1"/>
  <c r="B8230" i="1"/>
  <c r="A8230" i="1"/>
  <c r="F8229" i="1"/>
  <c r="E8229" i="1"/>
  <c r="D8229" i="1"/>
  <c r="C8229" i="1"/>
  <c r="B8229" i="1"/>
  <c r="A8229" i="1"/>
  <c r="F8228" i="1"/>
  <c r="E8228" i="1"/>
  <c r="D8228" i="1"/>
  <c r="C8228" i="1"/>
  <c r="B8228" i="1"/>
  <c r="A8228" i="1"/>
  <c r="F8227" i="1"/>
  <c r="E8227" i="1"/>
  <c r="D8227" i="1"/>
  <c r="C8227" i="1"/>
  <c r="B8227" i="1"/>
  <c r="A8227" i="1"/>
  <c r="F8226" i="1"/>
  <c r="E8226" i="1"/>
  <c r="D8226" i="1"/>
  <c r="C8226" i="1"/>
  <c r="B8226" i="1"/>
  <c r="A8226" i="1"/>
  <c r="F8225" i="1"/>
  <c r="E8225" i="1"/>
  <c r="D8225" i="1"/>
  <c r="C8225" i="1"/>
  <c r="B8225" i="1"/>
  <c r="A8225" i="1"/>
  <c r="F8224" i="1"/>
  <c r="E8224" i="1"/>
  <c r="D8224" i="1"/>
  <c r="C8224" i="1"/>
  <c r="B8224" i="1"/>
  <c r="A8224" i="1"/>
  <c r="F8223" i="1"/>
  <c r="E8223" i="1"/>
  <c r="D8223" i="1"/>
  <c r="C8223" i="1"/>
  <c r="B8223" i="1"/>
  <c r="A8223" i="1"/>
  <c r="F8222" i="1"/>
  <c r="E8222" i="1"/>
  <c r="D8222" i="1"/>
  <c r="C8222" i="1"/>
  <c r="B8222" i="1"/>
  <c r="A8222" i="1"/>
  <c r="F8221" i="1"/>
  <c r="E8221" i="1"/>
  <c r="D8221" i="1"/>
  <c r="C8221" i="1"/>
  <c r="B8221" i="1"/>
  <c r="A8221" i="1"/>
  <c r="F8220" i="1"/>
  <c r="E8220" i="1"/>
  <c r="D8220" i="1"/>
  <c r="C8220" i="1"/>
  <c r="B8220" i="1"/>
  <c r="A8220" i="1"/>
  <c r="F8219" i="1"/>
  <c r="E8219" i="1"/>
  <c r="D8219" i="1"/>
  <c r="C8219" i="1"/>
  <c r="B8219" i="1"/>
  <c r="A8219" i="1"/>
  <c r="F8218" i="1"/>
  <c r="E8218" i="1"/>
  <c r="D8218" i="1"/>
  <c r="C8218" i="1"/>
  <c r="B8218" i="1"/>
  <c r="A8218" i="1"/>
  <c r="F8217" i="1"/>
  <c r="E8217" i="1"/>
  <c r="D8217" i="1"/>
  <c r="C8217" i="1"/>
  <c r="B8217" i="1"/>
  <c r="A8217" i="1"/>
  <c r="F8216" i="1"/>
  <c r="E8216" i="1"/>
  <c r="D8216" i="1"/>
  <c r="C8216" i="1"/>
  <c r="B8216" i="1"/>
  <c r="A8216" i="1"/>
  <c r="F8215" i="1"/>
  <c r="E8215" i="1"/>
  <c r="D8215" i="1"/>
  <c r="C8215" i="1"/>
  <c r="B8215" i="1"/>
  <c r="A8215" i="1"/>
  <c r="F8214" i="1"/>
  <c r="E8214" i="1"/>
  <c r="D8214" i="1"/>
  <c r="C8214" i="1"/>
  <c r="B8214" i="1"/>
  <c r="A8214" i="1"/>
  <c r="F8213" i="1"/>
  <c r="E8213" i="1"/>
  <c r="D8213" i="1"/>
  <c r="C8213" i="1"/>
  <c r="B8213" i="1"/>
  <c r="A8213" i="1"/>
  <c r="F8212" i="1"/>
  <c r="E8212" i="1"/>
  <c r="D8212" i="1"/>
  <c r="C8212" i="1"/>
  <c r="B8212" i="1"/>
  <c r="A8212" i="1"/>
  <c r="F8211" i="1"/>
  <c r="E8211" i="1"/>
  <c r="D8211" i="1"/>
  <c r="C8211" i="1"/>
  <c r="B8211" i="1"/>
  <c r="A8211" i="1"/>
  <c r="F8210" i="1"/>
  <c r="E8210" i="1"/>
  <c r="D8210" i="1"/>
  <c r="C8210" i="1"/>
  <c r="B8210" i="1"/>
  <c r="A8210" i="1"/>
  <c r="F8209" i="1"/>
  <c r="E8209" i="1"/>
  <c r="D8209" i="1"/>
  <c r="C8209" i="1"/>
  <c r="B8209" i="1"/>
  <c r="A8209" i="1"/>
  <c r="F8208" i="1"/>
  <c r="E8208" i="1"/>
  <c r="D8208" i="1"/>
  <c r="C8208" i="1"/>
  <c r="B8208" i="1"/>
  <c r="A8208" i="1"/>
  <c r="F8207" i="1"/>
  <c r="E8207" i="1"/>
  <c r="D8207" i="1"/>
  <c r="C8207" i="1"/>
  <c r="B8207" i="1"/>
  <c r="A8207" i="1"/>
  <c r="F8206" i="1"/>
  <c r="E8206" i="1"/>
  <c r="D8206" i="1"/>
  <c r="C8206" i="1"/>
  <c r="B8206" i="1"/>
  <c r="A8206" i="1"/>
  <c r="F8205" i="1"/>
  <c r="E8205" i="1"/>
  <c r="D8205" i="1"/>
  <c r="C8205" i="1"/>
  <c r="B8205" i="1"/>
  <c r="A8205" i="1"/>
  <c r="F8204" i="1"/>
  <c r="E8204" i="1"/>
  <c r="D8204" i="1"/>
  <c r="C8204" i="1"/>
  <c r="B8204" i="1"/>
  <c r="A8204" i="1"/>
  <c r="F8203" i="1"/>
  <c r="E8203" i="1"/>
  <c r="D8203" i="1"/>
  <c r="C8203" i="1"/>
  <c r="B8203" i="1"/>
  <c r="A8203" i="1"/>
  <c r="F8202" i="1"/>
  <c r="E8202" i="1"/>
  <c r="D8202" i="1"/>
  <c r="C8202" i="1"/>
  <c r="B8202" i="1"/>
  <c r="A8202" i="1"/>
  <c r="F8201" i="1"/>
  <c r="E8201" i="1"/>
  <c r="D8201" i="1"/>
  <c r="C8201" i="1"/>
  <c r="B8201" i="1"/>
  <c r="A8201" i="1"/>
  <c r="F8200" i="1"/>
  <c r="E8200" i="1"/>
  <c r="D8200" i="1"/>
  <c r="C8200" i="1"/>
  <c r="B8200" i="1"/>
  <c r="A8200" i="1"/>
  <c r="F8199" i="1"/>
  <c r="E8199" i="1"/>
  <c r="D8199" i="1"/>
  <c r="C8199" i="1"/>
  <c r="B8199" i="1"/>
  <c r="A8199" i="1"/>
  <c r="F8198" i="1"/>
  <c r="E8198" i="1"/>
  <c r="D8198" i="1"/>
  <c r="C8198" i="1"/>
  <c r="B8198" i="1"/>
  <c r="A8198" i="1"/>
  <c r="F8197" i="1"/>
  <c r="E8197" i="1"/>
  <c r="D8197" i="1"/>
  <c r="C8197" i="1"/>
  <c r="B8197" i="1"/>
  <c r="A8197" i="1"/>
  <c r="F8196" i="1"/>
  <c r="E8196" i="1"/>
  <c r="D8196" i="1"/>
  <c r="C8196" i="1"/>
  <c r="B8196" i="1"/>
  <c r="A8196" i="1"/>
  <c r="F8195" i="1"/>
  <c r="E8195" i="1"/>
  <c r="D8195" i="1"/>
  <c r="C8195" i="1"/>
  <c r="B8195" i="1"/>
  <c r="A8195" i="1"/>
  <c r="F8194" i="1"/>
  <c r="E8194" i="1"/>
  <c r="D8194" i="1"/>
  <c r="C8194" i="1"/>
  <c r="B8194" i="1"/>
  <c r="A8194" i="1"/>
  <c r="F8193" i="1"/>
  <c r="E8193" i="1"/>
  <c r="D8193" i="1"/>
  <c r="C8193" i="1"/>
  <c r="B8193" i="1"/>
  <c r="A8193" i="1"/>
  <c r="F8192" i="1"/>
  <c r="E8192" i="1"/>
  <c r="D8192" i="1"/>
  <c r="C8192" i="1"/>
  <c r="B8192" i="1"/>
  <c r="A8192" i="1"/>
  <c r="F8191" i="1"/>
  <c r="E8191" i="1"/>
  <c r="D8191" i="1"/>
  <c r="C8191" i="1"/>
  <c r="B8191" i="1"/>
  <c r="A8191" i="1"/>
  <c r="F8190" i="1"/>
  <c r="E8190" i="1"/>
  <c r="D8190" i="1"/>
  <c r="C8190" i="1"/>
  <c r="B8190" i="1"/>
  <c r="A8190" i="1"/>
  <c r="F8189" i="1"/>
  <c r="E8189" i="1"/>
  <c r="D8189" i="1"/>
  <c r="C8189" i="1"/>
  <c r="B8189" i="1"/>
  <c r="A8189" i="1"/>
  <c r="F8188" i="1"/>
  <c r="E8188" i="1"/>
  <c r="D8188" i="1"/>
  <c r="C8188" i="1"/>
  <c r="B8188" i="1"/>
  <c r="A8188" i="1"/>
  <c r="F8187" i="1"/>
  <c r="E8187" i="1"/>
  <c r="D8187" i="1"/>
  <c r="C8187" i="1"/>
  <c r="B8187" i="1"/>
  <c r="A8187" i="1"/>
  <c r="F8186" i="1"/>
  <c r="E8186" i="1"/>
  <c r="D8186" i="1"/>
  <c r="C8186" i="1"/>
  <c r="B8186" i="1"/>
  <c r="A8186" i="1"/>
  <c r="F8185" i="1"/>
  <c r="E8185" i="1"/>
  <c r="D8185" i="1"/>
  <c r="C8185" i="1"/>
  <c r="B8185" i="1"/>
  <c r="A8185" i="1"/>
  <c r="F8184" i="1"/>
  <c r="E8184" i="1"/>
  <c r="D8184" i="1"/>
  <c r="C8184" i="1"/>
  <c r="B8184" i="1"/>
  <c r="A8184" i="1"/>
  <c r="F8183" i="1"/>
  <c r="E8183" i="1"/>
  <c r="D8183" i="1"/>
  <c r="C8183" i="1"/>
  <c r="B8183" i="1"/>
  <c r="A8183" i="1"/>
  <c r="F8182" i="1"/>
  <c r="E8182" i="1"/>
  <c r="D8182" i="1"/>
  <c r="C8182" i="1"/>
  <c r="B8182" i="1"/>
  <c r="A8182" i="1"/>
  <c r="F8181" i="1"/>
  <c r="E8181" i="1"/>
  <c r="D8181" i="1"/>
  <c r="C8181" i="1"/>
  <c r="B8181" i="1"/>
  <c r="A8181" i="1"/>
  <c r="F8180" i="1"/>
  <c r="E8180" i="1"/>
  <c r="D8180" i="1"/>
  <c r="C8180" i="1"/>
  <c r="B8180" i="1"/>
  <c r="A8180" i="1"/>
  <c r="F8179" i="1"/>
  <c r="E8179" i="1"/>
  <c r="D8179" i="1"/>
  <c r="C8179" i="1"/>
  <c r="B8179" i="1"/>
  <c r="A8179" i="1"/>
  <c r="F8178" i="1"/>
  <c r="E8178" i="1"/>
  <c r="D8178" i="1"/>
  <c r="C8178" i="1"/>
  <c r="B8178" i="1"/>
  <c r="A8178" i="1"/>
  <c r="F8177" i="1"/>
  <c r="E8177" i="1"/>
  <c r="D8177" i="1"/>
  <c r="C8177" i="1"/>
  <c r="B8177" i="1"/>
  <c r="A8177" i="1"/>
  <c r="F8176" i="1"/>
  <c r="E8176" i="1"/>
  <c r="D8176" i="1"/>
  <c r="C8176" i="1"/>
  <c r="B8176" i="1"/>
  <c r="A8176" i="1"/>
  <c r="F8175" i="1"/>
  <c r="E8175" i="1"/>
  <c r="D8175" i="1"/>
  <c r="C8175" i="1"/>
  <c r="B8175" i="1"/>
  <c r="A8175" i="1"/>
  <c r="F8174" i="1"/>
  <c r="E8174" i="1"/>
  <c r="D8174" i="1"/>
  <c r="C8174" i="1"/>
  <c r="B8174" i="1"/>
  <c r="A8174" i="1"/>
  <c r="F8173" i="1"/>
  <c r="E8173" i="1"/>
  <c r="D8173" i="1"/>
  <c r="C8173" i="1"/>
  <c r="B8173" i="1"/>
  <c r="A8173" i="1"/>
  <c r="F8172" i="1"/>
  <c r="E8172" i="1"/>
  <c r="D8172" i="1"/>
  <c r="C8172" i="1"/>
  <c r="B8172" i="1"/>
  <c r="A8172" i="1"/>
  <c r="F8171" i="1"/>
  <c r="E8171" i="1"/>
  <c r="D8171" i="1"/>
  <c r="C8171" i="1"/>
  <c r="B8171" i="1"/>
  <c r="A8171" i="1"/>
  <c r="F8170" i="1"/>
  <c r="E8170" i="1"/>
  <c r="D8170" i="1"/>
  <c r="C8170" i="1"/>
  <c r="B8170" i="1"/>
  <c r="A8170" i="1"/>
  <c r="F8169" i="1"/>
  <c r="E8169" i="1"/>
  <c r="D8169" i="1"/>
  <c r="C8169" i="1"/>
  <c r="B8169" i="1"/>
  <c r="A8169" i="1"/>
  <c r="F8168" i="1"/>
  <c r="E8168" i="1"/>
  <c r="D8168" i="1"/>
  <c r="C8168" i="1"/>
  <c r="B8168" i="1"/>
  <c r="A8168" i="1"/>
  <c r="F8167" i="1"/>
  <c r="E8167" i="1"/>
  <c r="D8167" i="1"/>
  <c r="C8167" i="1"/>
  <c r="B8167" i="1"/>
  <c r="A8167" i="1"/>
  <c r="F8166" i="1"/>
  <c r="E8166" i="1"/>
  <c r="D8166" i="1"/>
  <c r="C8166" i="1"/>
  <c r="B8166" i="1"/>
  <c r="A8166" i="1"/>
  <c r="F8165" i="1"/>
  <c r="E8165" i="1"/>
  <c r="D8165" i="1"/>
  <c r="C8165" i="1"/>
  <c r="B8165" i="1"/>
  <c r="A8165" i="1"/>
  <c r="F8164" i="1"/>
  <c r="E8164" i="1"/>
  <c r="D8164" i="1"/>
  <c r="C8164" i="1"/>
  <c r="B8164" i="1"/>
  <c r="A8164" i="1"/>
  <c r="F8163" i="1"/>
  <c r="E8163" i="1"/>
  <c r="D8163" i="1"/>
  <c r="C8163" i="1"/>
  <c r="B8163" i="1"/>
  <c r="A8163" i="1"/>
  <c r="F8162" i="1"/>
  <c r="E8162" i="1"/>
  <c r="D8162" i="1"/>
  <c r="C8162" i="1"/>
  <c r="B8162" i="1"/>
  <c r="A8162" i="1"/>
  <c r="F8161" i="1"/>
  <c r="E8161" i="1"/>
  <c r="D8161" i="1"/>
  <c r="C8161" i="1"/>
  <c r="B8161" i="1"/>
  <c r="A8161" i="1"/>
  <c r="F8160" i="1"/>
  <c r="E8160" i="1"/>
  <c r="D8160" i="1"/>
  <c r="C8160" i="1"/>
  <c r="B8160" i="1"/>
  <c r="A8160" i="1"/>
  <c r="F8159" i="1"/>
  <c r="E8159" i="1"/>
  <c r="D8159" i="1"/>
  <c r="C8159" i="1"/>
  <c r="B8159" i="1"/>
  <c r="A8159" i="1"/>
  <c r="F8158" i="1"/>
  <c r="E8158" i="1"/>
  <c r="D8158" i="1"/>
  <c r="C8158" i="1"/>
  <c r="B8158" i="1"/>
  <c r="A8158" i="1"/>
  <c r="F8157" i="1"/>
  <c r="E8157" i="1"/>
  <c r="D8157" i="1"/>
  <c r="C8157" i="1"/>
  <c r="B8157" i="1"/>
  <c r="A8157" i="1"/>
  <c r="F8156" i="1"/>
  <c r="E8156" i="1"/>
  <c r="D8156" i="1"/>
  <c r="C8156" i="1"/>
  <c r="B8156" i="1"/>
  <c r="A8156" i="1"/>
  <c r="F8155" i="1"/>
  <c r="E8155" i="1"/>
  <c r="D8155" i="1"/>
  <c r="C8155" i="1"/>
  <c r="B8155" i="1"/>
  <c r="A8155" i="1"/>
  <c r="F8154" i="1"/>
  <c r="E8154" i="1"/>
  <c r="D8154" i="1"/>
  <c r="C8154" i="1"/>
  <c r="B8154" i="1"/>
  <c r="A8154" i="1"/>
  <c r="F8153" i="1"/>
  <c r="E8153" i="1"/>
  <c r="D8153" i="1"/>
  <c r="C8153" i="1"/>
  <c r="B8153" i="1"/>
  <c r="A8153" i="1"/>
  <c r="F8152" i="1"/>
  <c r="E8152" i="1"/>
  <c r="D8152" i="1"/>
  <c r="C8152" i="1"/>
  <c r="B8152" i="1"/>
  <c r="A8152" i="1"/>
  <c r="F8151" i="1"/>
  <c r="E8151" i="1"/>
  <c r="D8151" i="1"/>
  <c r="C8151" i="1"/>
  <c r="B8151" i="1"/>
  <c r="A8151" i="1"/>
  <c r="F8150" i="1"/>
  <c r="E8150" i="1"/>
  <c r="D8150" i="1"/>
  <c r="C8150" i="1"/>
  <c r="B8150" i="1"/>
  <c r="A8150" i="1"/>
  <c r="F8149" i="1"/>
  <c r="E8149" i="1"/>
  <c r="D8149" i="1"/>
  <c r="C8149" i="1"/>
  <c r="B8149" i="1"/>
  <c r="A8149" i="1"/>
  <c r="F8148" i="1"/>
  <c r="E8148" i="1"/>
  <c r="D8148" i="1"/>
  <c r="C8148" i="1"/>
  <c r="B8148" i="1"/>
  <c r="A8148" i="1"/>
  <c r="F8147" i="1"/>
  <c r="E8147" i="1"/>
  <c r="D8147" i="1"/>
  <c r="C8147" i="1"/>
  <c r="B8147" i="1"/>
  <c r="A8147" i="1"/>
  <c r="F8146" i="1"/>
  <c r="E8146" i="1"/>
  <c r="D8146" i="1"/>
  <c r="C8146" i="1"/>
  <c r="B8146" i="1"/>
  <c r="A8146" i="1"/>
  <c r="F8145" i="1"/>
  <c r="E8145" i="1"/>
  <c r="D8145" i="1"/>
  <c r="C8145" i="1"/>
  <c r="B8145" i="1"/>
  <c r="A8145" i="1"/>
  <c r="F8144" i="1"/>
  <c r="E8144" i="1"/>
  <c r="D8144" i="1"/>
  <c r="C8144" i="1"/>
  <c r="B8144" i="1"/>
  <c r="A8144" i="1"/>
  <c r="F8143" i="1"/>
  <c r="E8143" i="1"/>
  <c r="D8143" i="1"/>
  <c r="C8143" i="1"/>
  <c r="B8143" i="1"/>
  <c r="A8143" i="1"/>
  <c r="F8142" i="1"/>
  <c r="E8142" i="1"/>
  <c r="D8142" i="1"/>
  <c r="C8142" i="1"/>
  <c r="B8142" i="1"/>
  <c r="A8142" i="1"/>
  <c r="F8141" i="1"/>
  <c r="E8141" i="1"/>
  <c r="D8141" i="1"/>
  <c r="C8141" i="1"/>
  <c r="B8141" i="1"/>
  <c r="A8141" i="1"/>
  <c r="F8140" i="1"/>
  <c r="E8140" i="1"/>
  <c r="D8140" i="1"/>
  <c r="C8140" i="1"/>
  <c r="B8140" i="1"/>
  <c r="A8140" i="1"/>
  <c r="F8139" i="1"/>
  <c r="E8139" i="1"/>
  <c r="D8139" i="1"/>
  <c r="C8139" i="1"/>
  <c r="B8139" i="1"/>
  <c r="A8139" i="1"/>
  <c r="F8138" i="1"/>
  <c r="E8138" i="1"/>
  <c r="D8138" i="1"/>
  <c r="C8138" i="1"/>
  <c r="B8138" i="1"/>
  <c r="A8138" i="1"/>
  <c r="F8137" i="1"/>
  <c r="E8137" i="1"/>
  <c r="D8137" i="1"/>
  <c r="C8137" i="1"/>
  <c r="B8137" i="1"/>
  <c r="A8137" i="1"/>
  <c r="F8136" i="1"/>
  <c r="E8136" i="1"/>
  <c r="D8136" i="1"/>
  <c r="C8136" i="1"/>
  <c r="B8136" i="1"/>
  <c r="A8136" i="1"/>
  <c r="F8135" i="1"/>
  <c r="E8135" i="1"/>
  <c r="D8135" i="1"/>
  <c r="C8135" i="1"/>
  <c r="B8135" i="1"/>
  <c r="A8135" i="1"/>
  <c r="F8134" i="1"/>
  <c r="E8134" i="1"/>
  <c r="D8134" i="1"/>
  <c r="C8134" i="1"/>
  <c r="B8134" i="1"/>
  <c r="A8134" i="1"/>
  <c r="F8133" i="1"/>
  <c r="E8133" i="1"/>
  <c r="D8133" i="1"/>
  <c r="C8133" i="1"/>
  <c r="B8133" i="1"/>
  <c r="A8133" i="1"/>
  <c r="F8132" i="1"/>
  <c r="E8132" i="1"/>
  <c r="D8132" i="1"/>
  <c r="C8132" i="1"/>
  <c r="B8132" i="1"/>
  <c r="A8132" i="1"/>
  <c r="F8131" i="1"/>
  <c r="E8131" i="1"/>
  <c r="D8131" i="1"/>
  <c r="C8131" i="1"/>
  <c r="B8131" i="1"/>
  <c r="A8131" i="1"/>
  <c r="F8130" i="1"/>
  <c r="E8130" i="1"/>
  <c r="D8130" i="1"/>
  <c r="C8130" i="1"/>
  <c r="B8130" i="1"/>
  <c r="A8130" i="1"/>
  <c r="F8129" i="1"/>
  <c r="E8129" i="1"/>
  <c r="D8129" i="1"/>
  <c r="C8129" i="1"/>
  <c r="B8129" i="1"/>
  <c r="A8129" i="1"/>
  <c r="F8128" i="1"/>
  <c r="E8128" i="1"/>
  <c r="D8128" i="1"/>
  <c r="C8128" i="1"/>
  <c r="B8128" i="1"/>
  <c r="A8128" i="1"/>
  <c r="F8127" i="1"/>
  <c r="E8127" i="1"/>
  <c r="D8127" i="1"/>
  <c r="C8127" i="1"/>
  <c r="B8127" i="1"/>
  <c r="A8127" i="1"/>
  <c r="F8126" i="1"/>
  <c r="E8126" i="1"/>
  <c r="D8126" i="1"/>
  <c r="C8126" i="1"/>
  <c r="B8126" i="1"/>
  <c r="A8126" i="1"/>
  <c r="F8125" i="1"/>
  <c r="E8125" i="1"/>
  <c r="D8125" i="1"/>
  <c r="C8125" i="1"/>
  <c r="B8125" i="1"/>
  <c r="A8125" i="1"/>
  <c r="F8124" i="1"/>
  <c r="E8124" i="1"/>
  <c r="D8124" i="1"/>
  <c r="C8124" i="1"/>
  <c r="B8124" i="1"/>
  <c r="A8124" i="1"/>
  <c r="F8123" i="1"/>
  <c r="E8123" i="1"/>
  <c r="D8123" i="1"/>
  <c r="C8123" i="1"/>
  <c r="B8123" i="1"/>
  <c r="A8123" i="1"/>
  <c r="F8122" i="1"/>
  <c r="E8122" i="1"/>
  <c r="D8122" i="1"/>
  <c r="C8122" i="1"/>
  <c r="B8122" i="1"/>
  <c r="A8122" i="1"/>
  <c r="F8121" i="1"/>
  <c r="E8121" i="1"/>
  <c r="D8121" i="1"/>
  <c r="C8121" i="1"/>
  <c r="B8121" i="1"/>
  <c r="A8121" i="1"/>
  <c r="F8120" i="1"/>
  <c r="E8120" i="1"/>
  <c r="D8120" i="1"/>
  <c r="C8120" i="1"/>
  <c r="B8120" i="1"/>
  <c r="A8120" i="1"/>
  <c r="F8119" i="1"/>
  <c r="E8119" i="1"/>
  <c r="D8119" i="1"/>
  <c r="C8119" i="1"/>
  <c r="B8119" i="1"/>
  <c r="A8119" i="1"/>
  <c r="F8118" i="1"/>
  <c r="E8118" i="1"/>
  <c r="D8118" i="1"/>
  <c r="C8118" i="1"/>
  <c r="B8118" i="1"/>
  <c r="A8118" i="1"/>
  <c r="F8117" i="1"/>
  <c r="E8117" i="1"/>
  <c r="D8117" i="1"/>
  <c r="C8117" i="1"/>
  <c r="B8117" i="1"/>
  <c r="A8117" i="1"/>
  <c r="F8116" i="1"/>
  <c r="E8116" i="1"/>
  <c r="D8116" i="1"/>
  <c r="C8116" i="1"/>
  <c r="B8116" i="1"/>
  <c r="A8116" i="1"/>
  <c r="F8115" i="1"/>
  <c r="E8115" i="1"/>
  <c r="D8115" i="1"/>
  <c r="C8115" i="1"/>
  <c r="B8115" i="1"/>
  <c r="A8115" i="1"/>
  <c r="F8114" i="1"/>
  <c r="E8114" i="1"/>
  <c r="D8114" i="1"/>
  <c r="C8114" i="1"/>
  <c r="B8114" i="1"/>
  <c r="A8114" i="1"/>
  <c r="F8113" i="1"/>
  <c r="E8113" i="1"/>
  <c r="D8113" i="1"/>
  <c r="C8113" i="1"/>
  <c r="B8113" i="1"/>
  <c r="A8113" i="1"/>
  <c r="F8112" i="1"/>
  <c r="E8112" i="1"/>
  <c r="D8112" i="1"/>
  <c r="C8112" i="1"/>
  <c r="B8112" i="1"/>
  <c r="A8112" i="1"/>
  <c r="F8111" i="1"/>
  <c r="E8111" i="1"/>
  <c r="D8111" i="1"/>
  <c r="C8111" i="1"/>
  <c r="B8111" i="1"/>
  <c r="A8111" i="1"/>
  <c r="F8110" i="1"/>
  <c r="E8110" i="1"/>
  <c r="D8110" i="1"/>
  <c r="C8110" i="1"/>
  <c r="B8110" i="1"/>
  <c r="A8110" i="1"/>
  <c r="F8109" i="1"/>
  <c r="E8109" i="1"/>
  <c r="D8109" i="1"/>
  <c r="C8109" i="1"/>
  <c r="B8109" i="1"/>
  <c r="A8109" i="1"/>
  <c r="F8108" i="1"/>
  <c r="E8108" i="1"/>
  <c r="D8108" i="1"/>
  <c r="C8108" i="1"/>
  <c r="B8108" i="1"/>
  <c r="A8108" i="1"/>
  <c r="F8107" i="1"/>
  <c r="E8107" i="1"/>
  <c r="D8107" i="1"/>
  <c r="C8107" i="1"/>
  <c r="B8107" i="1"/>
  <c r="A8107" i="1"/>
  <c r="F8106" i="1"/>
  <c r="E8106" i="1"/>
  <c r="D8106" i="1"/>
  <c r="C8106" i="1"/>
  <c r="B8106" i="1"/>
  <c r="A8106" i="1"/>
  <c r="F8105" i="1"/>
  <c r="E8105" i="1"/>
  <c r="D8105" i="1"/>
  <c r="C8105" i="1"/>
  <c r="B8105" i="1"/>
  <c r="A8105" i="1"/>
  <c r="F8104" i="1"/>
  <c r="E8104" i="1"/>
  <c r="D8104" i="1"/>
  <c r="C8104" i="1"/>
  <c r="B8104" i="1"/>
  <c r="A8104" i="1"/>
  <c r="F8103" i="1"/>
  <c r="E8103" i="1"/>
  <c r="D8103" i="1"/>
  <c r="C8103" i="1"/>
  <c r="B8103" i="1"/>
  <c r="A8103" i="1"/>
  <c r="F8102" i="1"/>
  <c r="E8102" i="1"/>
  <c r="D8102" i="1"/>
  <c r="C8102" i="1"/>
  <c r="B8102" i="1"/>
  <c r="A8102" i="1"/>
  <c r="F8101" i="1"/>
  <c r="E8101" i="1"/>
  <c r="D8101" i="1"/>
  <c r="C8101" i="1"/>
  <c r="B8101" i="1"/>
  <c r="A8101" i="1"/>
  <c r="F8100" i="1"/>
  <c r="E8100" i="1"/>
  <c r="D8100" i="1"/>
  <c r="C8100" i="1"/>
  <c r="B8100" i="1"/>
  <c r="A8100" i="1"/>
  <c r="F8099" i="1"/>
  <c r="E8099" i="1"/>
  <c r="D8099" i="1"/>
  <c r="C8099" i="1"/>
  <c r="B8099" i="1"/>
  <c r="A8099" i="1"/>
  <c r="F8098" i="1"/>
  <c r="E8098" i="1"/>
  <c r="D8098" i="1"/>
  <c r="C8098" i="1"/>
  <c r="B8098" i="1"/>
  <c r="A8098" i="1"/>
  <c r="F8097" i="1"/>
  <c r="E8097" i="1"/>
  <c r="D8097" i="1"/>
  <c r="C8097" i="1"/>
  <c r="B8097" i="1"/>
  <c r="A8097" i="1"/>
  <c r="F8096" i="1"/>
  <c r="E8096" i="1"/>
  <c r="D8096" i="1"/>
  <c r="C8096" i="1"/>
  <c r="B8096" i="1"/>
  <c r="A8096" i="1"/>
  <c r="F8095" i="1"/>
  <c r="E8095" i="1"/>
  <c r="D8095" i="1"/>
  <c r="C8095" i="1"/>
  <c r="B8095" i="1"/>
  <c r="A8095" i="1"/>
  <c r="F8094" i="1"/>
  <c r="E8094" i="1"/>
  <c r="D8094" i="1"/>
  <c r="C8094" i="1"/>
  <c r="B8094" i="1"/>
  <c r="A8094" i="1"/>
  <c r="F8093" i="1"/>
  <c r="E8093" i="1"/>
  <c r="D8093" i="1"/>
  <c r="C8093" i="1"/>
  <c r="B8093" i="1"/>
  <c r="A8093" i="1"/>
  <c r="F8092" i="1"/>
  <c r="E8092" i="1"/>
  <c r="D8092" i="1"/>
  <c r="C8092" i="1"/>
  <c r="B8092" i="1"/>
  <c r="A8092" i="1"/>
  <c r="F8091" i="1"/>
  <c r="E8091" i="1"/>
  <c r="D8091" i="1"/>
  <c r="C8091" i="1"/>
  <c r="B8091" i="1"/>
  <c r="A8091" i="1"/>
  <c r="F8090" i="1"/>
  <c r="E8090" i="1"/>
  <c r="D8090" i="1"/>
  <c r="C8090" i="1"/>
  <c r="B8090" i="1"/>
  <c r="A8090" i="1"/>
  <c r="F8089" i="1"/>
  <c r="E8089" i="1"/>
  <c r="D8089" i="1"/>
  <c r="C8089" i="1"/>
  <c r="B8089" i="1"/>
  <c r="A8089" i="1"/>
  <c r="F8088" i="1"/>
  <c r="E8088" i="1"/>
  <c r="D8088" i="1"/>
  <c r="C8088" i="1"/>
  <c r="B8088" i="1"/>
  <c r="A8088" i="1"/>
  <c r="F8087" i="1"/>
  <c r="E8087" i="1"/>
  <c r="D8087" i="1"/>
  <c r="C8087" i="1"/>
  <c r="B8087" i="1"/>
  <c r="A8087" i="1"/>
  <c r="F8086" i="1"/>
  <c r="E8086" i="1"/>
  <c r="D8086" i="1"/>
  <c r="C8086" i="1"/>
  <c r="B8086" i="1"/>
  <c r="A8086" i="1"/>
  <c r="F8085" i="1"/>
  <c r="E8085" i="1"/>
  <c r="D8085" i="1"/>
  <c r="C8085" i="1"/>
  <c r="B8085" i="1"/>
  <c r="A8085" i="1"/>
  <c r="F8084" i="1"/>
  <c r="E8084" i="1"/>
  <c r="D8084" i="1"/>
  <c r="C8084" i="1"/>
  <c r="B8084" i="1"/>
  <c r="A8084" i="1"/>
  <c r="F8083" i="1"/>
  <c r="E8083" i="1"/>
  <c r="D8083" i="1"/>
  <c r="C8083" i="1"/>
  <c r="B8083" i="1"/>
  <c r="A8083" i="1"/>
  <c r="F8082" i="1"/>
  <c r="E8082" i="1"/>
  <c r="D8082" i="1"/>
  <c r="C8082" i="1"/>
  <c r="B8082" i="1"/>
  <c r="A8082" i="1"/>
  <c r="F8081" i="1"/>
  <c r="E8081" i="1"/>
  <c r="D8081" i="1"/>
  <c r="C8081" i="1"/>
  <c r="B8081" i="1"/>
  <c r="A8081" i="1"/>
  <c r="F8080" i="1"/>
  <c r="E8080" i="1"/>
  <c r="D8080" i="1"/>
  <c r="C8080" i="1"/>
  <c r="B8080" i="1"/>
  <c r="A8080" i="1"/>
  <c r="F8079" i="1"/>
  <c r="E8079" i="1"/>
  <c r="D8079" i="1"/>
  <c r="C8079" i="1"/>
  <c r="B8079" i="1"/>
  <c r="A8079" i="1"/>
  <c r="F8078" i="1"/>
  <c r="E8078" i="1"/>
  <c r="D8078" i="1"/>
  <c r="C8078" i="1"/>
  <c r="B8078" i="1"/>
  <c r="A8078" i="1"/>
  <c r="F8077" i="1"/>
  <c r="E8077" i="1"/>
  <c r="D8077" i="1"/>
  <c r="C8077" i="1"/>
  <c r="B8077" i="1"/>
  <c r="A8077" i="1"/>
  <c r="F8076" i="1"/>
  <c r="E8076" i="1"/>
  <c r="D8076" i="1"/>
  <c r="C8076" i="1"/>
  <c r="B8076" i="1"/>
  <c r="A8076" i="1"/>
  <c r="F8075" i="1"/>
  <c r="E8075" i="1"/>
  <c r="D8075" i="1"/>
  <c r="C8075" i="1"/>
  <c r="B8075" i="1"/>
  <c r="A8075" i="1"/>
  <c r="F8074" i="1"/>
  <c r="E8074" i="1"/>
  <c r="D8074" i="1"/>
  <c r="C8074" i="1"/>
  <c r="B8074" i="1"/>
  <c r="A8074" i="1"/>
  <c r="F8073" i="1"/>
  <c r="E8073" i="1"/>
  <c r="D8073" i="1"/>
  <c r="C8073" i="1"/>
  <c r="B8073" i="1"/>
  <c r="A8073" i="1"/>
  <c r="F8072" i="1"/>
  <c r="E8072" i="1"/>
  <c r="D8072" i="1"/>
  <c r="C8072" i="1"/>
  <c r="B8072" i="1"/>
  <c r="A8072" i="1"/>
  <c r="F8071" i="1"/>
  <c r="E8071" i="1"/>
  <c r="D8071" i="1"/>
  <c r="C8071" i="1"/>
  <c r="B8071" i="1"/>
  <c r="A8071" i="1"/>
  <c r="F8070" i="1"/>
  <c r="E8070" i="1"/>
  <c r="D8070" i="1"/>
  <c r="C8070" i="1"/>
  <c r="B8070" i="1"/>
  <c r="A8070" i="1"/>
  <c r="F8069" i="1"/>
  <c r="E8069" i="1"/>
  <c r="D8069" i="1"/>
  <c r="C8069" i="1"/>
  <c r="B8069" i="1"/>
  <c r="A8069" i="1"/>
  <c r="F8068" i="1"/>
  <c r="E8068" i="1"/>
  <c r="D8068" i="1"/>
  <c r="C8068" i="1"/>
  <c r="B8068" i="1"/>
  <c r="A8068" i="1"/>
  <c r="F8067" i="1"/>
  <c r="E8067" i="1"/>
  <c r="D8067" i="1"/>
  <c r="C8067" i="1"/>
  <c r="B8067" i="1"/>
  <c r="A8067" i="1"/>
  <c r="F8066" i="1"/>
  <c r="E8066" i="1"/>
  <c r="D8066" i="1"/>
  <c r="C8066" i="1"/>
  <c r="B8066" i="1"/>
  <c r="A8066" i="1"/>
  <c r="F8065" i="1"/>
  <c r="E8065" i="1"/>
  <c r="D8065" i="1"/>
  <c r="C8065" i="1"/>
  <c r="B8065" i="1"/>
  <c r="A8065" i="1"/>
  <c r="F8064" i="1"/>
  <c r="E8064" i="1"/>
  <c r="D8064" i="1"/>
  <c r="C8064" i="1"/>
  <c r="B8064" i="1"/>
  <c r="A8064" i="1"/>
  <c r="F8063" i="1"/>
  <c r="E8063" i="1"/>
  <c r="D8063" i="1"/>
  <c r="C8063" i="1"/>
  <c r="B8063" i="1"/>
  <c r="A8063" i="1"/>
  <c r="F8062" i="1"/>
  <c r="E8062" i="1"/>
  <c r="D8062" i="1"/>
  <c r="C8062" i="1"/>
  <c r="B8062" i="1"/>
  <c r="A8062" i="1"/>
  <c r="F8061" i="1"/>
  <c r="E8061" i="1"/>
  <c r="D8061" i="1"/>
  <c r="C8061" i="1"/>
  <c r="B8061" i="1"/>
  <c r="A8061" i="1"/>
  <c r="F8060" i="1"/>
  <c r="E8060" i="1"/>
  <c r="D8060" i="1"/>
  <c r="C8060" i="1"/>
  <c r="B8060" i="1"/>
  <c r="A8060" i="1"/>
  <c r="F8059" i="1"/>
  <c r="E8059" i="1"/>
  <c r="D8059" i="1"/>
  <c r="C8059" i="1"/>
  <c r="B8059" i="1"/>
  <c r="A8059" i="1"/>
  <c r="F8058" i="1"/>
  <c r="E8058" i="1"/>
  <c r="D8058" i="1"/>
  <c r="C8058" i="1"/>
  <c r="B8058" i="1"/>
  <c r="A8058" i="1"/>
  <c r="F8057" i="1"/>
  <c r="E8057" i="1"/>
  <c r="D8057" i="1"/>
  <c r="C8057" i="1"/>
  <c r="B8057" i="1"/>
  <c r="A8057" i="1"/>
  <c r="F8056" i="1"/>
  <c r="E8056" i="1"/>
  <c r="D8056" i="1"/>
  <c r="C8056" i="1"/>
  <c r="B8056" i="1"/>
  <c r="A8056" i="1"/>
  <c r="F8055" i="1"/>
  <c r="E8055" i="1"/>
  <c r="D8055" i="1"/>
  <c r="C8055" i="1"/>
  <c r="B8055" i="1"/>
  <c r="A8055" i="1"/>
  <c r="F8054" i="1"/>
  <c r="E8054" i="1"/>
  <c r="D8054" i="1"/>
  <c r="C8054" i="1"/>
  <c r="B8054" i="1"/>
  <c r="A8054" i="1"/>
  <c r="F8053" i="1"/>
  <c r="E8053" i="1"/>
  <c r="D8053" i="1"/>
  <c r="C8053" i="1"/>
  <c r="B8053" i="1"/>
  <c r="A8053" i="1"/>
  <c r="F8052" i="1"/>
  <c r="E8052" i="1"/>
  <c r="D8052" i="1"/>
  <c r="C8052" i="1"/>
  <c r="B8052" i="1"/>
  <c r="A8052" i="1"/>
  <c r="F8051" i="1"/>
  <c r="E8051" i="1"/>
  <c r="D8051" i="1"/>
  <c r="C8051" i="1"/>
  <c r="B8051" i="1"/>
  <c r="A8051" i="1"/>
  <c r="F8050" i="1"/>
  <c r="E8050" i="1"/>
  <c r="D8050" i="1"/>
  <c r="C8050" i="1"/>
  <c r="B8050" i="1"/>
  <c r="A8050" i="1"/>
  <c r="F8049" i="1"/>
  <c r="E8049" i="1"/>
  <c r="D8049" i="1"/>
  <c r="C8049" i="1"/>
  <c r="B8049" i="1"/>
  <c r="A8049" i="1"/>
  <c r="F8048" i="1"/>
  <c r="E8048" i="1"/>
  <c r="D8048" i="1"/>
  <c r="C8048" i="1"/>
  <c r="B8048" i="1"/>
  <c r="A8048" i="1"/>
  <c r="F8047" i="1"/>
  <c r="E8047" i="1"/>
  <c r="D8047" i="1"/>
  <c r="C8047" i="1"/>
  <c r="B8047" i="1"/>
  <c r="A8047" i="1"/>
  <c r="F8046" i="1"/>
  <c r="E8046" i="1"/>
  <c r="D8046" i="1"/>
  <c r="C8046" i="1"/>
  <c r="B8046" i="1"/>
  <c r="A8046" i="1"/>
  <c r="F8045" i="1"/>
  <c r="E8045" i="1"/>
  <c r="D8045" i="1"/>
  <c r="C8045" i="1"/>
  <c r="B8045" i="1"/>
  <c r="A8045" i="1"/>
  <c r="F8044" i="1"/>
  <c r="E8044" i="1"/>
  <c r="D8044" i="1"/>
  <c r="C8044" i="1"/>
  <c r="B8044" i="1"/>
  <c r="A8044" i="1"/>
  <c r="F8043" i="1"/>
  <c r="E8043" i="1"/>
  <c r="D8043" i="1"/>
  <c r="C8043" i="1"/>
  <c r="B8043" i="1"/>
  <c r="A8043" i="1"/>
  <c r="F8042" i="1"/>
  <c r="E8042" i="1"/>
  <c r="D8042" i="1"/>
  <c r="C8042" i="1"/>
  <c r="B8042" i="1"/>
  <c r="A8042" i="1"/>
  <c r="F8041" i="1"/>
  <c r="E8041" i="1"/>
  <c r="D8041" i="1"/>
  <c r="C8041" i="1"/>
  <c r="B8041" i="1"/>
  <c r="A8041" i="1"/>
  <c r="F8040" i="1"/>
  <c r="E8040" i="1"/>
  <c r="D8040" i="1"/>
  <c r="C8040" i="1"/>
  <c r="B8040" i="1"/>
  <c r="A8040" i="1"/>
  <c r="F8039" i="1"/>
  <c r="E8039" i="1"/>
  <c r="D8039" i="1"/>
  <c r="C8039" i="1"/>
  <c r="B8039" i="1"/>
  <c r="A8039" i="1"/>
  <c r="F8038" i="1"/>
  <c r="E8038" i="1"/>
  <c r="D8038" i="1"/>
  <c r="C8038" i="1"/>
  <c r="B8038" i="1"/>
  <c r="A8038" i="1"/>
  <c r="F8037" i="1"/>
  <c r="E8037" i="1"/>
  <c r="D8037" i="1"/>
  <c r="C8037" i="1"/>
  <c r="B8037" i="1"/>
  <c r="A8037" i="1"/>
  <c r="F8036" i="1"/>
  <c r="E8036" i="1"/>
  <c r="D8036" i="1"/>
  <c r="C8036" i="1"/>
  <c r="B8036" i="1"/>
  <c r="A8036" i="1"/>
  <c r="F8035" i="1"/>
  <c r="E8035" i="1"/>
  <c r="D8035" i="1"/>
  <c r="C8035" i="1"/>
  <c r="B8035" i="1"/>
  <c r="A8035" i="1"/>
  <c r="F8034" i="1"/>
  <c r="E8034" i="1"/>
  <c r="D8034" i="1"/>
  <c r="C8034" i="1"/>
  <c r="B8034" i="1"/>
  <c r="A8034" i="1"/>
  <c r="F8033" i="1"/>
  <c r="E8033" i="1"/>
  <c r="D8033" i="1"/>
  <c r="C8033" i="1"/>
  <c r="B8033" i="1"/>
  <c r="A8033" i="1"/>
  <c r="F8032" i="1"/>
  <c r="E8032" i="1"/>
  <c r="D8032" i="1"/>
  <c r="C8032" i="1"/>
  <c r="B8032" i="1"/>
  <c r="A8032" i="1"/>
  <c r="F8031" i="1"/>
  <c r="E8031" i="1"/>
  <c r="D8031" i="1"/>
  <c r="C8031" i="1"/>
  <c r="B8031" i="1"/>
  <c r="A8031" i="1"/>
  <c r="F8030" i="1"/>
  <c r="E8030" i="1"/>
  <c r="D8030" i="1"/>
  <c r="C8030" i="1"/>
  <c r="B8030" i="1"/>
  <c r="A8030" i="1"/>
  <c r="F8029" i="1"/>
  <c r="E8029" i="1"/>
  <c r="D8029" i="1"/>
  <c r="C8029" i="1"/>
  <c r="B8029" i="1"/>
  <c r="A8029" i="1"/>
  <c r="F8028" i="1"/>
  <c r="E8028" i="1"/>
  <c r="D8028" i="1"/>
  <c r="C8028" i="1"/>
  <c r="B8028" i="1"/>
  <c r="A8028" i="1"/>
  <c r="F8027" i="1"/>
  <c r="E8027" i="1"/>
  <c r="D8027" i="1"/>
  <c r="C8027" i="1"/>
  <c r="B8027" i="1"/>
  <c r="A8027" i="1"/>
  <c r="F8026" i="1"/>
  <c r="E8026" i="1"/>
  <c r="D8026" i="1"/>
  <c r="C8026" i="1"/>
  <c r="B8026" i="1"/>
  <c r="A8026" i="1"/>
  <c r="F8025" i="1"/>
  <c r="E8025" i="1"/>
  <c r="D8025" i="1"/>
  <c r="C8025" i="1"/>
  <c r="B8025" i="1"/>
  <c r="A8025" i="1"/>
  <c r="F8024" i="1"/>
  <c r="E8024" i="1"/>
  <c r="D8024" i="1"/>
  <c r="C8024" i="1"/>
  <c r="B8024" i="1"/>
  <c r="A8024" i="1"/>
  <c r="F8023" i="1"/>
  <c r="E8023" i="1"/>
  <c r="D8023" i="1"/>
  <c r="C8023" i="1"/>
  <c r="B8023" i="1"/>
  <c r="A8023" i="1"/>
  <c r="F8022" i="1"/>
  <c r="E8022" i="1"/>
  <c r="D8022" i="1"/>
  <c r="C8022" i="1"/>
  <c r="B8022" i="1"/>
  <c r="A8022" i="1"/>
  <c r="F8021" i="1"/>
  <c r="E8021" i="1"/>
  <c r="D8021" i="1"/>
  <c r="C8021" i="1"/>
  <c r="B8021" i="1"/>
  <c r="A8021" i="1"/>
  <c r="F8020" i="1"/>
  <c r="E8020" i="1"/>
  <c r="D8020" i="1"/>
  <c r="C8020" i="1"/>
  <c r="B8020" i="1"/>
  <c r="A8020" i="1"/>
  <c r="F8019" i="1"/>
  <c r="E8019" i="1"/>
  <c r="D8019" i="1"/>
  <c r="C8019" i="1"/>
  <c r="B8019" i="1"/>
  <c r="A8019" i="1"/>
  <c r="F8018" i="1"/>
  <c r="E8018" i="1"/>
  <c r="D8018" i="1"/>
  <c r="C8018" i="1"/>
  <c r="B8018" i="1"/>
  <c r="A8018" i="1"/>
  <c r="F8017" i="1"/>
  <c r="E8017" i="1"/>
  <c r="D8017" i="1"/>
  <c r="C8017" i="1"/>
  <c r="B8017" i="1"/>
  <c r="A8017" i="1"/>
  <c r="F8016" i="1"/>
  <c r="E8016" i="1"/>
  <c r="D8016" i="1"/>
  <c r="C8016" i="1"/>
  <c r="B8016" i="1"/>
  <c r="A8016" i="1"/>
  <c r="F8015" i="1"/>
  <c r="E8015" i="1"/>
  <c r="D8015" i="1"/>
  <c r="C8015" i="1"/>
  <c r="B8015" i="1"/>
  <c r="A8015" i="1"/>
  <c r="F8014" i="1"/>
  <c r="E8014" i="1"/>
  <c r="D8014" i="1"/>
  <c r="C8014" i="1"/>
  <c r="B8014" i="1"/>
  <c r="A8014" i="1"/>
  <c r="F8013" i="1"/>
  <c r="E8013" i="1"/>
  <c r="D8013" i="1"/>
  <c r="C8013" i="1"/>
  <c r="B8013" i="1"/>
  <c r="A8013" i="1"/>
  <c r="F8012" i="1"/>
  <c r="E8012" i="1"/>
  <c r="D8012" i="1"/>
  <c r="C8012" i="1"/>
  <c r="B8012" i="1"/>
  <c r="A8012" i="1"/>
  <c r="F8011" i="1"/>
  <c r="E8011" i="1"/>
  <c r="D8011" i="1"/>
  <c r="C8011" i="1"/>
  <c r="B8011" i="1"/>
  <c r="A8011" i="1"/>
  <c r="F8010" i="1"/>
  <c r="E8010" i="1"/>
  <c r="D8010" i="1"/>
  <c r="C8010" i="1"/>
  <c r="B8010" i="1"/>
  <c r="A8010" i="1"/>
  <c r="F8009" i="1"/>
  <c r="E8009" i="1"/>
  <c r="D8009" i="1"/>
  <c r="C8009" i="1"/>
  <c r="B8009" i="1"/>
  <c r="A8009" i="1"/>
  <c r="F8008" i="1"/>
  <c r="E8008" i="1"/>
  <c r="D8008" i="1"/>
  <c r="C8008" i="1"/>
  <c r="B8008" i="1"/>
  <c r="A8008" i="1"/>
  <c r="F8007" i="1"/>
  <c r="E8007" i="1"/>
  <c r="D8007" i="1"/>
  <c r="C8007" i="1"/>
  <c r="B8007" i="1"/>
  <c r="A8007" i="1"/>
  <c r="F8006" i="1"/>
  <c r="E8006" i="1"/>
  <c r="D8006" i="1"/>
  <c r="C8006" i="1"/>
  <c r="B8006" i="1"/>
  <c r="A8006" i="1"/>
  <c r="F8005" i="1"/>
  <c r="E8005" i="1"/>
  <c r="D8005" i="1"/>
  <c r="C8005" i="1"/>
  <c r="B8005" i="1"/>
  <c r="A8005" i="1"/>
  <c r="F8004" i="1"/>
  <c r="E8004" i="1"/>
  <c r="D8004" i="1"/>
  <c r="C8004" i="1"/>
  <c r="B8004" i="1"/>
  <c r="A8004" i="1"/>
  <c r="F8003" i="1"/>
  <c r="E8003" i="1"/>
  <c r="D8003" i="1"/>
  <c r="C8003" i="1"/>
  <c r="B8003" i="1"/>
  <c r="A8003" i="1"/>
  <c r="F8002" i="1"/>
  <c r="E8002" i="1"/>
  <c r="D8002" i="1"/>
  <c r="C8002" i="1"/>
  <c r="B8002" i="1"/>
  <c r="A8002" i="1"/>
  <c r="F8001" i="1"/>
  <c r="E8001" i="1"/>
  <c r="D8001" i="1"/>
  <c r="C8001" i="1"/>
  <c r="B8001" i="1"/>
  <c r="A8001" i="1"/>
  <c r="F8000" i="1"/>
  <c r="E8000" i="1"/>
  <c r="D8000" i="1"/>
  <c r="C8000" i="1"/>
  <c r="B8000" i="1"/>
  <c r="A8000" i="1"/>
  <c r="F7999" i="1"/>
  <c r="E7999" i="1"/>
  <c r="D7999" i="1"/>
  <c r="C7999" i="1"/>
  <c r="B7999" i="1"/>
  <c r="A7999" i="1"/>
  <c r="F7998" i="1"/>
  <c r="E7998" i="1"/>
  <c r="D7998" i="1"/>
  <c r="C7998" i="1"/>
  <c r="B7998" i="1"/>
  <c r="A7998" i="1"/>
  <c r="F7997" i="1"/>
  <c r="E7997" i="1"/>
  <c r="D7997" i="1"/>
  <c r="C7997" i="1"/>
  <c r="B7997" i="1"/>
  <c r="A7997" i="1"/>
  <c r="F7996" i="1"/>
  <c r="E7996" i="1"/>
  <c r="D7996" i="1"/>
  <c r="C7996" i="1"/>
  <c r="B7996" i="1"/>
  <c r="A7996" i="1"/>
  <c r="F7995" i="1"/>
  <c r="E7995" i="1"/>
  <c r="D7995" i="1"/>
  <c r="C7995" i="1"/>
  <c r="B7995" i="1"/>
  <c r="A7995" i="1"/>
  <c r="F7994" i="1"/>
  <c r="E7994" i="1"/>
  <c r="D7994" i="1"/>
  <c r="C7994" i="1"/>
  <c r="B7994" i="1"/>
  <c r="A7994" i="1"/>
  <c r="F7993" i="1"/>
  <c r="E7993" i="1"/>
  <c r="D7993" i="1"/>
  <c r="C7993" i="1"/>
  <c r="B7993" i="1"/>
  <c r="A7993" i="1"/>
  <c r="F7992" i="1"/>
  <c r="E7992" i="1"/>
  <c r="D7992" i="1"/>
  <c r="C7992" i="1"/>
  <c r="B7992" i="1"/>
  <c r="A7992" i="1"/>
  <c r="F7991" i="1"/>
  <c r="E7991" i="1"/>
  <c r="D7991" i="1"/>
  <c r="C7991" i="1"/>
  <c r="B7991" i="1"/>
  <c r="A7991" i="1"/>
  <c r="F7990" i="1"/>
  <c r="E7990" i="1"/>
  <c r="D7990" i="1"/>
  <c r="C7990" i="1"/>
  <c r="B7990" i="1"/>
  <c r="A7990" i="1"/>
  <c r="F7989" i="1"/>
  <c r="E7989" i="1"/>
  <c r="D7989" i="1"/>
  <c r="C7989" i="1"/>
  <c r="B7989" i="1"/>
  <c r="A7989" i="1"/>
  <c r="F7988" i="1"/>
  <c r="E7988" i="1"/>
  <c r="D7988" i="1"/>
  <c r="C7988" i="1"/>
  <c r="B7988" i="1"/>
  <c r="A7988" i="1"/>
  <c r="F7987" i="1"/>
  <c r="E7987" i="1"/>
  <c r="D7987" i="1"/>
  <c r="C7987" i="1"/>
  <c r="B7987" i="1"/>
  <c r="A7987" i="1"/>
  <c r="F7986" i="1"/>
  <c r="E7986" i="1"/>
  <c r="D7986" i="1"/>
  <c r="C7986" i="1"/>
  <c r="B7986" i="1"/>
  <c r="A7986" i="1"/>
  <c r="F7985" i="1"/>
  <c r="E7985" i="1"/>
  <c r="D7985" i="1"/>
  <c r="C7985" i="1"/>
  <c r="B7985" i="1"/>
  <c r="A7985" i="1"/>
  <c r="F7984" i="1"/>
  <c r="E7984" i="1"/>
  <c r="D7984" i="1"/>
  <c r="C7984" i="1"/>
  <c r="B7984" i="1"/>
  <c r="A7984" i="1"/>
  <c r="F7983" i="1"/>
  <c r="E7983" i="1"/>
  <c r="D7983" i="1"/>
  <c r="C7983" i="1"/>
  <c r="B7983" i="1"/>
  <c r="A7983" i="1"/>
  <c r="F7982" i="1"/>
  <c r="E7982" i="1"/>
  <c r="D7982" i="1"/>
  <c r="C7982" i="1"/>
  <c r="B7982" i="1"/>
  <c r="A7982" i="1"/>
  <c r="F7981" i="1"/>
  <c r="E7981" i="1"/>
  <c r="D7981" i="1"/>
  <c r="C7981" i="1"/>
  <c r="B7981" i="1"/>
  <c r="A7981" i="1"/>
  <c r="F7980" i="1"/>
  <c r="E7980" i="1"/>
  <c r="D7980" i="1"/>
  <c r="C7980" i="1"/>
  <c r="B7980" i="1"/>
  <c r="A7980" i="1"/>
  <c r="F7979" i="1"/>
  <c r="E7979" i="1"/>
  <c r="D7979" i="1"/>
  <c r="C7979" i="1"/>
  <c r="B7979" i="1"/>
  <c r="A7979" i="1"/>
  <c r="F7978" i="1"/>
  <c r="E7978" i="1"/>
  <c r="D7978" i="1"/>
  <c r="C7978" i="1"/>
  <c r="B7978" i="1"/>
  <c r="A7978" i="1"/>
  <c r="F7977" i="1"/>
  <c r="E7977" i="1"/>
  <c r="D7977" i="1"/>
  <c r="C7977" i="1"/>
  <c r="B7977" i="1"/>
  <c r="A7977" i="1"/>
  <c r="F7976" i="1"/>
  <c r="E7976" i="1"/>
  <c r="D7976" i="1"/>
  <c r="C7976" i="1"/>
  <c r="B7976" i="1"/>
  <c r="A7976" i="1"/>
  <c r="F7975" i="1"/>
  <c r="E7975" i="1"/>
  <c r="D7975" i="1"/>
  <c r="C7975" i="1"/>
  <c r="B7975" i="1"/>
  <c r="A7975" i="1"/>
  <c r="F7974" i="1"/>
  <c r="E7974" i="1"/>
  <c r="D7974" i="1"/>
  <c r="C7974" i="1"/>
  <c r="B7974" i="1"/>
  <c r="A7974" i="1"/>
  <c r="F7973" i="1"/>
  <c r="E7973" i="1"/>
  <c r="D7973" i="1"/>
  <c r="C7973" i="1"/>
  <c r="B7973" i="1"/>
  <c r="A7973" i="1"/>
  <c r="F7972" i="1"/>
  <c r="E7972" i="1"/>
  <c r="D7972" i="1"/>
  <c r="C7972" i="1"/>
  <c r="B7972" i="1"/>
  <c r="A7972" i="1"/>
  <c r="F7971" i="1"/>
  <c r="E7971" i="1"/>
  <c r="D7971" i="1"/>
  <c r="C7971" i="1"/>
  <c r="B7971" i="1"/>
  <c r="A7971" i="1"/>
  <c r="F7970" i="1"/>
  <c r="E7970" i="1"/>
  <c r="D7970" i="1"/>
  <c r="C7970" i="1"/>
  <c r="B7970" i="1"/>
  <c r="A7970" i="1"/>
  <c r="F7969" i="1"/>
  <c r="E7969" i="1"/>
  <c r="D7969" i="1"/>
  <c r="C7969" i="1"/>
  <c r="B7969" i="1"/>
  <c r="A7969" i="1"/>
  <c r="F7968" i="1"/>
  <c r="E7968" i="1"/>
  <c r="D7968" i="1"/>
  <c r="C7968" i="1"/>
  <c r="B7968" i="1"/>
  <c r="A7968" i="1"/>
  <c r="F7967" i="1"/>
  <c r="E7967" i="1"/>
  <c r="D7967" i="1"/>
  <c r="C7967" i="1"/>
  <c r="B7967" i="1"/>
  <c r="A7967" i="1"/>
  <c r="F7966" i="1"/>
  <c r="E7966" i="1"/>
  <c r="D7966" i="1"/>
  <c r="C7966" i="1"/>
  <c r="B7966" i="1"/>
  <c r="A7966" i="1"/>
  <c r="F7965" i="1"/>
  <c r="E7965" i="1"/>
  <c r="D7965" i="1"/>
  <c r="C7965" i="1"/>
  <c r="B7965" i="1"/>
  <c r="A7965" i="1"/>
  <c r="F7964" i="1"/>
  <c r="E7964" i="1"/>
  <c r="D7964" i="1"/>
  <c r="C7964" i="1"/>
  <c r="B7964" i="1"/>
  <c r="A7964" i="1"/>
  <c r="F7963" i="1"/>
  <c r="E7963" i="1"/>
  <c r="D7963" i="1"/>
  <c r="C7963" i="1"/>
  <c r="B7963" i="1"/>
  <c r="A7963" i="1"/>
  <c r="F7962" i="1"/>
  <c r="E7962" i="1"/>
  <c r="D7962" i="1"/>
  <c r="C7962" i="1"/>
  <c r="B7962" i="1"/>
  <c r="A7962" i="1"/>
  <c r="F7961" i="1"/>
  <c r="E7961" i="1"/>
  <c r="D7961" i="1"/>
  <c r="C7961" i="1"/>
  <c r="B7961" i="1"/>
  <c r="A7961" i="1"/>
  <c r="F7960" i="1"/>
  <c r="E7960" i="1"/>
  <c r="D7960" i="1"/>
  <c r="C7960" i="1"/>
  <c r="B7960" i="1"/>
  <c r="A7960" i="1"/>
  <c r="F7959" i="1"/>
  <c r="E7959" i="1"/>
  <c r="D7959" i="1"/>
  <c r="C7959" i="1"/>
  <c r="B7959" i="1"/>
  <c r="A7959" i="1"/>
  <c r="F7958" i="1"/>
  <c r="E7958" i="1"/>
  <c r="D7958" i="1"/>
  <c r="C7958" i="1"/>
  <c r="B7958" i="1"/>
  <c r="A7958" i="1"/>
  <c r="F7957" i="1"/>
  <c r="E7957" i="1"/>
  <c r="D7957" i="1"/>
  <c r="C7957" i="1"/>
  <c r="B7957" i="1"/>
  <c r="A7957" i="1"/>
  <c r="F7956" i="1"/>
  <c r="E7956" i="1"/>
  <c r="D7956" i="1"/>
  <c r="C7956" i="1"/>
  <c r="B7956" i="1"/>
  <c r="A7956" i="1"/>
  <c r="F7955" i="1"/>
  <c r="E7955" i="1"/>
  <c r="D7955" i="1"/>
  <c r="C7955" i="1"/>
  <c r="B7955" i="1"/>
  <c r="A7955" i="1"/>
  <c r="F7954" i="1"/>
  <c r="E7954" i="1"/>
  <c r="D7954" i="1"/>
  <c r="C7954" i="1"/>
  <c r="B7954" i="1"/>
  <c r="A7954" i="1"/>
  <c r="F7953" i="1"/>
  <c r="E7953" i="1"/>
  <c r="D7953" i="1"/>
  <c r="C7953" i="1"/>
  <c r="B7953" i="1"/>
  <c r="A7953" i="1"/>
  <c r="F7952" i="1"/>
  <c r="E7952" i="1"/>
  <c r="D7952" i="1"/>
  <c r="C7952" i="1"/>
  <c r="B7952" i="1"/>
  <c r="A7952" i="1"/>
  <c r="F7951" i="1"/>
  <c r="E7951" i="1"/>
  <c r="D7951" i="1"/>
  <c r="C7951" i="1"/>
  <c r="B7951" i="1"/>
  <c r="A7951" i="1"/>
  <c r="F7950" i="1"/>
  <c r="E7950" i="1"/>
  <c r="D7950" i="1"/>
  <c r="C7950" i="1"/>
  <c r="B7950" i="1"/>
  <c r="A7950" i="1"/>
  <c r="F7949" i="1"/>
  <c r="E7949" i="1"/>
  <c r="D7949" i="1"/>
  <c r="C7949" i="1"/>
  <c r="B7949" i="1"/>
  <c r="A7949" i="1"/>
  <c r="F7948" i="1"/>
  <c r="E7948" i="1"/>
  <c r="D7948" i="1"/>
  <c r="C7948" i="1"/>
  <c r="B7948" i="1"/>
  <c r="A7948" i="1"/>
  <c r="F7947" i="1"/>
  <c r="E7947" i="1"/>
  <c r="D7947" i="1"/>
  <c r="C7947" i="1"/>
  <c r="B7947" i="1"/>
  <c r="A7947" i="1"/>
  <c r="F7946" i="1"/>
  <c r="E7946" i="1"/>
  <c r="D7946" i="1"/>
  <c r="C7946" i="1"/>
  <c r="B7946" i="1"/>
  <c r="A7946" i="1"/>
  <c r="F7945" i="1"/>
  <c r="E7945" i="1"/>
  <c r="D7945" i="1"/>
  <c r="C7945" i="1"/>
  <c r="B7945" i="1"/>
  <c r="A7945" i="1"/>
  <c r="F7944" i="1"/>
  <c r="E7944" i="1"/>
  <c r="D7944" i="1"/>
  <c r="C7944" i="1"/>
  <c r="B7944" i="1"/>
  <c r="A7944" i="1"/>
  <c r="F7943" i="1"/>
  <c r="E7943" i="1"/>
  <c r="D7943" i="1"/>
  <c r="C7943" i="1"/>
  <c r="B7943" i="1"/>
  <c r="A7943" i="1"/>
  <c r="F7942" i="1"/>
  <c r="E7942" i="1"/>
  <c r="D7942" i="1"/>
  <c r="C7942" i="1"/>
  <c r="B7942" i="1"/>
  <c r="A7942" i="1"/>
  <c r="F7941" i="1"/>
  <c r="E7941" i="1"/>
  <c r="D7941" i="1"/>
  <c r="C7941" i="1"/>
  <c r="B7941" i="1"/>
  <c r="A7941" i="1"/>
  <c r="F7940" i="1"/>
  <c r="E7940" i="1"/>
  <c r="D7940" i="1"/>
  <c r="C7940" i="1"/>
  <c r="B7940" i="1"/>
  <c r="A7940" i="1"/>
  <c r="F7939" i="1"/>
  <c r="E7939" i="1"/>
  <c r="D7939" i="1"/>
  <c r="C7939" i="1"/>
  <c r="B7939" i="1"/>
  <c r="A7939" i="1"/>
  <c r="F7938" i="1"/>
  <c r="E7938" i="1"/>
  <c r="D7938" i="1"/>
  <c r="C7938" i="1"/>
  <c r="B7938" i="1"/>
  <c r="A7938" i="1"/>
  <c r="F7937" i="1"/>
  <c r="E7937" i="1"/>
  <c r="D7937" i="1"/>
  <c r="C7937" i="1"/>
  <c r="B7937" i="1"/>
  <c r="A7937" i="1"/>
  <c r="F7936" i="1"/>
  <c r="E7936" i="1"/>
  <c r="D7936" i="1"/>
  <c r="C7936" i="1"/>
  <c r="B7936" i="1"/>
  <c r="A7936" i="1"/>
  <c r="F7935" i="1"/>
  <c r="E7935" i="1"/>
  <c r="D7935" i="1"/>
  <c r="C7935" i="1"/>
  <c r="B7935" i="1"/>
  <c r="A7935" i="1"/>
  <c r="F7934" i="1"/>
  <c r="E7934" i="1"/>
  <c r="D7934" i="1"/>
  <c r="C7934" i="1"/>
  <c r="B7934" i="1"/>
  <c r="A7934" i="1"/>
  <c r="F7933" i="1"/>
  <c r="E7933" i="1"/>
  <c r="D7933" i="1"/>
  <c r="C7933" i="1"/>
  <c r="B7933" i="1"/>
  <c r="A7933" i="1"/>
  <c r="F7932" i="1"/>
  <c r="E7932" i="1"/>
  <c r="D7932" i="1"/>
  <c r="C7932" i="1"/>
  <c r="B7932" i="1"/>
  <c r="A7932" i="1"/>
  <c r="F7931" i="1"/>
  <c r="E7931" i="1"/>
  <c r="D7931" i="1"/>
  <c r="C7931" i="1"/>
  <c r="B7931" i="1"/>
  <c r="A7931" i="1"/>
  <c r="F7930" i="1"/>
  <c r="E7930" i="1"/>
  <c r="D7930" i="1"/>
  <c r="C7930" i="1"/>
  <c r="B7930" i="1"/>
  <c r="A7930" i="1"/>
  <c r="F7929" i="1"/>
  <c r="E7929" i="1"/>
  <c r="D7929" i="1"/>
  <c r="C7929" i="1"/>
  <c r="B7929" i="1"/>
  <c r="A7929" i="1"/>
  <c r="F7928" i="1"/>
  <c r="E7928" i="1"/>
  <c r="D7928" i="1"/>
  <c r="C7928" i="1"/>
  <c r="B7928" i="1"/>
  <c r="A7928" i="1"/>
  <c r="F7927" i="1"/>
  <c r="E7927" i="1"/>
  <c r="D7927" i="1"/>
  <c r="C7927" i="1"/>
  <c r="B7927" i="1"/>
  <c r="A7927" i="1"/>
  <c r="F7926" i="1"/>
  <c r="E7926" i="1"/>
  <c r="D7926" i="1"/>
  <c r="C7926" i="1"/>
  <c r="B7926" i="1"/>
  <c r="A7926" i="1"/>
  <c r="F7925" i="1"/>
  <c r="E7925" i="1"/>
  <c r="D7925" i="1"/>
  <c r="C7925" i="1"/>
  <c r="B7925" i="1"/>
  <c r="A7925" i="1"/>
  <c r="F7924" i="1"/>
  <c r="E7924" i="1"/>
  <c r="D7924" i="1"/>
  <c r="C7924" i="1"/>
  <c r="B7924" i="1"/>
  <c r="A7924" i="1"/>
  <c r="F7923" i="1"/>
  <c r="E7923" i="1"/>
  <c r="D7923" i="1"/>
  <c r="C7923" i="1"/>
  <c r="B7923" i="1"/>
  <c r="A7923" i="1"/>
  <c r="F7922" i="1"/>
  <c r="E7922" i="1"/>
  <c r="D7922" i="1"/>
  <c r="C7922" i="1"/>
  <c r="B7922" i="1"/>
  <c r="A7922" i="1"/>
  <c r="F7921" i="1"/>
  <c r="E7921" i="1"/>
  <c r="D7921" i="1"/>
  <c r="C7921" i="1"/>
  <c r="B7921" i="1"/>
  <c r="A7921" i="1"/>
  <c r="F7920" i="1"/>
  <c r="E7920" i="1"/>
  <c r="D7920" i="1"/>
  <c r="C7920" i="1"/>
  <c r="B7920" i="1"/>
  <c r="A7920" i="1"/>
  <c r="F7919" i="1"/>
  <c r="E7919" i="1"/>
  <c r="D7919" i="1"/>
  <c r="C7919" i="1"/>
  <c r="B7919" i="1"/>
  <c r="A7919" i="1"/>
  <c r="F7918" i="1"/>
  <c r="E7918" i="1"/>
  <c r="D7918" i="1"/>
  <c r="C7918" i="1"/>
  <c r="B7918" i="1"/>
  <c r="A7918" i="1"/>
  <c r="F7917" i="1"/>
  <c r="E7917" i="1"/>
  <c r="D7917" i="1"/>
  <c r="C7917" i="1"/>
  <c r="B7917" i="1"/>
  <c r="A7917" i="1"/>
  <c r="F7916" i="1"/>
  <c r="E7916" i="1"/>
  <c r="D7916" i="1"/>
  <c r="C7916" i="1"/>
  <c r="B7916" i="1"/>
  <c r="A7916" i="1"/>
  <c r="F7915" i="1"/>
  <c r="E7915" i="1"/>
  <c r="D7915" i="1"/>
  <c r="C7915" i="1"/>
  <c r="B7915" i="1"/>
  <c r="A7915" i="1"/>
  <c r="F7914" i="1"/>
  <c r="E7914" i="1"/>
  <c r="D7914" i="1"/>
  <c r="C7914" i="1"/>
  <c r="B7914" i="1"/>
  <c r="A7914" i="1"/>
  <c r="F7913" i="1"/>
  <c r="E7913" i="1"/>
  <c r="D7913" i="1"/>
  <c r="C7913" i="1"/>
  <c r="B7913" i="1"/>
  <c r="A7913" i="1"/>
  <c r="F7912" i="1"/>
  <c r="E7912" i="1"/>
  <c r="D7912" i="1"/>
  <c r="C7912" i="1"/>
  <c r="B7912" i="1"/>
  <c r="A7912" i="1"/>
  <c r="F7911" i="1"/>
  <c r="E7911" i="1"/>
  <c r="D7911" i="1"/>
  <c r="C7911" i="1"/>
  <c r="B7911" i="1"/>
  <c r="A7911" i="1"/>
  <c r="F7910" i="1"/>
  <c r="E7910" i="1"/>
  <c r="D7910" i="1"/>
  <c r="C7910" i="1"/>
  <c r="B7910" i="1"/>
  <c r="A7910" i="1"/>
  <c r="F7909" i="1"/>
  <c r="E7909" i="1"/>
  <c r="D7909" i="1"/>
  <c r="C7909" i="1"/>
  <c r="B7909" i="1"/>
  <c r="A7909" i="1"/>
  <c r="F7908" i="1"/>
  <c r="E7908" i="1"/>
  <c r="D7908" i="1"/>
  <c r="C7908" i="1"/>
  <c r="B7908" i="1"/>
  <c r="A7908" i="1"/>
  <c r="F7907" i="1"/>
  <c r="E7907" i="1"/>
  <c r="D7907" i="1"/>
  <c r="C7907" i="1"/>
  <c r="B7907" i="1"/>
  <c r="A7907" i="1"/>
  <c r="F7906" i="1"/>
  <c r="E7906" i="1"/>
  <c r="D7906" i="1"/>
  <c r="C7906" i="1"/>
  <c r="B7906" i="1"/>
  <c r="A7906" i="1"/>
  <c r="F7905" i="1"/>
  <c r="E7905" i="1"/>
  <c r="D7905" i="1"/>
  <c r="C7905" i="1"/>
  <c r="B7905" i="1"/>
  <c r="A7905" i="1"/>
  <c r="F7904" i="1"/>
  <c r="E7904" i="1"/>
  <c r="D7904" i="1"/>
  <c r="C7904" i="1"/>
  <c r="B7904" i="1"/>
  <c r="A7904" i="1"/>
  <c r="F7903" i="1"/>
  <c r="E7903" i="1"/>
  <c r="D7903" i="1"/>
  <c r="C7903" i="1"/>
  <c r="B7903" i="1"/>
  <c r="A7903" i="1"/>
  <c r="F7902" i="1"/>
  <c r="E7902" i="1"/>
  <c r="D7902" i="1"/>
  <c r="C7902" i="1"/>
  <c r="B7902" i="1"/>
  <c r="A7902" i="1"/>
  <c r="F7901" i="1"/>
  <c r="E7901" i="1"/>
  <c r="D7901" i="1"/>
  <c r="C7901" i="1"/>
  <c r="B7901" i="1"/>
  <c r="A7901" i="1"/>
  <c r="F7900" i="1"/>
  <c r="E7900" i="1"/>
  <c r="D7900" i="1"/>
  <c r="C7900" i="1"/>
  <c r="B7900" i="1"/>
  <c r="A7900" i="1"/>
  <c r="F7899" i="1"/>
  <c r="E7899" i="1"/>
  <c r="D7899" i="1"/>
  <c r="C7899" i="1"/>
  <c r="B7899" i="1"/>
  <c r="A7899" i="1"/>
  <c r="F7898" i="1"/>
  <c r="E7898" i="1"/>
  <c r="D7898" i="1"/>
  <c r="C7898" i="1"/>
  <c r="B7898" i="1"/>
  <c r="A7898" i="1"/>
  <c r="F7897" i="1"/>
  <c r="E7897" i="1"/>
  <c r="D7897" i="1"/>
  <c r="C7897" i="1"/>
  <c r="B7897" i="1"/>
  <c r="A7897" i="1"/>
  <c r="F7896" i="1"/>
  <c r="E7896" i="1"/>
  <c r="D7896" i="1"/>
  <c r="C7896" i="1"/>
  <c r="B7896" i="1"/>
  <c r="A7896" i="1"/>
  <c r="F7895" i="1"/>
  <c r="E7895" i="1"/>
  <c r="D7895" i="1"/>
  <c r="C7895" i="1"/>
  <c r="B7895" i="1"/>
  <c r="A7895" i="1"/>
  <c r="F7894" i="1"/>
  <c r="E7894" i="1"/>
  <c r="D7894" i="1"/>
  <c r="C7894" i="1"/>
  <c r="B7894" i="1"/>
  <c r="A7894" i="1"/>
  <c r="F7893" i="1"/>
  <c r="E7893" i="1"/>
  <c r="D7893" i="1"/>
  <c r="C7893" i="1"/>
  <c r="B7893" i="1"/>
  <c r="A7893" i="1"/>
  <c r="F7892" i="1"/>
  <c r="E7892" i="1"/>
  <c r="D7892" i="1"/>
  <c r="C7892" i="1"/>
  <c r="B7892" i="1"/>
  <c r="A7892" i="1"/>
  <c r="F7891" i="1"/>
  <c r="E7891" i="1"/>
  <c r="D7891" i="1"/>
  <c r="C7891" i="1"/>
  <c r="B7891" i="1"/>
  <c r="A7891" i="1"/>
  <c r="F7890" i="1"/>
  <c r="E7890" i="1"/>
  <c r="D7890" i="1"/>
  <c r="C7890" i="1"/>
  <c r="B7890" i="1"/>
  <c r="A7890" i="1"/>
  <c r="F7889" i="1"/>
  <c r="E7889" i="1"/>
  <c r="D7889" i="1"/>
  <c r="C7889" i="1"/>
  <c r="B7889" i="1"/>
  <c r="A7889" i="1"/>
  <c r="F7888" i="1"/>
  <c r="E7888" i="1"/>
  <c r="D7888" i="1"/>
  <c r="C7888" i="1"/>
  <c r="B7888" i="1"/>
  <c r="A7888" i="1"/>
  <c r="F7887" i="1"/>
  <c r="E7887" i="1"/>
  <c r="D7887" i="1"/>
  <c r="C7887" i="1"/>
  <c r="B7887" i="1"/>
  <c r="A7887" i="1"/>
  <c r="F7886" i="1"/>
  <c r="E7886" i="1"/>
  <c r="D7886" i="1"/>
  <c r="C7886" i="1"/>
  <c r="B7886" i="1"/>
  <c r="A7886" i="1"/>
  <c r="F7885" i="1"/>
  <c r="E7885" i="1"/>
  <c r="D7885" i="1"/>
  <c r="C7885" i="1"/>
  <c r="B7885" i="1"/>
  <c r="A7885" i="1"/>
  <c r="F7884" i="1"/>
  <c r="E7884" i="1"/>
  <c r="D7884" i="1"/>
  <c r="C7884" i="1"/>
  <c r="B7884" i="1"/>
  <c r="A7884" i="1"/>
  <c r="F7883" i="1"/>
  <c r="E7883" i="1"/>
  <c r="D7883" i="1"/>
  <c r="C7883" i="1"/>
  <c r="B7883" i="1"/>
  <c r="A7883" i="1"/>
  <c r="F7882" i="1"/>
  <c r="E7882" i="1"/>
  <c r="D7882" i="1"/>
  <c r="C7882" i="1"/>
  <c r="B7882" i="1"/>
  <c r="A7882" i="1"/>
  <c r="F7881" i="1"/>
  <c r="E7881" i="1"/>
  <c r="D7881" i="1"/>
  <c r="C7881" i="1"/>
  <c r="B7881" i="1"/>
  <c r="A7881" i="1"/>
  <c r="F7880" i="1"/>
  <c r="E7880" i="1"/>
  <c r="D7880" i="1"/>
  <c r="C7880" i="1"/>
  <c r="B7880" i="1"/>
  <c r="A7880" i="1"/>
  <c r="F7879" i="1"/>
  <c r="E7879" i="1"/>
  <c r="D7879" i="1"/>
  <c r="C7879" i="1"/>
  <c r="B7879" i="1"/>
  <c r="A7879" i="1"/>
  <c r="F7878" i="1"/>
  <c r="E7878" i="1"/>
  <c r="D7878" i="1"/>
  <c r="C7878" i="1"/>
  <c r="B7878" i="1"/>
  <c r="A7878" i="1"/>
  <c r="F7877" i="1"/>
  <c r="E7877" i="1"/>
  <c r="D7877" i="1"/>
  <c r="C7877" i="1"/>
  <c r="B7877" i="1"/>
  <c r="A7877" i="1"/>
  <c r="F7876" i="1"/>
  <c r="E7876" i="1"/>
  <c r="D7876" i="1"/>
  <c r="C7876" i="1"/>
  <c r="B7876" i="1"/>
  <c r="A7876" i="1"/>
  <c r="F7875" i="1"/>
  <c r="E7875" i="1"/>
  <c r="D7875" i="1"/>
  <c r="C7875" i="1"/>
  <c r="B7875" i="1"/>
  <c r="A7875" i="1"/>
  <c r="F7874" i="1"/>
  <c r="E7874" i="1"/>
  <c r="D7874" i="1"/>
  <c r="C7874" i="1"/>
  <c r="B7874" i="1"/>
  <c r="A7874" i="1"/>
  <c r="F7873" i="1"/>
  <c r="E7873" i="1"/>
  <c r="D7873" i="1"/>
  <c r="C7873" i="1"/>
  <c r="B7873" i="1"/>
  <c r="A7873" i="1"/>
  <c r="F7872" i="1"/>
  <c r="E7872" i="1"/>
  <c r="D7872" i="1"/>
  <c r="C7872" i="1"/>
  <c r="B7872" i="1"/>
  <c r="A7872" i="1"/>
  <c r="F7871" i="1"/>
  <c r="E7871" i="1"/>
  <c r="D7871" i="1"/>
  <c r="C7871" i="1"/>
  <c r="B7871" i="1"/>
  <c r="A7871" i="1"/>
  <c r="F7870" i="1"/>
  <c r="E7870" i="1"/>
  <c r="D7870" i="1"/>
  <c r="C7870" i="1"/>
  <c r="B7870" i="1"/>
  <c r="A7870" i="1"/>
  <c r="F7869" i="1"/>
  <c r="E7869" i="1"/>
  <c r="D7869" i="1"/>
  <c r="C7869" i="1"/>
  <c r="B7869" i="1"/>
  <c r="A7869" i="1"/>
  <c r="F7868" i="1"/>
  <c r="E7868" i="1"/>
  <c r="D7868" i="1"/>
  <c r="C7868" i="1"/>
  <c r="B7868" i="1"/>
  <c r="A7868" i="1"/>
  <c r="F7867" i="1"/>
  <c r="E7867" i="1"/>
  <c r="D7867" i="1"/>
  <c r="C7867" i="1"/>
  <c r="B7867" i="1"/>
  <c r="A7867" i="1"/>
  <c r="F7866" i="1"/>
  <c r="E7866" i="1"/>
  <c r="D7866" i="1"/>
  <c r="C7866" i="1"/>
  <c r="B7866" i="1"/>
  <c r="A7866" i="1"/>
  <c r="F7865" i="1"/>
  <c r="E7865" i="1"/>
  <c r="D7865" i="1"/>
  <c r="C7865" i="1"/>
  <c r="B7865" i="1"/>
  <c r="A7865" i="1"/>
  <c r="F7864" i="1"/>
  <c r="E7864" i="1"/>
  <c r="D7864" i="1"/>
  <c r="C7864" i="1"/>
  <c r="B7864" i="1"/>
  <c r="A7864" i="1"/>
  <c r="F7863" i="1"/>
  <c r="E7863" i="1"/>
  <c r="D7863" i="1"/>
  <c r="C7863" i="1"/>
  <c r="B7863" i="1"/>
  <c r="A7863" i="1"/>
  <c r="F7862" i="1"/>
  <c r="E7862" i="1"/>
  <c r="D7862" i="1"/>
  <c r="C7862" i="1"/>
  <c r="B7862" i="1"/>
  <c r="A7862" i="1"/>
  <c r="F7861" i="1"/>
  <c r="E7861" i="1"/>
  <c r="D7861" i="1"/>
  <c r="C7861" i="1"/>
  <c r="B7861" i="1"/>
  <c r="A7861" i="1"/>
  <c r="F7860" i="1"/>
  <c r="E7860" i="1"/>
  <c r="D7860" i="1"/>
  <c r="C7860" i="1"/>
  <c r="B7860" i="1"/>
  <c r="A7860" i="1"/>
  <c r="F7859" i="1"/>
  <c r="E7859" i="1"/>
  <c r="D7859" i="1"/>
  <c r="C7859" i="1"/>
  <c r="B7859" i="1"/>
  <c r="A7859" i="1"/>
  <c r="F7858" i="1"/>
  <c r="E7858" i="1"/>
  <c r="D7858" i="1"/>
  <c r="C7858" i="1"/>
  <c r="B7858" i="1"/>
  <c r="A7858" i="1"/>
  <c r="F7857" i="1"/>
  <c r="E7857" i="1"/>
  <c r="D7857" i="1"/>
  <c r="C7857" i="1"/>
  <c r="B7857" i="1"/>
  <c r="A7857" i="1"/>
  <c r="F7856" i="1"/>
  <c r="E7856" i="1"/>
  <c r="D7856" i="1"/>
  <c r="C7856" i="1"/>
  <c r="B7856" i="1"/>
  <c r="A7856" i="1"/>
  <c r="F7855" i="1"/>
  <c r="E7855" i="1"/>
  <c r="D7855" i="1"/>
  <c r="C7855" i="1"/>
  <c r="B7855" i="1"/>
  <c r="A7855" i="1"/>
  <c r="F7854" i="1"/>
  <c r="E7854" i="1"/>
  <c r="D7854" i="1"/>
  <c r="C7854" i="1"/>
  <c r="B7854" i="1"/>
  <c r="A7854" i="1"/>
  <c r="F7853" i="1"/>
  <c r="E7853" i="1"/>
  <c r="D7853" i="1"/>
  <c r="C7853" i="1"/>
  <c r="B7853" i="1"/>
  <c r="A7853" i="1"/>
  <c r="F7852" i="1"/>
  <c r="E7852" i="1"/>
  <c r="D7852" i="1"/>
  <c r="C7852" i="1"/>
  <c r="B7852" i="1"/>
  <c r="A7852" i="1"/>
  <c r="F7851" i="1"/>
  <c r="E7851" i="1"/>
  <c r="D7851" i="1"/>
  <c r="C7851" i="1"/>
  <c r="B7851" i="1"/>
  <c r="A7851" i="1"/>
  <c r="F7850" i="1"/>
  <c r="E7850" i="1"/>
  <c r="D7850" i="1"/>
  <c r="C7850" i="1"/>
  <c r="B7850" i="1"/>
  <c r="A7850" i="1"/>
  <c r="F7849" i="1"/>
  <c r="E7849" i="1"/>
  <c r="D7849" i="1"/>
  <c r="C7849" i="1"/>
  <c r="B7849" i="1"/>
  <c r="A7849" i="1"/>
  <c r="F7848" i="1"/>
  <c r="E7848" i="1"/>
  <c r="D7848" i="1"/>
  <c r="C7848" i="1"/>
  <c r="B7848" i="1"/>
  <c r="A7848" i="1"/>
  <c r="F7847" i="1"/>
  <c r="E7847" i="1"/>
  <c r="D7847" i="1"/>
  <c r="C7847" i="1"/>
  <c r="B7847" i="1"/>
  <c r="A7847" i="1"/>
  <c r="F7846" i="1"/>
  <c r="E7846" i="1"/>
  <c r="D7846" i="1"/>
  <c r="C7846" i="1"/>
  <c r="B7846" i="1"/>
  <c r="A7846" i="1"/>
  <c r="F7845" i="1"/>
  <c r="E7845" i="1"/>
  <c r="D7845" i="1"/>
  <c r="C7845" i="1"/>
  <c r="B7845" i="1"/>
  <c r="A7845" i="1"/>
  <c r="F7844" i="1"/>
  <c r="E7844" i="1"/>
  <c r="D7844" i="1"/>
  <c r="C7844" i="1"/>
  <c r="B7844" i="1"/>
  <c r="A7844" i="1"/>
  <c r="F7843" i="1"/>
  <c r="E7843" i="1"/>
  <c r="D7843" i="1"/>
  <c r="C7843" i="1"/>
  <c r="B7843" i="1"/>
  <c r="A7843" i="1"/>
  <c r="F7842" i="1"/>
  <c r="E7842" i="1"/>
  <c r="D7842" i="1"/>
  <c r="C7842" i="1"/>
  <c r="B7842" i="1"/>
  <c r="A7842" i="1"/>
  <c r="F7841" i="1"/>
  <c r="E7841" i="1"/>
  <c r="D7841" i="1"/>
  <c r="C7841" i="1"/>
  <c r="B7841" i="1"/>
  <c r="A7841" i="1"/>
  <c r="F7840" i="1"/>
  <c r="E7840" i="1"/>
  <c r="D7840" i="1"/>
  <c r="C7840" i="1"/>
  <c r="B7840" i="1"/>
  <c r="A7840" i="1"/>
  <c r="F7839" i="1"/>
  <c r="E7839" i="1"/>
  <c r="D7839" i="1"/>
  <c r="C7839" i="1"/>
  <c r="B7839" i="1"/>
  <c r="A7839" i="1"/>
  <c r="F7838" i="1"/>
  <c r="E7838" i="1"/>
  <c r="D7838" i="1"/>
  <c r="C7838" i="1"/>
  <c r="B7838" i="1"/>
  <c r="A7838" i="1"/>
  <c r="F7837" i="1"/>
  <c r="E7837" i="1"/>
  <c r="D7837" i="1"/>
  <c r="C7837" i="1"/>
  <c r="B7837" i="1"/>
  <c r="A7837" i="1"/>
  <c r="F7836" i="1"/>
  <c r="E7836" i="1"/>
  <c r="D7836" i="1"/>
  <c r="C7836" i="1"/>
  <c r="B7836" i="1"/>
  <c r="A7836" i="1"/>
  <c r="F7835" i="1"/>
  <c r="E7835" i="1"/>
  <c r="D7835" i="1"/>
  <c r="C7835" i="1"/>
  <c r="B7835" i="1"/>
  <c r="A7835" i="1"/>
  <c r="F7834" i="1"/>
  <c r="E7834" i="1"/>
  <c r="D7834" i="1"/>
  <c r="C7834" i="1"/>
  <c r="B7834" i="1"/>
  <c r="A7834" i="1"/>
  <c r="F7833" i="1"/>
  <c r="E7833" i="1"/>
  <c r="D7833" i="1"/>
  <c r="C7833" i="1"/>
  <c r="B7833" i="1"/>
  <c r="A7833" i="1"/>
  <c r="F7832" i="1"/>
  <c r="E7832" i="1"/>
  <c r="D7832" i="1"/>
  <c r="C7832" i="1"/>
  <c r="B7832" i="1"/>
  <c r="A7832" i="1"/>
  <c r="F7831" i="1"/>
  <c r="E7831" i="1"/>
  <c r="D7831" i="1"/>
  <c r="C7831" i="1"/>
  <c r="B7831" i="1"/>
  <c r="A7831" i="1"/>
  <c r="F7830" i="1"/>
  <c r="E7830" i="1"/>
  <c r="D7830" i="1"/>
  <c r="C7830" i="1"/>
  <c r="B7830" i="1"/>
  <c r="A7830" i="1"/>
  <c r="F7829" i="1"/>
  <c r="E7829" i="1"/>
  <c r="D7829" i="1"/>
  <c r="C7829" i="1"/>
  <c r="B7829" i="1"/>
  <c r="A7829" i="1"/>
  <c r="F7828" i="1"/>
  <c r="E7828" i="1"/>
  <c r="D7828" i="1"/>
  <c r="C7828" i="1"/>
  <c r="B7828" i="1"/>
  <c r="A7828" i="1"/>
  <c r="F7827" i="1"/>
  <c r="E7827" i="1"/>
  <c r="D7827" i="1"/>
  <c r="C7827" i="1"/>
  <c r="B7827" i="1"/>
  <c r="A7827" i="1"/>
  <c r="F7826" i="1"/>
  <c r="E7826" i="1"/>
  <c r="D7826" i="1"/>
  <c r="C7826" i="1"/>
  <c r="B7826" i="1"/>
  <c r="A7826" i="1"/>
  <c r="F7825" i="1"/>
  <c r="E7825" i="1"/>
  <c r="D7825" i="1"/>
  <c r="C7825" i="1"/>
  <c r="B7825" i="1"/>
  <c r="A7825" i="1"/>
  <c r="F7824" i="1"/>
  <c r="E7824" i="1"/>
  <c r="D7824" i="1"/>
  <c r="C7824" i="1"/>
  <c r="B7824" i="1"/>
  <c r="A7824" i="1"/>
  <c r="F7823" i="1"/>
  <c r="E7823" i="1"/>
  <c r="D7823" i="1"/>
  <c r="C7823" i="1"/>
  <c r="B7823" i="1"/>
  <c r="A7823" i="1"/>
  <c r="F7822" i="1"/>
  <c r="E7822" i="1"/>
  <c r="D7822" i="1"/>
  <c r="C7822" i="1"/>
  <c r="B7822" i="1"/>
  <c r="A7822" i="1"/>
  <c r="F7821" i="1"/>
  <c r="E7821" i="1"/>
  <c r="D7821" i="1"/>
  <c r="C7821" i="1"/>
  <c r="B7821" i="1"/>
  <c r="A7821" i="1"/>
  <c r="F7820" i="1"/>
  <c r="E7820" i="1"/>
  <c r="D7820" i="1"/>
  <c r="C7820" i="1"/>
  <c r="B7820" i="1"/>
  <c r="A7820" i="1"/>
  <c r="F7819" i="1"/>
  <c r="E7819" i="1"/>
  <c r="D7819" i="1"/>
  <c r="C7819" i="1"/>
  <c r="B7819" i="1"/>
  <c r="A7819" i="1"/>
  <c r="F7818" i="1"/>
  <c r="E7818" i="1"/>
  <c r="D7818" i="1"/>
  <c r="C7818" i="1"/>
  <c r="B7818" i="1"/>
  <c r="A7818" i="1"/>
  <c r="F7817" i="1"/>
  <c r="E7817" i="1"/>
  <c r="D7817" i="1"/>
  <c r="C7817" i="1"/>
  <c r="B7817" i="1"/>
  <c r="A7817" i="1"/>
  <c r="F7816" i="1"/>
  <c r="E7816" i="1"/>
  <c r="D7816" i="1"/>
  <c r="C7816" i="1"/>
  <c r="B7816" i="1"/>
  <c r="A7816" i="1"/>
  <c r="F7815" i="1"/>
  <c r="E7815" i="1"/>
  <c r="D7815" i="1"/>
  <c r="C7815" i="1"/>
  <c r="B7815" i="1"/>
  <c r="A7815" i="1"/>
  <c r="F7814" i="1"/>
  <c r="E7814" i="1"/>
  <c r="D7814" i="1"/>
  <c r="C7814" i="1"/>
  <c r="B7814" i="1"/>
  <c r="A7814" i="1"/>
  <c r="F7813" i="1"/>
  <c r="E7813" i="1"/>
  <c r="D7813" i="1"/>
  <c r="C7813" i="1"/>
  <c r="B7813" i="1"/>
  <c r="A7813" i="1"/>
  <c r="F7812" i="1"/>
  <c r="E7812" i="1"/>
  <c r="D7812" i="1"/>
  <c r="C7812" i="1"/>
  <c r="B7812" i="1"/>
  <c r="A7812" i="1"/>
  <c r="F7811" i="1"/>
  <c r="E7811" i="1"/>
  <c r="D7811" i="1"/>
  <c r="C7811" i="1"/>
  <c r="B7811" i="1"/>
  <c r="A7811" i="1"/>
  <c r="F7810" i="1"/>
  <c r="E7810" i="1"/>
  <c r="D7810" i="1"/>
  <c r="C7810" i="1"/>
  <c r="B7810" i="1"/>
  <c r="A7810" i="1"/>
  <c r="F7809" i="1"/>
  <c r="E7809" i="1"/>
  <c r="D7809" i="1"/>
  <c r="C7809" i="1"/>
  <c r="B7809" i="1"/>
  <c r="A7809" i="1"/>
  <c r="F7808" i="1"/>
  <c r="E7808" i="1"/>
  <c r="D7808" i="1"/>
  <c r="C7808" i="1"/>
  <c r="B7808" i="1"/>
  <c r="A7808" i="1"/>
  <c r="F7807" i="1"/>
  <c r="E7807" i="1"/>
  <c r="D7807" i="1"/>
  <c r="C7807" i="1"/>
  <c r="B7807" i="1"/>
  <c r="A7807" i="1"/>
  <c r="F7806" i="1"/>
  <c r="E7806" i="1"/>
  <c r="D7806" i="1"/>
  <c r="C7806" i="1"/>
  <c r="B7806" i="1"/>
  <c r="A7806" i="1"/>
  <c r="F7805" i="1"/>
  <c r="E7805" i="1"/>
  <c r="D7805" i="1"/>
  <c r="C7805" i="1"/>
  <c r="B7805" i="1"/>
  <c r="A7805" i="1"/>
  <c r="F7804" i="1"/>
  <c r="E7804" i="1"/>
  <c r="D7804" i="1"/>
  <c r="C7804" i="1"/>
  <c r="B7804" i="1"/>
  <c r="A7804" i="1"/>
  <c r="F7803" i="1"/>
  <c r="E7803" i="1"/>
  <c r="D7803" i="1"/>
  <c r="C7803" i="1"/>
  <c r="B7803" i="1"/>
  <c r="A7803" i="1"/>
  <c r="F7802" i="1"/>
  <c r="E7802" i="1"/>
  <c r="D7802" i="1"/>
  <c r="C7802" i="1"/>
  <c r="B7802" i="1"/>
  <c r="A7802" i="1"/>
  <c r="F7801" i="1"/>
  <c r="E7801" i="1"/>
  <c r="D7801" i="1"/>
  <c r="C7801" i="1"/>
  <c r="B7801" i="1"/>
  <c r="A7801" i="1"/>
  <c r="F7800" i="1"/>
  <c r="E7800" i="1"/>
  <c r="D7800" i="1"/>
  <c r="C7800" i="1"/>
  <c r="B7800" i="1"/>
  <c r="A7800" i="1"/>
  <c r="F7799" i="1"/>
  <c r="E7799" i="1"/>
  <c r="D7799" i="1"/>
  <c r="C7799" i="1"/>
  <c r="B7799" i="1"/>
  <c r="A7799" i="1"/>
  <c r="F7798" i="1"/>
  <c r="E7798" i="1"/>
  <c r="D7798" i="1"/>
  <c r="C7798" i="1"/>
  <c r="B7798" i="1"/>
  <c r="A7798" i="1"/>
  <c r="F7797" i="1"/>
  <c r="E7797" i="1"/>
  <c r="D7797" i="1"/>
  <c r="C7797" i="1"/>
  <c r="B7797" i="1"/>
  <c r="A7797" i="1"/>
  <c r="F7796" i="1"/>
  <c r="E7796" i="1"/>
  <c r="D7796" i="1"/>
  <c r="C7796" i="1"/>
  <c r="B7796" i="1"/>
  <c r="A7796" i="1"/>
  <c r="F7795" i="1"/>
  <c r="E7795" i="1"/>
  <c r="D7795" i="1"/>
  <c r="C7795" i="1"/>
  <c r="B7795" i="1"/>
  <c r="A7795" i="1"/>
  <c r="F7794" i="1"/>
  <c r="E7794" i="1"/>
  <c r="D7794" i="1"/>
  <c r="C7794" i="1"/>
  <c r="B7794" i="1"/>
  <c r="A7794" i="1"/>
  <c r="F7793" i="1"/>
  <c r="E7793" i="1"/>
  <c r="D7793" i="1"/>
  <c r="C7793" i="1"/>
  <c r="B7793" i="1"/>
  <c r="A7793" i="1"/>
  <c r="F7792" i="1"/>
  <c r="E7792" i="1"/>
  <c r="D7792" i="1"/>
  <c r="C7792" i="1"/>
  <c r="B7792" i="1"/>
  <c r="A7792" i="1"/>
  <c r="F7791" i="1"/>
  <c r="E7791" i="1"/>
  <c r="D7791" i="1"/>
  <c r="C7791" i="1"/>
  <c r="B7791" i="1"/>
  <c r="A7791" i="1"/>
  <c r="F7790" i="1"/>
  <c r="E7790" i="1"/>
  <c r="D7790" i="1"/>
  <c r="C7790" i="1"/>
  <c r="B7790" i="1"/>
  <c r="A7790" i="1"/>
  <c r="F7789" i="1"/>
  <c r="E7789" i="1"/>
  <c r="D7789" i="1"/>
  <c r="C7789" i="1"/>
  <c r="B7789" i="1"/>
  <c r="A7789" i="1"/>
  <c r="F7788" i="1"/>
  <c r="E7788" i="1"/>
  <c r="D7788" i="1"/>
  <c r="C7788" i="1"/>
  <c r="B7788" i="1"/>
  <c r="A7788" i="1"/>
  <c r="F7787" i="1"/>
  <c r="E7787" i="1"/>
  <c r="D7787" i="1"/>
  <c r="C7787" i="1"/>
  <c r="B7787" i="1"/>
  <c r="A7787" i="1"/>
  <c r="F7786" i="1"/>
  <c r="E7786" i="1"/>
  <c r="D7786" i="1"/>
  <c r="C7786" i="1"/>
  <c r="B7786" i="1"/>
  <c r="A7786" i="1"/>
  <c r="F7785" i="1"/>
  <c r="E7785" i="1"/>
  <c r="D7785" i="1"/>
  <c r="C7785" i="1"/>
  <c r="B7785" i="1"/>
  <c r="A7785" i="1"/>
  <c r="F7784" i="1"/>
  <c r="E7784" i="1"/>
  <c r="D7784" i="1"/>
  <c r="C7784" i="1"/>
  <c r="B7784" i="1"/>
  <c r="A7784" i="1"/>
  <c r="F7783" i="1"/>
  <c r="E7783" i="1"/>
  <c r="D7783" i="1"/>
  <c r="C7783" i="1"/>
  <c r="B7783" i="1"/>
  <c r="A7783" i="1"/>
  <c r="F7782" i="1"/>
  <c r="E7782" i="1"/>
  <c r="D7782" i="1"/>
  <c r="C7782" i="1"/>
  <c r="B7782" i="1"/>
  <c r="A7782" i="1"/>
  <c r="F7781" i="1"/>
  <c r="E7781" i="1"/>
  <c r="D7781" i="1"/>
  <c r="C7781" i="1"/>
  <c r="B7781" i="1"/>
  <c r="A7781" i="1"/>
  <c r="F7780" i="1"/>
  <c r="E7780" i="1"/>
  <c r="D7780" i="1"/>
  <c r="C7780" i="1"/>
  <c r="B7780" i="1"/>
  <c r="A7780" i="1"/>
  <c r="F7779" i="1"/>
  <c r="E7779" i="1"/>
  <c r="D7779" i="1"/>
  <c r="C7779" i="1"/>
  <c r="B7779" i="1"/>
  <c r="A7779" i="1"/>
  <c r="F7778" i="1"/>
  <c r="E7778" i="1"/>
  <c r="D7778" i="1"/>
  <c r="C7778" i="1"/>
  <c r="B7778" i="1"/>
  <c r="A7778" i="1"/>
  <c r="F7777" i="1"/>
  <c r="E7777" i="1"/>
  <c r="D7777" i="1"/>
  <c r="C7777" i="1"/>
  <c r="B7777" i="1"/>
  <c r="A7777" i="1"/>
  <c r="F7776" i="1"/>
  <c r="E7776" i="1"/>
  <c r="D7776" i="1"/>
  <c r="C7776" i="1"/>
  <c r="B7776" i="1"/>
  <c r="A7776" i="1"/>
  <c r="F7775" i="1"/>
  <c r="E7775" i="1"/>
  <c r="D7775" i="1"/>
  <c r="C7775" i="1"/>
  <c r="B7775" i="1"/>
  <c r="A7775" i="1"/>
  <c r="F7774" i="1"/>
  <c r="E7774" i="1"/>
  <c r="D7774" i="1"/>
  <c r="C7774" i="1"/>
  <c r="B7774" i="1"/>
  <c r="A7774" i="1"/>
  <c r="F7773" i="1"/>
  <c r="E7773" i="1"/>
  <c r="D7773" i="1"/>
  <c r="C7773" i="1"/>
  <c r="B7773" i="1"/>
  <c r="A7773" i="1"/>
  <c r="F7772" i="1"/>
  <c r="E7772" i="1"/>
  <c r="D7772" i="1"/>
  <c r="C7772" i="1"/>
  <c r="B7772" i="1"/>
  <c r="A7772" i="1"/>
  <c r="F7771" i="1"/>
  <c r="E7771" i="1"/>
  <c r="D7771" i="1"/>
  <c r="C7771" i="1"/>
  <c r="B7771" i="1"/>
  <c r="A7771" i="1"/>
  <c r="F7770" i="1"/>
  <c r="E7770" i="1"/>
  <c r="D7770" i="1"/>
  <c r="C7770" i="1"/>
  <c r="B7770" i="1"/>
  <c r="A7770" i="1"/>
  <c r="F7769" i="1"/>
  <c r="E7769" i="1"/>
  <c r="D7769" i="1"/>
  <c r="C7769" i="1"/>
  <c r="B7769" i="1"/>
  <c r="A7769" i="1"/>
  <c r="F7768" i="1"/>
  <c r="E7768" i="1"/>
  <c r="D7768" i="1"/>
  <c r="C7768" i="1"/>
  <c r="B7768" i="1"/>
  <c r="A7768" i="1"/>
  <c r="F7767" i="1"/>
  <c r="E7767" i="1"/>
  <c r="D7767" i="1"/>
  <c r="C7767" i="1"/>
  <c r="B7767" i="1"/>
  <c r="A7767" i="1"/>
  <c r="F7766" i="1"/>
  <c r="E7766" i="1"/>
  <c r="D7766" i="1"/>
  <c r="C7766" i="1"/>
  <c r="B7766" i="1"/>
  <c r="A7766" i="1"/>
  <c r="F7765" i="1"/>
  <c r="E7765" i="1"/>
  <c r="D7765" i="1"/>
  <c r="C7765" i="1"/>
  <c r="B7765" i="1"/>
  <c r="A7765" i="1"/>
  <c r="F7764" i="1"/>
  <c r="E7764" i="1"/>
  <c r="D7764" i="1"/>
  <c r="C7764" i="1"/>
  <c r="B7764" i="1"/>
  <c r="A7764" i="1"/>
  <c r="F7763" i="1"/>
  <c r="E7763" i="1"/>
  <c r="D7763" i="1"/>
  <c r="C7763" i="1"/>
  <c r="B7763" i="1"/>
  <c r="A7763" i="1"/>
  <c r="F7762" i="1"/>
  <c r="E7762" i="1"/>
  <c r="D7762" i="1"/>
  <c r="C7762" i="1"/>
  <c r="B7762" i="1"/>
  <c r="A7762" i="1"/>
  <c r="F7761" i="1"/>
  <c r="E7761" i="1"/>
  <c r="D7761" i="1"/>
  <c r="C7761" i="1"/>
  <c r="B7761" i="1"/>
  <c r="A7761" i="1"/>
  <c r="F7760" i="1"/>
  <c r="E7760" i="1"/>
  <c r="D7760" i="1"/>
  <c r="C7760" i="1"/>
  <c r="B7760" i="1"/>
  <c r="A7760" i="1"/>
  <c r="F7759" i="1"/>
  <c r="E7759" i="1"/>
  <c r="D7759" i="1"/>
  <c r="C7759" i="1"/>
  <c r="B7759" i="1"/>
  <c r="A7759" i="1"/>
  <c r="F7758" i="1"/>
  <c r="E7758" i="1"/>
  <c r="D7758" i="1"/>
  <c r="C7758" i="1"/>
  <c r="B7758" i="1"/>
  <c r="A7758" i="1"/>
  <c r="F7757" i="1"/>
  <c r="E7757" i="1"/>
  <c r="D7757" i="1"/>
  <c r="C7757" i="1"/>
  <c r="B7757" i="1"/>
  <c r="A7757" i="1"/>
  <c r="F7756" i="1"/>
  <c r="E7756" i="1"/>
  <c r="D7756" i="1"/>
  <c r="C7756" i="1"/>
  <c r="B7756" i="1"/>
  <c r="A7756" i="1"/>
  <c r="F7755" i="1"/>
  <c r="E7755" i="1"/>
  <c r="D7755" i="1"/>
  <c r="C7755" i="1"/>
  <c r="B7755" i="1"/>
  <c r="A7755" i="1"/>
  <c r="F7754" i="1"/>
  <c r="E7754" i="1"/>
  <c r="D7754" i="1"/>
  <c r="C7754" i="1"/>
  <c r="B7754" i="1"/>
  <c r="A7754" i="1"/>
  <c r="F7753" i="1"/>
  <c r="E7753" i="1"/>
  <c r="D7753" i="1"/>
  <c r="C7753" i="1"/>
  <c r="B7753" i="1"/>
  <c r="A7753" i="1"/>
  <c r="F7752" i="1"/>
  <c r="E7752" i="1"/>
  <c r="D7752" i="1"/>
  <c r="C7752" i="1"/>
  <c r="B7752" i="1"/>
  <c r="A7752" i="1"/>
  <c r="F7751" i="1"/>
  <c r="E7751" i="1"/>
  <c r="D7751" i="1"/>
  <c r="C7751" i="1"/>
  <c r="B7751" i="1"/>
  <c r="A7751" i="1"/>
  <c r="F7750" i="1"/>
  <c r="E7750" i="1"/>
  <c r="D7750" i="1"/>
  <c r="C7750" i="1"/>
  <c r="B7750" i="1"/>
  <c r="A7750" i="1"/>
  <c r="F7749" i="1"/>
  <c r="E7749" i="1"/>
  <c r="D7749" i="1"/>
  <c r="C7749" i="1"/>
  <c r="B7749" i="1"/>
  <c r="A7749" i="1"/>
  <c r="F7748" i="1"/>
  <c r="E7748" i="1"/>
  <c r="D7748" i="1"/>
  <c r="C7748" i="1"/>
  <c r="B7748" i="1"/>
  <c r="A7748" i="1"/>
  <c r="F7747" i="1"/>
  <c r="E7747" i="1"/>
  <c r="D7747" i="1"/>
  <c r="C7747" i="1"/>
  <c r="B7747" i="1"/>
  <c r="A7747" i="1"/>
  <c r="F7746" i="1"/>
  <c r="E7746" i="1"/>
  <c r="D7746" i="1"/>
  <c r="C7746" i="1"/>
  <c r="B7746" i="1"/>
  <c r="A7746" i="1"/>
  <c r="F7745" i="1"/>
  <c r="E7745" i="1"/>
  <c r="D7745" i="1"/>
  <c r="C7745" i="1"/>
  <c r="B7745" i="1"/>
  <c r="A7745" i="1"/>
  <c r="F7744" i="1"/>
  <c r="E7744" i="1"/>
  <c r="D7744" i="1"/>
  <c r="C7744" i="1"/>
  <c r="B7744" i="1"/>
  <c r="A7744" i="1"/>
  <c r="F7743" i="1"/>
  <c r="E7743" i="1"/>
  <c r="D7743" i="1"/>
  <c r="C7743" i="1"/>
  <c r="B7743" i="1"/>
  <c r="A7743" i="1"/>
  <c r="F7742" i="1"/>
  <c r="E7742" i="1"/>
  <c r="D7742" i="1"/>
  <c r="C7742" i="1"/>
  <c r="B7742" i="1"/>
  <c r="A7742" i="1"/>
  <c r="F7741" i="1"/>
  <c r="E7741" i="1"/>
  <c r="D7741" i="1"/>
  <c r="C7741" i="1"/>
  <c r="B7741" i="1"/>
  <c r="A7741" i="1"/>
  <c r="F7740" i="1"/>
  <c r="E7740" i="1"/>
  <c r="D7740" i="1"/>
  <c r="C7740" i="1"/>
  <c r="B7740" i="1"/>
  <c r="A7740" i="1"/>
  <c r="F7739" i="1"/>
  <c r="E7739" i="1"/>
  <c r="D7739" i="1"/>
  <c r="C7739" i="1"/>
  <c r="B7739" i="1"/>
  <c r="A7739" i="1"/>
  <c r="F7738" i="1"/>
  <c r="E7738" i="1"/>
  <c r="D7738" i="1"/>
  <c r="C7738" i="1"/>
  <c r="B7738" i="1"/>
  <c r="A7738" i="1"/>
  <c r="F7737" i="1"/>
  <c r="E7737" i="1"/>
  <c r="D7737" i="1"/>
  <c r="C7737" i="1"/>
  <c r="B7737" i="1"/>
  <c r="A7737" i="1"/>
  <c r="F7736" i="1"/>
  <c r="E7736" i="1"/>
  <c r="D7736" i="1"/>
  <c r="C7736" i="1"/>
  <c r="B7736" i="1"/>
  <c r="A7736" i="1"/>
  <c r="F7735" i="1"/>
  <c r="E7735" i="1"/>
  <c r="D7735" i="1"/>
  <c r="C7735" i="1"/>
  <c r="B7735" i="1"/>
  <c r="A7735" i="1"/>
  <c r="F7734" i="1"/>
  <c r="E7734" i="1"/>
  <c r="D7734" i="1"/>
  <c r="C7734" i="1"/>
  <c r="B7734" i="1"/>
  <c r="A7734" i="1"/>
  <c r="F7733" i="1"/>
  <c r="E7733" i="1"/>
  <c r="D7733" i="1"/>
  <c r="C7733" i="1"/>
  <c r="B7733" i="1"/>
  <c r="A7733" i="1"/>
  <c r="F7732" i="1"/>
  <c r="E7732" i="1"/>
  <c r="D7732" i="1"/>
  <c r="C7732" i="1"/>
  <c r="B7732" i="1"/>
  <c r="A7732" i="1"/>
  <c r="F7731" i="1"/>
  <c r="E7731" i="1"/>
  <c r="D7731" i="1"/>
  <c r="C7731" i="1"/>
  <c r="B7731" i="1"/>
  <c r="A7731" i="1"/>
  <c r="F7730" i="1"/>
  <c r="E7730" i="1"/>
  <c r="D7730" i="1"/>
  <c r="C7730" i="1"/>
  <c r="B7730" i="1"/>
  <c r="A7730" i="1"/>
  <c r="F7729" i="1"/>
  <c r="E7729" i="1"/>
  <c r="D7729" i="1"/>
  <c r="C7729" i="1"/>
  <c r="B7729" i="1"/>
  <c r="A7729" i="1"/>
  <c r="F7728" i="1"/>
  <c r="E7728" i="1"/>
  <c r="D7728" i="1"/>
  <c r="C7728" i="1"/>
  <c r="B7728" i="1"/>
  <c r="A7728" i="1"/>
  <c r="F7727" i="1"/>
  <c r="E7727" i="1"/>
  <c r="D7727" i="1"/>
  <c r="C7727" i="1"/>
  <c r="B7727" i="1"/>
  <c r="A7727" i="1"/>
  <c r="F7726" i="1"/>
  <c r="E7726" i="1"/>
  <c r="D7726" i="1"/>
  <c r="C7726" i="1"/>
  <c r="B7726" i="1"/>
  <c r="A7726" i="1"/>
  <c r="F7725" i="1"/>
  <c r="E7725" i="1"/>
  <c r="D7725" i="1"/>
  <c r="C7725" i="1"/>
  <c r="B7725" i="1"/>
  <c r="A7725" i="1"/>
  <c r="F7724" i="1"/>
  <c r="E7724" i="1"/>
  <c r="D7724" i="1"/>
  <c r="C7724" i="1"/>
  <c r="B7724" i="1"/>
  <c r="A7724" i="1"/>
  <c r="F7723" i="1"/>
  <c r="E7723" i="1"/>
  <c r="D7723" i="1"/>
  <c r="C7723" i="1"/>
  <c r="B7723" i="1"/>
  <c r="A7723" i="1"/>
  <c r="F7722" i="1"/>
  <c r="E7722" i="1"/>
  <c r="D7722" i="1"/>
  <c r="C7722" i="1"/>
  <c r="B7722" i="1"/>
  <c r="A7722" i="1"/>
  <c r="F7721" i="1"/>
  <c r="E7721" i="1"/>
  <c r="D7721" i="1"/>
  <c r="C7721" i="1"/>
  <c r="B7721" i="1"/>
  <c r="A7721" i="1"/>
  <c r="F7720" i="1"/>
  <c r="E7720" i="1"/>
  <c r="D7720" i="1"/>
  <c r="C7720" i="1"/>
  <c r="B7720" i="1"/>
  <c r="A7720" i="1"/>
  <c r="F7719" i="1"/>
  <c r="E7719" i="1"/>
  <c r="D7719" i="1"/>
  <c r="C7719" i="1"/>
  <c r="B7719" i="1"/>
  <c r="A7719" i="1"/>
  <c r="F7718" i="1"/>
  <c r="E7718" i="1"/>
  <c r="D7718" i="1"/>
  <c r="C7718" i="1"/>
  <c r="B7718" i="1"/>
  <c r="A7718" i="1"/>
  <c r="F7717" i="1"/>
  <c r="E7717" i="1"/>
  <c r="D7717" i="1"/>
  <c r="C7717" i="1"/>
  <c r="B7717" i="1"/>
  <c r="A7717" i="1"/>
  <c r="F7716" i="1"/>
  <c r="E7716" i="1"/>
  <c r="D7716" i="1"/>
  <c r="C7716" i="1"/>
  <c r="B7716" i="1"/>
  <c r="A7716" i="1"/>
  <c r="F7715" i="1"/>
  <c r="E7715" i="1"/>
  <c r="D7715" i="1"/>
  <c r="C7715" i="1"/>
  <c r="B7715" i="1"/>
  <c r="A7715" i="1"/>
  <c r="F7714" i="1"/>
  <c r="E7714" i="1"/>
  <c r="D7714" i="1"/>
  <c r="C7714" i="1"/>
  <c r="B7714" i="1"/>
  <c r="A7714" i="1"/>
  <c r="F7713" i="1"/>
  <c r="E7713" i="1"/>
  <c r="D7713" i="1"/>
  <c r="C7713" i="1"/>
  <c r="B7713" i="1"/>
  <c r="A7713" i="1"/>
  <c r="F7712" i="1"/>
  <c r="E7712" i="1"/>
  <c r="D7712" i="1"/>
  <c r="C7712" i="1"/>
  <c r="B7712" i="1"/>
  <c r="A7712" i="1"/>
  <c r="F7711" i="1"/>
  <c r="E7711" i="1"/>
  <c r="D7711" i="1"/>
  <c r="C7711" i="1"/>
  <c r="B7711" i="1"/>
  <c r="A7711" i="1"/>
  <c r="F7710" i="1"/>
  <c r="E7710" i="1"/>
  <c r="D7710" i="1"/>
  <c r="C7710" i="1"/>
  <c r="B7710" i="1"/>
  <c r="A7710" i="1"/>
  <c r="F7709" i="1"/>
  <c r="E7709" i="1"/>
  <c r="D7709" i="1"/>
  <c r="C7709" i="1"/>
  <c r="B7709" i="1"/>
  <c r="A7709" i="1"/>
  <c r="F7708" i="1"/>
  <c r="E7708" i="1"/>
  <c r="D7708" i="1"/>
  <c r="C7708" i="1"/>
  <c r="B7708" i="1"/>
  <c r="A7708" i="1"/>
  <c r="F7707" i="1"/>
  <c r="E7707" i="1"/>
  <c r="D7707" i="1"/>
  <c r="C7707" i="1"/>
  <c r="B7707" i="1"/>
  <c r="A7707" i="1"/>
  <c r="F7706" i="1"/>
  <c r="E7706" i="1"/>
  <c r="D7706" i="1"/>
  <c r="C7706" i="1"/>
  <c r="B7706" i="1"/>
  <c r="A7706" i="1"/>
  <c r="F7705" i="1"/>
  <c r="E7705" i="1"/>
  <c r="D7705" i="1"/>
  <c r="C7705" i="1"/>
  <c r="B7705" i="1"/>
  <c r="A7705" i="1"/>
  <c r="F7704" i="1"/>
  <c r="E7704" i="1"/>
  <c r="D7704" i="1"/>
  <c r="C7704" i="1"/>
  <c r="B7704" i="1"/>
  <c r="A7704" i="1"/>
  <c r="F7703" i="1"/>
  <c r="E7703" i="1"/>
  <c r="D7703" i="1"/>
  <c r="C7703" i="1"/>
  <c r="B7703" i="1"/>
  <c r="A7703" i="1"/>
  <c r="F7702" i="1"/>
  <c r="E7702" i="1"/>
  <c r="D7702" i="1"/>
  <c r="C7702" i="1"/>
  <c r="B7702" i="1"/>
  <c r="A7702" i="1"/>
  <c r="F7701" i="1"/>
  <c r="E7701" i="1"/>
  <c r="D7701" i="1"/>
  <c r="C7701" i="1"/>
  <c r="B7701" i="1"/>
  <c r="A7701" i="1"/>
  <c r="F7700" i="1"/>
  <c r="E7700" i="1"/>
  <c r="D7700" i="1"/>
  <c r="C7700" i="1"/>
  <c r="B7700" i="1"/>
  <c r="A7700" i="1"/>
  <c r="F7699" i="1"/>
  <c r="E7699" i="1"/>
  <c r="D7699" i="1"/>
  <c r="C7699" i="1"/>
  <c r="B7699" i="1"/>
  <c r="A7699" i="1"/>
  <c r="F7698" i="1"/>
  <c r="E7698" i="1"/>
  <c r="D7698" i="1"/>
  <c r="C7698" i="1"/>
  <c r="B7698" i="1"/>
  <c r="A7698" i="1"/>
  <c r="F7697" i="1"/>
  <c r="E7697" i="1"/>
  <c r="D7697" i="1"/>
  <c r="C7697" i="1"/>
  <c r="B7697" i="1"/>
  <c r="A7697" i="1"/>
  <c r="F7696" i="1"/>
  <c r="E7696" i="1"/>
  <c r="D7696" i="1"/>
  <c r="C7696" i="1"/>
  <c r="B7696" i="1"/>
  <c r="A7696" i="1"/>
  <c r="F7695" i="1"/>
  <c r="E7695" i="1"/>
  <c r="D7695" i="1"/>
  <c r="C7695" i="1"/>
  <c r="B7695" i="1"/>
  <c r="A7695" i="1"/>
  <c r="F7694" i="1"/>
  <c r="E7694" i="1"/>
  <c r="D7694" i="1"/>
  <c r="C7694" i="1"/>
  <c r="B7694" i="1"/>
  <c r="A7694" i="1"/>
  <c r="F7693" i="1"/>
  <c r="E7693" i="1"/>
  <c r="D7693" i="1"/>
  <c r="C7693" i="1"/>
  <c r="B7693" i="1"/>
  <c r="A7693" i="1"/>
  <c r="F7692" i="1"/>
  <c r="E7692" i="1"/>
  <c r="D7692" i="1"/>
  <c r="C7692" i="1"/>
  <c r="B7692" i="1"/>
  <c r="A7692" i="1"/>
  <c r="F7691" i="1"/>
  <c r="E7691" i="1"/>
  <c r="D7691" i="1"/>
  <c r="C7691" i="1"/>
  <c r="B7691" i="1"/>
  <c r="A7691" i="1"/>
  <c r="F7690" i="1"/>
  <c r="E7690" i="1"/>
  <c r="D7690" i="1"/>
  <c r="C7690" i="1"/>
  <c r="B7690" i="1"/>
  <c r="A7690" i="1"/>
  <c r="F7689" i="1"/>
  <c r="E7689" i="1"/>
  <c r="D7689" i="1"/>
  <c r="C7689" i="1"/>
  <c r="B7689" i="1"/>
  <c r="A7689" i="1"/>
  <c r="F7688" i="1"/>
  <c r="E7688" i="1"/>
  <c r="D7688" i="1"/>
  <c r="C7688" i="1"/>
  <c r="B7688" i="1"/>
  <c r="A7688" i="1"/>
  <c r="F7687" i="1"/>
  <c r="E7687" i="1"/>
  <c r="D7687" i="1"/>
  <c r="C7687" i="1"/>
  <c r="B7687" i="1"/>
  <c r="A7687" i="1"/>
  <c r="F7686" i="1"/>
  <c r="E7686" i="1"/>
  <c r="D7686" i="1"/>
  <c r="C7686" i="1"/>
  <c r="B7686" i="1"/>
  <c r="A7686" i="1"/>
  <c r="F7685" i="1"/>
  <c r="E7685" i="1"/>
  <c r="D7685" i="1"/>
  <c r="C7685" i="1"/>
  <c r="B7685" i="1"/>
  <c r="A7685" i="1"/>
  <c r="F7684" i="1"/>
  <c r="E7684" i="1"/>
  <c r="D7684" i="1"/>
  <c r="C7684" i="1"/>
  <c r="B7684" i="1"/>
  <c r="A7684" i="1"/>
  <c r="F7683" i="1"/>
  <c r="E7683" i="1"/>
  <c r="D7683" i="1"/>
  <c r="C7683" i="1"/>
  <c r="B7683" i="1"/>
  <c r="A7683" i="1"/>
  <c r="F7682" i="1"/>
  <c r="E7682" i="1"/>
  <c r="D7682" i="1"/>
  <c r="C7682" i="1"/>
  <c r="B7682" i="1"/>
  <c r="A7682" i="1"/>
  <c r="F7681" i="1"/>
  <c r="E7681" i="1"/>
  <c r="D7681" i="1"/>
  <c r="C7681" i="1"/>
  <c r="B7681" i="1"/>
  <c r="A7681" i="1"/>
  <c r="F7680" i="1"/>
  <c r="E7680" i="1"/>
  <c r="D7680" i="1"/>
  <c r="C7680" i="1"/>
  <c r="B7680" i="1"/>
  <c r="A7680" i="1"/>
  <c r="F7679" i="1"/>
  <c r="E7679" i="1"/>
  <c r="D7679" i="1"/>
  <c r="C7679" i="1"/>
  <c r="B7679" i="1"/>
  <c r="A7679" i="1"/>
  <c r="F7678" i="1"/>
  <c r="E7678" i="1"/>
  <c r="D7678" i="1"/>
  <c r="C7678" i="1"/>
  <c r="B7678" i="1"/>
  <c r="A7678" i="1"/>
  <c r="F7677" i="1"/>
  <c r="E7677" i="1"/>
  <c r="D7677" i="1"/>
  <c r="C7677" i="1"/>
  <c r="B7677" i="1"/>
  <c r="A7677" i="1"/>
  <c r="F7676" i="1"/>
  <c r="E7676" i="1"/>
  <c r="D7676" i="1"/>
  <c r="C7676" i="1"/>
  <c r="B7676" i="1"/>
  <c r="A7676" i="1"/>
  <c r="F7675" i="1"/>
  <c r="E7675" i="1"/>
  <c r="D7675" i="1"/>
  <c r="C7675" i="1"/>
  <c r="B7675" i="1"/>
  <c r="A7675" i="1"/>
  <c r="F7674" i="1"/>
  <c r="E7674" i="1"/>
  <c r="D7674" i="1"/>
  <c r="C7674" i="1"/>
  <c r="B7674" i="1"/>
  <c r="A7674" i="1"/>
  <c r="F7673" i="1"/>
  <c r="E7673" i="1"/>
  <c r="D7673" i="1"/>
  <c r="C7673" i="1"/>
  <c r="B7673" i="1"/>
  <c r="A7673" i="1"/>
  <c r="F7672" i="1"/>
  <c r="E7672" i="1"/>
  <c r="D7672" i="1"/>
  <c r="C7672" i="1"/>
  <c r="B7672" i="1"/>
  <c r="A7672" i="1"/>
  <c r="F7671" i="1"/>
  <c r="E7671" i="1"/>
  <c r="D7671" i="1"/>
  <c r="C7671" i="1"/>
  <c r="B7671" i="1"/>
  <c r="A7671" i="1"/>
  <c r="F7670" i="1"/>
  <c r="E7670" i="1"/>
  <c r="D7670" i="1"/>
  <c r="C7670" i="1"/>
  <c r="B7670" i="1"/>
  <c r="A7670" i="1"/>
  <c r="F7669" i="1"/>
  <c r="E7669" i="1"/>
  <c r="D7669" i="1"/>
  <c r="C7669" i="1"/>
  <c r="B7669" i="1"/>
  <c r="A7669" i="1"/>
  <c r="F7668" i="1"/>
  <c r="E7668" i="1"/>
  <c r="D7668" i="1"/>
  <c r="C7668" i="1"/>
  <c r="B7668" i="1"/>
  <c r="A7668" i="1"/>
  <c r="F7667" i="1"/>
  <c r="E7667" i="1"/>
  <c r="D7667" i="1"/>
  <c r="C7667" i="1"/>
  <c r="B7667" i="1"/>
  <c r="A7667" i="1"/>
  <c r="F7666" i="1"/>
  <c r="E7666" i="1"/>
  <c r="D7666" i="1"/>
  <c r="C7666" i="1"/>
  <c r="B7666" i="1"/>
  <c r="A7666" i="1"/>
  <c r="F7665" i="1"/>
  <c r="E7665" i="1"/>
  <c r="D7665" i="1"/>
  <c r="C7665" i="1"/>
  <c r="B7665" i="1"/>
  <c r="A7665" i="1"/>
  <c r="F7664" i="1"/>
  <c r="E7664" i="1"/>
  <c r="D7664" i="1"/>
  <c r="C7664" i="1"/>
  <c r="B7664" i="1"/>
  <c r="A7664" i="1"/>
  <c r="F7663" i="1"/>
  <c r="E7663" i="1"/>
  <c r="D7663" i="1"/>
  <c r="C7663" i="1"/>
  <c r="B7663" i="1"/>
  <c r="A7663" i="1"/>
  <c r="F7662" i="1"/>
  <c r="E7662" i="1"/>
  <c r="D7662" i="1"/>
  <c r="C7662" i="1"/>
  <c r="B7662" i="1"/>
  <c r="A7662" i="1"/>
  <c r="F7661" i="1"/>
  <c r="E7661" i="1"/>
  <c r="D7661" i="1"/>
  <c r="C7661" i="1"/>
  <c r="B7661" i="1"/>
  <c r="A7661" i="1"/>
  <c r="F7660" i="1"/>
  <c r="E7660" i="1"/>
  <c r="D7660" i="1"/>
  <c r="C7660" i="1"/>
  <c r="B7660" i="1"/>
  <c r="A7660" i="1"/>
  <c r="F7659" i="1"/>
  <c r="E7659" i="1"/>
  <c r="D7659" i="1"/>
  <c r="C7659" i="1"/>
  <c r="B7659" i="1"/>
  <c r="A7659" i="1"/>
  <c r="F7658" i="1"/>
  <c r="E7658" i="1"/>
  <c r="D7658" i="1"/>
  <c r="C7658" i="1"/>
  <c r="B7658" i="1"/>
  <c r="A7658" i="1"/>
  <c r="F7657" i="1"/>
  <c r="E7657" i="1"/>
  <c r="D7657" i="1"/>
  <c r="C7657" i="1"/>
  <c r="B7657" i="1"/>
  <c r="A7657" i="1"/>
  <c r="F7656" i="1"/>
  <c r="E7656" i="1"/>
  <c r="D7656" i="1"/>
  <c r="C7656" i="1"/>
  <c r="B7656" i="1"/>
  <c r="A7656" i="1"/>
  <c r="F7655" i="1"/>
  <c r="E7655" i="1"/>
  <c r="D7655" i="1"/>
  <c r="C7655" i="1"/>
  <c r="B7655" i="1"/>
  <c r="A7655" i="1"/>
  <c r="F7654" i="1"/>
  <c r="E7654" i="1"/>
  <c r="D7654" i="1"/>
  <c r="C7654" i="1"/>
  <c r="B7654" i="1"/>
  <c r="A7654" i="1"/>
  <c r="F7653" i="1"/>
  <c r="E7653" i="1"/>
  <c r="D7653" i="1"/>
  <c r="C7653" i="1"/>
  <c r="B7653" i="1"/>
  <c r="A7653" i="1"/>
  <c r="F7652" i="1"/>
  <c r="E7652" i="1"/>
  <c r="D7652" i="1"/>
  <c r="C7652" i="1"/>
  <c r="B7652" i="1"/>
  <c r="A7652" i="1"/>
  <c r="F7651" i="1"/>
  <c r="E7651" i="1"/>
  <c r="D7651" i="1"/>
  <c r="C7651" i="1"/>
  <c r="B7651" i="1"/>
  <c r="A7651" i="1"/>
  <c r="F7650" i="1"/>
  <c r="E7650" i="1"/>
  <c r="D7650" i="1"/>
  <c r="C7650" i="1"/>
  <c r="B7650" i="1"/>
  <c r="A7650" i="1"/>
  <c r="F7649" i="1"/>
  <c r="E7649" i="1"/>
  <c r="D7649" i="1"/>
  <c r="C7649" i="1"/>
  <c r="B7649" i="1"/>
  <c r="A7649" i="1"/>
  <c r="F7648" i="1"/>
  <c r="E7648" i="1"/>
  <c r="D7648" i="1"/>
  <c r="C7648" i="1"/>
  <c r="B7648" i="1"/>
  <c r="A7648" i="1"/>
  <c r="F7647" i="1"/>
  <c r="E7647" i="1"/>
  <c r="D7647" i="1"/>
  <c r="C7647" i="1"/>
  <c r="B7647" i="1"/>
  <c r="A7647" i="1"/>
  <c r="F7646" i="1"/>
  <c r="E7646" i="1"/>
  <c r="D7646" i="1"/>
  <c r="C7646" i="1"/>
  <c r="B7646" i="1"/>
  <c r="A7646" i="1"/>
  <c r="F7645" i="1"/>
  <c r="E7645" i="1"/>
  <c r="D7645" i="1"/>
  <c r="C7645" i="1"/>
  <c r="B7645" i="1"/>
  <c r="A7645" i="1"/>
  <c r="F7644" i="1"/>
  <c r="E7644" i="1"/>
  <c r="D7644" i="1"/>
  <c r="C7644" i="1"/>
  <c r="B7644" i="1"/>
  <c r="A7644" i="1"/>
  <c r="F7643" i="1"/>
  <c r="E7643" i="1"/>
  <c r="D7643" i="1"/>
  <c r="C7643" i="1"/>
  <c r="B7643" i="1"/>
  <c r="A7643" i="1"/>
  <c r="F7642" i="1"/>
  <c r="E7642" i="1"/>
  <c r="D7642" i="1"/>
  <c r="C7642" i="1"/>
  <c r="B7642" i="1"/>
  <c r="A7642" i="1"/>
  <c r="F7641" i="1"/>
  <c r="E7641" i="1"/>
  <c r="D7641" i="1"/>
  <c r="C7641" i="1"/>
  <c r="B7641" i="1"/>
  <c r="A7641" i="1"/>
  <c r="F7640" i="1"/>
  <c r="E7640" i="1"/>
  <c r="D7640" i="1"/>
  <c r="C7640" i="1"/>
  <c r="B7640" i="1"/>
  <c r="A7640" i="1"/>
  <c r="F7639" i="1"/>
  <c r="E7639" i="1"/>
  <c r="D7639" i="1"/>
  <c r="C7639" i="1"/>
  <c r="B7639" i="1"/>
  <c r="A7639" i="1"/>
  <c r="F7638" i="1"/>
  <c r="E7638" i="1"/>
  <c r="D7638" i="1"/>
  <c r="C7638" i="1"/>
  <c r="B7638" i="1"/>
  <c r="A7638" i="1"/>
  <c r="F7637" i="1"/>
  <c r="E7637" i="1"/>
  <c r="D7637" i="1"/>
  <c r="C7637" i="1"/>
  <c r="B7637" i="1"/>
  <c r="A7637" i="1"/>
  <c r="F7636" i="1"/>
  <c r="E7636" i="1"/>
  <c r="D7636" i="1"/>
  <c r="C7636" i="1"/>
  <c r="B7636" i="1"/>
  <c r="A7636" i="1"/>
  <c r="F7635" i="1"/>
  <c r="E7635" i="1"/>
  <c r="D7635" i="1"/>
  <c r="C7635" i="1"/>
  <c r="B7635" i="1"/>
  <c r="A7635" i="1"/>
  <c r="F7634" i="1"/>
  <c r="E7634" i="1"/>
  <c r="D7634" i="1"/>
  <c r="C7634" i="1"/>
  <c r="B7634" i="1"/>
  <c r="A7634" i="1"/>
  <c r="F7633" i="1"/>
  <c r="E7633" i="1"/>
  <c r="D7633" i="1"/>
  <c r="C7633" i="1"/>
  <c r="B7633" i="1"/>
  <c r="A7633" i="1"/>
  <c r="F7632" i="1"/>
  <c r="E7632" i="1"/>
  <c r="D7632" i="1"/>
  <c r="C7632" i="1"/>
  <c r="B7632" i="1"/>
  <c r="A7632" i="1"/>
  <c r="F7631" i="1"/>
  <c r="E7631" i="1"/>
  <c r="D7631" i="1"/>
  <c r="C7631" i="1"/>
  <c r="B7631" i="1"/>
  <c r="A7631" i="1"/>
  <c r="F7630" i="1"/>
  <c r="E7630" i="1"/>
  <c r="D7630" i="1"/>
  <c r="C7630" i="1"/>
  <c r="B7630" i="1"/>
  <c r="A7630" i="1"/>
  <c r="F7629" i="1"/>
  <c r="E7629" i="1"/>
  <c r="D7629" i="1"/>
  <c r="C7629" i="1"/>
  <c r="B7629" i="1"/>
  <c r="A7629" i="1"/>
  <c r="F7628" i="1"/>
  <c r="E7628" i="1"/>
  <c r="D7628" i="1"/>
  <c r="C7628" i="1"/>
  <c r="B7628" i="1"/>
  <c r="A7628" i="1"/>
  <c r="F7627" i="1"/>
  <c r="E7627" i="1"/>
  <c r="D7627" i="1"/>
  <c r="C7627" i="1"/>
  <c r="B7627" i="1"/>
  <c r="A7627" i="1"/>
  <c r="F7626" i="1"/>
  <c r="E7626" i="1"/>
  <c r="D7626" i="1"/>
  <c r="C7626" i="1"/>
  <c r="B7626" i="1"/>
  <c r="A7626" i="1"/>
  <c r="F7625" i="1"/>
  <c r="E7625" i="1"/>
  <c r="D7625" i="1"/>
  <c r="C7625" i="1"/>
  <c r="B7625" i="1"/>
  <c r="A7625" i="1"/>
  <c r="F7624" i="1"/>
  <c r="E7624" i="1"/>
  <c r="D7624" i="1"/>
  <c r="C7624" i="1"/>
  <c r="B7624" i="1"/>
  <c r="A7624" i="1"/>
  <c r="F7623" i="1"/>
  <c r="E7623" i="1"/>
  <c r="D7623" i="1"/>
  <c r="C7623" i="1"/>
  <c r="B7623" i="1"/>
  <c r="A7623" i="1"/>
  <c r="F7622" i="1"/>
  <c r="E7622" i="1"/>
  <c r="D7622" i="1"/>
  <c r="C7622" i="1"/>
  <c r="B7622" i="1"/>
  <c r="A7622" i="1"/>
  <c r="F7621" i="1"/>
  <c r="E7621" i="1"/>
  <c r="D7621" i="1"/>
  <c r="C7621" i="1"/>
  <c r="B7621" i="1"/>
  <c r="A7621" i="1"/>
  <c r="F7620" i="1"/>
  <c r="E7620" i="1"/>
  <c r="D7620" i="1"/>
  <c r="C7620" i="1"/>
  <c r="B7620" i="1"/>
  <c r="A7620" i="1"/>
  <c r="F7619" i="1"/>
  <c r="E7619" i="1"/>
  <c r="D7619" i="1"/>
  <c r="C7619" i="1"/>
  <c r="B7619" i="1"/>
  <c r="A7619" i="1"/>
  <c r="F7618" i="1"/>
  <c r="E7618" i="1"/>
  <c r="D7618" i="1"/>
  <c r="C7618" i="1"/>
  <c r="B7618" i="1"/>
  <c r="A7618" i="1"/>
  <c r="F7617" i="1"/>
  <c r="E7617" i="1"/>
  <c r="D7617" i="1"/>
  <c r="C7617" i="1"/>
  <c r="B7617" i="1"/>
  <c r="A7617" i="1"/>
  <c r="F7616" i="1"/>
  <c r="E7616" i="1"/>
  <c r="D7616" i="1"/>
  <c r="C7616" i="1"/>
  <c r="B7616" i="1"/>
  <c r="A7616" i="1"/>
  <c r="F7615" i="1"/>
  <c r="E7615" i="1"/>
  <c r="D7615" i="1"/>
  <c r="C7615" i="1"/>
  <c r="B7615" i="1"/>
  <c r="A7615" i="1"/>
  <c r="F7614" i="1"/>
  <c r="E7614" i="1"/>
  <c r="D7614" i="1"/>
  <c r="C7614" i="1"/>
  <c r="B7614" i="1"/>
  <c r="A7614" i="1"/>
  <c r="F7613" i="1"/>
  <c r="E7613" i="1"/>
  <c r="D7613" i="1"/>
  <c r="C7613" i="1"/>
  <c r="B7613" i="1"/>
  <c r="A7613" i="1"/>
  <c r="F7612" i="1"/>
  <c r="E7612" i="1"/>
  <c r="D7612" i="1"/>
  <c r="C7612" i="1"/>
  <c r="B7612" i="1"/>
  <c r="A7612" i="1"/>
  <c r="F7611" i="1"/>
  <c r="E7611" i="1"/>
  <c r="D7611" i="1"/>
  <c r="C7611" i="1"/>
  <c r="B7611" i="1"/>
  <c r="A7611" i="1"/>
  <c r="F7610" i="1"/>
  <c r="E7610" i="1"/>
  <c r="D7610" i="1"/>
  <c r="C7610" i="1"/>
  <c r="B7610" i="1"/>
  <c r="A7610" i="1"/>
  <c r="F7609" i="1"/>
  <c r="E7609" i="1"/>
  <c r="D7609" i="1"/>
  <c r="C7609" i="1"/>
  <c r="B7609" i="1"/>
  <c r="A7609" i="1"/>
  <c r="F7608" i="1"/>
  <c r="E7608" i="1"/>
  <c r="D7608" i="1"/>
  <c r="C7608" i="1"/>
  <c r="B7608" i="1"/>
  <c r="A7608" i="1"/>
  <c r="F7607" i="1"/>
  <c r="E7607" i="1"/>
  <c r="D7607" i="1"/>
  <c r="C7607" i="1"/>
  <c r="B7607" i="1"/>
  <c r="A7607" i="1"/>
  <c r="F7606" i="1"/>
  <c r="E7606" i="1"/>
  <c r="D7606" i="1"/>
  <c r="C7606" i="1"/>
  <c r="B7606" i="1"/>
  <c r="A7606" i="1"/>
  <c r="F7605" i="1"/>
  <c r="E7605" i="1"/>
  <c r="D7605" i="1"/>
  <c r="C7605" i="1"/>
  <c r="B7605" i="1"/>
  <c r="A7605" i="1"/>
  <c r="F7604" i="1"/>
  <c r="E7604" i="1"/>
  <c r="D7604" i="1"/>
  <c r="C7604" i="1"/>
  <c r="B7604" i="1"/>
  <c r="A7604" i="1"/>
  <c r="F7603" i="1"/>
  <c r="E7603" i="1"/>
  <c r="D7603" i="1"/>
  <c r="C7603" i="1"/>
  <c r="B7603" i="1"/>
  <c r="A7603" i="1"/>
  <c r="F7602" i="1"/>
  <c r="E7602" i="1"/>
  <c r="D7602" i="1"/>
  <c r="C7602" i="1"/>
  <c r="B7602" i="1"/>
  <c r="A7602" i="1"/>
  <c r="F7601" i="1"/>
  <c r="E7601" i="1"/>
  <c r="D7601" i="1"/>
  <c r="C7601" i="1"/>
  <c r="B7601" i="1"/>
  <c r="A7601" i="1"/>
  <c r="F7600" i="1"/>
  <c r="E7600" i="1"/>
  <c r="D7600" i="1"/>
  <c r="C7600" i="1"/>
  <c r="B7600" i="1"/>
  <c r="A7600" i="1"/>
  <c r="F7599" i="1"/>
  <c r="E7599" i="1"/>
  <c r="D7599" i="1"/>
  <c r="C7599" i="1"/>
  <c r="B7599" i="1"/>
  <c r="A7599" i="1"/>
  <c r="F7598" i="1"/>
  <c r="E7598" i="1"/>
  <c r="D7598" i="1"/>
  <c r="C7598" i="1"/>
  <c r="B7598" i="1"/>
  <c r="A7598" i="1"/>
  <c r="F7597" i="1"/>
  <c r="E7597" i="1"/>
  <c r="D7597" i="1"/>
  <c r="C7597" i="1"/>
  <c r="B7597" i="1"/>
  <c r="A7597" i="1"/>
  <c r="F7596" i="1"/>
  <c r="E7596" i="1"/>
  <c r="D7596" i="1"/>
  <c r="C7596" i="1"/>
  <c r="B7596" i="1"/>
  <c r="A7596" i="1"/>
  <c r="F7595" i="1"/>
  <c r="E7595" i="1"/>
  <c r="D7595" i="1"/>
  <c r="C7595" i="1"/>
  <c r="B7595" i="1"/>
  <c r="A7595" i="1"/>
  <c r="F7594" i="1"/>
  <c r="E7594" i="1"/>
  <c r="D7594" i="1"/>
  <c r="C7594" i="1"/>
  <c r="B7594" i="1"/>
  <c r="A7594" i="1"/>
  <c r="F7593" i="1"/>
  <c r="E7593" i="1"/>
  <c r="D7593" i="1"/>
  <c r="C7593" i="1"/>
  <c r="B7593" i="1"/>
  <c r="A7593" i="1"/>
  <c r="F7592" i="1"/>
  <c r="E7592" i="1"/>
  <c r="D7592" i="1"/>
  <c r="C7592" i="1"/>
  <c r="B7592" i="1"/>
  <c r="A7592" i="1"/>
  <c r="F7591" i="1"/>
  <c r="E7591" i="1"/>
  <c r="D7591" i="1"/>
  <c r="C7591" i="1"/>
  <c r="B7591" i="1"/>
  <c r="A7591" i="1"/>
  <c r="F7590" i="1"/>
  <c r="E7590" i="1"/>
  <c r="D7590" i="1"/>
  <c r="C7590" i="1"/>
  <c r="B7590" i="1"/>
  <c r="A7590" i="1"/>
  <c r="F7589" i="1"/>
  <c r="E7589" i="1"/>
  <c r="D7589" i="1"/>
  <c r="C7589" i="1"/>
  <c r="B7589" i="1"/>
  <c r="A7589" i="1"/>
  <c r="F7588" i="1"/>
  <c r="E7588" i="1"/>
  <c r="D7588" i="1"/>
  <c r="C7588" i="1"/>
  <c r="B7588" i="1"/>
  <c r="A7588" i="1"/>
  <c r="F7587" i="1"/>
  <c r="E7587" i="1"/>
  <c r="D7587" i="1"/>
  <c r="C7587" i="1"/>
  <c r="B7587" i="1"/>
  <c r="A7587" i="1"/>
  <c r="F7586" i="1"/>
  <c r="E7586" i="1"/>
  <c r="D7586" i="1"/>
  <c r="C7586" i="1"/>
  <c r="B7586" i="1"/>
  <c r="A7586" i="1"/>
  <c r="F7585" i="1"/>
  <c r="E7585" i="1"/>
  <c r="D7585" i="1"/>
  <c r="C7585" i="1"/>
  <c r="B7585" i="1"/>
  <c r="A7585" i="1"/>
  <c r="F7584" i="1"/>
  <c r="E7584" i="1"/>
  <c r="D7584" i="1"/>
  <c r="C7584" i="1"/>
  <c r="B7584" i="1"/>
  <c r="A7584" i="1"/>
  <c r="F7583" i="1"/>
  <c r="E7583" i="1"/>
  <c r="D7583" i="1"/>
  <c r="C7583" i="1"/>
  <c r="B7583" i="1"/>
  <c r="A7583" i="1"/>
  <c r="F7582" i="1"/>
  <c r="E7582" i="1"/>
  <c r="D7582" i="1"/>
  <c r="C7582" i="1"/>
  <c r="B7582" i="1"/>
  <c r="A7582" i="1"/>
  <c r="F7581" i="1"/>
  <c r="E7581" i="1"/>
  <c r="D7581" i="1"/>
  <c r="C7581" i="1"/>
  <c r="B7581" i="1"/>
  <c r="A7581" i="1"/>
  <c r="F7580" i="1"/>
  <c r="E7580" i="1"/>
  <c r="D7580" i="1"/>
  <c r="C7580" i="1"/>
  <c r="B7580" i="1"/>
  <c r="A7580" i="1"/>
  <c r="F7579" i="1"/>
  <c r="E7579" i="1"/>
  <c r="D7579" i="1"/>
  <c r="C7579" i="1"/>
  <c r="B7579" i="1"/>
  <c r="A7579" i="1"/>
  <c r="F7578" i="1"/>
  <c r="E7578" i="1"/>
  <c r="D7578" i="1"/>
  <c r="C7578" i="1"/>
  <c r="B7578" i="1"/>
  <c r="A7578" i="1"/>
  <c r="F7577" i="1"/>
  <c r="E7577" i="1"/>
  <c r="D7577" i="1"/>
  <c r="C7577" i="1"/>
  <c r="B7577" i="1"/>
  <c r="A7577" i="1"/>
  <c r="F7576" i="1"/>
  <c r="E7576" i="1"/>
  <c r="D7576" i="1"/>
  <c r="C7576" i="1"/>
  <c r="B7576" i="1"/>
  <c r="A7576" i="1"/>
  <c r="F7575" i="1"/>
  <c r="E7575" i="1"/>
  <c r="D7575" i="1"/>
  <c r="C7575" i="1"/>
  <c r="B7575" i="1"/>
  <c r="A7575" i="1"/>
  <c r="F7574" i="1"/>
  <c r="E7574" i="1"/>
  <c r="D7574" i="1"/>
  <c r="C7574" i="1"/>
  <c r="B7574" i="1"/>
  <c r="A7574" i="1"/>
  <c r="F7573" i="1"/>
  <c r="E7573" i="1"/>
  <c r="D7573" i="1"/>
  <c r="C7573" i="1"/>
  <c r="B7573" i="1"/>
  <c r="A7573" i="1"/>
  <c r="F7572" i="1"/>
  <c r="E7572" i="1"/>
  <c r="D7572" i="1"/>
  <c r="C7572" i="1"/>
  <c r="B7572" i="1"/>
  <c r="A7572" i="1"/>
  <c r="F7571" i="1"/>
  <c r="E7571" i="1"/>
  <c r="D7571" i="1"/>
  <c r="C7571" i="1"/>
  <c r="B7571" i="1"/>
  <c r="A7571" i="1"/>
  <c r="F7570" i="1"/>
  <c r="E7570" i="1"/>
  <c r="D7570" i="1"/>
  <c r="C7570" i="1"/>
  <c r="B7570" i="1"/>
  <c r="A7570" i="1"/>
  <c r="F7569" i="1"/>
  <c r="E7569" i="1"/>
  <c r="D7569" i="1"/>
  <c r="C7569" i="1"/>
  <c r="B7569" i="1"/>
  <c r="A7569" i="1"/>
  <c r="F7568" i="1"/>
  <c r="E7568" i="1"/>
  <c r="D7568" i="1"/>
  <c r="C7568" i="1"/>
  <c r="B7568" i="1"/>
  <c r="A7568" i="1"/>
  <c r="F7567" i="1"/>
  <c r="E7567" i="1"/>
  <c r="D7567" i="1"/>
  <c r="C7567" i="1"/>
  <c r="B7567" i="1"/>
  <c r="A7567" i="1"/>
  <c r="F7566" i="1"/>
  <c r="E7566" i="1"/>
  <c r="D7566" i="1"/>
  <c r="C7566" i="1"/>
  <c r="B7566" i="1"/>
  <c r="A7566" i="1"/>
  <c r="F7565" i="1"/>
  <c r="E7565" i="1"/>
  <c r="D7565" i="1"/>
  <c r="C7565" i="1"/>
  <c r="B7565" i="1"/>
  <c r="A7565" i="1"/>
  <c r="F7564" i="1"/>
  <c r="E7564" i="1"/>
  <c r="D7564" i="1"/>
  <c r="C7564" i="1"/>
  <c r="B7564" i="1"/>
  <c r="A7564" i="1"/>
  <c r="F7563" i="1"/>
  <c r="E7563" i="1"/>
  <c r="D7563" i="1"/>
  <c r="C7563" i="1"/>
  <c r="B7563" i="1"/>
  <c r="A7563" i="1"/>
  <c r="F7562" i="1"/>
  <c r="E7562" i="1"/>
  <c r="D7562" i="1"/>
  <c r="C7562" i="1"/>
  <c r="B7562" i="1"/>
  <c r="A7562" i="1"/>
  <c r="F7561" i="1"/>
  <c r="E7561" i="1"/>
  <c r="D7561" i="1"/>
  <c r="C7561" i="1"/>
  <c r="B7561" i="1"/>
  <c r="A7561" i="1"/>
  <c r="F7560" i="1"/>
  <c r="E7560" i="1"/>
  <c r="D7560" i="1"/>
  <c r="C7560" i="1"/>
  <c r="B7560" i="1"/>
  <c r="A7560" i="1"/>
  <c r="F7559" i="1"/>
  <c r="E7559" i="1"/>
  <c r="D7559" i="1"/>
  <c r="C7559" i="1"/>
  <c r="B7559" i="1"/>
  <c r="A7559" i="1"/>
  <c r="F7558" i="1"/>
  <c r="E7558" i="1"/>
  <c r="D7558" i="1"/>
  <c r="C7558" i="1"/>
  <c r="B7558" i="1"/>
  <c r="A7558" i="1"/>
  <c r="F7557" i="1"/>
  <c r="E7557" i="1"/>
  <c r="D7557" i="1"/>
  <c r="C7557" i="1"/>
  <c r="B7557" i="1"/>
  <c r="A7557" i="1"/>
  <c r="F7556" i="1"/>
  <c r="E7556" i="1"/>
  <c r="D7556" i="1"/>
  <c r="C7556" i="1"/>
  <c r="B7556" i="1"/>
  <c r="A7556" i="1"/>
  <c r="F7555" i="1"/>
  <c r="E7555" i="1"/>
  <c r="D7555" i="1"/>
  <c r="C7555" i="1"/>
  <c r="B7555" i="1"/>
  <c r="A7555" i="1"/>
  <c r="F7554" i="1"/>
  <c r="E7554" i="1"/>
  <c r="D7554" i="1"/>
  <c r="C7554" i="1"/>
  <c r="B7554" i="1"/>
  <c r="A7554" i="1"/>
  <c r="F7553" i="1"/>
  <c r="E7553" i="1"/>
  <c r="D7553" i="1"/>
  <c r="C7553" i="1"/>
  <c r="B7553" i="1"/>
  <c r="A7553" i="1"/>
  <c r="F7552" i="1"/>
  <c r="E7552" i="1"/>
  <c r="D7552" i="1"/>
  <c r="C7552" i="1"/>
  <c r="B7552" i="1"/>
  <c r="A7552" i="1"/>
  <c r="F7551" i="1"/>
  <c r="E7551" i="1"/>
  <c r="D7551" i="1"/>
  <c r="C7551" i="1"/>
  <c r="B7551" i="1"/>
  <c r="A7551" i="1"/>
  <c r="F7550" i="1"/>
  <c r="E7550" i="1"/>
  <c r="D7550" i="1"/>
  <c r="C7550" i="1"/>
  <c r="B7550" i="1"/>
  <c r="A7550" i="1"/>
  <c r="F7549" i="1"/>
  <c r="E7549" i="1"/>
  <c r="D7549" i="1"/>
  <c r="C7549" i="1"/>
  <c r="B7549" i="1"/>
  <c r="A7549" i="1"/>
  <c r="F7548" i="1"/>
  <c r="E7548" i="1"/>
  <c r="D7548" i="1"/>
  <c r="C7548" i="1"/>
  <c r="B7548" i="1"/>
  <c r="A7548" i="1"/>
  <c r="F7547" i="1"/>
  <c r="E7547" i="1"/>
  <c r="D7547" i="1"/>
  <c r="C7547" i="1"/>
  <c r="B7547" i="1"/>
  <c r="A7547" i="1"/>
  <c r="F7546" i="1"/>
  <c r="E7546" i="1"/>
  <c r="D7546" i="1"/>
  <c r="C7546" i="1"/>
  <c r="B7546" i="1"/>
  <c r="A7546" i="1"/>
  <c r="F7545" i="1"/>
  <c r="E7545" i="1"/>
  <c r="D7545" i="1"/>
  <c r="C7545" i="1"/>
  <c r="B7545" i="1"/>
  <c r="A7545" i="1"/>
  <c r="F7544" i="1"/>
  <c r="E7544" i="1"/>
  <c r="D7544" i="1"/>
  <c r="C7544" i="1"/>
  <c r="B7544" i="1"/>
  <c r="A7544" i="1"/>
  <c r="F7543" i="1"/>
  <c r="E7543" i="1"/>
  <c r="D7543" i="1"/>
  <c r="C7543" i="1"/>
  <c r="B7543" i="1"/>
  <c r="A7543" i="1"/>
  <c r="F7542" i="1"/>
  <c r="E7542" i="1"/>
  <c r="D7542" i="1"/>
  <c r="C7542" i="1"/>
  <c r="B7542" i="1"/>
  <c r="A7542" i="1"/>
  <c r="F7541" i="1"/>
  <c r="E7541" i="1"/>
  <c r="D7541" i="1"/>
  <c r="C7541" i="1"/>
  <c r="B7541" i="1"/>
  <c r="A7541" i="1"/>
  <c r="F7540" i="1"/>
  <c r="E7540" i="1"/>
  <c r="D7540" i="1"/>
  <c r="C7540" i="1"/>
  <c r="B7540" i="1"/>
  <c r="A7540" i="1"/>
  <c r="F7539" i="1"/>
  <c r="E7539" i="1"/>
  <c r="D7539" i="1"/>
  <c r="C7539" i="1"/>
  <c r="B7539" i="1"/>
  <c r="A7539" i="1"/>
  <c r="F7538" i="1"/>
  <c r="E7538" i="1"/>
  <c r="D7538" i="1"/>
  <c r="C7538" i="1"/>
  <c r="B7538" i="1"/>
  <c r="A7538" i="1"/>
  <c r="F7537" i="1"/>
  <c r="E7537" i="1"/>
  <c r="D7537" i="1"/>
  <c r="C7537" i="1"/>
  <c r="B7537" i="1"/>
  <c r="A7537" i="1"/>
  <c r="F7536" i="1"/>
  <c r="E7536" i="1"/>
  <c r="D7536" i="1"/>
  <c r="C7536" i="1"/>
  <c r="B7536" i="1"/>
  <c r="A7536" i="1"/>
  <c r="F7535" i="1"/>
  <c r="E7535" i="1"/>
  <c r="D7535" i="1"/>
  <c r="C7535" i="1"/>
  <c r="B7535" i="1"/>
  <c r="A7535" i="1"/>
  <c r="F7534" i="1"/>
  <c r="E7534" i="1"/>
  <c r="D7534" i="1"/>
  <c r="C7534" i="1"/>
  <c r="B7534" i="1"/>
  <c r="A7534" i="1"/>
  <c r="F7533" i="1"/>
  <c r="E7533" i="1"/>
  <c r="D7533" i="1"/>
  <c r="C7533" i="1"/>
  <c r="B7533" i="1"/>
  <c r="A7533" i="1"/>
  <c r="F7532" i="1"/>
  <c r="E7532" i="1"/>
  <c r="D7532" i="1"/>
  <c r="C7532" i="1"/>
  <c r="B7532" i="1"/>
  <c r="A7532" i="1"/>
  <c r="F7531" i="1"/>
  <c r="E7531" i="1"/>
  <c r="D7531" i="1"/>
  <c r="C7531" i="1"/>
  <c r="B7531" i="1"/>
  <c r="A7531" i="1"/>
  <c r="F7530" i="1"/>
  <c r="E7530" i="1"/>
  <c r="D7530" i="1"/>
  <c r="C7530" i="1"/>
  <c r="B7530" i="1"/>
  <c r="A7530" i="1"/>
  <c r="F7529" i="1"/>
  <c r="E7529" i="1"/>
  <c r="D7529" i="1"/>
  <c r="C7529" i="1"/>
  <c r="B7529" i="1"/>
  <c r="A7529" i="1"/>
  <c r="F7528" i="1"/>
  <c r="E7528" i="1"/>
  <c r="D7528" i="1"/>
  <c r="C7528" i="1"/>
  <c r="B7528" i="1"/>
  <c r="A7528" i="1"/>
  <c r="F7527" i="1"/>
  <c r="E7527" i="1"/>
  <c r="D7527" i="1"/>
  <c r="C7527" i="1"/>
  <c r="B7527" i="1"/>
  <c r="A7527" i="1"/>
  <c r="F7526" i="1"/>
  <c r="E7526" i="1"/>
  <c r="D7526" i="1"/>
  <c r="C7526" i="1"/>
  <c r="B7526" i="1"/>
  <c r="A7526" i="1"/>
  <c r="F7525" i="1"/>
  <c r="E7525" i="1"/>
  <c r="D7525" i="1"/>
  <c r="C7525" i="1"/>
  <c r="B7525" i="1"/>
  <c r="A7525" i="1"/>
  <c r="F7524" i="1"/>
  <c r="E7524" i="1"/>
  <c r="D7524" i="1"/>
  <c r="C7524" i="1"/>
  <c r="B7524" i="1"/>
  <c r="A7524" i="1"/>
  <c r="F7523" i="1"/>
  <c r="E7523" i="1"/>
  <c r="D7523" i="1"/>
  <c r="C7523" i="1"/>
  <c r="B7523" i="1"/>
  <c r="A7523" i="1"/>
  <c r="F7522" i="1"/>
  <c r="E7522" i="1"/>
  <c r="D7522" i="1"/>
  <c r="C7522" i="1"/>
  <c r="B7522" i="1"/>
  <c r="A7522" i="1"/>
  <c r="F7521" i="1"/>
  <c r="E7521" i="1"/>
  <c r="D7521" i="1"/>
  <c r="C7521" i="1"/>
  <c r="B7521" i="1"/>
  <c r="A7521" i="1"/>
  <c r="F7520" i="1"/>
  <c r="E7520" i="1"/>
  <c r="D7520" i="1"/>
  <c r="C7520" i="1"/>
  <c r="B7520" i="1"/>
  <c r="A7520" i="1"/>
  <c r="F7519" i="1"/>
  <c r="E7519" i="1"/>
  <c r="D7519" i="1"/>
  <c r="C7519" i="1"/>
  <c r="B7519" i="1"/>
  <c r="A7519" i="1"/>
  <c r="F7518" i="1"/>
  <c r="E7518" i="1"/>
  <c r="D7518" i="1"/>
  <c r="C7518" i="1"/>
  <c r="B7518" i="1"/>
  <c r="A7518" i="1"/>
  <c r="F7517" i="1"/>
  <c r="E7517" i="1"/>
  <c r="D7517" i="1"/>
  <c r="C7517" i="1"/>
  <c r="B7517" i="1"/>
  <c r="A7517" i="1"/>
  <c r="F7516" i="1"/>
  <c r="E7516" i="1"/>
  <c r="D7516" i="1"/>
  <c r="C7516" i="1"/>
  <c r="B7516" i="1"/>
  <c r="A7516" i="1"/>
  <c r="F7515" i="1"/>
  <c r="E7515" i="1"/>
  <c r="D7515" i="1"/>
  <c r="C7515" i="1"/>
  <c r="B7515" i="1"/>
  <c r="A7515" i="1"/>
  <c r="F7514" i="1"/>
  <c r="E7514" i="1"/>
  <c r="D7514" i="1"/>
  <c r="C7514" i="1"/>
  <c r="B7514" i="1"/>
  <c r="A7514" i="1"/>
  <c r="F7513" i="1"/>
  <c r="E7513" i="1"/>
  <c r="D7513" i="1"/>
  <c r="C7513" i="1"/>
  <c r="B7513" i="1"/>
  <c r="A7513" i="1"/>
  <c r="F7512" i="1"/>
  <c r="E7512" i="1"/>
  <c r="D7512" i="1"/>
  <c r="C7512" i="1"/>
  <c r="B7512" i="1"/>
  <c r="A7512" i="1"/>
  <c r="F7511" i="1"/>
  <c r="E7511" i="1"/>
  <c r="D7511" i="1"/>
  <c r="C7511" i="1"/>
  <c r="B7511" i="1"/>
  <c r="A7511" i="1"/>
  <c r="F7510" i="1"/>
  <c r="E7510" i="1"/>
  <c r="D7510" i="1"/>
  <c r="C7510" i="1"/>
  <c r="B7510" i="1"/>
  <c r="A7510" i="1"/>
  <c r="F7509" i="1"/>
  <c r="E7509" i="1"/>
  <c r="D7509" i="1"/>
  <c r="C7509" i="1"/>
  <c r="B7509" i="1"/>
  <c r="A7509" i="1"/>
  <c r="F7508" i="1"/>
  <c r="E7508" i="1"/>
  <c r="D7508" i="1"/>
  <c r="C7508" i="1"/>
  <c r="B7508" i="1"/>
  <c r="A7508" i="1"/>
  <c r="F7507" i="1"/>
  <c r="E7507" i="1"/>
  <c r="D7507" i="1"/>
  <c r="C7507" i="1"/>
  <c r="B7507" i="1"/>
  <c r="A7507" i="1"/>
  <c r="F7506" i="1"/>
  <c r="E7506" i="1"/>
  <c r="D7506" i="1"/>
  <c r="C7506" i="1"/>
  <c r="B7506" i="1"/>
  <c r="A7506" i="1"/>
  <c r="F7505" i="1"/>
  <c r="E7505" i="1"/>
  <c r="D7505" i="1"/>
  <c r="C7505" i="1"/>
  <c r="B7505" i="1"/>
  <c r="A7505" i="1"/>
  <c r="F7504" i="1"/>
  <c r="E7504" i="1"/>
  <c r="D7504" i="1"/>
  <c r="C7504" i="1"/>
  <c r="B7504" i="1"/>
  <c r="A7504" i="1"/>
  <c r="F7503" i="1"/>
  <c r="E7503" i="1"/>
  <c r="D7503" i="1"/>
  <c r="C7503" i="1"/>
  <c r="B7503" i="1"/>
  <c r="A7503" i="1"/>
  <c r="F7502" i="1"/>
  <c r="E7502" i="1"/>
  <c r="D7502" i="1"/>
  <c r="C7502" i="1"/>
  <c r="B7502" i="1"/>
  <c r="A7502" i="1"/>
  <c r="F7501" i="1"/>
  <c r="E7501" i="1"/>
  <c r="D7501" i="1"/>
  <c r="C7501" i="1"/>
  <c r="B7501" i="1"/>
  <c r="A7501" i="1"/>
  <c r="F7500" i="1"/>
  <c r="E7500" i="1"/>
  <c r="D7500" i="1"/>
  <c r="C7500" i="1"/>
  <c r="B7500" i="1"/>
  <c r="A7500" i="1"/>
  <c r="F7499" i="1"/>
  <c r="E7499" i="1"/>
  <c r="D7499" i="1"/>
  <c r="C7499" i="1"/>
  <c r="B7499" i="1"/>
  <c r="A7499" i="1"/>
  <c r="F7498" i="1"/>
  <c r="E7498" i="1"/>
  <c r="D7498" i="1"/>
  <c r="C7498" i="1"/>
  <c r="B7498" i="1"/>
  <c r="A7498" i="1"/>
  <c r="F7497" i="1"/>
  <c r="E7497" i="1"/>
  <c r="D7497" i="1"/>
  <c r="C7497" i="1"/>
  <c r="B7497" i="1"/>
  <c r="A7497" i="1"/>
  <c r="F7496" i="1"/>
  <c r="E7496" i="1"/>
  <c r="D7496" i="1"/>
  <c r="C7496" i="1"/>
  <c r="B7496" i="1"/>
  <c r="A7496" i="1"/>
  <c r="F7495" i="1"/>
  <c r="E7495" i="1"/>
  <c r="D7495" i="1"/>
  <c r="C7495" i="1"/>
  <c r="B7495" i="1"/>
  <c r="A7495" i="1"/>
  <c r="F7494" i="1"/>
  <c r="E7494" i="1"/>
  <c r="D7494" i="1"/>
  <c r="C7494" i="1"/>
  <c r="B7494" i="1"/>
  <c r="A7494" i="1"/>
  <c r="F7493" i="1"/>
  <c r="E7493" i="1"/>
  <c r="D7493" i="1"/>
  <c r="C7493" i="1"/>
  <c r="B7493" i="1"/>
  <c r="A7493" i="1"/>
  <c r="F7492" i="1"/>
  <c r="E7492" i="1"/>
  <c r="D7492" i="1"/>
  <c r="C7492" i="1"/>
  <c r="B7492" i="1"/>
  <c r="A7492" i="1"/>
  <c r="F7491" i="1"/>
  <c r="E7491" i="1"/>
  <c r="D7491" i="1"/>
  <c r="C7491" i="1"/>
  <c r="B7491" i="1"/>
  <c r="A7491" i="1"/>
  <c r="F7490" i="1"/>
  <c r="E7490" i="1"/>
  <c r="D7490" i="1"/>
  <c r="C7490" i="1"/>
  <c r="B7490" i="1"/>
  <c r="A7490" i="1"/>
  <c r="F7489" i="1"/>
  <c r="E7489" i="1"/>
  <c r="D7489" i="1"/>
  <c r="C7489" i="1"/>
  <c r="B7489" i="1"/>
  <c r="A7489" i="1"/>
  <c r="F7488" i="1"/>
  <c r="E7488" i="1"/>
  <c r="D7488" i="1"/>
  <c r="C7488" i="1"/>
  <c r="B7488" i="1"/>
  <c r="A7488" i="1"/>
  <c r="F7487" i="1"/>
  <c r="E7487" i="1"/>
  <c r="D7487" i="1"/>
  <c r="C7487" i="1"/>
  <c r="B7487" i="1"/>
  <c r="A7487" i="1"/>
  <c r="F7486" i="1"/>
  <c r="E7486" i="1"/>
  <c r="D7486" i="1"/>
  <c r="C7486" i="1"/>
  <c r="B7486" i="1"/>
  <c r="A7486" i="1"/>
  <c r="F7485" i="1"/>
  <c r="E7485" i="1"/>
  <c r="D7485" i="1"/>
  <c r="C7485" i="1"/>
  <c r="B7485" i="1"/>
  <c r="A7485" i="1"/>
  <c r="F7484" i="1"/>
  <c r="E7484" i="1"/>
  <c r="D7484" i="1"/>
  <c r="C7484" i="1"/>
  <c r="B7484" i="1"/>
  <c r="A7484" i="1"/>
  <c r="F7483" i="1"/>
  <c r="E7483" i="1"/>
  <c r="D7483" i="1"/>
  <c r="C7483" i="1"/>
  <c r="B7483" i="1"/>
  <c r="A7483" i="1"/>
  <c r="F7482" i="1"/>
  <c r="E7482" i="1"/>
  <c r="D7482" i="1"/>
  <c r="C7482" i="1"/>
  <c r="B7482" i="1"/>
  <c r="A7482" i="1"/>
  <c r="F7481" i="1"/>
  <c r="E7481" i="1"/>
  <c r="D7481" i="1"/>
  <c r="C7481" i="1"/>
  <c r="B7481" i="1"/>
  <c r="A7481" i="1"/>
  <c r="F7480" i="1"/>
  <c r="E7480" i="1"/>
  <c r="D7480" i="1"/>
  <c r="C7480" i="1"/>
  <c r="B7480" i="1"/>
  <c r="A7480" i="1"/>
  <c r="F7479" i="1"/>
  <c r="E7479" i="1"/>
  <c r="D7479" i="1"/>
  <c r="C7479" i="1"/>
  <c r="B7479" i="1"/>
  <c r="A7479" i="1"/>
  <c r="F7478" i="1"/>
  <c r="E7478" i="1"/>
  <c r="D7478" i="1"/>
  <c r="C7478" i="1"/>
  <c r="B7478" i="1"/>
  <c r="A7478" i="1"/>
  <c r="F7477" i="1"/>
  <c r="E7477" i="1"/>
  <c r="D7477" i="1"/>
  <c r="C7477" i="1"/>
  <c r="B7477" i="1"/>
  <c r="A7477" i="1"/>
  <c r="F7476" i="1"/>
  <c r="E7476" i="1"/>
  <c r="D7476" i="1"/>
  <c r="C7476" i="1"/>
  <c r="B7476" i="1"/>
  <c r="A7476" i="1"/>
  <c r="F7475" i="1"/>
  <c r="E7475" i="1"/>
  <c r="D7475" i="1"/>
  <c r="C7475" i="1"/>
  <c r="B7475" i="1"/>
  <c r="A7475" i="1"/>
  <c r="F7474" i="1"/>
  <c r="E7474" i="1"/>
  <c r="D7474" i="1"/>
  <c r="C7474" i="1"/>
  <c r="B7474" i="1"/>
  <c r="A7474" i="1"/>
  <c r="F7473" i="1"/>
  <c r="E7473" i="1"/>
  <c r="D7473" i="1"/>
  <c r="C7473" i="1"/>
  <c r="B7473" i="1"/>
  <c r="A7473" i="1"/>
  <c r="F7472" i="1"/>
  <c r="E7472" i="1"/>
  <c r="D7472" i="1"/>
  <c r="C7472" i="1"/>
  <c r="B7472" i="1"/>
  <c r="A7472" i="1"/>
  <c r="F7471" i="1"/>
  <c r="E7471" i="1"/>
  <c r="D7471" i="1"/>
  <c r="C7471" i="1"/>
  <c r="B7471" i="1"/>
  <c r="A7471" i="1"/>
  <c r="F7470" i="1"/>
  <c r="E7470" i="1"/>
  <c r="D7470" i="1"/>
  <c r="C7470" i="1"/>
  <c r="B7470" i="1"/>
  <c r="A7470" i="1"/>
  <c r="F7469" i="1"/>
  <c r="E7469" i="1"/>
  <c r="D7469" i="1"/>
  <c r="C7469" i="1"/>
  <c r="B7469" i="1"/>
  <c r="A7469" i="1"/>
  <c r="F7468" i="1"/>
  <c r="E7468" i="1"/>
  <c r="D7468" i="1"/>
  <c r="C7468" i="1"/>
  <c r="B7468" i="1"/>
  <c r="A7468" i="1"/>
  <c r="F7467" i="1"/>
  <c r="E7467" i="1"/>
  <c r="D7467" i="1"/>
  <c r="C7467" i="1"/>
  <c r="B7467" i="1"/>
  <c r="A7467" i="1"/>
  <c r="F7466" i="1"/>
  <c r="E7466" i="1"/>
  <c r="D7466" i="1"/>
  <c r="C7466" i="1"/>
  <c r="B7466" i="1"/>
  <c r="A7466" i="1"/>
  <c r="F7465" i="1"/>
  <c r="E7465" i="1"/>
  <c r="D7465" i="1"/>
  <c r="C7465" i="1"/>
  <c r="B7465" i="1"/>
  <c r="A7465" i="1"/>
  <c r="F7464" i="1"/>
  <c r="E7464" i="1"/>
  <c r="D7464" i="1"/>
  <c r="C7464" i="1"/>
  <c r="B7464" i="1"/>
  <c r="A7464" i="1"/>
  <c r="F7463" i="1"/>
  <c r="E7463" i="1"/>
  <c r="D7463" i="1"/>
  <c r="C7463" i="1"/>
  <c r="B7463" i="1"/>
  <c r="A7463" i="1"/>
  <c r="F7462" i="1"/>
  <c r="E7462" i="1"/>
  <c r="D7462" i="1"/>
  <c r="C7462" i="1"/>
  <c r="B7462" i="1"/>
  <c r="A7462" i="1"/>
  <c r="F7461" i="1"/>
  <c r="E7461" i="1"/>
  <c r="D7461" i="1"/>
  <c r="C7461" i="1"/>
  <c r="B7461" i="1"/>
  <c r="A7461" i="1"/>
  <c r="F7460" i="1"/>
  <c r="E7460" i="1"/>
  <c r="D7460" i="1"/>
  <c r="C7460" i="1"/>
  <c r="B7460" i="1"/>
  <c r="A7460" i="1"/>
  <c r="F7459" i="1"/>
  <c r="E7459" i="1"/>
  <c r="D7459" i="1"/>
  <c r="C7459" i="1"/>
  <c r="B7459" i="1"/>
  <c r="A7459" i="1"/>
  <c r="F7458" i="1"/>
  <c r="E7458" i="1"/>
  <c r="D7458" i="1"/>
  <c r="C7458" i="1"/>
  <c r="B7458" i="1"/>
  <c r="A7458" i="1"/>
  <c r="F7457" i="1"/>
  <c r="E7457" i="1"/>
  <c r="D7457" i="1"/>
  <c r="C7457" i="1"/>
  <c r="B7457" i="1"/>
  <c r="A7457" i="1"/>
  <c r="F7456" i="1"/>
  <c r="E7456" i="1"/>
  <c r="D7456" i="1"/>
  <c r="C7456" i="1"/>
  <c r="B7456" i="1"/>
  <c r="A7456" i="1"/>
  <c r="F7455" i="1"/>
  <c r="E7455" i="1"/>
  <c r="D7455" i="1"/>
  <c r="C7455" i="1"/>
  <c r="B7455" i="1"/>
  <c r="A7455" i="1"/>
  <c r="F7454" i="1"/>
  <c r="E7454" i="1"/>
  <c r="D7454" i="1"/>
  <c r="C7454" i="1"/>
  <c r="B7454" i="1"/>
  <c r="A7454" i="1"/>
  <c r="F7453" i="1"/>
  <c r="E7453" i="1"/>
  <c r="D7453" i="1"/>
  <c r="C7453" i="1"/>
  <c r="B7453" i="1"/>
  <c r="A7453" i="1"/>
  <c r="F7452" i="1"/>
  <c r="E7452" i="1"/>
  <c r="D7452" i="1"/>
  <c r="C7452" i="1"/>
  <c r="B7452" i="1"/>
  <c r="A7452" i="1"/>
  <c r="F7451" i="1"/>
  <c r="E7451" i="1"/>
  <c r="D7451" i="1"/>
  <c r="C7451" i="1"/>
  <c r="B7451" i="1"/>
  <c r="A7451" i="1"/>
  <c r="F7450" i="1"/>
  <c r="E7450" i="1"/>
  <c r="D7450" i="1"/>
  <c r="C7450" i="1"/>
  <c r="B7450" i="1"/>
  <c r="A7450" i="1"/>
  <c r="F7449" i="1"/>
  <c r="E7449" i="1"/>
  <c r="D7449" i="1"/>
  <c r="C7449" i="1"/>
  <c r="B7449" i="1"/>
  <c r="A7449" i="1"/>
  <c r="F7448" i="1"/>
  <c r="E7448" i="1"/>
  <c r="D7448" i="1"/>
  <c r="C7448" i="1"/>
  <c r="B7448" i="1"/>
  <c r="A7448" i="1"/>
  <c r="F7447" i="1"/>
  <c r="E7447" i="1"/>
  <c r="D7447" i="1"/>
  <c r="C7447" i="1"/>
  <c r="B7447" i="1"/>
  <c r="A7447" i="1"/>
  <c r="F7446" i="1"/>
  <c r="E7446" i="1"/>
  <c r="D7446" i="1"/>
  <c r="C7446" i="1"/>
  <c r="B7446" i="1"/>
  <c r="A7446" i="1"/>
  <c r="F7445" i="1"/>
  <c r="E7445" i="1"/>
  <c r="D7445" i="1"/>
  <c r="C7445" i="1"/>
  <c r="B7445" i="1"/>
  <c r="A7445" i="1"/>
  <c r="F7444" i="1"/>
  <c r="E7444" i="1"/>
  <c r="D7444" i="1"/>
  <c r="C7444" i="1"/>
  <c r="B7444" i="1"/>
  <c r="A7444" i="1"/>
  <c r="F7443" i="1"/>
  <c r="E7443" i="1"/>
  <c r="D7443" i="1"/>
  <c r="C7443" i="1"/>
  <c r="B7443" i="1"/>
  <c r="A7443" i="1"/>
  <c r="F7442" i="1"/>
  <c r="E7442" i="1"/>
  <c r="D7442" i="1"/>
  <c r="C7442" i="1"/>
  <c r="B7442" i="1"/>
  <c r="A7442" i="1"/>
  <c r="F7441" i="1"/>
  <c r="E7441" i="1"/>
  <c r="D7441" i="1"/>
  <c r="C7441" i="1"/>
  <c r="B7441" i="1"/>
  <c r="A7441" i="1"/>
  <c r="F7440" i="1"/>
  <c r="E7440" i="1"/>
  <c r="D7440" i="1"/>
  <c r="C7440" i="1"/>
  <c r="B7440" i="1"/>
  <c r="A7440" i="1"/>
  <c r="F7439" i="1"/>
  <c r="E7439" i="1"/>
  <c r="D7439" i="1"/>
  <c r="C7439" i="1"/>
  <c r="B7439" i="1"/>
  <c r="A7439" i="1"/>
  <c r="F7438" i="1"/>
  <c r="E7438" i="1"/>
  <c r="D7438" i="1"/>
  <c r="C7438" i="1"/>
  <c r="B7438" i="1"/>
  <c r="A7438" i="1"/>
  <c r="F7437" i="1"/>
  <c r="E7437" i="1"/>
  <c r="D7437" i="1"/>
  <c r="C7437" i="1"/>
  <c r="B7437" i="1"/>
  <c r="A7437" i="1"/>
  <c r="F7436" i="1"/>
  <c r="E7436" i="1"/>
  <c r="D7436" i="1"/>
  <c r="C7436" i="1"/>
  <c r="B7436" i="1"/>
  <c r="A7436" i="1"/>
  <c r="F7435" i="1"/>
  <c r="E7435" i="1"/>
  <c r="D7435" i="1"/>
  <c r="C7435" i="1"/>
  <c r="B7435" i="1"/>
  <c r="A7435" i="1"/>
  <c r="F7434" i="1"/>
  <c r="E7434" i="1"/>
  <c r="D7434" i="1"/>
  <c r="C7434" i="1"/>
  <c r="B7434" i="1"/>
  <c r="A7434" i="1"/>
  <c r="F7433" i="1"/>
  <c r="E7433" i="1"/>
  <c r="D7433" i="1"/>
  <c r="C7433" i="1"/>
  <c r="B7433" i="1"/>
  <c r="A7433" i="1"/>
  <c r="F7432" i="1"/>
  <c r="E7432" i="1"/>
  <c r="D7432" i="1"/>
  <c r="C7432" i="1"/>
  <c r="B7432" i="1"/>
  <c r="A7432" i="1"/>
  <c r="F7431" i="1"/>
  <c r="E7431" i="1"/>
  <c r="D7431" i="1"/>
  <c r="C7431" i="1"/>
  <c r="B7431" i="1"/>
  <c r="A7431" i="1"/>
  <c r="F7430" i="1"/>
  <c r="E7430" i="1"/>
  <c r="D7430" i="1"/>
  <c r="C7430" i="1"/>
  <c r="B7430" i="1"/>
  <c r="A7430" i="1"/>
  <c r="F7429" i="1"/>
  <c r="E7429" i="1"/>
  <c r="D7429" i="1"/>
  <c r="C7429" i="1"/>
  <c r="B7429" i="1"/>
  <c r="A7429" i="1"/>
  <c r="F7428" i="1"/>
  <c r="E7428" i="1"/>
  <c r="D7428" i="1"/>
  <c r="C7428" i="1"/>
  <c r="B7428" i="1"/>
  <c r="A7428" i="1"/>
  <c r="F7427" i="1"/>
  <c r="E7427" i="1"/>
  <c r="D7427" i="1"/>
  <c r="C7427" i="1"/>
  <c r="B7427" i="1"/>
  <c r="A7427" i="1"/>
  <c r="F7426" i="1"/>
  <c r="E7426" i="1"/>
  <c r="D7426" i="1"/>
  <c r="C7426" i="1"/>
  <c r="B7426" i="1"/>
  <c r="A7426" i="1"/>
  <c r="F7425" i="1"/>
  <c r="E7425" i="1"/>
  <c r="D7425" i="1"/>
  <c r="C7425" i="1"/>
  <c r="B7425" i="1"/>
  <c r="A7425" i="1"/>
  <c r="F7424" i="1"/>
  <c r="E7424" i="1"/>
  <c r="D7424" i="1"/>
  <c r="C7424" i="1"/>
  <c r="B7424" i="1"/>
  <c r="A7424" i="1"/>
  <c r="F7423" i="1"/>
  <c r="E7423" i="1"/>
  <c r="D7423" i="1"/>
  <c r="C7423" i="1"/>
  <c r="B7423" i="1"/>
  <c r="A7423" i="1"/>
  <c r="F7422" i="1"/>
  <c r="E7422" i="1"/>
  <c r="D7422" i="1"/>
  <c r="C7422" i="1"/>
  <c r="B7422" i="1"/>
  <c r="A7422" i="1"/>
  <c r="F7421" i="1"/>
  <c r="E7421" i="1"/>
  <c r="D7421" i="1"/>
  <c r="C7421" i="1"/>
  <c r="B7421" i="1"/>
  <c r="A7421" i="1"/>
  <c r="F7420" i="1"/>
  <c r="E7420" i="1"/>
  <c r="D7420" i="1"/>
  <c r="C7420" i="1"/>
  <c r="B7420" i="1"/>
  <c r="A7420" i="1"/>
  <c r="F7419" i="1"/>
  <c r="E7419" i="1"/>
  <c r="D7419" i="1"/>
  <c r="C7419" i="1"/>
  <c r="B7419" i="1"/>
  <c r="A7419" i="1"/>
  <c r="F7418" i="1"/>
  <c r="E7418" i="1"/>
  <c r="D7418" i="1"/>
  <c r="C7418" i="1"/>
  <c r="B7418" i="1"/>
  <c r="A7418" i="1"/>
  <c r="F7417" i="1"/>
  <c r="E7417" i="1"/>
  <c r="D7417" i="1"/>
  <c r="C7417" i="1"/>
  <c r="B7417" i="1"/>
  <c r="A7417" i="1"/>
  <c r="F7416" i="1"/>
  <c r="E7416" i="1"/>
  <c r="D7416" i="1"/>
  <c r="C7416" i="1"/>
  <c r="B7416" i="1"/>
  <c r="A7416" i="1"/>
  <c r="F7415" i="1"/>
  <c r="E7415" i="1"/>
  <c r="D7415" i="1"/>
  <c r="C7415" i="1"/>
  <c r="B7415" i="1"/>
  <c r="A7415" i="1"/>
  <c r="F7414" i="1"/>
  <c r="E7414" i="1"/>
  <c r="D7414" i="1"/>
  <c r="C7414" i="1"/>
  <c r="B7414" i="1"/>
  <c r="A7414" i="1"/>
  <c r="F7413" i="1"/>
  <c r="E7413" i="1"/>
  <c r="D7413" i="1"/>
  <c r="C7413" i="1"/>
  <c r="B7413" i="1"/>
  <c r="A7413" i="1"/>
  <c r="F7412" i="1"/>
  <c r="E7412" i="1"/>
  <c r="D7412" i="1"/>
  <c r="C7412" i="1"/>
  <c r="B7412" i="1"/>
  <c r="A7412" i="1"/>
  <c r="F7411" i="1"/>
  <c r="E7411" i="1"/>
  <c r="D7411" i="1"/>
  <c r="C7411" i="1"/>
  <c r="B7411" i="1"/>
  <c r="A7411" i="1"/>
  <c r="F7410" i="1"/>
  <c r="E7410" i="1"/>
  <c r="D7410" i="1"/>
  <c r="C7410" i="1"/>
  <c r="B7410" i="1"/>
  <c r="A7410" i="1"/>
  <c r="F7409" i="1"/>
  <c r="E7409" i="1"/>
  <c r="D7409" i="1"/>
  <c r="C7409" i="1"/>
  <c r="B7409" i="1"/>
  <c r="A7409" i="1"/>
  <c r="F7408" i="1"/>
  <c r="E7408" i="1"/>
  <c r="D7408" i="1"/>
  <c r="C7408" i="1"/>
  <c r="B7408" i="1"/>
  <c r="A7408" i="1"/>
  <c r="F7407" i="1"/>
  <c r="E7407" i="1"/>
  <c r="D7407" i="1"/>
  <c r="C7407" i="1"/>
  <c r="B7407" i="1"/>
  <c r="A7407" i="1"/>
  <c r="F7406" i="1"/>
  <c r="E7406" i="1"/>
  <c r="D7406" i="1"/>
  <c r="C7406" i="1"/>
  <c r="B7406" i="1"/>
  <c r="A7406" i="1"/>
  <c r="F7405" i="1"/>
  <c r="E7405" i="1"/>
  <c r="D7405" i="1"/>
  <c r="C7405" i="1"/>
  <c r="B7405" i="1"/>
  <c r="A7405" i="1"/>
  <c r="F7404" i="1"/>
  <c r="E7404" i="1"/>
  <c r="D7404" i="1"/>
  <c r="C7404" i="1"/>
  <c r="B7404" i="1"/>
  <c r="A7404" i="1"/>
  <c r="F7403" i="1"/>
  <c r="E7403" i="1"/>
  <c r="D7403" i="1"/>
  <c r="C7403" i="1"/>
  <c r="B7403" i="1"/>
  <c r="A7403" i="1"/>
  <c r="F7402" i="1"/>
  <c r="E7402" i="1"/>
  <c r="D7402" i="1"/>
  <c r="C7402" i="1"/>
  <c r="B7402" i="1"/>
  <c r="A7402" i="1"/>
  <c r="F7401" i="1"/>
  <c r="E7401" i="1"/>
  <c r="D7401" i="1"/>
  <c r="C7401" i="1"/>
  <c r="B7401" i="1"/>
  <c r="A7401" i="1"/>
  <c r="F7400" i="1"/>
  <c r="E7400" i="1"/>
  <c r="D7400" i="1"/>
  <c r="C7400" i="1"/>
  <c r="B7400" i="1"/>
  <c r="A7400" i="1"/>
  <c r="F7399" i="1"/>
  <c r="E7399" i="1"/>
  <c r="D7399" i="1"/>
  <c r="C7399" i="1"/>
  <c r="B7399" i="1"/>
  <c r="A7399" i="1"/>
  <c r="F7398" i="1"/>
  <c r="E7398" i="1"/>
  <c r="D7398" i="1"/>
  <c r="C7398" i="1"/>
  <c r="B7398" i="1"/>
  <c r="A7398" i="1"/>
  <c r="F7397" i="1"/>
  <c r="E7397" i="1"/>
  <c r="D7397" i="1"/>
  <c r="C7397" i="1"/>
  <c r="B7397" i="1"/>
  <c r="A7397" i="1"/>
  <c r="F7396" i="1"/>
  <c r="E7396" i="1"/>
  <c r="D7396" i="1"/>
  <c r="C7396" i="1"/>
  <c r="B7396" i="1"/>
  <c r="A7396" i="1"/>
  <c r="F7395" i="1"/>
  <c r="E7395" i="1"/>
  <c r="D7395" i="1"/>
  <c r="C7395" i="1"/>
  <c r="B7395" i="1"/>
  <c r="A7395" i="1"/>
  <c r="F7394" i="1"/>
  <c r="E7394" i="1"/>
  <c r="D7394" i="1"/>
  <c r="C7394" i="1"/>
  <c r="B7394" i="1"/>
  <c r="A7394" i="1"/>
  <c r="F7393" i="1"/>
  <c r="E7393" i="1"/>
  <c r="D7393" i="1"/>
  <c r="C7393" i="1"/>
  <c r="B7393" i="1"/>
  <c r="A7393" i="1"/>
  <c r="F7392" i="1"/>
  <c r="E7392" i="1"/>
  <c r="D7392" i="1"/>
  <c r="C7392" i="1"/>
  <c r="B7392" i="1"/>
  <c r="A7392" i="1"/>
  <c r="F7391" i="1"/>
  <c r="E7391" i="1"/>
  <c r="D7391" i="1"/>
  <c r="C7391" i="1"/>
  <c r="B7391" i="1"/>
  <c r="A7391" i="1"/>
  <c r="F7390" i="1"/>
  <c r="E7390" i="1"/>
  <c r="D7390" i="1"/>
  <c r="C7390" i="1"/>
  <c r="B7390" i="1"/>
  <c r="A7390" i="1"/>
  <c r="F7389" i="1"/>
  <c r="E7389" i="1"/>
  <c r="D7389" i="1"/>
  <c r="C7389" i="1"/>
  <c r="B7389" i="1"/>
  <c r="A7389" i="1"/>
  <c r="F7388" i="1"/>
  <c r="E7388" i="1"/>
  <c r="D7388" i="1"/>
  <c r="C7388" i="1"/>
  <c r="B7388" i="1"/>
  <c r="A7388" i="1"/>
  <c r="F7387" i="1"/>
  <c r="E7387" i="1"/>
  <c r="D7387" i="1"/>
  <c r="C7387" i="1"/>
  <c r="B7387" i="1"/>
  <c r="A7387" i="1"/>
  <c r="F7386" i="1"/>
  <c r="E7386" i="1"/>
  <c r="D7386" i="1"/>
  <c r="C7386" i="1"/>
  <c r="B7386" i="1"/>
  <c r="A7386" i="1"/>
  <c r="F7385" i="1"/>
  <c r="E7385" i="1"/>
  <c r="D7385" i="1"/>
  <c r="C7385" i="1"/>
  <c r="B7385" i="1"/>
  <c r="A7385" i="1"/>
  <c r="F7384" i="1"/>
  <c r="E7384" i="1"/>
  <c r="D7384" i="1"/>
  <c r="C7384" i="1"/>
  <c r="B7384" i="1"/>
  <c r="A7384" i="1"/>
  <c r="F7383" i="1"/>
  <c r="E7383" i="1"/>
  <c r="D7383" i="1"/>
  <c r="C7383" i="1"/>
  <c r="B7383" i="1"/>
  <c r="A7383" i="1"/>
  <c r="F7382" i="1"/>
  <c r="E7382" i="1"/>
  <c r="D7382" i="1"/>
  <c r="C7382" i="1"/>
  <c r="B7382" i="1"/>
  <c r="A7382" i="1"/>
  <c r="F7381" i="1"/>
  <c r="E7381" i="1"/>
  <c r="D7381" i="1"/>
  <c r="C7381" i="1"/>
  <c r="B7381" i="1"/>
  <c r="A7381" i="1"/>
  <c r="F7380" i="1"/>
  <c r="E7380" i="1"/>
  <c r="D7380" i="1"/>
  <c r="C7380" i="1"/>
  <c r="B7380" i="1"/>
  <c r="A7380" i="1"/>
  <c r="F7379" i="1"/>
  <c r="E7379" i="1"/>
  <c r="D7379" i="1"/>
  <c r="C7379" i="1"/>
  <c r="B7379" i="1"/>
  <c r="A7379" i="1"/>
  <c r="F7378" i="1"/>
  <c r="E7378" i="1"/>
  <c r="D7378" i="1"/>
  <c r="C7378" i="1"/>
  <c r="B7378" i="1"/>
  <c r="A7378" i="1"/>
  <c r="F7377" i="1"/>
  <c r="E7377" i="1"/>
  <c r="D7377" i="1"/>
  <c r="C7377" i="1"/>
  <c r="B7377" i="1"/>
  <c r="A7377" i="1"/>
  <c r="F7376" i="1"/>
  <c r="E7376" i="1"/>
  <c r="D7376" i="1"/>
  <c r="C7376" i="1"/>
  <c r="B7376" i="1"/>
  <c r="A7376" i="1"/>
  <c r="F7375" i="1"/>
  <c r="E7375" i="1"/>
  <c r="D7375" i="1"/>
  <c r="C7375" i="1"/>
  <c r="B7375" i="1"/>
  <c r="A7375" i="1"/>
  <c r="F7374" i="1"/>
  <c r="E7374" i="1"/>
  <c r="D7374" i="1"/>
  <c r="C7374" i="1"/>
  <c r="B7374" i="1"/>
  <c r="A7374" i="1"/>
  <c r="F7373" i="1"/>
  <c r="E7373" i="1"/>
  <c r="D7373" i="1"/>
  <c r="C7373" i="1"/>
  <c r="B7373" i="1"/>
  <c r="A7373" i="1"/>
  <c r="F7372" i="1"/>
  <c r="E7372" i="1"/>
  <c r="D7372" i="1"/>
  <c r="C7372" i="1"/>
  <c r="B7372" i="1"/>
  <c r="A7372" i="1"/>
  <c r="F7371" i="1"/>
  <c r="E7371" i="1"/>
  <c r="D7371" i="1"/>
  <c r="C7371" i="1"/>
  <c r="B7371" i="1"/>
  <c r="A7371" i="1"/>
  <c r="F7370" i="1"/>
  <c r="E7370" i="1"/>
  <c r="D7370" i="1"/>
  <c r="C7370" i="1"/>
  <c r="B7370" i="1"/>
  <c r="A7370" i="1"/>
  <c r="F7369" i="1"/>
  <c r="E7369" i="1"/>
  <c r="D7369" i="1"/>
  <c r="C7369" i="1"/>
  <c r="B7369" i="1"/>
  <c r="A7369" i="1"/>
  <c r="F7368" i="1"/>
  <c r="E7368" i="1"/>
  <c r="D7368" i="1"/>
  <c r="C7368" i="1"/>
  <c r="B7368" i="1"/>
  <c r="A7368" i="1"/>
  <c r="F7367" i="1"/>
  <c r="E7367" i="1"/>
  <c r="D7367" i="1"/>
  <c r="C7367" i="1"/>
  <c r="B7367" i="1"/>
  <c r="A7367" i="1"/>
  <c r="F7366" i="1"/>
  <c r="E7366" i="1"/>
  <c r="D7366" i="1"/>
  <c r="C7366" i="1"/>
  <c r="B7366" i="1"/>
  <c r="A7366" i="1"/>
  <c r="F7365" i="1"/>
  <c r="E7365" i="1"/>
  <c r="D7365" i="1"/>
  <c r="C7365" i="1"/>
  <c r="B7365" i="1"/>
  <c r="A7365" i="1"/>
  <c r="F7364" i="1"/>
  <c r="E7364" i="1"/>
  <c r="D7364" i="1"/>
  <c r="C7364" i="1"/>
  <c r="B7364" i="1"/>
  <c r="A7364" i="1"/>
  <c r="F7363" i="1"/>
  <c r="E7363" i="1"/>
  <c r="D7363" i="1"/>
  <c r="C7363" i="1"/>
  <c r="B7363" i="1"/>
  <c r="A7363" i="1"/>
  <c r="F7362" i="1"/>
  <c r="E7362" i="1"/>
  <c r="D7362" i="1"/>
  <c r="C7362" i="1"/>
  <c r="B7362" i="1"/>
  <c r="A7362" i="1"/>
  <c r="F7361" i="1"/>
  <c r="E7361" i="1"/>
  <c r="D7361" i="1"/>
  <c r="C7361" i="1"/>
  <c r="B7361" i="1"/>
  <c r="A7361" i="1"/>
  <c r="F7360" i="1"/>
  <c r="E7360" i="1"/>
  <c r="D7360" i="1"/>
  <c r="C7360" i="1"/>
  <c r="B7360" i="1"/>
  <c r="A7360" i="1"/>
  <c r="F7359" i="1"/>
  <c r="E7359" i="1"/>
  <c r="D7359" i="1"/>
  <c r="C7359" i="1"/>
  <c r="B7359" i="1"/>
  <c r="A7359" i="1"/>
  <c r="F7358" i="1"/>
  <c r="E7358" i="1"/>
  <c r="D7358" i="1"/>
  <c r="C7358" i="1"/>
  <c r="B7358" i="1"/>
  <c r="A7358" i="1"/>
  <c r="F7357" i="1"/>
  <c r="E7357" i="1"/>
  <c r="D7357" i="1"/>
  <c r="C7357" i="1"/>
  <c r="B7357" i="1"/>
  <c r="A7357" i="1"/>
  <c r="F7356" i="1"/>
  <c r="E7356" i="1"/>
  <c r="D7356" i="1"/>
  <c r="C7356" i="1"/>
  <c r="B7356" i="1"/>
  <c r="A7356" i="1"/>
  <c r="F7355" i="1"/>
  <c r="E7355" i="1"/>
  <c r="D7355" i="1"/>
  <c r="C7355" i="1"/>
  <c r="B7355" i="1"/>
  <c r="A7355" i="1"/>
  <c r="F7354" i="1"/>
  <c r="E7354" i="1"/>
  <c r="D7354" i="1"/>
  <c r="C7354" i="1"/>
  <c r="B7354" i="1"/>
  <c r="A7354" i="1"/>
  <c r="F7353" i="1"/>
  <c r="E7353" i="1"/>
  <c r="D7353" i="1"/>
  <c r="C7353" i="1"/>
  <c r="B7353" i="1"/>
  <c r="A7353" i="1"/>
  <c r="F7352" i="1"/>
  <c r="E7352" i="1"/>
  <c r="D7352" i="1"/>
  <c r="C7352" i="1"/>
  <c r="B7352" i="1"/>
  <c r="A7352" i="1"/>
  <c r="F7351" i="1"/>
  <c r="E7351" i="1"/>
  <c r="D7351" i="1"/>
  <c r="C7351" i="1"/>
  <c r="B7351" i="1"/>
  <c r="A7351" i="1"/>
  <c r="F7350" i="1"/>
  <c r="E7350" i="1"/>
  <c r="D7350" i="1"/>
  <c r="C7350" i="1"/>
  <c r="B7350" i="1"/>
  <c r="A7350" i="1"/>
  <c r="F7349" i="1"/>
  <c r="E7349" i="1"/>
  <c r="D7349" i="1"/>
  <c r="C7349" i="1"/>
  <c r="B7349" i="1"/>
  <c r="A7349" i="1"/>
  <c r="F7348" i="1"/>
  <c r="E7348" i="1"/>
  <c r="D7348" i="1"/>
  <c r="C7348" i="1"/>
  <c r="B7348" i="1"/>
  <c r="A7348" i="1"/>
  <c r="F7347" i="1"/>
  <c r="E7347" i="1"/>
  <c r="D7347" i="1"/>
  <c r="C7347" i="1"/>
  <c r="B7347" i="1"/>
  <c r="A7347" i="1"/>
  <c r="F7346" i="1"/>
  <c r="E7346" i="1"/>
  <c r="D7346" i="1"/>
  <c r="C7346" i="1"/>
  <c r="B7346" i="1"/>
  <c r="A7346" i="1"/>
  <c r="F7345" i="1"/>
  <c r="E7345" i="1"/>
  <c r="D7345" i="1"/>
  <c r="C7345" i="1"/>
  <c r="B7345" i="1"/>
  <c r="A7345" i="1"/>
  <c r="F7344" i="1"/>
  <c r="E7344" i="1"/>
  <c r="D7344" i="1"/>
  <c r="C7344" i="1"/>
  <c r="B7344" i="1"/>
  <c r="A7344" i="1"/>
  <c r="F7343" i="1"/>
  <c r="E7343" i="1"/>
  <c r="D7343" i="1"/>
  <c r="C7343" i="1"/>
  <c r="B7343" i="1"/>
  <c r="A7343" i="1"/>
  <c r="F7342" i="1"/>
  <c r="E7342" i="1"/>
  <c r="D7342" i="1"/>
  <c r="C7342" i="1"/>
  <c r="B7342" i="1"/>
  <c r="A7342" i="1"/>
  <c r="F7341" i="1"/>
  <c r="E7341" i="1"/>
  <c r="D7341" i="1"/>
  <c r="C7341" i="1"/>
  <c r="B7341" i="1"/>
  <c r="A7341" i="1"/>
  <c r="F7340" i="1"/>
  <c r="E7340" i="1"/>
  <c r="D7340" i="1"/>
  <c r="C7340" i="1"/>
  <c r="B7340" i="1"/>
  <c r="A7340" i="1"/>
  <c r="F7339" i="1"/>
  <c r="E7339" i="1"/>
  <c r="D7339" i="1"/>
  <c r="C7339" i="1"/>
  <c r="B7339" i="1"/>
  <c r="A7339" i="1"/>
  <c r="F7338" i="1"/>
  <c r="E7338" i="1"/>
  <c r="D7338" i="1"/>
  <c r="C7338" i="1"/>
  <c r="B7338" i="1"/>
  <c r="A7338" i="1"/>
  <c r="F7337" i="1"/>
  <c r="E7337" i="1"/>
  <c r="D7337" i="1"/>
  <c r="C7337" i="1"/>
  <c r="B7337" i="1"/>
  <c r="A7337" i="1"/>
  <c r="F7336" i="1"/>
  <c r="E7336" i="1"/>
  <c r="D7336" i="1"/>
  <c r="C7336" i="1"/>
  <c r="B7336" i="1"/>
  <c r="A7336" i="1"/>
  <c r="F7335" i="1"/>
  <c r="E7335" i="1"/>
  <c r="D7335" i="1"/>
  <c r="C7335" i="1"/>
  <c r="B7335" i="1"/>
  <c r="A7335" i="1"/>
  <c r="F7334" i="1"/>
  <c r="E7334" i="1"/>
  <c r="D7334" i="1"/>
  <c r="C7334" i="1"/>
  <c r="B7334" i="1"/>
  <c r="A7334" i="1"/>
  <c r="F7333" i="1"/>
  <c r="E7333" i="1"/>
  <c r="D7333" i="1"/>
  <c r="C7333" i="1"/>
  <c r="B7333" i="1"/>
  <c r="A7333" i="1"/>
  <c r="F7332" i="1"/>
  <c r="E7332" i="1"/>
  <c r="D7332" i="1"/>
  <c r="C7332" i="1"/>
  <c r="B7332" i="1"/>
  <c r="A7332" i="1"/>
  <c r="F7331" i="1"/>
  <c r="E7331" i="1"/>
  <c r="D7331" i="1"/>
  <c r="C7331" i="1"/>
  <c r="B7331" i="1"/>
  <c r="A7331" i="1"/>
  <c r="F7330" i="1"/>
  <c r="E7330" i="1"/>
  <c r="D7330" i="1"/>
  <c r="C7330" i="1"/>
  <c r="B7330" i="1"/>
  <c r="A7330" i="1"/>
  <c r="F7329" i="1"/>
  <c r="E7329" i="1"/>
  <c r="D7329" i="1"/>
  <c r="C7329" i="1"/>
  <c r="B7329" i="1"/>
  <c r="A7329" i="1"/>
  <c r="F7328" i="1"/>
  <c r="E7328" i="1"/>
  <c r="D7328" i="1"/>
  <c r="C7328" i="1"/>
  <c r="B7328" i="1"/>
  <c r="A7328" i="1"/>
  <c r="F7327" i="1"/>
  <c r="E7327" i="1"/>
  <c r="D7327" i="1"/>
  <c r="C7327" i="1"/>
  <c r="B7327" i="1"/>
  <c r="A7327" i="1"/>
  <c r="F7326" i="1"/>
  <c r="E7326" i="1"/>
  <c r="D7326" i="1"/>
  <c r="C7326" i="1"/>
  <c r="B7326" i="1"/>
  <c r="A7326" i="1"/>
  <c r="F7325" i="1"/>
  <c r="E7325" i="1"/>
  <c r="D7325" i="1"/>
  <c r="C7325" i="1"/>
  <c r="B7325" i="1"/>
  <c r="A7325" i="1"/>
  <c r="F7324" i="1"/>
  <c r="E7324" i="1"/>
  <c r="D7324" i="1"/>
  <c r="C7324" i="1"/>
  <c r="B7324" i="1"/>
  <c r="A7324" i="1"/>
  <c r="F7323" i="1"/>
  <c r="E7323" i="1"/>
  <c r="D7323" i="1"/>
  <c r="C7323" i="1"/>
  <c r="B7323" i="1"/>
  <c r="A7323" i="1"/>
  <c r="F7322" i="1"/>
  <c r="E7322" i="1"/>
  <c r="D7322" i="1"/>
  <c r="C7322" i="1"/>
  <c r="B7322" i="1"/>
  <c r="A7322" i="1"/>
  <c r="F7321" i="1"/>
  <c r="E7321" i="1"/>
  <c r="D7321" i="1"/>
  <c r="C7321" i="1"/>
  <c r="B7321" i="1"/>
  <c r="A7321" i="1"/>
  <c r="F7320" i="1"/>
  <c r="E7320" i="1"/>
  <c r="D7320" i="1"/>
  <c r="C7320" i="1"/>
  <c r="B7320" i="1"/>
  <c r="A7320" i="1"/>
  <c r="F7319" i="1"/>
  <c r="E7319" i="1"/>
  <c r="D7319" i="1"/>
  <c r="C7319" i="1"/>
  <c r="B7319" i="1"/>
  <c r="A7319" i="1"/>
  <c r="F7318" i="1"/>
  <c r="E7318" i="1"/>
  <c r="D7318" i="1"/>
  <c r="C7318" i="1"/>
  <c r="B7318" i="1"/>
  <c r="A7318" i="1"/>
  <c r="F7317" i="1"/>
  <c r="E7317" i="1"/>
  <c r="D7317" i="1"/>
  <c r="C7317" i="1"/>
  <c r="B7317" i="1"/>
  <c r="A7317" i="1"/>
  <c r="F7316" i="1"/>
  <c r="E7316" i="1"/>
  <c r="D7316" i="1"/>
  <c r="C7316" i="1"/>
  <c r="B7316" i="1"/>
  <c r="A7316" i="1"/>
  <c r="F7315" i="1"/>
  <c r="E7315" i="1"/>
  <c r="D7315" i="1"/>
  <c r="C7315" i="1"/>
  <c r="B7315" i="1"/>
  <c r="A7315" i="1"/>
  <c r="F7314" i="1"/>
  <c r="E7314" i="1"/>
  <c r="D7314" i="1"/>
  <c r="C7314" i="1"/>
  <c r="B7314" i="1"/>
  <c r="A7314" i="1"/>
  <c r="F7313" i="1"/>
  <c r="E7313" i="1"/>
  <c r="D7313" i="1"/>
  <c r="C7313" i="1"/>
  <c r="B7313" i="1"/>
  <c r="A7313" i="1"/>
  <c r="F7312" i="1"/>
  <c r="E7312" i="1"/>
  <c r="D7312" i="1"/>
  <c r="C7312" i="1"/>
  <c r="B7312" i="1"/>
  <c r="A7312" i="1"/>
  <c r="F7311" i="1"/>
  <c r="E7311" i="1"/>
  <c r="D7311" i="1"/>
  <c r="C7311" i="1"/>
  <c r="B7311" i="1"/>
  <c r="A7311" i="1"/>
  <c r="F7310" i="1"/>
  <c r="E7310" i="1"/>
  <c r="D7310" i="1"/>
  <c r="C7310" i="1"/>
  <c r="B7310" i="1"/>
  <c r="A7310" i="1"/>
  <c r="F7309" i="1"/>
  <c r="E7309" i="1"/>
  <c r="D7309" i="1"/>
  <c r="C7309" i="1"/>
  <c r="B7309" i="1"/>
  <c r="A7309" i="1"/>
  <c r="F7308" i="1"/>
  <c r="E7308" i="1"/>
  <c r="D7308" i="1"/>
  <c r="C7308" i="1"/>
  <c r="B7308" i="1"/>
  <c r="A7308" i="1"/>
  <c r="F7307" i="1"/>
  <c r="E7307" i="1"/>
  <c r="D7307" i="1"/>
  <c r="C7307" i="1"/>
  <c r="B7307" i="1"/>
  <c r="A7307" i="1"/>
  <c r="F7306" i="1"/>
  <c r="E7306" i="1"/>
  <c r="D7306" i="1"/>
  <c r="C7306" i="1"/>
  <c r="B7306" i="1"/>
  <c r="A7306" i="1"/>
  <c r="F7305" i="1"/>
  <c r="E7305" i="1"/>
  <c r="D7305" i="1"/>
  <c r="C7305" i="1"/>
  <c r="B7305" i="1"/>
  <c r="A7305" i="1"/>
  <c r="F7304" i="1"/>
  <c r="E7304" i="1"/>
  <c r="D7304" i="1"/>
  <c r="C7304" i="1"/>
  <c r="B7304" i="1"/>
  <c r="A7304" i="1"/>
  <c r="F7303" i="1"/>
  <c r="E7303" i="1"/>
  <c r="D7303" i="1"/>
  <c r="C7303" i="1"/>
  <c r="B7303" i="1"/>
  <c r="A7303" i="1"/>
  <c r="F7302" i="1"/>
  <c r="E7302" i="1"/>
  <c r="D7302" i="1"/>
  <c r="C7302" i="1"/>
  <c r="B7302" i="1"/>
  <c r="A7302" i="1"/>
  <c r="F7301" i="1"/>
  <c r="E7301" i="1"/>
  <c r="D7301" i="1"/>
  <c r="C7301" i="1"/>
  <c r="B7301" i="1"/>
  <c r="A7301" i="1"/>
  <c r="F7300" i="1"/>
  <c r="E7300" i="1"/>
  <c r="D7300" i="1"/>
  <c r="C7300" i="1"/>
  <c r="B7300" i="1"/>
  <c r="A7300" i="1"/>
  <c r="F7299" i="1"/>
  <c r="E7299" i="1"/>
  <c r="D7299" i="1"/>
  <c r="C7299" i="1"/>
  <c r="B7299" i="1"/>
  <c r="A7299" i="1"/>
  <c r="F7298" i="1"/>
  <c r="E7298" i="1"/>
  <c r="D7298" i="1"/>
  <c r="C7298" i="1"/>
  <c r="B7298" i="1"/>
  <c r="A7298" i="1"/>
  <c r="F7297" i="1"/>
  <c r="E7297" i="1"/>
  <c r="D7297" i="1"/>
  <c r="C7297" i="1"/>
  <c r="B7297" i="1"/>
  <c r="A7297" i="1"/>
  <c r="F7296" i="1"/>
  <c r="E7296" i="1"/>
  <c r="D7296" i="1"/>
  <c r="C7296" i="1"/>
  <c r="B7296" i="1"/>
  <c r="A7296" i="1"/>
  <c r="F7295" i="1"/>
  <c r="E7295" i="1"/>
  <c r="D7295" i="1"/>
  <c r="C7295" i="1"/>
  <c r="B7295" i="1"/>
  <c r="A7295" i="1"/>
  <c r="F7294" i="1"/>
  <c r="E7294" i="1"/>
  <c r="D7294" i="1"/>
  <c r="C7294" i="1"/>
  <c r="B7294" i="1"/>
  <c r="A7294" i="1"/>
  <c r="F7293" i="1"/>
  <c r="E7293" i="1"/>
  <c r="D7293" i="1"/>
  <c r="C7293" i="1"/>
  <c r="B7293" i="1"/>
  <c r="A7293" i="1"/>
  <c r="F7292" i="1"/>
  <c r="E7292" i="1"/>
  <c r="D7292" i="1"/>
  <c r="C7292" i="1"/>
  <c r="B7292" i="1"/>
  <c r="A7292" i="1"/>
  <c r="F7291" i="1"/>
  <c r="E7291" i="1"/>
  <c r="D7291" i="1"/>
  <c r="C7291" i="1"/>
  <c r="B7291" i="1"/>
  <c r="A7291" i="1"/>
  <c r="F7290" i="1"/>
  <c r="E7290" i="1"/>
  <c r="D7290" i="1"/>
  <c r="C7290" i="1"/>
  <c r="B7290" i="1"/>
  <c r="A7290" i="1"/>
  <c r="F7289" i="1"/>
  <c r="E7289" i="1"/>
  <c r="D7289" i="1"/>
  <c r="C7289" i="1"/>
  <c r="B7289" i="1"/>
  <c r="A7289" i="1"/>
  <c r="F7288" i="1"/>
  <c r="E7288" i="1"/>
  <c r="D7288" i="1"/>
  <c r="C7288" i="1"/>
  <c r="B7288" i="1"/>
  <c r="A7288" i="1"/>
  <c r="F7287" i="1"/>
  <c r="E7287" i="1"/>
  <c r="D7287" i="1"/>
  <c r="C7287" i="1"/>
  <c r="B7287" i="1"/>
  <c r="A7287" i="1"/>
  <c r="F7286" i="1"/>
  <c r="E7286" i="1"/>
  <c r="D7286" i="1"/>
  <c r="C7286" i="1"/>
  <c r="B7286" i="1"/>
  <c r="A7286" i="1"/>
  <c r="F7285" i="1"/>
  <c r="E7285" i="1"/>
  <c r="D7285" i="1"/>
  <c r="C7285" i="1"/>
  <c r="B7285" i="1"/>
  <c r="A7285" i="1"/>
  <c r="F7284" i="1"/>
  <c r="E7284" i="1"/>
  <c r="D7284" i="1"/>
  <c r="C7284" i="1"/>
  <c r="B7284" i="1"/>
  <c r="A7284" i="1"/>
  <c r="F7283" i="1"/>
  <c r="E7283" i="1"/>
  <c r="D7283" i="1"/>
  <c r="C7283" i="1"/>
  <c r="B7283" i="1"/>
  <c r="A7283" i="1"/>
  <c r="F7282" i="1"/>
  <c r="E7282" i="1"/>
  <c r="D7282" i="1"/>
  <c r="C7282" i="1"/>
  <c r="B7282" i="1"/>
  <c r="A7282" i="1"/>
  <c r="F7281" i="1"/>
  <c r="E7281" i="1"/>
  <c r="D7281" i="1"/>
  <c r="C7281" i="1"/>
  <c r="B7281" i="1"/>
  <c r="A7281" i="1"/>
  <c r="F7280" i="1"/>
  <c r="E7280" i="1"/>
  <c r="D7280" i="1"/>
  <c r="C7280" i="1"/>
  <c r="B7280" i="1"/>
  <c r="A7280" i="1"/>
  <c r="F7279" i="1"/>
  <c r="E7279" i="1"/>
  <c r="D7279" i="1"/>
  <c r="C7279" i="1"/>
  <c r="B7279" i="1"/>
  <c r="A7279" i="1"/>
  <c r="F7278" i="1"/>
  <c r="E7278" i="1"/>
  <c r="D7278" i="1"/>
  <c r="C7278" i="1"/>
  <c r="B7278" i="1"/>
  <c r="A7278" i="1"/>
  <c r="F7277" i="1"/>
  <c r="E7277" i="1"/>
  <c r="D7277" i="1"/>
  <c r="C7277" i="1"/>
  <c r="B7277" i="1"/>
  <c r="A7277" i="1"/>
  <c r="F7276" i="1"/>
  <c r="E7276" i="1"/>
  <c r="D7276" i="1"/>
  <c r="C7276" i="1"/>
  <c r="B7276" i="1"/>
  <c r="A7276" i="1"/>
  <c r="F7275" i="1"/>
  <c r="E7275" i="1"/>
  <c r="D7275" i="1"/>
  <c r="C7275" i="1"/>
  <c r="B7275" i="1"/>
  <c r="A7275" i="1"/>
  <c r="F7274" i="1"/>
  <c r="E7274" i="1"/>
  <c r="D7274" i="1"/>
  <c r="C7274" i="1"/>
  <c r="B7274" i="1"/>
  <c r="A7274" i="1"/>
  <c r="F7273" i="1"/>
  <c r="E7273" i="1"/>
  <c r="D7273" i="1"/>
  <c r="C7273" i="1"/>
  <c r="B7273" i="1"/>
  <c r="A7273" i="1"/>
  <c r="F7272" i="1"/>
  <c r="E7272" i="1"/>
  <c r="D7272" i="1"/>
  <c r="C7272" i="1"/>
  <c r="B7272" i="1"/>
  <c r="A7272" i="1"/>
  <c r="F7271" i="1"/>
  <c r="E7271" i="1"/>
  <c r="D7271" i="1"/>
  <c r="C7271" i="1"/>
  <c r="B7271" i="1"/>
  <c r="A7271" i="1"/>
  <c r="F7270" i="1"/>
  <c r="E7270" i="1"/>
  <c r="D7270" i="1"/>
  <c r="C7270" i="1"/>
  <c r="B7270" i="1"/>
  <c r="A7270" i="1"/>
  <c r="F7269" i="1"/>
  <c r="E7269" i="1"/>
  <c r="D7269" i="1"/>
  <c r="C7269" i="1"/>
  <c r="B7269" i="1"/>
  <c r="A7269" i="1"/>
  <c r="F7268" i="1"/>
  <c r="E7268" i="1"/>
  <c r="D7268" i="1"/>
  <c r="C7268" i="1"/>
  <c r="B7268" i="1"/>
  <c r="A7268" i="1"/>
  <c r="F7267" i="1"/>
  <c r="E7267" i="1"/>
  <c r="D7267" i="1"/>
  <c r="C7267" i="1"/>
  <c r="B7267" i="1"/>
  <c r="A7267" i="1"/>
  <c r="F7266" i="1"/>
  <c r="E7266" i="1"/>
  <c r="D7266" i="1"/>
  <c r="C7266" i="1"/>
  <c r="B7266" i="1"/>
  <c r="A7266" i="1"/>
  <c r="F7265" i="1"/>
  <c r="E7265" i="1"/>
  <c r="D7265" i="1"/>
  <c r="C7265" i="1"/>
  <c r="B7265" i="1"/>
  <c r="A7265" i="1"/>
  <c r="F7264" i="1"/>
  <c r="E7264" i="1"/>
  <c r="D7264" i="1"/>
  <c r="C7264" i="1"/>
  <c r="B7264" i="1"/>
  <c r="A7264" i="1"/>
  <c r="F7263" i="1"/>
  <c r="E7263" i="1"/>
  <c r="D7263" i="1"/>
  <c r="C7263" i="1"/>
  <c r="B7263" i="1"/>
  <c r="A7263" i="1"/>
  <c r="F7262" i="1"/>
  <c r="E7262" i="1"/>
  <c r="D7262" i="1"/>
  <c r="C7262" i="1"/>
  <c r="B7262" i="1"/>
  <c r="A7262" i="1"/>
  <c r="F7261" i="1"/>
  <c r="E7261" i="1"/>
  <c r="D7261" i="1"/>
  <c r="C7261" i="1"/>
  <c r="B7261" i="1"/>
  <c r="A7261" i="1"/>
  <c r="F7260" i="1"/>
  <c r="E7260" i="1"/>
  <c r="D7260" i="1"/>
  <c r="C7260" i="1"/>
  <c r="B7260" i="1"/>
  <c r="A7260" i="1"/>
  <c r="F7259" i="1"/>
  <c r="E7259" i="1"/>
  <c r="D7259" i="1"/>
  <c r="C7259" i="1"/>
  <c r="B7259" i="1"/>
  <c r="A7259" i="1"/>
  <c r="F7258" i="1"/>
  <c r="E7258" i="1"/>
  <c r="D7258" i="1"/>
  <c r="C7258" i="1"/>
  <c r="B7258" i="1"/>
  <c r="A7258" i="1"/>
  <c r="F7257" i="1"/>
  <c r="E7257" i="1"/>
  <c r="D7257" i="1"/>
  <c r="C7257" i="1"/>
  <c r="B7257" i="1"/>
  <c r="A7257" i="1"/>
  <c r="F7256" i="1"/>
  <c r="E7256" i="1"/>
  <c r="D7256" i="1"/>
  <c r="C7256" i="1"/>
  <c r="B7256" i="1"/>
  <c r="A7256" i="1"/>
  <c r="F7255" i="1"/>
  <c r="E7255" i="1"/>
  <c r="D7255" i="1"/>
  <c r="C7255" i="1"/>
  <c r="B7255" i="1"/>
  <c r="A7255" i="1"/>
  <c r="F7254" i="1"/>
  <c r="E7254" i="1"/>
  <c r="D7254" i="1"/>
  <c r="C7254" i="1"/>
  <c r="B7254" i="1"/>
  <c r="A7254" i="1"/>
  <c r="F7253" i="1"/>
  <c r="E7253" i="1"/>
  <c r="D7253" i="1"/>
  <c r="C7253" i="1"/>
  <c r="B7253" i="1"/>
  <c r="A7253" i="1"/>
  <c r="F7252" i="1"/>
  <c r="E7252" i="1"/>
  <c r="D7252" i="1"/>
  <c r="C7252" i="1"/>
  <c r="B7252" i="1"/>
  <c r="A7252" i="1"/>
  <c r="F7251" i="1"/>
  <c r="E7251" i="1"/>
  <c r="D7251" i="1"/>
  <c r="C7251" i="1"/>
  <c r="B7251" i="1"/>
  <c r="A7251" i="1"/>
  <c r="F7250" i="1"/>
  <c r="E7250" i="1"/>
  <c r="D7250" i="1"/>
  <c r="C7250" i="1"/>
  <c r="B7250" i="1"/>
  <c r="A7250" i="1"/>
  <c r="F7249" i="1"/>
  <c r="E7249" i="1"/>
  <c r="D7249" i="1"/>
  <c r="C7249" i="1"/>
  <c r="B7249" i="1"/>
  <c r="A7249" i="1"/>
  <c r="F7248" i="1"/>
  <c r="E7248" i="1"/>
  <c r="D7248" i="1"/>
  <c r="C7248" i="1"/>
  <c r="B7248" i="1"/>
  <c r="A7248" i="1"/>
  <c r="F7247" i="1"/>
  <c r="E7247" i="1"/>
  <c r="D7247" i="1"/>
  <c r="C7247" i="1"/>
  <c r="B7247" i="1"/>
  <c r="A7247" i="1"/>
  <c r="F7246" i="1"/>
  <c r="E7246" i="1"/>
  <c r="D7246" i="1"/>
  <c r="C7246" i="1"/>
  <c r="B7246" i="1"/>
  <c r="A7246" i="1"/>
  <c r="F7245" i="1"/>
  <c r="E7245" i="1"/>
  <c r="D7245" i="1"/>
  <c r="C7245" i="1"/>
  <c r="B7245" i="1"/>
  <c r="A7245" i="1"/>
  <c r="F7244" i="1"/>
  <c r="E7244" i="1"/>
  <c r="D7244" i="1"/>
  <c r="C7244" i="1"/>
  <c r="B7244" i="1"/>
  <c r="A7244" i="1"/>
  <c r="F7243" i="1"/>
  <c r="E7243" i="1"/>
  <c r="D7243" i="1"/>
  <c r="C7243" i="1"/>
  <c r="B7243" i="1"/>
  <c r="A7243" i="1"/>
  <c r="F7242" i="1"/>
  <c r="E7242" i="1"/>
  <c r="D7242" i="1"/>
  <c r="C7242" i="1"/>
  <c r="B7242" i="1"/>
  <c r="A7242" i="1"/>
  <c r="F7241" i="1"/>
  <c r="E7241" i="1"/>
  <c r="D7241" i="1"/>
  <c r="C7241" i="1"/>
  <c r="B7241" i="1"/>
  <c r="A7241" i="1"/>
  <c r="F7240" i="1"/>
  <c r="E7240" i="1"/>
  <c r="D7240" i="1"/>
  <c r="C7240" i="1"/>
  <c r="B7240" i="1"/>
  <c r="A7240" i="1"/>
  <c r="F7239" i="1"/>
  <c r="E7239" i="1"/>
  <c r="D7239" i="1"/>
  <c r="C7239" i="1"/>
  <c r="B7239" i="1"/>
  <c r="A7239" i="1"/>
  <c r="F7238" i="1"/>
  <c r="E7238" i="1"/>
  <c r="D7238" i="1"/>
  <c r="C7238" i="1"/>
  <c r="B7238" i="1"/>
  <c r="A7238" i="1"/>
  <c r="F7237" i="1"/>
  <c r="E7237" i="1"/>
  <c r="D7237" i="1"/>
  <c r="C7237" i="1"/>
  <c r="B7237" i="1"/>
  <c r="A7237" i="1"/>
  <c r="F7236" i="1"/>
  <c r="E7236" i="1"/>
  <c r="D7236" i="1"/>
  <c r="C7236" i="1"/>
  <c r="B7236" i="1"/>
  <c r="A7236" i="1"/>
  <c r="F7235" i="1"/>
  <c r="E7235" i="1"/>
  <c r="D7235" i="1"/>
  <c r="C7235" i="1"/>
  <c r="B7235" i="1"/>
  <c r="A7235" i="1"/>
  <c r="F7234" i="1"/>
  <c r="E7234" i="1"/>
  <c r="D7234" i="1"/>
  <c r="C7234" i="1"/>
  <c r="B7234" i="1"/>
  <c r="A7234" i="1"/>
  <c r="F7233" i="1"/>
  <c r="E7233" i="1"/>
  <c r="D7233" i="1"/>
  <c r="C7233" i="1"/>
  <c r="B7233" i="1"/>
  <c r="A7233" i="1"/>
  <c r="F7232" i="1"/>
  <c r="E7232" i="1"/>
  <c r="D7232" i="1"/>
  <c r="C7232" i="1"/>
  <c r="B7232" i="1"/>
  <c r="A7232" i="1"/>
  <c r="F7231" i="1"/>
  <c r="E7231" i="1"/>
  <c r="D7231" i="1"/>
  <c r="C7231" i="1"/>
  <c r="B7231" i="1"/>
  <c r="A7231" i="1"/>
  <c r="F7230" i="1"/>
  <c r="E7230" i="1"/>
  <c r="D7230" i="1"/>
  <c r="C7230" i="1"/>
  <c r="B7230" i="1"/>
  <c r="A7230" i="1"/>
  <c r="F7229" i="1"/>
  <c r="E7229" i="1"/>
  <c r="D7229" i="1"/>
  <c r="C7229" i="1"/>
  <c r="B7229" i="1"/>
  <c r="A7229" i="1"/>
  <c r="F7228" i="1"/>
  <c r="E7228" i="1"/>
  <c r="D7228" i="1"/>
  <c r="C7228" i="1"/>
  <c r="B7228" i="1"/>
  <c r="A7228" i="1"/>
  <c r="F7227" i="1"/>
  <c r="E7227" i="1"/>
  <c r="D7227" i="1"/>
  <c r="C7227" i="1"/>
  <c r="B7227" i="1"/>
  <c r="A7227" i="1"/>
  <c r="F7226" i="1"/>
  <c r="E7226" i="1"/>
  <c r="D7226" i="1"/>
  <c r="C7226" i="1"/>
  <c r="B7226" i="1"/>
  <c r="A7226" i="1"/>
  <c r="F7225" i="1"/>
  <c r="E7225" i="1"/>
  <c r="D7225" i="1"/>
  <c r="C7225" i="1"/>
  <c r="B7225" i="1"/>
  <c r="A7225" i="1"/>
  <c r="F7224" i="1"/>
  <c r="E7224" i="1"/>
  <c r="D7224" i="1"/>
  <c r="C7224" i="1"/>
  <c r="B7224" i="1"/>
  <c r="A7224" i="1"/>
  <c r="F7223" i="1"/>
  <c r="E7223" i="1"/>
  <c r="D7223" i="1"/>
  <c r="C7223" i="1"/>
  <c r="B7223" i="1"/>
  <c r="A7223" i="1"/>
  <c r="F7222" i="1"/>
  <c r="E7222" i="1"/>
  <c r="D7222" i="1"/>
  <c r="C7222" i="1"/>
  <c r="B7222" i="1"/>
  <c r="A7222" i="1"/>
  <c r="F7221" i="1"/>
  <c r="E7221" i="1"/>
  <c r="D7221" i="1"/>
  <c r="C7221" i="1"/>
  <c r="B7221" i="1"/>
  <c r="A7221" i="1"/>
  <c r="F7220" i="1"/>
  <c r="E7220" i="1"/>
  <c r="D7220" i="1"/>
  <c r="C7220" i="1"/>
  <c r="B7220" i="1"/>
  <c r="A7220" i="1"/>
  <c r="F7219" i="1"/>
  <c r="E7219" i="1"/>
  <c r="D7219" i="1"/>
  <c r="C7219" i="1"/>
  <c r="B7219" i="1"/>
  <c r="A7219" i="1"/>
  <c r="F7218" i="1"/>
  <c r="E7218" i="1"/>
  <c r="D7218" i="1"/>
  <c r="C7218" i="1"/>
  <c r="B7218" i="1"/>
  <c r="A7218" i="1"/>
  <c r="F7217" i="1"/>
  <c r="E7217" i="1"/>
  <c r="D7217" i="1"/>
  <c r="C7217" i="1"/>
  <c r="B7217" i="1"/>
  <c r="A7217" i="1"/>
  <c r="F7216" i="1"/>
  <c r="E7216" i="1"/>
  <c r="D7216" i="1"/>
  <c r="C7216" i="1"/>
  <c r="B7216" i="1"/>
  <c r="A7216" i="1"/>
  <c r="F7215" i="1"/>
  <c r="E7215" i="1"/>
  <c r="D7215" i="1"/>
  <c r="C7215" i="1"/>
  <c r="B7215" i="1"/>
  <c r="A7215" i="1"/>
  <c r="F7214" i="1"/>
  <c r="E7214" i="1"/>
  <c r="D7214" i="1"/>
  <c r="C7214" i="1"/>
  <c r="B7214" i="1"/>
  <c r="A7214" i="1"/>
  <c r="F7213" i="1"/>
  <c r="E7213" i="1"/>
  <c r="D7213" i="1"/>
  <c r="C7213" i="1"/>
  <c r="B7213" i="1"/>
  <c r="A7213" i="1"/>
  <c r="F7212" i="1"/>
  <c r="E7212" i="1"/>
  <c r="D7212" i="1"/>
  <c r="C7212" i="1"/>
  <c r="B7212" i="1"/>
  <c r="A7212" i="1"/>
  <c r="F7211" i="1"/>
  <c r="E7211" i="1"/>
  <c r="D7211" i="1"/>
  <c r="C7211" i="1"/>
  <c r="B7211" i="1"/>
  <c r="A7211" i="1"/>
  <c r="F7210" i="1"/>
  <c r="E7210" i="1"/>
  <c r="D7210" i="1"/>
  <c r="C7210" i="1"/>
  <c r="B7210" i="1"/>
  <c r="A7210" i="1"/>
  <c r="F7209" i="1"/>
  <c r="E7209" i="1"/>
  <c r="D7209" i="1"/>
  <c r="C7209" i="1"/>
  <c r="B7209" i="1"/>
  <c r="A7209" i="1"/>
  <c r="F7208" i="1"/>
  <c r="E7208" i="1"/>
  <c r="D7208" i="1"/>
  <c r="C7208" i="1"/>
  <c r="B7208" i="1"/>
  <c r="A7208" i="1"/>
  <c r="F7207" i="1"/>
  <c r="E7207" i="1"/>
  <c r="D7207" i="1"/>
  <c r="C7207" i="1"/>
  <c r="B7207" i="1"/>
  <c r="A7207" i="1"/>
  <c r="F7206" i="1"/>
  <c r="E7206" i="1"/>
  <c r="D7206" i="1"/>
  <c r="C7206" i="1"/>
  <c r="B7206" i="1"/>
  <c r="A7206" i="1"/>
  <c r="F7205" i="1"/>
  <c r="E7205" i="1"/>
  <c r="D7205" i="1"/>
  <c r="C7205" i="1"/>
  <c r="B7205" i="1"/>
  <c r="A7205" i="1"/>
  <c r="F7204" i="1"/>
  <c r="E7204" i="1"/>
  <c r="D7204" i="1"/>
  <c r="C7204" i="1"/>
  <c r="B7204" i="1"/>
  <c r="A7204" i="1"/>
  <c r="F7203" i="1"/>
  <c r="E7203" i="1"/>
  <c r="D7203" i="1"/>
  <c r="C7203" i="1"/>
  <c r="B7203" i="1"/>
  <c r="A7203" i="1"/>
  <c r="F7202" i="1"/>
  <c r="E7202" i="1"/>
  <c r="D7202" i="1"/>
  <c r="C7202" i="1"/>
  <c r="B7202" i="1"/>
  <c r="A7202" i="1"/>
  <c r="F7201" i="1"/>
  <c r="E7201" i="1"/>
  <c r="D7201" i="1"/>
  <c r="C7201" i="1"/>
  <c r="B7201" i="1"/>
  <c r="A7201" i="1"/>
  <c r="F7200" i="1"/>
  <c r="E7200" i="1"/>
  <c r="D7200" i="1"/>
  <c r="C7200" i="1"/>
  <c r="B7200" i="1"/>
  <c r="A7200" i="1"/>
  <c r="F7199" i="1"/>
  <c r="E7199" i="1"/>
  <c r="D7199" i="1"/>
  <c r="C7199" i="1"/>
  <c r="B7199" i="1"/>
  <c r="A7199" i="1"/>
  <c r="F7198" i="1"/>
  <c r="E7198" i="1"/>
  <c r="D7198" i="1"/>
  <c r="C7198" i="1"/>
  <c r="B7198" i="1"/>
  <c r="A7198" i="1"/>
  <c r="F7197" i="1"/>
  <c r="E7197" i="1"/>
  <c r="D7197" i="1"/>
  <c r="C7197" i="1"/>
  <c r="B7197" i="1"/>
  <c r="A7197" i="1"/>
  <c r="F7196" i="1"/>
  <c r="E7196" i="1"/>
  <c r="D7196" i="1"/>
  <c r="C7196" i="1"/>
  <c r="B7196" i="1"/>
  <c r="A7196" i="1"/>
  <c r="F7195" i="1"/>
  <c r="E7195" i="1"/>
  <c r="D7195" i="1"/>
  <c r="C7195" i="1"/>
  <c r="B7195" i="1"/>
  <c r="A7195" i="1"/>
  <c r="F7194" i="1"/>
  <c r="E7194" i="1"/>
  <c r="D7194" i="1"/>
  <c r="C7194" i="1"/>
  <c r="B7194" i="1"/>
  <c r="A7194" i="1"/>
  <c r="F7193" i="1"/>
  <c r="E7193" i="1"/>
  <c r="D7193" i="1"/>
  <c r="C7193" i="1"/>
  <c r="B7193" i="1"/>
  <c r="A7193" i="1"/>
  <c r="F7192" i="1"/>
  <c r="E7192" i="1"/>
  <c r="D7192" i="1"/>
  <c r="C7192" i="1"/>
  <c r="B7192" i="1"/>
  <c r="A7192" i="1"/>
  <c r="F7191" i="1"/>
  <c r="E7191" i="1"/>
  <c r="D7191" i="1"/>
  <c r="C7191" i="1"/>
  <c r="B7191" i="1"/>
  <c r="A7191" i="1"/>
  <c r="F7190" i="1"/>
  <c r="E7190" i="1"/>
  <c r="D7190" i="1"/>
  <c r="C7190" i="1"/>
  <c r="B7190" i="1"/>
  <c r="A7190" i="1"/>
  <c r="F7189" i="1"/>
  <c r="E7189" i="1"/>
  <c r="D7189" i="1"/>
  <c r="C7189" i="1"/>
  <c r="B7189" i="1"/>
  <c r="A7189" i="1"/>
  <c r="F7188" i="1"/>
  <c r="E7188" i="1"/>
  <c r="D7188" i="1"/>
  <c r="C7188" i="1"/>
  <c r="B7188" i="1"/>
  <c r="A7188" i="1"/>
  <c r="F7187" i="1"/>
  <c r="E7187" i="1"/>
  <c r="D7187" i="1"/>
  <c r="C7187" i="1"/>
  <c r="B7187" i="1"/>
  <c r="A7187" i="1"/>
  <c r="F7186" i="1"/>
  <c r="E7186" i="1"/>
  <c r="D7186" i="1"/>
  <c r="C7186" i="1"/>
  <c r="B7186" i="1"/>
  <c r="A7186" i="1"/>
  <c r="F7185" i="1"/>
  <c r="E7185" i="1"/>
  <c r="D7185" i="1"/>
  <c r="C7185" i="1"/>
  <c r="B7185" i="1"/>
  <c r="A7185" i="1"/>
  <c r="F7184" i="1"/>
  <c r="E7184" i="1"/>
  <c r="D7184" i="1"/>
  <c r="C7184" i="1"/>
  <c r="B7184" i="1"/>
  <c r="A7184" i="1"/>
  <c r="F7183" i="1"/>
  <c r="E7183" i="1"/>
  <c r="D7183" i="1"/>
  <c r="C7183" i="1"/>
  <c r="B7183" i="1"/>
  <c r="A7183" i="1"/>
  <c r="F7182" i="1"/>
  <c r="E7182" i="1"/>
  <c r="D7182" i="1"/>
  <c r="C7182" i="1"/>
  <c r="B7182" i="1"/>
  <c r="A7182" i="1"/>
  <c r="F7181" i="1"/>
  <c r="E7181" i="1"/>
  <c r="D7181" i="1"/>
  <c r="C7181" i="1"/>
  <c r="B7181" i="1"/>
  <c r="A7181" i="1"/>
  <c r="F7180" i="1"/>
  <c r="E7180" i="1"/>
  <c r="D7180" i="1"/>
  <c r="C7180" i="1"/>
  <c r="B7180" i="1"/>
  <c r="A7180" i="1"/>
  <c r="F7179" i="1"/>
  <c r="E7179" i="1"/>
  <c r="D7179" i="1"/>
  <c r="C7179" i="1"/>
  <c r="B7179" i="1"/>
  <c r="A7179" i="1"/>
  <c r="F7178" i="1"/>
  <c r="E7178" i="1"/>
  <c r="D7178" i="1"/>
  <c r="C7178" i="1"/>
  <c r="B7178" i="1"/>
  <c r="A7178" i="1"/>
  <c r="F7177" i="1"/>
  <c r="E7177" i="1"/>
  <c r="D7177" i="1"/>
  <c r="C7177" i="1"/>
  <c r="B7177" i="1"/>
  <c r="A7177" i="1"/>
  <c r="F7176" i="1"/>
  <c r="E7176" i="1"/>
  <c r="D7176" i="1"/>
  <c r="C7176" i="1"/>
  <c r="B7176" i="1"/>
  <c r="A7176" i="1"/>
  <c r="F7175" i="1"/>
  <c r="E7175" i="1"/>
  <c r="D7175" i="1"/>
  <c r="C7175" i="1"/>
  <c r="B7175" i="1"/>
  <c r="A7175" i="1"/>
  <c r="F7174" i="1"/>
  <c r="E7174" i="1"/>
  <c r="D7174" i="1"/>
  <c r="C7174" i="1"/>
  <c r="B7174" i="1"/>
  <c r="A7174" i="1"/>
  <c r="F7173" i="1"/>
  <c r="E7173" i="1"/>
  <c r="D7173" i="1"/>
  <c r="C7173" i="1"/>
  <c r="B7173" i="1"/>
  <c r="A7173" i="1"/>
  <c r="F7172" i="1"/>
  <c r="E7172" i="1"/>
  <c r="D7172" i="1"/>
  <c r="C7172" i="1"/>
  <c r="B7172" i="1"/>
  <c r="A7172" i="1"/>
  <c r="F7171" i="1"/>
  <c r="E7171" i="1"/>
  <c r="D7171" i="1"/>
  <c r="C7171" i="1"/>
  <c r="B7171" i="1"/>
  <c r="A7171" i="1"/>
  <c r="F7170" i="1"/>
  <c r="E7170" i="1"/>
  <c r="D7170" i="1"/>
  <c r="C7170" i="1"/>
  <c r="B7170" i="1"/>
  <c r="A7170" i="1"/>
  <c r="F7169" i="1"/>
  <c r="E7169" i="1"/>
  <c r="D7169" i="1"/>
  <c r="C7169" i="1"/>
  <c r="B7169" i="1"/>
  <c r="A7169" i="1"/>
  <c r="F7168" i="1"/>
  <c r="E7168" i="1"/>
  <c r="D7168" i="1"/>
  <c r="C7168" i="1"/>
  <c r="B7168" i="1"/>
  <c r="A7168" i="1"/>
  <c r="F7167" i="1"/>
  <c r="E7167" i="1"/>
  <c r="D7167" i="1"/>
  <c r="C7167" i="1"/>
  <c r="B7167" i="1"/>
  <c r="A7167" i="1"/>
  <c r="F7166" i="1"/>
  <c r="E7166" i="1"/>
  <c r="D7166" i="1"/>
  <c r="C7166" i="1"/>
  <c r="B7166" i="1"/>
  <c r="A7166" i="1"/>
  <c r="F7165" i="1"/>
  <c r="E7165" i="1"/>
  <c r="D7165" i="1"/>
  <c r="C7165" i="1"/>
  <c r="B7165" i="1"/>
  <c r="A7165" i="1"/>
  <c r="F7164" i="1"/>
  <c r="E7164" i="1"/>
  <c r="D7164" i="1"/>
  <c r="C7164" i="1"/>
  <c r="B7164" i="1"/>
  <c r="A7164" i="1"/>
  <c r="F7163" i="1"/>
  <c r="E7163" i="1"/>
  <c r="D7163" i="1"/>
  <c r="C7163" i="1"/>
  <c r="B7163" i="1"/>
  <c r="A7163" i="1"/>
  <c r="F7162" i="1"/>
  <c r="E7162" i="1"/>
  <c r="D7162" i="1"/>
  <c r="C7162" i="1"/>
  <c r="B7162" i="1"/>
  <c r="A7162" i="1"/>
  <c r="F7161" i="1"/>
  <c r="E7161" i="1"/>
  <c r="D7161" i="1"/>
  <c r="C7161" i="1"/>
  <c r="B7161" i="1"/>
  <c r="A7161" i="1"/>
  <c r="F7160" i="1"/>
  <c r="E7160" i="1"/>
  <c r="D7160" i="1"/>
  <c r="C7160" i="1"/>
  <c r="B7160" i="1"/>
  <c r="A7160" i="1"/>
  <c r="F7159" i="1"/>
  <c r="E7159" i="1"/>
  <c r="D7159" i="1"/>
  <c r="C7159" i="1"/>
  <c r="B7159" i="1"/>
  <c r="A7159" i="1"/>
  <c r="F7158" i="1"/>
  <c r="E7158" i="1"/>
  <c r="D7158" i="1"/>
  <c r="C7158" i="1"/>
  <c r="B7158" i="1"/>
  <c r="A7158" i="1"/>
  <c r="F7157" i="1"/>
  <c r="E7157" i="1"/>
  <c r="D7157" i="1"/>
  <c r="C7157" i="1"/>
  <c r="B7157" i="1"/>
  <c r="A7157" i="1"/>
  <c r="F7156" i="1"/>
  <c r="E7156" i="1"/>
  <c r="D7156" i="1"/>
  <c r="C7156" i="1"/>
  <c r="B7156" i="1"/>
  <c r="A7156" i="1"/>
  <c r="F7155" i="1"/>
  <c r="E7155" i="1"/>
  <c r="D7155" i="1"/>
  <c r="C7155" i="1"/>
  <c r="B7155" i="1"/>
  <c r="A7155" i="1"/>
  <c r="F7154" i="1"/>
  <c r="E7154" i="1"/>
  <c r="D7154" i="1"/>
  <c r="C7154" i="1"/>
  <c r="B7154" i="1"/>
  <c r="A7154" i="1"/>
  <c r="F7153" i="1"/>
  <c r="E7153" i="1"/>
  <c r="D7153" i="1"/>
  <c r="C7153" i="1"/>
  <c r="B7153" i="1"/>
  <c r="A7153" i="1"/>
  <c r="F7152" i="1"/>
  <c r="E7152" i="1"/>
  <c r="D7152" i="1"/>
  <c r="C7152" i="1"/>
  <c r="B7152" i="1"/>
  <c r="A7152" i="1"/>
  <c r="F7151" i="1"/>
  <c r="E7151" i="1"/>
  <c r="D7151" i="1"/>
  <c r="C7151" i="1"/>
  <c r="B7151" i="1"/>
  <c r="A7151" i="1"/>
  <c r="F7150" i="1"/>
  <c r="E7150" i="1"/>
  <c r="D7150" i="1"/>
  <c r="C7150" i="1"/>
  <c r="B7150" i="1"/>
  <c r="A7150" i="1"/>
  <c r="F7149" i="1"/>
  <c r="E7149" i="1"/>
  <c r="D7149" i="1"/>
  <c r="C7149" i="1"/>
  <c r="B7149" i="1"/>
  <c r="A7149" i="1"/>
  <c r="F7148" i="1"/>
  <c r="E7148" i="1"/>
  <c r="D7148" i="1"/>
  <c r="C7148" i="1"/>
  <c r="B7148" i="1"/>
  <c r="A7148" i="1"/>
  <c r="F7147" i="1"/>
  <c r="E7147" i="1"/>
  <c r="D7147" i="1"/>
  <c r="C7147" i="1"/>
  <c r="B7147" i="1"/>
  <c r="A7147" i="1"/>
  <c r="F7146" i="1"/>
  <c r="E7146" i="1"/>
  <c r="D7146" i="1"/>
  <c r="C7146" i="1"/>
  <c r="B7146" i="1"/>
  <c r="A7146" i="1"/>
  <c r="F7145" i="1"/>
  <c r="E7145" i="1"/>
  <c r="D7145" i="1"/>
  <c r="C7145" i="1"/>
  <c r="B7145" i="1"/>
  <c r="A7145" i="1"/>
  <c r="F7144" i="1"/>
  <c r="E7144" i="1"/>
  <c r="D7144" i="1"/>
  <c r="C7144" i="1"/>
  <c r="B7144" i="1"/>
  <c r="A7144" i="1"/>
  <c r="F7143" i="1"/>
  <c r="E7143" i="1"/>
  <c r="D7143" i="1"/>
  <c r="C7143" i="1"/>
  <c r="B7143" i="1"/>
  <c r="A7143" i="1"/>
  <c r="F7142" i="1"/>
  <c r="E7142" i="1"/>
  <c r="D7142" i="1"/>
  <c r="C7142" i="1"/>
  <c r="B7142" i="1"/>
  <c r="A7142" i="1"/>
  <c r="F7141" i="1"/>
  <c r="E7141" i="1"/>
  <c r="D7141" i="1"/>
  <c r="C7141" i="1"/>
  <c r="B7141" i="1"/>
  <c r="A7141" i="1"/>
  <c r="F7140" i="1"/>
  <c r="E7140" i="1"/>
  <c r="D7140" i="1"/>
  <c r="C7140" i="1"/>
  <c r="B7140" i="1"/>
  <c r="A7140" i="1"/>
  <c r="F7139" i="1"/>
  <c r="E7139" i="1"/>
  <c r="D7139" i="1"/>
  <c r="C7139" i="1"/>
  <c r="B7139" i="1"/>
  <c r="A7139" i="1"/>
  <c r="F7138" i="1"/>
  <c r="E7138" i="1"/>
  <c r="D7138" i="1"/>
  <c r="C7138" i="1"/>
  <c r="B7138" i="1"/>
  <c r="A7138" i="1"/>
  <c r="F7137" i="1"/>
  <c r="E7137" i="1"/>
  <c r="D7137" i="1"/>
  <c r="C7137" i="1"/>
  <c r="B7137" i="1"/>
  <c r="A7137" i="1"/>
  <c r="F7136" i="1"/>
  <c r="E7136" i="1"/>
  <c r="D7136" i="1"/>
  <c r="C7136" i="1"/>
  <c r="B7136" i="1"/>
  <c r="A7136" i="1"/>
  <c r="F7135" i="1"/>
  <c r="E7135" i="1"/>
  <c r="D7135" i="1"/>
  <c r="C7135" i="1"/>
  <c r="B7135" i="1"/>
  <c r="A7135" i="1"/>
  <c r="F7134" i="1"/>
  <c r="E7134" i="1"/>
  <c r="D7134" i="1"/>
  <c r="C7134" i="1"/>
  <c r="B7134" i="1"/>
  <c r="A7134" i="1"/>
  <c r="F7133" i="1"/>
  <c r="E7133" i="1"/>
  <c r="D7133" i="1"/>
  <c r="C7133" i="1"/>
  <c r="B7133" i="1"/>
  <c r="A7133" i="1"/>
  <c r="F7132" i="1"/>
  <c r="E7132" i="1"/>
  <c r="D7132" i="1"/>
  <c r="C7132" i="1"/>
  <c r="B7132" i="1"/>
  <c r="A7132" i="1"/>
  <c r="F7131" i="1"/>
  <c r="E7131" i="1"/>
  <c r="D7131" i="1"/>
  <c r="C7131" i="1"/>
  <c r="B7131" i="1"/>
  <c r="A7131" i="1"/>
  <c r="F7130" i="1"/>
  <c r="E7130" i="1"/>
  <c r="D7130" i="1"/>
  <c r="C7130" i="1"/>
  <c r="B7130" i="1"/>
  <c r="A7130" i="1"/>
  <c r="F7129" i="1"/>
  <c r="E7129" i="1"/>
  <c r="D7129" i="1"/>
  <c r="C7129" i="1"/>
  <c r="B7129" i="1"/>
  <c r="A7129" i="1"/>
  <c r="F7128" i="1"/>
  <c r="E7128" i="1"/>
  <c r="D7128" i="1"/>
  <c r="C7128" i="1"/>
  <c r="B7128" i="1"/>
  <c r="A7128" i="1"/>
  <c r="F7127" i="1"/>
  <c r="E7127" i="1"/>
  <c r="D7127" i="1"/>
  <c r="C7127" i="1"/>
  <c r="B7127" i="1"/>
  <c r="A7127" i="1"/>
  <c r="F7126" i="1"/>
  <c r="E7126" i="1"/>
  <c r="D7126" i="1"/>
  <c r="C7126" i="1"/>
  <c r="B7126" i="1"/>
  <c r="A7126" i="1"/>
  <c r="F7125" i="1"/>
  <c r="E7125" i="1"/>
  <c r="D7125" i="1"/>
  <c r="C7125" i="1"/>
  <c r="B7125" i="1"/>
  <c r="A7125" i="1"/>
  <c r="F7124" i="1"/>
  <c r="E7124" i="1"/>
  <c r="D7124" i="1"/>
  <c r="C7124" i="1"/>
  <c r="B7124" i="1"/>
  <c r="A7124" i="1"/>
  <c r="F7123" i="1"/>
  <c r="E7123" i="1"/>
  <c r="D7123" i="1"/>
  <c r="C7123" i="1"/>
  <c r="B7123" i="1"/>
  <c r="A7123" i="1"/>
  <c r="F7122" i="1"/>
  <c r="E7122" i="1"/>
  <c r="D7122" i="1"/>
  <c r="C7122" i="1"/>
  <c r="B7122" i="1"/>
  <c r="A7122" i="1"/>
  <c r="F7121" i="1"/>
  <c r="E7121" i="1"/>
  <c r="D7121" i="1"/>
  <c r="C7121" i="1"/>
  <c r="B7121" i="1"/>
  <c r="A7121" i="1"/>
  <c r="F7120" i="1"/>
  <c r="E7120" i="1"/>
  <c r="D7120" i="1"/>
  <c r="C7120" i="1"/>
  <c r="B7120" i="1"/>
  <c r="A7120" i="1"/>
  <c r="F7119" i="1"/>
  <c r="E7119" i="1"/>
  <c r="D7119" i="1"/>
  <c r="C7119" i="1"/>
  <c r="B7119" i="1"/>
  <c r="A7119" i="1"/>
  <c r="F7118" i="1"/>
  <c r="E7118" i="1"/>
  <c r="D7118" i="1"/>
  <c r="C7118" i="1"/>
  <c r="B7118" i="1"/>
  <c r="A7118" i="1"/>
  <c r="F7117" i="1"/>
  <c r="E7117" i="1"/>
  <c r="D7117" i="1"/>
  <c r="C7117" i="1"/>
  <c r="B7117" i="1"/>
  <c r="A7117" i="1"/>
  <c r="F7116" i="1"/>
  <c r="E7116" i="1"/>
  <c r="D7116" i="1"/>
  <c r="C7116" i="1"/>
  <c r="B7116" i="1"/>
  <c r="A7116" i="1"/>
  <c r="F7115" i="1"/>
  <c r="E7115" i="1"/>
  <c r="D7115" i="1"/>
  <c r="C7115" i="1"/>
  <c r="B7115" i="1"/>
  <c r="A7115" i="1"/>
  <c r="F7114" i="1"/>
  <c r="E7114" i="1"/>
  <c r="D7114" i="1"/>
  <c r="C7114" i="1"/>
  <c r="B7114" i="1"/>
  <c r="A7114" i="1"/>
  <c r="F7113" i="1"/>
  <c r="E7113" i="1"/>
  <c r="D7113" i="1"/>
  <c r="C7113" i="1"/>
  <c r="B7113" i="1"/>
  <c r="A7113" i="1"/>
  <c r="F7112" i="1"/>
  <c r="E7112" i="1"/>
  <c r="D7112" i="1"/>
  <c r="C7112" i="1"/>
  <c r="B7112" i="1"/>
  <c r="A7112" i="1"/>
  <c r="F7111" i="1"/>
  <c r="E7111" i="1"/>
  <c r="D7111" i="1"/>
  <c r="C7111" i="1"/>
  <c r="B7111" i="1"/>
  <c r="A7111" i="1"/>
  <c r="F7110" i="1"/>
  <c r="E7110" i="1"/>
  <c r="D7110" i="1"/>
  <c r="C7110" i="1"/>
  <c r="B7110" i="1"/>
  <c r="A7110" i="1"/>
  <c r="F7109" i="1"/>
  <c r="E7109" i="1"/>
  <c r="D7109" i="1"/>
  <c r="C7109" i="1"/>
  <c r="B7109" i="1"/>
  <c r="A7109" i="1"/>
  <c r="F7108" i="1"/>
  <c r="E7108" i="1"/>
  <c r="D7108" i="1"/>
  <c r="C7108" i="1"/>
  <c r="B7108" i="1"/>
  <c r="A7108" i="1"/>
  <c r="F7107" i="1"/>
  <c r="E7107" i="1"/>
  <c r="D7107" i="1"/>
  <c r="C7107" i="1"/>
  <c r="B7107" i="1"/>
  <c r="A7107" i="1"/>
  <c r="F7106" i="1"/>
  <c r="E7106" i="1"/>
  <c r="D7106" i="1"/>
  <c r="C7106" i="1"/>
  <c r="B7106" i="1"/>
  <c r="A7106" i="1"/>
  <c r="F7105" i="1"/>
  <c r="E7105" i="1"/>
  <c r="D7105" i="1"/>
  <c r="C7105" i="1"/>
  <c r="B7105" i="1"/>
  <c r="A7105" i="1"/>
  <c r="F7104" i="1"/>
  <c r="E7104" i="1"/>
  <c r="D7104" i="1"/>
  <c r="C7104" i="1"/>
  <c r="B7104" i="1"/>
  <c r="A7104" i="1"/>
  <c r="F7103" i="1"/>
  <c r="E7103" i="1"/>
  <c r="D7103" i="1"/>
  <c r="C7103" i="1"/>
  <c r="B7103" i="1"/>
  <c r="A7103" i="1"/>
  <c r="F7102" i="1"/>
  <c r="E7102" i="1"/>
  <c r="D7102" i="1"/>
  <c r="C7102" i="1"/>
  <c r="B7102" i="1"/>
  <c r="A7102" i="1"/>
  <c r="F7101" i="1"/>
  <c r="E7101" i="1"/>
  <c r="D7101" i="1"/>
  <c r="C7101" i="1"/>
  <c r="B7101" i="1"/>
  <c r="A7101" i="1"/>
  <c r="F7100" i="1"/>
  <c r="E7100" i="1"/>
  <c r="D7100" i="1"/>
  <c r="C7100" i="1"/>
  <c r="B7100" i="1"/>
  <c r="A7100" i="1"/>
  <c r="F7099" i="1"/>
  <c r="E7099" i="1"/>
  <c r="D7099" i="1"/>
  <c r="C7099" i="1"/>
  <c r="B7099" i="1"/>
  <c r="A7099" i="1"/>
  <c r="F7098" i="1"/>
  <c r="E7098" i="1"/>
  <c r="D7098" i="1"/>
  <c r="C7098" i="1"/>
  <c r="B7098" i="1"/>
  <c r="A7098" i="1"/>
  <c r="F7097" i="1"/>
  <c r="E7097" i="1"/>
  <c r="D7097" i="1"/>
  <c r="C7097" i="1"/>
  <c r="B7097" i="1"/>
  <c r="A7097" i="1"/>
  <c r="F7096" i="1"/>
  <c r="E7096" i="1"/>
  <c r="D7096" i="1"/>
  <c r="C7096" i="1"/>
  <c r="B7096" i="1"/>
  <c r="A7096" i="1"/>
  <c r="F7095" i="1"/>
  <c r="E7095" i="1"/>
  <c r="D7095" i="1"/>
  <c r="C7095" i="1"/>
  <c r="B7095" i="1"/>
  <c r="A7095" i="1"/>
  <c r="F7094" i="1"/>
  <c r="E7094" i="1"/>
  <c r="D7094" i="1"/>
  <c r="C7094" i="1"/>
  <c r="B7094" i="1"/>
  <c r="A7094" i="1"/>
  <c r="F7093" i="1"/>
  <c r="E7093" i="1"/>
  <c r="D7093" i="1"/>
  <c r="C7093" i="1"/>
  <c r="B7093" i="1"/>
  <c r="A7093" i="1"/>
  <c r="F7092" i="1"/>
  <c r="E7092" i="1"/>
  <c r="D7092" i="1"/>
  <c r="C7092" i="1"/>
  <c r="B7092" i="1"/>
  <c r="A7092" i="1"/>
  <c r="F7091" i="1"/>
  <c r="E7091" i="1"/>
  <c r="D7091" i="1"/>
  <c r="C7091" i="1"/>
  <c r="B7091" i="1"/>
  <c r="A7091" i="1"/>
  <c r="F7090" i="1"/>
  <c r="E7090" i="1"/>
  <c r="D7090" i="1"/>
  <c r="C7090" i="1"/>
  <c r="B7090" i="1"/>
  <c r="A7090" i="1"/>
  <c r="F7089" i="1"/>
  <c r="E7089" i="1"/>
  <c r="D7089" i="1"/>
  <c r="C7089" i="1"/>
  <c r="B7089" i="1"/>
  <c r="A7089" i="1"/>
  <c r="F7088" i="1"/>
  <c r="E7088" i="1"/>
  <c r="D7088" i="1"/>
  <c r="C7088" i="1"/>
  <c r="B7088" i="1"/>
  <c r="A7088" i="1"/>
  <c r="F7087" i="1"/>
  <c r="E7087" i="1"/>
  <c r="D7087" i="1"/>
  <c r="C7087" i="1"/>
  <c r="B7087" i="1"/>
  <c r="A7087" i="1"/>
  <c r="F7086" i="1"/>
  <c r="E7086" i="1"/>
  <c r="D7086" i="1"/>
  <c r="C7086" i="1"/>
  <c r="B7086" i="1"/>
  <c r="A7086" i="1"/>
  <c r="F7085" i="1"/>
  <c r="E7085" i="1"/>
  <c r="D7085" i="1"/>
  <c r="C7085" i="1"/>
  <c r="B7085" i="1"/>
  <c r="A7085" i="1"/>
  <c r="F7084" i="1"/>
  <c r="E7084" i="1"/>
  <c r="D7084" i="1"/>
  <c r="C7084" i="1"/>
  <c r="B7084" i="1"/>
  <c r="A7084" i="1"/>
  <c r="F7083" i="1"/>
  <c r="E7083" i="1"/>
  <c r="D7083" i="1"/>
  <c r="C7083" i="1"/>
  <c r="B7083" i="1"/>
  <c r="A7083" i="1"/>
  <c r="F7082" i="1"/>
  <c r="E7082" i="1"/>
  <c r="D7082" i="1"/>
  <c r="C7082" i="1"/>
  <c r="B7082" i="1"/>
  <c r="A7082" i="1"/>
  <c r="F7081" i="1"/>
  <c r="E7081" i="1"/>
  <c r="D7081" i="1"/>
  <c r="C7081" i="1"/>
  <c r="B7081" i="1"/>
  <c r="A7081" i="1"/>
  <c r="F7080" i="1"/>
  <c r="E7080" i="1"/>
  <c r="D7080" i="1"/>
  <c r="C7080" i="1"/>
  <c r="B7080" i="1"/>
  <c r="A7080" i="1"/>
  <c r="F7079" i="1"/>
  <c r="E7079" i="1"/>
  <c r="D7079" i="1"/>
  <c r="C7079" i="1"/>
  <c r="B7079" i="1"/>
  <c r="A7079" i="1"/>
  <c r="F7078" i="1"/>
  <c r="E7078" i="1"/>
  <c r="D7078" i="1"/>
  <c r="C7078" i="1"/>
  <c r="B7078" i="1"/>
  <c r="A7078" i="1"/>
  <c r="F7077" i="1"/>
  <c r="E7077" i="1"/>
  <c r="D7077" i="1"/>
  <c r="C7077" i="1"/>
  <c r="B7077" i="1"/>
  <c r="A7077" i="1"/>
  <c r="F7076" i="1"/>
  <c r="E7076" i="1"/>
  <c r="D7076" i="1"/>
  <c r="C7076" i="1"/>
  <c r="B7076" i="1"/>
  <c r="A7076" i="1"/>
  <c r="F7075" i="1"/>
  <c r="E7075" i="1"/>
  <c r="D7075" i="1"/>
  <c r="C7075" i="1"/>
  <c r="B7075" i="1"/>
  <c r="A7075" i="1"/>
  <c r="F7074" i="1"/>
  <c r="E7074" i="1"/>
  <c r="D7074" i="1"/>
  <c r="C7074" i="1"/>
  <c r="B7074" i="1"/>
  <c r="A7074" i="1"/>
  <c r="F7073" i="1"/>
  <c r="E7073" i="1"/>
  <c r="D7073" i="1"/>
  <c r="C7073" i="1"/>
  <c r="B7073" i="1"/>
  <c r="A7073" i="1"/>
  <c r="F7072" i="1"/>
  <c r="E7072" i="1"/>
  <c r="D7072" i="1"/>
  <c r="C7072" i="1"/>
  <c r="B7072" i="1"/>
  <c r="A7072" i="1"/>
  <c r="F7071" i="1"/>
  <c r="E7071" i="1"/>
  <c r="D7071" i="1"/>
  <c r="C7071" i="1"/>
  <c r="B7071" i="1"/>
  <c r="A7071" i="1"/>
  <c r="F7070" i="1"/>
  <c r="E7070" i="1"/>
  <c r="D7070" i="1"/>
  <c r="C7070" i="1"/>
  <c r="B7070" i="1"/>
  <c r="A7070" i="1"/>
  <c r="F7069" i="1"/>
  <c r="E7069" i="1"/>
  <c r="D7069" i="1"/>
  <c r="C7069" i="1"/>
  <c r="B7069" i="1"/>
  <c r="A7069" i="1"/>
  <c r="F7068" i="1"/>
  <c r="E7068" i="1"/>
  <c r="D7068" i="1"/>
  <c r="C7068" i="1"/>
  <c r="B7068" i="1"/>
  <c r="A7068" i="1"/>
  <c r="F7067" i="1"/>
  <c r="E7067" i="1"/>
  <c r="D7067" i="1"/>
  <c r="C7067" i="1"/>
  <c r="B7067" i="1"/>
  <c r="A7067" i="1"/>
  <c r="F7066" i="1"/>
  <c r="E7066" i="1"/>
  <c r="D7066" i="1"/>
  <c r="C7066" i="1"/>
  <c r="B7066" i="1"/>
  <c r="A7066" i="1"/>
  <c r="F7065" i="1"/>
  <c r="E7065" i="1"/>
  <c r="D7065" i="1"/>
  <c r="C7065" i="1"/>
  <c r="B7065" i="1"/>
  <c r="A7065" i="1"/>
  <c r="F7064" i="1"/>
  <c r="E7064" i="1"/>
  <c r="D7064" i="1"/>
  <c r="C7064" i="1"/>
  <c r="B7064" i="1"/>
  <c r="A7064" i="1"/>
  <c r="F7063" i="1"/>
  <c r="E7063" i="1"/>
  <c r="D7063" i="1"/>
  <c r="C7063" i="1"/>
  <c r="B7063" i="1"/>
  <c r="A7063" i="1"/>
  <c r="F7062" i="1"/>
  <c r="E7062" i="1"/>
  <c r="D7062" i="1"/>
  <c r="C7062" i="1"/>
  <c r="B7062" i="1"/>
  <c r="A7062" i="1"/>
  <c r="F7061" i="1"/>
  <c r="E7061" i="1"/>
  <c r="D7061" i="1"/>
  <c r="C7061" i="1"/>
  <c r="B7061" i="1"/>
  <c r="A7061" i="1"/>
  <c r="F7060" i="1"/>
  <c r="E7060" i="1"/>
  <c r="D7060" i="1"/>
  <c r="C7060" i="1"/>
  <c r="B7060" i="1"/>
  <c r="A7060" i="1"/>
  <c r="F7059" i="1"/>
  <c r="E7059" i="1"/>
  <c r="D7059" i="1"/>
  <c r="C7059" i="1"/>
  <c r="B7059" i="1"/>
  <c r="A7059" i="1"/>
  <c r="F7058" i="1"/>
  <c r="E7058" i="1"/>
  <c r="D7058" i="1"/>
  <c r="C7058" i="1"/>
  <c r="B7058" i="1"/>
  <c r="A7058" i="1"/>
  <c r="F7057" i="1"/>
  <c r="E7057" i="1"/>
  <c r="D7057" i="1"/>
  <c r="C7057" i="1"/>
  <c r="B7057" i="1"/>
  <c r="A7057" i="1"/>
  <c r="F7056" i="1"/>
  <c r="E7056" i="1"/>
  <c r="D7056" i="1"/>
  <c r="C7056" i="1"/>
  <c r="B7056" i="1"/>
  <c r="A7056" i="1"/>
  <c r="F7055" i="1"/>
  <c r="E7055" i="1"/>
  <c r="D7055" i="1"/>
  <c r="C7055" i="1"/>
  <c r="B7055" i="1"/>
  <c r="A7055" i="1"/>
  <c r="F7054" i="1"/>
  <c r="E7054" i="1"/>
  <c r="D7054" i="1"/>
  <c r="C7054" i="1"/>
  <c r="B7054" i="1"/>
  <c r="A7054" i="1"/>
  <c r="F7053" i="1"/>
  <c r="E7053" i="1"/>
  <c r="D7053" i="1"/>
  <c r="C7053" i="1"/>
  <c r="B7053" i="1"/>
  <c r="A7053" i="1"/>
  <c r="F7052" i="1"/>
  <c r="E7052" i="1"/>
  <c r="D7052" i="1"/>
  <c r="C7052" i="1"/>
  <c r="B7052" i="1"/>
  <c r="A7052" i="1"/>
  <c r="F7051" i="1"/>
  <c r="E7051" i="1"/>
  <c r="D7051" i="1"/>
  <c r="C7051" i="1"/>
  <c r="B7051" i="1"/>
  <c r="A7051" i="1"/>
  <c r="F7050" i="1"/>
  <c r="E7050" i="1"/>
  <c r="D7050" i="1"/>
  <c r="C7050" i="1"/>
  <c r="B7050" i="1"/>
  <c r="A7050" i="1"/>
  <c r="F7049" i="1"/>
  <c r="E7049" i="1"/>
  <c r="D7049" i="1"/>
  <c r="C7049" i="1"/>
  <c r="B7049" i="1"/>
  <c r="A7049" i="1"/>
  <c r="F7048" i="1"/>
  <c r="E7048" i="1"/>
  <c r="D7048" i="1"/>
  <c r="C7048" i="1"/>
  <c r="B7048" i="1"/>
  <c r="A7048" i="1"/>
  <c r="F7047" i="1"/>
  <c r="E7047" i="1"/>
  <c r="D7047" i="1"/>
  <c r="C7047" i="1"/>
  <c r="B7047" i="1"/>
  <c r="A7047" i="1"/>
  <c r="F7046" i="1"/>
  <c r="E7046" i="1"/>
  <c r="D7046" i="1"/>
  <c r="C7046" i="1"/>
  <c r="B7046" i="1"/>
  <c r="A7046" i="1"/>
  <c r="F7045" i="1"/>
  <c r="E7045" i="1"/>
  <c r="D7045" i="1"/>
  <c r="C7045" i="1"/>
  <c r="B7045" i="1"/>
  <c r="A7045" i="1"/>
  <c r="F7044" i="1"/>
  <c r="E7044" i="1"/>
  <c r="D7044" i="1"/>
  <c r="C7044" i="1"/>
  <c r="B7044" i="1"/>
  <c r="A7044" i="1"/>
  <c r="F7043" i="1"/>
  <c r="E7043" i="1"/>
  <c r="D7043" i="1"/>
  <c r="C7043" i="1"/>
  <c r="B7043" i="1"/>
  <c r="A7043" i="1"/>
  <c r="F7042" i="1"/>
  <c r="E7042" i="1"/>
  <c r="D7042" i="1"/>
  <c r="C7042" i="1"/>
  <c r="B7042" i="1"/>
  <c r="A7042" i="1"/>
  <c r="F7041" i="1"/>
  <c r="E7041" i="1"/>
  <c r="D7041" i="1"/>
  <c r="C7041" i="1"/>
  <c r="B7041" i="1"/>
  <c r="A7041" i="1"/>
  <c r="F7040" i="1"/>
  <c r="E7040" i="1"/>
  <c r="D7040" i="1"/>
  <c r="C7040" i="1"/>
  <c r="B7040" i="1"/>
  <c r="A7040" i="1"/>
  <c r="F7039" i="1"/>
  <c r="E7039" i="1"/>
  <c r="D7039" i="1"/>
  <c r="C7039" i="1"/>
  <c r="B7039" i="1"/>
  <c r="A7039" i="1"/>
  <c r="F7038" i="1"/>
  <c r="E7038" i="1"/>
  <c r="D7038" i="1"/>
  <c r="C7038" i="1"/>
  <c r="B7038" i="1"/>
  <c r="A7038" i="1"/>
  <c r="F7037" i="1"/>
  <c r="E7037" i="1"/>
  <c r="D7037" i="1"/>
  <c r="C7037" i="1"/>
  <c r="B7037" i="1"/>
  <c r="A7037" i="1"/>
  <c r="F7036" i="1"/>
  <c r="E7036" i="1"/>
  <c r="D7036" i="1"/>
  <c r="C7036" i="1"/>
  <c r="B7036" i="1"/>
  <c r="A7036" i="1"/>
  <c r="F7035" i="1"/>
  <c r="E7035" i="1"/>
  <c r="D7035" i="1"/>
  <c r="C7035" i="1"/>
  <c r="B7035" i="1"/>
  <c r="A7035" i="1"/>
  <c r="F7034" i="1"/>
  <c r="E7034" i="1"/>
  <c r="D7034" i="1"/>
  <c r="C7034" i="1"/>
  <c r="B7034" i="1"/>
  <c r="A7034" i="1"/>
  <c r="F7033" i="1"/>
  <c r="E7033" i="1"/>
  <c r="D7033" i="1"/>
  <c r="C7033" i="1"/>
  <c r="B7033" i="1"/>
  <c r="A7033" i="1"/>
  <c r="F7032" i="1"/>
  <c r="E7032" i="1"/>
  <c r="D7032" i="1"/>
  <c r="C7032" i="1"/>
  <c r="B7032" i="1"/>
  <c r="A7032" i="1"/>
  <c r="F7031" i="1"/>
  <c r="E7031" i="1"/>
  <c r="D7031" i="1"/>
  <c r="C7031" i="1"/>
  <c r="B7031" i="1"/>
  <c r="A7031" i="1"/>
  <c r="F7030" i="1"/>
  <c r="E7030" i="1"/>
  <c r="D7030" i="1"/>
  <c r="C7030" i="1"/>
  <c r="B7030" i="1"/>
  <c r="A7030" i="1"/>
  <c r="F7029" i="1"/>
  <c r="E7029" i="1"/>
  <c r="D7029" i="1"/>
  <c r="C7029" i="1"/>
  <c r="B7029" i="1"/>
  <c r="A7029" i="1"/>
  <c r="F7028" i="1"/>
  <c r="E7028" i="1"/>
  <c r="D7028" i="1"/>
  <c r="C7028" i="1"/>
  <c r="B7028" i="1"/>
  <c r="A7028" i="1"/>
  <c r="F7027" i="1"/>
  <c r="E7027" i="1"/>
  <c r="D7027" i="1"/>
  <c r="C7027" i="1"/>
  <c r="B7027" i="1"/>
  <c r="A7027" i="1"/>
  <c r="F7026" i="1"/>
  <c r="E7026" i="1"/>
  <c r="D7026" i="1"/>
  <c r="C7026" i="1"/>
  <c r="B7026" i="1"/>
  <c r="A7026" i="1"/>
  <c r="F7025" i="1"/>
  <c r="E7025" i="1"/>
  <c r="D7025" i="1"/>
  <c r="C7025" i="1"/>
  <c r="B7025" i="1"/>
  <c r="A7025" i="1"/>
  <c r="F7024" i="1"/>
  <c r="E7024" i="1"/>
  <c r="D7024" i="1"/>
  <c r="C7024" i="1"/>
  <c r="B7024" i="1"/>
  <c r="A7024" i="1"/>
  <c r="F7023" i="1"/>
  <c r="E7023" i="1"/>
  <c r="D7023" i="1"/>
  <c r="C7023" i="1"/>
  <c r="B7023" i="1"/>
  <c r="A7023" i="1"/>
  <c r="F7022" i="1"/>
  <c r="E7022" i="1"/>
  <c r="D7022" i="1"/>
  <c r="C7022" i="1"/>
  <c r="B7022" i="1"/>
  <c r="A7022" i="1"/>
  <c r="F7021" i="1"/>
  <c r="E7021" i="1"/>
  <c r="D7021" i="1"/>
  <c r="C7021" i="1"/>
  <c r="B7021" i="1"/>
  <c r="A7021" i="1"/>
  <c r="F7020" i="1"/>
  <c r="E7020" i="1"/>
  <c r="D7020" i="1"/>
  <c r="C7020" i="1"/>
  <c r="B7020" i="1"/>
  <c r="A7020" i="1"/>
  <c r="F7019" i="1"/>
  <c r="E7019" i="1"/>
  <c r="D7019" i="1"/>
  <c r="C7019" i="1"/>
  <c r="B7019" i="1"/>
  <c r="A7019" i="1"/>
  <c r="F7018" i="1"/>
  <c r="E7018" i="1"/>
  <c r="D7018" i="1"/>
  <c r="C7018" i="1"/>
  <c r="B7018" i="1"/>
  <c r="A7018" i="1"/>
  <c r="F7017" i="1"/>
  <c r="E7017" i="1"/>
  <c r="D7017" i="1"/>
  <c r="C7017" i="1"/>
  <c r="B7017" i="1"/>
  <c r="A7017" i="1"/>
  <c r="F7016" i="1"/>
  <c r="E7016" i="1"/>
  <c r="D7016" i="1"/>
  <c r="C7016" i="1"/>
  <c r="B7016" i="1"/>
  <c r="A7016" i="1"/>
  <c r="F7015" i="1"/>
  <c r="E7015" i="1"/>
  <c r="D7015" i="1"/>
  <c r="C7015" i="1"/>
  <c r="B7015" i="1"/>
  <c r="A7015" i="1"/>
  <c r="F7014" i="1"/>
  <c r="E7014" i="1"/>
  <c r="D7014" i="1"/>
  <c r="C7014" i="1"/>
  <c r="B7014" i="1"/>
  <c r="A7014" i="1"/>
  <c r="F7013" i="1"/>
  <c r="E7013" i="1"/>
  <c r="D7013" i="1"/>
  <c r="C7013" i="1"/>
  <c r="B7013" i="1"/>
  <c r="A7013" i="1"/>
  <c r="F7012" i="1"/>
  <c r="E7012" i="1"/>
  <c r="D7012" i="1"/>
  <c r="C7012" i="1"/>
  <c r="B7012" i="1"/>
  <c r="A7012" i="1"/>
  <c r="F7011" i="1"/>
  <c r="E7011" i="1"/>
  <c r="D7011" i="1"/>
  <c r="C7011" i="1"/>
  <c r="B7011" i="1"/>
  <c r="A7011" i="1"/>
  <c r="F7010" i="1"/>
  <c r="E7010" i="1"/>
  <c r="D7010" i="1"/>
  <c r="C7010" i="1"/>
  <c r="B7010" i="1"/>
  <c r="A7010" i="1"/>
  <c r="F7009" i="1"/>
  <c r="E7009" i="1"/>
  <c r="D7009" i="1"/>
  <c r="C7009" i="1"/>
  <c r="B7009" i="1"/>
  <c r="A7009" i="1"/>
  <c r="F7008" i="1"/>
  <c r="E7008" i="1"/>
  <c r="D7008" i="1"/>
  <c r="C7008" i="1"/>
  <c r="B7008" i="1"/>
  <c r="A7008" i="1"/>
  <c r="F7007" i="1"/>
  <c r="E7007" i="1"/>
  <c r="D7007" i="1"/>
  <c r="C7007" i="1"/>
  <c r="B7007" i="1"/>
  <c r="A7007" i="1"/>
  <c r="F7006" i="1"/>
  <c r="E7006" i="1"/>
  <c r="D7006" i="1"/>
  <c r="C7006" i="1"/>
  <c r="B7006" i="1"/>
  <c r="A7006" i="1"/>
  <c r="F7005" i="1"/>
  <c r="E7005" i="1"/>
  <c r="D7005" i="1"/>
  <c r="C7005" i="1"/>
  <c r="B7005" i="1"/>
  <c r="A7005" i="1"/>
  <c r="F7004" i="1"/>
  <c r="E7004" i="1"/>
  <c r="D7004" i="1"/>
  <c r="C7004" i="1"/>
  <c r="B7004" i="1"/>
  <c r="A7004" i="1"/>
  <c r="F7003" i="1"/>
  <c r="E7003" i="1"/>
  <c r="D7003" i="1"/>
  <c r="C7003" i="1"/>
  <c r="B7003" i="1"/>
  <c r="A7003" i="1"/>
  <c r="F7002" i="1"/>
  <c r="E7002" i="1"/>
  <c r="D7002" i="1"/>
  <c r="C7002" i="1"/>
  <c r="B7002" i="1"/>
  <c r="A7002" i="1"/>
  <c r="F7001" i="1"/>
  <c r="E7001" i="1"/>
  <c r="D7001" i="1"/>
  <c r="C7001" i="1"/>
  <c r="B7001" i="1"/>
  <c r="A7001" i="1"/>
  <c r="F7000" i="1"/>
  <c r="E7000" i="1"/>
  <c r="D7000" i="1"/>
  <c r="C7000" i="1"/>
  <c r="B7000" i="1"/>
  <c r="A7000" i="1"/>
  <c r="F6999" i="1"/>
  <c r="E6999" i="1"/>
  <c r="D6999" i="1"/>
  <c r="C6999" i="1"/>
  <c r="B6999" i="1"/>
  <c r="A6999" i="1"/>
  <c r="F6998" i="1"/>
  <c r="E6998" i="1"/>
  <c r="D6998" i="1"/>
  <c r="C6998" i="1"/>
  <c r="B6998" i="1"/>
  <c r="A6998" i="1"/>
  <c r="F6997" i="1"/>
  <c r="E6997" i="1"/>
  <c r="D6997" i="1"/>
  <c r="C6997" i="1"/>
  <c r="B6997" i="1"/>
  <c r="A6997" i="1"/>
  <c r="F6996" i="1"/>
  <c r="E6996" i="1"/>
  <c r="D6996" i="1"/>
  <c r="C6996" i="1"/>
  <c r="B6996" i="1"/>
  <c r="A6996" i="1"/>
  <c r="F6995" i="1"/>
  <c r="E6995" i="1"/>
  <c r="D6995" i="1"/>
  <c r="C6995" i="1"/>
  <c r="B6995" i="1"/>
  <c r="A6995" i="1"/>
  <c r="F6994" i="1"/>
  <c r="E6994" i="1"/>
  <c r="D6994" i="1"/>
  <c r="C6994" i="1"/>
  <c r="B6994" i="1"/>
  <c r="A6994" i="1"/>
  <c r="F6993" i="1"/>
  <c r="E6993" i="1"/>
  <c r="D6993" i="1"/>
  <c r="C6993" i="1"/>
  <c r="B6993" i="1"/>
  <c r="A6993" i="1"/>
  <c r="F6992" i="1"/>
  <c r="E6992" i="1"/>
  <c r="D6992" i="1"/>
  <c r="C6992" i="1"/>
  <c r="B6992" i="1"/>
  <c r="A6992" i="1"/>
  <c r="F6991" i="1"/>
  <c r="E6991" i="1"/>
  <c r="D6991" i="1"/>
  <c r="C6991" i="1"/>
  <c r="B6991" i="1"/>
  <c r="A6991" i="1"/>
  <c r="F6990" i="1"/>
  <c r="E6990" i="1"/>
  <c r="D6990" i="1"/>
  <c r="C6990" i="1"/>
  <c r="B6990" i="1"/>
  <c r="A6990" i="1"/>
  <c r="F6989" i="1"/>
  <c r="E6989" i="1"/>
  <c r="D6989" i="1"/>
  <c r="C6989" i="1"/>
  <c r="B6989" i="1"/>
  <c r="A6989" i="1"/>
  <c r="F6988" i="1"/>
  <c r="E6988" i="1"/>
  <c r="D6988" i="1"/>
  <c r="C6988" i="1"/>
  <c r="B6988" i="1"/>
  <c r="A6988" i="1"/>
  <c r="F6987" i="1"/>
  <c r="E6987" i="1"/>
  <c r="D6987" i="1"/>
  <c r="C6987" i="1"/>
  <c r="B6987" i="1"/>
  <c r="A6987" i="1"/>
  <c r="F6986" i="1"/>
  <c r="E6986" i="1"/>
  <c r="D6986" i="1"/>
  <c r="C6986" i="1"/>
  <c r="B6986" i="1"/>
  <c r="A6986" i="1"/>
  <c r="F6985" i="1"/>
  <c r="E6985" i="1"/>
  <c r="D6985" i="1"/>
  <c r="C6985" i="1"/>
  <c r="B6985" i="1"/>
  <c r="A6985" i="1"/>
  <c r="F6984" i="1"/>
  <c r="E6984" i="1"/>
  <c r="D6984" i="1"/>
  <c r="C6984" i="1"/>
  <c r="B6984" i="1"/>
  <c r="A6984" i="1"/>
  <c r="F6983" i="1"/>
  <c r="E6983" i="1"/>
  <c r="D6983" i="1"/>
  <c r="C6983" i="1"/>
  <c r="B6983" i="1"/>
  <c r="A6983" i="1"/>
  <c r="F6982" i="1"/>
  <c r="E6982" i="1"/>
  <c r="D6982" i="1"/>
  <c r="C6982" i="1"/>
  <c r="B6982" i="1"/>
  <c r="A6982" i="1"/>
  <c r="F6981" i="1"/>
  <c r="E6981" i="1"/>
  <c r="D6981" i="1"/>
  <c r="C6981" i="1"/>
  <c r="B6981" i="1"/>
  <c r="A6981" i="1"/>
  <c r="F6980" i="1"/>
  <c r="E6980" i="1"/>
  <c r="D6980" i="1"/>
  <c r="C6980" i="1"/>
  <c r="B6980" i="1"/>
  <c r="A6980" i="1"/>
  <c r="F6979" i="1"/>
  <c r="E6979" i="1"/>
  <c r="D6979" i="1"/>
  <c r="C6979" i="1"/>
  <c r="B6979" i="1"/>
  <c r="A6979" i="1"/>
  <c r="F6978" i="1"/>
  <c r="E6978" i="1"/>
  <c r="D6978" i="1"/>
  <c r="C6978" i="1"/>
  <c r="B6978" i="1"/>
  <c r="A6978" i="1"/>
  <c r="F6977" i="1"/>
  <c r="E6977" i="1"/>
  <c r="D6977" i="1"/>
  <c r="C6977" i="1"/>
  <c r="B6977" i="1"/>
  <c r="A6977" i="1"/>
  <c r="F6976" i="1"/>
  <c r="E6976" i="1"/>
  <c r="D6976" i="1"/>
  <c r="C6976" i="1"/>
  <c r="B6976" i="1"/>
  <c r="A6976" i="1"/>
  <c r="F6975" i="1"/>
  <c r="E6975" i="1"/>
  <c r="D6975" i="1"/>
  <c r="C6975" i="1"/>
  <c r="B6975" i="1"/>
  <c r="A6975" i="1"/>
  <c r="F6974" i="1"/>
  <c r="E6974" i="1"/>
  <c r="D6974" i="1"/>
  <c r="C6974" i="1"/>
  <c r="B6974" i="1"/>
  <c r="A6974" i="1"/>
  <c r="F6973" i="1"/>
  <c r="E6973" i="1"/>
  <c r="D6973" i="1"/>
  <c r="C6973" i="1"/>
  <c r="B6973" i="1"/>
  <c r="A6973" i="1"/>
  <c r="F6972" i="1"/>
  <c r="E6972" i="1"/>
  <c r="D6972" i="1"/>
  <c r="C6972" i="1"/>
  <c r="B6972" i="1"/>
  <c r="A6972" i="1"/>
  <c r="F6971" i="1"/>
  <c r="E6971" i="1"/>
  <c r="D6971" i="1"/>
  <c r="C6971" i="1"/>
  <c r="B6971" i="1"/>
  <c r="A6971" i="1"/>
  <c r="F6970" i="1"/>
  <c r="E6970" i="1"/>
  <c r="D6970" i="1"/>
  <c r="C6970" i="1"/>
  <c r="B6970" i="1"/>
  <c r="A6970" i="1"/>
  <c r="F6969" i="1"/>
  <c r="E6969" i="1"/>
  <c r="D6969" i="1"/>
  <c r="C6969" i="1"/>
  <c r="B6969" i="1"/>
  <c r="A6969" i="1"/>
  <c r="F6968" i="1"/>
  <c r="E6968" i="1"/>
  <c r="D6968" i="1"/>
  <c r="C6968" i="1"/>
  <c r="B6968" i="1"/>
  <c r="A6968" i="1"/>
  <c r="F6967" i="1"/>
  <c r="E6967" i="1"/>
  <c r="D6967" i="1"/>
  <c r="C6967" i="1"/>
  <c r="B6967" i="1"/>
  <c r="A6967" i="1"/>
  <c r="F6966" i="1"/>
  <c r="E6966" i="1"/>
  <c r="D6966" i="1"/>
  <c r="C6966" i="1"/>
  <c r="B6966" i="1"/>
  <c r="A6966" i="1"/>
  <c r="F6965" i="1"/>
  <c r="E6965" i="1"/>
  <c r="D6965" i="1"/>
  <c r="C6965" i="1"/>
  <c r="B6965" i="1"/>
  <c r="A6965" i="1"/>
  <c r="F6964" i="1"/>
  <c r="E6964" i="1"/>
  <c r="D6964" i="1"/>
  <c r="C6964" i="1"/>
  <c r="B6964" i="1"/>
  <c r="A6964" i="1"/>
  <c r="F6963" i="1"/>
  <c r="E6963" i="1"/>
  <c r="D6963" i="1"/>
  <c r="C6963" i="1"/>
  <c r="B6963" i="1"/>
  <c r="A6963" i="1"/>
  <c r="F6962" i="1"/>
  <c r="E6962" i="1"/>
  <c r="D6962" i="1"/>
  <c r="C6962" i="1"/>
  <c r="B6962" i="1"/>
  <c r="A6962" i="1"/>
  <c r="F6961" i="1"/>
  <c r="E6961" i="1"/>
  <c r="D6961" i="1"/>
  <c r="C6961" i="1"/>
  <c r="B6961" i="1"/>
  <c r="A6961" i="1"/>
  <c r="F6960" i="1"/>
  <c r="E6960" i="1"/>
  <c r="D6960" i="1"/>
  <c r="C6960" i="1"/>
  <c r="B6960" i="1"/>
  <c r="A6960" i="1"/>
  <c r="F6959" i="1"/>
  <c r="E6959" i="1"/>
  <c r="D6959" i="1"/>
  <c r="C6959" i="1"/>
  <c r="B6959" i="1"/>
  <c r="A6959" i="1"/>
  <c r="F6958" i="1"/>
  <c r="E6958" i="1"/>
  <c r="D6958" i="1"/>
  <c r="C6958" i="1"/>
  <c r="B6958" i="1"/>
  <c r="A6958" i="1"/>
  <c r="F6957" i="1"/>
  <c r="E6957" i="1"/>
  <c r="D6957" i="1"/>
  <c r="C6957" i="1"/>
  <c r="B6957" i="1"/>
  <c r="A6957" i="1"/>
  <c r="F6956" i="1"/>
  <c r="E6956" i="1"/>
  <c r="D6956" i="1"/>
  <c r="C6956" i="1"/>
  <c r="B6956" i="1"/>
  <c r="A6956" i="1"/>
  <c r="F6955" i="1"/>
  <c r="E6955" i="1"/>
  <c r="D6955" i="1"/>
  <c r="C6955" i="1"/>
  <c r="B6955" i="1"/>
  <c r="A6955" i="1"/>
  <c r="F6954" i="1"/>
  <c r="E6954" i="1"/>
  <c r="D6954" i="1"/>
  <c r="C6954" i="1"/>
  <c r="B6954" i="1"/>
  <c r="A6954" i="1"/>
  <c r="F6953" i="1"/>
  <c r="E6953" i="1"/>
  <c r="D6953" i="1"/>
  <c r="C6953" i="1"/>
  <c r="B6953" i="1"/>
  <c r="A6953" i="1"/>
  <c r="F6952" i="1"/>
  <c r="E6952" i="1"/>
  <c r="D6952" i="1"/>
  <c r="C6952" i="1"/>
  <c r="B6952" i="1"/>
  <c r="A6952" i="1"/>
  <c r="F6951" i="1"/>
  <c r="E6951" i="1"/>
  <c r="D6951" i="1"/>
  <c r="C6951" i="1"/>
  <c r="B6951" i="1"/>
  <c r="A6951" i="1"/>
  <c r="F6950" i="1"/>
  <c r="E6950" i="1"/>
  <c r="D6950" i="1"/>
  <c r="C6950" i="1"/>
  <c r="B6950" i="1"/>
  <c r="A6950" i="1"/>
  <c r="F6949" i="1"/>
  <c r="E6949" i="1"/>
  <c r="D6949" i="1"/>
  <c r="C6949" i="1"/>
  <c r="B6949" i="1"/>
  <c r="A6949" i="1"/>
  <c r="F6948" i="1"/>
  <c r="E6948" i="1"/>
  <c r="D6948" i="1"/>
  <c r="C6948" i="1"/>
  <c r="B6948" i="1"/>
  <c r="A6948" i="1"/>
  <c r="F6947" i="1"/>
  <c r="E6947" i="1"/>
  <c r="D6947" i="1"/>
  <c r="C6947" i="1"/>
  <c r="B6947" i="1"/>
  <c r="A6947" i="1"/>
  <c r="F6946" i="1"/>
  <c r="E6946" i="1"/>
  <c r="D6946" i="1"/>
  <c r="C6946" i="1"/>
  <c r="B6946" i="1"/>
  <c r="A6946" i="1"/>
  <c r="F6945" i="1"/>
  <c r="E6945" i="1"/>
  <c r="D6945" i="1"/>
  <c r="C6945" i="1"/>
  <c r="B6945" i="1"/>
  <c r="A6945" i="1"/>
  <c r="F6944" i="1"/>
  <c r="E6944" i="1"/>
  <c r="D6944" i="1"/>
  <c r="C6944" i="1"/>
  <c r="B6944" i="1"/>
  <c r="A6944" i="1"/>
  <c r="F6943" i="1"/>
  <c r="E6943" i="1"/>
  <c r="D6943" i="1"/>
  <c r="C6943" i="1"/>
  <c r="B6943" i="1"/>
  <c r="A6943" i="1"/>
  <c r="F6942" i="1"/>
  <c r="E6942" i="1"/>
  <c r="D6942" i="1"/>
  <c r="C6942" i="1"/>
  <c r="B6942" i="1"/>
  <c r="A6942" i="1"/>
  <c r="F6941" i="1"/>
  <c r="E6941" i="1"/>
  <c r="D6941" i="1"/>
  <c r="C6941" i="1"/>
  <c r="B6941" i="1"/>
  <c r="A6941" i="1"/>
  <c r="F6940" i="1"/>
  <c r="E6940" i="1"/>
  <c r="D6940" i="1"/>
  <c r="C6940" i="1"/>
  <c r="B6940" i="1"/>
  <c r="A6940" i="1"/>
  <c r="F6939" i="1"/>
  <c r="E6939" i="1"/>
  <c r="D6939" i="1"/>
  <c r="C6939" i="1"/>
  <c r="B6939" i="1"/>
  <c r="A6939" i="1"/>
  <c r="F6938" i="1"/>
  <c r="E6938" i="1"/>
  <c r="D6938" i="1"/>
  <c r="C6938" i="1"/>
  <c r="B6938" i="1"/>
  <c r="A6938" i="1"/>
  <c r="F6937" i="1"/>
  <c r="E6937" i="1"/>
  <c r="D6937" i="1"/>
  <c r="C6937" i="1"/>
  <c r="B6937" i="1"/>
  <c r="A6937" i="1"/>
  <c r="F6936" i="1"/>
  <c r="E6936" i="1"/>
  <c r="D6936" i="1"/>
  <c r="C6936" i="1"/>
  <c r="B6936" i="1"/>
  <c r="A6936" i="1"/>
  <c r="F6935" i="1"/>
  <c r="E6935" i="1"/>
  <c r="D6935" i="1"/>
  <c r="C6935" i="1"/>
  <c r="B6935" i="1"/>
  <c r="A6935" i="1"/>
  <c r="F6934" i="1"/>
  <c r="E6934" i="1"/>
  <c r="D6934" i="1"/>
  <c r="C6934" i="1"/>
  <c r="B6934" i="1"/>
  <c r="A6934" i="1"/>
  <c r="F6933" i="1"/>
  <c r="E6933" i="1"/>
  <c r="D6933" i="1"/>
  <c r="C6933" i="1"/>
  <c r="B6933" i="1"/>
  <c r="A6933" i="1"/>
  <c r="F6932" i="1"/>
  <c r="E6932" i="1"/>
  <c r="D6932" i="1"/>
  <c r="C6932" i="1"/>
  <c r="B6932" i="1"/>
  <c r="A6932" i="1"/>
  <c r="F6931" i="1"/>
  <c r="E6931" i="1"/>
  <c r="D6931" i="1"/>
  <c r="C6931" i="1"/>
  <c r="B6931" i="1"/>
  <c r="A6931" i="1"/>
  <c r="F6930" i="1"/>
  <c r="E6930" i="1"/>
  <c r="D6930" i="1"/>
  <c r="C6930" i="1"/>
  <c r="B6930" i="1"/>
  <c r="A6930" i="1"/>
  <c r="F6929" i="1"/>
  <c r="E6929" i="1"/>
  <c r="D6929" i="1"/>
  <c r="C6929" i="1"/>
  <c r="B6929" i="1"/>
  <c r="A6929" i="1"/>
  <c r="F6928" i="1"/>
  <c r="E6928" i="1"/>
  <c r="D6928" i="1"/>
  <c r="C6928" i="1"/>
  <c r="B6928" i="1"/>
  <c r="A6928" i="1"/>
  <c r="F6927" i="1"/>
  <c r="E6927" i="1"/>
  <c r="D6927" i="1"/>
  <c r="C6927" i="1"/>
  <c r="B6927" i="1"/>
  <c r="A6927" i="1"/>
  <c r="F6926" i="1"/>
  <c r="E6926" i="1"/>
  <c r="D6926" i="1"/>
  <c r="C6926" i="1"/>
  <c r="B6926" i="1"/>
  <c r="A6926" i="1"/>
  <c r="F6925" i="1"/>
  <c r="E6925" i="1"/>
  <c r="D6925" i="1"/>
  <c r="C6925" i="1"/>
  <c r="B6925" i="1"/>
  <c r="A6925" i="1"/>
  <c r="F6924" i="1"/>
  <c r="E6924" i="1"/>
  <c r="D6924" i="1"/>
  <c r="C6924" i="1"/>
  <c r="B6924" i="1"/>
  <c r="A6924" i="1"/>
  <c r="F6923" i="1"/>
  <c r="E6923" i="1"/>
  <c r="D6923" i="1"/>
  <c r="C6923" i="1"/>
  <c r="B6923" i="1"/>
  <c r="A6923" i="1"/>
  <c r="F6922" i="1"/>
  <c r="E6922" i="1"/>
  <c r="D6922" i="1"/>
  <c r="C6922" i="1"/>
  <c r="B6922" i="1"/>
  <c r="A6922" i="1"/>
  <c r="F6921" i="1"/>
  <c r="E6921" i="1"/>
  <c r="D6921" i="1"/>
  <c r="C6921" i="1"/>
  <c r="B6921" i="1"/>
  <c r="A6921" i="1"/>
  <c r="F6920" i="1"/>
  <c r="E6920" i="1"/>
  <c r="D6920" i="1"/>
  <c r="C6920" i="1"/>
  <c r="B6920" i="1"/>
  <c r="A6920" i="1"/>
  <c r="F6919" i="1"/>
  <c r="E6919" i="1"/>
  <c r="D6919" i="1"/>
  <c r="C6919" i="1"/>
  <c r="B6919" i="1"/>
  <c r="A6919" i="1"/>
  <c r="F6918" i="1"/>
  <c r="E6918" i="1"/>
  <c r="D6918" i="1"/>
  <c r="C6918" i="1"/>
  <c r="B6918" i="1"/>
  <c r="A6918" i="1"/>
  <c r="F6917" i="1"/>
  <c r="E6917" i="1"/>
  <c r="D6917" i="1"/>
  <c r="C6917" i="1"/>
  <c r="B6917" i="1"/>
  <c r="A6917" i="1"/>
  <c r="F6916" i="1"/>
  <c r="E6916" i="1"/>
  <c r="D6916" i="1"/>
  <c r="C6916" i="1"/>
  <c r="B6916" i="1"/>
  <c r="A6916" i="1"/>
  <c r="F6915" i="1"/>
  <c r="E6915" i="1"/>
  <c r="D6915" i="1"/>
  <c r="C6915" i="1"/>
  <c r="B6915" i="1"/>
  <c r="A6915" i="1"/>
  <c r="F6914" i="1"/>
  <c r="E6914" i="1"/>
  <c r="D6914" i="1"/>
  <c r="C6914" i="1"/>
  <c r="B6914" i="1"/>
  <c r="A6914" i="1"/>
  <c r="F6913" i="1"/>
  <c r="E6913" i="1"/>
  <c r="D6913" i="1"/>
  <c r="C6913" i="1"/>
  <c r="B6913" i="1"/>
  <c r="A6913" i="1"/>
  <c r="F6912" i="1"/>
  <c r="E6912" i="1"/>
  <c r="D6912" i="1"/>
  <c r="C6912" i="1"/>
  <c r="B6912" i="1"/>
  <c r="A6912" i="1"/>
  <c r="F6911" i="1"/>
  <c r="E6911" i="1"/>
  <c r="D6911" i="1"/>
  <c r="C6911" i="1"/>
  <c r="B6911" i="1"/>
  <c r="A6911" i="1"/>
  <c r="F6910" i="1"/>
  <c r="E6910" i="1"/>
  <c r="D6910" i="1"/>
  <c r="C6910" i="1"/>
  <c r="B6910" i="1"/>
  <c r="A6910" i="1"/>
  <c r="F6909" i="1"/>
  <c r="E6909" i="1"/>
  <c r="D6909" i="1"/>
  <c r="C6909" i="1"/>
  <c r="B6909" i="1"/>
  <c r="A6909" i="1"/>
  <c r="F6908" i="1"/>
  <c r="E6908" i="1"/>
  <c r="D6908" i="1"/>
  <c r="C6908" i="1"/>
  <c r="B6908" i="1"/>
  <c r="A6908" i="1"/>
  <c r="F6907" i="1"/>
  <c r="E6907" i="1"/>
  <c r="D6907" i="1"/>
  <c r="C6907" i="1"/>
  <c r="B6907" i="1"/>
  <c r="A6907" i="1"/>
  <c r="F6906" i="1"/>
  <c r="E6906" i="1"/>
  <c r="D6906" i="1"/>
  <c r="C6906" i="1"/>
  <c r="B6906" i="1"/>
  <c r="A6906" i="1"/>
  <c r="F6905" i="1"/>
  <c r="E6905" i="1"/>
  <c r="D6905" i="1"/>
  <c r="C6905" i="1"/>
  <c r="B6905" i="1"/>
  <c r="A6905" i="1"/>
  <c r="F6904" i="1"/>
  <c r="E6904" i="1"/>
  <c r="D6904" i="1"/>
  <c r="C6904" i="1"/>
  <c r="B6904" i="1"/>
  <c r="A6904" i="1"/>
  <c r="F6903" i="1"/>
  <c r="E6903" i="1"/>
  <c r="D6903" i="1"/>
  <c r="C6903" i="1"/>
  <c r="B6903" i="1"/>
  <c r="A6903" i="1"/>
  <c r="F6902" i="1"/>
  <c r="E6902" i="1"/>
  <c r="D6902" i="1"/>
  <c r="C6902" i="1"/>
  <c r="B6902" i="1"/>
  <c r="A6902" i="1"/>
  <c r="F6901" i="1"/>
  <c r="E6901" i="1"/>
  <c r="D6901" i="1"/>
  <c r="C6901" i="1"/>
  <c r="B6901" i="1"/>
  <c r="A6901" i="1"/>
  <c r="F6900" i="1"/>
  <c r="E6900" i="1"/>
  <c r="D6900" i="1"/>
  <c r="C6900" i="1"/>
  <c r="B6900" i="1"/>
  <c r="A6900" i="1"/>
  <c r="F6899" i="1"/>
  <c r="E6899" i="1"/>
  <c r="D6899" i="1"/>
  <c r="C6899" i="1"/>
  <c r="B6899" i="1"/>
  <c r="A6899" i="1"/>
  <c r="F6898" i="1"/>
  <c r="E6898" i="1"/>
  <c r="D6898" i="1"/>
  <c r="C6898" i="1"/>
  <c r="B6898" i="1"/>
  <c r="A6898" i="1"/>
  <c r="F6897" i="1"/>
  <c r="E6897" i="1"/>
  <c r="D6897" i="1"/>
  <c r="C6897" i="1"/>
  <c r="B6897" i="1"/>
  <c r="A6897" i="1"/>
  <c r="F6896" i="1"/>
  <c r="E6896" i="1"/>
  <c r="D6896" i="1"/>
  <c r="C6896" i="1"/>
  <c r="B6896" i="1"/>
  <c r="A6896" i="1"/>
  <c r="F6895" i="1"/>
  <c r="E6895" i="1"/>
  <c r="D6895" i="1"/>
  <c r="C6895" i="1"/>
  <c r="B6895" i="1"/>
  <c r="A6895" i="1"/>
  <c r="F6894" i="1"/>
  <c r="E6894" i="1"/>
  <c r="D6894" i="1"/>
  <c r="C6894" i="1"/>
  <c r="B6894" i="1"/>
  <c r="A6894" i="1"/>
  <c r="F6893" i="1"/>
  <c r="E6893" i="1"/>
  <c r="D6893" i="1"/>
  <c r="C6893" i="1"/>
  <c r="B6893" i="1"/>
  <c r="A6893" i="1"/>
  <c r="F6892" i="1"/>
  <c r="E6892" i="1"/>
  <c r="D6892" i="1"/>
  <c r="C6892" i="1"/>
  <c r="B6892" i="1"/>
  <c r="A6892" i="1"/>
  <c r="F6891" i="1"/>
  <c r="E6891" i="1"/>
  <c r="D6891" i="1"/>
  <c r="C6891" i="1"/>
  <c r="B6891" i="1"/>
  <c r="A6891" i="1"/>
  <c r="F6890" i="1"/>
  <c r="E6890" i="1"/>
  <c r="D6890" i="1"/>
  <c r="C6890" i="1"/>
  <c r="B6890" i="1"/>
  <c r="A6890" i="1"/>
  <c r="F6889" i="1"/>
  <c r="E6889" i="1"/>
  <c r="D6889" i="1"/>
  <c r="C6889" i="1"/>
  <c r="B6889" i="1"/>
  <c r="A6889" i="1"/>
  <c r="F6888" i="1"/>
  <c r="E6888" i="1"/>
  <c r="D6888" i="1"/>
  <c r="C6888" i="1"/>
  <c r="B6888" i="1"/>
  <c r="A6888" i="1"/>
  <c r="F6887" i="1"/>
  <c r="E6887" i="1"/>
  <c r="D6887" i="1"/>
  <c r="C6887" i="1"/>
  <c r="B6887" i="1"/>
  <c r="A6887" i="1"/>
  <c r="F6886" i="1"/>
  <c r="E6886" i="1"/>
  <c r="D6886" i="1"/>
  <c r="C6886" i="1"/>
  <c r="B6886" i="1"/>
  <c r="A6886" i="1"/>
  <c r="F6885" i="1"/>
  <c r="E6885" i="1"/>
  <c r="D6885" i="1"/>
  <c r="C6885" i="1"/>
  <c r="B6885" i="1"/>
  <c r="A6885" i="1"/>
  <c r="F6884" i="1"/>
  <c r="E6884" i="1"/>
  <c r="D6884" i="1"/>
  <c r="C6884" i="1"/>
  <c r="B6884" i="1"/>
  <c r="A6884" i="1"/>
  <c r="F6883" i="1"/>
  <c r="E6883" i="1"/>
  <c r="D6883" i="1"/>
  <c r="C6883" i="1"/>
  <c r="B6883" i="1"/>
  <c r="A6883" i="1"/>
  <c r="F6882" i="1"/>
  <c r="E6882" i="1"/>
  <c r="D6882" i="1"/>
  <c r="C6882" i="1"/>
  <c r="B6882" i="1"/>
  <c r="A6882" i="1"/>
  <c r="F6881" i="1"/>
  <c r="E6881" i="1"/>
  <c r="D6881" i="1"/>
  <c r="C6881" i="1"/>
  <c r="B6881" i="1"/>
  <c r="A6881" i="1"/>
  <c r="F6880" i="1"/>
  <c r="E6880" i="1"/>
  <c r="D6880" i="1"/>
  <c r="C6880" i="1"/>
  <c r="B6880" i="1"/>
  <c r="A6880" i="1"/>
  <c r="F6879" i="1"/>
  <c r="E6879" i="1"/>
  <c r="D6879" i="1"/>
  <c r="C6879" i="1"/>
  <c r="B6879" i="1"/>
  <c r="A6879" i="1"/>
  <c r="F6878" i="1"/>
  <c r="E6878" i="1"/>
  <c r="D6878" i="1"/>
  <c r="C6878" i="1"/>
  <c r="B6878" i="1"/>
  <c r="A6878" i="1"/>
  <c r="F6877" i="1"/>
  <c r="E6877" i="1"/>
  <c r="D6877" i="1"/>
  <c r="C6877" i="1"/>
  <c r="B6877" i="1"/>
  <c r="A6877" i="1"/>
  <c r="F6876" i="1"/>
  <c r="E6876" i="1"/>
  <c r="D6876" i="1"/>
  <c r="C6876" i="1"/>
  <c r="B6876" i="1"/>
  <c r="A6876" i="1"/>
  <c r="F6875" i="1"/>
  <c r="E6875" i="1"/>
  <c r="D6875" i="1"/>
  <c r="C6875" i="1"/>
  <c r="B6875" i="1"/>
  <c r="A6875" i="1"/>
  <c r="F6874" i="1"/>
  <c r="E6874" i="1"/>
  <c r="D6874" i="1"/>
  <c r="C6874" i="1"/>
  <c r="B6874" i="1"/>
  <c r="A6874" i="1"/>
  <c r="F6873" i="1"/>
  <c r="E6873" i="1"/>
  <c r="D6873" i="1"/>
  <c r="C6873" i="1"/>
  <c r="B6873" i="1"/>
  <c r="A6873" i="1"/>
  <c r="F6872" i="1"/>
  <c r="E6872" i="1"/>
  <c r="D6872" i="1"/>
  <c r="C6872" i="1"/>
  <c r="B6872" i="1"/>
  <c r="A6872" i="1"/>
  <c r="F6871" i="1"/>
  <c r="E6871" i="1"/>
  <c r="D6871" i="1"/>
  <c r="C6871" i="1"/>
  <c r="B6871" i="1"/>
  <c r="A6871" i="1"/>
  <c r="F6870" i="1"/>
  <c r="E6870" i="1"/>
  <c r="D6870" i="1"/>
  <c r="C6870" i="1"/>
  <c r="B6870" i="1"/>
  <c r="A6870" i="1"/>
  <c r="F6869" i="1"/>
  <c r="E6869" i="1"/>
  <c r="D6869" i="1"/>
  <c r="C6869" i="1"/>
  <c r="B6869" i="1"/>
  <c r="A6869" i="1"/>
  <c r="F6868" i="1"/>
  <c r="E6868" i="1"/>
  <c r="D6868" i="1"/>
  <c r="C6868" i="1"/>
  <c r="B6868" i="1"/>
  <c r="A6868" i="1"/>
  <c r="F6867" i="1"/>
  <c r="E6867" i="1"/>
  <c r="D6867" i="1"/>
  <c r="C6867" i="1"/>
  <c r="B6867" i="1"/>
  <c r="A6867" i="1"/>
  <c r="F6866" i="1"/>
  <c r="E6866" i="1"/>
  <c r="D6866" i="1"/>
  <c r="C6866" i="1"/>
  <c r="B6866" i="1"/>
  <c r="A6866" i="1"/>
  <c r="F6865" i="1"/>
  <c r="E6865" i="1"/>
  <c r="D6865" i="1"/>
  <c r="C6865" i="1"/>
  <c r="B6865" i="1"/>
  <c r="A6865" i="1"/>
  <c r="F6864" i="1"/>
  <c r="E6864" i="1"/>
  <c r="D6864" i="1"/>
  <c r="C6864" i="1"/>
  <c r="B6864" i="1"/>
  <c r="A6864" i="1"/>
  <c r="F6863" i="1"/>
  <c r="E6863" i="1"/>
  <c r="D6863" i="1"/>
  <c r="C6863" i="1"/>
  <c r="B6863" i="1"/>
  <c r="A6863" i="1"/>
  <c r="F6862" i="1"/>
  <c r="E6862" i="1"/>
  <c r="D6862" i="1"/>
  <c r="C6862" i="1"/>
  <c r="B6862" i="1"/>
  <c r="A6862" i="1"/>
  <c r="F6861" i="1"/>
  <c r="E6861" i="1"/>
  <c r="D6861" i="1"/>
  <c r="C6861" i="1"/>
  <c r="B6861" i="1"/>
  <c r="A6861" i="1"/>
  <c r="F6860" i="1"/>
  <c r="E6860" i="1"/>
  <c r="D6860" i="1"/>
  <c r="C6860" i="1"/>
  <c r="B6860" i="1"/>
  <c r="A6860" i="1"/>
  <c r="F6859" i="1"/>
  <c r="E6859" i="1"/>
  <c r="D6859" i="1"/>
  <c r="C6859" i="1"/>
  <c r="B6859" i="1"/>
  <c r="A6859" i="1"/>
  <c r="F6858" i="1"/>
  <c r="E6858" i="1"/>
  <c r="D6858" i="1"/>
  <c r="C6858" i="1"/>
  <c r="B6858" i="1"/>
  <c r="A6858" i="1"/>
  <c r="F6857" i="1"/>
  <c r="E6857" i="1"/>
  <c r="D6857" i="1"/>
  <c r="C6857" i="1"/>
  <c r="B6857" i="1"/>
  <c r="A6857" i="1"/>
  <c r="F6856" i="1"/>
  <c r="E6856" i="1"/>
  <c r="D6856" i="1"/>
  <c r="C6856" i="1"/>
  <c r="B6856" i="1"/>
  <c r="A6856" i="1"/>
  <c r="F6855" i="1"/>
  <c r="E6855" i="1"/>
  <c r="D6855" i="1"/>
  <c r="C6855" i="1"/>
  <c r="B6855" i="1"/>
  <c r="A6855" i="1"/>
  <c r="F6854" i="1"/>
  <c r="E6854" i="1"/>
  <c r="D6854" i="1"/>
  <c r="C6854" i="1"/>
  <c r="B6854" i="1"/>
  <c r="A6854" i="1"/>
  <c r="F6853" i="1"/>
  <c r="E6853" i="1"/>
  <c r="D6853" i="1"/>
  <c r="C6853" i="1"/>
  <c r="B6853" i="1"/>
  <c r="A6853" i="1"/>
  <c r="F6852" i="1"/>
  <c r="E6852" i="1"/>
  <c r="D6852" i="1"/>
  <c r="C6852" i="1"/>
  <c r="B6852" i="1"/>
  <c r="A6852" i="1"/>
  <c r="F6851" i="1"/>
  <c r="E6851" i="1"/>
  <c r="D6851" i="1"/>
  <c r="C6851" i="1"/>
  <c r="B6851" i="1"/>
  <c r="A6851" i="1"/>
  <c r="F6850" i="1"/>
  <c r="E6850" i="1"/>
  <c r="D6850" i="1"/>
  <c r="C6850" i="1"/>
  <c r="B6850" i="1"/>
  <c r="A6850" i="1"/>
  <c r="F6849" i="1"/>
  <c r="E6849" i="1"/>
  <c r="D6849" i="1"/>
  <c r="C6849" i="1"/>
  <c r="B6849" i="1"/>
  <c r="A6849" i="1"/>
  <c r="F6848" i="1"/>
  <c r="E6848" i="1"/>
  <c r="D6848" i="1"/>
  <c r="C6848" i="1"/>
  <c r="B6848" i="1"/>
  <c r="A6848" i="1"/>
  <c r="F6847" i="1"/>
  <c r="E6847" i="1"/>
  <c r="D6847" i="1"/>
  <c r="C6847" i="1"/>
  <c r="B6847" i="1"/>
  <c r="A6847" i="1"/>
  <c r="F6846" i="1"/>
  <c r="E6846" i="1"/>
  <c r="D6846" i="1"/>
  <c r="C6846" i="1"/>
  <c r="B6846" i="1"/>
  <c r="A6846" i="1"/>
  <c r="F6845" i="1"/>
  <c r="E6845" i="1"/>
  <c r="D6845" i="1"/>
  <c r="C6845" i="1"/>
  <c r="B6845" i="1"/>
  <c r="A6845" i="1"/>
  <c r="F6844" i="1"/>
  <c r="E6844" i="1"/>
  <c r="D6844" i="1"/>
  <c r="C6844" i="1"/>
  <c r="B6844" i="1"/>
  <c r="A6844" i="1"/>
  <c r="F6843" i="1"/>
  <c r="E6843" i="1"/>
  <c r="D6843" i="1"/>
  <c r="C6843" i="1"/>
  <c r="B6843" i="1"/>
  <c r="A6843" i="1"/>
  <c r="F6842" i="1"/>
  <c r="E6842" i="1"/>
  <c r="D6842" i="1"/>
  <c r="C6842" i="1"/>
  <c r="B6842" i="1"/>
  <c r="A6842" i="1"/>
  <c r="F6841" i="1"/>
  <c r="E6841" i="1"/>
  <c r="D6841" i="1"/>
  <c r="C6841" i="1"/>
  <c r="B6841" i="1"/>
  <c r="A6841" i="1"/>
  <c r="F6840" i="1"/>
  <c r="E6840" i="1"/>
  <c r="D6840" i="1"/>
  <c r="C6840" i="1"/>
  <c r="B6840" i="1"/>
  <c r="A6840" i="1"/>
  <c r="F6839" i="1"/>
  <c r="E6839" i="1"/>
  <c r="D6839" i="1"/>
  <c r="C6839" i="1"/>
  <c r="B6839" i="1"/>
  <c r="A6839" i="1"/>
  <c r="F6838" i="1"/>
  <c r="E6838" i="1"/>
  <c r="D6838" i="1"/>
  <c r="C6838" i="1"/>
  <c r="B6838" i="1"/>
  <c r="A6838" i="1"/>
  <c r="F6837" i="1"/>
  <c r="E6837" i="1"/>
  <c r="D6837" i="1"/>
  <c r="C6837" i="1"/>
  <c r="B6837" i="1"/>
  <c r="A6837" i="1"/>
  <c r="F6836" i="1"/>
  <c r="E6836" i="1"/>
  <c r="D6836" i="1"/>
  <c r="C6836" i="1"/>
  <c r="B6836" i="1"/>
  <c r="A6836" i="1"/>
  <c r="F6835" i="1"/>
  <c r="E6835" i="1"/>
  <c r="D6835" i="1"/>
  <c r="C6835" i="1"/>
  <c r="B6835" i="1"/>
  <c r="A6835" i="1"/>
  <c r="F6834" i="1"/>
  <c r="E6834" i="1"/>
  <c r="D6834" i="1"/>
  <c r="C6834" i="1"/>
  <c r="B6834" i="1"/>
  <c r="A6834" i="1"/>
  <c r="F6833" i="1"/>
  <c r="E6833" i="1"/>
  <c r="D6833" i="1"/>
  <c r="C6833" i="1"/>
  <c r="B6833" i="1"/>
  <c r="A6833" i="1"/>
  <c r="F6832" i="1"/>
  <c r="E6832" i="1"/>
  <c r="D6832" i="1"/>
  <c r="C6832" i="1"/>
  <c r="B6832" i="1"/>
  <c r="A6832" i="1"/>
  <c r="F6831" i="1"/>
  <c r="E6831" i="1"/>
  <c r="D6831" i="1"/>
  <c r="C6831" i="1"/>
  <c r="B6831" i="1"/>
  <c r="A6831" i="1"/>
  <c r="F6830" i="1"/>
  <c r="E6830" i="1"/>
  <c r="D6830" i="1"/>
  <c r="C6830" i="1"/>
  <c r="B6830" i="1"/>
  <c r="A6830" i="1"/>
  <c r="F6829" i="1"/>
  <c r="E6829" i="1"/>
  <c r="D6829" i="1"/>
  <c r="C6829" i="1"/>
  <c r="B6829" i="1"/>
  <c r="A6829" i="1"/>
  <c r="F6828" i="1"/>
  <c r="E6828" i="1"/>
  <c r="D6828" i="1"/>
  <c r="C6828" i="1"/>
  <c r="B6828" i="1"/>
  <c r="A6828" i="1"/>
  <c r="F6827" i="1"/>
  <c r="E6827" i="1"/>
  <c r="D6827" i="1"/>
  <c r="C6827" i="1"/>
  <c r="B6827" i="1"/>
  <c r="A6827" i="1"/>
  <c r="F6826" i="1"/>
  <c r="E6826" i="1"/>
  <c r="D6826" i="1"/>
  <c r="C6826" i="1"/>
  <c r="B6826" i="1"/>
  <c r="A6826" i="1"/>
  <c r="F6825" i="1"/>
  <c r="E6825" i="1"/>
  <c r="D6825" i="1"/>
  <c r="C6825" i="1"/>
  <c r="B6825" i="1"/>
  <c r="A6825" i="1"/>
  <c r="F6824" i="1"/>
  <c r="E6824" i="1"/>
  <c r="D6824" i="1"/>
  <c r="C6824" i="1"/>
  <c r="B6824" i="1"/>
  <c r="A6824" i="1"/>
  <c r="F6823" i="1"/>
  <c r="E6823" i="1"/>
  <c r="D6823" i="1"/>
  <c r="C6823" i="1"/>
  <c r="B6823" i="1"/>
  <c r="A6823" i="1"/>
  <c r="F6822" i="1"/>
  <c r="E6822" i="1"/>
  <c r="D6822" i="1"/>
  <c r="C6822" i="1"/>
  <c r="B6822" i="1"/>
  <c r="A6822" i="1"/>
  <c r="F6821" i="1"/>
  <c r="E6821" i="1"/>
  <c r="D6821" i="1"/>
  <c r="C6821" i="1"/>
  <c r="B6821" i="1"/>
  <c r="A6821" i="1"/>
  <c r="F6820" i="1"/>
  <c r="E6820" i="1"/>
  <c r="D6820" i="1"/>
  <c r="C6820" i="1"/>
  <c r="B6820" i="1"/>
  <c r="A6820" i="1"/>
  <c r="F6819" i="1"/>
  <c r="E6819" i="1"/>
  <c r="D6819" i="1"/>
  <c r="C6819" i="1"/>
  <c r="B6819" i="1"/>
  <c r="A6819" i="1"/>
  <c r="F6818" i="1"/>
  <c r="E6818" i="1"/>
  <c r="D6818" i="1"/>
  <c r="C6818" i="1"/>
  <c r="B6818" i="1"/>
  <c r="A6818" i="1"/>
  <c r="F6817" i="1"/>
  <c r="E6817" i="1"/>
  <c r="D6817" i="1"/>
  <c r="C6817" i="1"/>
  <c r="B6817" i="1"/>
  <c r="A6817" i="1"/>
  <c r="F6816" i="1"/>
  <c r="E6816" i="1"/>
  <c r="D6816" i="1"/>
  <c r="C6816" i="1"/>
  <c r="B6816" i="1"/>
  <c r="A6816" i="1"/>
  <c r="F6815" i="1"/>
  <c r="E6815" i="1"/>
  <c r="D6815" i="1"/>
  <c r="C6815" i="1"/>
  <c r="B6815" i="1"/>
  <c r="A6815" i="1"/>
  <c r="F6814" i="1"/>
  <c r="E6814" i="1"/>
  <c r="D6814" i="1"/>
  <c r="C6814" i="1"/>
  <c r="B6814" i="1"/>
  <c r="A6814" i="1"/>
  <c r="F6813" i="1"/>
  <c r="E6813" i="1"/>
  <c r="D6813" i="1"/>
  <c r="C6813" i="1"/>
  <c r="B6813" i="1"/>
  <c r="A6813" i="1"/>
  <c r="F6812" i="1"/>
  <c r="E6812" i="1"/>
  <c r="D6812" i="1"/>
  <c r="C6812" i="1"/>
  <c r="B6812" i="1"/>
  <c r="A6812" i="1"/>
  <c r="F6811" i="1"/>
  <c r="E6811" i="1"/>
  <c r="D6811" i="1"/>
  <c r="C6811" i="1"/>
  <c r="B6811" i="1"/>
  <c r="A6811" i="1"/>
  <c r="F6810" i="1"/>
  <c r="E6810" i="1"/>
  <c r="D6810" i="1"/>
  <c r="C6810" i="1"/>
  <c r="B6810" i="1"/>
  <c r="A6810" i="1"/>
  <c r="F6809" i="1"/>
  <c r="E6809" i="1"/>
  <c r="D6809" i="1"/>
  <c r="C6809" i="1"/>
  <c r="B6809" i="1"/>
  <c r="A6809" i="1"/>
  <c r="F6808" i="1"/>
  <c r="E6808" i="1"/>
  <c r="D6808" i="1"/>
  <c r="C6808" i="1"/>
  <c r="B6808" i="1"/>
  <c r="A6808" i="1"/>
  <c r="F6807" i="1"/>
  <c r="E6807" i="1"/>
  <c r="D6807" i="1"/>
  <c r="C6807" i="1"/>
  <c r="B6807" i="1"/>
  <c r="A6807" i="1"/>
  <c r="F6806" i="1"/>
  <c r="E6806" i="1"/>
  <c r="D6806" i="1"/>
  <c r="C6806" i="1"/>
  <c r="B6806" i="1"/>
  <c r="A6806" i="1"/>
  <c r="F6805" i="1"/>
  <c r="E6805" i="1"/>
  <c r="D6805" i="1"/>
  <c r="C6805" i="1"/>
  <c r="B6805" i="1"/>
  <c r="A6805" i="1"/>
  <c r="F6804" i="1"/>
  <c r="E6804" i="1"/>
  <c r="D6804" i="1"/>
  <c r="C6804" i="1"/>
  <c r="B6804" i="1"/>
  <c r="A6804" i="1"/>
  <c r="F6803" i="1"/>
  <c r="E6803" i="1"/>
  <c r="D6803" i="1"/>
  <c r="C6803" i="1"/>
  <c r="B6803" i="1"/>
  <c r="A6803" i="1"/>
  <c r="F6802" i="1"/>
  <c r="E6802" i="1"/>
  <c r="D6802" i="1"/>
  <c r="C6802" i="1"/>
  <c r="B6802" i="1"/>
  <c r="A6802" i="1"/>
  <c r="F6801" i="1"/>
  <c r="E6801" i="1"/>
  <c r="D6801" i="1"/>
  <c r="C6801" i="1"/>
  <c r="B6801" i="1"/>
  <c r="A6801" i="1"/>
  <c r="F6800" i="1"/>
  <c r="E6800" i="1"/>
  <c r="D6800" i="1"/>
  <c r="C6800" i="1"/>
  <c r="B6800" i="1"/>
  <c r="A6800" i="1"/>
  <c r="F6799" i="1"/>
  <c r="E6799" i="1"/>
  <c r="D6799" i="1"/>
  <c r="C6799" i="1"/>
  <c r="B6799" i="1"/>
  <c r="A6799" i="1"/>
  <c r="F6798" i="1"/>
  <c r="E6798" i="1"/>
  <c r="D6798" i="1"/>
  <c r="C6798" i="1"/>
  <c r="B6798" i="1"/>
  <c r="A6798" i="1"/>
  <c r="F6797" i="1"/>
  <c r="E6797" i="1"/>
  <c r="D6797" i="1"/>
  <c r="C6797" i="1"/>
  <c r="B6797" i="1"/>
  <c r="A6797" i="1"/>
  <c r="F6796" i="1"/>
  <c r="E6796" i="1"/>
  <c r="D6796" i="1"/>
  <c r="C6796" i="1"/>
  <c r="B6796" i="1"/>
  <c r="A6796" i="1"/>
  <c r="F6795" i="1"/>
  <c r="E6795" i="1"/>
  <c r="D6795" i="1"/>
  <c r="C6795" i="1"/>
  <c r="B6795" i="1"/>
  <c r="A6795" i="1"/>
  <c r="F6794" i="1"/>
  <c r="E6794" i="1"/>
  <c r="D6794" i="1"/>
  <c r="C6794" i="1"/>
  <c r="B6794" i="1"/>
  <c r="A6794" i="1"/>
  <c r="F6793" i="1"/>
  <c r="E6793" i="1"/>
  <c r="D6793" i="1"/>
  <c r="C6793" i="1"/>
  <c r="B6793" i="1"/>
  <c r="A6793" i="1"/>
  <c r="F6792" i="1"/>
  <c r="E6792" i="1"/>
  <c r="D6792" i="1"/>
  <c r="C6792" i="1"/>
  <c r="B6792" i="1"/>
  <c r="A6792" i="1"/>
  <c r="F6791" i="1"/>
  <c r="E6791" i="1"/>
  <c r="D6791" i="1"/>
  <c r="C6791" i="1"/>
  <c r="B6791" i="1"/>
  <c r="A6791" i="1"/>
  <c r="F6790" i="1"/>
  <c r="E6790" i="1"/>
  <c r="D6790" i="1"/>
  <c r="C6790" i="1"/>
  <c r="B6790" i="1"/>
  <c r="A6790" i="1"/>
  <c r="F6789" i="1"/>
  <c r="E6789" i="1"/>
  <c r="D6789" i="1"/>
  <c r="C6789" i="1"/>
  <c r="B6789" i="1"/>
  <c r="A6789" i="1"/>
  <c r="F6788" i="1"/>
  <c r="E6788" i="1"/>
  <c r="D6788" i="1"/>
  <c r="C6788" i="1"/>
  <c r="B6788" i="1"/>
  <c r="A6788" i="1"/>
  <c r="F6787" i="1"/>
  <c r="E6787" i="1"/>
  <c r="D6787" i="1"/>
  <c r="C6787" i="1"/>
  <c r="B6787" i="1"/>
  <c r="A6787" i="1"/>
  <c r="F6786" i="1"/>
  <c r="E6786" i="1"/>
  <c r="D6786" i="1"/>
  <c r="C6786" i="1"/>
  <c r="B6786" i="1"/>
  <c r="A6786" i="1"/>
  <c r="F6785" i="1"/>
  <c r="E6785" i="1"/>
  <c r="D6785" i="1"/>
  <c r="C6785" i="1"/>
  <c r="B6785" i="1"/>
  <c r="A6785" i="1"/>
  <c r="F6784" i="1"/>
  <c r="E6784" i="1"/>
  <c r="D6784" i="1"/>
  <c r="C6784" i="1"/>
  <c r="B6784" i="1"/>
  <c r="A6784" i="1"/>
  <c r="F6783" i="1"/>
  <c r="E6783" i="1"/>
  <c r="D6783" i="1"/>
  <c r="C6783" i="1"/>
  <c r="B6783" i="1"/>
  <c r="A6783" i="1"/>
  <c r="F6782" i="1"/>
  <c r="E6782" i="1"/>
  <c r="D6782" i="1"/>
  <c r="C6782" i="1"/>
  <c r="B6782" i="1"/>
  <c r="A6782" i="1"/>
  <c r="F6781" i="1"/>
  <c r="E6781" i="1"/>
  <c r="D6781" i="1"/>
  <c r="C6781" i="1"/>
  <c r="B6781" i="1"/>
  <c r="A6781" i="1"/>
  <c r="F6780" i="1"/>
  <c r="E6780" i="1"/>
  <c r="D6780" i="1"/>
  <c r="C6780" i="1"/>
  <c r="B6780" i="1"/>
  <c r="A6780" i="1"/>
  <c r="F6779" i="1"/>
  <c r="E6779" i="1"/>
  <c r="D6779" i="1"/>
  <c r="C6779" i="1"/>
  <c r="B6779" i="1"/>
  <c r="A6779" i="1"/>
  <c r="F6778" i="1"/>
  <c r="E6778" i="1"/>
  <c r="D6778" i="1"/>
  <c r="C6778" i="1"/>
  <c r="B6778" i="1"/>
  <c r="A6778" i="1"/>
  <c r="F6777" i="1"/>
  <c r="E6777" i="1"/>
  <c r="D6777" i="1"/>
  <c r="C6777" i="1"/>
  <c r="B6777" i="1"/>
  <c r="A6777" i="1"/>
  <c r="F6776" i="1"/>
  <c r="E6776" i="1"/>
  <c r="D6776" i="1"/>
  <c r="C6776" i="1"/>
  <c r="B6776" i="1"/>
  <c r="A6776" i="1"/>
  <c r="F6775" i="1"/>
  <c r="E6775" i="1"/>
  <c r="D6775" i="1"/>
  <c r="C6775" i="1"/>
  <c r="B6775" i="1"/>
  <c r="A6775" i="1"/>
  <c r="F6774" i="1"/>
  <c r="E6774" i="1"/>
  <c r="D6774" i="1"/>
  <c r="C6774" i="1"/>
  <c r="B6774" i="1"/>
  <c r="A6774" i="1"/>
  <c r="F6773" i="1"/>
  <c r="E6773" i="1"/>
  <c r="D6773" i="1"/>
  <c r="C6773" i="1"/>
  <c r="B6773" i="1"/>
  <c r="A6773" i="1"/>
  <c r="F6772" i="1"/>
  <c r="E6772" i="1"/>
  <c r="D6772" i="1"/>
  <c r="C6772" i="1"/>
  <c r="B6772" i="1"/>
  <c r="A6772" i="1"/>
  <c r="F6771" i="1"/>
  <c r="E6771" i="1"/>
  <c r="D6771" i="1"/>
  <c r="C6771" i="1"/>
  <c r="B6771" i="1"/>
  <c r="A6771" i="1"/>
  <c r="F6770" i="1"/>
  <c r="E6770" i="1"/>
  <c r="D6770" i="1"/>
  <c r="C6770" i="1"/>
  <c r="B6770" i="1"/>
  <c r="A6770" i="1"/>
  <c r="F6769" i="1"/>
  <c r="E6769" i="1"/>
  <c r="D6769" i="1"/>
  <c r="C6769" i="1"/>
  <c r="B6769" i="1"/>
  <c r="A6769" i="1"/>
  <c r="F6768" i="1"/>
  <c r="E6768" i="1"/>
  <c r="D6768" i="1"/>
  <c r="C6768" i="1"/>
  <c r="B6768" i="1"/>
  <c r="A6768" i="1"/>
  <c r="F6767" i="1"/>
  <c r="E6767" i="1"/>
  <c r="D6767" i="1"/>
  <c r="C6767" i="1"/>
  <c r="B6767" i="1"/>
  <c r="A6767" i="1"/>
  <c r="F6766" i="1"/>
  <c r="E6766" i="1"/>
  <c r="D6766" i="1"/>
  <c r="C6766" i="1"/>
  <c r="B6766" i="1"/>
  <c r="A6766" i="1"/>
  <c r="F6765" i="1"/>
  <c r="E6765" i="1"/>
  <c r="D6765" i="1"/>
  <c r="C6765" i="1"/>
  <c r="B6765" i="1"/>
  <c r="A6765" i="1"/>
  <c r="F6764" i="1"/>
  <c r="E6764" i="1"/>
  <c r="D6764" i="1"/>
  <c r="C6764" i="1"/>
  <c r="B6764" i="1"/>
  <c r="A6764" i="1"/>
  <c r="F6763" i="1"/>
  <c r="E6763" i="1"/>
  <c r="D6763" i="1"/>
  <c r="C6763" i="1"/>
  <c r="B6763" i="1"/>
  <c r="A6763" i="1"/>
  <c r="F6762" i="1"/>
  <c r="E6762" i="1"/>
  <c r="D6762" i="1"/>
  <c r="C6762" i="1"/>
  <c r="B6762" i="1"/>
  <c r="A6762" i="1"/>
  <c r="F6761" i="1"/>
  <c r="E6761" i="1"/>
  <c r="D6761" i="1"/>
  <c r="C6761" i="1"/>
  <c r="B6761" i="1"/>
  <c r="A6761" i="1"/>
  <c r="F6760" i="1"/>
  <c r="E6760" i="1"/>
  <c r="D6760" i="1"/>
  <c r="C6760" i="1"/>
  <c r="B6760" i="1"/>
  <c r="A6760" i="1"/>
  <c r="F6759" i="1"/>
  <c r="E6759" i="1"/>
  <c r="D6759" i="1"/>
  <c r="C6759" i="1"/>
  <c r="B6759" i="1"/>
  <c r="A6759" i="1"/>
  <c r="F6758" i="1"/>
  <c r="E6758" i="1"/>
  <c r="D6758" i="1"/>
  <c r="C6758" i="1"/>
  <c r="B6758" i="1"/>
  <c r="A6758" i="1"/>
  <c r="F6757" i="1"/>
  <c r="E6757" i="1"/>
  <c r="D6757" i="1"/>
  <c r="C6757" i="1"/>
  <c r="B6757" i="1"/>
  <c r="A6757" i="1"/>
  <c r="F6756" i="1"/>
  <c r="E6756" i="1"/>
  <c r="D6756" i="1"/>
  <c r="C6756" i="1"/>
  <c r="B6756" i="1"/>
  <c r="A6756" i="1"/>
  <c r="F6755" i="1"/>
  <c r="E6755" i="1"/>
  <c r="D6755" i="1"/>
  <c r="C6755" i="1"/>
  <c r="B6755" i="1"/>
  <c r="A6755" i="1"/>
  <c r="F6754" i="1"/>
  <c r="E6754" i="1"/>
  <c r="D6754" i="1"/>
  <c r="C6754" i="1"/>
  <c r="B6754" i="1"/>
  <c r="A6754" i="1"/>
  <c r="F6753" i="1"/>
  <c r="E6753" i="1"/>
  <c r="D6753" i="1"/>
  <c r="C6753" i="1"/>
  <c r="B6753" i="1"/>
  <c r="A6753" i="1"/>
  <c r="F6752" i="1"/>
  <c r="E6752" i="1"/>
  <c r="D6752" i="1"/>
  <c r="C6752" i="1"/>
  <c r="B6752" i="1"/>
  <c r="A6752" i="1"/>
  <c r="F6751" i="1"/>
  <c r="E6751" i="1"/>
  <c r="D6751" i="1"/>
  <c r="C6751" i="1"/>
  <c r="B6751" i="1"/>
  <c r="A6751" i="1"/>
  <c r="F6750" i="1"/>
  <c r="E6750" i="1"/>
  <c r="D6750" i="1"/>
  <c r="C6750" i="1"/>
  <c r="B6750" i="1"/>
  <c r="A6750" i="1"/>
  <c r="F6749" i="1"/>
  <c r="E6749" i="1"/>
  <c r="D6749" i="1"/>
  <c r="C6749" i="1"/>
  <c r="B6749" i="1"/>
  <c r="A6749" i="1"/>
  <c r="F6748" i="1"/>
  <c r="E6748" i="1"/>
  <c r="D6748" i="1"/>
  <c r="C6748" i="1"/>
  <c r="B6748" i="1"/>
  <c r="A6748" i="1"/>
  <c r="F6747" i="1"/>
  <c r="E6747" i="1"/>
  <c r="D6747" i="1"/>
  <c r="C6747" i="1"/>
  <c r="B6747" i="1"/>
  <c r="A6747" i="1"/>
  <c r="F6746" i="1"/>
  <c r="E6746" i="1"/>
  <c r="D6746" i="1"/>
  <c r="C6746" i="1"/>
  <c r="B6746" i="1"/>
  <c r="A6746" i="1"/>
  <c r="F6745" i="1"/>
  <c r="E6745" i="1"/>
  <c r="D6745" i="1"/>
  <c r="C6745" i="1"/>
  <c r="B6745" i="1"/>
  <c r="A6745" i="1"/>
  <c r="F6744" i="1"/>
  <c r="E6744" i="1"/>
  <c r="D6744" i="1"/>
  <c r="C6744" i="1"/>
  <c r="B6744" i="1"/>
  <c r="A6744" i="1"/>
  <c r="F6743" i="1"/>
  <c r="E6743" i="1"/>
  <c r="D6743" i="1"/>
  <c r="C6743" i="1"/>
  <c r="B6743" i="1"/>
  <c r="A6743" i="1"/>
  <c r="F6742" i="1"/>
  <c r="E6742" i="1"/>
  <c r="D6742" i="1"/>
  <c r="C6742" i="1"/>
  <c r="B6742" i="1"/>
  <c r="A6742" i="1"/>
  <c r="F6741" i="1"/>
  <c r="E6741" i="1"/>
  <c r="D6741" i="1"/>
  <c r="C6741" i="1"/>
  <c r="B6741" i="1"/>
  <c r="A6741" i="1"/>
  <c r="F6740" i="1"/>
  <c r="E6740" i="1"/>
  <c r="D6740" i="1"/>
  <c r="C6740" i="1"/>
  <c r="B6740" i="1"/>
  <c r="A6740" i="1"/>
  <c r="F6739" i="1"/>
  <c r="E6739" i="1"/>
  <c r="D6739" i="1"/>
  <c r="C6739" i="1"/>
  <c r="B6739" i="1"/>
  <c r="A6739" i="1"/>
  <c r="F6738" i="1"/>
  <c r="E6738" i="1"/>
  <c r="D6738" i="1"/>
  <c r="C6738" i="1"/>
  <c r="B6738" i="1"/>
  <c r="A6738" i="1"/>
  <c r="F6737" i="1"/>
  <c r="E6737" i="1"/>
  <c r="D6737" i="1"/>
  <c r="C6737" i="1"/>
  <c r="B6737" i="1"/>
  <c r="A6737" i="1"/>
  <c r="F6736" i="1"/>
  <c r="E6736" i="1"/>
  <c r="D6736" i="1"/>
  <c r="C6736" i="1"/>
  <c r="B6736" i="1"/>
  <c r="A6736" i="1"/>
  <c r="F6735" i="1"/>
  <c r="E6735" i="1"/>
  <c r="D6735" i="1"/>
  <c r="C6735" i="1"/>
  <c r="B6735" i="1"/>
  <c r="A6735" i="1"/>
  <c r="F6734" i="1"/>
  <c r="E6734" i="1"/>
  <c r="D6734" i="1"/>
  <c r="C6734" i="1"/>
  <c r="B6734" i="1"/>
  <c r="A6734" i="1"/>
  <c r="F6733" i="1"/>
  <c r="E6733" i="1"/>
  <c r="D6733" i="1"/>
  <c r="C6733" i="1"/>
  <c r="B6733" i="1"/>
  <c r="A6733" i="1"/>
  <c r="F6732" i="1"/>
  <c r="E6732" i="1"/>
  <c r="D6732" i="1"/>
  <c r="C6732" i="1"/>
  <c r="B6732" i="1"/>
  <c r="A6732" i="1"/>
  <c r="F6731" i="1"/>
  <c r="E6731" i="1"/>
  <c r="D6731" i="1"/>
  <c r="C6731" i="1"/>
  <c r="B6731" i="1"/>
  <c r="A6731" i="1"/>
  <c r="F6730" i="1"/>
  <c r="E6730" i="1"/>
  <c r="D6730" i="1"/>
  <c r="C6730" i="1"/>
  <c r="B6730" i="1"/>
  <c r="A6730" i="1"/>
  <c r="F6729" i="1"/>
  <c r="E6729" i="1"/>
  <c r="D6729" i="1"/>
  <c r="C6729" i="1"/>
  <c r="B6729" i="1"/>
  <c r="A6729" i="1"/>
  <c r="F6728" i="1"/>
  <c r="E6728" i="1"/>
  <c r="D6728" i="1"/>
  <c r="C6728" i="1"/>
  <c r="B6728" i="1"/>
  <c r="A6728" i="1"/>
  <c r="F6727" i="1"/>
  <c r="E6727" i="1"/>
  <c r="D6727" i="1"/>
  <c r="C6727" i="1"/>
  <c r="B6727" i="1"/>
  <c r="A6727" i="1"/>
  <c r="F6726" i="1"/>
  <c r="E6726" i="1"/>
  <c r="D6726" i="1"/>
  <c r="C6726" i="1"/>
  <c r="B6726" i="1"/>
  <c r="A6726" i="1"/>
  <c r="F6725" i="1"/>
  <c r="E6725" i="1"/>
  <c r="D6725" i="1"/>
  <c r="C6725" i="1"/>
  <c r="B6725" i="1"/>
  <c r="A6725" i="1"/>
  <c r="F6724" i="1"/>
  <c r="E6724" i="1"/>
  <c r="D6724" i="1"/>
  <c r="C6724" i="1"/>
  <c r="B6724" i="1"/>
  <c r="A6724" i="1"/>
  <c r="F6723" i="1"/>
  <c r="E6723" i="1"/>
  <c r="D6723" i="1"/>
  <c r="C6723" i="1"/>
  <c r="B6723" i="1"/>
  <c r="A6723" i="1"/>
  <c r="F6722" i="1"/>
  <c r="E6722" i="1"/>
  <c r="D6722" i="1"/>
  <c r="C6722" i="1"/>
  <c r="B6722" i="1"/>
  <c r="A6722" i="1"/>
  <c r="F6721" i="1"/>
  <c r="E6721" i="1"/>
  <c r="D6721" i="1"/>
  <c r="C6721" i="1"/>
  <c r="B6721" i="1"/>
  <c r="A6721" i="1"/>
  <c r="F6720" i="1"/>
  <c r="E6720" i="1"/>
  <c r="D6720" i="1"/>
  <c r="C6720" i="1"/>
  <c r="B6720" i="1"/>
  <c r="A6720" i="1"/>
  <c r="F6719" i="1"/>
  <c r="E6719" i="1"/>
  <c r="D6719" i="1"/>
  <c r="C6719" i="1"/>
  <c r="B6719" i="1"/>
  <c r="A6719" i="1"/>
  <c r="F6718" i="1"/>
  <c r="E6718" i="1"/>
  <c r="D6718" i="1"/>
  <c r="C6718" i="1"/>
  <c r="B6718" i="1"/>
  <c r="A6718" i="1"/>
  <c r="F6717" i="1"/>
  <c r="E6717" i="1"/>
  <c r="D6717" i="1"/>
  <c r="C6717" i="1"/>
  <c r="B6717" i="1"/>
  <c r="A6717" i="1"/>
  <c r="F6716" i="1"/>
  <c r="E6716" i="1"/>
  <c r="D6716" i="1"/>
  <c r="C6716" i="1"/>
  <c r="B6716" i="1"/>
  <c r="A6716" i="1"/>
  <c r="F6715" i="1"/>
  <c r="E6715" i="1"/>
  <c r="D6715" i="1"/>
  <c r="C6715" i="1"/>
  <c r="B6715" i="1"/>
  <c r="A6715" i="1"/>
  <c r="F6714" i="1"/>
  <c r="E6714" i="1"/>
  <c r="D6714" i="1"/>
  <c r="C6714" i="1"/>
  <c r="B6714" i="1"/>
  <c r="A6714" i="1"/>
  <c r="F6713" i="1"/>
  <c r="E6713" i="1"/>
  <c r="D6713" i="1"/>
  <c r="C6713" i="1"/>
  <c r="B6713" i="1"/>
  <c r="A6713" i="1"/>
  <c r="F6712" i="1"/>
  <c r="E6712" i="1"/>
  <c r="D6712" i="1"/>
  <c r="C6712" i="1"/>
  <c r="B6712" i="1"/>
  <c r="A6712" i="1"/>
  <c r="F6711" i="1"/>
  <c r="E6711" i="1"/>
  <c r="D6711" i="1"/>
  <c r="C6711" i="1"/>
  <c r="B6711" i="1"/>
  <c r="A6711" i="1"/>
  <c r="F6710" i="1"/>
  <c r="E6710" i="1"/>
  <c r="D6710" i="1"/>
  <c r="C6710" i="1"/>
  <c r="B6710" i="1"/>
  <c r="A6710" i="1"/>
  <c r="F6709" i="1"/>
  <c r="E6709" i="1"/>
  <c r="D6709" i="1"/>
  <c r="C6709" i="1"/>
  <c r="B6709" i="1"/>
  <c r="A6709" i="1"/>
  <c r="F6708" i="1"/>
  <c r="E6708" i="1"/>
  <c r="D6708" i="1"/>
  <c r="C6708" i="1"/>
  <c r="B6708" i="1"/>
  <c r="A6708" i="1"/>
  <c r="F6707" i="1"/>
  <c r="E6707" i="1"/>
  <c r="D6707" i="1"/>
  <c r="C6707" i="1"/>
  <c r="B6707" i="1"/>
  <c r="A6707" i="1"/>
  <c r="F6706" i="1"/>
  <c r="E6706" i="1"/>
  <c r="D6706" i="1"/>
  <c r="C6706" i="1"/>
  <c r="B6706" i="1"/>
  <c r="A6706" i="1"/>
  <c r="F6705" i="1"/>
  <c r="E6705" i="1"/>
  <c r="D6705" i="1"/>
  <c r="C6705" i="1"/>
  <c r="B6705" i="1"/>
  <c r="A6705" i="1"/>
  <c r="F6704" i="1"/>
  <c r="E6704" i="1"/>
  <c r="D6704" i="1"/>
  <c r="C6704" i="1"/>
  <c r="B6704" i="1"/>
  <c r="A6704" i="1"/>
  <c r="F6703" i="1"/>
  <c r="E6703" i="1"/>
  <c r="D6703" i="1"/>
  <c r="C6703" i="1"/>
  <c r="B6703" i="1"/>
  <c r="A6703" i="1"/>
  <c r="F6702" i="1"/>
  <c r="E6702" i="1"/>
  <c r="D6702" i="1"/>
  <c r="C6702" i="1"/>
  <c r="B6702" i="1"/>
  <c r="A6702" i="1"/>
  <c r="F6701" i="1"/>
  <c r="E6701" i="1"/>
  <c r="D6701" i="1"/>
  <c r="C6701" i="1"/>
  <c r="B6701" i="1"/>
  <c r="A6701" i="1"/>
  <c r="F6700" i="1"/>
  <c r="E6700" i="1"/>
  <c r="D6700" i="1"/>
  <c r="C6700" i="1"/>
  <c r="B6700" i="1"/>
  <c r="A6700" i="1"/>
  <c r="F6699" i="1"/>
  <c r="E6699" i="1"/>
  <c r="D6699" i="1"/>
  <c r="C6699" i="1"/>
  <c r="B6699" i="1"/>
  <c r="A6699" i="1"/>
  <c r="F6698" i="1"/>
  <c r="E6698" i="1"/>
  <c r="D6698" i="1"/>
  <c r="C6698" i="1"/>
  <c r="B6698" i="1"/>
  <c r="A6698" i="1"/>
  <c r="F6697" i="1"/>
  <c r="E6697" i="1"/>
  <c r="D6697" i="1"/>
  <c r="C6697" i="1"/>
  <c r="B6697" i="1"/>
  <c r="A6697" i="1"/>
  <c r="F6696" i="1"/>
  <c r="E6696" i="1"/>
  <c r="D6696" i="1"/>
  <c r="C6696" i="1"/>
  <c r="B6696" i="1"/>
  <c r="A6696" i="1"/>
  <c r="F6695" i="1"/>
  <c r="E6695" i="1"/>
  <c r="D6695" i="1"/>
  <c r="C6695" i="1"/>
  <c r="B6695" i="1"/>
  <c r="A6695" i="1"/>
  <c r="F6694" i="1"/>
  <c r="E6694" i="1"/>
  <c r="D6694" i="1"/>
  <c r="C6694" i="1"/>
  <c r="B6694" i="1"/>
  <c r="A6694" i="1"/>
  <c r="F6693" i="1"/>
  <c r="E6693" i="1"/>
  <c r="D6693" i="1"/>
  <c r="C6693" i="1"/>
  <c r="B6693" i="1"/>
  <c r="A6693" i="1"/>
  <c r="F6692" i="1"/>
  <c r="E6692" i="1"/>
  <c r="D6692" i="1"/>
  <c r="C6692" i="1"/>
  <c r="B6692" i="1"/>
  <c r="A6692" i="1"/>
  <c r="F6691" i="1"/>
  <c r="E6691" i="1"/>
  <c r="D6691" i="1"/>
  <c r="C6691" i="1"/>
  <c r="B6691" i="1"/>
  <c r="A6691" i="1"/>
  <c r="F6690" i="1"/>
  <c r="E6690" i="1"/>
  <c r="D6690" i="1"/>
  <c r="C6690" i="1"/>
  <c r="B6690" i="1"/>
  <c r="A6690" i="1"/>
  <c r="F6689" i="1"/>
  <c r="E6689" i="1"/>
  <c r="D6689" i="1"/>
  <c r="C6689" i="1"/>
  <c r="B6689" i="1"/>
  <c r="A6689" i="1"/>
  <c r="F6688" i="1"/>
  <c r="E6688" i="1"/>
  <c r="D6688" i="1"/>
  <c r="C6688" i="1"/>
  <c r="B6688" i="1"/>
  <c r="A6688" i="1"/>
  <c r="F6687" i="1"/>
  <c r="E6687" i="1"/>
  <c r="D6687" i="1"/>
  <c r="C6687" i="1"/>
  <c r="B6687" i="1"/>
  <c r="A6687" i="1"/>
  <c r="F6686" i="1"/>
  <c r="E6686" i="1"/>
  <c r="D6686" i="1"/>
  <c r="C6686" i="1"/>
  <c r="B6686" i="1"/>
  <c r="A6686" i="1"/>
  <c r="F6685" i="1"/>
  <c r="E6685" i="1"/>
  <c r="D6685" i="1"/>
  <c r="C6685" i="1"/>
  <c r="B6685" i="1"/>
  <c r="A6685" i="1"/>
  <c r="F6684" i="1"/>
  <c r="E6684" i="1"/>
  <c r="D6684" i="1"/>
  <c r="C6684" i="1"/>
  <c r="B6684" i="1"/>
  <c r="A6684" i="1"/>
  <c r="F6683" i="1"/>
  <c r="E6683" i="1"/>
  <c r="D6683" i="1"/>
  <c r="C6683" i="1"/>
  <c r="B6683" i="1"/>
  <c r="A6683" i="1"/>
  <c r="F6682" i="1"/>
  <c r="E6682" i="1"/>
  <c r="D6682" i="1"/>
  <c r="C6682" i="1"/>
  <c r="B6682" i="1"/>
  <c r="A6682" i="1"/>
  <c r="F6681" i="1"/>
  <c r="E6681" i="1"/>
  <c r="D6681" i="1"/>
  <c r="C6681" i="1"/>
  <c r="B6681" i="1"/>
  <c r="A6681" i="1"/>
  <c r="F6680" i="1"/>
  <c r="E6680" i="1"/>
  <c r="D6680" i="1"/>
  <c r="C6680" i="1"/>
  <c r="B6680" i="1"/>
  <c r="A6680" i="1"/>
  <c r="F6679" i="1"/>
  <c r="E6679" i="1"/>
  <c r="D6679" i="1"/>
  <c r="C6679" i="1"/>
  <c r="B6679" i="1"/>
  <c r="A6679" i="1"/>
  <c r="F6678" i="1"/>
  <c r="E6678" i="1"/>
  <c r="D6678" i="1"/>
  <c r="C6678" i="1"/>
  <c r="B6678" i="1"/>
  <c r="A6678" i="1"/>
  <c r="F6677" i="1"/>
  <c r="E6677" i="1"/>
  <c r="D6677" i="1"/>
  <c r="C6677" i="1"/>
  <c r="B6677" i="1"/>
  <c r="A6677" i="1"/>
  <c r="F6676" i="1"/>
  <c r="E6676" i="1"/>
  <c r="D6676" i="1"/>
  <c r="C6676" i="1"/>
  <c r="B6676" i="1"/>
  <c r="A6676" i="1"/>
  <c r="F6675" i="1"/>
  <c r="E6675" i="1"/>
  <c r="D6675" i="1"/>
  <c r="C6675" i="1"/>
  <c r="B6675" i="1"/>
  <c r="A6675" i="1"/>
  <c r="F6674" i="1"/>
  <c r="E6674" i="1"/>
  <c r="D6674" i="1"/>
  <c r="C6674" i="1"/>
  <c r="B6674" i="1"/>
  <c r="A6674" i="1"/>
  <c r="F6673" i="1"/>
  <c r="E6673" i="1"/>
  <c r="D6673" i="1"/>
  <c r="C6673" i="1"/>
  <c r="B6673" i="1"/>
  <c r="A6673" i="1"/>
  <c r="F6672" i="1"/>
  <c r="E6672" i="1"/>
  <c r="D6672" i="1"/>
  <c r="C6672" i="1"/>
  <c r="B6672" i="1"/>
  <c r="A6672" i="1"/>
  <c r="F6671" i="1"/>
  <c r="E6671" i="1"/>
  <c r="D6671" i="1"/>
  <c r="C6671" i="1"/>
  <c r="B6671" i="1"/>
  <c r="A6671" i="1"/>
  <c r="F6670" i="1"/>
  <c r="E6670" i="1"/>
  <c r="D6670" i="1"/>
  <c r="C6670" i="1"/>
  <c r="B6670" i="1"/>
  <c r="A6670" i="1"/>
  <c r="F6669" i="1"/>
  <c r="E6669" i="1"/>
  <c r="D6669" i="1"/>
  <c r="C6669" i="1"/>
  <c r="B6669" i="1"/>
  <c r="A6669" i="1"/>
  <c r="F6668" i="1"/>
  <c r="E6668" i="1"/>
  <c r="D6668" i="1"/>
  <c r="C6668" i="1"/>
  <c r="B6668" i="1"/>
  <c r="A6668" i="1"/>
  <c r="F6667" i="1"/>
  <c r="E6667" i="1"/>
  <c r="D6667" i="1"/>
  <c r="C6667" i="1"/>
  <c r="B6667" i="1"/>
  <c r="A6667" i="1"/>
  <c r="F6666" i="1"/>
  <c r="E6666" i="1"/>
  <c r="D6666" i="1"/>
  <c r="C6666" i="1"/>
  <c r="B6666" i="1"/>
  <c r="A6666" i="1"/>
  <c r="F6665" i="1"/>
  <c r="E6665" i="1"/>
  <c r="D6665" i="1"/>
  <c r="C6665" i="1"/>
  <c r="B6665" i="1"/>
  <c r="A6665" i="1"/>
  <c r="F6664" i="1"/>
  <c r="E6664" i="1"/>
  <c r="D6664" i="1"/>
  <c r="C6664" i="1"/>
  <c r="B6664" i="1"/>
  <c r="A6664" i="1"/>
  <c r="F6663" i="1"/>
  <c r="E6663" i="1"/>
  <c r="D6663" i="1"/>
  <c r="C6663" i="1"/>
  <c r="B6663" i="1"/>
  <c r="A6663" i="1"/>
  <c r="F6662" i="1"/>
  <c r="E6662" i="1"/>
  <c r="D6662" i="1"/>
  <c r="C6662" i="1"/>
  <c r="B6662" i="1"/>
  <c r="A6662" i="1"/>
  <c r="F6661" i="1"/>
  <c r="E6661" i="1"/>
  <c r="D6661" i="1"/>
  <c r="C6661" i="1"/>
  <c r="B6661" i="1"/>
  <c r="A6661" i="1"/>
  <c r="F6660" i="1"/>
  <c r="E6660" i="1"/>
  <c r="D6660" i="1"/>
  <c r="C6660" i="1"/>
  <c r="B6660" i="1"/>
  <c r="A6660" i="1"/>
  <c r="F6659" i="1"/>
  <c r="E6659" i="1"/>
  <c r="D6659" i="1"/>
  <c r="C6659" i="1"/>
  <c r="B6659" i="1"/>
  <c r="A6659" i="1"/>
  <c r="F6658" i="1"/>
  <c r="E6658" i="1"/>
  <c r="D6658" i="1"/>
  <c r="C6658" i="1"/>
  <c r="B6658" i="1"/>
  <c r="A6658" i="1"/>
  <c r="F6657" i="1"/>
  <c r="E6657" i="1"/>
  <c r="D6657" i="1"/>
  <c r="C6657" i="1"/>
  <c r="B6657" i="1"/>
  <c r="A6657" i="1"/>
  <c r="F6656" i="1"/>
  <c r="E6656" i="1"/>
  <c r="D6656" i="1"/>
  <c r="C6656" i="1"/>
  <c r="B6656" i="1"/>
  <c r="A6656" i="1"/>
  <c r="F6655" i="1"/>
  <c r="E6655" i="1"/>
  <c r="D6655" i="1"/>
  <c r="C6655" i="1"/>
  <c r="B6655" i="1"/>
  <c r="A6655" i="1"/>
  <c r="F6654" i="1"/>
  <c r="E6654" i="1"/>
  <c r="D6654" i="1"/>
  <c r="C6654" i="1"/>
  <c r="B6654" i="1"/>
  <c r="A6654" i="1"/>
  <c r="F6653" i="1"/>
  <c r="E6653" i="1"/>
  <c r="D6653" i="1"/>
  <c r="C6653" i="1"/>
  <c r="B6653" i="1"/>
  <c r="A6653" i="1"/>
  <c r="F6652" i="1"/>
  <c r="E6652" i="1"/>
  <c r="D6652" i="1"/>
  <c r="C6652" i="1"/>
  <c r="B6652" i="1"/>
  <c r="A6652" i="1"/>
  <c r="F6651" i="1"/>
  <c r="E6651" i="1"/>
  <c r="D6651" i="1"/>
  <c r="C6651" i="1"/>
  <c r="B6651" i="1"/>
  <c r="A6651" i="1"/>
  <c r="F6650" i="1"/>
  <c r="E6650" i="1"/>
  <c r="D6650" i="1"/>
  <c r="C6650" i="1"/>
  <c r="B6650" i="1"/>
  <c r="A6650" i="1"/>
  <c r="F6649" i="1"/>
  <c r="E6649" i="1"/>
  <c r="D6649" i="1"/>
  <c r="C6649" i="1"/>
  <c r="B6649" i="1"/>
  <c r="A6649" i="1"/>
  <c r="F6648" i="1"/>
  <c r="E6648" i="1"/>
  <c r="D6648" i="1"/>
  <c r="C6648" i="1"/>
  <c r="B6648" i="1"/>
  <c r="A6648" i="1"/>
  <c r="F6647" i="1"/>
  <c r="E6647" i="1"/>
  <c r="D6647" i="1"/>
  <c r="C6647" i="1"/>
  <c r="B6647" i="1"/>
  <c r="A6647" i="1"/>
  <c r="F6646" i="1"/>
  <c r="E6646" i="1"/>
  <c r="D6646" i="1"/>
  <c r="C6646" i="1"/>
  <c r="B6646" i="1"/>
  <c r="A6646" i="1"/>
  <c r="F6645" i="1"/>
  <c r="E6645" i="1"/>
  <c r="D6645" i="1"/>
  <c r="C6645" i="1"/>
  <c r="B6645" i="1"/>
  <c r="A6645" i="1"/>
  <c r="F6644" i="1"/>
  <c r="E6644" i="1"/>
  <c r="D6644" i="1"/>
  <c r="C6644" i="1"/>
  <c r="B6644" i="1"/>
  <c r="A6644" i="1"/>
  <c r="F6643" i="1"/>
  <c r="E6643" i="1"/>
  <c r="D6643" i="1"/>
  <c r="C6643" i="1"/>
  <c r="B6643" i="1"/>
  <c r="A6643" i="1"/>
  <c r="F6642" i="1"/>
  <c r="E6642" i="1"/>
  <c r="D6642" i="1"/>
  <c r="C6642" i="1"/>
  <c r="B6642" i="1"/>
  <c r="A6642" i="1"/>
  <c r="F6641" i="1"/>
  <c r="E6641" i="1"/>
  <c r="D6641" i="1"/>
  <c r="C6641" i="1"/>
  <c r="B6641" i="1"/>
  <c r="A6641" i="1"/>
  <c r="F6640" i="1"/>
  <c r="E6640" i="1"/>
  <c r="D6640" i="1"/>
  <c r="C6640" i="1"/>
  <c r="B6640" i="1"/>
  <c r="A6640" i="1"/>
  <c r="F6639" i="1"/>
  <c r="E6639" i="1"/>
  <c r="D6639" i="1"/>
  <c r="C6639" i="1"/>
  <c r="B6639" i="1"/>
  <c r="A6639" i="1"/>
  <c r="F6638" i="1"/>
  <c r="E6638" i="1"/>
  <c r="D6638" i="1"/>
  <c r="C6638" i="1"/>
  <c r="B6638" i="1"/>
  <c r="A6638" i="1"/>
  <c r="F6637" i="1"/>
  <c r="E6637" i="1"/>
  <c r="D6637" i="1"/>
  <c r="C6637" i="1"/>
  <c r="B6637" i="1"/>
  <c r="A6637" i="1"/>
  <c r="F6636" i="1"/>
  <c r="E6636" i="1"/>
  <c r="D6636" i="1"/>
  <c r="C6636" i="1"/>
  <c r="B6636" i="1"/>
  <c r="A6636" i="1"/>
  <c r="F6635" i="1"/>
  <c r="E6635" i="1"/>
  <c r="D6635" i="1"/>
  <c r="C6635" i="1"/>
  <c r="B6635" i="1"/>
  <c r="A6635" i="1"/>
  <c r="F6634" i="1"/>
  <c r="E6634" i="1"/>
  <c r="D6634" i="1"/>
  <c r="C6634" i="1"/>
  <c r="B6634" i="1"/>
  <c r="A6634" i="1"/>
  <c r="F6633" i="1"/>
  <c r="E6633" i="1"/>
  <c r="D6633" i="1"/>
  <c r="C6633" i="1"/>
  <c r="B6633" i="1"/>
  <c r="A6633" i="1"/>
  <c r="F6632" i="1"/>
  <c r="E6632" i="1"/>
  <c r="D6632" i="1"/>
  <c r="C6632" i="1"/>
  <c r="B6632" i="1"/>
  <c r="A6632" i="1"/>
  <c r="F6631" i="1"/>
  <c r="E6631" i="1"/>
  <c r="D6631" i="1"/>
  <c r="C6631" i="1"/>
  <c r="B6631" i="1"/>
  <c r="A6631" i="1"/>
  <c r="F6630" i="1"/>
  <c r="E6630" i="1"/>
  <c r="D6630" i="1"/>
  <c r="C6630" i="1"/>
  <c r="B6630" i="1"/>
  <c r="A6630" i="1"/>
  <c r="F6629" i="1"/>
  <c r="E6629" i="1"/>
  <c r="D6629" i="1"/>
  <c r="C6629" i="1"/>
  <c r="B6629" i="1"/>
  <c r="A6629" i="1"/>
  <c r="F6628" i="1"/>
  <c r="E6628" i="1"/>
  <c r="D6628" i="1"/>
  <c r="C6628" i="1"/>
  <c r="B6628" i="1"/>
  <c r="A6628" i="1"/>
  <c r="F6627" i="1"/>
  <c r="E6627" i="1"/>
  <c r="D6627" i="1"/>
  <c r="C6627" i="1"/>
  <c r="B6627" i="1"/>
  <c r="A6627" i="1"/>
  <c r="F6626" i="1"/>
  <c r="E6626" i="1"/>
  <c r="D6626" i="1"/>
  <c r="C6626" i="1"/>
  <c r="B6626" i="1"/>
  <c r="A6626" i="1"/>
  <c r="F6625" i="1"/>
  <c r="E6625" i="1"/>
  <c r="D6625" i="1"/>
  <c r="C6625" i="1"/>
  <c r="B6625" i="1"/>
  <c r="A6625" i="1"/>
  <c r="F6624" i="1"/>
  <c r="E6624" i="1"/>
  <c r="D6624" i="1"/>
  <c r="C6624" i="1"/>
  <c r="B6624" i="1"/>
  <c r="A6624" i="1"/>
  <c r="F6623" i="1"/>
  <c r="E6623" i="1"/>
  <c r="D6623" i="1"/>
  <c r="C6623" i="1"/>
  <c r="B6623" i="1"/>
  <c r="A6623" i="1"/>
  <c r="F6622" i="1"/>
  <c r="E6622" i="1"/>
  <c r="D6622" i="1"/>
  <c r="C6622" i="1"/>
  <c r="B6622" i="1"/>
  <c r="A6622" i="1"/>
  <c r="F6621" i="1"/>
  <c r="E6621" i="1"/>
  <c r="D6621" i="1"/>
  <c r="C6621" i="1"/>
  <c r="B6621" i="1"/>
  <c r="A6621" i="1"/>
  <c r="F6620" i="1"/>
  <c r="E6620" i="1"/>
  <c r="D6620" i="1"/>
  <c r="C6620" i="1"/>
  <c r="B6620" i="1"/>
  <c r="A6620" i="1"/>
  <c r="F6619" i="1"/>
  <c r="E6619" i="1"/>
  <c r="D6619" i="1"/>
  <c r="C6619" i="1"/>
  <c r="B6619" i="1"/>
  <c r="A6619" i="1"/>
  <c r="F6618" i="1"/>
  <c r="E6618" i="1"/>
  <c r="D6618" i="1"/>
  <c r="C6618" i="1"/>
  <c r="B6618" i="1"/>
  <c r="A6618" i="1"/>
  <c r="F6617" i="1"/>
  <c r="E6617" i="1"/>
  <c r="D6617" i="1"/>
  <c r="C6617" i="1"/>
  <c r="B6617" i="1"/>
  <c r="A6617" i="1"/>
  <c r="F6616" i="1"/>
  <c r="E6616" i="1"/>
  <c r="D6616" i="1"/>
  <c r="C6616" i="1"/>
  <c r="B6616" i="1"/>
  <c r="A6616" i="1"/>
  <c r="F6615" i="1"/>
  <c r="E6615" i="1"/>
  <c r="D6615" i="1"/>
  <c r="C6615" i="1"/>
  <c r="B6615" i="1"/>
  <c r="A6615" i="1"/>
  <c r="F6614" i="1"/>
  <c r="E6614" i="1"/>
  <c r="D6614" i="1"/>
  <c r="C6614" i="1"/>
  <c r="B6614" i="1"/>
  <c r="A6614" i="1"/>
  <c r="F6613" i="1"/>
  <c r="E6613" i="1"/>
  <c r="D6613" i="1"/>
  <c r="C6613" i="1"/>
  <c r="B6613" i="1"/>
  <c r="A6613" i="1"/>
  <c r="F6612" i="1"/>
  <c r="E6612" i="1"/>
  <c r="D6612" i="1"/>
  <c r="C6612" i="1"/>
  <c r="B6612" i="1"/>
  <c r="A6612" i="1"/>
  <c r="F6611" i="1"/>
  <c r="E6611" i="1"/>
  <c r="D6611" i="1"/>
  <c r="C6611" i="1"/>
  <c r="B6611" i="1"/>
  <c r="A6611" i="1"/>
  <c r="F6610" i="1"/>
  <c r="E6610" i="1"/>
  <c r="D6610" i="1"/>
  <c r="C6610" i="1"/>
  <c r="B6610" i="1"/>
  <c r="A6610" i="1"/>
  <c r="F6609" i="1"/>
  <c r="E6609" i="1"/>
  <c r="D6609" i="1"/>
  <c r="C6609" i="1"/>
  <c r="B6609" i="1"/>
  <c r="A6609" i="1"/>
  <c r="F6608" i="1"/>
  <c r="E6608" i="1"/>
  <c r="D6608" i="1"/>
  <c r="C6608" i="1"/>
  <c r="B6608" i="1"/>
  <c r="A6608" i="1"/>
  <c r="F6607" i="1"/>
  <c r="E6607" i="1"/>
  <c r="D6607" i="1"/>
  <c r="C6607" i="1"/>
  <c r="B6607" i="1"/>
  <c r="A6607" i="1"/>
  <c r="F6606" i="1"/>
  <c r="E6606" i="1"/>
  <c r="D6606" i="1"/>
  <c r="C6606" i="1"/>
  <c r="B6606" i="1"/>
  <c r="A6606" i="1"/>
  <c r="F6605" i="1"/>
  <c r="E6605" i="1"/>
  <c r="D6605" i="1"/>
  <c r="C6605" i="1"/>
  <c r="B6605" i="1"/>
  <c r="A6605" i="1"/>
  <c r="F6604" i="1"/>
  <c r="E6604" i="1"/>
  <c r="D6604" i="1"/>
  <c r="C6604" i="1"/>
  <c r="B6604" i="1"/>
  <c r="A6604" i="1"/>
  <c r="F6603" i="1"/>
  <c r="E6603" i="1"/>
  <c r="D6603" i="1"/>
  <c r="C6603" i="1"/>
  <c r="B6603" i="1"/>
  <c r="A6603" i="1"/>
  <c r="F6602" i="1"/>
  <c r="E6602" i="1"/>
  <c r="D6602" i="1"/>
  <c r="C6602" i="1"/>
  <c r="B6602" i="1"/>
  <c r="A6602" i="1"/>
  <c r="F6601" i="1"/>
  <c r="E6601" i="1"/>
  <c r="D6601" i="1"/>
  <c r="C6601" i="1"/>
  <c r="B6601" i="1"/>
  <c r="A6601" i="1"/>
  <c r="F6600" i="1"/>
  <c r="E6600" i="1"/>
  <c r="D6600" i="1"/>
  <c r="C6600" i="1"/>
  <c r="B6600" i="1"/>
  <c r="A6600" i="1"/>
  <c r="F6599" i="1"/>
  <c r="E6599" i="1"/>
  <c r="D6599" i="1"/>
  <c r="C6599" i="1"/>
  <c r="B6599" i="1"/>
  <c r="A6599" i="1"/>
  <c r="F6598" i="1"/>
  <c r="E6598" i="1"/>
  <c r="D6598" i="1"/>
  <c r="C6598" i="1"/>
  <c r="B6598" i="1"/>
  <c r="A6598" i="1"/>
  <c r="F6597" i="1"/>
  <c r="E6597" i="1"/>
  <c r="D6597" i="1"/>
  <c r="C6597" i="1"/>
  <c r="B6597" i="1"/>
  <c r="A6597" i="1"/>
  <c r="F6596" i="1"/>
  <c r="E6596" i="1"/>
  <c r="D6596" i="1"/>
  <c r="C6596" i="1"/>
  <c r="B6596" i="1"/>
  <c r="A6596" i="1"/>
  <c r="F6595" i="1"/>
  <c r="E6595" i="1"/>
  <c r="D6595" i="1"/>
  <c r="C6595" i="1"/>
  <c r="B6595" i="1"/>
  <c r="A6595" i="1"/>
  <c r="F6594" i="1"/>
  <c r="E6594" i="1"/>
  <c r="D6594" i="1"/>
  <c r="C6594" i="1"/>
  <c r="B6594" i="1"/>
  <c r="A6594" i="1"/>
  <c r="F6593" i="1"/>
  <c r="E6593" i="1"/>
  <c r="D6593" i="1"/>
  <c r="C6593" i="1"/>
  <c r="B6593" i="1"/>
  <c r="A6593" i="1"/>
  <c r="F6592" i="1"/>
  <c r="E6592" i="1"/>
  <c r="D6592" i="1"/>
  <c r="C6592" i="1"/>
  <c r="B6592" i="1"/>
  <c r="A6592" i="1"/>
  <c r="F6591" i="1"/>
  <c r="E6591" i="1"/>
  <c r="D6591" i="1"/>
  <c r="C6591" i="1"/>
  <c r="B6591" i="1"/>
  <c r="A6591" i="1"/>
  <c r="F6590" i="1"/>
  <c r="E6590" i="1"/>
  <c r="D6590" i="1"/>
  <c r="C6590" i="1"/>
  <c r="B6590" i="1"/>
  <c r="A6590" i="1"/>
  <c r="F6589" i="1"/>
  <c r="E6589" i="1"/>
  <c r="D6589" i="1"/>
  <c r="C6589" i="1"/>
  <c r="B6589" i="1"/>
  <c r="A6589" i="1"/>
  <c r="F6588" i="1"/>
  <c r="E6588" i="1"/>
  <c r="D6588" i="1"/>
  <c r="C6588" i="1"/>
  <c r="B6588" i="1"/>
  <c r="A6588" i="1"/>
  <c r="F6587" i="1"/>
  <c r="E6587" i="1"/>
  <c r="D6587" i="1"/>
  <c r="C6587" i="1"/>
  <c r="B6587" i="1"/>
  <c r="A6587" i="1"/>
  <c r="F6586" i="1"/>
  <c r="E6586" i="1"/>
  <c r="D6586" i="1"/>
  <c r="C6586" i="1"/>
  <c r="B6586" i="1"/>
  <c r="A6586" i="1"/>
  <c r="F6585" i="1"/>
  <c r="E6585" i="1"/>
  <c r="D6585" i="1"/>
  <c r="C6585" i="1"/>
  <c r="B6585" i="1"/>
  <c r="A6585" i="1"/>
  <c r="F6584" i="1"/>
  <c r="E6584" i="1"/>
  <c r="D6584" i="1"/>
  <c r="C6584" i="1"/>
  <c r="B6584" i="1"/>
  <c r="A6584" i="1"/>
  <c r="F6583" i="1"/>
  <c r="E6583" i="1"/>
  <c r="D6583" i="1"/>
  <c r="C6583" i="1"/>
  <c r="B6583" i="1"/>
  <c r="A6583" i="1"/>
  <c r="F6582" i="1"/>
  <c r="E6582" i="1"/>
  <c r="D6582" i="1"/>
  <c r="C6582" i="1"/>
  <c r="B6582" i="1"/>
  <c r="A6582" i="1"/>
  <c r="F6581" i="1"/>
  <c r="E6581" i="1"/>
  <c r="D6581" i="1"/>
  <c r="C6581" i="1"/>
  <c r="B6581" i="1"/>
  <c r="A6581" i="1"/>
  <c r="F6580" i="1"/>
  <c r="E6580" i="1"/>
  <c r="D6580" i="1"/>
  <c r="C6580" i="1"/>
  <c r="B6580" i="1"/>
  <c r="A6580" i="1"/>
  <c r="F6579" i="1"/>
  <c r="E6579" i="1"/>
  <c r="D6579" i="1"/>
  <c r="C6579" i="1"/>
  <c r="B6579" i="1"/>
  <c r="A6579" i="1"/>
  <c r="F6578" i="1"/>
  <c r="E6578" i="1"/>
  <c r="D6578" i="1"/>
  <c r="C6578" i="1"/>
  <c r="B6578" i="1"/>
  <c r="A6578" i="1"/>
  <c r="F6577" i="1"/>
  <c r="E6577" i="1"/>
  <c r="D6577" i="1"/>
  <c r="C6577" i="1"/>
  <c r="B6577" i="1"/>
  <c r="A6577" i="1"/>
  <c r="F6576" i="1"/>
  <c r="E6576" i="1"/>
  <c r="D6576" i="1"/>
  <c r="C6576" i="1"/>
  <c r="B6576" i="1"/>
  <c r="A6576" i="1"/>
  <c r="F6575" i="1"/>
  <c r="E6575" i="1"/>
  <c r="D6575" i="1"/>
  <c r="C6575" i="1"/>
  <c r="B6575" i="1"/>
  <c r="A6575" i="1"/>
  <c r="F6574" i="1"/>
  <c r="E6574" i="1"/>
  <c r="D6574" i="1"/>
  <c r="C6574" i="1"/>
  <c r="B6574" i="1"/>
  <c r="A6574" i="1"/>
  <c r="F6573" i="1"/>
  <c r="E6573" i="1"/>
  <c r="D6573" i="1"/>
  <c r="C6573" i="1"/>
  <c r="B6573" i="1"/>
  <c r="A6573" i="1"/>
  <c r="F6572" i="1"/>
  <c r="E6572" i="1"/>
  <c r="D6572" i="1"/>
  <c r="C6572" i="1"/>
  <c r="B6572" i="1"/>
  <c r="A6572" i="1"/>
  <c r="F6571" i="1"/>
  <c r="E6571" i="1"/>
  <c r="D6571" i="1"/>
  <c r="C6571" i="1"/>
  <c r="B6571" i="1"/>
  <c r="A6571" i="1"/>
  <c r="F6570" i="1"/>
  <c r="E6570" i="1"/>
  <c r="D6570" i="1"/>
  <c r="C6570" i="1"/>
  <c r="B6570" i="1"/>
  <c r="A6570" i="1"/>
  <c r="F6569" i="1"/>
  <c r="E6569" i="1"/>
  <c r="D6569" i="1"/>
  <c r="C6569" i="1"/>
  <c r="B6569" i="1"/>
  <c r="A6569" i="1"/>
  <c r="F6568" i="1"/>
  <c r="E6568" i="1"/>
  <c r="D6568" i="1"/>
  <c r="C6568" i="1"/>
  <c r="B6568" i="1"/>
  <c r="A6568" i="1"/>
  <c r="F6567" i="1"/>
  <c r="E6567" i="1"/>
  <c r="D6567" i="1"/>
  <c r="C6567" i="1"/>
  <c r="B6567" i="1"/>
  <c r="A6567" i="1"/>
  <c r="F6566" i="1"/>
  <c r="E6566" i="1"/>
  <c r="D6566" i="1"/>
  <c r="C6566" i="1"/>
  <c r="B6566" i="1"/>
  <c r="A6566" i="1"/>
  <c r="F6565" i="1"/>
  <c r="E6565" i="1"/>
  <c r="D6565" i="1"/>
  <c r="C6565" i="1"/>
  <c r="B6565" i="1"/>
  <c r="A6565" i="1"/>
  <c r="F6564" i="1"/>
  <c r="E6564" i="1"/>
  <c r="D6564" i="1"/>
  <c r="C6564" i="1"/>
  <c r="B6564" i="1"/>
  <c r="A6564" i="1"/>
  <c r="F6563" i="1"/>
  <c r="E6563" i="1"/>
  <c r="D6563" i="1"/>
  <c r="C6563" i="1"/>
  <c r="B6563" i="1"/>
  <c r="A6563" i="1"/>
  <c r="F6562" i="1"/>
  <c r="E6562" i="1"/>
  <c r="D6562" i="1"/>
  <c r="C6562" i="1"/>
  <c r="B6562" i="1"/>
  <c r="A6562" i="1"/>
  <c r="F6561" i="1"/>
  <c r="E6561" i="1"/>
  <c r="D6561" i="1"/>
  <c r="C6561" i="1"/>
  <c r="B6561" i="1"/>
  <c r="A6561" i="1"/>
  <c r="F6560" i="1"/>
  <c r="E6560" i="1"/>
  <c r="D6560" i="1"/>
  <c r="C6560" i="1"/>
  <c r="B6560" i="1"/>
  <c r="A6560" i="1"/>
  <c r="F6559" i="1"/>
  <c r="E6559" i="1"/>
  <c r="D6559" i="1"/>
  <c r="C6559" i="1"/>
  <c r="B6559" i="1"/>
  <c r="A6559" i="1"/>
  <c r="F6558" i="1"/>
  <c r="E6558" i="1"/>
  <c r="D6558" i="1"/>
  <c r="C6558" i="1"/>
  <c r="B6558" i="1"/>
  <c r="A6558" i="1"/>
  <c r="F6557" i="1"/>
  <c r="E6557" i="1"/>
  <c r="D6557" i="1"/>
  <c r="C6557" i="1"/>
  <c r="B6557" i="1"/>
  <c r="A6557" i="1"/>
  <c r="F6556" i="1"/>
  <c r="E6556" i="1"/>
  <c r="D6556" i="1"/>
  <c r="C6556" i="1"/>
  <c r="B6556" i="1"/>
  <c r="A6556" i="1"/>
  <c r="F6555" i="1"/>
  <c r="E6555" i="1"/>
  <c r="D6555" i="1"/>
  <c r="C6555" i="1"/>
  <c r="B6555" i="1"/>
  <c r="A6555" i="1"/>
  <c r="F6554" i="1"/>
  <c r="E6554" i="1"/>
  <c r="D6554" i="1"/>
  <c r="C6554" i="1"/>
  <c r="B6554" i="1"/>
  <c r="A6554" i="1"/>
  <c r="F6553" i="1"/>
  <c r="E6553" i="1"/>
  <c r="D6553" i="1"/>
  <c r="C6553" i="1"/>
  <c r="B6553" i="1"/>
  <c r="A6553" i="1"/>
  <c r="F6552" i="1"/>
  <c r="E6552" i="1"/>
  <c r="D6552" i="1"/>
  <c r="C6552" i="1"/>
  <c r="B6552" i="1"/>
  <c r="A6552" i="1"/>
  <c r="F6551" i="1"/>
  <c r="E6551" i="1"/>
  <c r="D6551" i="1"/>
  <c r="C6551" i="1"/>
  <c r="B6551" i="1"/>
  <c r="A6551" i="1"/>
  <c r="F6550" i="1"/>
  <c r="E6550" i="1"/>
  <c r="D6550" i="1"/>
  <c r="C6550" i="1"/>
  <c r="B6550" i="1"/>
  <c r="A6550" i="1"/>
  <c r="F6549" i="1"/>
  <c r="E6549" i="1"/>
  <c r="D6549" i="1"/>
  <c r="C6549" i="1"/>
  <c r="B6549" i="1"/>
  <c r="A6549" i="1"/>
  <c r="F6548" i="1"/>
  <c r="E6548" i="1"/>
  <c r="D6548" i="1"/>
  <c r="C6548" i="1"/>
  <c r="B6548" i="1"/>
  <c r="A6548" i="1"/>
  <c r="F6547" i="1"/>
  <c r="E6547" i="1"/>
  <c r="D6547" i="1"/>
  <c r="C6547" i="1"/>
  <c r="B6547" i="1"/>
  <c r="A6547" i="1"/>
  <c r="F6546" i="1"/>
  <c r="E6546" i="1"/>
  <c r="D6546" i="1"/>
  <c r="C6546" i="1"/>
  <c r="B6546" i="1"/>
  <c r="A6546" i="1"/>
  <c r="F6545" i="1"/>
  <c r="E6545" i="1"/>
  <c r="D6545" i="1"/>
  <c r="C6545" i="1"/>
  <c r="B6545" i="1"/>
  <c r="A6545" i="1"/>
  <c r="F6544" i="1"/>
  <c r="E6544" i="1"/>
  <c r="D6544" i="1"/>
  <c r="C6544" i="1"/>
  <c r="B6544" i="1"/>
  <c r="A6544" i="1"/>
  <c r="F6543" i="1"/>
  <c r="E6543" i="1"/>
  <c r="D6543" i="1"/>
  <c r="C6543" i="1"/>
  <c r="B6543" i="1"/>
  <c r="A6543" i="1"/>
  <c r="F6542" i="1"/>
  <c r="E6542" i="1"/>
  <c r="D6542" i="1"/>
  <c r="C6542" i="1"/>
  <c r="B6542" i="1"/>
  <c r="A6542" i="1"/>
  <c r="F6541" i="1"/>
  <c r="E6541" i="1"/>
  <c r="D6541" i="1"/>
  <c r="C6541" i="1"/>
  <c r="B6541" i="1"/>
  <c r="A6541" i="1"/>
  <c r="F6540" i="1"/>
  <c r="E6540" i="1"/>
  <c r="D6540" i="1"/>
  <c r="C6540" i="1"/>
  <c r="B6540" i="1"/>
  <c r="A6540" i="1"/>
  <c r="F6539" i="1"/>
  <c r="E6539" i="1"/>
  <c r="D6539" i="1"/>
  <c r="C6539" i="1"/>
  <c r="B6539" i="1"/>
  <c r="A6539" i="1"/>
  <c r="F6538" i="1"/>
  <c r="E6538" i="1"/>
  <c r="D6538" i="1"/>
  <c r="C6538" i="1"/>
  <c r="B6538" i="1"/>
  <c r="A6538" i="1"/>
  <c r="F6537" i="1"/>
  <c r="E6537" i="1"/>
  <c r="D6537" i="1"/>
  <c r="C6537" i="1"/>
  <c r="B6537" i="1"/>
  <c r="A6537" i="1"/>
  <c r="F6536" i="1"/>
  <c r="E6536" i="1"/>
  <c r="D6536" i="1"/>
  <c r="C6536" i="1"/>
  <c r="B6536" i="1"/>
  <c r="A6536" i="1"/>
  <c r="F6535" i="1"/>
  <c r="E6535" i="1"/>
  <c r="D6535" i="1"/>
  <c r="C6535" i="1"/>
  <c r="B6535" i="1"/>
  <c r="A6535" i="1"/>
  <c r="F6534" i="1"/>
  <c r="E6534" i="1"/>
  <c r="D6534" i="1"/>
  <c r="C6534" i="1"/>
  <c r="B6534" i="1"/>
  <c r="A6534" i="1"/>
  <c r="F6533" i="1"/>
  <c r="E6533" i="1"/>
  <c r="D6533" i="1"/>
  <c r="C6533" i="1"/>
  <c r="B6533" i="1"/>
  <c r="A6533" i="1"/>
  <c r="F6532" i="1"/>
  <c r="E6532" i="1"/>
  <c r="D6532" i="1"/>
  <c r="C6532" i="1"/>
  <c r="B6532" i="1"/>
  <c r="A6532" i="1"/>
  <c r="F6531" i="1"/>
  <c r="E6531" i="1"/>
  <c r="D6531" i="1"/>
  <c r="C6531" i="1"/>
  <c r="B6531" i="1"/>
  <c r="A6531" i="1"/>
  <c r="F6530" i="1"/>
  <c r="E6530" i="1"/>
  <c r="D6530" i="1"/>
  <c r="C6530" i="1"/>
  <c r="B6530" i="1"/>
  <c r="A6530" i="1"/>
  <c r="F6529" i="1"/>
  <c r="E6529" i="1"/>
  <c r="D6529" i="1"/>
  <c r="C6529" i="1"/>
  <c r="B6529" i="1"/>
  <c r="A6529" i="1"/>
  <c r="F6528" i="1"/>
  <c r="E6528" i="1"/>
  <c r="D6528" i="1"/>
  <c r="C6528" i="1"/>
  <c r="B6528" i="1"/>
  <c r="A6528" i="1"/>
  <c r="F6527" i="1"/>
  <c r="E6527" i="1"/>
  <c r="D6527" i="1"/>
  <c r="C6527" i="1"/>
  <c r="B6527" i="1"/>
  <c r="A6527" i="1"/>
  <c r="F6526" i="1"/>
  <c r="E6526" i="1"/>
  <c r="D6526" i="1"/>
  <c r="C6526" i="1"/>
  <c r="B6526" i="1"/>
  <c r="A6526" i="1"/>
  <c r="F6525" i="1"/>
  <c r="E6525" i="1"/>
  <c r="D6525" i="1"/>
  <c r="C6525" i="1"/>
  <c r="B6525" i="1"/>
  <c r="A6525" i="1"/>
  <c r="F6524" i="1"/>
  <c r="E6524" i="1"/>
  <c r="D6524" i="1"/>
  <c r="C6524" i="1"/>
  <c r="B6524" i="1"/>
  <c r="A6524" i="1"/>
  <c r="F6523" i="1"/>
  <c r="E6523" i="1"/>
  <c r="D6523" i="1"/>
  <c r="C6523" i="1"/>
  <c r="B6523" i="1"/>
  <c r="A6523" i="1"/>
  <c r="F6522" i="1"/>
  <c r="E6522" i="1"/>
  <c r="D6522" i="1"/>
  <c r="C6522" i="1"/>
  <c r="B6522" i="1"/>
  <c r="A6522" i="1"/>
  <c r="F6521" i="1"/>
  <c r="E6521" i="1"/>
  <c r="D6521" i="1"/>
  <c r="C6521" i="1"/>
  <c r="B6521" i="1"/>
  <c r="A6521" i="1"/>
  <c r="F6520" i="1"/>
  <c r="E6520" i="1"/>
  <c r="D6520" i="1"/>
  <c r="C6520" i="1"/>
  <c r="B6520" i="1"/>
  <c r="A6520" i="1"/>
  <c r="F6519" i="1"/>
  <c r="E6519" i="1"/>
  <c r="D6519" i="1"/>
  <c r="C6519" i="1"/>
  <c r="B6519" i="1"/>
  <c r="A6519" i="1"/>
  <c r="F6518" i="1"/>
  <c r="E6518" i="1"/>
  <c r="D6518" i="1"/>
  <c r="C6518" i="1"/>
  <c r="B6518" i="1"/>
  <c r="A6518" i="1"/>
  <c r="F6517" i="1"/>
  <c r="E6517" i="1"/>
  <c r="D6517" i="1"/>
  <c r="C6517" i="1"/>
  <c r="B6517" i="1"/>
  <c r="A6517" i="1"/>
  <c r="F6516" i="1"/>
  <c r="E6516" i="1"/>
  <c r="D6516" i="1"/>
  <c r="C6516" i="1"/>
  <c r="B6516" i="1"/>
  <c r="A6516" i="1"/>
  <c r="F6515" i="1"/>
  <c r="E6515" i="1"/>
  <c r="D6515" i="1"/>
  <c r="C6515" i="1"/>
  <c r="B6515" i="1"/>
  <c r="A6515" i="1"/>
  <c r="F6514" i="1"/>
  <c r="E6514" i="1"/>
  <c r="D6514" i="1"/>
  <c r="C6514" i="1"/>
  <c r="B6514" i="1"/>
  <c r="A6514" i="1"/>
  <c r="F6513" i="1"/>
  <c r="E6513" i="1"/>
  <c r="D6513" i="1"/>
  <c r="C6513" i="1"/>
  <c r="B6513" i="1"/>
  <c r="A6513" i="1"/>
  <c r="F6512" i="1"/>
  <c r="E6512" i="1"/>
  <c r="D6512" i="1"/>
  <c r="C6512" i="1"/>
  <c r="B6512" i="1"/>
  <c r="A6512" i="1"/>
  <c r="F6511" i="1"/>
  <c r="E6511" i="1"/>
  <c r="D6511" i="1"/>
  <c r="C6511" i="1"/>
  <c r="B6511" i="1"/>
  <c r="A6511" i="1"/>
  <c r="F6510" i="1"/>
  <c r="E6510" i="1"/>
  <c r="D6510" i="1"/>
  <c r="C6510" i="1"/>
  <c r="B6510" i="1"/>
  <c r="A6510" i="1"/>
  <c r="F6509" i="1"/>
  <c r="E6509" i="1"/>
  <c r="D6509" i="1"/>
  <c r="C6509" i="1"/>
  <c r="B6509" i="1"/>
  <c r="A6509" i="1"/>
  <c r="F6508" i="1"/>
  <c r="E6508" i="1"/>
  <c r="D6508" i="1"/>
  <c r="C6508" i="1"/>
  <c r="B6508" i="1"/>
  <c r="A6508" i="1"/>
  <c r="F6507" i="1"/>
  <c r="E6507" i="1"/>
  <c r="D6507" i="1"/>
  <c r="C6507" i="1"/>
  <c r="B6507" i="1"/>
  <c r="A6507" i="1"/>
  <c r="F6506" i="1"/>
  <c r="E6506" i="1"/>
  <c r="D6506" i="1"/>
  <c r="C6506" i="1"/>
  <c r="B6506" i="1"/>
  <c r="A6506" i="1"/>
  <c r="F6505" i="1"/>
  <c r="E6505" i="1"/>
  <c r="D6505" i="1"/>
  <c r="C6505" i="1"/>
  <c r="B6505" i="1"/>
  <c r="A6505" i="1"/>
  <c r="F6504" i="1"/>
  <c r="E6504" i="1"/>
  <c r="D6504" i="1"/>
  <c r="C6504" i="1"/>
  <c r="B6504" i="1"/>
  <c r="A6504" i="1"/>
  <c r="F6503" i="1"/>
  <c r="E6503" i="1"/>
  <c r="D6503" i="1"/>
  <c r="C6503" i="1"/>
  <c r="B6503" i="1"/>
  <c r="A6503" i="1"/>
  <c r="F6502" i="1"/>
  <c r="E6502" i="1"/>
  <c r="D6502" i="1"/>
  <c r="C6502" i="1"/>
  <c r="B6502" i="1"/>
  <c r="A6502" i="1"/>
  <c r="F6501" i="1"/>
  <c r="E6501" i="1"/>
  <c r="D6501" i="1"/>
  <c r="C6501" i="1"/>
  <c r="B6501" i="1"/>
  <c r="A6501" i="1"/>
  <c r="F6500" i="1"/>
  <c r="E6500" i="1"/>
  <c r="D6500" i="1"/>
  <c r="C6500" i="1"/>
  <c r="B6500" i="1"/>
  <c r="A6500" i="1"/>
  <c r="F6499" i="1"/>
  <c r="E6499" i="1"/>
  <c r="D6499" i="1"/>
  <c r="C6499" i="1"/>
  <c r="B6499" i="1"/>
  <c r="A6499" i="1"/>
  <c r="F6498" i="1"/>
  <c r="E6498" i="1"/>
  <c r="D6498" i="1"/>
  <c r="C6498" i="1"/>
  <c r="B6498" i="1"/>
  <c r="A6498" i="1"/>
  <c r="F6497" i="1"/>
  <c r="E6497" i="1"/>
  <c r="D6497" i="1"/>
  <c r="C6497" i="1"/>
  <c r="B6497" i="1"/>
  <c r="A6497" i="1"/>
  <c r="F6496" i="1"/>
  <c r="E6496" i="1"/>
  <c r="D6496" i="1"/>
  <c r="C6496" i="1"/>
  <c r="B6496" i="1"/>
  <c r="A6496" i="1"/>
  <c r="F6495" i="1"/>
  <c r="E6495" i="1"/>
  <c r="D6495" i="1"/>
  <c r="C6495" i="1"/>
  <c r="B6495" i="1"/>
  <c r="A6495" i="1"/>
  <c r="F6494" i="1"/>
  <c r="E6494" i="1"/>
  <c r="D6494" i="1"/>
  <c r="C6494" i="1"/>
  <c r="B6494" i="1"/>
  <c r="A6494" i="1"/>
  <c r="F6493" i="1"/>
  <c r="E6493" i="1"/>
  <c r="D6493" i="1"/>
  <c r="C6493" i="1"/>
  <c r="B6493" i="1"/>
  <c r="A6493" i="1"/>
  <c r="F6492" i="1"/>
  <c r="E6492" i="1"/>
  <c r="D6492" i="1"/>
  <c r="C6492" i="1"/>
  <c r="B6492" i="1"/>
  <c r="A6492" i="1"/>
  <c r="F6491" i="1"/>
  <c r="E6491" i="1"/>
  <c r="D6491" i="1"/>
  <c r="C6491" i="1"/>
  <c r="B6491" i="1"/>
  <c r="A6491" i="1"/>
  <c r="F6490" i="1"/>
  <c r="E6490" i="1"/>
  <c r="D6490" i="1"/>
  <c r="C6490" i="1"/>
  <c r="B6490" i="1"/>
  <c r="A6490" i="1"/>
  <c r="F6489" i="1"/>
  <c r="E6489" i="1"/>
  <c r="D6489" i="1"/>
  <c r="C6489" i="1"/>
  <c r="B6489" i="1"/>
  <c r="A6489" i="1"/>
  <c r="F6488" i="1"/>
  <c r="E6488" i="1"/>
  <c r="D6488" i="1"/>
  <c r="C6488" i="1"/>
  <c r="B6488" i="1"/>
  <c r="A6488" i="1"/>
  <c r="F6487" i="1"/>
  <c r="E6487" i="1"/>
  <c r="D6487" i="1"/>
  <c r="C6487" i="1"/>
  <c r="B6487" i="1"/>
  <c r="A6487" i="1"/>
  <c r="F6486" i="1"/>
  <c r="E6486" i="1"/>
  <c r="D6486" i="1"/>
  <c r="C6486" i="1"/>
  <c r="B6486" i="1"/>
  <c r="A6486" i="1"/>
  <c r="F6485" i="1"/>
  <c r="E6485" i="1"/>
  <c r="D6485" i="1"/>
  <c r="C6485" i="1"/>
  <c r="B6485" i="1"/>
  <c r="A6485" i="1"/>
  <c r="F6484" i="1"/>
  <c r="E6484" i="1"/>
  <c r="D6484" i="1"/>
  <c r="C6484" i="1"/>
  <c r="B6484" i="1"/>
  <c r="A6484" i="1"/>
  <c r="F6483" i="1"/>
  <c r="E6483" i="1"/>
  <c r="D6483" i="1"/>
  <c r="C6483" i="1"/>
  <c r="B6483" i="1"/>
  <c r="A6483" i="1"/>
  <c r="F6482" i="1"/>
  <c r="E6482" i="1"/>
  <c r="D6482" i="1"/>
  <c r="C6482" i="1"/>
  <c r="B6482" i="1"/>
  <c r="A6482" i="1"/>
  <c r="F6481" i="1"/>
  <c r="E6481" i="1"/>
  <c r="D6481" i="1"/>
  <c r="C6481" i="1"/>
  <c r="B6481" i="1"/>
  <c r="A6481" i="1"/>
  <c r="F6480" i="1"/>
  <c r="E6480" i="1"/>
  <c r="D6480" i="1"/>
  <c r="C6480" i="1"/>
  <c r="B6480" i="1"/>
  <c r="A6480" i="1"/>
  <c r="F6479" i="1"/>
  <c r="E6479" i="1"/>
  <c r="D6479" i="1"/>
  <c r="C6479" i="1"/>
  <c r="B6479" i="1"/>
  <c r="A6479" i="1"/>
  <c r="F6478" i="1"/>
  <c r="E6478" i="1"/>
  <c r="D6478" i="1"/>
  <c r="C6478" i="1"/>
  <c r="B6478" i="1"/>
  <c r="A6478" i="1"/>
  <c r="F6477" i="1"/>
  <c r="E6477" i="1"/>
  <c r="D6477" i="1"/>
  <c r="C6477" i="1"/>
  <c r="B6477" i="1"/>
  <c r="A6477" i="1"/>
  <c r="F6476" i="1"/>
  <c r="E6476" i="1"/>
  <c r="D6476" i="1"/>
  <c r="C6476" i="1"/>
  <c r="B6476" i="1"/>
  <c r="A6476" i="1"/>
  <c r="F6475" i="1"/>
  <c r="E6475" i="1"/>
  <c r="D6475" i="1"/>
  <c r="C6475" i="1"/>
  <c r="B6475" i="1"/>
  <c r="A6475" i="1"/>
  <c r="F6474" i="1"/>
  <c r="E6474" i="1"/>
  <c r="D6474" i="1"/>
  <c r="C6474" i="1"/>
  <c r="B6474" i="1"/>
  <c r="A6474" i="1"/>
  <c r="F6473" i="1"/>
  <c r="E6473" i="1"/>
  <c r="D6473" i="1"/>
  <c r="C6473" i="1"/>
  <c r="B6473" i="1"/>
  <c r="A6473" i="1"/>
  <c r="F6472" i="1"/>
  <c r="E6472" i="1"/>
  <c r="D6472" i="1"/>
  <c r="C6472" i="1"/>
  <c r="B6472" i="1"/>
  <c r="A6472" i="1"/>
  <c r="F6471" i="1"/>
  <c r="E6471" i="1"/>
  <c r="D6471" i="1"/>
  <c r="C6471" i="1"/>
  <c r="B6471" i="1"/>
  <c r="A6471" i="1"/>
  <c r="F6470" i="1"/>
  <c r="E6470" i="1"/>
  <c r="D6470" i="1"/>
  <c r="C6470" i="1"/>
  <c r="B6470" i="1"/>
  <c r="A6470" i="1"/>
  <c r="F6469" i="1"/>
  <c r="E6469" i="1"/>
  <c r="D6469" i="1"/>
  <c r="C6469" i="1"/>
  <c r="B6469" i="1"/>
  <c r="A6469" i="1"/>
  <c r="F6468" i="1"/>
  <c r="E6468" i="1"/>
  <c r="D6468" i="1"/>
  <c r="C6468" i="1"/>
  <c r="B6468" i="1"/>
  <c r="A6468" i="1"/>
  <c r="F6467" i="1"/>
  <c r="E6467" i="1"/>
  <c r="D6467" i="1"/>
  <c r="C6467" i="1"/>
  <c r="B6467" i="1"/>
  <c r="A6467" i="1"/>
  <c r="F6466" i="1"/>
  <c r="E6466" i="1"/>
  <c r="D6466" i="1"/>
  <c r="C6466" i="1"/>
  <c r="B6466" i="1"/>
  <c r="A6466" i="1"/>
  <c r="F6465" i="1"/>
  <c r="E6465" i="1"/>
  <c r="D6465" i="1"/>
  <c r="C6465" i="1"/>
  <c r="B6465" i="1"/>
  <c r="A6465" i="1"/>
  <c r="F6464" i="1"/>
  <c r="E6464" i="1"/>
  <c r="D6464" i="1"/>
  <c r="C6464" i="1"/>
  <c r="B6464" i="1"/>
  <c r="A6464" i="1"/>
  <c r="F6463" i="1"/>
  <c r="E6463" i="1"/>
  <c r="D6463" i="1"/>
  <c r="C6463" i="1"/>
  <c r="B6463" i="1"/>
  <c r="A6463" i="1"/>
  <c r="F6462" i="1"/>
  <c r="E6462" i="1"/>
  <c r="D6462" i="1"/>
  <c r="C6462" i="1"/>
  <c r="B6462" i="1"/>
  <c r="A6462" i="1"/>
  <c r="F6461" i="1"/>
  <c r="E6461" i="1"/>
  <c r="D6461" i="1"/>
  <c r="C6461" i="1"/>
  <c r="B6461" i="1"/>
  <c r="A6461" i="1"/>
  <c r="F6460" i="1"/>
  <c r="E6460" i="1"/>
  <c r="D6460" i="1"/>
  <c r="C6460" i="1"/>
  <c r="B6460" i="1"/>
  <c r="A6460" i="1"/>
  <c r="F6459" i="1"/>
  <c r="E6459" i="1"/>
  <c r="D6459" i="1"/>
  <c r="C6459" i="1"/>
  <c r="B6459" i="1"/>
  <c r="A6459" i="1"/>
  <c r="F6458" i="1"/>
  <c r="E6458" i="1"/>
  <c r="D6458" i="1"/>
  <c r="C6458" i="1"/>
  <c r="B6458" i="1"/>
  <c r="A6458" i="1"/>
  <c r="F6457" i="1"/>
  <c r="E6457" i="1"/>
  <c r="D6457" i="1"/>
  <c r="C6457" i="1"/>
  <c r="B6457" i="1"/>
  <c r="A6457" i="1"/>
  <c r="F6456" i="1"/>
  <c r="E6456" i="1"/>
  <c r="D6456" i="1"/>
  <c r="C6456" i="1"/>
  <c r="B6456" i="1"/>
  <c r="A6456" i="1"/>
  <c r="F6455" i="1"/>
  <c r="E6455" i="1"/>
  <c r="D6455" i="1"/>
  <c r="C6455" i="1"/>
  <c r="B6455" i="1"/>
  <c r="A6455" i="1"/>
  <c r="F6454" i="1"/>
  <c r="E6454" i="1"/>
  <c r="D6454" i="1"/>
  <c r="C6454" i="1"/>
  <c r="B6454" i="1"/>
  <c r="A6454" i="1"/>
  <c r="F6453" i="1"/>
  <c r="E6453" i="1"/>
  <c r="D6453" i="1"/>
  <c r="C6453" i="1"/>
  <c r="B6453" i="1"/>
  <c r="A6453" i="1"/>
  <c r="F6452" i="1"/>
  <c r="E6452" i="1"/>
  <c r="D6452" i="1"/>
  <c r="C6452" i="1"/>
  <c r="B6452" i="1"/>
  <c r="A6452" i="1"/>
  <c r="F6451" i="1"/>
  <c r="E6451" i="1"/>
  <c r="D6451" i="1"/>
  <c r="C6451" i="1"/>
  <c r="B6451" i="1"/>
  <c r="A6451" i="1"/>
  <c r="F6450" i="1"/>
  <c r="E6450" i="1"/>
  <c r="D6450" i="1"/>
  <c r="C6450" i="1"/>
  <c r="B6450" i="1"/>
  <c r="A6450" i="1"/>
  <c r="F6449" i="1"/>
  <c r="E6449" i="1"/>
  <c r="D6449" i="1"/>
  <c r="C6449" i="1"/>
  <c r="B6449" i="1"/>
  <c r="A6449" i="1"/>
  <c r="F6448" i="1"/>
  <c r="E6448" i="1"/>
  <c r="D6448" i="1"/>
  <c r="C6448" i="1"/>
  <c r="B6448" i="1"/>
  <c r="A6448" i="1"/>
  <c r="F6447" i="1"/>
  <c r="E6447" i="1"/>
  <c r="D6447" i="1"/>
  <c r="C6447" i="1"/>
  <c r="B6447" i="1"/>
  <c r="A6447" i="1"/>
  <c r="F6446" i="1"/>
  <c r="E6446" i="1"/>
  <c r="D6446" i="1"/>
  <c r="C6446" i="1"/>
  <c r="B6446" i="1"/>
  <c r="A6446" i="1"/>
  <c r="F6445" i="1"/>
  <c r="E6445" i="1"/>
  <c r="D6445" i="1"/>
  <c r="C6445" i="1"/>
  <c r="B6445" i="1"/>
  <c r="A6445" i="1"/>
  <c r="F6444" i="1"/>
  <c r="E6444" i="1"/>
  <c r="D6444" i="1"/>
  <c r="C6444" i="1"/>
  <c r="B6444" i="1"/>
  <c r="A6444" i="1"/>
  <c r="F6443" i="1"/>
  <c r="E6443" i="1"/>
  <c r="D6443" i="1"/>
  <c r="C6443" i="1"/>
  <c r="B6443" i="1"/>
  <c r="A6443" i="1"/>
  <c r="F6442" i="1"/>
  <c r="E6442" i="1"/>
  <c r="D6442" i="1"/>
  <c r="C6442" i="1"/>
  <c r="B6442" i="1"/>
  <c r="A6442" i="1"/>
  <c r="F6441" i="1"/>
  <c r="E6441" i="1"/>
  <c r="D6441" i="1"/>
  <c r="C6441" i="1"/>
  <c r="B6441" i="1"/>
  <c r="A6441" i="1"/>
  <c r="F6440" i="1"/>
  <c r="E6440" i="1"/>
  <c r="D6440" i="1"/>
  <c r="C6440" i="1"/>
  <c r="B6440" i="1"/>
  <c r="A6440" i="1"/>
  <c r="F6439" i="1"/>
  <c r="E6439" i="1"/>
  <c r="D6439" i="1"/>
  <c r="C6439" i="1"/>
  <c r="B6439" i="1"/>
  <c r="A6439" i="1"/>
  <c r="F6438" i="1"/>
  <c r="E6438" i="1"/>
  <c r="D6438" i="1"/>
  <c r="C6438" i="1"/>
  <c r="B6438" i="1"/>
  <c r="A6438" i="1"/>
  <c r="F6437" i="1"/>
  <c r="E6437" i="1"/>
  <c r="D6437" i="1"/>
  <c r="C6437" i="1"/>
  <c r="B6437" i="1"/>
  <c r="A6437" i="1"/>
  <c r="F6436" i="1"/>
  <c r="E6436" i="1"/>
  <c r="D6436" i="1"/>
  <c r="C6436" i="1"/>
  <c r="B6436" i="1"/>
  <c r="A6436" i="1"/>
  <c r="F6435" i="1"/>
  <c r="E6435" i="1"/>
  <c r="D6435" i="1"/>
  <c r="C6435" i="1"/>
  <c r="B6435" i="1"/>
  <c r="A6435" i="1"/>
  <c r="F6434" i="1"/>
  <c r="E6434" i="1"/>
  <c r="D6434" i="1"/>
  <c r="C6434" i="1"/>
  <c r="B6434" i="1"/>
  <c r="A6434" i="1"/>
  <c r="F6433" i="1"/>
  <c r="E6433" i="1"/>
  <c r="D6433" i="1"/>
  <c r="C6433" i="1"/>
  <c r="B6433" i="1"/>
  <c r="A6433" i="1"/>
  <c r="F6432" i="1"/>
  <c r="E6432" i="1"/>
  <c r="D6432" i="1"/>
  <c r="C6432" i="1"/>
  <c r="B6432" i="1"/>
  <c r="A6432" i="1"/>
  <c r="F6431" i="1"/>
  <c r="E6431" i="1"/>
  <c r="D6431" i="1"/>
  <c r="C6431" i="1"/>
  <c r="B6431" i="1"/>
  <c r="A6431" i="1"/>
  <c r="F6430" i="1"/>
  <c r="E6430" i="1"/>
  <c r="D6430" i="1"/>
  <c r="C6430" i="1"/>
  <c r="B6430" i="1"/>
  <c r="A6430" i="1"/>
  <c r="F6429" i="1"/>
  <c r="E6429" i="1"/>
  <c r="D6429" i="1"/>
  <c r="C6429" i="1"/>
  <c r="B6429" i="1"/>
  <c r="A6429" i="1"/>
  <c r="F6428" i="1"/>
  <c r="E6428" i="1"/>
  <c r="D6428" i="1"/>
  <c r="C6428" i="1"/>
  <c r="B6428" i="1"/>
  <c r="A6428" i="1"/>
  <c r="F6427" i="1"/>
  <c r="E6427" i="1"/>
  <c r="D6427" i="1"/>
  <c r="C6427" i="1"/>
  <c r="B6427" i="1"/>
  <c r="A6427" i="1"/>
  <c r="F6426" i="1"/>
  <c r="E6426" i="1"/>
  <c r="D6426" i="1"/>
  <c r="C6426" i="1"/>
  <c r="B6426" i="1"/>
  <c r="A6426" i="1"/>
  <c r="F6425" i="1"/>
  <c r="E6425" i="1"/>
  <c r="D6425" i="1"/>
  <c r="C6425" i="1"/>
  <c r="B6425" i="1"/>
  <c r="A6425" i="1"/>
  <c r="F6424" i="1"/>
  <c r="E6424" i="1"/>
  <c r="D6424" i="1"/>
  <c r="C6424" i="1"/>
  <c r="B6424" i="1"/>
  <c r="A6424" i="1"/>
  <c r="F6423" i="1"/>
  <c r="E6423" i="1"/>
  <c r="D6423" i="1"/>
  <c r="C6423" i="1"/>
  <c r="B6423" i="1"/>
  <c r="A6423" i="1"/>
  <c r="F6422" i="1"/>
  <c r="E6422" i="1"/>
  <c r="D6422" i="1"/>
  <c r="C6422" i="1"/>
  <c r="B6422" i="1"/>
  <c r="A6422" i="1"/>
  <c r="F6421" i="1"/>
  <c r="E6421" i="1"/>
  <c r="D6421" i="1"/>
  <c r="C6421" i="1"/>
  <c r="B6421" i="1"/>
  <c r="A6421" i="1"/>
  <c r="F6420" i="1"/>
  <c r="E6420" i="1"/>
  <c r="D6420" i="1"/>
  <c r="C6420" i="1"/>
  <c r="B6420" i="1"/>
  <c r="A6420" i="1"/>
  <c r="F6419" i="1"/>
  <c r="E6419" i="1"/>
  <c r="D6419" i="1"/>
  <c r="C6419" i="1"/>
  <c r="B6419" i="1"/>
  <c r="A6419" i="1"/>
  <c r="F6418" i="1"/>
  <c r="E6418" i="1"/>
  <c r="D6418" i="1"/>
  <c r="C6418" i="1"/>
  <c r="B6418" i="1"/>
  <c r="A6418" i="1"/>
  <c r="F6417" i="1"/>
  <c r="E6417" i="1"/>
  <c r="D6417" i="1"/>
  <c r="C6417" i="1"/>
  <c r="B6417" i="1"/>
  <c r="A6417" i="1"/>
  <c r="F6416" i="1"/>
  <c r="E6416" i="1"/>
  <c r="D6416" i="1"/>
  <c r="C6416" i="1"/>
  <c r="B6416" i="1"/>
  <c r="A6416" i="1"/>
  <c r="F6415" i="1"/>
  <c r="E6415" i="1"/>
  <c r="D6415" i="1"/>
  <c r="C6415" i="1"/>
  <c r="B6415" i="1"/>
  <c r="A6415" i="1"/>
  <c r="F6414" i="1"/>
  <c r="E6414" i="1"/>
  <c r="D6414" i="1"/>
  <c r="C6414" i="1"/>
  <c r="B6414" i="1"/>
  <c r="A6414" i="1"/>
  <c r="F6413" i="1"/>
  <c r="E6413" i="1"/>
  <c r="D6413" i="1"/>
  <c r="C6413" i="1"/>
  <c r="B6413" i="1"/>
  <c r="A6413" i="1"/>
  <c r="F6412" i="1"/>
  <c r="E6412" i="1"/>
  <c r="D6412" i="1"/>
  <c r="C6412" i="1"/>
  <c r="B6412" i="1"/>
  <c r="A6412" i="1"/>
  <c r="F6411" i="1"/>
  <c r="E6411" i="1"/>
  <c r="D6411" i="1"/>
  <c r="C6411" i="1"/>
  <c r="B6411" i="1"/>
  <c r="A6411" i="1"/>
  <c r="F6410" i="1"/>
  <c r="E6410" i="1"/>
  <c r="D6410" i="1"/>
  <c r="C6410" i="1"/>
  <c r="B6410" i="1"/>
  <c r="A6410" i="1"/>
  <c r="F6409" i="1"/>
  <c r="E6409" i="1"/>
  <c r="D6409" i="1"/>
  <c r="C6409" i="1"/>
  <c r="B6409" i="1"/>
  <c r="A6409" i="1"/>
  <c r="F6408" i="1"/>
  <c r="E6408" i="1"/>
  <c r="D6408" i="1"/>
  <c r="C6408" i="1"/>
  <c r="B6408" i="1"/>
  <c r="A6408" i="1"/>
  <c r="F6407" i="1"/>
  <c r="E6407" i="1"/>
  <c r="D6407" i="1"/>
  <c r="C6407" i="1"/>
  <c r="B6407" i="1"/>
  <c r="A6407" i="1"/>
  <c r="F6406" i="1"/>
  <c r="E6406" i="1"/>
  <c r="D6406" i="1"/>
  <c r="C6406" i="1"/>
  <c r="B6406" i="1"/>
  <c r="A6406" i="1"/>
  <c r="F6405" i="1"/>
  <c r="E6405" i="1"/>
  <c r="D6405" i="1"/>
  <c r="C6405" i="1"/>
  <c r="B6405" i="1"/>
  <c r="A6405" i="1"/>
  <c r="F6404" i="1"/>
  <c r="E6404" i="1"/>
  <c r="D6404" i="1"/>
  <c r="C6404" i="1"/>
  <c r="B6404" i="1"/>
  <c r="A6404" i="1"/>
  <c r="F6403" i="1"/>
  <c r="E6403" i="1"/>
  <c r="D6403" i="1"/>
  <c r="C6403" i="1"/>
  <c r="B6403" i="1"/>
  <c r="A6403" i="1"/>
  <c r="F6402" i="1"/>
  <c r="E6402" i="1"/>
  <c r="D6402" i="1"/>
  <c r="C6402" i="1"/>
  <c r="B6402" i="1"/>
  <c r="A6402" i="1"/>
  <c r="F6401" i="1"/>
  <c r="E6401" i="1"/>
  <c r="D6401" i="1"/>
  <c r="C6401" i="1"/>
  <c r="B6401" i="1"/>
  <c r="A6401" i="1"/>
  <c r="F6400" i="1"/>
  <c r="E6400" i="1"/>
  <c r="D6400" i="1"/>
  <c r="C6400" i="1"/>
  <c r="B6400" i="1"/>
  <c r="A6400" i="1"/>
  <c r="F6399" i="1"/>
  <c r="E6399" i="1"/>
  <c r="D6399" i="1"/>
  <c r="C6399" i="1"/>
  <c r="B6399" i="1"/>
  <c r="A6399" i="1"/>
  <c r="F6398" i="1"/>
  <c r="E6398" i="1"/>
  <c r="D6398" i="1"/>
  <c r="C6398" i="1"/>
  <c r="B6398" i="1"/>
  <c r="A6398" i="1"/>
  <c r="F6397" i="1"/>
  <c r="E6397" i="1"/>
  <c r="D6397" i="1"/>
  <c r="C6397" i="1"/>
  <c r="B6397" i="1"/>
  <c r="A6397" i="1"/>
  <c r="F6396" i="1"/>
  <c r="E6396" i="1"/>
  <c r="D6396" i="1"/>
  <c r="C6396" i="1"/>
  <c r="B6396" i="1"/>
  <c r="A6396" i="1"/>
  <c r="F6395" i="1"/>
  <c r="E6395" i="1"/>
  <c r="D6395" i="1"/>
  <c r="C6395" i="1"/>
  <c r="B6395" i="1"/>
  <c r="A6395" i="1"/>
  <c r="F6394" i="1"/>
  <c r="E6394" i="1"/>
  <c r="D6394" i="1"/>
  <c r="C6394" i="1"/>
  <c r="B6394" i="1"/>
  <c r="A6394" i="1"/>
  <c r="F6393" i="1"/>
  <c r="E6393" i="1"/>
  <c r="D6393" i="1"/>
  <c r="C6393" i="1"/>
  <c r="B6393" i="1"/>
  <c r="A6393" i="1"/>
  <c r="F6392" i="1"/>
  <c r="E6392" i="1"/>
  <c r="D6392" i="1"/>
  <c r="C6392" i="1"/>
  <c r="B6392" i="1"/>
  <c r="A6392" i="1"/>
  <c r="F6391" i="1"/>
  <c r="E6391" i="1"/>
  <c r="D6391" i="1"/>
  <c r="C6391" i="1"/>
  <c r="B6391" i="1"/>
  <c r="A6391" i="1"/>
  <c r="F6390" i="1"/>
  <c r="E6390" i="1"/>
  <c r="D6390" i="1"/>
  <c r="C6390" i="1"/>
  <c r="B6390" i="1"/>
  <c r="A6390" i="1"/>
  <c r="F6389" i="1"/>
  <c r="E6389" i="1"/>
  <c r="D6389" i="1"/>
  <c r="C6389" i="1"/>
  <c r="B6389" i="1"/>
  <c r="A6389" i="1"/>
  <c r="F6388" i="1"/>
  <c r="E6388" i="1"/>
  <c r="D6388" i="1"/>
  <c r="C6388" i="1"/>
  <c r="B6388" i="1"/>
  <c r="A6388" i="1"/>
  <c r="F6387" i="1"/>
  <c r="E6387" i="1"/>
  <c r="D6387" i="1"/>
  <c r="C6387" i="1"/>
  <c r="B6387" i="1"/>
  <c r="A6387" i="1"/>
  <c r="F6386" i="1"/>
  <c r="E6386" i="1"/>
  <c r="D6386" i="1"/>
  <c r="C6386" i="1"/>
  <c r="B6386" i="1"/>
  <c r="A6386" i="1"/>
  <c r="F6385" i="1"/>
  <c r="E6385" i="1"/>
  <c r="D6385" i="1"/>
  <c r="C6385" i="1"/>
  <c r="B6385" i="1"/>
  <c r="A6385" i="1"/>
  <c r="F6384" i="1"/>
  <c r="E6384" i="1"/>
  <c r="D6384" i="1"/>
  <c r="C6384" i="1"/>
  <c r="B6384" i="1"/>
  <c r="A6384" i="1"/>
  <c r="F6383" i="1"/>
  <c r="E6383" i="1"/>
  <c r="D6383" i="1"/>
  <c r="C6383" i="1"/>
  <c r="B6383" i="1"/>
  <c r="A6383" i="1"/>
  <c r="F6382" i="1"/>
  <c r="E6382" i="1"/>
  <c r="D6382" i="1"/>
  <c r="C6382" i="1"/>
  <c r="B6382" i="1"/>
  <c r="A6382" i="1"/>
  <c r="F6381" i="1"/>
  <c r="E6381" i="1"/>
  <c r="D6381" i="1"/>
  <c r="C6381" i="1"/>
  <c r="B6381" i="1"/>
  <c r="A6381" i="1"/>
  <c r="F6380" i="1"/>
  <c r="E6380" i="1"/>
  <c r="D6380" i="1"/>
  <c r="C6380" i="1"/>
  <c r="B6380" i="1"/>
  <c r="A6380" i="1"/>
  <c r="F6379" i="1"/>
  <c r="E6379" i="1"/>
  <c r="D6379" i="1"/>
  <c r="C6379" i="1"/>
  <c r="B6379" i="1"/>
  <c r="A6379" i="1"/>
  <c r="F6378" i="1"/>
  <c r="E6378" i="1"/>
  <c r="D6378" i="1"/>
  <c r="C6378" i="1"/>
  <c r="B6378" i="1"/>
  <c r="A6378" i="1"/>
  <c r="F6377" i="1"/>
  <c r="E6377" i="1"/>
  <c r="D6377" i="1"/>
  <c r="C6377" i="1"/>
  <c r="B6377" i="1"/>
  <c r="A6377" i="1"/>
  <c r="F6376" i="1"/>
  <c r="E6376" i="1"/>
  <c r="D6376" i="1"/>
  <c r="C6376" i="1"/>
  <c r="B6376" i="1"/>
  <c r="A6376" i="1"/>
  <c r="F6375" i="1"/>
  <c r="E6375" i="1"/>
  <c r="D6375" i="1"/>
  <c r="C6375" i="1"/>
  <c r="B6375" i="1"/>
  <c r="A6375" i="1"/>
  <c r="F6374" i="1"/>
  <c r="E6374" i="1"/>
  <c r="D6374" i="1"/>
  <c r="C6374" i="1"/>
  <c r="B6374" i="1"/>
  <c r="A6374" i="1"/>
  <c r="F6373" i="1"/>
  <c r="E6373" i="1"/>
  <c r="D6373" i="1"/>
  <c r="C6373" i="1"/>
  <c r="B6373" i="1"/>
  <c r="A6373" i="1"/>
  <c r="F6372" i="1"/>
  <c r="E6372" i="1"/>
  <c r="D6372" i="1"/>
  <c r="C6372" i="1"/>
  <c r="B6372" i="1"/>
  <c r="A6372" i="1"/>
  <c r="F6371" i="1"/>
  <c r="E6371" i="1"/>
  <c r="D6371" i="1"/>
  <c r="C6371" i="1"/>
  <c r="B6371" i="1"/>
  <c r="A6371" i="1"/>
  <c r="F6370" i="1"/>
  <c r="E6370" i="1"/>
  <c r="D6370" i="1"/>
  <c r="C6370" i="1"/>
  <c r="B6370" i="1"/>
  <c r="A6370" i="1"/>
  <c r="F6369" i="1"/>
  <c r="E6369" i="1"/>
  <c r="D6369" i="1"/>
  <c r="C6369" i="1"/>
  <c r="B6369" i="1"/>
  <c r="A6369" i="1"/>
  <c r="F6368" i="1"/>
  <c r="E6368" i="1"/>
  <c r="D6368" i="1"/>
  <c r="C6368" i="1"/>
  <c r="B6368" i="1"/>
  <c r="A6368" i="1"/>
  <c r="F6367" i="1"/>
  <c r="E6367" i="1"/>
  <c r="D6367" i="1"/>
  <c r="C6367" i="1"/>
  <c r="B6367" i="1"/>
  <c r="A6367" i="1"/>
  <c r="F6366" i="1"/>
  <c r="E6366" i="1"/>
  <c r="D6366" i="1"/>
  <c r="C6366" i="1"/>
  <c r="B6366" i="1"/>
  <c r="A6366" i="1"/>
  <c r="F6365" i="1"/>
  <c r="E6365" i="1"/>
  <c r="D6365" i="1"/>
  <c r="C6365" i="1"/>
  <c r="B6365" i="1"/>
  <c r="A6365" i="1"/>
  <c r="F6364" i="1"/>
  <c r="E6364" i="1"/>
  <c r="D6364" i="1"/>
  <c r="C6364" i="1"/>
  <c r="B6364" i="1"/>
  <c r="A6364" i="1"/>
  <c r="F6363" i="1"/>
  <c r="E6363" i="1"/>
  <c r="D6363" i="1"/>
  <c r="C6363" i="1"/>
  <c r="B6363" i="1"/>
  <c r="A6363" i="1"/>
  <c r="F6362" i="1"/>
  <c r="E6362" i="1"/>
  <c r="D6362" i="1"/>
  <c r="C6362" i="1"/>
  <c r="B6362" i="1"/>
  <c r="A6362" i="1"/>
  <c r="F6361" i="1"/>
  <c r="E6361" i="1"/>
  <c r="D6361" i="1"/>
  <c r="C6361" i="1"/>
  <c r="B6361" i="1"/>
  <c r="A6361" i="1"/>
  <c r="F6360" i="1"/>
  <c r="E6360" i="1"/>
  <c r="D6360" i="1"/>
  <c r="C6360" i="1"/>
  <c r="B6360" i="1"/>
  <c r="A6360" i="1"/>
  <c r="F6359" i="1"/>
  <c r="E6359" i="1"/>
  <c r="D6359" i="1"/>
  <c r="C6359" i="1"/>
  <c r="B6359" i="1"/>
  <c r="A6359" i="1"/>
  <c r="F6358" i="1"/>
  <c r="E6358" i="1"/>
  <c r="D6358" i="1"/>
  <c r="C6358" i="1"/>
  <c r="B6358" i="1"/>
  <c r="A6358" i="1"/>
  <c r="F6357" i="1"/>
  <c r="E6357" i="1"/>
  <c r="D6357" i="1"/>
  <c r="C6357" i="1"/>
  <c r="B6357" i="1"/>
  <c r="A6357" i="1"/>
  <c r="F6356" i="1"/>
  <c r="E6356" i="1"/>
  <c r="D6356" i="1"/>
  <c r="C6356" i="1"/>
  <c r="B6356" i="1"/>
  <c r="A6356" i="1"/>
  <c r="F6355" i="1"/>
  <c r="E6355" i="1"/>
  <c r="D6355" i="1"/>
  <c r="C6355" i="1"/>
  <c r="B6355" i="1"/>
  <c r="A6355" i="1"/>
  <c r="F6354" i="1"/>
  <c r="E6354" i="1"/>
  <c r="D6354" i="1"/>
  <c r="C6354" i="1"/>
  <c r="B6354" i="1"/>
  <c r="A6354" i="1"/>
  <c r="F6353" i="1"/>
  <c r="E6353" i="1"/>
  <c r="D6353" i="1"/>
  <c r="C6353" i="1"/>
  <c r="B6353" i="1"/>
  <c r="A6353" i="1"/>
  <c r="F6352" i="1"/>
  <c r="E6352" i="1"/>
  <c r="D6352" i="1"/>
  <c r="C6352" i="1"/>
  <c r="B6352" i="1"/>
  <c r="A6352" i="1"/>
  <c r="F6351" i="1"/>
  <c r="E6351" i="1"/>
  <c r="D6351" i="1"/>
  <c r="C6351" i="1"/>
  <c r="B6351" i="1"/>
  <c r="A6351" i="1"/>
  <c r="F6350" i="1"/>
  <c r="E6350" i="1"/>
  <c r="D6350" i="1"/>
  <c r="C6350" i="1"/>
  <c r="B6350" i="1"/>
  <c r="A6350" i="1"/>
  <c r="F6349" i="1"/>
  <c r="E6349" i="1"/>
  <c r="D6349" i="1"/>
  <c r="C6349" i="1"/>
  <c r="B6349" i="1"/>
  <c r="A6349" i="1"/>
  <c r="F6348" i="1"/>
  <c r="E6348" i="1"/>
  <c r="D6348" i="1"/>
  <c r="C6348" i="1"/>
  <c r="B6348" i="1"/>
  <c r="A6348" i="1"/>
  <c r="F6347" i="1"/>
  <c r="E6347" i="1"/>
  <c r="D6347" i="1"/>
  <c r="C6347" i="1"/>
  <c r="B6347" i="1"/>
  <c r="A6347" i="1"/>
  <c r="F6346" i="1"/>
  <c r="E6346" i="1"/>
  <c r="D6346" i="1"/>
  <c r="C6346" i="1"/>
  <c r="B6346" i="1"/>
  <c r="A6346" i="1"/>
  <c r="F6345" i="1"/>
  <c r="E6345" i="1"/>
  <c r="D6345" i="1"/>
  <c r="C6345" i="1"/>
  <c r="B6345" i="1"/>
  <c r="A6345" i="1"/>
  <c r="F6344" i="1"/>
  <c r="E6344" i="1"/>
  <c r="D6344" i="1"/>
  <c r="C6344" i="1"/>
  <c r="B6344" i="1"/>
  <c r="A6344" i="1"/>
  <c r="F6343" i="1"/>
  <c r="E6343" i="1"/>
  <c r="D6343" i="1"/>
  <c r="C6343" i="1"/>
  <c r="B6343" i="1"/>
  <c r="A6343" i="1"/>
  <c r="F6342" i="1"/>
  <c r="E6342" i="1"/>
  <c r="D6342" i="1"/>
  <c r="C6342" i="1"/>
  <c r="B6342" i="1"/>
  <c r="A6342" i="1"/>
  <c r="F6341" i="1"/>
  <c r="E6341" i="1"/>
  <c r="D6341" i="1"/>
  <c r="C6341" i="1"/>
  <c r="B6341" i="1"/>
  <c r="A6341" i="1"/>
  <c r="F6340" i="1"/>
  <c r="E6340" i="1"/>
  <c r="D6340" i="1"/>
  <c r="C6340" i="1"/>
  <c r="B6340" i="1"/>
  <c r="A6340" i="1"/>
  <c r="F6339" i="1"/>
  <c r="E6339" i="1"/>
  <c r="D6339" i="1"/>
  <c r="C6339" i="1"/>
  <c r="B6339" i="1"/>
  <c r="A6339" i="1"/>
  <c r="F6338" i="1"/>
  <c r="E6338" i="1"/>
  <c r="D6338" i="1"/>
  <c r="C6338" i="1"/>
  <c r="B6338" i="1"/>
  <c r="A6338" i="1"/>
  <c r="F6337" i="1"/>
  <c r="E6337" i="1"/>
  <c r="D6337" i="1"/>
  <c r="C6337" i="1"/>
  <c r="B6337" i="1"/>
  <c r="A6337" i="1"/>
  <c r="F6336" i="1"/>
  <c r="E6336" i="1"/>
  <c r="D6336" i="1"/>
  <c r="C6336" i="1"/>
  <c r="B6336" i="1"/>
  <c r="A6336" i="1"/>
  <c r="F6335" i="1"/>
  <c r="E6335" i="1"/>
  <c r="D6335" i="1"/>
  <c r="C6335" i="1"/>
  <c r="B6335" i="1"/>
  <c r="A6335" i="1"/>
  <c r="F6334" i="1"/>
  <c r="E6334" i="1"/>
  <c r="D6334" i="1"/>
  <c r="C6334" i="1"/>
  <c r="B6334" i="1"/>
  <c r="A6334" i="1"/>
  <c r="F6333" i="1"/>
  <c r="E6333" i="1"/>
  <c r="D6333" i="1"/>
  <c r="C6333" i="1"/>
  <c r="B6333" i="1"/>
  <c r="A6333" i="1"/>
  <c r="F6332" i="1"/>
  <c r="E6332" i="1"/>
  <c r="D6332" i="1"/>
  <c r="C6332" i="1"/>
  <c r="B6332" i="1"/>
  <c r="A6332" i="1"/>
  <c r="F6331" i="1"/>
  <c r="E6331" i="1"/>
  <c r="D6331" i="1"/>
  <c r="C6331" i="1"/>
  <c r="B6331" i="1"/>
  <c r="A6331" i="1"/>
  <c r="F6330" i="1"/>
  <c r="E6330" i="1"/>
  <c r="D6330" i="1"/>
  <c r="C6330" i="1"/>
  <c r="B6330" i="1"/>
  <c r="A6330" i="1"/>
  <c r="F6329" i="1"/>
  <c r="E6329" i="1"/>
  <c r="D6329" i="1"/>
  <c r="C6329" i="1"/>
  <c r="B6329" i="1"/>
  <c r="A6329" i="1"/>
  <c r="F6328" i="1"/>
  <c r="E6328" i="1"/>
  <c r="D6328" i="1"/>
  <c r="C6328" i="1"/>
  <c r="B6328" i="1"/>
  <c r="A6328" i="1"/>
  <c r="F6327" i="1"/>
  <c r="E6327" i="1"/>
  <c r="D6327" i="1"/>
  <c r="C6327" i="1"/>
  <c r="B6327" i="1"/>
  <c r="A6327" i="1"/>
  <c r="F6326" i="1"/>
  <c r="E6326" i="1"/>
  <c r="D6326" i="1"/>
  <c r="C6326" i="1"/>
  <c r="B6326" i="1"/>
  <c r="A6326" i="1"/>
  <c r="F6325" i="1"/>
  <c r="E6325" i="1"/>
  <c r="D6325" i="1"/>
  <c r="C6325" i="1"/>
  <c r="B6325" i="1"/>
  <c r="A6325" i="1"/>
  <c r="F6324" i="1"/>
  <c r="E6324" i="1"/>
  <c r="D6324" i="1"/>
  <c r="C6324" i="1"/>
  <c r="B6324" i="1"/>
  <c r="A6324" i="1"/>
  <c r="F6323" i="1"/>
  <c r="E6323" i="1"/>
  <c r="D6323" i="1"/>
  <c r="C6323" i="1"/>
  <c r="B6323" i="1"/>
  <c r="A6323" i="1"/>
  <c r="F6322" i="1"/>
  <c r="E6322" i="1"/>
  <c r="D6322" i="1"/>
  <c r="C6322" i="1"/>
  <c r="B6322" i="1"/>
  <c r="A6322" i="1"/>
  <c r="F6321" i="1"/>
  <c r="E6321" i="1"/>
  <c r="D6321" i="1"/>
  <c r="C6321" i="1"/>
  <c r="B6321" i="1"/>
  <c r="A6321" i="1"/>
  <c r="F6320" i="1"/>
  <c r="E6320" i="1"/>
  <c r="D6320" i="1"/>
  <c r="C6320" i="1"/>
  <c r="B6320" i="1"/>
  <c r="A6320" i="1"/>
  <c r="F6319" i="1"/>
  <c r="E6319" i="1"/>
  <c r="D6319" i="1"/>
  <c r="C6319" i="1"/>
  <c r="B6319" i="1"/>
  <c r="A6319" i="1"/>
  <c r="F6318" i="1"/>
  <c r="E6318" i="1"/>
  <c r="D6318" i="1"/>
  <c r="C6318" i="1"/>
  <c r="B6318" i="1"/>
  <c r="A6318" i="1"/>
  <c r="F6317" i="1"/>
  <c r="E6317" i="1"/>
  <c r="D6317" i="1"/>
  <c r="C6317" i="1"/>
  <c r="B6317" i="1"/>
  <c r="A6317" i="1"/>
  <c r="F6316" i="1"/>
  <c r="E6316" i="1"/>
  <c r="D6316" i="1"/>
  <c r="C6316" i="1"/>
  <c r="B6316" i="1"/>
  <c r="A6316" i="1"/>
  <c r="F6315" i="1"/>
  <c r="E6315" i="1"/>
  <c r="D6315" i="1"/>
  <c r="C6315" i="1"/>
  <c r="B6315" i="1"/>
  <c r="A6315" i="1"/>
  <c r="F6314" i="1"/>
  <c r="E6314" i="1"/>
  <c r="D6314" i="1"/>
  <c r="C6314" i="1"/>
  <c r="B6314" i="1"/>
  <c r="A6314" i="1"/>
  <c r="F6313" i="1"/>
  <c r="E6313" i="1"/>
  <c r="D6313" i="1"/>
  <c r="C6313" i="1"/>
  <c r="B6313" i="1"/>
  <c r="A6313" i="1"/>
  <c r="F6312" i="1"/>
  <c r="E6312" i="1"/>
  <c r="D6312" i="1"/>
  <c r="C6312" i="1"/>
  <c r="B6312" i="1"/>
  <c r="A6312" i="1"/>
  <c r="F6311" i="1"/>
  <c r="E6311" i="1"/>
  <c r="D6311" i="1"/>
  <c r="C6311" i="1"/>
  <c r="B6311" i="1"/>
  <c r="A6311" i="1"/>
  <c r="F6310" i="1"/>
  <c r="E6310" i="1"/>
  <c r="D6310" i="1"/>
  <c r="C6310" i="1"/>
  <c r="B6310" i="1"/>
  <c r="A6310" i="1"/>
  <c r="F6309" i="1"/>
  <c r="E6309" i="1"/>
  <c r="D6309" i="1"/>
  <c r="C6309" i="1"/>
  <c r="B6309" i="1"/>
  <c r="A6309" i="1"/>
  <c r="F6308" i="1"/>
  <c r="E6308" i="1"/>
  <c r="D6308" i="1"/>
  <c r="C6308" i="1"/>
  <c r="B6308" i="1"/>
  <c r="A6308" i="1"/>
  <c r="F6307" i="1"/>
  <c r="E6307" i="1"/>
  <c r="D6307" i="1"/>
  <c r="C6307" i="1"/>
  <c r="B6307" i="1"/>
  <c r="A6307" i="1"/>
  <c r="F6306" i="1"/>
  <c r="E6306" i="1"/>
  <c r="D6306" i="1"/>
  <c r="C6306" i="1"/>
  <c r="B6306" i="1"/>
  <c r="A6306" i="1"/>
  <c r="F6305" i="1"/>
  <c r="E6305" i="1"/>
  <c r="D6305" i="1"/>
  <c r="C6305" i="1"/>
  <c r="B6305" i="1"/>
  <c r="A6305" i="1"/>
  <c r="F6304" i="1"/>
  <c r="E6304" i="1"/>
  <c r="D6304" i="1"/>
  <c r="C6304" i="1"/>
  <c r="B6304" i="1"/>
  <c r="A6304" i="1"/>
  <c r="F6303" i="1"/>
  <c r="E6303" i="1"/>
  <c r="D6303" i="1"/>
  <c r="C6303" i="1"/>
  <c r="B6303" i="1"/>
  <c r="A6303" i="1"/>
  <c r="F6302" i="1"/>
  <c r="E6302" i="1"/>
  <c r="D6302" i="1"/>
  <c r="C6302" i="1"/>
  <c r="B6302" i="1"/>
  <c r="A6302" i="1"/>
  <c r="F6301" i="1"/>
  <c r="E6301" i="1"/>
  <c r="D6301" i="1"/>
  <c r="C6301" i="1"/>
  <c r="B6301" i="1"/>
  <c r="A6301" i="1"/>
  <c r="F6300" i="1"/>
  <c r="E6300" i="1"/>
  <c r="D6300" i="1"/>
  <c r="C6300" i="1"/>
  <c r="B6300" i="1"/>
  <c r="A6300" i="1"/>
  <c r="F6299" i="1"/>
  <c r="E6299" i="1"/>
  <c r="D6299" i="1"/>
  <c r="C6299" i="1"/>
  <c r="B6299" i="1"/>
  <c r="A6299" i="1"/>
  <c r="F6298" i="1"/>
  <c r="E6298" i="1"/>
  <c r="D6298" i="1"/>
  <c r="C6298" i="1"/>
  <c r="B6298" i="1"/>
  <c r="A6298" i="1"/>
  <c r="F6297" i="1"/>
  <c r="E6297" i="1"/>
  <c r="D6297" i="1"/>
  <c r="C6297" i="1"/>
  <c r="B6297" i="1"/>
  <c r="A6297" i="1"/>
  <c r="F6296" i="1"/>
  <c r="E6296" i="1"/>
  <c r="D6296" i="1"/>
  <c r="C6296" i="1"/>
  <c r="B6296" i="1"/>
  <c r="A6296" i="1"/>
  <c r="F6295" i="1"/>
  <c r="E6295" i="1"/>
  <c r="D6295" i="1"/>
  <c r="C6295" i="1"/>
  <c r="B6295" i="1"/>
  <c r="A6295" i="1"/>
  <c r="F6294" i="1"/>
  <c r="E6294" i="1"/>
  <c r="D6294" i="1"/>
  <c r="C6294" i="1"/>
  <c r="B6294" i="1"/>
  <c r="A6294" i="1"/>
  <c r="F6293" i="1"/>
  <c r="E6293" i="1"/>
  <c r="D6293" i="1"/>
  <c r="C6293" i="1"/>
  <c r="B6293" i="1"/>
  <c r="A6293" i="1"/>
  <c r="F6292" i="1"/>
  <c r="E6292" i="1"/>
  <c r="D6292" i="1"/>
  <c r="C6292" i="1"/>
  <c r="B6292" i="1"/>
  <c r="A6292" i="1"/>
  <c r="F6291" i="1"/>
  <c r="E6291" i="1"/>
  <c r="D6291" i="1"/>
  <c r="C6291" i="1"/>
  <c r="B6291" i="1"/>
  <c r="A6291" i="1"/>
  <c r="F6290" i="1"/>
  <c r="E6290" i="1"/>
  <c r="D6290" i="1"/>
  <c r="C6290" i="1"/>
  <c r="B6290" i="1"/>
  <c r="A6290" i="1"/>
  <c r="F6289" i="1"/>
  <c r="E6289" i="1"/>
  <c r="D6289" i="1"/>
  <c r="C6289" i="1"/>
  <c r="B6289" i="1"/>
  <c r="A6289" i="1"/>
  <c r="F6288" i="1"/>
  <c r="E6288" i="1"/>
  <c r="D6288" i="1"/>
  <c r="C6288" i="1"/>
  <c r="B6288" i="1"/>
  <c r="A6288" i="1"/>
  <c r="F6287" i="1"/>
  <c r="E6287" i="1"/>
  <c r="D6287" i="1"/>
  <c r="C6287" i="1"/>
  <c r="B6287" i="1"/>
  <c r="A6287" i="1"/>
  <c r="F6286" i="1"/>
  <c r="E6286" i="1"/>
  <c r="D6286" i="1"/>
  <c r="C6286" i="1"/>
  <c r="B6286" i="1"/>
  <c r="A6286" i="1"/>
  <c r="F6285" i="1"/>
  <c r="E6285" i="1"/>
  <c r="D6285" i="1"/>
  <c r="C6285" i="1"/>
  <c r="B6285" i="1"/>
  <c r="A6285" i="1"/>
  <c r="F6284" i="1"/>
  <c r="E6284" i="1"/>
  <c r="D6284" i="1"/>
  <c r="C6284" i="1"/>
  <c r="B6284" i="1"/>
  <c r="A6284" i="1"/>
  <c r="F6283" i="1"/>
  <c r="E6283" i="1"/>
  <c r="D6283" i="1"/>
  <c r="C6283" i="1"/>
  <c r="B6283" i="1"/>
  <c r="A6283" i="1"/>
  <c r="F6282" i="1"/>
  <c r="E6282" i="1"/>
  <c r="D6282" i="1"/>
  <c r="C6282" i="1"/>
  <c r="B6282" i="1"/>
  <c r="A6282" i="1"/>
  <c r="F6281" i="1"/>
  <c r="E6281" i="1"/>
  <c r="D6281" i="1"/>
  <c r="C6281" i="1"/>
  <c r="B6281" i="1"/>
  <c r="A6281" i="1"/>
  <c r="F6280" i="1"/>
  <c r="E6280" i="1"/>
  <c r="D6280" i="1"/>
  <c r="C6280" i="1"/>
  <c r="B6280" i="1"/>
  <c r="A6280" i="1"/>
  <c r="F6279" i="1"/>
  <c r="E6279" i="1"/>
  <c r="D6279" i="1"/>
  <c r="C6279" i="1"/>
  <c r="B6279" i="1"/>
  <c r="A6279" i="1"/>
  <c r="F6278" i="1"/>
  <c r="E6278" i="1"/>
  <c r="D6278" i="1"/>
  <c r="C6278" i="1"/>
  <c r="B6278" i="1"/>
  <c r="A6278" i="1"/>
  <c r="F6277" i="1"/>
  <c r="E6277" i="1"/>
  <c r="D6277" i="1"/>
  <c r="C6277" i="1"/>
  <c r="B6277" i="1"/>
  <c r="A6277" i="1"/>
  <c r="F6276" i="1"/>
  <c r="E6276" i="1"/>
  <c r="D6276" i="1"/>
  <c r="C6276" i="1"/>
  <c r="B6276" i="1"/>
  <c r="A6276" i="1"/>
  <c r="F6275" i="1"/>
  <c r="E6275" i="1"/>
  <c r="D6275" i="1"/>
  <c r="C6275" i="1"/>
  <c r="B6275" i="1"/>
  <c r="A6275" i="1"/>
  <c r="F6274" i="1"/>
  <c r="E6274" i="1"/>
  <c r="D6274" i="1"/>
  <c r="C6274" i="1"/>
  <c r="B6274" i="1"/>
  <c r="A6274" i="1"/>
  <c r="F6273" i="1"/>
  <c r="E6273" i="1"/>
  <c r="D6273" i="1"/>
  <c r="C6273" i="1"/>
  <c r="B6273" i="1"/>
  <c r="A6273" i="1"/>
  <c r="F6272" i="1"/>
  <c r="E6272" i="1"/>
  <c r="D6272" i="1"/>
  <c r="C6272" i="1"/>
  <c r="B6272" i="1"/>
  <c r="A6272" i="1"/>
  <c r="F6271" i="1"/>
  <c r="E6271" i="1"/>
  <c r="D6271" i="1"/>
  <c r="C6271" i="1"/>
  <c r="B6271" i="1"/>
  <c r="A6271" i="1"/>
  <c r="F6270" i="1"/>
  <c r="E6270" i="1"/>
  <c r="D6270" i="1"/>
  <c r="C6270" i="1"/>
  <c r="B6270" i="1"/>
  <c r="A6270" i="1"/>
  <c r="F6269" i="1"/>
  <c r="E6269" i="1"/>
  <c r="D6269" i="1"/>
  <c r="C6269" i="1"/>
  <c r="B6269" i="1"/>
  <c r="A6269" i="1"/>
  <c r="F6268" i="1"/>
  <c r="E6268" i="1"/>
  <c r="D6268" i="1"/>
  <c r="C6268" i="1"/>
  <c r="B6268" i="1"/>
  <c r="A6268" i="1"/>
  <c r="F6267" i="1"/>
  <c r="E6267" i="1"/>
  <c r="D6267" i="1"/>
  <c r="C6267" i="1"/>
  <c r="B6267" i="1"/>
  <c r="A6267" i="1"/>
  <c r="F6266" i="1"/>
  <c r="E6266" i="1"/>
  <c r="D6266" i="1"/>
  <c r="C6266" i="1"/>
  <c r="B6266" i="1"/>
  <c r="A6266" i="1"/>
  <c r="F6265" i="1"/>
  <c r="E6265" i="1"/>
  <c r="D6265" i="1"/>
  <c r="C6265" i="1"/>
  <c r="B6265" i="1"/>
  <c r="A6265" i="1"/>
  <c r="F6264" i="1"/>
  <c r="E6264" i="1"/>
  <c r="D6264" i="1"/>
  <c r="C6264" i="1"/>
  <c r="B6264" i="1"/>
  <c r="A6264" i="1"/>
  <c r="F6263" i="1"/>
  <c r="E6263" i="1"/>
  <c r="D6263" i="1"/>
  <c r="C6263" i="1"/>
  <c r="B6263" i="1"/>
  <c r="A6263" i="1"/>
  <c r="F6262" i="1"/>
  <c r="E6262" i="1"/>
  <c r="D6262" i="1"/>
  <c r="C6262" i="1"/>
  <c r="B6262" i="1"/>
  <c r="A6262" i="1"/>
  <c r="F6261" i="1"/>
  <c r="E6261" i="1"/>
  <c r="D6261" i="1"/>
  <c r="C6261" i="1"/>
  <c r="B6261" i="1"/>
  <c r="A6261" i="1"/>
  <c r="F6260" i="1"/>
  <c r="E6260" i="1"/>
  <c r="D6260" i="1"/>
  <c r="C6260" i="1"/>
  <c r="B6260" i="1"/>
  <c r="A6260" i="1"/>
  <c r="F6259" i="1"/>
  <c r="E6259" i="1"/>
  <c r="D6259" i="1"/>
  <c r="C6259" i="1"/>
  <c r="B6259" i="1"/>
  <c r="A6259" i="1"/>
  <c r="F6258" i="1"/>
  <c r="E6258" i="1"/>
  <c r="D6258" i="1"/>
  <c r="C6258" i="1"/>
  <c r="B6258" i="1"/>
  <c r="A6258" i="1"/>
  <c r="F6257" i="1"/>
  <c r="E6257" i="1"/>
  <c r="D6257" i="1"/>
  <c r="C6257" i="1"/>
  <c r="B6257" i="1"/>
  <c r="A6257" i="1"/>
  <c r="F6256" i="1"/>
  <c r="E6256" i="1"/>
  <c r="D6256" i="1"/>
  <c r="C6256" i="1"/>
  <c r="B6256" i="1"/>
  <c r="A6256" i="1"/>
  <c r="F6255" i="1"/>
  <c r="E6255" i="1"/>
  <c r="D6255" i="1"/>
  <c r="C6255" i="1"/>
  <c r="B6255" i="1"/>
  <c r="A6255" i="1"/>
  <c r="F6254" i="1"/>
  <c r="E6254" i="1"/>
  <c r="D6254" i="1"/>
  <c r="C6254" i="1"/>
  <c r="B6254" i="1"/>
  <c r="A6254" i="1"/>
  <c r="F6253" i="1"/>
  <c r="E6253" i="1"/>
  <c r="D6253" i="1"/>
  <c r="C6253" i="1"/>
  <c r="B6253" i="1"/>
  <c r="A6253" i="1"/>
  <c r="F6252" i="1"/>
  <c r="E6252" i="1"/>
  <c r="D6252" i="1"/>
  <c r="C6252" i="1"/>
  <c r="B6252" i="1"/>
  <c r="A6252" i="1"/>
  <c r="F6251" i="1"/>
  <c r="E6251" i="1"/>
  <c r="D6251" i="1"/>
  <c r="C6251" i="1"/>
  <c r="B6251" i="1"/>
  <c r="A6251" i="1"/>
  <c r="F6250" i="1"/>
  <c r="E6250" i="1"/>
  <c r="D6250" i="1"/>
  <c r="C6250" i="1"/>
  <c r="B6250" i="1"/>
  <c r="A6250" i="1"/>
  <c r="F6249" i="1"/>
  <c r="E6249" i="1"/>
  <c r="D6249" i="1"/>
  <c r="C6249" i="1"/>
  <c r="B6249" i="1"/>
  <c r="A6249" i="1"/>
  <c r="F6248" i="1"/>
  <c r="E6248" i="1"/>
  <c r="D6248" i="1"/>
  <c r="C6248" i="1"/>
  <c r="B6248" i="1"/>
  <c r="A6248" i="1"/>
  <c r="F6247" i="1"/>
  <c r="E6247" i="1"/>
  <c r="D6247" i="1"/>
  <c r="C6247" i="1"/>
  <c r="B6247" i="1"/>
  <c r="A6247" i="1"/>
  <c r="F6246" i="1"/>
  <c r="E6246" i="1"/>
  <c r="D6246" i="1"/>
  <c r="C6246" i="1"/>
  <c r="B6246" i="1"/>
  <c r="A6246" i="1"/>
  <c r="F6245" i="1"/>
  <c r="E6245" i="1"/>
  <c r="D6245" i="1"/>
  <c r="C6245" i="1"/>
  <c r="B6245" i="1"/>
  <c r="A6245" i="1"/>
  <c r="F6244" i="1"/>
  <c r="E6244" i="1"/>
  <c r="D6244" i="1"/>
  <c r="C6244" i="1"/>
  <c r="B6244" i="1"/>
  <c r="A6244" i="1"/>
  <c r="F6243" i="1"/>
  <c r="E6243" i="1"/>
  <c r="D6243" i="1"/>
  <c r="C6243" i="1"/>
  <c r="B6243" i="1"/>
  <c r="A6243" i="1"/>
  <c r="F6242" i="1"/>
  <c r="E6242" i="1"/>
  <c r="D6242" i="1"/>
  <c r="C6242" i="1"/>
  <c r="B6242" i="1"/>
  <c r="A6242" i="1"/>
  <c r="F6241" i="1"/>
  <c r="E6241" i="1"/>
  <c r="D6241" i="1"/>
  <c r="C6241" i="1"/>
  <c r="B6241" i="1"/>
  <c r="A6241" i="1"/>
  <c r="F6240" i="1"/>
  <c r="E6240" i="1"/>
  <c r="D6240" i="1"/>
  <c r="C6240" i="1"/>
  <c r="B6240" i="1"/>
  <c r="A6240" i="1"/>
  <c r="F6239" i="1"/>
  <c r="E6239" i="1"/>
  <c r="D6239" i="1"/>
  <c r="C6239" i="1"/>
  <c r="B6239" i="1"/>
  <c r="A6239" i="1"/>
  <c r="F6238" i="1"/>
  <c r="E6238" i="1"/>
  <c r="D6238" i="1"/>
  <c r="C6238" i="1"/>
  <c r="B6238" i="1"/>
  <c r="A6238" i="1"/>
  <c r="F6237" i="1"/>
  <c r="E6237" i="1"/>
  <c r="D6237" i="1"/>
  <c r="C6237" i="1"/>
  <c r="B6237" i="1"/>
  <c r="A6237" i="1"/>
  <c r="F6236" i="1"/>
  <c r="E6236" i="1"/>
  <c r="D6236" i="1"/>
  <c r="C6236" i="1"/>
  <c r="B6236" i="1"/>
  <c r="A6236" i="1"/>
  <c r="F6235" i="1"/>
  <c r="E6235" i="1"/>
  <c r="D6235" i="1"/>
  <c r="C6235" i="1"/>
  <c r="B6235" i="1"/>
  <c r="A6235" i="1"/>
  <c r="F6234" i="1"/>
  <c r="E6234" i="1"/>
  <c r="D6234" i="1"/>
  <c r="C6234" i="1"/>
  <c r="B6234" i="1"/>
  <c r="A6234" i="1"/>
  <c r="F6233" i="1"/>
  <c r="E6233" i="1"/>
  <c r="D6233" i="1"/>
  <c r="C6233" i="1"/>
  <c r="B6233" i="1"/>
  <c r="A6233" i="1"/>
  <c r="F6232" i="1"/>
  <c r="E6232" i="1"/>
  <c r="D6232" i="1"/>
  <c r="C6232" i="1"/>
  <c r="B6232" i="1"/>
  <c r="A6232" i="1"/>
  <c r="F6231" i="1"/>
  <c r="E6231" i="1"/>
  <c r="D6231" i="1"/>
  <c r="C6231" i="1"/>
  <c r="B6231" i="1"/>
  <c r="A6231" i="1"/>
  <c r="F6230" i="1"/>
  <c r="E6230" i="1"/>
  <c r="D6230" i="1"/>
  <c r="C6230" i="1"/>
  <c r="B6230" i="1"/>
  <c r="A6230" i="1"/>
  <c r="F6229" i="1"/>
  <c r="E6229" i="1"/>
  <c r="D6229" i="1"/>
  <c r="C6229" i="1"/>
  <c r="B6229" i="1"/>
  <c r="A6229" i="1"/>
  <c r="F6228" i="1"/>
  <c r="E6228" i="1"/>
  <c r="D6228" i="1"/>
  <c r="C6228" i="1"/>
  <c r="B6228" i="1"/>
  <c r="A6228" i="1"/>
  <c r="F6227" i="1"/>
  <c r="E6227" i="1"/>
  <c r="D6227" i="1"/>
  <c r="C6227" i="1"/>
  <c r="B6227" i="1"/>
  <c r="A6227" i="1"/>
  <c r="F6226" i="1"/>
  <c r="E6226" i="1"/>
  <c r="D6226" i="1"/>
  <c r="C6226" i="1"/>
  <c r="B6226" i="1"/>
  <c r="A6226" i="1"/>
  <c r="F6225" i="1"/>
  <c r="E6225" i="1"/>
  <c r="D6225" i="1"/>
  <c r="C6225" i="1"/>
  <c r="B6225" i="1"/>
  <c r="A6225" i="1"/>
  <c r="F6224" i="1"/>
  <c r="E6224" i="1"/>
  <c r="D6224" i="1"/>
  <c r="C6224" i="1"/>
  <c r="B6224" i="1"/>
  <c r="A6224" i="1"/>
  <c r="F6223" i="1"/>
  <c r="E6223" i="1"/>
  <c r="D6223" i="1"/>
  <c r="C6223" i="1"/>
  <c r="B6223" i="1"/>
  <c r="A6223" i="1"/>
  <c r="F6222" i="1"/>
  <c r="E6222" i="1"/>
  <c r="D6222" i="1"/>
  <c r="C6222" i="1"/>
  <c r="B6222" i="1"/>
  <c r="A6222" i="1"/>
  <c r="F6221" i="1"/>
  <c r="E6221" i="1"/>
  <c r="D6221" i="1"/>
  <c r="C6221" i="1"/>
  <c r="B6221" i="1"/>
  <c r="A6221" i="1"/>
  <c r="F6220" i="1"/>
  <c r="E6220" i="1"/>
  <c r="D6220" i="1"/>
  <c r="C6220" i="1"/>
  <c r="B6220" i="1"/>
  <c r="A6220" i="1"/>
  <c r="F6219" i="1"/>
  <c r="E6219" i="1"/>
  <c r="D6219" i="1"/>
  <c r="C6219" i="1"/>
  <c r="B6219" i="1"/>
  <c r="A6219" i="1"/>
  <c r="F6218" i="1"/>
  <c r="E6218" i="1"/>
  <c r="D6218" i="1"/>
  <c r="C6218" i="1"/>
  <c r="B6218" i="1"/>
  <c r="A6218" i="1"/>
  <c r="F6217" i="1"/>
  <c r="E6217" i="1"/>
  <c r="D6217" i="1"/>
  <c r="C6217" i="1"/>
  <c r="B6217" i="1"/>
  <c r="A6217" i="1"/>
  <c r="F6216" i="1"/>
  <c r="E6216" i="1"/>
  <c r="D6216" i="1"/>
  <c r="C6216" i="1"/>
  <c r="B6216" i="1"/>
  <c r="A6216" i="1"/>
  <c r="F6215" i="1"/>
  <c r="E6215" i="1"/>
  <c r="D6215" i="1"/>
  <c r="C6215" i="1"/>
  <c r="B6215" i="1"/>
  <c r="A6215" i="1"/>
  <c r="F6214" i="1"/>
  <c r="E6214" i="1"/>
  <c r="D6214" i="1"/>
  <c r="C6214" i="1"/>
  <c r="B6214" i="1"/>
  <c r="A6214" i="1"/>
  <c r="F6213" i="1"/>
  <c r="E6213" i="1"/>
  <c r="D6213" i="1"/>
  <c r="C6213" i="1"/>
  <c r="B6213" i="1"/>
  <c r="A6213" i="1"/>
  <c r="F6212" i="1"/>
  <c r="E6212" i="1"/>
  <c r="D6212" i="1"/>
  <c r="C6212" i="1"/>
  <c r="B6212" i="1"/>
  <c r="A6212" i="1"/>
  <c r="F6211" i="1"/>
  <c r="E6211" i="1"/>
  <c r="D6211" i="1"/>
  <c r="C6211" i="1"/>
  <c r="B6211" i="1"/>
  <c r="A6211" i="1"/>
  <c r="F6210" i="1"/>
  <c r="E6210" i="1"/>
  <c r="D6210" i="1"/>
  <c r="C6210" i="1"/>
  <c r="B6210" i="1"/>
  <c r="A6210" i="1"/>
  <c r="F6209" i="1"/>
  <c r="E6209" i="1"/>
  <c r="D6209" i="1"/>
  <c r="C6209" i="1"/>
  <c r="B6209" i="1"/>
  <c r="A6209" i="1"/>
  <c r="F6208" i="1"/>
  <c r="E6208" i="1"/>
  <c r="D6208" i="1"/>
  <c r="C6208" i="1"/>
  <c r="B6208" i="1"/>
  <c r="A6208" i="1"/>
  <c r="F6207" i="1"/>
  <c r="E6207" i="1"/>
  <c r="D6207" i="1"/>
  <c r="C6207" i="1"/>
  <c r="B6207" i="1"/>
  <c r="A6207" i="1"/>
  <c r="F6206" i="1"/>
  <c r="E6206" i="1"/>
  <c r="D6206" i="1"/>
  <c r="C6206" i="1"/>
  <c r="B6206" i="1"/>
  <c r="A6206" i="1"/>
  <c r="F6205" i="1"/>
  <c r="E6205" i="1"/>
  <c r="D6205" i="1"/>
  <c r="C6205" i="1"/>
  <c r="B6205" i="1"/>
  <c r="A6205" i="1"/>
  <c r="F6204" i="1"/>
  <c r="E6204" i="1"/>
  <c r="D6204" i="1"/>
  <c r="C6204" i="1"/>
  <c r="B6204" i="1"/>
  <c r="A6204" i="1"/>
  <c r="F6203" i="1"/>
  <c r="E6203" i="1"/>
  <c r="D6203" i="1"/>
  <c r="C6203" i="1"/>
  <c r="B6203" i="1"/>
  <c r="A6203" i="1"/>
  <c r="F6202" i="1"/>
  <c r="E6202" i="1"/>
  <c r="D6202" i="1"/>
  <c r="C6202" i="1"/>
  <c r="B6202" i="1"/>
  <c r="A6202" i="1"/>
  <c r="F6201" i="1"/>
  <c r="E6201" i="1"/>
  <c r="D6201" i="1"/>
  <c r="C6201" i="1"/>
  <c r="B6201" i="1"/>
  <c r="A6201" i="1"/>
  <c r="F6200" i="1"/>
  <c r="E6200" i="1"/>
  <c r="D6200" i="1"/>
  <c r="C6200" i="1"/>
  <c r="B6200" i="1"/>
  <c r="A6200" i="1"/>
  <c r="F6199" i="1"/>
  <c r="E6199" i="1"/>
  <c r="D6199" i="1"/>
  <c r="C6199" i="1"/>
  <c r="B6199" i="1"/>
  <c r="A6199" i="1"/>
  <c r="F6198" i="1"/>
  <c r="E6198" i="1"/>
  <c r="D6198" i="1"/>
  <c r="C6198" i="1"/>
  <c r="B6198" i="1"/>
  <c r="A6198" i="1"/>
  <c r="F6197" i="1"/>
  <c r="E6197" i="1"/>
  <c r="D6197" i="1"/>
  <c r="C6197" i="1"/>
  <c r="B6197" i="1"/>
  <c r="A6197" i="1"/>
  <c r="F6196" i="1"/>
  <c r="E6196" i="1"/>
  <c r="D6196" i="1"/>
  <c r="C6196" i="1"/>
  <c r="B6196" i="1"/>
  <c r="A6196" i="1"/>
  <c r="F6195" i="1"/>
  <c r="E6195" i="1"/>
  <c r="D6195" i="1"/>
  <c r="C6195" i="1"/>
  <c r="B6195" i="1"/>
  <c r="A6195" i="1"/>
  <c r="F6194" i="1"/>
  <c r="E6194" i="1"/>
  <c r="D6194" i="1"/>
  <c r="C6194" i="1"/>
  <c r="B6194" i="1"/>
  <c r="A6194" i="1"/>
  <c r="F6193" i="1"/>
  <c r="E6193" i="1"/>
  <c r="D6193" i="1"/>
  <c r="C6193" i="1"/>
  <c r="B6193" i="1"/>
  <c r="A6193" i="1"/>
  <c r="F6192" i="1"/>
  <c r="E6192" i="1"/>
  <c r="D6192" i="1"/>
  <c r="C6192" i="1"/>
  <c r="B6192" i="1"/>
  <c r="A6192" i="1"/>
  <c r="F6191" i="1"/>
  <c r="E6191" i="1"/>
  <c r="D6191" i="1"/>
  <c r="C6191" i="1"/>
  <c r="B6191" i="1"/>
  <c r="A6191" i="1"/>
  <c r="F6190" i="1"/>
  <c r="E6190" i="1"/>
  <c r="D6190" i="1"/>
  <c r="C6190" i="1"/>
  <c r="B6190" i="1"/>
  <c r="A6190" i="1"/>
  <c r="F6189" i="1"/>
  <c r="E6189" i="1"/>
  <c r="D6189" i="1"/>
  <c r="C6189" i="1"/>
  <c r="B6189" i="1"/>
  <c r="A6189" i="1"/>
  <c r="F6188" i="1"/>
  <c r="E6188" i="1"/>
  <c r="D6188" i="1"/>
  <c r="C6188" i="1"/>
  <c r="B6188" i="1"/>
  <c r="A6188" i="1"/>
  <c r="F6187" i="1"/>
  <c r="E6187" i="1"/>
  <c r="D6187" i="1"/>
  <c r="C6187" i="1"/>
  <c r="B6187" i="1"/>
  <c r="A6187" i="1"/>
  <c r="F6186" i="1"/>
  <c r="E6186" i="1"/>
  <c r="D6186" i="1"/>
  <c r="C6186" i="1"/>
  <c r="B6186" i="1"/>
  <c r="A6186" i="1"/>
  <c r="F6185" i="1"/>
  <c r="E6185" i="1"/>
  <c r="D6185" i="1"/>
  <c r="C6185" i="1"/>
  <c r="B6185" i="1"/>
  <c r="A6185" i="1"/>
  <c r="F6184" i="1"/>
  <c r="E6184" i="1"/>
  <c r="D6184" i="1"/>
  <c r="C6184" i="1"/>
  <c r="B6184" i="1"/>
  <c r="A6184" i="1"/>
  <c r="F6183" i="1"/>
  <c r="E6183" i="1"/>
  <c r="D6183" i="1"/>
  <c r="C6183" i="1"/>
  <c r="B6183" i="1"/>
  <c r="A6183" i="1"/>
  <c r="F6182" i="1"/>
  <c r="E6182" i="1"/>
  <c r="D6182" i="1"/>
  <c r="C6182" i="1"/>
  <c r="B6182" i="1"/>
  <c r="A6182" i="1"/>
  <c r="F6181" i="1"/>
  <c r="E6181" i="1"/>
  <c r="D6181" i="1"/>
  <c r="C6181" i="1"/>
  <c r="B6181" i="1"/>
  <c r="A6181" i="1"/>
  <c r="F6180" i="1"/>
  <c r="E6180" i="1"/>
  <c r="D6180" i="1"/>
  <c r="C6180" i="1"/>
  <c r="B6180" i="1"/>
  <c r="A6180" i="1"/>
  <c r="F6179" i="1"/>
  <c r="E6179" i="1"/>
  <c r="D6179" i="1"/>
  <c r="C6179" i="1"/>
  <c r="B6179" i="1"/>
  <c r="A6179" i="1"/>
  <c r="F6178" i="1"/>
  <c r="E6178" i="1"/>
  <c r="D6178" i="1"/>
  <c r="C6178" i="1"/>
  <c r="B6178" i="1"/>
  <c r="A6178" i="1"/>
  <c r="F6177" i="1"/>
  <c r="E6177" i="1"/>
  <c r="D6177" i="1"/>
  <c r="C6177" i="1"/>
  <c r="B6177" i="1"/>
  <c r="A6177" i="1"/>
  <c r="F6176" i="1"/>
  <c r="E6176" i="1"/>
  <c r="D6176" i="1"/>
  <c r="C6176" i="1"/>
  <c r="B6176" i="1"/>
  <c r="A6176" i="1"/>
  <c r="F6175" i="1"/>
  <c r="E6175" i="1"/>
  <c r="D6175" i="1"/>
  <c r="C6175" i="1"/>
  <c r="B6175" i="1"/>
  <c r="A6175" i="1"/>
  <c r="F6174" i="1"/>
  <c r="E6174" i="1"/>
  <c r="D6174" i="1"/>
  <c r="C6174" i="1"/>
  <c r="B6174" i="1"/>
  <c r="A6174" i="1"/>
  <c r="F6173" i="1"/>
  <c r="E6173" i="1"/>
  <c r="D6173" i="1"/>
  <c r="C6173" i="1"/>
  <c r="B6173" i="1"/>
  <c r="A6173" i="1"/>
  <c r="F6172" i="1"/>
  <c r="E6172" i="1"/>
  <c r="D6172" i="1"/>
  <c r="C6172" i="1"/>
  <c r="B6172" i="1"/>
  <c r="A6172" i="1"/>
  <c r="F6171" i="1"/>
  <c r="E6171" i="1"/>
  <c r="D6171" i="1"/>
  <c r="C6171" i="1"/>
  <c r="B6171" i="1"/>
  <c r="A6171" i="1"/>
  <c r="F6170" i="1"/>
  <c r="E6170" i="1"/>
  <c r="D6170" i="1"/>
  <c r="C6170" i="1"/>
  <c r="B6170" i="1"/>
  <c r="A6170" i="1"/>
  <c r="F6169" i="1"/>
  <c r="E6169" i="1"/>
  <c r="D6169" i="1"/>
  <c r="C6169" i="1"/>
  <c r="B6169" i="1"/>
  <c r="A6169" i="1"/>
  <c r="F6168" i="1"/>
  <c r="E6168" i="1"/>
  <c r="D6168" i="1"/>
  <c r="C6168" i="1"/>
  <c r="B6168" i="1"/>
  <c r="A6168" i="1"/>
  <c r="F6167" i="1"/>
  <c r="E6167" i="1"/>
  <c r="D6167" i="1"/>
  <c r="C6167" i="1"/>
  <c r="B6167" i="1"/>
  <c r="A6167" i="1"/>
  <c r="F6166" i="1"/>
  <c r="E6166" i="1"/>
  <c r="D6166" i="1"/>
  <c r="C6166" i="1"/>
  <c r="B6166" i="1"/>
  <c r="A6166" i="1"/>
  <c r="F6165" i="1"/>
  <c r="E6165" i="1"/>
  <c r="D6165" i="1"/>
  <c r="C6165" i="1"/>
  <c r="B6165" i="1"/>
  <c r="A6165" i="1"/>
  <c r="F6164" i="1"/>
  <c r="E6164" i="1"/>
  <c r="D6164" i="1"/>
  <c r="C6164" i="1"/>
  <c r="B6164" i="1"/>
  <c r="A6164" i="1"/>
  <c r="F6163" i="1"/>
  <c r="E6163" i="1"/>
  <c r="D6163" i="1"/>
  <c r="C6163" i="1"/>
  <c r="B6163" i="1"/>
  <c r="A6163" i="1"/>
  <c r="F6162" i="1"/>
  <c r="E6162" i="1"/>
  <c r="D6162" i="1"/>
  <c r="C6162" i="1"/>
  <c r="B6162" i="1"/>
  <c r="A6162" i="1"/>
  <c r="F6161" i="1"/>
  <c r="E6161" i="1"/>
  <c r="D6161" i="1"/>
  <c r="C6161" i="1"/>
  <c r="B6161" i="1"/>
  <c r="A6161" i="1"/>
  <c r="F6160" i="1"/>
  <c r="E6160" i="1"/>
  <c r="D6160" i="1"/>
  <c r="C6160" i="1"/>
  <c r="B6160" i="1"/>
  <c r="A6160" i="1"/>
  <c r="F6159" i="1"/>
  <c r="E6159" i="1"/>
  <c r="D6159" i="1"/>
  <c r="C6159" i="1"/>
  <c r="B6159" i="1"/>
  <c r="A6159" i="1"/>
  <c r="F6158" i="1"/>
  <c r="E6158" i="1"/>
  <c r="D6158" i="1"/>
  <c r="C6158" i="1"/>
  <c r="B6158" i="1"/>
  <c r="A6158" i="1"/>
  <c r="F6157" i="1"/>
  <c r="E6157" i="1"/>
  <c r="D6157" i="1"/>
  <c r="C6157" i="1"/>
  <c r="B6157" i="1"/>
  <c r="A6157" i="1"/>
  <c r="F6156" i="1"/>
  <c r="E6156" i="1"/>
  <c r="D6156" i="1"/>
  <c r="C6156" i="1"/>
  <c r="B6156" i="1"/>
  <c r="A6156" i="1"/>
  <c r="F6155" i="1"/>
  <c r="E6155" i="1"/>
  <c r="D6155" i="1"/>
  <c r="C6155" i="1"/>
  <c r="B6155" i="1"/>
  <c r="A6155" i="1"/>
  <c r="F6154" i="1"/>
  <c r="E6154" i="1"/>
  <c r="D6154" i="1"/>
  <c r="C6154" i="1"/>
  <c r="B6154" i="1"/>
  <c r="A6154" i="1"/>
  <c r="F6153" i="1"/>
  <c r="E6153" i="1"/>
  <c r="D6153" i="1"/>
  <c r="C6153" i="1"/>
  <c r="B6153" i="1"/>
  <c r="A6153" i="1"/>
  <c r="F6152" i="1"/>
  <c r="E6152" i="1"/>
  <c r="D6152" i="1"/>
  <c r="C6152" i="1"/>
  <c r="B6152" i="1"/>
  <c r="A6152" i="1"/>
  <c r="F6151" i="1"/>
  <c r="E6151" i="1"/>
  <c r="D6151" i="1"/>
  <c r="C6151" i="1"/>
  <c r="B6151" i="1"/>
  <c r="A6151" i="1"/>
  <c r="F6150" i="1"/>
  <c r="E6150" i="1"/>
  <c r="D6150" i="1"/>
  <c r="C6150" i="1"/>
  <c r="B6150" i="1"/>
  <c r="A6150" i="1"/>
  <c r="F6149" i="1"/>
  <c r="E6149" i="1"/>
  <c r="D6149" i="1"/>
  <c r="C6149" i="1"/>
  <c r="B6149" i="1"/>
  <c r="A6149" i="1"/>
  <c r="F6148" i="1"/>
  <c r="E6148" i="1"/>
  <c r="D6148" i="1"/>
  <c r="C6148" i="1"/>
  <c r="B6148" i="1"/>
  <c r="A6148" i="1"/>
  <c r="F6147" i="1"/>
  <c r="E6147" i="1"/>
  <c r="D6147" i="1"/>
  <c r="C6147" i="1"/>
  <c r="B6147" i="1"/>
  <c r="A6147" i="1"/>
  <c r="F6146" i="1"/>
  <c r="E6146" i="1"/>
  <c r="D6146" i="1"/>
  <c r="C6146" i="1"/>
  <c r="B6146" i="1"/>
  <c r="A6146" i="1"/>
  <c r="F6145" i="1"/>
  <c r="E6145" i="1"/>
  <c r="D6145" i="1"/>
  <c r="C6145" i="1"/>
  <c r="B6145" i="1"/>
  <c r="A6145" i="1"/>
  <c r="F6144" i="1"/>
  <c r="E6144" i="1"/>
  <c r="D6144" i="1"/>
  <c r="C6144" i="1"/>
  <c r="B6144" i="1"/>
  <c r="A6144" i="1"/>
  <c r="F6143" i="1"/>
  <c r="E6143" i="1"/>
  <c r="D6143" i="1"/>
  <c r="C6143" i="1"/>
  <c r="B6143" i="1"/>
  <c r="A6143" i="1"/>
  <c r="F6142" i="1"/>
  <c r="E6142" i="1"/>
  <c r="D6142" i="1"/>
  <c r="C6142" i="1"/>
  <c r="B6142" i="1"/>
  <c r="A6142" i="1"/>
  <c r="F6141" i="1"/>
  <c r="E6141" i="1"/>
  <c r="D6141" i="1"/>
  <c r="C6141" i="1"/>
  <c r="B6141" i="1"/>
  <c r="A6141" i="1"/>
  <c r="F6140" i="1"/>
  <c r="E6140" i="1"/>
  <c r="D6140" i="1"/>
  <c r="C6140" i="1"/>
  <c r="B6140" i="1"/>
  <c r="A6140" i="1"/>
  <c r="F6139" i="1"/>
  <c r="E6139" i="1"/>
  <c r="D6139" i="1"/>
  <c r="C6139" i="1"/>
  <c r="B6139" i="1"/>
  <c r="A6139" i="1"/>
  <c r="F6138" i="1"/>
  <c r="E6138" i="1"/>
  <c r="D6138" i="1"/>
  <c r="C6138" i="1"/>
  <c r="B6138" i="1"/>
  <c r="A6138" i="1"/>
  <c r="F6137" i="1"/>
  <c r="E6137" i="1"/>
  <c r="D6137" i="1"/>
  <c r="C6137" i="1"/>
  <c r="B6137" i="1"/>
  <c r="A6137" i="1"/>
  <c r="F6136" i="1"/>
  <c r="E6136" i="1"/>
  <c r="D6136" i="1"/>
  <c r="C6136" i="1"/>
  <c r="B6136" i="1"/>
  <c r="A6136" i="1"/>
  <c r="F6135" i="1"/>
  <c r="E6135" i="1"/>
  <c r="D6135" i="1"/>
  <c r="C6135" i="1"/>
  <c r="B6135" i="1"/>
  <c r="A6135" i="1"/>
  <c r="F6134" i="1"/>
  <c r="E6134" i="1"/>
  <c r="D6134" i="1"/>
  <c r="C6134" i="1"/>
  <c r="B6134" i="1"/>
  <c r="A6134" i="1"/>
  <c r="F6133" i="1"/>
  <c r="E6133" i="1"/>
  <c r="D6133" i="1"/>
  <c r="C6133" i="1"/>
  <c r="B6133" i="1"/>
  <c r="A6133" i="1"/>
  <c r="F6132" i="1"/>
  <c r="E6132" i="1"/>
  <c r="D6132" i="1"/>
  <c r="C6132" i="1"/>
  <c r="B6132" i="1"/>
  <c r="A6132" i="1"/>
  <c r="F6131" i="1"/>
  <c r="E6131" i="1"/>
  <c r="D6131" i="1"/>
  <c r="C6131" i="1"/>
  <c r="B6131" i="1"/>
  <c r="A6131" i="1"/>
  <c r="F6130" i="1"/>
  <c r="E6130" i="1"/>
  <c r="D6130" i="1"/>
  <c r="C6130" i="1"/>
  <c r="B6130" i="1"/>
  <c r="A6130" i="1"/>
  <c r="F6129" i="1"/>
  <c r="E6129" i="1"/>
  <c r="D6129" i="1"/>
  <c r="C6129" i="1"/>
  <c r="B6129" i="1"/>
  <c r="A6129" i="1"/>
  <c r="F6128" i="1"/>
  <c r="E6128" i="1"/>
  <c r="D6128" i="1"/>
  <c r="C6128" i="1"/>
  <c r="B6128" i="1"/>
  <c r="A6128" i="1"/>
  <c r="F6127" i="1"/>
  <c r="E6127" i="1"/>
  <c r="D6127" i="1"/>
  <c r="C6127" i="1"/>
  <c r="B6127" i="1"/>
  <c r="A6127" i="1"/>
  <c r="F6126" i="1"/>
  <c r="E6126" i="1"/>
  <c r="D6126" i="1"/>
  <c r="C6126" i="1"/>
  <c r="B6126" i="1"/>
  <c r="A6126" i="1"/>
  <c r="F6125" i="1"/>
  <c r="E6125" i="1"/>
  <c r="D6125" i="1"/>
  <c r="C6125" i="1"/>
  <c r="B6125" i="1"/>
  <c r="A6125" i="1"/>
  <c r="F6124" i="1"/>
  <c r="E6124" i="1"/>
  <c r="D6124" i="1"/>
  <c r="C6124" i="1"/>
  <c r="B6124" i="1"/>
  <c r="A6124" i="1"/>
  <c r="F6123" i="1"/>
  <c r="E6123" i="1"/>
  <c r="D6123" i="1"/>
  <c r="C6123" i="1"/>
  <c r="B6123" i="1"/>
  <c r="A6123" i="1"/>
  <c r="F6122" i="1"/>
  <c r="E6122" i="1"/>
  <c r="D6122" i="1"/>
  <c r="C6122" i="1"/>
  <c r="B6122" i="1"/>
  <c r="A6122" i="1"/>
  <c r="F6121" i="1"/>
  <c r="E6121" i="1"/>
  <c r="D6121" i="1"/>
  <c r="C6121" i="1"/>
  <c r="B6121" i="1"/>
  <c r="A6121" i="1"/>
  <c r="F6120" i="1"/>
  <c r="E6120" i="1"/>
  <c r="D6120" i="1"/>
  <c r="C6120" i="1"/>
  <c r="B6120" i="1"/>
  <c r="A6120" i="1"/>
  <c r="F6119" i="1"/>
  <c r="E6119" i="1"/>
  <c r="D6119" i="1"/>
  <c r="C6119" i="1"/>
  <c r="B6119" i="1"/>
  <c r="A6119" i="1"/>
  <c r="F6118" i="1"/>
  <c r="E6118" i="1"/>
  <c r="D6118" i="1"/>
  <c r="C6118" i="1"/>
  <c r="B6118" i="1"/>
  <c r="A6118" i="1"/>
  <c r="F6117" i="1"/>
  <c r="E6117" i="1"/>
  <c r="D6117" i="1"/>
  <c r="C6117" i="1"/>
  <c r="B6117" i="1"/>
  <c r="A6117" i="1"/>
  <c r="F6116" i="1"/>
  <c r="E6116" i="1"/>
  <c r="D6116" i="1"/>
  <c r="C6116" i="1"/>
  <c r="B6116" i="1"/>
  <c r="A6116" i="1"/>
  <c r="F6115" i="1"/>
  <c r="E6115" i="1"/>
  <c r="D6115" i="1"/>
  <c r="C6115" i="1"/>
  <c r="B6115" i="1"/>
  <c r="A6115" i="1"/>
  <c r="F6114" i="1"/>
  <c r="E6114" i="1"/>
  <c r="D6114" i="1"/>
  <c r="C6114" i="1"/>
  <c r="B6114" i="1"/>
  <c r="A6114" i="1"/>
  <c r="F6113" i="1"/>
  <c r="E6113" i="1"/>
  <c r="D6113" i="1"/>
  <c r="C6113" i="1"/>
  <c r="B6113" i="1"/>
  <c r="A6113" i="1"/>
  <c r="F6112" i="1"/>
  <c r="E6112" i="1"/>
  <c r="D6112" i="1"/>
  <c r="C6112" i="1"/>
  <c r="B6112" i="1"/>
  <c r="A6112" i="1"/>
  <c r="F6111" i="1"/>
  <c r="E6111" i="1"/>
  <c r="D6111" i="1"/>
  <c r="C6111" i="1"/>
  <c r="B6111" i="1"/>
  <c r="A6111" i="1"/>
  <c r="F6110" i="1"/>
  <c r="E6110" i="1"/>
  <c r="D6110" i="1"/>
  <c r="C6110" i="1"/>
  <c r="B6110" i="1"/>
  <c r="A6110" i="1"/>
  <c r="F6109" i="1"/>
  <c r="E6109" i="1"/>
  <c r="D6109" i="1"/>
  <c r="C6109" i="1"/>
  <c r="B6109" i="1"/>
  <c r="A6109" i="1"/>
  <c r="F6108" i="1"/>
  <c r="E6108" i="1"/>
  <c r="D6108" i="1"/>
  <c r="C6108" i="1"/>
  <c r="B6108" i="1"/>
  <c r="A6108" i="1"/>
  <c r="F6107" i="1"/>
  <c r="E6107" i="1"/>
  <c r="D6107" i="1"/>
  <c r="C6107" i="1"/>
  <c r="B6107" i="1"/>
  <c r="A6107" i="1"/>
  <c r="F6106" i="1"/>
  <c r="E6106" i="1"/>
  <c r="D6106" i="1"/>
  <c r="C6106" i="1"/>
  <c r="B6106" i="1"/>
  <c r="A6106" i="1"/>
  <c r="F6105" i="1"/>
  <c r="E6105" i="1"/>
  <c r="D6105" i="1"/>
  <c r="C6105" i="1"/>
  <c r="B6105" i="1"/>
  <c r="A6105" i="1"/>
  <c r="F6104" i="1"/>
  <c r="E6104" i="1"/>
  <c r="D6104" i="1"/>
  <c r="C6104" i="1"/>
  <c r="B6104" i="1"/>
  <c r="A6104" i="1"/>
  <c r="F6103" i="1"/>
  <c r="E6103" i="1"/>
  <c r="D6103" i="1"/>
  <c r="C6103" i="1"/>
  <c r="B6103" i="1"/>
  <c r="A6103" i="1"/>
  <c r="F6102" i="1"/>
  <c r="E6102" i="1"/>
  <c r="D6102" i="1"/>
  <c r="C6102" i="1"/>
  <c r="B6102" i="1"/>
  <c r="A6102" i="1"/>
  <c r="F6101" i="1"/>
  <c r="E6101" i="1"/>
  <c r="D6101" i="1"/>
  <c r="C6101" i="1"/>
  <c r="B6101" i="1"/>
  <c r="A6101" i="1"/>
  <c r="F6100" i="1"/>
  <c r="E6100" i="1"/>
  <c r="D6100" i="1"/>
  <c r="C6100" i="1"/>
  <c r="B6100" i="1"/>
  <c r="A6100" i="1"/>
  <c r="F6099" i="1"/>
  <c r="E6099" i="1"/>
  <c r="D6099" i="1"/>
  <c r="C6099" i="1"/>
  <c r="B6099" i="1"/>
  <c r="A6099" i="1"/>
  <c r="F6098" i="1"/>
  <c r="E6098" i="1"/>
  <c r="D6098" i="1"/>
  <c r="C6098" i="1"/>
  <c r="B6098" i="1"/>
  <c r="A6098" i="1"/>
  <c r="F6097" i="1"/>
  <c r="E6097" i="1"/>
  <c r="D6097" i="1"/>
  <c r="C6097" i="1"/>
  <c r="B6097" i="1"/>
  <c r="A6097" i="1"/>
  <c r="F6096" i="1"/>
  <c r="E6096" i="1"/>
  <c r="D6096" i="1"/>
  <c r="C6096" i="1"/>
  <c r="B6096" i="1"/>
  <c r="A6096" i="1"/>
  <c r="F6095" i="1"/>
  <c r="E6095" i="1"/>
  <c r="D6095" i="1"/>
  <c r="C6095" i="1"/>
  <c r="B6095" i="1"/>
  <c r="A6095" i="1"/>
  <c r="F6094" i="1"/>
  <c r="E6094" i="1"/>
  <c r="D6094" i="1"/>
  <c r="C6094" i="1"/>
  <c r="B6094" i="1"/>
  <c r="A6094" i="1"/>
  <c r="F6093" i="1"/>
  <c r="E6093" i="1"/>
  <c r="D6093" i="1"/>
  <c r="C6093" i="1"/>
  <c r="B6093" i="1"/>
  <c r="A6093" i="1"/>
  <c r="F6092" i="1"/>
  <c r="E6092" i="1"/>
  <c r="D6092" i="1"/>
  <c r="C6092" i="1"/>
  <c r="B6092" i="1"/>
  <c r="A6092" i="1"/>
  <c r="F6091" i="1"/>
  <c r="E6091" i="1"/>
  <c r="D6091" i="1"/>
  <c r="C6091" i="1"/>
  <c r="B6091" i="1"/>
  <c r="A6091" i="1"/>
  <c r="F6090" i="1"/>
  <c r="E6090" i="1"/>
  <c r="D6090" i="1"/>
  <c r="C6090" i="1"/>
  <c r="B6090" i="1"/>
  <c r="A6090" i="1"/>
  <c r="F6089" i="1"/>
  <c r="E6089" i="1"/>
  <c r="D6089" i="1"/>
  <c r="C6089" i="1"/>
  <c r="B6089" i="1"/>
  <c r="A6089" i="1"/>
  <c r="F6088" i="1"/>
  <c r="E6088" i="1"/>
  <c r="D6088" i="1"/>
  <c r="C6088" i="1"/>
  <c r="B6088" i="1"/>
  <c r="A6088" i="1"/>
  <c r="F6087" i="1"/>
  <c r="E6087" i="1"/>
  <c r="D6087" i="1"/>
  <c r="C6087" i="1"/>
  <c r="B6087" i="1"/>
  <c r="A6087" i="1"/>
  <c r="F6086" i="1"/>
  <c r="E6086" i="1"/>
  <c r="D6086" i="1"/>
  <c r="C6086" i="1"/>
  <c r="B6086" i="1"/>
  <c r="A6086" i="1"/>
  <c r="F6085" i="1"/>
  <c r="E6085" i="1"/>
  <c r="D6085" i="1"/>
  <c r="C6085" i="1"/>
  <c r="B6085" i="1"/>
  <c r="A6085" i="1"/>
  <c r="F6084" i="1"/>
  <c r="E6084" i="1"/>
  <c r="D6084" i="1"/>
  <c r="C6084" i="1"/>
  <c r="B6084" i="1"/>
  <c r="A6084" i="1"/>
  <c r="F6083" i="1"/>
  <c r="E6083" i="1"/>
  <c r="D6083" i="1"/>
  <c r="C6083" i="1"/>
  <c r="B6083" i="1"/>
  <c r="A6083" i="1"/>
  <c r="F6082" i="1"/>
  <c r="E6082" i="1"/>
  <c r="D6082" i="1"/>
  <c r="C6082" i="1"/>
  <c r="B6082" i="1"/>
  <c r="A6082" i="1"/>
  <c r="F6081" i="1"/>
  <c r="E6081" i="1"/>
  <c r="D6081" i="1"/>
  <c r="C6081" i="1"/>
  <c r="B6081" i="1"/>
  <c r="A6081" i="1"/>
  <c r="F6080" i="1"/>
  <c r="E6080" i="1"/>
  <c r="D6080" i="1"/>
  <c r="C6080" i="1"/>
  <c r="B6080" i="1"/>
  <c r="A6080" i="1"/>
  <c r="F6079" i="1"/>
  <c r="E6079" i="1"/>
  <c r="D6079" i="1"/>
  <c r="C6079" i="1"/>
  <c r="B6079" i="1"/>
  <c r="A6079" i="1"/>
  <c r="F6078" i="1"/>
  <c r="E6078" i="1"/>
  <c r="D6078" i="1"/>
  <c r="C6078" i="1"/>
  <c r="B6078" i="1"/>
  <c r="A6078" i="1"/>
  <c r="F6077" i="1"/>
  <c r="E6077" i="1"/>
  <c r="D6077" i="1"/>
  <c r="C6077" i="1"/>
  <c r="B6077" i="1"/>
  <c r="A6077" i="1"/>
  <c r="F6076" i="1"/>
  <c r="E6076" i="1"/>
  <c r="D6076" i="1"/>
  <c r="C6076" i="1"/>
  <c r="B6076" i="1"/>
  <c r="A6076" i="1"/>
  <c r="F6075" i="1"/>
  <c r="E6075" i="1"/>
  <c r="D6075" i="1"/>
  <c r="C6075" i="1"/>
  <c r="B6075" i="1"/>
  <c r="A6075" i="1"/>
  <c r="F6074" i="1"/>
  <c r="E6074" i="1"/>
  <c r="D6074" i="1"/>
  <c r="C6074" i="1"/>
  <c r="B6074" i="1"/>
  <c r="A6074" i="1"/>
  <c r="F6073" i="1"/>
  <c r="E6073" i="1"/>
  <c r="D6073" i="1"/>
  <c r="C6073" i="1"/>
  <c r="B6073" i="1"/>
  <c r="A6073" i="1"/>
  <c r="F6072" i="1"/>
  <c r="E6072" i="1"/>
  <c r="D6072" i="1"/>
  <c r="C6072" i="1"/>
  <c r="B6072" i="1"/>
  <c r="A6072" i="1"/>
  <c r="F6071" i="1"/>
  <c r="E6071" i="1"/>
  <c r="D6071" i="1"/>
  <c r="C6071" i="1"/>
  <c r="B6071" i="1"/>
  <c r="A6071" i="1"/>
  <c r="F6070" i="1"/>
  <c r="E6070" i="1"/>
  <c r="D6070" i="1"/>
  <c r="C6070" i="1"/>
  <c r="B6070" i="1"/>
  <c r="A6070" i="1"/>
  <c r="F6069" i="1"/>
  <c r="E6069" i="1"/>
  <c r="D6069" i="1"/>
  <c r="C6069" i="1"/>
  <c r="B6069" i="1"/>
  <c r="A6069" i="1"/>
  <c r="F6068" i="1"/>
  <c r="E6068" i="1"/>
  <c r="D6068" i="1"/>
  <c r="C6068" i="1"/>
  <c r="B6068" i="1"/>
  <c r="A6068" i="1"/>
  <c r="F6067" i="1"/>
  <c r="E6067" i="1"/>
  <c r="D6067" i="1"/>
  <c r="C6067" i="1"/>
  <c r="B6067" i="1"/>
  <c r="A6067" i="1"/>
  <c r="F6066" i="1"/>
  <c r="E6066" i="1"/>
  <c r="D6066" i="1"/>
  <c r="C6066" i="1"/>
  <c r="B6066" i="1"/>
  <c r="A6066" i="1"/>
  <c r="F6065" i="1"/>
  <c r="E6065" i="1"/>
  <c r="D6065" i="1"/>
  <c r="C6065" i="1"/>
  <c r="B6065" i="1"/>
  <c r="A6065" i="1"/>
  <c r="F6064" i="1"/>
  <c r="E6064" i="1"/>
  <c r="D6064" i="1"/>
  <c r="C6064" i="1"/>
  <c r="B6064" i="1"/>
  <c r="A6064" i="1"/>
  <c r="F6063" i="1"/>
  <c r="E6063" i="1"/>
  <c r="D6063" i="1"/>
  <c r="C6063" i="1"/>
  <c r="B6063" i="1"/>
  <c r="A6063" i="1"/>
  <c r="F6062" i="1"/>
  <c r="E6062" i="1"/>
  <c r="D6062" i="1"/>
  <c r="C6062" i="1"/>
  <c r="B6062" i="1"/>
  <c r="A6062" i="1"/>
  <c r="F6061" i="1"/>
  <c r="E6061" i="1"/>
  <c r="D6061" i="1"/>
  <c r="C6061" i="1"/>
  <c r="B6061" i="1"/>
  <c r="A6061" i="1"/>
  <c r="F6060" i="1"/>
  <c r="E6060" i="1"/>
  <c r="D6060" i="1"/>
  <c r="C6060" i="1"/>
  <c r="B6060" i="1"/>
  <c r="A6060" i="1"/>
  <c r="F6059" i="1"/>
  <c r="E6059" i="1"/>
  <c r="D6059" i="1"/>
  <c r="C6059" i="1"/>
  <c r="B6059" i="1"/>
  <c r="A6059" i="1"/>
  <c r="F6058" i="1"/>
  <c r="E6058" i="1"/>
  <c r="D6058" i="1"/>
  <c r="C6058" i="1"/>
  <c r="B6058" i="1"/>
  <c r="A6058" i="1"/>
  <c r="F6057" i="1"/>
  <c r="E6057" i="1"/>
  <c r="D6057" i="1"/>
  <c r="C6057" i="1"/>
  <c r="B6057" i="1"/>
  <c r="A6057" i="1"/>
  <c r="F6056" i="1"/>
  <c r="E6056" i="1"/>
  <c r="D6056" i="1"/>
  <c r="C6056" i="1"/>
  <c r="B6056" i="1"/>
  <c r="A6056" i="1"/>
  <c r="F6055" i="1"/>
  <c r="E6055" i="1"/>
  <c r="D6055" i="1"/>
  <c r="C6055" i="1"/>
  <c r="B6055" i="1"/>
  <c r="A6055" i="1"/>
  <c r="F6054" i="1"/>
  <c r="E6054" i="1"/>
  <c r="D6054" i="1"/>
  <c r="C6054" i="1"/>
  <c r="B6054" i="1"/>
  <c r="A6054" i="1"/>
  <c r="F6053" i="1"/>
  <c r="E6053" i="1"/>
  <c r="D6053" i="1"/>
  <c r="C6053" i="1"/>
  <c r="B6053" i="1"/>
  <c r="A6053" i="1"/>
  <c r="F6052" i="1"/>
  <c r="E6052" i="1"/>
  <c r="D6052" i="1"/>
  <c r="C6052" i="1"/>
  <c r="B6052" i="1"/>
  <c r="A6052" i="1"/>
  <c r="F6051" i="1"/>
  <c r="E6051" i="1"/>
  <c r="D6051" i="1"/>
  <c r="C6051" i="1"/>
  <c r="B6051" i="1"/>
  <c r="A6051" i="1"/>
  <c r="F6050" i="1"/>
  <c r="E6050" i="1"/>
  <c r="D6050" i="1"/>
  <c r="C6050" i="1"/>
  <c r="B6050" i="1"/>
  <c r="A6050" i="1"/>
  <c r="F6049" i="1"/>
  <c r="E6049" i="1"/>
  <c r="D6049" i="1"/>
  <c r="C6049" i="1"/>
  <c r="B6049" i="1"/>
  <c r="A6049" i="1"/>
  <c r="F6048" i="1"/>
  <c r="E6048" i="1"/>
  <c r="D6048" i="1"/>
  <c r="C6048" i="1"/>
  <c r="B6048" i="1"/>
  <c r="A6048" i="1"/>
  <c r="F6047" i="1"/>
  <c r="E6047" i="1"/>
  <c r="D6047" i="1"/>
  <c r="C6047" i="1"/>
  <c r="B6047" i="1"/>
  <c r="A6047" i="1"/>
  <c r="F6046" i="1"/>
  <c r="E6046" i="1"/>
  <c r="D6046" i="1"/>
  <c r="C6046" i="1"/>
  <c r="B6046" i="1"/>
  <c r="A6046" i="1"/>
  <c r="F6045" i="1"/>
  <c r="E6045" i="1"/>
  <c r="D6045" i="1"/>
  <c r="C6045" i="1"/>
  <c r="B6045" i="1"/>
  <c r="A6045" i="1"/>
  <c r="F6044" i="1"/>
  <c r="E6044" i="1"/>
  <c r="D6044" i="1"/>
  <c r="C6044" i="1"/>
  <c r="B6044" i="1"/>
  <c r="A6044" i="1"/>
  <c r="F6043" i="1"/>
  <c r="E6043" i="1"/>
  <c r="D6043" i="1"/>
  <c r="C6043" i="1"/>
  <c r="B6043" i="1"/>
  <c r="A6043" i="1"/>
  <c r="F6042" i="1"/>
  <c r="E6042" i="1"/>
  <c r="D6042" i="1"/>
  <c r="C6042" i="1"/>
  <c r="B6042" i="1"/>
  <c r="A6042" i="1"/>
  <c r="F6041" i="1"/>
  <c r="E6041" i="1"/>
  <c r="D6041" i="1"/>
  <c r="C6041" i="1"/>
  <c r="B6041" i="1"/>
  <c r="A6041" i="1"/>
  <c r="F6040" i="1"/>
  <c r="E6040" i="1"/>
  <c r="D6040" i="1"/>
  <c r="C6040" i="1"/>
  <c r="B6040" i="1"/>
  <c r="A6040" i="1"/>
  <c r="F6039" i="1"/>
  <c r="E6039" i="1"/>
  <c r="D6039" i="1"/>
  <c r="C6039" i="1"/>
  <c r="B6039" i="1"/>
  <c r="A6039" i="1"/>
  <c r="F6038" i="1"/>
  <c r="E6038" i="1"/>
  <c r="D6038" i="1"/>
  <c r="C6038" i="1"/>
  <c r="B6038" i="1"/>
  <c r="A6038" i="1"/>
  <c r="F6037" i="1"/>
  <c r="E6037" i="1"/>
  <c r="D6037" i="1"/>
  <c r="C6037" i="1"/>
  <c r="B6037" i="1"/>
  <c r="A6037" i="1"/>
  <c r="F6036" i="1"/>
  <c r="E6036" i="1"/>
  <c r="D6036" i="1"/>
  <c r="C6036" i="1"/>
  <c r="B6036" i="1"/>
  <c r="A6036" i="1"/>
  <c r="F6035" i="1"/>
  <c r="E6035" i="1"/>
  <c r="D6035" i="1"/>
  <c r="C6035" i="1"/>
  <c r="B6035" i="1"/>
  <c r="A6035" i="1"/>
  <c r="F6034" i="1"/>
  <c r="E6034" i="1"/>
  <c r="D6034" i="1"/>
  <c r="C6034" i="1"/>
  <c r="B6034" i="1"/>
  <c r="A6034" i="1"/>
  <c r="F6033" i="1"/>
  <c r="E6033" i="1"/>
  <c r="D6033" i="1"/>
  <c r="C6033" i="1"/>
  <c r="B6033" i="1"/>
  <c r="A6033" i="1"/>
  <c r="F6032" i="1"/>
  <c r="E6032" i="1"/>
  <c r="D6032" i="1"/>
  <c r="C6032" i="1"/>
  <c r="B6032" i="1"/>
  <c r="A6032" i="1"/>
  <c r="F6031" i="1"/>
  <c r="E6031" i="1"/>
  <c r="D6031" i="1"/>
  <c r="C6031" i="1"/>
  <c r="B6031" i="1"/>
  <c r="A6031" i="1"/>
  <c r="F6030" i="1"/>
  <c r="E6030" i="1"/>
  <c r="D6030" i="1"/>
  <c r="C6030" i="1"/>
  <c r="B6030" i="1"/>
  <c r="A6030" i="1"/>
  <c r="F6029" i="1"/>
  <c r="E6029" i="1"/>
  <c r="D6029" i="1"/>
  <c r="C6029" i="1"/>
  <c r="B6029" i="1"/>
  <c r="A6029" i="1"/>
  <c r="F6028" i="1"/>
  <c r="E6028" i="1"/>
  <c r="D6028" i="1"/>
  <c r="C6028" i="1"/>
  <c r="B6028" i="1"/>
  <c r="A6028" i="1"/>
  <c r="F6027" i="1"/>
  <c r="E6027" i="1"/>
  <c r="D6027" i="1"/>
  <c r="C6027" i="1"/>
  <c r="B6027" i="1"/>
  <c r="A6027" i="1"/>
  <c r="F6026" i="1"/>
  <c r="E6026" i="1"/>
  <c r="D6026" i="1"/>
  <c r="C6026" i="1"/>
  <c r="B6026" i="1"/>
  <c r="A6026" i="1"/>
  <c r="F6025" i="1"/>
  <c r="E6025" i="1"/>
  <c r="D6025" i="1"/>
  <c r="C6025" i="1"/>
  <c r="B6025" i="1"/>
  <c r="A6025" i="1"/>
  <c r="F6024" i="1"/>
  <c r="E6024" i="1"/>
  <c r="D6024" i="1"/>
  <c r="C6024" i="1"/>
  <c r="B6024" i="1"/>
  <c r="A6024" i="1"/>
  <c r="F6023" i="1"/>
  <c r="E6023" i="1"/>
  <c r="D6023" i="1"/>
  <c r="C6023" i="1"/>
  <c r="B6023" i="1"/>
  <c r="A6023" i="1"/>
  <c r="F6022" i="1"/>
  <c r="E6022" i="1"/>
  <c r="D6022" i="1"/>
  <c r="C6022" i="1"/>
  <c r="B6022" i="1"/>
  <c r="A6022" i="1"/>
  <c r="F6021" i="1"/>
  <c r="E6021" i="1"/>
  <c r="D6021" i="1"/>
  <c r="C6021" i="1"/>
  <c r="B6021" i="1"/>
  <c r="A6021" i="1"/>
  <c r="F6020" i="1"/>
  <c r="E6020" i="1"/>
  <c r="D6020" i="1"/>
  <c r="C6020" i="1"/>
  <c r="B6020" i="1"/>
  <c r="A6020" i="1"/>
  <c r="F6019" i="1"/>
  <c r="E6019" i="1"/>
  <c r="D6019" i="1"/>
  <c r="C6019" i="1"/>
  <c r="B6019" i="1"/>
  <c r="A6019" i="1"/>
  <c r="F6018" i="1"/>
  <c r="E6018" i="1"/>
  <c r="D6018" i="1"/>
  <c r="C6018" i="1"/>
  <c r="B6018" i="1"/>
  <c r="A6018" i="1"/>
  <c r="F6017" i="1"/>
  <c r="E6017" i="1"/>
  <c r="D6017" i="1"/>
  <c r="C6017" i="1"/>
  <c r="B6017" i="1"/>
  <c r="A6017" i="1"/>
  <c r="F6016" i="1"/>
  <c r="E6016" i="1"/>
  <c r="D6016" i="1"/>
  <c r="C6016" i="1"/>
  <c r="B6016" i="1"/>
  <c r="A6016" i="1"/>
  <c r="F6015" i="1"/>
  <c r="E6015" i="1"/>
  <c r="D6015" i="1"/>
  <c r="C6015" i="1"/>
  <c r="B6015" i="1"/>
  <c r="A6015" i="1"/>
  <c r="F6014" i="1"/>
  <c r="E6014" i="1"/>
  <c r="D6014" i="1"/>
  <c r="C6014" i="1"/>
  <c r="B6014" i="1"/>
  <c r="A6014" i="1"/>
  <c r="F6013" i="1"/>
  <c r="E6013" i="1"/>
  <c r="D6013" i="1"/>
  <c r="C6013" i="1"/>
  <c r="B6013" i="1"/>
  <c r="A6013" i="1"/>
  <c r="F6012" i="1"/>
  <c r="E6012" i="1"/>
  <c r="D6012" i="1"/>
  <c r="C6012" i="1"/>
  <c r="B6012" i="1"/>
  <c r="A6012" i="1"/>
  <c r="F6011" i="1"/>
  <c r="E6011" i="1"/>
  <c r="D6011" i="1"/>
  <c r="C6011" i="1"/>
  <c r="B6011" i="1"/>
  <c r="A6011" i="1"/>
  <c r="F6010" i="1"/>
  <c r="E6010" i="1"/>
  <c r="D6010" i="1"/>
  <c r="C6010" i="1"/>
  <c r="B6010" i="1"/>
  <c r="A6010" i="1"/>
  <c r="F6009" i="1"/>
  <c r="E6009" i="1"/>
  <c r="D6009" i="1"/>
  <c r="C6009" i="1"/>
  <c r="B6009" i="1"/>
  <c r="A6009" i="1"/>
  <c r="F6008" i="1"/>
  <c r="E6008" i="1"/>
  <c r="D6008" i="1"/>
  <c r="C6008" i="1"/>
  <c r="B6008" i="1"/>
  <c r="A6008" i="1"/>
  <c r="F6007" i="1"/>
  <c r="E6007" i="1"/>
  <c r="D6007" i="1"/>
  <c r="C6007" i="1"/>
  <c r="B6007" i="1"/>
  <c r="A6007" i="1"/>
  <c r="F6006" i="1"/>
  <c r="E6006" i="1"/>
  <c r="D6006" i="1"/>
  <c r="C6006" i="1"/>
  <c r="B6006" i="1"/>
  <c r="A6006" i="1"/>
  <c r="F6005" i="1"/>
  <c r="E6005" i="1"/>
  <c r="D6005" i="1"/>
  <c r="C6005" i="1"/>
  <c r="B6005" i="1"/>
  <c r="A6005" i="1"/>
  <c r="F6004" i="1"/>
  <c r="E6004" i="1"/>
  <c r="D6004" i="1"/>
  <c r="C6004" i="1"/>
  <c r="B6004" i="1"/>
  <c r="A6004" i="1"/>
  <c r="F6003" i="1"/>
  <c r="E6003" i="1"/>
  <c r="D6003" i="1"/>
  <c r="C6003" i="1"/>
  <c r="B6003" i="1"/>
  <c r="A6003" i="1"/>
  <c r="F6002" i="1"/>
  <c r="E6002" i="1"/>
  <c r="D6002" i="1"/>
  <c r="C6002" i="1"/>
  <c r="B6002" i="1"/>
  <c r="A6002" i="1"/>
  <c r="F6001" i="1"/>
  <c r="E6001" i="1"/>
  <c r="D6001" i="1"/>
  <c r="C6001" i="1"/>
  <c r="B6001" i="1"/>
  <c r="A6001" i="1"/>
  <c r="F6000" i="1"/>
  <c r="E6000" i="1"/>
  <c r="D6000" i="1"/>
  <c r="C6000" i="1"/>
  <c r="B6000" i="1"/>
  <c r="A6000" i="1"/>
  <c r="F5999" i="1"/>
  <c r="E5999" i="1"/>
  <c r="D5999" i="1"/>
  <c r="C5999" i="1"/>
  <c r="B5999" i="1"/>
  <c r="A5999" i="1"/>
  <c r="F5998" i="1"/>
  <c r="E5998" i="1"/>
  <c r="D5998" i="1"/>
  <c r="C5998" i="1"/>
  <c r="B5998" i="1"/>
  <c r="A5998" i="1"/>
  <c r="F5997" i="1"/>
  <c r="E5997" i="1"/>
  <c r="D5997" i="1"/>
  <c r="C5997" i="1"/>
  <c r="B5997" i="1"/>
  <c r="A5997" i="1"/>
  <c r="F5996" i="1"/>
  <c r="E5996" i="1"/>
  <c r="D5996" i="1"/>
  <c r="C5996" i="1"/>
  <c r="B5996" i="1"/>
  <c r="A5996" i="1"/>
  <c r="F5995" i="1"/>
  <c r="E5995" i="1"/>
  <c r="D5995" i="1"/>
  <c r="C5995" i="1"/>
  <c r="B5995" i="1"/>
  <c r="A5995" i="1"/>
  <c r="F5994" i="1"/>
  <c r="E5994" i="1"/>
  <c r="D5994" i="1"/>
  <c r="C5994" i="1"/>
  <c r="B5994" i="1"/>
  <c r="A5994" i="1"/>
  <c r="F5993" i="1"/>
  <c r="E5993" i="1"/>
  <c r="D5993" i="1"/>
  <c r="C5993" i="1"/>
  <c r="B5993" i="1"/>
  <c r="A5993" i="1"/>
  <c r="F5992" i="1"/>
  <c r="E5992" i="1"/>
  <c r="D5992" i="1"/>
  <c r="C5992" i="1"/>
  <c r="B5992" i="1"/>
  <c r="A5992" i="1"/>
  <c r="F5991" i="1"/>
  <c r="E5991" i="1"/>
  <c r="D5991" i="1"/>
  <c r="C5991" i="1"/>
  <c r="B5991" i="1"/>
  <c r="A5991" i="1"/>
  <c r="F5990" i="1"/>
  <c r="E5990" i="1"/>
  <c r="D5990" i="1"/>
  <c r="C5990" i="1"/>
  <c r="B5990" i="1"/>
  <c r="A5990" i="1"/>
  <c r="F5989" i="1"/>
  <c r="E5989" i="1"/>
  <c r="D5989" i="1"/>
  <c r="C5989" i="1"/>
  <c r="B5989" i="1"/>
  <c r="A5989" i="1"/>
  <c r="F5988" i="1"/>
  <c r="E5988" i="1"/>
  <c r="D5988" i="1"/>
  <c r="C5988" i="1"/>
  <c r="B5988" i="1"/>
  <c r="A5988" i="1"/>
  <c r="F5987" i="1"/>
  <c r="E5987" i="1"/>
  <c r="D5987" i="1"/>
  <c r="C5987" i="1"/>
  <c r="B5987" i="1"/>
  <c r="A5987" i="1"/>
  <c r="F5986" i="1"/>
  <c r="E5986" i="1"/>
  <c r="D5986" i="1"/>
  <c r="C5986" i="1"/>
  <c r="B5986" i="1"/>
  <c r="A5986" i="1"/>
  <c r="F5985" i="1"/>
  <c r="E5985" i="1"/>
  <c r="D5985" i="1"/>
  <c r="C5985" i="1"/>
  <c r="B5985" i="1"/>
  <c r="A5985" i="1"/>
  <c r="F5984" i="1"/>
  <c r="E5984" i="1"/>
  <c r="D5984" i="1"/>
  <c r="C5984" i="1"/>
  <c r="B5984" i="1"/>
  <c r="A5984" i="1"/>
  <c r="F5983" i="1"/>
  <c r="E5983" i="1"/>
  <c r="D5983" i="1"/>
  <c r="C5983" i="1"/>
  <c r="B5983" i="1"/>
  <c r="A5983" i="1"/>
  <c r="F5982" i="1"/>
  <c r="E5982" i="1"/>
  <c r="D5982" i="1"/>
  <c r="C5982" i="1"/>
  <c r="B5982" i="1"/>
  <c r="A5982" i="1"/>
  <c r="F5981" i="1"/>
  <c r="E5981" i="1"/>
  <c r="D5981" i="1"/>
  <c r="C5981" i="1"/>
  <c r="B5981" i="1"/>
  <c r="A5981" i="1"/>
  <c r="F5980" i="1"/>
  <c r="E5980" i="1"/>
  <c r="D5980" i="1"/>
  <c r="C5980" i="1"/>
  <c r="B5980" i="1"/>
  <c r="A5980" i="1"/>
  <c r="F5979" i="1"/>
  <c r="E5979" i="1"/>
  <c r="D5979" i="1"/>
  <c r="C5979" i="1"/>
  <c r="B5979" i="1"/>
  <c r="A5979" i="1"/>
  <c r="F5978" i="1"/>
  <c r="E5978" i="1"/>
  <c r="D5978" i="1"/>
  <c r="C5978" i="1"/>
  <c r="B5978" i="1"/>
  <c r="A5978" i="1"/>
  <c r="F5977" i="1"/>
  <c r="E5977" i="1"/>
  <c r="D5977" i="1"/>
  <c r="C5977" i="1"/>
  <c r="B5977" i="1"/>
  <c r="A5977" i="1"/>
  <c r="F5976" i="1"/>
  <c r="E5976" i="1"/>
  <c r="D5976" i="1"/>
  <c r="C5976" i="1"/>
  <c r="B5976" i="1"/>
  <c r="A5976" i="1"/>
  <c r="F5975" i="1"/>
  <c r="E5975" i="1"/>
  <c r="D5975" i="1"/>
  <c r="C5975" i="1"/>
  <c r="B5975" i="1"/>
  <c r="A5975" i="1"/>
  <c r="F5974" i="1"/>
  <c r="E5974" i="1"/>
  <c r="D5974" i="1"/>
  <c r="C5974" i="1"/>
  <c r="B5974" i="1"/>
  <c r="A5974" i="1"/>
  <c r="F5973" i="1"/>
  <c r="E5973" i="1"/>
  <c r="D5973" i="1"/>
  <c r="C5973" i="1"/>
  <c r="B5973" i="1"/>
  <c r="A5973" i="1"/>
  <c r="F5972" i="1"/>
  <c r="E5972" i="1"/>
  <c r="D5972" i="1"/>
  <c r="C5972" i="1"/>
  <c r="B5972" i="1"/>
  <c r="A5972" i="1"/>
  <c r="F5971" i="1"/>
  <c r="E5971" i="1"/>
  <c r="D5971" i="1"/>
  <c r="C5971" i="1"/>
  <c r="B5971" i="1"/>
  <c r="A5971" i="1"/>
  <c r="F5970" i="1"/>
  <c r="E5970" i="1"/>
  <c r="D5970" i="1"/>
  <c r="C5970" i="1"/>
  <c r="B5970" i="1"/>
  <c r="A5970" i="1"/>
  <c r="F5969" i="1"/>
  <c r="E5969" i="1"/>
  <c r="D5969" i="1"/>
  <c r="C5969" i="1"/>
  <c r="B5969" i="1"/>
  <c r="A5969" i="1"/>
  <c r="F5968" i="1"/>
  <c r="E5968" i="1"/>
  <c r="D5968" i="1"/>
  <c r="C5968" i="1"/>
  <c r="B5968" i="1"/>
  <c r="A5968" i="1"/>
  <c r="F5967" i="1"/>
  <c r="E5967" i="1"/>
  <c r="D5967" i="1"/>
  <c r="C5967" i="1"/>
  <c r="B5967" i="1"/>
  <c r="A5967" i="1"/>
  <c r="F5966" i="1"/>
  <c r="E5966" i="1"/>
  <c r="D5966" i="1"/>
  <c r="C5966" i="1"/>
  <c r="B5966" i="1"/>
  <c r="A5966" i="1"/>
  <c r="F5965" i="1"/>
  <c r="E5965" i="1"/>
  <c r="D5965" i="1"/>
  <c r="C5965" i="1"/>
  <c r="B5965" i="1"/>
  <c r="A5965" i="1"/>
  <c r="F5964" i="1"/>
  <c r="E5964" i="1"/>
  <c r="D5964" i="1"/>
  <c r="C5964" i="1"/>
  <c r="B5964" i="1"/>
  <c r="A5964" i="1"/>
  <c r="F5963" i="1"/>
  <c r="E5963" i="1"/>
  <c r="D5963" i="1"/>
  <c r="C5963" i="1"/>
  <c r="B5963" i="1"/>
  <c r="A5963" i="1"/>
  <c r="F5962" i="1"/>
  <c r="E5962" i="1"/>
  <c r="D5962" i="1"/>
  <c r="C5962" i="1"/>
  <c r="B5962" i="1"/>
  <c r="A5962" i="1"/>
  <c r="F5961" i="1"/>
  <c r="E5961" i="1"/>
  <c r="D5961" i="1"/>
  <c r="C5961" i="1"/>
  <c r="B5961" i="1"/>
  <c r="A5961" i="1"/>
  <c r="F5960" i="1"/>
  <c r="E5960" i="1"/>
  <c r="D5960" i="1"/>
  <c r="C5960" i="1"/>
  <c r="B5960" i="1"/>
  <c r="A5960" i="1"/>
  <c r="F5959" i="1"/>
  <c r="E5959" i="1"/>
  <c r="D5959" i="1"/>
  <c r="C5959" i="1"/>
  <c r="B5959" i="1"/>
  <c r="A5959" i="1"/>
  <c r="F5958" i="1"/>
  <c r="E5958" i="1"/>
  <c r="D5958" i="1"/>
  <c r="C5958" i="1"/>
  <c r="B5958" i="1"/>
  <c r="A5958" i="1"/>
  <c r="F5957" i="1"/>
  <c r="E5957" i="1"/>
  <c r="D5957" i="1"/>
  <c r="C5957" i="1"/>
  <c r="B5957" i="1"/>
  <c r="A5957" i="1"/>
  <c r="F5956" i="1"/>
  <c r="E5956" i="1"/>
  <c r="D5956" i="1"/>
  <c r="C5956" i="1"/>
  <c r="B5956" i="1"/>
  <c r="A5956" i="1"/>
  <c r="F5955" i="1"/>
  <c r="E5955" i="1"/>
  <c r="D5955" i="1"/>
  <c r="C5955" i="1"/>
  <c r="B5955" i="1"/>
  <c r="A5955" i="1"/>
  <c r="F5954" i="1"/>
  <c r="E5954" i="1"/>
  <c r="D5954" i="1"/>
  <c r="C5954" i="1"/>
  <c r="B5954" i="1"/>
  <c r="A5954" i="1"/>
  <c r="F5953" i="1"/>
  <c r="E5953" i="1"/>
  <c r="D5953" i="1"/>
  <c r="C5953" i="1"/>
  <c r="B5953" i="1"/>
  <c r="A5953" i="1"/>
  <c r="F5952" i="1"/>
  <c r="E5952" i="1"/>
  <c r="D5952" i="1"/>
  <c r="C5952" i="1"/>
  <c r="B5952" i="1"/>
  <c r="A5952" i="1"/>
  <c r="F5951" i="1"/>
  <c r="E5951" i="1"/>
  <c r="D5951" i="1"/>
  <c r="C5951" i="1"/>
  <c r="B5951" i="1"/>
  <c r="A5951" i="1"/>
  <c r="F5950" i="1"/>
  <c r="E5950" i="1"/>
  <c r="D5950" i="1"/>
  <c r="C5950" i="1"/>
  <c r="B5950" i="1"/>
  <c r="A5950" i="1"/>
  <c r="F5949" i="1"/>
  <c r="E5949" i="1"/>
  <c r="D5949" i="1"/>
  <c r="C5949" i="1"/>
  <c r="B5949" i="1"/>
  <c r="A5949" i="1"/>
  <c r="F5948" i="1"/>
  <c r="E5948" i="1"/>
  <c r="D5948" i="1"/>
  <c r="C5948" i="1"/>
  <c r="B5948" i="1"/>
  <c r="A5948" i="1"/>
  <c r="F5947" i="1"/>
  <c r="E5947" i="1"/>
  <c r="D5947" i="1"/>
  <c r="C5947" i="1"/>
  <c r="B5947" i="1"/>
  <c r="A5947" i="1"/>
  <c r="F5946" i="1"/>
  <c r="E5946" i="1"/>
  <c r="D5946" i="1"/>
  <c r="C5946" i="1"/>
  <c r="B5946" i="1"/>
  <c r="A5946" i="1"/>
  <c r="F5945" i="1"/>
  <c r="E5945" i="1"/>
  <c r="D5945" i="1"/>
  <c r="C5945" i="1"/>
  <c r="B5945" i="1"/>
  <c r="A5945" i="1"/>
  <c r="F5944" i="1"/>
  <c r="E5944" i="1"/>
  <c r="D5944" i="1"/>
  <c r="C5944" i="1"/>
  <c r="B5944" i="1"/>
  <c r="A5944" i="1"/>
  <c r="F5943" i="1"/>
  <c r="E5943" i="1"/>
  <c r="D5943" i="1"/>
  <c r="C5943" i="1"/>
  <c r="B5943" i="1"/>
  <c r="A5943" i="1"/>
  <c r="F5942" i="1"/>
  <c r="E5942" i="1"/>
  <c r="D5942" i="1"/>
  <c r="C5942" i="1"/>
  <c r="B5942" i="1"/>
  <c r="A5942" i="1"/>
  <c r="F5941" i="1"/>
  <c r="E5941" i="1"/>
  <c r="D5941" i="1"/>
  <c r="C5941" i="1"/>
  <c r="B5941" i="1"/>
  <c r="A5941" i="1"/>
  <c r="F5940" i="1"/>
  <c r="E5940" i="1"/>
  <c r="D5940" i="1"/>
  <c r="C5940" i="1"/>
  <c r="B5940" i="1"/>
  <c r="A5940" i="1"/>
  <c r="F5939" i="1"/>
  <c r="E5939" i="1"/>
  <c r="D5939" i="1"/>
  <c r="C5939" i="1"/>
  <c r="B5939" i="1"/>
  <c r="A5939" i="1"/>
  <c r="F5938" i="1"/>
  <c r="E5938" i="1"/>
  <c r="D5938" i="1"/>
  <c r="C5938" i="1"/>
  <c r="B5938" i="1"/>
  <c r="A5938" i="1"/>
  <c r="F5937" i="1"/>
  <c r="E5937" i="1"/>
  <c r="D5937" i="1"/>
  <c r="C5937" i="1"/>
  <c r="B5937" i="1"/>
  <c r="A5937" i="1"/>
  <c r="F5936" i="1"/>
  <c r="E5936" i="1"/>
  <c r="D5936" i="1"/>
  <c r="C5936" i="1"/>
  <c r="B5936" i="1"/>
  <c r="A5936" i="1"/>
  <c r="F5935" i="1"/>
  <c r="E5935" i="1"/>
  <c r="D5935" i="1"/>
  <c r="C5935" i="1"/>
  <c r="B5935" i="1"/>
  <c r="A5935" i="1"/>
  <c r="F5934" i="1"/>
  <c r="E5934" i="1"/>
  <c r="D5934" i="1"/>
  <c r="C5934" i="1"/>
  <c r="B5934" i="1"/>
  <c r="A5934" i="1"/>
  <c r="F5933" i="1"/>
  <c r="E5933" i="1"/>
  <c r="D5933" i="1"/>
  <c r="C5933" i="1"/>
  <c r="B5933" i="1"/>
  <c r="A5933" i="1"/>
  <c r="F5932" i="1"/>
  <c r="E5932" i="1"/>
  <c r="D5932" i="1"/>
  <c r="C5932" i="1"/>
  <c r="B5932" i="1"/>
  <c r="A5932" i="1"/>
  <c r="F5931" i="1"/>
  <c r="E5931" i="1"/>
  <c r="D5931" i="1"/>
  <c r="C5931" i="1"/>
  <c r="B5931" i="1"/>
  <c r="A5931" i="1"/>
  <c r="F5930" i="1"/>
  <c r="E5930" i="1"/>
  <c r="D5930" i="1"/>
  <c r="C5930" i="1"/>
  <c r="B5930" i="1"/>
  <c r="A5930" i="1"/>
  <c r="F5929" i="1"/>
  <c r="E5929" i="1"/>
  <c r="D5929" i="1"/>
  <c r="C5929" i="1"/>
  <c r="B5929" i="1"/>
  <c r="A5929" i="1"/>
  <c r="F5928" i="1"/>
  <c r="E5928" i="1"/>
  <c r="D5928" i="1"/>
  <c r="C5928" i="1"/>
  <c r="B5928" i="1"/>
  <c r="A5928" i="1"/>
  <c r="F5927" i="1"/>
  <c r="E5927" i="1"/>
  <c r="D5927" i="1"/>
  <c r="C5927" i="1"/>
  <c r="B5927" i="1"/>
  <c r="A5927" i="1"/>
  <c r="F5926" i="1"/>
  <c r="E5926" i="1"/>
  <c r="D5926" i="1"/>
  <c r="C5926" i="1"/>
  <c r="B5926" i="1"/>
  <c r="A5926" i="1"/>
  <c r="F5925" i="1"/>
  <c r="E5925" i="1"/>
  <c r="D5925" i="1"/>
  <c r="C5925" i="1"/>
  <c r="B5925" i="1"/>
  <c r="A5925" i="1"/>
  <c r="F5924" i="1"/>
  <c r="E5924" i="1"/>
  <c r="D5924" i="1"/>
  <c r="C5924" i="1"/>
  <c r="B5924" i="1"/>
  <c r="A5924" i="1"/>
  <c r="F5923" i="1"/>
  <c r="E5923" i="1"/>
  <c r="D5923" i="1"/>
  <c r="C5923" i="1"/>
  <c r="B5923" i="1"/>
  <c r="A5923" i="1"/>
  <c r="F5922" i="1"/>
  <c r="E5922" i="1"/>
  <c r="D5922" i="1"/>
  <c r="C5922" i="1"/>
  <c r="B5922" i="1"/>
  <c r="A5922" i="1"/>
  <c r="F5921" i="1"/>
  <c r="E5921" i="1"/>
  <c r="D5921" i="1"/>
  <c r="C5921" i="1"/>
  <c r="B5921" i="1"/>
  <c r="A5921" i="1"/>
  <c r="F5920" i="1"/>
  <c r="E5920" i="1"/>
  <c r="D5920" i="1"/>
  <c r="C5920" i="1"/>
  <c r="B5920" i="1"/>
  <c r="A5920" i="1"/>
  <c r="F5919" i="1"/>
  <c r="E5919" i="1"/>
  <c r="D5919" i="1"/>
  <c r="C5919" i="1"/>
  <c r="B5919" i="1"/>
  <c r="A5919" i="1"/>
  <c r="F5918" i="1"/>
  <c r="E5918" i="1"/>
  <c r="D5918" i="1"/>
  <c r="C5918" i="1"/>
  <c r="B5918" i="1"/>
  <c r="A5918" i="1"/>
  <c r="F5917" i="1"/>
  <c r="E5917" i="1"/>
  <c r="D5917" i="1"/>
  <c r="C5917" i="1"/>
  <c r="B5917" i="1"/>
  <c r="A5917" i="1"/>
  <c r="F5916" i="1"/>
  <c r="E5916" i="1"/>
  <c r="D5916" i="1"/>
  <c r="C5916" i="1"/>
  <c r="B5916" i="1"/>
  <c r="A5916" i="1"/>
  <c r="F5915" i="1"/>
  <c r="E5915" i="1"/>
  <c r="D5915" i="1"/>
  <c r="C5915" i="1"/>
  <c r="B5915" i="1"/>
  <c r="A5915" i="1"/>
  <c r="F5914" i="1"/>
  <c r="E5914" i="1"/>
  <c r="D5914" i="1"/>
  <c r="C5914" i="1"/>
  <c r="B5914" i="1"/>
  <c r="A5914" i="1"/>
  <c r="F5913" i="1"/>
  <c r="E5913" i="1"/>
  <c r="D5913" i="1"/>
  <c r="C5913" i="1"/>
  <c r="B5913" i="1"/>
  <c r="A5913" i="1"/>
  <c r="F5912" i="1"/>
  <c r="E5912" i="1"/>
  <c r="D5912" i="1"/>
  <c r="C5912" i="1"/>
  <c r="B5912" i="1"/>
  <c r="A5912" i="1"/>
  <c r="F5911" i="1"/>
  <c r="E5911" i="1"/>
  <c r="D5911" i="1"/>
  <c r="C5911" i="1"/>
  <c r="B5911" i="1"/>
  <c r="A5911" i="1"/>
  <c r="F5910" i="1"/>
  <c r="E5910" i="1"/>
  <c r="D5910" i="1"/>
  <c r="C5910" i="1"/>
  <c r="B5910" i="1"/>
  <c r="A5910" i="1"/>
  <c r="F5909" i="1"/>
  <c r="E5909" i="1"/>
  <c r="D5909" i="1"/>
  <c r="C5909" i="1"/>
  <c r="B5909" i="1"/>
  <c r="A5909" i="1"/>
  <c r="F5908" i="1"/>
  <c r="E5908" i="1"/>
  <c r="D5908" i="1"/>
  <c r="C5908" i="1"/>
  <c r="B5908" i="1"/>
  <c r="A5908" i="1"/>
  <c r="F5907" i="1"/>
  <c r="E5907" i="1"/>
  <c r="D5907" i="1"/>
  <c r="C5907" i="1"/>
  <c r="B5907" i="1"/>
  <c r="A5907" i="1"/>
  <c r="F5906" i="1"/>
  <c r="E5906" i="1"/>
  <c r="D5906" i="1"/>
  <c r="C5906" i="1"/>
  <c r="B5906" i="1"/>
  <c r="A5906" i="1"/>
  <c r="F5905" i="1"/>
  <c r="E5905" i="1"/>
  <c r="D5905" i="1"/>
  <c r="C5905" i="1"/>
  <c r="B5905" i="1"/>
  <c r="A5905" i="1"/>
  <c r="F5904" i="1"/>
  <c r="E5904" i="1"/>
  <c r="D5904" i="1"/>
  <c r="C5904" i="1"/>
  <c r="B5904" i="1"/>
  <c r="A5904" i="1"/>
  <c r="F5903" i="1"/>
  <c r="E5903" i="1"/>
  <c r="D5903" i="1"/>
  <c r="C5903" i="1"/>
  <c r="B5903" i="1"/>
  <c r="A5903" i="1"/>
  <c r="F5902" i="1"/>
  <c r="E5902" i="1"/>
  <c r="D5902" i="1"/>
  <c r="C5902" i="1"/>
  <c r="B5902" i="1"/>
  <c r="A5902" i="1"/>
  <c r="F5901" i="1"/>
  <c r="E5901" i="1"/>
  <c r="D5901" i="1"/>
  <c r="C5901" i="1"/>
  <c r="B5901" i="1"/>
  <c r="A5901" i="1"/>
  <c r="F5900" i="1"/>
  <c r="E5900" i="1"/>
  <c r="D5900" i="1"/>
  <c r="C5900" i="1"/>
  <c r="B5900" i="1"/>
  <c r="A5900" i="1"/>
  <c r="F5899" i="1"/>
  <c r="E5899" i="1"/>
  <c r="D5899" i="1"/>
  <c r="C5899" i="1"/>
  <c r="B5899" i="1"/>
  <c r="A5899" i="1"/>
  <c r="F5898" i="1"/>
  <c r="E5898" i="1"/>
  <c r="D5898" i="1"/>
  <c r="C5898" i="1"/>
  <c r="B5898" i="1"/>
  <c r="A5898" i="1"/>
  <c r="F5897" i="1"/>
  <c r="E5897" i="1"/>
  <c r="D5897" i="1"/>
  <c r="C5897" i="1"/>
  <c r="B5897" i="1"/>
  <c r="A5897" i="1"/>
  <c r="F5896" i="1"/>
  <c r="E5896" i="1"/>
  <c r="D5896" i="1"/>
  <c r="C5896" i="1"/>
  <c r="B5896" i="1"/>
  <c r="A5896" i="1"/>
  <c r="F5895" i="1"/>
  <c r="E5895" i="1"/>
  <c r="D5895" i="1"/>
  <c r="C5895" i="1"/>
  <c r="B5895" i="1"/>
  <c r="A5895" i="1"/>
  <c r="F5894" i="1"/>
  <c r="E5894" i="1"/>
  <c r="D5894" i="1"/>
  <c r="C5894" i="1"/>
  <c r="B5894" i="1"/>
  <c r="A5894" i="1"/>
  <c r="F5893" i="1"/>
  <c r="E5893" i="1"/>
  <c r="D5893" i="1"/>
  <c r="C5893" i="1"/>
  <c r="B5893" i="1"/>
  <c r="A5893" i="1"/>
  <c r="F5892" i="1"/>
  <c r="E5892" i="1"/>
  <c r="D5892" i="1"/>
  <c r="C5892" i="1"/>
  <c r="B5892" i="1"/>
  <c r="A5892" i="1"/>
  <c r="F5891" i="1"/>
  <c r="E5891" i="1"/>
  <c r="D5891" i="1"/>
  <c r="C5891" i="1"/>
  <c r="B5891" i="1"/>
  <c r="A5891" i="1"/>
  <c r="F5890" i="1"/>
  <c r="E5890" i="1"/>
  <c r="D5890" i="1"/>
  <c r="C5890" i="1"/>
  <c r="B5890" i="1"/>
  <c r="A5890" i="1"/>
  <c r="F5889" i="1"/>
  <c r="E5889" i="1"/>
  <c r="D5889" i="1"/>
  <c r="C5889" i="1"/>
  <c r="B5889" i="1"/>
  <c r="A5889" i="1"/>
  <c r="F5888" i="1"/>
  <c r="E5888" i="1"/>
  <c r="D5888" i="1"/>
  <c r="C5888" i="1"/>
  <c r="B5888" i="1"/>
  <c r="A5888" i="1"/>
  <c r="F5887" i="1"/>
  <c r="E5887" i="1"/>
  <c r="D5887" i="1"/>
  <c r="C5887" i="1"/>
  <c r="B5887" i="1"/>
  <c r="A5887" i="1"/>
  <c r="F5886" i="1"/>
  <c r="E5886" i="1"/>
  <c r="D5886" i="1"/>
  <c r="C5886" i="1"/>
  <c r="B5886" i="1"/>
  <c r="A5886" i="1"/>
  <c r="F5885" i="1"/>
  <c r="E5885" i="1"/>
  <c r="D5885" i="1"/>
  <c r="C5885" i="1"/>
  <c r="B5885" i="1"/>
  <c r="A5885" i="1"/>
  <c r="F5884" i="1"/>
  <c r="E5884" i="1"/>
  <c r="D5884" i="1"/>
  <c r="C5884" i="1"/>
  <c r="B5884" i="1"/>
  <c r="A5884" i="1"/>
  <c r="F5883" i="1"/>
  <c r="E5883" i="1"/>
  <c r="D5883" i="1"/>
  <c r="C5883" i="1"/>
  <c r="B5883" i="1"/>
  <c r="A5883" i="1"/>
  <c r="F5882" i="1"/>
  <c r="E5882" i="1"/>
  <c r="D5882" i="1"/>
  <c r="C5882" i="1"/>
  <c r="B5882" i="1"/>
  <c r="A5882" i="1"/>
  <c r="F5881" i="1"/>
  <c r="E5881" i="1"/>
  <c r="D5881" i="1"/>
  <c r="C5881" i="1"/>
  <c r="B5881" i="1"/>
  <c r="A5881" i="1"/>
  <c r="F5880" i="1"/>
  <c r="E5880" i="1"/>
  <c r="D5880" i="1"/>
  <c r="C5880" i="1"/>
  <c r="B5880" i="1"/>
  <c r="A5880" i="1"/>
  <c r="F5879" i="1"/>
  <c r="E5879" i="1"/>
  <c r="D5879" i="1"/>
  <c r="C5879" i="1"/>
  <c r="B5879" i="1"/>
  <c r="A5879" i="1"/>
  <c r="F5878" i="1"/>
  <c r="E5878" i="1"/>
  <c r="D5878" i="1"/>
  <c r="C5878" i="1"/>
  <c r="B5878" i="1"/>
  <c r="A5878" i="1"/>
  <c r="F5877" i="1"/>
  <c r="E5877" i="1"/>
  <c r="D5877" i="1"/>
  <c r="C5877" i="1"/>
  <c r="B5877" i="1"/>
  <c r="A5877" i="1"/>
  <c r="F5876" i="1"/>
  <c r="E5876" i="1"/>
  <c r="D5876" i="1"/>
  <c r="C5876" i="1"/>
  <c r="B5876" i="1"/>
  <c r="A5876" i="1"/>
  <c r="F5875" i="1"/>
  <c r="E5875" i="1"/>
  <c r="D5875" i="1"/>
  <c r="C5875" i="1"/>
  <c r="B5875" i="1"/>
  <c r="A5875" i="1"/>
  <c r="F5874" i="1"/>
  <c r="E5874" i="1"/>
  <c r="D5874" i="1"/>
  <c r="C5874" i="1"/>
  <c r="B5874" i="1"/>
  <c r="A5874" i="1"/>
  <c r="F5873" i="1"/>
  <c r="E5873" i="1"/>
  <c r="D5873" i="1"/>
  <c r="C5873" i="1"/>
  <c r="B5873" i="1"/>
  <c r="A5873" i="1"/>
  <c r="F5872" i="1"/>
  <c r="E5872" i="1"/>
  <c r="D5872" i="1"/>
  <c r="C5872" i="1"/>
  <c r="B5872" i="1"/>
  <c r="A5872" i="1"/>
  <c r="F5871" i="1"/>
  <c r="E5871" i="1"/>
  <c r="D5871" i="1"/>
  <c r="C5871" i="1"/>
  <c r="B5871" i="1"/>
  <c r="A5871" i="1"/>
  <c r="F5870" i="1"/>
  <c r="E5870" i="1"/>
  <c r="D5870" i="1"/>
  <c r="C5870" i="1"/>
  <c r="B5870" i="1"/>
  <c r="A5870" i="1"/>
  <c r="F5869" i="1"/>
  <c r="E5869" i="1"/>
  <c r="D5869" i="1"/>
  <c r="C5869" i="1"/>
  <c r="B5869" i="1"/>
  <c r="A5869" i="1"/>
  <c r="F5868" i="1"/>
  <c r="E5868" i="1"/>
  <c r="D5868" i="1"/>
  <c r="C5868" i="1"/>
  <c r="B5868" i="1"/>
  <c r="A5868" i="1"/>
  <c r="F5867" i="1"/>
  <c r="E5867" i="1"/>
  <c r="D5867" i="1"/>
  <c r="C5867" i="1"/>
  <c r="B5867" i="1"/>
  <c r="A5867" i="1"/>
  <c r="F5866" i="1"/>
  <c r="E5866" i="1"/>
  <c r="D5866" i="1"/>
  <c r="C5866" i="1"/>
  <c r="B5866" i="1"/>
  <c r="A5866" i="1"/>
  <c r="F5865" i="1"/>
  <c r="E5865" i="1"/>
  <c r="D5865" i="1"/>
  <c r="C5865" i="1"/>
  <c r="B5865" i="1"/>
  <c r="A5865" i="1"/>
  <c r="F5864" i="1"/>
  <c r="E5864" i="1"/>
  <c r="D5864" i="1"/>
  <c r="C5864" i="1"/>
  <c r="B5864" i="1"/>
  <c r="A5864" i="1"/>
  <c r="F5863" i="1"/>
  <c r="E5863" i="1"/>
  <c r="D5863" i="1"/>
  <c r="C5863" i="1"/>
  <c r="B5863" i="1"/>
  <c r="A5863" i="1"/>
  <c r="F5862" i="1"/>
  <c r="E5862" i="1"/>
  <c r="D5862" i="1"/>
  <c r="C5862" i="1"/>
  <c r="B5862" i="1"/>
  <c r="A5862" i="1"/>
  <c r="F5861" i="1"/>
  <c r="E5861" i="1"/>
  <c r="D5861" i="1"/>
  <c r="C5861" i="1"/>
  <c r="B5861" i="1"/>
  <c r="A5861" i="1"/>
  <c r="F5860" i="1"/>
  <c r="E5860" i="1"/>
  <c r="D5860" i="1"/>
  <c r="C5860" i="1"/>
  <c r="B5860" i="1"/>
  <c r="A5860" i="1"/>
  <c r="F5859" i="1"/>
  <c r="E5859" i="1"/>
  <c r="D5859" i="1"/>
  <c r="C5859" i="1"/>
  <c r="B5859" i="1"/>
  <c r="A5859" i="1"/>
  <c r="F5858" i="1"/>
  <c r="E5858" i="1"/>
  <c r="D5858" i="1"/>
  <c r="C5858" i="1"/>
  <c r="B5858" i="1"/>
  <c r="A5858" i="1"/>
  <c r="F5857" i="1"/>
  <c r="E5857" i="1"/>
  <c r="D5857" i="1"/>
  <c r="C5857" i="1"/>
  <c r="B5857" i="1"/>
  <c r="A5857" i="1"/>
  <c r="F5856" i="1"/>
  <c r="E5856" i="1"/>
  <c r="D5856" i="1"/>
  <c r="C5856" i="1"/>
  <c r="B5856" i="1"/>
  <c r="A5856" i="1"/>
  <c r="F5855" i="1"/>
  <c r="E5855" i="1"/>
  <c r="D5855" i="1"/>
  <c r="C5855" i="1"/>
  <c r="B5855" i="1"/>
  <c r="A5855" i="1"/>
  <c r="F5854" i="1"/>
  <c r="E5854" i="1"/>
  <c r="D5854" i="1"/>
  <c r="C5854" i="1"/>
  <c r="B5854" i="1"/>
  <c r="A5854" i="1"/>
  <c r="F5853" i="1"/>
  <c r="E5853" i="1"/>
  <c r="D5853" i="1"/>
  <c r="C5853" i="1"/>
  <c r="B5853" i="1"/>
  <c r="A5853" i="1"/>
  <c r="F5852" i="1"/>
  <c r="E5852" i="1"/>
  <c r="D5852" i="1"/>
  <c r="C5852" i="1"/>
  <c r="B5852" i="1"/>
  <c r="A5852" i="1"/>
  <c r="F5851" i="1"/>
  <c r="E5851" i="1"/>
  <c r="D5851" i="1"/>
  <c r="C5851" i="1"/>
  <c r="B5851" i="1"/>
  <c r="A5851" i="1"/>
  <c r="F5850" i="1"/>
  <c r="E5850" i="1"/>
  <c r="D5850" i="1"/>
  <c r="C5850" i="1"/>
  <c r="B5850" i="1"/>
  <c r="A5850" i="1"/>
  <c r="F5849" i="1"/>
  <c r="E5849" i="1"/>
  <c r="D5849" i="1"/>
  <c r="C5849" i="1"/>
  <c r="B5849" i="1"/>
  <c r="A5849" i="1"/>
  <c r="F5848" i="1"/>
  <c r="E5848" i="1"/>
  <c r="D5848" i="1"/>
  <c r="C5848" i="1"/>
  <c r="B5848" i="1"/>
  <c r="A5848" i="1"/>
  <c r="F5847" i="1"/>
  <c r="E5847" i="1"/>
  <c r="D5847" i="1"/>
  <c r="C5847" i="1"/>
  <c r="B5847" i="1"/>
  <c r="A5847" i="1"/>
  <c r="F5846" i="1"/>
  <c r="E5846" i="1"/>
  <c r="D5846" i="1"/>
  <c r="C5846" i="1"/>
  <c r="B5846" i="1"/>
  <c r="A5846" i="1"/>
  <c r="F5845" i="1"/>
  <c r="E5845" i="1"/>
  <c r="D5845" i="1"/>
  <c r="C5845" i="1"/>
  <c r="B5845" i="1"/>
  <c r="A5845" i="1"/>
  <c r="F5844" i="1"/>
  <c r="E5844" i="1"/>
  <c r="D5844" i="1"/>
  <c r="C5844" i="1"/>
  <c r="B5844" i="1"/>
  <c r="A5844" i="1"/>
  <c r="F5843" i="1"/>
  <c r="E5843" i="1"/>
  <c r="D5843" i="1"/>
  <c r="C5843" i="1"/>
  <c r="B5843" i="1"/>
  <c r="A5843" i="1"/>
  <c r="F5842" i="1"/>
  <c r="E5842" i="1"/>
  <c r="D5842" i="1"/>
  <c r="C5842" i="1"/>
  <c r="B5842" i="1"/>
  <c r="A5842" i="1"/>
  <c r="F5841" i="1"/>
  <c r="E5841" i="1"/>
  <c r="D5841" i="1"/>
  <c r="C5841" i="1"/>
  <c r="B5841" i="1"/>
  <c r="A5841" i="1"/>
  <c r="F5840" i="1"/>
  <c r="E5840" i="1"/>
  <c r="D5840" i="1"/>
  <c r="C5840" i="1"/>
  <c r="B5840" i="1"/>
  <c r="A5840" i="1"/>
  <c r="F5839" i="1"/>
  <c r="E5839" i="1"/>
  <c r="D5839" i="1"/>
  <c r="C5839" i="1"/>
  <c r="B5839" i="1"/>
  <c r="A5839" i="1"/>
  <c r="F5838" i="1"/>
  <c r="E5838" i="1"/>
  <c r="D5838" i="1"/>
  <c r="C5838" i="1"/>
  <c r="B5838" i="1"/>
  <c r="A5838" i="1"/>
  <c r="F5837" i="1"/>
  <c r="E5837" i="1"/>
  <c r="D5837" i="1"/>
  <c r="C5837" i="1"/>
  <c r="B5837" i="1"/>
  <c r="A5837" i="1"/>
  <c r="F5836" i="1"/>
  <c r="E5836" i="1"/>
  <c r="D5836" i="1"/>
  <c r="C5836" i="1"/>
  <c r="B5836" i="1"/>
  <c r="A5836" i="1"/>
  <c r="F5835" i="1"/>
  <c r="E5835" i="1"/>
  <c r="D5835" i="1"/>
  <c r="C5835" i="1"/>
  <c r="B5835" i="1"/>
  <c r="A5835" i="1"/>
  <c r="F5834" i="1"/>
  <c r="E5834" i="1"/>
  <c r="D5834" i="1"/>
  <c r="C5834" i="1"/>
  <c r="B5834" i="1"/>
  <c r="A5834" i="1"/>
  <c r="F5833" i="1"/>
  <c r="E5833" i="1"/>
  <c r="D5833" i="1"/>
  <c r="C5833" i="1"/>
  <c r="B5833" i="1"/>
  <c r="A5833" i="1"/>
  <c r="F5832" i="1"/>
  <c r="E5832" i="1"/>
  <c r="D5832" i="1"/>
  <c r="C5832" i="1"/>
  <c r="B5832" i="1"/>
  <c r="A5832" i="1"/>
  <c r="F5831" i="1"/>
  <c r="E5831" i="1"/>
  <c r="D5831" i="1"/>
  <c r="C5831" i="1"/>
  <c r="B5831" i="1"/>
  <c r="A5831" i="1"/>
  <c r="F5830" i="1"/>
  <c r="E5830" i="1"/>
  <c r="D5830" i="1"/>
  <c r="C5830" i="1"/>
  <c r="B5830" i="1"/>
  <c r="A5830" i="1"/>
  <c r="F5829" i="1"/>
  <c r="E5829" i="1"/>
  <c r="D5829" i="1"/>
  <c r="C5829" i="1"/>
  <c r="B5829" i="1"/>
  <c r="A5829" i="1"/>
  <c r="F5828" i="1"/>
  <c r="E5828" i="1"/>
  <c r="D5828" i="1"/>
  <c r="C5828" i="1"/>
  <c r="B5828" i="1"/>
  <c r="A5828" i="1"/>
  <c r="F5827" i="1"/>
  <c r="E5827" i="1"/>
  <c r="D5827" i="1"/>
  <c r="C5827" i="1"/>
  <c r="B5827" i="1"/>
  <c r="A5827" i="1"/>
  <c r="F5826" i="1"/>
  <c r="E5826" i="1"/>
  <c r="D5826" i="1"/>
  <c r="C5826" i="1"/>
  <c r="B5826" i="1"/>
  <c r="A5826" i="1"/>
  <c r="F5825" i="1"/>
  <c r="E5825" i="1"/>
  <c r="D5825" i="1"/>
  <c r="C5825" i="1"/>
  <c r="B5825" i="1"/>
  <c r="A5825" i="1"/>
  <c r="F5824" i="1"/>
  <c r="E5824" i="1"/>
  <c r="D5824" i="1"/>
  <c r="C5824" i="1"/>
  <c r="B5824" i="1"/>
  <c r="A5824" i="1"/>
  <c r="F5823" i="1"/>
  <c r="E5823" i="1"/>
  <c r="D5823" i="1"/>
  <c r="C5823" i="1"/>
  <c r="B5823" i="1"/>
  <c r="A5823" i="1"/>
  <c r="F5822" i="1"/>
  <c r="E5822" i="1"/>
  <c r="D5822" i="1"/>
  <c r="C5822" i="1"/>
  <c r="B5822" i="1"/>
  <c r="A5822" i="1"/>
  <c r="F5821" i="1"/>
  <c r="E5821" i="1"/>
  <c r="D5821" i="1"/>
  <c r="C5821" i="1"/>
  <c r="B5821" i="1"/>
  <c r="A5821" i="1"/>
  <c r="F5820" i="1"/>
  <c r="E5820" i="1"/>
  <c r="D5820" i="1"/>
  <c r="C5820" i="1"/>
  <c r="B5820" i="1"/>
  <c r="A5820" i="1"/>
  <c r="F5819" i="1"/>
  <c r="E5819" i="1"/>
  <c r="D5819" i="1"/>
  <c r="C5819" i="1"/>
  <c r="B5819" i="1"/>
  <c r="A5819" i="1"/>
  <c r="F5818" i="1"/>
  <c r="E5818" i="1"/>
  <c r="D5818" i="1"/>
  <c r="C5818" i="1"/>
  <c r="B5818" i="1"/>
  <c r="A5818" i="1"/>
  <c r="F5817" i="1"/>
  <c r="E5817" i="1"/>
  <c r="D5817" i="1"/>
  <c r="C5817" i="1"/>
  <c r="B5817" i="1"/>
  <c r="A5817" i="1"/>
  <c r="F5816" i="1"/>
  <c r="E5816" i="1"/>
  <c r="D5816" i="1"/>
  <c r="C5816" i="1"/>
  <c r="B5816" i="1"/>
  <c r="A5816" i="1"/>
  <c r="F5815" i="1"/>
  <c r="E5815" i="1"/>
  <c r="D5815" i="1"/>
  <c r="C5815" i="1"/>
  <c r="B5815" i="1"/>
  <c r="A5815" i="1"/>
  <c r="F5814" i="1"/>
  <c r="E5814" i="1"/>
  <c r="D5814" i="1"/>
  <c r="C5814" i="1"/>
  <c r="B5814" i="1"/>
  <c r="A5814" i="1"/>
  <c r="F5813" i="1"/>
  <c r="E5813" i="1"/>
  <c r="D5813" i="1"/>
  <c r="C5813" i="1"/>
  <c r="B5813" i="1"/>
  <c r="A5813" i="1"/>
  <c r="F5812" i="1"/>
  <c r="E5812" i="1"/>
  <c r="D5812" i="1"/>
  <c r="C5812" i="1"/>
  <c r="B5812" i="1"/>
  <c r="A5812" i="1"/>
  <c r="F5811" i="1"/>
  <c r="E5811" i="1"/>
  <c r="D5811" i="1"/>
  <c r="C5811" i="1"/>
  <c r="B5811" i="1"/>
  <c r="A5811" i="1"/>
  <c r="F5810" i="1"/>
  <c r="E5810" i="1"/>
  <c r="D5810" i="1"/>
  <c r="C5810" i="1"/>
  <c r="B5810" i="1"/>
  <c r="A5810" i="1"/>
  <c r="F5809" i="1"/>
  <c r="E5809" i="1"/>
  <c r="D5809" i="1"/>
  <c r="C5809" i="1"/>
  <c r="B5809" i="1"/>
  <c r="A5809" i="1"/>
  <c r="F5808" i="1"/>
  <c r="E5808" i="1"/>
  <c r="D5808" i="1"/>
  <c r="C5808" i="1"/>
  <c r="B5808" i="1"/>
  <c r="A5808" i="1"/>
  <c r="F5807" i="1"/>
  <c r="E5807" i="1"/>
  <c r="D5807" i="1"/>
  <c r="C5807" i="1"/>
  <c r="B5807" i="1"/>
  <c r="A5807" i="1"/>
  <c r="F5806" i="1"/>
  <c r="E5806" i="1"/>
  <c r="D5806" i="1"/>
  <c r="C5806" i="1"/>
  <c r="B5806" i="1"/>
  <c r="A5806" i="1"/>
  <c r="F5805" i="1"/>
  <c r="E5805" i="1"/>
  <c r="D5805" i="1"/>
  <c r="C5805" i="1"/>
  <c r="B5805" i="1"/>
  <c r="A5805" i="1"/>
  <c r="F5804" i="1"/>
  <c r="E5804" i="1"/>
  <c r="D5804" i="1"/>
  <c r="C5804" i="1"/>
  <c r="B5804" i="1"/>
  <c r="A5804" i="1"/>
  <c r="F5803" i="1"/>
  <c r="E5803" i="1"/>
  <c r="D5803" i="1"/>
  <c r="C5803" i="1"/>
  <c r="B5803" i="1"/>
  <c r="A5803" i="1"/>
  <c r="F5802" i="1"/>
  <c r="E5802" i="1"/>
  <c r="D5802" i="1"/>
  <c r="C5802" i="1"/>
  <c r="B5802" i="1"/>
  <c r="A5802" i="1"/>
  <c r="F5801" i="1"/>
  <c r="E5801" i="1"/>
  <c r="D5801" i="1"/>
  <c r="C5801" i="1"/>
  <c r="B5801" i="1"/>
  <c r="A5801" i="1"/>
  <c r="F5800" i="1"/>
  <c r="E5800" i="1"/>
  <c r="D5800" i="1"/>
  <c r="C5800" i="1"/>
  <c r="B5800" i="1"/>
  <c r="A5800" i="1"/>
  <c r="F5799" i="1"/>
  <c r="E5799" i="1"/>
  <c r="D5799" i="1"/>
  <c r="C5799" i="1"/>
  <c r="B5799" i="1"/>
  <c r="A5799" i="1"/>
  <c r="F5798" i="1"/>
  <c r="E5798" i="1"/>
  <c r="D5798" i="1"/>
  <c r="C5798" i="1"/>
  <c r="B5798" i="1"/>
  <c r="A5798" i="1"/>
  <c r="F5797" i="1"/>
  <c r="E5797" i="1"/>
  <c r="D5797" i="1"/>
  <c r="C5797" i="1"/>
  <c r="B5797" i="1"/>
  <c r="A5797" i="1"/>
  <c r="F5796" i="1"/>
  <c r="E5796" i="1"/>
  <c r="D5796" i="1"/>
  <c r="C5796" i="1"/>
  <c r="B5796" i="1"/>
  <c r="A5796" i="1"/>
  <c r="F5795" i="1"/>
  <c r="E5795" i="1"/>
  <c r="D5795" i="1"/>
  <c r="C5795" i="1"/>
  <c r="B5795" i="1"/>
  <c r="A5795" i="1"/>
  <c r="F5794" i="1"/>
  <c r="E5794" i="1"/>
  <c r="D5794" i="1"/>
  <c r="C5794" i="1"/>
  <c r="B5794" i="1"/>
  <c r="A5794" i="1"/>
  <c r="F5793" i="1"/>
  <c r="E5793" i="1"/>
  <c r="D5793" i="1"/>
  <c r="C5793" i="1"/>
  <c r="B5793" i="1"/>
  <c r="A5793" i="1"/>
  <c r="F5792" i="1"/>
  <c r="E5792" i="1"/>
  <c r="D5792" i="1"/>
  <c r="C5792" i="1"/>
  <c r="B5792" i="1"/>
  <c r="A5792" i="1"/>
  <c r="F5791" i="1"/>
  <c r="E5791" i="1"/>
  <c r="D5791" i="1"/>
  <c r="C5791" i="1"/>
  <c r="B5791" i="1"/>
  <c r="A5791" i="1"/>
  <c r="F5790" i="1"/>
  <c r="E5790" i="1"/>
  <c r="D5790" i="1"/>
  <c r="C5790" i="1"/>
  <c r="B5790" i="1"/>
  <c r="A5790" i="1"/>
  <c r="F5789" i="1"/>
  <c r="E5789" i="1"/>
  <c r="D5789" i="1"/>
  <c r="C5789" i="1"/>
  <c r="B5789" i="1"/>
  <c r="A5789" i="1"/>
  <c r="F5788" i="1"/>
  <c r="E5788" i="1"/>
  <c r="D5788" i="1"/>
  <c r="C5788" i="1"/>
  <c r="B5788" i="1"/>
  <c r="A5788" i="1"/>
  <c r="F5787" i="1"/>
  <c r="E5787" i="1"/>
  <c r="D5787" i="1"/>
  <c r="C5787" i="1"/>
  <c r="B5787" i="1"/>
  <c r="A5787" i="1"/>
  <c r="F5786" i="1"/>
  <c r="E5786" i="1"/>
  <c r="D5786" i="1"/>
  <c r="C5786" i="1"/>
  <c r="B5786" i="1"/>
  <c r="A5786" i="1"/>
  <c r="F5785" i="1"/>
  <c r="E5785" i="1"/>
  <c r="D5785" i="1"/>
  <c r="C5785" i="1"/>
  <c r="B5785" i="1"/>
  <c r="A5785" i="1"/>
  <c r="F5784" i="1"/>
  <c r="E5784" i="1"/>
  <c r="D5784" i="1"/>
  <c r="C5784" i="1"/>
  <c r="B5784" i="1"/>
  <c r="A5784" i="1"/>
  <c r="F5783" i="1"/>
  <c r="E5783" i="1"/>
  <c r="D5783" i="1"/>
  <c r="C5783" i="1"/>
  <c r="B5783" i="1"/>
  <c r="A5783" i="1"/>
  <c r="F5782" i="1"/>
  <c r="E5782" i="1"/>
  <c r="D5782" i="1"/>
  <c r="C5782" i="1"/>
  <c r="B5782" i="1"/>
  <c r="A5782" i="1"/>
  <c r="F5781" i="1"/>
  <c r="E5781" i="1"/>
  <c r="D5781" i="1"/>
  <c r="C5781" i="1"/>
  <c r="B5781" i="1"/>
  <c r="A5781" i="1"/>
  <c r="F5780" i="1"/>
  <c r="E5780" i="1"/>
  <c r="D5780" i="1"/>
  <c r="C5780" i="1"/>
  <c r="B5780" i="1"/>
  <c r="A5780" i="1"/>
  <c r="F5779" i="1"/>
  <c r="E5779" i="1"/>
  <c r="D5779" i="1"/>
  <c r="C5779" i="1"/>
  <c r="B5779" i="1"/>
  <c r="A5779" i="1"/>
  <c r="F5778" i="1"/>
  <c r="E5778" i="1"/>
  <c r="D5778" i="1"/>
  <c r="C5778" i="1"/>
  <c r="B5778" i="1"/>
  <c r="A5778" i="1"/>
  <c r="F5777" i="1"/>
  <c r="E5777" i="1"/>
  <c r="D5777" i="1"/>
  <c r="C5777" i="1"/>
  <c r="B5777" i="1"/>
  <c r="A5777" i="1"/>
  <c r="F5776" i="1"/>
  <c r="E5776" i="1"/>
  <c r="D5776" i="1"/>
  <c r="C5776" i="1"/>
  <c r="B5776" i="1"/>
  <c r="A5776" i="1"/>
  <c r="F5775" i="1"/>
  <c r="E5775" i="1"/>
  <c r="D5775" i="1"/>
  <c r="C5775" i="1"/>
  <c r="B5775" i="1"/>
  <c r="A5775" i="1"/>
  <c r="F5774" i="1"/>
  <c r="E5774" i="1"/>
  <c r="D5774" i="1"/>
  <c r="C5774" i="1"/>
  <c r="B5774" i="1"/>
  <c r="A5774" i="1"/>
  <c r="F5773" i="1"/>
  <c r="E5773" i="1"/>
  <c r="D5773" i="1"/>
  <c r="C5773" i="1"/>
  <c r="B5773" i="1"/>
  <c r="A5773" i="1"/>
  <c r="F5772" i="1"/>
  <c r="E5772" i="1"/>
  <c r="D5772" i="1"/>
  <c r="C5772" i="1"/>
  <c r="B5772" i="1"/>
  <c r="A5772" i="1"/>
  <c r="F5771" i="1"/>
  <c r="E5771" i="1"/>
  <c r="D5771" i="1"/>
  <c r="C5771" i="1"/>
  <c r="B5771" i="1"/>
  <c r="A5771" i="1"/>
  <c r="F5770" i="1"/>
  <c r="E5770" i="1"/>
  <c r="D5770" i="1"/>
  <c r="C5770" i="1"/>
  <c r="B5770" i="1"/>
  <c r="A5770" i="1"/>
  <c r="F5769" i="1"/>
  <c r="E5769" i="1"/>
  <c r="D5769" i="1"/>
  <c r="C5769" i="1"/>
  <c r="B5769" i="1"/>
  <c r="A5769" i="1"/>
  <c r="F5768" i="1"/>
  <c r="E5768" i="1"/>
  <c r="D5768" i="1"/>
  <c r="C5768" i="1"/>
  <c r="B5768" i="1"/>
  <c r="A5768" i="1"/>
  <c r="F5767" i="1"/>
  <c r="E5767" i="1"/>
  <c r="D5767" i="1"/>
  <c r="C5767" i="1"/>
  <c r="B5767" i="1"/>
  <c r="A5767" i="1"/>
  <c r="F5766" i="1"/>
  <c r="E5766" i="1"/>
  <c r="D5766" i="1"/>
  <c r="C5766" i="1"/>
  <c r="B5766" i="1"/>
  <c r="A5766" i="1"/>
  <c r="F5765" i="1"/>
  <c r="E5765" i="1"/>
  <c r="D5765" i="1"/>
  <c r="C5765" i="1"/>
  <c r="B5765" i="1"/>
  <c r="A5765" i="1"/>
  <c r="F5764" i="1"/>
  <c r="E5764" i="1"/>
  <c r="D5764" i="1"/>
  <c r="C5764" i="1"/>
  <c r="B5764" i="1"/>
  <c r="A5764" i="1"/>
  <c r="F5763" i="1"/>
  <c r="E5763" i="1"/>
  <c r="D5763" i="1"/>
  <c r="C5763" i="1"/>
  <c r="B5763" i="1"/>
  <c r="A5763" i="1"/>
  <c r="F5762" i="1"/>
  <c r="E5762" i="1"/>
  <c r="D5762" i="1"/>
  <c r="C5762" i="1"/>
  <c r="B5762" i="1"/>
  <c r="A5762" i="1"/>
  <c r="F5761" i="1"/>
  <c r="E5761" i="1"/>
  <c r="D5761" i="1"/>
  <c r="C5761" i="1"/>
  <c r="B5761" i="1"/>
  <c r="A5761" i="1"/>
  <c r="F5760" i="1"/>
  <c r="E5760" i="1"/>
  <c r="D5760" i="1"/>
  <c r="C5760" i="1"/>
  <c r="B5760" i="1"/>
  <c r="A5760" i="1"/>
  <c r="F5759" i="1"/>
  <c r="E5759" i="1"/>
  <c r="D5759" i="1"/>
  <c r="C5759" i="1"/>
  <c r="B5759" i="1"/>
  <c r="A5759" i="1"/>
  <c r="F5758" i="1"/>
  <c r="E5758" i="1"/>
  <c r="D5758" i="1"/>
  <c r="C5758" i="1"/>
  <c r="B5758" i="1"/>
  <c r="A5758" i="1"/>
  <c r="F5757" i="1"/>
  <c r="E5757" i="1"/>
  <c r="D5757" i="1"/>
  <c r="C5757" i="1"/>
  <c r="B5757" i="1"/>
  <c r="A5757" i="1"/>
  <c r="F5756" i="1"/>
  <c r="E5756" i="1"/>
  <c r="D5756" i="1"/>
  <c r="C5756" i="1"/>
  <c r="B5756" i="1"/>
  <c r="A5756" i="1"/>
  <c r="F5755" i="1"/>
  <c r="E5755" i="1"/>
  <c r="D5755" i="1"/>
  <c r="C5755" i="1"/>
  <c r="B5755" i="1"/>
  <c r="A5755" i="1"/>
  <c r="F5754" i="1"/>
  <c r="E5754" i="1"/>
  <c r="D5754" i="1"/>
  <c r="C5754" i="1"/>
  <c r="B5754" i="1"/>
  <c r="A5754" i="1"/>
  <c r="F5753" i="1"/>
  <c r="E5753" i="1"/>
  <c r="D5753" i="1"/>
  <c r="C5753" i="1"/>
  <c r="B5753" i="1"/>
  <c r="A5753" i="1"/>
  <c r="F5752" i="1"/>
  <c r="E5752" i="1"/>
  <c r="D5752" i="1"/>
  <c r="C5752" i="1"/>
  <c r="B5752" i="1"/>
  <c r="A5752" i="1"/>
  <c r="F5751" i="1"/>
  <c r="E5751" i="1"/>
  <c r="D5751" i="1"/>
  <c r="C5751" i="1"/>
  <c r="B5751" i="1"/>
  <c r="A5751" i="1"/>
  <c r="F5750" i="1"/>
  <c r="E5750" i="1"/>
  <c r="D5750" i="1"/>
  <c r="C5750" i="1"/>
  <c r="B5750" i="1"/>
  <c r="A5750" i="1"/>
  <c r="F5749" i="1"/>
  <c r="E5749" i="1"/>
  <c r="D5749" i="1"/>
  <c r="C5749" i="1"/>
  <c r="B5749" i="1"/>
  <c r="A5749" i="1"/>
  <c r="F5748" i="1"/>
  <c r="E5748" i="1"/>
  <c r="D5748" i="1"/>
  <c r="C5748" i="1"/>
  <c r="B5748" i="1"/>
  <c r="A5748" i="1"/>
  <c r="F5747" i="1"/>
  <c r="E5747" i="1"/>
  <c r="D5747" i="1"/>
  <c r="C5747" i="1"/>
  <c r="B5747" i="1"/>
  <c r="A5747" i="1"/>
  <c r="F5746" i="1"/>
  <c r="E5746" i="1"/>
  <c r="D5746" i="1"/>
  <c r="C5746" i="1"/>
  <c r="B5746" i="1"/>
  <c r="A5746" i="1"/>
  <c r="F5745" i="1"/>
  <c r="E5745" i="1"/>
  <c r="D5745" i="1"/>
  <c r="C5745" i="1"/>
  <c r="B5745" i="1"/>
  <c r="A5745" i="1"/>
  <c r="F5744" i="1"/>
  <c r="E5744" i="1"/>
  <c r="D5744" i="1"/>
  <c r="C5744" i="1"/>
  <c r="B5744" i="1"/>
  <c r="A5744" i="1"/>
  <c r="F5743" i="1"/>
  <c r="E5743" i="1"/>
  <c r="D5743" i="1"/>
  <c r="C5743" i="1"/>
  <c r="B5743" i="1"/>
  <c r="A5743" i="1"/>
  <c r="F5742" i="1"/>
  <c r="E5742" i="1"/>
  <c r="D5742" i="1"/>
  <c r="C5742" i="1"/>
  <c r="B5742" i="1"/>
  <c r="A5742" i="1"/>
  <c r="F5741" i="1"/>
  <c r="E5741" i="1"/>
  <c r="D5741" i="1"/>
  <c r="C5741" i="1"/>
  <c r="B5741" i="1"/>
  <c r="A5741" i="1"/>
  <c r="F5740" i="1"/>
  <c r="E5740" i="1"/>
  <c r="D5740" i="1"/>
  <c r="C5740" i="1"/>
  <c r="B5740" i="1"/>
  <c r="A5740" i="1"/>
  <c r="F5739" i="1"/>
  <c r="E5739" i="1"/>
  <c r="D5739" i="1"/>
  <c r="C5739" i="1"/>
  <c r="B5739" i="1"/>
  <c r="A5739" i="1"/>
  <c r="F5738" i="1"/>
  <c r="E5738" i="1"/>
  <c r="D5738" i="1"/>
  <c r="C5738" i="1"/>
  <c r="B5738" i="1"/>
  <c r="A5738" i="1"/>
  <c r="F5737" i="1"/>
  <c r="E5737" i="1"/>
  <c r="D5737" i="1"/>
  <c r="C5737" i="1"/>
  <c r="B5737" i="1"/>
  <c r="A5737" i="1"/>
  <c r="F5736" i="1"/>
  <c r="E5736" i="1"/>
  <c r="D5736" i="1"/>
  <c r="C5736" i="1"/>
  <c r="B5736" i="1"/>
  <c r="A5736" i="1"/>
  <c r="F5735" i="1"/>
  <c r="E5735" i="1"/>
  <c r="D5735" i="1"/>
  <c r="C5735" i="1"/>
  <c r="B5735" i="1"/>
  <c r="A5735" i="1"/>
  <c r="F5734" i="1"/>
  <c r="E5734" i="1"/>
  <c r="D5734" i="1"/>
  <c r="C5734" i="1"/>
  <c r="B5734" i="1"/>
  <c r="A5734" i="1"/>
  <c r="F5733" i="1"/>
  <c r="E5733" i="1"/>
  <c r="D5733" i="1"/>
  <c r="C5733" i="1"/>
  <c r="B5733" i="1"/>
  <c r="A5733" i="1"/>
  <c r="F5732" i="1"/>
  <c r="E5732" i="1"/>
  <c r="D5732" i="1"/>
  <c r="C5732" i="1"/>
  <c r="B5732" i="1"/>
  <c r="A5732" i="1"/>
  <c r="F5731" i="1"/>
  <c r="E5731" i="1"/>
  <c r="D5731" i="1"/>
  <c r="C5731" i="1"/>
  <c r="B5731" i="1"/>
  <c r="A5731" i="1"/>
  <c r="F5730" i="1"/>
  <c r="E5730" i="1"/>
  <c r="D5730" i="1"/>
  <c r="C5730" i="1"/>
  <c r="B5730" i="1"/>
  <c r="A5730" i="1"/>
  <c r="F5729" i="1"/>
  <c r="E5729" i="1"/>
  <c r="D5729" i="1"/>
  <c r="C5729" i="1"/>
  <c r="B5729" i="1"/>
  <c r="A5729" i="1"/>
  <c r="F5728" i="1"/>
  <c r="E5728" i="1"/>
  <c r="D5728" i="1"/>
  <c r="C5728" i="1"/>
  <c r="B5728" i="1"/>
  <c r="A5728" i="1"/>
  <c r="F5727" i="1"/>
  <c r="E5727" i="1"/>
  <c r="D5727" i="1"/>
  <c r="C5727" i="1"/>
  <c r="B5727" i="1"/>
  <c r="A5727" i="1"/>
  <c r="F5726" i="1"/>
  <c r="E5726" i="1"/>
  <c r="D5726" i="1"/>
  <c r="C5726" i="1"/>
  <c r="B5726" i="1"/>
  <c r="A5726" i="1"/>
  <c r="F5725" i="1"/>
  <c r="E5725" i="1"/>
  <c r="D5725" i="1"/>
  <c r="C5725" i="1"/>
  <c r="B5725" i="1"/>
  <c r="A5725" i="1"/>
  <c r="F5724" i="1"/>
  <c r="E5724" i="1"/>
  <c r="D5724" i="1"/>
  <c r="C5724" i="1"/>
  <c r="B5724" i="1"/>
  <c r="A5724" i="1"/>
  <c r="F5723" i="1"/>
  <c r="E5723" i="1"/>
  <c r="D5723" i="1"/>
  <c r="C5723" i="1"/>
  <c r="B5723" i="1"/>
  <c r="A5723" i="1"/>
  <c r="F5722" i="1"/>
  <c r="E5722" i="1"/>
  <c r="D5722" i="1"/>
  <c r="C5722" i="1"/>
  <c r="B5722" i="1"/>
  <c r="A5722" i="1"/>
  <c r="F5721" i="1"/>
  <c r="E5721" i="1"/>
  <c r="D5721" i="1"/>
  <c r="C5721" i="1"/>
  <c r="B5721" i="1"/>
  <c r="A5721" i="1"/>
  <c r="F5720" i="1"/>
  <c r="E5720" i="1"/>
  <c r="D5720" i="1"/>
  <c r="C5720" i="1"/>
  <c r="B5720" i="1"/>
  <c r="A5720" i="1"/>
  <c r="F5719" i="1"/>
  <c r="E5719" i="1"/>
  <c r="D5719" i="1"/>
  <c r="C5719" i="1"/>
  <c r="B5719" i="1"/>
  <c r="A5719" i="1"/>
  <c r="F5718" i="1"/>
  <c r="E5718" i="1"/>
  <c r="D5718" i="1"/>
  <c r="C5718" i="1"/>
  <c r="B5718" i="1"/>
  <c r="A5718" i="1"/>
  <c r="F5717" i="1"/>
  <c r="E5717" i="1"/>
  <c r="D5717" i="1"/>
  <c r="C5717" i="1"/>
  <c r="B5717" i="1"/>
  <c r="A5717" i="1"/>
  <c r="F5716" i="1"/>
  <c r="E5716" i="1"/>
  <c r="D5716" i="1"/>
  <c r="C5716" i="1"/>
  <c r="B5716" i="1"/>
  <c r="A5716" i="1"/>
  <c r="F5715" i="1"/>
  <c r="E5715" i="1"/>
  <c r="D5715" i="1"/>
  <c r="C5715" i="1"/>
  <c r="B5715" i="1"/>
  <c r="A5715" i="1"/>
  <c r="F5714" i="1"/>
  <c r="E5714" i="1"/>
  <c r="D5714" i="1"/>
  <c r="C5714" i="1"/>
  <c r="B5714" i="1"/>
  <c r="A5714" i="1"/>
  <c r="F5713" i="1"/>
  <c r="E5713" i="1"/>
  <c r="D5713" i="1"/>
  <c r="C5713" i="1"/>
  <c r="B5713" i="1"/>
  <c r="A5713" i="1"/>
  <c r="F5712" i="1"/>
  <c r="E5712" i="1"/>
  <c r="D5712" i="1"/>
  <c r="C5712" i="1"/>
  <c r="B5712" i="1"/>
  <c r="A5712" i="1"/>
  <c r="F5711" i="1"/>
  <c r="E5711" i="1"/>
  <c r="D5711" i="1"/>
  <c r="C5711" i="1"/>
  <c r="B5711" i="1"/>
  <c r="A5711" i="1"/>
  <c r="F5710" i="1"/>
  <c r="E5710" i="1"/>
  <c r="D5710" i="1"/>
  <c r="C5710" i="1"/>
  <c r="B5710" i="1"/>
  <c r="A5710" i="1"/>
  <c r="F5709" i="1"/>
  <c r="E5709" i="1"/>
  <c r="D5709" i="1"/>
  <c r="C5709" i="1"/>
  <c r="B5709" i="1"/>
  <c r="A5709" i="1"/>
  <c r="F5708" i="1"/>
  <c r="E5708" i="1"/>
  <c r="D5708" i="1"/>
  <c r="C5708" i="1"/>
  <c r="B5708" i="1"/>
  <c r="A5708" i="1"/>
  <c r="F5707" i="1"/>
  <c r="E5707" i="1"/>
  <c r="D5707" i="1"/>
  <c r="C5707" i="1"/>
  <c r="B5707" i="1"/>
  <c r="A5707" i="1"/>
  <c r="F5706" i="1"/>
  <c r="E5706" i="1"/>
  <c r="D5706" i="1"/>
  <c r="C5706" i="1"/>
  <c r="B5706" i="1"/>
  <c r="A5706" i="1"/>
  <c r="F5705" i="1"/>
  <c r="E5705" i="1"/>
  <c r="D5705" i="1"/>
  <c r="C5705" i="1"/>
  <c r="B5705" i="1"/>
  <c r="A5705" i="1"/>
  <c r="F5704" i="1"/>
  <c r="E5704" i="1"/>
  <c r="D5704" i="1"/>
  <c r="C5704" i="1"/>
  <c r="B5704" i="1"/>
  <c r="A5704" i="1"/>
  <c r="F5703" i="1"/>
  <c r="E5703" i="1"/>
  <c r="D5703" i="1"/>
  <c r="C5703" i="1"/>
  <c r="B5703" i="1"/>
  <c r="A5703" i="1"/>
  <c r="F5702" i="1"/>
  <c r="E5702" i="1"/>
  <c r="D5702" i="1"/>
  <c r="C5702" i="1"/>
  <c r="B5702" i="1"/>
  <c r="A5702" i="1"/>
  <c r="F5701" i="1"/>
  <c r="E5701" i="1"/>
  <c r="D5701" i="1"/>
  <c r="C5701" i="1"/>
  <c r="B5701" i="1"/>
  <c r="A5701" i="1"/>
  <c r="F5700" i="1"/>
  <c r="E5700" i="1"/>
  <c r="D5700" i="1"/>
  <c r="C5700" i="1"/>
  <c r="B5700" i="1"/>
  <c r="A5700" i="1"/>
  <c r="F5699" i="1"/>
  <c r="E5699" i="1"/>
  <c r="D5699" i="1"/>
  <c r="C5699" i="1"/>
  <c r="B5699" i="1"/>
  <c r="A5699" i="1"/>
  <c r="F5698" i="1"/>
  <c r="E5698" i="1"/>
  <c r="D5698" i="1"/>
  <c r="C5698" i="1"/>
  <c r="B5698" i="1"/>
  <c r="A5698" i="1"/>
  <c r="F5697" i="1"/>
  <c r="E5697" i="1"/>
  <c r="D5697" i="1"/>
  <c r="C5697" i="1"/>
  <c r="B5697" i="1"/>
  <c r="A5697" i="1"/>
  <c r="F5696" i="1"/>
  <c r="E5696" i="1"/>
  <c r="D5696" i="1"/>
  <c r="C5696" i="1"/>
  <c r="B5696" i="1"/>
  <c r="A5696" i="1"/>
  <c r="F5695" i="1"/>
  <c r="E5695" i="1"/>
  <c r="D5695" i="1"/>
  <c r="C5695" i="1"/>
  <c r="B5695" i="1"/>
  <c r="A5695" i="1"/>
  <c r="F5694" i="1"/>
  <c r="E5694" i="1"/>
  <c r="D5694" i="1"/>
  <c r="C5694" i="1"/>
  <c r="B5694" i="1"/>
  <c r="A5694" i="1"/>
  <c r="F5693" i="1"/>
  <c r="E5693" i="1"/>
  <c r="D5693" i="1"/>
  <c r="C5693" i="1"/>
  <c r="B5693" i="1"/>
  <c r="A5693" i="1"/>
  <c r="F5692" i="1"/>
  <c r="E5692" i="1"/>
  <c r="D5692" i="1"/>
  <c r="C5692" i="1"/>
  <c r="B5692" i="1"/>
  <c r="A5692" i="1"/>
  <c r="F5691" i="1"/>
  <c r="E5691" i="1"/>
  <c r="D5691" i="1"/>
  <c r="C5691" i="1"/>
  <c r="B5691" i="1"/>
  <c r="A5691" i="1"/>
  <c r="F5690" i="1"/>
  <c r="E5690" i="1"/>
  <c r="D5690" i="1"/>
  <c r="C5690" i="1"/>
  <c r="B5690" i="1"/>
  <c r="A5690" i="1"/>
  <c r="F5689" i="1"/>
  <c r="E5689" i="1"/>
  <c r="D5689" i="1"/>
  <c r="C5689" i="1"/>
  <c r="B5689" i="1"/>
  <c r="A5689" i="1"/>
  <c r="F5688" i="1"/>
  <c r="E5688" i="1"/>
  <c r="D5688" i="1"/>
  <c r="C5688" i="1"/>
  <c r="B5688" i="1"/>
  <c r="A5688" i="1"/>
  <c r="F5687" i="1"/>
  <c r="E5687" i="1"/>
  <c r="D5687" i="1"/>
  <c r="C5687" i="1"/>
  <c r="B5687" i="1"/>
  <c r="A5687" i="1"/>
  <c r="F5686" i="1"/>
  <c r="E5686" i="1"/>
  <c r="D5686" i="1"/>
  <c r="C5686" i="1"/>
  <c r="B5686" i="1"/>
  <c r="A5686" i="1"/>
  <c r="F5685" i="1"/>
  <c r="E5685" i="1"/>
  <c r="D5685" i="1"/>
  <c r="C5685" i="1"/>
  <c r="B5685" i="1"/>
  <c r="A5685" i="1"/>
  <c r="F5684" i="1"/>
  <c r="E5684" i="1"/>
  <c r="D5684" i="1"/>
  <c r="C5684" i="1"/>
  <c r="B5684" i="1"/>
  <c r="A5684" i="1"/>
  <c r="F5683" i="1"/>
  <c r="E5683" i="1"/>
  <c r="D5683" i="1"/>
  <c r="C5683" i="1"/>
  <c r="B5683" i="1"/>
  <c r="A5683" i="1"/>
  <c r="F5682" i="1"/>
  <c r="E5682" i="1"/>
  <c r="D5682" i="1"/>
  <c r="C5682" i="1"/>
  <c r="B5682" i="1"/>
  <c r="A5682" i="1"/>
  <c r="F5681" i="1"/>
  <c r="E5681" i="1"/>
  <c r="D5681" i="1"/>
  <c r="C5681" i="1"/>
  <c r="B5681" i="1"/>
  <c r="A5681" i="1"/>
  <c r="F5680" i="1"/>
  <c r="E5680" i="1"/>
  <c r="D5680" i="1"/>
  <c r="C5680" i="1"/>
  <c r="B5680" i="1"/>
  <c r="A5680" i="1"/>
  <c r="F5679" i="1"/>
  <c r="E5679" i="1"/>
  <c r="D5679" i="1"/>
  <c r="C5679" i="1"/>
  <c r="B5679" i="1"/>
  <c r="A5679" i="1"/>
  <c r="F5678" i="1"/>
  <c r="E5678" i="1"/>
  <c r="D5678" i="1"/>
  <c r="C5678" i="1"/>
  <c r="B5678" i="1"/>
  <c r="A5678" i="1"/>
  <c r="F5677" i="1"/>
  <c r="E5677" i="1"/>
  <c r="D5677" i="1"/>
  <c r="C5677" i="1"/>
  <c r="B5677" i="1"/>
  <c r="A5677" i="1"/>
  <c r="F5676" i="1"/>
  <c r="E5676" i="1"/>
  <c r="D5676" i="1"/>
  <c r="C5676" i="1"/>
  <c r="B5676" i="1"/>
  <c r="A5676" i="1"/>
  <c r="F5675" i="1"/>
  <c r="E5675" i="1"/>
  <c r="D5675" i="1"/>
  <c r="C5675" i="1"/>
  <c r="B5675" i="1"/>
  <c r="A5675" i="1"/>
  <c r="F5674" i="1"/>
  <c r="E5674" i="1"/>
  <c r="D5674" i="1"/>
  <c r="C5674" i="1"/>
  <c r="B5674" i="1"/>
  <c r="A5674" i="1"/>
  <c r="F5673" i="1"/>
  <c r="E5673" i="1"/>
  <c r="D5673" i="1"/>
  <c r="C5673" i="1"/>
  <c r="B5673" i="1"/>
  <c r="A5673" i="1"/>
  <c r="F5672" i="1"/>
  <c r="E5672" i="1"/>
  <c r="D5672" i="1"/>
  <c r="C5672" i="1"/>
  <c r="B5672" i="1"/>
  <c r="A5672" i="1"/>
  <c r="F5671" i="1"/>
  <c r="E5671" i="1"/>
  <c r="D5671" i="1"/>
  <c r="C5671" i="1"/>
  <c r="B5671" i="1"/>
  <c r="A5671" i="1"/>
  <c r="F5670" i="1"/>
  <c r="E5670" i="1"/>
  <c r="D5670" i="1"/>
  <c r="C5670" i="1"/>
  <c r="B5670" i="1"/>
  <c r="A5670" i="1"/>
  <c r="F5669" i="1"/>
  <c r="E5669" i="1"/>
  <c r="D5669" i="1"/>
  <c r="C5669" i="1"/>
  <c r="B5669" i="1"/>
  <c r="A5669" i="1"/>
  <c r="F5668" i="1"/>
  <c r="E5668" i="1"/>
  <c r="D5668" i="1"/>
  <c r="C5668" i="1"/>
  <c r="B5668" i="1"/>
  <c r="A5668" i="1"/>
  <c r="F5667" i="1"/>
  <c r="E5667" i="1"/>
  <c r="D5667" i="1"/>
  <c r="C5667" i="1"/>
  <c r="B5667" i="1"/>
  <c r="A5667" i="1"/>
  <c r="F5666" i="1"/>
  <c r="E5666" i="1"/>
  <c r="D5666" i="1"/>
  <c r="C5666" i="1"/>
  <c r="B5666" i="1"/>
  <c r="A5666" i="1"/>
  <c r="F5665" i="1"/>
  <c r="E5665" i="1"/>
  <c r="D5665" i="1"/>
  <c r="C5665" i="1"/>
  <c r="B5665" i="1"/>
  <c r="A5665" i="1"/>
  <c r="F5664" i="1"/>
  <c r="E5664" i="1"/>
  <c r="D5664" i="1"/>
  <c r="C5664" i="1"/>
  <c r="B5664" i="1"/>
  <c r="A5664" i="1"/>
  <c r="F5663" i="1"/>
  <c r="E5663" i="1"/>
  <c r="D5663" i="1"/>
  <c r="C5663" i="1"/>
  <c r="B5663" i="1"/>
  <c r="A5663" i="1"/>
  <c r="F5662" i="1"/>
  <c r="E5662" i="1"/>
  <c r="D5662" i="1"/>
  <c r="C5662" i="1"/>
  <c r="B5662" i="1"/>
  <c r="A5662" i="1"/>
  <c r="F5661" i="1"/>
  <c r="E5661" i="1"/>
  <c r="D5661" i="1"/>
  <c r="C5661" i="1"/>
  <c r="B5661" i="1"/>
  <c r="A5661" i="1"/>
  <c r="F5660" i="1"/>
  <c r="E5660" i="1"/>
  <c r="D5660" i="1"/>
  <c r="C5660" i="1"/>
  <c r="B5660" i="1"/>
  <c r="A5660" i="1"/>
  <c r="F5659" i="1"/>
  <c r="E5659" i="1"/>
  <c r="D5659" i="1"/>
  <c r="C5659" i="1"/>
  <c r="B5659" i="1"/>
  <c r="A5659" i="1"/>
  <c r="F5658" i="1"/>
  <c r="E5658" i="1"/>
  <c r="D5658" i="1"/>
  <c r="C5658" i="1"/>
  <c r="B5658" i="1"/>
  <c r="A5658" i="1"/>
  <c r="F5657" i="1"/>
  <c r="E5657" i="1"/>
  <c r="D5657" i="1"/>
  <c r="C5657" i="1"/>
  <c r="B5657" i="1"/>
  <c r="A5657" i="1"/>
  <c r="F5656" i="1"/>
  <c r="E5656" i="1"/>
  <c r="D5656" i="1"/>
  <c r="C5656" i="1"/>
  <c r="B5656" i="1"/>
  <c r="A5656" i="1"/>
  <c r="F5655" i="1"/>
  <c r="E5655" i="1"/>
  <c r="D5655" i="1"/>
  <c r="C5655" i="1"/>
  <c r="B5655" i="1"/>
  <c r="A5655" i="1"/>
  <c r="F5654" i="1"/>
  <c r="E5654" i="1"/>
  <c r="D5654" i="1"/>
  <c r="C5654" i="1"/>
  <c r="B5654" i="1"/>
  <c r="A5654" i="1"/>
  <c r="F5653" i="1"/>
  <c r="E5653" i="1"/>
  <c r="D5653" i="1"/>
  <c r="C5653" i="1"/>
  <c r="B5653" i="1"/>
  <c r="A5653" i="1"/>
  <c r="F5652" i="1"/>
  <c r="E5652" i="1"/>
  <c r="D5652" i="1"/>
  <c r="C5652" i="1"/>
  <c r="B5652" i="1"/>
  <c r="A5652" i="1"/>
  <c r="F5651" i="1"/>
  <c r="E5651" i="1"/>
  <c r="D5651" i="1"/>
  <c r="C5651" i="1"/>
  <c r="B5651" i="1"/>
  <c r="A5651" i="1"/>
  <c r="F5650" i="1"/>
  <c r="E5650" i="1"/>
  <c r="D5650" i="1"/>
  <c r="C5650" i="1"/>
  <c r="B5650" i="1"/>
  <c r="A5650" i="1"/>
  <c r="F5649" i="1"/>
  <c r="E5649" i="1"/>
  <c r="D5649" i="1"/>
  <c r="C5649" i="1"/>
  <c r="B5649" i="1"/>
  <c r="A5649" i="1"/>
  <c r="F5648" i="1"/>
  <c r="E5648" i="1"/>
  <c r="D5648" i="1"/>
  <c r="C5648" i="1"/>
  <c r="B5648" i="1"/>
  <c r="A5648" i="1"/>
  <c r="F5647" i="1"/>
  <c r="E5647" i="1"/>
  <c r="D5647" i="1"/>
  <c r="C5647" i="1"/>
  <c r="B5647" i="1"/>
  <c r="A5647" i="1"/>
  <c r="F5646" i="1"/>
  <c r="E5646" i="1"/>
  <c r="D5646" i="1"/>
  <c r="C5646" i="1"/>
  <c r="B5646" i="1"/>
  <c r="A5646" i="1"/>
  <c r="F5645" i="1"/>
  <c r="E5645" i="1"/>
  <c r="D5645" i="1"/>
  <c r="C5645" i="1"/>
  <c r="B5645" i="1"/>
  <c r="A5645" i="1"/>
  <c r="F5644" i="1"/>
  <c r="E5644" i="1"/>
  <c r="D5644" i="1"/>
  <c r="C5644" i="1"/>
  <c r="B5644" i="1"/>
  <c r="A5644" i="1"/>
  <c r="F5643" i="1"/>
  <c r="E5643" i="1"/>
  <c r="D5643" i="1"/>
  <c r="C5643" i="1"/>
  <c r="B5643" i="1"/>
  <c r="A5643" i="1"/>
  <c r="F5642" i="1"/>
  <c r="E5642" i="1"/>
  <c r="D5642" i="1"/>
  <c r="C5642" i="1"/>
  <c r="B5642" i="1"/>
  <c r="A5642" i="1"/>
  <c r="F5641" i="1"/>
  <c r="E5641" i="1"/>
  <c r="D5641" i="1"/>
  <c r="C5641" i="1"/>
  <c r="B5641" i="1"/>
  <c r="A5641" i="1"/>
  <c r="F5640" i="1"/>
  <c r="E5640" i="1"/>
  <c r="D5640" i="1"/>
  <c r="C5640" i="1"/>
  <c r="B5640" i="1"/>
  <c r="A5640" i="1"/>
  <c r="F5639" i="1"/>
  <c r="E5639" i="1"/>
  <c r="D5639" i="1"/>
  <c r="C5639" i="1"/>
  <c r="B5639" i="1"/>
  <c r="A5639" i="1"/>
  <c r="F5638" i="1"/>
  <c r="E5638" i="1"/>
  <c r="D5638" i="1"/>
  <c r="C5638" i="1"/>
  <c r="B5638" i="1"/>
  <c r="A5638" i="1"/>
  <c r="F5637" i="1"/>
  <c r="E5637" i="1"/>
  <c r="D5637" i="1"/>
  <c r="C5637" i="1"/>
  <c r="B5637" i="1"/>
  <c r="A5637" i="1"/>
  <c r="F5636" i="1"/>
  <c r="E5636" i="1"/>
  <c r="D5636" i="1"/>
  <c r="C5636" i="1"/>
  <c r="B5636" i="1"/>
  <c r="A5636" i="1"/>
  <c r="F5635" i="1"/>
  <c r="E5635" i="1"/>
  <c r="D5635" i="1"/>
  <c r="C5635" i="1"/>
  <c r="B5635" i="1"/>
  <c r="A5635" i="1"/>
  <c r="F5634" i="1"/>
  <c r="E5634" i="1"/>
  <c r="D5634" i="1"/>
  <c r="C5634" i="1"/>
  <c r="B5634" i="1"/>
  <c r="A5634" i="1"/>
  <c r="F5633" i="1"/>
  <c r="E5633" i="1"/>
  <c r="D5633" i="1"/>
  <c r="C5633" i="1"/>
  <c r="B5633" i="1"/>
  <c r="A5633" i="1"/>
  <c r="F5632" i="1"/>
  <c r="E5632" i="1"/>
  <c r="D5632" i="1"/>
  <c r="C5632" i="1"/>
  <c r="B5632" i="1"/>
  <c r="A5632" i="1"/>
  <c r="F5631" i="1"/>
  <c r="E5631" i="1"/>
  <c r="D5631" i="1"/>
  <c r="C5631" i="1"/>
  <c r="B5631" i="1"/>
  <c r="A5631" i="1"/>
  <c r="F5630" i="1"/>
  <c r="E5630" i="1"/>
  <c r="D5630" i="1"/>
  <c r="C5630" i="1"/>
  <c r="B5630" i="1"/>
  <c r="A5630" i="1"/>
  <c r="F5629" i="1"/>
  <c r="E5629" i="1"/>
  <c r="D5629" i="1"/>
  <c r="C5629" i="1"/>
  <c r="B5629" i="1"/>
  <c r="A5629" i="1"/>
  <c r="F5628" i="1"/>
  <c r="E5628" i="1"/>
  <c r="D5628" i="1"/>
  <c r="C5628" i="1"/>
  <c r="B5628" i="1"/>
  <c r="A5628" i="1"/>
  <c r="F5627" i="1"/>
  <c r="E5627" i="1"/>
  <c r="D5627" i="1"/>
  <c r="C5627" i="1"/>
  <c r="B5627" i="1"/>
  <c r="A5627" i="1"/>
  <c r="F5626" i="1"/>
  <c r="E5626" i="1"/>
  <c r="D5626" i="1"/>
  <c r="C5626" i="1"/>
  <c r="B5626" i="1"/>
  <c r="A5626" i="1"/>
  <c r="F5625" i="1"/>
  <c r="E5625" i="1"/>
  <c r="D5625" i="1"/>
  <c r="C5625" i="1"/>
  <c r="B5625" i="1"/>
  <c r="A5625" i="1"/>
  <c r="F5624" i="1"/>
  <c r="E5624" i="1"/>
  <c r="D5624" i="1"/>
  <c r="C5624" i="1"/>
  <c r="B5624" i="1"/>
  <c r="A5624" i="1"/>
  <c r="F5623" i="1"/>
  <c r="E5623" i="1"/>
  <c r="D5623" i="1"/>
  <c r="C5623" i="1"/>
  <c r="B5623" i="1"/>
  <c r="A5623" i="1"/>
  <c r="F5622" i="1"/>
  <c r="E5622" i="1"/>
  <c r="D5622" i="1"/>
  <c r="C5622" i="1"/>
  <c r="B5622" i="1"/>
  <c r="A5622" i="1"/>
  <c r="F5621" i="1"/>
  <c r="E5621" i="1"/>
  <c r="D5621" i="1"/>
  <c r="C5621" i="1"/>
  <c r="B5621" i="1"/>
  <c r="A5621" i="1"/>
  <c r="F5620" i="1"/>
  <c r="E5620" i="1"/>
  <c r="D5620" i="1"/>
  <c r="C5620" i="1"/>
  <c r="B5620" i="1"/>
  <c r="A5620" i="1"/>
  <c r="F5619" i="1"/>
  <c r="E5619" i="1"/>
  <c r="D5619" i="1"/>
  <c r="C5619" i="1"/>
  <c r="B5619" i="1"/>
  <c r="A5619" i="1"/>
  <c r="F5618" i="1"/>
  <c r="E5618" i="1"/>
  <c r="D5618" i="1"/>
  <c r="C5618" i="1"/>
  <c r="B5618" i="1"/>
  <c r="A5618" i="1"/>
  <c r="F5617" i="1"/>
  <c r="E5617" i="1"/>
  <c r="D5617" i="1"/>
  <c r="C5617" i="1"/>
  <c r="B5617" i="1"/>
  <c r="A5617" i="1"/>
  <c r="F5616" i="1"/>
  <c r="E5616" i="1"/>
  <c r="D5616" i="1"/>
  <c r="C5616" i="1"/>
  <c r="B5616" i="1"/>
  <c r="A5616" i="1"/>
  <c r="F5615" i="1"/>
  <c r="E5615" i="1"/>
  <c r="D5615" i="1"/>
  <c r="C5615" i="1"/>
  <c r="B5615" i="1"/>
  <c r="A5615" i="1"/>
  <c r="F5614" i="1"/>
  <c r="E5614" i="1"/>
  <c r="D5614" i="1"/>
  <c r="C5614" i="1"/>
  <c r="B5614" i="1"/>
  <c r="A5614" i="1"/>
  <c r="F5613" i="1"/>
  <c r="E5613" i="1"/>
  <c r="D5613" i="1"/>
  <c r="C5613" i="1"/>
  <c r="B5613" i="1"/>
  <c r="A5613" i="1"/>
  <c r="F5612" i="1"/>
  <c r="E5612" i="1"/>
  <c r="D5612" i="1"/>
  <c r="C5612" i="1"/>
  <c r="B5612" i="1"/>
  <c r="A5612" i="1"/>
  <c r="F5611" i="1"/>
  <c r="E5611" i="1"/>
  <c r="D5611" i="1"/>
  <c r="C5611" i="1"/>
  <c r="B5611" i="1"/>
  <c r="A5611" i="1"/>
  <c r="F5610" i="1"/>
  <c r="E5610" i="1"/>
  <c r="D5610" i="1"/>
  <c r="C5610" i="1"/>
  <c r="B5610" i="1"/>
  <c r="A5610" i="1"/>
  <c r="F5609" i="1"/>
  <c r="E5609" i="1"/>
  <c r="D5609" i="1"/>
  <c r="C5609" i="1"/>
  <c r="B5609" i="1"/>
  <c r="A5609" i="1"/>
  <c r="F5608" i="1"/>
  <c r="E5608" i="1"/>
  <c r="D5608" i="1"/>
  <c r="C5608" i="1"/>
  <c r="B5608" i="1"/>
  <c r="A5608" i="1"/>
  <c r="F5607" i="1"/>
  <c r="E5607" i="1"/>
  <c r="D5607" i="1"/>
  <c r="C5607" i="1"/>
  <c r="B5607" i="1"/>
  <c r="A5607" i="1"/>
  <c r="F5606" i="1"/>
  <c r="E5606" i="1"/>
  <c r="D5606" i="1"/>
  <c r="C5606" i="1"/>
  <c r="B5606" i="1"/>
  <c r="A5606" i="1"/>
  <c r="F5605" i="1"/>
  <c r="E5605" i="1"/>
  <c r="D5605" i="1"/>
  <c r="C5605" i="1"/>
  <c r="B5605" i="1"/>
  <c r="A5605" i="1"/>
  <c r="F5604" i="1"/>
  <c r="E5604" i="1"/>
  <c r="D5604" i="1"/>
  <c r="C5604" i="1"/>
  <c r="B5604" i="1"/>
  <c r="A5604" i="1"/>
  <c r="F5603" i="1"/>
  <c r="E5603" i="1"/>
  <c r="D5603" i="1"/>
  <c r="C5603" i="1"/>
  <c r="B5603" i="1"/>
  <c r="A5603" i="1"/>
  <c r="F5602" i="1"/>
  <c r="E5602" i="1"/>
  <c r="D5602" i="1"/>
  <c r="C5602" i="1"/>
  <c r="B5602" i="1"/>
  <c r="A5602" i="1"/>
  <c r="F5601" i="1"/>
  <c r="E5601" i="1"/>
  <c r="D5601" i="1"/>
  <c r="C5601" i="1"/>
  <c r="B5601" i="1"/>
  <c r="A5601" i="1"/>
  <c r="F5600" i="1"/>
  <c r="E5600" i="1"/>
  <c r="D5600" i="1"/>
  <c r="C5600" i="1"/>
  <c r="B5600" i="1"/>
  <c r="A5600" i="1"/>
  <c r="F5599" i="1"/>
  <c r="E5599" i="1"/>
  <c r="D5599" i="1"/>
  <c r="C5599" i="1"/>
  <c r="B5599" i="1"/>
  <c r="A5599" i="1"/>
  <c r="F5598" i="1"/>
  <c r="E5598" i="1"/>
  <c r="D5598" i="1"/>
  <c r="C5598" i="1"/>
  <c r="B5598" i="1"/>
  <c r="A5598" i="1"/>
  <c r="F5597" i="1"/>
  <c r="E5597" i="1"/>
  <c r="D5597" i="1"/>
  <c r="C5597" i="1"/>
  <c r="B5597" i="1"/>
  <c r="A5597" i="1"/>
  <c r="F5596" i="1"/>
  <c r="E5596" i="1"/>
  <c r="D5596" i="1"/>
  <c r="C5596" i="1"/>
  <c r="B5596" i="1"/>
  <c r="A5596" i="1"/>
  <c r="F5595" i="1"/>
  <c r="E5595" i="1"/>
  <c r="D5595" i="1"/>
  <c r="C5595" i="1"/>
  <c r="B5595" i="1"/>
  <c r="A5595" i="1"/>
  <c r="F5594" i="1"/>
  <c r="E5594" i="1"/>
  <c r="D5594" i="1"/>
  <c r="C5594" i="1"/>
  <c r="B5594" i="1"/>
  <c r="A5594" i="1"/>
  <c r="F5593" i="1"/>
  <c r="E5593" i="1"/>
  <c r="D5593" i="1"/>
  <c r="C5593" i="1"/>
  <c r="B5593" i="1"/>
  <c r="A5593" i="1"/>
  <c r="F5592" i="1"/>
  <c r="E5592" i="1"/>
  <c r="D5592" i="1"/>
  <c r="C5592" i="1"/>
  <c r="B5592" i="1"/>
  <c r="A5592" i="1"/>
  <c r="F5591" i="1"/>
  <c r="E5591" i="1"/>
  <c r="D5591" i="1"/>
  <c r="C5591" i="1"/>
  <c r="B5591" i="1"/>
  <c r="A5591" i="1"/>
  <c r="F5590" i="1"/>
  <c r="E5590" i="1"/>
  <c r="D5590" i="1"/>
  <c r="C5590" i="1"/>
  <c r="B5590" i="1"/>
  <c r="A5590" i="1"/>
  <c r="F5589" i="1"/>
  <c r="E5589" i="1"/>
  <c r="D5589" i="1"/>
  <c r="C5589" i="1"/>
  <c r="B5589" i="1"/>
  <c r="A5589" i="1"/>
  <c r="F5588" i="1"/>
  <c r="E5588" i="1"/>
  <c r="D5588" i="1"/>
  <c r="C5588" i="1"/>
  <c r="B5588" i="1"/>
  <c r="A5588" i="1"/>
  <c r="F5587" i="1"/>
  <c r="E5587" i="1"/>
  <c r="D5587" i="1"/>
  <c r="C5587" i="1"/>
  <c r="B5587" i="1"/>
  <c r="A5587" i="1"/>
  <c r="F5586" i="1"/>
  <c r="E5586" i="1"/>
  <c r="D5586" i="1"/>
  <c r="C5586" i="1"/>
  <c r="B5586" i="1"/>
  <c r="A5586" i="1"/>
  <c r="F5585" i="1"/>
  <c r="E5585" i="1"/>
  <c r="D5585" i="1"/>
  <c r="C5585" i="1"/>
  <c r="B5585" i="1"/>
  <c r="A5585" i="1"/>
  <c r="F5584" i="1"/>
  <c r="E5584" i="1"/>
  <c r="D5584" i="1"/>
  <c r="C5584" i="1"/>
  <c r="B5584" i="1"/>
  <c r="A5584" i="1"/>
  <c r="F5583" i="1"/>
  <c r="E5583" i="1"/>
  <c r="D5583" i="1"/>
  <c r="C5583" i="1"/>
  <c r="B5583" i="1"/>
  <c r="A5583" i="1"/>
  <c r="F5582" i="1"/>
  <c r="E5582" i="1"/>
  <c r="D5582" i="1"/>
  <c r="C5582" i="1"/>
  <c r="B5582" i="1"/>
  <c r="A5582" i="1"/>
  <c r="F5581" i="1"/>
  <c r="E5581" i="1"/>
  <c r="D5581" i="1"/>
  <c r="C5581" i="1"/>
  <c r="B5581" i="1"/>
  <c r="A5581" i="1"/>
  <c r="F5580" i="1"/>
  <c r="E5580" i="1"/>
  <c r="D5580" i="1"/>
  <c r="C5580" i="1"/>
  <c r="B5580" i="1"/>
  <c r="A5580" i="1"/>
  <c r="F5579" i="1"/>
  <c r="E5579" i="1"/>
  <c r="D5579" i="1"/>
  <c r="C5579" i="1"/>
  <c r="B5579" i="1"/>
  <c r="A5579" i="1"/>
  <c r="F5578" i="1"/>
  <c r="E5578" i="1"/>
  <c r="D5578" i="1"/>
  <c r="C5578" i="1"/>
  <c r="B5578" i="1"/>
  <c r="A5578" i="1"/>
  <c r="F5577" i="1"/>
  <c r="E5577" i="1"/>
  <c r="D5577" i="1"/>
  <c r="C5577" i="1"/>
  <c r="B5577" i="1"/>
  <c r="A5577" i="1"/>
  <c r="F5576" i="1"/>
  <c r="E5576" i="1"/>
  <c r="D5576" i="1"/>
  <c r="C5576" i="1"/>
  <c r="B5576" i="1"/>
  <c r="A5576" i="1"/>
  <c r="F5575" i="1"/>
  <c r="E5575" i="1"/>
  <c r="D5575" i="1"/>
  <c r="C5575" i="1"/>
  <c r="B5575" i="1"/>
  <c r="A5575" i="1"/>
  <c r="F5574" i="1"/>
  <c r="E5574" i="1"/>
  <c r="D5574" i="1"/>
  <c r="C5574" i="1"/>
  <c r="B5574" i="1"/>
  <c r="A5574" i="1"/>
  <c r="F5573" i="1"/>
  <c r="E5573" i="1"/>
  <c r="D5573" i="1"/>
  <c r="C5573" i="1"/>
  <c r="B5573" i="1"/>
  <c r="A5573" i="1"/>
  <c r="F5572" i="1"/>
  <c r="E5572" i="1"/>
  <c r="D5572" i="1"/>
  <c r="C5572" i="1"/>
  <c r="B5572" i="1"/>
  <c r="A5572" i="1"/>
  <c r="F5571" i="1"/>
  <c r="E5571" i="1"/>
  <c r="D5571" i="1"/>
  <c r="C5571" i="1"/>
  <c r="B5571" i="1"/>
  <c r="A5571" i="1"/>
  <c r="F5570" i="1"/>
  <c r="E5570" i="1"/>
  <c r="D5570" i="1"/>
  <c r="C5570" i="1"/>
  <c r="B5570" i="1"/>
  <c r="A5570" i="1"/>
  <c r="F5569" i="1"/>
  <c r="E5569" i="1"/>
  <c r="D5569" i="1"/>
  <c r="C5569" i="1"/>
  <c r="B5569" i="1"/>
  <c r="A5569" i="1"/>
  <c r="F5568" i="1"/>
  <c r="E5568" i="1"/>
  <c r="D5568" i="1"/>
  <c r="C5568" i="1"/>
  <c r="B5568" i="1"/>
  <c r="A5568" i="1"/>
  <c r="F5567" i="1"/>
  <c r="E5567" i="1"/>
  <c r="D5567" i="1"/>
  <c r="C5567" i="1"/>
  <c r="B5567" i="1"/>
  <c r="A5567" i="1"/>
  <c r="F5566" i="1"/>
  <c r="E5566" i="1"/>
  <c r="D5566" i="1"/>
  <c r="C5566" i="1"/>
  <c r="B5566" i="1"/>
  <c r="A5566" i="1"/>
  <c r="F5565" i="1"/>
  <c r="E5565" i="1"/>
  <c r="D5565" i="1"/>
  <c r="C5565" i="1"/>
  <c r="B5565" i="1"/>
  <c r="A5565" i="1"/>
  <c r="F5564" i="1"/>
  <c r="E5564" i="1"/>
  <c r="D5564" i="1"/>
  <c r="C5564" i="1"/>
  <c r="B5564" i="1"/>
  <c r="A5564" i="1"/>
  <c r="F5563" i="1"/>
  <c r="E5563" i="1"/>
  <c r="D5563" i="1"/>
  <c r="C5563" i="1"/>
  <c r="B5563" i="1"/>
  <c r="A5563" i="1"/>
  <c r="F5562" i="1"/>
  <c r="E5562" i="1"/>
  <c r="D5562" i="1"/>
  <c r="C5562" i="1"/>
  <c r="B5562" i="1"/>
  <c r="A5562" i="1"/>
  <c r="F5561" i="1"/>
  <c r="E5561" i="1"/>
  <c r="D5561" i="1"/>
  <c r="C5561" i="1"/>
  <c r="B5561" i="1"/>
  <c r="A5561" i="1"/>
  <c r="F5560" i="1"/>
  <c r="E5560" i="1"/>
  <c r="D5560" i="1"/>
  <c r="C5560" i="1"/>
  <c r="B5560" i="1"/>
  <c r="A5560" i="1"/>
  <c r="F5559" i="1"/>
  <c r="E5559" i="1"/>
  <c r="D5559" i="1"/>
  <c r="C5559" i="1"/>
  <c r="B5559" i="1"/>
  <c r="A5559" i="1"/>
  <c r="F5558" i="1"/>
  <c r="E5558" i="1"/>
  <c r="D5558" i="1"/>
  <c r="C5558" i="1"/>
  <c r="B5558" i="1"/>
  <c r="A5558" i="1"/>
  <c r="F5557" i="1"/>
  <c r="E5557" i="1"/>
  <c r="D5557" i="1"/>
  <c r="C5557" i="1"/>
  <c r="B5557" i="1"/>
  <c r="A5557" i="1"/>
  <c r="F5556" i="1"/>
  <c r="E5556" i="1"/>
  <c r="D5556" i="1"/>
  <c r="C5556" i="1"/>
  <c r="B5556" i="1"/>
  <c r="A5556" i="1"/>
  <c r="F5555" i="1"/>
  <c r="E5555" i="1"/>
  <c r="D5555" i="1"/>
  <c r="C5555" i="1"/>
  <c r="B5555" i="1"/>
  <c r="A5555" i="1"/>
  <c r="F5554" i="1"/>
  <c r="E5554" i="1"/>
  <c r="D5554" i="1"/>
  <c r="C5554" i="1"/>
  <c r="B5554" i="1"/>
  <c r="A5554" i="1"/>
  <c r="F5553" i="1"/>
  <c r="E5553" i="1"/>
  <c r="D5553" i="1"/>
  <c r="C5553" i="1"/>
  <c r="B5553" i="1"/>
  <c r="A5553" i="1"/>
  <c r="F5552" i="1"/>
  <c r="E5552" i="1"/>
  <c r="D5552" i="1"/>
  <c r="C5552" i="1"/>
  <c r="B5552" i="1"/>
  <c r="A5552" i="1"/>
  <c r="F5551" i="1"/>
  <c r="E5551" i="1"/>
  <c r="D5551" i="1"/>
  <c r="C5551" i="1"/>
  <c r="B5551" i="1"/>
  <c r="A5551" i="1"/>
  <c r="F5550" i="1"/>
  <c r="E5550" i="1"/>
  <c r="D5550" i="1"/>
  <c r="C5550" i="1"/>
  <c r="B5550" i="1"/>
  <c r="A5550" i="1"/>
  <c r="F5549" i="1"/>
  <c r="E5549" i="1"/>
  <c r="D5549" i="1"/>
  <c r="C5549" i="1"/>
  <c r="B5549" i="1"/>
  <c r="A5549" i="1"/>
  <c r="F5548" i="1"/>
  <c r="E5548" i="1"/>
  <c r="D5548" i="1"/>
  <c r="C5548" i="1"/>
  <c r="B5548" i="1"/>
  <c r="A5548" i="1"/>
  <c r="F5547" i="1"/>
  <c r="E5547" i="1"/>
  <c r="D5547" i="1"/>
  <c r="C5547" i="1"/>
  <c r="B5547" i="1"/>
  <c r="A5547" i="1"/>
  <c r="F5546" i="1"/>
  <c r="E5546" i="1"/>
  <c r="D5546" i="1"/>
  <c r="C5546" i="1"/>
  <c r="B5546" i="1"/>
  <c r="A5546" i="1"/>
  <c r="F5545" i="1"/>
  <c r="E5545" i="1"/>
  <c r="D5545" i="1"/>
  <c r="C5545" i="1"/>
  <c r="B5545" i="1"/>
  <c r="A5545" i="1"/>
  <c r="F5544" i="1"/>
  <c r="E5544" i="1"/>
  <c r="D5544" i="1"/>
  <c r="C5544" i="1"/>
  <c r="B5544" i="1"/>
  <c r="A5544" i="1"/>
  <c r="F5543" i="1"/>
  <c r="E5543" i="1"/>
  <c r="D5543" i="1"/>
  <c r="C5543" i="1"/>
  <c r="B5543" i="1"/>
  <c r="A5543" i="1"/>
  <c r="F5542" i="1"/>
  <c r="E5542" i="1"/>
  <c r="D5542" i="1"/>
  <c r="C5542" i="1"/>
  <c r="B5542" i="1"/>
  <c r="A5542" i="1"/>
  <c r="F5541" i="1"/>
  <c r="E5541" i="1"/>
  <c r="D5541" i="1"/>
  <c r="C5541" i="1"/>
  <c r="B5541" i="1"/>
  <c r="A5541" i="1"/>
  <c r="F5540" i="1"/>
  <c r="E5540" i="1"/>
  <c r="D5540" i="1"/>
  <c r="C5540" i="1"/>
  <c r="B5540" i="1"/>
  <c r="A5540" i="1"/>
  <c r="F5539" i="1"/>
  <c r="E5539" i="1"/>
  <c r="D5539" i="1"/>
  <c r="C5539" i="1"/>
  <c r="B5539" i="1"/>
  <c r="A5539" i="1"/>
  <c r="F5538" i="1"/>
  <c r="E5538" i="1"/>
  <c r="D5538" i="1"/>
  <c r="C5538" i="1"/>
  <c r="B5538" i="1"/>
  <c r="A5538" i="1"/>
  <c r="F5537" i="1"/>
  <c r="E5537" i="1"/>
  <c r="D5537" i="1"/>
  <c r="C5537" i="1"/>
  <c r="B5537" i="1"/>
  <c r="A5537" i="1"/>
  <c r="F5536" i="1"/>
  <c r="E5536" i="1"/>
  <c r="D5536" i="1"/>
  <c r="C5536" i="1"/>
  <c r="B5536" i="1"/>
  <c r="A5536" i="1"/>
  <c r="F5535" i="1"/>
  <c r="E5535" i="1"/>
  <c r="D5535" i="1"/>
  <c r="C5535" i="1"/>
  <c r="B5535" i="1"/>
  <c r="A5535" i="1"/>
  <c r="F5534" i="1"/>
  <c r="E5534" i="1"/>
  <c r="D5534" i="1"/>
  <c r="C5534" i="1"/>
  <c r="B5534" i="1"/>
  <c r="A5534" i="1"/>
  <c r="F5533" i="1"/>
  <c r="E5533" i="1"/>
  <c r="D5533" i="1"/>
  <c r="C5533" i="1"/>
  <c r="B5533" i="1"/>
  <c r="A5533" i="1"/>
  <c r="F5532" i="1"/>
  <c r="E5532" i="1"/>
  <c r="D5532" i="1"/>
  <c r="C5532" i="1"/>
  <c r="B5532" i="1"/>
  <c r="A5532" i="1"/>
  <c r="F5531" i="1"/>
  <c r="E5531" i="1"/>
  <c r="D5531" i="1"/>
  <c r="C5531" i="1"/>
  <c r="B5531" i="1"/>
  <c r="A5531" i="1"/>
  <c r="F5530" i="1"/>
  <c r="E5530" i="1"/>
  <c r="D5530" i="1"/>
  <c r="C5530" i="1"/>
  <c r="B5530" i="1"/>
  <c r="A5530" i="1"/>
  <c r="F5529" i="1"/>
  <c r="E5529" i="1"/>
  <c r="D5529" i="1"/>
  <c r="C5529" i="1"/>
  <c r="B5529" i="1"/>
  <c r="A5529" i="1"/>
  <c r="F5528" i="1"/>
  <c r="E5528" i="1"/>
  <c r="D5528" i="1"/>
  <c r="C5528" i="1"/>
  <c r="B5528" i="1"/>
  <c r="A5528" i="1"/>
  <c r="F5527" i="1"/>
  <c r="E5527" i="1"/>
  <c r="D5527" i="1"/>
  <c r="C5527" i="1"/>
  <c r="B5527" i="1"/>
  <c r="A5527" i="1"/>
  <c r="F5526" i="1"/>
  <c r="E5526" i="1"/>
  <c r="D5526" i="1"/>
  <c r="C5526" i="1"/>
  <c r="B5526" i="1"/>
  <c r="A5526" i="1"/>
  <c r="F5525" i="1"/>
  <c r="E5525" i="1"/>
  <c r="D5525" i="1"/>
  <c r="C5525" i="1"/>
  <c r="B5525" i="1"/>
  <c r="A5525" i="1"/>
  <c r="F5524" i="1"/>
  <c r="E5524" i="1"/>
  <c r="D5524" i="1"/>
  <c r="C5524" i="1"/>
  <c r="B5524" i="1"/>
  <c r="A5524" i="1"/>
  <c r="F5523" i="1"/>
  <c r="E5523" i="1"/>
  <c r="D5523" i="1"/>
  <c r="C5523" i="1"/>
  <c r="B5523" i="1"/>
  <c r="A5523" i="1"/>
  <c r="F5522" i="1"/>
  <c r="E5522" i="1"/>
  <c r="D5522" i="1"/>
  <c r="C5522" i="1"/>
  <c r="B5522" i="1"/>
  <c r="A5522" i="1"/>
  <c r="F5521" i="1"/>
  <c r="E5521" i="1"/>
  <c r="D5521" i="1"/>
  <c r="C5521" i="1"/>
  <c r="B5521" i="1"/>
  <c r="A5521" i="1"/>
  <c r="F5520" i="1"/>
  <c r="E5520" i="1"/>
  <c r="D5520" i="1"/>
  <c r="C5520" i="1"/>
  <c r="B5520" i="1"/>
  <c r="A5520" i="1"/>
  <c r="F5519" i="1"/>
  <c r="E5519" i="1"/>
  <c r="D5519" i="1"/>
  <c r="C5519" i="1"/>
  <c r="B5519" i="1"/>
  <c r="A5519" i="1"/>
  <c r="F5518" i="1"/>
  <c r="E5518" i="1"/>
  <c r="D5518" i="1"/>
  <c r="C5518" i="1"/>
  <c r="B5518" i="1"/>
  <c r="A5518" i="1"/>
  <c r="F5517" i="1"/>
  <c r="E5517" i="1"/>
  <c r="D5517" i="1"/>
  <c r="C5517" i="1"/>
  <c r="B5517" i="1"/>
  <c r="A5517" i="1"/>
  <c r="F5516" i="1"/>
  <c r="E5516" i="1"/>
  <c r="D5516" i="1"/>
  <c r="C5516" i="1"/>
  <c r="B5516" i="1"/>
  <c r="A5516" i="1"/>
  <c r="F5515" i="1"/>
  <c r="E5515" i="1"/>
  <c r="D5515" i="1"/>
  <c r="C5515" i="1"/>
  <c r="B5515" i="1"/>
  <c r="A5515" i="1"/>
  <c r="F5514" i="1"/>
  <c r="E5514" i="1"/>
  <c r="D5514" i="1"/>
  <c r="C5514" i="1"/>
  <c r="B5514" i="1"/>
  <c r="A5514" i="1"/>
  <c r="F5513" i="1"/>
  <c r="E5513" i="1"/>
  <c r="D5513" i="1"/>
  <c r="C5513" i="1"/>
  <c r="B5513" i="1"/>
  <c r="A5513" i="1"/>
  <c r="F5512" i="1"/>
  <c r="E5512" i="1"/>
  <c r="D5512" i="1"/>
  <c r="C5512" i="1"/>
  <c r="B5512" i="1"/>
  <c r="A5512" i="1"/>
  <c r="F5511" i="1"/>
  <c r="E5511" i="1"/>
  <c r="D5511" i="1"/>
  <c r="C5511" i="1"/>
  <c r="B5511" i="1"/>
  <c r="A5511" i="1"/>
  <c r="F5510" i="1"/>
  <c r="E5510" i="1"/>
  <c r="D5510" i="1"/>
  <c r="C5510" i="1"/>
  <c r="B5510" i="1"/>
  <c r="A5510" i="1"/>
  <c r="F5509" i="1"/>
  <c r="E5509" i="1"/>
  <c r="D5509" i="1"/>
  <c r="C5509" i="1"/>
  <c r="B5509" i="1"/>
  <c r="A5509" i="1"/>
  <c r="F5508" i="1"/>
  <c r="E5508" i="1"/>
  <c r="D5508" i="1"/>
  <c r="C5508" i="1"/>
  <c r="B5508" i="1"/>
  <c r="A5508" i="1"/>
  <c r="F5507" i="1"/>
  <c r="E5507" i="1"/>
  <c r="D5507" i="1"/>
  <c r="C5507" i="1"/>
  <c r="B5507" i="1"/>
  <c r="A5507" i="1"/>
  <c r="F5506" i="1"/>
  <c r="E5506" i="1"/>
  <c r="D5506" i="1"/>
  <c r="C5506" i="1"/>
  <c r="B5506" i="1"/>
  <c r="A5506" i="1"/>
  <c r="F5505" i="1"/>
  <c r="E5505" i="1"/>
  <c r="D5505" i="1"/>
  <c r="C5505" i="1"/>
  <c r="B5505" i="1"/>
  <c r="A5505" i="1"/>
  <c r="F5504" i="1"/>
  <c r="E5504" i="1"/>
  <c r="D5504" i="1"/>
  <c r="C5504" i="1"/>
  <c r="B5504" i="1"/>
  <c r="A5504" i="1"/>
  <c r="F5503" i="1"/>
  <c r="E5503" i="1"/>
  <c r="D5503" i="1"/>
  <c r="C5503" i="1"/>
  <c r="B5503" i="1"/>
  <c r="A5503" i="1"/>
  <c r="F5502" i="1"/>
  <c r="E5502" i="1"/>
  <c r="D5502" i="1"/>
  <c r="C5502" i="1"/>
  <c r="B5502" i="1"/>
  <c r="A5502" i="1"/>
  <c r="F5501" i="1"/>
  <c r="E5501" i="1"/>
  <c r="D5501" i="1"/>
  <c r="C5501" i="1"/>
  <c r="B5501" i="1"/>
  <c r="A5501" i="1"/>
  <c r="F5500" i="1"/>
  <c r="E5500" i="1"/>
  <c r="D5500" i="1"/>
  <c r="C5500" i="1"/>
  <c r="B5500" i="1"/>
  <c r="A5500" i="1"/>
  <c r="F5499" i="1"/>
  <c r="E5499" i="1"/>
  <c r="D5499" i="1"/>
  <c r="C5499" i="1"/>
  <c r="B5499" i="1"/>
  <c r="A5499" i="1"/>
  <c r="F5498" i="1"/>
  <c r="E5498" i="1"/>
  <c r="D5498" i="1"/>
  <c r="C5498" i="1"/>
  <c r="B5498" i="1"/>
  <c r="A5498" i="1"/>
  <c r="F5497" i="1"/>
  <c r="E5497" i="1"/>
  <c r="D5497" i="1"/>
  <c r="C5497" i="1"/>
  <c r="B5497" i="1"/>
  <c r="A5497" i="1"/>
  <c r="F5496" i="1"/>
  <c r="E5496" i="1"/>
  <c r="D5496" i="1"/>
  <c r="C5496" i="1"/>
  <c r="B5496" i="1"/>
  <c r="A5496" i="1"/>
  <c r="F5495" i="1"/>
  <c r="E5495" i="1"/>
  <c r="D5495" i="1"/>
  <c r="C5495" i="1"/>
  <c r="B5495" i="1"/>
  <c r="A5495" i="1"/>
  <c r="F5494" i="1"/>
  <c r="E5494" i="1"/>
  <c r="D5494" i="1"/>
  <c r="C5494" i="1"/>
  <c r="B5494" i="1"/>
  <c r="A5494" i="1"/>
  <c r="F5493" i="1"/>
  <c r="E5493" i="1"/>
  <c r="D5493" i="1"/>
  <c r="C5493" i="1"/>
  <c r="B5493" i="1"/>
  <c r="A5493" i="1"/>
  <c r="F5492" i="1"/>
  <c r="E5492" i="1"/>
  <c r="D5492" i="1"/>
  <c r="C5492" i="1"/>
  <c r="B5492" i="1"/>
  <c r="A5492" i="1"/>
  <c r="F5491" i="1"/>
  <c r="E5491" i="1"/>
  <c r="D5491" i="1"/>
  <c r="C5491" i="1"/>
  <c r="B5491" i="1"/>
  <c r="A5491" i="1"/>
  <c r="F5490" i="1"/>
  <c r="E5490" i="1"/>
  <c r="D5490" i="1"/>
  <c r="C5490" i="1"/>
  <c r="B5490" i="1"/>
  <c r="A5490" i="1"/>
  <c r="F5489" i="1"/>
  <c r="E5489" i="1"/>
  <c r="D5489" i="1"/>
  <c r="C5489" i="1"/>
  <c r="B5489" i="1"/>
  <c r="A5489" i="1"/>
  <c r="F5488" i="1"/>
  <c r="E5488" i="1"/>
  <c r="D5488" i="1"/>
  <c r="C5488" i="1"/>
  <c r="B5488" i="1"/>
  <c r="A5488" i="1"/>
  <c r="F5487" i="1"/>
  <c r="E5487" i="1"/>
  <c r="D5487" i="1"/>
  <c r="C5487" i="1"/>
  <c r="B5487" i="1"/>
  <c r="A5487" i="1"/>
  <c r="F5486" i="1"/>
  <c r="E5486" i="1"/>
  <c r="D5486" i="1"/>
  <c r="C5486" i="1"/>
  <c r="B5486" i="1"/>
  <c r="A5486" i="1"/>
  <c r="F5485" i="1"/>
  <c r="E5485" i="1"/>
  <c r="D5485" i="1"/>
  <c r="C5485" i="1"/>
  <c r="B5485" i="1"/>
  <c r="A5485" i="1"/>
  <c r="F5484" i="1"/>
  <c r="E5484" i="1"/>
  <c r="D5484" i="1"/>
  <c r="C5484" i="1"/>
  <c r="B5484" i="1"/>
  <c r="A5484" i="1"/>
  <c r="F5483" i="1"/>
  <c r="E5483" i="1"/>
  <c r="D5483" i="1"/>
  <c r="C5483" i="1"/>
  <c r="B5483" i="1"/>
  <c r="A5483" i="1"/>
  <c r="F5482" i="1"/>
  <c r="E5482" i="1"/>
  <c r="D5482" i="1"/>
  <c r="C5482" i="1"/>
  <c r="B5482" i="1"/>
  <c r="A5482" i="1"/>
  <c r="F5481" i="1"/>
  <c r="E5481" i="1"/>
  <c r="D5481" i="1"/>
  <c r="C5481" i="1"/>
  <c r="B5481" i="1"/>
  <c r="A5481" i="1"/>
  <c r="F5480" i="1"/>
  <c r="E5480" i="1"/>
  <c r="D5480" i="1"/>
  <c r="C5480" i="1"/>
  <c r="B5480" i="1"/>
  <c r="A5480" i="1"/>
  <c r="F5479" i="1"/>
  <c r="E5479" i="1"/>
  <c r="D5479" i="1"/>
  <c r="C5479" i="1"/>
  <c r="B5479" i="1"/>
  <c r="A5479" i="1"/>
  <c r="F5478" i="1"/>
  <c r="E5478" i="1"/>
  <c r="D5478" i="1"/>
  <c r="C5478" i="1"/>
  <c r="B5478" i="1"/>
  <c r="A5478" i="1"/>
  <c r="F5477" i="1"/>
  <c r="E5477" i="1"/>
  <c r="D5477" i="1"/>
  <c r="C5477" i="1"/>
  <c r="B5477" i="1"/>
  <c r="A5477" i="1"/>
  <c r="F5476" i="1"/>
  <c r="E5476" i="1"/>
  <c r="D5476" i="1"/>
  <c r="C5476" i="1"/>
  <c r="B5476" i="1"/>
  <c r="A5476" i="1"/>
  <c r="F5475" i="1"/>
  <c r="E5475" i="1"/>
  <c r="D5475" i="1"/>
  <c r="C5475" i="1"/>
  <c r="B5475" i="1"/>
  <c r="A5475" i="1"/>
  <c r="F5474" i="1"/>
  <c r="E5474" i="1"/>
  <c r="D5474" i="1"/>
  <c r="C5474" i="1"/>
  <c r="B5474" i="1"/>
  <c r="A5474" i="1"/>
  <c r="F5473" i="1"/>
  <c r="E5473" i="1"/>
  <c r="D5473" i="1"/>
  <c r="C5473" i="1"/>
  <c r="B5473" i="1"/>
  <c r="A5473" i="1"/>
  <c r="F5472" i="1"/>
  <c r="E5472" i="1"/>
  <c r="D5472" i="1"/>
  <c r="C5472" i="1"/>
  <c r="B5472" i="1"/>
  <c r="A5472" i="1"/>
  <c r="F5471" i="1"/>
  <c r="E5471" i="1"/>
  <c r="D5471" i="1"/>
  <c r="C5471" i="1"/>
  <c r="B5471" i="1"/>
  <c r="A5471" i="1"/>
  <c r="F5470" i="1"/>
  <c r="E5470" i="1"/>
  <c r="D5470" i="1"/>
  <c r="C5470" i="1"/>
  <c r="B5470" i="1"/>
  <c r="A5470" i="1"/>
  <c r="F5469" i="1"/>
  <c r="E5469" i="1"/>
  <c r="D5469" i="1"/>
  <c r="C5469" i="1"/>
  <c r="B5469" i="1"/>
  <c r="A5469" i="1"/>
  <c r="F5468" i="1"/>
  <c r="E5468" i="1"/>
  <c r="D5468" i="1"/>
  <c r="C5468" i="1"/>
  <c r="B5468" i="1"/>
  <c r="A5468" i="1"/>
  <c r="F5467" i="1"/>
  <c r="E5467" i="1"/>
  <c r="D5467" i="1"/>
  <c r="C5467" i="1"/>
  <c r="B5467" i="1"/>
  <c r="A5467" i="1"/>
  <c r="F5466" i="1"/>
  <c r="E5466" i="1"/>
  <c r="D5466" i="1"/>
  <c r="C5466" i="1"/>
  <c r="B5466" i="1"/>
  <c r="A5466" i="1"/>
  <c r="F5465" i="1"/>
  <c r="E5465" i="1"/>
  <c r="D5465" i="1"/>
  <c r="C5465" i="1"/>
  <c r="B5465" i="1"/>
  <c r="A5465" i="1"/>
  <c r="F5464" i="1"/>
  <c r="E5464" i="1"/>
  <c r="D5464" i="1"/>
  <c r="C5464" i="1"/>
  <c r="B5464" i="1"/>
  <c r="A5464" i="1"/>
  <c r="F5463" i="1"/>
  <c r="E5463" i="1"/>
  <c r="D5463" i="1"/>
  <c r="C5463" i="1"/>
  <c r="B5463" i="1"/>
  <c r="A5463" i="1"/>
  <c r="F5462" i="1"/>
  <c r="E5462" i="1"/>
  <c r="D5462" i="1"/>
  <c r="C5462" i="1"/>
  <c r="B5462" i="1"/>
  <c r="A5462" i="1"/>
  <c r="F5461" i="1"/>
  <c r="E5461" i="1"/>
  <c r="D5461" i="1"/>
  <c r="C5461" i="1"/>
  <c r="B5461" i="1"/>
  <c r="A5461" i="1"/>
  <c r="F5460" i="1"/>
  <c r="E5460" i="1"/>
  <c r="D5460" i="1"/>
  <c r="C5460" i="1"/>
  <c r="B5460" i="1"/>
  <c r="A5460" i="1"/>
  <c r="F5459" i="1"/>
  <c r="E5459" i="1"/>
  <c r="D5459" i="1"/>
  <c r="C5459" i="1"/>
  <c r="B5459" i="1"/>
  <c r="A5459" i="1"/>
  <c r="F5458" i="1"/>
  <c r="E5458" i="1"/>
  <c r="D5458" i="1"/>
  <c r="C5458" i="1"/>
  <c r="B5458" i="1"/>
  <c r="A5458" i="1"/>
  <c r="F5457" i="1"/>
  <c r="E5457" i="1"/>
  <c r="D5457" i="1"/>
  <c r="C5457" i="1"/>
  <c r="B5457" i="1"/>
  <c r="A5457" i="1"/>
  <c r="F5456" i="1"/>
  <c r="E5456" i="1"/>
  <c r="D5456" i="1"/>
  <c r="C5456" i="1"/>
  <c r="B5456" i="1"/>
  <c r="A5456" i="1"/>
  <c r="F5455" i="1"/>
  <c r="E5455" i="1"/>
  <c r="D5455" i="1"/>
  <c r="C5455" i="1"/>
  <c r="B5455" i="1"/>
  <c r="A5455" i="1"/>
  <c r="F5454" i="1"/>
  <c r="E5454" i="1"/>
  <c r="D5454" i="1"/>
  <c r="C5454" i="1"/>
  <c r="B5454" i="1"/>
  <c r="A5454" i="1"/>
  <c r="F5453" i="1"/>
  <c r="E5453" i="1"/>
  <c r="D5453" i="1"/>
  <c r="C5453" i="1"/>
  <c r="B5453" i="1"/>
  <c r="A5453" i="1"/>
  <c r="F5452" i="1"/>
  <c r="E5452" i="1"/>
  <c r="D5452" i="1"/>
  <c r="C5452" i="1"/>
  <c r="B5452" i="1"/>
  <c r="A5452" i="1"/>
  <c r="F5451" i="1"/>
  <c r="E5451" i="1"/>
  <c r="D5451" i="1"/>
  <c r="C5451" i="1"/>
  <c r="B5451" i="1"/>
  <c r="A5451" i="1"/>
  <c r="F5450" i="1"/>
  <c r="E5450" i="1"/>
  <c r="D5450" i="1"/>
  <c r="C5450" i="1"/>
  <c r="B5450" i="1"/>
  <c r="A5450" i="1"/>
  <c r="F5449" i="1"/>
  <c r="E5449" i="1"/>
  <c r="D5449" i="1"/>
  <c r="C5449" i="1"/>
  <c r="B5449" i="1"/>
  <c r="A5449" i="1"/>
  <c r="F5448" i="1"/>
  <c r="E5448" i="1"/>
  <c r="D5448" i="1"/>
  <c r="C5448" i="1"/>
  <c r="B5448" i="1"/>
  <c r="A5448" i="1"/>
  <c r="F5447" i="1"/>
  <c r="E5447" i="1"/>
  <c r="D5447" i="1"/>
  <c r="C5447" i="1"/>
  <c r="B5447" i="1"/>
  <c r="A5447" i="1"/>
  <c r="F5446" i="1"/>
  <c r="E5446" i="1"/>
  <c r="D5446" i="1"/>
  <c r="C5446" i="1"/>
  <c r="B5446" i="1"/>
  <c r="A5446" i="1"/>
  <c r="F5445" i="1"/>
  <c r="E5445" i="1"/>
  <c r="D5445" i="1"/>
  <c r="C5445" i="1"/>
  <c r="B5445" i="1"/>
  <c r="A5445" i="1"/>
  <c r="F5444" i="1"/>
  <c r="E5444" i="1"/>
  <c r="D5444" i="1"/>
  <c r="C5444" i="1"/>
  <c r="B5444" i="1"/>
  <c r="A5444" i="1"/>
  <c r="F5443" i="1"/>
  <c r="E5443" i="1"/>
  <c r="D5443" i="1"/>
  <c r="C5443" i="1"/>
  <c r="B5443" i="1"/>
  <c r="A5443" i="1"/>
  <c r="F5442" i="1"/>
  <c r="E5442" i="1"/>
  <c r="D5442" i="1"/>
  <c r="C5442" i="1"/>
  <c r="B5442" i="1"/>
  <c r="A5442" i="1"/>
  <c r="F5441" i="1"/>
  <c r="E5441" i="1"/>
  <c r="D5441" i="1"/>
  <c r="C5441" i="1"/>
  <c r="B5441" i="1"/>
  <c r="A5441" i="1"/>
  <c r="F5440" i="1"/>
  <c r="E5440" i="1"/>
  <c r="D5440" i="1"/>
  <c r="C5440" i="1"/>
  <c r="B5440" i="1"/>
  <c r="A5440" i="1"/>
  <c r="F5439" i="1"/>
  <c r="E5439" i="1"/>
  <c r="D5439" i="1"/>
  <c r="C5439" i="1"/>
  <c r="B5439" i="1"/>
  <c r="A5439" i="1"/>
  <c r="F5438" i="1"/>
  <c r="E5438" i="1"/>
  <c r="D5438" i="1"/>
  <c r="C5438" i="1"/>
  <c r="B5438" i="1"/>
  <c r="A5438" i="1"/>
  <c r="F5437" i="1"/>
  <c r="E5437" i="1"/>
  <c r="D5437" i="1"/>
  <c r="C5437" i="1"/>
  <c r="B5437" i="1"/>
  <c r="A5437" i="1"/>
  <c r="F5436" i="1"/>
  <c r="E5436" i="1"/>
  <c r="D5436" i="1"/>
  <c r="C5436" i="1"/>
  <c r="B5436" i="1"/>
  <c r="A5436" i="1"/>
  <c r="F5435" i="1"/>
  <c r="E5435" i="1"/>
  <c r="D5435" i="1"/>
  <c r="C5435" i="1"/>
  <c r="B5435" i="1"/>
  <c r="A5435" i="1"/>
  <c r="F5434" i="1"/>
  <c r="E5434" i="1"/>
  <c r="D5434" i="1"/>
  <c r="C5434" i="1"/>
  <c r="B5434" i="1"/>
  <c r="A5434" i="1"/>
  <c r="F5433" i="1"/>
  <c r="E5433" i="1"/>
  <c r="D5433" i="1"/>
  <c r="C5433" i="1"/>
  <c r="B5433" i="1"/>
  <c r="A5433" i="1"/>
  <c r="F5432" i="1"/>
  <c r="E5432" i="1"/>
  <c r="D5432" i="1"/>
  <c r="C5432" i="1"/>
  <c r="B5432" i="1"/>
  <c r="A5432" i="1"/>
  <c r="F5431" i="1"/>
  <c r="E5431" i="1"/>
  <c r="D5431" i="1"/>
  <c r="C5431" i="1"/>
  <c r="B5431" i="1"/>
  <c r="A5431" i="1"/>
  <c r="F5430" i="1"/>
  <c r="E5430" i="1"/>
  <c r="D5430" i="1"/>
  <c r="C5430" i="1"/>
  <c r="B5430" i="1"/>
  <c r="A5430" i="1"/>
  <c r="F5429" i="1"/>
  <c r="E5429" i="1"/>
  <c r="D5429" i="1"/>
  <c r="C5429" i="1"/>
  <c r="B5429" i="1"/>
  <c r="A5429" i="1"/>
  <c r="F5428" i="1"/>
  <c r="E5428" i="1"/>
  <c r="D5428" i="1"/>
  <c r="C5428" i="1"/>
  <c r="B5428" i="1"/>
  <c r="A5428" i="1"/>
  <c r="F5427" i="1"/>
  <c r="E5427" i="1"/>
  <c r="D5427" i="1"/>
  <c r="C5427" i="1"/>
  <c r="B5427" i="1"/>
  <c r="A5427" i="1"/>
  <c r="F5426" i="1"/>
  <c r="E5426" i="1"/>
  <c r="D5426" i="1"/>
  <c r="C5426" i="1"/>
  <c r="B5426" i="1"/>
  <c r="A5426" i="1"/>
  <c r="F5425" i="1"/>
  <c r="E5425" i="1"/>
  <c r="D5425" i="1"/>
  <c r="C5425" i="1"/>
  <c r="B5425" i="1"/>
  <c r="A5425" i="1"/>
  <c r="F5424" i="1"/>
  <c r="E5424" i="1"/>
  <c r="D5424" i="1"/>
  <c r="C5424" i="1"/>
  <c r="B5424" i="1"/>
  <c r="A5424" i="1"/>
  <c r="F5423" i="1"/>
  <c r="E5423" i="1"/>
  <c r="D5423" i="1"/>
  <c r="C5423" i="1"/>
  <c r="B5423" i="1"/>
  <c r="A5423" i="1"/>
  <c r="F5422" i="1"/>
  <c r="E5422" i="1"/>
  <c r="D5422" i="1"/>
  <c r="C5422" i="1"/>
  <c r="B5422" i="1"/>
  <c r="A5422" i="1"/>
  <c r="F5421" i="1"/>
  <c r="E5421" i="1"/>
  <c r="D5421" i="1"/>
  <c r="C5421" i="1"/>
  <c r="B5421" i="1"/>
  <c r="A5421" i="1"/>
  <c r="F5420" i="1"/>
  <c r="E5420" i="1"/>
  <c r="D5420" i="1"/>
  <c r="C5420" i="1"/>
  <c r="B5420" i="1"/>
  <c r="A5420" i="1"/>
  <c r="F5419" i="1"/>
  <c r="E5419" i="1"/>
  <c r="D5419" i="1"/>
  <c r="C5419" i="1"/>
  <c r="B5419" i="1"/>
  <c r="A5419" i="1"/>
  <c r="F5418" i="1"/>
  <c r="E5418" i="1"/>
  <c r="D5418" i="1"/>
  <c r="C5418" i="1"/>
  <c r="B5418" i="1"/>
  <c r="A5418" i="1"/>
  <c r="F5417" i="1"/>
  <c r="E5417" i="1"/>
  <c r="D5417" i="1"/>
  <c r="C5417" i="1"/>
  <c r="B5417" i="1"/>
  <c r="A5417" i="1"/>
  <c r="F5416" i="1"/>
  <c r="E5416" i="1"/>
  <c r="D5416" i="1"/>
  <c r="C5416" i="1"/>
  <c r="B5416" i="1"/>
  <c r="A5416" i="1"/>
  <c r="F5415" i="1"/>
  <c r="E5415" i="1"/>
  <c r="D5415" i="1"/>
  <c r="C5415" i="1"/>
  <c r="B5415" i="1"/>
  <c r="A5415" i="1"/>
  <c r="F5414" i="1"/>
  <c r="E5414" i="1"/>
  <c r="D5414" i="1"/>
  <c r="C5414" i="1"/>
  <c r="B5414" i="1"/>
  <c r="A5414" i="1"/>
  <c r="F5413" i="1"/>
  <c r="E5413" i="1"/>
  <c r="D5413" i="1"/>
  <c r="C5413" i="1"/>
  <c r="B5413" i="1"/>
  <c r="A5413" i="1"/>
  <c r="F5412" i="1"/>
  <c r="E5412" i="1"/>
  <c r="D5412" i="1"/>
  <c r="C5412" i="1"/>
  <c r="B5412" i="1"/>
  <c r="A5412" i="1"/>
  <c r="F5411" i="1"/>
  <c r="E5411" i="1"/>
  <c r="D5411" i="1"/>
  <c r="C5411" i="1"/>
  <c r="B5411" i="1"/>
  <c r="A5411" i="1"/>
  <c r="F5410" i="1"/>
  <c r="E5410" i="1"/>
  <c r="D5410" i="1"/>
  <c r="C5410" i="1"/>
  <c r="B5410" i="1"/>
  <c r="A5410" i="1"/>
  <c r="F5409" i="1"/>
  <c r="E5409" i="1"/>
  <c r="D5409" i="1"/>
  <c r="C5409" i="1"/>
  <c r="B5409" i="1"/>
  <c r="A5409" i="1"/>
  <c r="F5408" i="1"/>
  <c r="E5408" i="1"/>
  <c r="D5408" i="1"/>
  <c r="C5408" i="1"/>
  <c r="B5408" i="1"/>
  <c r="A5408" i="1"/>
  <c r="F5407" i="1"/>
  <c r="E5407" i="1"/>
  <c r="D5407" i="1"/>
  <c r="C5407" i="1"/>
  <c r="B5407" i="1"/>
  <c r="A5407" i="1"/>
  <c r="F5406" i="1"/>
  <c r="E5406" i="1"/>
  <c r="D5406" i="1"/>
  <c r="C5406" i="1"/>
  <c r="B5406" i="1"/>
  <c r="A5406" i="1"/>
  <c r="F5405" i="1"/>
  <c r="E5405" i="1"/>
  <c r="D5405" i="1"/>
  <c r="C5405" i="1"/>
  <c r="B5405" i="1"/>
  <c r="A5405" i="1"/>
  <c r="F5404" i="1"/>
  <c r="E5404" i="1"/>
  <c r="D5404" i="1"/>
  <c r="C5404" i="1"/>
  <c r="B5404" i="1"/>
  <c r="A5404" i="1"/>
  <c r="F5403" i="1"/>
  <c r="E5403" i="1"/>
  <c r="D5403" i="1"/>
  <c r="C5403" i="1"/>
  <c r="B5403" i="1"/>
  <c r="A5403" i="1"/>
  <c r="F5402" i="1"/>
  <c r="E5402" i="1"/>
  <c r="D5402" i="1"/>
  <c r="C5402" i="1"/>
  <c r="B5402" i="1"/>
  <c r="A5402" i="1"/>
  <c r="F5401" i="1"/>
  <c r="E5401" i="1"/>
  <c r="D5401" i="1"/>
  <c r="C5401" i="1"/>
  <c r="B5401" i="1"/>
  <c r="A5401" i="1"/>
  <c r="F5400" i="1"/>
  <c r="E5400" i="1"/>
  <c r="D5400" i="1"/>
  <c r="C5400" i="1"/>
  <c r="B5400" i="1"/>
  <c r="A5400" i="1"/>
  <c r="F5399" i="1"/>
  <c r="E5399" i="1"/>
  <c r="D5399" i="1"/>
  <c r="C5399" i="1"/>
  <c r="B5399" i="1"/>
  <c r="A5399" i="1"/>
  <c r="F5398" i="1"/>
  <c r="E5398" i="1"/>
  <c r="D5398" i="1"/>
  <c r="C5398" i="1"/>
  <c r="B5398" i="1"/>
  <c r="A5398" i="1"/>
  <c r="F5397" i="1"/>
  <c r="E5397" i="1"/>
  <c r="D5397" i="1"/>
  <c r="C5397" i="1"/>
  <c r="B5397" i="1"/>
  <c r="A5397" i="1"/>
  <c r="F5396" i="1"/>
  <c r="E5396" i="1"/>
  <c r="D5396" i="1"/>
  <c r="C5396" i="1"/>
  <c r="B5396" i="1"/>
  <c r="A5396" i="1"/>
  <c r="F5395" i="1"/>
  <c r="E5395" i="1"/>
  <c r="D5395" i="1"/>
  <c r="C5395" i="1"/>
  <c r="B5395" i="1"/>
  <c r="A5395" i="1"/>
  <c r="F5394" i="1"/>
  <c r="E5394" i="1"/>
  <c r="D5394" i="1"/>
  <c r="C5394" i="1"/>
  <c r="B5394" i="1"/>
  <c r="A5394" i="1"/>
  <c r="F5393" i="1"/>
  <c r="E5393" i="1"/>
  <c r="D5393" i="1"/>
  <c r="C5393" i="1"/>
  <c r="B5393" i="1"/>
  <c r="A5393" i="1"/>
  <c r="F5392" i="1"/>
  <c r="E5392" i="1"/>
  <c r="D5392" i="1"/>
  <c r="C5392" i="1"/>
  <c r="B5392" i="1"/>
  <c r="A5392" i="1"/>
  <c r="F5391" i="1"/>
  <c r="E5391" i="1"/>
  <c r="D5391" i="1"/>
  <c r="C5391" i="1"/>
  <c r="B5391" i="1"/>
  <c r="A5391" i="1"/>
  <c r="F5390" i="1"/>
  <c r="E5390" i="1"/>
  <c r="D5390" i="1"/>
  <c r="C5390" i="1"/>
  <c r="B5390" i="1"/>
  <c r="A5390" i="1"/>
  <c r="F5389" i="1"/>
  <c r="E5389" i="1"/>
  <c r="D5389" i="1"/>
  <c r="C5389" i="1"/>
  <c r="B5389" i="1"/>
  <c r="A5389" i="1"/>
  <c r="F5388" i="1"/>
  <c r="E5388" i="1"/>
  <c r="D5388" i="1"/>
  <c r="C5388" i="1"/>
  <c r="B5388" i="1"/>
  <c r="A5388" i="1"/>
  <c r="F5387" i="1"/>
  <c r="E5387" i="1"/>
  <c r="D5387" i="1"/>
  <c r="C5387" i="1"/>
  <c r="B5387" i="1"/>
  <c r="A5387" i="1"/>
  <c r="F5386" i="1"/>
  <c r="E5386" i="1"/>
  <c r="D5386" i="1"/>
  <c r="C5386" i="1"/>
  <c r="B5386" i="1"/>
  <c r="A5386" i="1"/>
  <c r="F5385" i="1"/>
  <c r="E5385" i="1"/>
  <c r="D5385" i="1"/>
  <c r="C5385" i="1"/>
  <c r="B5385" i="1"/>
  <c r="A5385" i="1"/>
  <c r="F5384" i="1"/>
  <c r="E5384" i="1"/>
  <c r="D5384" i="1"/>
  <c r="C5384" i="1"/>
  <c r="B5384" i="1"/>
  <c r="A5384" i="1"/>
  <c r="F5383" i="1"/>
  <c r="E5383" i="1"/>
  <c r="D5383" i="1"/>
  <c r="C5383" i="1"/>
  <c r="B5383" i="1"/>
  <c r="A5383" i="1"/>
  <c r="F5382" i="1"/>
  <c r="E5382" i="1"/>
  <c r="D5382" i="1"/>
  <c r="C5382" i="1"/>
  <c r="B5382" i="1"/>
  <c r="A5382" i="1"/>
  <c r="F5381" i="1"/>
  <c r="E5381" i="1"/>
  <c r="D5381" i="1"/>
  <c r="C5381" i="1"/>
  <c r="B5381" i="1"/>
  <c r="A5381" i="1"/>
  <c r="F5380" i="1"/>
  <c r="E5380" i="1"/>
  <c r="D5380" i="1"/>
  <c r="C5380" i="1"/>
  <c r="B5380" i="1"/>
  <c r="A5380" i="1"/>
  <c r="F5379" i="1"/>
  <c r="E5379" i="1"/>
  <c r="D5379" i="1"/>
  <c r="C5379" i="1"/>
  <c r="B5379" i="1"/>
  <c r="A5379" i="1"/>
  <c r="F5378" i="1"/>
  <c r="E5378" i="1"/>
  <c r="D5378" i="1"/>
  <c r="C5378" i="1"/>
  <c r="B5378" i="1"/>
  <c r="A5378" i="1"/>
  <c r="F5377" i="1"/>
  <c r="E5377" i="1"/>
  <c r="D5377" i="1"/>
  <c r="C5377" i="1"/>
  <c r="B5377" i="1"/>
  <c r="A5377" i="1"/>
  <c r="F5376" i="1"/>
  <c r="E5376" i="1"/>
  <c r="D5376" i="1"/>
  <c r="C5376" i="1"/>
  <c r="B5376" i="1"/>
  <c r="A5376" i="1"/>
  <c r="F5375" i="1"/>
  <c r="E5375" i="1"/>
  <c r="D5375" i="1"/>
  <c r="C5375" i="1"/>
  <c r="B5375" i="1"/>
  <c r="A5375" i="1"/>
  <c r="F5374" i="1"/>
  <c r="E5374" i="1"/>
  <c r="D5374" i="1"/>
  <c r="C5374" i="1"/>
  <c r="B5374" i="1"/>
  <c r="A5374" i="1"/>
  <c r="F5373" i="1"/>
  <c r="E5373" i="1"/>
  <c r="D5373" i="1"/>
  <c r="C5373" i="1"/>
  <c r="B5373" i="1"/>
  <c r="A5373" i="1"/>
  <c r="F5372" i="1"/>
  <c r="E5372" i="1"/>
  <c r="D5372" i="1"/>
  <c r="C5372" i="1"/>
  <c r="B5372" i="1"/>
  <c r="A5372" i="1"/>
  <c r="F5371" i="1"/>
  <c r="E5371" i="1"/>
  <c r="D5371" i="1"/>
  <c r="C5371" i="1"/>
  <c r="B5371" i="1"/>
  <c r="A5371" i="1"/>
  <c r="F5370" i="1"/>
  <c r="E5370" i="1"/>
  <c r="D5370" i="1"/>
  <c r="C5370" i="1"/>
  <c r="B5370" i="1"/>
  <c r="A5370" i="1"/>
  <c r="F5369" i="1"/>
  <c r="E5369" i="1"/>
  <c r="D5369" i="1"/>
  <c r="C5369" i="1"/>
  <c r="B5369" i="1"/>
  <c r="A5369" i="1"/>
  <c r="F5368" i="1"/>
  <c r="E5368" i="1"/>
  <c r="D5368" i="1"/>
  <c r="C5368" i="1"/>
  <c r="B5368" i="1"/>
  <c r="A5368" i="1"/>
  <c r="F5367" i="1"/>
  <c r="E5367" i="1"/>
  <c r="D5367" i="1"/>
  <c r="C5367" i="1"/>
  <c r="B5367" i="1"/>
  <c r="A5367" i="1"/>
  <c r="F5366" i="1"/>
  <c r="E5366" i="1"/>
  <c r="D5366" i="1"/>
  <c r="C5366" i="1"/>
  <c r="B5366" i="1"/>
  <c r="A5366" i="1"/>
  <c r="F5365" i="1"/>
  <c r="E5365" i="1"/>
  <c r="D5365" i="1"/>
  <c r="C5365" i="1"/>
  <c r="B5365" i="1"/>
  <c r="A5365" i="1"/>
  <c r="F5364" i="1"/>
  <c r="E5364" i="1"/>
  <c r="D5364" i="1"/>
  <c r="C5364" i="1"/>
  <c r="B5364" i="1"/>
  <c r="A5364" i="1"/>
  <c r="F5363" i="1"/>
  <c r="E5363" i="1"/>
  <c r="D5363" i="1"/>
  <c r="C5363" i="1"/>
  <c r="B5363" i="1"/>
  <c r="A5363" i="1"/>
  <c r="F5362" i="1"/>
  <c r="E5362" i="1"/>
  <c r="D5362" i="1"/>
  <c r="C5362" i="1"/>
  <c r="B5362" i="1"/>
  <c r="A5362" i="1"/>
  <c r="F5361" i="1"/>
  <c r="E5361" i="1"/>
  <c r="D5361" i="1"/>
  <c r="C5361" i="1"/>
  <c r="B5361" i="1"/>
  <c r="A5361" i="1"/>
  <c r="F5360" i="1"/>
  <c r="E5360" i="1"/>
  <c r="D5360" i="1"/>
  <c r="C5360" i="1"/>
  <c r="B5360" i="1"/>
  <c r="A5360" i="1"/>
  <c r="F5359" i="1"/>
  <c r="E5359" i="1"/>
  <c r="D5359" i="1"/>
  <c r="C5359" i="1"/>
  <c r="B5359" i="1"/>
  <c r="A5359" i="1"/>
  <c r="F5358" i="1"/>
  <c r="E5358" i="1"/>
  <c r="D5358" i="1"/>
  <c r="C5358" i="1"/>
  <c r="B5358" i="1"/>
  <c r="A5358" i="1"/>
  <c r="F5357" i="1"/>
  <c r="E5357" i="1"/>
  <c r="D5357" i="1"/>
  <c r="C5357" i="1"/>
  <c r="B5357" i="1"/>
  <c r="A5357" i="1"/>
  <c r="F5356" i="1"/>
  <c r="E5356" i="1"/>
  <c r="D5356" i="1"/>
  <c r="C5356" i="1"/>
  <c r="B5356" i="1"/>
  <c r="A5356" i="1"/>
  <c r="F5355" i="1"/>
  <c r="E5355" i="1"/>
  <c r="D5355" i="1"/>
  <c r="C5355" i="1"/>
  <c r="B5355" i="1"/>
  <c r="A5355" i="1"/>
  <c r="F5354" i="1"/>
  <c r="E5354" i="1"/>
  <c r="D5354" i="1"/>
  <c r="C5354" i="1"/>
  <c r="B5354" i="1"/>
  <c r="A5354" i="1"/>
  <c r="F5353" i="1"/>
  <c r="E5353" i="1"/>
  <c r="D5353" i="1"/>
  <c r="C5353" i="1"/>
  <c r="B5353" i="1"/>
  <c r="A5353" i="1"/>
  <c r="F5352" i="1"/>
  <c r="E5352" i="1"/>
  <c r="D5352" i="1"/>
  <c r="C5352" i="1"/>
  <c r="B5352" i="1"/>
  <c r="A5352" i="1"/>
  <c r="F5351" i="1"/>
  <c r="E5351" i="1"/>
  <c r="D5351" i="1"/>
  <c r="C5351" i="1"/>
  <c r="B5351" i="1"/>
  <c r="A5351" i="1"/>
  <c r="F5350" i="1"/>
  <c r="E5350" i="1"/>
  <c r="D5350" i="1"/>
  <c r="C5350" i="1"/>
  <c r="B5350" i="1"/>
  <c r="A5350" i="1"/>
  <c r="F5349" i="1"/>
  <c r="E5349" i="1"/>
  <c r="D5349" i="1"/>
  <c r="C5349" i="1"/>
  <c r="B5349" i="1"/>
  <c r="A5349" i="1"/>
  <c r="F5348" i="1"/>
  <c r="E5348" i="1"/>
  <c r="D5348" i="1"/>
  <c r="C5348" i="1"/>
  <c r="B5348" i="1"/>
  <c r="A5348" i="1"/>
  <c r="F5347" i="1"/>
  <c r="E5347" i="1"/>
  <c r="D5347" i="1"/>
  <c r="C5347" i="1"/>
  <c r="B5347" i="1"/>
  <c r="A5347" i="1"/>
  <c r="F5346" i="1"/>
  <c r="E5346" i="1"/>
  <c r="D5346" i="1"/>
  <c r="C5346" i="1"/>
  <c r="B5346" i="1"/>
  <c r="A5346" i="1"/>
  <c r="F5345" i="1"/>
  <c r="E5345" i="1"/>
  <c r="D5345" i="1"/>
  <c r="C5345" i="1"/>
  <c r="B5345" i="1"/>
  <c r="A5345" i="1"/>
  <c r="F5344" i="1"/>
  <c r="E5344" i="1"/>
  <c r="D5344" i="1"/>
  <c r="C5344" i="1"/>
  <c r="B5344" i="1"/>
  <c r="A5344" i="1"/>
  <c r="F5343" i="1"/>
  <c r="E5343" i="1"/>
  <c r="D5343" i="1"/>
  <c r="C5343" i="1"/>
  <c r="B5343" i="1"/>
  <c r="A5343" i="1"/>
  <c r="F5342" i="1"/>
  <c r="E5342" i="1"/>
  <c r="D5342" i="1"/>
  <c r="C5342" i="1"/>
  <c r="B5342" i="1"/>
  <c r="A5342" i="1"/>
  <c r="F5341" i="1"/>
  <c r="E5341" i="1"/>
  <c r="D5341" i="1"/>
  <c r="C5341" i="1"/>
  <c r="B5341" i="1"/>
  <c r="A5341" i="1"/>
  <c r="F5340" i="1"/>
  <c r="E5340" i="1"/>
  <c r="D5340" i="1"/>
  <c r="C5340" i="1"/>
  <c r="B5340" i="1"/>
  <c r="A5340" i="1"/>
  <c r="F5339" i="1"/>
  <c r="E5339" i="1"/>
  <c r="D5339" i="1"/>
  <c r="C5339" i="1"/>
  <c r="B5339" i="1"/>
  <c r="A5339" i="1"/>
  <c r="F5338" i="1"/>
  <c r="E5338" i="1"/>
  <c r="D5338" i="1"/>
  <c r="C5338" i="1"/>
  <c r="B5338" i="1"/>
  <c r="A5338" i="1"/>
  <c r="F5337" i="1"/>
  <c r="E5337" i="1"/>
  <c r="D5337" i="1"/>
  <c r="C5337" i="1"/>
  <c r="B5337" i="1"/>
  <c r="A5337" i="1"/>
  <c r="F5336" i="1"/>
  <c r="E5336" i="1"/>
  <c r="D5336" i="1"/>
  <c r="C5336" i="1"/>
  <c r="B5336" i="1"/>
  <c r="A5336" i="1"/>
  <c r="F5335" i="1"/>
  <c r="E5335" i="1"/>
  <c r="D5335" i="1"/>
  <c r="C5335" i="1"/>
  <c r="B5335" i="1"/>
  <c r="A5335" i="1"/>
  <c r="F5334" i="1"/>
  <c r="E5334" i="1"/>
  <c r="D5334" i="1"/>
  <c r="C5334" i="1"/>
  <c r="B5334" i="1"/>
  <c r="A5334" i="1"/>
  <c r="F5333" i="1"/>
  <c r="E5333" i="1"/>
  <c r="D5333" i="1"/>
  <c r="C5333" i="1"/>
  <c r="B5333" i="1"/>
  <c r="A5333" i="1"/>
  <c r="F5332" i="1"/>
  <c r="E5332" i="1"/>
  <c r="D5332" i="1"/>
  <c r="C5332" i="1"/>
  <c r="B5332" i="1"/>
  <c r="A5332" i="1"/>
  <c r="F5331" i="1"/>
  <c r="E5331" i="1"/>
  <c r="D5331" i="1"/>
  <c r="C5331" i="1"/>
  <c r="B5331" i="1"/>
  <c r="A5331" i="1"/>
  <c r="F5330" i="1"/>
  <c r="E5330" i="1"/>
  <c r="D5330" i="1"/>
  <c r="C5330" i="1"/>
  <c r="B5330" i="1"/>
  <c r="A5330" i="1"/>
  <c r="F5329" i="1"/>
  <c r="E5329" i="1"/>
  <c r="D5329" i="1"/>
  <c r="C5329" i="1"/>
  <c r="B5329" i="1"/>
  <c r="A5329" i="1"/>
  <c r="F5328" i="1"/>
  <c r="E5328" i="1"/>
  <c r="D5328" i="1"/>
  <c r="C5328" i="1"/>
  <c r="B5328" i="1"/>
  <c r="A5328" i="1"/>
  <c r="F5327" i="1"/>
  <c r="E5327" i="1"/>
  <c r="D5327" i="1"/>
  <c r="C5327" i="1"/>
  <c r="B5327" i="1"/>
  <c r="A5327" i="1"/>
  <c r="F5326" i="1"/>
  <c r="E5326" i="1"/>
  <c r="D5326" i="1"/>
  <c r="C5326" i="1"/>
  <c r="B5326" i="1"/>
  <c r="A5326" i="1"/>
  <c r="F5325" i="1"/>
  <c r="E5325" i="1"/>
  <c r="D5325" i="1"/>
  <c r="C5325" i="1"/>
  <c r="B5325" i="1"/>
  <c r="A5325" i="1"/>
  <c r="F5324" i="1"/>
  <c r="E5324" i="1"/>
  <c r="D5324" i="1"/>
  <c r="C5324" i="1"/>
  <c r="B5324" i="1"/>
  <c r="A5324" i="1"/>
  <c r="F5323" i="1"/>
  <c r="E5323" i="1"/>
  <c r="D5323" i="1"/>
  <c r="C5323" i="1"/>
  <c r="B5323" i="1"/>
  <c r="A5323" i="1"/>
  <c r="F5322" i="1"/>
  <c r="E5322" i="1"/>
  <c r="D5322" i="1"/>
  <c r="C5322" i="1"/>
  <c r="B5322" i="1"/>
  <c r="A5322" i="1"/>
  <c r="F5321" i="1"/>
  <c r="E5321" i="1"/>
  <c r="D5321" i="1"/>
  <c r="C5321" i="1"/>
  <c r="B5321" i="1"/>
  <c r="A5321" i="1"/>
  <c r="F5320" i="1"/>
  <c r="E5320" i="1"/>
  <c r="D5320" i="1"/>
  <c r="C5320" i="1"/>
  <c r="B5320" i="1"/>
  <c r="A5320" i="1"/>
  <c r="F5319" i="1"/>
  <c r="E5319" i="1"/>
  <c r="D5319" i="1"/>
  <c r="C5319" i="1"/>
  <c r="B5319" i="1"/>
  <c r="A5319" i="1"/>
  <c r="F5318" i="1"/>
  <c r="E5318" i="1"/>
  <c r="D5318" i="1"/>
  <c r="C5318" i="1"/>
  <c r="B5318" i="1"/>
  <c r="A5318" i="1"/>
  <c r="F5317" i="1"/>
  <c r="E5317" i="1"/>
  <c r="D5317" i="1"/>
  <c r="C5317" i="1"/>
  <c r="B5317" i="1"/>
  <c r="A5317" i="1"/>
  <c r="F5316" i="1"/>
  <c r="E5316" i="1"/>
  <c r="D5316" i="1"/>
  <c r="C5316" i="1"/>
  <c r="B5316" i="1"/>
  <c r="A5316" i="1"/>
  <c r="F5315" i="1"/>
  <c r="E5315" i="1"/>
  <c r="D5315" i="1"/>
  <c r="C5315" i="1"/>
  <c r="B5315" i="1"/>
  <c r="A5315" i="1"/>
  <c r="F5314" i="1"/>
  <c r="E5314" i="1"/>
  <c r="D5314" i="1"/>
  <c r="C5314" i="1"/>
  <c r="B5314" i="1"/>
  <c r="A5314" i="1"/>
  <c r="F5313" i="1"/>
  <c r="E5313" i="1"/>
  <c r="D5313" i="1"/>
  <c r="C5313" i="1"/>
  <c r="B5313" i="1"/>
  <c r="A5313" i="1"/>
  <c r="F5312" i="1"/>
  <c r="E5312" i="1"/>
  <c r="D5312" i="1"/>
  <c r="C5312" i="1"/>
  <c r="B5312" i="1"/>
  <c r="A5312" i="1"/>
  <c r="F5311" i="1"/>
  <c r="E5311" i="1"/>
  <c r="D5311" i="1"/>
  <c r="C5311" i="1"/>
  <c r="B5311" i="1"/>
  <c r="A5311" i="1"/>
  <c r="F5310" i="1"/>
  <c r="E5310" i="1"/>
  <c r="D5310" i="1"/>
  <c r="C5310" i="1"/>
  <c r="B5310" i="1"/>
  <c r="A5310" i="1"/>
  <c r="F5309" i="1"/>
  <c r="E5309" i="1"/>
  <c r="D5309" i="1"/>
  <c r="C5309" i="1"/>
  <c r="B5309" i="1"/>
  <c r="A5309" i="1"/>
  <c r="F5308" i="1"/>
  <c r="E5308" i="1"/>
  <c r="D5308" i="1"/>
  <c r="C5308" i="1"/>
  <c r="B5308" i="1"/>
  <c r="A5308" i="1"/>
  <c r="F5307" i="1"/>
  <c r="E5307" i="1"/>
  <c r="D5307" i="1"/>
  <c r="C5307" i="1"/>
  <c r="B5307" i="1"/>
  <c r="A5307" i="1"/>
  <c r="F5306" i="1"/>
  <c r="E5306" i="1"/>
  <c r="D5306" i="1"/>
  <c r="C5306" i="1"/>
  <c r="B5306" i="1"/>
  <c r="A5306" i="1"/>
  <c r="F5305" i="1"/>
  <c r="E5305" i="1"/>
  <c r="D5305" i="1"/>
  <c r="C5305" i="1"/>
  <c r="B5305" i="1"/>
  <c r="A5305" i="1"/>
  <c r="F5304" i="1"/>
  <c r="E5304" i="1"/>
  <c r="D5304" i="1"/>
  <c r="C5304" i="1"/>
  <c r="B5304" i="1"/>
  <c r="A5304" i="1"/>
  <c r="F5303" i="1"/>
  <c r="E5303" i="1"/>
  <c r="D5303" i="1"/>
  <c r="C5303" i="1"/>
  <c r="B5303" i="1"/>
  <c r="A5303" i="1"/>
  <c r="F5302" i="1"/>
  <c r="E5302" i="1"/>
  <c r="D5302" i="1"/>
  <c r="C5302" i="1"/>
  <c r="B5302" i="1"/>
  <c r="A5302" i="1"/>
  <c r="F5301" i="1"/>
  <c r="E5301" i="1"/>
  <c r="D5301" i="1"/>
  <c r="C5301" i="1"/>
  <c r="B5301" i="1"/>
  <c r="A5301" i="1"/>
  <c r="F5300" i="1"/>
  <c r="E5300" i="1"/>
  <c r="D5300" i="1"/>
  <c r="C5300" i="1"/>
  <c r="B5300" i="1"/>
  <c r="A5300" i="1"/>
  <c r="F5299" i="1"/>
  <c r="E5299" i="1"/>
  <c r="D5299" i="1"/>
  <c r="C5299" i="1"/>
  <c r="B5299" i="1"/>
  <c r="A5299" i="1"/>
  <c r="F5298" i="1"/>
  <c r="E5298" i="1"/>
  <c r="D5298" i="1"/>
  <c r="C5298" i="1"/>
  <c r="B5298" i="1"/>
  <c r="A5298" i="1"/>
  <c r="F5297" i="1"/>
  <c r="E5297" i="1"/>
  <c r="D5297" i="1"/>
  <c r="C5297" i="1"/>
  <c r="B5297" i="1"/>
  <c r="A5297" i="1"/>
  <c r="F5296" i="1"/>
  <c r="E5296" i="1"/>
  <c r="D5296" i="1"/>
  <c r="C5296" i="1"/>
  <c r="B5296" i="1"/>
  <c r="A5296" i="1"/>
  <c r="F5295" i="1"/>
  <c r="E5295" i="1"/>
  <c r="D5295" i="1"/>
  <c r="C5295" i="1"/>
  <c r="B5295" i="1"/>
  <c r="A5295" i="1"/>
  <c r="F5294" i="1"/>
  <c r="E5294" i="1"/>
  <c r="D5294" i="1"/>
  <c r="C5294" i="1"/>
  <c r="B5294" i="1"/>
  <c r="A5294" i="1"/>
  <c r="F5293" i="1"/>
  <c r="E5293" i="1"/>
  <c r="D5293" i="1"/>
  <c r="C5293" i="1"/>
  <c r="B5293" i="1"/>
  <c r="A5293" i="1"/>
  <c r="F5292" i="1"/>
  <c r="E5292" i="1"/>
  <c r="D5292" i="1"/>
  <c r="C5292" i="1"/>
  <c r="B5292" i="1"/>
  <c r="A5292" i="1"/>
  <c r="F5291" i="1"/>
  <c r="E5291" i="1"/>
  <c r="D5291" i="1"/>
  <c r="C5291" i="1"/>
  <c r="B5291" i="1"/>
  <c r="A5291" i="1"/>
  <c r="F5290" i="1"/>
  <c r="E5290" i="1"/>
  <c r="D5290" i="1"/>
  <c r="C5290" i="1"/>
  <c r="B5290" i="1"/>
  <c r="A5290" i="1"/>
  <c r="F5289" i="1"/>
  <c r="E5289" i="1"/>
  <c r="D5289" i="1"/>
  <c r="C5289" i="1"/>
  <c r="B5289" i="1"/>
  <c r="A5289" i="1"/>
  <c r="F5288" i="1"/>
  <c r="E5288" i="1"/>
  <c r="D5288" i="1"/>
  <c r="C5288" i="1"/>
  <c r="B5288" i="1"/>
  <c r="A5288" i="1"/>
  <c r="F5287" i="1"/>
  <c r="E5287" i="1"/>
  <c r="D5287" i="1"/>
  <c r="C5287" i="1"/>
  <c r="B5287" i="1"/>
  <c r="A5287" i="1"/>
  <c r="F5286" i="1"/>
  <c r="E5286" i="1"/>
  <c r="D5286" i="1"/>
  <c r="C5286" i="1"/>
  <c r="B5286" i="1"/>
  <c r="A5286" i="1"/>
  <c r="F5285" i="1"/>
  <c r="E5285" i="1"/>
  <c r="D5285" i="1"/>
  <c r="C5285" i="1"/>
  <c r="B5285" i="1"/>
  <c r="A5285" i="1"/>
  <c r="F5284" i="1"/>
  <c r="E5284" i="1"/>
  <c r="D5284" i="1"/>
  <c r="C5284" i="1"/>
  <c r="B5284" i="1"/>
  <c r="A5284" i="1"/>
  <c r="F5283" i="1"/>
  <c r="E5283" i="1"/>
  <c r="D5283" i="1"/>
  <c r="C5283" i="1"/>
  <c r="B5283" i="1"/>
  <c r="A5283" i="1"/>
  <c r="F5282" i="1"/>
  <c r="E5282" i="1"/>
  <c r="D5282" i="1"/>
  <c r="C5282" i="1"/>
  <c r="B5282" i="1"/>
  <c r="A5282" i="1"/>
  <c r="F5281" i="1"/>
  <c r="E5281" i="1"/>
  <c r="D5281" i="1"/>
  <c r="C5281" i="1"/>
  <c r="B5281" i="1"/>
  <c r="A5281" i="1"/>
  <c r="F5280" i="1"/>
  <c r="E5280" i="1"/>
  <c r="D5280" i="1"/>
  <c r="C5280" i="1"/>
  <c r="B5280" i="1"/>
  <c r="A5280" i="1"/>
  <c r="F5279" i="1"/>
  <c r="E5279" i="1"/>
  <c r="D5279" i="1"/>
  <c r="C5279" i="1"/>
  <c r="B5279" i="1"/>
  <c r="A5279" i="1"/>
  <c r="F5278" i="1"/>
  <c r="E5278" i="1"/>
  <c r="D5278" i="1"/>
  <c r="C5278" i="1"/>
  <c r="B5278" i="1"/>
  <c r="A5278" i="1"/>
  <c r="F5277" i="1"/>
  <c r="E5277" i="1"/>
  <c r="D5277" i="1"/>
  <c r="C5277" i="1"/>
  <c r="B5277" i="1"/>
  <c r="A5277" i="1"/>
  <c r="F5276" i="1"/>
  <c r="E5276" i="1"/>
  <c r="D5276" i="1"/>
  <c r="C5276" i="1"/>
  <c r="B5276" i="1"/>
  <c r="A5276" i="1"/>
  <c r="F5275" i="1"/>
  <c r="E5275" i="1"/>
  <c r="D5275" i="1"/>
  <c r="C5275" i="1"/>
  <c r="B5275" i="1"/>
  <c r="A5275" i="1"/>
  <c r="F5274" i="1"/>
  <c r="E5274" i="1"/>
  <c r="D5274" i="1"/>
  <c r="C5274" i="1"/>
  <c r="B5274" i="1"/>
  <c r="A5274" i="1"/>
  <c r="F5273" i="1"/>
  <c r="E5273" i="1"/>
  <c r="D5273" i="1"/>
  <c r="C5273" i="1"/>
  <c r="B5273" i="1"/>
  <c r="A5273" i="1"/>
  <c r="F5272" i="1"/>
  <c r="E5272" i="1"/>
  <c r="D5272" i="1"/>
  <c r="C5272" i="1"/>
  <c r="B5272" i="1"/>
  <c r="A5272" i="1"/>
  <c r="F5271" i="1"/>
  <c r="E5271" i="1"/>
  <c r="D5271" i="1"/>
  <c r="C5271" i="1"/>
  <c r="B5271" i="1"/>
  <c r="A5271" i="1"/>
  <c r="F5270" i="1"/>
  <c r="E5270" i="1"/>
  <c r="D5270" i="1"/>
  <c r="C5270" i="1"/>
  <c r="B5270" i="1"/>
  <c r="A5270" i="1"/>
  <c r="F5269" i="1"/>
  <c r="E5269" i="1"/>
  <c r="D5269" i="1"/>
  <c r="C5269" i="1"/>
  <c r="B5269" i="1"/>
  <c r="A5269" i="1"/>
  <c r="F5268" i="1"/>
  <c r="E5268" i="1"/>
  <c r="D5268" i="1"/>
  <c r="C5268" i="1"/>
  <c r="B5268" i="1"/>
  <c r="A5268" i="1"/>
  <c r="F5267" i="1"/>
  <c r="E5267" i="1"/>
  <c r="D5267" i="1"/>
  <c r="C5267" i="1"/>
  <c r="B5267" i="1"/>
  <c r="A5267" i="1"/>
  <c r="F5266" i="1"/>
  <c r="E5266" i="1"/>
  <c r="D5266" i="1"/>
  <c r="C5266" i="1"/>
  <c r="B5266" i="1"/>
  <c r="A5266" i="1"/>
  <c r="F5265" i="1"/>
  <c r="E5265" i="1"/>
  <c r="D5265" i="1"/>
  <c r="C5265" i="1"/>
  <c r="B5265" i="1"/>
  <c r="A5265" i="1"/>
  <c r="F5264" i="1"/>
  <c r="E5264" i="1"/>
  <c r="D5264" i="1"/>
  <c r="C5264" i="1"/>
  <c r="B5264" i="1"/>
  <c r="A5264" i="1"/>
  <c r="F5263" i="1"/>
  <c r="E5263" i="1"/>
  <c r="D5263" i="1"/>
  <c r="C5263" i="1"/>
  <c r="B5263" i="1"/>
  <c r="A5263" i="1"/>
  <c r="F5262" i="1"/>
  <c r="E5262" i="1"/>
  <c r="D5262" i="1"/>
  <c r="C5262" i="1"/>
  <c r="B5262" i="1"/>
  <c r="A5262" i="1"/>
  <c r="F5261" i="1"/>
  <c r="E5261" i="1"/>
  <c r="D5261" i="1"/>
  <c r="C5261" i="1"/>
  <c r="B5261" i="1"/>
  <c r="A5261" i="1"/>
  <c r="F5260" i="1"/>
  <c r="E5260" i="1"/>
  <c r="D5260" i="1"/>
  <c r="C5260" i="1"/>
  <c r="B5260" i="1"/>
  <c r="A5260" i="1"/>
  <c r="F5259" i="1"/>
  <c r="E5259" i="1"/>
  <c r="D5259" i="1"/>
  <c r="C5259" i="1"/>
  <c r="B5259" i="1"/>
  <c r="A5259" i="1"/>
  <c r="F5258" i="1"/>
  <c r="E5258" i="1"/>
  <c r="D5258" i="1"/>
  <c r="C5258" i="1"/>
  <c r="B5258" i="1"/>
  <c r="A5258" i="1"/>
  <c r="F5257" i="1"/>
  <c r="E5257" i="1"/>
  <c r="D5257" i="1"/>
  <c r="C5257" i="1"/>
  <c r="B5257" i="1"/>
  <c r="A5257" i="1"/>
  <c r="F5256" i="1"/>
  <c r="E5256" i="1"/>
  <c r="D5256" i="1"/>
  <c r="C5256" i="1"/>
  <c r="B5256" i="1"/>
  <c r="A5256" i="1"/>
  <c r="F5255" i="1"/>
  <c r="E5255" i="1"/>
  <c r="D5255" i="1"/>
  <c r="C5255" i="1"/>
  <c r="B5255" i="1"/>
  <c r="A5255" i="1"/>
  <c r="F5254" i="1"/>
  <c r="E5254" i="1"/>
  <c r="D5254" i="1"/>
  <c r="C5254" i="1"/>
  <c r="B5254" i="1"/>
  <c r="A5254" i="1"/>
  <c r="F5253" i="1"/>
  <c r="E5253" i="1"/>
  <c r="D5253" i="1"/>
  <c r="C5253" i="1"/>
  <c r="B5253" i="1"/>
  <c r="A5253" i="1"/>
  <c r="F5252" i="1"/>
  <c r="E5252" i="1"/>
  <c r="D5252" i="1"/>
  <c r="C5252" i="1"/>
  <c r="B5252" i="1"/>
  <c r="A5252" i="1"/>
  <c r="F5251" i="1"/>
  <c r="E5251" i="1"/>
  <c r="D5251" i="1"/>
  <c r="C5251" i="1"/>
  <c r="B5251" i="1"/>
  <c r="A5251" i="1"/>
  <c r="F5250" i="1"/>
  <c r="E5250" i="1"/>
  <c r="D5250" i="1"/>
  <c r="C5250" i="1"/>
  <c r="B5250" i="1"/>
  <c r="A5250" i="1"/>
  <c r="F5249" i="1"/>
  <c r="E5249" i="1"/>
  <c r="D5249" i="1"/>
  <c r="C5249" i="1"/>
  <c r="B5249" i="1"/>
  <c r="A5249" i="1"/>
  <c r="F5248" i="1"/>
  <c r="E5248" i="1"/>
  <c r="D5248" i="1"/>
  <c r="C5248" i="1"/>
  <c r="B5248" i="1"/>
  <c r="A5248" i="1"/>
  <c r="F5247" i="1"/>
  <c r="E5247" i="1"/>
  <c r="D5247" i="1"/>
  <c r="C5247" i="1"/>
  <c r="B5247" i="1"/>
  <c r="A5247" i="1"/>
  <c r="F5246" i="1"/>
  <c r="E5246" i="1"/>
  <c r="D5246" i="1"/>
  <c r="C5246" i="1"/>
  <c r="B5246" i="1"/>
  <c r="A5246" i="1"/>
  <c r="F5245" i="1"/>
  <c r="E5245" i="1"/>
  <c r="D5245" i="1"/>
  <c r="C5245" i="1"/>
  <c r="B5245" i="1"/>
  <c r="A5245" i="1"/>
  <c r="F5244" i="1"/>
  <c r="E5244" i="1"/>
  <c r="D5244" i="1"/>
  <c r="C5244" i="1"/>
  <c r="B5244" i="1"/>
  <c r="A5244" i="1"/>
  <c r="F5243" i="1"/>
  <c r="E5243" i="1"/>
  <c r="D5243" i="1"/>
  <c r="C5243" i="1"/>
  <c r="B5243" i="1"/>
  <c r="A5243" i="1"/>
  <c r="F5242" i="1"/>
  <c r="E5242" i="1"/>
  <c r="D5242" i="1"/>
  <c r="C5242" i="1"/>
  <c r="B5242" i="1"/>
  <c r="A5242" i="1"/>
  <c r="F5241" i="1"/>
  <c r="E5241" i="1"/>
  <c r="D5241" i="1"/>
  <c r="C5241" i="1"/>
  <c r="B5241" i="1"/>
  <c r="A5241" i="1"/>
  <c r="F5240" i="1"/>
  <c r="E5240" i="1"/>
  <c r="D5240" i="1"/>
  <c r="C5240" i="1"/>
  <c r="B5240" i="1"/>
  <c r="A5240" i="1"/>
  <c r="F5239" i="1"/>
  <c r="E5239" i="1"/>
  <c r="D5239" i="1"/>
  <c r="C5239" i="1"/>
  <c r="B5239" i="1"/>
  <c r="A5239" i="1"/>
  <c r="F5238" i="1"/>
  <c r="E5238" i="1"/>
  <c r="D5238" i="1"/>
  <c r="C5238" i="1"/>
  <c r="B5238" i="1"/>
  <c r="A5238" i="1"/>
  <c r="F5237" i="1"/>
  <c r="E5237" i="1"/>
  <c r="D5237" i="1"/>
  <c r="C5237" i="1"/>
  <c r="B5237" i="1"/>
  <c r="A5237" i="1"/>
  <c r="F5236" i="1"/>
  <c r="E5236" i="1"/>
  <c r="D5236" i="1"/>
  <c r="C5236" i="1"/>
  <c r="B5236" i="1"/>
  <c r="A5236" i="1"/>
  <c r="F5235" i="1"/>
  <c r="E5235" i="1"/>
  <c r="D5235" i="1"/>
  <c r="C5235" i="1"/>
  <c r="B5235" i="1"/>
  <c r="A5235" i="1"/>
  <c r="F5234" i="1"/>
  <c r="E5234" i="1"/>
  <c r="D5234" i="1"/>
  <c r="C5234" i="1"/>
  <c r="B5234" i="1"/>
  <c r="A5234" i="1"/>
  <c r="F5233" i="1"/>
  <c r="E5233" i="1"/>
  <c r="D5233" i="1"/>
  <c r="C5233" i="1"/>
  <c r="B5233" i="1"/>
  <c r="A5233" i="1"/>
  <c r="F5232" i="1"/>
  <c r="E5232" i="1"/>
  <c r="D5232" i="1"/>
  <c r="C5232" i="1"/>
  <c r="B5232" i="1"/>
  <c r="A5232" i="1"/>
  <c r="F5231" i="1"/>
  <c r="E5231" i="1"/>
  <c r="D5231" i="1"/>
  <c r="C5231" i="1"/>
  <c r="B5231" i="1"/>
  <c r="A5231" i="1"/>
  <c r="F5230" i="1"/>
  <c r="E5230" i="1"/>
  <c r="D5230" i="1"/>
  <c r="C5230" i="1"/>
  <c r="B5230" i="1"/>
  <c r="A5230" i="1"/>
  <c r="F5229" i="1"/>
  <c r="E5229" i="1"/>
  <c r="D5229" i="1"/>
  <c r="C5229" i="1"/>
  <c r="B5229" i="1"/>
  <c r="A5229" i="1"/>
  <c r="F5228" i="1"/>
  <c r="E5228" i="1"/>
  <c r="D5228" i="1"/>
  <c r="C5228" i="1"/>
  <c r="B5228" i="1"/>
  <c r="A5228" i="1"/>
  <c r="F5227" i="1"/>
  <c r="E5227" i="1"/>
  <c r="D5227" i="1"/>
  <c r="C5227" i="1"/>
  <c r="B5227" i="1"/>
  <c r="A5227" i="1"/>
  <c r="F5226" i="1"/>
  <c r="E5226" i="1"/>
  <c r="D5226" i="1"/>
  <c r="C5226" i="1"/>
  <c r="B5226" i="1"/>
  <c r="A5226" i="1"/>
  <c r="F5225" i="1"/>
  <c r="E5225" i="1"/>
  <c r="D5225" i="1"/>
  <c r="C5225" i="1"/>
  <c r="B5225" i="1"/>
  <c r="A5225" i="1"/>
  <c r="F5224" i="1"/>
  <c r="E5224" i="1"/>
  <c r="D5224" i="1"/>
  <c r="C5224" i="1"/>
  <c r="B5224" i="1"/>
  <c r="A5224" i="1"/>
  <c r="F5223" i="1"/>
  <c r="E5223" i="1"/>
  <c r="D5223" i="1"/>
  <c r="C5223" i="1"/>
  <c r="B5223" i="1"/>
  <c r="A5223" i="1"/>
  <c r="F5222" i="1"/>
  <c r="E5222" i="1"/>
  <c r="D5222" i="1"/>
  <c r="C5222" i="1"/>
  <c r="B5222" i="1"/>
  <c r="A5222" i="1"/>
  <c r="F5221" i="1"/>
  <c r="E5221" i="1"/>
  <c r="D5221" i="1"/>
  <c r="C5221" i="1"/>
  <c r="B5221" i="1"/>
  <c r="A5221" i="1"/>
  <c r="F5220" i="1"/>
  <c r="E5220" i="1"/>
  <c r="D5220" i="1"/>
  <c r="C5220" i="1"/>
  <c r="B5220" i="1"/>
  <c r="A5220" i="1"/>
  <c r="F5219" i="1"/>
  <c r="E5219" i="1"/>
  <c r="D5219" i="1"/>
  <c r="C5219" i="1"/>
  <c r="B5219" i="1"/>
  <c r="A5219" i="1"/>
  <c r="F5218" i="1"/>
  <c r="E5218" i="1"/>
  <c r="D5218" i="1"/>
  <c r="C5218" i="1"/>
  <c r="B5218" i="1"/>
  <c r="A5218" i="1"/>
  <c r="F5217" i="1"/>
  <c r="E5217" i="1"/>
  <c r="D5217" i="1"/>
  <c r="C5217" i="1"/>
  <c r="B5217" i="1"/>
  <c r="A5217" i="1"/>
  <c r="F5216" i="1"/>
  <c r="E5216" i="1"/>
  <c r="D5216" i="1"/>
  <c r="C5216" i="1"/>
  <c r="B5216" i="1"/>
  <c r="A5216" i="1"/>
  <c r="F5215" i="1"/>
  <c r="E5215" i="1"/>
  <c r="D5215" i="1"/>
  <c r="C5215" i="1"/>
  <c r="B5215" i="1"/>
  <c r="A5215" i="1"/>
  <c r="F5214" i="1"/>
  <c r="E5214" i="1"/>
  <c r="D5214" i="1"/>
  <c r="C5214" i="1"/>
  <c r="B5214" i="1"/>
  <c r="A5214" i="1"/>
  <c r="F5213" i="1"/>
  <c r="E5213" i="1"/>
  <c r="D5213" i="1"/>
  <c r="C5213" i="1"/>
  <c r="B5213" i="1"/>
  <c r="A5213" i="1"/>
  <c r="F5212" i="1"/>
  <c r="E5212" i="1"/>
  <c r="D5212" i="1"/>
  <c r="C5212" i="1"/>
  <c r="B5212" i="1"/>
  <c r="A5212" i="1"/>
  <c r="F5211" i="1"/>
  <c r="E5211" i="1"/>
  <c r="D5211" i="1"/>
  <c r="C5211" i="1"/>
  <c r="B5211" i="1"/>
  <c r="A5211" i="1"/>
  <c r="F5210" i="1"/>
  <c r="E5210" i="1"/>
  <c r="D5210" i="1"/>
  <c r="C5210" i="1"/>
  <c r="B5210" i="1"/>
  <c r="A5210" i="1"/>
  <c r="F5209" i="1"/>
  <c r="E5209" i="1"/>
  <c r="D5209" i="1"/>
  <c r="C5209" i="1"/>
  <c r="B5209" i="1"/>
  <c r="A5209" i="1"/>
  <c r="F5208" i="1"/>
  <c r="E5208" i="1"/>
  <c r="D5208" i="1"/>
  <c r="C5208" i="1"/>
  <c r="B5208" i="1"/>
  <c r="A5208" i="1"/>
  <c r="F5207" i="1"/>
  <c r="E5207" i="1"/>
  <c r="D5207" i="1"/>
  <c r="C5207" i="1"/>
  <c r="B5207" i="1"/>
  <c r="A5207" i="1"/>
  <c r="F5206" i="1"/>
  <c r="E5206" i="1"/>
  <c r="D5206" i="1"/>
  <c r="C5206" i="1"/>
  <c r="B5206" i="1"/>
  <c r="A5206" i="1"/>
  <c r="F5205" i="1"/>
  <c r="E5205" i="1"/>
  <c r="D5205" i="1"/>
  <c r="C5205" i="1"/>
  <c r="B5205" i="1"/>
  <c r="A5205" i="1"/>
  <c r="F5204" i="1"/>
  <c r="E5204" i="1"/>
  <c r="D5204" i="1"/>
  <c r="C5204" i="1"/>
  <c r="B5204" i="1"/>
  <c r="A5204" i="1"/>
  <c r="F5203" i="1"/>
  <c r="E5203" i="1"/>
  <c r="D5203" i="1"/>
  <c r="C5203" i="1"/>
  <c r="B5203" i="1"/>
  <c r="A5203" i="1"/>
  <c r="F5202" i="1"/>
  <c r="E5202" i="1"/>
  <c r="D5202" i="1"/>
  <c r="C5202" i="1"/>
  <c r="B5202" i="1"/>
  <c r="A5202" i="1"/>
  <c r="F5201" i="1"/>
  <c r="E5201" i="1"/>
  <c r="D5201" i="1"/>
  <c r="C5201" i="1"/>
  <c r="B5201" i="1"/>
  <c r="A5201" i="1"/>
  <c r="F5200" i="1"/>
  <c r="E5200" i="1"/>
  <c r="D5200" i="1"/>
  <c r="C5200" i="1"/>
  <c r="B5200" i="1"/>
  <c r="A5200" i="1"/>
  <c r="F5199" i="1"/>
  <c r="E5199" i="1"/>
  <c r="D5199" i="1"/>
  <c r="C5199" i="1"/>
  <c r="B5199" i="1"/>
  <c r="A5199" i="1"/>
  <c r="F5198" i="1"/>
  <c r="E5198" i="1"/>
  <c r="D5198" i="1"/>
  <c r="C5198" i="1"/>
  <c r="B5198" i="1"/>
  <c r="A5198" i="1"/>
  <c r="F5197" i="1"/>
  <c r="E5197" i="1"/>
  <c r="D5197" i="1"/>
  <c r="C5197" i="1"/>
  <c r="B5197" i="1"/>
  <c r="A5197" i="1"/>
  <c r="F5196" i="1"/>
  <c r="E5196" i="1"/>
  <c r="D5196" i="1"/>
  <c r="C5196" i="1"/>
  <c r="B5196" i="1"/>
  <c r="A5196" i="1"/>
  <c r="F5195" i="1"/>
  <c r="E5195" i="1"/>
  <c r="D5195" i="1"/>
  <c r="C5195" i="1"/>
  <c r="B5195" i="1"/>
  <c r="A5195" i="1"/>
  <c r="F5194" i="1"/>
  <c r="E5194" i="1"/>
  <c r="D5194" i="1"/>
  <c r="C5194" i="1"/>
  <c r="B5194" i="1"/>
  <c r="A5194" i="1"/>
  <c r="F5193" i="1"/>
  <c r="E5193" i="1"/>
  <c r="D5193" i="1"/>
  <c r="C5193" i="1"/>
  <c r="B5193" i="1"/>
  <c r="A5193" i="1"/>
  <c r="F5192" i="1"/>
  <c r="E5192" i="1"/>
  <c r="D5192" i="1"/>
  <c r="C5192" i="1"/>
  <c r="B5192" i="1"/>
  <c r="A5192" i="1"/>
  <c r="F5191" i="1"/>
  <c r="E5191" i="1"/>
  <c r="D5191" i="1"/>
  <c r="C5191" i="1"/>
  <c r="B5191" i="1"/>
  <c r="A5191" i="1"/>
  <c r="F5190" i="1"/>
  <c r="E5190" i="1"/>
  <c r="D5190" i="1"/>
  <c r="C5190" i="1"/>
  <c r="B5190" i="1"/>
  <c r="A5190" i="1"/>
  <c r="F5189" i="1"/>
  <c r="E5189" i="1"/>
  <c r="D5189" i="1"/>
  <c r="C5189" i="1"/>
  <c r="B5189" i="1"/>
  <c r="A5189" i="1"/>
  <c r="F5188" i="1"/>
  <c r="E5188" i="1"/>
  <c r="D5188" i="1"/>
  <c r="C5188" i="1"/>
  <c r="B5188" i="1"/>
  <c r="A5188" i="1"/>
  <c r="F5187" i="1"/>
  <c r="E5187" i="1"/>
  <c r="D5187" i="1"/>
  <c r="C5187" i="1"/>
  <c r="B5187" i="1"/>
  <c r="A5187" i="1"/>
  <c r="F5186" i="1"/>
  <c r="E5186" i="1"/>
  <c r="D5186" i="1"/>
  <c r="C5186" i="1"/>
  <c r="B5186" i="1"/>
  <c r="A5186" i="1"/>
  <c r="F5185" i="1"/>
  <c r="E5185" i="1"/>
  <c r="D5185" i="1"/>
  <c r="C5185" i="1"/>
  <c r="B5185" i="1"/>
  <c r="A5185" i="1"/>
  <c r="F5184" i="1"/>
  <c r="E5184" i="1"/>
  <c r="D5184" i="1"/>
  <c r="C5184" i="1"/>
  <c r="B5184" i="1"/>
  <c r="A5184" i="1"/>
  <c r="F5183" i="1"/>
  <c r="E5183" i="1"/>
  <c r="D5183" i="1"/>
  <c r="C5183" i="1"/>
  <c r="B5183" i="1"/>
  <c r="A5183" i="1"/>
  <c r="F5182" i="1"/>
  <c r="E5182" i="1"/>
  <c r="D5182" i="1"/>
  <c r="C5182" i="1"/>
  <c r="B5182" i="1"/>
  <c r="A5182" i="1"/>
  <c r="F5181" i="1"/>
  <c r="E5181" i="1"/>
  <c r="D5181" i="1"/>
  <c r="C5181" i="1"/>
  <c r="B5181" i="1"/>
  <c r="A5181" i="1"/>
  <c r="F5180" i="1"/>
  <c r="E5180" i="1"/>
  <c r="D5180" i="1"/>
  <c r="C5180" i="1"/>
  <c r="B5180" i="1"/>
  <c r="A5180" i="1"/>
  <c r="F5179" i="1"/>
  <c r="E5179" i="1"/>
  <c r="D5179" i="1"/>
  <c r="C5179" i="1"/>
  <c r="B5179" i="1"/>
  <c r="A5179" i="1"/>
  <c r="F5178" i="1"/>
  <c r="E5178" i="1"/>
  <c r="D5178" i="1"/>
  <c r="C5178" i="1"/>
  <c r="B5178" i="1"/>
  <c r="A5178" i="1"/>
  <c r="F5177" i="1"/>
  <c r="E5177" i="1"/>
  <c r="D5177" i="1"/>
  <c r="C5177" i="1"/>
  <c r="B5177" i="1"/>
  <c r="A5177" i="1"/>
  <c r="F5176" i="1"/>
  <c r="E5176" i="1"/>
  <c r="D5176" i="1"/>
  <c r="C5176" i="1"/>
  <c r="B5176" i="1"/>
  <c r="A5176" i="1"/>
  <c r="F5175" i="1"/>
  <c r="E5175" i="1"/>
  <c r="D5175" i="1"/>
  <c r="C5175" i="1"/>
  <c r="B5175" i="1"/>
  <c r="A5175" i="1"/>
  <c r="F5174" i="1"/>
  <c r="E5174" i="1"/>
  <c r="D5174" i="1"/>
  <c r="C5174" i="1"/>
  <c r="B5174" i="1"/>
  <c r="A5174" i="1"/>
  <c r="F5173" i="1"/>
  <c r="E5173" i="1"/>
  <c r="D5173" i="1"/>
  <c r="C5173" i="1"/>
  <c r="B5173" i="1"/>
  <c r="A5173" i="1"/>
  <c r="F5172" i="1"/>
  <c r="E5172" i="1"/>
  <c r="D5172" i="1"/>
  <c r="C5172" i="1"/>
  <c r="B5172" i="1"/>
  <c r="A5172" i="1"/>
  <c r="F5171" i="1"/>
  <c r="E5171" i="1"/>
  <c r="D5171" i="1"/>
  <c r="C5171" i="1"/>
  <c r="B5171" i="1"/>
  <c r="A5171" i="1"/>
  <c r="F5170" i="1"/>
  <c r="E5170" i="1"/>
  <c r="D5170" i="1"/>
  <c r="C5170" i="1"/>
  <c r="B5170" i="1"/>
  <c r="A5170" i="1"/>
  <c r="F5169" i="1"/>
  <c r="E5169" i="1"/>
  <c r="D5169" i="1"/>
  <c r="C5169" i="1"/>
  <c r="B5169" i="1"/>
  <c r="A5169" i="1"/>
  <c r="F5168" i="1"/>
  <c r="E5168" i="1"/>
  <c r="D5168" i="1"/>
  <c r="C5168" i="1"/>
  <c r="B5168" i="1"/>
  <c r="A5168" i="1"/>
  <c r="F5167" i="1"/>
  <c r="E5167" i="1"/>
  <c r="D5167" i="1"/>
  <c r="C5167" i="1"/>
  <c r="B5167" i="1"/>
  <c r="A5167" i="1"/>
  <c r="F5166" i="1"/>
  <c r="E5166" i="1"/>
  <c r="D5166" i="1"/>
  <c r="C5166" i="1"/>
  <c r="B5166" i="1"/>
  <c r="A5166" i="1"/>
  <c r="F5165" i="1"/>
  <c r="E5165" i="1"/>
  <c r="D5165" i="1"/>
  <c r="C5165" i="1"/>
  <c r="B5165" i="1"/>
  <c r="A5165" i="1"/>
  <c r="F5164" i="1"/>
  <c r="E5164" i="1"/>
  <c r="D5164" i="1"/>
  <c r="C5164" i="1"/>
  <c r="B5164" i="1"/>
  <c r="A5164" i="1"/>
  <c r="F5163" i="1"/>
  <c r="E5163" i="1"/>
  <c r="D5163" i="1"/>
  <c r="C5163" i="1"/>
  <c r="B5163" i="1"/>
  <c r="A5163" i="1"/>
  <c r="F5162" i="1"/>
  <c r="E5162" i="1"/>
  <c r="D5162" i="1"/>
  <c r="C5162" i="1"/>
  <c r="B5162" i="1"/>
  <c r="A5162" i="1"/>
  <c r="F5161" i="1"/>
  <c r="E5161" i="1"/>
  <c r="D5161" i="1"/>
  <c r="C5161" i="1"/>
  <c r="B5161" i="1"/>
  <c r="A5161" i="1"/>
  <c r="F5160" i="1"/>
  <c r="E5160" i="1"/>
  <c r="D5160" i="1"/>
  <c r="C5160" i="1"/>
  <c r="B5160" i="1"/>
  <c r="A5160" i="1"/>
  <c r="F5159" i="1"/>
  <c r="E5159" i="1"/>
  <c r="D5159" i="1"/>
  <c r="C5159" i="1"/>
  <c r="B5159" i="1"/>
  <c r="A5159" i="1"/>
  <c r="F5158" i="1"/>
  <c r="E5158" i="1"/>
  <c r="D5158" i="1"/>
  <c r="C5158" i="1"/>
  <c r="B5158" i="1"/>
  <c r="A5158" i="1"/>
  <c r="F5157" i="1"/>
  <c r="E5157" i="1"/>
  <c r="D5157" i="1"/>
  <c r="C5157" i="1"/>
  <c r="B5157" i="1"/>
  <c r="A5157" i="1"/>
  <c r="F5156" i="1"/>
  <c r="E5156" i="1"/>
  <c r="D5156" i="1"/>
  <c r="C5156" i="1"/>
  <c r="B5156" i="1"/>
  <c r="A5156" i="1"/>
  <c r="F5155" i="1"/>
  <c r="E5155" i="1"/>
  <c r="D5155" i="1"/>
  <c r="C5155" i="1"/>
  <c r="B5155" i="1"/>
  <c r="A5155" i="1"/>
  <c r="F5154" i="1"/>
  <c r="E5154" i="1"/>
  <c r="D5154" i="1"/>
  <c r="C5154" i="1"/>
  <c r="B5154" i="1"/>
  <c r="A5154" i="1"/>
  <c r="F5153" i="1"/>
  <c r="E5153" i="1"/>
  <c r="D5153" i="1"/>
  <c r="C5153" i="1"/>
  <c r="B5153" i="1"/>
  <c r="A5153" i="1"/>
  <c r="F5152" i="1"/>
  <c r="E5152" i="1"/>
  <c r="D5152" i="1"/>
  <c r="C5152" i="1"/>
  <c r="B5152" i="1"/>
  <c r="A5152" i="1"/>
  <c r="F5151" i="1"/>
  <c r="E5151" i="1"/>
  <c r="D5151" i="1"/>
  <c r="C5151" i="1"/>
  <c r="B5151" i="1"/>
  <c r="A5151" i="1"/>
  <c r="F5150" i="1"/>
  <c r="E5150" i="1"/>
  <c r="D5150" i="1"/>
  <c r="C5150" i="1"/>
  <c r="B5150" i="1"/>
  <c r="A5150" i="1"/>
  <c r="F5149" i="1"/>
  <c r="E5149" i="1"/>
  <c r="D5149" i="1"/>
  <c r="C5149" i="1"/>
  <c r="B5149" i="1"/>
  <c r="A5149" i="1"/>
  <c r="F5148" i="1"/>
  <c r="E5148" i="1"/>
  <c r="D5148" i="1"/>
  <c r="C5148" i="1"/>
  <c r="B5148" i="1"/>
  <c r="A5148" i="1"/>
  <c r="F5147" i="1"/>
  <c r="E5147" i="1"/>
  <c r="D5147" i="1"/>
  <c r="C5147" i="1"/>
  <c r="B5147" i="1"/>
  <c r="A5147" i="1"/>
  <c r="F5146" i="1"/>
  <c r="E5146" i="1"/>
  <c r="D5146" i="1"/>
  <c r="C5146" i="1"/>
  <c r="B5146" i="1"/>
  <c r="A5146" i="1"/>
  <c r="F5145" i="1"/>
  <c r="E5145" i="1"/>
  <c r="D5145" i="1"/>
  <c r="C5145" i="1"/>
  <c r="B5145" i="1"/>
  <c r="A5145" i="1"/>
  <c r="F5144" i="1"/>
  <c r="E5144" i="1"/>
  <c r="D5144" i="1"/>
  <c r="C5144" i="1"/>
  <c r="B5144" i="1"/>
  <c r="A5144" i="1"/>
  <c r="F5143" i="1"/>
  <c r="E5143" i="1"/>
  <c r="D5143" i="1"/>
  <c r="C5143" i="1"/>
  <c r="B5143" i="1"/>
  <c r="A5143" i="1"/>
  <c r="F5142" i="1"/>
  <c r="E5142" i="1"/>
  <c r="D5142" i="1"/>
  <c r="C5142" i="1"/>
  <c r="B5142" i="1"/>
  <c r="A5142" i="1"/>
  <c r="F5141" i="1"/>
  <c r="E5141" i="1"/>
  <c r="D5141" i="1"/>
  <c r="C5141" i="1"/>
  <c r="B5141" i="1"/>
  <c r="A5141" i="1"/>
  <c r="F5140" i="1"/>
  <c r="E5140" i="1"/>
  <c r="D5140" i="1"/>
  <c r="C5140" i="1"/>
  <c r="B5140" i="1"/>
  <c r="A5140" i="1"/>
  <c r="F5139" i="1"/>
  <c r="E5139" i="1"/>
  <c r="D5139" i="1"/>
  <c r="C5139" i="1"/>
  <c r="B5139" i="1"/>
  <c r="A5139" i="1"/>
  <c r="F5138" i="1"/>
  <c r="E5138" i="1"/>
  <c r="D5138" i="1"/>
  <c r="C5138" i="1"/>
  <c r="B5138" i="1"/>
  <c r="A5138" i="1"/>
  <c r="F5137" i="1"/>
  <c r="E5137" i="1"/>
  <c r="D5137" i="1"/>
  <c r="C5137" i="1"/>
  <c r="B5137" i="1"/>
  <c r="A5137" i="1"/>
  <c r="F5136" i="1"/>
  <c r="E5136" i="1"/>
  <c r="D5136" i="1"/>
  <c r="C5136" i="1"/>
  <c r="B5136" i="1"/>
  <c r="A5136" i="1"/>
  <c r="F5135" i="1"/>
  <c r="E5135" i="1"/>
  <c r="D5135" i="1"/>
  <c r="C5135" i="1"/>
  <c r="B5135" i="1"/>
  <c r="A5135" i="1"/>
  <c r="F5134" i="1"/>
  <c r="E5134" i="1"/>
  <c r="D5134" i="1"/>
  <c r="C5134" i="1"/>
  <c r="B5134" i="1"/>
  <c r="A5134" i="1"/>
  <c r="F5133" i="1"/>
  <c r="E5133" i="1"/>
  <c r="D5133" i="1"/>
  <c r="C5133" i="1"/>
  <c r="B5133" i="1"/>
  <c r="A5133" i="1"/>
  <c r="F5132" i="1"/>
  <c r="E5132" i="1"/>
  <c r="D5132" i="1"/>
  <c r="C5132" i="1"/>
  <c r="B5132" i="1"/>
  <c r="A5132" i="1"/>
  <c r="F5131" i="1"/>
  <c r="E5131" i="1"/>
  <c r="D5131" i="1"/>
  <c r="C5131" i="1"/>
  <c r="B5131" i="1"/>
  <c r="A5131" i="1"/>
  <c r="F5130" i="1"/>
  <c r="E5130" i="1"/>
  <c r="D5130" i="1"/>
  <c r="C5130" i="1"/>
  <c r="B5130" i="1"/>
  <c r="A5130" i="1"/>
  <c r="F5129" i="1"/>
  <c r="E5129" i="1"/>
  <c r="D5129" i="1"/>
  <c r="C5129" i="1"/>
  <c r="B5129" i="1"/>
  <c r="A5129" i="1"/>
  <c r="F5128" i="1"/>
  <c r="E5128" i="1"/>
  <c r="D5128" i="1"/>
  <c r="C5128" i="1"/>
  <c r="B5128" i="1"/>
  <c r="A5128" i="1"/>
  <c r="F5127" i="1"/>
  <c r="E5127" i="1"/>
  <c r="D5127" i="1"/>
  <c r="C5127" i="1"/>
  <c r="B5127" i="1"/>
  <c r="A5127" i="1"/>
  <c r="F5126" i="1"/>
  <c r="E5126" i="1"/>
  <c r="D5126" i="1"/>
  <c r="C5126" i="1"/>
  <c r="B5126" i="1"/>
  <c r="A5126" i="1"/>
  <c r="F5125" i="1"/>
  <c r="E5125" i="1"/>
  <c r="D5125" i="1"/>
  <c r="C5125" i="1"/>
  <c r="B5125" i="1"/>
  <c r="A5125" i="1"/>
  <c r="F5124" i="1"/>
  <c r="E5124" i="1"/>
  <c r="D5124" i="1"/>
  <c r="C5124" i="1"/>
  <c r="B5124" i="1"/>
  <c r="A5124" i="1"/>
  <c r="F5123" i="1"/>
  <c r="E5123" i="1"/>
  <c r="D5123" i="1"/>
  <c r="C5123" i="1"/>
  <c r="B5123" i="1"/>
  <c r="A5123" i="1"/>
  <c r="F5122" i="1"/>
  <c r="E5122" i="1"/>
  <c r="D5122" i="1"/>
  <c r="C5122" i="1"/>
  <c r="B5122" i="1"/>
  <c r="A5122" i="1"/>
  <c r="F5121" i="1"/>
  <c r="E5121" i="1"/>
  <c r="D5121" i="1"/>
  <c r="C5121" i="1"/>
  <c r="B5121" i="1"/>
  <c r="A5121" i="1"/>
  <c r="F5120" i="1"/>
  <c r="E5120" i="1"/>
  <c r="D5120" i="1"/>
  <c r="C5120" i="1"/>
  <c r="B5120" i="1"/>
  <c r="A5120" i="1"/>
  <c r="F5119" i="1"/>
  <c r="E5119" i="1"/>
  <c r="D5119" i="1"/>
  <c r="C5119" i="1"/>
  <c r="B5119" i="1"/>
  <c r="A5119" i="1"/>
  <c r="F5118" i="1"/>
  <c r="E5118" i="1"/>
  <c r="D5118" i="1"/>
  <c r="C5118" i="1"/>
  <c r="B5118" i="1"/>
  <c r="A5118" i="1"/>
  <c r="F5117" i="1"/>
  <c r="E5117" i="1"/>
  <c r="D5117" i="1"/>
  <c r="C5117" i="1"/>
  <c r="B5117" i="1"/>
  <c r="A5117" i="1"/>
  <c r="F5116" i="1"/>
  <c r="E5116" i="1"/>
  <c r="D5116" i="1"/>
  <c r="C5116" i="1"/>
  <c r="B5116" i="1"/>
  <c r="A5116" i="1"/>
  <c r="F5115" i="1"/>
  <c r="E5115" i="1"/>
  <c r="D5115" i="1"/>
  <c r="C5115" i="1"/>
  <c r="B5115" i="1"/>
  <c r="A5115" i="1"/>
  <c r="F5114" i="1"/>
  <c r="E5114" i="1"/>
  <c r="D5114" i="1"/>
  <c r="C5114" i="1"/>
  <c r="B5114" i="1"/>
  <c r="A5114" i="1"/>
  <c r="F5113" i="1"/>
  <c r="E5113" i="1"/>
  <c r="D5113" i="1"/>
  <c r="C5113" i="1"/>
  <c r="B5113" i="1"/>
  <c r="A5113" i="1"/>
  <c r="F5112" i="1"/>
  <c r="E5112" i="1"/>
  <c r="D5112" i="1"/>
  <c r="C5112" i="1"/>
  <c r="B5112" i="1"/>
  <c r="A5112" i="1"/>
  <c r="F5111" i="1"/>
  <c r="E5111" i="1"/>
  <c r="D5111" i="1"/>
  <c r="C5111" i="1"/>
  <c r="B5111" i="1"/>
  <c r="A5111" i="1"/>
  <c r="F5110" i="1"/>
  <c r="E5110" i="1"/>
  <c r="D5110" i="1"/>
  <c r="C5110" i="1"/>
  <c r="B5110" i="1"/>
  <c r="A5110" i="1"/>
  <c r="F5109" i="1"/>
  <c r="E5109" i="1"/>
  <c r="D5109" i="1"/>
  <c r="C5109" i="1"/>
  <c r="B5109" i="1"/>
  <c r="A5109" i="1"/>
  <c r="F5108" i="1"/>
  <c r="E5108" i="1"/>
  <c r="D5108" i="1"/>
  <c r="C5108" i="1"/>
  <c r="B5108" i="1"/>
  <c r="A5108" i="1"/>
  <c r="F5107" i="1"/>
  <c r="E5107" i="1"/>
  <c r="D5107" i="1"/>
  <c r="C5107" i="1"/>
  <c r="B5107" i="1"/>
  <c r="A5107" i="1"/>
  <c r="F5106" i="1"/>
  <c r="E5106" i="1"/>
  <c r="D5106" i="1"/>
  <c r="C5106" i="1"/>
  <c r="B5106" i="1"/>
  <c r="A5106" i="1"/>
  <c r="F5105" i="1"/>
  <c r="E5105" i="1"/>
  <c r="D5105" i="1"/>
  <c r="C5105" i="1"/>
  <c r="B5105" i="1"/>
  <c r="A5105" i="1"/>
  <c r="F5104" i="1"/>
  <c r="E5104" i="1"/>
  <c r="D5104" i="1"/>
  <c r="C5104" i="1"/>
  <c r="B5104" i="1"/>
  <c r="A5104" i="1"/>
  <c r="F5103" i="1"/>
  <c r="E5103" i="1"/>
  <c r="D5103" i="1"/>
  <c r="C5103" i="1"/>
  <c r="B5103" i="1"/>
  <c r="A5103" i="1"/>
  <c r="F5102" i="1"/>
  <c r="E5102" i="1"/>
  <c r="D5102" i="1"/>
  <c r="C5102" i="1"/>
  <c r="B5102" i="1"/>
  <c r="A5102" i="1"/>
  <c r="F5101" i="1"/>
  <c r="E5101" i="1"/>
  <c r="D5101" i="1"/>
  <c r="C5101" i="1"/>
  <c r="B5101" i="1"/>
  <c r="A5101" i="1"/>
  <c r="F5100" i="1"/>
  <c r="E5100" i="1"/>
  <c r="D5100" i="1"/>
  <c r="C5100" i="1"/>
  <c r="B5100" i="1"/>
  <c r="A5100" i="1"/>
  <c r="F5099" i="1"/>
  <c r="E5099" i="1"/>
  <c r="D5099" i="1"/>
  <c r="C5099" i="1"/>
  <c r="B5099" i="1"/>
  <c r="A5099" i="1"/>
  <c r="F5098" i="1"/>
  <c r="E5098" i="1"/>
  <c r="D5098" i="1"/>
  <c r="C5098" i="1"/>
  <c r="B5098" i="1"/>
  <c r="A5098" i="1"/>
  <c r="F5097" i="1"/>
  <c r="E5097" i="1"/>
  <c r="D5097" i="1"/>
  <c r="C5097" i="1"/>
  <c r="B5097" i="1"/>
  <c r="A5097" i="1"/>
  <c r="F5096" i="1"/>
  <c r="E5096" i="1"/>
  <c r="D5096" i="1"/>
  <c r="C5096" i="1"/>
  <c r="B5096" i="1"/>
  <c r="A5096" i="1"/>
  <c r="F5095" i="1"/>
  <c r="E5095" i="1"/>
  <c r="D5095" i="1"/>
  <c r="C5095" i="1"/>
  <c r="B5095" i="1"/>
  <c r="A5095" i="1"/>
  <c r="F5094" i="1"/>
  <c r="E5094" i="1"/>
  <c r="D5094" i="1"/>
  <c r="C5094" i="1"/>
  <c r="B5094" i="1"/>
  <c r="A5094" i="1"/>
  <c r="F5093" i="1"/>
  <c r="E5093" i="1"/>
  <c r="D5093" i="1"/>
  <c r="C5093" i="1"/>
  <c r="B5093" i="1"/>
  <c r="A5093" i="1"/>
  <c r="F5092" i="1"/>
  <c r="E5092" i="1"/>
  <c r="D5092" i="1"/>
  <c r="C5092" i="1"/>
  <c r="B5092" i="1"/>
  <c r="A5092" i="1"/>
  <c r="F5091" i="1"/>
  <c r="E5091" i="1"/>
  <c r="D5091" i="1"/>
  <c r="C5091" i="1"/>
  <c r="B5091" i="1"/>
  <c r="A5091" i="1"/>
  <c r="F5090" i="1"/>
  <c r="E5090" i="1"/>
  <c r="D5090" i="1"/>
  <c r="C5090" i="1"/>
  <c r="B5090" i="1"/>
  <c r="A5090" i="1"/>
  <c r="F5089" i="1"/>
  <c r="E5089" i="1"/>
  <c r="D5089" i="1"/>
  <c r="C5089" i="1"/>
  <c r="B5089" i="1"/>
  <c r="A5089" i="1"/>
  <c r="F5088" i="1"/>
  <c r="E5088" i="1"/>
  <c r="D5088" i="1"/>
  <c r="C5088" i="1"/>
  <c r="B5088" i="1"/>
  <c r="A5088" i="1"/>
  <c r="F5087" i="1"/>
  <c r="E5087" i="1"/>
  <c r="D5087" i="1"/>
  <c r="C5087" i="1"/>
  <c r="B5087" i="1"/>
  <c r="A5087" i="1"/>
  <c r="F5086" i="1"/>
  <c r="E5086" i="1"/>
  <c r="D5086" i="1"/>
  <c r="C5086" i="1"/>
  <c r="B5086" i="1"/>
  <c r="A5086" i="1"/>
  <c r="F5085" i="1"/>
  <c r="E5085" i="1"/>
  <c r="D5085" i="1"/>
  <c r="C5085" i="1"/>
  <c r="B5085" i="1"/>
  <c r="A5085" i="1"/>
  <c r="F5084" i="1"/>
  <c r="E5084" i="1"/>
  <c r="D5084" i="1"/>
  <c r="C5084" i="1"/>
  <c r="B5084" i="1"/>
  <c r="A5084" i="1"/>
  <c r="F5083" i="1"/>
  <c r="E5083" i="1"/>
  <c r="D5083" i="1"/>
  <c r="C5083" i="1"/>
  <c r="B5083" i="1"/>
  <c r="A5083" i="1"/>
  <c r="F5082" i="1"/>
  <c r="E5082" i="1"/>
  <c r="D5082" i="1"/>
  <c r="C5082" i="1"/>
  <c r="B5082" i="1"/>
  <c r="A5082" i="1"/>
  <c r="F5081" i="1"/>
  <c r="E5081" i="1"/>
  <c r="D5081" i="1"/>
  <c r="C5081" i="1"/>
  <c r="B5081" i="1"/>
  <c r="A5081" i="1"/>
  <c r="F5080" i="1"/>
  <c r="E5080" i="1"/>
  <c r="D5080" i="1"/>
  <c r="C5080" i="1"/>
  <c r="B5080" i="1"/>
  <c r="A5080" i="1"/>
  <c r="F5079" i="1"/>
  <c r="E5079" i="1"/>
  <c r="D5079" i="1"/>
  <c r="C5079" i="1"/>
  <c r="B5079" i="1"/>
  <c r="A5079" i="1"/>
  <c r="F5078" i="1"/>
  <c r="E5078" i="1"/>
  <c r="D5078" i="1"/>
  <c r="C5078" i="1"/>
  <c r="B5078" i="1"/>
  <c r="A5078" i="1"/>
  <c r="F5077" i="1"/>
  <c r="E5077" i="1"/>
  <c r="D5077" i="1"/>
  <c r="C5077" i="1"/>
  <c r="B5077" i="1"/>
  <c r="A5077" i="1"/>
  <c r="F5076" i="1"/>
  <c r="E5076" i="1"/>
  <c r="D5076" i="1"/>
  <c r="C5076" i="1"/>
  <c r="B5076" i="1"/>
  <c r="A5076" i="1"/>
  <c r="F5075" i="1"/>
  <c r="E5075" i="1"/>
  <c r="D5075" i="1"/>
  <c r="C5075" i="1"/>
  <c r="B5075" i="1"/>
  <c r="A5075" i="1"/>
  <c r="F5074" i="1"/>
  <c r="E5074" i="1"/>
  <c r="D5074" i="1"/>
  <c r="C5074" i="1"/>
  <c r="B5074" i="1"/>
  <c r="A5074" i="1"/>
  <c r="F5073" i="1"/>
  <c r="E5073" i="1"/>
  <c r="D5073" i="1"/>
  <c r="C5073" i="1"/>
  <c r="B5073" i="1"/>
  <c r="A5073" i="1"/>
  <c r="F5072" i="1"/>
  <c r="E5072" i="1"/>
  <c r="D5072" i="1"/>
  <c r="C5072" i="1"/>
  <c r="B5072" i="1"/>
  <c r="A5072" i="1"/>
  <c r="F5071" i="1"/>
  <c r="E5071" i="1"/>
  <c r="D5071" i="1"/>
  <c r="C5071" i="1"/>
  <c r="B5071" i="1"/>
  <c r="A5071" i="1"/>
  <c r="F5070" i="1"/>
  <c r="E5070" i="1"/>
  <c r="D5070" i="1"/>
  <c r="C5070" i="1"/>
  <c r="B5070" i="1"/>
  <c r="A5070" i="1"/>
  <c r="F5069" i="1"/>
  <c r="E5069" i="1"/>
  <c r="D5069" i="1"/>
  <c r="C5069" i="1"/>
  <c r="B5069" i="1"/>
  <c r="A5069" i="1"/>
  <c r="F5068" i="1"/>
  <c r="E5068" i="1"/>
  <c r="D5068" i="1"/>
  <c r="C5068" i="1"/>
  <c r="B5068" i="1"/>
  <c r="A5068" i="1"/>
  <c r="F5067" i="1"/>
  <c r="E5067" i="1"/>
  <c r="D5067" i="1"/>
  <c r="C5067" i="1"/>
  <c r="B5067" i="1"/>
  <c r="A5067" i="1"/>
  <c r="F5066" i="1"/>
  <c r="E5066" i="1"/>
  <c r="D5066" i="1"/>
  <c r="C5066" i="1"/>
  <c r="B5066" i="1"/>
  <c r="A5066" i="1"/>
  <c r="F5065" i="1"/>
  <c r="E5065" i="1"/>
  <c r="D5065" i="1"/>
  <c r="C5065" i="1"/>
  <c r="B5065" i="1"/>
  <c r="A5065" i="1"/>
  <c r="F5064" i="1"/>
  <c r="E5064" i="1"/>
  <c r="D5064" i="1"/>
  <c r="C5064" i="1"/>
  <c r="B5064" i="1"/>
  <c r="A5064" i="1"/>
  <c r="F5063" i="1"/>
  <c r="E5063" i="1"/>
  <c r="D5063" i="1"/>
  <c r="C5063" i="1"/>
  <c r="B5063" i="1"/>
  <c r="A5063" i="1"/>
  <c r="F5062" i="1"/>
  <c r="E5062" i="1"/>
  <c r="D5062" i="1"/>
  <c r="C5062" i="1"/>
  <c r="B5062" i="1"/>
  <c r="A5062" i="1"/>
  <c r="F5061" i="1"/>
  <c r="E5061" i="1"/>
  <c r="D5061" i="1"/>
  <c r="C5061" i="1"/>
  <c r="B5061" i="1"/>
  <c r="A5061" i="1"/>
  <c r="F5060" i="1"/>
  <c r="E5060" i="1"/>
  <c r="D5060" i="1"/>
  <c r="C5060" i="1"/>
  <c r="B5060" i="1"/>
  <c r="A5060" i="1"/>
  <c r="F5059" i="1"/>
  <c r="E5059" i="1"/>
  <c r="D5059" i="1"/>
  <c r="C5059" i="1"/>
  <c r="B5059" i="1"/>
  <c r="A5059" i="1"/>
  <c r="F5058" i="1"/>
  <c r="E5058" i="1"/>
  <c r="D5058" i="1"/>
  <c r="C5058" i="1"/>
  <c r="B5058" i="1"/>
  <c r="A5058" i="1"/>
  <c r="F5057" i="1"/>
  <c r="E5057" i="1"/>
  <c r="D5057" i="1"/>
  <c r="C5057" i="1"/>
  <c r="B5057" i="1"/>
  <c r="A5057" i="1"/>
  <c r="F5056" i="1"/>
  <c r="E5056" i="1"/>
  <c r="D5056" i="1"/>
  <c r="C5056" i="1"/>
  <c r="B5056" i="1"/>
  <c r="A5056" i="1"/>
  <c r="F5055" i="1"/>
  <c r="E5055" i="1"/>
  <c r="D5055" i="1"/>
  <c r="C5055" i="1"/>
  <c r="B5055" i="1"/>
  <c r="A5055" i="1"/>
  <c r="F5054" i="1"/>
  <c r="E5054" i="1"/>
  <c r="D5054" i="1"/>
  <c r="C5054" i="1"/>
  <c r="B5054" i="1"/>
  <c r="A5054" i="1"/>
  <c r="F5053" i="1"/>
  <c r="E5053" i="1"/>
  <c r="D5053" i="1"/>
  <c r="C5053" i="1"/>
  <c r="B5053" i="1"/>
  <c r="A5053" i="1"/>
  <c r="F5052" i="1"/>
  <c r="E5052" i="1"/>
  <c r="D5052" i="1"/>
  <c r="C5052" i="1"/>
  <c r="B5052" i="1"/>
  <c r="A5052" i="1"/>
  <c r="F5051" i="1"/>
  <c r="E5051" i="1"/>
  <c r="D5051" i="1"/>
  <c r="C5051" i="1"/>
  <c r="B5051" i="1"/>
  <c r="A5051" i="1"/>
  <c r="F5050" i="1"/>
  <c r="E5050" i="1"/>
  <c r="D5050" i="1"/>
  <c r="C5050" i="1"/>
  <c r="B5050" i="1"/>
  <c r="A5050" i="1"/>
  <c r="F5049" i="1"/>
  <c r="E5049" i="1"/>
  <c r="D5049" i="1"/>
  <c r="C5049" i="1"/>
  <c r="B5049" i="1"/>
  <c r="A5049" i="1"/>
  <c r="F5048" i="1"/>
  <c r="E5048" i="1"/>
  <c r="D5048" i="1"/>
  <c r="C5048" i="1"/>
  <c r="B5048" i="1"/>
  <c r="A5048" i="1"/>
  <c r="F5047" i="1"/>
  <c r="E5047" i="1"/>
  <c r="D5047" i="1"/>
  <c r="C5047" i="1"/>
  <c r="B5047" i="1"/>
  <c r="A5047" i="1"/>
  <c r="F5046" i="1"/>
  <c r="E5046" i="1"/>
  <c r="D5046" i="1"/>
  <c r="C5046" i="1"/>
  <c r="B5046" i="1"/>
  <c r="A5046" i="1"/>
  <c r="F5045" i="1"/>
  <c r="E5045" i="1"/>
  <c r="D5045" i="1"/>
  <c r="C5045" i="1"/>
  <c r="B5045" i="1"/>
  <c r="A5045" i="1"/>
  <c r="F5044" i="1"/>
  <c r="E5044" i="1"/>
  <c r="D5044" i="1"/>
  <c r="C5044" i="1"/>
  <c r="B5044" i="1"/>
  <c r="A5044" i="1"/>
  <c r="F5043" i="1"/>
  <c r="E5043" i="1"/>
  <c r="D5043" i="1"/>
  <c r="C5043" i="1"/>
  <c r="B5043" i="1"/>
  <c r="A5043" i="1"/>
  <c r="F5042" i="1"/>
  <c r="E5042" i="1"/>
  <c r="D5042" i="1"/>
  <c r="C5042" i="1"/>
  <c r="B5042" i="1"/>
  <c r="A5042" i="1"/>
  <c r="F5041" i="1"/>
  <c r="E5041" i="1"/>
  <c r="D5041" i="1"/>
  <c r="C5041" i="1"/>
  <c r="B5041" i="1"/>
  <c r="A5041" i="1"/>
  <c r="F5040" i="1"/>
  <c r="E5040" i="1"/>
  <c r="D5040" i="1"/>
  <c r="C5040" i="1"/>
  <c r="B5040" i="1"/>
  <c r="A5040" i="1"/>
  <c r="F5039" i="1"/>
  <c r="E5039" i="1"/>
  <c r="D5039" i="1"/>
  <c r="C5039" i="1"/>
  <c r="B5039" i="1"/>
  <c r="A5039" i="1"/>
  <c r="F5038" i="1"/>
  <c r="E5038" i="1"/>
  <c r="D5038" i="1"/>
  <c r="C5038" i="1"/>
  <c r="B5038" i="1"/>
  <c r="A5038" i="1"/>
  <c r="F5037" i="1"/>
  <c r="E5037" i="1"/>
  <c r="D5037" i="1"/>
  <c r="C5037" i="1"/>
  <c r="B5037" i="1"/>
  <c r="A5037" i="1"/>
  <c r="F5036" i="1"/>
  <c r="E5036" i="1"/>
  <c r="D5036" i="1"/>
  <c r="C5036" i="1"/>
  <c r="B5036" i="1"/>
  <c r="A5036" i="1"/>
  <c r="F5035" i="1"/>
  <c r="E5035" i="1"/>
  <c r="D5035" i="1"/>
  <c r="C5035" i="1"/>
  <c r="B5035" i="1"/>
  <c r="A5035" i="1"/>
  <c r="F5034" i="1"/>
  <c r="E5034" i="1"/>
  <c r="D5034" i="1"/>
  <c r="C5034" i="1"/>
  <c r="B5034" i="1"/>
  <c r="A5034" i="1"/>
  <c r="F5033" i="1"/>
  <c r="E5033" i="1"/>
  <c r="D5033" i="1"/>
  <c r="C5033" i="1"/>
  <c r="B5033" i="1"/>
  <c r="A5033" i="1"/>
  <c r="F5032" i="1"/>
  <c r="E5032" i="1"/>
  <c r="D5032" i="1"/>
  <c r="C5032" i="1"/>
  <c r="B5032" i="1"/>
  <c r="A5032" i="1"/>
  <c r="F5031" i="1"/>
  <c r="E5031" i="1"/>
  <c r="D5031" i="1"/>
  <c r="C5031" i="1"/>
  <c r="B5031" i="1"/>
  <c r="A5031" i="1"/>
  <c r="F5030" i="1"/>
  <c r="E5030" i="1"/>
  <c r="D5030" i="1"/>
  <c r="C5030" i="1"/>
  <c r="B5030" i="1"/>
  <c r="A5030" i="1"/>
  <c r="F5029" i="1"/>
  <c r="E5029" i="1"/>
  <c r="D5029" i="1"/>
  <c r="C5029" i="1"/>
  <c r="B5029" i="1"/>
  <c r="A5029" i="1"/>
  <c r="F5028" i="1"/>
  <c r="E5028" i="1"/>
  <c r="D5028" i="1"/>
  <c r="C5028" i="1"/>
  <c r="B5028" i="1"/>
  <c r="A5028" i="1"/>
  <c r="F5027" i="1"/>
  <c r="E5027" i="1"/>
  <c r="D5027" i="1"/>
  <c r="C5027" i="1"/>
  <c r="B5027" i="1"/>
  <c r="A5027" i="1"/>
  <c r="F5026" i="1"/>
  <c r="E5026" i="1"/>
  <c r="D5026" i="1"/>
  <c r="C5026" i="1"/>
  <c r="B5026" i="1"/>
  <c r="A5026" i="1"/>
  <c r="F5025" i="1"/>
  <c r="E5025" i="1"/>
  <c r="D5025" i="1"/>
  <c r="C5025" i="1"/>
  <c r="B5025" i="1"/>
  <c r="A5025" i="1"/>
  <c r="F5024" i="1"/>
  <c r="E5024" i="1"/>
  <c r="D5024" i="1"/>
  <c r="C5024" i="1"/>
  <c r="B5024" i="1"/>
  <c r="A5024" i="1"/>
  <c r="F5023" i="1"/>
  <c r="E5023" i="1"/>
  <c r="D5023" i="1"/>
  <c r="C5023" i="1"/>
  <c r="B5023" i="1"/>
  <c r="A5023" i="1"/>
  <c r="F5022" i="1"/>
  <c r="E5022" i="1"/>
  <c r="D5022" i="1"/>
  <c r="C5022" i="1"/>
  <c r="B5022" i="1"/>
  <c r="A5022" i="1"/>
  <c r="F5021" i="1"/>
  <c r="E5021" i="1"/>
  <c r="D5021" i="1"/>
  <c r="C5021" i="1"/>
  <c r="B5021" i="1"/>
  <c r="A5021" i="1"/>
  <c r="F5020" i="1"/>
  <c r="E5020" i="1"/>
  <c r="D5020" i="1"/>
  <c r="C5020" i="1"/>
  <c r="B5020" i="1"/>
  <c r="A5020" i="1"/>
  <c r="F5019" i="1"/>
  <c r="E5019" i="1"/>
  <c r="D5019" i="1"/>
  <c r="C5019" i="1"/>
  <c r="B5019" i="1"/>
  <c r="A5019" i="1"/>
  <c r="F5018" i="1"/>
  <c r="E5018" i="1"/>
  <c r="D5018" i="1"/>
  <c r="C5018" i="1"/>
  <c r="B5018" i="1"/>
  <c r="A5018" i="1"/>
  <c r="F5017" i="1"/>
  <c r="E5017" i="1"/>
  <c r="D5017" i="1"/>
  <c r="C5017" i="1"/>
  <c r="B5017" i="1"/>
  <c r="A5017" i="1"/>
  <c r="F5016" i="1"/>
  <c r="E5016" i="1"/>
  <c r="D5016" i="1"/>
  <c r="C5016" i="1"/>
  <c r="B5016" i="1"/>
  <c r="A5016" i="1"/>
  <c r="F5015" i="1"/>
  <c r="E5015" i="1"/>
  <c r="D5015" i="1"/>
  <c r="C5015" i="1"/>
  <c r="B5015" i="1"/>
  <c r="A5015" i="1"/>
  <c r="F5014" i="1"/>
  <c r="E5014" i="1"/>
  <c r="D5014" i="1"/>
  <c r="C5014" i="1"/>
  <c r="B5014" i="1"/>
  <c r="A5014" i="1"/>
  <c r="F5013" i="1"/>
  <c r="E5013" i="1"/>
  <c r="D5013" i="1"/>
  <c r="C5013" i="1"/>
  <c r="B5013" i="1"/>
  <c r="A5013" i="1"/>
  <c r="F5012" i="1"/>
  <c r="E5012" i="1"/>
  <c r="D5012" i="1"/>
  <c r="C5012" i="1"/>
  <c r="B5012" i="1"/>
  <c r="A5012" i="1"/>
  <c r="F5011" i="1"/>
  <c r="E5011" i="1"/>
  <c r="D5011" i="1"/>
  <c r="C5011" i="1"/>
  <c r="B5011" i="1"/>
  <c r="A5011" i="1"/>
  <c r="F5010" i="1"/>
  <c r="E5010" i="1"/>
  <c r="D5010" i="1"/>
  <c r="C5010" i="1"/>
  <c r="B5010" i="1"/>
  <c r="A5010" i="1"/>
  <c r="F5009" i="1"/>
  <c r="E5009" i="1"/>
  <c r="D5009" i="1"/>
  <c r="C5009" i="1"/>
  <c r="B5009" i="1"/>
  <c r="A5009" i="1"/>
  <c r="F5008" i="1"/>
  <c r="E5008" i="1"/>
  <c r="D5008" i="1"/>
  <c r="C5008" i="1"/>
  <c r="B5008" i="1"/>
  <c r="A5008" i="1"/>
  <c r="F5007" i="1"/>
  <c r="E5007" i="1"/>
  <c r="D5007" i="1"/>
  <c r="C5007" i="1"/>
  <c r="B5007" i="1"/>
  <c r="A5007" i="1"/>
  <c r="F5006" i="1"/>
  <c r="E5006" i="1"/>
  <c r="D5006" i="1"/>
  <c r="C5006" i="1"/>
  <c r="B5006" i="1"/>
  <c r="A5006" i="1"/>
  <c r="F5005" i="1"/>
  <c r="E5005" i="1"/>
  <c r="D5005" i="1"/>
  <c r="C5005" i="1"/>
  <c r="B5005" i="1"/>
  <c r="A5005" i="1"/>
  <c r="F5004" i="1"/>
  <c r="E5004" i="1"/>
  <c r="D5004" i="1"/>
  <c r="C5004" i="1"/>
  <c r="B5004" i="1"/>
  <c r="A5004" i="1"/>
  <c r="F5003" i="1"/>
  <c r="E5003" i="1"/>
  <c r="D5003" i="1"/>
  <c r="C5003" i="1"/>
  <c r="B5003" i="1"/>
  <c r="A5003" i="1"/>
  <c r="F5002" i="1"/>
  <c r="E5002" i="1"/>
  <c r="D5002" i="1"/>
  <c r="C5002" i="1"/>
  <c r="B5002" i="1"/>
  <c r="A5002" i="1"/>
  <c r="F5001" i="1"/>
  <c r="E5001" i="1"/>
  <c r="D5001" i="1"/>
  <c r="C5001" i="1"/>
  <c r="B5001" i="1"/>
  <c r="A5001" i="1"/>
  <c r="F5000" i="1"/>
  <c r="E5000" i="1"/>
  <c r="D5000" i="1"/>
  <c r="C5000" i="1"/>
  <c r="B5000" i="1"/>
  <c r="A5000" i="1"/>
  <c r="F4999" i="1"/>
  <c r="E4999" i="1"/>
  <c r="D4999" i="1"/>
  <c r="C4999" i="1"/>
  <c r="B4999" i="1"/>
  <c r="A4999" i="1"/>
  <c r="F4998" i="1"/>
  <c r="E4998" i="1"/>
  <c r="D4998" i="1"/>
  <c r="C4998" i="1"/>
  <c r="B4998" i="1"/>
  <c r="A4998" i="1"/>
  <c r="F4997" i="1"/>
  <c r="E4997" i="1"/>
  <c r="D4997" i="1"/>
  <c r="C4997" i="1"/>
  <c r="B4997" i="1"/>
  <c r="A4997" i="1"/>
  <c r="F4996" i="1"/>
  <c r="E4996" i="1"/>
  <c r="D4996" i="1"/>
  <c r="C4996" i="1"/>
  <c r="B4996" i="1"/>
  <c r="A4996" i="1"/>
  <c r="F4995" i="1"/>
  <c r="E4995" i="1"/>
  <c r="D4995" i="1"/>
  <c r="C4995" i="1"/>
  <c r="B4995" i="1"/>
  <c r="A4995" i="1"/>
  <c r="F4994" i="1"/>
  <c r="E4994" i="1"/>
  <c r="D4994" i="1"/>
  <c r="C4994" i="1"/>
  <c r="B4994" i="1"/>
  <c r="A4994" i="1"/>
  <c r="F4993" i="1"/>
  <c r="E4993" i="1"/>
  <c r="D4993" i="1"/>
  <c r="C4993" i="1"/>
  <c r="B4993" i="1"/>
  <c r="A4993" i="1"/>
  <c r="F4992" i="1"/>
  <c r="E4992" i="1"/>
  <c r="D4992" i="1"/>
  <c r="C4992" i="1"/>
  <c r="B4992" i="1"/>
  <c r="A4992" i="1"/>
  <c r="F4991" i="1"/>
  <c r="E4991" i="1"/>
  <c r="D4991" i="1"/>
  <c r="C4991" i="1"/>
  <c r="B4991" i="1"/>
  <c r="A4991" i="1"/>
  <c r="F4990" i="1"/>
  <c r="E4990" i="1"/>
  <c r="D4990" i="1"/>
  <c r="C4990" i="1"/>
  <c r="B4990" i="1"/>
  <c r="A4990" i="1"/>
  <c r="F4989" i="1"/>
  <c r="E4989" i="1"/>
  <c r="D4989" i="1"/>
  <c r="C4989" i="1"/>
  <c r="B4989" i="1"/>
  <c r="A4989" i="1"/>
  <c r="F4988" i="1"/>
  <c r="E4988" i="1"/>
  <c r="D4988" i="1"/>
  <c r="C4988" i="1"/>
  <c r="B4988" i="1"/>
  <c r="A4988" i="1"/>
  <c r="F4987" i="1"/>
  <c r="E4987" i="1"/>
  <c r="D4987" i="1"/>
  <c r="C4987" i="1"/>
  <c r="B4987" i="1"/>
  <c r="A4987" i="1"/>
  <c r="F4986" i="1"/>
  <c r="E4986" i="1"/>
  <c r="D4986" i="1"/>
  <c r="C4986" i="1"/>
  <c r="B4986" i="1"/>
  <c r="A4986" i="1"/>
  <c r="F4985" i="1"/>
  <c r="E4985" i="1"/>
  <c r="D4985" i="1"/>
  <c r="C4985" i="1"/>
  <c r="B4985" i="1"/>
  <c r="A4985" i="1"/>
  <c r="F4984" i="1"/>
  <c r="E4984" i="1"/>
  <c r="D4984" i="1"/>
  <c r="C4984" i="1"/>
  <c r="B4984" i="1"/>
  <c r="A4984" i="1"/>
  <c r="F4983" i="1"/>
  <c r="E4983" i="1"/>
  <c r="D4983" i="1"/>
  <c r="C4983" i="1"/>
  <c r="B4983" i="1"/>
  <c r="A4983" i="1"/>
  <c r="F4982" i="1"/>
  <c r="E4982" i="1"/>
  <c r="D4982" i="1"/>
  <c r="C4982" i="1"/>
  <c r="B4982" i="1"/>
  <c r="A4982" i="1"/>
  <c r="F4981" i="1"/>
  <c r="E4981" i="1"/>
  <c r="D4981" i="1"/>
  <c r="C4981" i="1"/>
  <c r="B4981" i="1"/>
  <c r="A4981" i="1"/>
  <c r="F4980" i="1"/>
  <c r="E4980" i="1"/>
  <c r="D4980" i="1"/>
  <c r="C4980" i="1"/>
  <c r="B4980" i="1"/>
  <c r="A4980" i="1"/>
  <c r="F4979" i="1"/>
  <c r="E4979" i="1"/>
  <c r="D4979" i="1"/>
  <c r="C4979" i="1"/>
  <c r="B4979" i="1"/>
  <c r="A4979" i="1"/>
  <c r="F4978" i="1"/>
  <c r="E4978" i="1"/>
  <c r="D4978" i="1"/>
  <c r="C4978" i="1"/>
  <c r="B4978" i="1"/>
  <c r="A4978" i="1"/>
  <c r="F4977" i="1"/>
  <c r="E4977" i="1"/>
  <c r="D4977" i="1"/>
  <c r="C4977" i="1"/>
  <c r="B4977" i="1"/>
  <c r="A4977" i="1"/>
  <c r="F4976" i="1"/>
  <c r="E4976" i="1"/>
  <c r="D4976" i="1"/>
  <c r="C4976" i="1"/>
  <c r="B4976" i="1"/>
  <c r="A4976" i="1"/>
  <c r="F4975" i="1"/>
  <c r="E4975" i="1"/>
  <c r="D4975" i="1"/>
  <c r="C4975" i="1"/>
  <c r="B4975" i="1"/>
  <c r="A4975" i="1"/>
  <c r="F4974" i="1"/>
  <c r="E4974" i="1"/>
  <c r="D4974" i="1"/>
  <c r="C4974" i="1"/>
  <c r="B4974" i="1"/>
  <c r="A4974" i="1"/>
  <c r="F4973" i="1"/>
  <c r="E4973" i="1"/>
  <c r="D4973" i="1"/>
  <c r="C4973" i="1"/>
  <c r="B4973" i="1"/>
  <c r="A4973" i="1"/>
  <c r="F4972" i="1"/>
  <c r="E4972" i="1"/>
  <c r="D4972" i="1"/>
  <c r="C4972" i="1"/>
  <c r="B4972" i="1"/>
  <c r="A4972" i="1"/>
  <c r="F4971" i="1"/>
  <c r="E4971" i="1"/>
  <c r="D4971" i="1"/>
  <c r="C4971" i="1"/>
  <c r="B4971" i="1"/>
  <c r="A4971" i="1"/>
  <c r="F4970" i="1"/>
  <c r="E4970" i="1"/>
  <c r="D4970" i="1"/>
  <c r="C4970" i="1"/>
  <c r="B4970" i="1"/>
  <c r="A4970" i="1"/>
  <c r="F4969" i="1"/>
  <c r="E4969" i="1"/>
  <c r="D4969" i="1"/>
  <c r="C4969" i="1"/>
  <c r="B4969" i="1"/>
  <c r="A4969" i="1"/>
  <c r="F4968" i="1"/>
  <c r="E4968" i="1"/>
  <c r="D4968" i="1"/>
  <c r="C4968" i="1"/>
  <c r="B4968" i="1"/>
  <c r="A4968" i="1"/>
  <c r="F4967" i="1"/>
  <c r="E4967" i="1"/>
  <c r="D4967" i="1"/>
  <c r="C4967" i="1"/>
  <c r="B4967" i="1"/>
  <c r="A4967" i="1"/>
  <c r="F4966" i="1"/>
  <c r="E4966" i="1"/>
  <c r="D4966" i="1"/>
  <c r="C4966" i="1"/>
  <c r="B4966" i="1"/>
  <c r="A4966" i="1"/>
  <c r="F4965" i="1"/>
  <c r="E4965" i="1"/>
  <c r="D4965" i="1"/>
  <c r="C4965" i="1"/>
  <c r="B4965" i="1"/>
  <c r="A4965" i="1"/>
  <c r="F4964" i="1"/>
  <c r="E4964" i="1"/>
  <c r="D4964" i="1"/>
  <c r="C4964" i="1"/>
  <c r="B4964" i="1"/>
  <c r="A4964" i="1"/>
  <c r="F4963" i="1"/>
  <c r="E4963" i="1"/>
  <c r="D4963" i="1"/>
  <c r="C4963" i="1"/>
  <c r="B4963" i="1"/>
  <c r="A4963" i="1"/>
  <c r="F4962" i="1"/>
  <c r="E4962" i="1"/>
  <c r="D4962" i="1"/>
  <c r="C4962" i="1"/>
  <c r="B4962" i="1"/>
  <c r="A4962" i="1"/>
  <c r="F4961" i="1"/>
  <c r="E4961" i="1"/>
  <c r="D4961" i="1"/>
  <c r="C4961" i="1"/>
  <c r="B4961" i="1"/>
  <c r="A4961" i="1"/>
  <c r="F4960" i="1"/>
  <c r="E4960" i="1"/>
  <c r="D4960" i="1"/>
  <c r="C4960" i="1"/>
  <c r="B4960" i="1"/>
  <c r="A4960" i="1"/>
  <c r="F4959" i="1"/>
  <c r="E4959" i="1"/>
  <c r="D4959" i="1"/>
  <c r="C4959" i="1"/>
  <c r="B4959" i="1"/>
  <c r="A4959" i="1"/>
  <c r="F4958" i="1"/>
  <c r="E4958" i="1"/>
  <c r="D4958" i="1"/>
  <c r="C4958" i="1"/>
  <c r="B4958" i="1"/>
  <c r="A4958" i="1"/>
  <c r="F4957" i="1"/>
  <c r="E4957" i="1"/>
  <c r="D4957" i="1"/>
  <c r="C4957" i="1"/>
  <c r="B4957" i="1"/>
  <c r="A4957" i="1"/>
  <c r="F4956" i="1"/>
  <c r="E4956" i="1"/>
  <c r="D4956" i="1"/>
  <c r="C4956" i="1"/>
  <c r="B4956" i="1"/>
  <c r="A4956" i="1"/>
  <c r="F4955" i="1"/>
  <c r="E4955" i="1"/>
  <c r="D4955" i="1"/>
  <c r="C4955" i="1"/>
  <c r="B4955" i="1"/>
  <c r="A4955" i="1"/>
  <c r="F4954" i="1"/>
  <c r="E4954" i="1"/>
  <c r="D4954" i="1"/>
  <c r="C4954" i="1"/>
  <c r="B4954" i="1"/>
  <c r="A4954" i="1"/>
  <c r="F4953" i="1"/>
  <c r="E4953" i="1"/>
  <c r="D4953" i="1"/>
  <c r="C4953" i="1"/>
  <c r="B4953" i="1"/>
  <c r="A4953" i="1"/>
  <c r="F4952" i="1"/>
  <c r="E4952" i="1"/>
  <c r="D4952" i="1"/>
  <c r="C4952" i="1"/>
  <c r="B4952" i="1"/>
  <c r="A4952" i="1"/>
  <c r="F4951" i="1"/>
  <c r="E4951" i="1"/>
  <c r="D4951" i="1"/>
  <c r="C4951" i="1"/>
  <c r="B4951" i="1"/>
  <c r="A4951" i="1"/>
  <c r="F4950" i="1"/>
  <c r="E4950" i="1"/>
  <c r="D4950" i="1"/>
  <c r="C4950" i="1"/>
  <c r="B4950" i="1"/>
  <c r="A4950" i="1"/>
  <c r="F4949" i="1"/>
  <c r="E4949" i="1"/>
  <c r="D4949" i="1"/>
  <c r="C4949" i="1"/>
  <c r="B4949" i="1"/>
  <c r="A4949" i="1"/>
  <c r="F4948" i="1"/>
  <c r="E4948" i="1"/>
  <c r="D4948" i="1"/>
  <c r="C4948" i="1"/>
  <c r="B4948" i="1"/>
  <c r="A4948" i="1"/>
  <c r="F4947" i="1"/>
  <c r="E4947" i="1"/>
  <c r="D4947" i="1"/>
  <c r="C4947" i="1"/>
  <c r="B4947" i="1"/>
  <c r="A4947" i="1"/>
  <c r="F4946" i="1"/>
  <c r="E4946" i="1"/>
  <c r="D4946" i="1"/>
  <c r="C4946" i="1"/>
  <c r="B4946" i="1"/>
  <c r="A4946" i="1"/>
  <c r="F4945" i="1"/>
  <c r="E4945" i="1"/>
  <c r="D4945" i="1"/>
  <c r="C4945" i="1"/>
  <c r="B4945" i="1"/>
  <c r="A4945" i="1"/>
  <c r="F4944" i="1"/>
  <c r="E4944" i="1"/>
  <c r="D4944" i="1"/>
  <c r="C4944" i="1"/>
  <c r="B4944" i="1"/>
  <c r="A4944" i="1"/>
  <c r="F4943" i="1"/>
  <c r="E4943" i="1"/>
  <c r="D4943" i="1"/>
  <c r="C4943" i="1"/>
  <c r="B4943" i="1"/>
  <c r="A4943" i="1"/>
  <c r="F4942" i="1"/>
  <c r="E4942" i="1"/>
  <c r="D4942" i="1"/>
  <c r="C4942" i="1"/>
  <c r="B4942" i="1"/>
  <c r="A4942" i="1"/>
  <c r="F4941" i="1"/>
  <c r="E4941" i="1"/>
  <c r="D4941" i="1"/>
  <c r="C4941" i="1"/>
  <c r="B4941" i="1"/>
  <c r="A4941" i="1"/>
  <c r="F4940" i="1"/>
  <c r="E4940" i="1"/>
  <c r="D4940" i="1"/>
  <c r="C4940" i="1"/>
  <c r="B4940" i="1"/>
  <c r="A4940" i="1"/>
  <c r="F4939" i="1"/>
  <c r="E4939" i="1"/>
  <c r="D4939" i="1"/>
  <c r="C4939" i="1"/>
  <c r="B4939" i="1"/>
  <c r="A4939" i="1"/>
  <c r="F4938" i="1"/>
  <c r="E4938" i="1"/>
  <c r="D4938" i="1"/>
  <c r="C4938" i="1"/>
  <c r="B4938" i="1"/>
  <c r="A4938" i="1"/>
  <c r="F4937" i="1"/>
  <c r="E4937" i="1"/>
  <c r="D4937" i="1"/>
  <c r="C4937" i="1"/>
  <c r="B4937" i="1"/>
  <c r="A4937" i="1"/>
  <c r="F4936" i="1"/>
  <c r="E4936" i="1"/>
  <c r="D4936" i="1"/>
  <c r="C4936" i="1"/>
  <c r="B4936" i="1"/>
  <c r="A4936" i="1"/>
  <c r="F4935" i="1"/>
  <c r="E4935" i="1"/>
  <c r="D4935" i="1"/>
  <c r="C4935" i="1"/>
  <c r="B4935" i="1"/>
  <c r="A4935" i="1"/>
  <c r="F4934" i="1"/>
  <c r="E4934" i="1"/>
  <c r="D4934" i="1"/>
  <c r="C4934" i="1"/>
  <c r="B4934" i="1"/>
  <c r="A4934" i="1"/>
  <c r="F4933" i="1"/>
  <c r="E4933" i="1"/>
  <c r="D4933" i="1"/>
  <c r="C4933" i="1"/>
  <c r="B4933" i="1"/>
  <c r="A4933" i="1"/>
  <c r="F4932" i="1"/>
  <c r="E4932" i="1"/>
  <c r="D4932" i="1"/>
  <c r="C4932" i="1"/>
  <c r="B4932" i="1"/>
  <c r="A4932" i="1"/>
  <c r="F4931" i="1"/>
  <c r="E4931" i="1"/>
  <c r="D4931" i="1"/>
  <c r="C4931" i="1"/>
  <c r="B4931" i="1"/>
  <c r="A4931" i="1"/>
  <c r="F4930" i="1"/>
  <c r="E4930" i="1"/>
  <c r="D4930" i="1"/>
  <c r="C4930" i="1"/>
  <c r="B4930" i="1"/>
  <c r="A4930" i="1"/>
  <c r="F4929" i="1"/>
  <c r="E4929" i="1"/>
  <c r="D4929" i="1"/>
  <c r="C4929" i="1"/>
  <c r="B4929" i="1"/>
  <c r="A4929" i="1"/>
  <c r="F4928" i="1"/>
  <c r="E4928" i="1"/>
  <c r="D4928" i="1"/>
  <c r="C4928" i="1"/>
  <c r="B4928" i="1"/>
  <c r="A4928" i="1"/>
  <c r="F4927" i="1"/>
  <c r="E4927" i="1"/>
  <c r="D4927" i="1"/>
  <c r="C4927" i="1"/>
  <c r="B4927" i="1"/>
  <c r="A4927" i="1"/>
  <c r="F4926" i="1"/>
  <c r="E4926" i="1"/>
  <c r="D4926" i="1"/>
  <c r="C4926" i="1"/>
  <c r="B4926" i="1"/>
  <c r="A4926" i="1"/>
  <c r="F4925" i="1"/>
  <c r="E4925" i="1"/>
  <c r="D4925" i="1"/>
  <c r="C4925" i="1"/>
  <c r="B4925" i="1"/>
  <c r="A4925" i="1"/>
  <c r="F4924" i="1"/>
  <c r="E4924" i="1"/>
  <c r="D4924" i="1"/>
  <c r="C4924" i="1"/>
  <c r="B4924" i="1"/>
  <c r="A4924" i="1"/>
  <c r="F4923" i="1"/>
  <c r="E4923" i="1"/>
  <c r="D4923" i="1"/>
  <c r="C4923" i="1"/>
  <c r="B4923" i="1"/>
  <c r="A4923" i="1"/>
  <c r="F4922" i="1"/>
  <c r="E4922" i="1"/>
  <c r="D4922" i="1"/>
  <c r="C4922" i="1"/>
  <c r="B4922" i="1"/>
  <c r="A4922" i="1"/>
  <c r="F4921" i="1"/>
  <c r="E4921" i="1"/>
  <c r="D4921" i="1"/>
  <c r="C4921" i="1"/>
  <c r="B4921" i="1"/>
  <c r="A4921" i="1"/>
  <c r="F4920" i="1"/>
  <c r="E4920" i="1"/>
  <c r="D4920" i="1"/>
  <c r="C4920" i="1"/>
  <c r="B4920" i="1"/>
  <c r="A4920" i="1"/>
  <c r="F4919" i="1"/>
  <c r="E4919" i="1"/>
  <c r="D4919" i="1"/>
  <c r="C4919" i="1"/>
  <c r="B4919" i="1"/>
  <c r="A4919" i="1"/>
  <c r="F4918" i="1"/>
  <c r="E4918" i="1"/>
  <c r="D4918" i="1"/>
  <c r="C4918" i="1"/>
  <c r="B4918" i="1"/>
  <c r="A4918" i="1"/>
  <c r="F4917" i="1"/>
  <c r="E4917" i="1"/>
  <c r="D4917" i="1"/>
  <c r="C4917" i="1"/>
  <c r="B4917" i="1"/>
  <c r="A4917" i="1"/>
  <c r="F4916" i="1"/>
  <c r="E4916" i="1"/>
  <c r="D4916" i="1"/>
  <c r="C4916" i="1"/>
  <c r="B4916" i="1"/>
  <c r="A4916" i="1"/>
  <c r="F4915" i="1"/>
  <c r="E4915" i="1"/>
  <c r="D4915" i="1"/>
  <c r="C4915" i="1"/>
  <c r="B4915" i="1"/>
  <c r="A4915" i="1"/>
  <c r="F4914" i="1"/>
  <c r="E4914" i="1"/>
  <c r="D4914" i="1"/>
  <c r="C4914" i="1"/>
  <c r="B4914" i="1"/>
  <c r="A4914" i="1"/>
  <c r="F4913" i="1"/>
  <c r="E4913" i="1"/>
  <c r="D4913" i="1"/>
  <c r="C4913" i="1"/>
  <c r="B4913" i="1"/>
  <c r="A4913" i="1"/>
  <c r="F4912" i="1"/>
  <c r="E4912" i="1"/>
  <c r="D4912" i="1"/>
  <c r="C4912" i="1"/>
  <c r="B4912" i="1"/>
  <c r="A4912" i="1"/>
  <c r="F4911" i="1"/>
  <c r="E4911" i="1"/>
  <c r="D4911" i="1"/>
  <c r="C4911" i="1"/>
  <c r="B4911" i="1"/>
  <c r="A4911" i="1"/>
  <c r="F4910" i="1"/>
  <c r="E4910" i="1"/>
  <c r="D4910" i="1"/>
  <c r="C4910" i="1"/>
  <c r="B4910" i="1"/>
  <c r="A4910" i="1"/>
  <c r="F4909" i="1"/>
  <c r="E4909" i="1"/>
  <c r="D4909" i="1"/>
  <c r="C4909" i="1"/>
  <c r="B4909" i="1"/>
  <c r="A4909" i="1"/>
  <c r="F4908" i="1"/>
  <c r="E4908" i="1"/>
  <c r="D4908" i="1"/>
  <c r="C4908" i="1"/>
  <c r="B4908" i="1"/>
  <c r="A4908" i="1"/>
  <c r="F4907" i="1"/>
  <c r="E4907" i="1"/>
  <c r="D4907" i="1"/>
  <c r="C4907" i="1"/>
  <c r="B4907" i="1"/>
  <c r="A4907" i="1"/>
  <c r="F4906" i="1"/>
  <c r="E4906" i="1"/>
  <c r="D4906" i="1"/>
  <c r="C4906" i="1"/>
  <c r="B4906" i="1"/>
  <c r="A4906" i="1"/>
  <c r="F4905" i="1"/>
  <c r="E4905" i="1"/>
  <c r="D4905" i="1"/>
  <c r="C4905" i="1"/>
  <c r="B4905" i="1"/>
  <c r="A4905" i="1"/>
  <c r="F4904" i="1"/>
  <c r="E4904" i="1"/>
  <c r="D4904" i="1"/>
  <c r="C4904" i="1"/>
  <c r="B4904" i="1"/>
  <c r="A4904" i="1"/>
  <c r="F4903" i="1"/>
  <c r="E4903" i="1"/>
  <c r="D4903" i="1"/>
  <c r="C4903" i="1"/>
  <c r="B4903" i="1"/>
  <c r="A4903" i="1"/>
  <c r="F4902" i="1"/>
  <c r="E4902" i="1"/>
  <c r="D4902" i="1"/>
  <c r="C4902" i="1"/>
  <c r="B4902" i="1"/>
  <c r="A4902" i="1"/>
  <c r="F4901" i="1"/>
  <c r="E4901" i="1"/>
  <c r="D4901" i="1"/>
  <c r="C4901" i="1"/>
  <c r="B4901" i="1"/>
  <c r="A4901" i="1"/>
  <c r="F4900" i="1"/>
  <c r="E4900" i="1"/>
  <c r="D4900" i="1"/>
  <c r="C4900" i="1"/>
  <c r="B4900" i="1"/>
  <c r="A4900" i="1"/>
  <c r="F4899" i="1"/>
  <c r="E4899" i="1"/>
  <c r="D4899" i="1"/>
  <c r="C4899" i="1"/>
  <c r="B4899" i="1"/>
  <c r="A4899" i="1"/>
  <c r="F4898" i="1"/>
  <c r="E4898" i="1"/>
  <c r="D4898" i="1"/>
  <c r="C4898" i="1"/>
  <c r="B4898" i="1"/>
  <c r="A4898" i="1"/>
  <c r="F4897" i="1"/>
  <c r="E4897" i="1"/>
  <c r="D4897" i="1"/>
  <c r="C4897" i="1"/>
  <c r="B4897" i="1"/>
  <c r="A4897" i="1"/>
  <c r="F4896" i="1"/>
  <c r="E4896" i="1"/>
  <c r="D4896" i="1"/>
  <c r="C4896" i="1"/>
  <c r="B4896" i="1"/>
  <c r="A4896" i="1"/>
  <c r="F4895" i="1"/>
  <c r="E4895" i="1"/>
  <c r="D4895" i="1"/>
  <c r="C4895" i="1"/>
  <c r="B4895" i="1"/>
  <c r="A4895" i="1"/>
  <c r="F4894" i="1"/>
  <c r="E4894" i="1"/>
  <c r="D4894" i="1"/>
  <c r="C4894" i="1"/>
  <c r="B4894" i="1"/>
  <c r="A4894" i="1"/>
  <c r="F4893" i="1"/>
  <c r="E4893" i="1"/>
  <c r="D4893" i="1"/>
  <c r="C4893" i="1"/>
  <c r="B4893" i="1"/>
  <c r="A4893" i="1"/>
  <c r="F4892" i="1"/>
  <c r="E4892" i="1"/>
  <c r="D4892" i="1"/>
  <c r="C4892" i="1"/>
  <c r="B4892" i="1"/>
  <c r="A4892" i="1"/>
  <c r="F4891" i="1"/>
  <c r="E4891" i="1"/>
  <c r="D4891" i="1"/>
  <c r="C4891" i="1"/>
  <c r="B4891" i="1"/>
  <c r="A4891" i="1"/>
  <c r="F4890" i="1"/>
  <c r="E4890" i="1"/>
  <c r="D4890" i="1"/>
  <c r="C4890" i="1"/>
  <c r="B4890" i="1"/>
  <c r="A4890" i="1"/>
  <c r="F4889" i="1"/>
  <c r="E4889" i="1"/>
  <c r="D4889" i="1"/>
  <c r="C4889" i="1"/>
  <c r="B4889" i="1"/>
  <c r="A4889" i="1"/>
  <c r="F4888" i="1"/>
  <c r="E4888" i="1"/>
  <c r="D4888" i="1"/>
  <c r="C4888" i="1"/>
  <c r="B4888" i="1"/>
  <c r="A4888" i="1"/>
  <c r="F4887" i="1"/>
  <c r="E4887" i="1"/>
  <c r="D4887" i="1"/>
  <c r="C4887" i="1"/>
  <c r="B4887" i="1"/>
  <c r="A4887" i="1"/>
  <c r="F4886" i="1"/>
  <c r="E4886" i="1"/>
  <c r="D4886" i="1"/>
  <c r="C4886" i="1"/>
  <c r="B4886" i="1"/>
  <c r="A4886" i="1"/>
  <c r="F4885" i="1"/>
  <c r="E4885" i="1"/>
  <c r="D4885" i="1"/>
  <c r="C4885" i="1"/>
  <c r="B4885" i="1"/>
  <c r="A4885" i="1"/>
  <c r="F4884" i="1"/>
  <c r="E4884" i="1"/>
  <c r="D4884" i="1"/>
  <c r="C4884" i="1"/>
  <c r="B4884" i="1"/>
  <c r="A4884" i="1"/>
  <c r="F4883" i="1"/>
  <c r="E4883" i="1"/>
  <c r="D4883" i="1"/>
  <c r="C4883" i="1"/>
  <c r="B4883" i="1"/>
  <c r="A4883" i="1"/>
  <c r="F4882" i="1"/>
  <c r="E4882" i="1"/>
  <c r="D4882" i="1"/>
  <c r="C4882" i="1"/>
  <c r="B4882" i="1"/>
  <c r="A4882" i="1"/>
  <c r="F4881" i="1"/>
  <c r="E4881" i="1"/>
  <c r="D4881" i="1"/>
  <c r="C4881" i="1"/>
  <c r="B4881" i="1"/>
  <c r="A4881" i="1"/>
  <c r="F4880" i="1"/>
  <c r="E4880" i="1"/>
  <c r="D4880" i="1"/>
  <c r="C4880" i="1"/>
  <c r="B4880" i="1"/>
  <c r="A4880" i="1"/>
  <c r="F4879" i="1"/>
  <c r="E4879" i="1"/>
  <c r="D4879" i="1"/>
  <c r="C4879" i="1"/>
  <c r="B4879" i="1"/>
  <c r="A4879" i="1"/>
  <c r="F4878" i="1"/>
  <c r="E4878" i="1"/>
  <c r="D4878" i="1"/>
  <c r="C4878" i="1"/>
  <c r="B4878" i="1"/>
  <c r="A4878" i="1"/>
  <c r="F4877" i="1"/>
  <c r="E4877" i="1"/>
  <c r="D4877" i="1"/>
  <c r="C4877" i="1"/>
  <c r="B4877" i="1"/>
  <c r="A4877" i="1"/>
  <c r="F4876" i="1"/>
  <c r="E4876" i="1"/>
  <c r="D4876" i="1"/>
  <c r="C4876" i="1"/>
  <c r="B4876" i="1"/>
  <c r="A4876" i="1"/>
  <c r="F4875" i="1"/>
  <c r="E4875" i="1"/>
  <c r="D4875" i="1"/>
  <c r="C4875" i="1"/>
  <c r="B4875" i="1"/>
  <c r="A4875" i="1"/>
  <c r="F4874" i="1"/>
  <c r="E4874" i="1"/>
  <c r="D4874" i="1"/>
  <c r="C4874" i="1"/>
  <c r="B4874" i="1"/>
  <c r="A4874" i="1"/>
  <c r="F4873" i="1"/>
  <c r="E4873" i="1"/>
  <c r="D4873" i="1"/>
  <c r="C4873" i="1"/>
  <c r="B4873" i="1"/>
  <c r="A4873" i="1"/>
  <c r="F4872" i="1"/>
  <c r="E4872" i="1"/>
  <c r="D4872" i="1"/>
  <c r="C4872" i="1"/>
  <c r="B4872" i="1"/>
  <c r="A4872" i="1"/>
  <c r="F4871" i="1"/>
  <c r="E4871" i="1"/>
  <c r="D4871" i="1"/>
  <c r="C4871" i="1"/>
  <c r="B4871" i="1"/>
  <c r="A4871" i="1"/>
  <c r="F4870" i="1"/>
  <c r="E4870" i="1"/>
  <c r="D4870" i="1"/>
  <c r="C4870" i="1"/>
  <c r="B4870" i="1"/>
  <c r="A4870" i="1"/>
  <c r="F4869" i="1"/>
  <c r="E4869" i="1"/>
  <c r="D4869" i="1"/>
  <c r="C4869" i="1"/>
  <c r="B4869" i="1"/>
  <c r="A4869" i="1"/>
  <c r="F4868" i="1"/>
  <c r="E4868" i="1"/>
  <c r="D4868" i="1"/>
  <c r="C4868" i="1"/>
  <c r="B4868" i="1"/>
  <c r="A4868" i="1"/>
  <c r="F4867" i="1"/>
  <c r="E4867" i="1"/>
  <c r="D4867" i="1"/>
  <c r="C4867" i="1"/>
  <c r="B4867" i="1"/>
  <c r="A4867" i="1"/>
  <c r="F4866" i="1"/>
  <c r="E4866" i="1"/>
  <c r="D4866" i="1"/>
  <c r="C4866" i="1"/>
  <c r="B4866" i="1"/>
  <c r="A4866" i="1"/>
  <c r="F4865" i="1"/>
  <c r="E4865" i="1"/>
  <c r="D4865" i="1"/>
  <c r="C4865" i="1"/>
  <c r="B4865" i="1"/>
  <c r="A4865" i="1"/>
  <c r="F4864" i="1"/>
  <c r="E4864" i="1"/>
  <c r="D4864" i="1"/>
  <c r="C4864" i="1"/>
  <c r="B4864" i="1"/>
  <c r="A4864" i="1"/>
  <c r="F4863" i="1"/>
  <c r="E4863" i="1"/>
  <c r="D4863" i="1"/>
  <c r="C4863" i="1"/>
  <c r="B4863" i="1"/>
  <c r="A4863" i="1"/>
  <c r="F4862" i="1"/>
  <c r="E4862" i="1"/>
  <c r="D4862" i="1"/>
  <c r="C4862" i="1"/>
  <c r="B4862" i="1"/>
  <c r="A4862" i="1"/>
  <c r="F4861" i="1"/>
  <c r="E4861" i="1"/>
  <c r="D4861" i="1"/>
  <c r="C4861" i="1"/>
  <c r="B4861" i="1"/>
  <c r="A4861" i="1"/>
  <c r="F4860" i="1"/>
  <c r="E4860" i="1"/>
  <c r="D4860" i="1"/>
  <c r="C4860" i="1"/>
  <c r="B4860" i="1"/>
  <c r="A4860" i="1"/>
  <c r="F4859" i="1"/>
  <c r="E4859" i="1"/>
  <c r="D4859" i="1"/>
  <c r="C4859" i="1"/>
  <c r="B4859" i="1"/>
  <c r="A4859" i="1"/>
  <c r="F4858" i="1"/>
  <c r="E4858" i="1"/>
  <c r="D4858" i="1"/>
  <c r="C4858" i="1"/>
  <c r="B4858" i="1"/>
  <c r="A4858" i="1"/>
  <c r="F4857" i="1"/>
  <c r="E4857" i="1"/>
  <c r="D4857" i="1"/>
  <c r="C4857" i="1"/>
  <c r="B4857" i="1"/>
  <c r="A4857" i="1"/>
  <c r="F4856" i="1"/>
  <c r="E4856" i="1"/>
  <c r="D4856" i="1"/>
  <c r="C4856" i="1"/>
  <c r="B4856" i="1"/>
  <c r="A4856" i="1"/>
  <c r="F4855" i="1"/>
  <c r="E4855" i="1"/>
  <c r="D4855" i="1"/>
  <c r="C4855" i="1"/>
  <c r="B4855" i="1"/>
  <c r="A4855" i="1"/>
  <c r="F4854" i="1"/>
  <c r="E4854" i="1"/>
  <c r="D4854" i="1"/>
  <c r="C4854" i="1"/>
  <c r="B4854" i="1"/>
  <c r="A4854" i="1"/>
  <c r="F4853" i="1"/>
  <c r="E4853" i="1"/>
  <c r="D4853" i="1"/>
  <c r="C4853" i="1"/>
  <c r="B4853" i="1"/>
  <c r="A4853" i="1"/>
  <c r="F4852" i="1"/>
  <c r="E4852" i="1"/>
  <c r="D4852" i="1"/>
  <c r="C4852" i="1"/>
  <c r="B4852" i="1"/>
  <c r="A4852" i="1"/>
  <c r="F4851" i="1"/>
  <c r="E4851" i="1"/>
  <c r="D4851" i="1"/>
  <c r="C4851" i="1"/>
  <c r="B4851" i="1"/>
  <c r="A4851" i="1"/>
  <c r="F4850" i="1"/>
  <c r="E4850" i="1"/>
  <c r="D4850" i="1"/>
  <c r="C4850" i="1"/>
  <c r="B4850" i="1"/>
  <c r="A4850" i="1"/>
  <c r="F4849" i="1"/>
  <c r="E4849" i="1"/>
  <c r="D4849" i="1"/>
  <c r="C4849" i="1"/>
  <c r="B4849" i="1"/>
  <c r="A4849" i="1"/>
  <c r="F4848" i="1"/>
  <c r="E4848" i="1"/>
  <c r="D4848" i="1"/>
  <c r="C4848" i="1"/>
  <c r="B4848" i="1"/>
  <c r="A4848" i="1"/>
  <c r="F4847" i="1"/>
  <c r="E4847" i="1"/>
  <c r="D4847" i="1"/>
  <c r="C4847" i="1"/>
  <c r="B4847" i="1"/>
  <c r="A4847" i="1"/>
  <c r="F4846" i="1"/>
  <c r="E4846" i="1"/>
  <c r="D4846" i="1"/>
  <c r="C4846" i="1"/>
  <c r="B4846" i="1"/>
  <c r="A4846" i="1"/>
  <c r="F4845" i="1"/>
  <c r="E4845" i="1"/>
  <c r="D4845" i="1"/>
  <c r="C4845" i="1"/>
  <c r="B4845" i="1"/>
  <c r="A4845" i="1"/>
  <c r="F4844" i="1"/>
  <c r="E4844" i="1"/>
  <c r="D4844" i="1"/>
  <c r="C4844" i="1"/>
  <c r="B4844" i="1"/>
  <c r="A4844" i="1"/>
  <c r="F4843" i="1"/>
  <c r="E4843" i="1"/>
  <c r="D4843" i="1"/>
  <c r="C4843" i="1"/>
  <c r="B4843" i="1"/>
  <c r="A4843" i="1"/>
  <c r="F4842" i="1"/>
  <c r="E4842" i="1"/>
  <c r="D4842" i="1"/>
  <c r="C4842" i="1"/>
  <c r="B4842" i="1"/>
  <c r="A4842" i="1"/>
  <c r="F4841" i="1"/>
  <c r="E4841" i="1"/>
  <c r="D4841" i="1"/>
  <c r="C4841" i="1"/>
  <c r="B4841" i="1"/>
  <c r="A4841" i="1"/>
  <c r="F4840" i="1"/>
  <c r="E4840" i="1"/>
  <c r="D4840" i="1"/>
  <c r="C4840" i="1"/>
  <c r="B4840" i="1"/>
  <c r="A4840" i="1"/>
  <c r="F4839" i="1"/>
  <c r="E4839" i="1"/>
  <c r="D4839" i="1"/>
  <c r="C4839" i="1"/>
  <c r="B4839" i="1"/>
  <c r="A4839" i="1"/>
  <c r="F4838" i="1"/>
  <c r="E4838" i="1"/>
  <c r="D4838" i="1"/>
  <c r="C4838" i="1"/>
  <c r="B4838" i="1"/>
  <c r="A4838" i="1"/>
  <c r="F4837" i="1"/>
  <c r="E4837" i="1"/>
  <c r="D4837" i="1"/>
  <c r="C4837" i="1"/>
  <c r="B4837" i="1"/>
  <c r="A4837" i="1"/>
  <c r="F4836" i="1"/>
  <c r="E4836" i="1"/>
  <c r="D4836" i="1"/>
  <c r="C4836" i="1"/>
  <c r="B4836" i="1"/>
  <c r="A4836" i="1"/>
  <c r="F4835" i="1"/>
  <c r="E4835" i="1"/>
  <c r="D4835" i="1"/>
  <c r="C4835" i="1"/>
  <c r="B4835" i="1"/>
  <c r="A4835" i="1"/>
  <c r="F4834" i="1"/>
  <c r="E4834" i="1"/>
  <c r="D4834" i="1"/>
  <c r="C4834" i="1"/>
  <c r="B4834" i="1"/>
  <c r="A4834" i="1"/>
  <c r="F4833" i="1"/>
  <c r="E4833" i="1"/>
  <c r="D4833" i="1"/>
  <c r="C4833" i="1"/>
  <c r="B4833" i="1"/>
  <c r="A4833" i="1"/>
  <c r="F4832" i="1"/>
  <c r="E4832" i="1"/>
  <c r="D4832" i="1"/>
  <c r="C4832" i="1"/>
  <c r="B4832" i="1"/>
  <c r="A4832" i="1"/>
  <c r="F4831" i="1"/>
  <c r="E4831" i="1"/>
  <c r="D4831" i="1"/>
  <c r="C4831" i="1"/>
  <c r="B4831" i="1"/>
  <c r="A4831" i="1"/>
  <c r="F4830" i="1"/>
  <c r="E4830" i="1"/>
  <c r="D4830" i="1"/>
  <c r="C4830" i="1"/>
  <c r="B4830" i="1"/>
  <c r="A4830" i="1"/>
  <c r="F4829" i="1"/>
  <c r="E4829" i="1"/>
  <c r="D4829" i="1"/>
  <c r="C4829" i="1"/>
  <c r="B4829" i="1"/>
  <c r="A4829" i="1"/>
  <c r="F4828" i="1"/>
  <c r="E4828" i="1"/>
  <c r="D4828" i="1"/>
  <c r="C4828" i="1"/>
  <c r="B4828" i="1"/>
  <c r="A4828" i="1"/>
  <c r="F4827" i="1"/>
  <c r="E4827" i="1"/>
  <c r="D4827" i="1"/>
  <c r="C4827" i="1"/>
  <c r="B4827" i="1"/>
  <c r="A4827" i="1"/>
  <c r="F4826" i="1"/>
  <c r="E4826" i="1"/>
  <c r="D4826" i="1"/>
  <c r="C4826" i="1"/>
  <c r="B4826" i="1"/>
  <c r="A4826" i="1"/>
  <c r="F4825" i="1"/>
  <c r="E4825" i="1"/>
  <c r="D4825" i="1"/>
  <c r="C4825" i="1"/>
  <c r="B4825" i="1"/>
  <c r="A4825" i="1"/>
  <c r="F4824" i="1"/>
  <c r="E4824" i="1"/>
  <c r="D4824" i="1"/>
  <c r="C4824" i="1"/>
  <c r="B4824" i="1"/>
  <c r="A4824" i="1"/>
  <c r="F4823" i="1"/>
  <c r="E4823" i="1"/>
  <c r="D4823" i="1"/>
  <c r="C4823" i="1"/>
  <c r="B4823" i="1"/>
  <c r="A4823" i="1"/>
  <c r="F4822" i="1"/>
  <c r="E4822" i="1"/>
  <c r="D4822" i="1"/>
  <c r="C4822" i="1"/>
  <c r="B4822" i="1"/>
  <c r="A4822" i="1"/>
  <c r="F4821" i="1"/>
  <c r="E4821" i="1"/>
  <c r="D4821" i="1"/>
  <c r="C4821" i="1"/>
  <c r="B4821" i="1"/>
  <c r="A4821" i="1"/>
  <c r="F4820" i="1"/>
  <c r="E4820" i="1"/>
  <c r="D4820" i="1"/>
  <c r="C4820" i="1"/>
  <c r="B4820" i="1"/>
  <c r="A4820" i="1"/>
  <c r="F4819" i="1"/>
  <c r="E4819" i="1"/>
  <c r="D4819" i="1"/>
  <c r="C4819" i="1"/>
  <c r="B4819" i="1"/>
  <c r="A4819" i="1"/>
  <c r="F4818" i="1"/>
  <c r="E4818" i="1"/>
  <c r="D4818" i="1"/>
  <c r="C4818" i="1"/>
  <c r="B4818" i="1"/>
  <c r="A4818" i="1"/>
  <c r="F4817" i="1"/>
  <c r="E4817" i="1"/>
  <c r="D4817" i="1"/>
  <c r="C4817" i="1"/>
  <c r="B4817" i="1"/>
  <c r="A4817" i="1"/>
  <c r="F4816" i="1"/>
  <c r="E4816" i="1"/>
  <c r="D4816" i="1"/>
  <c r="C4816" i="1"/>
  <c r="B4816" i="1"/>
  <c r="A4816" i="1"/>
  <c r="F4815" i="1"/>
  <c r="E4815" i="1"/>
  <c r="D4815" i="1"/>
  <c r="C4815" i="1"/>
  <c r="B4815" i="1"/>
  <c r="A4815" i="1"/>
  <c r="F4814" i="1"/>
  <c r="E4814" i="1"/>
  <c r="D4814" i="1"/>
  <c r="C4814" i="1"/>
  <c r="B4814" i="1"/>
  <c r="A4814" i="1"/>
  <c r="F4813" i="1"/>
  <c r="E4813" i="1"/>
  <c r="D4813" i="1"/>
  <c r="C4813" i="1"/>
  <c r="B4813" i="1"/>
  <c r="A4813" i="1"/>
  <c r="F4812" i="1"/>
  <c r="E4812" i="1"/>
  <c r="D4812" i="1"/>
  <c r="C4812" i="1"/>
  <c r="B4812" i="1"/>
  <c r="A4812" i="1"/>
  <c r="F4811" i="1"/>
  <c r="E4811" i="1"/>
  <c r="D4811" i="1"/>
  <c r="C4811" i="1"/>
  <c r="B4811" i="1"/>
  <c r="A4811" i="1"/>
  <c r="F4810" i="1"/>
  <c r="E4810" i="1"/>
  <c r="D4810" i="1"/>
  <c r="C4810" i="1"/>
  <c r="B4810" i="1"/>
  <c r="A4810" i="1"/>
  <c r="F4809" i="1"/>
  <c r="E4809" i="1"/>
  <c r="D4809" i="1"/>
  <c r="C4809" i="1"/>
  <c r="B4809" i="1"/>
  <c r="A4809" i="1"/>
  <c r="F4808" i="1"/>
  <c r="E4808" i="1"/>
  <c r="D4808" i="1"/>
  <c r="C4808" i="1"/>
  <c r="B4808" i="1"/>
  <c r="A4808" i="1"/>
  <c r="F4807" i="1"/>
  <c r="E4807" i="1"/>
  <c r="D4807" i="1"/>
  <c r="C4807" i="1"/>
  <c r="B4807" i="1"/>
  <c r="A4807" i="1"/>
  <c r="F4806" i="1"/>
  <c r="E4806" i="1"/>
  <c r="D4806" i="1"/>
  <c r="C4806" i="1"/>
  <c r="B4806" i="1"/>
  <c r="A4806" i="1"/>
  <c r="F4805" i="1"/>
  <c r="E4805" i="1"/>
  <c r="D4805" i="1"/>
  <c r="C4805" i="1"/>
  <c r="B4805" i="1"/>
  <c r="A4805" i="1"/>
  <c r="F4804" i="1"/>
  <c r="E4804" i="1"/>
  <c r="D4804" i="1"/>
  <c r="C4804" i="1"/>
  <c r="B4804" i="1"/>
  <c r="A4804" i="1"/>
  <c r="F4803" i="1"/>
  <c r="E4803" i="1"/>
  <c r="D4803" i="1"/>
  <c r="C4803" i="1"/>
  <c r="B4803" i="1"/>
  <c r="A4803" i="1"/>
  <c r="F4802" i="1"/>
  <c r="E4802" i="1"/>
  <c r="D4802" i="1"/>
  <c r="C4802" i="1"/>
  <c r="B4802" i="1"/>
  <c r="A4802" i="1"/>
  <c r="F4801" i="1"/>
  <c r="E4801" i="1"/>
  <c r="D4801" i="1"/>
  <c r="C4801" i="1"/>
  <c r="B4801" i="1"/>
  <c r="A4801" i="1"/>
  <c r="F4800" i="1"/>
  <c r="E4800" i="1"/>
  <c r="D4800" i="1"/>
  <c r="C4800" i="1"/>
  <c r="B4800" i="1"/>
  <c r="A4800" i="1"/>
  <c r="F4799" i="1"/>
  <c r="E4799" i="1"/>
  <c r="D4799" i="1"/>
  <c r="C4799" i="1"/>
  <c r="B4799" i="1"/>
  <c r="A4799" i="1"/>
  <c r="F4798" i="1"/>
  <c r="E4798" i="1"/>
  <c r="D4798" i="1"/>
  <c r="C4798" i="1"/>
  <c r="B4798" i="1"/>
  <c r="A4798" i="1"/>
  <c r="F4797" i="1"/>
  <c r="E4797" i="1"/>
  <c r="D4797" i="1"/>
  <c r="C4797" i="1"/>
  <c r="B4797" i="1"/>
  <c r="A4797" i="1"/>
  <c r="F4796" i="1"/>
  <c r="E4796" i="1"/>
  <c r="D4796" i="1"/>
  <c r="C4796" i="1"/>
  <c r="B4796" i="1"/>
  <c r="A4796" i="1"/>
  <c r="F4795" i="1"/>
  <c r="E4795" i="1"/>
  <c r="D4795" i="1"/>
  <c r="C4795" i="1"/>
  <c r="B4795" i="1"/>
  <c r="A4795" i="1"/>
  <c r="F4794" i="1"/>
  <c r="E4794" i="1"/>
  <c r="D4794" i="1"/>
  <c r="C4794" i="1"/>
  <c r="B4794" i="1"/>
  <c r="A4794" i="1"/>
  <c r="F4793" i="1"/>
  <c r="E4793" i="1"/>
  <c r="D4793" i="1"/>
  <c r="C4793" i="1"/>
  <c r="B4793" i="1"/>
  <c r="A4793" i="1"/>
  <c r="F4792" i="1"/>
  <c r="E4792" i="1"/>
  <c r="D4792" i="1"/>
  <c r="C4792" i="1"/>
  <c r="B4792" i="1"/>
  <c r="A4792" i="1"/>
  <c r="F4791" i="1"/>
  <c r="E4791" i="1"/>
  <c r="D4791" i="1"/>
  <c r="C4791" i="1"/>
  <c r="B4791" i="1"/>
  <c r="A4791" i="1"/>
  <c r="F4790" i="1"/>
  <c r="E4790" i="1"/>
  <c r="D4790" i="1"/>
  <c r="C4790" i="1"/>
  <c r="B4790" i="1"/>
  <c r="A4790" i="1"/>
  <c r="F4789" i="1"/>
  <c r="E4789" i="1"/>
  <c r="D4789" i="1"/>
  <c r="C4789" i="1"/>
  <c r="B4789" i="1"/>
  <c r="A4789" i="1"/>
  <c r="F4788" i="1"/>
  <c r="E4788" i="1"/>
  <c r="D4788" i="1"/>
  <c r="C4788" i="1"/>
  <c r="B4788" i="1"/>
  <c r="A4788" i="1"/>
  <c r="F4787" i="1"/>
  <c r="E4787" i="1"/>
  <c r="D4787" i="1"/>
  <c r="C4787" i="1"/>
  <c r="B4787" i="1"/>
  <c r="A4787" i="1"/>
  <c r="F4786" i="1"/>
  <c r="E4786" i="1"/>
  <c r="D4786" i="1"/>
  <c r="C4786" i="1"/>
  <c r="B4786" i="1"/>
  <c r="A4786" i="1"/>
  <c r="F4785" i="1"/>
  <c r="E4785" i="1"/>
  <c r="D4785" i="1"/>
  <c r="C4785" i="1"/>
  <c r="B4785" i="1"/>
  <c r="A4785" i="1"/>
  <c r="F4784" i="1"/>
  <c r="E4784" i="1"/>
  <c r="D4784" i="1"/>
  <c r="C4784" i="1"/>
  <c r="B4784" i="1"/>
  <c r="A4784" i="1"/>
  <c r="F4783" i="1"/>
  <c r="E4783" i="1"/>
  <c r="D4783" i="1"/>
  <c r="C4783" i="1"/>
  <c r="B4783" i="1"/>
  <c r="A4783" i="1"/>
  <c r="F4782" i="1"/>
  <c r="E4782" i="1"/>
  <c r="D4782" i="1"/>
  <c r="C4782" i="1"/>
  <c r="B4782" i="1"/>
  <c r="A4782" i="1"/>
  <c r="F4781" i="1"/>
  <c r="E4781" i="1"/>
  <c r="D4781" i="1"/>
  <c r="C4781" i="1"/>
  <c r="B4781" i="1"/>
  <c r="A4781" i="1"/>
  <c r="F4780" i="1"/>
  <c r="E4780" i="1"/>
  <c r="D4780" i="1"/>
  <c r="C4780" i="1"/>
  <c r="B4780" i="1"/>
  <c r="A4780" i="1"/>
  <c r="F4779" i="1"/>
  <c r="E4779" i="1"/>
  <c r="D4779" i="1"/>
  <c r="C4779" i="1"/>
  <c r="B4779" i="1"/>
  <c r="A4779" i="1"/>
  <c r="F4778" i="1"/>
  <c r="E4778" i="1"/>
  <c r="D4778" i="1"/>
  <c r="C4778" i="1"/>
  <c r="B4778" i="1"/>
  <c r="A4778" i="1"/>
  <c r="F4777" i="1"/>
  <c r="E4777" i="1"/>
  <c r="D4777" i="1"/>
  <c r="C4777" i="1"/>
  <c r="B4777" i="1"/>
  <c r="A4777" i="1"/>
  <c r="F4776" i="1"/>
  <c r="E4776" i="1"/>
  <c r="D4776" i="1"/>
  <c r="C4776" i="1"/>
  <c r="B4776" i="1"/>
  <c r="A4776" i="1"/>
  <c r="F4775" i="1"/>
  <c r="E4775" i="1"/>
  <c r="D4775" i="1"/>
  <c r="C4775" i="1"/>
  <c r="B4775" i="1"/>
  <c r="A4775" i="1"/>
  <c r="F4774" i="1"/>
  <c r="E4774" i="1"/>
  <c r="D4774" i="1"/>
  <c r="C4774" i="1"/>
  <c r="B4774" i="1"/>
  <c r="A4774" i="1"/>
  <c r="F4773" i="1"/>
  <c r="E4773" i="1"/>
  <c r="D4773" i="1"/>
  <c r="C4773" i="1"/>
  <c r="B4773" i="1"/>
  <c r="A4773" i="1"/>
  <c r="F4772" i="1"/>
  <c r="E4772" i="1"/>
  <c r="D4772" i="1"/>
  <c r="C4772" i="1"/>
  <c r="B4772" i="1"/>
  <c r="A4772" i="1"/>
  <c r="F4771" i="1"/>
  <c r="E4771" i="1"/>
  <c r="D4771" i="1"/>
  <c r="C4771" i="1"/>
  <c r="B4771" i="1"/>
  <c r="A4771" i="1"/>
  <c r="F4770" i="1"/>
  <c r="E4770" i="1"/>
  <c r="D4770" i="1"/>
  <c r="C4770" i="1"/>
  <c r="B4770" i="1"/>
  <c r="A4770" i="1"/>
  <c r="F4769" i="1"/>
  <c r="E4769" i="1"/>
  <c r="D4769" i="1"/>
  <c r="C4769" i="1"/>
  <c r="B4769" i="1"/>
  <c r="A4769" i="1"/>
  <c r="F4768" i="1"/>
  <c r="E4768" i="1"/>
  <c r="D4768" i="1"/>
  <c r="C4768" i="1"/>
  <c r="B4768" i="1"/>
  <c r="A4768" i="1"/>
  <c r="F4767" i="1"/>
  <c r="E4767" i="1"/>
  <c r="D4767" i="1"/>
  <c r="C4767" i="1"/>
  <c r="B4767" i="1"/>
  <c r="A4767" i="1"/>
  <c r="F4766" i="1"/>
  <c r="E4766" i="1"/>
  <c r="D4766" i="1"/>
  <c r="C4766" i="1"/>
  <c r="B4766" i="1"/>
  <c r="A4766" i="1"/>
  <c r="F4765" i="1"/>
  <c r="E4765" i="1"/>
  <c r="D4765" i="1"/>
  <c r="C4765" i="1"/>
  <c r="B4765" i="1"/>
  <c r="A4765" i="1"/>
  <c r="F4764" i="1"/>
  <c r="E4764" i="1"/>
  <c r="D4764" i="1"/>
  <c r="C4764" i="1"/>
  <c r="B4764" i="1"/>
  <c r="A4764" i="1"/>
  <c r="F4763" i="1"/>
  <c r="E4763" i="1"/>
  <c r="D4763" i="1"/>
  <c r="C4763" i="1"/>
  <c r="B4763" i="1"/>
  <c r="A4763" i="1"/>
  <c r="F4762" i="1"/>
  <c r="E4762" i="1"/>
  <c r="D4762" i="1"/>
  <c r="C4762" i="1"/>
  <c r="B4762" i="1"/>
  <c r="A4762" i="1"/>
  <c r="F4761" i="1"/>
  <c r="E4761" i="1"/>
  <c r="D4761" i="1"/>
  <c r="C4761" i="1"/>
  <c r="B4761" i="1"/>
  <c r="A4761" i="1"/>
  <c r="F4760" i="1"/>
  <c r="E4760" i="1"/>
  <c r="D4760" i="1"/>
  <c r="C4760" i="1"/>
  <c r="B4760" i="1"/>
  <c r="A4760" i="1"/>
  <c r="F4759" i="1"/>
  <c r="E4759" i="1"/>
  <c r="D4759" i="1"/>
  <c r="C4759" i="1"/>
  <c r="B4759" i="1"/>
  <c r="A4759" i="1"/>
  <c r="F4758" i="1"/>
  <c r="E4758" i="1"/>
  <c r="D4758" i="1"/>
  <c r="C4758" i="1"/>
  <c r="B4758" i="1"/>
  <c r="A4758" i="1"/>
  <c r="F4757" i="1"/>
  <c r="E4757" i="1"/>
  <c r="D4757" i="1"/>
  <c r="C4757" i="1"/>
  <c r="B4757" i="1"/>
  <c r="A4757" i="1"/>
  <c r="F4756" i="1"/>
  <c r="E4756" i="1"/>
  <c r="D4756" i="1"/>
  <c r="C4756" i="1"/>
  <c r="B4756" i="1"/>
  <c r="A4756" i="1"/>
  <c r="F4755" i="1"/>
  <c r="E4755" i="1"/>
  <c r="D4755" i="1"/>
  <c r="C4755" i="1"/>
  <c r="B4755" i="1"/>
  <c r="A4755" i="1"/>
  <c r="F4754" i="1"/>
  <c r="E4754" i="1"/>
  <c r="D4754" i="1"/>
  <c r="C4754" i="1"/>
  <c r="B4754" i="1"/>
  <c r="A4754" i="1"/>
  <c r="F4753" i="1"/>
  <c r="E4753" i="1"/>
  <c r="D4753" i="1"/>
  <c r="C4753" i="1"/>
  <c r="B4753" i="1"/>
  <c r="A4753" i="1"/>
  <c r="F4752" i="1"/>
  <c r="E4752" i="1"/>
  <c r="D4752" i="1"/>
  <c r="C4752" i="1"/>
  <c r="B4752" i="1"/>
  <c r="A4752" i="1"/>
  <c r="F4751" i="1"/>
  <c r="E4751" i="1"/>
  <c r="D4751" i="1"/>
  <c r="C4751" i="1"/>
  <c r="B4751" i="1"/>
  <c r="A4751" i="1"/>
  <c r="F4750" i="1"/>
  <c r="E4750" i="1"/>
  <c r="D4750" i="1"/>
  <c r="C4750" i="1"/>
  <c r="B4750" i="1"/>
  <c r="A4750" i="1"/>
  <c r="F4749" i="1"/>
  <c r="E4749" i="1"/>
  <c r="D4749" i="1"/>
  <c r="C4749" i="1"/>
  <c r="B4749" i="1"/>
  <c r="A4749" i="1"/>
  <c r="F4748" i="1"/>
  <c r="E4748" i="1"/>
  <c r="D4748" i="1"/>
  <c r="C4748" i="1"/>
  <c r="B4748" i="1"/>
  <c r="A4748" i="1"/>
  <c r="F4747" i="1"/>
  <c r="E4747" i="1"/>
  <c r="D4747" i="1"/>
  <c r="C4747" i="1"/>
  <c r="B4747" i="1"/>
  <c r="A4747" i="1"/>
  <c r="F4746" i="1"/>
  <c r="E4746" i="1"/>
  <c r="D4746" i="1"/>
  <c r="C4746" i="1"/>
  <c r="B4746" i="1"/>
  <c r="A4746" i="1"/>
  <c r="F4745" i="1"/>
  <c r="E4745" i="1"/>
  <c r="D4745" i="1"/>
  <c r="C4745" i="1"/>
  <c r="B4745" i="1"/>
  <c r="A4745" i="1"/>
  <c r="F4744" i="1"/>
  <c r="E4744" i="1"/>
  <c r="D4744" i="1"/>
  <c r="C4744" i="1"/>
  <c r="B4744" i="1"/>
  <c r="A4744" i="1"/>
  <c r="F4743" i="1"/>
  <c r="E4743" i="1"/>
  <c r="D4743" i="1"/>
  <c r="C4743" i="1"/>
  <c r="B4743" i="1"/>
  <c r="A4743" i="1"/>
  <c r="F4742" i="1"/>
  <c r="E4742" i="1"/>
  <c r="D4742" i="1"/>
  <c r="C4742" i="1"/>
  <c r="B4742" i="1"/>
  <c r="A4742" i="1"/>
  <c r="F4741" i="1"/>
  <c r="E4741" i="1"/>
  <c r="D4741" i="1"/>
  <c r="C4741" i="1"/>
  <c r="B4741" i="1"/>
  <c r="A4741" i="1"/>
  <c r="F4740" i="1"/>
  <c r="E4740" i="1"/>
  <c r="D4740" i="1"/>
  <c r="C4740" i="1"/>
  <c r="B4740" i="1"/>
  <c r="A4740" i="1"/>
  <c r="F4739" i="1"/>
  <c r="E4739" i="1"/>
  <c r="D4739" i="1"/>
  <c r="C4739" i="1"/>
  <c r="B4739" i="1"/>
  <c r="A4739" i="1"/>
  <c r="F4738" i="1"/>
  <c r="E4738" i="1"/>
  <c r="D4738" i="1"/>
  <c r="C4738" i="1"/>
  <c r="B4738" i="1"/>
  <c r="A4738" i="1"/>
  <c r="F4737" i="1"/>
  <c r="E4737" i="1"/>
  <c r="D4737" i="1"/>
  <c r="C4737" i="1"/>
  <c r="B4737" i="1"/>
  <c r="A4737" i="1"/>
  <c r="F4736" i="1"/>
  <c r="E4736" i="1"/>
  <c r="D4736" i="1"/>
  <c r="C4736" i="1"/>
  <c r="B4736" i="1"/>
  <c r="A4736" i="1"/>
  <c r="F4735" i="1"/>
  <c r="E4735" i="1"/>
  <c r="D4735" i="1"/>
  <c r="C4735" i="1"/>
  <c r="B4735" i="1"/>
  <c r="A4735" i="1"/>
  <c r="F4734" i="1"/>
  <c r="E4734" i="1"/>
  <c r="D4734" i="1"/>
  <c r="C4734" i="1"/>
  <c r="B4734" i="1"/>
  <c r="A4734" i="1"/>
  <c r="F4733" i="1"/>
  <c r="E4733" i="1"/>
  <c r="D4733" i="1"/>
  <c r="C4733" i="1"/>
  <c r="B4733" i="1"/>
  <c r="A4733" i="1"/>
  <c r="F4732" i="1"/>
  <c r="E4732" i="1"/>
  <c r="D4732" i="1"/>
  <c r="C4732" i="1"/>
  <c r="B4732" i="1"/>
  <c r="A4732" i="1"/>
  <c r="F4731" i="1"/>
  <c r="E4731" i="1"/>
  <c r="D4731" i="1"/>
  <c r="C4731" i="1"/>
  <c r="B4731" i="1"/>
  <c r="A4731" i="1"/>
  <c r="F4730" i="1"/>
  <c r="E4730" i="1"/>
  <c r="D4730" i="1"/>
  <c r="C4730" i="1"/>
  <c r="B4730" i="1"/>
  <c r="A4730" i="1"/>
  <c r="F4729" i="1"/>
  <c r="E4729" i="1"/>
  <c r="D4729" i="1"/>
  <c r="C4729" i="1"/>
  <c r="B4729" i="1"/>
  <c r="A4729" i="1"/>
  <c r="F4728" i="1"/>
  <c r="E4728" i="1"/>
  <c r="D4728" i="1"/>
  <c r="C4728" i="1"/>
  <c r="B4728" i="1"/>
  <c r="A4728" i="1"/>
  <c r="F4727" i="1"/>
  <c r="E4727" i="1"/>
  <c r="D4727" i="1"/>
  <c r="C4727" i="1"/>
  <c r="B4727" i="1"/>
  <c r="A4727" i="1"/>
  <c r="F4726" i="1"/>
  <c r="E4726" i="1"/>
  <c r="D4726" i="1"/>
  <c r="C4726" i="1"/>
  <c r="B4726" i="1"/>
  <c r="A4726" i="1"/>
  <c r="F4725" i="1"/>
  <c r="E4725" i="1"/>
  <c r="D4725" i="1"/>
  <c r="C4725" i="1"/>
  <c r="B4725" i="1"/>
  <c r="A4725" i="1"/>
  <c r="F4724" i="1"/>
  <c r="E4724" i="1"/>
  <c r="D4724" i="1"/>
  <c r="C4724" i="1"/>
  <c r="B4724" i="1"/>
  <c r="A4724" i="1"/>
  <c r="F4723" i="1"/>
  <c r="E4723" i="1"/>
  <c r="D4723" i="1"/>
  <c r="C4723" i="1"/>
  <c r="B4723" i="1"/>
  <c r="A4723" i="1"/>
  <c r="F4722" i="1"/>
  <c r="E4722" i="1"/>
  <c r="D4722" i="1"/>
  <c r="C4722" i="1"/>
  <c r="B4722" i="1"/>
  <c r="A4722" i="1"/>
  <c r="F4721" i="1"/>
  <c r="E4721" i="1"/>
  <c r="D4721" i="1"/>
  <c r="C4721" i="1"/>
  <c r="B4721" i="1"/>
  <c r="A4721" i="1"/>
  <c r="F4720" i="1"/>
  <c r="E4720" i="1"/>
  <c r="D4720" i="1"/>
  <c r="C4720" i="1"/>
  <c r="B4720" i="1"/>
  <c r="A4720" i="1"/>
  <c r="F4719" i="1"/>
  <c r="E4719" i="1"/>
  <c r="D4719" i="1"/>
  <c r="C4719" i="1"/>
  <c r="B4719" i="1"/>
  <c r="A4719" i="1"/>
  <c r="F4718" i="1"/>
  <c r="E4718" i="1"/>
  <c r="D4718" i="1"/>
  <c r="C4718" i="1"/>
  <c r="B4718" i="1"/>
  <c r="A4718" i="1"/>
  <c r="F4717" i="1"/>
  <c r="E4717" i="1"/>
  <c r="D4717" i="1"/>
  <c r="C4717" i="1"/>
  <c r="B4717" i="1"/>
  <c r="A4717" i="1"/>
  <c r="F4716" i="1"/>
  <c r="E4716" i="1"/>
  <c r="D4716" i="1"/>
  <c r="C4716" i="1"/>
  <c r="B4716" i="1"/>
  <c r="A4716" i="1"/>
  <c r="F4715" i="1"/>
  <c r="E4715" i="1"/>
  <c r="D4715" i="1"/>
  <c r="C4715" i="1"/>
  <c r="B4715" i="1"/>
  <c r="A4715" i="1"/>
  <c r="F4714" i="1"/>
  <c r="E4714" i="1"/>
  <c r="D4714" i="1"/>
  <c r="C4714" i="1"/>
  <c r="B4714" i="1"/>
  <c r="A4714" i="1"/>
  <c r="F4713" i="1"/>
  <c r="E4713" i="1"/>
  <c r="D4713" i="1"/>
  <c r="C4713" i="1"/>
  <c r="B4713" i="1"/>
  <c r="A4713" i="1"/>
  <c r="F4712" i="1"/>
  <c r="E4712" i="1"/>
  <c r="D4712" i="1"/>
  <c r="C4712" i="1"/>
  <c r="B4712" i="1"/>
  <c r="A4712" i="1"/>
  <c r="F4711" i="1"/>
  <c r="E4711" i="1"/>
  <c r="D4711" i="1"/>
  <c r="C4711" i="1"/>
  <c r="B4711" i="1"/>
  <c r="A4711" i="1"/>
  <c r="F4710" i="1"/>
  <c r="E4710" i="1"/>
  <c r="D4710" i="1"/>
  <c r="C4710" i="1"/>
  <c r="B4710" i="1"/>
  <c r="A4710" i="1"/>
  <c r="F4709" i="1"/>
  <c r="E4709" i="1"/>
  <c r="D4709" i="1"/>
  <c r="C4709" i="1"/>
  <c r="B4709" i="1"/>
  <c r="A4709" i="1"/>
  <c r="F4708" i="1"/>
  <c r="E4708" i="1"/>
  <c r="D4708" i="1"/>
  <c r="C4708" i="1"/>
  <c r="B4708" i="1"/>
  <c r="A4708" i="1"/>
  <c r="F4707" i="1"/>
  <c r="E4707" i="1"/>
  <c r="D4707" i="1"/>
  <c r="C4707" i="1"/>
  <c r="B4707" i="1"/>
  <c r="A4707" i="1"/>
  <c r="F4706" i="1"/>
  <c r="E4706" i="1"/>
  <c r="D4706" i="1"/>
  <c r="C4706" i="1"/>
  <c r="B4706" i="1"/>
  <c r="A4706" i="1"/>
  <c r="F4705" i="1"/>
  <c r="E4705" i="1"/>
  <c r="D4705" i="1"/>
  <c r="C4705" i="1"/>
  <c r="B4705" i="1"/>
  <c r="A4705" i="1"/>
  <c r="F4704" i="1"/>
  <c r="E4704" i="1"/>
  <c r="D4704" i="1"/>
  <c r="C4704" i="1"/>
  <c r="B4704" i="1"/>
  <c r="A4704" i="1"/>
  <c r="F4703" i="1"/>
  <c r="E4703" i="1"/>
  <c r="D4703" i="1"/>
  <c r="C4703" i="1"/>
  <c r="B4703" i="1"/>
  <c r="A4703" i="1"/>
  <c r="F4702" i="1"/>
  <c r="E4702" i="1"/>
  <c r="D4702" i="1"/>
  <c r="C4702" i="1"/>
  <c r="B4702" i="1"/>
  <c r="A4702" i="1"/>
  <c r="F4701" i="1"/>
  <c r="E4701" i="1"/>
  <c r="D4701" i="1"/>
  <c r="C4701" i="1"/>
  <c r="B4701" i="1"/>
  <c r="A4701" i="1"/>
  <c r="F4700" i="1"/>
  <c r="E4700" i="1"/>
  <c r="D4700" i="1"/>
  <c r="C4700" i="1"/>
  <c r="B4700" i="1"/>
  <c r="A4700" i="1"/>
  <c r="F4699" i="1"/>
  <c r="E4699" i="1"/>
  <c r="D4699" i="1"/>
  <c r="C4699" i="1"/>
  <c r="B4699" i="1"/>
  <c r="A4699" i="1"/>
  <c r="F4698" i="1"/>
  <c r="E4698" i="1"/>
  <c r="D4698" i="1"/>
  <c r="C4698" i="1"/>
  <c r="B4698" i="1"/>
  <c r="A4698" i="1"/>
  <c r="F4697" i="1"/>
  <c r="E4697" i="1"/>
  <c r="D4697" i="1"/>
  <c r="C4697" i="1"/>
  <c r="B4697" i="1"/>
  <c r="A4697" i="1"/>
  <c r="F4696" i="1"/>
  <c r="E4696" i="1"/>
  <c r="D4696" i="1"/>
  <c r="C4696" i="1"/>
  <c r="B4696" i="1"/>
  <c r="A4696" i="1"/>
  <c r="F4695" i="1"/>
  <c r="E4695" i="1"/>
  <c r="D4695" i="1"/>
  <c r="C4695" i="1"/>
  <c r="B4695" i="1"/>
  <c r="A4695" i="1"/>
  <c r="F4694" i="1"/>
  <c r="E4694" i="1"/>
  <c r="D4694" i="1"/>
  <c r="C4694" i="1"/>
  <c r="B4694" i="1"/>
  <c r="A4694" i="1"/>
  <c r="F4693" i="1"/>
  <c r="E4693" i="1"/>
  <c r="D4693" i="1"/>
  <c r="C4693" i="1"/>
  <c r="B4693" i="1"/>
  <c r="A4693" i="1"/>
  <c r="F4692" i="1"/>
  <c r="E4692" i="1"/>
  <c r="D4692" i="1"/>
  <c r="C4692" i="1"/>
  <c r="B4692" i="1"/>
  <c r="A4692" i="1"/>
  <c r="F4691" i="1"/>
  <c r="E4691" i="1"/>
  <c r="D4691" i="1"/>
  <c r="C4691" i="1"/>
  <c r="B4691" i="1"/>
  <c r="A4691" i="1"/>
  <c r="F4690" i="1"/>
  <c r="E4690" i="1"/>
  <c r="D4690" i="1"/>
  <c r="C4690" i="1"/>
  <c r="B4690" i="1"/>
  <c r="A4690" i="1"/>
  <c r="F4689" i="1"/>
  <c r="E4689" i="1"/>
  <c r="D4689" i="1"/>
  <c r="C4689" i="1"/>
  <c r="B4689" i="1"/>
  <c r="A4689" i="1"/>
  <c r="F4688" i="1"/>
  <c r="E4688" i="1"/>
  <c r="D4688" i="1"/>
  <c r="C4688" i="1"/>
  <c r="B4688" i="1"/>
  <c r="A4688" i="1"/>
  <c r="F4687" i="1"/>
  <c r="E4687" i="1"/>
  <c r="D4687" i="1"/>
  <c r="C4687" i="1"/>
  <c r="B4687" i="1"/>
  <c r="A4687" i="1"/>
  <c r="F4686" i="1"/>
  <c r="E4686" i="1"/>
  <c r="D4686" i="1"/>
  <c r="C4686" i="1"/>
  <c r="B4686" i="1"/>
  <c r="A4686" i="1"/>
  <c r="F4685" i="1"/>
  <c r="E4685" i="1"/>
  <c r="D4685" i="1"/>
  <c r="C4685" i="1"/>
  <c r="B4685" i="1"/>
  <c r="A4685" i="1"/>
  <c r="F4684" i="1"/>
  <c r="E4684" i="1"/>
  <c r="D4684" i="1"/>
  <c r="C4684" i="1"/>
  <c r="B4684" i="1"/>
  <c r="A4684" i="1"/>
  <c r="F4683" i="1"/>
  <c r="E4683" i="1"/>
  <c r="D4683" i="1"/>
  <c r="C4683" i="1"/>
  <c r="B4683" i="1"/>
  <c r="A4683" i="1"/>
  <c r="F4682" i="1"/>
  <c r="E4682" i="1"/>
  <c r="D4682" i="1"/>
  <c r="C4682" i="1"/>
  <c r="B4682" i="1"/>
  <c r="A4682" i="1"/>
  <c r="F4681" i="1"/>
  <c r="E4681" i="1"/>
  <c r="D4681" i="1"/>
  <c r="C4681" i="1"/>
  <c r="B4681" i="1"/>
  <c r="A4681" i="1"/>
  <c r="F4680" i="1"/>
  <c r="E4680" i="1"/>
  <c r="D4680" i="1"/>
  <c r="C4680" i="1"/>
  <c r="B4680" i="1"/>
  <c r="A4680" i="1"/>
  <c r="F4679" i="1"/>
  <c r="E4679" i="1"/>
  <c r="D4679" i="1"/>
  <c r="C4679" i="1"/>
  <c r="B4679" i="1"/>
  <c r="A4679" i="1"/>
  <c r="F4678" i="1"/>
  <c r="E4678" i="1"/>
  <c r="D4678" i="1"/>
  <c r="C4678" i="1"/>
  <c r="B4678" i="1"/>
  <c r="A4678" i="1"/>
  <c r="F4677" i="1"/>
  <c r="E4677" i="1"/>
  <c r="D4677" i="1"/>
  <c r="C4677" i="1"/>
  <c r="B4677" i="1"/>
  <c r="A4677" i="1"/>
  <c r="F4676" i="1"/>
  <c r="E4676" i="1"/>
  <c r="D4676" i="1"/>
  <c r="C4676" i="1"/>
  <c r="B4676" i="1"/>
  <c r="A4676" i="1"/>
  <c r="F4675" i="1"/>
  <c r="E4675" i="1"/>
  <c r="D4675" i="1"/>
  <c r="C4675" i="1"/>
  <c r="B4675" i="1"/>
  <c r="A4675" i="1"/>
  <c r="F4674" i="1"/>
  <c r="E4674" i="1"/>
  <c r="D4674" i="1"/>
  <c r="C4674" i="1"/>
  <c r="B4674" i="1"/>
  <c r="A4674" i="1"/>
  <c r="F4673" i="1"/>
  <c r="E4673" i="1"/>
  <c r="D4673" i="1"/>
  <c r="C4673" i="1"/>
  <c r="B4673" i="1"/>
  <c r="A4673" i="1"/>
  <c r="F4672" i="1"/>
  <c r="E4672" i="1"/>
  <c r="D4672" i="1"/>
  <c r="C4672" i="1"/>
  <c r="B4672" i="1"/>
  <c r="A4672" i="1"/>
  <c r="F4671" i="1"/>
  <c r="E4671" i="1"/>
  <c r="D4671" i="1"/>
  <c r="C4671" i="1"/>
  <c r="B4671" i="1"/>
  <c r="A4671" i="1"/>
  <c r="F4670" i="1"/>
  <c r="E4670" i="1"/>
  <c r="D4670" i="1"/>
  <c r="C4670" i="1"/>
  <c r="B4670" i="1"/>
  <c r="A4670" i="1"/>
  <c r="F4669" i="1"/>
  <c r="E4669" i="1"/>
  <c r="D4669" i="1"/>
  <c r="C4669" i="1"/>
  <c r="B4669" i="1"/>
  <c r="A4669" i="1"/>
  <c r="F4668" i="1"/>
  <c r="E4668" i="1"/>
  <c r="D4668" i="1"/>
  <c r="C4668" i="1"/>
  <c r="B4668" i="1"/>
  <c r="A4668" i="1"/>
  <c r="F4667" i="1"/>
  <c r="E4667" i="1"/>
  <c r="D4667" i="1"/>
  <c r="C4667" i="1"/>
  <c r="B4667" i="1"/>
  <c r="A4667" i="1"/>
  <c r="F4666" i="1"/>
  <c r="E4666" i="1"/>
  <c r="D4666" i="1"/>
  <c r="C4666" i="1"/>
  <c r="B4666" i="1"/>
  <c r="A4666" i="1"/>
  <c r="F4665" i="1"/>
  <c r="E4665" i="1"/>
  <c r="D4665" i="1"/>
  <c r="C4665" i="1"/>
  <c r="B4665" i="1"/>
  <c r="A4665" i="1"/>
  <c r="F4664" i="1"/>
  <c r="E4664" i="1"/>
  <c r="D4664" i="1"/>
  <c r="C4664" i="1"/>
  <c r="B4664" i="1"/>
  <c r="A4664" i="1"/>
  <c r="F4663" i="1"/>
  <c r="E4663" i="1"/>
  <c r="D4663" i="1"/>
  <c r="C4663" i="1"/>
  <c r="B4663" i="1"/>
  <c r="A4663" i="1"/>
  <c r="F4662" i="1"/>
  <c r="E4662" i="1"/>
  <c r="D4662" i="1"/>
  <c r="C4662" i="1"/>
  <c r="B4662" i="1"/>
  <c r="A4662" i="1"/>
  <c r="F4661" i="1"/>
  <c r="E4661" i="1"/>
  <c r="D4661" i="1"/>
  <c r="C4661" i="1"/>
  <c r="B4661" i="1"/>
  <c r="A4661" i="1"/>
  <c r="F4660" i="1"/>
  <c r="E4660" i="1"/>
  <c r="D4660" i="1"/>
  <c r="C4660" i="1"/>
  <c r="B4660" i="1"/>
  <c r="A4660" i="1"/>
  <c r="F4659" i="1"/>
  <c r="E4659" i="1"/>
  <c r="D4659" i="1"/>
  <c r="C4659" i="1"/>
  <c r="B4659" i="1"/>
  <c r="A4659" i="1"/>
  <c r="F4658" i="1"/>
  <c r="E4658" i="1"/>
  <c r="D4658" i="1"/>
  <c r="C4658" i="1"/>
  <c r="B4658" i="1"/>
  <c r="A4658" i="1"/>
  <c r="F4657" i="1"/>
  <c r="E4657" i="1"/>
  <c r="D4657" i="1"/>
  <c r="C4657" i="1"/>
  <c r="B4657" i="1"/>
  <c r="A4657" i="1"/>
  <c r="F4656" i="1"/>
  <c r="E4656" i="1"/>
  <c r="D4656" i="1"/>
  <c r="C4656" i="1"/>
  <c r="B4656" i="1"/>
  <c r="A4656" i="1"/>
  <c r="F4655" i="1"/>
  <c r="E4655" i="1"/>
  <c r="D4655" i="1"/>
  <c r="C4655" i="1"/>
  <c r="B4655" i="1"/>
  <c r="A4655" i="1"/>
  <c r="F4654" i="1"/>
  <c r="E4654" i="1"/>
  <c r="D4654" i="1"/>
  <c r="C4654" i="1"/>
  <c r="B4654" i="1"/>
  <c r="A4654" i="1"/>
  <c r="F4653" i="1"/>
  <c r="E4653" i="1"/>
  <c r="D4653" i="1"/>
  <c r="C4653" i="1"/>
  <c r="B4653" i="1"/>
  <c r="A4653" i="1"/>
  <c r="F4652" i="1"/>
  <c r="E4652" i="1"/>
  <c r="D4652" i="1"/>
  <c r="C4652" i="1"/>
  <c r="B4652" i="1"/>
  <c r="A4652" i="1"/>
  <c r="F4651" i="1"/>
  <c r="E4651" i="1"/>
  <c r="D4651" i="1"/>
  <c r="C4651" i="1"/>
  <c r="B4651" i="1"/>
  <c r="A4651" i="1"/>
  <c r="F4650" i="1"/>
  <c r="E4650" i="1"/>
  <c r="D4650" i="1"/>
  <c r="C4650" i="1"/>
  <c r="B4650" i="1"/>
  <c r="A4650" i="1"/>
  <c r="F4649" i="1"/>
  <c r="E4649" i="1"/>
  <c r="D4649" i="1"/>
  <c r="C4649" i="1"/>
  <c r="B4649" i="1"/>
  <c r="A4649" i="1"/>
  <c r="F4648" i="1"/>
  <c r="E4648" i="1"/>
  <c r="D4648" i="1"/>
  <c r="C4648" i="1"/>
  <c r="B4648" i="1"/>
  <c r="A4648" i="1"/>
  <c r="F4647" i="1"/>
  <c r="E4647" i="1"/>
  <c r="D4647" i="1"/>
  <c r="C4647" i="1"/>
  <c r="B4647" i="1"/>
  <c r="A4647" i="1"/>
  <c r="F4646" i="1"/>
  <c r="E4646" i="1"/>
  <c r="D4646" i="1"/>
  <c r="C4646" i="1"/>
  <c r="B4646" i="1"/>
  <c r="A4646" i="1"/>
  <c r="F4645" i="1"/>
  <c r="E4645" i="1"/>
  <c r="D4645" i="1"/>
  <c r="C4645" i="1"/>
  <c r="B4645" i="1"/>
  <c r="A4645" i="1"/>
  <c r="F4644" i="1"/>
  <c r="E4644" i="1"/>
  <c r="D4644" i="1"/>
  <c r="C4644" i="1"/>
  <c r="B4644" i="1"/>
  <c r="A4644" i="1"/>
  <c r="F4643" i="1"/>
  <c r="E4643" i="1"/>
  <c r="D4643" i="1"/>
  <c r="C4643" i="1"/>
  <c r="B4643" i="1"/>
  <c r="A4643" i="1"/>
  <c r="F4642" i="1"/>
  <c r="E4642" i="1"/>
  <c r="D4642" i="1"/>
  <c r="C4642" i="1"/>
  <c r="B4642" i="1"/>
  <c r="A4642" i="1"/>
  <c r="F4641" i="1"/>
  <c r="E4641" i="1"/>
  <c r="D4641" i="1"/>
  <c r="C4641" i="1"/>
  <c r="B4641" i="1"/>
  <c r="A4641" i="1"/>
  <c r="F4640" i="1"/>
  <c r="E4640" i="1"/>
  <c r="D4640" i="1"/>
  <c r="C4640" i="1"/>
  <c r="B4640" i="1"/>
  <c r="A4640" i="1"/>
  <c r="F4639" i="1"/>
  <c r="E4639" i="1"/>
  <c r="D4639" i="1"/>
  <c r="C4639" i="1"/>
  <c r="B4639" i="1"/>
  <c r="A4639" i="1"/>
  <c r="F4638" i="1"/>
  <c r="E4638" i="1"/>
  <c r="D4638" i="1"/>
  <c r="C4638" i="1"/>
  <c r="B4638" i="1"/>
  <c r="A4638" i="1"/>
  <c r="F4637" i="1"/>
  <c r="E4637" i="1"/>
  <c r="D4637" i="1"/>
  <c r="C4637" i="1"/>
  <c r="B4637" i="1"/>
  <c r="A4637" i="1"/>
  <c r="F4636" i="1"/>
  <c r="E4636" i="1"/>
  <c r="D4636" i="1"/>
  <c r="C4636" i="1"/>
  <c r="B4636" i="1"/>
  <c r="A4636" i="1"/>
  <c r="F4635" i="1"/>
  <c r="E4635" i="1"/>
  <c r="D4635" i="1"/>
  <c r="C4635" i="1"/>
  <c r="B4635" i="1"/>
  <c r="A4635" i="1"/>
  <c r="F4634" i="1"/>
  <c r="E4634" i="1"/>
  <c r="D4634" i="1"/>
  <c r="C4634" i="1"/>
  <c r="B4634" i="1"/>
  <c r="A4634" i="1"/>
  <c r="F4633" i="1"/>
  <c r="E4633" i="1"/>
  <c r="D4633" i="1"/>
  <c r="C4633" i="1"/>
  <c r="B4633" i="1"/>
  <c r="A4633" i="1"/>
  <c r="F4632" i="1"/>
  <c r="E4632" i="1"/>
  <c r="D4632" i="1"/>
  <c r="C4632" i="1"/>
  <c r="B4632" i="1"/>
  <c r="A4632" i="1"/>
  <c r="F4631" i="1"/>
  <c r="E4631" i="1"/>
  <c r="D4631" i="1"/>
  <c r="C4631" i="1"/>
  <c r="B4631" i="1"/>
  <c r="A4631" i="1"/>
  <c r="F4630" i="1"/>
  <c r="E4630" i="1"/>
  <c r="D4630" i="1"/>
  <c r="C4630" i="1"/>
  <c r="B4630" i="1"/>
  <c r="A4630" i="1"/>
  <c r="F4629" i="1"/>
  <c r="E4629" i="1"/>
  <c r="D4629" i="1"/>
  <c r="C4629" i="1"/>
  <c r="B4629" i="1"/>
  <c r="A4629" i="1"/>
  <c r="F4628" i="1"/>
  <c r="E4628" i="1"/>
  <c r="D4628" i="1"/>
  <c r="C4628" i="1"/>
  <c r="B4628" i="1"/>
  <c r="A4628" i="1"/>
  <c r="F4627" i="1"/>
  <c r="E4627" i="1"/>
  <c r="D4627" i="1"/>
  <c r="C4627" i="1"/>
  <c r="B4627" i="1"/>
  <c r="A4627" i="1"/>
  <c r="F4626" i="1"/>
  <c r="E4626" i="1"/>
  <c r="D4626" i="1"/>
  <c r="C4626" i="1"/>
  <c r="B4626" i="1"/>
  <c r="A4626" i="1"/>
  <c r="F4625" i="1"/>
  <c r="E4625" i="1"/>
  <c r="D4625" i="1"/>
  <c r="C4625" i="1"/>
  <c r="B4625" i="1"/>
  <c r="A4625" i="1"/>
  <c r="F4624" i="1"/>
  <c r="E4624" i="1"/>
  <c r="D4624" i="1"/>
  <c r="C4624" i="1"/>
  <c r="B4624" i="1"/>
  <c r="A4624" i="1"/>
  <c r="F4623" i="1"/>
  <c r="E4623" i="1"/>
  <c r="D4623" i="1"/>
  <c r="C4623" i="1"/>
  <c r="B4623" i="1"/>
  <c r="A4623" i="1"/>
  <c r="F4622" i="1"/>
  <c r="E4622" i="1"/>
  <c r="D4622" i="1"/>
  <c r="C4622" i="1"/>
  <c r="B4622" i="1"/>
  <c r="A4622" i="1"/>
  <c r="F4621" i="1"/>
  <c r="E4621" i="1"/>
  <c r="D4621" i="1"/>
  <c r="C4621" i="1"/>
  <c r="B4621" i="1"/>
  <c r="A4621" i="1"/>
  <c r="F4620" i="1"/>
  <c r="E4620" i="1"/>
  <c r="D4620" i="1"/>
  <c r="C4620" i="1"/>
  <c r="B4620" i="1"/>
  <c r="A4620" i="1"/>
  <c r="F4619" i="1"/>
  <c r="E4619" i="1"/>
  <c r="D4619" i="1"/>
  <c r="C4619" i="1"/>
  <c r="B4619" i="1"/>
  <c r="A4619" i="1"/>
  <c r="F4618" i="1"/>
  <c r="E4618" i="1"/>
  <c r="D4618" i="1"/>
  <c r="C4618" i="1"/>
  <c r="B4618" i="1"/>
  <c r="A4618" i="1"/>
  <c r="F4617" i="1"/>
  <c r="E4617" i="1"/>
  <c r="D4617" i="1"/>
  <c r="C4617" i="1"/>
  <c r="B4617" i="1"/>
  <c r="A4617" i="1"/>
  <c r="F4616" i="1"/>
  <c r="E4616" i="1"/>
  <c r="D4616" i="1"/>
  <c r="C4616" i="1"/>
  <c r="B4616" i="1"/>
  <c r="A4616" i="1"/>
  <c r="F4615" i="1"/>
  <c r="E4615" i="1"/>
  <c r="D4615" i="1"/>
  <c r="C4615" i="1"/>
  <c r="B4615" i="1"/>
  <c r="A4615" i="1"/>
  <c r="F4614" i="1"/>
  <c r="E4614" i="1"/>
  <c r="D4614" i="1"/>
  <c r="C4614" i="1"/>
  <c r="B4614" i="1"/>
  <c r="A4614" i="1"/>
  <c r="F4613" i="1"/>
  <c r="E4613" i="1"/>
  <c r="D4613" i="1"/>
  <c r="C4613" i="1"/>
  <c r="B4613" i="1"/>
  <c r="A4613" i="1"/>
  <c r="F4612" i="1"/>
  <c r="E4612" i="1"/>
  <c r="D4612" i="1"/>
  <c r="C4612" i="1"/>
  <c r="B4612" i="1"/>
  <c r="A4612" i="1"/>
  <c r="F4611" i="1"/>
  <c r="E4611" i="1"/>
  <c r="D4611" i="1"/>
  <c r="C4611" i="1"/>
  <c r="B4611" i="1"/>
  <c r="A4611" i="1"/>
  <c r="F4610" i="1"/>
  <c r="E4610" i="1"/>
  <c r="D4610" i="1"/>
  <c r="C4610" i="1"/>
  <c r="B4610" i="1"/>
  <c r="A4610" i="1"/>
  <c r="F4609" i="1"/>
  <c r="E4609" i="1"/>
  <c r="D4609" i="1"/>
  <c r="C4609" i="1"/>
  <c r="B4609" i="1"/>
  <c r="A4609" i="1"/>
  <c r="F4608" i="1"/>
  <c r="E4608" i="1"/>
  <c r="D4608" i="1"/>
  <c r="C4608" i="1"/>
  <c r="B4608" i="1"/>
  <c r="A4608" i="1"/>
  <c r="F4607" i="1"/>
  <c r="E4607" i="1"/>
  <c r="D4607" i="1"/>
  <c r="C4607" i="1"/>
  <c r="B4607" i="1"/>
  <c r="A4607" i="1"/>
  <c r="F4606" i="1"/>
  <c r="E4606" i="1"/>
  <c r="D4606" i="1"/>
  <c r="C4606" i="1"/>
  <c r="B4606" i="1"/>
  <c r="A4606" i="1"/>
  <c r="F4605" i="1"/>
  <c r="E4605" i="1"/>
  <c r="D4605" i="1"/>
  <c r="C4605" i="1"/>
  <c r="B4605" i="1"/>
  <c r="A4605" i="1"/>
  <c r="F4604" i="1"/>
  <c r="E4604" i="1"/>
  <c r="D4604" i="1"/>
  <c r="C4604" i="1"/>
  <c r="B4604" i="1"/>
  <c r="A4604" i="1"/>
  <c r="F4603" i="1"/>
  <c r="E4603" i="1"/>
  <c r="D4603" i="1"/>
  <c r="C4603" i="1"/>
  <c r="B4603" i="1"/>
  <c r="A4603" i="1"/>
  <c r="F4602" i="1"/>
  <c r="E4602" i="1"/>
  <c r="D4602" i="1"/>
  <c r="C4602" i="1"/>
  <c r="B4602" i="1"/>
  <c r="A4602" i="1"/>
  <c r="F4601" i="1"/>
  <c r="E4601" i="1"/>
  <c r="D4601" i="1"/>
  <c r="C4601" i="1"/>
  <c r="B4601" i="1"/>
  <c r="A4601" i="1"/>
  <c r="F4600" i="1"/>
  <c r="E4600" i="1"/>
  <c r="D4600" i="1"/>
  <c r="C4600" i="1"/>
  <c r="B4600" i="1"/>
  <c r="A4600" i="1"/>
  <c r="F4599" i="1"/>
  <c r="E4599" i="1"/>
  <c r="D4599" i="1"/>
  <c r="C4599" i="1"/>
  <c r="B4599" i="1"/>
  <c r="A4599" i="1"/>
  <c r="F4598" i="1"/>
  <c r="E4598" i="1"/>
  <c r="D4598" i="1"/>
  <c r="C4598" i="1"/>
  <c r="B4598" i="1"/>
  <c r="A4598" i="1"/>
  <c r="F4597" i="1"/>
  <c r="E4597" i="1"/>
  <c r="D4597" i="1"/>
  <c r="C4597" i="1"/>
  <c r="B4597" i="1"/>
  <c r="A4597" i="1"/>
  <c r="F4596" i="1"/>
  <c r="E4596" i="1"/>
  <c r="D4596" i="1"/>
  <c r="C4596" i="1"/>
  <c r="B4596" i="1"/>
  <c r="A4596" i="1"/>
  <c r="F4595" i="1"/>
  <c r="E4595" i="1"/>
  <c r="D4595" i="1"/>
  <c r="C4595" i="1"/>
  <c r="B4595" i="1"/>
  <c r="A4595" i="1"/>
  <c r="F4594" i="1"/>
  <c r="E4594" i="1"/>
  <c r="D4594" i="1"/>
  <c r="C4594" i="1"/>
  <c r="B4594" i="1"/>
  <c r="A4594" i="1"/>
  <c r="F4593" i="1"/>
  <c r="E4593" i="1"/>
  <c r="D4593" i="1"/>
  <c r="C4593" i="1"/>
  <c r="B4593" i="1"/>
  <c r="A4593" i="1"/>
  <c r="F4592" i="1"/>
  <c r="E4592" i="1"/>
  <c r="D4592" i="1"/>
  <c r="C4592" i="1"/>
  <c r="B4592" i="1"/>
  <c r="A4592" i="1"/>
  <c r="F4591" i="1"/>
  <c r="E4591" i="1"/>
  <c r="D4591" i="1"/>
  <c r="C4591" i="1"/>
  <c r="B4591" i="1"/>
  <c r="A4591" i="1"/>
  <c r="F4590" i="1"/>
  <c r="E4590" i="1"/>
  <c r="D4590" i="1"/>
  <c r="C4590" i="1"/>
  <c r="B4590" i="1"/>
  <c r="A4590" i="1"/>
  <c r="F4589" i="1"/>
  <c r="E4589" i="1"/>
  <c r="D4589" i="1"/>
  <c r="C4589" i="1"/>
  <c r="B4589" i="1"/>
  <c r="A4589" i="1"/>
  <c r="F4588" i="1"/>
  <c r="E4588" i="1"/>
  <c r="D4588" i="1"/>
  <c r="C4588" i="1"/>
  <c r="B4588" i="1"/>
  <c r="A4588" i="1"/>
  <c r="F4587" i="1"/>
  <c r="E4587" i="1"/>
  <c r="D4587" i="1"/>
  <c r="C4587" i="1"/>
  <c r="B4587" i="1"/>
  <c r="A4587" i="1"/>
  <c r="F4586" i="1"/>
  <c r="E4586" i="1"/>
  <c r="D4586" i="1"/>
  <c r="C4586" i="1"/>
  <c r="B4586" i="1"/>
  <c r="A4586" i="1"/>
  <c r="F4585" i="1"/>
  <c r="E4585" i="1"/>
  <c r="D4585" i="1"/>
  <c r="C4585" i="1"/>
  <c r="B4585" i="1"/>
  <c r="A4585" i="1"/>
  <c r="F4584" i="1"/>
  <c r="E4584" i="1"/>
  <c r="D4584" i="1"/>
  <c r="C4584" i="1"/>
  <c r="B4584" i="1"/>
  <c r="A4584" i="1"/>
  <c r="F4583" i="1"/>
  <c r="E4583" i="1"/>
  <c r="D4583" i="1"/>
  <c r="C4583" i="1"/>
  <c r="B4583" i="1"/>
  <c r="A4583" i="1"/>
  <c r="F4582" i="1"/>
  <c r="E4582" i="1"/>
  <c r="D4582" i="1"/>
  <c r="C4582" i="1"/>
  <c r="B4582" i="1"/>
  <c r="A4582" i="1"/>
  <c r="F4581" i="1"/>
  <c r="E4581" i="1"/>
  <c r="D4581" i="1"/>
  <c r="C4581" i="1"/>
  <c r="B4581" i="1"/>
  <c r="A4581" i="1"/>
  <c r="F4580" i="1"/>
  <c r="E4580" i="1"/>
  <c r="D4580" i="1"/>
  <c r="C4580" i="1"/>
  <c r="B4580" i="1"/>
  <c r="A4580" i="1"/>
  <c r="F4579" i="1"/>
  <c r="E4579" i="1"/>
  <c r="D4579" i="1"/>
  <c r="C4579" i="1"/>
  <c r="B4579" i="1"/>
  <c r="A4579" i="1"/>
  <c r="F4578" i="1"/>
  <c r="E4578" i="1"/>
  <c r="D4578" i="1"/>
  <c r="C4578" i="1"/>
  <c r="B4578" i="1"/>
  <c r="A4578" i="1"/>
  <c r="F4577" i="1"/>
  <c r="E4577" i="1"/>
  <c r="D4577" i="1"/>
  <c r="C4577" i="1"/>
  <c r="B4577" i="1"/>
  <c r="A4577" i="1"/>
  <c r="F4576" i="1"/>
  <c r="E4576" i="1"/>
  <c r="D4576" i="1"/>
  <c r="C4576" i="1"/>
  <c r="B4576" i="1"/>
  <c r="A4576" i="1"/>
  <c r="F4575" i="1"/>
  <c r="E4575" i="1"/>
  <c r="D4575" i="1"/>
  <c r="C4575" i="1"/>
  <c r="B4575" i="1"/>
  <c r="A4575" i="1"/>
  <c r="F4574" i="1"/>
  <c r="E4574" i="1"/>
  <c r="D4574" i="1"/>
  <c r="C4574" i="1"/>
  <c r="B4574" i="1"/>
  <c r="A4574" i="1"/>
  <c r="F4573" i="1"/>
  <c r="E4573" i="1"/>
  <c r="D4573" i="1"/>
  <c r="C4573" i="1"/>
  <c r="B4573" i="1"/>
  <c r="A4573" i="1"/>
  <c r="F4572" i="1"/>
  <c r="E4572" i="1"/>
  <c r="D4572" i="1"/>
  <c r="C4572" i="1"/>
  <c r="B4572" i="1"/>
  <c r="A4572" i="1"/>
  <c r="F4571" i="1"/>
  <c r="E4571" i="1"/>
  <c r="D4571" i="1"/>
  <c r="C4571" i="1"/>
  <c r="B4571" i="1"/>
  <c r="A4571" i="1"/>
  <c r="F4570" i="1"/>
  <c r="E4570" i="1"/>
  <c r="D4570" i="1"/>
  <c r="C4570" i="1"/>
  <c r="B4570" i="1"/>
  <c r="A4570" i="1"/>
  <c r="F4569" i="1"/>
  <c r="E4569" i="1"/>
  <c r="D4569" i="1"/>
  <c r="C4569" i="1"/>
  <c r="B4569" i="1"/>
  <c r="A4569" i="1"/>
  <c r="F4568" i="1"/>
  <c r="E4568" i="1"/>
  <c r="D4568" i="1"/>
  <c r="C4568" i="1"/>
  <c r="B4568" i="1"/>
  <c r="A4568" i="1"/>
  <c r="F4567" i="1"/>
  <c r="E4567" i="1"/>
  <c r="D4567" i="1"/>
  <c r="C4567" i="1"/>
  <c r="B4567" i="1"/>
  <c r="A4567" i="1"/>
  <c r="F4566" i="1"/>
  <c r="E4566" i="1"/>
  <c r="D4566" i="1"/>
  <c r="C4566" i="1"/>
  <c r="B4566" i="1"/>
  <c r="A4566" i="1"/>
  <c r="F4565" i="1"/>
  <c r="E4565" i="1"/>
  <c r="D4565" i="1"/>
  <c r="C4565" i="1"/>
  <c r="B4565" i="1"/>
  <c r="A4565" i="1"/>
  <c r="F4564" i="1"/>
  <c r="E4564" i="1"/>
  <c r="D4564" i="1"/>
  <c r="C4564" i="1"/>
  <c r="B4564" i="1"/>
  <c r="A4564" i="1"/>
  <c r="F4563" i="1"/>
  <c r="E4563" i="1"/>
  <c r="D4563" i="1"/>
  <c r="C4563" i="1"/>
  <c r="B4563" i="1"/>
  <c r="A4563" i="1"/>
  <c r="F4562" i="1"/>
  <c r="E4562" i="1"/>
  <c r="D4562" i="1"/>
  <c r="C4562" i="1"/>
  <c r="B4562" i="1"/>
  <c r="A4562" i="1"/>
  <c r="F4561" i="1"/>
  <c r="E4561" i="1"/>
  <c r="D4561" i="1"/>
  <c r="C4561" i="1"/>
  <c r="B4561" i="1"/>
  <c r="A4561" i="1"/>
  <c r="F4560" i="1"/>
  <c r="E4560" i="1"/>
  <c r="D4560" i="1"/>
  <c r="C4560" i="1"/>
  <c r="B4560" i="1"/>
  <c r="A4560" i="1"/>
  <c r="F4559" i="1"/>
  <c r="E4559" i="1"/>
  <c r="D4559" i="1"/>
  <c r="C4559" i="1"/>
  <c r="B4559" i="1"/>
  <c r="A4559" i="1"/>
  <c r="F4558" i="1"/>
  <c r="E4558" i="1"/>
  <c r="D4558" i="1"/>
  <c r="C4558" i="1"/>
  <c r="B4558" i="1"/>
  <c r="A4558" i="1"/>
  <c r="F4557" i="1"/>
  <c r="E4557" i="1"/>
  <c r="D4557" i="1"/>
  <c r="C4557" i="1"/>
  <c r="B4557" i="1"/>
  <c r="A4557" i="1"/>
  <c r="F4556" i="1"/>
  <c r="E4556" i="1"/>
  <c r="D4556" i="1"/>
  <c r="C4556" i="1"/>
  <c r="B4556" i="1"/>
  <c r="A4556" i="1"/>
  <c r="F4555" i="1"/>
  <c r="E4555" i="1"/>
  <c r="D4555" i="1"/>
  <c r="C4555" i="1"/>
  <c r="B4555" i="1"/>
  <c r="A4555" i="1"/>
  <c r="F4554" i="1"/>
  <c r="E4554" i="1"/>
  <c r="D4554" i="1"/>
  <c r="C4554" i="1"/>
  <c r="B4554" i="1"/>
  <c r="A4554" i="1"/>
  <c r="F4553" i="1"/>
  <c r="E4553" i="1"/>
  <c r="D4553" i="1"/>
  <c r="C4553" i="1"/>
  <c r="B4553" i="1"/>
  <c r="A4553" i="1"/>
  <c r="F4552" i="1"/>
  <c r="E4552" i="1"/>
  <c r="D4552" i="1"/>
  <c r="C4552" i="1"/>
  <c r="B4552" i="1"/>
  <c r="A4552" i="1"/>
  <c r="F4551" i="1"/>
  <c r="E4551" i="1"/>
  <c r="D4551" i="1"/>
  <c r="C4551" i="1"/>
  <c r="B4551" i="1"/>
  <c r="A4551" i="1"/>
  <c r="F4550" i="1"/>
  <c r="E4550" i="1"/>
  <c r="D4550" i="1"/>
  <c r="C4550" i="1"/>
  <c r="B4550" i="1"/>
  <c r="A4550" i="1"/>
  <c r="F4549" i="1"/>
  <c r="E4549" i="1"/>
  <c r="D4549" i="1"/>
  <c r="C4549" i="1"/>
  <c r="B4549" i="1"/>
  <c r="A4549" i="1"/>
  <c r="F4548" i="1"/>
  <c r="E4548" i="1"/>
  <c r="D4548" i="1"/>
  <c r="C4548" i="1"/>
  <c r="B4548" i="1"/>
  <c r="A4548" i="1"/>
  <c r="F4547" i="1"/>
  <c r="E4547" i="1"/>
  <c r="D4547" i="1"/>
  <c r="C4547" i="1"/>
  <c r="B4547" i="1"/>
  <c r="A4547" i="1"/>
  <c r="F4546" i="1"/>
  <c r="E4546" i="1"/>
  <c r="D4546" i="1"/>
  <c r="C4546" i="1"/>
  <c r="B4546" i="1"/>
  <c r="A4546" i="1"/>
  <c r="F4545" i="1"/>
  <c r="E4545" i="1"/>
  <c r="D4545" i="1"/>
  <c r="C4545" i="1"/>
  <c r="B4545" i="1"/>
  <c r="A4545" i="1"/>
  <c r="F4544" i="1"/>
  <c r="E4544" i="1"/>
  <c r="D4544" i="1"/>
  <c r="C4544" i="1"/>
  <c r="B4544" i="1"/>
  <c r="A4544" i="1"/>
  <c r="F4543" i="1"/>
  <c r="E4543" i="1"/>
  <c r="D4543" i="1"/>
  <c r="C4543" i="1"/>
  <c r="B4543" i="1"/>
  <c r="A4543" i="1"/>
  <c r="F4542" i="1"/>
  <c r="E4542" i="1"/>
  <c r="D4542" i="1"/>
  <c r="C4542" i="1"/>
  <c r="B4542" i="1"/>
  <c r="A4542" i="1"/>
  <c r="F4541" i="1"/>
  <c r="E4541" i="1"/>
  <c r="D4541" i="1"/>
  <c r="C4541" i="1"/>
  <c r="B4541" i="1"/>
  <c r="A4541" i="1"/>
  <c r="F4540" i="1"/>
  <c r="E4540" i="1"/>
  <c r="D4540" i="1"/>
  <c r="C4540" i="1"/>
  <c r="B4540" i="1"/>
  <c r="A4540" i="1"/>
  <c r="F4539" i="1"/>
  <c r="E4539" i="1"/>
  <c r="D4539" i="1"/>
  <c r="C4539" i="1"/>
  <c r="B4539" i="1"/>
  <c r="A4539" i="1"/>
  <c r="F4538" i="1"/>
  <c r="E4538" i="1"/>
  <c r="D4538" i="1"/>
  <c r="C4538" i="1"/>
  <c r="B4538" i="1"/>
  <c r="A4538" i="1"/>
  <c r="F4537" i="1"/>
  <c r="E4537" i="1"/>
  <c r="D4537" i="1"/>
  <c r="C4537" i="1"/>
  <c r="B4537" i="1"/>
  <c r="A4537" i="1"/>
  <c r="F4536" i="1"/>
  <c r="E4536" i="1"/>
  <c r="D4536" i="1"/>
  <c r="C4536" i="1"/>
  <c r="B4536" i="1"/>
  <c r="A4536" i="1"/>
  <c r="F4535" i="1"/>
  <c r="E4535" i="1"/>
  <c r="D4535" i="1"/>
  <c r="C4535" i="1"/>
  <c r="B4535" i="1"/>
  <c r="A4535" i="1"/>
  <c r="F4534" i="1"/>
  <c r="E4534" i="1"/>
  <c r="D4534" i="1"/>
  <c r="C4534" i="1"/>
  <c r="B4534" i="1"/>
  <c r="A4534" i="1"/>
  <c r="F4533" i="1"/>
  <c r="E4533" i="1"/>
  <c r="D4533" i="1"/>
  <c r="C4533" i="1"/>
  <c r="B4533" i="1"/>
  <c r="A4533" i="1"/>
  <c r="F4532" i="1"/>
  <c r="E4532" i="1"/>
  <c r="D4532" i="1"/>
  <c r="C4532" i="1"/>
  <c r="B4532" i="1"/>
  <c r="A4532" i="1"/>
  <c r="F4531" i="1"/>
  <c r="E4531" i="1"/>
  <c r="D4531" i="1"/>
  <c r="C4531" i="1"/>
  <c r="B4531" i="1"/>
  <c r="A4531" i="1"/>
  <c r="F4530" i="1"/>
  <c r="E4530" i="1"/>
  <c r="D4530" i="1"/>
  <c r="C4530" i="1"/>
  <c r="B4530" i="1"/>
  <c r="A4530" i="1"/>
  <c r="F4529" i="1"/>
  <c r="E4529" i="1"/>
  <c r="D4529" i="1"/>
  <c r="C4529" i="1"/>
  <c r="B4529" i="1"/>
  <c r="A4529" i="1"/>
  <c r="F4528" i="1"/>
  <c r="E4528" i="1"/>
  <c r="D4528" i="1"/>
  <c r="C4528" i="1"/>
  <c r="B4528" i="1"/>
  <c r="A4528" i="1"/>
  <c r="F4527" i="1"/>
  <c r="E4527" i="1"/>
  <c r="D4527" i="1"/>
  <c r="C4527" i="1"/>
  <c r="B4527" i="1"/>
  <c r="A4527" i="1"/>
  <c r="F4526" i="1"/>
  <c r="E4526" i="1"/>
  <c r="D4526" i="1"/>
  <c r="C4526" i="1"/>
  <c r="B4526" i="1"/>
  <c r="A4526" i="1"/>
  <c r="F4525" i="1"/>
  <c r="E4525" i="1"/>
  <c r="D4525" i="1"/>
  <c r="C4525" i="1"/>
  <c r="B4525" i="1"/>
  <c r="A4525" i="1"/>
  <c r="F4524" i="1"/>
  <c r="E4524" i="1"/>
  <c r="D4524" i="1"/>
  <c r="C4524" i="1"/>
  <c r="B4524" i="1"/>
  <c r="A4524" i="1"/>
  <c r="F4523" i="1"/>
  <c r="E4523" i="1"/>
  <c r="D4523" i="1"/>
  <c r="C4523" i="1"/>
  <c r="B4523" i="1"/>
  <c r="A4523" i="1"/>
  <c r="F4522" i="1"/>
  <c r="E4522" i="1"/>
  <c r="D4522" i="1"/>
  <c r="C4522" i="1"/>
  <c r="B4522" i="1"/>
  <c r="A4522" i="1"/>
  <c r="F4521" i="1"/>
  <c r="E4521" i="1"/>
  <c r="D4521" i="1"/>
  <c r="C4521" i="1"/>
  <c r="B4521" i="1"/>
  <c r="A4521" i="1"/>
  <c r="F4520" i="1"/>
  <c r="E4520" i="1"/>
  <c r="D4520" i="1"/>
  <c r="C4520" i="1"/>
  <c r="B4520" i="1"/>
  <c r="A4520" i="1"/>
  <c r="F4519" i="1"/>
  <c r="E4519" i="1"/>
  <c r="D4519" i="1"/>
  <c r="C4519" i="1"/>
  <c r="B4519" i="1"/>
  <c r="A4519" i="1"/>
  <c r="F4518" i="1"/>
  <c r="E4518" i="1"/>
  <c r="D4518" i="1"/>
  <c r="C4518" i="1"/>
  <c r="B4518" i="1"/>
  <c r="A4518" i="1"/>
  <c r="F4517" i="1"/>
  <c r="E4517" i="1"/>
  <c r="D4517" i="1"/>
  <c r="C4517" i="1"/>
  <c r="B4517" i="1"/>
  <c r="A4517" i="1"/>
  <c r="F4516" i="1"/>
  <c r="E4516" i="1"/>
  <c r="D4516" i="1"/>
  <c r="C4516" i="1"/>
  <c r="B4516" i="1"/>
  <c r="A4516" i="1"/>
  <c r="F4515" i="1"/>
  <c r="E4515" i="1"/>
  <c r="D4515" i="1"/>
  <c r="C4515" i="1"/>
  <c r="B4515" i="1"/>
  <c r="A4515" i="1"/>
  <c r="F4514" i="1"/>
  <c r="E4514" i="1"/>
  <c r="D4514" i="1"/>
  <c r="C4514" i="1"/>
  <c r="B4514" i="1"/>
  <c r="A4514" i="1"/>
  <c r="F4513" i="1"/>
  <c r="E4513" i="1"/>
  <c r="D4513" i="1"/>
  <c r="C4513" i="1"/>
  <c r="B4513" i="1"/>
  <c r="A4513" i="1"/>
  <c r="F4512" i="1"/>
  <c r="E4512" i="1"/>
  <c r="D4512" i="1"/>
  <c r="C4512" i="1"/>
  <c r="B4512" i="1"/>
  <c r="A4512" i="1"/>
  <c r="F4511" i="1"/>
  <c r="E4511" i="1"/>
  <c r="D4511" i="1"/>
  <c r="C4511" i="1"/>
  <c r="B4511" i="1"/>
  <c r="A4511" i="1"/>
  <c r="F4510" i="1"/>
  <c r="E4510" i="1"/>
  <c r="D4510" i="1"/>
  <c r="C4510" i="1"/>
  <c r="B4510" i="1"/>
  <c r="A4510" i="1"/>
  <c r="F4509" i="1"/>
  <c r="E4509" i="1"/>
  <c r="D4509" i="1"/>
  <c r="C4509" i="1"/>
  <c r="B4509" i="1"/>
  <c r="A4509" i="1"/>
  <c r="F4508" i="1"/>
  <c r="E4508" i="1"/>
  <c r="D4508" i="1"/>
  <c r="C4508" i="1"/>
  <c r="B4508" i="1"/>
  <c r="A4508" i="1"/>
  <c r="F4507" i="1"/>
  <c r="E4507" i="1"/>
  <c r="D4507" i="1"/>
  <c r="C4507" i="1"/>
  <c r="B4507" i="1"/>
  <c r="A4507" i="1"/>
  <c r="F4506" i="1"/>
  <c r="E4506" i="1"/>
  <c r="D4506" i="1"/>
  <c r="C4506" i="1"/>
  <c r="B4506" i="1"/>
  <c r="A4506" i="1"/>
  <c r="F4505" i="1"/>
  <c r="E4505" i="1"/>
  <c r="D4505" i="1"/>
  <c r="C4505" i="1"/>
  <c r="B4505" i="1"/>
  <c r="A4505" i="1"/>
  <c r="F4504" i="1"/>
  <c r="E4504" i="1"/>
  <c r="D4504" i="1"/>
  <c r="C4504" i="1"/>
  <c r="B4504" i="1"/>
  <c r="A4504" i="1"/>
  <c r="F4503" i="1"/>
  <c r="E4503" i="1"/>
  <c r="D4503" i="1"/>
  <c r="C4503" i="1"/>
  <c r="B4503" i="1"/>
  <c r="A4503" i="1"/>
  <c r="F4502" i="1"/>
  <c r="E4502" i="1"/>
  <c r="D4502" i="1"/>
  <c r="C4502" i="1"/>
  <c r="B4502" i="1"/>
  <c r="A4502" i="1"/>
  <c r="F4501" i="1"/>
  <c r="E4501" i="1"/>
  <c r="D4501" i="1"/>
  <c r="C4501" i="1"/>
  <c r="B4501" i="1"/>
  <c r="A4501" i="1"/>
  <c r="F4500" i="1"/>
  <c r="E4500" i="1"/>
  <c r="D4500" i="1"/>
  <c r="C4500" i="1"/>
  <c r="B4500" i="1"/>
  <c r="A4500" i="1"/>
  <c r="F4499" i="1"/>
  <c r="E4499" i="1"/>
  <c r="D4499" i="1"/>
  <c r="C4499" i="1"/>
  <c r="B4499" i="1"/>
  <c r="A4499" i="1"/>
  <c r="F4498" i="1"/>
  <c r="E4498" i="1"/>
  <c r="D4498" i="1"/>
  <c r="C4498" i="1"/>
  <c r="B4498" i="1"/>
  <c r="A4498" i="1"/>
  <c r="F4497" i="1"/>
  <c r="E4497" i="1"/>
  <c r="D4497" i="1"/>
  <c r="C4497" i="1"/>
  <c r="B4497" i="1"/>
  <c r="A4497" i="1"/>
  <c r="F4496" i="1"/>
  <c r="E4496" i="1"/>
  <c r="D4496" i="1"/>
  <c r="C4496" i="1"/>
  <c r="B4496" i="1"/>
  <c r="A4496" i="1"/>
  <c r="F4495" i="1"/>
  <c r="E4495" i="1"/>
  <c r="D4495" i="1"/>
  <c r="C4495" i="1"/>
  <c r="B4495" i="1"/>
  <c r="A4495" i="1"/>
  <c r="F4494" i="1"/>
  <c r="E4494" i="1"/>
  <c r="D4494" i="1"/>
  <c r="C4494" i="1"/>
  <c r="B4494" i="1"/>
  <c r="A4494" i="1"/>
  <c r="F4493" i="1"/>
  <c r="E4493" i="1"/>
  <c r="D4493" i="1"/>
  <c r="C4493" i="1"/>
  <c r="B4493" i="1"/>
  <c r="A4493" i="1"/>
  <c r="F4492" i="1"/>
  <c r="E4492" i="1"/>
  <c r="D4492" i="1"/>
  <c r="C4492" i="1"/>
  <c r="B4492" i="1"/>
  <c r="A4492" i="1"/>
  <c r="F4491" i="1"/>
  <c r="E4491" i="1"/>
  <c r="D4491" i="1"/>
  <c r="C4491" i="1"/>
  <c r="B4491" i="1"/>
  <c r="A4491" i="1"/>
  <c r="F4490" i="1"/>
  <c r="E4490" i="1"/>
  <c r="D4490" i="1"/>
  <c r="C4490" i="1"/>
  <c r="B4490" i="1"/>
  <c r="A4490" i="1"/>
  <c r="F4489" i="1"/>
  <c r="E4489" i="1"/>
  <c r="D4489" i="1"/>
  <c r="C4489" i="1"/>
  <c r="B4489" i="1"/>
  <c r="A4489" i="1"/>
  <c r="F4488" i="1"/>
  <c r="E4488" i="1"/>
  <c r="D4488" i="1"/>
  <c r="C4488" i="1"/>
  <c r="B4488" i="1"/>
  <c r="A4488" i="1"/>
  <c r="F4487" i="1"/>
  <c r="E4487" i="1"/>
  <c r="D4487" i="1"/>
  <c r="C4487" i="1"/>
  <c r="B4487" i="1"/>
  <c r="A4487" i="1"/>
  <c r="F4486" i="1"/>
  <c r="E4486" i="1"/>
  <c r="D4486" i="1"/>
  <c r="C4486" i="1"/>
  <c r="B4486" i="1"/>
  <c r="A4486" i="1"/>
  <c r="F4485" i="1"/>
  <c r="E4485" i="1"/>
  <c r="D4485" i="1"/>
  <c r="C4485" i="1"/>
  <c r="B4485" i="1"/>
  <c r="A4485" i="1"/>
  <c r="F4484" i="1"/>
  <c r="E4484" i="1"/>
  <c r="D4484" i="1"/>
  <c r="C4484" i="1"/>
  <c r="B4484" i="1"/>
  <c r="A4484" i="1"/>
  <c r="F4483" i="1"/>
  <c r="E4483" i="1"/>
  <c r="D4483" i="1"/>
  <c r="C4483" i="1"/>
  <c r="B4483" i="1"/>
  <c r="A4483" i="1"/>
  <c r="F4482" i="1"/>
  <c r="E4482" i="1"/>
  <c r="D4482" i="1"/>
  <c r="C4482" i="1"/>
  <c r="B4482" i="1"/>
  <c r="A4482" i="1"/>
  <c r="F4481" i="1"/>
  <c r="E4481" i="1"/>
  <c r="D4481" i="1"/>
  <c r="C4481" i="1"/>
  <c r="B4481" i="1"/>
  <c r="A4481" i="1"/>
  <c r="F4480" i="1"/>
  <c r="E4480" i="1"/>
  <c r="D4480" i="1"/>
  <c r="C4480" i="1"/>
  <c r="B4480" i="1"/>
  <c r="A4480" i="1"/>
  <c r="F4479" i="1"/>
  <c r="E4479" i="1"/>
  <c r="D4479" i="1"/>
  <c r="C4479" i="1"/>
  <c r="B4479" i="1"/>
  <c r="A4479" i="1"/>
  <c r="F4478" i="1"/>
  <c r="E4478" i="1"/>
  <c r="D4478" i="1"/>
  <c r="C4478" i="1"/>
  <c r="B4478" i="1"/>
  <c r="A4478" i="1"/>
  <c r="F4477" i="1"/>
  <c r="E4477" i="1"/>
  <c r="D4477" i="1"/>
  <c r="C4477" i="1"/>
  <c r="B4477" i="1"/>
  <c r="A4477" i="1"/>
  <c r="F4476" i="1"/>
  <c r="E4476" i="1"/>
  <c r="D4476" i="1"/>
  <c r="C4476" i="1"/>
  <c r="B4476" i="1"/>
  <c r="A4476" i="1"/>
  <c r="F4475" i="1"/>
  <c r="E4475" i="1"/>
  <c r="D4475" i="1"/>
  <c r="C4475" i="1"/>
  <c r="B4475" i="1"/>
  <c r="A4475" i="1"/>
  <c r="F4474" i="1"/>
  <c r="E4474" i="1"/>
  <c r="D4474" i="1"/>
  <c r="C4474" i="1"/>
  <c r="B4474" i="1"/>
  <c r="A4474" i="1"/>
  <c r="F4473" i="1"/>
  <c r="E4473" i="1"/>
  <c r="D4473" i="1"/>
  <c r="C4473" i="1"/>
  <c r="B4473" i="1"/>
  <c r="A4473" i="1"/>
  <c r="F4472" i="1"/>
  <c r="E4472" i="1"/>
  <c r="D4472" i="1"/>
  <c r="C4472" i="1"/>
  <c r="B4472" i="1"/>
  <c r="A4472" i="1"/>
  <c r="F4471" i="1"/>
  <c r="E4471" i="1"/>
  <c r="D4471" i="1"/>
  <c r="C4471" i="1"/>
  <c r="B4471" i="1"/>
  <c r="A4471" i="1"/>
  <c r="F4470" i="1"/>
  <c r="E4470" i="1"/>
  <c r="D4470" i="1"/>
  <c r="C4470" i="1"/>
  <c r="B4470" i="1"/>
  <c r="A4470" i="1"/>
  <c r="F4469" i="1"/>
  <c r="E4469" i="1"/>
  <c r="D4469" i="1"/>
  <c r="C4469" i="1"/>
  <c r="B4469" i="1"/>
  <c r="A4469" i="1"/>
  <c r="F4468" i="1"/>
  <c r="E4468" i="1"/>
  <c r="D4468" i="1"/>
  <c r="C4468" i="1"/>
  <c r="B4468" i="1"/>
  <c r="A4468" i="1"/>
  <c r="F4467" i="1"/>
  <c r="E4467" i="1"/>
  <c r="D4467" i="1"/>
  <c r="C4467" i="1"/>
  <c r="B4467" i="1"/>
  <c r="A4467" i="1"/>
  <c r="F4466" i="1"/>
  <c r="E4466" i="1"/>
  <c r="D4466" i="1"/>
  <c r="C4466" i="1"/>
  <c r="B4466" i="1"/>
  <c r="A4466" i="1"/>
  <c r="F4465" i="1"/>
  <c r="E4465" i="1"/>
  <c r="D4465" i="1"/>
  <c r="C4465" i="1"/>
  <c r="B4465" i="1"/>
  <c r="A4465" i="1"/>
  <c r="F4464" i="1"/>
  <c r="E4464" i="1"/>
  <c r="D4464" i="1"/>
  <c r="C4464" i="1"/>
  <c r="B4464" i="1"/>
  <c r="A4464" i="1"/>
  <c r="F4463" i="1"/>
  <c r="E4463" i="1"/>
  <c r="D4463" i="1"/>
  <c r="C4463" i="1"/>
  <c r="B4463" i="1"/>
  <c r="A4463" i="1"/>
  <c r="F4462" i="1"/>
  <c r="E4462" i="1"/>
  <c r="D4462" i="1"/>
  <c r="C4462" i="1"/>
  <c r="B4462" i="1"/>
  <c r="A4462" i="1"/>
  <c r="F4461" i="1"/>
  <c r="E4461" i="1"/>
  <c r="D4461" i="1"/>
  <c r="C4461" i="1"/>
  <c r="B4461" i="1"/>
  <c r="A4461" i="1"/>
  <c r="F4460" i="1"/>
  <c r="E4460" i="1"/>
  <c r="D4460" i="1"/>
  <c r="C4460" i="1"/>
  <c r="B4460" i="1"/>
  <c r="A4460" i="1"/>
  <c r="F4459" i="1"/>
  <c r="E4459" i="1"/>
  <c r="D4459" i="1"/>
  <c r="C4459" i="1"/>
  <c r="B4459" i="1"/>
  <c r="A4459" i="1"/>
  <c r="F4458" i="1"/>
  <c r="E4458" i="1"/>
  <c r="D4458" i="1"/>
  <c r="C4458" i="1"/>
  <c r="B4458" i="1"/>
  <c r="A4458" i="1"/>
  <c r="F4457" i="1"/>
  <c r="E4457" i="1"/>
  <c r="D4457" i="1"/>
  <c r="C4457" i="1"/>
  <c r="B4457" i="1"/>
  <c r="A4457" i="1"/>
  <c r="F4456" i="1"/>
  <c r="E4456" i="1"/>
  <c r="D4456" i="1"/>
  <c r="C4456" i="1"/>
  <c r="B4456" i="1"/>
  <c r="A4456" i="1"/>
  <c r="F4455" i="1"/>
  <c r="E4455" i="1"/>
  <c r="D4455" i="1"/>
  <c r="C4455" i="1"/>
  <c r="B4455" i="1"/>
  <c r="A4455" i="1"/>
  <c r="F4454" i="1"/>
  <c r="E4454" i="1"/>
  <c r="D4454" i="1"/>
  <c r="C4454" i="1"/>
  <c r="B4454" i="1"/>
  <c r="A4454" i="1"/>
  <c r="F4453" i="1"/>
  <c r="E4453" i="1"/>
  <c r="D4453" i="1"/>
  <c r="C4453" i="1"/>
  <c r="B4453" i="1"/>
  <c r="A4453" i="1"/>
  <c r="F4452" i="1"/>
  <c r="E4452" i="1"/>
  <c r="D4452" i="1"/>
  <c r="C4452" i="1"/>
  <c r="B4452" i="1"/>
  <c r="A4452" i="1"/>
  <c r="F4451" i="1"/>
  <c r="E4451" i="1"/>
  <c r="D4451" i="1"/>
  <c r="C4451" i="1"/>
  <c r="B4451" i="1"/>
  <c r="A4451" i="1"/>
  <c r="F4450" i="1"/>
  <c r="E4450" i="1"/>
  <c r="D4450" i="1"/>
  <c r="C4450" i="1"/>
  <c r="B4450" i="1"/>
  <c r="A4450" i="1"/>
  <c r="F4449" i="1"/>
  <c r="E4449" i="1"/>
  <c r="D4449" i="1"/>
  <c r="C4449" i="1"/>
  <c r="B4449" i="1"/>
  <c r="A4449" i="1"/>
  <c r="F4448" i="1"/>
  <c r="E4448" i="1"/>
  <c r="D4448" i="1"/>
  <c r="C4448" i="1"/>
  <c r="B4448" i="1"/>
  <c r="A4448" i="1"/>
  <c r="F4447" i="1"/>
  <c r="E4447" i="1"/>
  <c r="D4447" i="1"/>
  <c r="C4447" i="1"/>
  <c r="B4447" i="1"/>
  <c r="A4447" i="1"/>
  <c r="F4446" i="1"/>
  <c r="E4446" i="1"/>
  <c r="D4446" i="1"/>
  <c r="C4446" i="1"/>
  <c r="B4446" i="1"/>
  <c r="A4446" i="1"/>
  <c r="F4445" i="1"/>
  <c r="E4445" i="1"/>
  <c r="D4445" i="1"/>
  <c r="C4445" i="1"/>
  <c r="B4445" i="1"/>
  <c r="A4445" i="1"/>
  <c r="F4444" i="1"/>
  <c r="E4444" i="1"/>
  <c r="D4444" i="1"/>
  <c r="C4444" i="1"/>
  <c r="B4444" i="1"/>
  <c r="A4444" i="1"/>
  <c r="F4443" i="1"/>
  <c r="E4443" i="1"/>
  <c r="D4443" i="1"/>
  <c r="C4443" i="1"/>
  <c r="B4443" i="1"/>
  <c r="A4443" i="1"/>
  <c r="F4442" i="1"/>
  <c r="E4442" i="1"/>
  <c r="D4442" i="1"/>
  <c r="C4442" i="1"/>
  <c r="B4442" i="1"/>
  <c r="A4442" i="1"/>
  <c r="F4441" i="1"/>
  <c r="E4441" i="1"/>
  <c r="D4441" i="1"/>
  <c r="C4441" i="1"/>
  <c r="B4441" i="1"/>
  <c r="A4441" i="1"/>
  <c r="F4440" i="1"/>
  <c r="E4440" i="1"/>
  <c r="D4440" i="1"/>
  <c r="C4440" i="1"/>
  <c r="B4440" i="1"/>
  <c r="A4440" i="1"/>
  <c r="F4439" i="1"/>
  <c r="E4439" i="1"/>
  <c r="D4439" i="1"/>
  <c r="C4439" i="1"/>
  <c r="B4439" i="1"/>
  <c r="A4439" i="1"/>
  <c r="F4438" i="1"/>
  <c r="E4438" i="1"/>
  <c r="D4438" i="1"/>
  <c r="C4438" i="1"/>
  <c r="B4438" i="1"/>
  <c r="A4438" i="1"/>
  <c r="F4437" i="1"/>
  <c r="E4437" i="1"/>
  <c r="D4437" i="1"/>
  <c r="C4437" i="1"/>
  <c r="B4437" i="1"/>
  <c r="A4437" i="1"/>
  <c r="F4436" i="1"/>
  <c r="E4436" i="1"/>
  <c r="D4436" i="1"/>
  <c r="C4436" i="1"/>
  <c r="B4436" i="1"/>
  <c r="A4436" i="1"/>
  <c r="F4435" i="1"/>
  <c r="E4435" i="1"/>
  <c r="D4435" i="1"/>
  <c r="C4435" i="1"/>
  <c r="B4435" i="1"/>
  <c r="A4435" i="1"/>
  <c r="F4434" i="1"/>
  <c r="E4434" i="1"/>
  <c r="D4434" i="1"/>
  <c r="C4434" i="1"/>
  <c r="B4434" i="1"/>
  <c r="A4434" i="1"/>
  <c r="F4433" i="1"/>
  <c r="E4433" i="1"/>
  <c r="D4433" i="1"/>
  <c r="C4433" i="1"/>
  <c r="B4433" i="1"/>
  <c r="A4433" i="1"/>
  <c r="F4432" i="1"/>
  <c r="E4432" i="1"/>
  <c r="D4432" i="1"/>
  <c r="C4432" i="1"/>
  <c r="B4432" i="1"/>
  <c r="A4432" i="1"/>
  <c r="F4431" i="1"/>
  <c r="E4431" i="1"/>
  <c r="D4431" i="1"/>
  <c r="C4431" i="1"/>
  <c r="B4431" i="1"/>
  <c r="A4431" i="1"/>
  <c r="F4430" i="1"/>
  <c r="E4430" i="1"/>
  <c r="D4430" i="1"/>
  <c r="C4430" i="1"/>
  <c r="B4430" i="1"/>
  <c r="A4430" i="1"/>
  <c r="F4429" i="1"/>
  <c r="E4429" i="1"/>
  <c r="D4429" i="1"/>
  <c r="C4429" i="1"/>
  <c r="B4429" i="1"/>
  <c r="A4429" i="1"/>
  <c r="F4428" i="1"/>
  <c r="E4428" i="1"/>
  <c r="D4428" i="1"/>
  <c r="C4428" i="1"/>
  <c r="B4428" i="1"/>
  <c r="A4428" i="1"/>
  <c r="F4427" i="1"/>
  <c r="E4427" i="1"/>
  <c r="D4427" i="1"/>
  <c r="C4427" i="1"/>
  <c r="B4427" i="1"/>
  <c r="A4427" i="1"/>
  <c r="F4426" i="1"/>
  <c r="E4426" i="1"/>
  <c r="D4426" i="1"/>
  <c r="C4426" i="1"/>
  <c r="B4426" i="1"/>
  <c r="A4426" i="1"/>
  <c r="F4425" i="1"/>
  <c r="E4425" i="1"/>
  <c r="D4425" i="1"/>
  <c r="C4425" i="1"/>
  <c r="B4425" i="1"/>
  <c r="A4425" i="1"/>
  <c r="F4424" i="1"/>
  <c r="E4424" i="1"/>
  <c r="D4424" i="1"/>
  <c r="C4424" i="1"/>
  <c r="B4424" i="1"/>
  <c r="A4424" i="1"/>
  <c r="F4423" i="1"/>
  <c r="E4423" i="1"/>
  <c r="D4423" i="1"/>
  <c r="C4423" i="1"/>
  <c r="B4423" i="1"/>
  <c r="A4423" i="1"/>
  <c r="F4422" i="1"/>
  <c r="E4422" i="1"/>
  <c r="D4422" i="1"/>
  <c r="C4422" i="1"/>
  <c r="B4422" i="1"/>
  <c r="A4422" i="1"/>
  <c r="F4421" i="1"/>
  <c r="E4421" i="1"/>
  <c r="D4421" i="1"/>
  <c r="C4421" i="1"/>
  <c r="B4421" i="1"/>
  <c r="A4421" i="1"/>
  <c r="F4420" i="1"/>
  <c r="E4420" i="1"/>
  <c r="D4420" i="1"/>
  <c r="C4420" i="1"/>
  <c r="B4420" i="1"/>
  <c r="A4420" i="1"/>
  <c r="F4419" i="1"/>
  <c r="E4419" i="1"/>
  <c r="D4419" i="1"/>
  <c r="C4419" i="1"/>
  <c r="B4419" i="1"/>
  <c r="A4419" i="1"/>
  <c r="F4418" i="1"/>
  <c r="E4418" i="1"/>
  <c r="D4418" i="1"/>
  <c r="C4418" i="1"/>
  <c r="B4418" i="1"/>
  <c r="A4418" i="1"/>
  <c r="F4417" i="1"/>
  <c r="E4417" i="1"/>
  <c r="D4417" i="1"/>
  <c r="C4417" i="1"/>
  <c r="B4417" i="1"/>
  <c r="A4417" i="1"/>
  <c r="F4416" i="1"/>
  <c r="E4416" i="1"/>
  <c r="D4416" i="1"/>
  <c r="C4416" i="1"/>
  <c r="B4416" i="1"/>
  <c r="A4416" i="1"/>
  <c r="F4415" i="1"/>
  <c r="E4415" i="1"/>
  <c r="D4415" i="1"/>
  <c r="C4415" i="1"/>
  <c r="B4415" i="1"/>
  <c r="A4415" i="1"/>
  <c r="F4414" i="1"/>
  <c r="E4414" i="1"/>
  <c r="D4414" i="1"/>
  <c r="C4414" i="1"/>
  <c r="B4414" i="1"/>
  <c r="A4414" i="1"/>
  <c r="F4413" i="1"/>
  <c r="E4413" i="1"/>
  <c r="D4413" i="1"/>
  <c r="C4413" i="1"/>
  <c r="B4413" i="1"/>
  <c r="A4413" i="1"/>
  <c r="F4412" i="1"/>
  <c r="E4412" i="1"/>
  <c r="D4412" i="1"/>
  <c r="C4412" i="1"/>
  <c r="B4412" i="1"/>
  <c r="A4412" i="1"/>
  <c r="F4411" i="1"/>
  <c r="E4411" i="1"/>
  <c r="D4411" i="1"/>
  <c r="C4411" i="1"/>
  <c r="B4411" i="1"/>
  <c r="A4411" i="1"/>
  <c r="F4410" i="1"/>
  <c r="E4410" i="1"/>
  <c r="D4410" i="1"/>
  <c r="C4410" i="1"/>
  <c r="B4410" i="1"/>
  <c r="A4410" i="1"/>
  <c r="F4409" i="1"/>
  <c r="E4409" i="1"/>
  <c r="D4409" i="1"/>
  <c r="C4409" i="1"/>
  <c r="B4409" i="1"/>
  <c r="A4409" i="1"/>
  <c r="F4408" i="1"/>
  <c r="E4408" i="1"/>
  <c r="D4408" i="1"/>
  <c r="C4408" i="1"/>
  <c r="B4408" i="1"/>
  <c r="A4408" i="1"/>
  <c r="F4407" i="1"/>
  <c r="E4407" i="1"/>
  <c r="D4407" i="1"/>
  <c r="C4407" i="1"/>
  <c r="B4407" i="1"/>
  <c r="A4407" i="1"/>
  <c r="F4406" i="1"/>
  <c r="E4406" i="1"/>
  <c r="D4406" i="1"/>
  <c r="C4406" i="1"/>
  <c r="B4406" i="1"/>
  <c r="A4406" i="1"/>
  <c r="F4405" i="1"/>
  <c r="E4405" i="1"/>
  <c r="D4405" i="1"/>
  <c r="C4405" i="1"/>
  <c r="B4405" i="1"/>
  <c r="A4405" i="1"/>
  <c r="F4404" i="1"/>
  <c r="E4404" i="1"/>
  <c r="D4404" i="1"/>
  <c r="C4404" i="1"/>
  <c r="B4404" i="1"/>
  <c r="A4404" i="1"/>
  <c r="F4403" i="1"/>
  <c r="E4403" i="1"/>
  <c r="D4403" i="1"/>
  <c r="C4403" i="1"/>
  <c r="B4403" i="1"/>
  <c r="A4403" i="1"/>
  <c r="F4402" i="1"/>
  <c r="E4402" i="1"/>
  <c r="D4402" i="1"/>
  <c r="C4402" i="1"/>
  <c r="B4402" i="1"/>
  <c r="A4402" i="1"/>
  <c r="F4401" i="1"/>
  <c r="E4401" i="1"/>
  <c r="D4401" i="1"/>
  <c r="C4401" i="1"/>
  <c r="B4401" i="1"/>
  <c r="A4401" i="1"/>
  <c r="F4400" i="1"/>
  <c r="E4400" i="1"/>
  <c r="D4400" i="1"/>
  <c r="C4400" i="1"/>
  <c r="B4400" i="1"/>
  <c r="A4400" i="1"/>
  <c r="F4399" i="1"/>
  <c r="E4399" i="1"/>
  <c r="D4399" i="1"/>
  <c r="C4399" i="1"/>
  <c r="B4399" i="1"/>
  <c r="A4399" i="1"/>
  <c r="F4398" i="1"/>
  <c r="E4398" i="1"/>
  <c r="D4398" i="1"/>
  <c r="C4398" i="1"/>
  <c r="B4398" i="1"/>
  <c r="A4398" i="1"/>
  <c r="F4397" i="1"/>
  <c r="E4397" i="1"/>
  <c r="D4397" i="1"/>
  <c r="C4397" i="1"/>
  <c r="B4397" i="1"/>
  <c r="A4397" i="1"/>
  <c r="F4396" i="1"/>
  <c r="E4396" i="1"/>
  <c r="D4396" i="1"/>
  <c r="C4396" i="1"/>
  <c r="B4396" i="1"/>
  <c r="A4396" i="1"/>
  <c r="F4395" i="1"/>
  <c r="E4395" i="1"/>
  <c r="D4395" i="1"/>
  <c r="C4395" i="1"/>
  <c r="B4395" i="1"/>
  <c r="A4395" i="1"/>
  <c r="F4394" i="1"/>
  <c r="E4394" i="1"/>
  <c r="D4394" i="1"/>
  <c r="C4394" i="1"/>
  <c r="B4394" i="1"/>
  <c r="A4394" i="1"/>
  <c r="F4393" i="1"/>
  <c r="E4393" i="1"/>
  <c r="D4393" i="1"/>
  <c r="C4393" i="1"/>
  <c r="B4393" i="1"/>
  <c r="A4393" i="1"/>
  <c r="F4392" i="1"/>
  <c r="E4392" i="1"/>
  <c r="D4392" i="1"/>
  <c r="C4392" i="1"/>
  <c r="B4392" i="1"/>
  <c r="A4392" i="1"/>
  <c r="F4391" i="1"/>
  <c r="E4391" i="1"/>
  <c r="D4391" i="1"/>
  <c r="C4391" i="1"/>
  <c r="B4391" i="1"/>
  <c r="A4391" i="1"/>
  <c r="F4390" i="1"/>
  <c r="E4390" i="1"/>
  <c r="D4390" i="1"/>
  <c r="C4390" i="1"/>
  <c r="B4390" i="1"/>
  <c r="A4390" i="1"/>
  <c r="F4389" i="1"/>
  <c r="E4389" i="1"/>
  <c r="D4389" i="1"/>
  <c r="C4389" i="1"/>
  <c r="B4389" i="1"/>
  <c r="A4389" i="1"/>
  <c r="F4388" i="1"/>
  <c r="E4388" i="1"/>
  <c r="D4388" i="1"/>
  <c r="C4388" i="1"/>
  <c r="B4388" i="1"/>
  <c r="A4388" i="1"/>
  <c r="F4387" i="1"/>
  <c r="E4387" i="1"/>
  <c r="D4387" i="1"/>
  <c r="C4387" i="1"/>
  <c r="B4387" i="1"/>
  <c r="A4387" i="1"/>
  <c r="F4386" i="1"/>
  <c r="E4386" i="1"/>
  <c r="D4386" i="1"/>
  <c r="C4386" i="1"/>
  <c r="B4386" i="1"/>
  <c r="A4386" i="1"/>
  <c r="F4385" i="1"/>
  <c r="E4385" i="1"/>
  <c r="D4385" i="1"/>
  <c r="C4385" i="1"/>
  <c r="B4385" i="1"/>
  <c r="A4385" i="1"/>
  <c r="F4384" i="1"/>
  <c r="E4384" i="1"/>
  <c r="D4384" i="1"/>
  <c r="C4384" i="1"/>
  <c r="B4384" i="1"/>
  <c r="A4384" i="1"/>
  <c r="F4383" i="1"/>
  <c r="E4383" i="1"/>
  <c r="D4383" i="1"/>
  <c r="C4383" i="1"/>
  <c r="B4383" i="1"/>
  <c r="A4383" i="1"/>
  <c r="F4382" i="1"/>
  <c r="E4382" i="1"/>
  <c r="D4382" i="1"/>
  <c r="C4382" i="1"/>
  <c r="B4382" i="1"/>
  <c r="A4382" i="1"/>
  <c r="F4381" i="1"/>
  <c r="E4381" i="1"/>
  <c r="D4381" i="1"/>
  <c r="C4381" i="1"/>
  <c r="B4381" i="1"/>
  <c r="A4381" i="1"/>
  <c r="F4380" i="1"/>
  <c r="E4380" i="1"/>
  <c r="D4380" i="1"/>
  <c r="C4380" i="1"/>
  <c r="B4380" i="1"/>
  <c r="A4380" i="1"/>
  <c r="F4379" i="1"/>
  <c r="E4379" i="1"/>
  <c r="D4379" i="1"/>
  <c r="C4379" i="1"/>
  <c r="B4379" i="1"/>
  <c r="A4379" i="1"/>
  <c r="F4378" i="1"/>
  <c r="E4378" i="1"/>
  <c r="D4378" i="1"/>
  <c r="C4378" i="1"/>
  <c r="B4378" i="1"/>
  <c r="A4378" i="1"/>
  <c r="F4377" i="1"/>
  <c r="E4377" i="1"/>
  <c r="D4377" i="1"/>
  <c r="C4377" i="1"/>
  <c r="B4377" i="1"/>
  <c r="A4377" i="1"/>
  <c r="F4376" i="1"/>
  <c r="E4376" i="1"/>
  <c r="D4376" i="1"/>
  <c r="C4376" i="1"/>
  <c r="B4376" i="1"/>
  <c r="A4376" i="1"/>
  <c r="F4375" i="1"/>
  <c r="E4375" i="1"/>
  <c r="D4375" i="1"/>
  <c r="C4375" i="1"/>
  <c r="B4375" i="1"/>
  <c r="A4375" i="1"/>
  <c r="F4374" i="1"/>
  <c r="E4374" i="1"/>
  <c r="D4374" i="1"/>
  <c r="C4374" i="1"/>
  <c r="B4374" i="1"/>
  <c r="A4374" i="1"/>
  <c r="F4373" i="1"/>
  <c r="E4373" i="1"/>
  <c r="D4373" i="1"/>
  <c r="C4373" i="1"/>
  <c r="B4373" i="1"/>
  <c r="A4373" i="1"/>
  <c r="F4372" i="1"/>
  <c r="E4372" i="1"/>
  <c r="D4372" i="1"/>
  <c r="C4372" i="1"/>
  <c r="B4372" i="1"/>
  <c r="A4372" i="1"/>
  <c r="F4371" i="1"/>
  <c r="E4371" i="1"/>
  <c r="D4371" i="1"/>
  <c r="C4371" i="1"/>
  <c r="B4371" i="1"/>
  <c r="A4371" i="1"/>
  <c r="F4370" i="1"/>
  <c r="E4370" i="1"/>
  <c r="D4370" i="1"/>
  <c r="C4370" i="1"/>
  <c r="B4370" i="1"/>
  <c r="A4370" i="1"/>
  <c r="F4369" i="1"/>
  <c r="E4369" i="1"/>
  <c r="D4369" i="1"/>
  <c r="C4369" i="1"/>
  <c r="B4369" i="1"/>
  <c r="A4369" i="1"/>
  <c r="F4368" i="1"/>
  <c r="E4368" i="1"/>
  <c r="D4368" i="1"/>
  <c r="C4368" i="1"/>
  <c r="B4368" i="1"/>
  <c r="A4368" i="1"/>
  <c r="F4367" i="1"/>
  <c r="E4367" i="1"/>
  <c r="D4367" i="1"/>
  <c r="C4367" i="1"/>
  <c r="B4367" i="1"/>
  <c r="A4367" i="1"/>
  <c r="F4366" i="1"/>
  <c r="E4366" i="1"/>
  <c r="D4366" i="1"/>
  <c r="C4366" i="1"/>
  <c r="B4366" i="1"/>
  <c r="A4366" i="1"/>
  <c r="F4365" i="1"/>
  <c r="E4365" i="1"/>
  <c r="D4365" i="1"/>
  <c r="C4365" i="1"/>
  <c r="B4365" i="1"/>
  <c r="A4365" i="1"/>
  <c r="F4364" i="1"/>
  <c r="E4364" i="1"/>
  <c r="D4364" i="1"/>
  <c r="C4364" i="1"/>
  <c r="B4364" i="1"/>
  <c r="A4364" i="1"/>
  <c r="F4363" i="1"/>
  <c r="E4363" i="1"/>
  <c r="D4363" i="1"/>
  <c r="C4363" i="1"/>
  <c r="B4363" i="1"/>
  <c r="A4363" i="1"/>
  <c r="F4362" i="1"/>
  <c r="E4362" i="1"/>
  <c r="D4362" i="1"/>
  <c r="C4362" i="1"/>
  <c r="B4362" i="1"/>
  <c r="A4362" i="1"/>
  <c r="F4361" i="1"/>
  <c r="E4361" i="1"/>
  <c r="D4361" i="1"/>
  <c r="C4361" i="1"/>
  <c r="B4361" i="1"/>
  <c r="A4361" i="1"/>
  <c r="F4360" i="1"/>
  <c r="E4360" i="1"/>
  <c r="D4360" i="1"/>
  <c r="C4360" i="1"/>
  <c r="B4360" i="1"/>
  <c r="A4360" i="1"/>
  <c r="F4359" i="1"/>
  <c r="E4359" i="1"/>
  <c r="D4359" i="1"/>
  <c r="C4359" i="1"/>
  <c r="B4359" i="1"/>
  <c r="A4359" i="1"/>
  <c r="F4358" i="1"/>
  <c r="E4358" i="1"/>
  <c r="D4358" i="1"/>
  <c r="C4358" i="1"/>
  <c r="B4358" i="1"/>
  <c r="A4358" i="1"/>
  <c r="F4357" i="1"/>
  <c r="E4357" i="1"/>
  <c r="D4357" i="1"/>
  <c r="C4357" i="1"/>
  <c r="B4357" i="1"/>
  <c r="A4357" i="1"/>
  <c r="F4356" i="1"/>
  <c r="E4356" i="1"/>
  <c r="D4356" i="1"/>
  <c r="C4356" i="1"/>
  <c r="B4356" i="1"/>
  <c r="A4356" i="1"/>
  <c r="F4355" i="1"/>
  <c r="E4355" i="1"/>
  <c r="D4355" i="1"/>
  <c r="C4355" i="1"/>
  <c r="B4355" i="1"/>
  <c r="A4355" i="1"/>
  <c r="F4354" i="1"/>
  <c r="E4354" i="1"/>
  <c r="D4354" i="1"/>
  <c r="C4354" i="1"/>
  <c r="B4354" i="1"/>
  <c r="A4354" i="1"/>
  <c r="F4353" i="1"/>
  <c r="E4353" i="1"/>
  <c r="D4353" i="1"/>
  <c r="C4353" i="1"/>
  <c r="B4353" i="1"/>
  <c r="A4353" i="1"/>
  <c r="F4352" i="1"/>
  <c r="E4352" i="1"/>
  <c r="D4352" i="1"/>
  <c r="C4352" i="1"/>
  <c r="B4352" i="1"/>
  <c r="A4352" i="1"/>
  <c r="F4351" i="1"/>
  <c r="E4351" i="1"/>
  <c r="D4351" i="1"/>
  <c r="C4351" i="1"/>
  <c r="B4351" i="1"/>
  <c r="A4351" i="1"/>
  <c r="F4350" i="1"/>
  <c r="E4350" i="1"/>
  <c r="D4350" i="1"/>
  <c r="C4350" i="1"/>
  <c r="B4350" i="1"/>
  <c r="A4350" i="1"/>
  <c r="F4349" i="1"/>
  <c r="E4349" i="1"/>
  <c r="D4349" i="1"/>
  <c r="C4349" i="1"/>
  <c r="B4349" i="1"/>
  <c r="A4349" i="1"/>
  <c r="F4348" i="1"/>
  <c r="E4348" i="1"/>
  <c r="D4348" i="1"/>
  <c r="C4348" i="1"/>
  <c r="B4348" i="1"/>
  <c r="A4348" i="1"/>
  <c r="F4347" i="1"/>
  <c r="E4347" i="1"/>
  <c r="D4347" i="1"/>
  <c r="C4347" i="1"/>
  <c r="B4347" i="1"/>
  <c r="A4347" i="1"/>
  <c r="F4346" i="1"/>
  <c r="E4346" i="1"/>
  <c r="D4346" i="1"/>
  <c r="C4346" i="1"/>
  <c r="B4346" i="1"/>
  <c r="A4346" i="1"/>
  <c r="F4345" i="1"/>
  <c r="E4345" i="1"/>
  <c r="D4345" i="1"/>
  <c r="C4345" i="1"/>
  <c r="B4345" i="1"/>
  <c r="A4345" i="1"/>
  <c r="F4344" i="1"/>
  <c r="E4344" i="1"/>
  <c r="D4344" i="1"/>
  <c r="C4344" i="1"/>
  <c r="B4344" i="1"/>
  <c r="A4344" i="1"/>
  <c r="F4343" i="1"/>
  <c r="E4343" i="1"/>
  <c r="D4343" i="1"/>
  <c r="C4343" i="1"/>
  <c r="B4343" i="1"/>
  <c r="A4343" i="1"/>
  <c r="F4342" i="1"/>
  <c r="E4342" i="1"/>
  <c r="D4342" i="1"/>
  <c r="C4342" i="1"/>
  <c r="B4342" i="1"/>
  <c r="A4342" i="1"/>
  <c r="F4341" i="1"/>
  <c r="E4341" i="1"/>
  <c r="D4341" i="1"/>
  <c r="C4341" i="1"/>
  <c r="B4341" i="1"/>
  <c r="A4341" i="1"/>
  <c r="F4340" i="1"/>
  <c r="E4340" i="1"/>
  <c r="D4340" i="1"/>
  <c r="C4340" i="1"/>
  <c r="B4340" i="1"/>
  <c r="A4340" i="1"/>
  <c r="F4339" i="1"/>
  <c r="E4339" i="1"/>
  <c r="D4339" i="1"/>
  <c r="C4339" i="1"/>
  <c r="B4339" i="1"/>
  <c r="A4339" i="1"/>
  <c r="F4338" i="1"/>
  <c r="E4338" i="1"/>
  <c r="D4338" i="1"/>
  <c r="C4338" i="1"/>
  <c r="B4338" i="1"/>
  <c r="A4338" i="1"/>
  <c r="F4337" i="1"/>
  <c r="E4337" i="1"/>
  <c r="D4337" i="1"/>
  <c r="C4337" i="1"/>
  <c r="B4337" i="1"/>
  <c r="A4337" i="1"/>
  <c r="F4336" i="1"/>
  <c r="E4336" i="1"/>
  <c r="D4336" i="1"/>
  <c r="C4336" i="1"/>
  <c r="B4336" i="1"/>
  <c r="A4336" i="1"/>
  <c r="F4335" i="1"/>
  <c r="E4335" i="1"/>
  <c r="D4335" i="1"/>
  <c r="C4335" i="1"/>
  <c r="B4335" i="1"/>
  <c r="A4335" i="1"/>
  <c r="F4334" i="1"/>
  <c r="E4334" i="1"/>
  <c r="D4334" i="1"/>
  <c r="C4334" i="1"/>
  <c r="B4334" i="1"/>
  <c r="A4334" i="1"/>
  <c r="F4333" i="1"/>
  <c r="E4333" i="1"/>
  <c r="D4333" i="1"/>
  <c r="C4333" i="1"/>
  <c r="B4333" i="1"/>
  <c r="A4333" i="1"/>
  <c r="F4332" i="1"/>
  <c r="E4332" i="1"/>
  <c r="D4332" i="1"/>
  <c r="C4332" i="1"/>
  <c r="B4332" i="1"/>
  <c r="A4332" i="1"/>
  <c r="F4331" i="1"/>
  <c r="E4331" i="1"/>
  <c r="D4331" i="1"/>
  <c r="C4331" i="1"/>
  <c r="B4331" i="1"/>
  <c r="A4331" i="1"/>
  <c r="F4330" i="1"/>
  <c r="E4330" i="1"/>
  <c r="D4330" i="1"/>
  <c r="C4330" i="1"/>
  <c r="B4330" i="1"/>
  <c r="A4330" i="1"/>
  <c r="F4329" i="1"/>
  <c r="E4329" i="1"/>
  <c r="D4329" i="1"/>
  <c r="C4329" i="1"/>
  <c r="B4329" i="1"/>
  <c r="A4329" i="1"/>
  <c r="F4328" i="1"/>
  <c r="E4328" i="1"/>
  <c r="D4328" i="1"/>
  <c r="C4328" i="1"/>
  <c r="B4328" i="1"/>
  <c r="A4328" i="1"/>
  <c r="F4327" i="1"/>
  <c r="E4327" i="1"/>
  <c r="D4327" i="1"/>
  <c r="C4327" i="1"/>
  <c r="B4327" i="1"/>
  <c r="A4327" i="1"/>
  <c r="F4326" i="1"/>
  <c r="E4326" i="1"/>
  <c r="D4326" i="1"/>
  <c r="C4326" i="1"/>
  <c r="B4326" i="1"/>
  <c r="A4326" i="1"/>
  <c r="F4325" i="1"/>
  <c r="E4325" i="1"/>
  <c r="D4325" i="1"/>
  <c r="C4325" i="1"/>
  <c r="B4325" i="1"/>
  <c r="A4325" i="1"/>
  <c r="F4324" i="1"/>
  <c r="E4324" i="1"/>
  <c r="D4324" i="1"/>
  <c r="C4324" i="1"/>
  <c r="B4324" i="1"/>
  <c r="A4324" i="1"/>
  <c r="F4323" i="1"/>
  <c r="E4323" i="1"/>
  <c r="D4323" i="1"/>
  <c r="C4323" i="1"/>
  <c r="B4323" i="1"/>
  <c r="A4323" i="1"/>
  <c r="F4322" i="1"/>
  <c r="E4322" i="1"/>
  <c r="D4322" i="1"/>
  <c r="C4322" i="1"/>
  <c r="B4322" i="1"/>
  <c r="A4322" i="1"/>
  <c r="F4321" i="1"/>
  <c r="E4321" i="1"/>
  <c r="D4321" i="1"/>
  <c r="C4321" i="1"/>
  <c r="B4321" i="1"/>
  <c r="A4321" i="1"/>
  <c r="F4320" i="1"/>
  <c r="E4320" i="1"/>
  <c r="D4320" i="1"/>
  <c r="C4320" i="1"/>
  <c r="B4320" i="1"/>
  <c r="A4320" i="1"/>
  <c r="F4319" i="1"/>
  <c r="E4319" i="1"/>
  <c r="D4319" i="1"/>
  <c r="C4319" i="1"/>
  <c r="B4319" i="1"/>
  <c r="A4319" i="1"/>
  <c r="F4318" i="1"/>
  <c r="E4318" i="1"/>
  <c r="D4318" i="1"/>
  <c r="C4318" i="1"/>
  <c r="B4318" i="1"/>
  <c r="A4318" i="1"/>
  <c r="F4317" i="1"/>
  <c r="E4317" i="1"/>
  <c r="D4317" i="1"/>
  <c r="C4317" i="1"/>
  <c r="B4317" i="1"/>
  <c r="A4317" i="1"/>
  <c r="F4316" i="1"/>
  <c r="E4316" i="1"/>
  <c r="D4316" i="1"/>
  <c r="C4316" i="1"/>
  <c r="B4316" i="1"/>
  <c r="A4316" i="1"/>
  <c r="F4315" i="1"/>
  <c r="E4315" i="1"/>
  <c r="D4315" i="1"/>
  <c r="C4315" i="1"/>
  <c r="B4315" i="1"/>
  <c r="A4315" i="1"/>
  <c r="F4314" i="1"/>
  <c r="E4314" i="1"/>
  <c r="D4314" i="1"/>
  <c r="C4314" i="1"/>
  <c r="B4314" i="1"/>
  <c r="A4314" i="1"/>
  <c r="F4313" i="1"/>
  <c r="E4313" i="1"/>
  <c r="D4313" i="1"/>
  <c r="C4313" i="1"/>
  <c r="B4313" i="1"/>
  <c r="A4313" i="1"/>
  <c r="F4312" i="1"/>
  <c r="E4312" i="1"/>
  <c r="D4312" i="1"/>
  <c r="C4312" i="1"/>
  <c r="B4312" i="1"/>
  <c r="A4312" i="1"/>
  <c r="F4311" i="1"/>
  <c r="E4311" i="1"/>
  <c r="D4311" i="1"/>
  <c r="C4311" i="1"/>
  <c r="B4311" i="1"/>
  <c r="A4311" i="1"/>
  <c r="F4310" i="1"/>
  <c r="E4310" i="1"/>
  <c r="D4310" i="1"/>
  <c r="C4310" i="1"/>
  <c r="B4310" i="1"/>
  <c r="A4310" i="1"/>
  <c r="F4309" i="1"/>
  <c r="E4309" i="1"/>
  <c r="D4309" i="1"/>
  <c r="C4309" i="1"/>
  <c r="B4309" i="1"/>
  <c r="A4309" i="1"/>
  <c r="F4308" i="1"/>
  <c r="E4308" i="1"/>
  <c r="D4308" i="1"/>
  <c r="C4308" i="1"/>
  <c r="B4308" i="1"/>
  <c r="A4308" i="1"/>
  <c r="F4307" i="1"/>
  <c r="E4307" i="1"/>
  <c r="D4307" i="1"/>
  <c r="C4307" i="1"/>
  <c r="B4307" i="1"/>
  <c r="A4307" i="1"/>
  <c r="F4306" i="1"/>
  <c r="E4306" i="1"/>
  <c r="D4306" i="1"/>
  <c r="C4306" i="1"/>
  <c r="B4306" i="1"/>
  <c r="A4306" i="1"/>
  <c r="F4305" i="1"/>
  <c r="E4305" i="1"/>
  <c r="D4305" i="1"/>
  <c r="C4305" i="1"/>
  <c r="B4305" i="1"/>
  <c r="A4305" i="1"/>
  <c r="F4304" i="1"/>
  <c r="E4304" i="1"/>
  <c r="D4304" i="1"/>
  <c r="C4304" i="1"/>
  <c r="B4304" i="1"/>
  <c r="A4304" i="1"/>
  <c r="F4303" i="1"/>
  <c r="E4303" i="1"/>
  <c r="D4303" i="1"/>
  <c r="C4303" i="1"/>
  <c r="B4303" i="1"/>
  <c r="A4303" i="1"/>
  <c r="F4302" i="1"/>
  <c r="E4302" i="1"/>
  <c r="D4302" i="1"/>
  <c r="C4302" i="1"/>
  <c r="B4302" i="1"/>
  <c r="A4302" i="1"/>
  <c r="F4301" i="1"/>
  <c r="E4301" i="1"/>
  <c r="D4301" i="1"/>
  <c r="C4301" i="1"/>
  <c r="B4301" i="1"/>
  <c r="A4301" i="1"/>
  <c r="F4300" i="1"/>
  <c r="E4300" i="1"/>
  <c r="D4300" i="1"/>
  <c r="C4300" i="1"/>
  <c r="B4300" i="1"/>
  <c r="A4300" i="1"/>
  <c r="F4299" i="1"/>
  <c r="E4299" i="1"/>
  <c r="D4299" i="1"/>
  <c r="C4299" i="1"/>
  <c r="B4299" i="1"/>
  <c r="A4299" i="1"/>
  <c r="F4298" i="1"/>
  <c r="E4298" i="1"/>
  <c r="D4298" i="1"/>
  <c r="C4298" i="1"/>
  <c r="B4298" i="1"/>
  <c r="A4298" i="1"/>
  <c r="F4297" i="1"/>
  <c r="E4297" i="1"/>
  <c r="D4297" i="1"/>
  <c r="C4297" i="1"/>
  <c r="B4297" i="1"/>
  <c r="A4297" i="1"/>
  <c r="F4296" i="1"/>
  <c r="E4296" i="1"/>
  <c r="D4296" i="1"/>
  <c r="C4296" i="1"/>
  <c r="B4296" i="1"/>
  <c r="A4296" i="1"/>
  <c r="F4295" i="1"/>
  <c r="E4295" i="1"/>
  <c r="D4295" i="1"/>
  <c r="C4295" i="1"/>
  <c r="B4295" i="1"/>
  <c r="A4295" i="1"/>
  <c r="F4294" i="1"/>
  <c r="E4294" i="1"/>
  <c r="D4294" i="1"/>
  <c r="C4294" i="1"/>
  <c r="B4294" i="1"/>
  <c r="A4294" i="1"/>
  <c r="F4293" i="1"/>
  <c r="E4293" i="1"/>
  <c r="D4293" i="1"/>
  <c r="C4293" i="1"/>
  <c r="B4293" i="1"/>
  <c r="A4293" i="1"/>
  <c r="F4292" i="1"/>
  <c r="E4292" i="1"/>
  <c r="D4292" i="1"/>
  <c r="C4292" i="1"/>
  <c r="B4292" i="1"/>
  <c r="A4292" i="1"/>
  <c r="F4291" i="1"/>
  <c r="E4291" i="1"/>
  <c r="D4291" i="1"/>
  <c r="C4291" i="1"/>
  <c r="B4291" i="1"/>
  <c r="A4291" i="1"/>
  <c r="F4290" i="1"/>
  <c r="E4290" i="1"/>
  <c r="D4290" i="1"/>
  <c r="C4290" i="1"/>
  <c r="B4290" i="1"/>
  <c r="A4290" i="1"/>
  <c r="F4289" i="1"/>
  <c r="E4289" i="1"/>
  <c r="D4289" i="1"/>
  <c r="C4289" i="1"/>
  <c r="B4289" i="1"/>
  <c r="A4289" i="1"/>
  <c r="F4288" i="1"/>
  <c r="E4288" i="1"/>
  <c r="D4288" i="1"/>
  <c r="C4288" i="1"/>
  <c r="B4288" i="1"/>
  <c r="A4288" i="1"/>
  <c r="F4287" i="1"/>
  <c r="E4287" i="1"/>
  <c r="D4287" i="1"/>
  <c r="C4287" i="1"/>
  <c r="B4287" i="1"/>
  <c r="A4287" i="1"/>
  <c r="F4286" i="1"/>
  <c r="E4286" i="1"/>
  <c r="D4286" i="1"/>
  <c r="C4286" i="1"/>
  <c r="B4286" i="1"/>
  <c r="A4286" i="1"/>
  <c r="F4285" i="1"/>
  <c r="E4285" i="1"/>
  <c r="D4285" i="1"/>
  <c r="C4285" i="1"/>
  <c r="B4285" i="1"/>
  <c r="A4285" i="1"/>
  <c r="F4284" i="1"/>
  <c r="E4284" i="1"/>
  <c r="D4284" i="1"/>
  <c r="C4284" i="1"/>
  <c r="B4284" i="1"/>
  <c r="A4284" i="1"/>
  <c r="F4283" i="1"/>
  <c r="E4283" i="1"/>
  <c r="D4283" i="1"/>
  <c r="C4283" i="1"/>
  <c r="B4283" i="1"/>
  <c r="A4283" i="1"/>
  <c r="F4282" i="1"/>
  <c r="E4282" i="1"/>
  <c r="D4282" i="1"/>
  <c r="C4282" i="1"/>
  <c r="B4282" i="1"/>
  <c r="A4282" i="1"/>
  <c r="F4281" i="1"/>
  <c r="E4281" i="1"/>
  <c r="D4281" i="1"/>
  <c r="C4281" i="1"/>
  <c r="B4281" i="1"/>
  <c r="A4281" i="1"/>
  <c r="F4280" i="1"/>
  <c r="E4280" i="1"/>
  <c r="D4280" i="1"/>
  <c r="C4280" i="1"/>
  <c r="B4280" i="1"/>
  <c r="A4280" i="1"/>
  <c r="F4279" i="1"/>
  <c r="E4279" i="1"/>
  <c r="D4279" i="1"/>
  <c r="C4279" i="1"/>
  <c r="B4279" i="1"/>
  <c r="A4279" i="1"/>
  <c r="F4278" i="1"/>
  <c r="E4278" i="1"/>
  <c r="D4278" i="1"/>
  <c r="C4278" i="1"/>
  <c r="B4278" i="1"/>
  <c r="A4278" i="1"/>
  <c r="F4277" i="1"/>
  <c r="E4277" i="1"/>
  <c r="D4277" i="1"/>
  <c r="C4277" i="1"/>
  <c r="B4277" i="1"/>
  <c r="A4277" i="1"/>
  <c r="F4276" i="1"/>
  <c r="E4276" i="1"/>
  <c r="D4276" i="1"/>
  <c r="C4276" i="1"/>
  <c r="B4276" i="1"/>
  <c r="A4276" i="1"/>
  <c r="F4275" i="1"/>
  <c r="E4275" i="1"/>
  <c r="D4275" i="1"/>
  <c r="C4275" i="1"/>
  <c r="B4275" i="1"/>
  <c r="A4275" i="1"/>
  <c r="F4274" i="1"/>
  <c r="E4274" i="1"/>
  <c r="D4274" i="1"/>
  <c r="C4274" i="1"/>
  <c r="B4274" i="1"/>
  <c r="A4274" i="1"/>
  <c r="F4273" i="1"/>
  <c r="E4273" i="1"/>
  <c r="D4273" i="1"/>
  <c r="C4273" i="1"/>
  <c r="B4273" i="1"/>
  <c r="A4273" i="1"/>
  <c r="F4272" i="1"/>
  <c r="E4272" i="1"/>
  <c r="D4272" i="1"/>
  <c r="C4272" i="1"/>
  <c r="B4272" i="1"/>
  <c r="A4272" i="1"/>
  <c r="F4271" i="1"/>
  <c r="E4271" i="1"/>
  <c r="D4271" i="1"/>
  <c r="C4271" i="1"/>
  <c r="B4271" i="1"/>
  <c r="A4271" i="1"/>
  <c r="F4270" i="1"/>
  <c r="E4270" i="1"/>
  <c r="D4270" i="1"/>
  <c r="C4270" i="1"/>
  <c r="B4270" i="1"/>
  <c r="A4270" i="1"/>
  <c r="F4269" i="1"/>
  <c r="E4269" i="1"/>
  <c r="D4269" i="1"/>
  <c r="C4269" i="1"/>
  <c r="B4269" i="1"/>
  <c r="A4269" i="1"/>
  <c r="F4268" i="1"/>
  <c r="E4268" i="1"/>
  <c r="D4268" i="1"/>
  <c r="C4268" i="1"/>
  <c r="B4268" i="1"/>
  <c r="A4268" i="1"/>
  <c r="F4267" i="1"/>
  <c r="E4267" i="1"/>
  <c r="D4267" i="1"/>
  <c r="C4267" i="1"/>
  <c r="B4267" i="1"/>
  <c r="A4267" i="1"/>
  <c r="F4266" i="1"/>
  <c r="E4266" i="1"/>
  <c r="D4266" i="1"/>
  <c r="C4266" i="1"/>
  <c r="B4266" i="1"/>
  <c r="A4266" i="1"/>
  <c r="F4265" i="1"/>
  <c r="E4265" i="1"/>
  <c r="D4265" i="1"/>
  <c r="C4265" i="1"/>
  <c r="B4265" i="1"/>
  <c r="A4265" i="1"/>
  <c r="F4264" i="1"/>
  <c r="E4264" i="1"/>
  <c r="D4264" i="1"/>
  <c r="C4264" i="1"/>
  <c r="B4264" i="1"/>
  <c r="A4264" i="1"/>
  <c r="F4263" i="1"/>
  <c r="E4263" i="1"/>
  <c r="D4263" i="1"/>
  <c r="C4263" i="1"/>
  <c r="B4263" i="1"/>
  <c r="A4263" i="1"/>
  <c r="F4262" i="1"/>
  <c r="E4262" i="1"/>
  <c r="D4262" i="1"/>
  <c r="C4262" i="1"/>
  <c r="B4262" i="1"/>
  <c r="A4262" i="1"/>
  <c r="F4261" i="1"/>
  <c r="E4261" i="1"/>
  <c r="D4261" i="1"/>
  <c r="C4261" i="1"/>
  <c r="B4261" i="1"/>
  <c r="A4261" i="1"/>
  <c r="F4260" i="1"/>
  <c r="E4260" i="1"/>
  <c r="D4260" i="1"/>
  <c r="C4260" i="1"/>
  <c r="B4260" i="1"/>
  <c r="A4260" i="1"/>
  <c r="F4259" i="1"/>
  <c r="E4259" i="1"/>
  <c r="D4259" i="1"/>
  <c r="C4259" i="1"/>
  <c r="B4259" i="1"/>
  <c r="A4259" i="1"/>
  <c r="F4258" i="1"/>
  <c r="E4258" i="1"/>
  <c r="D4258" i="1"/>
  <c r="C4258" i="1"/>
  <c r="B4258" i="1"/>
  <c r="A4258" i="1"/>
  <c r="F4257" i="1"/>
  <c r="E4257" i="1"/>
  <c r="D4257" i="1"/>
  <c r="C4257" i="1"/>
  <c r="B4257" i="1"/>
  <c r="A4257" i="1"/>
  <c r="F4256" i="1"/>
  <c r="E4256" i="1"/>
  <c r="D4256" i="1"/>
  <c r="C4256" i="1"/>
  <c r="B4256" i="1"/>
  <c r="A4256" i="1"/>
  <c r="F4255" i="1"/>
  <c r="E4255" i="1"/>
  <c r="D4255" i="1"/>
  <c r="C4255" i="1"/>
  <c r="B4255" i="1"/>
  <c r="A4255" i="1"/>
  <c r="F4254" i="1"/>
  <c r="E4254" i="1"/>
  <c r="D4254" i="1"/>
  <c r="C4254" i="1"/>
  <c r="B4254" i="1"/>
  <c r="A4254" i="1"/>
  <c r="F4253" i="1"/>
  <c r="E4253" i="1"/>
  <c r="D4253" i="1"/>
  <c r="C4253" i="1"/>
  <c r="B4253" i="1"/>
  <c r="A4253" i="1"/>
  <c r="F4252" i="1"/>
  <c r="E4252" i="1"/>
  <c r="D4252" i="1"/>
  <c r="C4252" i="1"/>
  <c r="B4252" i="1"/>
  <c r="A4252" i="1"/>
  <c r="F4251" i="1"/>
  <c r="E4251" i="1"/>
  <c r="D4251" i="1"/>
  <c r="C4251" i="1"/>
  <c r="B4251" i="1"/>
  <c r="A4251" i="1"/>
  <c r="F4250" i="1"/>
  <c r="E4250" i="1"/>
  <c r="D4250" i="1"/>
  <c r="C4250" i="1"/>
  <c r="B4250" i="1"/>
  <c r="A4250" i="1"/>
  <c r="F4249" i="1"/>
  <c r="E4249" i="1"/>
  <c r="D4249" i="1"/>
  <c r="C4249" i="1"/>
  <c r="B4249" i="1"/>
  <c r="A4249" i="1"/>
  <c r="F4248" i="1"/>
  <c r="E4248" i="1"/>
  <c r="D4248" i="1"/>
  <c r="C4248" i="1"/>
  <c r="B4248" i="1"/>
  <c r="A4248" i="1"/>
  <c r="F4247" i="1"/>
  <c r="E4247" i="1"/>
  <c r="D4247" i="1"/>
  <c r="C4247" i="1"/>
  <c r="B4247" i="1"/>
  <c r="A4247" i="1"/>
  <c r="F4246" i="1"/>
  <c r="E4246" i="1"/>
  <c r="D4246" i="1"/>
  <c r="C4246" i="1"/>
  <c r="B4246" i="1"/>
  <c r="A4246" i="1"/>
  <c r="F4245" i="1"/>
  <c r="E4245" i="1"/>
  <c r="D4245" i="1"/>
  <c r="C4245" i="1"/>
  <c r="B4245" i="1"/>
  <c r="A4245" i="1"/>
  <c r="F4244" i="1"/>
  <c r="E4244" i="1"/>
  <c r="D4244" i="1"/>
  <c r="C4244" i="1"/>
  <c r="B4244" i="1"/>
  <c r="A4244" i="1"/>
  <c r="F4243" i="1"/>
  <c r="E4243" i="1"/>
  <c r="D4243" i="1"/>
  <c r="C4243" i="1"/>
  <c r="B4243" i="1"/>
  <c r="A4243" i="1"/>
  <c r="F4242" i="1"/>
  <c r="E4242" i="1"/>
  <c r="D4242" i="1"/>
  <c r="C4242" i="1"/>
  <c r="B4242" i="1"/>
  <c r="A4242" i="1"/>
  <c r="F4241" i="1"/>
  <c r="E4241" i="1"/>
  <c r="D4241" i="1"/>
  <c r="C4241" i="1"/>
  <c r="B4241" i="1"/>
  <c r="A4241" i="1"/>
  <c r="F4240" i="1"/>
  <c r="E4240" i="1"/>
  <c r="D4240" i="1"/>
  <c r="C4240" i="1"/>
  <c r="B4240" i="1"/>
  <c r="A4240" i="1"/>
  <c r="F4239" i="1"/>
  <c r="E4239" i="1"/>
  <c r="D4239" i="1"/>
  <c r="C4239" i="1"/>
  <c r="B4239" i="1"/>
  <c r="A4239" i="1"/>
  <c r="F4238" i="1"/>
  <c r="E4238" i="1"/>
  <c r="D4238" i="1"/>
  <c r="C4238" i="1"/>
  <c r="B4238" i="1"/>
  <c r="A4238" i="1"/>
  <c r="F4237" i="1"/>
  <c r="E4237" i="1"/>
  <c r="D4237" i="1"/>
  <c r="C4237" i="1"/>
  <c r="B4237" i="1"/>
  <c r="A4237" i="1"/>
  <c r="F4236" i="1"/>
  <c r="E4236" i="1"/>
  <c r="D4236" i="1"/>
  <c r="C4236" i="1"/>
  <c r="B4236" i="1"/>
  <c r="A4236" i="1"/>
  <c r="F4235" i="1"/>
  <c r="E4235" i="1"/>
  <c r="D4235" i="1"/>
  <c r="C4235" i="1"/>
  <c r="B4235" i="1"/>
  <c r="A4235" i="1"/>
  <c r="F4234" i="1"/>
  <c r="E4234" i="1"/>
  <c r="D4234" i="1"/>
  <c r="C4234" i="1"/>
  <c r="B4234" i="1"/>
  <c r="A4234" i="1"/>
  <c r="F4233" i="1"/>
  <c r="E4233" i="1"/>
  <c r="D4233" i="1"/>
  <c r="C4233" i="1"/>
  <c r="B4233" i="1"/>
  <c r="A4233" i="1"/>
  <c r="F4232" i="1"/>
  <c r="E4232" i="1"/>
  <c r="D4232" i="1"/>
  <c r="C4232" i="1"/>
  <c r="B4232" i="1"/>
  <c r="A4232" i="1"/>
  <c r="F4231" i="1"/>
  <c r="E4231" i="1"/>
  <c r="D4231" i="1"/>
  <c r="C4231" i="1"/>
  <c r="B4231" i="1"/>
  <c r="A4231" i="1"/>
  <c r="F4230" i="1"/>
  <c r="E4230" i="1"/>
  <c r="D4230" i="1"/>
  <c r="C4230" i="1"/>
  <c r="B4230" i="1"/>
  <c r="A4230" i="1"/>
  <c r="F4229" i="1"/>
  <c r="E4229" i="1"/>
  <c r="D4229" i="1"/>
  <c r="C4229" i="1"/>
  <c r="B4229" i="1"/>
  <c r="A4229" i="1"/>
  <c r="F4228" i="1"/>
  <c r="E4228" i="1"/>
  <c r="D4228" i="1"/>
  <c r="C4228" i="1"/>
  <c r="B4228" i="1"/>
  <c r="A4228" i="1"/>
  <c r="F4227" i="1"/>
  <c r="E4227" i="1"/>
  <c r="D4227" i="1"/>
  <c r="C4227" i="1"/>
  <c r="B4227" i="1"/>
  <c r="A4227" i="1"/>
  <c r="F4226" i="1"/>
  <c r="E4226" i="1"/>
  <c r="D4226" i="1"/>
  <c r="C4226" i="1"/>
  <c r="B4226" i="1"/>
  <c r="A4226" i="1"/>
  <c r="F4225" i="1"/>
  <c r="E4225" i="1"/>
  <c r="D4225" i="1"/>
  <c r="C4225" i="1"/>
  <c r="B4225" i="1"/>
  <c r="A4225" i="1"/>
  <c r="F4224" i="1"/>
  <c r="E4224" i="1"/>
  <c r="D4224" i="1"/>
  <c r="C4224" i="1"/>
  <c r="B4224" i="1"/>
  <c r="A4224" i="1"/>
  <c r="F4223" i="1"/>
  <c r="E4223" i="1"/>
  <c r="D4223" i="1"/>
  <c r="C4223" i="1"/>
  <c r="B4223" i="1"/>
  <c r="A4223" i="1"/>
  <c r="F4222" i="1"/>
  <c r="E4222" i="1"/>
  <c r="D4222" i="1"/>
  <c r="C4222" i="1"/>
  <c r="B4222" i="1"/>
  <c r="A4222" i="1"/>
  <c r="F4221" i="1"/>
  <c r="E4221" i="1"/>
  <c r="D4221" i="1"/>
  <c r="C4221" i="1"/>
  <c r="B4221" i="1"/>
  <c r="A4221" i="1"/>
  <c r="F4220" i="1"/>
  <c r="E4220" i="1"/>
  <c r="D4220" i="1"/>
  <c r="C4220" i="1"/>
  <c r="B4220" i="1"/>
  <c r="A4220" i="1"/>
  <c r="F4219" i="1"/>
  <c r="E4219" i="1"/>
  <c r="D4219" i="1"/>
  <c r="C4219" i="1"/>
  <c r="B4219" i="1"/>
  <c r="A4219" i="1"/>
  <c r="F4218" i="1"/>
  <c r="E4218" i="1"/>
  <c r="D4218" i="1"/>
  <c r="C4218" i="1"/>
  <c r="B4218" i="1"/>
  <c r="A4218" i="1"/>
  <c r="F4217" i="1"/>
  <c r="E4217" i="1"/>
  <c r="D4217" i="1"/>
  <c r="C4217" i="1"/>
  <c r="B4217" i="1"/>
  <c r="A4217" i="1"/>
  <c r="F4216" i="1"/>
  <c r="E4216" i="1"/>
  <c r="D4216" i="1"/>
  <c r="C4216" i="1"/>
  <c r="B4216" i="1"/>
  <c r="A4216" i="1"/>
  <c r="F4215" i="1"/>
  <c r="E4215" i="1"/>
  <c r="D4215" i="1"/>
  <c r="C4215" i="1"/>
  <c r="B4215" i="1"/>
  <c r="A4215" i="1"/>
  <c r="F4214" i="1"/>
  <c r="E4214" i="1"/>
  <c r="D4214" i="1"/>
  <c r="C4214" i="1"/>
  <c r="B4214" i="1"/>
  <c r="A4214" i="1"/>
  <c r="F4213" i="1"/>
  <c r="E4213" i="1"/>
  <c r="D4213" i="1"/>
  <c r="C4213" i="1"/>
  <c r="B4213" i="1"/>
  <c r="A4213" i="1"/>
  <c r="F4212" i="1"/>
  <c r="E4212" i="1"/>
  <c r="D4212" i="1"/>
  <c r="C4212" i="1"/>
  <c r="B4212" i="1"/>
  <c r="A4212" i="1"/>
  <c r="F4211" i="1"/>
  <c r="E4211" i="1"/>
  <c r="D4211" i="1"/>
  <c r="C4211" i="1"/>
  <c r="B4211" i="1"/>
  <c r="A4211" i="1"/>
  <c r="F4210" i="1"/>
  <c r="E4210" i="1"/>
  <c r="D4210" i="1"/>
  <c r="C4210" i="1"/>
  <c r="B4210" i="1"/>
  <c r="A4210" i="1"/>
  <c r="F4209" i="1"/>
  <c r="E4209" i="1"/>
  <c r="D4209" i="1"/>
  <c r="C4209" i="1"/>
  <c r="B4209" i="1"/>
  <c r="A4209" i="1"/>
  <c r="F4208" i="1"/>
  <c r="E4208" i="1"/>
  <c r="D4208" i="1"/>
  <c r="C4208" i="1"/>
  <c r="B4208" i="1"/>
  <c r="A4208" i="1"/>
  <c r="F4207" i="1"/>
  <c r="E4207" i="1"/>
  <c r="D4207" i="1"/>
  <c r="C4207" i="1"/>
  <c r="B4207" i="1"/>
  <c r="A4207" i="1"/>
  <c r="F4206" i="1"/>
  <c r="E4206" i="1"/>
  <c r="D4206" i="1"/>
  <c r="C4206" i="1"/>
  <c r="B4206" i="1"/>
  <c r="A4206" i="1"/>
  <c r="F4205" i="1"/>
  <c r="E4205" i="1"/>
  <c r="D4205" i="1"/>
  <c r="C4205" i="1"/>
  <c r="B4205" i="1"/>
  <c r="A4205" i="1"/>
  <c r="F4204" i="1"/>
  <c r="E4204" i="1"/>
  <c r="D4204" i="1"/>
  <c r="C4204" i="1"/>
  <c r="B4204" i="1"/>
  <c r="A4204" i="1"/>
  <c r="F4203" i="1"/>
  <c r="E4203" i="1"/>
  <c r="D4203" i="1"/>
  <c r="C4203" i="1"/>
  <c r="B4203" i="1"/>
  <c r="A4203" i="1"/>
  <c r="F4202" i="1"/>
  <c r="E4202" i="1"/>
  <c r="D4202" i="1"/>
  <c r="C4202" i="1"/>
  <c r="B4202" i="1"/>
  <c r="A4202" i="1"/>
  <c r="F4201" i="1"/>
  <c r="E4201" i="1"/>
  <c r="D4201" i="1"/>
  <c r="C4201" i="1"/>
  <c r="B4201" i="1"/>
  <c r="A4201" i="1"/>
  <c r="F4200" i="1"/>
  <c r="E4200" i="1"/>
  <c r="D4200" i="1"/>
  <c r="C4200" i="1"/>
  <c r="B4200" i="1"/>
  <c r="A4200" i="1"/>
  <c r="F4199" i="1"/>
  <c r="E4199" i="1"/>
  <c r="D4199" i="1"/>
  <c r="C4199" i="1"/>
  <c r="B4199" i="1"/>
  <c r="A4199" i="1"/>
  <c r="F4198" i="1"/>
  <c r="E4198" i="1"/>
  <c r="D4198" i="1"/>
  <c r="C4198" i="1"/>
  <c r="B4198" i="1"/>
  <c r="A4198" i="1"/>
  <c r="F4197" i="1"/>
  <c r="E4197" i="1"/>
  <c r="D4197" i="1"/>
  <c r="C4197" i="1"/>
  <c r="B4197" i="1"/>
  <c r="A4197" i="1"/>
  <c r="F4196" i="1"/>
  <c r="E4196" i="1"/>
  <c r="D4196" i="1"/>
  <c r="C4196" i="1"/>
  <c r="B4196" i="1"/>
  <c r="A4196" i="1"/>
  <c r="F4195" i="1"/>
  <c r="E4195" i="1"/>
  <c r="D4195" i="1"/>
  <c r="C4195" i="1"/>
  <c r="B4195" i="1"/>
  <c r="A4195" i="1"/>
  <c r="F4194" i="1"/>
  <c r="E4194" i="1"/>
  <c r="D4194" i="1"/>
  <c r="C4194" i="1"/>
  <c r="B4194" i="1"/>
  <c r="A4194" i="1"/>
  <c r="F4193" i="1"/>
  <c r="E4193" i="1"/>
  <c r="D4193" i="1"/>
  <c r="C4193" i="1"/>
  <c r="B4193" i="1"/>
  <c r="A4193" i="1"/>
  <c r="F4192" i="1"/>
  <c r="E4192" i="1"/>
  <c r="D4192" i="1"/>
  <c r="C4192" i="1"/>
  <c r="B4192" i="1"/>
  <c r="A4192" i="1"/>
  <c r="F4191" i="1"/>
  <c r="E4191" i="1"/>
  <c r="D4191" i="1"/>
  <c r="C4191" i="1"/>
  <c r="B4191" i="1"/>
  <c r="A4191" i="1"/>
  <c r="F4190" i="1"/>
  <c r="E4190" i="1"/>
  <c r="D4190" i="1"/>
  <c r="C4190" i="1"/>
  <c r="B4190" i="1"/>
  <c r="A4190" i="1"/>
  <c r="F4189" i="1"/>
  <c r="E4189" i="1"/>
  <c r="D4189" i="1"/>
  <c r="C4189" i="1"/>
  <c r="B4189" i="1"/>
  <c r="A4189" i="1"/>
  <c r="F4188" i="1"/>
  <c r="E4188" i="1"/>
  <c r="D4188" i="1"/>
  <c r="C4188" i="1"/>
  <c r="B4188" i="1"/>
  <c r="A4188" i="1"/>
  <c r="F4187" i="1"/>
  <c r="E4187" i="1"/>
  <c r="D4187" i="1"/>
  <c r="C4187" i="1"/>
  <c r="B4187" i="1"/>
  <c r="A4187" i="1"/>
  <c r="F4186" i="1"/>
  <c r="E4186" i="1"/>
  <c r="D4186" i="1"/>
  <c r="C4186" i="1"/>
  <c r="B4186" i="1"/>
  <c r="A4186" i="1"/>
  <c r="F4185" i="1"/>
  <c r="E4185" i="1"/>
  <c r="D4185" i="1"/>
  <c r="C4185" i="1"/>
  <c r="B4185" i="1"/>
  <c r="A4185" i="1"/>
  <c r="F4184" i="1"/>
  <c r="E4184" i="1"/>
  <c r="D4184" i="1"/>
  <c r="C4184" i="1"/>
  <c r="B4184" i="1"/>
  <c r="A4184" i="1"/>
  <c r="F4183" i="1"/>
  <c r="E4183" i="1"/>
  <c r="D4183" i="1"/>
  <c r="C4183" i="1"/>
  <c r="B4183" i="1"/>
  <c r="A4183" i="1"/>
  <c r="F4182" i="1"/>
  <c r="E4182" i="1"/>
  <c r="D4182" i="1"/>
  <c r="C4182" i="1"/>
  <c r="B4182" i="1"/>
  <c r="A4182" i="1"/>
  <c r="F4181" i="1"/>
  <c r="E4181" i="1"/>
  <c r="D4181" i="1"/>
  <c r="C4181" i="1"/>
  <c r="B4181" i="1"/>
  <c r="A4181" i="1"/>
  <c r="F4180" i="1"/>
  <c r="E4180" i="1"/>
  <c r="D4180" i="1"/>
  <c r="C4180" i="1"/>
  <c r="B4180" i="1"/>
  <c r="A4180" i="1"/>
  <c r="F4179" i="1"/>
  <c r="E4179" i="1"/>
  <c r="D4179" i="1"/>
  <c r="C4179" i="1"/>
  <c r="B4179" i="1"/>
  <c r="A4179" i="1"/>
  <c r="F4178" i="1"/>
  <c r="E4178" i="1"/>
  <c r="D4178" i="1"/>
  <c r="C4178" i="1"/>
  <c r="B4178" i="1"/>
  <c r="A4178" i="1"/>
  <c r="F4177" i="1"/>
  <c r="E4177" i="1"/>
  <c r="D4177" i="1"/>
  <c r="C4177" i="1"/>
  <c r="B4177" i="1"/>
  <c r="A4177" i="1"/>
  <c r="F4176" i="1"/>
  <c r="E4176" i="1"/>
  <c r="D4176" i="1"/>
  <c r="C4176" i="1"/>
  <c r="B4176" i="1"/>
  <c r="A4176" i="1"/>
  <c r="F4175" i="1"/>
  <c r="E4175" i="1"/>
  <c r="D4175" i="1"/>
  <c r="C4175" i="1"/>
  <c r="B4175" i="1"/>
  <c r="A4175" i="1"/>
  <c r="F4174" i="1"/>
  <c r="E4174" i="1"/>
  <c r="D4174" i="1"/>
  <c r="C4174" i="1"/>
  <c r="B4174" i="1"/>
  <c r="A4174" i="1"/>
  <c r="F4173" i="1"/>
  <c r="E4173" i="1"/>
  <c r="D4173" i="1"/>
  <c r="C4173" i="1"/>
  <c r="B4173" i="1"/>
  <c r="A4173" i="1"/>
  <c r="F4172" i="1"/>
  <c r="E4172" i="1"/>
  <c r="D4172" i="1"/>
  <c r="C4172" i="1"/>
  <c r="B4172" i="1"/>
  <c r="A4172" i="1"/>
  <c r="F4171" i="1"/>
  <c r="E4171" i="1"/>
  <c r="D4171" i="1"/>
  <c r="C4171" i="1"/>
  <c r="B4171" i="1"/>
  <c r="A4171" i="1"/>
  <c r="F4170" i="1"/>
  <c r="E4170" i="1"/>
  <c r="D4170" i="1"/>
  <c r="C4170" i="1"/>
  <c r="B4170" i="1"/>
  <c r="A4170" i="1"/>
  <c r="F4169" i="1"/>
  <c r="E4169" i="1"/>
  <c r="D4169" i="1"/>
  <c r="C4169" i="1"/>
  <c r="B4169" i="1"/>
  <c r="A4169" i="1"/>
  <c r="F4168" i="1"/>
  <c r="E4168" i="1"/>
  <c r="D4168" i="1"/>
  <c r="C4168" i="1"/>
  <c r="B4168" i="1"/>
  <c r="A4168" i="1"/>
  <c r="F4167" i="1"/>
  <c r="E4167" i="1"/>
  <c r="D4167" i="1"/>
  <c r="C4167" i="1"/>
  <c r="B4167" i="1"/>
  <c r="A4167" i="1"/>
  <c r="F4166" i="1"/>
  <c r="E4166" i="1"/>
  <c r="D4166" i="1"/>
  <c r="C4166" i="1"/>
  <c r="B4166" i="1"/>
  <c r="A4166" i="1"/>
  <c r="F4165" i="1"/>
  <c r="E4165" i="1"/>
  <c r="D4165" i="1"/>
  <c r="C4165" i="1"/>
  <c r="B4165" i="1"/>
  <c r="A4165" i="1"/>
  <c r="F4164" i="1"/>
  <c r="E4164" i="1"/>
  <c r="D4164" i="1"/>
  <c r="C4164" i="1"/>
  <c r="B4164" i="1"/>
  <c r="A4164" i="1"/>
  <c r="F4163" i="1"/>
  <c r="E4163" i="1"/>
  <c r="D4163" i="1"/>
  <c r="C4163" i="1"/>
  <c r="B4163" i="1"/>
  <c r="A4163" i="1"/>
  <c r="F4162" i="1"/>
  <c r="E4162" i="1"/>
  <c r="D4162" i="1"/>
  <c r="C4162" i="1"/>
  <c r="B4162" i="1"/>
  <c r="A4162" i="1"/>
  <c r="F4161" i="1"/>
  <c r="E4161" i="1"/>
  <c r="D4161" i="1"/>
  <c r="C4161" i="1"/>
  <c r="B4161" i="1"/>
  <c r="A4161" i="1"/>
  <c r="F4160" i="1"/>
  <c r="E4160" i="1"/>
  <c r="D4160" i="1"/>
  <c r="C4160" i="1"/>
  <c r="B4160" i="1"/>
  <c r="A4160" i="1"/>
  <c r="F4159" i="1"/>
  <c r="E4159" i="1"/>
  <c r="D4159" i="1"/>
  <c r="C4159" i="1"/>
  <c r="B4159" i="1"/>
  <c r="A4159" i="1"/>
  <c r="F4158" i="1"/>
  <c r="E4158" i="1"/>
  <c r="D4158" i="1"/>
  <c r="C4158" i="1"/>
  <c r="B4158" i="1"/>
  <c r="A4158" i="1"/>
  <c r="F4157" i="1"/>
  <c r="E4157" i="1"/>
  <c r="D4157" i="1"/>
  <c r="C4157" i="1"/>
  <c r="B4157" i="1"/>
  <c r="A4157" i="1"/>
  <c r="F4156" i="1"/>
  <c r="E4156" i="1"/>
  <c r="D4156" i="1"/>
  <c r="C4156" i="1"/>
  <c r="B4156" i="1"/>
  <c r="A4156" i="1"/>
  <c r="F4155" i="1"/>
  <c r="E4155" i="1"/>
  <c r="D4155" i="1"/>
  <c r="C4155" i="1"/>
  <c r="B4155" i="1"/>
  <c r="A4155" i="1"/>
  <c r="F4154" i="1"/>
  <c r="E4154" i="1"/>
  <c r="D4154" i="1"/>
  <c r="C4154" i="1"/>
  <c r="B4154" i="1"/>
  <c r="A4154" i="1"/>
  <c r="F4153" i="1"/>
  <c r="E4153" i="1"/>
  <c r="D4153" i="1"/>
  <c r="C4153" i="1"/>
  <c r="B4153" i="1"/>
  <c r="A4153" i="1"/>
  <c r="F4152" i="1"/>
  <c r="E4152" i="1"/>
  <c r="D4152" i="1"/>
  <c r="C4152" i="1"/>
  <c r="B4152" i="1"/>
  <c r="A4152" i="1"/>
  <c r="F4151" i="1"/>
  <c r="E4151" i="1"/>
  <c r="D4151" i="1"/>
  <c r="C4151" i="1"/>
  <c r="B4151" i="1"/>
  <c r="A4151" i="1"/>
  <c r="F4150" i="1"/>
  <c r="E4150" i="1"/>
  <c r="D4150" i="1"/>
  <c r="C4150" i="1"/>
  <c r="B4150" i="1"/>
  <c r="A4150" i="1"/>
  <c r="F4149" i="1"/>
  <c r="E4149" i="1"/>
  <c r="D4149" i="1"/>
  <c r="C4149" i="1"/>
  <c r="B4149" i="1"/>
  <c r="A4149" i="1"/>
  <c r="F4148" i="1"/>
  <c r="E4148" i="1"/>
  <c r="D4148" i="1"/>
  <c r="C4148" i="1"/>
  <c r="B4148" i="1"/>
  <c r="A4148" i="1"/>
  <c r="F4147" i="1"/>
  <c r="E4147" i="1"/>
  <c r="D4147" i="1"/>
  <c r="C4147" i="1"/>
  <c r="B4147" i="1"/>
  <c r="A4147" i="1"/>
  <c r="F4146" i="1"/>
  <c r="E4146" i="1"/>
  <c r="D4146" i="1"/>
  <c r="C4146" i="1"/>
  <c r="B4146" i="1"/>
  <c r="A4146" i="1"/>
  <c r="F4145" i="1"/>
  <c r="E4145" i="1"/>
  <c r="D4145" i="1"/>
  <c r="C4145" i="1"/>
  <c r="B4145" i="1"/>
  <c r="A4145" i="1"/>
  <c r="F4144" i="1"/>
  <c r="E4144" i="1"/>
  <c r="D4144" i="1"/>
  <c r="C4144" i="1"/>
  <c r="B4144" i="1"/>
  <c r="A4144" i="1"/>
  <c r="F4143" i="1"/>
  <c r="E4143" i="1"/>
  <c r="D4143" i="1"/>
  <c r="C4143" i="1"/>
  <c r="B4143" i="1"/>
  <c r="A4143" i="1"/>
  <c r="F4142" i="1"/>
  <c r="E4142" i="1"/>
  <c r="D4142" i="1"/>
  <c r="C4142" i="1"/>
  <c r="B4142" i="1"/>
  <c r="A4142" i="1"/>
  <c r="F4141" i="1"/>
  <c r="E4141" i="1"/>
  <c r="D4141" i="1"/>
  <c r="C4141" i="1"/>
  <c r="B4141" i="1"/>
  <c r="A4141" i="1"/>
  <c r="F4140" i="1"/>
  <c r="E4140" i="1"/>
  <c r="D4140" i="1"/>
  <c r="C4140" i="1"/>
  <c r="B4140" i="1"/>
  <c r="A4140" i="1"/>
  <c r="F4139" i="1"/>
  <c r="E4139" i="1"/>
  <c r="D4139" i="1"/>
  <c r="C4139" i="1"/>
  <c r="B4139" i="1"/>
  <c r="A4139" i="1"/>
  <c r="F4138" i="1"/>
  <c r="E4138" i="1"/>
  <c r="D4138" i="1"/>
  <c r="C4138" i="1"/>
  <c r="B4138" i="1"/>
  <c r="A4138" i="1"/>
  <c r="F4137" i="1"/>
  <c r="E4137" i="1"/>
  <c r="D4137" i="1"/>
  <c r="C4137" i="1"/>
  <c r="B4137" i="1"/>
  <c r="A4137" i="1"/>
  <c r="F4136" i="1"/>
  <c r="E4136" i="1"/>
  <c r="D4136" i="1"/>
  <c r="C4136" i="1"/>
  <c r="B4136" i="1"/>
  <c r="A4136" i="1"/>
  <c r="F4135" i="1"/>
  <c r="E4135" i="1"/>
  <c r="D4135" i="1"/>
  <c r="C4135" i="1"/>
  <c r="B4135" i="1"/>
  <c r="A4135" i="1"/>
  <c r="F4134" i="1"/>
  <c r="E4134" i="1"/>
  <c r="D4134" i="1"/>
  <c r="C4134" i="1"/>
  <c r="B4134" i="1"/>
  <c r="A4134" i="1"/>
  <c r="F4133" i="1"/>
  <c r="E4133" i="1"/>
  <c r="D4133" i="1"/>
  <c r="C4133" i="1"/>
  <c r="B4133" i="1"/>
  <c r="A4133" i="1"/>
  <c r="F4132" i="1"/>
  <c r="E4132" i="1"/>
  <c r="D4132" i="1"/>
  <c r="C4132" i="1"/>
  <c r="B4132" i="1"/>
  <c r="A4132" i="1"/>
  <c r="F4131" i="1"/>
  <c r="E4131" i="1"/>
  <c r="D4131" i="1"/>
  <c r="C4131" i="1"/>
  <c r="B4131" i="1"/>
  <c r="A4131" i="1"/>
  <c r="F4130" i="1"/>
  <c r="E4130" i="1"/>
  <c r="D4130" i="1"/>
  <c r="C4130" i="1"/>
  <c r="B4130" i="1"/>
  <c r="A4130" i="1"/>
  <c r="F4129" i="1"/>
  <c r="E4129" i="1"/>
  <c r="D4129" i="1"/>
  <c r="C4129" i="1"/>
  <c r="B4129" i="1"/>
  <c r="A4129" i="1"/>
  <c r="F4128" i="1"/>
  <c r="E4128" i="1"/>
  <c r="D4128" i="1"/>
  <c r="C4128" i="1"/>
  <c r="B4128" i="1"/>
  <c r="A4128" i="1"/>
  <c r="F4127" i="1"/>
  <c r="E4127" i="1"/>
  <c r="D4127" i="1"/>
  <c r="C4127" i="1"/>
  <c r="B4127" i="1"/>
  <c r="A4127" i="1"/>
  <c r="F4126" i="1"/>
  <c r="E4126" i="1"/>
  <c r="D4126" i="1"/>
  <c r="C4126" i="1"/>
  <c r="B4126" i="1"/>
  <c r="A4126" i="1"/>
  <c r="F4125" i="1"/>
  <c r="E4125" i="1"/>
  <c r="D4125" i="1"/>
  <c r="C4125" i="1"/>
  <c r="B4125" i="1"/>
  <c r="A4125" i="1"/>
  <c r="F4124" i="1"/>
  <c r="E4124" i="1"/>
  <c r="D4124" i="1"/>
  <c r="C4124" i="1"/>
  <c r="B4124" i="1"/>
  <c r="A4124" i="1"/>
  <c r="F4123" i="1"/>
  <c r="E4123" i="1"/>
  <c r="D4123" i="1"/>
  <c r="C4123" i="1"/>
  <c r="B4123" i="1"/>
  <c r="A4123" i="1"/>
  <c r="F4122" i="1"/>
  <c r="E4122" i="1"/>
  <c r="D4122" i="1"/>
  <c r="C4122" i="1"/>
  <c r="B4122" i="1"/>
  <c r="A4122" i="1"/>
  <c r="F4121" i="1"/>
  <c r="E4121" i="1"/>
  <c r="D4121" i="1"/>
  <c r="C4121" i="1"/>
  <c r="B4121" i="1"/>
  <c r="A4121" i="1"/>
  <c r="F4120" i="1"/>
  <c r="E4120" i="1"/>
  <c r="D4120" i="1"/>
  <c r="C4120" i="1"/>
  <c r="B4120" i="1"/>
  <c r="A4120" i="1"/>
  <c r="F4119" i="1"/>
  <c r="E4119" i="1"/>
  <c r="D4119" i="1"/>
  <c r="C4119" i="1"/>
  <c r="B4119" i="1"/>
  <c r="A4119" i="1"/>
  <c r="F4118" i="1"/>
  <c r="E4118" i="1"/>
  <c r="D4118" i="1"/>
  <c r="C4118" i="1"/>
  <c r="B4118" i="1"/>
  <c r="A4118" i="1"/>
  <c r="F4117" i="1"/>
  <c r="E4117" i="1"/>
  <c r="D4117" i="1"/>
  <c r="C4117" i="1"/>
  <c r="B4117" i="1"/>
  <c r="A4117" i="1"/>
  <c r="F4116" i="1"/>
  <c r="E4116" i="1"/>
  <c r="D4116" i="1"/>
  <c r="C4116" i="1"/>
  <c r="B4116" i="1"/>
  <c r="A4116" i="1"/>
  <c r="F4115" i="1"/>
  <c r="E4115" i="1"/>
  <c r="D4115" i="1"/>
  <c r="C4115" i="1"/>
  <c r="B4115" i="1"/>
  <c r="A4115" i="1"/>
  <c r="F4114" i="1"/>
  <c r="E4114" i="1"/>
  <c r="D4114" i="1"/>
  <c r="C4114" i="1"/>
  <c r="B4114" i="1"/>
  <c r="A4114" i="1"/>
  <c r="F4113" i="1"/>
  <c r="E4113" i="1"/>
  <c r="D4113" i="1"/>
  <c r="C4113" i="1"/>
  <c r="B4113" i="1"/>
  <c r="A4113" i="1"/>
  <c r="F4112" i="1"/>
  <c r="E4112" i="1"/>
  <c r="D4112" i="1"/>
  <c r="C4112" i="1"/>
  <c r="B4112" i="1"/>
  <c r="A4112" i="1"/>
  <c r="F4111" i="1"/>
  <c r="E4111" i="1"/>
  <c r="D4111" i="1"/>
  <c r="C4111" i="1"/>
  <c r="B4111" i="1"/>
  <c r="A4111" i="1"/>
  <c r="F4110" i="1"/>
  <c r="E4110" i="1"/>
  <c r="D4110" i="1"/>
  <c r="C4110" i="1"/>
  <c r="B4110" i="1"/>
  <c r="A4110" i="1"/>
  <c r="F4109" i="1"/>
  <c r="E4109" i="1"/>
  <c r="D4109" i="1"/>
  <c r="C4109" i="1"/>
  <c r="B4109" i="1"/>
  <c r="A4109" i="1"/>
  <c r="F4108" i="1"/>
  <c r="E4108" i="1"/>
  <c r="D4108" i="1"/>
  <c r="C4108" i="1"/>
  <c r="B4108" i="1"/>
  <c r="A4108" i="1"/>
  <c r="F4107" i="1"/>
  <c r="E4107" i="1"/>
  <c r="D4107" i="1"/>
  <c r="C4107" i="1"/>
  <c r="B4107" i="1"/>
  <c r="A4107" i="1"/>
  <c r="F4106" i="1"/>
  <c r="E4106" i="1"/>
  <c r="D4106" i="1"/>
  <c r="C4106" i="1"/>
  <c r="B4106" i="1"/>
  <c r="A4106" i="1"/>
  <c r="F4105" i="1"/>
  <c r="E4105" i="1"/>
  <c r="D4105" i="1"/>
  <c r="C4105" i="1"/>
  <c r="B4105" i="1"/>
  <c r="A4105" i="1"/>
  <c r="F4104" i="1"/>
  <c r="E4104" i="1"/>
  <c r="D4104" i="1"/>
  <c r="C4104" i="1"/>
  <c r="B4104" i="1"/>
  <c r="A4104" i="1"/>
  <c r="F4103" i="1"/>
  <c r="E4103" i="1"/>
  <c r="D4103" i="1"/>
  <c r="C4103" i="1"/>
  <c r="B4103" i="1"/>
  <c r="A4103" i="1"/>
  <c r="F4102" i="1"/>
  <c r="E4102" i="1"/>
  <c r="D4102" i="1"/>
  <c r="C4102" i="1"/>
  <c r="B4102" i="1"/>
  <c r="A4102" i="1"/>
  <c r="F4101" i="1"/>
  <c r="E4101" i="1"/>
  <c r="D4101" i="1"/>
  <c r="C4101" i="1"/>
  <c r="B4101" i="1"/>
  <c r="A4101" i="1"/>
  <c r="F4100" i="1"/>
  <c r="E4100" i="1"/>
  <c r="D4100" i="1"/>
  <c r="C4100" i="1"/>
  <c r="B4100" i="1"/>
  <c r="A4100" i="1"/>
  <c r="F4099" i="1"/>
  <c r="E4099" i="1"/>
  <c r="D4099" i="1"/>
  <c r="C4099" i="1"/>
  <c r="B4099" i="1"/>
  <c r="A4099" i="1"/>
  <c r="F4098" i="1"/>
  <c r="E4098" i="1"/>
  <c r="D4098" i="1"/>
  <c r="C4098" i="1"/>
  <c r="B4098" i="1"/>
  <c r="A4098" i="1"/>
  <c r="F4097" i="1"/>
  <c r="E4097" i="1"/>
  <c r="D4097" i="1"/>
  <c r="C4097" i="1"/>
  <c r="B4097" i="1"/>
  <c r="A4097" i="1"/>
  <c r="F4096" i="1"/>
  <c r="E4096" i="1"/>
  <c r="D4096" i="1"/>
  <c r="C4096" i="1"/>
  <c r="B4096" i="1"/>
  <c r="A4096" i="1"/>
  <c r="F4095" i="1"/>
  <c r="E4095" i="1"/>
  <c r="D4095" i="1"/>
  <c r="C4095" i="1"/>
  <c r="B4095" i="1"/>
  <c r="A4095" i="1"/>
  <c r="F4094" i="1"/>
  <c r="E4094" i="1"/>
  <c r="D4094" i="1"/>
  <c r="C4094" i="1"/>
  <c r="B4094" i="1"/>
  <c r="A4094" i="1"/>
  <c r="F4093" i="1"/>
  <c r="E4093" i="1"/>
  <c r="D4093" i="1"/>
  <c r="C4093" i="1"/>
  <c r="B4093" i="1"/>
  <c r="A4093" i="1"/>
  <c r="F4092" i="1"/>
  <c r="E4092" i="1"/>
  <c r="D4092" i="1"/>
  <c r="C4092" i="1"/>
  <c r="B4092" i="1"/>
  <c r="A4092" i="1"/>
  <c r="F4091" i="1"/>
  <c r="E4091" i="1"/>
  <c r="D4091" i="1"/>
  <c r="C4091" i="1"/>
  <c r="B4091" i="1"/>
  <c r="A4091" i="1"/>
  <c r="F4090" i="1"/>
  <c r="E4090" i="1"/>
  <c r="D4090" i="1"/>
  <c r="C4090" i="1"/>
  <c r="B4090" i="1"/>
  <c r="A4090" i="1"/>
  <c r="F4089" i="1"/>
  <c r="E4089" i="1"/>
  <c r="D4089" i="1"/>
  <c r="C4089" i="1"/>
  <c r="B4089" i="1"/>
  <c r="A4089" i="1"/>
  <c r="F4088" i="1"/>
  <c r="E4088" i="1"/>
  <c r="D4088" i="1"/>
  <c r="C4088" i="1"/>
  <c r="B4088" i="1"/>
  <c r="A4088" i="1"/>
  <c r="F4087" i="1"/>
  <c r="E4087" i="1"/>
  <c r="D4087" i="1"/>
  <c r="C4087" i="1"/>
  <c r="B4087" i="1"/>
  <c r="A4087" i="1"/>
  <c r="F4086" i="1"/>
  <c r="E4086" i="1"/>
  <c r="D4086" i="1"/>
  <c r="C4086" i="1"/>
  <c r="B4086" i="1"/>
  <c r="A4086" i="1"/>
  <c r="F4085" i="1"/>
  <c r="E4085" i="1"/>
  <c r="D4085" i="1"/>
  <c r="C4085" i="1"/>
  <c r="B4085" i="1"/>
  <c r="A4085" i="1"/>
  <c r="F4084" i="1"/>
  <c r="E4084" i="1"/>
  <c r="D4084" i="1"/>
  <c r="C4084" i="1"/>
  <c r="B4084" i="1"/>
  <c r="A4084" i="1"/>
  <c r="F4083" i="1"/>
  <c r="E4083" i="1"/>
  <c r="D4083" i="1"/>
  <c r="C4083" i="1"/>
  <c r="B4083" i="1"/>
  <c r="A4083" i="1"/>
  <c r="F4082" i="1"/>
  <c r="E4082" i="1"/>
  <c r="D4082" i="1"/>
  <c r="C4082" i="1"/>
  <c r="B4082" i="1"/>
  <c r="A4082" i="1"/>
  <c r="F4081" i="1"/>
  <c r="E4081" i="1"/>
  <c r="D4081" i="1"/>
  <c r="C4081" i="1"/>
  <c r="B4081" i="1"/>
  <c r="A4081" i="1"/>
  <c r="F4080" i="1"/>
  <c r="E4080" i="1"/>
  <c r="D4080" i="1"/>
  <c r="C4080" i="1"/>
  <c r="B4080" i="1"/>
  <c r="A4080" i="1"/>
  <c r="F4079" i="1"/>
  <c r="E4079" i="1"/>
  <c r="D4079" i="1"/>
  <c r="C4079" i="1"/>
  <c r="B4079" i="1"/>
  <c r="A4079" i="1"/>
  <c r="F4078" i="1"/>
  <c r="E4078" i="1"/>
  <c r="D4078" i="1"/>
  <c r="C4078" i="1"/>
  <c r="B4078" i="1"/>
  <c r="A4078" i="1"/>
  <c r="F4077" i="1"/>
  <c r="E4077" i="1"/>
  <c r="D4077" i="1"/>
  <c r="C4077" i="1"/>
  <c r="B4077" i="1"/>
  <c r="A4077" i="1"/>
  <c r="F4076" i="1"/>
  <c r="E4076" i="1"/>
  <c r="D4076" i="1"/>
  <c r="C4076" i="1"/>
  <c r="B4076" i="1"/>
  <c r="A4076" i="1"/>
  <c r="F4075" i="1"/>
  <c r="E4075" i="1"/>
  <c r="D4075" i="1"/>
  <c r="C4075" i="1"/>
  <c r="B4075" i="1"/>
  <c r="A4075" i="1"/>
  <c r="F4074" i="1"/>
  <c r="E4074" i="1"/>
  <c r="D4074" i="1"/>
  <c r="C4074" i="1"/>
  <c r="B4074" i="1"/>
  <c r="A4074" i="1"/>
  <c r="F4073" i="1"/>
  <c r="E4073" i="1"/>
  <c r="D4073" i="1"/>
  <c r="C4073" i="1"/>
  <c r="B4073" i="1"/>
  <c r="A4073" i="1"/>
  <c r="F4072" i="1"/>
  <c r="E4072" i="1"/>
  <c r="D4072" i="1"/>
  <c r="C4072" i="1"/>
  <c r="B4072" i="1"/>
  <c r="A4072" i="1"/>
  <c r="F4071" i="1"/>
  <c r="E4071" i="1"/>
  <c r="D4071" i="1"/>
  <c r="C4071" i="1"/>
  <c r="B4071" i="1"/>
  <c r="A4071" i="1"/>
  <c r="F4070" i="1"/>
  <c r="E4070" i="1"/>
  <c r="D4070" i="1"/>
  <c r="C4070" i="1"/>
  <c r="B4070" i="1"/>
  <c r="A4070" i="1"/>
  <c r="F4069" i="1"/>
  <c r="E4069" i="1"/>
  <c r="D4069" i="1"/>
  <c r="C4069" i="1"/>
  <c r="B4069" i="1"/>
  <c r="A4069" i="1"/>
  <c r="F4068" i="1"/>
  <c r="E4068" i="1"/>
  <c r="D4068" i="1"/>
  <c r="C4068" i="1"/>
  <c r="B4068" i="1"/>
  <c r="A4068" i="1"/>
  <c r="F4067" i="1"/>
  <c r="E4067" i="1"/>
  <c r="D4067" i="1"/>
  <c r="C4067" i="1"/>
  <c r="B4067" i="1"/>
  <c r="A4067" i="1"/>
  <c r="F4066" i="1"/>
  <c r="E4066" i="1"/>
  <c r="D4066" i="1"/>
  <c r="C4066" i="1"/>
  <c r="B4066" i="1"/>
  <c r="A4066" i="1"/>
  <c r="F4065" i="1"/>
  <c r="E4065" i="1"/>
  <c r="D4065" i="1"/>
  <c r="C4065" i="1"/>
  <c r="B4065" i="1"/>
  <c r="A4065" i="1"/>
  <c r="F4064" i="1"/>
  <c r="E4064" i="1"/>
  <c r="D4064" i="1"/>
  <c r="C4064" i="1"/>
  <c r="B4064" i="1"/>
  <c r="A4064" i="1"/>
  <c r="F4063" i="1"/>
  <c r="E4063" i="1"/>
  <c r="D4063" i="1"/>
  <c r="C4063" i="1"/>
  <c r="B4063" i="1"/>
  <c r="A4063" i="1"/>
  <c r="F4062" i="1"/>
  <c r="E4062" i="1"/>
  <c r="D4062" i="1"/>
  <c r="C4062" i="1"/>
  <c r="B4062" i="1"/>
  <c r="A4062" i="1"/>
  <c r="F4061" i="1"/>
  <c r="E4061" i="1"/>
  <c r="D4061" i="1"/>
  <c r="C4061" i="1"/>
  <c r="B4061" i="1"/>
  <c r="A4061" i="1"/>
  <c r="F4060" i="1"/>
  <c r="E4060" i="1"/>
  <c r="D4060" i="1"/>
  <c r="C4060" i="1"/>
  <c r="B4060" i="1"/>
  <c r="A4060" i="1"/>
  <c r="F4059" i="1"/>
  <c r="E4059" i="1"/>
  <c r="D4059" i="1"/>
  <c r="C4059" i="1"/>
  <c r="B4059" i="1"/>
  <c r="A4059" i="1"/>
  <c r="F4058" i="1"/>
  <c r="E4058" i="1"/>
  <c r="D4058" i="1"/>
  <c r="C4058" i="1"/>
  <c r="B4058" i="1"/>
  <c r="A4058" i="1"/>
  <c r="F4057" i="1"/>
  <c r="E4057" i="1"/>
  <c r="D4057" i="1"/>
  <c r="C4057" i="1"/>
  <c r="B4057" i="1"/>
  <c r="A4057" i="1"/>
  <c r="F4056" i="1"/>
  <c r="E4056" i="1"/>
  <c r="D4056" i="1"/>
  <c r="C4056" i="1"/>
  <c r="B4056" i="1"/>
  <c r="A4056" i="1"/>
  <c r="F4055" i="1"/>
  <c r="E4055" i="1"/>
  <c r="D4055" i="1"/>
  <c r="C4055" i="1"/>
  <c r="B4055" i="1"/>
  <c r="A4055" i="1"/>
  <c r="F4054" i="1"/>
  <c r="E4054" i="1"/>
  <c r="D4054" i="1"/>
  <c r="C4054" i="1"/>
  <c r="B4054" i="1"/>
  <c r="A4054" i="1"/>
  <c r="F4053" i="1"/>
  <c r="E4053" i="1"/>
  <c r="D4053" i="1"/>
  <c r="C4053" i="1"/>
  <c r="B4053" i="1"/>
  <c r="A4053" i="1"/>
  <c r="F4052" i="1"/>
  <c r="E4052" i="1"/>
  <c r="D4052" i="1"/>
  <c r="C4052" i="1"/>
  <c r="B4052" i="1"/>
  <c r="A4052" i="1"/>
  <c r="F4051" i="1"/>
  <c r="E4051" i="1"/>
  <c r="D4051" i="1"/>
  <c r="C4051" i="1"/>
  <c r="B4051" i="1"/>
  <c r="A4051" i="1"/>
  <c r="F4050" i="1"/>
  <c r="E4050" i="1"/>
  <c r="D4050" i="1"/>
  <c r="C4050" i="1"/>
  <c r="B4050" i="1"/>
  <c r="A4050" i="1"/>
  <c r="F4049" i="1"/>
  <c r="E4049" i="1"/>
  <c r="D4049" i="1"/>
  <c r="C4049" i="1"/>
  <c r="B4049" i="1"/>
  <c r="A4049" i="1"/>
  <c r="F4048" i="1"/>
  <c r="E4048" i="1"/>
  <c r="D4048" i="1"/>
  <c r="C4048" i="1"/>
  <c r="B4048" i="1"/>
  <c r="A4048" i="1"/>
  <c r="F4047" i="1"/>
  <c r="E4047" i="1"/>
  <c r="D4047" i="1"/>
  <c r="C4047" i="1"/>
  <c r="B4047" i="1"/>
  <c r="A4047" i="1"/>
  <c r="F4046" i="1"/>
  <c r="E4046" i="1"/>
  <c r="D4046" i="1"/>
  <c r="C4046" i="1"/>
  <c r="B4046" i="1"/>
  <c r="A4046" i="1"/>
  <c r="F4045" i="1"/>
  <c r="E4045" i="1"/>
  <c r="D4045" i="1"/>
  <c r="C4045" i="1"/>
  <c r="B4045" i="1"/>
  <c r="A4045" i="1"/>
  <c r="F4044" i="1"/>
  <c r="E4044" i="1"/>
  <c r="D4044" i="1"/>
  <c r="C4044" i="1"/>
  <c r="B4044" i="1"/>
  <c r="A4044" i="1"/>
  <c r="F4043" i="1"/>
  <c r="E4043" i="1"/>
  <c r="D4043" i="1"/>
  <c r="C4043" i="1"/>
  <c r="B4043" i="1"/>
  <c r="A4043" i="1"/>
  <c r="F4042" i="1"/>
  <c r="E4042" i="1"/>
  <c r="D4042" i="1"/>
  <c r="C4042" i="1"/>
  <c r="B4042" i="1"/>
  <c r="A4042" i="1"/>
  <c r="F4041" i="1"/>
  <c r="E4041" i="1"/>
  <c r="D4041" i="1"/>
  <c r="C4041" i="1"/>
  <c r="B4041" i="1"/>
  <c r="A4041" i="1"/>
  <c r="F4040" i="1"/>
  <c r="E4040" i="1"/>
  <c r="D4040" i="1"/>
  <c r="C4040" i="1"/>
  <c r="B4040" i="1"/>
  <c r="A4040" i="1"/>
  <c r="F4039" i="1"/>
  <c r="E4039" i="1"/>
  <c r="D4039" i="1"/>
  <c r="C4039" i="1"/>
  <c r="B4039" i="1"/>
  <c r="A4039" i="1"/>
  <c r="F4038" i="1"/>
  <c r="E4038" i="1"/>
  <c r="D4038" i="1"/>
  <c r="C4038" i="1"/>
  <c r="B4038" i="1"/>
  <c r="A4038" i="1"/>
  <c r="F4037" i="1"/>
  <c r="E4037" i="1"/>
  <c r="D4037" i="1"/>
  <c r="C4037" i="1"/>
  <c r="B4037" i="1"/>
  <c r="A4037" i="1"/>
  <c r="F4036" i="1"/>
  <c r="E4036" i="1"/>
  <c r="D4036" i="1"/>
  <c r="C4036" i="1"/>
  <c r="B4036" i="1"/>
  <c r="A4036" i="1"/>
  <c r="F4035" i="1"/>
  <c r="E4035" i="1"/>
  <c r="D4035" i="1"/>
  <c r="C4035" i="1"/>
  <c r="B4035" i="1"/>
  <c r="A4035" i="1"/>
  <c r="F4034" i="1"/>
  <c r="E4034" i="1"/>
  <c r="D4034" i="1"/>
  <c r="C4034" i="1"/>
  <c r="B4034" i="1"/>
  <c r="A4034" i="1"/>
  <c r="F4033" i="1"/>
  <c r="E4033" i="1"/>
  <c r="D4033" i="1"/>
  <c r="C4033" i="1"/>
  <c r="B4033" i="1"/>
  <c r="A4033" i="1"/>
  <c r="F4032" i="1"/>
  <c r="E4032" i="1"/>
  <c r="D4032" i="1"/>
  <c r="C4032" i="1"/>
  <c r="B4032" i="1"/>
  <c r="A4032" i="1"/>
  <c r="F4031" i="1"/>
  <c r="E4031" i="1"/>
  <c r="D4031" i="1"/>
  <c r="C4031" i="1"/>
  <c r="B4031" i="1"/>
  <c r="A4031" i="1"/>
  <c r="F4030" i="1"/>
  <c r="E4030" i="1"/>
  <c r="D4030" i="1"/>
  <c r="C4030" i="1"/>
  <c r="B4030" i="1"/>
  <c r="A4030" i="1"/>
  <c r="F4029" i="1"/>
  <c r="E4029" i="1"/>
  <c r="D4029" i="1"/>
  <c r="C4029" i="1"/>
  <c r="B4029" i="1"/>
  <c r="A4029" i="1"/>
  <c r="F4028" i="1"/>
  <c r="E4028" i="1"/>
  <c r="D4028" i="1"/>
  <c r="C4028" i="1"/>
  <c r="B4028" i="1"/>
  <c r="A4028" i="1"/>
  <c r="F4027" i="1"/>
  <c r="E4027" i="1"/>
  <c r="D4027" i="1"/>
  <c r="C4027" i="1"/>
  <c r="B4027" i="1"/>
  <c r="A4027" i="1"/>
  <c r="F4026" i="1"/>
  <c r="E4026" i="1"/>
  <c r="D4026" i="1"/>
  <c r="C4026" i="1"/>
  <c r="B4026" i="1"/>
  <c r="A4026" i="1"/>
  <c r="F4025" i="1"/>
  <c r="E4025" i="1"/>
  <c r="D4025" i="1"/>
  <c r="C4025" i="1"/>
  <c r="B4025" i="1"/>
  <c r="A4025" i="1"/>
  <c r="F4024" i="1"/>
  <c r="E4024" i="1"/>
  <c r="D4024" i="1"/>
  <c r="C4024" i="1"/>
  <c r="B4024" i="1"/>
  <c r="A4024" i="1"/>
  <c r="F4023" i="1"/>
  <c r="E4023" i="1"/>
  <c r="D4023" i="1"/>
  <c r="C4023" i="1"/>
  <c r="B4023" i="1"/>
  <c r="A4023" i="1"/>
  <c r="F4022" i="1"/>
  <c r="E4022" i="1"/>
  <c r="D4022" i="1"/>
  <c r="C4022" i="1"/>
  <c r="B4022" i="1"/>
  <c r="A4022" i="1"/>
  <c r="F4021" i="1"/>
  <c r="E4021" i="1"/>
  <c r="D4021" i="1"/>
  <c r="C4021" i="1"/>
  <c r="B4021" i="1"/>
  <c r="A4021" i="1"/>
  <c r="F4020" i="1"/>
  <c r="E4020" i="1"/>
  <c r="D4020" i="1"/>
  <c r="C4020" i="1"/>
  <c r="B4020" i="1"/>
  <c r="A4020" i="1"/>
  <c r="F4019" i="1"/>
  <c r="E4019" i="1"/>
  <c r="D4019" i="1"/>
  <c r="C4019" i="1"/>
  <c r="B4019" i="1"/>
  <c r="A4019" i="1"/>
  <c r="F4018" i="1"/>
  <c r="E4018" i="1"/>
  <c r="D4018" i="1"/>
  <c r="C4018" i="1"/>
  <c r="B4018" i="1"/>
  <c r="A4018" i="1"/>
  <c r="F4017" i="1"/>
  <c r="E4017" i="1"/>
  <c r="D4017" i="1"/>
  <c r="C4017" i="1"/>
  <c r="B4017" i="1"/>
  <c r="A4017" i="1"/>
  <c r="F4016" i="1"/>
  <c r="E4016" i="1"/>
  <c r="D4016" i="1"/>
  <c r="C4016" i="1"/>
  <c r="B4016" i="1"/>
  <c r="A4016" i="1"/>
  <c r="F4015" i="1"/>
  <c r="E4015" i="1"/>
  <c r="D4015" i="1"/>
  <c r="C4015" i="1"/>
  <c r="B4015" i="1"/>
  <c r="A4015" i="1"/>
  <c r="F4014" i="1"/>
  <c r="E4014" i="1"/>
  <c r="D4014" i="1"/>
  <c r="C4014" i="1"/>
  <c r="B4014" i="1"/>
  <c r="A4014" i="1"/>
  <c r="F4013" i="1"/>
  <c r="E4013" i="1"/>
  <c r="D4013" i="1"/>
  <c r="C4013" i="1"/>
  <c r="B4013" i="1"/>
  <c r="A4013" i="1"/>
  <c r="F4012" i="1"/>
  <c r="E4012" i="1"/>
  <c r="D4012" i="1"/>
  <c r="C4012" i="1"/>
  <c r="B4012" i="1"/>
  <c r="A4012" i="1"/>
  <c r="F4011" i="1"/>
  <c r="E4011" i="1"/>
  <c r="D4011" i="1"/>
  <c r="C4011" i="1"/>
  <c r="B4011" i="1"/>
  <c r="A4011" i="1"/>
  <c r="F4010" i="1"/>
  <c r="E4010" i="1"/>
  <c r="D4010" i="1"/>
  <c r="C4010" i="1"/>
  <c r="B4010" i="1"/>
  <c r="A4010" i="1"/>
  <c r="F4009" i="1"/>
  <c r="E4009" i="1"/>
  <c r="D4009" i="1"/>
  <c r="C4009" i="1"/>
  <c r="B4009" i="1"/>
  <c r="A4009" i="1"/>
  <c r="F4008" i="1"/>
  <c r="E4008" i="1"/>
  <c r="D4008" i="1"/>
  <c r="C4008" i="1"/>
  <c r="B4008" i="1"/>
  <c r="A4008" i="1"/>
  <c r="F4007" i="1"/>
  <c r="E4007" i="1"/>
  <c r="D4007" i="1"/>
  <c r="C4007" i="1"/>
  <c r="B4007" i="1"/>
  <c r="A4007" i="1"/>
  <c r="F4006" i="1"/>
  <c r="E4006" i="1"/>
  <c r="D4006" i="1"/>
  <c r="C4006" i="1"/>
  <c r="B4006" i="1"/>
  <c r="A4006" i="1"/>
  <c r="F4005" i="1"/>
  <c r="E4005" i="1"/>
  <c r="D4005" i="1"/>
  <c r="C4005" i="1"/>
  <c r="B4005" i="1"/>
  <c r="A4005" i="1"/>
  <c r="F4004" i="1"/>
  <c r="E4004" i="1"/>
  <c r="D4004" i="1"/>
  <c r="C4004" i="1"/>
  <c r="B4004" i="1"/>
  <c r="A4004" i="1"/>
  <c r="F4003" i="1"/>
  <c r="E4003" i="1"/>
  <c r="D4003" i="1"/>
  <c r="C4003" i="1"/>
  <c r="B4003" i="1"/>
  <c r="A4003" i="1"/>
  <c r="F4002" i="1"/>
  <c r="E4002" i="1"/>
  <c r="D4002" i="1"/>
  <c r="C4002" i="1"/>
  <c r="B4002" i="1"/>
  <c r="A4002" i="1"/>
  <c r="F4001" i="1"/>
  <c r="E4001" i="1"/>
  <c r="D4001" i="1"/>
  <c r="C4001" i="1"/>
  <c r="B4001" i="1"/>
  <c r="A4001" i="1"/>
  <c r="F4000" i="1"/>
  <c r="E4000" i="1"/>
  <c r="D4000" i="1"/>
  <c r="C4000" i="1"/>
  <c r="B4000" i="1"/>
  <c r="A4000" i="1"/>
  <c r="F3999" i="1"/>
  <c r="E3999" i="1"/>
  <c r="D3999" i="1"/>
  <c r="C3999" i="1"/>
  <c r="B3999" i="1"/>
  <c r="A3999" i="1"/>
  <c r="F3998" i="1"/>
  <c r="E3998" i="1"/>
  <c r="D3998" i="1"/>
  <c r="C3998" i="1"/>
  <c r="B3998" i="1"/>
  <c r="A3998" i="1"/>
  <c r="F3997" i="1"/>
  <c r="E3997" i="1"/>
  <c r="D3997" i="1"/>
  <c r="C3997" i="1"/>
  <c r="B3997" i="1"/>
  <c r="A3997" i="1"/>
  <c r="F3996" i="1"/>
  <c r="E3996" i="1"/>
  <c r="D3996" i="1"/>
  <c r="C3996" i="1"/>
  <c r="B3996" i="1"/>
  <c r="A3996" i="1"/>
  <c r="F3995" i="1"/>
  <c r="E3995" i="1"/>
  <c r="D3995" i="1"/>
  <c r="C3995" i="1"/>
  <c r="B3995" i="1"/>
  <c r="A3995" i="1"/>
  <c r="F3994" i="1"/>
  <c r="E3994" i="1"/>
  <c r="D3994" i="1"/>
  <c r="C3994" i="1"/>
  <c r="B3994" i="1"/>
  <c r="A3994" i="1"/>
  <c r="F3993" i="1"/>
  <c r="E3993" i="1"/>
  <c r="D3993" i="1"/>
  <c r="C3993" i="1"/>
  <c r="B3993" i="1"/>
  <c r="A3993" i="1"/>
  <c r="F3992" i="1"/>
  <c r="E3992" i="1"/>
  <c r="D3992" i="1"/>
  <c r="C3992" i="1"/>
  <c r="B3992" i="1"/>
  <c r="A3992" i="1"/>
  <c r="F3991" i="1"/>
  <c r="E3991" i="1"/>
  <c r="D3991" i="1"/>
  <c r="C3991" i="1"/>
  <c r="B3991" i="1"/>
  <c r="A3991" i="1"/>
  <c r="F3990" i="1"/>
  <c r="E3990" i="1"/>
  <c r="D3990" i="1"/>
  <c r="C3990" i="1"/>
  <c r="B3990" i="1"/>
  <c r="A3990" i="1"/>
  <c r="F3989" i="1"/>
  <c r="E3989" i="1"/>
  <c r="D3989" i="1"/>
  <c r="C3989" i="1"/>
  <c r="B3989" i="1"/>
  <c r="A3989" i="1"/>
  <c r="F3988" i="1"/>
  <c r="E3988" i="1"/>
  <c r="D3988" i="1"/>
  <c r="C3988" i="1"/>
  <c r="B3988" i="1"/>
  <c r="A3988" i="1"/>
  <c r="F3987" i="1"/>
  <c r="E3987" i="1"/>
  <c r="D3987" i="1"/>
  <c r="C3987" i="1"/>
  <c r="B3987" i="1"/>
  <c r="A3987" i="1"/>
  <c r="F3986" i="1"/>
  <c r="E3986" i="1"/>
  <c r="D3986" i="1"/>
  <c r="C3986" i="1"/>
  <c r="B3986" i="1"/>
  <c r="A3986" i="1"/>
  <c r="F3985" i="1"/>
  <c r="E3985" i="1"/>
  <c r="D3985" i="1"/>
  <c r="C3985" i="1"/>
  <c r="B3985" i="1"/>
  <c r="A3985" i="1"/>
  <c r="F3984" i="1"/>
  <c r="E3984" i="1"/>
  <c r="D3984" i="1"/>
  <c r="C3984" i="1"/>
  <c r="B3984" i="1"/>
  <c r="A3984" i="1"/>
  <c r="F3983" i="1"/>
  <c r="E3983" i="1"/>
  <c r="D3983" i="1"/>
  <c r="C3983" i="1"/>
  <c r="B3983" i="1"/>
  <c r="A3983" i="1"/>
  <c r="F3982" i="1"/>
  <c r="E3982" i="1"/>
  <c r="D3982" i="1"/>
  <c r="C3982" i="1"/>
  <c r="B3982" i="1"/>
  <c r="A3982" i="1"/>
  <c r="F3981" i="1"/>
  <c r="E3981" i="1"/>
  <c r="D3981" i="1"/>
  <c r="C3981" i="1"/>
  <c r="B3981" i="1"/>
  <c r="A3981" i="1"/>
  <c r="F3980" i="1"/>
  <c r="E3980" i="1"/>
  <c r="D3980" i="1"/>
  <c r="C3980" i="1"/>
  <c r="B3980" i="1"/>
  <c r="A3980" i="1"/>
  <c r="F3979" i="1"/>
  <c r="E3979" i="1"/>
  <c r="D3979" i="1"/>
  <c r="C3979" i="1"/>
  <c r="B3979" i="1"/>
  <c r="A3979" i="1"/>
  <c r="F3978" i="1"/>
  <c r="E3978" i="1"/>
  <c r="D3978" i="1"/>
  <c r="C3978" i="1"/>
  <c r="B3978" i="1"/>
  <c r="A3978" i="1"/>
  <c r="F3977" i="1"/>
  <c r="E3977" i="1"/>
  <c r="D3977" i="1"/>
  <c r="C3977" i="1"/>
  <c r="B3977" i="1"/>
  <c r="A3977" i="1"/>
  <c r="F3976" i="1"/>
  <c r="E3976" i="1"/>
  <c r="D3976" i="1"/>
  <c r="C3976" i="1"/>
  <c r="B3976" i="1"/>
  <c r="A3976" i="1"/>
  <c r="F3975" i="1"/>
  <c r="E3975" i="1"/>
  <c r="D3975" i="1"/>
  <c r="C3975" i="1"/>
  <c r="B3975" i="1"/>
  <c r="A3975" i="1"/>
  <c r="F3974" i="1"/>
  <c r="E3974" i="1"/>
  <c r="D3974" i="1"/>
  <c r="C3974" i="1"/>
  <c r="B3974" i="1"/>
  <c r="A3974" i="1"/>
  <c r="F3973" i="1"/>
  <c r="E3973" i="1"/>
  <c r="D3973" i="1"/>
  <c r="C3973" i="1"/>
  <c r="B3973" i="1"/>
  <c r="A3973" i="1"/>
  <c r="F3972" i="1"/>
  <c r="E3972" i="1"/>
  <c r="D3972" i="1"/>
  <c r="C3972" i="1"/>
  <c r="B3972" i="1"/>
  <c r="A3972" i="1"/>
  <c r="F3971" i="1"/>
  <c r="E3971" i="1"/>
  <c r="D3971" i="1"/>
  <c r="C3971" i="1"/>
  <c r="B3971" i="1"/>
  <c r="A3971" i="1"/>
  <c r="F3970" i="1"/>
  <c r="E3970" i="1"/>
  <c r="D3970" i="1"/>
  <c r="C3970" i="1"/>
  <c r="B3970" i="1"/>
  <c r="A3970" i="1"/>
  <c r="F3969" i="1"/>
  <c r="E3969" i="1"/>
  <c r="D3969" i="1"/>
  <c r="C3969" i="1"/>
  <c r="B3969" i="1"/>
  <c r="A3969" i="1"/>
  <c r="F3968" i="1"/>
  <c r="E3968" i="1"/>
  <c r="D3968" i="1"/>
  <c r="C3968" i="1"/>
  <c r="B3968" i="1"/>
  <c r="A3968" i="1"/>
  <c r="F3967" i="1"/>
  <c r="E3967" i="1"/>
  <c r="D3967" i="1"/>
  <c r="C3967" i="1"/>
  <c r="B3967" i="1"/>
  <c r="A3967" i="1"/>
  <c r="F3966" i="1"/>
  <c r="E3966" i="1"/>
  <c r="D3966" i="1"/>
  <c r="C3966" i="1"/>
  <c r="B3966" i="1"/>
  <c r="A3966" i="1"/>
  <c r="F3965" i="1"/>
  <c r="E3965" i="1"/>
  <c r="D3965" i="1"/>
  <c r="C3965" i="1"/>
  <c r="B3965" i="1"/>
  <c r="A3965" i="1"/>
  <c r="F3964" i="1"/>
  <c r="E3964" i="1"/>
  <c r="D3964" i="1"/>
  <c r="C3964" i="1"/>
  <c r="B3964" i="1"/>
  <c r="A3964" i="1"/>
  <c r="F3963" i="1"/>
  <c r="E3963" i="1"/>
  <c r="D3963" i="1"/>
  <c r="C3963" i="1"/>
  <c r="B3963" i="1"/>
  <c r="A3963" i="1"/>
  <c r="F3962" i="1"/>
  <c r="E3962" i="1"/>
  <c r="D3962" i="1"/>
  <c r="C3962" i="1"/>
  <c r="B3962" i="1"/>
  <c r="A3962" i="1"/>
  <c r="F3961" i="1"/>
  <c r="E3961" i="1"/>
  <c r="D3961" i="1"/>
  <c r="C3961" i="1"/>
  <c r="B3961" i="1"/>
  <c r="A3961" i="1"/>
  <c r="F3960" i="1"/>
  <c r="E3960" i="1"/>
  <c r="D3960" i="1"/>
  <c r="C3960" i="1"/>
  <c r="B3960" i="1"/>
  <c r="A3960" i="1"/>
  <c r="F3959" i="1"/>
  <c r="E3959" i="1"/>
  <c r="D3959" i="1"/>
  <c r="C3959" i="1"/>
  <c r="B3959" i="1"/>
  <c r="A3959" i="1"/>
  <c r="F3958" i="1"/>
  <c r="E3958" i="1"/>
  <c r="D3958" i="1"/>
  <c r="C3958" i="1"/>
  <c r="B3958" i="1"/>
  <c r="A3958" i="1"/>
  <c r="F3957" i="1"/>
  <c r="E3957" i="1"/>
  <c r="D3957" i="1"/>
  <c r="C3957" i="1"/>
  <c r="B3957" i="1"/>
  <c r="A3957" i="1"/>
  <c r="F3956" i="1"/>
  <c r="E3956" i="1"/>
  <c r="D3956" i="1"/>
  <c r="C3956" i="1"/>
  <c r="B3956" i="1"/>
  <c r="A3956" i="1"/>
  <c r="F3955" i="1"/>
  <c r="E3955" i="1"/>
  <c r="D3955" i="1"/>
  <c r="C3955" i="1"/>
  <c r="B3955" i="1"/>
  <c r="A3955" i="1"/>
  <c r="F3954" i="1"/>
  <c r="E3954" i="1"/>
  <c r="D3954" i="1"/>
  <c r="C3954" i="1"/>
  <c r="B3954" i="1"/>
  <c r="A3954" i="1"/>
  <c r="F3953" i="1"/>
  <c r="E3953" i="1"/>
  <c r="D3953" i="1"/>
  <c r="C3953" i="1"/>
  <c r="B3953" i="1"/>
  <c r="A3953" i="1"/>
  <c r="F3952" i="1"/>
  <c r="E3952" i="1"/>
  <c r="D3952" i="1"/>
  <c r="C3952" i="1"/>
  <c r="B3952" i="1"/>
  <c r="A3952" i="1"/>
  <c r="F3951" i="1"/>
  <c r="E3951" i="1"/>
  <c r="D3951" i="1"/>
  <c r="C3951" i="1"/>
  <c r="B3951" i="1"/>
  <c r="A3951" i="1"/>
  <c r="F3950" i="1"/>
  <c r="E3950" i="1"/>
  <c r="D3950" i="1"/>
  <c r="C3950" i="1"/>
  <c r="B3950" i="1"/>
  <c r="A3950" i="1"/>
  <c r="F3949" i="1"/>
  <c r="E3949" i="1"/>
  <c r="D3949" i="1"/>
  <c r="C3949" i="1"/>
  <c r="B3949" i="1"/>
  <c r="A3949" i="1"/>
  <c r="F3948" i="1"/>
  <c r="E3948" i="1"/>
  <c r="D3948" i="1"/>
  <c r="C3948" i="1"/>
  <c r="B3948" i="1"/>
  <c r="A3948" i="1"/>
  <c r="F3947" i="1"/>
  <c r="E3947" i="1"/>
  <c r="D3947" i="1"/>
  <c r="C3947" i="1"/>
  <c r="B3947" i="1"/>
  <c r="A3947" i="1"/>
  <c r="F3946" i="1"/>
  <c r="E3946" i="1"/>
  <c r="D3946" i="1"/>
  <c r="C3946" i="1"/>
  <c r="B3946" i="1"/>
  <c r="A3946" i="1"/>
  <c r="F3945" i="1"/>
  <c r="E3945" i="1"/>
  <c r="D3945" i="1"/>
  <c r="C3945" i="1"/>
  <c r="B3945" i="1"/>
  <c r="A3945" i="1"/>
  <c r="F3944" i="1"/>
  <c r="E3944" i="1"/>
  <c r="D3944" i="1"/>
  <c r="C3944" i="1"/>
  <c r="B3944" i="1"/>
  <c r="A3944" i="1"/>
  <c r="F3943" i="1"/>
  <c r="E3943" i="1"/>
  <c r="D3943" i="1"/>
  <c r="C3943" i="1"/>
  <c r="B3943" i="1"/>
  <c r="A3943" i="1"/>
  <c r="F3942" i="1"/>
  <c r="E3942" i="1"/>
  <c r="D3942" i="1"/>
  <c r="C3942" i="1"/>
  <c r="B3942" i="1"/>
  <c r="A3942" i="1"/>
  <c r="F3941" i="1"/>
  <c r="E3941" i="1"/>
  <c r="D3941" i="1"/>
  <c r="C3941" i="1"/>
  <c r="B3941" i="1"/>
  <c r="A3941" i="1"/>
  <c r="F3940" i="1"/>
  <c r="E3940" i="1"/>
  <c r="D3940" i="1"/>
  <c r="C3940" i="1"/>
  <c r="B3940" i="1"/>
  <c r="A3940" i="1"/>
  <c r="F3939" i="1"/>
  <c r="E3939" i="1"/>
  <c r="D3939" i="1"/>
  <c r="C3939" i="1"/>
  <c r="B3939" i="1"/>
  <c r="A3939" i="1"/>
  <c r="F3938" i="1"/>
  <c r="E3938" i="1"/>
  <c r="D3938" i="1"/>
  <c r="C3938" i="1"/>
  <c r="B3938" i="1"/>
  <c r="A3938" i="1"/>
  <c r="F3937" i="1"/>
  <c r="E3937" i="1"/>
  <c r="D3937" i="1"/>
  <c r="C3937" i="1"/>
  <c r="B3937" i="1"/>
  <c r="A3937" i="1"/>
  <c r="F3936" i="1"/>
  <c r="E3936" i="1"/>
  <c r="D3936" i="1"/>
  <c r="C3936" i="1"/>
  <c r="B3936" i="1"/>
  <c r="A3936" i="1"/>
  <c r="F3935" i="1"/>
  <c r="E3935" i="1"/>
  <c r="D3935" i="1"/>
  <c r="C3935" i="1"/>
  <c r="B3935" i="1"/>
  <c r="A3935" i="1"/>
  <c r="F3934" i="1"/>
  <c r="E3934" i="1"/>
  <c r="D3934" i="1"/>
  <c r="C3934" i="1"/>
  <c r="B3934" i="1"/>
  <c r="A3934" i="1"/>
  <c r="F3933" i="1"/>
  <c r="E3933" i="1"/>
  <c r="D3933" i="1"/>
  <c r="C3933" i="1"/>
  <c r="B3933" i="1"/>
  <c r="A3933" i="1"/>
  <c r="F3932" i="1"/>
  <c r="E3932" i="1"/>
  <c r="D3932" i="1"/>
  <c r="C3932" i="1"/>
  <c r="B3932" i="1"/>
  <c r="A3932" i="1"/>
  <c r="F3931" i="1"/>
  <c r="E3931" i="1"/>
  <c r="D3931" i="1"/>
  <c r="C3931" i="1"/>
  <c r="B3931" i="1"/>
  <c r="A3931" i="1"/>
  <c r="F3930" i="1"/>
  <c r="E3930" i="1"/>
  <c r="D3930" i="1"/>
  <c r="C3930" i="1"/>
  <c r="B3930" i="1"/>
  <c r="A3930" i="1"/>
  <c r="F3929" i="1"/>
  <c r="E3929" i="1"/>
  <c r="D3929" i="1"/>
  <c r="C3929" i="1"/>
  <c r="B3929" i="1"/>
  <c r="A3929" i="1"/>
  <c r="F3928" i="1"/>
  <c r="E3928" i="1"/>
  <c r="D3928" i="1"/>
  <c r="C3928" i="1"/>
  <c r="B3928" i="1"/>
  <c r="A3928" i="1"/>
  <c r="F3927" i="1"/>
  <c r="E3927" i="1"/>
  <c r="D3927" i="1"/>
  <c r="C3927" i="1"/>
  <c r="B3927" i="1"/>
  <c r="A3927" i="1"/>
  <c r="F3926" i="1"/>
  <c r="E3926" i="1"/>
  <c r="D3926" i="1"/>
  <c r="C3926" i="1"/>
  <c r="B3926" i="1"/>
  <c r="A3926" i="1"/>
  <c r="F3925" i="1"/>
  <c r="E3925" i="1"/>
  <c r="D3925" i="1"/>
  <c r="C3925" i="1"/>
  <c r="B3925" i="1"/>
  <c r="A3925" i="1"/>
  <c r="F3924" i="1"/>
  <c r="E3924" i="1"/>
  <c r="D3924" i="1"/>
  <c r="C3924" i="1"/>
  <c r="B3924" i="1"/>
  <c r="A3924" i="1"/>
  <c r="F3923" i="1"/>
  <c r="E3923" i="1"/>
  <c r="D3923" i="1"/>
  <c r="C3923" i="1"/>
  <c r="B3923" i="1"/>
  <c r="A3923" i="1"/>
  <c r="F3922" i="1"/>
  <c r="E3922" i="1"/>
  <c r="D3922" i="1"/>
  <c r="C3922" i="1"/>
  <c r="B3922" i="1"/>
  <c r="A3922" i="1"/>
  <c r="F3921" i="1"/>
  <c r="E3921" i="1"/>
  <c r="D3921" i="1"/>
  <c r="C3921" i="1"/>
  <c r="B3921" i="1"/>
  <c r="A3921" i="1"/>
  <c r="F3920" i="1"/>
  <c r="E3920" i="1"/>
  <c r="D3920" i="1"/>
  <c r="C3920" i="1"/>
  <c r="B3920" i="1"/>
  <c r="A3920" i="1"/>
  <c r="F3919" i="1"/>
  <c r="E3919" i="1"/>
  <c r="D3919" i="1"/>
  <c r="C3919" i="1"/>
  <c r="B3919" i="1"/>
  <c r="A3919" i="1"/>
  <c r="F3918" i="1"/>
  <c r="E3918" i="1"/>
  <c r="D3918" i="1"/>
  <c r="C3918" i="1"/>
  <c r="B3918" i="1"/>
  <c r="A3918" i="1"/>
  <c r="F3917" i="1"/>
  <c r="E3917" i="1"/>
  <c r="D3917" i="1"/>
  <c r="C3917" i="1"/>
  <c r="B3917" i="1"/>
  <c r="A3917" i="1"/>
  <c r="F3916" i="1"/>
  <c r="E3916" i="1"/>
  <c r="D3916" i="1"/>
  <c r="C3916" i="1"/>
  <c r="B3916" i="1"/>
  <c r="A3916" i="1"/>
  <c r="F3915" i="1"/>
  <c r="E3915" i="1"/>
  <c r="D3915" i="1"/>
  <c r="C3915" i="1"/>
  <c r="B3915" i="1"/>
  <c r="A3915" i="1"/>
  <c r="F3914" i="1"/>
  <c r="E3914" i="1"/>
  <c r="D3914" i="1"/>
  <c r="C3914" i="1"/>
  <c r="B3914" i="1"/>
  <c r="A3914" i="1"/>
  <c r="F3913" i="1"/>
  <c r="E3913" i="1"/>
  <c r="D3913" i="1"/>
  <c r="C3913" i="1"/>
  <c r="B3913" i="1"/>
  <c r="A3913" i="1"/>
  <c r="F3912" i="1"/>
  <c r="E3912" i="1"/>
  <c r="D3912" i="1"/>
  <c r="C3912" i="1"/>
  <c r="B3912" i="1"/>
  <c r="A3912" i="1"/>
  <c r="F3911" i="1"/>
  <c r="E3911" i="1"/>
  <c r="D3911" i="1"/>
  <c r="C3911" i="1"/>
  <c r="B3911" i="1"/>
  <c r="A3911" i="1"/>
  <c r="F3910" i="1"/>
  <c r="E3910" i="1"/>
  <c r="D3910" i="1"/>
  <c r="C3910" i="1"/>
  <c r="B3910" i="1"/>
  <c r="A3910" i="1"/>
  <c r="F3909" i="1"/>
  <c r="E3909" i="1"/>
  <c r="D3909" i="1"/>
  <c r="C3909" i="1"/>
  <c r="B3909" i="1"/>
  <c r="A3909" i="1"/>
  <c r="F3908" i="1"/>
  <c r="E3908" i="1"/>
  <c r="D3908" i="1"/>
  <c r="C3908" i="1"/>
  <c r="B3908" i="1"/>
  <c r="A3908" i="1"/>
  <c r="F3907" i="1"/>
  <c r="E3907" i="1"/>
  <c r="D3907" i="1"/>
  <c r="C3907" i="1"/>
  <c r="B3907" i="1"/>
  <c r="A3907" i="1"/>
  <c r="F3906" i="1"/>
  <c r="E3906" i="1"/>
  <c r="D3906" i="1"/>
  <c r="C3906" i="1"/>
  <c r="B3906" i="1"/>
  <c r="A3906" i="1"/>
  <c r="F3905" i="1"/>
  <c r="E3905" i="1"/>
  <c r="D3905" i="1"/>
  <c r="C3905" i="1"/>
  <c r="B3905" i="1"/>
  <c r="A3905" i="1"/>
  <c r="F3904" i="1"/>
  <c r="E3904" i="1"/>
  <c r="D3904" i="1"/>
  <c r="C3904" i="1"/>
  <c r="B3904" i="1"/>
  <c r="A3904" i="1"/>
  <c r="F3903" i="1"/>
  <c r="E3903" i="1"/>
  <c r="D3903" i="1"/>
  <c r="C3903" i="1"/>
  <c r="B3903" i="1"/>
  <c r="A3903" i="1"/>
  <c r="F3902" i="1"/>
  <c r="E3902" i="1"/>
  <c r="D3902" i="1"/>
  <c r="C3902" i="1"/>
  <c r="B3902" i="1"/>
  <c r="A3902" i="1"/>
  <c r="F3901" i="1"/>
  <c r="E3901" i="1"/>
  <c r="D3901" i="1"/>
  <c r="C3901" i="1"/>
  <c r="B3901" i="1"/>
  <c r="A3901" i="1"/>
  <c r="F3900" i="1"/>
  <c r="E3900" i="1"/>
  <c r="D3900" i="1"/>
  <c r="C3900" i="1"/>
  <c r="B3900" i="1"/>
  <c r="A3900" i="1"/>
  <c r="F3899" i="1"/>
  <c r="E3899" i="1"/>
  <c r="D3899" i="1"/>
  <c r="C3899" i="1"/>
  <c r="B3899" i="1"/>
  <c r="A3899" i="1"/>
  <c r="F3898" i="1"/>
  <c r="E3898" i="1"/>
  <c r="D3898" i="1"/>
  <c r="C3898" i="1"/>
  <c r="B3898" i="1"/>
  <c r="A3898" i="1"/>
  <c r="F3897" i="1"/>
  <c r="E3897" i="1"/>
  <c r="D3897" i="1"/>
  <c r="C3897" i="1"/>
  <c r="B3897" i="1"/>
  <c r="A3897" i="1"/>
  <c r="F3896" i="1"/>
  <c r="E3896" i="1"/>
  <c r="D3896" i="1"/>
  <c r="C3896" i="1"/>
  <c r="B3896" i="1"/>
  <c r="A3896" i="1"/>
  <c r="F3895" i="1"/>
  <c r="E3895" i="1"/>
  <c r="D3895" i="1"/>
  <c r="C3895" i="1"/>
  <c r="B3895" i="1"/>
  <c r="A3895" i="1"/>
  <c r="F3894" i="1"/>
  <c r="E3894" i="1"/>
  <c r="D3894" i="1"/>
  <c r="C3894" i="1"/>
  <c r="B3894" i="1"/>
  <c r="A3894" i="1"/>
  <c r="F3893" i="1"/>
  <c r="E3893" i="1"/>
  <c r="D3893" i="1"/>
  <c r="C3893" i="1"/>
  <c r="B3893" i="1"/>
  <c r="A3893" i="1"/>
  <c r="F3892" i="1"/>
  <c r="E3892" i="1"/>
  <c r="D3892" i="1"/>
  <c r="C3892" i="1"/>
  <c r="B3892" i="1"/>
  <c r="A3892" i="1"/>
  <c r="F3891" i="1"/>
  <c r="E3891" i="1"/>
  <c r="D3891" i="1"/>
  <c r="C3891" i="1"/>
  <c r="B3891" i="1"/>
  <c r="A3891" i="1"/>
  <c r="F3890" i="1"/>
  <c r="E3890" i="1"/>
  <c r="D3890" i="1"/>
  <c r="C3890" i="1"/>
  <c r="B3890" i="1"/>
  <c r="A3890" i="1"/>
  <c r="F3889" i="1"/>
  <c r="E3889" i="1"/>
  <c r="D3889" i="1"/>
  <c r="C3889" i="1"/>
  <c r="B3889" i="1"/>
  <c r="A3889" i="1"/>
  <c r="F3888" i="1"/>
  <c r="E3888" i="1"/>
  <c r="D3888" i="1"/>
  <c r="C3888" i="1"/>
  <c r="B3888" i="1"/>
  <c r="A3888" i="1"/>
  <c r="F3887" i="1"/>
  <c r="E3887" i="1"/>
  <c r="D3887" i="1"/>
  <c r="C3887" i="1"/>
  <c r="B3887" i="1"/>
  <c r="A3887" i="1"/>
  <c r="F3886" i="1"/>
  <c r="E3886" i="1"/>
  <c r="D3886" i="1"/>
  <c r="C3886" i="1"/>
  <c r="B3886" i="1"/>
  <c r="A3886" i="1"/>
  <c r="F3885" i="1"/>
  <c r="E3885" i="1"/>
  <c r="D3885" i="1"/>
  <c r="C3885" i="1"/>
  <c r="B3885" i="1"/>
  <c r="A3885" i="1"/>
  <c r="F3884" i="1"/>
  <c r="E3884" i="1"/>
  <c r="D3884" i="1"/>
  <c r="C3884" i="1"/>
  <c r="B3884" i="1"/>
  <c r="A3884" i="1"/>
  <c r="F3883" i="1"/>
  <c r="E3883" i="1"/>
  <c r="D3883" i="1"/>
  <c r="C3883" i="1"/>
  <c r="B3883" i="1"/>
  <c r="A3883" i="1"/>
  <c r="F3882" i="1"/>
  <c r="E3882" i="1"/>
  <c r="D3882" i="1"/>
  <c r="C3882" i="1"/>
  <c r="B3882" i="1"/>
  <c r="A3882" i="1"/>
  <c r="F3881" i="1"/>
  <c r="E3881" i="1"/>
  <c r="D3881" i="1"/>
  <c r="C3881" i="1"/>
  <c r="B3881" i="1"/>
  <c r="A3881" i="1"/>
  <c r="F3880" i="1"/>
  <c r="E3880" i="1"/>
  <c r="D3880" i="1"/>
  <c r="C3880" i="1"/>
  <c r="B3880" i="1"/>
  <c r="A3880" i="1"/>
  <c r="F3879" i="1"/>
  <c r="E3879" i="1"/>
  <c r="D3879" i="1"/>
  <c r="C3879" i="1"/>
  <c r="B3879" i="1"/>
  <c r="A3879" i="1"/>
  <c r="F3878" i="1"/>
  <c r="E3878" i="1"/>
  <c r="D3878" i="1"/>
  <c r="C3878" i="1"/>
  <c r="B3878" i="1"/>
  <c r="A3878" i="1"/>
  <c r="F3877" i="1"/>
  <c r="E3877" i="1"/>
  <c r="D3877" i="1"/>
  <c r="C3877" i="1"/>
  <c r="B3877" i="1"/>
  <c r="A3877" i="1"/>
  <c r="F3876" i="1"/>
  <c r="E3876" i="1"/>
  <c r="D3876" i="1"/>
  <c r="C3876" i="1"/>
  <c r="B3876" i="1"/>
  <c r="A3876" i="1"/>
  <c r="F3875" i="1"/>
  <c r="E3875" i="1"/>
  <c r="D3875" i="1"/>
  <c r="C3875" i="1"/>
  <c r="B3875" i="1"/>
  <c r="A3875" i="1"/>
  <c r="F3874" i="1"/>
  <c r="E3874" i="1"/>
  <c r="D3874" i="1"/>
  <c r="C3874" i="1"/>
  <c r="B3874" i="1"/>
  <c r="A3874" i="1"/>
  <c r="F3873" i="1"/>
  <c r="E3873" i="1"/>
  <c r="D3873" i="1"/>
  <c r="C3873" i="1"/>
  <c r="B3873" i="1"/>
  <c r="A3873" i="1"/>
  <c r="F3872" i="1"/>
  <c r="E3872" i="1"/>
  <c r="D3872" i="1"/>
  <c r="C3872" i="1"/>
  <c r="B3872" i="1"/>
  <c r="A3872" i="1"/>
  <c r="F3871" i="1"/>
  <c r="E3871" i="1"/>
  <c r="D3871" i="1"/>
  <c r="C3871" i="1"/>
  <c r="B3871" i="1"/>
  <c r="A3871" i="1"/>
  <c r="F3870" i="1"/>
  <c r="E3870" i="1"/>
  <c r="D3870" i="1"/>
  <c r="C3870" i="1"/>
  <c r="B3870" i="1"/>
  <c r="A3870" i="1"/>
  <c r="F3869" i="1"/>
  <c r="E3869" i="1"/>
  <c r="D3869" i="1"/>
  <c r="C3869" i="1"/>
  <c r="B3869" i="1"/>
  <c r="A3869" i="1"/>
  <c r="F3868" i="1"/>
  <c r="E3868" i="1"/>
  <c r="D3868" i="1"/>
  <c r="C3868" i="1"/>
  <c r="B3868" i="1"/>
  <c r="A3868" i="1"/>
  <c r="F3867" i="1"/>
  <c r="E3867" i="1"/>
  <c r="D3867" i="1"/>
  <c r="C3867" i="1"/>
  <c r="B3867" i="1"/>
  <c r="A3867" i="1"/>
  <c r="F3866" i="1"/>
  <c r="E3866" i="1"/>
  <c r="D3866" i="1"/>
  <c r="C3866" i="1"/>
  <c r="B3866" i="1"/>
  <c r="A3866" i="1"/>
  <c r="F3865" i="1"/>
  <c r="E3865" i="1"/>
  <c r="D3865" i="1"/>
  <c r="C3865" i="1"/>
  <c r="B3865" i="1"/>
  <c r="A3865" i="1"/>
  <c r="F3864" i="1"/>
  <c r="E3864" i="1"/>
  <c r="D3864" i="1"/>
  <c r="C3864" i="1"/>
  <c r="B3864" i="1"/>
  <c r="A3864" i="1"/>
  <c r="F3863" i="1"/>
  <c r="E3863" i="1"/>
  <c r="D3863" i="1"/>
  <c r="C3863" i="1"/>
  <c r="B3863" i="1"/>
  <c r="A3863" i="1"/>
  <c r="F3862" i="1"/>
  <c r="E3862" i="1"/>
  <c r="D3862" i="1"/>
  <c r="C3862" i="1"/>
  <c r="B3862" i="1"/>
  <c r="A3862" i="1"/>
  <c r="F3861" i="1"/>
  <c r="E3861" i="1"/>
  <c r="D3861" i="1"/>
  <c r="C3861" i="1"/>
  <c r="B3861" i="1"/>
  <c r="A3861" i="1"/>
  <c r="F3860" i="1"/>
  <c r="E3860" i="1"/>
  <c r="D3860" i="1"/>
  <c r="C3860" i="1"/>
  <c r="B3860" i="1"/>
  <c r="A3860" i="1"/>
  <c r="F3859" i="1"/>
  <c r="E3859" i="1"/>
  <c r="D3859" i="1"/>
  <c r="C3859" i="1"/>
  <c r="B3859" i="1"/>
  <c r="A3859" i="1"/>
  <c r="F3858" i="1"/>
  <c r="E3858" i="1"/>
  <c r="D3858" i="1"/>
  <c r="C3858" i="1"/>
  <c r="B3858" i="1"/>
  <c r="A3858" i="1"/>
  <c r="F3857" i="1"/>
  <c r="E3857" i="1"/>
  <c r="D3857" i="1"/>
  <c r="C3857" i="1"/>
  <c r="B3857" i="1"/>
  <c r="A3857" i="1"/>
  <c r="F3856" i="1"/>
  <c r="E3856" i="1"/>
  <c r="D3856" i="1"/>
  <c r="C3856" i="1"/>
  <c r="B3856" i="1"/>
  <c r="A3856" i="1"/>
  <c r="F3855" i="1"/>
  <c r="E3855" i="1"/>
  <c r="D3855" i="1"/>
  <c r="C3855" i="1"/>
  <c r="B3855" i="1"/>
  <c r="A3855" i="1"/>
  <c r="F3854" i="1"/>
  <c r="E3854" i="1"/>
  <c r="D3854" i="1"/>
  <c r="C3854" i="1"/>
  <c r="B3854" i="1"/>
  <c r="A3854" i="1"/>
  <c r="F3853" i="1"/>
  <c r="E3853" i="1"/>
  <c r="D3853" i="1"/>
  <c r="C3853" i="1"/>
  <c r="B3853" i="1"/>
  <c r="A3853" i="1"/>
  <c r="F3852" i="1"/>
  <c r="E3852" i="1"/>
  <c r="D3852" i="1"/>
  <c r="C3852" i="1"/>
  <c r="B3852" i="1"/>
  <c r="A3852" i="1"/>
  <c r="F3851" i="1"/>
  <c r="E3851" i="1"/>
  <c r="D3851" i="1"/>
  <c r="C3851" i="1"/>
  <c r="B3851" i="1"/>
  <c r="A3851" i="1"/>
  <c r="F3850" i="1"/>
  <c r="E3850" i="1"/>
  <c r="D3850" i="1"/>
  <c r="C3850" i="1"/>
  <c r="B3850" i="1"/>
  <c r="A3850" i="1"/>
  <c r="F3849" i="1"/>
  <c r="E3849" i="1"/>
  <c r="D3849" i="1"/>
  <c r="C3849" i="1"/>
  <c r="B3849" i="1"/>
  <c r="A3849" i="1"/>
  <c r="F3848" i="1"/>
  <c r="E3848" i="1"/>
  <c r="D3848" i="1"/>
  <c r="C3848" i="1"/>
  <c r="B3848" i="1"/>
  <c r="A3848" i="1"/>
  <c r="F3847" i="1"/>
  <c r="E3847" i="1"/>
  <c r="D3847" i="1"/>
  <c r="C3847" i="1"/>
  <c r="B3847" i="1"/>
  <c r="A3847" i="1"/>
  <c r="F3846" i="1"/>
  <c r="E3846" i="1"/>
  <c r="D3846" i="1"/>
  <c r="C3846" i="1"/>
  <c r="B3846" i="1"/>
  <c r="A3846" i="1"/>
  <c r="F3845" i="1"/>
  <c r="E3845" i="1"/>
  <c r="D3845" i="1"/>
  <c r="C3845" i="1"/>
  <c r="B3845" i="1"/>
  <c r="A3845" i="1"/>
  <c r="F3844" i="1"/>
  <c r="E3844" i="1"/>
  <c r="D3844" i="1"/>
  <c r="C3844" i="1"/>
  <c r="B3844" i="1"/>
  <c r="A3844" i="1"/>
  <c r="F3843" i="1"/>
  <c r="E3843" i="1"/>
  <c r="D3843" i="1"/>
  <c r="C3843" i="1"/>
  <c r="B3843" i="1"/>
  <c r="A3843" i="1"/>
  <c r="F3842" i="1"/>
  <c r="E3842" i="1"/>
  <c r="D3842" i="1"/>
  <c r="C3842" i="1"/>
  <c r="B3842" i="1"/>
  <c r="A3842" i="1"/>
  <c r="F3841" i="1"/>
  <c r="E3841" i="1"/>
  <c r="D3841" i="1"/>
  <c r="C3841" i="1"/>
  <c r="B3841" i="1"/>
  <c r="A3841" i="1"/>
  <c r="F3840" i="1"/>
  <c r="E3840" i="1"/>
  <c r="D3840" i="1"/>
  <c r="C3840" i="1"/>
  <c r="B3840" i="1"/>
  <c r="A3840" i="1"/>
  <c r="F3839" i="1"/>
  <c r="E3839" i="1"/>
  <c r="D3839" i="1"/>
  <c r="C3839" i="1"/>
  <c r="B3839" i="1"/>
  <c r="A3839" i="1"/>
  <c r="F3838" i="1"/>
  <c r="E3838" i="1"/>
  <c r="D3838" i="1"/>
  <c r="C3838" i="1"/>
  <c r="B3838" i="1"/>
  <c r="A3838" i="1"/>
  <c r="F3837" i="1"/>
  <c r="E3837" i="1"/>
  <c r="D3837" i="1"/>
  <c r="C3837" i="1"/>
  <c r="B3837" i="1"/>
  <c r="A3837" i="1"/>
  <c r="F3836" i="1"/>
  <c r="E3836" i="1"/>
  <c r="D3836" i="1"/>
  <c r="C3836" i="1"/>
  <c r="B3836" i="1"/>
  <c r="A3836" i="1"/>
  <c r="F3835" i="1"/>
  <c r="E3835" i="1"/>
  <c r="D3835" i="1"/>
  <c r="C3835" i="1"/>
  <c r="B3835" i="1"/>
  <c r="A3835" i="1"/>
  <c r="F3834" i="1"/>
  <c r="E3834" i="1"/>
  <c r="D3834" i="1"/>
  <c r="C3834" i="1"/>
  <c r="B3834" i="1"/>
  <c r="A3834" i="1"/>
  <c r="F3833" i="1"/>
  <c r="E3833" i="1"/>
  <c r="D3833" i="1"/>
  <c r="C3833" i="1"/>
  <c r="B3833" i="1"/>
  <c r="A3833" i="1"/>
  <c r="F3832" i="1"/>
  <c r="E3832" i="1"/>
  <c r="D3832" i="1"/>
  <c r="C3832" i="1"/>
  <c r="B3832" i="1"/>
  <c r="A3832" i="1"/>
  <c r="F3831" i="1"/>
  <c r="E3831" i="1"/>
  <c r="D3831" i="1"/>
  <c r="C3831" i="1"/>
  <c r="B3831" i="1"/>
  <c r="A3831" i="1"/>
  <c r="F3830" i="1"/>
  <c r="E3830" i="1"/>
  <c r="D3830" i="1"/>
  <c r="C3830" i="1"/>
  <c r="B3830" i="1"/>
  <c r="A3830" i="1"/>
  <c r="F3829" i="1"/>
  <c r="E3829" i="1"/>
  <c r="D3829" i="1"/>
  <c r="C3829" i="1"/>
  <c r="B3829" i="1"/>
  <c r="A3829" i="1"/>
  <c r="F3828" i="1"/>
  <c r="E3828" i="1"/>
  <c r="D3828" i="1"/>
  <c r="C3828" i="1"/>
  <c r="B3828" i="1"/>
  <c r="A3828" i="1"/>
  <c r="F3827" i="1"/>
  <c r="E3827" i="1"/>
  <c r="D3827" i="1"/>
  <c r="C3827" i="1"/>
  <c r="B3827" i="1"/>
  <c r="A3827" i="1"/>
  <c r="F3826" i="1"/>
  <c r="E3826" i="1"/>
  <c r="D3826" i="1"/>
  <c r="C3826" i="1"/>
  <c r="B3826" i="1"/>
  <c r="A3826" i="1"/>
  <c r="F3825" i="1"/>
  <c r="E3825" i="1"/>
  <c r="D3825" i="1"/>
  <c r="C3825" i="1"/>
  <c r="B3825" i="1"/>
  <c r="A3825" i="1"/>
  <c r="F3824" i="1"/>
  <c r="E3824" i="1"/>
  <c r="D3824" i="1"/>
  <c r="C3824" i="1"/>
  <c r="B3824" i="1"/>
  <c r="A3824" i="1"/>
  <c r="F3823" i="1"/>
  <c r="E3823" i="1"/>
  <c r="D3823" i="1"/>
  <c r="C3823" i="1"/>
  <c r="B3823" i="1"/>
  <c r="A3823" i="1"/>
  <c r="F3822" i="1"/>
  <c r="E3822" i="1"/>
  <c r="D3822" i="1"/>
  <c r="C3822" i="1"/>
  <c r="B3822" i="1"/>
  <c r="A3822" i="1"/>
  <c r="F3821" i="1"/>
  <c r="E3821" i="1"/>
  <c r="D3821" i="1"/>
  <c r="C3821" i="1"/>
  <c r="B3821" i="1"/>
  <c r="A3821" i="1"/>
  <c r="F3820" i="1"/>
  <c r="E3820" i="1"/>
  <c r="D3820" i="1"/>
  <c r="C3820" i="1"/>
  <c r="B3820" i="1"/>
  <c r="A3820" i="1"/>
  <c r="F3819" i="1"/>
  <c r="E3819" i="1"/>
  <c r="D3819" i="1"/>
  <c r="C3819" i="1"/>
  <c r="B3819" i="1"/>
  <c r="A3819" i="1"/>
  <c r="F3818" i="1"/>
  <c r="E3818" i="1"/>
  <c r="D3818" i="1"/>
  <c r="C3818" i="1"/>
  <c r="B3818" i="1"/>
  <c r="A3818" i="1"/>
  <c r="F3817" i="1"/>
  <c r="E3817" i="1"/>
  <c r="D3817" i="1"/>
  <c r="C3817" i="1"/>
  <c r="B3817" i="1"/>
  <c r="A3817" i="1"/>
  <c r="F3816" i="1"/>
  <c r="E3816" i="1"/>
  <c r="D3816" i="1"/>
  <c r="C3816" i="1"/>
  <c r="B3816" i="1"/>
  <c r="A3816" i="1"/>
  <c r="F3815" i="1"/>
  <c r="E3815" i="1"/>
  <c r="D3815" i="1"/>
  <c r="C3815" i="1"/>
  <c r="B3815" i="1"/>
  <c r="A3815" i="1"/>
  <c r="F3814" i="1"/>
  <c r="E3814" i="1"/>
  <c r="D3814" i="1"/>
  <c r="C3814" i="1"/>
  <c r="B3814" i="1"/>
  <c r="A3814" i="1"/>
  <c r="F3813" i="1"/>
  <c r="E3813" i="1"/>
  <c r="D3813" i="1"/>
  <c r="C3813" i="1"/>
  <c r="B3813" i="1"/>
  <c r="A3813" i="1"/>
  <c r="F3812" i="1"/>
  <c r="E3812" i="1"/>
  <c r="D3812" i="1"/>
  <c r="C3812" i="1"/>
  <c r="B3812" i="1"/>
  <c r="A3812" i="1"/>
  <c r="F3811" i="1"/>
  <c r="E3811" i="1"/>
  <c r="D3811" i="1"/>
  <c r="C3811" i="1"/>
  <c r="B3811" i="1"/>
  <c r="A3811" i="1"/>
  <c r="F3810" i="1"/>
  <c r="E3810" i="1"/>
  <c r="D3810" i="1"/>
  <c r="C3810" i="1"/>
  <c r="B3810" i="1"/>
  <c r="A3810" i="1"/>
  <c r="F3809" i="1"/>
  <c r="E3809" i="1"/>
  <c r="D3809" i="1"/>
  <c r="C3809" i="1"/>
  <c r="B3809" i="1"/>
  <c r="A3809" i="1"/>
  <c r="F3808" i="1"/>
  <c r="E3808" i="1"/>
  <c r="D3808" i="1"/>
  <c r="C3808" i="1"/>
  <c r="B3808" i="1"/>
  <c r="A3808" i="1"/>
  <c r="F3807" i="1"/>
  <c r="E3807" i="1"/>
  <c r="D3807" i="1"/>
  <c r="C3807" i="1"/>
  <c r="B3807" i="1"/>
  <c r="A3807" i="1"/>
  <c r="F3806" i="1"/>
  <c r="E3806" i="1"/>
  <c r="D3806" i="1"/>
  <c r="C3806" i="1"/>
  <c r="B3806" i="1"/>
  <c r="A3806" i="1"/>
  <c r="F3805" i="1"/>
  <c r="E3805" i="1"/>
  <c r="D3805" i="1"/>
  <c r="C3805" i="1"/>
  <c r="B3805" i="1"/>
  <c r="A3805" i="1"/>
  <c r="F3804" i="1"/>
  <c r="E3804" i="1"/>
  <c r="D3804" i="1"/>
  <c r="C3804" i="1"/>
  <c r="B3804" i="1"/>
  <c r="A3804" i="1"/>
  <c r="F3803" i="1"/>
  <c r="E3803" i="1"/>
  <c r="D3803" i="1"/>
  <c r="C3803" i="1"/>
  <c r="B3803" i="1"/>
  <c r="A3803" i="1"/>
  <c r="F3802" i="1"/>
  <c r="E3802" i="1"/>
  <c r="D3802" i="1"/>
  <c r="C3802" i="1"/>
  <c r="B3802" i="1"/>
  <c r="A3802" i="1"/>
  <c r="F3801" i="1"/>
  <c r="E3801" i="1"/>
  <c r="D3801" i="1"/>
  <c r="C3801" i="1"/>
  <c r="B3801" i="1"/>
  <c r="A3801" i="1"/>
  <c r="F3800" i="1"/>
  <c r="E3800" i="1"/>
  <c r="D3800" i="1"/>
  <c r="C3800" i="1"/>
  <c r="B3800" i="1"/>
  <c r="A3800" i="1"/>
  <c r="F3799" i="1"/>
  <c r="E3799" i="1"/>
  <c r="D3799" i="1"/>
  <c r="C3799" i="1"/>
  <c r="B3799" i="1"/>
  <c r="A3799" i="1"/>
  <c r="F3798" i="1"/>
  <c r="E3798" i="1"/>
  <c r="D3798" i="1"/>
  <c r="C3798" i="1"/>
  <c r="B3798" i="1"/>
  <c r="A3798" i="1"/>
  <c r="F3797" i="1"/>
  <c r="E3797" i="1"/>
  <c r="D3797" i="1"/>
  <c r="C3797" i="1"/>
  <c r="B3797" i="1"/>
  <c r="A3797" i="1"/>
  <c r="F3796" i="1"/>
  <c r="E3796" i="1"/>
  <c r="D3796" i="1"/>
  <c r="C3796" i="1"/>
  <c r="B3796" i="1"/>
  <c r="A3796" i="1"/>
  <c r="F3795" i="1"/>
  <c r="E3795" i="1"/>
  <c r="D3795" i="1"/>
  <c r="C3795" i="1"/>
  <c r="B3795" i="1"/>
  <c r="A3795" i="1"/>
  <c r="F3794" i="1"/>
  <c r="E3794" i="1"/>
  <c r="D3794" i="1"/>
  <c r="C3794" i="1"/>
  <c r="B3794" i="1"/>
  <c r="A3794" i="1"/>
  <c r="F3793" i="1"/>
  <c r="E3793" i="1"/>
  <c r="D3793" i="1"/>
  <c r="C3793" i="1"/>
  <c r="B3793" i="1"/>
  <c r="A3793" i="1"/>
  <c r="F3792" i="1"/>
  <c r="E3792" i="1"/>
  <c r="D3792" i="1"/>
  <c r="C3792" i="1"/>
  <c r="B3792" i="1"/>
  <c r="A3792" i="1"/>
  <c r="F3791" i="1"/>
  <c r="E3791" i="1"/>
  <c r="D3791" i="1"/>
  <c r="C3791" i="1"/>
  <c r="B3791" i="1"/>
  <c r="A3791" i="1"/>
  <c r="F3790" i="1"/>
  <c r="E3790" i="1"/>
  <c r="D3790" i="1"/>
  <c r="C3790" i="1"/>
  <c r="B3790" i="1"/>
  <c r="A3790" i="1"/>
  <c r="F3789" i="1"/>
  <c r="E3789" i="1"/>
  <c r="D3789" i="1"/>
  <c r="C3789" i="1"/>
  <c r="B3789" i="1"/>
  <c r="A3789" i="1"/>
  <c r="F3788" i="1"/>
  <c r="E3788" i="1"/>
  <c r="D3788" i="1"/>
  <c r="C3788" i="1"/>
  <c r="B3788" i="1"/>
  <c r="A3788" i="1"/>
  <c r="F3787" i="1"/>
  <c r="E3787" i="1"/>
  <c r="D3787" i="1"/>
  <c r="C3787" i="1"/>
  <c r="B3787" i="1"/>
  <c r="A3787" i="1"/>
  <c r="F3786" i="1"/>
  <c r="E3786" i="1"/>
  <c r="D3786" i="1"/>
  <c r="C3786" i="1"/>
  <c r="B3786" i="1"/>
  <c r="A3786" i="1"/>
  <c r="F3785" i="1"/>
  <c r="E3785" i="1"/>
  <c r="D3785" i="1"/>
  <c r="C3785" i="1"/>
  <c r="B3785" i="1"/>
  <c r="A3785" i="1"/>
  <c r="F3784" i="1"/>
  <c r="E3784" i="1"/>
  <c r="D3784" i="1"/>
  <c r="C3784" i="1"/>
  <c r="B3784" i="1"/>
  <c r="A3784" i="1"/>
  <c r="F3783" i="1"/>
  <c r="E3783" i="1"/>
  <c r="D3783" i="1"/>
  <c r="C3783" i="1"/>
  <c r="B3783" i="1"/>
  <c r="A3783" i="1"/>
  <c r="F3782" i="1"/>
  <c r="E3782" i="1"/>
  <c r="D3782" i="1"/>
  <c r="C3782" i="1"/>
  <c r="B3782" i="1"/>
  <c r="A3782" i="1"/>
  <c r="F3781" i="1"/>
  <c r="E3781" i="1"/>
  <c r="D3781" i="1"/>
  <c r="C3781" i="1"/>
  <c r="B3781" i="1"/>
  <c r="A3781" i="1"/>
  <c r="F3780" i="1"/>
  <c r="E3780" i="1"/>
  <c r="D3780" i="1"/>
  <c r="C3780" i="1"/>
  <c r="B3780" i="1"/>
  <c r="A3780" i="1"/>
  <c r="F3779" i="1"/>
  <c r="E3779" i="1"/>
  <c r="D3779" i="1"/>
  <c r="C3779" i="1"/>
  <c r="B3779" i="1"/>
  <c r="A3779" i="1"/>
  <c r="F3778" i="1"/>
  <c r="E3778" i="1"/>
  <c r="D3778" i="1"/>
  <c r="C3778" i="1"/>
  <c r="B3778" i="1"/>
  <c r="A3778" i="1"/>
  <c r="F3777" i="1"/>
  <c r="E3777" i="1"/>
  <c r="D3777" i="1"/>
  <c r="C3777" i="1"/>
  <c r="B3777" i="1"/>
  <c r="A3777" i="1"/>
  <c r="F3776" i="1"/>
  <c r="E3776" i="1"/>
  <c r="D3776" i="1"/>
  <c r="C3776" i="1"/>
  <c r="B3776" i="1"/>
  <c r="A3776" i="1"/>
  <c r="F3775" i="1"/>
  <c r="E3775" i="1"/>
  <c r="D3775" i="1"/>
  <c r="C3775" i="1"/>
  <c r="B3775" i="1"/>
  <c r="A3775" i="1"/>
  <c r="F3774" i="1"/>
  <c r="E3774" i="1"/>
  <c r="D3774" i="1"/>
  <c r="C3774" i="1"/>
  <c r="B3774" i="1"/>
  <c r="A3774" i="1"/>
  <c r="F3773" i="1"/>
  <c r="E3773" i="1"/>
  <c r="D3773" i="1"/>
  <c r="C3773" i="1"/>
  <c r="B3773" i="1"/>
  <c r="A3773" i="1"/>
  <c r="F3772" i="1"/>
  <c r="E3772" i="1"/>
  <c r="D3772" i="1"/>
  <c r="C3772" i="1"/>
  <c r="B3772" i="1"/>
  <c r="A3772" i="1"/>
  <c r="F3771" i="1"/>
  <c r="E3771" i="1"/>
  <c r="D3771" i="1"/>
  <c r="C3771" i="1"/>
  <c r="B3771" i="1"/>
  <c r="A3771" i="1"/>
  <c r="F3770" i="1"/>
  <c r="E3770" i="1"/>
  <c r="D3770" i="1"/>
  <c r="C3770" i="1"/>
  <c r="B3770" i="1"/>
  <c r="A3770" i="1"/>
  <c r="F3769" i="1"/>
  <c r="E3769" i="1"/>
  <c r="D3769" i="1"/>
  <c r="C3769" i="1"/>
  <c r="B3769" i="1"/>
  <c r="A3769" i="1"/>
  <c r="F3768" i="1"/>
  <c r="E3768" i="1"/>
  <c r="D3768" i="1"/>
  <c r="C3768" i="1"/>
  <c r="B3768" i="1"/>
  <c r="A3768" i="1"/>
  <c r="F3767" i="1"/>
  <c r="E3767" i="1"/>
  <c r="D3767" i="1"/>
  <c r="C3767" i="1"/>
  <c r="B3767" i="1"/>
  <c r="A3767" i="1"/>
  <c r="F3766" i="1"/>
  <c r="E3766" i="1"/>
  <c r="D3766" i="1"/>
  <c r="C3766" i="1"/>
  <c r="B3766" i="1"/>
  <c r="A3766" i="1"/>
  <c r="F3765" i="1"/>
  <c r="E3765" i="1"/>
  <c r="D3765" i="1"/>
  <c r="C3765" i="1"/>
  <c r="B3765" i="1"/>
  <c r="A3765" i="1"/>
  <c r="F3764" i="1"/>
  <c r="E3764" i="1"/>
  <c r="D3764" i="1"/>
  <c r="C3764" i="1"/>
  <c r="B3764" i="1"/>
  <c r="A3764" i="1"/>
  <c r="F3763" i="1"/>
  <c r="E3763" i="1"/>
  <c r="D3763" i="1"/>
  <c r="C3763" i="1"/>
  <c r="B3763" i="1"/>
  <c r="A3763" i="1"/>
  <c r="F3762" i="1"/>
  <c r="E3762" i="1"/>
  <c r="D3762" i="1"/>
  <c r="C3762" i="1"/>
  <c r="B3762" i="1"/>
  <c r="A3762" i="1"/>
  <c r="F3761" i="1"/>
  <c r="E3761" i="1"/>
  <c r="D3761" i="1"/>
  <c r="C3761" i="1"/>
  <c r="B3761" i="1"/>
  <c r="A3761" i="1"/>
  <c r="F3760" i="1"/>
  <c r="E3760" i="1"/>
  <c r="D3760" i="1"/>
  <c r="C3760" i="1"/>
  <c r="B3760" i="1"/>
  <c r="A3760" i="1"/>
  <c r="F3759" i="1"/>
  <c r="E3759" i="1"/>
  <c r="D3759" i="1"/>
  <c r="C3759" i="1"/>
  <c r="B3759" i="1"/>
  <c r="A3759" i="1"/>
  <c r="F3758" i="1"/>
  <c r="E3758" i="1"/>
  <c r="D3758" i="1"/>
  <c r="C3758" i="1"/>
  <c r="B3758" i="1"/>
  <c r="A3758" i="1"/>
  <c r="F3757" i="1"/>
  <c r="E3757" i="1"/>
  <c r="D3757" i="1"/>
  <c r="C3757" i="1"/>
  <c r="B3757" i="1"/>
  <c r="A3757" i="1"/>
  <c r="F3756" i="1"/>
  <c r="E3756" i="1"/>
  <c r="D3756" i="1"/>
  <c r="C3756" i="1"/>
  <c r="B3756" i="1"/>
  <c r="A3756" i="1"/>
  <c r="F3755" i="1"/>
  <c r="E3755" i="1"/>
  <c r="D3755" i="1"/>
  <c r="C3755" i="1"/>
  <c r="B3755" i="1"/>
  <c r="A3755" i="1"/>
  <c r="F3754" i="1"/>
  <c r="E3754" i="1"/>
  <c r="D3754" i="1"/>
  <c r="C3754" i="1"/>
  <c r="B3754" i="1"/>
  <c r="A3754" i="1"/>
  <c r="F3753" i="1"/>
  <c r="E3753" i="1"/>
  <c r="D3753" i="1"/>
  <c r="C3753" i="1"/>
  <c r="B3753" i="1"/>
  <c r="A3753" i="1"/>
  <c r="F3752" i="1"/>
  <c r="E3752" i="1"/>
  <c r="D3752" i="1"/>
  <c r="C3752" i="1"/>
  <c r="B3752" i="1"/>
  <c r="A3752" i="1"/>
  <c r="F3751" i="1"/>
  <c r="E3751" i="1"/>
  <c r="D3751" i="1"/>
  <c r="C3751" i="1"/>
  <c r="B3751" i="1"/>
  <c r="A3751" i="1"/>
  <c r="F3750" i="1"/>
  <c r="E3750" i="1"/>
  <c r="D3750" i="1"/>
  <c r="C3750" i="1"/>
  <c r="B3750" i="1"/>
  <c r="A3750" i="1"/>
  <c r="F3749" i="1"/>
  <c r="E3749" i="1"/>
  <c r="D3749" i="1"/>
  <c r="C3749" i="1"/>
  <c r="B3749" i="1"/>
  <c r="A3749" i="1"/>
  <c r="F3748" i="1"/>
  <c r="E3748" i="1"/>
  <c r="D3748" i="1"/>
  <c r="C3748" i="1"/>
  <c r="B3748" i="1"/>
  <c r="A3748" i="1"/>
  <c r="F3747" i="1"/>
  <c r="E3747" i="1"/>
  <c r="D3747" i="1"/>
  <c r="C3747" i="1"/>
  <c r="B3747" i="1"/>
  <c r="A3747" i="1"/>
  <c r="F3746" i="1"/>
  <c r="E3746" i="1"/>
  <c r="D3746" i="1"/>
  <c r="C3746" i="1"/>
  <c r="B3746" i="1"/>
  <c r="A3746" i="1"/>
  <c r="F3745" i="1"/>
  <c r="E3745" i="1"/>
  <c r="D3745" i="1"/>
  <c r="C3745" i="1"/>
  <c r="B3745" i="1"/>
  <c r="A3745" i="1"/>
  <c r="F3744" i="1"/>
  <c r="E3744" i="1"/>
  <c r="D3744" i="1"/>
  <c r="C3744" i="1"/>
  <c r="B3744" i="1"/>
  <c r="A3744" i="1"/>
  <c r="F3743" i="1"/>
  <c r="E3743" i="1"/>
  <c r="D3743" i="1"/>
  <c r="C3743" i="1"/>
  <c r="B3743" i="1"/>
  <c r="A3743" i="1"/>
  <c r="F3742" i="1"/>
  <c r="E3742" i="1"/>
  <c r="D3742" i="1"/>
  <c r="C3742" i="1"/>
  <c r="B3742" i="1"/>
  <c r="A3742" i="1"/>
  <c r="F3741" i="1"/>
  <c r="E3741" i="1"/>
  <c r="D3741" i="1"/>
  <c r="C3741" i="1"/>
  <c r="B3741" i="1"/>
  <c r="A3741" i="1"/>
  <c r="F3740" i="1"/>
  <c r="E3740" i="1"/>
  <c r="D3740" i="1"/>
  <c r="C3740" i="1"/>
  <c r="B3740" i="1"/>
  <c r="A3740" i="1"/>
  <c r="F3739" i="1"/>
  <c r="E3739" i="1"/>
  <c r="D3739" i="1"/>
  <c r="C3739" i="1"/>
  <c r="B3739" i="1"/>
  <c r="A3739" i="1"/>
  <c r="F3738" i="1"/>
  <c r="E3738" i="1"/>
  <c r="D3738" i="1"/>
  <c r="C3738" i="1"/>
  <c r="B3738" i="1"/>
  <c r="A3738" i="1"/>
  <c r="F3737" i="1"/>
  <c r="E3737" i="1"/>
  <c r="D3737" i="1"/>
  <c r="C3737" i="1"/>
  <c r="B3737" i="1"/>
  <c r="A3737" i="1"/>
  <c r="F3736" i="1"/>
  <c r="E3736" i="1"/>
  <c r="D3736" i="1"/>
  <c r="C3736" i="1"/>
  <c r="B3736" i="1"/>
  <c r="A3736" i="1"/>
  <c r="F3735" i="1"/>
  <c r="E3735" i="1"/>
  <c r="D3735" i="1"/>
  <c r="C3735" i="1"/>
  <c r="B3735" i="1"/>
  <c r="A3735" i="1"/>
  <c r="F3734" i="1"/>
  <c r="E3734" i="1"/>
  <c r="D3734" i="1"/>
  <c r="C3734" i="1"/>
  <c r="B3734" i="1"/>
  <c r="A3734" i="1"/>
  <c r="F3733" i="1"/>
  <c r="E3733" i="1"/>
  <c r="D3733" i="1"/>
  <c r="C3733" i="1"/>
  <c r="B3733" i="1"/>
  <c r="A3733" i="1"/>
  <c r="F3732" i="1"/>
  <c r="E3732" i="1"/>
  <c r="D3732" i="1"/>
  <c r="C3732" i="1"/>
  <c r="B3732" i="1"/>
  <c r="A3732" i="1"/>
  <c r="F3731" i="1"/>
  <c r="E3731" i="1"/>
  <c r="D3731" i="1"/>
  <c r="C3731" i="1"/>
  <c r="B3731" i="1"/>
  <c r="A3731" i="1"/>
  <c r="F3730" i="1"/>
  <c r="E3730" i="1"/>
  <c r="D3730" i="1"/>
  <c r="C3730" i="1"/>
  <c r="B3730" i="1"/>
  <c r="A3730" i="1"/>
  <c r="F3729" i="1"/>
  <c r="E3729" i="1"/>
  <c r="D3729" i="1"/>
  <c r="C3729" i="1"/>
  <c r="B3729" i="1"/>
  <c r="A3729" i="1"/>
  <c r="F3728" i="1"/>
  <c r="E3728" i="1"/>
  <c r="D3728" i="1"/>
  <c r="C3728" i="1"/>
  <c r="B3728" i="1"/>
  <c r="A3728" i="1"/>
  <c r="F3727" i="1"/>
  <c r="E3727" i="1"/>
  <c r="D3727" i="1"/>
  <c r="C3727" i="1"/>
  <c r="B3727" i="1"/>
  <c r="A3727" i="1"/>
  <c r="F3726" i="1"/>
  <c r="E3726" i="1"/>
  <c r="D3726" i="1"/>
  <c r="C3726" i="1"/>
  <c r="B3726" i="1"/>
  <c r="A3726" i="1"/>
  <c r="F3725" i="1"/>
  <c r="E3725" i="1"/>
  <c r="D3725" i="1"/>
  <c r="C3725" i="1"/>
  <c r="B3725" i="1"/>
  <c r="A3725" i="1"/>
  <c r="F3724" i="1"/>
  <c r="E3724" i="1"/>
  <c r="D3724" i="1"/>
  <c r="C3724" i="1"/>
  <c r="B3724" i="1"/>
  <c r="A3724" i="1"/>
  <c r="F3723" i="1"/>
  <c r="E3723" i="1"/>
  <c r="D3723" i="1"/>
  <c r="C3723" i="1"/>
  <c r="B3723" i="1"/>
  <c r="A3723" i="1"/>
  <c r="F3722" i="1"/>
  <c r="E3722" i="1"/>
  <c r="D3722" i="1"/>
  <c r="C3722" i="1"/>
  <c r="B3722" i="1"/>
  <c r="A3722" i="1"/>
  <c r="F3721" i="1"/>
  <c r="E3721" i="1"/>
  <c r="D3721" i="1"/>
  <c r="C3721" i="1"/>
  <c r="B3721" i="1"/>
  <c r="A3721" i="1"/>
  <c r="F3720" i="1"/>
  <c r="E3720" i="1"/>
  <c r="D3720" i="1"/>
  <c r="C3720" i="1"/>
  <c r="B3720" i="1"/>
  <c r="A3720" i="1"/>
  <c r="F3719" i="1"/>
  <c r="E3719" i="1"/>
  <c r="D3719" i="1"/>
  <c r="C3719" i="1"/>
  <c r="B3719" i="1"/>
  <c r="A3719" i="1"/>
  <c r="F3718" i="1"/>
  <c r="E3718" i="1"/>
  <c r="D3718" i="1"/>
  <c r="C3718" i="1"/>
  <c r="B3718" i="1"/>
  <c r="A3718" i="1"/>
  <c r="F3717" i="1"/>
  <c r="E3717" i="1"/>
  <c r="D3717" i="1"/>
  <c r="C3717" i="1"/>
  <c r="B3717" i="1"/>
  <c r="A3717" i="1"/>
  <c r="F3716" i="1"/>
  <c r="E3716" i="1"/>
  <c r="D3716" i="1"/>
  <c r="C3716" i="1"/>
  <c r="B3716" i="1"/>
  <c r="A3716" i="1"/>
  <c r="F3715" i="1"/>
  <c r="E3715" i="1"/>
  <c r="D3715" i="1"/>
  <c r="C3715" i="1"/>
  <c r="B3715" i="1"/>
  <c r="A3715" i="1"/>
  <c r="F3714" i="1"/>
  <c r="E3714" i="1"/>
  <c r="D3714" i="1"/>
  <c r="C3714" i="1"/>
  <c r="B3714" i="1"/>
  <c r="A3714" i="1"/>
  <c r="F3713" i="1"/>
  <c r="E3713" i="1"/>
  <c r="D3713" i="1"/>
  <c r="C3713" i="1"/>
  <c r="B3713" i="1"/>
  <c r="A3713" i="1"/>
  <c r="F3712" i="1"/>
  <c r="E3712" i="1"/>
  <c r="D3712" i="1"/>
  <c r="C3712" i="1"/>
  <c r="B3712" i="1"/>
  <c r="A3712" i="1"/>
  <c r="F3711" i="1"/>
  <c r="E3711" i="1"/>
  <c r="D3711" i="1"/>
  <c r="C3711" i="1"/>
  <c r="B3711" i="1"/>
  <c r="A3711" i="1"/>
  <c r="F3710" i="1"/>
  <c r="E3710" i="1"/>
  <c r="D3710" i="1"/>
  <c r="C3710" i="1"/>
  <c r="B3710" i="1"/>
  <c r="A3710" i="1"/>
  <c r="F3709" i="1"/>
  <c r="E3709" i="1"/>
  <c r="D3709" i="1"/>
  <c r="C3709" i="1"/>
  <c r="B3709" i="1"/>
  <c r="A3709" i="1"/>
  <c r="F3708" i="1"/>
  <c r="E3708" i="1"/>
  <c r="D3708" i="1"/>
  <c r="C3708" i="1"/>
  <c r="B3708" i="1"/>
  <c r="A3708" i="1"/>
  <c r="F3707" i="1"/>
  <c r="E3707" i="1"/>
  <c r="D3707" i="1"/>
  <c r="C3707" i="1"/>
  <c r="B3707" i="1"/>
  <c r="A3707" i="1"/>
  <c r="F3706" i="1"/>
  <c r="E3706" i="1"/>
  <c r="D3706" i="1"/>
  <c r="C3706" i="1"/>
  <c r="B3706" i="1"/>
  <c r="A3706" i="1"/>
  <c r="F3705" i="1"/>
  <c r="E3705" i="1"/>
  <c r="D3705" i="1"/>
  <c r="C3705" i="1"/>
  <c r="B3705" i="1"/>
  <c r="A3705" i="1"/>
  <c r="F3704" i="1"/>
  <c r="E3704" i="1"/>
  <c r="D3704" i="1"/>
  <c r="C3704" i="1"/>
  <c r="B3704" i="1"/>
  <c r="A3704" i="1"/>
  <c r="F3703" i="1"/>
  <c r="E3703" i="1"/>
  <c r="D3703" i="1"/>
  <c r="C3703" i="1"/>
  <c r="B3703" i="1"/>
  <c r="A3703" i="1"/>
  <c r="F3702" i="1"/>
  <c r="E3702" i="1"/>
  <c r="D3702" i="1"/>
  <c r="C3702" i="1"/>
  <c r="B3702" i="1"/>
  <c r="A3702" i="1"/>
  <c r="F3701" i="1"/>
  <c r="E3701" i="1"/>
  <c r="D3701" i="1"/>
  <c r="C3701" i="1"/>
  <c r="B3701" i="1"/>
  <c r="A3701" i="1"/>
  <c r="F3700" i="1"/>
  <c r="E3700" i="1"/>
  <c r="D3700" i="1"/>
  <c r="C3700" i="1"/>
  <c r="B3700" i="1"/>
  <c r="A3700" i="1"/>
  <c r="F3699" i="1"/>
  <c r="E3699" i="1"/>
  <c r="D3699" i="1"/>
  <c r="C3699" i="1"/>
  <c r="B3699" i="1"/>
  <c r="A3699" i="1"/>
  <c r="F3698" i="1"/>
  <c r="E3698" i="1"/>
  <c r="D3698" i="1"/>
  <c r="C3698" i="1"/>
  <c r="B3698" i="1"/>
  <c r="A3698" i="1"/>
  <c r="F3697" i="1"/>
  <c r="E3697" i="1"/>
  <c r="D3697" i="1"/>
  <c r="C3697" i="1"/>
  <c r="B3697" i="1"/>
  <c r="A3697" i="1"/>
  <c r="F3696" i="1"/>
  <c r="E3696" i="1"/>
  <c r="D3696" i="1"/>
  <c r="C3696" i="1"/>
  <c r="B3696" i="1"/>
  <c r="A3696" i="1"/>
  <c r="F3695" i="1"/>
  <c r="E3695" i="1"/>
  <c r="D3695" i="1"/>
  <c r="C3695" i="1"/>
  <c r="B3695" i="1"/>
  <c r="A3695" i="1"/>
  <c r="F3694" i="1"/>
  <c r="E3694" i="1"/>
  <c r="D3694" i="1"/>
  <c r="C3694" i="1"/>
  <c r="B3694" i="1"/>
  <c r="A3694" i="1"/>
  <c r="F3693" i="1"/>
  <c r="E3693" i="1"/>
  <c r="D3693" i="1"/>
  <c r="C3693" i="1"/>
  <c r="B3693" i="1"/>
  <c r="A3693" i="1"/>
  <c r="F3692" i="1"/>
  <c r="E3692" i="1"/>
  <c r="D3692" i="1"/>
  <c r="C3692" i="1"/>
  <c r="B3692" i="1"/>
  <c r="A3692" i="1"/>
  <c r="F3691" i="1"/>
  <c r="E3691" i="1"/>
  <c r="D3691" i="1"/>
  <c r="C3691" i="1"/>
  <c r="B3691" i="1"/>
  <c r="A3691" i="1"/>
  <c r="F3690" i="1"/>
  <c r="E3690" i="1"/>
  <c r="D3690" i="1"/>
  <c r="C3690" i="1"/>
  <c r="B3690" i="1"/>
  <c r="A3690" i="1"/>
  <c r="F3689" i="1"/>
  <c r="E3689" i="1"/>
  <c r="D3689" i="1"/>
  <c r="C3689" i="1"/>
  <c r="B3689" i="1"/>
  <c r="A3689" i="1"/>
  <c r="F3688" i="1"/>
  <c r="E3688" i="1"/>
  <c r="D3688" i="1"/>
  <c r="C3688" i="1"/>
  <c r="B3688" i="1"/>
  <c r="A3688" i="1"/>
  <c r="F3687" i="1"/>
  <c r="E3687" i="1"/>
  <c r="D3687" i="1"/>
  <c r="C3687" i="1"/>
  <c r="B3687" i="1"/>
  <c r="A3687" i="1"/>
  <c r="F3686" i="1"/>
  <c r="E3686" i="1"/>
  <c r="D3686" i="1"/>
  <c r="C3686" i="1"/>
  <c r="B3686" i="1"/>
  <c r="A3686" i="1"/>
  <c r="F3685" i="1"/>
  <c r="E3685" i="1"/>
  <c r="D3685" i="1"/>
  <c r="C3685" i="1"/>
  <c r="B3685" i="1"/>
  <c r="A3685" i="1"/>
  <c r="F3684" i="1"/>
  <c r="E3684" i="1"/>
  <c r="D3684" i="1"/>
  <c r="C3684" i="1"/>
  <c r="B3684" i="1"/>
  <c r="A3684" i="1"/>
  <c r="F3683" i="1"/>
  <c r="E3683" i="1"/>
  <c r="D3683" i="1"/>
  <c r="C3683" i="1"/>
  <c r="B3683" i="1"/>
  <c r="A3683" i="1"/>
  <c r="F3682" i="1"/>
  <c r="E3682" i="1"/>
  <c r="D3682" i="1"/>
  <c r="C3682" i="1"/>
  <c r="B3682" i="1"/>
  <c r="A3682" i="1"/>
  <c r="F3681" i="1"/>
  <c r="E3681" i="1"/>
  <c r="D3681" i="1"/>
  <c r="C3681" i="1"/>
  <c r="B3681" i="1"/>
  <c r="A3681" i="1"/>
  <c r="F3680" i="1"/>
  <c r="E3680" i="1"/>
  <c r="D3680" i="1"/>
  <c r="C3680" i="1"/>
  <c r="B3680" i="1"/>
  <c r="A3680" i="1"/>
  <c r="F3679" i="1"/>
  <c r="E3679" i="1"/>
  <c r="D3679" i="1"/>
  <c r="C3679" i="1"/>
  <c r="B3679" i="1"/>
  <c r="A3679" i="1"/>
  <c r="F3678" i="1"/>
  <c r="E3678" i="1"/>
  <c r="D3678" i="1"/>
  <c r="C3678" i="1"/>
  <c r="B3678" i="1"/>
  <c r="A3678" i="1"/>
  <c r="F3677" i="1"/>
  <c r="E3677" i="1"/>
  <c r="D3677" i="1"/>
  <c r="C3677" i="1"/>
  <c r="B3677" i="1"/>
  <c r="A3677" i="1"/>
  <c r="F3676" i="1"/>
  <c r="E3676" i="1"/>
  <c r="D3676" i="1"/>
  <c r="C3676" i="1"/>
  <c r="B3676" i="1"/>
  <c r="A3676" i="1"/>
  <c r="F3675" i="1"/>
  <c r="E3675" i="1"/>
  <c r="D3675" i="1"/>
  <c r="C3675" i="1"/>
  <c r="B3675" i="1"/>
  <c r="A3675" i="1"/>
  <c r="F3674" i="1"/>
  <c r="E3674" i="1"/>
  <c r="D3674" i="1"/>
  <c r="C3674" i="1"/>
  <c r="B3674" i="1"/>
  <c r="A3674" i="1"/>
  <c r="F3673" i="1"/>
  <c r="E3673" i="1"/>
  <c r="D3673" i="1"/>
  <c r="C3673" i="1"/>
  <c r="B3673" i="1"/>
  <c r="A3673" i="1"/>
  <c r="F3672" i="1"/>
  <c r="E3672" i="1"/>
  <c r="D3672" i="1"/>
  <c r="C3672" i="1"/>
  <c r="B3672" i="1"/>
  <c r="A3672" i="1"/>
  <c r="F3671" i="1"/>
  <c r="E3671" i="1"/>
  <c r="D3671" i="1"/>
  <c r="C3671" i="1"/>
  <c r="B3671" i="1"/>
  <c r="A3671" i="1"/>
  <c r="F3670" i="1"/>
  <c r="E3670" i="1"/>
  <c r="D3670" i="1"/>
  <c r="C3670" i="1"/>
  <c r="B3670" i="1"/>
  <c r="A3670" i="1"/>
  <c r="F3669" i="1"/>
  <c r="E3669" i="1"/>
  <c r="D3669" i="1"/>
  <c r="C3669" i="1"/>
  <c r="B3669" i="1"/>
  <c r="A3669" i="1"/>
  <c r="F3668" i="1"/>
  <c r="E3668" i="1"/>
  <c r="D3668" i="1"/>
  <c r="C3668" i="1"/>
  <c r="B3668" i="1"/>
  <c r="A3668" i="1"/>
  <c r="F3667" i="1"/>
  <c r="E3667" i="1"/>
  <c r="D3667" i="1"/>
  <c r="C3667" i="1"/>
  <c r="B3667" i="1"/>
  <c r="A3667" i="1"/>
  <c r="F3666" i="1"/>
  <c r="E3666" i="1"/>
  <c r="D3666" i="1"/>
  <c r="C3666" i="1"/>
  <c r="B3666" i="1"/>
  <c r="A3666" i="1"/>
  <c r="F3665" i="1"/>
  <c r="E3665" i="1"/>
  <c r="D3665" i="1"/>
  <c r="C3665" i="1"/>
  <c r="B3665" i="1"/>
  <c r="A3665" i="1"/>
  <c r="F3664" i="1"/>
  <c r="E3664" i="1"/>
  <c r="D3664" i="1"/>
  <c r="C3664" i="1"/>
  <c r="B3664" i="1"/>
  <c r="A3664" i="1"/>
  <c r="F3663" i="1"/>
  <c r="E3663" i="1"/>
  <c r="D3663" i="1"/>
  <c r="C3663" i="1"/>
  <c r="B3663" i="1"/>
  <c r="A3663" i="1"/>
  <c r="F3662" i="1"/>
  <c r="E3662" i="1"/>
  <c r="D3662" i="1"/>
  <c r="C3662" i="1"/>
  <c r="B3662" i="1"/>
  <c r="A3662" i="1"/>
  <c r="F3661" i="1"/>
  <c r="E3661" i="1"/>
  <c r="D3661" i="1"/>
  <c r="C3661" i="1"/>
  <c r="B3661" i="1"/>
  <c r="A3661" i="1"/>
  <c r="F3660" i="1"/>
  <c r="E3660" i="1"/>
  <c r="D3660" i="1"/>
  <c r="C3660" i="1"/>
  <c r="B3660" i="1"/>
  <c r="A3660" i="1"/>
  <c r="F3659" i="1"/>
  <c r="E3659" i="1"/>
  <c r="D3659" i="1"/>
  <c r="C3659" i="1"/>
  <c r="B3659" i="1"/>
  <c r="A3659" i="1"/>
  <c r="F3658" i="1"/>
  <c r="E3658" i="1"/>
  <c r="D3658" i="1"/>
  <c r="C3658" i="1"/>
  <c r="B3658" i="1"/>
  <c r="A3658" i="1"/>
  <c r="F3657" i="1"/>
  <c r="E3657" i="1"/>
  <c r="D3657" i="1"/>
  <c r="C3657" i="1"/>
  <c r="B3657" i="1"/>
  <c r="A3657" i="1"/>
  <c r="F3656" i="1"/>
  <c r="E3656" i="1"/>
  <c r="D3656" i="1"/>
  <c r="C3656" i="1"/>
  <c r="B3656" i="1"/>
  <c r="A3656" i="1"/>
  <c r="F3655" i="1"/>
  <c r="E3655" i="1"/>
  <c r="D3655" i="1"/>
  <c r="C3655" i="1"/>
  <c r="B3655" i="1"/>
  <c r="A3655" i="1"/>
  <c r="F3654" i="1"/>
  <c r="E3654" i="1"/>
  <c r="D3654" i="1"/>
  <c r="C3654" i="1"/>
  <c r="B3654" i="1"/>
  <c r="A3654" i="1"/>
  <c r="F3653" i="1"/>
  <c r="E3653" i="1"/>
  <c r="D3653" i="1"/>
  <c r="C3653" i="1"/>
  <c r="B3653" i="1"/>
  <c r="A3653" i="1"/>
  <c r="F3652" i="1"/>
  <c r="E3652" i="1"/>
  <c r="D3652" i="1"/>
  <c r="C3652" i="1"/>
  <c r="B3652" i="1"/>
  <c r="A3652" i="1"/>
  <c r="F3651" i="1"/>
  <c r="E3651" i="1"/>
  <c r="D3651" i="1"/>
  <c r="C3651" i="1"/>
  <c r="B3651" i="1"/>
  <c r="A3651" i="1"/>
  <c r="F3650" i="1"/>
  <c r="E3650" i="1"/>
  <c r="D3650" i="1"/>
  <c r="C3650" i="1"/>
  <c r="B3650" i="1"/>
  <c r="A3650" i="1"/>
  <c r="F3649" i="1"/>
  <c r="E3649" i="1"/>
  <c r="D3649" i="1"/>
  <c r="C3649" i="1"/>
  <c r="B3649" i="1"/>
  <c r="A3649" i="1"/>
  <c r="F3648" i="1"/>
  <c r="E3648" i="1"/>
  <c r="D3648" i="1"/>
  <c r="C3648" i="1"/>
  <c r="B3648" i="1"/>
  <c r="A3648" i="1"/>
  <c r="F3647" i="1"/>
  <c r="E3647" i="1"/>
  <c r="D3647" i="1"/>
  <c r="C3647" i="1"/>
  <c r="B3647" i="1"/>
  <c r="A3647" i="1"/>
  <c r="F3646" i="1"/>
  <c r="E3646" i="1"/>
  <c r="D3646" i="1"/>
  <c r="C3646" i="1"/>
  <c r="B3646" i="1"/>
  <c r="A3646" i="1"/>
  <c r="F3645" i="1"/>
  <c r="E3645" i="1"/>
  <c r="D3645" i="1"/>
  <c r="C3645" i="1"/>
  <c r="B3645" i="1"/>
  <c r="A3645" i="1"/>
  <c r="F3644" i="1"/>
  <c r="E3644" i="1"/>
  <c r="D3644" i="1"/>
  <c r="C3644" i="1"/>
  <c r="B3644" i="1"/>
  <c r="A3644" i="1"/>
  <c r="F3643" i="1"/>
  <c r="E3643" i="1"/>
  <c r="D3643" i="1"/>
  <c r="C3643" i="1"/>
  <c r="B3643" i="1"/>
  <c r="A3643" i="1"/>
  <c r="F3642" i="1"/>
  <c r="E3642" i="1"/>
  <c r="D3642" i="1"/>
  <c r="C3642" i="1"/>
  <c r="B3642" i="1"/>
  <c r="A3642" i="1"/>
  <c r="F3641" i="1"/>
  <c r="E3641" i="1"/>
  <c r="D3641" i="1"/>
  <c r="C3641" i="1"/>
  <c r="B3641" i="1"/>
  <c r="A3641" i="1"/>
  <c r="F3640" i="1"/>
  <c r="E3640" i="1"/>
  <c r="D3640" i="1"/>
  <c r="C3640" i="1"/>
  <c r="B3640" i="1"/>
  <c r="A3640" i="1"/>
  <c r="F3639" i="1"/>
  <c r="E3639" i="1"/>
  <c r="D3639" i="1"/>
  <c r="C3639" i="1"/>
  <c r="B3639" i="1"/>
  <c r="A3639" i="1"/>
  <c r="F3638" i="1"/>
  <c r="E3638" i="1"/>
  <c r="D3638" i="1"/>
  <c r="C3638" i="1"/>
  <c r="B3638" i="1"/>
  <c r="A3638" i="1"/>
  <c r="F3637" i="1"/>
  <c r="E3637" i="1"/>
  <c r="D3637" i="1"/>
  <c r="C3637" i="1"/>
  <c r="B3637" i="1"/>
  <c r="A3637" i="1"/>
  <c r="F3636" i="1"/>
  <c r="E3636" i="1"/>
  <c r="D3636" i="1"/>
  <c r="C3636" i="1"/>
  <c r="B3636" i="1"/>
  <c r="A3636" i="1"/>
  <c r="F3635" i="1"/>
  <c r="E3635" i="1"/>
  <c r="D3635" i="1"/>
  <c r="C3635" i="1"/>
  <c r="B3635" i="1"/>
  <c r="A3635" i="1"/>
  <c r="F3634" i="1"/>
  <c r="E3634" i="1"/>
  <c r="D3634" i="1"/>
  <c r="C3634" i="1"/>
  <c r="B3634" i="1"/>
  <c r="A3634" i="1"/>
  <c r="F3633" i="1"/>
  <c r="E3633" i="1"/>
  <c r="D3633" i="1"/>
  <c r="C3633" i="1"/>
  <c r="B3633" i="1"/>
  <c r="A3633" i="1"/>
  <c r="F3632" i="1"/>
  <c r="E3632" i="1"/>
  <c r="D3632" i="1"/>
  <c r="C3632" i="1"/>
  <c r="B3632" i="1"/>
  <c r="A3632" i="1"/>
  <c r="F3631" i="1"/>
  <c r="E3631" i="1"/>
  <c r="D3631" i="1"/>
  <c r="C3631" i="1"/>
  <c r="B3631" i="1"/>
  <c r="A3631" i="1"/>
  <c r="F3630" i="1"/>
  <c r="E3630" i="1"/>
  <c r="D3630" i="1"/>
  <c r="C3630" i="1"/>
  <c r="B3630" i="1"/>
  <c r="A3630" i="1"/>
  <c r="F3629" i="1"/>
  <c r="E3629" i="1"/>
  <c r="D3629" i="1"/>
  <c r="C3629" i="1"/>
  <c r="B3629" i="1"/>
  <c r="A3629" i="1"/>
  <c r="F3628" i="1"/>
  <c r="E3628" i="1"/>
  <c r="D3628" i="1"/>
  <c r="C3628" i="1"/>
  <c r="B3628" i="1"/>
  <c r="A3628" i="1"/>
  <c r="F3627" i="1"/>
  <c r="E3627" i="1"/>
  <c r="D3627" i="1"/>
  <c r="C3627" i="1"/>
  <c r="B3627" i="1"/>
  <c r="A3627" i="1"/>
  <c r="F3626" i="1"/>
  <c r="E3626" i="1"/>
  <c r="D3626" i="1"/>
  <c r="C3626" i="1"/>
  <c r="B3626" i="1"/>
  <c r="A3626" i="1"/>
  <c r="F3625" i="1"/>
  <c r="E3625" i="1"/>
  <c r="D3625" i="1"/>
  <c r="C3625" i="1"/>
  <c r="B3625" i="1"/>
  <c r="A3625" i="1"/>
  <c r="F3624" i="1"/>
  <c r="E3624" i="1"/>
  <c r="D3624" i="1"/>
  <c r="C3624" i="1"/>
  <c r="B3624" i="1"/>
  <c r="A3624" i="1"/>
  <c r="F3623" i="1"/>
  <c r="E3623" i="1"/>
  <c r="D3623" i="1"/>
  <c r="C3623" i="1"/>
  <c r="B3623" i="1"/>
  <c r="A3623" i="1"/>
  <c r="F3622" i="1"/>
  <c r="E3622" i="1"/>
  <c r="D3622" i="1"/>
  <c r="C3622" i="1"/>
  <c r="B3622" i="1"/>
  <c r="A3622" i="1"/>
  <c r="F3621" i="1"/>
  <c r="E3621" i="1"/>
  <c r="D3621" i="1"/>
  <c r="C3621" i="1"/>
  <c r="B3621" i="1"/>
  <c r="A3621" i="1"/>
  <c r="F3620" i="1"/>
  <c r="E3620" i="1"/>
  <c r="D3620" i="1"/>
  <c r="C3620" i="1"/>
  <c r="B3620" i="1"/>
  <c r="A3620" i="1"/>
  <c r="F3619" i="1"/>
  <c r="E3619" i="1"/>
  <c r="D3619" i="1"/>
  <c r="C3619" i="1"/>
  <c r="B3619" i="1"/>
  <c r="A3619" i="1"/>
  <c r="F3618" i="1"/>
  <c r="E3618" i="1"/>
  <c r="D3618" i="1"/>
  <c r="C3618" i="1"/>
  <c r="B3618" i="1"/>
  <c r="A3618" i="1"/>
  <c r="F3617" i="1"/>
  <c r="E3617" i="1"/>
  <c r="D3617" i="1"/>
  <c r="C3617" i="1"/>
  <c r="B3617" i="1"/>
  <c r="A3617" i="1"/>
  <c r="F3616" i="1"/>
  <c r="E3616" i="1"/>
  <c r="D3616" i="1"/>
  <c r="C3616" i="1"/>
  <c r="B3616" i="1"/>
  <c r="A3616" i="1"/>
  <c r="F3615" i="1"/>
  <c r="E3615" i="1"/>
  <c r="D3615" i="1"/>
  <c r="C3615" i="1"/>
  <c r="B3615" i="1"/>
  <c r="A3615" i="1"/>
  <c r="F3614" i="1"/>
  <c r="E3614" i="1"/>
  <c r="D3614" i="1"/>
  <c r="C3614" i="1"/>
  <c r="B3614" i="1"/>
  <c r="A3614" i="1"/>
  <c r="F3613" i="1"/>
  <c r="E3613" i="1"/>
  <c r="D3613" i="1"/>
  <c r="C3613" i="1"/>
  <c r="B3613" i="1"/>
  <c r="A3613" i="1"/>
  <c r="F3612" i="1"/>
  <c r="E3612" i="1"/>
  <c r="D3612" i="1"/>
  <c r="C3612" i="1"/>
  <c r="B3612" i="1"/>
  <c r="A3612" i="1"/>
  <c r="F3611" i="1"/>
  <c r="E3611" i="1"/>
  <c r="D3611" i="1"/>
  <c r="C3611" i="1"/>
  <c r="B3611" i="1"/>
  <c r="A3611" i="1"/>
  <c r="F3610" i="1"/>
  <c r="E3610" i="1"/>
  <c r="D3610" i="1"/>
  <c r="C3610" i="1"/>
  <c r="B3610" i="1"/>
  <c r="A3610" i="1"/>
  <c r="F3609" i="1"/>
  <c r="E3609" i="1"/>
  <c r="D3609" i="1"/>
  <c r="C3609" i="1"/>
  <c r="B3609" i="1"/>
  <c r="A3609" i="1"/>
  <c r="F3608" i="1"/>
  <c r="E3608" i="1"/>
  <c r="D3608" i="1"/>
  <c r="C3608" i="1"/>
  <c r="B3608" i="1"/>
  <c r="A3608" i="1"/>
  <c r="F3607" i="1"/>
  <c r="E3607" i="1"/>
  <c r="D3607" i="1"/>
  <c r="C3607" i="1"/>
  <c r="B3607" i="1"/>
  <c r="A3607" i="1"/>
  <c r="F3606" i="1"/>
  <c r="E3606" i="1"/>
  <c r="D3606" i="1"/>
  <c r="C3606" i="1"/>
  <c r="B3606" i="1"/>
  <c r="A3606" i="1"/>
  <c r="F3605" i="1"/>
  <c r="E3605" i="1"/>
  <c r="D3605" i="1"/>
  <c r="C3605" i="1"/>
  <c r="B3605" i="1"/>
  <c r="A3605" i="1"/>
  <c r="F3604" i="1"/>
  <c r="E3604" i="1"/>
  <c r="D3604" i="1"/>
  <c r="C3604" i="1"/>
  <c r="B3604" i="1"/>
  <c r="A3604" i="1"/>
  <c r="F3603" i="1"/>
  <c r="E3603" i="1"/>
  <c r="D3603" i="1"/>
  <c r="C3603" i="1"/>
  <c r="B3603" i="1"/>
  <c r="A3603" i="1"/>
  <c r="F3602" i="1"/>
  <c r="E3602" i="1"/>
  <c r="D3602" i="1"/>
  <c r="C3602" i="1"/>
  <c r="B3602" i="1"/>
  <c r="A3602" i="1"/>
  <c r="F3601" i="1"/>
  <c r="E3601" i="1"/>
  <c r="D3601" i="1"/>
  <c r="C3601" i="1"/>
  <c r="B3601" i="1"/>
  <c r="A3601" i="1"/>
  <c r="F3600" i="1"/>
  <c r="E3600" i="1"/>
  <c r="D3600" i="1"/>
  <c r="C3600" i="1"/>
  <c r="B3600" i="1"/>
  <c r="A3600" i="1"/>
  <c r="F3599" i="1"/>
  <c r="E3599" i="1"/>
  <c r="D3599" i="1"/>
  <c r="C3599" i="1"/>
  <c r="B3599" i="1"/>
  <c r="A3599" i="1"/>
  <c r="F3598" i="1"/>
  <c r="E3598" i="1"/>
  <c r="D3598" i="1"/>
  <c r="C3598" i="1"/>
  <c r="B3598" i="1"/>
  <c r="A3598" i="1"/>
  <c r="F3597" i="1"/>
  <c r="E3597" i="1"/>
  <c r="D3597" i="1"/>
  <c r="C3597" i="1"/>
  <c r="B3597" i="1"/>
  <c r="A3597" i="1"/>
  <c r="F3596" i="1"/>
  <c r="E3596" i="1"/>
  <c r="D3596" i="1"/>
  <c r="C3596" i="1"/>
  <c r="B3596" i="1"/>
  <c r="A3596" i="1"/>
  <c r="F3595" i="1"/>
  <c r="E3595" i="1"/>
  <c r="D3595" i="1"/>
  <c r="C3595" i="1"/>
  <c r="B3595" i="1"/>
  <c r="A3595" i="1"/>
  <c r="F3594" i="1"/>
  <c r="E3594" i="1"/>
  <c r="D3594" i="1"/>
  <c r="C3594" i="1"/>
  <c r="B3594" i="1"/>
  <c r="A3594" i="1"/>
  <c r="F3593" i="1"/>
  <c r="E3593" i="1"/>
  <c r="D3593" i="1"/>
  <c r="C3593" i="1"/>
  <c r="B3593" i="1"/>
  <c r="A3593" i="1"/>
  <c r="F3592" i="1"/>
  <c r="E3592" i="1"/>
  <c r="D3592" i="1"/>
  <c r="C3592" i="1"/>
  <c r="B3592" i="1"/>
  <c r="A3592" i="1"/>
  <c r="F3591" i="1"/>
  <c r="E3591" i="1"/>
  <c r="D3591" i="1"/>
  <c r="C3591" i="1"/>
  <c r="B3591" i="1"/>
  <c r="A3591" i="1"/>
  <c r="F3590" i="1"/>
  <c r="E3590" i="1"/>
  <c r="D3590" i="1"/>
  <c r="C3590" i="1"/>
  <c r="B3590" i="1"/>
  <c r="A3590" i="1"/>
  <c r="F3589" i="1"/>
  <c r="E3589" i="1"/>
  <c r="D3589" i="1"/>
  <c r="C3589" i="1"/>
  <c r="B3589" i="1"/>
  <c r="A3589" i="1"/>
  <c r="F3588" i="1"/>
  <c r="E3588" i="1"/>
  <c r="D3588" i="1"/>
  <c r="C3588" i="1"/>
  <c r="B3588" i="1"/>
  <c r="A3588" i="1"/>
  <c r="F3587" i="1"/>
  <c r="E3587" i="1"/>
  <c r="D3587" i="1"/>
  <c r="C3587" i="1"/>
  <c r="B3587" i="1"/>
  <c r="A3587" i="1"/>
  <c r="F3586" i="1"/>
  <c r="E3586" i="1"/>
  <c r="D3586" i="1"/>
  <c r="C3586" i="1"/>
  <c r="B3586" i="1"/>
  <c r="A3586" i="1"/>
  <c r="F3585" i="1"/>
  <c r="E3585" i="1"/>
  <c r="D3585" i="1"/>
  <c r="C3585" i="1"/>
  <c r="B3585" i="1"/>
  <c r="A3585" i="1"/>
  <c r="F3584" i="1"/>
  <c r="E3584" i="1"/>
  <c r="D3584" i="1"/>
  <c r="C3584" i="1"/>
  <c r="B3584" i="1"/>
  <c r="A3584" i="1"/>
  <c r="F3583" i="1"/>
  <c r="E3583" i="1"/>
  <c r="D3583" i="1"/>
  <c r="C3583" i="1"/>
  <c r="B3583" i="1"/>
  <c r="A3583" i="1"/>
  <c r="F3582" i="1"/>
  <c r="E3582" i="1"/>
  <c r="D3582" i="1"/>
  <c r="C3582" i="1"/>
  <c r="B3582" i="1"/>
  <c r="A3582" i="1"/>
  <c r="F3581" i="1"/>
  <c r="E3581" i="1"/>
  <c r="D3581" i="1"/>
  <c r="C3581" i="1"/>
  <c r="B3581" i="1"/>
  <c r="A3581" i="1"/>
  <c r="F3580" i="1"/>
  <c r="E3580" i="1"/>
  <c r="D3580" i="1"/>
  <c r="C3580" i="1"/>
  <c r="B3580" i="1"/>
  <c r="A3580" i="1"/>
  <c r="F3579" i="1"/>
  <c r="E3579" i="1"/>
  <c r="D3579" i="1"/>
  <c r="C3579" i="1"/>
  <c r="B3579" i="1"/>
  <c r="A3579" i="1"/>
  <c r="F3578" i="1"/>
  <c r="E3578" i="1"/>
  <c r="D3578" i="1"/>
  <c r="C3578" i="1"/>
  <c r="B3578" i="1"/>
  <c r="A3578" i="1"/>
  <c r="F3577" i="1"/>
  <c r="E3577" i="1"/>
  <c r="D3577" i="1"/>
  <c r="C3577" i="1"/>
  <c r="B3577" i="1"/>
  <c r="A3577" i="1"/>
  <c r="F3576" i="1"/>
  <c r="E3576" i="1"/>
  <c r="D3576" i="1"/>
  <c r="C3576" i="1"/>
  <c r="B3576" i="1"/>
  <c r="A3576" i="1"/>
  <c r="F3575" i="1"/>
  <c r="E3575" i="1"/>
  <c r="D3575" i="1"/>
  <c r="C3575" i="1"/>
  <c r="B3575" i="1"/>
  <c r="A3575" i="1"/>
  <c r="F3574" i="1"/>
  <c r="E3574" i="1"/>
  <c r="D3574" i="1"/>
  <c r="C3574" i="1"/>
  <c r="B3574" i="1"/>
  <c r="A3574" i="1"/>
  <c r="F3573" i="1"/>
  <c r="E3573" i="1"/>
  <c r="D3573" i="1"/>
  <c r="C3573" i="1"/>
  <c r="B3573" i="1"/>
  <c r="A3573" i="1"/>
  <c r="F3572" i="1"/>
  <c r="E3572" i="1"/>
  <c r="D3572" i="1"/>
  <c r="C3572" i="1"/>
  <c r="B3572" i="1"/>
  <c r="A3572" i="1"/>
  <c r="F3571" i="1"/>
  <c r="E3571" i="1"/>
  <c r="D3571" i="1"/>
  <c r="C3571" i="1"/>
  <c r="B3571" i="1"/>
  <c r="A3571" i="1"/>
  <c r="F3570" i="1"/>
  <c r="E3570" i="1"/>
  <c r="D3570" i="1"/>
  <c r="C3570" i="1"/>
  <c r="B3570" i="1"/>
  <c r="A3570" i="1"/>
  <c r="F3569" i="1"/>
  <c r="E3569" i="1"/>
  <c r="D3569" i="1"/>
  <c r="C3569" i="1"/>
  <c r="B3569" i="1"/>
  <c r="A3569" i="1"/>
  <c r="F3568" i="1"/>
  <c r="E3568" i="1"/>
  <c r="D3568" i="1"/>
  <c r="C3568" i="1"/>
  <c r="B3568" i="1"/>
  <c r="A3568" i="1"/>
  <c r="F3567" i="1"/>
  <c r="E3567" i="1"/>
  <c r="D3567" i="1"/>
  <c r="C3567" i="1"/>
  <c r="B3567" i="1"/>
  <c r="A3567" i="1"/>
  <c r="F3566" i="1"/>
  <c r="E3566" i="1"/>
  <c r="D3566" i="1"/>
  <c r="C3566" i="1"/>
  <c r="B3566" i="1"/>
  <c r="A3566" i="1"/>
  <c r="F3565" i="1"/>
  <c r="E3565" i="1"/>
  <c r="D3565" i="1"/>
  <c r="C3565" i="1"/>
  <c r="B3565" i="1"/>
  <c r="A3565" i="1"/>
  <c r="F3564" i="1"/>
  <c r="E3564" i="1"/>
  <c r="D3564" i="1"/>
  <c r="C3564" i="1"/>
  <c r="B3564" i="1"/>
  <c r="A3564" i="1"/>
  <c r="F3563" i="1"/>
  <c r="E3563" i="1"/>
  <c r="D3563" i="1"/>
  <c r="C3563" i="1"/>
  <c r="B3563" i="1"/>
  <c r="A3563" i="1"/>
  <c r="F3562" i="1"/>
  <c r="E3562" i="1"/>
  <c r="D3562" i="1"/>
  <c r="C3562" i="1"/>
  <c r="B3562" i="1"/>
  <c r="A3562" i="1"/>
  <c r="F3561" i="1"/>
  <c r="E3561" i="1"/>
  <c r="D3561" i="1"/>
  <c r="C3561" i="1"/>
  <c r="B3561" i="1"/>
  <c r="A3561" i="1"/>
  <c r="F3560" i="1"/>
  <c r="E3560" i="1"/>
  <c r="D3560" i="1"/>
  <c r="C3560" i="1"/>
  <c r="B3560" i="1"/>
  <c r="A3560" i="1"/>
  <c r="F3559" i="1"/>
  <c r="E3559" i="1"/>
  <c r="D3559" i="1"/>
  <c r="C3559" i="1"/>
  <c r="B3559" i="1"/>
  <c r="A3559" i="1"/>
  <c r="F3558" i="1"/>
  <c r="E3558" i="1"/>
  <c r="D3558" i="1"/>
  <c r="C3558" i="1"/>
  <c r="B3558" i="1"/>
  <c r="A3558" i="1"/>
  <c r="F3557" i="1"/>
  <c r="E3557" i="1"/>
  <c r="D3557" i="1"/>
  <c r="C3557" i="1"/>
  <c r="B3557" i="1"/>
  <c r="A3557" i="1"/>
  <c r="F3556" i="1"/>
  <c r="E3556" i="1"/>
  <c r="D3556" i="1"/>
  <c r="C3556" i="1"/>
  <c r="B3556" i="1"/>
  <c r="A3556" i="1"/>
  <c r="F3555" i="1"/>
  <c r="E3555" i="1"/>
  <c r="D3555" i="1"/>
  <c r="C3555" i="1"/>
  <c r="B3555" i="1"/>
  <c r="A3555" i="1"/>
  <c r="F3554" i="1"/>
  <c r="E3554" i="1"/>
  <c r="D3554" i="1"/>
  <c r="C3554" i="1"/>
  <c r="B3554" i="1"/>
  <c r="A3554" i="1"/>
  <c r="F3553" i="1"/>
  <c r="E3553" i="1"/>
  <c r="D3553" i="1"/>
  <c r="C3553" i="1"/>
  <c r="B3553" i="1"/>
  <c r="A3553" i="1"/>
  <c r="F3552" i="1"/>
  <c r="E3552" i="1"/>
  <c r="D3552" i="1"/>
  <c r="C3552" i="1"/>
  <c r="B3552" i="1"/>
  <c r="A3552" i="1"/>
  <c r="F3551" i="1"/>
  <c r="E3551" i="1"/>
  <c r="D3551" i="1"/>
  <c r="C3551" i="1"/>
  <c r="B3551" i="1"/>
  <c r="A3551" i="1"/>
  <c r="F3550" i="1"/>
  <c r="E3550" i="1"/>
  <c r="D3550" i="1"/>
  <c r="C3550" i="1"/>
  <c r="B3550" i="1"/>
  <c r="A3550" i="1"/>
  <c r="F3549" i="1"/>
  <c r="E3549" i="1"/>
  <c r="D3549" i="1"/>
  <c r="C3549" i="1"/>
  <c r="B3549" i="1"/>
  <c r="A3549" i="1"/>
  <c r="F3548" i="1"/>
  <c r="E3548" i="1"/>
  <c r="D3548" i="1"/>
  <c r="C3548" i="1"/>
  <c r="B3548" i="1"/>
  <c r="A3548" i="1"/>
  <c r="F3547" i="1"/>
  <c r="E3547" i="1"/>
  <c r="D3547" i="1"/>
  <c r="C3547" i="1"/>
  <c r="B3547" i="1"/>
  <c r="A3547" i="1"/>
  <c r="F3546" i="1"/>
  <c r="E3546" i="1"/>
  <c r="D3546" i="1"/>
  <c r="C3546" i="1"/>
  <c r="B3546" i="1"/>
  <c r="A3546" i="1"/>
  <c r="F3545" i="1"/>
  <c r="E3545" i="1"/>
  <c r="D3545" i="1"/>
  <c r="C3545" i="1"/>
  <c r="B3545" i="1"/>
  <c r="A3545" i="1"/>
  <c r="F3544" i="1"/>
  <c r="E3544" i="1"/>
  <c r="D3544" i="1"/>
  <c r="C3544" i="1"/>
  <c r="B3544" i="1"/>
  <c r="A3544" i="1"/>
  <c r="F3543" i="1"/>
  <c r="E3543" i="1"/>
  <c r="D3543" i="1"/>
  <c r="C3543" i="1"/>
  <c r="B3543" i="1"/>
  <c r="A3543" i="1"/>
  <c r="F3542" i="1"/>
  <c r="E3542" i="1"/>
  <c r="D3542" i="1"/>
  <c r="C3542" i="1"/>
  <c r="B3542" i="1"/>
  <c r="A3542" i="1"/>
  <c r="F3541" i="1"/>
  <c r="E3541" i="1"/>
  <c r="D3541" i="1"/>
  <c r="C3541" i="1"/>
  <c r="B3541" i="1"/>
  <c r="A3541" i="1"/>
  <c r="F3540" i="1"/>
  <c r="E3540" i="1"/>
  <c r="D3540" i="1"/>
  <c r="C3540" i="1"/>
  <c r="B3540" i="1"/>
  <c r="A3540" i="1"/>
  <c r="F3539" i="1"/>
  <c r="E3539" i="1"/>
  <c r="D3539" i="1"/>
  <c r="C3539" i="1"/>
  <c r="B3539" i="1"/>
  <c r="A3539" i="1"/>
  <c r="F3538" i="1"/>
  <c r="E3538" i="1"/>
  <c r="D3538" i="1"/>
  <c r="C3538" i="1"/>
  <c r="B3538" i="1"/>
  <c r="A3538" i="1"/>
  <c r="F3537" i="1"/>
  <c r="E3537" i="1"/>
  <c r="D3537" i="1"/>
  <c r="C3537" i="1"/>
  <c r="B3537" i="1"/>
  <c r="A3537" i="1"/>
  <c r="F3536" i="1"/>
  <c r="E3536" i="1"/>
  <c r="D3536" i="1"/>
  <c r="C3536" i="1"/>
  <c r="B3536" i="1"/>
  <c r="A3536" i="1"/>
  <c r="F3535" i="1"/>
  <c r="E3535" i="1"/>
  <c r="D3535" i="1"/>
  <c r="C3535" i="1"/>
  <c r="B3535" i="1"/>
  <c r="A3535" i="1"/>
  <c r="F3534" i="1"/>
  <c r="E3534" i="1"/>
  <c r="D3534" i="1"/>
  <c r="C3534" i="1"/>
  <c r="B3534" i="1"/>
  <c r="A3534" i="1"/>
  <c r="F3533" i="1"/>
  <c r="E3533" i="1"/>
  <c r="D3533" i="1"/>
  <c r="C3533" i="1"/>
  <c r="B3533" i="1"/>
  <c r="A3533" i="1"/>
  <c r="F3532" i="1"/>
  <c r="E3532" i="1"/>
  <c r="D3532" i="1"/>
  <c r="C3532" i="1"/>
  <c r="B3532" i="1"/>
  <c r="A3532" i="1"/>
  <c r="F3531" i="1"/>
  <c r="E3531" i="1"/>
  <c r="D3531" i="1"/>
  <c r="C3531" i="1"/>
  <c r="B3531" i="1"/>
  <c r="A3531" i="1"/>
  <c r="F3530" i="1"/>
  <c r="E3530" i="1"/>
  <c r="D3530" i="1"/>
  <c r="C3530" i="1"/>
  <c r="B3530" i="1"/>
  <c r="A3530" i="1"/>
  <c r="F3529" i="1"/>
  <c r="E3529" i="1"/>
  <c r="D3529" i="1"/>
  <c r="C3529" i="1"/>
  <c r="B3529" i="1"/>
  <c r="A3529" i="1"/>
  <c r="F3528" i="1"/>
  <c r="E3528" i="1"/>
  <c r="D3528" i="1"/>
  <c r="C3528" i="1"/>
  <c r="B3528" i="1"/>
  <c r="A3528" i="1"/>
  <c r="F3527" i="1"/>
  <c r="E3527" i="1"/>
  <c r="D3527" i="1"/>
  <c r="C3527" i="1"/>
  <c r="B3527" i="1"/>
  <c r="A3527" i="1"/>
  <c r="F3526" i="1"/>
  <c r="E3526" i="1"/>
  <c r="D3526" i="1"/>
  <c r="C3526" i="1"/>
  <c r="B3526" i="1"/>
  <c r="A3526" i="1"/>
  <c r="F3525" i="1"/>
  <c r="E3525" i="1"/>
  <c r="D3525" i="1"/>
  <c r="C3525" i="1"/>
  <c r="B3525" i="1"/>
  <c r="A3525" i="1"/>
  <c r="F3524" i="1"/>
  <c r="E3524" i="1"/>
  <c r="D3524" i="1"/>
  <c r="C3524" i="1"/>
  <c r="B3524" i="1"/>
  <c r="A3524" i="1"/>
  <c r="F3523" i="1"/>
  <c r="E3523" i="1"/>
  <c r="D3523" i="1"/>
  <c r="C3523" i="1"/>
  <c r="B3523" i="1"/>
  <c r="A3523" i="1"/>
  <c r="F3522" i="1"/>
  <c r="E3522" i="1"/>
  <c r="D3522" i="1"/>
  <c r="C3522" i="1"/>
  <c r="B3522" i="1"/>
  <c r="A3522" i="1"/>
  <c r="F3521" i="1"/>
  <c r="E3521" i="1"/>
  <c r="D3521" i="1"/>
  <c r="C3521" i="1"/>
  <c r="B3521" i="1"/>
  <c r="A3521" i="1"/>
  <c r="F3520" i="1"/>
  <c r="E3520" i="1"/>
  <c r="D3520" i="1"/>
  <c r="C3520" i="1"/>
  <c r="B3520" i="1"/>
  <c r="A3520" i="1"/>
  <c r="F3519" i="1"/>
  <c r="E3519" i="1"/>
  <c r="D3519" i="1"/>
  <c r="C3519" i="1"/>
  <c r="B3519" i="1"/>
  <c r="A3519" i="1"/>
  <c r="F3518" i="1"/>
  <c r="E3518" i="1"/>
  <c r="D3518" i="1"/>
  <c r="C3518" i="1"/>
  <c r="B3518" i="1"/>
  <c r="A3518" i="1"/>
  <c r="F3517" i="1"/>
  <c r="E3517" i="1"/>
  <c r="D3517" i="1"/>
  <c r="C3517" i="1"/>
  <c r="B3517" i="1"/>
  <c r="A3517" i="1"/>
  <c r="F3516" i="1"/>
  <c r="E3516" i="1"/>
  <c r="D3516" i="1"/>
  <c r="C3516" i="1"/>
  <c r="B3516" i="1"/>
  <c r="A3516" i="1"/>
  <c r="F3515" i="1"/>
  <c r="E3515" i="1"/>
  <c r="D3515" i="1"/>
  <c r="C3515" i="1"/>
  <c r="B3515" i="1"/>
  <c r="A3515" i="1"/>
  <c r="F3514" i="1"/>
  <c r="E3514" i="1"/>
  <c r="D3514" i="1"/>
  <c r="C3514" i="1"/>
  <c r="B3514" i="1"/>
  <c r="A3514" i="1"/>
  <c r="F3513" i="1"/>
  <c r="E3513" i="1"/>
  <c r="D3513" i="1"/>
  <c r="C3513" i="1"/>
  <c r="B3513" i="1"/>
  <c r="A3513" i="1"/>
  <c r="F3512" i="1"/>
  <c r="E3512" i="1"/>
  <c r="D3512" i="1"/>
  <c r="C3512" i="1"/>
  <c r="B3512" i="1"/>
  <c r="A3512" i="1"/>
  <c r="F3511" i="1"/>
  <c r="E3511" i="1"/>
  <c r="D3511" i="1"/>
  <c r="C3511" i="1"/>
  <c r="B3511" i="1"/>
  <c r="A3511" i="1"/>
  <c r="F3510" i="1"/>
  <c r="E3510" i="1"/>
  <c r="D3510" i="1"/>
  <c r="C3510" i="1"/>
  <c r="B3510" i="1"/>
  <c r="A3510" i="1"/>
  <c r="F3509" i="1"/>
  <c r="E3509" i="1"/>
  <c r="D3509" i="1"/>
  <c r="C3509" i="1"/>
  <c r="B3509" i="1"/>
  <c r="A3509" i="1"/>
  <c r="F3508" i="1"/>
  <c r="E3508" i="1"/>
  <c r="D3508" i="1"/>
  <c r="C3508" i="1"/>
  <c r="B3508" i="1"/>
  <c r="A3508" i="1"/>
  <c r="F3507" i="1"/>
  <c r="E3507" i="1"/>
  <c r="D3507" i="1"/>
  <c r="C3507" i="1"/>
  <c r="B3507" i="1"/>
  <c r="A3507" i="1"/>
  <c r="F3506" i="1"/>
  <c r="E3506" i="1"/>
  <c r="D3506" i="1"/>
  <c r="C3506" i="1"/>
  <c r="B3506" i="1"/>
  <c r="A3506" i="1"/>
  <c r="F3505" i="1"/>
  <c r="E3505" i="1"/>
  <c r="D3505" i="1"/>
  <c r="C3505" i="1"/>
  <c r="B3505" i="1"/>
  <c r="A3505" i="1"/>
  <c r="F3504" i="1"/>
  <c r="E3504" i="1"/>
  <c r="D3504" i="1"/>
  <c r="C3504" i="1"/>
  <c r="B3504" i="1"/>
  <c r="A3504" i="1"/>
  <c r="F3503" i="1"/>
  <c r="E3503" i="1"/>
  <c r="D3503" i="1"/>
  <c r="C3503" i="1"/>
  <c r="B3503" i="1"/>
  <c r="A3503" i="1"/>
  <c r="F3502" i="1"/>
  <c r="E3502" i="1"/>
  <c r="D3502" i="1"/>
  <c r="C3502" i="1"/>
  <c r="B3502" i="1"/>
  <c r="A3502" i="1"/>
  <c r="F3501" i="1"/>
  <c r="E3501" i="1"/>
  <c r="D3501" i="1"/>
  <c r="C3501" i="1"/>
  <c r="B3501" i="1"/>
  <c r="A3501" i="1"/>
  <c r="F3500" i="1"/>
  <c r="E3500" i="1"/>
  <c r="D3500" i="1"/>
  <c r="C3500" i="1"/>
  <c r="B3500" i="1"/>
  <c r="A3500" i="1"/>
  <c r="F3499" i="1"/>
  <c r="E3499" i="1"/>
  <c r="D3499" i="1"/>
  <c r="C3499" i="1"/>
  <c r="B3499" i="1"/>
  <c r="A3499" i="1"/>
  <c r="F3498" i="1"/>
  <c r="E3498" i="1"/>
  <c r="D3498" i="1"/>
  <c r="C3498" i="1"/>
  <c r="B3498" i="1"/>
  <c r="A3498" i="1"/>
  <c r="F3497" i="1"/>
  <c r="E3497" i="1"/>
  <c r="D3497" i="1"/>
  <c r="C3497" i="1"/>
  <c r="B3497" i="1"/>
  <c r="A3497" i="1"/>
  <c r="F3496" i="1"/>
  <c r="E3496" i="1"/>
  <c r="D3496" i="1"/>
  <c r="C3496" i="1"/>
  <c r="B3496" i="1"/>
  <c r="A3496" i="1"/>
  <c r="F3495" i="1"/>
  <c r="E3495" i="1"/>
  <c r="D3495" i="1"/>
  <c r="C3495" i="1"/>
  <c r="B3495" i="1"/>
  <c r="A3495" i="1"/>
  <c r="F3494" i="1"/>
  <c r="E3494" i="1"/>
  <c r="D3494" i="1"/>
  <c r="C3494" i="1"/>
  <c r="B3494" i="1"/>
  <c r="A3494" i="1"/>
  <c r="F3493" i="1"/>
  <c r="E3493" i="1"/>
  <c r="D3493" i="1"/>
  <c r="C3493" i="1"/>
  <c r="B3493" i="1"/>
  <c r="A3493" i="1"/>
  <c r="F3492" i="1"/>
  <c r="E3492" i="1"/>
  <c r="D3492" i="1"/>
  <c r="C3492" i="1"/>
  <c r="B3492" i="1"/>
  <c r="A3492" i="1"/>
  <c r="F3491" i="1"/>
  <c r="E3491" i="1"/>
  <c r="D3491" i="1"/>
  <c r="C3491" i="1"/>
  <c r="B3491" i="1"/>
  <c r="A3491" i="1"/>
  <c r="F3490" i="1"/>
  <c r="E3490" i="1"/>
  <c r="D3490" i="1"/>
  <c r="C3490" i="1"/>
  <c r="B3490" i="1"/>
  <c r="A3490" i="1"/>
  <c r="F3489" i="1"/>
  <c r="E3489" i="1"/>
  <c r="D3489" i="1"/>
  <c r="C3489" i="1"/>
  <c r="B3489" i="1"/>
  <c r="A3489" i="1"/>
  <c r="F3488" i="1"/>
  <c r="E3488" i="1"/>
  <c r="D3488" i="1"/>
  <c r="C3488" i="1"/>
  <c r="B3488" i="1"/>
  <c r="A3488" i="1"/>
  <c r="F3487" i="1"/>
  <c r="E3487" i="1"/>
  <c r="D3487" i="1"/>
  <c r="C3487" i="1"/>
  <c r="B3487" i="1"/>
  <c r="A3487" i="1"/>
  <c r="F3486" i="1"/>
  <c r="E3486" i="1"/>
  <c r="D3486" i="1"/>
  <c r="C3486" i="1"/>
  <c r="B3486" i="1"/>
  <c r="A3486" i="1"/>
  <c r="F3485" i="1"/>
  <c r="E3485" i="1"/>
  <c r="D3485" i="1"/>
  <c r="C3485" i="1"/>
  <c r="B3485" i="1"/>
  <c r="A3485" i="1"/>
  <c r="F3484" i="1"/>
  <c r="E3484" i="1"/>
  <c r="D3484" i="1"/>
  <c r="C3484" i="1"/>
  <c r="B3484" i="1"/>
  <c r="A3484" i="1"/>
  <c r="F3483" i="1"/>
  <c r="E3483" i="1"/>
  <c r="D3483" i="1"/>
  <c r="C3483" i="1"/>
  <c r="B3483" i="1"/>
  <c r="A3483" i="1"/>
  <c r="F3482" i="1"/>
  <c r="E3482" i="1"/>
  <c r="D3482" i="1"/>
  <c r="C3482" i="1"/>
  <c r="B3482" i="1"/>
  <c r="A3482" i="1"/>
  <c r="F3481" i="1"/>
  <c r="E3481" i="1"/>
  <c r="D3481" i="1"/>
  <c r="C3481" i="1"/>
  <c r="B3481" i="1"/>
  <c r="A3481" i="1"/>
  <c r="F3480" i="1"/>
  <c r="E3480" i="1"/>
  <c r="D3480" i="1"/>
  <c r="C3480" i="1"/>
  <c r="B3480" i="1"/>
  <c r="A3480" i="1"/>
  <c r="F3479" i="1"/>
  <c r="E3479" i="1"/>
  <c r="D3479" i="1"/>
  <c r="C3479" i="1"/>
  <c r="B3479" i="1"/>
  <c r="A3479" i="1"/>
  <c r="F3478" i="1"/>
  <c r="E3478" i="1"/>
  <c r="D3478" i="1"/>
  <c r="C3478" i="1"/>
  <c r="B3478" i="1"/>
  <c r="A3478" i="1"/>
  <c r="F3477" i="1"/>
  <c r="E3477" i="1"/>
  <c r="D3477" i="1"/>
  <c r="C3477" i="1"/>
  <c r="B3477" i="1"/>
  <c r="A3477" i="1"/>
  <c r="F3476" i="1"/>
  <c r="E3476" i="1"/>
  <c r="D3476" i="1"/>
  <c r="C3476" i="1"/>
  <c r="B3476" i="1"/>
  <c r="A3476" i="1"/>
  <c r="F3475" i="1"/>
  <c r="E3475" i="1"/>
  <c r="D3475" i="1"/>
  <c r="C3475" i="1"/>
  <c r="B3475" i="1"/>
  <c r="A3475" i="1"/>
  <c r="F3474" i="1"/>
  <c r="E3474" i="1"/>
  <c r="D3474" i="1"/>
  <c r="C3474" i="1"/>
  <c r="B3474" i="1"/>
  <c r="A3474" i="1"/>
  <c r="F3473" i="1"/>
  <c r="E3473" i="1"/>
  <c r="D3473" i="1"/>
  <c r="C3473" i="1"/>
  <c r="B3473" i="1"/>
  <c r="A3473" i="1"/>
  <c r="F3472" i="1"/>
  <c r="E3472" i="1"/>
  <c r="D3472" i="1"/>
  <c r="C3472" i="1"/>
  <c r="B3472" i="1"/>
  <c r="A3472" i="1"/>
  <c r="F3471" i="1"/>
  <c r="E3471" i="1"/>
  <c r="D3471" i="1"/>
  <c r="C3471" i="1"/>
  <c r="B3471" i="1"/>
  <c r="A3471" i="1"/>
  <c r="F3470" i="1"/>
  <c r="E3470" i="1"/>
  <c r="D3470" i="1"/>
  <c r="C3470" i="1"/>
  <c r="B3470" i="1"/>
  <c r="A3470" i="1"/>
  <c r="F3469" i="1"/>
  <c r="E3469" i="1"/>
  <c r="D3469" i="1"/>
  <c r="C3469" i="1"/>
  <c r="B3469" i="1"/>
  <c r="A3469" i="1"/>
  <c r="F3468" i="1"/>
  <c r="E3468" i="1"/>
  <c r="D3468" i="1"/>
  <c r="C3468" i="1"/>
  <c r="B3468" i="1"/>
  <c r="A3468" i="1"/>
  <c r="F3467" i="1"/>
  <c r="E3467" i="1"/>
  <c r="D3467" i="1"/>
  <c r="C3467" i="1"/>
  <c r="B3467" i="1"/>
  <c r="A3467" i="1"/>
  <c r="F3466" i="1"/>
  <c r="E3466" i="1"/>
  <c r="D3466" i="1"/>
  <c r="C3466" i="1"/>
  <c r="B3466" i="1"/>
  <c r="A3466" i="1"/>
  <c r="F3465" i="1"/>
  <c r="E3465" i="1"/>
  <c r="D3465" i="1"/>
  <c r="C3465" i="1"/>
  <c r="B3465" i="1"/>
  <c r="A3465" i="1"/>
  <c r="F3464" i="1"/>
  <c r="E3464" i="1"/>
  <c r="D3464" i="1"/>
  <c r="C3464" i="1"/>
  <c r="B3464" i="1"/>
  <c r="A3464" i="1"/>
  <c r="F3463" i="1"/>
  <c r="E3463" i="1"/>
  <c r="D3463" i="1"/>
  <c r="C3463" i="1"/>
  <c r="B3463" i="1"/>
  <c r="A3463" i="1"/>
  <c r="F3462" i="1"/>
  <c r="E3462" i="1"/>
  <c r="D3462" i="1"/>
  <c r="C3462" i="1"/>
  <c r="B3462" i="1"/>
  <c r="A3462" i="1"/>
  <c r="F3461" i="1"/>
  <c r="E3461" i="1"/>
  <c r="D3461" i="1"/>
  <c r="C3461" i="1"/>
  <c r="B3461" i="1"/>
  <c r="A3461" i="1"/>
  <c r="F3460" i="1"/>
  <c r="E3460" i="1"/>
  <c r="D3460" i="1"/>
  <c r="C3460" i="1"/>
  <c r="B3460" i="1"/>
  <c r="A3460" i="1"/>
  <c r="F3459" i="1"/>
  <c r="E3459" i="1"/>
  <c r="D3459" i="1"/>
  <c r="C3459" i="1"/>
  <c r="B3459" i="1"/>
  <c r="A3459" i="1"/>
  <c r="F3458" i="1"/>
  <c r="E3458" i="1"/>
  <c r="D3458" i="1"/>
  <c r="C3458" i="1"/>
  <c r="B3458" i="1"/>
  <c r="A3458" i="1"/>
  <c r="F3457" i="1"/>
  <c r="E3457" i="1"/>
  <c r="D3457" i="1"/>
  <c r="C3457" i="1"/>
  <c r="B3457" i="1"/>
  <c r="A3457" i="1"/>
  <c r="F3456" i="1"/>
  <c r="E3456" i="1"/>
  <c r="D3456" i="1"/>
  <c r="C3456" i="1"/>
  <c r="B3456" i="1"/>
  <c r="A3456" i="1"/>
  <c r="F3455" i="1"/>
  <c r="E3455" i="1"/>
  <c r="D3455" i="1"/>
  <c r="C3455" i="1"/>
  <c r="B3455" i="1"/>
  <c r="A3455" i="1"/>
  <c r="F3454" i="1"/>
  <c r="E3454" i="1"/>
  <c r="D3454" i="1"/>
  <c r="C3454" i="1"/>
  <c r="B3454" i="1"/>
  <c r="A3454" i="1"/>
  <c r="F3453" i="1"/>
  <c r="E3453" i="1"/>
  <c r="D3453" i="1"/>
  <c r="C3453" i="1"/>
  <c r="B3453" i="1"/>
  <c r="A3453" i="1"/>
  <c r="F3452" i="1"/>
  <c r="E3452" i="1"/>
  <c r="D3452" i="1"/>
  <c r="C3452" i="1"/>
  <c r="B3452" i="1"/>
  <c r="A3452" i="1"/>
  <c r="F3451" i="1"/>
  <c r="E3451" i="1"/>
  <c r="D3451" i="1"/>
  <c r="C3451" i="1"/>
  <c r="B3451" i="1"/>
  <c r="A3451" i="1"/>
  <c r="F3450" i="1"/>
  <c r="E3450" i="1"/>
  <c r="D3450" i="1"/>
  <c r="C3450" i="1"/>
  <c r="B3450" i="1"/>
  <c r="A3450" i="1"/>
  <c r="F3449" i="1"/>
  <c r="E3449" i="1"/>
  <c r="D3449" i="1"/>
  <c r="C3449" i="1"/>
  <c r="B3449" i="1"/>
  <c r="A3449" i="1"/>
  <c r="F3448" i="1"/>
  <c r="E3448" i="1"/>
  <c r="D3448" i="1"/>
  <c r="C3448" i="1"/>
  <c r="B3448" i="1"/>
  <c r="A3448" i="1"/>
  <c r="F3447" i="1"/>
  <c r="E3447" i="1"/>
  <c r="D3447" i="1"/>
  <c r="C3447" i="1"/>
  <c r="B3447" i="1"/>
  <c r="A3447" i="1"/>
  <c r="F3446" i="1"/>
  <c r="E3446" i="1"/>
  <c r="D3446" i="1"/>
  <c r="C3446" i="1"/>
  <c r="B3446" i="1"/>
  <c r="A3446" i="1"/>
  <c r="F3445" i="1"/>
  <c r="E3445" i="1"/>
  <c r="D3445" i="1"/>
  <c r="C3445" i="1"/>
  <c r="B3445" i="1"/>
  <c r="A3445" i="1"/>
  <c r="F3444" i="1"/>
  <c r="E3444" i="1"/>
  <c r="D3444" i="1"/>
  <c r="C3444" i="1"/>
  <c r="B3444" i="1"/>
  <c r="A3444" i="1"/>
  <c r="F3443" i="1"/>
  <c r="E3443" i="1"/>
  <c r="D3443" i="1"/>
  <c r="C3443" i="1"/>
  <c r="B3443" i="1"/>
  <c r="A3443" i="1"/>
  <c r="F3442" i="1"/>
  <c r="E3442" i="1"/>
  <c r="D3442" i="1"/>
  <c r="C3442" i="1"/>
  <c r="B3442" i="1"/>
  <c r="A3442" i="1"/>
  <c r="F3441" i="1"/>
  <c r="E3441" i="1"/>
  <c r="D3441" i="1"/>
  <c r="C3441" i="1"/>
  <c r="B3441" i="1"/>
  <c r="A3441" i="1"/>
  <c r="F3440" i="1"/>
  <c r="E3440" i="1"/>
  <c r="D3440" i="1"/>
  <c r="C3440" i="1"/>
  <c r="B3440" i="1"/>
  <c r="A3440" i="1"/>
  <c r="F3439" i="1"/>
  <c r="E3439" i="1"/>
  <c r="D3439" i="1"/>
  <c r="C3439" i="1"/>
  <c r="B3439" i="1"/>
  <c r="A3439" i="1"/>
  <c r="F3438" i="1"/>
  <c r="E3438" i="1"/>
  <c r="D3438" i="1"/>
  <c r="C3438" i="1"/>
  <c r="B3438" i="1"/>
  <c r="A3438" i="1"/>
  <c r="F3437" i="1"/>
  <c r="E3437" i="1"/>
  <c r="D3437" i="1"/>
  <c r="C3437" i="1"/>
  <c r="B3437" i="1"/>
  <c r="A3437" i="1"/>
  <c r="F3436" i="1"/>
  <c r="E3436" i="1"/>
  <c r="D3436" i="1"/>
  <c r="C3436" i="1"/>
  <c r="B3436" i="1"/>
  <c r="A3436" i="1"/>
  <c r="F3435" i="1"/>
  <c r="E3435" i="1"/>
  <c r="D3435" i="1"/>
  <c r="C3435" i="1"/>
  <c r="B3435" i="1"/>
  <c r="A3435" i="1"/>
  <c r="F3434" i="1"/>
  <c r="E3434" i="1"/>
  <c r="D3434" i="1"/>
  <c r="C3434" i="1"/>
  <c r="B3434" i="1"/>
  <c r="A3434" i="1"/>
  <c r="F3433" i="1"/>
  <c r="E3433" i="1"/>
  <c r="D3433" i="1"/>
  <c r="C3433" i="1"/>
  <c r="B3433" i="1"/>
  <c r="A3433" i="1"/>
  <c r="F3432" i="1"/>
  <c r="E3432" i="1"/>
  <c r="D3432" i="1"/>
  <c r="C3432" i="1"/>
  <c r="B3432" i="1"/>
  <c r="A3432" i="1"/>
  <c r="F3431" i="1"/>
  <c r="E3431" i="1"/>
  <c r="D3431" i="1"/>
  <c r="C3431" i="1"/>
  <c r="B3431" i="1"/>
  <c r="A3431" i="1"/>
  <c r="F3430" i="1"/>
  <c r="E3430" i="1"/>
  <c r="D3430" i="1"/>
  <c r="C3430" i="1"/>
  <c r="B3430" i="1"/>
  <c r="A3430" i="1"/>
  <c r="F3429" i="1"/>
  <c r="E3429" i="1"/>
  <c r="D3429" i="1"/>
  <c r="C3429" i="1"/>
  <c r="B3429" i="1"/>
  <c r="A3429" i="1"/>
  <c r="F3428" i="1"/>
  <c r="E3428" i="1"/>
  <c r="D3428" i="1"/>
  <c r="C3428" i="1"/>
  <c r="B3428" i="1"/>
  <c r="A3428" i="1"/>
  <c r="F3427" i="1"/>
  <c r="E3427" i="1"/>
  <c r="D3427" i="1"/>
  <c r="C3427" i="1"/>
  <c r="B3427" i="1"/>
  <c r="A3427" i="1"/>
  <c r="F3426" i="1"/>
  <c r="E3426" i="1"/>
  <c r="D3426" i="1"/>
  <c r="C3426" i="1"/>
  <c r="B3426" i="1"/>
  <c r="A3426" i="1"/>
  <c r="F3425" i="1"/>
  <c r="E3425" i="1"/>
  <c r="D3425" i="1"/>
  <c r="C3425" i="1"/>
  <c r="B3425" i="1"/>
  <c r="A3425" i="1"/>
  <c r="F3424" i="1"/>
  <c r="E3424" i="1"/>
  <c r="D3424" i="1"/>
  <c r="C3424" i="1"/>
  <c r="B3424" i="1"/>
  <c r="A3424" i="1"/>
  <c r="F3423" i="1"/>
  <c r="E3423" i="1"/>
  <c r="D3423" i="1"/>
  <c r="C3423" i="1"/>
  <c r="B3423" i="1"/>
  <c r="A3423" i="1"/>
  <c r="F3422" i="1"/>
  <c r="E3422" i="1"/>
  <c r="D3422" i="1"/>
  <c r="C3422" i="1"/>
  <c r="B3422" i="1"/>
  <c r="A3422" i="1"/>
  <c r="F3421" i="1"/>
  <c r="E3421" i="1"/>
  <c r="D3421" i="1"/>
  <c r="C3421" i="1"/>
  <c r="B3421" i="1"/>
  <c r="A3421" i="1"/>
  <c r="F3420" i="1"/>
  <c r="E3420" i="1"/>
  <c r="D3420" i="1"/>
  <c r="C3420" i="1"/>
  <c r="B3420" i="1"/>
  <c r="A3420" i="1"/>
  <c r="F3419" i="1"/>
  <c r="E3419" i="1"/>
  <c r="D3419" i="1"/>
  <c r="C3419" i="1"/>
  <c r="B3419" i="1"/>
  <c r="A3419" i="1"/>
  <c r="F3418" i="1"/>
  <c r="E3418" i="1"/>
  <c r="D3418" i="1"/>
  <c r="C3418" i="1"/>
  <c r="B3418" i="1"/>
  <c r="A3418" i="1"/>
  <c r="F3417" i="1"/>
  <c r="E3417" i="1"/>
  <c r="D3417" i="1"/>
  <c r="C3417" i="1"/>
  <c r="B3417" i="1"/>
  <c r="A3417" i="1"/>
  <c r="F3416" i="1"/>
  <c r="E3416" i="1"/>
  <c r="D3416" i="1"/>
  <c r="C3416" i="1"/>
  <c r="B3416" i="1"/>
  <c r="A3416" i="1"/>
  <c r="F3415" i="1"/>
  <c r="E3415" i="1"/>
  <c r="D3415" i="1"/>
  <c r="C3415" i="1"/>
  <c r="B3415" i="1"/>
  <c r="A3415" i="1"/>
  <c r="F3414" i="1"/>
  <c r="E3414" i="1"/>
  <c r="D3414" i="1"/>
  <c r="C3414" i="1"/>
  <c r="B3414" i="1"/>
  <c r="A3414" i="1"/>
  <c r="F3413" i="1"/>
  <c r="E3413" i="1"/>
  <c r="D3413" i="1"/>
  <c r="C3413" i="1"/>
  <c r="B3413" i="1"/>
  <c r="A3413" i="1"/>
  <c r="F3412" i="1"/>
  <c r="E3412" i="1"/>
  <c r="D3412" i="1"/>
  <c r="C3412" i="1"/>
  <c r="B3412" i="1"/>
  <c r="A3412" i="1"/>
  <c r="F3411" i="1"/>
  <c r="E3411" i="1"/>
  <c r="D3411" i="1"/>
  <c r="C3411" i="1"/>
  <c r="B3411" i="1"/>
  <c r="A3411" i="1"/>
  <c r="F3410" i="1"/>
  <c r="E3410" i="1"/>
  <c r="D3410" i="1"/>
  <c r="C3410" i="1"/>
  <c r="B3410" i="1"/>
  <c r="A3410" i="1"/>
  <c r="F3409" i="1"/>
  <c r="E3409" i="1"/>
  <c r="D3409" i="1"/>
  <c r="C3409" i="1"/>
  <c r="B3409" i="1"/>
  <c r="A3409" i="1"/>
  <c r="F3408" i="1"/>
  <c r="E3408" i="1"/>
  <c r="D3408" i="1"/>
  <c r="C3408" i="1"/>
  <c r="B3408" i="1"/>
  <c r="A3408" i="1"/>
  <c r="F3407" i="1"/>
  <c r="E3407" i="1"/>
  <c r="D3407" i="1"/>
  <c r="C3407" i="1"/>
  <c r="B3407" i="1"/>
  <c r="A3407" i="1"/>
  <c r="F3406" i="1"/>
  <c r="E3406" i="1"/>
  <c r="D3406" i="1"/>
  <c r="C3406" i="1"/>
  <c r="B3406" i="1"/>
  <c r="A3406" i="1"/>
  <c r="F3405" i="1"/>
  <c r="E3405" i="1"/>
  <c r="D3405" i="1"/>
  <c r="C3405" i="1"/>
  <c r="B3405" i="1"/>
  <c r="A3405" i="1"/>
  <c r="F3404" i="1"/>
  <c r="E3404" i="1"/>
  <c r="D3404" i="1"/>
  <c r="C3404" i="1"/>
  <c r="B3404" i="1"/>
  <c r="A3404" i="1"/>
  <c r="F3403" i="1"/>
  <c r="E3403" i="1"/>
  <c r="D3403" i="1"/>
  <c r="C3403" i="1"/>
  <c r="B3403" i="1"/>
  <c r="A3403" i="1"/>
  <c r="F3402" i="1"/>
  <c r="E3402" i="1"/>
  <c r="D3402" i="1"/>
  <c r="C3402" i="1"/>
  <c r="B3402" i="1"/>
  <c r="A3402" i="1"/>
  <c r="F3401" i="1"/>
  <c r="E3401" i="1"/>
  <c r="D3401" i="1"/>
  <c r="C3401" i="1"/>
  <c r="B3401" i="1"/>
  <c r="A3401" i="1"/>
  <c r="F3400" i="1"/>
  <c r="E3400" i="1"/>
  <c r="D3400" i="1"/>
  <c r="C3400" i="1"/>
  <c r="B3400" i="1"/>
  <c r="A3400" i="1"/>
  <c r="F3399" i="1"/>
  <c r="E3399" i="1"/>
  <c r="D3399" i="1"/>
  <c r="C3399" i="1"/>
  <c r="B3399" i="1"/>
  <c r="A3399" i="1"/>
  <c r="F3398" i="1"/>
  <c r="E3398" i="1"/>
  <c r="D3398" i="1"/>
  <c r="C3398" i="1"/>
  <c r="B3398" i="1"/>
  <c r="A3398" i="1"/>
  <c r="F3397" i="1"/>
  <c r="E3397" i="1"/>
  <c r="D3397" i="1"/>
  <c r="C3397" i="1"/>
  <c r="B3397" i="1"/>
  <c r="A3397" i="1"/>
  <c r="F3396" i="1"/>
  <c r="E3396" i="1"/>
  <c r="D3396" i="1"/>
  <c r="C3396" i="1"/>
  <c r="B3396" i="1"/>
  <c r="A3396" i="1"/>
  <c r="F3395" i="1"/>
  <c r="E3395" i="1"/>
  <c r="D3395" i="1"/>
  <c r="C3395" i="1"/>
  <c r="B3395" i="1"/>
  <c r="A3395" i="1"/>
  <c r="F3394" i="1"/>
  <c r="E3394" i="1"/>
  <c r="D3394" i="1"/>
  <c r="C3394" i="1"/>
  <c r="B3394" i="1"/>
  <c r="A3394" i="1"/>
  <c r="F3393" i="1"/>
  <c r="E3393" i="1"/>
  <c r="D3393" i="1"/>
  <c r="C3393" i="1"/>
  <c r="B3393" i="1"/>
  <c r="A3393" i="1"/>
  <c r="F3392" i="1"/>
  <c r="E3392" i="1"/>
  <c r="D3392" i="1"/>
  <c r="C3392" i="1"/>
  <c r="B3392" i="1"/>
  <c r="A3392" i="1"/>
  <c r="F3391" i="1"/>
  <c r="E3391" i="1"/>
  <c r="D3391" i="1"/>
  <c r="C3391" i="1"/>
  <c r="B3391" i="1"/>
  <c r="A3391" i="1"/>
  <c r="F3390" i="1"/>
  <c r="E3390" i="1"/>
  <c r="D3390" i="1"/>
  <c r="C3390" i="1"/>
  <c r="B3390" i="1"/>
  <c r="A3390" i="1"/>
  <c r="F3389" i="1"/>
  <c r="E3389" i="1"/>
  <c r="D3389" i="1"/>
  <c r="C3389" i="1"/>
  <c r="B3389" i="1"/>
  <c r="A3389" i="1"/>
  <c r="F3388" i="1"/>
  <c r="E3388" i="1"/>
  <c r="D3388" i="1"/>
  <c r="C3388" i="1"/>
  <c r="B3388" i="1"/>
  <c r="A3388" i="1"/>
  <c r="F3387" i="1"/>
  <c r="E3387" i="1"/>
  <c r="D3387" i="1"/>
  <c r="C3387" i="1"/>
  <c r="B3387" i="1"/>
  <c r="A3387" i="1"/>
  <c r="F3386" i="1"/>
  <c r="E3386" i="1"/>
  <c r="D3386" i="1"/>
  <c r="C3386" i="1"/>
  <c r="B3386" i="1"/>
  <c r="A3386" i="1"/>
  <c r="F3385" i="1"/>
  <c r="E3385" i="1"/>
  <c r="D3385" i="1"/>
  <c r="C3385" i="1"/>
  <c r="B3385" i="1"/>
  <c r="A3385" i="1"/>
  <c r="F3384" i="1"/>
  <c r="E3384" i="1"/>
  <c r="D3384" i="1"/>
  <c r="C3384" i="1"/>
  <c r="B3384" i="1"/>
  <c r="A3384" i="1"/>
  <c r="F3383" i="1"/>
  <c r="E3383" i="1"/>
  <c r="D3383" i="1"/>
  <c r="C3383" i="1"/>
  <c r="B3383" i="1"/>
  <c r="A3383" i="1"/>
  <c r="F3382" i="1"/>
  <c r="E3382" i="1"/>
  <c r="D3382" i="1"/>
  <c r="C3382" i="1"/>
  <c r="B3382" i="1"/>
  <c r="A3382" i="1"/>
  <c r="F3381" i="1"/>
  <c r="E3381" i="1"/>
  <c r="D3381" i="1"/>
  <c r="C3381" i="1"/>
  <c r="B3381" i="1"/>
  <c r="A3381" i="1"/>
  <c r="F3380" i="1"/>
  <c r="E3380" i="1"/>
  <c r="D3380" i="1"/>
  <c r="C3380" i="1"/>
  <c r="B3380" i="1"/>
  <c r="A3380" i="1"/>
  <c r="F3379" i="1"/>
  <c r="E3379" i="1"/>
  <c r="D3379" i="1"/>
  <c r="C3379" i="1"/>
  <c r="B3379" i="1"/>
  <c r="A3379" i="1"/>
  <c r="F3378" i="1"/>
  <c r="E3378" i="1"/>
  <c r="D3378" i="1"/>
  <c r="C3378" i="1"/>
  <c r="B3378" i="1"/>
  <c r="A3378" i="1"/>
  <c r="F3377" i="1"/>
  <c r="E3377" i="1"/>
  <c r="D3377" i="1"/>
  <c r="C3377" i="1"/>
  <c r="B3377" i="1"/>
  <c r="A3377" i="1"/>
  <c r="F3376" i="1"/>
  <c r="E3376" i="1"/>
  <c r="D3376" i="1"/>
  <c r="C3376" i="1"/>
  <c r="B3376" i="1"/>
  <c r="A3376" i="1"/>
  <c r="F3375" i="1"/>
  <c r="E3375" i="1"/>
  <c r="D3375" i="1"/>
  <c r="C3375" i="1"/>
  <c r="B3375" i="1"/>
  <c r="A3375" i="1"/>
  <c r="F3374" i="1"/>
  <c r="E3374" i="1"/>
  <c r="D3374" i="1"/>
  <c r="C3374" i="1"/>
  <c r="B3374" i="1"/>
  <c r="A3374" i="1"/>
  <c r="F3373" i="1"/>
  <c r="E3373" i="1"/>
  <c r="D3373" i="1"/>
  <c r="C3373" i="1"/>
  <c r="B3373" i="1"/>
  <c r="A3373" i="1"/>
  <c r="F3372" i="1"/>
  <c r="E3372" i="1"/>
  <c r="D3372" i="1"/>
  <c r="C3372" i="1"/>
  <c r="B3372" i="1"/>
  <c r="A3372" i="1"/>
  <c r="F3371" i="1"/>
  <c r="E3371" i="1"/>
  <c r="D3371" i="1"/>
  <c r="C3371" i="1"/>
  <c r="B3371" i="1"/>
  <c r="A3371" i="1"/>
  <c r="F3370" i="1"/>
  <c r="E3370" i="1"/>
  <c r="D3370" i="1"/>
  <c r="C3370" i="1"/>
  <c r="B3370" i="1"/>
  <c r="A3370" i="1"/>
  <c r="F3369" i="1"/>
  <c r="E3369" i="1"/>
  <c r="D3369" i="1"/>
  <c r="C3369" i="1"/>
  <c r="B3369" i="1"/>
  <c r="A3369" i="1"/>
  <c r="F3368" i="1"/>
  <c r="E3368" i="1"/>
  <c r="D3368" i="1"/>
  <c r="C3368" i="1"/>
  <c r="B3368" i="1"/>
  <c r="A3368" i="1"/>
  <c r="F3367" i="1"/>
  <c r="E3367" i="1"/>
  <c r="D3367" i="1"/>
  <c r="C3367" i="1"/>
  <c r="B3367" i="1"/>
  <c r="A3367" i="1"/>
  <c r="F3366" i="1"/>
  <c r="E3366" i="1"/>
  <c r="D3366" i="1"/>
  <c r="C3366" i="1"/>
  <c r="B3366" i="1"/>
  <c r="A3366" i="1"/>
  <c r="F3365" i="1"/>
  <c r="E3365" i="1"/>
  <c r="D3365" i="1"/>
  <c r="C3365" i="1"/>
  <c r="B3365" i="1"/>
  <c r="A3365" i="1"/>
  <c r="F3364" i="1"/>
  <c r="E3364" i="1"/>
  <c r="D3364" i="1"/>
  <c r="C3364" i="1"/>
  <c r="B3364" i="1"/>
  <c r="A3364" i="1"/>
  <c r="F3363" i="1"/>
  <c r="E3363" i="1"/>
  <c r="D3363" i="1"/>
  <c r="C3363" i="1"/>
  <c r="B3363" i="1"/>
  <c r="A3363" i="1"/>
  <c r="F3362" i="1"/>
  <c r="E3362" i="1"/>
  <c r="D3362" i="1"/>
  <c r="C3362" i="1"/>
  <c r="B3362" i="1"/>
  <c r="A3362" i="1"/>
  <c r="F3361" i="1"/>
  <c r="E3361" i="1"/>
  <c r="D3361" i="1"/>
  <c r="C3361" i="1"/>
  <c r="B3361" i="1"/>
  <c r="A3361" i="1"/>
  <c r="F3360" i="1"/>
  <c r="E3360" i="1"/>
  <c r="D3360" i="1"/>
  <c r="C3360" i="1"/>
  <c r="B3360" i="1"/>
  <c r="A3360" i="1"/>
  <c r="F3359" i="1"/>
  <c r="E3359" i="1"/>
  <c r="D3359" i="1"/>
  <c r="C3359" i="1"/>
  <c r="B3359" i="1"/>
  <c r="A3359" i="1"/>
  <c r="F3358" i="1"/>
  <c r="E3358" i="1"/>
  <c r="D3358" i="1"/>
  <c r="C3358" i="1"/>
  <c r="B3358" i="1"/>
  <c r="A3358" i="1"/>
  <c r="F3357" i="1"/>
  <c r="E3357" i="1"/>
  <c r="D3357" i="1"/>
  <c r="C3357" i="1"/>
  <c r="B3357" i="1"/>
  <c r="A3357" i="1"/>
  <c r="F3356" i="1"/>
  <c r="E3356" i="1"/>
  <c r="D3356" i="1"/>
  <c r="C3356" i="1"/>
  <c r="B3356" i="1"/>
  <c r="A3356" i="1"/>
  <c r="F3355" i="1"/>
  <c r="E3355" i="1"/>
  <c r="D3355" i="1"/>
  <c r="C3355" i="1"/>
  <c r="B3355" i="1"/>
  <c r="A3355" i="1"/>
  <c r="F3354" i="1"/>
  <c r="E3354" i="1"/>
  <c r="D3354" i="1"/>
  <c r="C3354" i="1"/>
  <c r="B3354" i="1"/>
  <c r="A3354" i="1"/>
  <c r="F3353" i="1"/>
  <c r="E3353" i="1"/>
  <c r="D3353" i="1"/>
  <c r="C3353" i="1"/>
  <c r="B3353" i="1"/>
  <c r="A3353" i="1"/>
  <c r="F3352" i="1"/>
  <c r="E3352" i="1"/>
  <c r="D3352" i="1"/>
  <c r="C3352" i="1"/>
  <c r="B3352" i="1"/>
  <c r="A3352" i="1"/>
  <c r="F3351" i="1"/>
  <c r="E3351" i="1"/>
  <c r="D3351" i="1"/>
  <c r="C3351" i="1"/>
  <c r="B3351" i="1"/>
  <c r="A3351" i="1"/>
  <c r="F3350" i="1"/>
  <c r="E3350" i="1"/>
  <c r="D3350" i="1"/>
  <c r="C3350" i="1"/>
  <c r="B3350" i="1"/>
  <c r="A3350" i="1"/>
  <c r="F3349" i="1"/>
  <c r="E3349" i="1"/>
  <c r="D3349" i="1"/>
  <c r="C3349" i="1"/>
  <c r="B3349" i="1"/>
  <c r="A3349" i="1"/>
  <c r="F3348" i="1"/>
  <c r="E3348" i="1"/>
  <c r="D3348" i="1"/>
  <c r="C3348" i="1"/>
  <c r="B3348" i="1"/>
  <c r="A3348" i="1"/>
  <c r="F3347" i="1"/>
  <c r="E3347" i="1"/>
  <c r="D3347" i="1"/>
  <c r="C3347" i="1"/>
  <c r="B3347" i="1"/>
  <c r="A3347" i="1"/>
  <c r="F3346" i="1"/>
  <c r="E3346" i="1"/>
  <c r="D3346" i="1"/>
  <c r="C3346" i="1"/>
  <c r="B3346" i="1"/>
  <c r="A3346" i="1"/>
  <c r="F3345" i="1"/>
  <c r="E3345" i="1"/>
  <c r="D3345" i="1"/>
  <c r="C3345" i="1"/>
  <c r="B3345" i="1"/>
  <c r="A3345" i="1"/>
  <c r="F3344" i="1"/>
  <c r="E3344" i="1"/>
  <c r="D3344" i="1"/>
  <c r="C3344" i="1"/>
  <c r="B3344" i="1"/>
  <c r="A3344" i="1"/>
  <c r="F3343" i="1"/>
  <c r="E3343" i="1"/>
  <c r="D3343" i="1"/>
  <c r="C3343" i="1"/>
  <c r="B3343" i="1"/>
  <c r="A3343" i="1"/>
  <c r="F3342" i="1"/>
  <c r="E3342" i="1"/>
  <c r="D3342" i="1"/>
  <c r="C3342" i="1"/>
  <c r="B3342" i="1"/>
  <c r="A3342" i="1"/>
  <c r="F3341" i="1"/>
  <c r="E3341" i="1"/>
  <c r="D3341" i="1"/>
  <c r="C3341" i="1"/>
  <c r="B3341" i="1"/>
  <c r="A3341" i="1"/>
  <c r="F3340" i="1"/>
  <c r="E3340" i="1"/>
  <c r="D3340" i="1"/>
  <c r="C3340" i="1"/>
  <c r="B3340" i="1"/>
  <c r="A3340" i="1"/>
  <c r="F3339" i="1"/>
  <c r="E3339" i="1"/>
  <c r="D3339" i="1"/>
  <c r="C3339" i="1"/>
  <c r="B3339" i="1"/>
  <c r="A3339" i="1"/>
  <c r="F3338" i="1"/>
  <c r="E3338" i="1"/>
  <c r="D3338" i="1"/>
  <c r="C3338" i="1"/>
  <c r="B3338" i="1"/>
  <c r="A3338" i="1"/>
  <c r="F3337" i="1"/>
  <c r="E3337" i="1"/>
  <c r="D3337" i="1"/>
  <c r="C3337" i="1"/>
  <c r="B3337" i="1"/>
  <c r="A3337" i="1"/>
  <c r="F3336" i="1"/>
  <c r="E3336" i="1"/>
  <c r="D3336" i="1"/>
  <c r="C3336" i="1"/>
  <c r="B3336" i="1"/>
  <c r="A3336" i="1"/>
  <c r="F3335" i="1"/>
  <c r="E3335" i="1"/>
  <c r="D3335" i="1"/>
  <c r="C3335" i="1"/>
  <c r="B3335" i="1"/>
  <c r="A3335" i="1"/>
  <c r="F3334" i="1"/>
  <c r="E3334" i="1"/>
  <c r="D3334" i="1"/>
  <c r="C3334" i="1"/>
  <c r="B3334" i="1"/>
  <c r="A3334" i="1"/>
  <c r="F3333" i="1"/>
  <c r="E3333" i="1"/>
  <c r="D3333" i="1"/>
  <c r="C3333" i="1"/>
  <c r="B3333" i="1"/>
  <c r="A3333" i="1"/>
  <c r="F3332" i="1"/>
  <c r="E3332" i="1"/>
  <c r="D3332" i="1"/>
  <c r="C3332" i="1"/>
  <c r="B3332" i="1"/>
  <c r="A3332" i="1"/>
  <c r="F3331" i="1"/>
  <c r="E3331" i="1"/>
  <c r="D3331" i="1"/>
  <c r="C3331" i="1"/>
  <c r="B3331" i="1"/>
  <c r="A3331" i="1"/>
  <c r="F3330" i="1"/>
  <c r="E3330" i="1"/>
  <c r="D3330" i="1"/>
  <c r="C3330" i="1"/>
  <c r="B3330" i="1"/>
  <c r="A3330" i="1"/>
  <c r="F3329" i="1"/>
  <c r="E3329" i="1"/>
  <c r="D3329" i="1"/>
  <c r="C3329" i="1"/>
  <c r="B3329" i="1"/>
  <c r="A3329" i="1"/>
  <c r="F3328" i="1"/>
  <c r="E3328" i="1"/>
  <c r="D3328" i="1"/>
  <c r="C3328" i="1"/>
  <c r="B3328" i="1"/>
  <c r="A3328" i="1"/>
  <c r="F3327" i="1"/>
  <c r="E3327" i="1"/>
  <c r="D3327" i="1"/>
  <c r="C3327" i="1"/>
  <c r="B3327" i="1"/>
  <c r="A3327" i="1"/>
  <c r="F3326" i="1"/>
  <c r="E3326" i="1"/>
  <c r="D3326" i="1"/>
  <c r="C3326" i="1"/>
  <c r="B3326" i="1"/>
  <c r="A3326" i="1"/>
  <c r="F3325" i="1"/>
  <c r="E3325" i="1"/>
  <c r="D3325" i="1"/>
  <c r="C3325" i="1"/>
  <c r="B3325" i="1"/>
  <c r="A3325" i="1"/>
  <c r="F3324" i="1"/>
  <c r="E3324" i="1"/>
  <c r="D3324" i="1"/>
  <c r="C3324" i="1"/>
  <c r="B3324" i="1"/>
  <c r="A3324" i="1"/>
  <c r="F3323" i="1"/>
  <c r="E3323" i="1"/>
  <c r="D3323" i="1"/>
  <c r="C3323" i="1"/>
  <c r="B3323" i="1"/>
  <c r="A3323" i="1"/>
  <c r="F3322" i="1"/>
  <c r="E3322" i="1"/>
  <c r="D3322" i="1"/>
  <c r="C3322" i="1"/>
  <c r="B3322" i="1"/>
  <c r="A3322" i="1"/>
  <c r="F3321" i="1"/>
  <c r="E3321" i="1"/>
  <c r="D3321" i="1"/>
  <c r="C3321" i="1"/>
  <c r="B3321" i="1"/>
  <c r="A3321" i="1"/>
  <c r="F3320" i="1"/>
  <c r="E3320" i="1"/>
  <c r="D3320" i="1"/>
  <c r="C3320" i="1"/>
  <c r="B3320" i="1"/>
  <c r="A3320" i="1"/>
  <c r="F3319" i="1"/>
  <c r="E3319" i="1"/>
  <c r="D3319" i="1"/>
  <c r="C3319" i="1"/>
  <c r="B3319" i="1"/>
  <c r="A3319" i="1"/>
  <c r="F3318" i="1"/>
  <c r="E3318" i="1"/>
  <c r="D3318" i="1"/>
  <c r="C3318" i="1"/>
  <c r="B3318" i="1"/>
  <c r="A3318" i="1"/>
  <c r="F3317" i="1"/>
  <c r="E3317" i="1"/>
  <c r="D3317" i="1"/>
  <c r="C3317" i="1"/>
  <c r="B3317" i="1"/>
  <c r="A3317" i="1"/>
  <c r="F3316" i="1"/>
  <c r="E3316" i="1"/>
  <c r="D3316" i="1"/>
  <c r="C3316" i="1"/>
  <c r="B3316" i="1"/>
  <c r="A3316" i="1"/>
  <c r="F3315" i="1"/>
  <c r="E3315" i="1"/>
  <c r="D3315" i="1"/>
  <c r="C3315" i="1"/>
  <c r="B3315" i="1"/>
  <c r="A3315" i="1"/>
  <c r="F3314" i="1"/>
  <c r="E3314" i="1"/>
  <c r="D3314" i="1"/>
  <c r="C3314" i="1"/>
  <c r="B3314" i="1"/>
  <c r="A3314" i="1"/>
  <c r="F3313" i="1"/>
  <c r="E3313" i="1"/>
  <c r="D3313" i="1"/>
  <c r="C3313" i="1"/>
  <c r="B3313" i="1"/>
  <c r="A3313" i="1"/>
  <c r="F3312" i="1"/>
  <c r="E3312" i="1"/>
  <c r="D3312" i="1"/>
  <c r="C3312" i="1"/>
  <c r="B3312" i="1"/>
  <c r="A3312" i="1"/>
  <c r="F3311" i="1"/>
  <c r="E3311" i="1"/>
  <c r="D3311" i="1"/>
  <c r="C3311" i="1"/>
  <c r="B3311" i="1"/>
  <c r="A3311" i="1"/>
  <c r="F3310" i="1"/>
  <c r="E3310" i="1"/>
  <c r="D3310" i="1"/>
  <c r="C3310" i="1"/>
  <c r="B3310" i="1"/>
  <c r="A3310" i="1"/>
  <c r="F3309" i="1"/>
  <c r="E3309" i="1"/>
  <c r="D3309" i="1"/>
  <c r="C3309" i="1"/>
  <c r="B3309" i="1"/>
  <c r="A3309" i="1"/>
  <c r="F3308" i="1"/>
  <c r="E3308" i="1"/>
  <c r="D3308" i="1"/>
  <c r="C3308" i="1"/>
  <c r="B3308" i="1"/>
  <c r="A3308" i="1"/>
  <c r="F3307" i="1"/>
  <c r="E3307" i="1"/>
  <c r="D3307" i="1"/>
  <c r="C3307" i="1"/>
  <c r="B3307" i="1"/>
  <c r="A3307" i="1"/>
  <c r="F3306" i="1"/>
  <c r="E3306" i="1"/>
  <c r="D3306" i="1"/>
  <c r="C3306" i="1"/>
  <c r="B3306" i="1"/>
  <c r="A3306" i="1"/>
  <c r="F3305" i="1"/>
  <c r="E3305" i="1"/>
  <c r="D3305" i="1"/>
  <c r="C3305" i="1"/>
  <c r="B3305" i="1"/>
  <c r="A3305" i="1"/>
  <c r="F3304" i="1"/>
  <c r="E3304" i="1"/>
  <c r="D3304" i="1"/>
  <c r="C3304" i="1"/>
  <c r="B3304" i="1"/>
  <c r="A3304" i="1"/>
  <c r="F3303" i="1"/>
  <c r="E3303" i="1"/>
  <c r="D3303" i="1"/>
  <c r="C3303" i="1"/>
  <c r="B3303" i="1"/>
  <c r="A3303" i="1"/>
  <c r="F3302" i="1"/>
  <c r="E3302" i="1"/>
  <c r="D3302" i="1"/>
  <c r="C3302" i="1"/>
  <c r="B3302" i="1"/>
  <c r="A3302" i="1"/>
  <c r="F3301" i="1"/>
  <c r="E3301" i="1"/>
  <c r="D3301" i="1"/>
  <c r="C3301" i="1"/>
  <c r="B3301" i="1"/>
  <c r="A3301" i="1"/>
  <c r="F3300" i="1"/>
  <c r="E3300" i="1"/>
  <c r="D3300" i="1"/>
  <c r="C3300" i="1"/>
  <c r="B3300" i="1"/>
  <c r="A3300" i="1"/>
  <c r="F3299" i="1"/>
  <c r="E3299" i="1"/>
  <c r="D3299" i="1"/>
  <c r="C3299" i="1"/>
  <c r="B3299" i="1"/>
  <c r="A3299" i="1"/>
  <c r="F3298" i="1"/>
  <c r="E3298" i="1"/>
  <c r="D3298" i="1"/>
  <c r="C3298" i="1"/>
  <c r="B3298" i="1"/>
  <c r="A3298" i="1"/>
  <c r="F3297" i="1"/>
  <c r="E3297" i="1"/>
  <c r="D3297" i="1"/>
  <c r="C3297" i="1"/>
  <c r="B3297" i="1"/>
  <c r="A3297" i="1"/>
  <c r="F3296" i="1"/>
  <c r="E3296" i="1"/>
  <c r="D3296" i="1"/>
  <c r="C3296" i="1"/>
  <c r="B3296" i="1"/>
  <c r="A3296" i="1"/>
  <c r="F3295" i="1"/>
  <c r="E3295" i="1"/>
  <c r="D3295" i="1"/>
  <c r="C3295" i="1"/>
  <c r="B3295" i="1"/>
  <c r="A3295" i="1"/>
  <c r="F3294" i="1"/>
  <c r="E3294" i="1"/>
  <c r="D3294" i="1"/>
  <c r="C3294" i="1"/>
  <c r="B3294" i="1"/>
  <c r="A3294" i="1"/>
  <c r="F3293" i="1"/>
  <c r="E3293" i="1"/>
  <c r="D3293" i="1"/>
  <c r="C3293" i="1"/>
  <c r="B3293" i="1"/>
  <c r="A3293" i="1"/>
  <c r="F3292" i="1"/>
  <c r="E3292" i="1"/>
  <c r="D3292" i="1"/>
  <c r="C3292" i="1"/>
  <c r="B3292" i="1"/>
  <c r="A3292" i="1"/>
  <c r="F3291" i="1"/>
  <c r="E3291" i="1"/>
  <c r="D3291" i="1"/>
  <c r="C3291" i="1"/>
  <c r="B3291" i="1"/>
  <c r="A3291" i="1"/>
  <c r="F3290" i="1"/>
  <c r="E3290" i="1"/>
  <c r="D3290" i="1"/>
  <c r="C3290" i="1"/>
  <c r="B3290" i="1"/>
  <c r="A3290" i="1"/>
  <c r="F3289" i="1"/>
  <c r="E3289" i="1"/>
  <c r="D3289" i="1"/>
  <c r="C3289" i="1"/>
  <c r="B3289" i="1"/>
  <c r="A3289" i="1"/>
  <c r="F3288" i="1"/>
  <c r="E3288" i="1"/>
  <c r="D3288" i="1"/>
  <c r="C3288" i="1"/>
  <c r="B3288" i="1"/>
  <c r="A3288" i="1"/>
  <c r="F3287" i="1"/>
  <c r="E3287" i="1"/>
  <c r="D3287" i="1"/>
  <c r="C3287" i="1"/>
  <c r="B3287" i="1"/>
  <c r="A3287" i="1"/>
  <c r="F3286" i="1"/>
  <c r="E3286" i="1"/>
  <c r="D3286" i="1"/>
  <c r="C3286" i="1"/>
  <c r="B3286" i="1"/>
  <c r="A3286" i="1"/>
  <c r="F3285" i="1"/>
  <c r="E3285" i="1"/>
  <c r="D3285" i="1"/>
  <c r="C3285" i="1"/>
  <c r="B3285" i="1"/>
  <c r="A3285" i="1"/>
  <c r="F3284" i="1"/>
  <c r="E3284" i="1"/>
  <c r="D3284" i="1"/>
  <c r="C3284" i="1"/>
  <c r="B3284" i="1"/>
  <c r="A3284" i="1"/>
  <c r="F3283" i="1"/>
  <c r="E3283" i="1"/>
  <c r="D3283" i="1"/>
  <c r="C3283" i="1"/>
  <c r="B3283" i="1"/>
  <c r="A3283" i="1"/>
  <c r="F3282" i="1"/>
  <c r="E3282" i="1"/>
  <c r="D3282" i="1"/>
  <c r="C3282" i="1"/>
  <c r="B3282" i="1"/>
  <c r="A3282" i="1"/>
  <c r="F3281" i="1"/>
  <c r="E3281" i="1"/>
  <c r="D3281" i="1"/>
  <c r="C3281" i="1"/>
  <c r="B3281" i="1"/>
  <c r="A3281" i="1"/>
  <c r="F3280" i="1"/>
  <c r="E3280" i="1"/>
  <c r="D3280" i="1"/>
  <c r="C3280" i="1"/>
  <c r="B3280" i="1"/>
  <c r="A3280" i="1"/>
  <c r="F3279" i="1"/>
  <c r="E3279" i="1"/>
  <c r="D3279" i="1"/>
  <c r="C3279" i="1"/>
  <c r="B3279" i="1"/>
  <c r="A3279" i="1"/>
  <c r="F3278" i="1"/>
  <c r="E3278" i="1"/>
  <c r="D3278" i="1"/>
  <c r="C3278" i="1"/>
  <c r="B3278" i="1"/>
  <c r="A3278" i="1"/>
  <c r="F3277" i="1"/>
  <c r="E3277" i="1"/>
  <c r="D3277" i="1"/>
  <c r="C3277" i="1"/>
  <c r="B3277" i="1"/>
  <c r="A3277" i="1"/>
  <c r="F3276" i="1"/>
  <c r="E3276" i="1"/>
  <c r="D3276" i="1"/>
  <c r="C3276" i="1"/>
  <c r="B3276" i="1"/>
  <c r="A3276" i="1"/>
  <c r="F3275" i="1"/>
  <c r="E3275" i="1"/>
  <c r="D3275" i="1"/>
  <c r="C3275" i="1"/>
  <c r="B3275" i="1"/>
  <c r="A3275" i="1"/>
  <c r="F3274" i="1"/>
  <c r="E3274" i="1"/>
  <c r="D3274" i="1"/>
  <c r="C3274" i="1"/>
  <c r="B3274" i="1"/>
  <c r="A3274" i="1"/>
  <c r="F3273" i="1"/>
  <c r="E3273" i="1"/>
  <c r="D3273" i="1"/>
  <c r="C3273" i="1"/>
  <c r="B3273" i="1"/>
  <c r="A3273" i="1"/>
  <c r="F3272" i="1"/>
  <c r="E3272" i="1"/>
  <c r="D3272" i="1"/>
  <c r="C3272" i="1"/>
  <c r="B3272" i="1"/>
  <c r="A3272" i="1"/>
  <c r="F3271" i="1"/>
  <c r="E3271" i="1"/>
  <c r="D3271" i="1"/>
  <c r="C3271" i="1"/>
  <c r="B3271" i="1"/>
  <c r="A3271" i="1"/>
  <c r="F3270" i="1"/>
  <c r="E3270" i="1"/>
  <c r="D3270" i="1"/>
  <c r="C3270" i="1"/>
  <c r="B3270" i="1"/>
  <c r="A3270" i="1"/>
  <c r="F3269" i="1"/>
  <c r="E3269" i="1"/>
  <c r="D3269" i="1"/>
  <c r="C3269" i="1"/>
  <c r="B3269" i="1"/>
  <c r="A3269" i="1"/>
  <c r="F3268" i="1"/>
  <c r="E3268" i="1"/>
  <c r="D3268" i="1"/>
  <c r="C3268" i="1"/>
  <c r="B3268" i="1"/>
  <c r="A3268" i="1"/>
  <c r="F3267" i="1"/>
  <c r="E3267" i="1"/>
  <c r="D3267" i="1"/>
  <c r="C3267" i="1"/>
  <c r="B3267" i="1"/>
  <c r="A3267" i="1"/>
  <c r="F3266" i="1"/>
  <c r="E3266" i="1"/>
  <c r="D3266" i="1"/>
  <c r="C3266" i="1"/>
  <c r="B3266" i="1"/>
  <c r="A3266" i="1"/>
  <c r="F3265" i="1"/>
  <c r="E3265" i="1"/>
  <c r="D3265" i="1"/>
  <c r="C3265" i="1"/>
  <c r="B3265" i="1"/>
  <c r="A3265" i="1"/>
  <c r="F3264" i="1"/>
  <c r="E3264" i="1"/>
  <c r="D3264" i="1"/>
  <c r="C3264" i="1"/>
  <c r="B3264" i="1"/>
  <c r="A3264" i="1"/>
  <c r="F3263" i="1"/>
  <c r="E3263" i="1"/>
  <c r="D3263" i="1"/>
  <c r="C3263" i="1"/>
  <c r="B3263" i="1"/>
  <c r="A3263" i="1"/>
  <c r="F3262" i="1"/>
  <c r="E3262" i="1"/>
  <c r="D3262" i="1"/>
  <c r="C3262" i="1"/>
  <c r="B3262" i="1"/>
  <c r="A3262" i="1"/>
  <c r="F3261" i="1"/>
  <c r="E3261" i="1"/>
  <c r="D3261" i="1"/>
  <c r="C3261" i="1"/>
  <c r="B3261" i="1"/>
  <c r="A3261" i="1"/>
  <c r="F3260" i="1"/>
  <c r="E3260" i="1"/>
  <c r="D3260" i="1"/>
  <c r="C3260" i="1"/>
  <c r="B3260" i="1"/>
  <c r="A3260" i="1"/>
  <c r="F3259" i="1"/>
  <c r="E3259" i="1"/>
  <c r="D3259" i="1"/>
  <c r="C3259" i="1"/>
  <c r="B3259" i="1"/>
  <c r="A3259" i="1"/>
  <c r="F3258" i="1"/>
  <c r="E3258" i="1"/>
  <c r="D3258" i="1"/>
  <c r="C3258" i="1"/>
  <c r="B3258" i="1"/>
  <c r="A3258" i="1"/>
  <c r="F3257" i="1"/>
  <c r="E3257" i="1"/>
  <c r="D3257" i="1"/>
  <c r="C3257" i="1"/>
  <c r="B3257" i="1"/>
  <c r="A3257" i="1"/>
  <c r="F3256" i="1"/>
  <c r="E3256" i="1"/>
  <c r="D3256" i="1"/>
  <c r="C3256" i="1"/>
  <c r="B3256" i="1"/>
  <c r="A3256" i="1"/>
  <c r="F3255" i="1"/>
  <c r="E3255" i="1"/>
  <c r="D3255" i="1"/>
  <c r="C3255" i="1"/>
  <c r="B3255" i="1"/>
  <c r="A3255" i="1"/>
  <c r="F3254" i="1"/>
  <c r="E3254" i="1"/>
  <c r="D3254" i="1"/>
  <c r="C3254" i="1"/>
  <c r="B3254" i="1"/>
  <c r="A3254" i="1"/>
  <c r="F3253" i="1"/>
  <c r="E3253" i="1"/>
  <c r="D3253" i="1"/>
  <c r="C3253" i="1"/>
  <c r="B3253" i="1"/>
  <c r="A3253" i="1"/>
  <c r="F3252" i="1"/>
  <c r="E3252" i="1"/>
  <c r="D3252" i="1"/>
  <c r="C3252" i="1"/>
  <c r="B3252" i="1"/>
  <c r="A3252" i="1"/>
  <c r="F3251" i="1"/>
  <c r="E3251" i="1"/>
  <c r="D3251" i="1"/>
  <c r="C3251" i="1"/>
  <c r="B3251" i="1"/>
  <c r="A3251" i="1"/>
  <c r="F3250" i="1"/>
  <c r="E3250" i="1"/>
  <c r="D3250" i="1"/>
  <c r="C3250" i="1"/>
  <c r="B3250" i="1"/>
  <c r="A3250" i="1"/>
  <c r="F3249" i="1"/>
  <c r="E3249" i="1"/>
  <c r="D3249" i="1"/>
  <c r="C3249" i="1"/>
  <c r="B3249" i="1"/>
  <c r="A3249" i="1"/>
  <c r="F3248" i="1"/>
  <c r="E3248" i="1"/>
  <c r="D3248" i="1"/>
  <c r="C3248" i="1"/>
  <c r="B3248" i="1"/>
  <c r="A3248" i="1"/>
  <c r="F3247" i="1"/>
  <c r="E3247" i="1"/>
  <c r="D3247" i="1"/>
  <c r="C3247" i="1"/>
  <c r="B3247" i="1"/>
  <c r="A3247" i="1"/>
  <c r="F3246" i="1"/>
  <c r="E3246" i="1"/>
  <c r="D3246" i="1"/>
  <c r="C3246" i="1"/>
  <c r="B3246" i="1"/>
  <c r="A3246" i="1"/>
  <c r="F3245" i="1"/>
  <c r="E3245" i="1"/>
  <c r="D3245" i="1"/>
  <c r="C3245" i="1"/>
  <c r="B3245" i="1"/>
  <c r="A3245" i="1"/>
  <c r="F3244" i="1"/>
  <c r="E3244" i="1"/>
  <c r="D3244" i="1"/>
  <c r="C3244" i="1"/>
  <c r="B3244" i="1"/>
  <c r="A3244" i="1"/>
  <c r="F3243" i="1"/>
  <c r="E3243" i="1"/>
  <c r="D3243" i="1"/>
  <c r="C3243" i="1"/>
  <c r="B3243" i="1"/>
  <c r="A3243" i="1"/>
  <c r="F3242" i="1"/>
  <c r="E3242" i="1"/>
  <c r="D3242" i="1"/>
  <c r="C3242" i="1"/>
  <c r="B3242" i="1"/>
  <c r="A3242" i="1"/>
  <c r="F3241" i="1"/>
  <c r="E3241" i="1"/>
  <c r="D3241" i="1"/>
  <c r="C3241" i="1"/>
  <c r="B3241" i="1"/>
  <c r="A3241" i="1"/>
  <c r="F3240" i="1"/>
  <c r="E3240" i="1"/>
  <c r="D3240" i="1"/>
  <c r="C3240" i="1"/>
  <c r="B3240" i="1"/>
  <c r="A3240" i="1"/>
  <c r="F3239" i="1"/>
  <c r="E3239" i="1"/>
  <c r="D3239" i="1"/>
  <c r="C3239" i="1"/>
  <c r="B3239" i="1"/>
  <c r="A3239" i="1"/>
  <c r="F3238" i="1"/>
  <c r="E3238" i="1"/>
  <c r="D3238" i="1"/>
  <c r="C3238" i="1"/>
  <c r="B3238" i="1"/>
  <c r="A3238" i="1"/>
  <c r="F3237" i="1"/>
  <c r="E3237" i="1"/>
  <c r="D3237" i="1"/>
  <c r="C3237" i="1"/>
  <c r="B3237" i="1"/>
  <c r="A3237" i="1"/>
  <c r="F3236" i="1"/>
  <c r="E3236" i="1"/>
  <c r="D3236" i="1"/>
  <c r="C3236" i="1"/>
  <c r="B3236" i="1"/>
  <c r="A3236" i="1"/>
  <c r="F3235" i="1"/>
  <c r="E3235" i="1"/>
  <c r="D3235" i="1"/>
  <c r="C3235" i="1"/>
  <c r="B3235" i="1"/>
  <c r="A3235" i="1"/>
  <c r="F3234" i="1"/>
  <c r="E3234" i="1"/>
  <c r="D3234" i="1"/>
  <c r="C3234" i="1"/>
  <c r="B3234" i="1"/>
  <c r="A3234" i="1"/>
  <c r="F3233" i="1"/>
  <c r="E3233" i="1"/>
  <c r="D3233" i="1"/>
  <c r="C3233" i="1"/>
  <c r="B3233" i="1"/>
  <c r="A3233" i="1"/>
  <c r="F3232" i="1"/>
  <c r="E3232" i="1"/>
  <c r="D3232" i="1"/>
  <c r="C3232" i="1"/>
  <c r="B3232" i="1"/>
  <c r="A3232" i="1"/>
  <c r="F3231" i="1"/>
  <c r="E3231" i="1"/>
  <c r="D3231" i="1"/>
  <c r="C3231" i="1"/>
  <c r="B3231" i="1"/>
  <c r="A3231" i="1"/>
  <c r="F3230" i="1"/>
  <c r="E3230" i="1"/>
  <c r="D3230" i="1"/>
  <c r="C3230" i="1"/>
  <c r="B3230" i="1"/>
  <c r="A3230" i="1"/>
  <c r="F3229" i="1"/>
  <c r="E3229" i="1"/>
  <c r="D3229" i="1"/>
  <c r="C3229" i="1"/>
  <c r="B3229" i="1"/>
  <c r="A3229" i="1"/>
  <c r="F3228" i="1"/>
  <c r="E3228" i="1"/>
  <c r="D3228" i="1"/>
  <c r="C3228" i="1"/>
  <c r="B3228" i="1"/>
  <c r="A3228" i="1"/>
  <c r="F3227" i="1"/>
  <c r="E3227" i="1"/>
  <c r="D3227" i="1"/>
  <c r="C3227" i="1"/>
  <c r="B3227" i="1"/>
  <c r="A3227" i="1"/>
  <c r="F3226" i="1"/>
  <c r="E3226" i="1"/>
  <c r="D3226" i="1"/>
  <c r="C3226" i="1"/>
  <c r="B3226" i="1"/>
  <c r="A3226" i="1"/>
  <c r="F3225" i="1"/>
  <c r="E3225" i="1"/>
  <c r="D3225" i="1"/>
  <c r="C3225" i="1"/>
  <c r="B3225" i="1"/>
  <c r="A3225" i="1"/>
  <c r="F3224" i="1"/>
  <c r="E3224" i="1"/>
  <c r="D3224" i="1"/>
  <c r="C3224" i="1"/>
  <c r="B3224" i="1"/>
  <c r="A3224" i="1"/>
  <c r="F3223" i="1"/>
  <c r="E3223" i="1"/>
  <c r="D3223" i="1"/>
  <c r="C3223" i="1"/>
  <c r="B3223" i="1"/>
  <c r="A3223" i="1"/>
  <c r="F3222" i="1"/>
  <c r="E3222" i="1"/>
  <c r="D3222" i="1"/>
  <c r="C3222" i="1"/>
  <c r="B3222" i="1"/>
  <c r="A3222" i="1"/>
  <c r="F3221" i="1"/>
  <c r="E3221" i="1"/>
  <c r="D3221" i="1"/>
  <c r="C3221" i="1"/>
  <c r="B3221" i="1"/>
  <c r="A3221" i="1"/>
  <c r="F3220" i="1"/>
  <c r="E3220" i="1"/>
  <c r="D3220" i="1"/>
  <c r="C3220" i="1"/>
  <c r="B3220" i="1"/>
  <c r="A3220" i="1"/>
  <c r="F3219" i="1"/>
  <c r="E3219" i="1"/>
  <c r="D3219" i="1"/>
  <c r="C3219" i="1"/>
  <c r="B3219" i="1"/>
  <c r="A3219" i="1"/>
  <c r="F3218" i="1"/>
  <c r="E3218" i="1"/>
  <c r="D3218" i="1"/>
  <c r="C3218" i="1"/>
  <c r="B3218" i="1"/>
  <c r="A3218" i="1"/>
  <c r="F3217" i="1"/>
  <c r="E3217" i="1"/>
  <c r="D3217" i="1"/>
  <c r="C3217" i="1"/>
  <c r="B3217" i="1"/>
  <c r="A3217" i="1"/>
  <c r="F3216" i="1"/>
  <c r="E3216" i="1"/>
  <c r="D3216" i="1"/>
  <c r="C3216" i="1"/>
  <c r="B3216" i="1"/>
  <c r="A3216" i="1"/>
  <c r="F3215" i="1"/>
  <c r="E3215" i="1"/>
  <c r="D3215" i="1"/>
  <c r="C3215" i="1"/>
  <c r="B3215" i="1"/>
  <c r="A3215" i="1"/>
  <c r="F3214" i="1"/>
  <c r="E3214" i="1"/>
  <c r="D3214" i="1"/>
  <c r="C3214" i="1"/>
  <c r="B3214" i="1"/>
  <c r="A3214" i="1"/>
  <c r="F3213" i="1"/>
  <c r="E3213" i="1"/>
  <c r="D3213" i="1"/>
  <c r="C3213" i="1"/>
  <c r="B3213" i="1"/>
  <c r="A3213" i="1"/>
  <c r="F3212" i="1"/>
  <c r="E3212" i="1"/>
  <c r="D3212" i="1"/>
  <c r="C3212" i="1"/>
  <c r="B3212" i="1"/>
  <c r="A3212" i="1"/>
  <c r="F3211" i="1"/>
  <c r="E3211" i="1"/>
  <c r="D3211" i="1"/>
  <c r="C3211" i="1"/>
  <c r="B3211" i="1"/>
  <c r="A3211" i="1"/>
  <c r="F3210" i="1"/>
  <c r="E3210" i="1"/>
  <c r="D3210" i="1"/>
  <c r="C3210" i="1"/>
  <c r="B3210" i="1"/>
  <c r="A3210" i="1"/>
  <c r="F3209" i="1"/>
  <c r="E3209" i="1"/>
  <c r="D3209" i="1"/>
  <c r="C3209" i="1"/>
  <c r="B3209" i="1"/>
  <c r="A3209" i="1"/>
  <c r="F3208" i="1"/>
  <c r="E3208" i="1"/>
  <c r="D3208" i="1"/>
  <c r="C3208" i="1"/>
  <c r="B3208" i="1"/>
  <c r="A3208" i="1"/>
  <c r="F3207" i="1"/>
  <c r="E3207" i="1"/>
  <c r="D3207" i="1"/>
  <c r="C3207" i="1"/>
  <c r="B3207" i="1"/>
  <c r="A3207" i="1"/>
  <c r="F3206" i="1"/>
  <c r="E3206" i="1"/>
  <c r="D3206" i="1"/>
  <c r="C3206" i="1"/>
  <c r="B3206" i="1"/>
  <c r="A3206" i="1"/>
  <c r="F3205" i="1"/>
  <c r="E3205" i="1"/>
  <c r="D3205" i="1"/>
  <c r="C3205" i="1"/>
  <c r="B3205" i="1"/>
  <c r="A3205" i="1"/>
  <c r="F3204" i="1"/>
  <c r="E3204" i="1"/>
  <c r="D3204" i="1"/>
  <c r="C3204" i="1"/>
  <c r="B3204" i="1"/>
  <c r="A3204" i="1"/>
  <c r="F3203" i="1"/>
  <c r="E3203" i="1"/>
  <c r="D3203" i="1"/>
  <c r="C3203" i="1"/>
  <c r="B3203" i="1"/>
  <c r="A3203" i="1"/>
  <c r="F3202" i="1"/>
  <c r="E3202" i="1"/>
  <c r="D3202" i="1"/>
  <c r="C3202" i="1"/>
  <c r="B3202" i="1"/>
  <c r="A3202" i="1"/>
  <c r="F3201" i="1"/>
  <c r="E3201" i="1"/>
  <c r="D3201" i="1"/>
  <c r="C3201" i="1"/>
  <c r="B3201" i="1"/>
  <c r="A3201" i="1"/>
  <c r="F3200" i="1"/>
  <c r="E3200" i="1"/>
  <c r="D3200" i="1"/>
  <c r="C3200" i="1"/>
  <c r="B3200" i="1"/>
  <c r="A3200" i="1"/>
  <c r="F3199" i="1"/>
  <c r="E3199" i="1"/>
  <c r="D3199" i="1"/>
  <c r="C3199" i="1"/>
  <c r="B3199" i="1"/>
  <c r="A3199" i="1"/>
  <c r="F3198" i="1"/>
  <c r="E3198" i="1"/>
  <c r="D3198" i="1"/>
  <c r="C3198" i="1"/>
  <c r="B3198" i="1"/>
  <c r="A3198" i="1"/>
  <c r="F3197" i="1"/>
  <c r="E3197" i="1"/>
  <c r="D3197" i="1"/>
  <c r="C3197" i="1"/>
  <c r="B3197" i="1"/>
  <c r="A3197" i="1"/>
  <c r="F3196" i="1"/>
  <c r="E3196" i="1"/>
  <c r="D3196" i="1"/>
  <c r="C3196" i="1"/>
  <c r="B3196" i="1"/>
  <c r="A3196" i="1"/>
  <c r="F3195" i="1"/>
  <c r="E3195" i="1"/>
  <c r="D3195" i="1"/>
  <c r="C3195" i="1"/>
  <c r="B3195" i="1"/>
  <c r="A3195" i="1"/>
  <c r="F3194" i="1"/>
  <c r="E3194" i="1"/>
  <c r="D3194" i="1"/>
  <c r="C3194" i="1"/>
  <c r="B3194" i="1"/>
  <c r="A3194" i="1"/>
  <c r="F3193" i="1"/>
  <c r="E3193" i="1"/>
  <c r="D3193" i="1"/>
  <c r="C3193" i="1"/>
  <c r="B3193" i="1"/>
  <c r="A3193" i="1"/>
  <c r="F3192" i="1"/>
  <c r="E3192" i="1"/>
  <c r="D3192" i="1"/>
  <c r="C3192" i="1"/>
  <c r="B3192" i="1"/>
  <c r="A3192" i="1"/>
  <c r="F3191" i="1"/>
  <c r="E3191" i="1"/>
  <c r="D3191" i="1"/>
  <c r="C3191" i="1"/>
  <c r="B3191" i="1"/>
  <c r="A3191" i="1"/>
  <c r="F3190" i="1"/>
  <c r="E3190" i="1"/>
  <c r="D3190" i="1"/>
  <c r="C3190" i="1"/>
  <c r="B3190" i="1"/>
  <c r="A3190" i="1"/>
  <c r="F3189" i="1"/>
  <c r="E3189" i="1"/>
  <c r="D3189" i="1"/>
  <c r="C3189" i="1"/>
  <c r="B3189" i="1"/>
  <c r="A3189" i="1"/>
  <c r="F3188" i="1"/>
  <c r="E3188" i="1"/>
  <c r="D3188" i="1"/>
  <c r="C3188" i="1"/>
  <c r="B3188" i="1"/>
  <c r="A3188" i="1"/>
  <c r="F3187" i="1"/>
  <c r="E3187" i="1"/>
  <c r="D3187" i="1"/>
  <c r="C3187" i="1"/>
  <c r="B3187" i="1"/>
  <c r="A3187" i="1"/>
  <c r="F3186" i="1"/>
  <c r="E3186" i="1"/>
  <c r="D3186" i="1"/>
  <c r="C3186" i="1"/>
  <c r="B3186" i="1"/>
  <c r="A3186" i="1"/>
  <c r="F3185" i="1"/>
  <c r="E3185" i="1"/>
  <c r="D3185" i="1"/>
  <c r="C3185" i="1"/>
  <c r="B3185" i="1"/>
  <c r="A3185" i="1"/>
  <c r="F3184" i="1"/>
  <c r="E3184" i="1"/>
  <c r="D3184" i="1"/>
  <c r="C3184" i="1"/>
  <c r="B3184" i="1"/>
  <c r="A3184" i="1"/>
  <c r="F3183" i="1"/>
  <c r="E3183" i="1"/>
  <c r="D3183" i="1"/>
  <c r="C3183" i="1"/>
  <c r="B3183" i="1"/>
  <c r="A3183" i="1"/>
  <c r="F3182" i="1"/>
  <c r="E3182" i="1"/>
  <c r="D3182" i="1"/>
  <c r="C3182" i="1"/>
  <c r="B3182" i="1"/>
  <c r="A3182" i="1"/>
  <c r="F3181" i="1"/>
  <c r="E3181" i="1"/>
  <c r="D3181" i="1"/>
  <c r="C3181" i="1"/>
  <c r="B3181" i="1"/>
  <c r="A3181" i="1"/>
  <c r="F3180" i="1"/>
  <c r="E3180" i="1"/>
  <c r="D3180" i="1"/>
  <c r="C3180" i="1"/>
  <c r="B3180" i="1"/>
  <c r="A3180" i="1"/>
  <c r="F3179" i="1"/>
  <c r="E3179" i="1"/>
  <c r="D3179" i="1"/>
  <c r="C3179" i="1"/>
  <c r="B3179" i="1"/>
  <c r="A3179" i="1"/>
  <c r="F3178" i="1"/>
  <c r="E3178" i="1"/>
  <c r="D3178" i="1"/>
  <c r="C3178" i="1"/>
  <c r="B3178" i="1"/>
  <c r="A3178" i="1"/>
  <c r="F3177" i="1"/>
  <c r="E3177" i="1"/>
  <c r="D3177" i="1"/>
  <c r="C3177" i="1"/>
  <c r="B3177" i="1"/>
  <c r="A3177" i="1"/>
  <c r="F3176" i="1"/>
  <c r="E3176" i="1"/>
  <c r="D3176" i="1"/>
  <c r="C3176" i="1"/>
  <c r="B3176" i="1"/>
  <c r="A3176" i="1"/>
  <c r="F3175" i="1"/>
  <c r="E3175" i="1"/>
  <c r="D3175" i="1"/>
  <c r="C3175" i="1"/>
  <c r="B3175" i="1"/>
  <c r="A3175" i="1"/>
  <c r="F3174" i="1"/>
  <c r="E3174" i="1"/>
  <c r="D3174" i="1"/>
  <c r="C3174" i="1"/>
  <c r="B3174" i="1"/>
  <c r="A3174" i="1"/>
  <c r="F3173" i="1"/>
  <c r="E3173" i="1"/>
  <c r="D3173" i="1"/>
  <c r="C3173" i="1"/>
  <c r="B3173" i="1"/>
  <c r="A3173" i="1"/>
  <c r="F3172" i="1"/>
  <c r="E3172" i="1"/>
  <c r="D3172" i="1"/>
  <c r="C3172" i="1"/>
  <c r="B3172" i="1"/>
  <c r="A3172" i="1"/>
  <c r="F3171" i="1"/>
  <c r="E3171" i="1"/>
  <c r="D3171" i="1"/>
  <c r="C3171" i="1"/>
  <c r="B3171" i="1"/>
  <c r="A3171" i="1"/>
  <c r="F3170" i="1"/>
  <c r="E3170" i="1"/>
  <c r="D3170" i="1"/>
  <c r="C3170" i="1"/>
  <c r="B3170" i="1"/>
  <c r="A3170" i="1"/>
  <c r="F3169" i="1"/>
  <c r="E3169" i="1"/>
  <c r="D3169" i="1"/>
  <c r="C3169" i="1"/>
  <c r="B3169" i="1"/>
  <c r="A3169" i="1"/>
  <c r="F3168" i="1"/>
  <c r="E3168" i="1"/>
  <c r="D3168" i="1"/>
  <c r="C3168" i="1"/>
  <c r="B3168" i="1"/>
  <c r="A3168" i="1"/>
  <c r="F3167" i="1"/>
  <c r="E3167" i="1"/>
  <c r="D3167" i="1"/>
  <c r="C3167" i="1"/>
  <c r="B3167" i="1"/>
  <c r="A3167" i="1"/>
  <c r="F3166" i="1"/>
  <c r="E3166" i="1"/>
  <c r="D3166" i="1"/>
  <c r="C3166" i="1"/>
  <c r="B3166" i="1"/>
  <c r="A3166" i="1"/>
  <c r="F3165" i="1"/>
  <c r="E3165" i="1"/>
  <c r="D3165" i="1"/>
  <c r="C3165" i="1"/>
  <c r="B3165" i="1"/>
  <c r="A3165" i="1"/>
  <c r="F3164" i="1"/>
  <c r="E3164" i="1"/>
  <c r="D3164" i="1"/>
  <c r="C3164" i="1"/>
  <c r="B3164" i="1"/>
  <c r="A3164" i="1"/>
  <c r="F3163" i="1"/>
  <c r="E3163" i="1"/>
  <c r="D3163" i="1"/>
  <c r="C3163" i="1"/>
  <c r="B3163" i="1"/>
  <c r="A3163" i="1"/>
  <c r="F3162" i="1"/>
  <c r="E3162" i="1"/>
  <c r="D3162" i="1"/>
  <c r="C3162" i="1"/>
  <c r="B3162" i="1"/>
  <c r="A3162" i="1"/>
  <c r="F3161" i="1"/>
  <c r="E3161" i="1"/>
  <c r="D3161" i="1"/>
  <c r="C3161" i="1"/>
  <c r="B3161" i="1"/>
  <c r="A3161" i="1"/>
  <c r="F3160" i="1"/>
  <c r="E3160" i="1"/>
  <c r="D3160" i="1"/>
  <c r="C3160" i="1"/>
  <c r="B3160" i="1"/>
  <c r="A3160" i="1"/>
  <c r="F3159" i="1"/>
  <c r="E3159" i="1"/>
  <c r="D3159" i="1"/>
  <c r="C3159" i="1"/>
  <c r="B3159" i="1"/>
  <c r="A3159" i="1"/>
  <c r="F3158" i="1"/>
  <c r="E3158" i="1"/>
  <c r="D3158" i="1"/>
  <c r="C3158" i="1"/>
  <c r="B3158" i="1"/>
  <c r="A3158" i="1"/>
  <c r="F3157" i="1"/>
  <c r="E3157" i="1"/>
  <c r="D3157" i="1"/>
  <c r="C3157" i="1"/>
  <c r="B3157" i="1"/>
  <c r="A3157" i="1"/>
  <c r="F3156" i="1"/>
  <c r="E3156" i="1"/>
  <c r="D3156" i="1"/>
  <c r="C3156" i="1"/>
  <c r="B3156" i="1"/>
  <c r="A3156" i="1"/>
  <c r="F3155" i="1"/>
  <c r="E3155" i="1"/>
  <c r="D3155" i="1"/>
  <c r="C3155" i="1"/>
  <c r="B3155" i="1"/>
  <c r="A3155" i="1"/>
  <c r="F3154" i="1"/>
  <c r="E3154" i="1"/>
  <c r="D3154" i="1"/>
  <c r="C3154" i="1"/>
  <c r="B3154" i="1"/>
  <c r="A3154" i="1"/>
  <c r="F3153" i="1"/>
  <c r="E3153" i="1"/>
  <c r="D3153" i="1"/>
  <c r="C3153" i="1"/>
  <c r="B3153" i="1"/>
  <c r="A3153" i="1"/>
  <c r="F3152" i="1"/>
  <c r="E3152" i="1"/>
  <c r="D3152" i="1"/>
  <c r="C3152" i="1"/>
  <c r="B3152" i="1"/>
  <c r="A3152" i="1"/>
  <c r="F3151" i="1"/>
  <c r="E3151" i="1"/>
  <c r="D3151" i="1"/>
  <c r="C3151" i="1"/>
  <c r="B3151" i="1"/>
  <c r="A3151" i="1"/>
  <c r="F3150" i="1"/>
  <c r="E3150" i="1"/>
  <c r="D3150" i="1"/>
  <c r="C3150" i="1"/>
  <c r="B3150" i="1"/>
  <c r="A3150" i="1"/>
  <c r="F3149" i="1"/>
  <c r="E3149" i="1"/>
  <c r="D3149" i="1"/>
  <c r="C3149" i="1"/>
  <c r="B3149" i="1"/>
  <c r="A3149" i="1"/>
  <c r="F3148" i="1"/>
  <c r="E3148" i="1"/>
  <c r="D3148" i="1"/>
  <c r="C3148" i="1"/>
  <c r="B3148" i="1"/>
  <c r="A3148" i="1"/>
  <c r="F3147" i="1"/>
  <c r="E3147" i="1"/>
  <c r="D3147" i="1"/>
  <c r="C3147" i="1"/>
  <c r="B3147" i="1"/>
  <c r="A3147" i="1"/>
  <c r="F3146" i="1"/>
  <c r="E3146" i="1"/>
  <c r="D3146" i="1"/>
  <c r="C3146" i="1"/>
  <c r="B3146" i="1"/>
  <c r="A3146" i="1"/>
  <c r="F3145" i="1"/>
  <c r="E3145" i="1"/>
  <c r="D3145" i="1"/>
  <c r="C3145" i="1"/>
  <c r="B3145" i="1"/>
  <c r="A3145" i="1"/>
  <c r="F3144" i="1"/>
  <c r="E3144" i="1"/>
  <c r="D3144" i="1"/>
  <c r="C3144" i="1"/>
  <c r="B3144" i="1"/>
  <c r="A3144" i="1"/>
  <c r="F3143" i="1"/>
  <c r="E3143" i="1"/>
  <c r="D3143" i="1"/>
  <c r="C3143" i="1"/>
  <c r="B3143" i="1"/>
  <c r="A3143" i="1"/>
  <c r="F3142" i="1"/>
  <c r="E3142" i="1"/>
  <c r="D3142" i="1"/>
  <c r="C3142" i="1"/>
  <c r="B3142" i="1"/>
  <c r="A3142" i="1"/>
  <c r="F3141" i="1"/>
  <c r="E3141" i="1"/>
  <c r="D3141" i="1"/>
  <c r="C3141" i="1"/>
  <c r="B3141" i="1"/>
  <c r="A3141" i="1"/>
  <c r="F3140" i="1"/>
  <c r="E3140" i="1"/>
  <c r="D3140" i="1"/>
  <c r="C3140" i="1"/>
  <c r="B3140" i="1"/>
  <c r="A3140" i="1"/>
  <c r="F3139" i="1"/>
  <c r="E3139" i="1"/>
  <c r="D3139" i="1"/>
  <c r="C3139" i="1"/>
  <c r="B3139" i="1"/>
  <c r="A3139" i="1"/>
  <c r="F3138" i="1"/>
  <c r="E3138" i="1"/>
  <c r="D3138" i="1"/>
  <c r="C3138" i="1"/>
  <c r="B3138" i="1"/>
  <c r="A3138" i="1"/>
  <c r="F3137" i="1"/>
  <c r="E3137" i="1"/>
  <c r="D3137" i="1"/>
  <c r="C3137" i="1"/>
  <c r="B3137" i="1"/>
  <c r="A3137" i="1"/>
  <c r="F3136" i="1"/>
  <c r="E3136" i="1"/>
  <c r="D3136" i="1"/>
  <c r="C3136" i="1"/>
  <c r="B3136" i="1"/>
  <c r="A3136" i="1"/>
  <c r="F3135" i="1"/>
  <c r="E3135" i="1"/>
  <c r="D3135" i="1"/>
  <c r="C3135" i="1"/>
  <c r="B3135" i="1"/>
  <c r="A3135" i="1"/>
  <c r="F3134" i="1"/>
  <c r="E3134" i="1"/>
  <c r="D3134" i="1"/>
  <c r="C3134" i="1"/>
  <c r="B3134" i="1"/>
  <c r="A3134" i="1"/>
  <c r="F3133" i="1"/>
  <c r="E3133" i="1"/>
  <c r="D3133" i="1"/>
  <c r="C3133" i="1"/>
  <c r="B3133" i="1"/>
  <c r="A3133" i="1"/>
  <c r="F3132" i="1"/>
  <c r="E3132" i="1"/>
  <c r="D3132" i="1"/>
  <c r="C3132" i="1"/>
  <c r="B3132" i="1"/>
  <c r="A3132" i="1"/>
  <c r="F3131" i="1"/>
  <c r="E3131" i="1"/>
  <c r="D3131" i="1"/>
  <c r="C3131" i="1"/>
  <c r="B3131" i="1"/>
  <c r="A3131" i="1"/>
  <c r="F3130" i="1"/>
  <c r="E3130" i="1"/>
  <c r="D3130" i="1"/>
  <c r="C3130" i="1"/>
  <c r="B3130" i="1"/>
  <c r="A3130" i="1"/>
  <c r="F3129" i="1"/>
  <c r="E3129" i="1"/>
  <c r="D3129" i="1"/>
  <c r="C3129" i="1"/>
  <c r="B3129" i="1"/>
  <c r="A3129" i="1"/>
  <c r="F3128" i="1"/>
  <c r="E3128" i="1"/>
  <c r="D3128" i="1"/>
  <c r="C3128" i="1"/>
  <c r="B3128" i="1"/>
  <c r="A3128" i="1"/>
  <c r="F3127" i="1"/>
  <c r="E3127" i="1"/>
  <c r="D3127" i="1"/>
  <c r="C3127" i="1"/>
  <c r="B3127" i="1"/>
  <c r="A3127" i="1"/>
  <c r="F3126" i="1"/>
  <c r="E3126" i="1"/>
  <c r="D3126" i="1"/>
  <c r="C3126" i="1"/>
  <c r="B3126" i="1"/>
  <c r="A3126" i="1"/>
  <c r="F3125" i="1"/>
  <c r="E3125" i="1"/>
  <c r="D3125" i="1"/>
  <c r="C3125" i="1"/>
  <c r="B3125" i="1"/>
  <c r="A3125" i="1"/>
  <c r="F3124" i="1"/>
  <c r="E3124" i="1"/>
  <c r="D3124" i="1"/>
  <c r="C3124" i="1"/>
  <c r="B3124" i="1"/>
  <c r="A3124" i="1"/>
  <c r="F3123" i="1"/>
  <c r="E3123" i="1"/>
  <c r="D3123" i="1"/>
  <c r="C3123" i="1"/>
  <c r="B3123" i="1"/>
  <c r="A3123" i="1"/>
  <c r="F3122" i="1"/>
  <c r="E3122" i="1"/>
  <c r="D3122" i="1"/>
  <c r="C3122" i="1"/>
  <c r="B3122" i="1"/>
  <c r="A3122" i="1"/>
  <c r="F3121" i="1"/>
  <c r="E3121" i="1"/>
  <c r="D3121" i="1"/>
  <c r="C3121" i="1"/>
  <c r="B3121" i="1"/>
  <c r="A3121" i="1"/>
  <c r="F3120" i="1"/>
  <c r="E3120" i="1"/>
  <c r="D3120" i="1"/>
  <c r="C3120" i="1"/>
  <c r="B3120" i="1"/>
  <c r="A3120" i="1"/>
  <c r="F3119" i="1"/>
  <c r="E3119" i="1"/>
  <c r="D3119" i="1"/>
  <c r="C3119" i="1"/>
  <c r="B3119" i="1"/>
  <c r="A3119" i="1"/>
  <c r="F3118" i="1"/>
  <c r="E3118" i="1"/>
  <c r="D3118" i="1"/>
  <c r="C3118" i="1"/>
  <c r="B3118" i="1"/>
  <c r="A3118" i="1"/>
  <c r="F3117" i="1"/>
  <c r="E3117" i="1"/>
  <c r="D3117" i="1"/>
  <c r="C3117" i="1"/>
  <c r="B3117" i="1"/>
  <c r="A3117" i="1"/>
  <c r="F3116" i="1"/>
  <c r="E3116" i="1"/>
  <c r="D3116" i="1"/>
  <c r="C3116" i="1"/>
  <c r="B3116" i="1"/>
  <c r="A3116" i="1"/>
  <c r="F3115" i="1"/>
  <c r="E3115" i="1"/>
  <c r="D3115" i="1"/>
  <c r="C3115" i="1"/>
  <c r="B3115" i="1"/>
  <c r="A3115" i="1"/>
  <c r="F3114" i="1"/>
  <c r="E3114" i="1"/>
  <c r="D3114" i="1"/>
  <c r="C3114" i="1"/>
  <c r="B3114" i="1"/>
  <c r="A3114" i="1"/>
  <c r="F3113" i="1"/>
  <c r="E3113" i="1"/>
  <c r="D3113" i="1"/>
  <c r="C3113" i="1"/>
  <c r="B3113" i="1"/>
  <c r="A3113" i="1"/>
  <c r="F3112" i="1"/>
  <c r="E3112" i="1"/>
  <c r="D3112" i="1"/>
  <c r="C3112" i="1"/>
  <c r="B3112" i="1"/>
  <c r="A3112" i="1"/>
  <c r="F3111" i="1"/>
  <c r="E3111" i="1"/>
  <c r="D3111" i="1"/>
  <c r="C3111" i="1"/>
  <c r="B3111" i="1"/>
  <c r="A3111" i="1"/>
  <c r="F3110" i="1"/>
  <c r="E3110" i="1"/>
  <c r="D3110" i="1"/>
  <c r="C3110" i="1"/>
  <c r="B3110" i="1"/>
  <c r="A3110" i="1"/>
  <c r="F3109" i="1"/>
  <c r="E3109" i="1"/>
  <c r="D3109" i="1"/>
  <c r="C3109" i="1"/>
  <c r="B3109" i="1"/>
  <c r="A3109" i="1"/>
  <c r="F3108" i="1"/>
  <c r="E3108" i="1"/>
  <c r="D3108" i="1"/>
  <c r="C3108" i="1"/>
  <c r="B3108" i="1"/>
  <c r="A3108" i="1"/>
  <c r="F3107" i="1"/>
  <c r="E3107" i="1"/>
  <c r="D3107" i="1"/>
  <c r="C3107" i="1"/>
  <c r="B3107" i="1"/>
  <c r="A3107" i="1"/>
  <c r="F3106" i="1"/>
  <c r="E3106" i="1"/>
  <c r="D3106" i="1"/>
  <c r="C3106" i="1"/>
  <c r="B3106" i="1"/>
  <c r="A3106" i="1"/>
  <c r="F3105" i="1"/>
  <c r="E3105" i="1"/>
  <c r="D3105" i="1"/>
  <c r="C3105" i="1"/>
  <c r="B3105" i="1"/>
  <c r="A3105" i="1"/>
  <c r="F3104" i="1"/>
  <c r="E3104" i="1"/>
  <c r="D3104" i="1"/>
  <c r="C3104" i="1"/>
  <c r="B3104" i="1"/>
  <c r="A3104" i="1"/>
  <c r="F3103" i="1"/>
  <c r="E3103" i="1"/>
  <c r="D3103" i="1"/>
  <c r="C3103" i="1"/>
  <c r="B3103" i="1"/>
  <c r="A3103" i="1"/>
  <c r="F3102" i="1"/>
  <c r="E3102" i="1"/>
  <c r="D3102" i="1"/>
  <c r="C3102" i="1"/>
  <c r="B3102" i="1"/>
  <c r="A3102" i="1"/>
  <c r="F3101" i="1"/>
  <c r="E3101" i="1"/>
  <c r="D3101" i="1"/>
  <c r="C3101" i="1"/>
  <c r="B3101" i="1"/>
  <c r="A3101" i="1"/>
  <c r="F3100" i="1"/>
  <c r="E3100" i="1"/>
  <c r="D3100" i="1"/>
  <c r="C3100" i="1"/>
  <c r="B3100" i="1"/>
  <c r="A3100" i="1"/>
  <c r="F3099" i="1"/>
  <c r="E3099" i="1"/>
  <c r="D3099" i="1"/>
  <c r="C3099" i="1"/>
  <c r="B3099" i="1"/>
  <c r="A3099" i="1"/>
  <c r="F3098" i="1"/>
  <c r="E3098" i="1"/>
  <c r="D3098" i="1"/>
  <c r="C3098" i="1"/>
  <c r="B3098" i="1"/>
  <c r="A3098" i="1"/>
  <c r="F3097" i="1"/>
  <c r="E3097" i="1"/>
  <c r="D3097" i="1"/>
  <c r="C3097" i="1"/>
  <c r="B3097" i="1"/>
  <c r="A3097" i="1"/>
  <c r="F3096" i="1"/>
  <c r="E3096" i="1"/>
  <c r="D3096" i="1"/>
  <c r="C3096" i="1"/>
  <c r="B3096" i="1"/>
  <c r="A3096" i="1"/>
  <c r="F3095" i="1"/>
  <c r="E3095" i="1"/>
  <c r="D3095" i="1"/>
  <c r="C3095" i="1"/>
  <c r="B3095" i="1"/>
  <c r="A3095" i="1"/>
  <c r="F3094" i="1"/>
  <c r="E3094" i="1"/>
  <c r="D3094" i="1"/>
  <c r="C3094" i="1"/>
  <c r="B3094" i="1"/>
  <c r="A3094" i="1"/>
  <c r="F3093" i="1"/>
  <c r="E3093" i="1"/>
  <c r="D3093" i="1"/>
  <c r="C3093" i="1"/>
  <c r="B3093" i="1"/>
  <c r="A3093" i="1"/>
  <c r="F3092" i="1"/>
  <c r="E3092" i="1"/>
  <c r="D3092" i="1"/>
  <c r="C3092" i="1"/>
  <c r="B3092" i="1"/>
  <c r="A3092" i="1"/>
  <c r="F3091" i="1"/>
  <c r="E3091" i="1"/>
  <c r="D3091" i="1"/>
  <c r="C3091" i="1"/>
  <c r="B3091" i="1"/>
  <c r="A3091" i="1"/>
  <c r="F3090" i="1"/>
  <c r="E3090" i="1"/>
  <c r="D3090" i="1"/>
  <c r="C3090" i="1"/>
  <c r="B3090" i="1"/>
  <c r="A3090" i="1"/>
  <c r="F3089" i="1"/>
  <c r="E3089" i="1"/>
  <c r="D3089" i="1"/>
  <c r="C3089" i="1"/>
  <c r="B3089" i="1"/>
  <c r="A3089" i="1"/>
  <c r="F3088" i="1"/>
  <c r="E3088" i="1"/>
  <c r="D3088" i="1"/>
  <c r="C3088" i="1"/>
  <c r="B3088" i="1"/>
  <c r="A3088" i="1"/>
  <c r="F3087" i="1"/>
  <c r="E3087" i="1"/>
  <c r="D3087" i="1"/>
  <c r="C3087" i="1"/>
  <c r="B3087" i="1"/>
  <c r="A3087" i="1"/>
  <c r="F3086" i="1"/>
  <c r="E3086" i="1"/>
  <c r="D3086" i="1"/>
  <c r="C3086" i="1"/>
  <c r="B3086" i="1"/>
  <c r="A3086" i="1"/>
  <c r="F3085" i="1"/>
  <c r="E3085" i="1"/>
  <c r="D3085" i="1"/>
  <c r="C3085" i="1"/>
  <c r="B3085" i="1"/>
  <c r="A3085" i="1"/>
  <c r="F3084" i="1"/>
  <c r="E3084" i="1"/>
  <c r="D3084" i="1"/>
  <c r="C3084" i="1"/>
  <c r="B3084" i="1"/>
  <c r="A3084" i="1"/>
  <c r="F3083" i="1"/>
  <c r="E3083" i="1"/>
  <c r="D3083" i="1"/>
  <c r="C3083" i="1"/>
  <c r="B3083" i="1"/>
  <c r="A3083" i="1"/>
  <c r="F3082" i="1"/>
  <c r="E3082" i="1"/>
  <c r="D3082" i="1"/>
  <c r="C3082" i="1"/>
  <c r="B3082" i="1"/>
  <c r="A3082" i="1"/>
  <c r="F3081" i="1"/>
  <c r="E3081" i="1"/>
  <c r="D3081" i="1"/>
  <c r="C3081" i="1"/>
  <c r="B3081" i="1"/>
  <c r="A3081" i="1"/>
  <c r="F3080" i="1"/>
  <c r="E3080" i="1"/>
  <c r="D3080" i="1"/>
  <c r="C3080" i="1"/>
  <c r="B3080" i="1"/>
  <c r="A3080" i="1"/>
  <c r="F3079" i="1"/>
  <c r="E3079" i="1"/>
  <c r="D3079" i="1"/>
  <c r="C3079" i="1"/>
  <c r="B3079" i="1"/>
  <c r="A3079" i="1"/>
  <c r="F3078" i="1"/>
  <c r="E3078" i="1"/>
  <c r="D3078" i="1"/>
  <c r="C3078" i="1"/>
  <c r="B3078" i="1"/>
  <c r="A3078" i="1"/>
  <c r="F3077" i="1"/>
  <c r="E3077" i="1"/>
  <c r="D3077" i="1"/>
  <c r="C3077" i="1"/>
  <c r="B3077" i="1"/>
  <c r="A3077" i="1"/>
  <c r="F3076" i="1"/>
  <c r="E3076" i="1"/>
  <c r="D3076" i="1"/>
  <c r="C3076" i="1"/>
  <c r="B3076" i="1"/>
  <c r="A3076" i="1"/>
  <c r="F3075" i="1"/>
  <c r="E3075" i="1"/>
  <c r="D3075" i="1"/>
  <c r="C3075" i="1"/>
  <c r="B3075" i="1"/>
  <c r="A3075" i="1"/>
  <c r="F3074" i="1"/>
  <c r="E3074" i="1"/>
  <c r="D3074" i="1"/>
  <c r="C3074" i="1"/>
  <c r="B3074" i="1"/>
  <c r="A3074" i="1"/>
  <c r="F3073" i="1"/>
  <c r="E3073" i="1"/>
  <c r="D3073" i="1"/>
  <c r="C3073" i="1"/>
  <c r="B3073" i="1"/>
  <c r="A3073" i="1"/>
  <c r="F3072" i="1"/>
  <c r="E3072" i="1"/>
  <c r="D3072" i="1"/>
  <c r="C3072" i="1"/>
  <c r="B3072" i="1"/>
  <c r="A3072" i="1"/>
  <c r="F3071" i="1"/>
  <c r="E3071" i="1"/>
  <c r="D3071" i="1"/>
  <c r="C3071" i="1"/>
  <c r="B3071" i="1"/>
  <c r="A3071" i="1"/>
  <c r="F3070" i="1"/>
  <c r="E3070" i="1"/>
  <c r="D3070" i="1"/>
  <c r="C3070" i="1"/>
  <c r="B3070" i="1"/>
  <c r="A3070" i="1"/>
  <c r="F3069" i="1"/>
  <c r="E3069" i="1"/>
  <c r="D3069" i="1"/>
  <c r="C3069" i="1"/>
  <c r="B3069" i="1"/>
  <c r="A3069" i="1"/>
  <c r="F3068" i="1"/>
  <c r="E3068" i="1"/>
  <c r="D3068" i="1"/>
  <c r="C3068" i="1"/>
  <c r="B3068" i="1"/>
  <c r="A3068" i="1"/>
  <c r="F3067" i="1"/>
  <c r="E3067" i="1"/>
  <c r="D3067" i="1"/>
  <c r="C3067" i="1"/>
  <c r="B3067" i="1"/>
  <c r="A3067" i="1"/>
  <c r="F3066" i="1"/>
  <c r="E3066" i="1"/>
  <c r="D3066" i="1"/>
  <c r="C3066" i="1"/>
  <c r="B3066" i="1"/>
  <c r="A3066" i="1"/>
  <c r="F3065" i="1"/>
  <c r="E3065" i="1"/>
  <c r="D3065" i="1"/>
  <c r="C3065" i="1"/>
  <c r="B3065" i="1"/>
  <c r="A3065" i="1"/>
  <c r="F3064" i="1"/>
  <c r="E3064" i="1"/>
  <c r="D3064" i="1"/>
  <c r="C3064" i="1"/>
  <c r="B3064" i="1"/>
  <c r="A3064" i="1"/>
  <c r="F3063" i="1"/>
  <c r="E3063" i="1"/>
  <c r="D3063" i="1"/>
  <c r="C3063" i="1"/>
  <c r="B3063" i="1"/>
  <c r="A3063" i="1"/>
  <c r="F3062" i="1"/>
  <c r="E3062" i="1"/>
  <c r="D3062" i="1"/>
  <c r="C3062" i="1"/>
  <c r="B3062" i="1"/>
  <c r="A3062" i="1"/>
  <c r="F3061" i="1"/>
  <c r="E3061" i="1"/>
  <c r="D3061" i="1"/>
  <c r="C3061" i="1"/>
  <c r="B3061" i="1"/>
  <c r="A3061" i="1"/>
  <c r="F3060" i="1"/>
  <c r="E3060" i="1"/>
  <c r="D3060" i="1"/>
  <c r="C3060" i="1"/>
  <c r="B3060" i="1"/>
  <c r="A3060" i="1"/>
  <c r="F3059" i="1"/>
  <c r="E3059" i="1"/>
  <c r="D3059" i="1"/>
  <c r="C3059" i="1"/>
  <c r="B3059" i="1"/>
  <c r="A3059" i="1"/>
  <c r="F3058" i="1"/>
  <c r="E3058" i="1"/>
  <c r="D3058" i="1"/>
  <c r="C3058" i="1"/>
  <c r="B3058" i="1"/>
  <c r="A3058" i="1"/>
  <c r="F3057" i="1"/>
  <c r="E3057" i="1"/>
  <c r="D3057" i="1"/>
  <c r="C3057" i="1"/>
  <c r="B3057" i="1"/>
  <c r="A3057" i="1"/>
  <c r="F3056" i="1"/>
  <c r="E3056" i="1"/>
  <c r="D3056" i="1"/>
  <c r="C3056" i="1"/>
  <c r="B3056" i="1"/>
  <c r="A3056" i="1"/>
  <c r="F3055" i="1"/>
  <c r="E3055" i="1"/>
  <c r="D3055" i="1"/>
  <c r="C3055" i="1"/>
  <c r="B3055" i="1"/>
  <c r="A3055" i="1"/>
  <c r="F3054" i="1"/>
  <c r="E3054" i="1"/>
  <c r="D3054" i="1"/>
  <c r="C3054" i="1"/>
  <c r="B3054" i="1"/>
  <c r="A3054" i="1"/>
  <c r="F3053" i="1"/>
  <c r="E3053" i="1"/>
  <c r="D3053" i="1"/>
  <c r="C3053" i="1"/>
  <c r="B3053" i="1"/>
  <c r="A3053" i="1"/>
  <c r="F3052" i="1"/>
  <c r="E3052" i="1"/>
  <c r="D3052" i="1"/>
  <c r="C3052" i="1"/>
  <c r="B3052" i="1"/>
  <c r="A3052" i="1"/>
  <c r="F3051" i="1"/>
  <c r="E3051" i="1"/>
  <c r="D3051" i="1"/>
  <c r="C3051" i="1"/>
  <c r="B3051" i="1"/>
  <c r="A3051" i="1"/>
  <c r="F3050" i="1"/>
  <c r="E3050" i="1"/>
  <c r="D3050" i="1"/>
  <c r="C3050" i="1"/>
  <c r="B3050" i="1"/>
  <c r="A3050" i="1"/>
  <c r="F3049" i="1"/>
  <c r="E3049" i="1"/>
  <c r="D3049" i="1"/>
  <c r="C3049" i="1"/>
  <c r="B3049" i="1"/>
  <c r="A3049" i="1"/>
  <c r="F3048" i="1"/>
  <c r="E3048" i="1"/>
  <c r="D3048" i="1"/>
  <c r="C3048" i="1"/>
  <c r="B3048" i="1"/>
  <c r="A3048" i="1"/>
  <c r="F3047" i="1"/>
  <c r="E3047" i="1"/>
  <c r="D3047" i="1"/>
  <c r="C3047" i="1"/>
  <c r="B3047" i="1"/>
  <c r="A3047" i="1"/>
  <c r="F3046" i="1"/>
  <c r="E3046" i="1"/>
  <c r="D3046" i="1"/>
  <c r="C3046" i="1"/>
  <c r="B3046" i="1"/>
  <c r="A3046" i="1"/>
  <c r="F3045" i="1"/>
  <c r="E3045" i="1"/>
  <c r="D3045" i="1"/>
  <c r="C3045" i="1"/>
  <c r="B3045" i="1"/>
  <c r="A3045" i="1"/>
  <c r="F3044" i="1"/>
  <c r="E3044" i="1"/>
  <c r="D3044" i="1"/>
  <c r="C3044" i="1"/>
  <c r="B3044" i="1"/>
  <c r="A3044" i="1"/>
  <c r="F3043" i="1"/>
  <c r="E3043" i="1"/>
  <c r="D3043" i="1"/>
  <c r="C3043" i="1"/>
  <c r="B3043" i="1"/>
  <c r="A3043" i="1"/>
  <c r="F3042" i="1"/>
  <c r="E3042" i="1"/>
  <c r="D3042" i="1"/>
  <c r="C3042" i="1"/>
  <c r="B3042" i="1"/>
  <c r="A3042" i="1"/>
  <c r="F3041" i="1"/>
  <c r="E3041" i="1"/>
  <c r="D3041" i="1"/>
  <c r="C3041" i="1"/>
  <c r="B3041" i="1"/>
  <c r="A3041" i="1"/>
  <c r="F3040" i="1"/>
  <c r="E3040" i="1"/>
  <c r="D3040" i="1"/>
  <c r="C3040" i="1"/>
  <c r="B3040" i="1"/>
  <c r="A3040" i="1"/>
  <c r="F3039" i="1"/>
  <c r="E3039" i="1"/>
  <c r="D3039" i="1"/>
  <c r="C3039" i="1"/>
  <c r="B3039" i="1"/>
  <c r="A3039" i="1"/>
  <c r="F3038" i="1"/>
  <c r="E3038" i="1"/>
  <c r="D3038" i="1"/>
  <c r="C3038" i="1"/>
  <c r="B3038" i="1"/>
  <c r="A3038" i="1"/>
  <c r="F3037" i="1"/>
  <c r="E3037" i="1"/>
  <c r="D3037" i="1"/>
  <c r="C3037" i="1"/>
  <c r="B3037" i="1"/>
  <c r="A3037" i="1"/>
  <c r="F3036" i="1"/>
  <c r="E3036" i="1"/>
  <c r="D3036" i="1"/>
  <c r="C3036" i="1"/>
  <c r="B3036" i="1"/>
  <c r="A3036" i="1"/>
  <c r="F3035" i="1"/>
  <c r="E3035" i="1"/>
  <c r="D3035" i="1"/>
  <c r="C3035" i="1"/>
  <c r="B3035" i="1"/>
  <c r="A3035" i="1"/>
  <c r="F3034" i="1"/>
  <c r="E3034" i="1"/>
  <c r="D3034" i="1"/>
  <c r="C3034" i="1"/>
  <c r="B3034" i="1"/>
  <c r="A3034" i="1"/>
  <c r="F3033" i="1"/>
  <c r="E3033" i="1"/>
  <c r="D3033" i="1"/>
  <c r="C3033" i="1"/>
  <c r="B3033" i="1"/>
  <c r="A3033" i="1"/>
  <c r="F3032" i="1"/>
  <c r="E3032" i="1"/>
  <c r="D3032" i="1"/>
  <c r="C3032" i="1"/>
  <c r="B3032" i="1"/>
  <c r="A3032" i="1"/>
  <c r="F3031" i="1"/>
  <c r="E3031" i="1"/>
  <c r="D3031" i="1"/>
  <c r="C3031" i="1"/>
  <c r="B3031" i="1"/>
  <c r="A3031" i="1"/>
  <c r="F3030" i="1"/>
  <c r="E3030" i="1"/>
  <c r="D3030" i="1"/>
  <c r="C3030" i="1"/>
  <c r="B3030" i="1"/>
  <c r="A3030" i="1"/>
  <c r="F3029" i="1"/>
  <c r="E3029" i="1"/>
  <c r="D3029" i="1"/>
  <c r="C3029" i="1"/>
  <c r="B3029" i="1"/>
  <c r="A3029" i="1"/>
  <c r="F3028" i="1"/>
  <c r="E3028" i="1"/>
  <c r="D3028" i="1"/>
  <c r="C3028" i="1"/>
  <c r="B3028" i="1"/>
  <c r="A3028" i="1"/>
  <c r="F3027" i="1"/>
  <c r="E3027" i="1"/>
  <c r="D3027" i="1"/>
  <c r="C3027" i="1"/>
  <c r="B3027" i="1"/>
  <c r="A3027" i="1"/>
  <c r="F3026" i="1"/>
  <c r="E3026" i="1"/>
  <c r="D3026" i="1"/>
  <c r="C3026" i="1"/>
  <c r="B3026" i="1"/>
  <c r="A3026" i="1"/>
  <c r="F3025" i="1"/>
  <c r="E3025" i="1"/>
  <c r="D3025" i="1"/>
  <c r="C3025" i="1"/>
  <c r="B3025" i="1"/>
  <c r="A3025" i="1"/>
  <c r="F3024" i="1"/>
  <c r="E3024" i="1"/>
  <c r="D3024" i="1"/>
  <c r="C3024" i="1"/>
  <c r="B3024" i="1"/>
  <c r="A3024" i="1"/>
  <c r="F3023" i="1"/>
  <c r="E3023" i="1"/>
  <c r="D3023" i="1"/>
  <c r="C3023" i="1"/>
  <c r="B3023" i="1"/>
  <c r="A3023" i="1"/>
  <c r="F3022" i="1"/>
  <c r="E3022" i="1"/>
  <c r="D3022" i="1"/>
  <c r="C3022" i="1"/>
  <c r="B3022" i="1"/>
  <c r="A3022" i="1"/>
  <c r="F3021" i="1"/>
  <c r="E3021" i="1"/>
  <c r="D3021" i="1"/>
  <c r="C3021" i="1"/>
  <c r="B3021" i="1"/>
  <c r="A3021" i="1"/>
  <c r="F3020" i="1"/>
  <c r="E3020" i="1"/>
  <c r="D3020" i="1"/>
  <c r="C3020" i="1"/>
  <c r="B3020" i="1"/>
  <c r="A3020" i="1"/>
  <c r="F3019" i="1"/>
  <c r="E3019" i="1"/>
  <c r="D3019" i="1"/>
  <c r="C3019" i="1"/>
  <c r="B3019" i="1"/>
  <c r="A3019" i="1"/>
  <c r="F3018" i="1"/>
  <c r="E3018" i="1"/>
  <c r="D3018" i="1"/>
  <c r="C3018" i="1"/>
  <c r="B3018" i="1"/>
  <c r="A3018" i="1"/>
  <c r="F3017" i="1"/>
  <c r="E3017" i="1"/>
  <c r="D3017" i="1"/>
  <c r="C3017" i="1"/>
  <c r="B3017" i="1"/>
  <c r="A3017" i="1"/>
  <c r="F3016" i="1"/>
  <c r="E3016" i="1"/>
  <c r="D3016" i="1"/>
  <c r="C3016" i="1"/>
  <c r="B3016" i="1"/>
  <c r="A3016" i="1"/>
  <c r="F3015" i="1"/>
  <c r="E3015" i="1"/>
  <c r="D3015" i="1"/>
  <c r="C3015" i="1"/>
  <c r="B3015" i="1"/>
  <c r="A3015" i="1"/>
  <c r="F3014" i="1"/>
  <c r="E3014" i="1"/>
  <c r="D3014" i="1"/>
  <c r="C3014" i="1"/>
  <c r="B3014" i="1"/>
  <c r="A3014" i="1"/>
  <c r="F3013" i="1"/>
  <c r="E3013" i="1"/>
  <c r="D3013" i="1"/>
  <c r="C3013" i="1"/>
  <c r="B3013" i="1"/>
  <c r="A3013" i="1"/>
  <c r="F3012" i="1"/>
  <c r="E3012" i="1"/>
  <c r="D3012" i="1"/>
  <c r="C3012" i="1"/>
  <c r="B3012" i="1"/>
  <c r="A3012" i="1"/>
  <c r="F3011" i="1"/>
  <c r="E3011" i="1"/>
  <c r="D3011" i="1"/>
  <c r="C3011" i="1"/>
  <c r="B3011" i="1"/>
  <c r="A3011" i="1"/>
  <c r="F3010" i="1"/>
  <c r="E3010" i="1"/>
  <c r="D3010" i="1"/>
  <c r="C3010" i="1"/>
  <c r="B3010" i="1"/>
  <c r="A3010" i="1"/>
  <c r="F3009" i="1"/>
  <c r="E3009" i="1"/>
  <c r="D3009" i="1"/>
  <c r="C3009" i="1"/>
  <c r="B3009" i="1"/>
  <c r="A3009" i="1"/>
  <c r="F3008" i="1"/>
  <c r="E3008" i="1"/>
  <c r="D3008" i="1"/>
  <c r="C3008" i="1"/>
  <c r="B3008" i="1"/>
  <c r="A3008" i="1"/>
  <c r="F3007" i="1"/>
  <c r="E3007" i="1"/>
  <c r="D3007" i="1"/>
  <c r="C3007" i="1"/>
  <c r="B3007" i="1"/>
  <c r="A3007" i="1"/>
  <c r="F3006" i="1"/>
  <c r="E3006" i="1"/>
  <c r="D3006" i="1"/>
  <c r="C3006" i="1"/>
  <c r="B3006" i="1"/>
  <c r="A3006" i="1"/>
  <c r="F3005" i="1"/>
  <c r="E3005" i="1"/>
  <c r="D3005" i="1"/>
  <c r="C3005" i="1"/>
  <c r="B3005" i="1"/>
  <c r="A3005" i="1"/>
  <c r="F3004" i="1"/>
  <c r="E3004" i="1"/>
  <c r="D3004" i="1"/>
  <c r="C3004" i="1"/>
  <c r="B3004" i="1"/>
  <c r="A3004" i="1"/>
  <c r="F3003" i="1"/>
  <c r="E3003" i="1"/>
  <c r="D3003" i="1"/>
  <c r="C3003" i="1"/>
  <c r="B3003" i="1"/>
  <c r="A3003" i="1"/>
  <c r="F3002" i="1"/>
  <c r="E3002" i="1"/>
  <c r="D3002" i="1"/>
  <c r="C3002" i="1"/>
  <c r="B3002" i="1"/>
  <c r="A3002" i="1"/>
  <c r="F3001" i="1"/>
  <c r="E3001" i="1"/>
  <c r="D3001" i="1"/>
  <c r="C3001" i="1"/>
  <c r="B3001" i="1"/>
  <c r="A3001" i="1"/>
  <c r="F3000" i="1"/>
  <c r="E3000" i="1"/>
  <c r="D3000" i="1"/>
  <c r="C3000" i="1"/>
  <c r="B3000" i="1"/>
  <c r="A3000" i="1"/>
  <c r="F2999" i="1"/>
  <c r="E2999" i="1"/>
  <c r="D2999" i="1"/>
  <c r="C2999" i="1"/>
  <c r="B2999" i="1"/>
  <c r="A2999" i="1"/>
  <c r="F2998" i="1"/>
  <c r="E2998" i="1"/>
  <c r="D2998" i="1"/>
  <c r="C2998" i="1"/>
  <c r="B2998" i="1"/>
  <c r="A2998" i="1"/>
  <c r="F2997" i="1"/>
  <c r="E2997" i="1"/>
  <c r="D2997" i="1"/>
  <c r="C2997" i="1"/>
  <c r="B2997" i="1"/>
  <c r="A2997" i="1"/>
  <c r="F2996" i="1"/>
  <c r="E2996" i="1"/>
  <c r="D2996" i="1"/>
  <c r="C2996" i="1"/>
  <c r="B2996" i="1"/>
  <c r="A2996" i="1"/>
  <c r="F2995" i="1"/>
  <c r="E2995" i="1"/>
  <c r="D2995" i="1"/>
  <c r="C2995" i="1"/>
  <c r="B2995" i="1"/>
  <c r="A2995" i="1"/>
  <c r="F2994" i="1"/>
  <c r="E2994" i="1"/>
  <c r="D2994" i="1"/>
  <c r="C2994" i="1"/>
  <c r="B2994" i="1"/>
  <c r="A2994" i="1"/>
  <c r="F2993" i="1"/>
  <c r="E2993" i="1"/>
  <c r="D2993" i="1"/>
  <c r="C2993" i="1"/>
  <c r="B2993" i="1"/>
  <c r="A2993" i="1"/>
  <c r="F2992" i="1"/>
  <c r="E2992" i="1"/>
  <c r="D2992" i="1"/>
  <c r="C2992" i="1"/>
  <c r="B2992" i="1"/>
  <c r="A2992" i="1"/>
  <c r="F2991" i="1"/>
  <c r="E2991" i="1"/>
  <c r="D2991" i="1"/>
  <c r="C2991" i="1"/>
  <c r="B2991" i="1"/>
  <c r="A2991" i="1"/>
  <c r="F2990" i="1"/>
  <c r="E2990" i="1"/>
  <c r="D2990" i="1"/>
  <c r="C2990" i="1"/>
  <c r="B2990" i="1"/>
  <c r="A2990" i="1"/>
  <c r="F2989" i="1"/>
  <c r="E2989" i="1"/>
  <c r="D2989" i="1"/>
  <c r="C2989" i="1"/>
  <c r="B2989" i="1"/>
  <c r="A2989" i="1"/>
  <c r="F2988" i="1"/>
  <c r="E2988" i="1"/>
  <c r="D2988" i="1"/>
  <c r="C2988" i="1"/>
  <c r="B2988" i="1"/>
  <c r="A2988" i="1"/>
  <c r="F2987" i="1"/>
  <c r="E2987" i="1"/>
  <c r="D2987" i="1"/>
  <c r="C2987" i="1"/>
  <c r="B2987" i="1"/>
  <c r="A2987" i="1"/>
  <c r="F2986" i="1"/>
  <c r="E2986" i="1"/>
  <c r="D2986" i="1"/>
  <c r="C2986" i="1"/>
  <c r="B2986" i="1"/>
  <c r="A2986" i="1"/>
  <c r="F2985" i="1"/>
  <c r="E2985" i="1"/>
  <c r="D2985" i="1"/>
  <c r="C2985" i="1"/>
  <c r="B2985" i="1"/>
  <c r="A2985" i="1"/>
  <c r="F2984" i="1"/>
  <c r="E2984" i="1"/>
  <c r="D2984" i="1"/>
  <c r="C2984" i="1"/>
  <c r="B2984" i="1"/>
  <c r="A2984" i="1"/>
  <c r="F2983" i="1"/>
  <c r="E2983" i="1"/>
  <c r="D2983" i="1"/>
  <c r="C2983" i="1"/>
  <c r="B2983" i="1"/>
  <c r="A2983" i="1"/>
  <c r="F2982" i="1"/>
  <c r="E2982" i="1"/>
  <c r="D2982" i="1"/>
  <c r="C2982" i="1"/>
  <c r="B2982" i="1"/>
  <c r="A2982" i="1"/>
  <c r="F2981" i="1"/>
  <c r="E2981" i="1"/>
  <c r="D2981" i="1"/>
  <c r="C2981" i="1"/>
  <c r="B2981" i="1"/>
  <c r="A2981" i="1"/>
  <c r="F2980" i="1"/>
  <c r="E2980" i="1"/>
  <c r="D2980" i="1"/>
  <c r="C2980" i="1"/>
  <c r="B2980" i="1"/>
  <c r="A2980" i="1"/>
  <c r="F2979" i="1"/>
  <c r="E2979" i="1"/>
  <c r="D2979" i="1"/>
  <c r="C2979" i="1"/>
  <c r="B2979" i="1"/>
  <c r="A2979" i="1"/>
  <c r="F2978" i="1"/>
  <c r="E2978" i="1"/>
  <c r="D2978" i="1"/>
  <c r="C2978" i="1"/>
  <c r="B2978" i="1"/>
  <c r="A2978" i="1"/>
  <c r="F2977" i="1"/>
  <c r="E2977" i="1"/>
  <c r="D2977" i="1"/>
  <c r="C2977" i="1"/>
  <c r="B2977" i="1"/>
  <c r="A2977" i="1"/>
  <c r="F2976" i="1"/>
  <c r="E2976" i="1"/>
  <c r="D2976" i="1"/>
  <c r="C2976" i="1"/>
  <c r="B2976" i="1"/>
  <c r="A2976" i="1"/>
  <c r="F2975" i="1"/>
  <c r="E2975" i="1"/>
  <c r="D2975" i="1"/>
  <c r="C2975" i="1"/>
  <c r="B2975" i="1"/>
  <c r="A2975" i="1"/>
  <c r="F2974" i="1"/>
  <c r="E2974" i="1"/>
  <c r="D2974" i="1"/>
  <c r="C2974" i="1"/>
  <c r="B2974" i="1"/>
  <c r="A2974" i="1"/>
  <c r="F2973" i="1"/>
  <c r="E2973" i="1"/>
  <c r="D2973" i="1"/>
  <c r="C2973" i="1"/>
  <c r="B2973" i="1"/>
  <c r="A2973" i="1"/>
  <c r="F2972" i="1"/>
  <c r="E2972" i="1"/>
  <c r="D2972" i="1"/>
  <c r="C2972" i="1"/>
  <c r="B2972" i="1"/>
  <c r="A2972" i="1"/>
  <c r="F2971" i="1"/>
  <c r="E2971" i="1"/>
  <c r="D2971" i="1"/>
  <c r="C2971" i="1"/>
  <c r="B2971" i="1"/>
  <c r="A2971" i="1"/>
  <c r="F2970" i="1"/>
  <c r="E2970" i="1"/>
  <c r="D2970" i="1"/>
  <c r="C2970" i="1"/>
  <c r="B2970" i="1"/>
  <c r="A2970" i="1"/>
  <c r="F2969" i="1"/>
  <c r="E2969" i="1"/>
  <c r="D2969" i="1"/>
  <c r="C2969" i="1"/>
  <c r="B2969" i="1"/>
  <c r="A2969" i="1"/>
  <c r="F2968" i="1"/>
  <c r="E2968" i="1"/>
  <c r="D2968" i="1"/>
  <c r="C2968" i="1"/>
  <c r="B2968" i="1"/>
  <c r="A2968" i="1"/>
  <c r="F2967" i="1"/>
  <c r="E2967" i="1"/>
  <c r="D2967" i="1"/>
  <c r="C2967" i="1"/>
  <c r="B2967" i="1"/>
  <c r="A2967" i="1"/>
  <c r="F2966" i="1"/>
  <c r="E2966" i="1"/>
  <c r="D2966" i="1"/>
  <c r="C2966" i="1"/>
  <c r="B2966" i="1"/>
  <c r="A2966" i="1"/>
  <c r="F2965" i="1"/>
  <c r="E2965" i="1"/>
  <c r="D2965" i="1"/>
  <c r="C2965" i="1"/>
  <c r="B2965" i="1"/>
  <c r="A2965" i="1"/>
  <c r="F2964" i="1"/>
  <c r="E2964" i="1"/>
  <c r="D2964" i="1"/>
  <c r="C2964" i="1"/>
  <c r="B2964" i="1"/>
  <c r="A2964" i="1"/>
  <c r="F2963" i="1"/>
  <c r="E2963" i="1"/>
  <c r="D2963" i="1"/>
  <c r="C2963" i="1"/>
  <c r="B2963" i="1"/>
  <c r="A2963" i="1"/>
  <c r="F2962" i="1"/>
  <c r="E2962" i="1"/>
  <c r="D2962" i="1"/>
  <c r="C2962" i="1"/>
  <c r="B2962" i="1"/>
  <c r="A2962" i="1"/>
  <c r="F2961" i="1"/>
  <c r="E2961" i="1"/>
  <c r="D2961" i="1"/>
  <c r="C2961" i="1"/>
  <c r="B2961" i="1"/>
  <c r="A2961" i="1"/>
  <c r="F2960" i="1"/>
  <c r="E2960" i="1"/>
  <c r="D2960" i="1"/>
  <c r="C2960" i="1"/>
  <c r="B2960" i="1"/>
  <c r="A2960" i="1"/>
  <c r="F2959" i="1"/>
  <c r="E2959" i="1"/>
  <c r="D2959" i="1"/>
  <c r="C2959" i="1"/>
  <c r="B2959" i="1"/>
  <c r="A2959" i="1"/>
  <c r="F2958" i="1"/>
  <c r="E2958" i="1"/>
  <c r="D2958" i="1"/>
  <c r="C2958" i="1"/>
  <c r="B2958" i="1"/>
  <c r="A2958" i="1"/>
  <c r="F2957" i="1"/>
  <c r="E2957" i="1"/>
  <c r="D2957" i="1"/>
  <c r="C2957" i="1"/>
  <c r="B2957" i="1"/>
  <c r="A2957" i="1"/>
  <c r="F2956" i="1"/>
  <c r="E2956" i="1"/>
  <c r="D2956" i="1"/>
  <c r="C2956" i="1"/>
  <c r="B2956" i="1"/>
  <c r="A2956" i="1"/>
  <c r="F2955" i="1"/>
  <c r="E2955" i="1"/>
  <c r="D2955" i="1"/>
  <c r="C2955" i="1"/>
  <c r="B2955" i="1"/>
  <c r="A2955" i="1"/>
  <c r="F2954" i="1"/>
  <c r="E2954" i="1"/>
  <c r="D2954" i="1"/>
  <c r="C2954" i="1"/>
  <c r="B2954" i="1"/>
  <c r="A2954" i="1"/>
  <c r="F2953" i="1"/>
  <c r="E2953" i="1"/>
  <c r="D2953" i="1"/>
  <c r="C2953" i="1"/>
  <c r="B2953" i="1"/>
  <c r="A2953" i="1"/>
  <c r="F2952" i="1"/>
  <c r="E2952" i="1"/>
  <c r="D2952" i="1"/>
  <c r="C2952" i="1"/>
  <c r="B2952" i="1"/>
  <c r="A2952" i="1"/>
  <c r="F2951" i="1"/>
  <c r="E2951" i="1"/>
  <c r="D2951" i="1"/>
  <c r="C2951" i="1"/>
  <c r="B2951" i="1"/>
  <c r="A2951" i="1"/>
  <c r="F2950" i="1"/>
  <c r="E2950" i="1"/>
  <c r="D2950" i="1"/>
  <c r="C2950" i="1"/>
  <c r="B2950" i="1"/>
  <c r="A2950" i="1"/>
  <c r="F2949" i="1"/>
  <c r="E2949" i="1"/>
  <c r="D2949" i="1"/>
  <c r="C2949" i="1"/>
  <c r="B2949" i="1"/>
  <c r="A2949" i="1"/>
  <c r="F2948" i="1"/>
  <c r="E2948" i="1"/>
  <c r="D2948" i="1"/>
  <c r="C2948" i="1"/>
  <c r="B2948" i="1"/>
  <c r="A2948" i="1"/>
  <c r="F2947" i="1"/>
  <c r="E2947" i="1"/>
  <c r="D2947" i="1"/>
  <c r="C2947" i="1"/>
  <c r="B2947" i="1"/>
  <c r="A2947" i="1"/>
  <c r="F2946" i="1"/>
  <c r="E2946" i="1"/>
  <c r="D2946" i="1"/>
  <c r="C2946" i="1"/>
  <c r="B2946" i="1"/>
  <c r="A2946" i="1"/>
  <c r="F2945" i="1"/>
  <c r="E2945" i="1"/>
  <c r="D2945" i="1"/>
  <c r="C2945" i="1"/>
  <c r="B2945" i="1"/>
  <c r="A2945" i="1"/>
  <c r="F2944" i="1"/>
  <c r="E2944" i="1"/>
  <c r="D2944" i="1"/>
  <c r="C2944" i="1"/>
  <c r="B2944" i="1"/>
  <c r="A2944" i="1"/>
  <c r="F2943" i="1"/>
  <c r="E2943" i="1"/>
  <c r="D2943" i="1"/>
  <c r="C2943" i="1"/>
  <c r="B2943" i="1"/>
  <c r="A2943" i="1"/>
  <c r="F2942" i="1"/>
  <c r="E2942" i="1"/>
  <c r="D2942" i="1"/>
  <c r="C2942" i="1"/>
  <c r="B2942" i="1"/>
  <c r="A2942" i="1"/>
  <c r="F2941" i="1"/>
  <c r="E2941" i="1"/>
  <c r="D2941" i="1"/>
  <c r="C2941" i="1"/>
  <c r="B2941" i="1"/>
  <c r="A2941" i="1"/>
  <c r="F2940" i="1"/>
  <c r="E2940" i="1"/>
  <c r="D2940" i="1"/>
  <c r="C2940" i="1"/>
  <c r="B2940" i="1"/>
  <c r="A2940" i="1"/>
  <c r="F2939" i="1"/>
  <c r="E2939" i="1"/>
  <c r="D2939" i="1"/>
  <c r="C2939" i="1"/>
  <c r="B2939" i="1"/>
  <c r="A2939" i="1"/>
  <c r="F2938" i="1"/>
  <c r="E2938" i="1"/>
  <c r="D2938" i="1"/>
  <c r="C2938" i="1"/>
  <c r="B2938" i="1"/>
  <c r="A2938" i="1"/>
  <c r="F2937" i="1"/>
  <c r="E2937" i="1"/>
  <c r="D2937" i="1"/>
  <c r="C2937" i="1"/>
  <c r="B2937" i="1"/>
  <c r="A2937" i="1"/>
  <c r="F2936" i="1"/>
  <c r="E2936" i="1"/>
  <c r="D2936" i="1"/>
  <c r="C2936" i="1"/>
  <c r="B2936" i="1"/>
  <c r="A2936" i="1"/>
  <c r="F2935" i="1"/>
  <c r="E2935" i="1"/>
  <c r="D2935" i="1"/>
  <c r="C2935" i="1"/>
  <c r="B2935" i="1"/>
  <c r="A2935" i="1"/>
  <c r="F2934" i="1"/>
  <c r="E2934" i="1"/>
  <c r="D2934" i="1"/>
  <c r="C2934" i="1"/>
  <c r="B2934" i="1"/>
  <c r="A2934" i="1"/>
  <c r="F2933" i="1"/>
  <c r="E2933" i="1"/>
  <c r="D2933" i="1"/>
  <c r="C2933" i="1"/>
  <c r="B2933" i="1"/>
  <c r="A2933" i="1"/>
  <c r="F2932" i="1"/>
  <c r="E2932" i="1"/>
  <c r="D2932" i="1"/>
  <c r="C2932" i="1"/>
  <c r="B2932" i="1"/>
  <c r="A2932" i="1"/>
  <c r="F2931" i="1"/>
  <c r="E2931" i="1"/>
  <c r="D2931" i="1"/>
  <c r="C2931" i="1"/>
  <c r="B2931" i="1"/>
  <c r="A2931" i="1"/>
  <c r="F2930" i="1"/>
  <c r="E2930" i="1"/>
  <c r="D2930" i="1"/>
  <c r="C2930" i="1"/>
  <c r="B2930" i="1"/>
  <c r="A2930" i="1"/>
  <c r="F2929" i="1"/>
  <c r="E2929" i="1"/>
  <c r="D2929" i="1"/>
  <c r="C2929" i="1"/>
  <c r="B2929" i="1"/>
  <c r="A2929" i="1"/>
  <c r="F2928" i="1"/>
  <c r="E2928" i="1"/>
  <c r="D2928" i="1"/>
  <c r="C2928" i="1"/>
  <c r="B2928" i="1"/>
  <c r="A2928" i="1"/>
  <c r="F2927" i="1"/>
  <c r="E2927" i="1"/>
  <c r="D2927" i="1"/>
  <c r="C2927" i="1"/>
  <c r="B2927" i="1"/>
  <c r="A2927" i="1"/>
  <c r="F2926" i="1"/>
  <c r="E2926" i="1"/>
  <c r="D2926" i="1"/>
  <c r="C2926" i="1"/>
  <c r="B2926" i="1"/>
  <c r="A2926" i="1"/>
  <c r="F2925" i="1"/>
  <c r="E2925" i="1"/>
  <c r="D2925" i="1"/>
  <c r="C2925" i="1"/>
  <c r="B2925" i="1"/>
  <c r="A2925" i="1"/>
  <c r="F2924" i="1"/>
  <c r="E2924" i="1"/>
  <c r="D2924" i="1"/>
  <c r="C2924" i="1"/>
  <c r="B2924" i="1"/>
  <c r="A2924" i="1"/>
  <c r="F2923" i="1"/>
  <c r="E2923" i="1"/>
  <c r="D2923" i="1"/>
  <c r="C2923" i="1"/>
  <c r="B2923" i="1"/>
  <c r="A2923" i="1"/>
  <c r="F2922" i="1"/>
  <c r="E2922" i="1"/>
  <c r="D2922" i="1"/>
  <c r="C2922" i="1"/>
  <c r="B2922" i="1"/>
  <c r="A2922" i="1"/>
  <c r="F2921" i="1"/>
  <c r="E2921" i="1"/>
  <c r="D2921" i="1"/>
  <c r="C2921" i="1"/>
  <c r="B2921" i="1"/>
  <c r="A2921" i="1"/>
  <c r="F2920" i="1"/>
  <c r="E2920" i="1"/>
  <c r="D2920" i="1"/>
  <c r="C2920" i="1"/>
  <c r="B2920" i="1"/>
  <c r="A2920" i="1"/>
  <c r="F2919" i="1"/>
  <c r="E2919" i="1"/>
  <c r="D2919" i="1"/>
  <c r="C2919" i="1"/>
  <c r="B2919" i="1"/>
  <c r="A2919" i="1"/>
  <c r="F2918" i="1"/>
  <c r="E2918" i="1"/>
  <c r="D2918" i="1"/>
  <c r="C2918" i="1"/>
  <c r="B2918" i="1"/>
  <c r="A2918" i="1"/>
  <c r="F2917" i="1"/>
  <c r="E2917" i="1"/>
  <c r="D2917" i="1"/>
  <c r="C2917" i="1"/>
  <c r="B2917" i="1"/>
  <c r="A2917" i="1"/>
  <c r="F2916" i="1"/>
  <c r="E2916" i="1"/>
  <c r="D2916" i="1"/>
  <c r="C2916" i="1"/>
  <c r="B2916" i="1"/>
  <c r="A2916" i="1"/>
  <c r="F2915" i="1"/>
  <c r="E2915" i="1"/>
  <c r="D2915" i="1"/>
  <c r="C2915" i="1"/>
  <c r="B2915" i="1"/>
  <c r="A2915" i="1"/>
  <c r="F2914" i="1"/>
  <c r="E2914" i="1"/>
  <c r="D2914" i="1"/>
  <c r="C2914" i="1"/>
  <c r="B2914" i="1"/>
  <c r="A2914" i="1"/>
  <c r="F2913" i="1"/>
  <c r="E2913" i="1"/>
  <c r="D2913" i="1"/>
  <c r="C2913" i="1"/>
  <c r="B2913" i="1"/>
  <c r="A2913" i="1"/>
  <c r="F2912" i="1"/>
  <c r="E2912" i="1"/>
  <c r="D2912" i="1"/>
  <c r="C2912" i="1"/>
  <c r="B2912" i="1"/>
  <c r="A2912" i="1"/>
  <c r="F2911" i="1"/>
  <c r="E2911" i="1"/>
  <c r="D2911" i="1"/>
  <c r="C2911" i="1"/>
  <c r="B2911" i="1"/>
  <c r="A2911" i="1"/>
  <c r="F2910" i="1"/>
  <c r="E2910" i="1"/>
  <c r="D2910" i="1"/>
  <c r="C2910" i="1"/>
  <c r="B2910" i="1"/>
  <c r="A2910" i="1"/>
  <c r="F2909" i="1"/>
  <c r="E2909" i="1"/>
  <c r="D2909" i="1"/>
  <c r="C2909" i="1"/>
  <c r="B2909" i="1"/>
  <c r="A2909" i="1"/>
  <c r="F2908" i="1"/>
  <c r="E2908" i="1"/>
  <c r="D2908" i="1"/>
  <c r="C2908" i="1"/>
  <c r="B2908" i="1"/>
  <c r="A2908" i="1"/>
  <c r="F2907" i="1"/>
  <c r="E2907" i="1"/>
  <c r="D2907" i="1"/>
  <c r="C2907" i="1"/>
  <c r="B2907" i="1"/>
  <c r="A2907" i="1"/>
  <c r="F2906" i="1"/>
  <c r="E2906" i="1"/>
  <c r="D2906" i="1"/>
  <c r="C2906" i="1"/>
  <c r="B2906" i="1"/>
  <c r="A2906" i="1"/>
  <c r="F2905" i="1"/>
  <c r="E2905" i="1"/>
  <c r="D2905" i="1"/>
  <c r="C2905" i="1"/>
  <c r="B2905" i="1"/>
  <c r="A2905" i="1"/>
  <c r="F2904" i="1"/>
  <c r="E2904" i="1"/>
  <c r="D2904" i="1"/>
  <c r="C2904" i="1"/>
  <c r="B2904" i="1"/>
  <c r="A2904" i="1"/>
  <c r="F2903" i="1"/>
  <c r="E2903" i="1"/>
  <c r="D2903" i="1"/>
  <c r="C2903" i="1"/>
  <c r="B2903" i="1"/>
  <c r="A2903" i="1"/>
  <c r="F2902" i="1"/>
  <c r="E2902" i="1"/>
  <c r="D2902" i="1"/>
  <c r="C2902" i="1"/>
  <c r="B2902" i="1"/>
  <c r="A2902" i="1"/>
  <c r="F2901" i="1"/>
  <c r="E2901" i="1"/>
  <c r="D2901" i="1"/>
  <c r="C2901" i="1"/>
  <c r="B2901" i="1"/>
  <c r="A2901" i="1"/>
  <c r="F2900" i="1"/>
  <c r="E2900" i="1"/>
  <c r="D2900" i="1"/>
  <c r="C2900" i="1"/>
  <c r="B2900" i="1"/>
  <c r="A2900" i="1"/>
  <c r="F2899" i="1"/>
  <c r="E2899" i="1"/>
  <c r="D2899" i="1"/>
  <c r="C2899" i="1"/>
  <c r="B2899" i="1"/>
  <c r="A2899" i="1"/>
  <c r="F2898" i="1"/>
  <c r="E2898" i="1"/>
  <c r="D2898" i="1"/>
  <c r="C2898" i="1"/>
  <c r="B2898" i="1"/>
  <c r="A2898" i="1"/>
  <c r="F2897" i="1"/>
  <c r="E2897" i="1"/>
  <c r="D2897" i="1"/>
  <c r="C2897" i="1"/>
  <c r="B2897" i="1"/>
  <c r="A2897" i="1"/>
  <c r="F2896" i="1"/>
  <c r="E2896" i="1"/>
  <c r="D2896" i="1"/>
  <c r="C2896" i="1"/>
  <c r="B2896" i="1"/>
  <c r="A2896" i="1"/>
  <c r="F2895" i="1"/>
  <c r="E2895" i="1"/>
  <c r="D2895" i="1"/>
  <c r="C2895" i="1"/>
  <c r="B2895" i="1"/>
  <c r="A2895" i="1"/>
  <c r="F2894" i="1"/>
  <c r="E2894" i="1"/>
  <c r="D2894" i="1"/>
  <c r="C2894" i="1"/>
  <c r="B2894" i="1"/>
  <c r="A2894" i="1"/>
  <c r="F2893" i="1"/>
  <c r="E2893" i="1"/>
  <c r="D2893" i="1"/>
  <c r="C2893" i="1"/>
  <c r="B2893" i="1"/>
  <c r="A2893" i="1"/>
  <c r="F2892" i="1"/>
  <c r="E2892" i="1"/>
  <c r="D2892" i="1"/>
  <c r="C2892" i="1"/>
  <c r="B2892" i="1"/>
  <c r="A2892" i="1"/>
  <c r="F2891" i="1"/>
  <c r="E2891" i="1"/>
  <c r="D2891" i="1"/>
  <c r="C2891" i="1"/>
  <c r="B2891" i="1"/>
  <c r="A2891" i="1"/>
  <c r="F2890" i="1"/>
  <c r="E2890" i="1"/>
  <c r="D2890" i="1"/>
  <c r="C2890" i="1"/>
  <c r="B2890" i="1"/>
  <c r="A2890" i="1"/>
  <c r="F2889" i="1"/>
  <c r="E2889" i="1"/>
  <c r="D2889" i="1"/>
  <c r="C2889" i="1"/>
  <c r="B2889" i="1"/>
  <c r="A2889" i="1"/>
  <c r="F2888" i="1"/>
  <c r="E2888" i="1"/>
  <c r="D2888" i="1"/>
  <c r="C2888" i="1"/>
  <c r="B2888" i="1"/>
  <c r="A2888" i="1"/>
  <c r="F2887" i="1"/>
  <c r="E2887" i="1"/>
  <c r="D2887" i="1"/>
  <c r="C2887" i="1"/>
  <c r="B2887" i="1"/>
  <c r="A2887" i="1"/>
  <c r="F2886" i="1"/>
  <c r="E2886" i="1"/>
  <c r="D2886" i="1"/>
  <c r="C2886" i="1"/>
  <c r="B2886" i="1"/>
  <c r="A2886" i="1"/>
  <c r="F2885" i="1"/>
  <c r="E2885" i="1"/>
  <c r="D2885" i="1"/>
  <c r="C2885" i="1"/>
  <c r="B2885" i="1"/>
  <c r="A2885" i="1"/>
  <c r="F2884" i="1"/>
  <c r="E2884" i="1"/>
  <c r="D2884" i="1"/>
  <c r="C2884" i="1"/>
  <c r="B2884" i="1"/>
  <c r="A2884" i="1"/>
  <c r="F2883" i="1"/>
  <c r="E2883" i="1"/>
  <c r="D2883" i="1"/>
  <c r="C2883" i="1"/>
  <c r="B2883" i="1"/>
  <c r="A2883" i="1"/>
  <c r="F2882" i="1"/>
  <c r="E2882" i="1"/>
  <c r="D2882" i="1"/>
  <c r="C2882" i="1"/>
  <c r="B2882" i="1"/>
  <c r="A2882" i="1"/>
  <c r="F2881" i="1"/>
  <c r="E2881" i="1"/>
  <c r="D2881" i="1"/>
  <c r="C2881" i="1"/>
  <c r="B2881" i="1"/>
  <c r="A2881" i="1"/>
  <c r="F2880" i="1"/>
  <c r="E2880" i="1"/>
  <c r="D2880" i="1"/>
  <c r="C2880" i="1"/>
  <c r="B2880" i="1"/>
  <c r="A2880" i="1"/>
  <c r="F2879" i="1"/>
  <c r="E2879" i="1"/>
  <c r="D2879" i="1"/>
  <c r="C2879" i="1"/>
  <c r="B2879" i="1"/>
  <c r="A2879" i="1"/>
  <c r="F2878" i="1"/>
  <c r="E2878" i="1"/>
  <c r="D2878" i="1"/>
  <c r="C2878" i="1"/>
  <c r="B2878" i="1"/>
  <c r="A2878" i="1"/>
  <c r="F2877" i="1"/>
  <c r="E2877" i="1"/>
  <c r="D2877" i="1"/>
  <c r="C2877" i="1"/>
  <c r="B2877" i="1"/>
  <c r="A2877" i="1"/>
  <c r="F2876" i="1"/>
  <c r="E2876" i="1"/>
  <c r="D2876" i="1"/>
  <c r="C2876" i="1"/>
  <c r="B2876" i="1"/>
  <c r="A2876" i="1"/>
  <c r="F2875" i="1"/>
  <c r="E2875" i="1"/>
  <c r="D2875" i="1"/>
  <c r="C2875" i="1"/>
  <c r="B2875" i="1"/>
  <c r="A2875" i="1"/>
  <c r="F2874" i="1"/>
  <c r="E2874" i="1"/>
  <c r="D2874" i="1"/>
  <c r="C2874" i="1"/>
  <c r="B2874" i="1"/>
  <c r="A2874" i="1"/>
  <c r="F2873" i="1"/>
  <c r="E2873" i="1"/>
  <c r="D2873" i="1"/>
  <c r="C2873" i="1"/>
  <c r="B2873" i="1"/>
  <c r="A2873" i="1"/>
  <c r="F2872" i="1"/>
  <c r="E2872" i="1"/>
  <c r="D2872" i="1"/>
  <c r="C2872" i="1"/>
  <c r="B2872" i="1"/>
  <c r="A2872" i="1"/>
  <c r="F2871" i="1"/>
  <c r="E2871" i="1"/>
  <c r="D2871" i="1"/>
  <c r="C2871" i="1"/>
  <c r="B2871" i="1"/>
  <c r="A2871" i="1"/>
  <c r="F2870" i="1"/>
  <c r="E2870" i="1"/>
  <c r="D2870" i="1"/>
  <c r="C2870" i="1"/>
  <c r="B2870" i="1"/>
  <c r="A2870" i="1"/>
  <c r="F2869" i="1"/>
  <c r="E2869" i="1"/>
  <c r="D2869" i="1"/>
  <c r="C2869" i="1"/>
  <c r="B2869" i="1"/>
  <c r="A2869" i="1"/>
  <c r="F2868" i="1"/>
  <c r="E2868" i="1"/>
  <c r="D2868" i="1"/>
  <c r="C2868" i="1"/>
  <c r="B2868" i="1"/>
  <c r="A2868" i="1"/>
  <c r="F2867" i="1"/>
  <c r="E2867" i="1"/>
  <c r="D2867" i="1"/>
  <c r="C2867" i="1"/>
  <c r="B2867" i="1"/>
  <c r="A2867" i="1"/>
  <c r="F2866" i="1"/>
  <c r="E2866" i="1"/>
  <c r="D2866" i="1"/>
  <c r="C2866" i="1"/>
  <c r="B2866" i="1"/>
  <c r="A2866" i="1"/>
  <c r="F2865" i="1"/>
  <c r="E2865" i="1"/>
  <c r="D2865" i="1"/>
  <c r="C2865" i="1"/>
  <c r="B2865" i="1"/>
  <c r="A2865" i="1"/>
  <c r="F2864" i="1"/>
  <c r="E2864" i="1"/>
  <c r="D2864" i="1"/>
  <c r="C2864" i="1"/>
  <c r="B2864" i="1"/>
  <c r="A2864" i="1"/>
  <c r="F2863" i="1"/>
  <c r="E2863" i="1"/>
  <c r="D2863" i="1"/>
  <c r="C2863" i="1"/>
  <c r="B2863" i="1"/>
  <c r="A2863" i="1"/>
  <c r="F2862" i="1"/>
  <c r="E2862" i="1"/>
  <c r="D2862" i="1"/>
  <c r="C2862" i="1"/>
  <c r="B2862" i="1"/>
  <c r="A2862" i="1"/>
  <c r="F2861" i="1"/>
  <c r="E2861" i="1"/>
  <c r="D2861" i="1"/>
  <c r="C2861" i="1"/>
  <c r="B2861" i="1"/>
  <c r="A2861" i="1"/>
  <c r="F2860" i="1"/>
  <c r="E2860" i="1"/>
  <c r="D2860" i="1"/>
  <c r="C2860" i="1"/>
  <c r="B2860" i="1"/>
  <c r="A2860" i="1"/>
  <c r="F2859" i="1"/>
  <c r="E2859" i="1"/>
  <c r="D2859" i="1"/>
  <c r="C2859" i="1"/>
  <c r="B2859" i="1"/>
  <c r="A2859" i="1"/>
  <c r="F2858" i="1"/>
  <c r="E2858" i="1"/>
  <c r="D2858" i="1"/>
  <c r="C2858" i="1"/>
  <c r="B2858" i="1"/>
  <c r="A2858" i="1"/>
  <c r="F2857" i="1"/>
  <c r="E2857" i="1"/>
  <c r="D2857" i="1"/>
  <c r="C2857" i="1"/>
  <c r="B2857" i="1"/>
  <c r="A2857" i="1"/>
  <c r="F2856" i="1"/>
  <c r="E2856" i="1"/>
  <c r="D2856" i="1"/>
  <c r="C2856" i="1"/>
  <c r="B2856" i="1"/>
  <c r="A2856" i="1"/>
  <c r="F2855" i="1"/>
  <c r="E2855" i="1"/>
  <c r="D2855" i="1"/>
  <c r="C2855" i="1"/>
  <c r="B2855" i="1"/>
  <c r="A2855" i="1"/>
  <c r="F2854" i="1"/>
  <c r="E2854" i="1"/>
  <c r="D2854" i="1"/>
  <c r="C2854" i="1"/>
  <c r="B2854" i="1"/>
  <c r="A2854" i="1"/>
  <c r="F2853" i="1"/>
  <c r="E2853" i="1"/>
  <c r="D2853" i="1"/>
  <c r="C2853" i="1"/>
  <c r="B2853" i="1"/>
  <c r="A2853" i="1"/>
  <c r="F2852" i="1"/>
  <c r="E2852" i="1"/>
  <c r="D2852" i="1"/>
  <c r="C2852" i="1"/>
  <c r="B2852" i="1"/>
  <c r="A2852" i="1"/>
  <c r="F2851" i="1"/>
  <c r="E2851" i="1"/>
  <c r="D2851" i="1"/>
  <c r="C2851" i="1"/>
  <c r="B2851" i="1"/>
  <c r="A2851" i="1"/>
  <c r="F2850" i="1"/>
  <c r="E2850" i="1"/>
  <c r="D2850" i="1"/>
  <c r="C2850" i="1"/>
  <c r="B2850" i="1"/>
  <c r="A2850" i="1"/>
  <c r="F2849" i="1"/>
  <c r="E2849" i="1"/>
  <c r="D2849" i="1"/>
  <c r="C2849" i="1"/>
  <c r="B2849" i="1"/>
  <c r="A2849" i="1"/>
  <c r="F2848" i="1"/>
  <c r="E2848" i="1"/>
  <c r="D2848" i="1"/>
  <c r="C2848" i="1"/>
  <c r="B2848" i="1"/>
  <c r="A2848" i="1"/>
  <c r="F2847" i="1"/>
  <c r="E2847" i="1"/>
  <c r="D2847" i="1"/>
  <c r="C2847" i="1"/>
  <c r="B2847" i="1"/>
  <c r="A2847" i="1"/>
  <c r="F2846" i="1"/>
  <c r="E2846" i="1"/>
  <c r="D2846" i="1"/>
  <c r="C2846" i="1"/>
  <c r="B2846" i="1"/>
  <c r="A2846" i="1"/>
  <c r="F2845" i="1"/>
  <c r="E2845" i="1"/>
  <c r="D2845" i="1"/>
  <c r="C2845" i="1"/>
  <c r="B2845" i="1"/>
  <c r="A2845" i="1"/>
  <c r="F2844" i="1"/>
  <c r="E2844" i="1"/>
  <c r="D2844" i="1"/>
  <c r="C2844" i="1"/>
  <c r="B2844" i="1"/>
  <c r="A2844" i="1"/>
  <c r="F2843" i="1"/>
  <c r="E2843" i="1"/>
  <c r="D2843" i="1"/>
  <c r="C2843" i="1"/>
  <c r="B2843" i="1"/>
  <c r="A2843" i="1"/>
  <c r="F2842" i="1"/>
  <c r="E2842" i="1"/>
  <c r="D2842" i="1"/>
  <c r="C2842" i="1"/>
  <c r="B2842" i="1"/>
  <c r="A2842" i="1"/>
  <c r="F2841" i="1"/>
  <c r="E2841" i="1"/>
  <c r="D2841" i="1"/>
  <c r="C2841" i="1"/>
  <c r="B2841" i="1"/>
  <c r="A2841" i="1"/>
  <c r="F2840" i="1"/>
  <c r="E2840" i="1"/>
  <c r="D2840" i="1"/>
  <c r="C2840" i="1"/>
  <c r="B2840" i="1"/>
  <c r="A2840" i="1"/>
  <c r="F2839" i="1"/>
  <c r="E2839" i="1"/>
  <c r="D2839" i="1"/>
  <c r="C2839" i="1"/>
  <c r="B2839" i="1"/>
  <c r="A2839" i="1"/>
  <c r="F2838" i="1"/>
  <c r="E2838" i="1"/>
  <c r="D2838" i="1"/>
  <c r="C2838" i="1"/>
  <c r="B2838" i="1"/>
  <c r="A2838" i="1"/>
  <c r="F2837" i="1"/>
  <c r="E2837" i="1"/>
  <c r="D2837" i="1"/>
  <c r="C2837" i="1"/>
  <c r="B2837" i="1"/>
  <c r="A2837" i="1"/>
  <c r="F2836" i="1"/>
  <c r="E2836" i="1"/>
  <c r="D2836" i="1"/>
  <c r="C2836" i="1"/>
  <c r="B2836" i="1"/>
  <c r="A2836" i="1"/>
  <c r="F2835" i="1"/>
  <c r="E2835" i="1"/>
  <c r="D2835" i="1"/>
  <c r="C2835" i="1"/>
  <c r="B2835" i="1"/>
  <c r="A2835" i="1"/>
  <c r="F2834" i="1"/>
  <c r="E2834" i="1"/>
  <c r="D2834" i="1"/>
  <c r="C2834" i="1"/>
  <c r="B2834" i="1"/>
  <c r="A2834" i="1"/>
  <c r="F2833" i="1"/>
  <c r="E2833" i="1"/>
  <c r="D2833" i="1"/>
  <c r="C2833" i="1"/>
  <c r="B2833" i="1"/>
  <c r="A2833" i="1"/>
  <c r="F2832" i="1"/>
  <c r="E2832" i="1"/>
  <c r="D2832" i="1"/>
  <c r="C2832" i="1"/>
  <c r="B2832" i="1"/>
  <c r="A2832" i="1"/>
  <c r="F2831" i="1"/>
  <c r="E2831" i="1"/>
  <c r="D2831" i="1"/>
  <c r="C2831" i="1"/>
  <c r="B2831" i="1"/>
  <c r="A2831" i="1"/>
  <c r="F2830" i="1"/>
  <c r="E2830" i="1"/>
  <c r="D2830" i="1"/>
  <c r="C2830" i="1"/>
  <c r="B2830" i="1"/>
  <c r="A2830" i="1"/>
  <c r="F2829" i="1"/>
  <c r="E2829" i="1"/>
  <c r="D2829" i="1"/>
  <c r="C2829" i="1"/>
  <c r="B2829" i="1"/>
  <c r="A2829" i="1"/>
  <c r="F2828" i="1"/>
  <c r="E2828" i="1"/>
  <c r="D2828" i="1"/>
  <c r="C2828" i="1"/>
  <c r="B2828" i="1"/>
  <c r="A2828" i="1"/>
  <c r="F2827" i="1"/>
  <c r="E2827" i="1"/>
  <c r="D2827" i="1"/>
  <c r="C2827" i="1"/>
  <c r="B2827" i="1"/>
  <c r="A2827" i="1"/>
  <c r="F2826" i="1"/>
  <c r="E2826" i="1"/>
  <c r="D2826" i="1"/>
  <c r="C2826" i="1"/>
  <c r="B2826" i="1"/>
  <c r="A2826" i="1"/>
  <c r="F2825" i="1"/>
  <c r="E2825" i="1"/>
  <c r="D2825" i="1"/>
  <c r="C2825" i="1"/>
  <c r="B2825" i="1"/>
  <c r="A2825" i="1"/>
  <c r="F2824" i="1"/>
  <c r="E2824" i="1"/>
  <c r="D2824" i="1"/>
  <c r="C2824" i="1"/>
  <c r="B2824" i="1"/>
  <c r="A2824" i="1"/>
  <c r="F2823" i="1"/>
  <c r="E2823" i="1"/>
  <c r="D2823" i="1"/>
  <c r="C2823" i="1"/>
  <c r="B2823" i="1"/>
  <c r="A2823" i="1"/>
  <c r="F2822" i="1"/>
  <c r="E2822" i="1"/>
  <c r="D2822" i="1"/>
  <c r="C2822" i="1"/>
  <c r="B2822" i="1"/>
  <c r="A2822" i="1"/>
  <c r="F2821" i="1"/>
  <c r="E2821" i="1"/>
  <c r="D2821" i="1"/>
  <c r="C2821" i="1"/>
  <c r="B2821" i="1"/>
  <c r="A2821" i="1"/>
  <c r="F2820" i="1"/>
  <c r="E2820" i="1"/>
  <c r="D2820" i="1"/>
  <c r="C2820" i="1"/>
  <c r="B2820" i="1"/>
  <c r="A2820" i="1"/>
  <c r="F2819" i="1"/>
  <c r="E2819" i="1"/>
  <c r="D2819" i="1"/>
  <c r="C2819" i="1"/>
  <c r="B2819" i="1"/>
  <c r="A2819" i="1"/>
  <c r="F2818" i="1"/>
  <c r="E2818" i="1"/>
  <c r="D2818" i="1"/>
  <c r="C2818" i="1"/>
  <c r="B2818" i="1"/>
  <c r="A2818" i="1"/>
  <c r="F2817" i="1"/>
  <c r="E2817" i="1"/>
  <c r="D2817" i="1"/>
  <c r="C2817" i="1"/>
  <c r="B2817" i="1"/>
  <c r="A2817" i="1"/>
  <c r="F2816" i="1"/>
  <c r="E2816" i="1"/>
  <c r="D2816" i="1"/>
  <c r="C2816" i="1"/>
  <c r="B2816" i="1"/>
  <c r="A2816" i="1"/>
  <c r="F2815" i="1"/>
  <c r="E2815" i="1"/>
  <c r="D2815" i="1"/>
  <c r="C2815" i="1"/>
  <c r="B2815" i="1"/>
  <c r="A2815" i="1"/>
  <c r="F2814" i="1"/>
  <c r="E2814" i="1"/>
  <c r="D2814" i="1"/>
  <c r="C2814" i="1"/>
  <c r="B2814" i="1"/>
  <c r="A2814" i="1"/>
  <c r="F2813" i="1"/>
  <c r="E2813" i="1"/>
  <c r="D2813" i="1"/>
  <c r="C2813" i="1"/>
  <c r="B2813" i="1"/>
  <c r="A2813" i="1"/>
  <c r="F2812" i="1"/>
  <c r="E2812" i="1"/>
  <c r="D2812" i="1"/>
  <c r="C2812" i="1"/>
  <c r="B2812" i="1"/>
  <c r="A2812" i="1"/>
  <c r="F2811" i="1"/>
  <c r="E2811" i="1"/>
  <c r="D2811" i="1"/>
  <c r="C2811" i="1"/>
  <c r="B2811" i="1"/>
  <c r="A2811" i="1"/>
  <c r="F2810" i="1"/>
  <c r="E2810" i="1"/>
  <c r="D2810" i="1"/>
  <c r="C2810" i="1"/>
  <c r="B2810" i="1"/>
  <c r="A2810" i="1"/>
  <c r="F2809" i="1"/>
  <c r="E2809" i="1"/>
  <c r="D2809" i="1"/>
  <c r="C2809" i="1"/>
  <c r="B2809" i="1"/>
  <c r="A2809" i="1"/>
  <c r="F2808" i="1"/>
  <c r="E2808" i="1"/>
  <c r="D2808" i="1"/>
  <c r="C2808" i="1"/>
  <c r="B2808" i="1"/>
  <c r="A2808" i="1"/>
  <c r="F2807" i="1"/>
  <c r="E2807" i="1"/>
  <c r="D2807" i="1"/>
  <c r="C2807" i="1"/>
  <c r="B2807" i="1"/>
  <c r="A2807" i="1"/>
  <c r="F2806" i="1"/>
  <c r="E2806" i="1"/>
  <c r="D2806" i="1"/>
  <c r="C2806" i="1"/>
  <c r="B2806" i="1"/>
  <c r="A2806" i="1"/>
  <c r="F2805" i="1"/>
  <c r="E2805" i="1"/>
  <c r="D2805" i="1"/>
  <c r="C2805" i="1"/>
  <c r="B2805" i="1"/>
  <c r="A2805" i="1"/>
  <c r="F2804" i="1"/>
  <c r="E2804" i="1"/>
  <c r="D2804" i="1"/>
  <c r="C2804" i="1"/>
  <c r="B2804" i="1"/>
  <c r="A2804" i="1"/>
  <c r="F2803" i="1"/>
  <c r="E2803" i="1"/>
  <c r="D2803" i="1"/>
  <c r="C2803" i="1"/>
  <c r="B2803" i="1"/>
  <c r="A2803" i="1"/>
  <c r="F2802" i="1"/>
  <c r="E2802" i="1"/>
  <c r="D2802" i="1"/>
  <c r="C2802" i="1"/>
  <c r="B2802" i="1"/>
  <c r="A2802" i="1"/>
  <c r="F2801" i="1"/>
  <c r="E2801" i="1"/>
  <c r="D2801" i="1"/>
  <c r="C2801" i="1"/>
  <c r="B2801" i="1"/>
  <c r="A2801" i="1"/>
  <c r="F2800" i="1"/>
  <c r="E2800" i="1"/>
  <c r="D2800" i="1"/>
  <c r="C2800" i="1"/>
  <c r="B2800" i="1"/>
  <c r="A2800" i="1"/>
  <c r="F2799" i="1"/>
  <c r="E2799" i="1"/>
  <c r="D2799" i="1"/>
  <c r="C2799" i="1"/>
  <c r="B2799" i="1"/>
  <c r="A2799" i="1"/>
  <c r="F2798" i="1"/>
  <c r="E2798" i="1"/>
  <c r="D2798" i="1"/>
  <c r="C2798" i="1"/>
  <c r="B2798" i="1"/>
  <c r="A2798" i="1"/>
  <c r="F2797" i="1"/>
  <c r="E2797" i="1"/>
  <c r="D2797" i="1"/>
  <c r="C2797" i="1"/>
  <c r="B2797" i="1"/>
  <c r="A2797" i="1"/>
  <c r="F2796" i="1"/>
  <c r="E2796" i="1"/>
  <c r="D2796" i="1"/>
  <c r="C2796" i="1"/>
  <c r="B2796" i="1"/>
  <c r="A2796" i="1"/>
  <c r="F2795" i="1"/>
  <c r="E2795" i="1"/>
  <c r="D2795" i="1"/>
  <c r="C2795" i="1"/>
  <c r="B2795" i="1"/>
  <c r="A2795" i="1"/>
  <c r="F2794" i="1"/>
  <c r="E2794" i="1"/>
  <c r="D2794" i="1"/>
  <c r="C2794" i="1"/>
  <c r="B2794" i="1"/>
  <c r="A2794" i="1"/>
  <c r="F2793" i="1"/>
  <c r="E2793" i="1"/>
  <c r="D2793" i="1"/>
  <c r="C2793" i="1"/>
  <c r="B2793" i="1"/>
  <c r="A2793" i="1"/>
  <c r="F2792" i="1"/>
  <c r="E2792" i="1"/>
  <c r="D2792" i="1"/>
  <c r="C2792" i="1"/>
  <c r="B2792" i="1"/>
  <c r="A2792" i="1"/>
  <c r="F2791" i="1"/>
  <c r="E2791" i="1"/>
  <c r="D2791" i="1"/>
  <c r="C2791" i="1"/>
  <c r="B2791" i="1"/>
  <c r="A2791" i="1"/>
  <c r="F2790" i="1"/>
  <c r="E2790" i="1"/>
  <c r="D2790" i="1"/>
  <c r="C2790" i="1"/>
  <c r="B2790" i="1"/>
  <c r="A2790" i="1"/>
  <c r="F2789" i="1"/>
  <c r="E2789" i="1"/>
  <c r="D2789" i="1"/>
  <c r="C2789" i="1"/>
  <c r="B2789" i="1"/>
  <c r="A2789" i="1"/>
  <c r="F2788" i="1"/>
  <c r="E2788" i="1"/>
  <c r="D2788" i="1"/>
  <c r="C2788" i="1"/>
  <c r="B2788" i="1"/>
  <c r="A2788" i="1"/>
  <c r="F2787" i="1"/>
  <c r="E2787" i="1"/>
  <c r="D2787" i="1"/>
  <c r="C2787" i="1"/>
  <c r="B2787" i="1"/>
  <c r="A2787" i="1"/>
  <c r="F2786" i="1"/>
  <c r="E2786" i="1"/>
  <c r="D2786" i="1"/>
  <c r="C2786" i="1"/>
  <c r="B2786" i="1"/>
  <c r="A2786" i="1"/>
  <c r="F2785" i="1"/>
  <c r="E2785" i="1"/>
  <c r="D2785" i="1"/>
  <c r="C2785" i="1"/>
  <c r="B2785" i="1"/>
  <c r="A2785" i="1"/>
  <c r="F2784" i="1"/>
  <c r="E2784" i="1"/>
  <c r="D2784" i="1"/>
  <c r="C2784" i="1"/>
  <c r="B2784" i="1"/>
  <c r="A2784" i="1"/>
  <c r="F2783" i="1"/>
  <c r="E2783" i="1"/>
  <c r="D2783" i="1"/>
  <c r="C2783" i="1"/>
  <c r="B2783" i="1"/>
  <c r="A2783" i="1"/>
  <c r="F2782" i="1"/>
  <c r="E2782" i="1"/>
  <c r="D2782" i="1"/>
  <c r="C2782" i="1"/>
  <c r="B2782" i="1"/>
  <c r="A2782" i="1"/>
  <c r="F2781" i="1"/>
  <c r="E2781" i="1"/>
  <c r="D2781" i="1"/>
  <c r="C2781" i="1"/>
  <c r="B2781" i="1"/>
  <c r="A2781" i="1"/>
  <c r="F2780" i="1"/>
  <c r="E2780" i="1"/>
  <c r="D2780" i="1"/>
  <c r="C2780" i="1"/>
  <c r="B2780" i="1"/>
  <c r="A2780" i="1"/>
  <c r="F2779" i="1"/>
  <c r="E2779" i="1"/>
  <c r="D2779" i="1"/>
  <c r="C2779" i="1"/>
  <c r="B2779" i="1"/>
  <c r="A2779" i="1"/>
  <c r="F2778" i="1"/>
  <c r="E2778" i="1"/>
  <c r="D2778" i="1"/>
  <c r="C2778" i="1"/>
  <c r="B2778" i="1"/>
  <c r="A2778" i="1"/>
  <c r="F2777" i="1"/>
  <c r="E2777" i="1"/>
  <c r="D2777" i="1"/>
  <c r="C2777" i="1"/>
  <c r="B2777" i="1"/>
  <c r="A2777" i="1"/>
  <c r="F2776" i="1"/>
  <c r="E2776" i="1"/>
  <c r="D2776" i="1"/>
  <c r="C2776" i="1"/>
  <c r="B2776" i="1"/>
  <c r="A2776" i="1"/>
  <c r="F2775" i="1"/>
  <c r="E2775" i="1"/>
  <c r="D2775" i="1"/>
  <c r="C2775" i="1"/>
  <c r="B2775" i="1"/>
  <c r="A2775" i="1"/>
  <c r="F2774" i="1"/>
  <c r="E2774" i="1"/>
  <c r="D2774" i="1"/>
  <c r="C2774" i="1"/>
  <c r="B2774" i="1"/>
  <c r="A2774" i="1"/>
  <c r="F2773" i="1"/>
  <c r="E2773" i="1"/>
  <c r="D2773" i="1"/>
  <c r="C2773" i="1"/>
  <c r="B2773" i="1"/>
  <c r="A2773" i="1"/>
  <c r="F2772" i="1"/>
  <c r="E2772" i="1"/>
  <c r="D2772" i="1"/>
  <c r="C2772" i="1"/>
  <c r="B2772" i="1"/>
  <c r="A2772" i="1"/>
  <c r="F2771" i="1"/>
  <c r="E2771" i="1"/>
  <c r="D2771" i="1"/>
  <c r="C2771" i="1"/>
  <c r="B2771" i="1"/>
  <c r="A2771" i="1"/>
  <c r="F2770" i="1"/>
  <c r="E2770" i="1"/>
  <c r="D2770" i="1"/>
  <c r="C2770" i="1"/>
  <c r="B2770" i="1"/>
  <c r="A2770" i="1"/>
  <c r="F2769" i="1"/>
  <c r="E2769" i="1"/>
  <c r="D2769" i="1"/>
  <c r="C2769" i="1"/>
  <c r="B2769" i="1"/>
  <c r="A2769" i="1"/>
  <c r="F2768" i="1"/>
  <c r="E2768" i="1"/>
  <c r="D2768" i="1"/>
  <c r="C2768" i="1"/>
  <c r="B2768" i="1"/>
  <c r="A2768" i="1"/>
  <c r="F2767" i="1"/>
  <c r="E2767" i="1"/>
  <c r="D2767" i="1"/>
  <c r="C2767" i="1"/>
  <c r="B2767" i="1"/>
  <c r="A2767" i="1"/>
  <c r="F2766" i="1"/>
  <c r="E2766" i="1"/>
  <c r="D2766" i="1"/>
  <c r="C2766" i="1"/>
  <c r="B2766" i="1"/>
  <c r="A2766" i="1"/>
  <c r="F2765" i="1"/>
  <c r="E2765" i="1"/>
  <c r="D2765" i="1"/>
  <c r="C2765" i="1"/>
  <c r="B2765" i="1"/>
  <c r="A2765" i="1"/>
  <c r="F2764" i="1"/>
  <c r="E2764" i="1"/>
  <c r="D2764" i="1"/>
  <c r="C2764" i="1"/>
  <c r="B2764" i="1"/>
  <c r="A2764" i="1"/>
  <c r="F2763" i="1"/>
  <c r="E2763" i="1"/>
  <c r="D2763" i="1"/>
  <c r="C2763" i="1"/>
  <c r="B2763" i="1"/>
  <c r="A2763" i="1"/>
  <c r="F2762" i="1"/>
  <c r="E2762" i="1"/>
  <c r="D2762" i="1"/>
  <c r="C2762" i="1"/>
  <c r="B2762" i="1"/>
  <c r="A2762" i="1"/>
  <c r="F2761" i="1"/>
  <c r="E2761" i="1"/>
  <c r="D2761" i="1"/>
  <c r="C2761" i="1"/>
  <c r="B2761" i="1"/>
  <c r="A2761" i="1"/>
  <c r="F2760" i="1"/>
  <c r="E2760" i="1"/>
  <c r="D2760" i="1"/>
  <c r="C2760" i="1"/>
  <c r="B2760" i="1"/>
  <c r="A2760" i="1"/>
  <c r="F2759" i="1"/>
  <c r="E2759" i="1"/>
  <c r="D2759" i="1"/>
  <c r="C2759" i="1"/>
  <c r="B2759" i="1"/>
  <c r="A2759" i="1"/>
  <c r="F2758" i="1"/>
  <c r="E2758" i="1"/>
  <c r="D2758" i="1"/>
  <c r="C2758" i="1"/>
  <c r="B2758" i="1"/>
  <c r="A2758" i="1"/>
  <c r="F2757" i="1"/>
  <c r="E2757" i="1"/>
  <c r="D2757" i="1"/>
  <c r="C2757" i="1"/>
  <c r="B2757" i="1"/>
  <c r="A2757" i="1"/>
  <c r="F2756" i="1"/>
  <c r="E2756" i="1"/>
  <c r="D2756" i="1"/>
  <c r="C2756" i="1"/>
  <c r="B2756" i="1"/>
  <c r="A2756" i="1"/>
  <c r="F2755" i="1"/>
  <c r="E2755" i="1"/>
  <c r="D2755" i="1"/>
  <c r="C2755" i="1"/>
  <c r="B2755" i="1"/>
  <c r="A2755" i="1"/>
  <c r="F2754" i="1"/>
  <c r="E2754" i="1"/>
  <c r="D2754" i="1"/>
  <c r="C2754" i="1"/>
  <c r="B2754" i="1"/>
  <c r="A2754" i="1"/>
  <c r="F2753" i="1"/>
  <c r="E2753" i="1"/>
  <c r="D2753" i="1"/>
  <c r="C2753" i="1"/>
  <c r="B2753" i="1"/>
  <c r="A2753" i="1"/>
  <c r="F2752" i="1"/>
  <c r="E2752" i="1"/>
  <c r="D2752" i="1"/>
  <c r="C2752" i="1"/>
  <c r="B2752" i="1"/>
  <c r="A2752" i="1"/>
  <c r="F2751" i="1"/>
  <c r="E2751" i="1"/>
  <c r="D2751" i="1"/>
  <c r="C2751" i="1"/>
  <c r="B2751" i="1"/>
  <c r="A2751" i="1"/>
  <c r="F2750" i="1"/>
  <c r="E2750" i="1"/>
  <c r="D2750" i="1"/>
  <c r="C2750" i="1"/>
  <c r="B2750" i="1"/>
  <c r="A2750" i="1"/>
  <c r="F2749" i="1"/>
  <c r="E2749" i="1"/>
  <c r="D2749" i="1"/>
  <c r="C2749" i="1"/>
  <c r="B2749" i="1"/>
  <c r="A2749" i="1"/>
  <c r="F2748" i="1"/>
  <c r="E2748" i="1"/>
  <c r="D2748" i="1"/>
  <c r="C2748" i="1"/>
  <c r="B2748" i="1"/>
  <c r="A2748" i="1"/>
  <c r="F2747" i="1"/>
  <c r="E2747" i="1"/>
  <c r="D2747" i="1"/>
  <c r="C2747" i="1"/>
  <c r="B2747" i="1"/>
  <c r="A2747" i="1"/>
  <c r="F2746" i="1"/>
  <c r="E2746" i="1"/>
  <c r="D2746" i="1"/>
  <c r="C2746" i="1"/>
  <c r="B2746" i="1"/>
  <c r="A2746" i="1"/>
  <c r="F2745" i="1"/>
  <c r="E2745" i="1"/>
  <c r="D2745" i="1"/>
  <c r="C2745" i="1"/>
  <c r="B2745" i="1"/>
  <c r="A2745" i="1"/>
  <c r="F2744" i="1"/>
  <c r="E2744" i="1"/>
  <c r="D2744" i="1"/>
  <c r="C2744" i="1"/>
  <c r="B2744" i="1"/>
  <c r="A2744" i="1"/>
  <c r="F2743" i="1"/>
  <c r="E2743" i="1"/>
  <c r="D2743" i="1"/>
  <c r="C2743" i="1"/>
  <c r="B2743" i="1"/>
  <c r="A2743" i="1"/>
  <c r="F2742" i="1"/>
  <c r="E2742" i="1"/>
  <c r="D2742" i="1"/>
  <c r="C2742" i="1"/>
  <c r="B2742" i="1"/>
  <c r="A2742" i="1"/>
  <c r="F2741" i="1"/>
  <c r="E2741" i="1"/>
  <c r="D2741" i="1"/>
  <c r="C2741" i="1"/>
  <c r="B2741" i="1"/>
  <c r="A2741" i="1"/>
  <c r="F2740" i="1"/>
  <c r="E2740" i="1"/>
  <c r="D2740" i="1"/>
  <c r="C2740" i="1"/>
  <c r="B2740" i="1"/>
  <c r="A2740" i="1"/>
  <c r="F2739" i="1"/>
  <c r="E2739" i="1"/>
  <c r="D2739" i="1"/>
  <c r="C2739" i="1"/>
  <c r="B2739" i="1"/>
  <c r="A2739" i="1"/>
  <c r="F2738" i="1"/>
  <c r="E2738" i="1"/>
  <c r="D2738" i="1"/>
  <c r="C2738" i="1"/>
  <c r="B2738" i="1"/>
  <c r="A2738" i="1"/>
  <c r="F2737" i="1"/>
  <c r="E2737" i="1"/>
  <c r="D2737" i="1"/>
  <c r="C2737" i="1"/>
  <c r="B2737" i="1"/>
  <c r="A2737" i="1"/>
  <c r="F2736" i="1"/>
  <c r="E2736" i="1"/>
  <c r="D2736" i="1"/>
  <c r="C2736" i="1"/>
  <c r="B2736" i="1"/>
  <c r="A2736" i="1"/>
  <c r="F2735" i="1"/>
  <c r="E2735" i="1"/>
  <c r="D2735" i="1"/>
  <c r="C2735" i="1"/>
  <c r="B2735" i="1"/>
  <c r="A2735" i="1"/>
  <c r="F2734" i="1"/>
  <c r="E2734" i="1"/>
  <c r="D2734" i="1"/>
  <c r="C2734" i="1"/>
  <c r="B2734" i="1"/>
  <c r="A2734" i="1"/>
  <c r="F2733" i="1"/>
  <c r="E2733" i="1"/>
  <c r="D2733" i="1"/>
  <c r="C2733" i="1"/>
  <c r="B2733" i="1"/>
  <c r="A2733" i="1"/>
  <c r="F2732" i="1"/>
  <c r="E2732" i="1"/>
  <c r="D2732" i="1"/>
  <c r="C2732" i="1"/>
  <c r="B2732" i="1"/>
  <c r="A2732" i="1"/>
  <c r="F2731" i="1"/>
  <c r="E2731" i="1"/>
  <c r="D2731" i="1"/>
  <c r="C2731" i="1"/>
  <c r="B2731" i="1"/>
  <c r="A2731" i="1"/>
  <c r="F2730" i="1"/>
  <c r="E2730" i="1"/>
  <c r="D2730" i="1"/>
  <c r="C2730" i="1"/>
  <c r="B2730" i="1"/>
  <c r="A2730" i="1"/>
  <c r="F2729" i="1"/>
  <c r="E2729" i="1"/>
  <c r="D2729" i="1"/>
  <c r="C2729" i="1"/>
  <c r="B2729" i="1"/>
  <c r="A2729" i="1"/>
  <c r="F2728" i="1"/>
  <c r="E2728" i="1"/>
  <c r="D2728" i="1"/>
  <c r="C2728" i="1"/>
  <c r="B2728" i="1"/>
  <c r="A2728" i="1"/>
  <c r="F2727" i="1"/>
  <c r="E2727" i="1"/>
  <c r="D2727" i="1"/>
  <c r="C2727" i="1"/>
  <c r="B2727" i="1"/>
  <c r="A2727" i="1"/>
  <c r="F2726" i="1"/>
  <c r="E2726" i="1"/>
  <c r="D2726" i="1"/>
  <c r="C2726" i="1"/>
  <c r="B2726" i="1"/>
  <c r="A2726" i="1"/>
  <c r="F2725" i="1"/>
  <c r="E2725" i="1"/>
  <c r="D2725" i="1"/>
  <c r="C2725" i="1"/>
  <c r="B2725" i="1"/>
  <c r="A2725" i="1"/>
  <c r="F2724" i="1"/>
  <c r="E2724" i="1"/>
  <c r="D2724" i="1"/>
  <c r="C2724" i="1"/>
  <c r="B2724" i="1"/>
  <c r="A2724" i="1"/>
  <c r="F2723" i="1"/>
  <c r="E2723" i="1"/>
  <c r="D2723" i="1"/>
  <c r="C2723" i="1"/>
  <c r="B2723" i="1"/>
  <c r="A2723" i="1"/>
  <c r="F2722" i="1"/>
  <c r="E2722" i="1"/>
  <c r="D2722" i="1"/>
  <c r="C2722" i="1"/>
  <c r="B2722" i="1"/>
  <c r="A2722" i="1"/>
  <c r="F2721" i="1"/>
  <c r="E2721" i="1"/>
  <c r="D2721" i="1"/>
  <c r="C2721" i="1"/>
  <c r="B2721" i="1"/>
  <c r="A2721" i="1"/>
  <c r="F2720" i="1"/>
  <c r="E2720" i="1"/>
  <c r="D2720" i="1"/>
  <c r="C2720" i="1"/>
  <c r="B2720" i="1"/>
  <c r="A2720" i="1"/>
  <c r="F2719" i="1"/>
  <c r="E2719" i="1"/>
  <c r="D2719" i="1"/>
  <c r="C2719" i="1"/>
  <c r="B2719" i="1"/>
  <c r="A2719" i="1"/>
  <c r="F2718" i="1"/>
  <c r="E2718" i="1"/>
  <c r="D2718" i="1"/>
  <c r="C2718" i="1"/>
  <c r="B2718" i="1"/>
  <c r="A2718" i="1"/>
  <c r="F2717" i="1"/>
  <c r="E2717" i="1"/>
  <c r="D2717" i="1"/>
  <c r="C2717" i="1"/>
  <c r="B2717" i="1"/>
  <c r="A2717" i="1"/>
  <c r="F2716" i="1"/>
  <c r="E2716" i="1"/>
  <c r="D2716" i="1"/>
  <c r="C2716" i="1"/>
  <c r="B2716" i="1"/>
  <c r="A2716" i="1"/>
  <c r="F2715" i="1"/>
  <c r="E2715" i="1"/>
  <c r="D2715" i="1"/>
  <c r="C2715" i="1"/>
  <c r="B2715" i="1"/>
  <c r="A2715" i="1"/>
  <c r="F2714" i="1"/>
  <c r="E2714" i="1"/>
  <c r="D2714" i="1"/>
  <c r="C2714" i="1"/>
  <c r="B2714" i="1"/>
  <c r="A2714" i="1"/>
  <c r="F2713" i="1"/>
  <c r="E2713" i="1"/>
  <c r="D2713" i="1"/>
  <c r="C2713" i="1"/>
  <c r="B2713" i="1"/>
  <c r="A2713" i="1"/>
  <c r="F2712" i="1"/>
  <c r="E2712" i="1"/>
  <c r="D2712" i="1"/>
  <c r="C2712" i="1"/>
  <c r="B2712" i="1"/>
  <c r="A2712" i="1"/>
  <c r="F2711" i="1"/>
  <c r="E2711" i="1"/>
  <c r="D2711" i="1"/>
  <c r="C2711" i="1"/>
  <c r="B2711" i="1"/>
  <c r="A2711" i="1"/>
  <c r="F2710" i="1"/>
  <c r="E2710" i="1"/>
  <c r="D2710" i="1"/>
  <c r="C2710" i="1"/>
  <c r="B2710" i="1"/>
  <c r="A2710" i="1"/>
  <c r="F2709" i="1"/>
  <c r="E2709" i="1"/>
  <c r="D2709" i="1"/>
  <c r="C2709" i="1"/>
  <c r="B2709" i="1"/>
  <c r="A2709" i="1"/>
  <c r="F2708" i="1"/>
  <c r="E2708" i="1"/>
  <c r="D2708" i="1"/>
  <c r="C2708" i="1"/>
  <c r="B2708" i="1"/>
  <c r="A2708" i="1"/>
  <c r="F2707" i="1"/>
  <c r="E2707" i="1"/>
  <c r="D2707" i="1"/>
  <c r="C2707" i="1"/>
  <c r="B2707" i="1"/>
  <c r="A2707" i="1"/>
  <c r="F2706" i="1"/>
  <c r="E2706" i="1"/>
  <c r="D2706" i="1"/>
  <c r="C2706" i="1"/>
  <c r="B2706" i="1"/>
  <c r="A2706" i="1"/>
  <c r="F2705" i="1"/>
  <c r="E2705" i="1"/>
  <c r="D2705" i="1"/>
  <c r="C2705" i="1"/>
  <c r="B2705" i="1"/>
  <c r="A2705" i="1"/>
  <c r="F2704" i="1"/>
  <c r="E2704" i="1"/>
  <c r="D2704" i="1"/>
  <c r="C2704" i="1"/>
  <c r="B2704" i="1"/>
  <c r="A2704" i="1"/>
  <c r="F2703" i="1"/>
  <c r="E2703" i="1"/>
  <c r="D2703" i="1"/>
  <c r="C2703" i="1"/>
  <c r="B2703" i="1"/>
  <c r="A2703" i="1"/>
  <c r="F2702" i="1"/>
  <c r="E2702" i="1"/>
  <c r="D2702" i="1"/>
  <c r="C2702" i="1"/>
  <c r="B2702" i="1"/>
  <c r="A2702" i="1"/>
  <c r="F2701" i="1"/>
  <c r="E2701" i="1"/>
  <c r="D2701" i="1"/>
  <c r="C2701" i="1"/>
  <c r="B2701" i="1"/>
  <c r="A2701" i="1"/>
  <c r="F2700" i="1"/>
  <c r="E2700" i="1"/>
  <c r="D2700" i="1"/>
  <c r="C2700" i="1"/>
  <c r="B2700" i="1"/>
  <c r="A2700" i="1"/>
  <c r="F2699" i="1"/>
  <c r="E2699" i="1"/>
  <c r="D2699" i="1"/>
  <c r="C2699" i="1"/>
  <c r="B2699" i="1"/>
  <c r="A2699" i="1"/>
  <c r="F2698" i="1"/>
  <c r="E2698" i="1"/>
  <c r="D2698" i="1"/>
  <c r="C2698" i="1"/>
  <c r="B2698" i="1"/>
  <c r="A2698" i="1"/>
  <c r="F2697" i="1"/>
  <c r="E2697" i="1"/>
  <c r="D2697" i="1"/>
  <c r="C2697" i="1"/>
  <c r="B2697" i="1"/>
  <c r="A2697" i="1"/>
  <c r="F2696" i="1"/>
  <c r="E2696" i="1"/>
  <c r="D2696" i="1"/>
  <c r="C2696" i="1"/>
  <c r="B2696" i="1"/>
  <c r="A2696" i="1"/>
  <c r="F2695" i="1"/>
  <c r="E2695" i="1"/>
  <c r="D2695" i="1"/>
  <c r="C2695" i="1"/>
  <c r="B2695" i="1"/>
  <c r="A2695" i="1"/>
  <c r="F2694" i="1"/>
  <c r="E2694" i="1"/>
  <c r="D2694" i="1"/>
  <c r="C2694" i="1"/>
  <c r="B2694" i="1"/>
  <c r="A2694" i="1"/>
  <c r="F2693" i="1"/>
  <c r="E2693" i="1"/>
  <c r="D2693" i="1"/>
  <c r="C2693" i="1"/>
  <c r="B2693" i="1"/>
  <c r="A2693" i="1"/>
  <c r="F2692" i="1"/>
  <c r="E2692" i="1"/>
  <c r="D2692" i="1"/>
  <c r="C2692" i="1"/>
  <c r="B2692" i="1"/>
  <c r="A2692" i="1"/>
  <c r="F2691" i="1"/>
  <c r="E2691" i="1"/>
  <c r="D2691" i="1"/>
  <c r="C2691" i="1"/>
  <c r="B2691" i="1"/>
  <c r="A2691" i="1"/>
  <c r="F2690" i="1"/>
  <c r="E2690" i="1"/>
  <c r="D2690" i="1"/>
  <c r="C2690" i="1"/>
  <c r="B2690" i="1"/>
  <c r="A2690" i="1"/>
  <c r="F2689" i="1"/>
  <c r="E2689" i="1"/>
  <c r="D2689" i="1"/>
  <c r="C2689" i="1"/>
  <c r="B2689" i="1"/>
  <c r="A2689" i="1"/>
  <c r="F2688" i="1"/>
  <c r="E2688" i="1"/>
  <c r="D2688" i="1"/>
  <c r="C2688" i="1"/>
  <c r="B2688" i="1"/>
  <c r="A2688" i="1"/>
  <c r="F2687" i="1"/>
  <c r="E2687" i="1"/>
  <c r="D2687" i="1"/>
  <c r="C2687" i="1"/>
  <c r="B2687" i="1"/>
  <c r="A2687" i="1"/>
  <c r="F2686" i="1"/>
  <c r="E2686" i="1"/>
  <c r="D2686" i="1"/>
  <c r="C2686" i="1"/>
  <c r="B2686" i="1"/>
  <c r="A2686" i="1"/>
  <c r="F2685" i="1"/>
  <c r="E2685" i="1"/>
  <c r="D2685" i="1"/>
  <c r="C2685" i="1"/>
  <c r="B2685" i="1"/>
  <c r="A2685" i="1"/>
  <c r="F2684" i="1"/>
  <c r="E2684" i="1"/>
  <c r="D2684" i="1"/>
  <c r="C2684" i="1"/>
  <c r="B2684" i="1"/>
  <c r="A2684" i="1"/>
  <c r="F2683" i="1"/>
  <c r="E2683" i="1"/>
  <c r="D2683" i="1"/>
  <c r="C2683" i="1"/>
  <c r="B2683" i="1"/>
  <c r="A2683" i="1"/>
  <c r="F2682" i="1"/>
  <c r="E2682" i="1"/>
  <c r="D2682" i="1"/>
  <c r="C2682" i="1"/>
  <c r="B2682" i="1"/>
  <c r="A2682" i="1"/>
  <c r="F2681" i="1"/>
  <c r="E2681" i="1"/>
  <c r="D2681" i="1"/>
  <c r="C2681" i="1"/>
  <c r="B2681" i="1"/>
  <c r="A2681" i="1"/>
  <c r="F2680" i="1"/>
  <c r="E2680" i="1"/>
  <c r="D2680" i="1"/>
  <c r="C2680" i="1"/>
  <c r="B2680" i="1"/>
  <c r="A2680" i="1"/>
  <c r="F2679" i="1"/>
  <c r="E2679" i="1"/>
  <c r="D2679" i="1"/>
  <c r="C2679" i="1"/>
  <c r="B2679" i="1"/>
  <c r="A2679" i="1"/>
  <c r="F2678" i="1"/>
  <c r="E2678" i="1"/>
  <c r="D2678" i="1"/>
  <c r="C2678" i="1"/>
  <c r="B2678" i="1"/>
  <c r="A2678" i="1"/>
  <c r="F2677" i="1"/>
  <c r="E2677" i="1"/>
  <c r="D2677" i="1"/>
  <c r="C2677" i="1"/>
  <c r="B2677" i="1"/>
  <c r="A2677" i="1"/>
  <c r="F2676" i="1"/>
  <c r="E2676" i="1"/>
  <c r="D2676" i="1"/>
  <c r="C2676" i="1"/>
  <c r="B2676" i="1"/>
  <c r="A2676" i="1"/>
  <c r="F2675" i="1"/>
  <c r="E2675" i="1"/>
  <c r="D2675" i="1"/>
  <c r="C2675" i="1"/>
  <c r="B2675" i="1"/>
  <c r="A2675" i="1"/>
  <c r="F2674" i="1"/>
  <c r="E2674" i="1"/>
  <c r="D2674" i="1"/>
  <c r="C2674" i="1"/>
  <c r="B2674" i="1"/>
  <c r="A2674" i="1"/>
  <c r="F2673" i="1"/>
  <c r="E2673" i="1"/>
  <c r="D2673" i="1"/>
  <c r="C2673" i="1"/>
  <c r="B2673" i="1"/>
  <c r="A2673" i="1"/>
  <c r="F2672" i="1"/>
  <c r="E2672" i="1"/>
  <c r="D2672" i="1"/>
  <c r="C2672" i="1"/>
  <c r="B2672" i="1"/>
  <c r="A2672" i="1"/>
  <c r="F2671" i="1"/>
  <c r="E2671" i="1"/>
  <c r="D2671" i="1"/>
  <c r="C2671" i="1"/>
  <c r="B2671" i="1"/>
  <c r="A2671" i="1"/>
  <c r="F2670" i="1"/>
  <c r="E2670" i="1"/>
  <c r="D2670" i="1"/>
  <c r="C2670" i="1"/>
  <c r="B2670" i="1"/>
  <c r="A2670" i="1"/>
  <c r="F2669" i="1"/>
  <c r="E2669" i="1"/>
  <c r="D2669" i="1"/>
  <c r="C2669" i="1"/>
  <c r="B2669" i="1"/>
  <c r="A2669" i="1"/>
  <c r="F2668" i="1"/>
  <c r="E2668" i="1"/>
  <c r="D2668" i="1"/>
  <c r="C2668" i="1"/>
  <c r="B2668" i="1"/>
  <c r="A2668" i="1"/>
  <c r="F2667" i="1"/>
  <c r="E2667" i="1"/>
  <c r="D2667" i="1"/>
  <c r="C2667" i="1"/>
  <c r="B2667" i="1"/>
  <c r="A2667" i="1"/>
  <c r="F2666" i="1"/>
  <c r="E2666" i="1"/>
  <c r="D2666" i="1"/>
  <c r="C2666" i="1"/>
  <c r="B2666" i="1"/>
  <c r="A2666" i="1"/>
  <c r="F2665" i="1"/>
  <c r="E2665" i="1"/>
  <c r="D2665" i="1"/>
  <c r="C2665" i="1"/>
  <c r="B2665" i="1"/>
  <c r="A2665" i="1"/>
  <c r="F2664" i="1"/>
  <c r="E2664" i="1"/>
  <c r="D2664" i="1"/>
  <c r="C2664" i="1"/>
  <c r="B2664" i="1"/>
  <c r="A2664" i="1"/>
  <c r="F2663" i="1"/>
  <c r="E2663" i="1"/>
  <c r="D2663" i="1"/>
  <c r="C2663" i="1"/>
  <c r="B2663" i="1"/>
  <c r="A2663" i="1"/>
  <c r="F2662" i="1"/>
  <c r="E2662" i="1"/>
  <c r="D2662" i="1"/>
  <c r="C2662" i="1"/>
  <c r="B2662" i="1"/>
  <c r="A2662" i="1"/>
  <c r="F2661" i="1"/>
  <c r="E2661" i="1"/>
  <c r="D2661" i="1"/>
  <c r="C2661" i="1"/>
  <c r="B2661" i="1"/>
  <c r="A2661" i="1"/>
  <c r="F2660" i="1"/>
  <c r="E2660" i="1"/>
  <c r="D2660" i="1"/>
  <c r="C2660" i="1"/>
  <c r="B2660" i="1"/>
  <c r="A2660" i="1"/>
  <c r="F2659" i="1"/>
  <c r="E2659" i="1"/>
  <c r="D2659" i="1"/>
  <c r="C2659" i="1"/>
  <c r="B2659" i="1"/>
  <c r="A2659" i="1"/>
  <c r="F2658" i="1"/>
  <c r="E2658" i="1"/>
  <c r="D2658" i="1"/>
  <c r="C2658" i="1"/>
  <c r="B2658" i="1"/>
  <c r="A2658" i="1"/>
  <c r="F2657" i="1"/>
  <c r="E2657" i="1"/>
  <c r="D2657" i="1"/>
  <c r="C2657" i="1"/>
  <c r="B2657" i="1"/>
  <c r="A2657" i="1"/>
  <c r="F2656" i="1"/>
  <c r="E2656" i="1"/>
  <c r="D2656" i="1"/>
  <c r="C2656" i="1"/>
  <c r="B2656" i="1"/>
  <c r="A2656" i="1"/>
  <c r="F2655" i="1"/>
  <c r="E2655" i="1"/>
  <c r="D2655" i="1"/>
  <c r="C2655" i="1"/>
  <c r="B2655" i="1"/>
  <c r="A2655" i="1"/>
  <c r="F2654" i="1"/>
  <c r="E2654" i="1"/>
  <c r="D2654" i="1"/>
  <c r="C2654" i="1"/>
  <c r="B2654" i="1"/>
  <c r="A2654" i="1"/>
  <c r="F2653" i="1"/>
  <c r="E2653" i="1"/>
  <c r="D2653" i="1"/>
  <c r="C2653" i="1"/>
  <c r="B2653" i="1"/>
  <c r="A2653" i="1"/>
  <c r="F2652" i="1"/>
  <c r="E2652" i="1"/>
  <c r="D2652" i="1"/>
  <c r="C2652" i="1"/>
  <c r="B2652" i="1"/>
  <c r="A2652" i="1"/>
  <c r="F2651" i="1"/>
  <c r="E2651" i="1"/>
  <c r="D2651" i="1"/>
  <c r="C2651" i="1"/>
  <c r="B2651" i="1"/>
  <c r="A2651" i="1"/>
  <c r="F2650" i="1"/>
  <c r="E2650" i="1"/>
  <c r="D2650" i="1"/>
  <c r="C2650" i="1"/>
  <c r="B2650" i="1"/>
  <c r="A2650" i="1"/>
  <c r="F2649" i="1"/>
  <c r="E2649" i="1"/>
  <c r="D2649" i="1"/>
  <c r="C2649" i="1"/>
  <c r="B2649" i="1"/>
  <c r="A2649" i="1"/>
  <c r="F2648" i="1"/>
  <c r="E2648" i="1"/>
  <c r="D2648" i="1"/>
  <c r="C2648" i="1"/>
  <c r="B2648" i="1"/>
  <c r="A2648" i="1"/>
  <c r="F2647" i="1"/>
  <c r="E2647" i="1"/>
  <c r="D2647" i="1"/>
  <c r="C2647" i="1"/>
  <c r="B2647" i="1"/>
  <c r="A2647" i="1"/>
  <c r="F2646" i="1"/>
  <c r="E2646" i="1"/>
  <c r="D2646" i="1"/>
  <c r="C2646" i="1"/>
  <c r="B2646" i="1"/>
  <c r="A2646" i="1"/>
  <c r="F2645" i="1"/>
  <c r="E2645" i="1"/>
  <c r="D2645" i="1"/>
  <c r="C2645" i="1"/>
  <c r="B2645" i="1"/>
  <c r="A2645" i="1"/>
  <c r="F2644" i="1"/>
  <c r="E2644" i="1"/>
  <c r="D2644" i="1"/>
  <c r="C2644" i="1"/>
  <c r="B2644" i="1"/>
  <c r="A2644" i="1"/>
  <c r="F2643" i="1"/>
  <c r="E2643" i="1"/>
  <c r="D2643" i="1"/>
  <c r="C2643" i="1"/>
  <c r="B2643" i="1"/>
  <c r="A2643" i="1"/>
  <c r="F2642" i="1"/>
  <c r="E2642" i="1"/>
  <c r="D2642" i="1"/>
  <c r="C2642" i="1"/>
  <c r="B2642" i="1"/>
  <c r="A2642" i="1"/>
  <c r="F2641" i="1"/>
  <c r="E2641" i="1"/>
  <c r="D2641" i="1"/>
  <c r="C2641" i="1"/>
  <c r="B2641" i="1"/>
  <c r="A2641" i="1"/>
  <c r="F2640" i="1"/>
  <c r="E2640" i="1"/>
  <c r="D2640" i="1"/>
  <c r="C2640" i="1"/>
  <c r="B2640" i="1"/>
  <c r="A2640" i="1"/>
  <c r="F2639" i="1"/>
  <c r="E2639" i="1"/>
  <c r="D2639" i="1"/>
  <c r="C2639" i="1"/>
  <c r="B2639" i="1"/>
  <c r="A2639" i="1"/>
  <c r="F2638" i="1"/>
  <c r="E2638" i="1"/>
  <c r="D2638" i="1"/>
  <c r="C2638" i="1"/>
  <c r="B2638" i="1"/>
  <c r="A2638" i="1"/>
  <c r="F2637" i="1"/>
  <c r="E2637" i="1"/>
  <c r="D2637" i="1"/>
  <c r="C2637" i="1"/>
  <c r="B2637" i="1"/>
  <c r="A2637" i="1"/>
  <c r="F2636" i="1"/>
  <c r="E2636" i="1"/>
  <c r="D2636" i="1"/>
  <c r="C2636" i="1"/>
  <c r="B2636" i="1"/>
  <c r="A2636" i="1"/>
  <c r="F2635" i="1"/>
  <c r="E2635" i="1"/>
  <c r="D2635" i="1"/>
  <c r="C2635" i="1"/>
  <c r="B2635" i="1"/>
  <c r="A2635" i="1"/>
  <c r="F2634" i="1"/>
  <c r="E2634" i="1"/>
  <c r="D2634" i="1"/>
  <c r="C2634" i="1"/>
  <c r="B2634" i="1"/>
  <c r="A2634" i="1"/>
  <c r="F2633" i="1"/>
  <c r="E2633" i="1"/>
  <c r="D2633" i="1"/>
  <c r="C2633" i="1"/>
  <c r="B2633" i="1"/>
  <c r="A2633" i="1"/>
  <c r="F2632" i="1"/>
  <c r="E2632" i="1"/>
  <c r="D2632" i="1"/>
  <c r="C2632" i="1"/>
  <c r="B2632" i="1"/>
  <c r="A2632" i="1"/>
  <c r="F2631" i="1"/>
  <c r="E2631" i="1"/>
  <c r="D2631" i="1"/>
  <c r="C2631" i="1"/>
  <c r="B2631" i="1"/>
  <c r="A2631" i="1"/>
  <c r="F2630" i="1"/>
  <c r="E2630" i="1"/>
  <c r="D2630" i="1"/>
  <c r="C2630" i="1"/>
  <c r="B2630" i="1"/>
  <c r="A2630" i="1"/>
  <c r="F2629" i="1"/>
  <c r="E2629" i="1"/>
  <c r="D2629" i="1"/>
  <c r="C2629" i="1"/>
  <c r="B2629" i="1"/>
  <c r="A2629" i="1"/>
  <c r="F2628" i="1"/>
  <c r="E2628" i="1"/>
  <c r="D2628" i="1"/>
  <c r="C2628" i="1"/>
  <c r="B2628" i="1"/>
  <c r="A2628" i="1"/>
  <c r="F2627" i="1"/>
  <c r="E2627" i="1"/>
  <c r="D2627" i="1"/>
  <c r="C2627" i="1"/>
  <c r="B2627" i="1"/>
  <c r="A2627" i="1"/>
  <c r="F2626" i="1"/>
  <c r="E2626" i="1"/>
  <c r="D2626" i="1"/>
  <c r="C2626" i="1"/>
  <c r="B2626" i="1"/>
  <c r="A2626" i="1"/>
  <c r="F2625" i="1"/>
  <c r="E2625" i="1"/>
  <c r="D2625" i="1"/>
  <c r="C2625" i="1"/>
  <c r="B2625" i="1"/>
  <c r="A2625" i="1"/>
  <c r="F2624" i="1"/>
  <c r="E2624" i="1"/>
  <c r="D2624" i="1"/>
  <c r="C2624" i="1"/>
  <c r="B2624" i="1"/>
  <c r="A2624" i="1"/>
  <c r="F2623" i="1"/>
  <c r="E2623" i="1"/>
  <c r="D2623" i="1"/>
  <c r="C2623" i="1"/>
  <c r="B2623" i="1"/>
  <c r="A2623" i="1"/>
  <c r="F2622" i="1"/>
  <c r="E2622" i="1"/>
  <c r="D2622" i="1"/>
  <c r="C2622" i="1"/>
  <c r="B2622" i="1"/>
  <c r="A2622" i="1"/>
  <c r="F2621" i="1"/>
  <c r="E2621" i="1"/>
  <c r="D2621" i="1"/>
  <c r="C2621" i="1"/>
  <c r="B2621" i="1"/>
  <c r="A2621" i="1"/>
  <c r="F2620" i="1"/>
  <c r="E2620" i="1"/>
  <c r="D2620" i="1"/>
  <c r="C2620" i="1"/>
  <c r="B2620" i="1"/>
  <c r="A2620" i="1"/>
  <c r="F2619" i="1"/>
  <c r="E2619" i="1"/>
  <c r="D2619" i="1"/>
  <c r="C2619" i="1"/>
  <c r="B2619" i="1"/>
  <c r="A2619" i="1"/>
  <c r="F2618" i="1"/>
  <c r="E2618" i="1"/>
  <c r="D2618" i="1"/>
  <c r="C2618" i="1"/>
  <c r="B2618" i="1"/>
  <c r="A2618" i="1"/>
  <c r="F2617" i="1"/>
  <c r="E2617" i="1"/>
  <c r="D2617" i="1"/>
  <c r="C2617" i="1"/>
  <c r="B2617" i="1"/>
  <c r="A2617" i="1"/>
  <c r="F2616" i="1"/>
  <c r="E2616" i="1"/>
  <c r="D2616" i="1"/>
  <c r="C2616" i="1"/>
  <c r="B2616" i="1"/>
  <c r="A2616" i="1"/>
  <c r="F2615" i="1"/>
  <c r="E2615" i="1"/>
  <c r="D2615" i="1"/>
  <c r="C2615" i="1"/>
  <c r="B2615" i="1"/>
  <c r="A2615" i="1"/>
  <c r="F2614" i="1"/>
  <c r="E2614" i="1"/>
  <c r="D2614" i="1"/>
  <c r="C2614" i="1"/>
  <c r="B2614" i="1"/>
  <c r="A2614" i="1"/>
  <c r="F2613" i="1"/>
  <c r="E2613" i="1"/>
  <c r="D2613" i="1"/>
  <c r="C2613" i="1"/>
  <c r="B2613" i="1"/>
  <c r="A2613" i="1"/>
  <c r="F2612" i="1"/>
  <c r="E2612" i="1"/>
  <c r="D2612" i="1"/>
  <c r="C2612" i="1"/>
  <c r="B2612" i="1"/>
  <c r="A2612" i="1"/>
  <c r="F2611" i="1"/>
  <c r="E2611" i="1"/>
  <c r="D2611" i="1"/>
  <c r="C2611" i="1"/>
  <c r="B2611" i="1"/>
  <c r="A2611" i="1"/>
  <c r="F2610" i="1"/>
  <c r="E2610" i="1"/>
  <c r="D2610" i="1"/>
  <c r="C2610" i="1"/>
  <c r="B2610" i="1"/>
  <c r="A2610" i="1"/>
  <c r="F2609" i="1"/>
  <c r="E2609" i="1"/>
  <c r="D2609" i="1"/>
  <c r="C2609" i="1"/>
  <c r="B2609" i="1"/>
  <c r="A2609" i="1"/>
  <c r="F2608" i="1"/>
  <c r="E2608" i="1"/>
  <c r="D2608" i="1"/>
  <c r="C2608" i="1"/>
  <c r="B2608" i="1"/>
  <c r="A2608" i="1"/>
  <c r="F2607" i="1"/>
  <c r="E2607" i="1"/>
  <c r="D2607" i="1"/>
  <c r="C2607" i="1"/>
  <c r="B2607" i="1"/>
  <c r="A2607" i="1"/>
  <c r="F2606" i="1"/>
  <c r="E2606" i="1"/>
  <c r="D2606" i="1"/>
  <c r="C2606" i="1"/>
  <c r="B2606" i="1"/>
  <c r="A2606" i="1"/>
  <c r="F2605" i="1"/>
  <c r="E2605" i="1"/>
  <c r="D2605" i="1"/>
  <c r="C2605" i="1"/>
  <c r="B2605" i="1"/>
  <c r="A2605" i="1"/>
  <c r="F2604" i="1"/>
  <c r="E2604" i="1"/>
  <c r="D2604" i="1"/>
  <c r="C2604" i="1"/>
  <c r="B2604" i="1"/>
  <c r="A2604" i="1"/>
  <c r="F2603" i="1"/>
  <c r="E2603" i="1"/>
  <c r="D2603" i="1"/>
  <c r="C2603" i="1"/>
  <c r="B2603" i="1"/>
  <c r="A2603" i="1"/>
  <c r="F2602" i="1"/>
  <c r="E2602" i="1"/>
  <c r="D2602" i="1"/>
  <c r="C2602" i="1"/>
  <c r="B2602" i="1"/>
  <c r="A2602" i="1"/>
  <c r="F2601" i="1"/>
  <c r="E2601" i="1"/>
  <c r="D2601" i="1"/>
  <c r="C2601" i="1"/>
  <c r="B2601" i="1"/>
  <c r="A2601" i="1"/>
  <c r="F2600" i="1"/>
  <c r="E2600" i="1"/>
  <c r="D2600" i="1"/>
  <c r="C2600" i="1"/>
  <c r="B2600" i="1"/>
  <c r="A2600" i="1"/>
  <c r="F2599" i="1"/>
  <c r="E2599" i="1"/>
  <c r="D2599" i="1"/>
  <c r="C2599" i="1"/>
  <c r="B2599" i="1"/>
  <c r="A2599" i="1"/>
  <c r="F2598" i="1"/>
  <c r="E2598" i="1"/>
  <c r="D2598" i="1"/>
  <c r="C2598" i="1"/>
  <c r="B2598" i="1"/>
  <c r="A2598" i="1"/>
  <c r="F2597" i="1"/>
  <c r="E2597" i="1"/>
  <c r="D2597" i="1"/>
  <c r="C2597" i="1"/>
  <c r="B2597" i="1"/>
  <c r="A2597" i="1"/>
  <c r="F2596" i="1"/>
  <c r="E2596" i="1"/>
  <c r="D2596" i="1"/>
  <c r="C2596" i="1"/>
  <c r="B2596" i="1"/>
  <c r="A2596" i="1"/>
  <c r="F2595" i="1"/>
  <c r="E2595" i="1"/>
  <c r="D2595" i="1"/>
  <c r="C2595" i="1"/>
  <c r="B2595" i="1"/>
  <c r="A2595" i="1"/>
  <c r="F2594" i="1"/>
  <c r="E2594" i="1"/>
  <c r="D2594" i="1"/>
  <c r="C2594" i="1"/>
  <c r="B2594" i="1"/>
  <c r="A2594" i="1"/>
  <c r="F2593" i="1"/>
  <c r="E2593" i="1"/>
  <c r="D2593" i="1"/>
  <c r="C2593" i="1"/>
  <c r="B2593" i="1"/>
  <c r="A2593" i="1"/>
  <c r="F2592" i="1"/>
  <c r="E2592" i="1"/>
  <c r="D2592" i="1"/>
  <c r="C2592" i="1"/>
  <c r="B2592" i="1"/>
  <c r="A2592" i="1"/>
  <c r="F2591" i="1"/>
  <c r="E2591" i="1"/>
  <c r="D2591" i="1"/>
  <c r="C2591" i="1"/>
  <c r="B2591" i="1"/>
  <c r="A2591" i="1"/>
  <c r="F2590" i="1"/>
  <c r="E2590" i="1"/>
  <c r="D2590" i="1"/>
  <c r="C2590" i="1"/>
  <c r="B2590" i="1"/>
  <c r="A2590" i="1"/>
  <c r="F2589" i="1"/>
  <c r="E2589" i="1"/>
  <c r="D2589" i="1"/>
  <c r="C2589" i="1"/>
  <c r="B2589" i="1"/>
  <c r="A2589" i="1"/>
  <c r="F2588" i="1"/>
  <c r="E2588" i="1"/>
  <c r="D2588" i="1"/>
  <c r="C2588" i="1"/>
  <c r="B2588" i="1"/>
  <c r="A2588" i="1"/>
  <c r="F2587" i="1"/>
  <c r="E2587" i="1"/>
  <c r="D2587" i="1"/>
  <c r="C2587" i="1"/>
  <c r="B2587" i="1"/>
  <c r="A2587" i="1"/>
  <c r="F2586" i="1"/>
  <c r="E2586" i="1"/>
  <c r="D2586" i="1"/>
  <c r="C2586" i="1"/>
  <c r="B2586" i="1"/>
  <c r="A2586" i="1"/>
  <c r="F2585" i="1"/>
  <c r="E2585" i="1"/>
  <c r="D2585" i="1"/>
  <c r="C2585" i="1"/>
  <c r="B2585" i="1"/>
  <c r="A2585" i="1"/>
  <c r="F2584" i="1"/>
  <c r="E2584" i="1"/>
  <c r="D2584" i="1"/>
  <c r="C2584" i="1"/>
  <c r="B2584" i="1"/>
  <c r="A2584" i="1"/>
  <c r="F2583" i="1"/>
  <c r="E2583" i="1"/>
  <c r="D2583" i="1"/>
  <c r="C2583" i="1"/>
  <c r="B2583" i="1"/>
  <c r="A2583" i="1"/>
  <c r="F2582" i="1"/>
  <c r="E2582" i="1"/>
  <c r="D2582" i="1"/>
  <c r="C2582" i="1"/>
  <c r="B2582" i="1"/>
  <c r="A2582" i="1"/>
  <c r="F2581" i="1"/>
  <c r="E2581" i="1"/>
  <c r="D2581" i="1"/>
  <c r="C2581" i="1"/>
  <c r="B2581" i="1"/>
  <c r="A2581" i="1"/>
  <c r="F2580" i="1"/>
  <c r="E2580" i="1"/>
  <c r="D2580" i="1"/>
  <c r="C2580" i="1"/>
  <c r="B2580" i="1"/>
  <c r="A2580" i="1"/>
  <c r="F2579" i="1"/>
  <c r="E2579" i="1"/>
  <c r="D2579" i="1"/>
  <c r="C2579" i="1"/>
  <c r="B2579" i="1"/>
  <c r="A2579" i="1"/>
  <c r="F2578" i="1"/>
  <c r="E2578" i="1"/>
  <c r="D2578" i="1"/>
  <c r="C2578" i="1"/>
  <c r="B2578" i="1"/>
  <c r="A2578" i="1"/>
  <c r="F2577" i="1"/>
  <c r="E2577" i="1"/>
  <c r="D2577" i="1"/>
  <c r="C2577" i="1"/>
  <c r="B2577" i="1"/>
  <c r="A2577" i="1"/>
  <c r="F2576" i="1"/>
  <c r="E2576" i="1"/>
  <c r="D2576" i="1"/>
  <c r="C2576" i="1"/>
  <c r="B2576" i="1"/>
  <c r="A2576" i="1"/>
  <c r="F2575" i="1"/>
  <c r="E2575" i="1"/>
  <c r="D2575" i="1"/>
  <c r="C2575" i="1"/>
  <c r="B2575" i="1"/>
  <c r="A2575" i="1"/>
  <c r="F2574" i="1"/>
  <c r="E2574" i="1"/>
  <c r="D2574" i="1"/>
  <c r="C2574" i="1"/>
  <c r="B2574" i="1"/>
  <c r="A2574" i="1"/>
  <c r="F2573" i="1"/>
  <c r="E2573" i="1"/>
  <c r="D2573" i="1"/>
  <c r="C2573" i="1"/>
  <c r="B2573" i="1"/>
  <c r="A2573" i="1"/>
  <c r="F2572" i="1"/>
  <c r="E2572" i="1"/>
  <c r="D2572" i="1"/>
  <c r="C2572" i="1"/>
  <c r="B2572" i="1"/>
  <c r="A2572" i="1"/>
  <c r="F2571" i="1"/>
  <c r="E2571" i="1"/>
  <c r="D2571" i="1"/>
  <c r="C2571" i="1"/>
  <c r="B2571" i="1"/>
  <c r="A2571" i="1"/>
  <c r="F2570" i="1"/>
  <c r="E2570" i="1"/>
  <c r="D2570" i="1"/>
  <c r="C2570" i="1"/>
  <c r="B2570" i="1"/>
  <c r="A2570" i="1"/>
  <c r="F2569" i="1"/>
  <c r="E2569" i="1"/>
  <c r="D2569" i="1"/>
  <c r="C2569" i="1"/>
  <c r="B2569" i="1"/>
  <c r="A2569" i="1"/>
  <c r="F2568" i="1"/>
  <c r="E2568" i="1"/>
  <c r="D2568" i="1"/>
  <c r="C2568" i="1"/>
  <c r="B2568" i="1"/>
  <c r="A2568" i="1"/>
  <c r="F2567" i="1"/>
  <c r="E2567" i="1"/>
  <c r="D2567" i="1"/>
  <c r="C2567" i="1"/>
  <c r="B2567" i="1"/>
  <c r="A2567" i="1"/>
  <c r="F2566" i="1"/>
  <c r="E2566" i="1"/>
  <c r="D2566" i="1"/>
  <c r="C2566" i="1"/>
  <c r="B2566" i="1"/>
  <c r="A2566" i="1"/>
  <c r="F2565" i="1"/>
  <c r="E2565" i="1"/>
  <c r="D2565" i="1"/>
  <c r="C2565" i="1"/>
  <c r="B2565" i="1"/>
  <c r="A2565" i="1"/>
  <c r="F2564" i="1"/>
  <c r="E2564" i="1"/>
  <c r="D2564" i="1"/>
  <c r="C2564" i="1"/>
  <c r="B2564" i="1"/>
  <c r="A2564" i="1"/>
  <c r="F2563" i="1"/>
  <c r="E2563" i="1"/>
  <c r="D2563" i="1"/>
  <c r="C2563" i="1"/>
  <c r="B2563" i="1"/>
  <c r="A2563" i="1"/>
  <c r="F2562" i="1"/>
  <c r="E2562" i="1"/>
  <c r="D2562" i="1"/>
  <c r="C2562" i="1"/>
  <c r="B2562" i="1"/>
  <c r="A2562" i="1"/>
  <c r="F2561" i="1"/>
  <c r="E2561" i="1"/>
  <c r="D2561" i="1"/>
  <c r="C2561" i="1"/>
  <c r="B2561" i="1"/>
  <c r="A2561" i="1"/>
  <c r="F2560" i="1"/>
  <c r="E2560" i="1"/>
  <c r="D2560" i="1"/>
  <c r="C2560" i="1"/>
  <c r="B2560" i="1"/>
  <c r="A2560" i="1"/>
  <c r="F2559" i="1"/>
  <c r="E2559" i="1"/>
  <c r="D2559" i="1"/>
  <c r="C2559" i="1"/>
  <c r="B2559" i="1"/>
  <c r="A2559" i="1"/>
  <c r="F2558" i="1"/>
  <c r="E2558" i="1"/>
  <c r="D2558" i="1"/>
  <c r="C2558" i="1"/>
  <c r="B2558" i="1"/>
  <c r="A2558" i="1"/>
  <c r="F2557" i="1"/>
  <c r="E2557" i="1"/>
  <c r="D2557" i="1"/>
  <c r="C2557" i="1"/>
  <c r="B2557" i="1"/>
  <c r="A2557" i="1"/>
  <c r="F2556" i="1"/>
  <c r="E2556" i="1"/>
  <c r="D2556" i="1"/>
  <c r="C2556" i="1"/>
  <c r="B2556" i="1"/>
  <c r="A2556" i="1"/>
  <c r="F2555" i="1"/>
  <c r="E2555" i="1"/>
  <c r="D2555" i="1"/>
  <c r="C2555" i="1"/>
  <c r="B2555" i="1"/>
  <c r="A2555" i="1"/>
  <c r="F2554" i="1"/>
  <c r="E2554" i="1"/>
  <c r="D2554" i="1"/>
  <c r="C2554" i="1"/>
  <c r="B2554" i="1"/>
  <c r="A2554" i="1"/>
  <c r="F2553" i="1"/>
  <c r="E2553" i="1"/>
  <c r="D2553" i="1"/>
  <c r="C2553" i="1"/>
  <c r="B2553" i="1"/>
  <c r="A2553" i="1"/>
  <c r="F2552" i="1"/>
  <c r="E2552" i="1"/>
  <c r="D2552" i="1"/>
  <c r="C2552" i="1"/>
  <c r="B2552" i="1"/>
  <c r="A2552" i="1"/>
  <c r="F2551" i="1"/>
  <c r="E2551" i="1"/>
  <c r="D2551" i="1"/>
  <c r="C2551" i="1"/>
  <c r="B2551" i="1"/>
  <c r="A2551" i="1"/>
  <c r="F2550" i="1"/>
  <c r="E2550" i="1"/>
  <c r="D2550" i="1"/>
  <c r="C2550" i="1"/>
  <c r="B2550" i="1"/>
  <c r="A2550" i="1"/>
  <c r="F2549" i="1"/>
  <c r="E2549" i="1"/>
  <c r="D2549" i="1"/>
  <c r="C2549" i="1"/>
  <c r="B2549" i="1"/>
  <c r="A2549" i="1"/>
  <c r="F2548" i="1"/>
  <c r="E2548" i="1"/>
  <c r="D2548" i="1"/>
  <c r="C2548" i="1"/>
  <c r="B2548" i="1"/>
  <c r="A2548" i="1"/>
  <c r="F2547" i="1"/>
  <c r="E2547" i="1"/>
  <c r="D2547" i="1"/>
  <c r="C2547" i="1"/>
  <c r="B2547" i="1"/>
  <c r="A2547" i="1"/>
  <c r="F2546" i="1"/>
  <c r="E2546" i="1"/>
  <c r="D2546" i="1"/>
  <c r="C2546" i="1"/>
  <c r="B2546" i="1"/>
  <c r="A2546" i="1"/>
  <c r="F2545" i="1"/>
  <c r="E2545" i="1"/>
  <c r="D2545" i="1"/>
  <c r="C2545" i="1"/>
  <c r="B2545" i="1"/>
  <c r="A2545" i="1"/>
  <c r="F2544" i="1"/>
  <c r="E2544" i="1"/>
  <c r="D2544" i="1"/>
  <c r="C2544" i="1"/>
  <c r="B2544" i="1"/>
  <c r="A2544" i="1"/>
  <c r="F2543" i="1"/>
  <c r="E2543" i="1"/>
  <c r="D2543" i="1"/>
  <c r="C2543" i="1"/>
  <c r="B2543" i="1"/>
  <c r="A2543" i="1"/>
  <c r="F2542" i="1"/>
  <c r="E2542" i="1"/>
  <c r="D2542" i="1"/>
  <c r="C2542" i="1"/>
  <c r="B2542" i="1"/>
  <c r="A2542" i="1"/>
  <c r="F2541" i="1"/>
  <c r="E2541" i="1"/>
  <c r="D2541" i="1"/>
  <c r="C2541" i="1"/>
  <c r="B2541" i="1"/>
  <c r="A2541" i="1"/>
  <c r="F2540" i="1"/>
  <c r="E2540" i="1"/>
  <c r="D2540" i="1"/>
  <c r="C2540" i="1"/>
  <c r="B2540" i="1"/>
  <c r="A2540" i="1"/>
  <c r="F2539" i="1"/>
  <c r="E2539" i="1"/>
  <c r="D2539" i="1"/>
  <c r="C2539" i="1"/>
  <c r="B2539" i="1"/>
  <c r="A2539" i="1"/>
  <c r="F2538" i="1"/>
  <c r="E2538" i="1"/>
  <c r="D2538" i="1"/>
  <c r="C2538" i="1"/>
  <c r="B2538" i="1"/>
  <c r="A2538" i="1"/>
  <c r="F2537" i="1"/>
  <c r="E2537" i="1"/>
  <c r="D2537" i="1"/>
  <c r="C2537" i="1"/>
  <c r="B2537" i="1"/>
  <c r="A2537" i="1"/>
  <c r="F2536" i="1"/>
  <c r="E2536" i="1"/>
  <c r="D2536" i="1"/>
  <c r="C2536" i="1"/>
  <c r="B2536" i="1"/>
  <c r="A2536" i="1"/>
  <c r="F2535" i="1"/>
  <c r="E2535" i="1"/>
  <c r="D2535" i="1"/>
  <c r="C2535" i="1"/>
  <c r="B2535" i="1"/>
  <c r="A2535" i="1"/>
  <c r="F2534" i="1"/>
  <c r="E2534" i="1"/>
  <c r="D2534" i="1"/>
  <c r="C2534" i="1"/>
  <c r="B2534" i="1"/>
  <c r="A2534" i="1"/>
  <c r="F2533" i="1"/>
  <c r="E2533" i="1"/>
  <c r="D2533" i="1"/>
  <c r="C2533" i="1"/>
  <c r="B2533" i="1"/>
  <c r="A2533" i="1"/>
  <c r="F2532" i="1"/>
  <c r="E2532" i="1"/>
  <c r="D2532" i="1"/>
  <c r="C2532" i="1"/>
  <c r="B2532" i="1"/>
  <c r="A2532" i="1"/>
  <c r="F2531" i="1"/>
  <c r="E2531" i="1"/>
  <c r="D2531" i="1"/>
  <c r="C2531" i="1"/>
  <c r="B2531" i="1"/>
  <c r="A2531" i="1"/>
  <c r="F2530" i="1"/>
  <c r="E2530" i="1"/>
  <c r="D2530" i="1"/>
  <c r="C2530" i="1"/>
  <c r="B2530" i="1"/>
  <c r="A2530" i="1"/>
  <c r="F2529" i="1"/>
  <c r="E2529" i="1"/>
  <c r="D2529" i="1"/>
  <c r="C2529" i="1"/>
  <c r="B2529" i="1"/>
  <c r="A2529" i="1"/>
  <c r="F2528" i="1"/>
  <c r="E2528" i="1"/>
  <c r="D2528" i="1"/>
  <c r="C2528" i="1"/>
  <c r="B2528" i="1"/>
  <c r="A2528" i="1"/>
  <c r="F2527" i="1"/>
  <c r="E2527" i="1"/>
  <c r="D2527" i="1"/>
  <c r="C2527" i="1"/>
  <c r="B2527" i="1"/>
  <c r="A2527" i="1"/>
  <c r="F2526" i="1"/>
  <c r="E2526" i="1"/>
  <c r="D2526" i="1"/>
  <c r="C2526" i="1"/>
  <c r="B2526" i="1"/>
  <c r="A2526" i="1"/>
  <c r="F2525" i="1"/>
  <c r="E2525" i="1"/>
  <c r="D2525" i="1"/>
  <c r="C2525" i="1"/>
  <c r="B2525" i="1"/>
  <c r="A2525" i="1"/>
  <c r="F2524" i="1"/>
  <c r="E2524" i="1"/>
  <c r="D2524" i="1"/>
  <c r="C2524" i="1"/>
  <c r="B2524" i="1"/>
  <c r="A2524" i="1"/>
  <c r="F2523" i="1"/>
  <c r="E2523" i="1"/>
  <c r="D2523" i="1"/>
  <c r="C2523" i="1"/>
  <c r="B2523" i="1"/>
  <c r="A2523" i="1"/>
  <c r="F2522" i="1"/>
  <c r="E2522" i="1"/>
  <c r="D2522" i="1"/>
  <c r="C2522" i="1"/>
  <c r="B2522" i="1"/>
  <c r="A2522" i="1"/>
  <c r="F2521" i="1"/>
  <c r="E2521" i="1"/>
  <c r="D2521" i="1"/>
  <c r="C2521" i="1"/>
  <c r="B2521" i="1"/>
  <c r="A2521" i="1"/>
  <c r="F2520" i="1"/>
  <c r="E2520" i="1"/>
  <c r="D2520" i="1"/>
  <c r="C2520" i="1"/>
  <c r="B2520" i="1"/>
  <c r="A2520" i="1"/>
  <c r="F2519" i="1"/>
  <c r="E2519" i="1"/>
  <c r="D2519" i="1"/>
  <c r="C2519" i="1"/>
  <c r="B2519" i="1"/>
  <c r="A2519" i="1"/>
  <c r="F2518" i="1"/>
  <c r="E2518" i="1"/>
  <c r="D2518" i="1"/>
  <c r="C2518" i="1"/>
  <c r="B2518" i="1"/>
  <c r="A2518" i="1"/>
  <c r="F2517" i="1"/>
  <c r="E2517" i="1"/>
  <c r="D2517" i="1"/>
  <c r="C2517" i="1"/>
  <c r="B2517" i="1"/>
  <c r="A2517" i="1"/>
  <c r="F2516" i="1"/>
  <c r="E2516" i="1"/>
  <c r="D2516" i="1"/>
  <c r="C2516" i="1"/>
  <c r="B2516" i="1"/>
  <c r="A2516" i="1"/>
  <c r="F2515" i="1"/>
  <c r="E2515" i="1"/>
  <c r="D2515" i="1"/>
  <c r="C2515" i="1"/>
  <c r="B2515" i="1"/>
  <c r="A2515" i="1"/>
  <c r="F2514" i="1"/>
  <c r="E2514" i="1"/>
  <c r="D2514" i="1"/>
  <c r="C2514" i="1"/>
  <c r="B2514" i="1"/>
  <c r="A2514" i="1"/>
  <c r="F2513" i="1"/>
  <c r="E2513" i="1"/>
  <c r="D2513" i="1"/>
  <c r="C2513" i="1"/>
  <c r="B2513" i="1"/>
  <c r="A2513" i="1"/>
  <c r="F2512" i="1"/>
  <c r="E2512" i="1"/>
  <c r="D2512" i="1"/>
  <c r="C2512" i="1"/>
  <c r="B2512" i="1"/>
  <c r="A2512" i="1"/>
  <c r="F2511" i="1"/>
  <c r="E2511" i="1"/>
  <c r="D2511" i="1"/>
  <c r="C2511" i="1"/>
  <c r="B2511" i="1"/>
  <c r="A2511" i="1"/>
  <c r="F2510" i="1"/>
  <c r="E2510" i="1"/>
  <c r="D2510" i="1"/>
  <c r="C2510" i="1"/>
  <c r="B2510" i="1"/>
  <c r="A2510" i="1"/>
  <c r="F2509" i="1"/>
  <c r="E2509" i="1"/>
  <c r="D2509" i="1"/>
  <c r="C2509" i="1"/>
  <c r="B2509" i="1"/>
  <c r="A2509" i="1"/>
  <c r="F2508" i="1"/>
  <c r="E2508" i="1"/>
  <c r="D2508" i="1"/>
  <c r="C2508" i="1"/>
  <c r="B2508" i="1"/>
  <c r="A2508" i="1"/>
  <c r="F2507" i="1"/>
  <c r="E2507" i="1"/>
  <c r="D2507" i="1"/>
  <c r="C2507" i="1"/>
  <c r="B2507" i="1"/>
  <c r="A2507" i="1"/>
  <c r="F2506" i="1"/>
  <c r="E2506" i="1"/>
  <c r="D2506" i="1"/>
  <c r="C2506" i="1"/>
  <c r="B2506" i="1"/>
  <c r="A2506" i="1"/>
  <c r="F2505" i="1"/>
  <c r="E2505" i="1"/>
  <c r="D2505" i="1"/>
  <c r="C2505" i="1"/>
  <c r="B2505" i="1"/>
  <c r="A2505" i="1"/>
  <c r="F2504" i="1"/>
  <c r="E2504" i="1"/>
  <c r="D2504" i="1"/>
  <c r="C2504" i="1"/>
  <c r="B2504" i="1"/>
  <c r="A2504" i="1"/>
  <c r="F2503" i="1"/>
  <c r="E2503" i="1"/>
  <c r="D2503" i="1"/>
  <c r="C2503" i="1"/>
  <c r="B2503" i="1"/>
  <c r="A2503" i="1"/>
  <c r="F2502" i="1"/>
  <c r="E2502" i="1"/>
  <c r="D2502" i="1"/>
  <c r="C2502" i="1"/>
  <c r="B2502" i="1"/>
  <c r="A2502" i="1"/>
  <c r="F2501" i="1"/>
  <c r="E2501" i="1"/>
  <c r="D2501" i="1"/>
  <c r="C2501" i="1"/>
  <c r="B2501" i="1"/>
  <c r="A2501" i="1"/>
  <c r="F2500" i="1"/>
  <c r="E2500" i="1"/>
  <c r="D2500" i="1"/>
  <c r="C2500" i="1"/>
  <c r="B2500" i="1"/>
  <c r="A2500" i="1"/>
  <c r="F2499" i="1"/>
  <c r="E2499" i="1"/>
  <c r="D2499" i="1"/>
  <c r="C2499" i="1"/>
  <c r="B2499" i="1"/>
  <c r="A2499" i="1"/>
  <c r="F2498" i="1"/>
  <c r="E2498" i="1"/>
  <c r="D2498" i="1"/>
  <c r="C2498" i="1"/>
  <c r="B2498" i="1"/>
  <c r="A2498" i="1"/>
  <c r="F2497" i="1"/>
  <c r="E2497" i="1"/>
  <c r="D2497" i="1"/>
  <c r="C2497" i="1"/>
  <c r="B2497" i="1"/>
  <c r="A2497" i="1"/>
  <c r="F2496" i="1"/>
  <c r="E2496" i="1"/>
  <c r="D2496" i="1"/>
  <c r="C2496" i="1"/>
  <c r="B2496" i="1"/>
  <c r="A2496" i="1"/>
  <c r="F2495" i="1"/>
  <c r="E2495" i="1"/>
  <c r="D2495" i="1"/>
  <c r="C2495" i="1"/>
  <c r="B2495" i="1"/>
  <c r="A2495" i="1"/>
  <c r="F2494" i="1"/>
  <c r="E2494" i="1"/>
  <c r="D2494" i="1"/>
  <c r="C2494" i="1"/>
  <c r="B2494" i="1"/>
  <c r="A2494" i="1"/>
  <c r="F2493" i="1"/>
  <c r="E2493" i="1"/>
  <c r="D2493" i="1"/>
  <c r="C2493" i="1"/>
  <c r="B2493" i="1"/>
  <c r="A2493" i="1"/>
  <c r="F2492" i="1"/>
  <c r="E2492" i="1"/>
  <c r="D2492" i="1"/>
  <c r="C2492" i="1"/>
  <c r="B2492" i="1"/>
  <c r="A2492" i="1"/>
  <c r="F2491" i="1"/>
  <c r="E2491" i="1"/>
  <c r="D2491" i="1"/>
  <c r="C2491" i="1"/>
  <c r="B2491" i="1"/>
  <c r="A2491" i="1"/>
  <c r="F2490" i="1"/>
  <c r="E2490" i="1"/>
  <c r="D2490" i="1"/>
  <c r="C2490" i="1"/>
  <c r="B2490" i="1"/>
  <c r="A2490" i="1"/>
  <c r="F2489" i="1"/>
  <c r="E2489" i="1"/>
  <c r="D2489" i="1"/>
  <c r="C2489" i="1"/>
  <c r="B2489" i="1"/>
  <c r="A2489" i="1"/>
  <c r="F2488" i="1"/>
  <c r="E2488" i="1"/>
  <c r="D2488" i="1"/>
  <c r="C2488" i="1"/>
  <c r="B2488" i="1"/>
  <c r="A2488" i="1"/>
  <c r="F2487" i="1"/>
  <c r="E2487" i="1"/>
  <c r="D2487" i="1"/>
  <c r="C2487" i="1"/>
  <c r="B2487" i="1"/>
  <c r="A2487" i="1"/>
  <c r="F2486" i="1"/>
  <c r="E2486" i="1"/>
  <c r="D2486" i="1"/>
  <c r="C2486" i="1"/>
  <c r="B2486" i="1"/>
  <c r="A2486" i="1"/>
  <c r="F2485" i="1"/>
  <c r="E2485" i="1"/>
  <c r="D2485" i="1"/>
  <c r="C2485" i="1"/>
  <c r="B2485" i="1"/>
  <c r="A2485" i="1"/>
  <c r="F2484" i="1"/>
  <c r="E2484" i="1"/>
  <c r="D2484" i="1"/>
  <c r="C2484" i="1"/>
  <c r="B2484" i="1"/>
  <c r="A2484" i="1"/>
  <c r="F2483" i="1"/>
  <c r="E2483" i="1"/>
  <c r="D2483" i="1"/>
  <c r="C2483" i="1"/>
  <c r="B2483" i="1"/>
  <c r="A2483" i="1"/>
  <c r="F2482" i="1"/>
  <c r="E2482" i="1"/>
  <c r="D2482" i="1"/>
  <c r="C2482" i="1"/>
  <c r="B2482" i="1"/>
  <c r="A2482" i="1"/>
  <c r="F2481" i="1"/>
  <c r="E2481" i="1"/>
  <c r="D2481" i="1"/>
  <c r="C2481" i="1"/>
  <c r="B2481" i="1"/>
  <c r="A2481" i="1"/>
  <c r="F2480" i="1"/>
  <c r="E2480" i="1"/>
  <c r="D2480" i="1"/>
  <c r="C2480" i="1"/>
  <c r="B2480" i="1"/>
  <c r="A2480" i="1"/>
  <c r="F2479" i="1"/>
  <c r="E2479" i="1"/>
  <c r="D2479" i="1"/>
  <c r="C2479" i="1"/>
  <c r="B2479" i="1"/>
  <c r="A2479" i="1"/>
  <c r="F2478" i="1"/>
  <c r="E2478" i="1"/>
  <c r="D2478" i="1"/>
  <c r="C2478" i="1"/>
  <c r="B2478" i="1"/>
  <c r="A2478" i="1"/>
  <c r="F2477" i="1"/>
  <c r="E2477" i="1"/>
  <c r="D2477" i="1"/>
  <c r="C2477" i="1"/>
  <c r="B2477" i="1"/>
  <c r="A2477" i="1"/>
  <c r="F2476" i="1"/>
  <c r="E2476" i="1"/>
  <c r="D2476" i="1"/>
  <c r="C2476" i="1"/>
  <c r="B2476" i="1"/>
  <c r="A2476" i="1"/>
  <c r="F2475" i="1"/>
  <c r="E2475" i="1"/>
  <c r="D2475" i="1"/>
  <c r="C2475" i="1"/>
  <c r="B2475" i="1"/>
  <c r="A2475" i="1"/>
  <c r="F2474" i="1"/>
  <c r="E2474" i="1"/>
  <c r="D2474" i="1"/>
  <c r="C2474" i="1"/>
  <c r="B2474" i="1"/>
  <c r="A2474" i="1"/>
  <c r="F2473" i="1"/>
  <c r="E2473" i="1"/>
  <c r="D2473" i="1"/>
  <c r="C2473" i="1"/>
  <c r="B2473" i="1"/>
  <c r="A2473" i="1"/>
  <c r="F2472" i="1"/>
  <c r="E2472" i="1"/>
  <c r="D2472" i="1"/>
  <c r="C2472" i="1"/>
  <c r="B2472" i="1"/>
  <c r="A2472" i="1"/>
  <c r="F2471" i="1"/>
  <c r="E2471" i="1"/>
  <c r="D2471" i="1"/>
  <c r="C2471" i="1"/>
  <c r="B2471" i="1"/>
  <c r="A2471" i="1"/>
  <c r="F2470" i="1"/>
  <c r="E2470" i="1"/>
  <c r="D2470" i="1"/>
  <c r="C2470" i="1"/>
  <c r="B2470" i="1"/>
  <c r="A2470" i="1"/>
  <c r="F2469" i="1"/>
  <c r="E2469" i="1"/>
  <c r="D2469" i="1"/>
  <c r="C2469" i="1"/>
  <c r="B2469" i="1"/>
  <c r="A2469" i="1"/>
  <c r="F2468" i="1"/>
  <c r="E2468" i="1"/>
  <c r="D2468" i="1"/>
  <c r="C2468" i="1"/>
  <c r="B2468" i="1"/>
  <c r="A2468" i="1"/>
  <c r="F2467" i="1"/>
  <c r="E2467" i="1"/>
  <c r="D2467" i="1"/>
  <c r="C2467" i="1"/>
  <c r="B2467" i="1"/>
  <c r="A2467" i="1"/>
  <c r="F2466" i="1"/>
  <c r="E2466" i="1"/>
  <c r="D2466" i="1"/>
  <c r="C2466" i="1"/>
  <c r="B2466" i="1"/>
  <c r="A2466" i="1"/>
  <c r="F2465" i="1"/>
  <c r="E2465" i="1"/>
  <c r="D2465" i="1"/>
  <c r="C2465" i="1"/>
  <c r="B2465" i="1"/>
  <c r="A2465" i="1"/>
  <c r="F2464" i="1"/>
  <c r="E2464" i="1"/>
  <c r="D2464" i="1"/>
  <c r="C2464" i="1"/>
  <c r="B2464" i="1"/>
  <c r="A2464" i="1"/>
  <c r="F2463" i="1"/>
  <c r="E2463" i="1"/>
  <c r="D2463" i="1"/>
  <c r="C2463" i="1"/>
  <c r="B2463" i="1"/>
  <c r="A2463" i="1"/>
  <c r="F2462" i="1"/>
  <c r="E2462" i="1"/>
  <c r="D2462" i="1"/>
  <c r="C2462" i="1"/>
  <c r="B2462" i="1"/>
  <c r="A2462" i="1"/>
  <c r="F2461" i="1"/>
  <c r="E2461" i="1"/>
  <c r="D2461" i="1"/>
  <c r="C2461" i="1"/>
  <c r="B2461" i="1"/>
  <c r="A2461" i="1"/>
  <c r="F2460" i="1"/>
  <c r="E2460" i="1"/>
  <c r="D2460" i="1"/>
  <c r="C2460" i="1"/>
  <c r="B2460" i="1"/>
  <c r="A2460" i="1"/>
  <c r="F2459" i="1"/>
  <c r="E2459" i="1"/>
  <c r="D2459" i="1"/>
  <c r="C2459" i="1"/>
  <c r="B2459" i="1"/>
  <c r="A2459" i="1"/>
  <c r="F2458" i="1"/>
  <c r="E2458" i="1"/>
  <c r="D2458" i="1"/>
  <c r="C2458" i="1"/>
  <c r="B2458" i="1"/>
  <c r="A2458" i="1"/>
  <c r="F2457" i="1"/>
  <c r="E2457" i="1"/>
  <c r="D2457" i="1"/>
  <c r="C2457" i="1"/>
  <c r="B2457" i="1"/>
  <c r="A2457" i="1"/>
  <c r="F2456" i="1"/>
  <c r="E2456" i="1"/>
  <c r="D2456" i="1"/>
  <c r="C2456" i="1"/>
  <c r="B2456" i="1"/>
  <c r="A2456" i="1"/>
  <c r="F2455" i="1"/>
  <c r="E2455" i="1"/>
  <c r="D2455" i="1"/>
  <c r="C2455" i="1"/>
  <c r="B2455" i="1"/>
  <c r="A2455" i="1"/>
  <c r="F2454" i="1"/>
  <c r="E2454" i="1"/>
  <c r="D2454" i="1"/>
  <c r="C2454" i="1"/>
  <c r="B2454" i="1"/>
  <c r="A2454" i="1"/>
  <c r="F2453" i="1"/>
  <c r="E2453" i="1"/>
  <c r="D2453" i="1"/>
  <c r="C2453" i="1"/>
  <c r="B2453" i="1"/>
  <c r="A2453" i="1"/>
  <c r="F2452" i="1"/>
  <c r="E2452" i="1"/>
  <c r="D2452" i="1"/>
  <c r="C2452" i="1"/>
  <c r="B2452" i="1"/>
  <c r="A2452" i="1"/>
  <c r="F2451" i="1"/>
  <c r="E2451" i="1"/>
  <c r="D2451" i="1"/>
  <c r="C2451" i="1"/>
  <c r="B2451" i="1"/>
  <c r="A2451" i="1"/>
  <c r="F2450" i="1"/>
  <c r="E2450" i="1"/>
  <c r="D2450" i="1"/>
  <c r="C2450" i="1"/>
  <c r="B2450" i="1"/>
  <c r="A2450" i="1"/>
  <c r="F2449" i="1"/>
  <c r="E2449" i="1"/>
  <c r="D2449" i="1"/>
  <c r="C2449" i="1"/>
  <c r="B2449" i="1"/>
  <c r="A2449" i="1"/>
  <c r="F2448" i="1"/>
  <c r="E2448" i="1"/>
  <c r="D2448" i="1"/>
  <c r="C2448" i="1"/>
  <c r="B2448" i="1"/>
  <c r="A2448" i="1"/>
  <c r="F2447" i="1"/>
  <c r="E2447" i="1"/>
  <c r="D2447" i="1"/>
  <c r="C2447" i="1"/>
  <c r="B2447" i="1"/>
  <c r="A2447" i="1"/>
  <c r="F2446" i="1"/>
  <c r="E2446" i="1"/>
  <c r="D2446" i="1"/>
  <c r="C2446" i="1"/>
  <c r="B2446" i="1"/>
  <c r="A2446" i="1"/>
  <c r="F2445" i="1"/>
  <c r="E2445" i="1"/>
  <c r="D2445" i="1"/>
  <c r="C2445" i="1"/>
  <c r="B2445" i="1"/>
  <c r="A2445" i="1"/>
  <c r="F2444" i="1"/>
  <c r="E2444" i="1"/>
  <c r="D2444" i="1"/>
  <c r="C2444" i="1"/>
  <c r="B2444" i="1"/>
  <c r="A2444" i="1"/>
  <c r="F2443" i="1"/>
  <c r="E2443" i="1"/>
  <c r="D2443" i="1"/>
  <c r="C2443" i="1"/>
  <c r="B2443" i="1"/>
  <c r="A2443" i="1"/>
  <c r="F2442" i="1"/>
  <c r="E2442" i="1"/>
  <c r="D2442" i="1"/>
  <c r="C2442" i="1"/>
  <c r="B2442" i="1"/>
  <c r="A2442" i="1"/>
  <c r="F2441" i="1"/>
  <c r="E2441" i="1"/>
  <c r="D2441" i="1"/>
  <c r="C2441" i="1"/>
  <c r="B2441" i="1"/>
  <c r="A2441" i="1"/>
  <c r="F2440" i="1"/>
  <c r="E2440" i="1"/>
  <c r="D2440" i="1"/>
  <c r="C2440" i="1"/>
  <c r="B2440" i="1"/>
  <c r="A2440" i="1"/>
  <c r="F2439" i="1"/>
  <c r="E2439" i="1"/>
  <c r="D2439" i="1"/>
  <c r="C2439" i="1"/>
  <c r="B2439" i="1"/>
  <c r="A2439" i="1"/>
  <c r="F2438" i="1"/>
  <c r="E2438" i="1"/>
  <c r="D2438" i="1"/>
  <c r="C2438" i="1"/>
  <c r="B2438" i="1"/>
  <c r="A2438" i="1"/>
  <c r="F2437" i="1"/>
  <c r="E2437" i="1"/>
  <c r="D2437" i="1"/>
  <c r="C2437" i="1"/>
  <c r="B2437" i="1"/>
  <c r="A2437" i="1"/>
  <c r="F2436" i="1"/>
  <c r="E2436" i="1"/>
  <c r="D2436" i="1"/>
  <c r="C2436" i="1"/>
  <c r="B2436" i="1"/>
  <c r="A2436" i="1"/>
  <c r="F2435" i="1"/>
  <c r="E2435" i="1"/>
  <c r="D2435" i="1"/>
  <c r="C2435" i="1"/>
  <c r="B2435" i="1"/>
  <c r="A2435" i="1"/>
  <c r="F2434" i="1"/>
  <c r="E2434" i="1"/>
  <c r="D2434" i="1"/>
  <c r="C2434" i="1"/>
  <c r="B2434" i="1"/>
  <c r="A2434" i="1"/>
  <c r="F2433" i="1"/>
  <c r="E2433" i="1"/>
  <c r="D2433" i="1"/>
  <c r="C2433" i="1"/>
  <c r="B2433" i="1"/>
  <c r="A2433" i="1"/>
  <c r="F2432" i="1"/>
  <c r="E2432" i="1"/>
  <c r="D2432" i="1"/>
  <c r="C2432" i="1"/>
  <c r="B2432" i="1"/>
  <c r="A2432" i="1"/>
  <c r="F2431" i="1"/>
  <c r="E2431" i="1"/>
  <c r="D2431" i="1"/>
  <c r="C2431" i="1"/>
  <c r="B2431" i="1"/>
  <c r="A2431" i="1"/>
  <c r="F2430" i="1"/>
  <c r="E2430" i="1"/>
  <c r="D2430" i="1"/>
  <c r="C2430" i="1"/>
  <c r="B2430" i="1"/>
  <c r="A2430" i="1"/>
  <c r="F2429" i="1"/>
  <c r="E2429" i="1"/>
  <c r="D2429" i="1"/>
  <c r="C2429" i="1"/>
  <c r="B2429" i="1"/>
  <c r="A2429" i="1"/>
  <c r="F2428" i="1"/>
  <c r="E2428" i="1"/>
  <c r="D2428" i="1"/>
  <c r="C2428" i="1"/>
  <c r="B2428" i="1"/>
  <c r="A2428" i="1"/>
  <c r="F2427" i="1"/>
  <c r="E2427" i="1"/>
  <c r="D2427" i="1"/>
  <c r="C2427" i="1"/>
  <c r="B2427" i="1"/>
  <c r="A2427" i="1"/>
  <c r="F2426" i="1"/>
  <c r="E2426" i="1"/>
  <c r="D2426" i="1"/>
  <c r="C2426" i="1"/>
  <c r="B2426" i="1"/>
  <c r="A2426" i="1"/>
  <c r="F2425" i="1"/>
  <c r="E2425" i="1"/>
  <c r="D2425" i="1"/>
  <c r="C2425" i="1"/>
  <c r="B2425" i="1"/>
  <c r="A2425" i="1"/>
  <c r="F2424" i="1"/>
  <c r="E2424" i="1"/>
  <c r="D2424" i="1"/>
  <c r="C2424" i="1"/>
  <c r="B2424" i="1"/>
  <c r="A2424" i="1"/>
  <c r="F2423" i="1"/>
  <c r="E2423" i="1"/>
  <c r="D2423" i="1"/>
  <c r="C2423" i="1"/>
  <c r="B2423" i="1"/>
  <c r="A2423" i="1"/>
  <c r="F2422" i="1"/>
  <c r="E2422" i="1"/>
  <c r="D2422" i="1"/>
  <c r="C2422" i="1"/>
  <c r="B2422" i="1"/>
  <c r="A2422" i="1"/>
  <c r="F2421" i="1"/>
  <c r="E2421" i="1"/>
  <c r="D2421" i="1"/>
  <c r="C2421" i="1"/>
  <c r="B2421" i="1"/>
  <c r="A2421" i="1"/>
  <c r="F2420" i="1"/>
  <c r="E2420" i="1"/>
  <c r="D2420" i="1"/>
  <c r="C2420" i="1"/>
  <c r="B2420" i="1"/>
  <c r="A2420" i="1"/>
  <c r="F2419" i="1"/>
  <c r="E2419" i="1"/>
  <c r="D2419" i="1"/>
  <c r="C2419" i="1"/>
  <c r="B2419" i="1"/>
  <c r="A2419" i="1"/>
  <c r="F2418" i="1"/>
  <c r="E2418" i="1"/>
  <c r="D2418" i="1"/>
  <c r="C2418" i="1"/>
  <c r="B2418" i="1"/>
  <c r="A2418" i="1"/>
  <c r="F2417" i="1"/>
  <c r="E2417" i="1"/>
  <c r="D2417" i="1"/>
  <c r="C2417" i="1"/>
  <c r="B2417" i="1"/>
  <c r="A2417" i="1"/>
  <c r="F2416" i="1"/>
  <c r="E2416" i="1"/>
  <c r="D2416" i="1"/>
  <c r="C2416" i="1"/>
  <c r="B2416" i="1"/>
  <c r="A2416" i="1"/>
  <c r="F2415" i="1"/>
  <c r="E2415" i="1"/>
  <c r="D2415" i="1"/>
  <c r="C2415" i="1"/>
  <c r="B2415" i="1"/>
  <c r="A2415" i="1"/>
  <c r="F2414" i="1"/>
  <c r="E2414" i="1"/>
  <c r="D2414" i="1"/>
  <c r="C2414" i="1"/>
  <c r="B2414" i="1"/>
  <c r="A2414" i="1"/>
  <c r="F2413" i="1"/>
  <c r="E2413" i="1"/>
  <c r="D2413" i="1"/>
  <c r="C2413" i="1"/>
  <c r="B2413" i="1"/>
  <c r="A2413" i="1"/>
  <c r="F2412" i="1"/>
  <c r="E2412" i="1"/>
  <c r="D2412" i="1"/>
  <c r="C2412" i="1"/>
  <c r="B2412" i="1"/>
  <c r="A2412" i="1"/>
  <c r="F2411" i="1"/>
  <c r="E2411" i="1"/>
  <c r="D2411" i="1"/>
  <c r="C2411" i="1"/>
  <c r="B2411" i="1"/>
  <c r="A2411" i="1"/>
  <c r="F2410" i="1"/>
  <c r="E2410" i="1"/>
  <c r="D2410" i="1"/>
  <c r="C2410" i="1"/>
  <c r="B2410" i="1"/>
  <c r="A2410" i="1"/>
  <c r="F2409" i="1"/>
  <c r="E2409" i="1"/>
  <c r="D2409" i="1"/>
  <c r="C2409" i="1"/>
  <c r="B2409" i="1"/>
  <c r="A2409" i="1"/>
  <c r="F2408" i="1"/>
  <c r="E2408" i="1"/>
  <c r="D2408" i="1"/>
  <c r="C2408" i="1"/>
  <c r="B2408" i="1"/>
  <c r="A2408" i="1"/>
  <c r="F2407" i="1"/>
  <c r="E2407" i="1"/>
  <c r="D2407" i="1"/>
  <c r="C2407" i="1"/>
  <c r="B2407" i="1"/>
  <c r="A2407" i="1"/>
  <c r="F2406" i="1"/>
  <c r="E2406" i="1"/>
  <c r="D2406" i="1"/>
  <c r="C2406" i="1"/>
  <c r="B2406" i="1"/>
  <c r="A2406" i="1"/>
  <c r="F2405" i="1"/>
  <c r="E2405" i="1"/>
  <c r="D2405" i="1"/>
  <c r="C2405" i="1"/>
  <c r="B2405" i="1"/>
  <c r="A2405" i="1"/>
  <c r="F2404" i="1"/>
  <c r="E2404" i="1"/>
  <c r="D2404" i="1"/>
  <c r="C2404" i="1"/>
  <c r="B2404" i="1"/>
  <c r="A2404" i="1"/>
  <c r="F2403" i="1"/>
  <c r="E2403" i="1"/>
  <c r="D2403" i="1"/>
  <c r="C2403" i="1"/>
  <c r="B2403" i="1"/>
  <c r="A2403" i="1"/>
  <c r="F2402" i="1"/>
  <c r="E2402" i="1"/>
  <c r="D2402" i="1"/>
  <c r="C2402" i="1"/>
  <c r="B2402" i="1"/>
  <c r="A2402" i="1"/>
  <c r="F2401" i="1"/>
  <c r="E2401" i="1"/>
  <c r="D2401" i="1"/>
  <c r="C2401" i="1"/>
  <c r="B2401" i="1"/>
  <c r="A2401" i="1"/>
  <c r="F2400" i="1"/>
  <c r="E2400" i="1"/>
  <c r="D2400" i="1"/>
  <c r="C2400" i="1"/>
  <c r="B2400" i="1"/>
  <c r="A2400" i="1"/>
  <c r="F2399" i="1"/>
  <c r="E2399" i="1"/>
  <c r="D2399" i="1"/>
  <c r="C2399" i="1"/>
  <c r="B2399" i="1"/>
  <c r="A2399" i="1"/>
  <c r="F2398" i="1"/>
  <c r="E2398" i="1"/>
  <c r="D2398" i="1"/>
  <c r="C2398" i="1"/>
  <c r="B2398" i="1"/>
  <c r="A2398" i="1"/>
  <c r="F2397" i="1"/>
  <c r="E2397" i="1"/>
  <c r="D2397" i="1"/>
  <c r="C2397" i="1"/>
  <c r="B2397" i="1"/>
  <c r="A2397" i="1"/>
  <c r="F2396" i="1"/>
  <c r="E2396" i="1"/>
  <c r="D2396" i="1"/>
  <c r="C2396" i="1"/>
  <c r="B2396" i="1"/>
  <c r="A2396" i="1"/>
  <c r="F2395" i="1"/>
  <c r="E2395" i="1"/>
  <c r="D2395" i="1"/>
  <c r="C2395" i="1"/>
  <c r="B2395" i="1"/>
  <c r="A2395" i="1"/>
  <c r="F2394" i="1"/>
  <c r="E2394" i="1"/>
  <c r="D2394" i="1"/>
  <c r="C2394" i="1"/>
  <c r="B2394" i="1"/>
  <c r="A2394" i="1"/>
  <c r="F2393" i="1"/>
  <c r="E2393" i="1"/>
  <c r="D2393" i="1"/>
  <c r="C2393" i="1"/>
  <c r="B2393" i="1"/>
  <c r="A2393" i="1"/>
  <c r="F2392" i="1"/>
  <c r="E2392" i="1"/>
  <c r="D2392" i="1"/>
  <c r="C2392" i="1"/>
  <c r="B2392" i="1"/>
  <c r="A2392" i="1"/>
  <c r="F2391" i="1"/>
  <c r="E2391" i="1"/>
  <c r="D2391" i="1"/>
  <c r="C2391" i="1"/>
  <c r="B2391" i="1"/>
  <c r="A2391" i="1"/>
  <c r="F2390" i="1"/>
  <c r="E2390" i="1"/>
  <c r="D2390" i="1"/>
  <c r="C2390" i="1"/>
  <c r="B2390" i="1"/>
  <c r="A2390" i="1"/>
  <c r="F2389" i="1"/>
  <c r="E2389" i="1"/>
  <c r="D2389" i="1"/>
  <c r="C2389" i="1"/>
  <c r="B2389" i="1"/>
  <c r="A2389" i="1"/>
  <c r="F2388" i="1"/>
  <c r="E2388" i="1"/>
  <c r="D2388" i="1"/>
  <c r="C2388" i="1"/>
  <c r="B2388" i="1"/>
  <c r="A2388" i="1"/>
  <c r="F2387" i="1"/>
  <c r="E2387" i="1"/>
  <c r="D2387" i="1"/>
  <c r="C2387" i="1"/>
  <c r="B2387" i="1"/>
  <c r="A2387" i="1"/>
  <c r="F2386" i="1"/>
  <c r="E2386" i="1"/>
  <c r="D2386" i="1"/>
  <c r="C2386" i="1"/>
  <c r="B2386" i="1"/>
  <c r="A2386" i="1"/>
  <c r="F2385" i="1"/>
  <c r="E2385" i="1"/>
  <c r="D2385" i="1"/>
  <c r="C2385" i="1"/>
  <c r="B2385" i="1"/>
  <c r="A2385" i="1"/>
  <c r="F2384" i="1"/>
  <c r="E2384" i="1"/>
  <c r="D2384" i="1"/>
  <c r="C2384" i="1"/>
  <c r="B2384" i="1"/>
  <c r="A2384" i="1"/>
  <c r="F2383" i="1"/>
  <c r="E2383" i="1"/>
  <c r="D2383" i="1"/>
  <c r="C2383" i="1"/>
  <c r="B2383" i="1"/>
  <c r="A2383" i="1"/>
  <c r="F2382" i="1"/>
  <c r="E2382" i="1"/>
  <c r="D2382" i="1"/>
  <c r="C2382" i="1"/>
  <c r="B2382" i="1"/>
  <c r="A2382" i="1"/>
  <c r="F2381" i="1"/>
  <c r="E2381" i="1"/>
  <c r="D2381" i="1"/>
  <c r="C2381" i="1"/>
  <c r="B2381" i="1"/>
  <c r="A2381" i="1"/>
  <c r="F2380" i="1"/>
  <c r="E2380" i="1"/>
  <c r="D2380" i="1"/>
  <c r="C2380" i="1"/>
  <c r="B2380" i="1"/>
  <c r="A2380" i="1"/>
  <c r="F2379" i="1"/>
  <c r="E2379" i="1"/>
  <c r="D2379" i="1"/>
  <c r="C2379" i="1"/>
  <c r="B2379" i="1"/>
  <c r="A2379" i="1"/>
  <c r="F2378" i="1"/>
  <c r="E2378" i="1"/>
  <c r="D2378" i="1"/>
  <c r="C2378" i="1"/>
  <c r="B2378" i="1"/>
  <c r="A2378" i="1"/>
  <c r="F2377" i="1"/>
  <c r="E2377" i="1"/>
  <c r="D2377" i="1"/>
  <c r="C2377" i="1"/>
  <c r="B2377" i="1"/>
  <c r="A2377" i="1"/>
  <c r="F2376" i="1"/>
  <c r="E2376" i="1"/>
  <c r="D2376" i="1"/>
  <c r="C2376" i="1"/>
  <c r="B2376" i="1"/>
  <c r="A2376" i="1"/>
  <c r="F2375" i="1"/>
  <c r="E2375" i="1"/>
  <c r="D2375" i="1"/>
  <c r="C2375" i="1"/>
  <c r="B2375" i="1"/>
  <c r="A2375" i="1"/>
  <c r="F2374" i="1"/>
  <c r="E2374" i="1"/>
  <c r="D2374" i="1"/>
  <c r="C2374" i="1"/>
  <c r="B2374" i="1"/>
  <c r="A2374" i="1"/>
  <c r="F2373" i="1"/>
  <c r="E2373" i="1"/>
  <c r="D2373" i="1"/>
  <c r="C2373" i="1"/>
  <c r="B2373" i="1"/>
  <c r="A2373" i="1"/>
  <c r="F2372" i="1"/>
  <c r="E2372" i="1"/>
  <c r="D2372" i="1"/>
  <c r="C2372" i="1"/>
  <c r="B2372" i="1"/>
  <c r="A2372" i="1"/>
  <c r="F2371" i="1"/>
  <c r="E2371" i="1"/>
  <c r="D2371" i="1"/>
  <c r="C2371" i="1"/>
  <c r="B2371" i="1"/>
  <c r="A2371" i="1"/>
  <c r="F2370" i="1"/>
  <c r="E2370" i="1"/>
  <c r="D2370" i="1"/>
  <c r="C2370" i="1"/>
  <c r="B2370" i="1"/>
  <c r="A2370" i="1"/>
  <c r="F2369" i="1"/>
  <c r="E2369" i="1"/>
  <c r="D2369" i="1"/>
  <c r="C2369" i="1"/>
  <c r="B2369" i="1"/>
  <c r="A2369" i="1"/>
  <c r="F2368" i="1"/>
  <c r="E2368" i="1"/>
  <c r="D2368" i="1"/>
  <c r="C2368" i="1"/>
  <c r="B2368" i="1"/>
  <c r="A2368" i="1"/>
  <c r="F2367" i="1"/>
  <c r="E2367" i="1"/>
  <c r="D2367" i="1"/>
  <c r="C2367" i="1"/>
  <c r="B2367" i="1"/>
  <c r="A2367" i="1"/>
  <c r="F2366" i="1"/>
  <c r="E2366" i="1"/>
  <c r="D2366" i="1"/>
  <c r="C2366" i="1"/>
  <c r="B2366" i="1"/>
  <c r="A2366" i="1"/>
  <c r="F2365" i="1"/>
  <c r="E2365" i="1"/>
  <c r="D2365" i="1"/>
  <c r="C2365" i="1"/>
  <c r="B2365" i="1"/>
  <c r="A2365" i="1"/>
  <c r="F2364" i="1"/>
  <c r="E2364" i="1"/>
  <c r="D2364" i="1"/>
  <c r="C2364" i="1"/>
  <c r="B2364" i="1"/>
  <c r="A2364" i="1"/>
  <c r="F2363" i="1"/>
  <c r="E2363" i="1"/>
  <c r="D2363" i="1"/>
  <c r="C2363" i="1"/>
  <c r="B2363" i="1"/>
  <c r="A2363" i="1"/>
  <c r="F2362" i="1"/>
  <c r="E2362" i="1"/>
  <c r="D2362" i="1"/>
  <c r="C2362" i="1"/>
  <c r="B2362" i="1"/>
  <c r="A2362" i="1"/>
  <c r="F2361" i="1"/>
  <c r="E2361" i="1"/>
  <c r="D2361" i="1"/>
  <c r="C2361" i="1"/>
  <c r="B2361" i="1"/>
  <c r="A2361" i="1"/>
  <c r="F2360" i="1"/>
  <c r="E2360" i="1"/>
  <c r="D2360" i="1"/>
  <c r="C2360" i="1"/>
  <c r="B2360" i="1"/>
  <c r="A2360" i="1"/>
  <c r="F2359" i="1"/>
  <c r="E2359" i="1"/>
  <c r="D2359" i="1"/>
  <c r="C2359" i="1"/>
  <c r="B2359" i="1"/>
  <c r="A2359" i="1"/>
  <c r="F2358" i="1"/>
  <c r="E2358" i="1"/>
  <c r="D2358" i="1"/>
  <c r="C2358" i="1"/>
  <c r="B2358" i="1"/>
  <c r="A2358" i="1"/>
  <c r="F2357" i="1"/>
  <c r="E2357" i="1"/>
  <c r="D2357" i="1"/>
  <c r="C2357" i="1"/>
  <c r="B2357" i="1"/>
  <c r="A2357" i="1"/>
  <c r="F2356" i="1"/>
  <c r="E2356" i="1"/>
  <c r="D2356" i="1"/>
  <c r="C2356" i="1"/>
  <c r="B2356" i="1"/>
  <c r="A2356" i="1"/>
  <c r="F2355" i="1"/>
  <c r="E2355" i="1"/>
  <c r="D2355" i="1"/>
  <c r="C2355" i="1"/>
  <c r="B2355" i="1"/>
  <c r="A2355" i="1"/>
  <c r="F2354" i="1"/>
  <c r="E2354" i="1"/>
  <c r="D2354" i="1"/>
  <c r="C2354" i="1"/>
  <c r="B2354" i="1"/>
  <c r="A2354" i="1"/>
  <c r="F2353" i="1"/>
  <c r="E2353" i="1"/>
  <c r="D2353" i="1"/>
  <c r="C2353" i="1"/>
  <c r="B2353" i="1"/>
  <c r="A2353" i="1"/>
  <c r="F2352" i="1"/>
  <c r="E2352" i="1"/>
  <c r="D2352" i="1"/>
  <c r="C2352" i="1"/>
  <c r="B2352" i="1"/>
  <c r="A2352" i="1"/>
  <c r="F2351" i="1"/>
  <c r="E2351" i="1"/>
  <c r="D2351" i="1"/>
  <c r="C2351" i="1"/>
  <c r="B2351" i="1"/>
  <c r="A2351" i="1"/>
  <c r="F2350" i="1"/>
  <c r="E2350" i="1"/>
  <c r="D2350" i="1"/>
  <c r="C2350" i="1"/>
  <c r="B2350" i="1"/>
  <c r="A2350" i="1"/>
  <c r="F2349" i="1"/>
  <c r="E2349" i="1"/>
  <c r="D2349" i="1"/>
  <c r="C2349" i="1"/>
  <c r="B2349" i="1"/>
  <c r="A2349" i="1"/>
  <c r="F2348" i="1"/>
  <c r="E2348" i="1"/>
  <c r="D2348" i="1"/>
  <c r="C2348" i="1"/>
  <c r="B2348" i="1"/>
  <c r="A2348" i="1"/>
  <c r="F2347" i="1"/>
  <c r="E2347" i="1"/>
  <c r="D2347" i="1"/>
  <c r="C2347" i="1"/>
  <c r="B2347" i="1"/>
  <c r="A2347" i="1"/>
  <c r="F2346" i="1"/>
  <c r="E2346" i="1"/>
  <c r="D2346" i="1"/>
  <c r="C2346" i="1"/>
  <c r="B2346" i="1"/>
  <c r="A2346" i="1"/>
  <c r="F2345" i="1"/>
  <c r="E2345" i="1"/>
  <c r="D2345" i="1"/>
  <c r="C2345" i="1"/>
  <c r="B2345" i="1"/>
  <c r="A2345" i="1"/>
  <c r="F2344" i="1"/>
  <c r="E2344" i="1"/>
  <c r="D2344" i="1"/>
  <c r="C2344" i="1"/>
  <c r="B2344" i="1"/>
  <c r="A2344" i="1"/>
  <c r="F2343" i="1"/>
  <c r="E2343" i="1"/>
  <c r="D2343" i="1"/>
  <c r="C2343" i="1"/>
  <c r="B2343" i="1"/>
  <c r="A2343" i="1"/>
  <c r="F2342" i="1"/>
  <c r="E2342" i="1"/>
  <c r="D2342" i="1"/>
  <c r="C2342" i="1"/>
  <c r="B2342" i="1"/>
  <c r="A2342" i="1"/>
  <c r="F2341" i="1"/>
  <c r="E2341" i="1"/>
  <c r="D2341" i="1"/>
  <c r="C2341" i="1"/>
  <c r="B2341" i="1"/>
  <c r="A2341" i="1"/>
  <c r="F2340" i="1"/>
  <c r="E2340" i="1"/>
  <c r="D2340" i="1"/>
  <c r="C2340" i="1"/>
  <c r="B2340" i="1"/>
  <c r="A2340" i="1"/>
  <c r="F2339" i="1"/>
  <c r="E2339" i="1"/>
  <c r="D2339" i="1"/>
  <c r="C2339" i="1"/>
  <c r="B2339" i="1"/>
  <c r="A2339" i="1"/>
  <c r="F2338" i="1"/>
  <c r="E2338" i="1"/>
  <c r="D2338" i="1"/>
  <c r="C2338" i="1"/>
  <c r="B2338" i="1"/>
  <c r="A2338" i="1"/>
  <c r="F2337" i="1"/>
  <c r="E2337" i="1"/>
  <c r="D2337" i="1"/>
  <c r="C2337" i="1"/>
  <c r="B2337" i="1"/>
  <c r="A2337" i="1"/>
  <c r="F2336" i="1"/>
  <c r="E2336" i="1"/>
  <c r="D2336" i="1"/>
  <c r="C2336" i="1"/>
  <c r="B2336" i="1"/>
  <c r="A2336" i="1"/>
  <c r="F2335" i="1"/>
  <c r="E2335" i="1"/>
  <c r="D2335" i="1"/>
  <c r="C2335" i="1"/>
  <c r="B2335" i="1"/>
  <c r="A2335" i="1"/>
  <c r="F2334" i="1"/>
  <c r="E2334" i="1"/>
  <c r="D2334" i="1"/>
  <c r="C2334" i="1"/>
  <c r="B2334" i="1"/>
  <c r="A2334" i="1"/>
  <c r="F2333" i="1"/>
  <c r="E2333" i="1"/>
  <c r="D2333" i="1"/>
  <c r="C2333" i="1"/>
  <c r="B2333" i="1"/>
  <c r="A2333" i="1"/>
  <c r="F2332" i="1"/>
  <c r="E2332" i="1"/>
  <c r="D2332" i="1"/>
  <c r="C2332" i="1"/>
  <c r="B2332" i="1"/>
  <c r="A2332" i="1"/>
  <c r="F2331" i="1"/>
  <c r="E2331" i="1"/>
  <c r="D2331" i="1"/>
  <c r="C2331" i="1"/>
  <c r="B2331" i="1"/>
  <c r="A2331" i="1"/>
  <c r="F2330" i="1"/>
  <c r="E2330" i="1"/>
  <c r="D2330" i="1"/>
  <c r="C2330" i="1"/>
  <c r="B2330" i="1"/>
  <c r="A2330" i="1"/>
  <c r="F2329" i="1"/>
  <c r="E2329" i="1"/>
  <c r="D2329" i="1"/>
  <c r="C2329" i="1"/>
  <c r="B2329" i="1"/>
  <c r="A2329" i="1"/>
  <c r="F2328" i="1"/>
  <c r="E2328" i="1"/>
  <c r="D2328" i="1"/>
  <c r="C2328" i="1"/>
  <c r="B2328" i="1"/>
  <c r="A2328" i="1"/>
  <c r="F2327" i="1"/>
  <c r="E2327" i="1"/>
  <c r="D2327" i="1"/>
  <c r="C2327" i="1"/>
  <c r="B2327" i="1"/>
  <c r="A2327" i="1"/>
  <c r="F2326" i="1"/>
  <c r="E2326" i="1"/>
  <c r="D2326" i="1"/>
  <c r="C2326" i="1"/>
  <c r="B2326" i="1"/>
  <c r="A2326" i="1"/>
  <c r="F2325" i="1"/>
  <c r="E2325" i="1"/>
  <c r="D2325" i="1"/>
  <c r="C2325" i="1"/>
  <c r="B2325" i="1"/>
  <c r="A2325" i="1"/>
  <c r="F2324" i="1"/>
  <c r="E2324" i="1"/>
  <c r="D2324" i="1"/>
  <c r="C2324" i="1"/>
  <c r="B2324" i="1"/>
  <c r="A2324" i="1"/>
  <c r="F2323" i="1"/>
  <c r="E2323" i="1"/>
  <c r="D2323" i="1"/>
  <c r="C2323" i="1"/>
  <c r="B2323" i="1"/>
  <c r="A2323" i="1"/>
  <c r="F2322" i="1"/>
  <c r="E2322" i="1"/>
  <c r="D2322" i="1"/>
  <c r="C2322" i="1"/>
  <c r="B2322" i="1"/>
  <c r="A2322" i="1"/>
  <c r="F2321" i="1"/>
  <c r="E2321" i="1"/>
  <c r="D2321" i="1"/>
  <c r="C2321" i="1"/>
  <c r="B2321" i="1"/>
  <c r="A2321" i="1"/>
  <c r="F2320" i="1"/>
  <c r="E2320" i="1"/>
  <c r="D2320" i="1"/>
  <c r="C2320" i="1"/>
  <c r="B2320" i="1"/>
  <c r="A2320" i="1"/>
  <c r="F2319" i="1"/>
  <c r="E2319" i="1"/>
  <c r="D2319" i="1"/>
  <c r="C2319" i="1"/>
  <c r="B2319" i="1"/>
  <c r="A2319" i="1"/>
  <c r="F2318" i="1"/>
  <c r="E2318" i="1"/>
  <c r="D2318" i="1"/>
  <c r="C2318" i="1"/>
  <c r="B2318" i="1"/>
  <c r="A2318" i="1"/>
  <c r="F2317" i="1"/>
  <c r="E2317" i="1"/>
  <c r="D2317" i="1"/>
  <c r="C2317" i="1"/>
  <c r="B2317" i="1"/>
  <c r="A2317" i="1"/>
  <c r="F2316" i="1"/>
  <c r="E2316" i="1"/>
  <c r="D2316" i="1"/>
  <c r="C2316" i="1"/>
  <c r="B2316" i="1"/>
  <c r="A2316" i="1"/>
  <c r="F2315" i="1"/>
  <c r="E2315" i="1"/>
  <c r="D2315" i="1"/>
  <c r="C2315" i="1"/>
  <c r="B2315" i="1"/>
  <c r="A2315" i="1"/>
  <c r="F2314" i="1"/>
  <c r="E2314" i="1"/>
  <c r="D2314" i="1"/>
  <c r="C2314" i="1"/>
  <c r="B2314" i="1"/>
  <c r="A2314" i="1"/>
  <c r="F2313" i="1"/>
  <c r="E2313" i="1"/>
  <c r="D2313" i="1"/>
  <c r="C2313" i="1"/>
  <c r="B2313" i="1"/>
  <c r="A2313" i="1"/>
  <c r="F2312" i="1"/>
  <c r="E2312" i="1"/>
  <c r="D2312" i="1"/>
  <c r="C2312" i="1"/>
  <c r="B2312" i="1"/>
  <c r="A2312" i="1"/>
  <c r="F2311" i="1"/>
  <c r="E2311" i="1"/>
  <c r="D2311" i="1"/>
  <c r="C2311" i="1"/>
  <c r="B2311" i="1"/>
  <c r="A2311" i="1"/>
  <c r="F2310" i="1"/>
  <c r="E2310" i="1"/>
  <c r="D2310" i="1"/>
  <c r="C2310" i="1"/>
  <c r="B2310" i="1"/>
  <c r="A2310" i="1"/>
  <c r="F2309" i="1"/>
  <c r="E2309" i="1"/>
  <c r="D2309" i="1"/>
  <c r="C2309" i="1"/>
  <c r="B2309" i="1"/>
  <c r="A2309" i="1"/>
  <c r="F2308" i="1"/>
  <c r="E2308" i="1"/>
  <c r="D2308" i="1"/>
  <c r="C2308" i="1"/>
  <c r="B2308" i="1"/>
  <c r="A2308" i="1"/>
  <c r="F2307" i="1"/>
  <c r="E2307" i="1"/>
  <c r="D2307" i="1"/>
  <c r="C2307" i="1"/>
  <c r="B2307" i="1"/>
  <c r="A2307" i="1"/>
  <c r="F2306" i="1"/>
  <c r="E2306" i="1"/>
  <c r="D2306" i="1"/>
  <c r="C2306" i="1"/>
  <c r="B2306" i="1"/>
  <c r="A2306" i="1"/>
  <c r="F2305" i="1"/>
  <c r="E2305" i="1"/>
  <c r="D2305" i="1"/>
  <c r="C2305" i="1"/>
  <c r="B2305" i="1"/>
  <c r="A2305" i="1"/>
  <c r="F2304" i="1"/>
  <c r="E2304" i="1"/>
  <c r="D2304" i="1"/>
  <c r="C2304" i="1"/>
  <c r="B2304" i="1"/>
  <c r="A2304" i="1"/>
  <c r="F2303" i="1"/>
  <c r="E2303" i="1"/>
  <c r="D2303" i="1"/>
  <c r="C2303" i="1"/>
  <c r="B2303" i="1"/>
  <c r="A2303" i="1"/>
  <c r="F2302" i="1"/>
  <c r="E2302" i="1"/>
  <c r="D2302" i="1"/>
  <c r="C2302" i="1"/>
  <c r="B2302" i="1"/>
  <c r="A2302" i="1"/>
  <c r="F2301" i="1"/>
  <c r="E2301" i="1"/>
  <c r="D2301" i="1"/>
  <c r="C2301" i="1"/>
  <c r="B2301" i="1"/>
  <c r="A2301" i="1"/>
  <c r="F2300" i="1"/>
  <c r="E2300" i="1"/>
  <c r="D2300" i="1"/>
  <c r="C2300" i="1"/>
  <c r="B2300" i="1"/>
  <c r="A2300" i="1"/>
  <c r="F2299" i="1"/>
  <c r="E2299" i="1"/>
  <c r="D2299" i="1"/>
  <c r="C2299" i="1"/>
  <c r="B2299" i="1"/>
  <c r="A2299" i="1"/>
  <c r="F2298" i="1"/>
  <c r="E2298" i="1"/>
  <c r="D2298" i="1"/>
  <c r="C2298" i="1"/>
  <c r="B2298" i="1"/>
  <c r="A2298" i="1"/>
  <c r="F2297" i="1"/>
  <c r="E2297" i="1"/>
  <c r="D2297" i="1"/>
  <c r="C2297" i="1"/>
  <c r="B2297" i="1"/>
  <c r="A2297" i="1"/>
  <c r="F2296" i="1"/>
  <c r="E2296" i="1"/>
  <c r="D2296" i="1"/>
  <c r="C2296" i="1"/>
  <c r="B2296" i="1"/>
  <c r="A2296" i="1"/>
  <c r="F2295" i="1"/>
  <c r="E2295" i="1"/>
  <c r="D2295" i="1"/>
  <c r="C2295" i="1"/>
  <c r="B2295" i="1"/>
  <c r="A2295" i="1"/>
  <c r="F2294" i="1"/>
  <c r="E2294" i="1"/>
  <c r="D2294" i="1"/>
  <c r="C2294" i="1"/>
  <c r="B2294" i="1"/>
  <c r="A2294" i="1"/>
  <c r="F2293" i="1"/>
  <c r="E2293" i="1"/>
  <c r="D2293" i="1"/>
  <c r="C2293" i="1"/>
  <c r="B2293" i="1"/>
  <c r="A2293" i="1"/>
  <c r="F2292" i="1"/>
  <c r="E2292" i="1"/>
  <c r="D2292" i="1"/>
  <c r="C2292" i="1"/>
  <c r="B2292" i="1"/>
  <c r="A2292" i="1"/>
  <c r="F2291" i="1"/>
  <c r="E2291" i="1"/>
  <c r="D2291" i="1"/>
  <c r="C2291" i="1"/>
  <c r="B2291" i="1"/>
  <c r="A2291" i="1"/>
  <c r="F2290" i="1"/>
  <c r="E2290" i="1"/>
  <c r="D2290" i="1"/>
  <c r="C2290" i="1"/>
  <c r="B2290" i="1"/>
  <c r="A2290" i="1"/>
  <c r="F2289" i="1"/>
  <c r="E2289" i="1"/>
  <c r="D2289" i="1"/>
  <c r="C2289" i="1"/>
  <c r="B2289" i="1"/>
  <c r="A2289" i="1"/>
  <c r="F2288" i="1"/>
  <c r="E2288" i="1"/>
  <c r="D2288" i="1"/>
  <c r="C2288" i="1"/>
  <c r="B2288" i="1"/>
  <c r="A2288" i="1"/>
  <c r="F2287" i="1"/>
  <c r="E2287" i="1"/>
  <c r="D2287" i="1"/>
  <c r="C2287" i="1"/>
  <c r="B2287" i="1"/>
  <c r="A2287" i="1"/>
  <c r="F2286" i="1"/>
  <c r="E2286" i="1"/>
  <c r="D2286" i="1"/>
  <c r="C2286" i="1"/>
  <c r="B2286" i="1"/>
  <c r="A2286" i="1"/>
  <c r="F2285" i="1"/>
  <c r="E2285" i="1"/>
  <c r="D2285" i="1"/>
  <c r="C2285" i="1"/>
  <c r="B2285" i="1"/>
  <c r="A2285" i="1"/>
  <c r="F2284" i="1"/>
  <c r="E2284" i="1"/>
  <c r="D2284" i="1"/>
  <c r="C2284" i="1"/>
  <c r="B2284" i="1"/>
  <c r="A2284" i="1"/>
  <c r="F2283" i="1"/>
  <c r="E2283" i="1"/>
  <c r="D2283" i="1"/>
  <c r="C2283" i="1"/>
  <c r="B2283" i="1"/>
  <c r="A2283" i="1"/>
  <c r="F2282" i="1"/>
  <c r="E2282" i="1"/>
  <c r="D2282" i="1"/>
  <c r="C2282" i="1"/>
  <c r="B2282" i="1"/>
  <c r="A2282" i="1"/>
  <c r="F2281" i="1"/>
  <c r="E2281" i="1"/>
  <c r="D2281" i="1"/>
  <c r="C2281" i="1"/>
  <c r="B2281" i="1"/>
  <c r="A2281" i="1"/>
  <c r="F2280" i="1"/>
  <c r="E2280" i="1"/>
  <c r="D2280" i="1"/>
  <c r="C2280" i="1"/>
  <c r="B2280" i="1"/>
  <c r="A2280" i="1"/>
  <c r="F2279" i="1"/>
  <c r="E2279" i="1"/>
  <c r="D2279" i="1"/>
  <c r="C2279" i="1"/>
  <c r="B2279" i="1"/>
  <c r="A2279" i="1"/>
  <c r="F2278" i="1"/>
  <c r="E2278" i="1"/>
  <c r="D2278" i="1"/>
  <c r="C2278" i="1"/>
  <c r="B2278" i="1"/>
  <c r="A2278" i="1"/>
  <c r="F2277" i="1"/>
  <c r="E2277" i="1"/>
  <c r="D2277" i="1"/>
  <c r="C2277" i="1"/>
  <c r="B2277" i="1"/>
  <c r="A2277" i="1"/>
  <c r="F2276" i="1"/>
  <c r="E2276" i="1"/>
  <c r="D2276" i="1"/>
  <c r="C2276" i="1"/>
  <c r="B2276" i="1"/>
  <c r="A2276" i="1"/>
  <c r="F2275" i="1"/>
  <c r="E2275" i="1"/>
  <c r="D2275" i="1"/>
  <c r="C2275" i="1"/>
  <c r="B2275" i="1"/>
  <c r="A2275" i="1"/>
  <c r="F2274" i="1"/>
  <c r="E2274" i="1"/>
  <c r="D2274" i="1"/>
  <c r="C2274" i="1"/>
  <c r="B2274" i="1"/>
  <c r="A2274" i="1"/>
  <c r="F2273" i="1"/>
  <c r="E2273" i="1"/>
  <c r="D2273" i="1"/>
  <c r="C2273" i="1"/>
  <c r="B2273" i="1"/>
  <c r="A2273" i="1"/>
  <c r="F2272" i="1"/>
  <c r="E2272" i="1"/>
  <c r="D2272" i="1"/>
  <c r="C2272" i="1"/>
  <c r="B2272" i="1"/>
  <c r="A2272" i="1"/>
  <c r="F2271" i="1"/>
  <c r="E2271" i="1"/>
  <c r="D2271" i="1"/>
  <c r="C2271" i="1"/>
  <c r="B2271" i="1"/>
  <c r="A2271" i="1"/>
  <c r="F2270" i="1"/>
  <c r="E2270" i="1"/>
  <c r="D2270" i="1"/>
  <c r="C2270" i="1"/>
  <c r="B2270" i="1"/>
  <c r="A2270" i="1"/>
  <c r="F2269" i="1"/>
  <c r="E2269" i="1"/>
  <c r="D2269" i="1"/>
  <c r="C2269" i="1"/>
  <c r="B2269" i="1"/>
  <c r="A2269" i="1"/>
  <c r="F2268" i="1"/>
  <c r="E2268" i="1"/>
  <c r="D2268" i="1"/>
  <c r="C2268" i="1"/>
  <c r="B2268" i="1"/>
  <c r="A2268" i="1"/>
  <c r="F2267" i="1"/>
  <c r="E2267" i="1"/>
  <c r="D2267" i="1"/>
  <c r="C2267" i="1"/>
  <c r="B2267" i="1"/>
  <c r="A2267" i="1"/>
  <c r="F2266" i="1"/>
  <c r="E2266" i="1"/>
  <c r="D2266" i="1"/>
  <c r="C2266" i="1"/>
  <c r="B2266" i="1"/>
  <c r="A2266" i="1"/>
  <c r="F2265" i="1"/>
  <c r="E2265" i="1"/>
  <c r="D2265" i="1"/>
  <c r="C2265" i="1"/>
  <c r="B2265" i="1"/>
  <c r="A2265" i="1"/>
  <c r="F2264" i="1"/>
  <c r="E2264" i="1"/>
  <c r="D2264" i="1"/>
  <c r="C2264" i="1"/>
  <c r="B2264" i="1"/>
  <c r="A2264" i="1"/>
  <c r="F2263" i="1"/>
  <c r="E2263" i="1"/>
  <c r="D2263" i="1"/>
  <c r="C2263" i="1"/>
  <c r="B2263" i="1"/>
  <c r="A2263" i="1"/>
  <c r="F2262" i="1"/>
  <c r="E2262" i="1"/>
  <c r="D2262" i="1"/>
  <c r="C2262" i="1"/>
  <c r="B2262" i="1"/>
  <c r="A2262" i="1"/>
  <c r="F2261" i="1"/>
  <c r="E2261" i="1"/>
  <c r="D2261" i="1"/>
  <c r="C2261" i="1"/>
  <c r="B2261" i="1"/>
  <c r="A2261" i="1"/>
  <c r="F2260" i="1"/>
  <c r="E2260" i="1"/>
  <c r="D2260" i="1"/>
  <c r="C2260" i="1"/>
  <c r="B2260" i="1"/>
  <c r="A2260" i="1"/>
  <c r="F2259" i="1"/>
  <c r="E2259" i="1"/>
  <c r="D2259" i="1"/>
  <c r="C2259" i="1"/>
  <c r="B2259" i="1"/>
  <c r="A2259" i="1"/>
  <c r="F2258" i="1"/>
  <c r="E2258" i="1"/>
  <c r="D2258" i="1"/>
  <c r="C2258" i="1"/>
  <c r="B2258" i="1"/>
  <c r="A2258" i="1"/>
  <c r="F2257" i="1"/>
  <c r="E2257" i="1"/>
  <c r="D2257" i="1"/>
  <c r="C2257" i="1"/>
  <c r="B2257" i="1"/>
  <c r="A2257" i="1"/>
  <c r="F2256" i="1"/>
  <c r="E2256" i="1"/>
  <c r="D2256" i="1"/>
  <c r="C2256" i="1"/>
  <c r="B2256" i="1"/>
  <c r="A2256" i="1"/>
  <c r="F2255" i="1"/>
  <c r="E2255" i="1"/>
  <c r="D2255" i="1"/>
  <c r="C2255" i="1"/>
  <c r="B2255" i="1"/>
  <c r="A2255" i="1"/>
  <c r="F2254" i="1"/>
  <c r="E2254" i="1"/>
  <c r="D2254" i="1"/>
  <c r="C2254" i="1"/>
  <c r="B2254" i="1"/>
  <c r="A2254" i="1"/>
  <c r="F2253" i="1"/>
  <c r="E2253" i="1"/>
  <c r="D2253" i="1"/>
  <c r="C2253" i="1"/>
  <c r="B2253" i="1"/>
  <c r="A2253" i="1"/>
  <c r="F2252" i="1"/>
  <c r="E2252" i="1"/>
  <c r="D2252" i="1"/>
  <c r="C2252" i="1"/>
  <c r="B2252" i="1"/>
  <c r="A2252" i="1"/>
  <c r="F2251" i="1"/>
  <c r="E2251" i="1"/>
  <c r="D2251" i="1"/>
  <c r="C2251" i="1"/>
  <c r="B2251" i="1"/>
  <c r="A2251" i="1"/>
  <c r="F2250" i="1"/>
  <c r="E2250" i="1"/>
  <c r="D2250" i="1"/>
  <c r="C2250" i="1"/>
  <c r="B2250" i="1"/>
  <c r="A2250" i="1"/>
  <c r="F2249" i="1"/>
  <c r="E2249" i="1"/>
  <c r="D2249" i="1"/>
  <c r="C2249" i="1"/>
  <c r="B2249" i="1"/>
  <c r="A2249" i="1"/>
  <c r="F2248" i="1"/>
  <c r="E2248" i="1"/>
  <c r="D2248" i="1"/>
  <c r="C2248" i="1"/>
  <c r="B2248" i="1"/>
  <c r="A2248" i="1"/>
  <c r="F2247" i="1"/>
  <c r="E2247" i="1"/>
  <c r="D2247" i="1"/>
  <c r="C2247" i="1"/>
  <c r="B2247" i="1"/>
  <c r="A2247" i="1"/>
  <c r="F2246" i="1"/>
  <c r="E2246" i="1"/>
  <c r="D2246" i="1"/>
  <c r="C2246" i="1"/>
  <c r="B2246" i="1"/>
  <c r="A2246" i="1"/>
  <c r="F2245" i="1"/>
  <c r="E2245" i="1"/>
  <c r="D2245" i="1"/>
  <c r="C2245" i="1"/>
  <c r="B2245" i="1"/>
  <c r="A2245" i="1"/>
  <c r="F2244" i="1"/>
  <c r="E2244" i="1"/>
  <c r="D2244" i="1"/>
  <c r="C2244" i="1"/>
  <c r="B2244" i="1"/>
  <c r="A2244" i="1"/>
  <c r="F2243" i="1"/>
  <c r="E2243" i="1"/>
  <c r="D2243" i="1"/>
  <c r="C2243" i="1"/>
  <c r="B2243" i="1"/>
  <c r="A2243" i="1"/>
  <c r="F2242" i="1"/>
  <c r="E2242" i="1"/>
  <c r="D2242" i="1"/>
  <c r="C2242" i="1"/>
  <c r="B2242" i="1"/>
  <c r="A2242" i="1"/>
  <c r="F2241" i="1"/>
  <c r="E2241" i="1"/>
  <c r="D2241" i="1"/>
  <c r="C2241" i="1"/>
  <c r="B2241" i="1"/>
  <c r="A2241" i="1"/>
  <c r="F2240" i="1"/>
  <c r="E2240" i="1"/>
  <c r="D2240" i="1"/>
  <c r="C2240" i="1"/>
  <c r="B2240" i="1"/>
  <c r="A2240" i="1"/>
  <c r="F2239" i="1"/>
  <c r="E2239" i="1"/>
  <c r="D2239" i="1"/>
  <c r="C2239" i="1"/>
  <c r="B2239" i="1"/>
  <c r="A2239" i="1"/>
  <c r="F2238" i="1"/>
  <c r="E2238" i="1"/>
  <c r="D2238" i="1"/>
  <c r="C2238" i="1"/>
  <c r="B2238" i="1"/>
  <c r="A2238" i="1"/>
  <c r="F2237" i="1"/>
  <c r="E2237" i="1"/>
  <c r="D2237" i="1"/>
  <c r="C2237" i="1"/>
  <c r="B2237" i="1"/>
  <c r="A2237" i="1"/>
  <c r="F2236" i="1"/>
  <c r="E2236" i="1"/>
  <c r="D2236" i="1"/>
  <c r="C2236" i="1"/>
  <c r="B2236" i="1"/>
  <c r="A2236" i="1"/>
  <c r="F2235" i="1"/>
  <c r="E2235" i="1"/>
  <c r="D2235" i="1"/>
  <c r="C2235" i="1"/>
  <c r="B2235" i="1"/>
  <c r="A2235" i="1"/>
  <c r="F2234" i="1"/>
  <c r="E2234" i="1"/>
  <c r="D2234" i="1"/>
  <c r="C2234" i="1"/>
  <c r="B2234" i="1"/>
  <c r="A2234" i="1"/>
  <c r="F2233" i="1"/>
  <c r="E2233" i="1"/>
  <c r="D2233" i="1"/>
  <c r="C2233" i="1"/>
  <c r="B2233" i="1"/>
  <c r="A2233" i="1"/>
  <c r="F2232" i="1"/>
  <c r="E2232" i="1"/>
  <c r="D2232" i="1"/>
  <c r="C2232" i="1"/>
  <c r="B2232" i="1"/>
  <c r="A2232" i="1"/>
  <c r="F2231" i="1"/>
  <c r="E2231" i="1"/>
  <c r="D2231" i="1"/>
  <c r="C2231" i="1"/>
  <c r="B2231" i="1"/>
  <c r="A2231" i="1"/>
  <c r="F2230" i="1"/>
  <c r="E2230" i="1"/>
  <c r="D2230" i="1"/>
  <c r="C2230" i="1"/>
  <c r="B2230" i="1"/>
  <c r="A2230" i="1"/>
  <c r="F2229" i="1"/>
  <c r="E2229" i="1"/>
  <c r="D2229" i="1"/>
  <c r="C2229" i="1"/>
  <c r="B2229" i="1"/>
  <c r="A2229" i="1"/>
  <c r="F2228" i="1"/>
  <c r="E2228" i="1"/>
  <c r="D2228" i="1"/>
  <c r="C2228" i="1"/>
  <c r="B2228" i="1"/>
  <c r="A2228" i="1"/>
  <c r="F2227" i="1"/>
  <c r="E2227" i="1"/>
  <c r="D2227" i="1"/>
  <c r="C2227" i="1"/>
  <c r="B2227" i="1"/>
  <c r="A2227" i="1"/>
  <c r="F2226" i="1"/>
  <c r="E2226" i="1"/>
  <c r="D2226" i="1"/>
  <c r="C2226" i="1"/>
  <c r="B2226" i="1"/>
  <c r="A2226" i="1"/>
  <c r="F2225" i="1"/>
  <c r="E2225" i="1"/>
  <c r="D2225" i="1"/>
  <c r="C2225" i="1"/>
  <c r="B2225" i="1"/>
  <c r="A2225" i="1"/>
  <c r="F2224" i="1"/>
  <c r="E2224" i="1"/>
  <c r="D2224" i="1"/>
  <c r="C2224" i="1"/>
  <c r="B2224" i="1"/>
  <c r="A2224" i="1"/>
  <c r="F2223" i="1"/>
  <c r="E2223" i="1"/>
  <c r="D2223" i="1"/>
  <c r="C2223" i="1"/>
  <c r="B2223" i="1"/>
  <c r="A2223" i="1"/>
  <c r="F2222" i="1"/>
  <c r="E2222" i="1"/>
  <c r="D2222" i="1"/>
  <c r="C2222" i="1"/>
  <c r="B2222" i="1"/>
  <c r="A2222" i="1"/>
  <c r="F2221" i="1"/>
  <c r="E2221" i="1"/>
  <c r="D2221" i="1"/>
  <c r="C2221" i="1"/>
  <c r="B2221" i="1"/>
  <c r="A2221" i="1"/>
  <c r="F2220" i="1"/>
  <c r="E2220" i="1"/>
  <c r="D2220" i="1"/>
  <c r="C2220" i="1"/>
  <c r="B2220" i="1"/>
  <c r="A2220" i="1"/>
  <c r="F2219" i="1"/>
  <c r="E2219" i="1"/>
  <c r="D2219" i="1"/>
  <c r="C2219" i="1"/>
  <c r="B2219" i="1"/>
  <c r="A2219" i="1"/>
  <c r="F2218" i="1"/>
  <c r="E2218" i="1"/>
  <c r="D2218" i="1"/>
  <c r="C2218" i="1"/>
  <c r="B2218" i="1"/>
  <c r="A2218" i="1"/>
  <c r="F2217" i="1"/>
  <c r="E2217" i="1"/>
  <c r="D2217" i="1"/>
  <c r="C2217" i="1"/>
  <c r="B2217" i="1"/>
  <c r="A2217" i="1"/>
  <c r="F2216" i="1"/>
  <c r="E2216" i="1"/>
  <c r="D2216" i="1"/>
  <c r="C2216" i="1"/>
  <c r="B2216" i="1"/>
  <c r="A2216" i="1"/>
  <c r="F2215" i="1"/>
  <c r="E2215" i="1"/>
  <c r="D2215" i="1"/>
  <c r="C2215" i="1"/>
  <c r="B2215" i="1"/>
  <c r="A2215" i="1"/>
  <c r="F2214" i="1"/>
  <c r="E2214" i="1"/>
  <c r="D2214" i="1"/>
  <c r="C2214" i="1"/>
  <c r="B2214" i="1"/>
  <c r="A2214" i="1"/>
  <c r="F2213" i="1"/>
  <c r="E2213" i="1"/>
  <c r="D2213" i="1"/>
  <c r="C2213" i="1"/>
  <c r="B2213" i="1"/>
  <c r="A2213" i="1"/>
  <c r="F2212" i="1"/>
  <c r="E2212" i="1"/>
  <c r="D2212" i="1"/>
  <c r="C2212" i="1"/>
  <c r="B2212" i="1"/>
  <c r="A2212" i="1"/>
  <c r="F2211" i="1"/>
  <c r="E2211" i="1"/>
  <c r="D2211" i="1"/>
  <c r="C2211" i="1"/>
  <c r="B2211" i="1"/>
  <c r="A2211" i="1"/>
  <c r="F2210" i="1"/>
  <c r="E2210" i="1"/>
  <c r="D2210" i="1"/>
  <c r="C2210" i="1"/>
  <c r="B2210" i="1"/>
  <c r="A2210" i="1"/>
  <c r="F2209" i="1"/>
  <c r="E2209" i="1"/>
  <c r="D2209" i="1"/>
  <c r="C2209" i="1"/>
  <c r="B2209" i="1"/>
  <c r="A2209" i="1"/>
  <c r="F2208" i="1"/>
  <c r="E2208" i="1"/>
  <c r="D2208" i="1"/>
  <c r="C2208" i="1"/>
  <c r="B2208" i="1"/>
  <c r="A2208" i="1"/>
  <c r="F2207" i="1"/>
  <c r="E2207" i="1"/>
  <c r="D2207" i="1"/>
  <c r="C2207" i="1"/>
  <c r="B2207" i="1"/>
  <c r="A2207" i="1"/>
  <c r="F2206" i="1"/>
  <c r="E2206" i="1"/>
  <c r="D2206" i="1"/>
  <c r="C2206" i="1"/>
  <c r="B2206" i="1"/>
  <c r="A2206" i="1"/>
  <c r="F2205" i="1"/>
  <c r="E2205" i="1"/>
  <c r="D2205" i="1"/>
  <c r="C2205" i="1"/>
  <c r="B2205" i="1"/>
  <c r="A2205" i="1"/>
  <c r="F2204" i="1"/>
  <c r="E2204" i="1"/>
  <c r="D2204" i="1"/>
  <c r="C2204" i="1"/>
  <c r="B2204" i="1"/>
  <c r="A2204" i="1"/>
  <c r="F2203" i="1"/>
  <c r="E2203" i="1"/>
  <c r="D2203" i="1"/>
  <c r="C2203" i="1"/>
  <c r="B2203" i="1"/>
  <c r="A2203" i="1"/>
  <c r="F2202" i="1"/>
  <c r="E2202" i="1"/>
  <c r="D2202" i="1"/>
  <c r="C2202" i="1"/>
  <c r="B2202" i="1"/>
  <c r="A2202" i="1"/>
  <c r="F2201" i="1"/>
  <c r="E2201" i="1"/>
  <c r="D2201" i="1"/>
  <c r="C2201" i="1"/>
  <c r="B2201" i="1"/>
  <c r="A2201" i="1"/>
  <c r="F2200" i="1"/>
  <c r="E2200" i="1"/>
  <c r="D2200" i="1"/>
  <c r="C2200" i="1"/>
  <c r="B2200" i="1"/>
  <c r="A2200" i="1"/>
  <c r="F2199" i="1"/>
  <c r="E2199" i="1"/>
  <c r="D2199" i="1"/>
  <c r="C2199" i="1"/>
  <c r="B2199" i="1"/>
  <c r="A2199" i="1"/>
  <c r="F2198" i="1"/>
  <c r="E2198" i="1"/>
  <c r="D2198" i="1"/>
  <c r="C2198" i="1"/>
  <c r="B2198" i="1"/>
  <c r="A2198" i="1"/>
  <c r="F2197" i="1"/>
  <c r="E2197" i="1"/>
  <c r="D2197" i="1"/>
  <c r="C2197" i="1"/>
  <c r="B2197" i="1"/>
  <c r="A2197" i="1"/>
  <c r="F2196" i="1"/>
  <c r="E2196" i="1"/>
  <c r="D2196" i="1"/>
  <c r="C2196" i="1"/>
  <c r="B2196" i="1"/>
  <c r="A2196" i="1"/>
  <c r="F2195" i="1"/>
  <c r="E2195" i="1"/>
  <c r="D2195" i="1"/>
  <c r="C2195" i="1"/>
  <c r="B2195" i="1"/>
  <c r="A2195" i="1"/>
  <c r="F2194" i="1"/>
  <c r="E2194" i="1"/>
  <c r="D2194" i="1"/>
  <c r="C2194" i="1"/>
  <c r="B2194" i="1"/>
  <c r="A2194" i="1"/>
  <c r="F2193" i="1"/>
  <c r="E2193" i="1"/>
  <c r="D2193" i="1"/>
  <c r="C2193" i="1"/>
  <c r="B2193" i="1"/>
  <c r="A2193" i="1"/>
  <c r="F2192" i="1"/>
  <c r="E2192" i="1"/>
  <c r="D2192" i="1"/>
  <c r="C2192" i="1"/>
  <c r="B2192" i="1"/>
  <c r="A2192" i="1"/>
  <c r="F2191" i="1"/>
  <c r="E2191" i="1"/>
  <c r="D2191" i="1"/>
  <c r="C2191" i="1"/>
  <c r="B2191" i="1"/>
  <c r="A2191" i="1"/>
  <c r="F2190" i="1"/>
  <c r="E2190" i="1"/>
  <c r="D2190" i="1"/>
  <c r="C2190" i="1"/>
  <c r="B2190" i="1"/>
  <c r="A2190" i="1"/>
  <c r="F2189" i="1"/>
  <c r="E2189" i="1"/>
  <c r="D2189" i="1"/>
  <c r="C2189" i="1"/>
  <c r="B2189" i="1"/>
  <c r="A2189" i="1"/>
  <c r="F2188" i="1"/>
  <c r="E2188" i="1"/>
  <c r="D2188" i="1"/>
  <c r="C2188" i="1"/>
  <c r="B2188" i="1"/>
  <c r="A2188" i="1"/>
  <c r="F2187" i="1"/>
  <c r="E2187" i="1"/>
  <c r="D2187" i="1"/>
  <c r="C2187" i="1"/>
  <c r="B2187" i="1"/>
  <c r="A2187" i="1"/>
  <c r="F2186" i="1"/>
  <c r="E2186" i="1"/>
  <c r="D2186" i="1"/>
  <c r="C2186" i="1"/>
  <c r="B2186" i="1"/>
  <c r="A2186" i="1"/>
  <c r="F2185" i="1"/>
  <c r="E2185" i="1"/>
  <c r="D2185" i="1"/>
  <c r="C2185" i="1"/>
  <c r="B2185" i="1"/>
  <c r="A2185" i="1"/>
  <c r="F2184" i="1"/>
  <c r="E2184" i="1"/>
  <c r="D2184" i="1"/>
  <c r="C2184" i="1"/>
  <c r="B2184" i="1"/>
  <c r="A2184" i="1"/>
  <c r="F2183" i="1"/>
  <c r="E2183" i="1"/>
  <c r="D2183" i="1"/>
  <c r="C2183" i="1"/>
  <c r="B2183" i="1"/>
  <c r="A2183" i="1"/>
  <c r="F2182" i="1"/>
  <c r="E2182" i="1"/>
  <c r="D2182" i="1"/>
  <c r="C2182" i="1"/>
  <c r="B2182" i="1"/>
  <c r="A2182" i="1"/>
  <c r="F2181" i="1"/>
  <c r="E2181" i="1"/>
  <c r="D2181" i="1"/>
  <c r="C2181" i="1"/>
  <c r="B2181" i="1"/>
  <c r="A2181" i="1"/>
  <c r="F2180" i="1"/>
  <c r="E2180" i="1"/>
  <c r="D2180" i="1"/>
  <c r="C2180" i="1"/>
  <c r="B2180" i="1"/>
  <c r="A2180" i="1"/>
  <c r="F2179" i="1"/>
  <c r="E2179" i="1"/>
  <c r="D2179" i="1"/>
  <c r="C2179" i="1"/>
  <c r="B2179" i="1"/>
  <c r="A2179" i="1"/>
  <c r="F2178" i="1"/>
  <c r="E2178" i="1"/>
  <c r="D2178" i="1"/>
  <c r="C2178" i="1"/>
  <c r="B2178" i="1"/>
  <c r="A2178" i="1"/>
  <c r="F2177" i="1"/>
  <c r="E2177" i="1"/>
  <c r="D2177" i="1"/>
  <c r="C2177" i="1"/>
  <c r="B2177" i="1"/>
  <c r="A2177" i="1"/>
  <c r="F2176" i="1"/>
  <c r="E2176" i="1"/>
  <c r="D2176" i="1"/>
  <c r="C2176" i="1"/>
  <c r="B2176" i="1"/>
  <c r="A2176" i="1"/>
  <c r="F2175" i="1"/>
  <c r="E2175" i="1"/>
  <c r="D2175" i="1"/>
  <c r="C2175" i="1"/>
  <c r="B2175" i="1"/>
  <c r="A2175" i="1"/>
  <c r="F2174" i="1"/>
  <c r="E2174" i="1"/>
  <c r="D2174" i="1"/>
  <c r="C2174" i="1"/>
  <c r="B2174" i="1"/>
  <c r="A2174" i="1"/>
  <c r="F2173" i="1"/>
  <c r="E2173" i="1"/>
  <c r="D2173" i="1"/>
  <c r="C2173" i="1"/>
  <c r="B2173" i="1"/>
  <c r="A2173" i="1"/>
  <c r="F2172" i="1"/>
  <c r="E2172" i="1"/>
  <c r="D2172" i="1"/>
  <c r="C2172" i="1"/>
  <c r="B2172" i="1"/>
  <c r="A2172" i="1"/>
  <c r="F2171" i="1"/>
  <c r="E2171" i="1"/>
  <c r="D2171" i="1"/>
  <c r="C2171" i="1"/>
  <c r="B2171" i="1"/>
  <c r="A2171" i="1"/>
  <c r="F2170" i="1"/>
  <c r="E2170" i="1"/>
  <c r="D2170" i="1"/>
  <c r="C2170" i="1"/>
  <c r="B2170" i="1"/>
  <c r="A2170" i="1"/>
  <c r="F2169" i="1"/>
  <c r="E2169" i="1"/>
  <c r="D2169" i="1"/>
  <c r="C2169" i="1"/>
  <c r="B2169" i="1"/>
  <c r="A2169" i="1"/>
  <c r="F2168" i="1"/>
  <c r="E2168" i="1"/>
  <c r="D2168" i="1"/>
  <c r="C2168" i="1"/>
  <c r="B2168" i="1"/>
  <c r="A2168" i="1"/>
  <c r="F2167" i="1"/>
  <c r="E2167" i="1"/>
  <c r="D2167" i="1"/>
  <c r="C2167" i="1"/>
  <c r="B2167" i="1"/>
  <c r="A2167" i="1"/>
  <c r="F2166" i="1"/>
  <c r="E2166" i="1"/>
  <c r="D2166" i="1"/>
  <c r="C2166" i="1"/>
  <c r="B2166" i="1"/>
  <c r="A2166" i="1"/>
  <c r="F2165" i="1"/>
  <c r="E2165" i="1"/>
  <c r="D2165" i="1"/>
  <c r="C2165" i="1"/>
  <c r="B2165" i="1"/>
  <c r="A2165" i="1"/>
  <c r="F2164" i="1"/>
  <c r="E2164" i="1"/>
  <c r="D2164" i="1"/>
  <c r="C2164" i="1"/>
  <c r="B2164" i="1"/>
  <c r="A2164" i="1"/>
  <c r="F2163" i="1"/>
  <c r="E2163" i="1"/>
  <c r="D2163" i="1"/>
  <c r="C2163" i="1"/>
  <c r="B2163" i="1"/>
  <c r="A2163" i="1"/>
  <c r="F2162" i="1"/>
  <c r="E2162" i="1"/>
  <c r="D2162" i="1"/>
  <c r="C2162" i="1"/>
  <c r="B2162" i="1"/>
  <c r="A2162" i="1"/>
  <c r="F2161" i="1"/>
  <c r="E2161" i="1"/>
  <c r="D2161" i="1"/>
  <c r="C2161" i="1"/>
  <c r="B2161" i="1"/>
  <c r="A2161" i="1"/>
  <c r="F2160" i="1"/>
  <c r="E2160" i="1"/>
  <c r="D2160" i="1"/>
  <c r="C2160" i="1"/>
  <c r="B2160" i="1"/>
  <c r="A2160" i="1"/>
  <c r="F2159" i="1"/>
  <c r="E2159" i="1"/>
  <c r="D2159" i="1"/>
  <c r="C2159" i="1"/>
  <c r="B2159" i="1"/>
  <c r="A2159" i="1"/>
  <c r="F2158" i="1"/>
  <c r="E2158" i="1"/>
  <c r="D2158" i="1"/>
  <c r="C2158" i="1"/>
  <c r="B2158" i="1"/>
  <c r="A2158" i="1"/>
  <c r="F2157" i="1"/>
  <c r="E2157" i="1"/>
  <c r="D2157" i="1"/>
  <c r="C2157" i="1"/>
  <c r="B2157" i="1"/>
  <c r="A2157" i="1"/>
  <c r="F2156" i="1"/>
  <c r="E2156" i="1"/>
  <c r="D2156" i="1"/>
  <c r="C2156" i="1"/>
  <c r="B2156" i="1"/>
  <c r="A2156" i="1"/>
  <c r="F2155" i="1"/>
  <c r="E2155" i="1"/>
  <c r="D2155" i="1"/>
  <c r="C2155" i="1"/>
  <c r="B2155" i="1"/>
  <c r="A2155" i="1"/>
  <c r="F2154" i="1"/>
  <c r="E2154" i="1"/>
  <c r="D2154" i="1"/>
  <c r="C2154" i="1"/>
  <c r="B2154" i="1"/>
  <c r="A2154" i="1"/>
  <c r="F2153" i="1"/>
  <c r="E2153" i="1"/>
  <c r="D2153" i="1"/>
  <c r="C2153" i="1"/>
  <c r="B2153" i="1"/>
  <c r="A2153" i="1"/>
  <c r="F2152" i="1"/>
  <c r="E2152" i="1"/>
  <c r="D2152" i="1"/>
  <c r="C2152" i="1"/>
  <c r="B2152" i="1"/>
  <c r="A2152" i="1"/>
  <c r="F2151" i="1"/>
  <c r="E2151" i="1"/>
  <c r="D2151" i="1"/>
  <c r="C2151" i="1"/>
  <c r="B2151" i="1"/>
  <c r="A2151" i="1"/>
  <c r="F2150" i="1"/>
  <c r="E2150" i="1"/>
  <c r="D2150" i="1"/>
  <c r="C2150" i="1"/>
  <c r="B2150" i="1"/>
  <c r="A2150" i="1"/>
  <c r="F2149" i="1"/>
  <c r="E2149" i="1"/>
  <c r="D2149" i="1"/>
  <c r="C2149" i="1"/>
  <c r="B2149" i="1"/>
  <c r="A2149" i="1"/>
  <c r="F2148" i="1"/>
  <c r="E2148" i="1"/>
  <c r="D2148" i="1"/>
  <c r="C2148" i="1"/>
  <c r="B2148" i="1"/>
  <c r="A2148" i="1"/>
  <c r="F2147" i="1"/>
  <c r="E2147" i="1"/>
  <c r="D2147" i="1"/>
  <c r="C2147" i="1"/>
  <c r="B2147" i="1"/>
  <c r="A2147" i="1"/>
  <c r="F2146" i="1"/>
  <c r="E2146" i="1"/>
  <c r="D2146" i="1"/>
  <c r="C2146" i="1"/>
  <c r="B2146" i="1"/>
  <c r="A2146" i="1"/>
  <c r="F2145" i="1"/>
  <c r="E2145" i="1"/>
  <c r="D2145" i="1"/>
  <c r="C2145" i="1"/>
  <c r="B2145" i="1"/>
  <c r="A2145" i="1"/>
  <c r="F2144" i="1"/>
  <c r="E2144" i="1"/>
  <c r="D2144" i="1"/>
  <c r="C2144" i="1"/>
  <c r="B2144" i="1"/>
  <c r="A2144" i="1"/>
  <c r="F2143" i="1"/>
  <c r="E2143" i="1"/>
  <c r="D2143" i="1"/>
  <c r="C2143" i="1"/>
  <c r="B2143" i="1"/>
  <c r="A2143" i="1"/>
  <c r="F2142" i="1"/>
  <c r="E2142" i="1"/>
  <c r="D2142" i="1"/>
  <c r="C2142" i="1"/>
  <c r="B2142" i="1"/>
  <c r="A2142" i="1"/>
  <c r="F2141" i="1"/>
  <c r="E2141" i="1"/>
  <c r="D2141" i="1"/>
  <c r="C2141" i="1"/>
  <c r="B2141" i="1"/>
  <c r="A2141" i="1"/>
  <c r="F2140" i="1"/>
  <c r="E2140" i="1"/>
  <c r="D2140" i="1"/>
  <c r="C2140" i="1"/>
  <c r="B2140" i="1"/>
  <c r="A2140" i="1"/>
  <c r="F2139" i="1"/>
  <c r="E2139" i="1"/>
  <c r="D2139" i="1"/>
  <c r="C2139" i="1"/>
  <c r="B2139" i="1"/>
  <c r="A2139" i="1"/>
  <c r="F2138" i="1"/>
  <c r="E2138" i="1"/>
  <c r="D2138" i="1"/>
  <c r="C2138" i="1"/>
  <c r="B2138" i="1"/>
  <c r="A2138" i="1"/>
  <c r="F2137" i="1"/>
  <c r="E2137" i="1"/>
  <c r="D2137" i="1"/>
  <c r="C2137" i="1"/>
  <c r="B2137" i="1"/>
  <c r="A2137" i="1"/>
  <c r="F2136" i="1"/>
  <c r="E2136" i="1"/>
  <c r="D2136" i="1"/>
  <c r="C2136" i="1"/>
  <c r="B2136" i="1"/>
  <c r="A2136" i="1"/>
  <c r="F2135" i="1"/>
  <c r="E2135" i="1"/>
  <c r="D2135" i="1"/>
  <c r="C2135" i="1"/>
  <c r="B2135" i="1"/>
  <c r="A2135" i="1"/>
  <c r="F2134" i="1"/>
  <c r="E2134" i="1"/>
  <c r="D2134" i="1"/>
  <c r="C2134" i="1"/>
  <c r="B2134" i="1"/>
  <c r="A2134" i="1"/>
  <c r="F2133" i="1"/>
  <c r="E2133" i="1"/>
  <c r="D2133" i="1"/>
  <c r="C2133" i="1"/>
  <c r="B2133" i="1"/>
  <c r="A2133" i="1"/>
  <c r="F2132" i="1"/>
  <c r="E2132" i="1"/>
  <c r="D2132" i="1"/>
  <c r="C2132" i="1"/>
  <c r="B2132" i="1"/>
  <c r="A2132" i="1"/>
  <c r="F2131" i="1"/>
  <c r="E2131" i="1"/>
  <c r="D2131" i="1"/>
  <c r="C2131" i="1"/>
  <c r="B2131" i="1"/>
  <c r="A2131" i="1"/>
  <c r="F2130" i="1"/>
  <c r="E2130" i="1"/>
  <c r="D2130" i="1"/>
  <c r="C2130" i="1"/>
  <c r="B2130" i="1"/>
  <c r="A2130" i="1"/>
  <c r="F2129" i="1"/>
  <c r="E2129" i="1"/>
  <c r="D2129" i="1"/>
  <c r="C2129" i="1"/>
  <c r="B2129" i="1"/>
  <c r="A2129" i="1"/>
  <c r="F2128" i="1"/>
  <c r="E2128" i="1"/>
  <c r="D2128" i="1"/>
  <c r="C2128" i="1"/>
  <c r="B2128" i="1"/>
  <c r="A2128" i="1"/>
  <c r="F2127" i="1"/>
  <c r="E2127" i="1"/>
  <c r="D2127" i="1"/>
  <c r="C2127" i="1"/>
  <c r="B2127" i="1"/>
  <c r="A2127" i="1"/>
  <c r="F2126" i="1"/>
  <c r="E2126" i="1"/>
  <c r="D2126" i="1"/>
  <c r="C2126" i="1"/>
  <c r="B2126" i="1"/>
  <c r="A2126" i="1"/>
  <c r="F2125" i="1"/>
  <c r="E2125" i="1"/>
  <c r="D2125" i="1"/>
  <c r="C2125" i="1"/>
  <c r="B2125" i="1"/>
  <c r="A2125" i="1"/>
  <c r="F2124" i="1"/>
  <c r="E2124" i="1"/>
  <c r="D2124" i="1"/>
  <c r="C2124" i="1"/>
  <c r="B2124" i="1"/>
  <c r="A2124" i="1"/>
  <c r="F2123" i="1"/>
  <c r="E2123" i="1"/>
  <c r="D2123" i="1"/>
  <c r="C2123" i="1"/>
  <c r="B2123" i="1"/>
  <c r="A2123" i="1"/>
  <c r="F2122" i="1"/>
  <c r="E2122" i="1"/>
  <c r="D2122" i="1"/>
  <c r="C2122" i="1"/>
  <c r="B2122" i="1"/>
  <c r="A2122" i="1"/>
  <c r="F2121" i="1"/>
  <c r="E2121" i="1"/>
  <c r="D2121" i="1"/>
  <c r="C2121" i="1"/>
  <c r="B2121" i="1"/>
  <c r="A2121" i="1"/>
  <c r="F2120" i="1"/>
  <c r="E2120" i="1"/>
  <c r="D2120" i="1"/>
  <c r="C2120" i="1"/>
  <c r="B2120" i="1"/>
  <c r="A2120" i="1"/>
  <c r="F2119" i="1"/>
  <c r="E2119" i="1"/>
  <c r="D2119" i="1"/>
  <c r="C2119" i="1"/>
  <c r="B2119" i="1"/>
  <c r="A2119" i="1"/>
  <c r="F2118" i="1"/>
  <c r="E2118" i="1"/>
  <c r="D2118" i="1"/>
  <c r="C2118" i="1"/>
  <c r="B2118" i="1"/>
  <c r="A2118" i="1"/>
  <c r="F2117" i="1"/>
  <c r="E2117" i="1"/>
  <c r="D2117" i="1"/>
  <c r="C2117" i="1"/>
  <c r="B2117" i="1"/>
  <c r="A2117" i="1"/>
  <c r="F2116" i="1"/>
  <c r="E2116" i="1"/>
  <c r="D2116" i="1"/>
  <c r="C2116" i="1"/>
  <c r="B2116" i="1"/>
  <c r="A2116" i="1"/>
  <c r="F2115" i="1"/>
  <c r="E2115" i="1"/>
  <c r="D2115" i="1"/>
  <c r="C2115" i="1"/>
  <c r="B2115" i="1"/>
  <c r="A2115" i="1"/>
  <c r="F2114" i="1"/>
  <c r="E2114" i="1"/>
  <c r="D2114" i="1"/>
  <c r="C2114" i="1"/>
  <c r="B2114" i="1"/>
  <c r="A2114" i="1"/>
  <c r="F2113" i="1"/>
  <c r="E2113" i="1"/>
  <c r="D2113" i="1"/>
  <c r="C2113" i="1"/>
  <c r="B2113" i="1"/>
  <c r="A2113" i="1"/>
  <c r="F2112" i="1"/>
  <c r="E2112" i="1"/>
  <c r="D2112" i="1"/>
  <c r="C2112" i="1"/>
  <c r="B2112" i="1"/>
  <c r="A2112" i="1"/>
  <c r="F2111" i="1"/>
  <c r="E2111" i="1"/>
  <c r="D2111" i="1"/>
  <c r="C2111" i="1"/>
  <c r="B2111" i="1"/>
  <c r="A2111" i="1"/>
  <c r="F2110" i="1"/>
  <c r="E2110" i="1"/>
  <c r="D2110" i="1"/>
  <c r="C2110" i="1"/>
  <c r="B2110" i="1"/>
  <c r="A2110" i="1"/>
  <c r="F2109" i="1"/>
  <c r="E2109" i="1"/>
  <c r="D2109" i="1"/>
  <c r="C2109" i="1"/>
  <c r="B2109" i="1"/>
  <c r="A2109" i="1"/>
  <c r="F2108" i="1"/>
  <c r="E2108" i="1"/>
  <c r="D2108" i="1"/>
  <c r="C2108" i="1"/>
  <c r="B2108" i="1"/>
  <c r="A2108" i="1"/>
  <c r="F2107" i="1"/>
  <c r="E2107" i="1"/>
  <c r="D2107" i="1"/>
  <c r="C2107" i="1"/>
  <c r="B2107" i="1"/>
  <c r="A2107" i="1"/>
  <c r="F2106" i="1"/>
  <c r="E2106" i="1"/>
  <c r="D2106" i="1"/>
  <c r="C2106" i="1"/>
  <c r="B2106" i="1"/>
  <c r="A2106" i="1"/>
  <c r="F2105" i="1"/>
  <c r="E2105" i="1"/>
  <c r="D2105" i="1"/>
  <c r="C2105" i="1"/>
  <c r="B2105" i="1"/>
  <c r="A2105" i="1"/>
  <c r="F2104" i="1"/>
  <c r="E2104" i="1"/>
  <c r="D2104" i="1"/>
  <c r="C2104" i="1"/>
  <c r="B2104" i="1"/>
  <c r="A2104" i="1"/>
  <c r="F2103" i="1"/>
  <c r="E2103" i="1"/>
  <c r="D2103" i="1"/>
  <c r="C2103" i="1"/>
  <c r="B2103" i="1"/>
  <c r="A2103" i="1"/>
  <c r="F2102" i="1"/>
  <c r="E2102" i="1"/>
  <c r="D2102" i="1"/>
  <c r="C2102" i="1"/>
  <c r="B2102" i="1"/>
  <c r="A2102" i="1"/>
  <c r="F2101" i="1"/>
  <c r="E2101" i="1"/>
  <c r="D2101" i="1"/>
  <c r="C2101" i="1"/>
  <c r="B2101" i="1"/>
  <c r="A2101" i="1"/>
  <c r="F2100" i="1"/>
  <c r="E2100" i="1"/>
  <c r="D2100" i="1"/>
  <c r="C2100" i="1"/>
  <c r="B2100" i="1"/>
  <c r="A2100" i="1"/>
  <c r="F2099" i="1"/>
  <c r="E2099" i="1"/>
  <c r="D2099" i="1"/>
  <c r="C2099" i="1"/>
  <c r="B2099" i="1"/>
  <c r="A2099" i="1"/>
  <c r="F2098" i="1"/>
  <c r="E2098" i="1"/>
  <c r="D2098" i="1"/>
  <c r="C2098" i="1"/>
  <c r="B2098" i="1"/>
  <c r="A2098" i="1"/>
  <c r="F2097" i="1"/>
  <c r="E2097" i="1"/>
  <c r="D2097" i="1"/>
  <c r="C2097" i="1"/>
  <c r="B2097" i="1"/>
  <c r="A2097" i="1"/>
  <c r="F2096" i="1"/>
  <c r="E2096" i="1"/>
  <c r="D2096" i="1"/>
  <c r="C2096" i="1"/>
  <c r="B2096" i="1"/>
  <c r="A2096" i="1"/>
  <c r="F2095" i="1"/>
  <c r="E2095" i="1"/>
  <c r="D2095" i="1"/>
  <c r="C2095" i="1"/>
  <c r="B2095" i="1"/>
  <c r="A2095" i="1"/>
  <c r="F2094" i="1"/>
  <c r="E2094" i="1"/>
  <c r="D2094" i="1"/>
  <c r="C2094" i="1"/>
  <c r="B2094" i="1"/>
  <c r="A2094" i="1"/>
  <c r="F2093" i="1"/>
  <c r="E2093" i="1"/>
  <c r="D2093" i="1"/>
  <c r="C2093" i="1"/>
  <c r="B2093" i="1"/>
  <c r="A2093" i="1"/>
  <c r="F2092" i="1"/>
  <c r="E2092" i="1"/>
  <c r="D2092" i="1"/>
  <c r="C2092" i="1"/>
  <c r="B2092" i="1"/>
  <c r="A2092" i="1"/>
  <c r="F2091" i="1"/>
  <c r="E2091" i="1"/>
  <c r="D2091" i="1"/>
  <c r="C2091" i="1"/>
  <c r="B2091" i="1"/>
  <c r="A2091" i="1"/>
  <c r="F2090" i="1"/>
  <c r="E2090" i="1"/>
  <c r="D2090" i="1"/>
  <c r="C2090" i="1"/>
  <c r="B2090" i="1"/>
  <c r="A2090" i="1"/>
  <c r="F2089" i="1"/>
  <c r="E2089" i="1"/>
  <c r="D2089" i="1"/>
  <c r="C2089" i="1"/>
  <c r="B2089" i="1"/>
  <c r="A2089" i="1"/>
  <c r="F2088" i="1"/>
  <c r="E2088" i="1"/>
  <c r="D2088" i="1"/>
  <c r="C2088" i="1"/>
  <c r="B2088" i="1"/>
  <c r="A2088" i="1"/>
  <c r="F2087" i="1"/>
  <c r="E2087" i="1"/>
  <c r="D2087" i="1"/>
  <c r="C2087" i="1"/>
  <c r="B2087" i="1"/>
  <c r="A2087" i="1"/>
  <c r="F2086" i="1"/>
  <c r="E2086" i="1"/>
  <c r="D2086" i="1"/>
  <c r="C2086" i="1"/>
  <c r="B2086" i="1"/>
  <c r="A2086" i="1"/>
  <c r="F2085" i="1"/>
  <c r="E2085" i="1"/>
  <c r="D2085" i="1"/>
  <c r="C2085" i="1"/>
  <c r="B2085" i="1"/>
  <c r="A2085" i="1"/>
  <c r="F2084" i="1"/>
  <c r="E2084" i="1"/>
  <c r="D2084" i="1"/>
  <c r="C2084" i="1"/>
  <c r="B2084" i="1"/>
  <c r="A2084" i="1"/>
  <c r="F2083" i="1"/>
  <c r="E2083" i="1"/>
  <c r="D2083" i="1"/>
  <c r="C2083" i="1"/>
  <c r="B2083" i="1"/>
  <c r="A2083" i="1"/>
  <c r="F2082" i="1"/>
  <c r="E2082" i="1"/>
  <c r="D2082" i="1"/>
  <c r="C2082" i="1"/>
  <c r="B2082" i="1"/>
  <c r="A2082" i="1"/>
  <c r="F2081" i="1"/>
  <c r="E2081" i="1"/>
  <c r="D2081" i="1"/>
  <c r="C2081" i="1"/>
  <c r="B2081" i="1"/>
  <c r="A2081" i="1"/>
  <c r="F2080" i="1"/>
  <c r="E2080" i="1"/>
  <c r="D2080" i="1"/>
  <c r="C2080" i="1"/>
  <c r="B2080" i="1"/>
  <c r="A2080" i="1"/>
  <c r="F2079" i="1"/>
  <c r="E2079" i="1"/>
  <c r="D2079" i="1"/>
  <c r="C2079" i="1"/>
  <c r="B2079" i="1"/>
  <c r="A2079" i="1"/>
  <c r="F2078" i="1"/>
  <c r="E2078" i="1"/>
  <c r="D2078" i="1"/>
  <c r="C2078" i="1"/>
  <c r="B2078" i="1"/>
  <c r="A2078" i="1"/>
  <c r="F2077" i="1"/>
  <c r="E2077" i="1"/>
  <c r="D2077" i="1"/>
  <c r="C2077" i="1"/>
  <c r="B2077" i="1"/>
  <c r="A2077" i="1"/>
  <c r="F2076" i="1"/>
  <c r="E2076" i="1"/>
  <c r="D2076" i="1"/>
  <c r="C2076" i="1"/>
  <c r="B2076" i="1"/>
  <c r="A2076" i="1"/>
  <c r="F2075" i="1"/>
  <c r="E2075" i="1"/>
  <c r="D2075" i="1"/>
  <c r="C2075" i="1"/>
  <c r="B2075" i="1"/>
  <c r="A2075" i="1"/>
  <c r="F2074" i="1"/>
  <c r="E2074" i="1"/>
  <c r="D2074" i="1"/>
  <c r="C2074" i="1"/>
  <c r="B2074" i="1"/>
  <c r="A2074" i="1"/>
  <c r="F2073" i="1"/>
  <c r="E2073" i="1"/>
  <c r="D2073" i="1"/>
  <c r="C2073" i="1"/>
  <c r="B2073" i="1"/>
  <c r="A2073" i="1"/>
  <c r="F2072" i="1"/>
  <c r="E2072" i="1"/>
  <c r="D2072" i="1"/>
  <c r="C2072" i="1"/>
  <c r="B2072" i="1"/>
  <c r="A2072" i="1"/>
  <c r="F2071" i="1"/>
  <c r="E2071" i="1"/>
  <c r="D2071" i="1"/>
  <c r="C2071" i="1"/>
  <c r="B2071" i="1"/>
  <c r="A2071" i="1"/>
  <c r="F2070" i="1"/>
  <c r="E2070" i="1"/>
  <c r="D2070" i="1"/>
  <c r="C2070" i="1"/>
  <c r="B2070" i="1"/>
  <c r="A2070" i="1"/>
  <c r="F2069" i="1"/>
  <c r="E2069" i="1"/>
  <c r="D2069" i="1"/>
  <c r="C2069" i="1"/>
  <c r="B2069" i="1"/>
  <c r="A2069" i="1"/>
  <c r="F2068" i="1"/>
  <c r="E2068" i="1"/>
  <c r="D2068" i="1"/>
  <c r="C2068" i="1"/>
  <c r="B2068" i="1"/>
  <c r="A2068" i="1"/>
  <c r="F2067" i="1"/>
  <c r="E2067" i="1"/>
  <c r="D2067" i="1"/>
  <c r="C2067" i="1"/>
  <c r="B2067" i="1"/>
  <c r="A2067" i="1"/>
  <c r="F2066" i="1"/>
  <c r="E2066" i="1"/>
  <c r="D2066" i="1"/>
  <c r="C2066" i="1"/>
  <c r="B2066" i="1"/>
  <c r="A2066" i="1"/>
  <c r="F2065" i="1"/>
  <c r="E2065" i="1"/>
  <c r="D2065" i="1"/>
  <c r="C2065" i="1"/>
  <c r="B2065" i="1"/>
  <c r="A2065" i="1"/>
  <c r="F2064" i="1"/>
  <c r="E2064" i="1"/>
  <c r="D2064" i="1"/>
  <c r="C2064" i="1"/>
  <c r="B2064" i="1"/>
  <c r="A2064" i="1"/>
  <c r="F2063" i="1"/>
  <c r="E2063" i="1"/>
  <c r="D2063" i="1"/>
  <c r="C2063" i="1"/>
  <c r="B2063" i="1"/>
  <c r="A2063" i="1"/>
  <c r="F2062" i="1"/>
  <c r="E2062" i="1"/>
  <c r="D2062" i="1"/>
  <c r="C2062" i="1"/>
  <c r="B2062" i="1"/>
  <c r="A2062" i="1"/>
  <c r="F2061" i="1"/>
  <c r="E2061" i="1"/>
  <c r="D2061" i="1"/>
  <c r="C2061" i="1"/>
  <c r="B2061" i="1"/>
  <c r="A2061" i="1"/>
  <c r="F2060" i="1"/>
  <c r="E2060" i="1"/>
  <c r="D2060" i="1"/>
  <c r="C2060" i="1"/>
  <c r="B2060" i="1"/>
  <c r="A2060" i="1"/>
  <c r="F2059" i="1"/>
  <c r="E2059" i="1"/>
  <c r="D2059" i="1"/>
  <c r="C2059" i="1"/>
  <c r="B2059" i="1"/>
  <c r="A2059" i="1"/>
  <c r="F2058" i="1"/>
  <c r="E2058" i="1"/>
  <c r="D2058" i="1"/>
  <c r="C2058" i="1"/>
  <c r="B2058" i="1"/>
  <c r="A2058" i="1"/>
  <c r="F2057" i="1"/>
  <c r="E2057" i="1"/>
  <c r="D2057" i="1"/>
  <c r="C2057" i="1"/>
  <c r="B2057" i="1"/>
  <c r="A2057" i="1"/>
  <c r="F2056" i="1"/>
  <c r="E2056" i="1"/>
  <c r="D2056" i="1"/>
  <c r="C2056" i="1"/>
  <c r="B2056" i="1"/>
  <c r="A2056" i="1"/>
  <c r="F2055" i="1"/>
  <c r="E2055" i="1"/>
  <c r="D2055" i="1"/>
  <c r="C2055" i="1"/>
  <c r="B2055" i="1"/>
  <c r="A2055" i="1"/>
  <c r="F2054" i="1"/>
  <c r="E2054" i="1"/>
  <c r="D2054" i="1"/>
  <c r="C2054" i="1"/>
  <c r="B2054" i="1"/>
  <c r="A2054" i="1"/>
  <c r="F2053" i="1"/>
  <c r="E2053" i="1"/>
  <c r="D2053" i="1"/>
  <c r="C2053" i="1"/>
  <c r="B2053" i="1"/>
  <c r="A2053" i="1"/>
  <c r="F2052" i="1"/>
  <c r="E2052" i="1"/>
  <c r="D2052" i="1"/>
  <c r="C2052" i="1"/>
  <c r="B2052" i="1"/>
  <c r="A2052" i="1"/>
  <c r="F2051" i="1"/>
  <c r="E2051" i="1"/>
  <c r="D2051" i="1"/>
  <c r="C2051" i="1"/>
  <c r="B2051" i="1"/>
  <c r="A2051" i="1"/>
  <c r="F2050" i="1"/>
  <c r="E2050" i="1"/>
  <c r="D2050" i="1"/>
  <c r="C2050" i="1"/>
  <c r="B2050" i="1"/>
  <c r="A2050" i="1"/>
  <c r="F2049" i="1"/>
  <c r="E2049" i="1"/>
  <c r="D2049" i="1"/>
  <c r="C2049" i="1"/>
  <c r="B2049" i="1"/>
  <c r="A2049" i="1"/>
  <c r="F2048" i="1"/>
  <c r="E2048" i="1"/>
  <c r="D2048" i="1"/>
  <c r="C2048" i="1"/>
  <c r="B2048" i="1"/>
  <c r="A2048" i="1"/>
  <c r="F2047" i="1"/>
  <c r="E2047" i="1"/>
  <c r="D2047" i="1"/>
  <c r="C2047" i="1"/>
  <c r="B2047" i="1"/>
  <c r="A2047" i="1"/>
  <c r="F2046" i="1"/>
  <c r="E2046" i="1"/>
  <c r="D2046" i="1"/>
  <c r="C2046" i="1"/>
  <c r="B2046" i="1"/>
  <c r="A2046" i="1"/>
  <c r="F2045" i="1"/>
  <c r="E2045" i="1"/>
  <c r="D2045" i="1"/>
  <c r="C2045" i="1"/>
  <c r="B2045" i="1"/>
  <c r="A2045" i="1"/>
  <c r="F2044" i="1"/>
  <c r="E2044" i="1"/>
  <c r="D2044" i="1"/>
  <c r="C2044" i="1"/>
  <c r="B2044" i="1"/>
  <c r="A2044" i="1"/>
  <c r="F2043" i="1"/>
  <c r="E2043" i="1"/>
  <c r="D2043" i="1"/>
  <c r="C2043" i="1"/>
  <c r="B2043" i="1"/>
  <c r="A2043" i="1"/>
  <c r="F2042" i="1"/>
  <c r="E2042" i="1"/>
  <c r="D2042" i="1"/>
  <c r="C2042" i="1"/>
  <c r="B2042" i="1"/>
  <c r="A2042" i="1"/>
  <c r="F2041" i="1"/>
  <c r="E2041" i="1"/>
  <c r="D2041" i="1"/>
  <c r="C2041" i="1"/>
  <c r="B2041" i="1"/>
  <c r="A2041" i="1"/>
  <c r="F2040" i="1"/>
  <c r="E2040" i="1"/>
  <c r="D2040" i="1"/>
  <c r="C2040" i="1"/>
  <c r="B2040" i="1"/>
  <c r="A2040" i="1"/>
  <c r="F2039" i="1"/>
  <c r="E2039" i="1"/>
  <c r="D2039" i="1"/>
  <c r="C2039" i="1"/>
  <c r="B2039" i="1"/>
  <c r="A2039" i="1"/>
  <c r="F2038" i="1"/>
  <c r="E2038" i="1"/>
  <c r="D2038" i="1"/>
  <c r="C2038" i="1"/>
  <c r="B2038" i="1"/>
  <c r="A2038" i="1"/>
  <c r="F2037" i="1"/>
  <c r="E2037" i="1"/>
  <c r="D2037" i="1"/>
  <c r="C2037" i="1"/>
  <c r="B2037" i="1"/>
  <c r="A2037" i="1"/>
  <c r="F2036" i="1"/>
  <c r="E2036" i="1"/>
  <c r="D2036" i="1"/>
  <c r="C2036" i="1"/>
  <c r="B2036" i="1"/>
  <c r="A2036" i="1"/>
  <c r="F2035" i="1"/>
  <c r="E2035" i="1"/>
  <c r="D2035" i="1"/>
  <c r="C2035" i="1"/>
  <c r="B2035" i="1"/>
  <c r="A2035" i="1"/>
  <c r="F2034" i="1"/>
  <c r="E2034" i="1"/>
  <c r="D2034" i="1"/>
  <c r="C2034" i="1"/>
  <c r="B2034" i="1"/>
  <c r="A2034" i="1"/>
  <c r="F2033" i="1"/>
  <c r="E2033" i="1"/>
  <c r="D2033" i="1"/>
  <c r="C2033" i="1"/>
  <c r="B2033" i="1"/>
  <c r="A2033" i="1"/>
  <c r="F2032" i="1"/>
  <c r="E2032" i="1"/>
  <c r="D2032" i="1"/>
  <c r="C2032" i="1"/>
  <c r="B2032" i="1"/>
  <c r="A2032" i="1"/>
  <c r="F2031" i="1"/>
  <c r="E2031" i="1"/>
  <c r="D2031" i="1"/>
  <c r="C2031" i="1"/>
  <c r="B2031" i="1"/>
  <c r="A2031" i="1"/>
  <c r="F2030" i="1"/>
  <c r="E2030" i="1"/>
  <c r="D2030" i="1"/>
  <c r="C2030" i="1"/>
  <c r="B2030" i="1"/>
  <c r="A2030" i="1"/>
  <c r="F2029" i="1"/>
  <c r="E2029" i="1"/>
  <c r="D2029" i="1"/>
  <c r="C2029" i="1"/>
  <c r="B2029" i="1"/>
  <c r="A2029" i="1"/>
  <c r="F2028" i="1"/>
  <c r="E2028" i="1"/>
  <c r="D2028" i="1"/>
  <c r="C2028" i="1"/>
  <c r="B2028" i="1"/>
  <c r="A2028" i="1"/>
  <c r="F2027" i="1"/>
  <c r="E2027" i="1"/>
  <c r="D2027" i="1"/>
  <c r="C2027" i="1"/>
  <c r="B2027" i="1"/>
  <c r="A2027" i="1"/>
  <c r="F2026" i="1"/>
  <c r="E2026" i="1"/>
  <c r="D2026" i="1"/>
  <c r="C2026" i="1"/>
  <c r="B2026" i="1"/>
  <c r="A2026" i="1"/>
  <c r="F2025" i="1"/>
  <c r="E2025" i="1"/>
  <c r="D2025" i="1"/>
  <c r="C2025" i="1"/>
  <c r="B2025" i="1"/>
  <c r="A2025" i="1"/>
  <c r="F2024" i="1"/>
  <c r="E2024" i="1"/>
  <c r="D2024" i="1"/>
  <c r="C2024" i="1"/>
  <c r="B2024" i="1"/>
  <c r="A2024" i="1"/>
  <c r="F2023" i="1"/>
  <c r="E2023" i="1"/>
  <c r="D2023" i="1"/>
  <c r="C2023" i="1"/>
  <c r="B2023" i="1"/>
  <c r="A2023" i="1"/>
  <c r="F2022" i="1"/>
  <c r="E2022" i="1"/>
  <c r="D2022" i="1"/>
  <c r="C2022" i="1"/>
  <c r="B2022" i="1"/>
  <c r="A2022" i="1"/>
  <c r="F2021" i="1"/>
  <c r="E2021" i="1"/>
  <c r="D2021" i="1"/>
  <c r="C2021" i="1"/>
  <c r="B2021" i="1"/>
  <c r="A2021" i="1"/>
  <c r="F2020" i="1"/>
  <c r="E2020" i="1"/>
  <c r="D2020" i="1"/>
  <c r="C2020" i="1"/>
  <c r="B2020" i="1"/>
  <c r="A2020" i="1"/>
  <c r="F2019" i="1"/>
  <c r="E2019" i="1"/>
  <c r="D2019" i="1"/>
  <c r="C2019" i="1"/>
  <c r="B2019" i="1"/>
  <c r="A2019" i="1"/>
  <c r="F2018" i="1"/>
  <c r="E2018" i="1"/>
  <c r="D2018" i="1"/>
  <c r="C2018" i="1"/>
  <c r="B2018" i="1"/>
  <c r="A2018" i="1"/>
  <c r="F2017" i="1"/>
  <c r="E2017" i="1"/>
  <c r="D2017" i="1"/>
  <c r="C2017" i="1"/>
  <c r="B2017" i="1"/>
  <c r="A2017" i="1"/>
  <c r="F2016" i="1"/>
  <c r="E2016" i="1"/>
  <c r="D2016" i="1"/>
  <c r="C2016" i="1"/>
  <c r="B2016" i="1"/>
  <c r="A2016" i="1"/>
  <c r="F2015" i="1"/>
  <c r="E2015" i="1"/>
  <c r="D2015" i="1"/>
  <c r="C2015" i="1"/>
  <c r="B2015" i="1"/>
  <c r="A2015" i="1"/>
  <c r="F2014" i="1"/>
  <c r="E2014" i="1"/>
  <c r="D2014" i="1"/>
  <c r="C2014" i="1"/>
  <c r="B2014" i="1"/>
  <c r="A2014" i="1"/>
  <c r="F2013" i="1"/>
  <c r="E2013" i="1"/>
  <c r="D2013" i="1"/>
  <c r="C2013" i="1"/>
  <c r="B2013" i="1"/>
  <c r="A2013" i="1"/>
  <c r="F2012" i="1"/>
  <c r="E2012" i="1"/>
  <c r="D2012" i="1"/>
  <c r="C2012" i="1"/>
  <c r="B2012" i="1"/>
  <c r="A2012" i="1"/>
  <c r="F2011" i="1"/>
  <c r="E2011" i="1"/>
  <c r="D2011" i="1"/>
  <c r="C2011" i="1"/>
  <c r="B2011" i="1"/>
  <c r="A2011" i="1"/>
  <c r="F2010" i="1"/>
  <c r="E2010" i="1"/>
  <c r="D2010" i="1"/>
  <c r="C2010" i="1"/>
  <c r="B2010" i="1"/>
  <c r="A2010" i="1"/>
  <c r="F2009" i="1"/>
  <c r="E2009" i="1"/>
  <c r="D2009" i="1"/>
  <c r="C2009" i="1"/>
  <c r="B2009" i="1"/>
  <c r="A2009" i="1"/>
  <c r="F2008" i="1"/>
  <c r="E2008" i="1"/>
  <c r="D2008" i="1"/>
  <c r="C2008" i="1"/>
  <c r="B2008" i="1"/>
  <c r="A2008" i="1"/>
  <c r="F2007" i="1"/>
  <c r="E2007" i="1"/>
  <c r="D2007" i="1"/>
  <c r="C2007" i="1"/>
  <c r="B2007" i="1"/>
  <c r="A2007" i="1"/>
  <c r="F2006" i="1"/>
  <c r="E2006" i="1"/>
  <c r="D2006" i="1"/>
  <c r="C2006" i="1"/>
  <c r="B2006" i="1"/>
  <c r="A2006" i="1"/>
  <c r="F2005" i="1"/>
  <c r="E2005" i="1"/>
  <c r="D2005" i="1"/>
  <c r="C2005" i="1"/>
  <c r="B2005" i="1"/>
  <c r="A2005" i="1"/>
  <c r="F2004" i="1"/>
  <c r="E2004" i="1"/>
  <c r="D2004" i="1"/>
  <c r="C2004" i="1"/>
  <c r="B2004" i="1"/>
  <c r="A2004" i="1"/>
  <c r="F2003" i="1"/>
  <c r="E2003" i="1"/>
  <c r="D2003" i="1"/>
  <c r="C2003" i="1"/>
  <c r="B2003" i="1"/>
  <c r="A2003" i="1"/>
  <c r="F2002" i="1"/>
  <c r="E2002" i="1"/>
  <c r="D2002" i="1"/>
  <c r="C2002" i="1"/>
  <c r="B2002" i="1"/>
  <c r="A2002" i="1"/>
  <c r="F2001" i="1"/>
  <c r="E2001" i="1"/>
  <c r="D2001" i="1"/>
  <c r="C2001" i="1"/>
  <c r="B2001" i="1"/>
  <c r="A2001" i="1"/>
  <c r="F2000" i="1"/>
  <c r="E2000" i="1"/>
  <c r="D2000" i="1"/>
  <c r="C2000" i="1"/>
  <c r="B2000" i="1"/>
  <c r="A2000" i="1"/>
  <c r="F1999" i="1"/>
  <c r="E1999" i="1"/>
  <c r="D1999" i="1"/>
  <c r="C1999" i="1"/>
  <c r="B1999" i="1"/>
  <c r="A1999" i="1"/>
  <c r="F1998" i="1"/>
  <c r="E1998" i="1"/>
  <c r="D1998" i="1"/>
  <c r="C1998" i="1"/>
  <c r="B1998" i="1"/>
  <c r="A1998" i="1"/>
  <c r="F1997" i="1"/>
  <c r="E1997" i="1"/>
  <c r="D1997" i="1"/>
  <c r="C1997" i="1"/>
  <c r="B1997" i="1"/>
  <c r="A1997" i="1"/>
  <c r="F1996" i="1"/>
  <c r="E1996" i="1"/>
  <c r="D1996" i="1"/>
  <c r="C1996" i="1"/>
  <c r="B1996" i="1"/>
  <c r="A1996" i="1"/>
  <c r="F1995" i="1"/>
  <c r="E1995" i="1"/>
  <c r="D1995" i="1"/>
  <c r="C1995" i="1"/>
  <c r="B1995" i="1"/>
  <c r="A1995" i="1"/>
  <c r="F1994" i="1"/>
  <c r="E1994" i="1"/>
  <c r="D1994" i="1"/>
  <c r="C1994" i="1"/>
  <c r="B1994" i="1"/>
  <c r="A1994" i="1"/>
  <c r="F1993" i="1"/>
  <c r="E1993" i="1"/>
  <c r="D1993" i="1"/>
  <c r="C1993" i="1"/>
  <c r="B1993" i="1"/>
  <c r="A1993" i="1"/>
  <c r="F1992" i="1"/>
  <c r="E1992" i="1"/>
  <c r="D1992" i="1"/>
  <c r="C1992" i="1"/>
  <c r="B1992" i="1"/>
  <c r="A1992" i="1"/>
  <c r="F1991" i="1"/>
  <c r="E1991" i="1"/>
  <c r="D1991" i="1"/>
  <c r="C1991" i="1"/>
  <c r="B1991" i="1"/>
  <c r="A1991" i="1"/>
  <c r="F1990" i="1"/>
  <c r="E1990" i="1"/>
  <c r="D1990" i="1"/>
  <c r="C1990" i="1"/>
  <c r="B1990" i="1"/>
  <c r="A1990" i="1"/>
  <c r="F1989" i="1"/>
  <c r="E1989" i="1"/>
  <c r="D1989" i="1"/>
  <c r="C1989" i="1"/>
  <c r="B1989" i="1"/>
  <c r="A1989" i="1"/>
  <c r="F1988" i="1"/>
  <c r="E1988" i="1"/>
  <c r="D1988" i="1"/>
  <c r="C1988" i="1"/>
  <c r="B1988" i="1"/>
  <c r="A1988" i="1"/>
  <c r="F1987" i="1"/>
  <c r="E1987" i="1"/>
  <c r="D1987" i="1"/>
  <c r="C1987" i="1"/>
  <c r="B1987" i="1"/>
  <c r="A1987" i="1"/>
  <c r="F1986" i="1"/>
  <c r="E1986" i="1"/>
  <c r="D1986" i="1"/>
  <c r="C1986" i="1"/>
  <c r="B1986" i="1"/>
  <c r="A1986" i="1"/>
  <c r="F1985" i="1"/>
  <c r="E1985" i="1"/>
  <c r="D1985" i="1"/>
  <c r="C1985" i="1"/>
  <c r="B1985" i="1"/>
  <c r="A1985" i="1"/>
  <c r="F1984" i="1"/>
  <c r="E1984" i="1"/>
  <c r="D1984" i="1"/>
  <c r="C1984" i="1"/>
  <c r="B1984" i="1"/>
  <c r="A1984" i="1"/>
  <c r="F1983" i="1"/>
  <c r="E1983" i="1"/>
  <c r="D1983" i="1"/>
  <c r="C1983" i="1"/>
  <c r="B1983" i="1"/>
  <c r="A1983" i="1"/>
  <c r="F1982" i="1"/>
  <c r="E1982" i="1"/>
  <c r="D1982" i="1"/>
  <c r="C1982" i="1"/>
  <c r="B1982" i="1"/>
  <c r="A1982" i="1"/>
  <c r="F1981" i="1"/>
  <c r="E1981" i="1"/>
  <c r="D1981" i="1"/>
  <c r="C1981" i="1"/>
  <c r="B1981" i="1"/>
  <c r="A1981" i="1"/>
  <c r="F1980" i="1"/>
  <c r="E1980" i="1"/>
  <c r="D1980" i="1"/>
  <c r="C1980" i="1"/>
  <c r="B1980" i="1"/>
  <c r="A1980" i="1"/>
  <c r="F1979" i="1"/>
  <c r="E1979" i="1"/>
  <c r="D1979" i="1"/>
  <c r="C1979" i="1"/>
  <c r="B1979" i="1"/>
  <c r="A1979" i="1"/>
  <c r="F1978" i="1"/>
  <c r="E1978" i="1"/>
  <c r="D1978" i="1"/>
  <c r="C1978" i="1"/>
  <c r="B1978" i="1"/>
  <c r="A1978" i="1"/>
  <c r="F1977" i="1"/>
  <c r="E1977" i="1"/>
  <c r="D1977" i="1"/>
  <c r="C1977" i="1"/>
  <c r="B1977" i="1"/>
  <c r="A1977" i="1"/>
  <c r="F1976" i="1"/>
  <c r="E1976" i="1"/>
  <c r="D1976" i="1"/>
  <c r="C1976" i="1"/>
  <c r="B1976" i="1"/>
  <c r="A1976" i="1"/>
  <c r="F1975" i="1"/>
  <c r="E1975" i="1"/>
  <c r="D1975" i="1"/>
  <c r="C1975" i="1"/>
  <c r="B1975" i="1"/>
  <c r="A1975" i="1"/>
  <c r="F1974" i="1"/>
  <c r="E1974" i="1"/>
  <c r="D1974" i="1"/>
  <c r="C1974" i="1"/>
  <c r="B1974" i="1"/>
  <c r="A1974" i="1"/>
  <c r="F1973" i="1"/>
  <c r="E1973" i="1"/>
  <c r="D1973" i="1"/>
  <c r="C1973" i="1"/>
  <c r="B1973" i="1"/>
  <c r="A1973" i="1"/>
  <c r="F1972" i="1"/>
  <c r="E1972" i="1"/>
  <c r="D1972" i="1"/>
  <c r="C1972" i="1"/>
  <c r="B1972" i="1"/>
  <c r="A1972" i="1"/>
  <c r="F1971" i="1"/>
  <c r="E1971" i="1"/>
  <c r="D1971" i="1"/>
  <c r="C1971" i="1"/>
  <c r="B1971" i="1"/>
  <c r="A1971" i="1"/>
  <c r="F1970" i="1"/>
  <c r="E1970" i="1"/>
  <c r="D1970" i="1"/>
  <c r="C1970" i="1"/>
  <c r="B1970" i="1"/>
  <c r="A1970" i="1"/>
  <c r="F1969" i="1"/>
  <c r="E1969" i="1"/>
  <c r="D1969" i="1"/>
  <c r="C1969" i="1"/>
  <c r="B1969" i="1"/>
  <c r="A1969" i="1"/>
  <c r="F1968" i="1"/>
  <c r="E1968" i="1"/>
  <c r="D1968" i="1"/>
  <c r="C1968" i="1"/>
  <c r="B1968" i="1"/>
  <c r="A1968" i="1"/>
  <c r="F1967" i="1"/>
  <c r="E1967" i="1"/>
  <c r="D1967" i="1"/>
  <c r="C1967" i="1"/>
  <c r="B1967" i="1"/>
  <c r="A1967" i="1"/>
  <c r="F1966" i="1"/>
  <c r="E1966" i="1"/>
  <c r="D1966" i="1"/>
  <c r="C1966" i="1"/>
  <c r="B1966" i="1"/>
  <c r="A1966" i="1"/>
  <c r="F1965" i="1"/>
  <c r="E1965" i="1"/>
  <c r="D1965" i="1"/>
  <c r="C1965" i="1"/>
  <c r="B1965" i="1"/>
  <c r="A1965" i="1"/>
  <c r="F1964" i="1"/>
  <c r="E1964" i="1"/>
  <c r="D1964" i="1"/>
  <c r="C1964" i="1"/>
  <c r="B1964" i="1"/>
  <c r="A1964" i="1"/>
  <c r="F1963" i="1"/>
  <c r="E1963" i="1"/>
  <c r="D1963" i="1"/>
  <c r="C1963" i="1"/>
  <c r="B1963" i="1"/>
  <c r="A1963" i="1"/>
  <c r="F1962" i="1"/>
  <c r="E1962" i="1"/>
  <c r="D1962" i="1"/>
  <c r="C1962" i="1"/>
  <c r="B1962" i="1"/>
  <c r="A1962" i="1"/>
  <c r="F1961" i="1"/>
  <c r="E1961" i="1"/>
  <c r="D1961" i="1"/>
  <c r="C1961" i="1"/>
  <c r="B1961" i="1"/>
  <c r="A1961" i="1"/>
  <c r="F1960" i="1"/>
  <c r="E1960" i="1"/>
  <c r="D1960" i="1"/>
  <c r="C1960" i="1"/>
  <c r="B1960" i="1"/>
  <c r="A1960" i="1"/>
  <c r="F1959" i="1"/>
  <c r="E1959" i="1"/>
  <c r="D1959" i="1"/>
  <c r="C1959" i="1"/>
  <c r="B1959" i="1"/>
  <c r="A1959" i="1"/>
  <c r="F1958" i="1"/>
  <c r="E1958" i="1"/>
  <c r="D1958" i="1"/>
  <c r="C1958" i="1"/>
  <c r="B1958" i="1"/>
  <c r="A1958" i="1"/>
  <c r="F1957" i="1"/>
  <c r="E1957" i="1"/>
  <c r="D1957" i="1"/>
  <c r="C1957" i="1"/>
  <c r="B1957" i="1"/>
  <c r="A1957" i="1"/>
  <c r="F1956" i="1"/>
  <c r="E1956" i="1"/>
  <c r="D1956" i="1"/>
  <c r="C1956" i="1"/>
  <c r="B1956" i="1"/>
  <c r="A1956" i="1"/>
  <c r="F1955" i="1"/>
  <c r="E1955" i="1"/>
  <c r="D1955" i="1"/>
  <c r="C1955" i="1"/>
  <c r="B1955" i="1"/>
  <c r="A1955" i="1"/>
  <c r="F1954" i="1"/>
  <c r="E1954" i="1"/>
  <c r="D1954" i="1"/>
  <c r="C1954" i="1"/>
  <c r="B1954" i="1"/>
  <c r="A1954" i="1"/>
  <c r="F1953" i="1"/>
  <c r="E1953" i="1"/>
  <c r="D1953" i="1"/>
  <c r="C1953" i="1"/>
  <c r="B1953" i="1"/>
  <c r="A1953" i="1"/>
  <c r="F1952" i="1"/>
  <c r="E1952" i="1"/>
  <c r="D1952" i="1"/>
  <c r="C1952" i="1"/>
  <c r="B1952" i="1"/>
  <c r="A1952" i="1"/>
  <c r="F1951" i="1"/>
  <c r="E1951" i="1"/>
  <c r="D1951" i="1"/>
  <c r="C1951" i="1"/>
  <c r="B1951" i="1"/>
  <c r="A1951" i="1"/>
  <c r="F1950" i="1"/>
  <c r="E1950" i="1"/>
  <c r="D1950" i="1"/>
  <c r="C1950" i="1"/>
  <c r="B1950" i="1"/>
  <c r="A1950" i="1"/>
  <c r="F1949" i="1"/>
  <c r="E1949" i="1"/>
  <c r="D1949" i="1"/>
  <c r="C1949" i="1"/>
  <c r="B1949" i="1"/>
  <c r="A1949" i="1"/>
  <c r="F1948" i="1"/>
  <c r="E1948" i="1"/>
  <c r="D1948" i="1"/>
  <c r="C1948" i="1"/>
  <c r="B1948" i="1"/>
  <c r="A1948" i="1"/>
  <c r="F1947" i="1"/>
  <c r="E1947" i="1"/>
  <c r="D1947" i="1"/>
  <c r="C1947" i="1"/>
  <c r="B1947" i="1"/>
  <c r="A1947" i="1"/>
  <c r="F1946" i="1"/>
  <c r="E1946" i="1"/>
  <c r="D1946" i="1"/>
  <c r="C1946" i="1"/>
  <c r="B1946" i="1"/>
  <c r="A1946" i="1"/>
  <c r="F1945" i="1"/>
  <c r="E1945" i="1"/>
  <c r="D1945" i="1"/>
  <c r="C1945" i="1"/>
  <c r="B1945" i="1"/>
  <c r="A1945" i="1"/>
  <c r="F1944" i="1"/>
  <c r="E1944" i="1"/>
  <c r="D1944" i="1"/>
  <c r="C1944" i="1"/>
  <c r="B1944" i="1"/>
  <c r="A1944" i="1"/>
  <c r="F1943" i="1"/>
  <c r="E1943" i="1"/>
  <c r="D1943" i="1"/>
  <c r="C1943" i="1"/>
  <c r="B1943" i="1"/>
  <c r="A1943" i="1"/>
  <c r="F1942" i="1"/>
  <c r="E1942" i="1"/>
  <c r="D1942" i="1"/>
  <c r="C1942" i="1"/>
  <c r="B1942" i="1"/>
  <c r="A1942" i="1"/>
  <c r="F1941" i="1"/>
  <c r="E1941" i="1"/>
  <c r="D1941" i="1"/>
  <c r="C1941" i="1"/>
  <c r="B1941" i="1"/>
  <c r="A1941" i="1"/>
  <c r="F1940" i="1"/>
  <c r="E1940" i="1"/>
  <c r="D1940" i="1"/>
  <c r="C1940" i="1"/>
  <c r="B1940" i="1"/>
  <c r="A1940" i="1"/>
  <c r="F1939" i="1"/>
  <c r="E1939" i="1"/>
  <c r="D1939" i="1"/>
  <c r="C1939" i="1"/>
  <c r="B1939" i="1"/>
  <c r="A1939" i="1"/>
  <c r="F1938" i="1"/>
  <c r="E1938" i="1"/>
  <c r="D1938" i="1"/>
  <c r="C1938" i="1"/>
  <c r="B1938" i="1"/>
  <c r="A1938" i="1"/>
  <c r="F1937" i="1"/>
  <c r="E1937" i="1"/>
  <c r="D1937" i="1"/>
  <c r="C1937" i="1"/>
  <c r="B1937" i="1"/>
  <c r="A1937" i="1"/>
  <c r="F1936" i="1"/>
  <c r="E1936" i="1"/>
  <c r="D1936" i="1"/>
  <c r="C1936" i="1"/>
  <c r="B1936" i="1"/>
  <c r="A1936" i="1"/>
  <c r="F1935" i="1"/>
  <c r="E1935" i="1"/>
  <c r="D1935" i="1"/>
  <c r="C1935" i="1"/>
  <c r="B1935" i="1"/>
  <c r="A1935" i="1"/>
  <c r="F1934" i="1"/>
  <c r="E1934" i="1"/>
  <c r="D1934" i="1"/>
  <c r="C1934" i="1"/>
  <c r="B1934" i="1"/>
  <c r="A1934" i="1"/>
  <c r="F1933" i="1"/>
  <c r="E1933" i="1"/>
  <c r="D1933" i="1"/>
  <c r="C1933" i="1"/>
  <c r="B1933" i="1"/>
  <c r="A1933" i="1"/>
  <c r="F1932" i="1"/>
  <c r="E1932" i="1"/>
  <c r="D1932" i="1"/>
  <c r="C1932" i="1"/>
  <c r="B1932" i="1"/>
  <c r="A1932" i="1"/>
  <c r="F1931" i="1"/>
  <c r="E1931" i="1"/>
  <c r="D1931" i="1"/>
  <c r="C1931" i="1"/>
  <c r="B1931" i="1"/>
  <c r="A1931" i="1"/>
  <c r="F1930" i="1"/>
  <c r="E1930" i="1"/>
  <c r="D1930" i="1"/>
  <c r="C1930" i="1"/>
  <c r="B1930" i="1"/>
  <c r="A1930" i="1"/>
  <c r="F1929" i="1"/>
  <c r="E1929" i="1"/>
  <c r="D1929" i="1"/>
  <c r="C1929" i="1"/>
  <c r="B1929" i="1"/>
  <c r="A1929" i="1"/>
  <c r="F1928" i="1"/>
  <c r="E1928" i="1"/>
  <c r="D1928" i="1"/>
  <c r="C1928" i="1"/>
  <c r="B1928" i="1"/>
  <c r="A1928" i="1"/>
  <c r="F1927" i="1"/>
  <c r="E1927" i="1"/>
  <c r="D1927" i="1"/>
  <c r="C1927" i="1"/>
  <c r="B1927" i="1"/>
  <c r="A1927" i="1"/>
  <c r="F1926" i="1"/>
  <c r="E1926" i="1"/>
  <c r="D1926" i="1"/>
  <c r="C1926" i="1"/>
  <c r="B1926" i="1"/>
  <c r="A1926" i="1"/>
  <c r="F1925" i="1"/>
  <c r="E1925" i="1"/>
  <c r="D1925" i="1"/>
  <c r="C1925" i="1"/>
  <c r="B1925" i="1"/>
  <c r="A1925" i="1"/>
  <c r="F1924" i="1"/>
  <c r="E1924" i="1"/>
  <c r="D1924" i="1"/>
  <c r="C1924" i="1"/>
  <c r="B1924" i="1"/>
  <c r="A1924" i="1"/>
  <c r="F1923" i="1"/>
  <c r="E1923" i="1"/>
  <c r="D1923" i="1"/>
  <c r="C1923" i="1"/>
  <c r="B1923" i="1"/>
  <c r="A1923" i="1"/>
  <c r="F1922" i="1"/>
  <c r="E1922" i="1"/>
  <c r="D1922" i="1"/>
  <c r="C1922" i="1"/>
  <c r="B1922" i="1"/>
  <c r="A1922" i="1"/>
  <c r="F1921" i="1"/>
  <c r="E1921" i="1"/>
  <c r="D1921" i="1"/>
  <c r="C1921" i="1"/>
  <c r="B1921" i="1"/>
  <c r="A1921" i="1"/>
  <c r="F1920" i="1"/>
  <c r="E1920" i="1"/>
  <c r="D1920" i="1"/>
  <c r="C1920" i="1"/>
  <c r="B1920" i="1"/>
  <c r="A1920" i="1"/>
  <c r="F1919" i="1"/>
  <c r="E1919" i="1"/>
  <c r="D1919" i="1"/>
  <c r="C1919" i="1"/>
  <c r="B1919" i="1"/>
  <c r="A1919" i="1"/>
  <c r="F1918" i="1"/>
  <c r="E1918" i="1"/>
  <c r="D1918" i="1"/>
  <c r="C1918" i="1"/>
  <c r="B1918" i="1"/>
  <c r="A1918" i="1"/>
  <c r="F1917" i="1"/>
  <c r="E1917" i="1"/>
  <c r="D1917" i="1"/>
  <c r="C1917" i="1"/>
  <c r="B1917" i="1"/>
  <c r="A1917" i="1"/>
  <c r="F1916" i="1"/>
  <c r="E1916" i="1"/>
  <c r="D1916" i="1"/>
  <c r="C1916" i="1"/>
  <c r="B1916" i="1"/>
  <c r="A1916" i="1"/>
  <c r="F1915" i="1"/>
  <c r="E1915" i="1"/>
  <c r="D1915" i="1"/>
  <c r="C1915" i="1"/>
  <c r="B1915" i="1"/>
  <c r="A1915" i="1"/>
  <c r="F1914" i="1"/>
  <c r="E1914" i="1"/>
  <c r="D1914" i="1"/>
  <c r="C1914" i="1"/>
  <c r="B1914" i="1"/>
  <c r="A1914" i="1"/>
  <c r="F1913" i="1"/>
  <c r="E1913" i="1"/>
  <c r="D1913" i="1"/>
  <c r="C1913" i="1"/>
  <c r="B1913" i="1"/>
  <c r="A1913" i="1"/>
  <c r="F1912" i="1"/>
  <c r="E1912" i="1"/>
  <c r="D1912" i="1"/>
  <c r="C1912" i="1"/>
  <c r="B1912" i="1"/>
  <c r="A1912" i="1"/>
  <c r="F1911" i="1"/>
  <c r="E1911" i="1"/>
  <c r="D1911" i="1"/>
  <c r="C1911" i="1"/>
  <c r="B1911" i="1"/>
  <c r="A1911" i="1"/>
  <c r="F1910" i="1"/>
  <c r="E1910" i="1"/>
  <c r="D1910" i="1"/>
  <c r="C1910" i="1"/>
  <c r="B1910" i="1"/>
  <c r="A1910" i="1"/>
  <c r="F1909" i="1"/>
  <c r="E1909" i="1"/>
  <c r="D1909" i="1"/>
  <c r="C1909" i="1"/>
  <c r="B1909" i="1"/>
  <c r="A1909" i="1"/>
  <c r="F1908" i="1"/>
  <c r="E1908" i="1"/>
  <c r="D1908" i="1"/>
  <c r="C1908" i="1"/>
  <c r="B1908" i="1"/>
  <c r="A1908" i="1"/>
  <c r="F1907" i="1"/>
  <c r="E1907" i="1"/>
  <c r="D1907" i="1"/>
  <c r="C1907" i="1"/>
  <c r="B1907" i="1"/>
  <c r="A1907" i="1"/>
  <c r="F1906" i="1"/>
  <c r="E1906" i="1"/>
  <c r="D1906" i="1"/>
  <c r="C1906" i="1"/>
  <c r="B1906" i="1"/>
  <c r="A1906" i="1"/>
  <c r="F1905" i="1"/>
  <c r="E1905" i="1"/>
  <c r="D1905" i="1"/>
  <c r="C1905" i="1"/>
  <c r="B1905" i="1"/>
  <c r="A1905" i="1"/>
  <c r="F1904" i="1"/>
  <c r="E1904" i="1"/>
  <c r="D1904" i="1"/>
  <c r="C1904" i="1"/>
  <c r="B1904" i="1"/>
  <c r="A1904" i="1"/>
  <c r="F1903" i="1"/>
  <c r="E1903" i="1"/>
  <c r="D1903" i="1"/>
  <c r="C1903" i="1"/>
  <c r="B1903" i="1"/>
  <c r="A1903" i="1"/>
  <c r="F1902" i="1"/>
  <c r="E1902" i="1"/>
  <c r="D1902" i="1"/>
  <c r="C1902" i="1"/>
  <c r="B1902" i="1"/>
  <c r="A1902" i="1"/>
  <c r="F1901" i="1"/>
  <c r="E1901" i="1"/>
  <c r="D1901" i="1"/>
  <c r="C1901" i="1"/>
  <c r="B1901" i="1"/>
  <c r="A1901" i="1"/>
  <c r="F1900" i="1"/>
  <c r="E1900" i="1"/>
  <c r="D1900" i="1"/>
  <c r="C1900" i="1"/>
  <c r="B1900" i="1"/>
  <c r="A1900" i="1"/>
  <c r="F1899" i="1"/>
  <c r="E1899" i="1"/>
  <c r="D1899" i="1"/>
  <c r="C1899" i="1"/>
  <c r="B1899" i="1"/>
  <c r="A1899" i="1"/>
  <c r="F1898" i="1"/>
  <c r="E1898" i="1"/>
  <c r="D1898" i="1"/>
  <c r="C1898" i="1"/>
  <c r="B1898" i="1"/>
  <c r="A1898" i="1"/>
  <c r="F1897" i="1"/>
  <c r="E1897" i="1"/>
  <c r="D1897" i="1"/>
  <c r="C1897" i="1"/>
  <c r="B1897" i="1"/>
  <c r="A1897" i="1"/>
  <c r="F1896" i="1"/>
  <c r="E1896" i="1"/>
  <c r="D1896" i="1"/>
  <c r="C1896" i="1"/>
  <c r="B1896" i="1"/>
  <c r="A1896" i="1"/>
  <c r="F1895" i="1"/>
  <c r="E1895" i="1"/>
  <c r="D1895" i="1"/>
  <c r="C1895" i="1"/>
  <c r="B1895" i="1"/>
  <c r="A1895" i="1"/>
  <c r="F1894" i="1"/>
  <c r="E1894" i="1"/>
  <c r="D1894" i="1"/>
  <c r="C1894" i="1"/>
  <c r="B1894" i="1"/>
  <c r="A1894" i="1"/>
  <c r="F1893" i="1"/>
  <c r="E1893" i="1"/>
  <c r="D1893" i="1"/>
  <c r="C1893" i="1"/>
  <c r="B1893" i="1"/>
  <c r="A1893" i="1"/>
  <c r="F1892" i="1"/>
  <c r="E1892" i="1"/>
  <c r="D1892" i="1"/>
  <c r="C1892" i="1"/>
  <c r="B1892" i="1"/>
  <c r="A1892" i="1"/>
  <c r="F1891" i="1"/>
  <c r="E1891" i="1"/>
  <c r="D1891" i="1"/>
  <c r="C1891" i="1"/>
  <c r="B1891" i="1"/>
  <c r="A1891" i="1"/>
  <c r="F1890" i="1"/>
  <c r="E1890" i="1"/>
  <c r="D1890" i="1"/>
  <c r="C1890" i="1"/>
  <c r="B1890" i="1"/>
  <c r="A1890" i="1"/>
  <c r="F1889" i="1"/>
  <c r="E1889" i="1"/>
  <c r="D1889" i="1"/>
  <c r="C1889" i="1"/>
  <c r="B1889" i="1"/>
  <c r="A1889" i="1"/>
  <c r="F1888" i="1"/>
  <c r="E1888" i="1"/>
  <c r="D1888" i="1"/>
  <c r="C1888" i="1"/>
  <c r="B1888" i="1"/>
  <c r="A1888" i="1"/>
  <c r="F1887" i="1"/>
  <c r="E1887" i="1"/>
  <c r="D1887" i="1"/>
  <c r="C1887" i="1"/>
  <c r="B1887" i="1"/>
  <c r="A1887" i="1"/>
  <c r="F1886" i="1"/>
  <c r="E1886" i="1"/>
  <c r="D1886" i="1"/>
  <c r="C1886" i="1"/>
  <c r="B1886" i="1"/>
  <c r="A1886" i="1"/>
  <c r="F1885" i="1"/>
  <c r="E1885" i="1"/>
  <c r="D1885" i="1"/>
  <c r="C1885" i="1"/>
  <c r="B1885" i="1"/>
  <c r="A1885" i="1"/>
  <c r="F1884" i="1"/>
  <c r="E1884" i="1"/>
  <c r="D1884" i="1"/>
  <c r="C1884" i="1"/>
  <c r="B1884" i="1"/>
  <c r="A1884" i="1"/>
  <c r="F1883" i="1"/>
  <c r="E1883" i="1"/>
  <c r="D1883" i="1"/>
  <c r="C1883" i="1"/>
  <c r="B1883" i="1"/>
  <c r="A1883" i="1"/>
  <c r="F1882" i="1"/>
  <c r="E1882" i="1"/>
  <c r="D1882" i="1"/>
  <c r="C1882" i="1"/>
  <c r="B1882" i="1"/>
  <c r="A1882" i="1"/>
  <c r="F1881" i="1"/>
  <c r="E1881" i="1"/>
  <c r="D1881" i="1"/>
  <c r="C1881" i="1"/>
  <c r="B1881" i="1"/>
  <c r="A1881" i="1"/>
  <c r="F1880" i="1"/>
  <c r="E1880" i="1"/>
  <c r="D1880" i="1"/>
  <c r="C1880" i="1"/>
  <c r="B1880" i="1"/>
  <c r="A1880" i="1"/>
  <c r="F1879" i="1"/>
  <c r="E1879" i="1"/>
  <c r="D1879" i="1"/>
  <c r="C1879" i="1"/>
  <c r="B1879" i="1"/>
  <c r="A1879" i="1"/>
  <c r="F1878" i="1"/>
  <c r="E1878" i="1"/>
  <c r="D1878" i="1"/>
  <c r="C1878" i="1"/>
  <c r="B1878" i="1"/>
  <c r="A1878" i="1"/>
  <c r="F1877" i="1"/>
  <c r="E1877" i="1"/>
  <c r="D1877" i="1"/>
  <c r="C1877" i="1"/>
  <c r="B1877" i="1"/>
  <c r="A1877" i="1"/>
  <c r="F1876" i="1"/>
  <c r="E1876" i="1"/>
  <c r="D1876" i="1"/>
  <c r="C1876" i="1"/>
  <c r="B1876" i="1"/>
  <c r="A1876" i="1"/>
  <c r="F1875" i="1"/>
  <c r="E1875" i="1"/>
  <c r="D1875" i="1"/>
  <c r="C1875" i="1"/>
  <c r="B1875" i="1"/>
  <c r="A1875" i="1"/>
  <c r="F1874" i="1"/>
  <c r="E1874" i="1"/>
  <c r="D1874" i="1"/>
  <c r="C1874" i="1"/>
  <c r="B1874" i="1"/>
  <c r="A1874" i="1"/>
  <c r="F1873" i="1"/>
  <c r="E1873" i="1"/>
  <c r="D1873" i="1"/>
  <c r="C1873" i="1"/>
  <c r="B1873" i="1"/>
  <c r="A1873" i="1"/>
  <c r="F1872" i="1"/>
  <c r="E1872" i="1"/>
  <c r="D1872" i="1"/>
  <c r="C1872" i="1"/>
  <c r="B1872" i="1"/>
  <c r="A1872" i="1"/>
  <c r="F1871" i="1"/>
  <c r="E1871" i="1"/>
  <c r="D1871" i="1"/>
  <c r="C1871" i="1"/>
  <c r="B1871" i="1"/>
  <c r="A1871" i="1"/>
  <c r="F1870" i="1"/>
  <c r="E1870" i="1"/>
  <c r="D1870" i="1"/>
  <c r="C1870" i="1"/>
  <c r="B1870" i="1"/>
  <c r="A1870" i="1"/>
  <c r="F1869" i="1"/>
  <c r="E1869" i="1"/>
  <c r="D1869" i="1"/>
  <c r="C1869" i="1"/>
  <c r="B1869" i="1"/>
  <c r="A1869" i="1"/>
  <c r="F1868" i="1"/>
  <c r="E1868" i="1"/>
  <c r="D1868" i="1"/>
  <c r="C1868" i="1"/>
  <c r="B1868" i="1"/>
  <c r="A1868" i="1"/>
  <c r="F1867" i="1"/>
  <c r="E1867" i="1"/>
  <c r="D1867" i="1"/>
  <c r="C1867" i="1"/>
  <c r="B1867" i="1"/>
  <c r="A1867" i="1"/>
  <c r="F1866" i="1"/>
  <c r="E1866" i="1"/>
  <c r="D1866" i="1"/>
  <c r="C1866" i="1"/>
  <c r="B1866" i="1"/>
  <c r="A1866" i="1"/>
  <c r="F1865" i="1"/>
  <c r="E1865" i="1"/>
  <c r="D1865" i="1"/>
  <c r="C1865" i="1"/>
  <c r="B1865" i="1"/>
  <c r="A1865" i="1"/>
  <c r="F1864" i="1"/>
  <c r="E1864" i="1"/>
  <c r="D1864" i="1"/>
  <c r="C1864" i="1"/>
  <c r="B1864" i="1"/>
  <c r="A1864" i="1"/>
  <c r="F1863" i="1"/>
  <c r="E1863" i="1"/>
  <c r="D1863" i="1"/>
  <c r="C1863" i="1"/>
  <c r="B1863" i="1"/>
  <c r="A1863" i="1"/>
  <c r="F1862" i="1"/>
  <c r="E1862" i="1"/>
  <c r="D1862" i="1"/>
  <c r="C1862" i="1"/>
  <c r="B1862" i="1"/>
  <c r="A1862" i="1"/>
  <c r="F1861" i="1"/>
  <c r="E1861" i="1"/>
  <c r="D1861" i="1"/>
  <c r="C1861" i="1"/>
  <c r="B1861" i="1"/>
  <c r="A1861" i="1"/>
  <c r="F1860" i="1"/>
  <c r="E1860" i="1"/>
  <c r="D1860" i="1"/>
  <c r="C1860" i="1"/>
  <c r="B1860" i="1"/>
  <c r="A1860" i="1"/>
  <c r="F1859" i="1"/>
  <c r="E1859" i="1"/>
  <c r="D1859" i="1"/>
  <c r="C1859" i="1"/>
  <c r="B1859" i="1"/>
  <c r="A1859" i="1"/>
  <c r="F1858" i="1"/>
  <c r="E1858" i="1"/>
  <c r="D1858" i="1"/>
  <c r="C1858" i="1"/>
  <c r="B1858" i="1"/>
  <c r="A1858" i="1"/>
  <c r="F1857" i="1"/>
  <c r="E1857" i="1"/>
  <c r="D1857" i="1"/>
  <c r="C1857" i="1"/>
  <c r="B1857" i="1"/>
  <c r="A1857" i="1"/>
  <c r="F1856" i="1"/>
  <c r="E1856" i="1"/>
  <c r="D1856" i="1"/>
  <c r="C1856" i="1"/>
  <c r="B1856" i="1"/>
  <c r="A1856" i="1"/>
  <c r="F1855" i="1"/>
  <c r="E1855" i="1"/>
  <c r="D1855" i="1"/>
  <c r="C1855" i="1"/>
  <c r="B1855" i="1"/>
  <c r="A1855" i="1"/>
  <c r="F1854" i="1"/>
  <c r="E1854" i="1"/>
  <c r="D1854" i="1"/>
  <c r="C1854" i="1"/>
  <c r="B1854" i="1"/>
  <c r="A1854" i="1"/>
  <c r="F1853" i="1"/>
  <c r="E1853" i="1"/>
  <c r="D1853" i="1"/>
  <c r="C1853" i="1"/>
  <c r="B1853" i="1"/>
  <c r="A1853" i="1"/>
  <c r="F1852" i="1"/>
  <c r="E1852" i="1"/>
  <c r="D1852" i="1"/>
  <c r="C1852" i="1"/>
  <c r="B1852" i="1"/>
  <c r="A1852" i="1"/>
  <c r="F1851" i="1"/>
  <c r="E1851" i="1"/>
  <c r="D1851" i="1"/>
  <c r="C1851" i="1"/>
  <c r="B1851" i="1"/>
  <c r="A1851" i="1"/>
  <c r="F1850" i="1"/>
  <c r="E1850" i="1"/>
  <c r="D1850" i="1"/>
  <c r="C1850" i="1"/>
  <c r="B1850" i="1"/>
  <c r="A1850" i="1"/>
  <c r="F1849" i="1"/>
  <c r="E1849" i="1"/>
  <c r="D1849" i="1"/>
  <c r="C1849" i="1"/>
  <c r="B1849" i="1"/>
  <c r="A1849" i="1"/>
  <c r="F1848" i="1"/>
  <c r="E1848" i="1"/>
  <c r="D1848" i="1"/>
  <c r="C1848" i="1"/>
  <c r="B1848" i="1"/>
  <c r="A1848" i="1"/>
  <c r="F1847" i="1"/>
  <c r="E1847" i="1"/>
  <c r="D1847" i="1"/>
  <c r="C1847" i="1"/>
  <c r="B1847" i="1"/>
  <c r="A1847" i="1"/>
  <c r="F1846" i="1"/>
  <c r="E1846" i="1"/>
  <c r="D1846" i="1"/>
  <c r="C1846" i="1"/>
  <c r="B1846" i="1"/>
  <c r="A1846" i="1"/>
  <c r="F1845" i="1"/>
  <c r="E1845" i="1"/>
  <c r="D1845" i="1"/>
  <c r="C1845" i="1"/>
  <c r="B1845" i="1"/>
  <c r="A1845" i="1"/>
  <c r="F1844" i="1"/>
  <c r="E1844" i="1"/>
  <c r="D1844" i="1"/>
  <c r="C1844" i="1"/>
  <c r="B1844" i="1"/>
  <c r="A1844" i="1"/>
  <c r="F1843" i="1"/>
  <c r="E1843" i="1"/>
  <c r="D1843" i="1"/>
  <c r="C1843" i="1"/>
  <c r="B1843" i="1"/>
  <c r="A1843" i="1"/>
  <c r="F1842" i="1"/>
  <c r="E1842" i="1"/>
  <c r="D1842" i="1"/>
  <c r="C1842" i="1"/>
  <c r="B1842" i="1"/>
  <c r="A1842" i="1"/>
  <c r="F1841" i="1"/>
  <c r="E1841" i="1"/>
  <c r="D1841" i="1"/>
  <c r="C1841" i="1"/>
  <c r="B1841" i="1"/>
  <c r="A1841" i="1"/>
  <c r="F1840" i="1"/>
  <c r="E1840" i="1"/>
  <c r="D1840" i="1"/>
  <c r="C1840" i="1"/>
  <c r="B1840" i="1"/>
  <c r="A1840" i="1"/>
  <c r="F1839" i="1"/>
  <c r="E1839" i="1"/>
  <c r="D1839" i="1"/>
  <c r="C1839" i="1"/>
  <c r="B1839" i="1"/>
  <c r="A1839" i="1"/>
  <c r="F1838" i="1"/>
  <c r="E1838" i="1"/>
  <c r="D1838" i="1"/>
  <c r="C1838" i="1"/>
  <c r="B1838" i="1"/>
  <c r="A1838" i="1"/>
  <c r="F1837" i="1"/>
  <c r="E1837" i="1"/>
  <c r="D1837" i="1"/>
  <c r="C1837" i="1"/>
  <c r="B1837" i="1"/>
  <c r="A1837" i="1"/>
  <c r="F1836" i="1"/>
  <c r="E1836" i="1"/>
  <c r="D1836" i="1"/>
  <c r="C1836" i="1"/>
  <c r="B1836" i="1"/>
  <c r="A1836" i="1"/>
  <c r="F1835" i="1"/>
  <c r="E1835" i="1"/>
  <c r="D1835" i="1"/>
  <c r="C1835" i="1"/>
  <c r="B1835" i="1"/>
  <c r="A1835" i="1"/>
  <c r="F1834" i="1"/>
  <c r="E1834" i="1"/>
  <c r="D1834" i="1"/>
  <c r="C1834" i="1"/>
  <c r="B1834" i="1"/>
  <c r="A1834" i="1"/>
  <c r="F1833" i="1"/>
  <c r="E1833" i="1"/>
  <c r="D1833" i="1"/>
  <c r="C1833" i="1"/>
  <c r="B1833" i="1"/>
  <c r="A1833" i="1"/>
  <c r="F1832" i="1"/>
  <c r="E1832" i="1"/>
  <c r="D1832" i="1"/>
  <c r="C1832" i="1"/>
  <c r="B1832" i="1"/>
  <c r="A1832" i="1"/>
  <c r="F1831" i="1"/>
  <c r="E1831" i="1"/>
  <c r="D1831" i="1"/>
  <c r="C1831" i="1"/>
  <c r="B1831" i="1"/>
  <c r="A1831" i="1"/>
  <c r="F1830" i="1"/>
  <c r="E1830" i="1"/>
  <c r="D1830" i="1"/>
  <c r="C1830" i="1"/>
  <c r="B1830" i="1"/>
  <c r="A1830" i="1"/>
  <c r="F1829" i="1"/>
  <c r="E1829" i="1"/>
  <c r="D1829" i="1"/>
  <c r="C1829" i="1"/>
  <c r="B1829" i="1"/>
  <c r="A1829" i="1"/>
  <c r="F1828" i="1"/>
  <c r="E1828" i="1"/>
  <c r="D1828" i="1"/>
  <c r="C1828" i="1"/>
  <c r="B1828" i="1"/>
  <c r="A1828" i="1"/>
  <c r="F1827" i="1"/>
  <c r="E1827" i="1"/>
  <c r="D1827" i="1"/>
  <c r="C1827" i="1"/>
  <c r="B1827" i="1"/>
  <c r="A1827" i="1"/>
  <c r="F1826" i="1"/>
  <c r="E1826" i="1"/>
  <c r="D1826" i="1"/>
  <c r="C1826" i="1"/>
  <c r="B1826" i="1"/>
  <c r="A1826" i="1"/>
  <c r="F1825" i="1"/>
  <c r="E1825" i="1"/>
  <c r="D1825" i="1"/>
  <c r="C1825" i="1"/>
  <c r="B1825" i="1"/>
  <c r="A1825" i="1"/>
  <c r="F1824" i="1"/>
  <c r="E1824" i="1"/>
  <c r="D1824" i="1"/>
  <c r="C1824" i="1"/>
  <c r="B1824" i="1"/>
  <c r="A1824" i="1"/>
  <c r="F1823" i="1"/>
  <c r="E1823" i="1"/>
  <c r="D1823" i="1"/>
  <c r="C1823" i="1"/>
  <c r="B1823" i="1"/>
  <c r="A1823" i="1"/>
  <c r="F1822" i="1"/>
  <c r="E1822" i="1"/>
  <c r="D1822" i="1"/>
  <c r="C1822" i="1"/>
  <c r="B1822" i="1"/>
  <c r="A1822" i="1"/>
  <c r="F1821" i="1"/>
  <c r="E1821" i="1"/>
  <c r="D1821" i="1"/>
  <c r="C1821" i="1"/>
  <c r="B1821" i="1"/>
  <c r="A1821" i="1"/>
  <c r="F1820" i="1"/>
  <c r="E1820" i="1"/>
  <c r="D1820" i="1"/>
  <c r="C1820" i="1"/>
  <c r="B1820" i="1"/>
  <c r="A1820" i="1"/>
  <c r="F1819" i="1"/>
  <c r="E1819" i="1"/>
  <c r="D1819" i="1"/>
  <c r="C1819" i="1"/>
  <c r="B1819" i="1"/>
  <c r="A1819" i="1"/>
  <c r="F1818" i="1"/>
  <c r="E1818" i="1"/>
  <c r="D1818" i="1"/>
  <c r="C1818" i="1"/>
  <c r="B1818" i="1"/>
  <c r="A1818" i="1"/>
  <c r="F1817" i="1"/>
  <c r="E1817" i="1"/>
  <c r="D1817" i="1"/>
  <c r="C1817" i="1"/>
  <c r="B1817" i="1"/>
  <c r="A1817" i="1"/>
  <c r="F1816" i="1"/>
  <c r="E1816" i="1"/>
  <c r="D1816" i="1"/>
  <c r="C1816" i="1"/>
  <c r="B1816" i="1"/>
  <c r="A1816" i="1"/>
  <c r="F1815" i="1"/>
  <c r="E1815" i="1"/>
  <c r="D1815" i="1"/>
  <c r="C1815" i="1"/>
  <c r="B1815" i="1"/>
  <c r="A1815" i="1"/>
  <c r="F1814" i="1"/>
  <c r="E1814" i="1"/>
  <c r="D1814" i="1"/>
  <c r="C1814" i="1"/>
  <c r="B1814" i="1"/>
  <c r="A1814" i="1"/>
  <c r="F1813" i="1"/>
  <c r="E1813" i="1"/>
  <c r="D1813" i="1"/>
  <c r="C1813" i="1"/>
  <c r="B1813" i="1"/>
  <c r="A1813" i="1"/>
  <c r="F1812" i="1"/>
  <c r="E1812" i="1"/>
  <c r="D1812" i="1"/>
  <c r="C1812" i="1"/>
  <c r="B1812" i="1"/>
  <c r="A1812" i="1"/>
  <c r="F1811" i="1"/>
  <c r="E1811" i="1"/>
  <c r="D1811" i="1"/>
  <c r="C1811" i="1"/>
  <c r="B1811" i="1"/>
  <c r="A1811" i="1"/>
  <c r="F1810" i="1"/>
  <c r="E1810" i="1"/>
  <c r="D1810" i="1"/>
  <c r="C1810" i="1"/>
  <c r="B1810" i="1"/>
  <c r="A1810" i="1"/>
  <c r="F1809" i="1"/>
  <c r="E1809" i="1"/>
  <c r="D1809" i="1"/>
  <c r="C1809" i="1"/>
  <c r="B1809" i="1"/>
  <c r="A1809" i="1"/>
  <c r="F1808" i="1"/>
  <c r="E1808" i="1"/>
  <c r="D1808" i="1"/>
  <c r="C1808" i="1"/>
  <c r="B1808" i="1"/>
  <c r="A1808" i="1"/>
  <c r="F1807" i="1"/>
  <c r="E1807" i="1"/>
  <c r="D1807" i="1"/>
  <c r="C1807" i="1"/>
  <c r="B1807" i="1"/>
  <c r="A1807" i="1"/>
  <c r="F1806" i="1"/>
  <c r="E1806" i="1"/>
  <c r="D1806" i="1"/>
  <c r="C1806" i="1"/>
  <c r="B1806" i="1"/>
  <c r="A1806" i="1"/>
  <c r="F1805" i="1"/>
  <c r="E1805" i="1"/>
  <c r="D1805" i="1"/>
  <c r="C1805" i="1"/>
  <c r="B1805" i="1"/>
  <c r="A1805" i="1"/>
  <c r="F1804" i="1"/>
  <c r="E1804" i="1"/>
  <c r="D1804" i="1"/>
  <c r="C1804" i="1"/>
  <c r="B1804" i="1"/>
  <c r="A1804" i="1"/>
  <c r="F1803" i="1"/>
  <c r="E1803" i="1"/>
  <c r="D1803" i="1"/>
  <c r="C1803" i="1"/>
  <c r="B1803" i="1"/>
  <c r="A1803" i="1"/>
  <c r="F1802" i="1"/>
  <c r="E1802" i="1"/>
  <c r="D1802" i="1"/>
  <c r="C1802" i="1"/>
  <c r="B1802" i="1"/>
  <c r="A1802" i="1"/>
  <c r="F1801" i="1"/>
  <c r="E1801" i="1"/>
  <c r="D1801" i="1"/>
  <c r="C1801" i="1"/>
  <c r="B1801" i="1"/>
  <c r="A1801" i="1"/>
  <c r="F1800" i="1"/>
  <c r="E1800" i="1"/>
  <c r="D1800" i="1"/>
  <c r="C1800" i="1"/>
  <c r="B1800" i="1"/>
  <c r="A1800" i="1"/>
  <c r="F1799" i="1"/>
  <c r="E1799" i="1"/>
  <c r="D1799" i="1"/>
  <c r="C1799" i="1"/>
  <c r="B1799" i="1"/>
  <c r="A1799" i="1"/>
  <c r="F1798" i="1"/>
  <c r="E1798" i="1"/>
  <c r="D1798" i="1"/>
  <c r="C1798" i="1"/>
  <c r="B1798" i="1"/>
  <c r="A1798" i="1"/>
  <c r="F1797" i="1"/>
  <c r="E1797" i="1"/>
  <c r="D1797" i="1"/>
  <c r="C1797" i="1"/>
  <c r="B1797" i="1"/>
  <c r="A1797" i="1"/>
  <c r="F1796" i="1"/>
  <c r="E1796" i="1"/>
  <c r="D1796" i="1"/>
  <c r="C1796" i="1"/>
  <c r="B1796" i="1"/>
  <c r="A1796" i="1"/>
  <c r="F1795" i="1"/>
  <c r="E1795" i="1"/>
  <c r="D1795" i="1"/>
  <c r="C1795" i="1"/>
  <c r="B1795" i="1"/>
  <c r="A1795" i="1"/>
  <c r="F1794" i="1"/>
  <c r="E1794" i="1"/>
  <c r="D1794" i="1"/>
  <c r="C1794" i="1"/>
  <c r="B1794" i="1"/>
  <c r="A1794" i="1"/>
  <c r="F1793" i="1"/>
  <c r="E1793" i="1"/>
  <c r="D1793" i="1"/>
  <c r="C1793" i="1"/>
  <c r="B1793" i="1"/>
  <c r="A1793" i="1"/>
  <c r="F1792" i="1"/>
  <c r="E1792" i="1"/>
  <c r="D1792" i="1"/>
  <c r="C1792" i="1"/>
  <c r="B1792" i="1"/>
  <c r="A1792" i="1"/>
  <c r="F1791" i="1"/>
  <c r="E1791" i="1"/>
  <c r="D1791" i="1"/>
  <c r="C1791" i="1"/>
  <c r="B1791" i="1"/>
  <c r="A1791" i="1"/>
  <c r="F1790" i="1"/>
  <c r="E1790" i="1"/>
  <c r="D1790" i="1"/>
  <c r="C1790" i="1"/>
  <c r="B1790" i="1"/>
  <c r="A1790" i="1"/>
  <c r="F1789" i="1"/>
  <c r="E1789" i="1"/>
  <c r="D1789" i="1"/>
  <c r="C1789" i="1"/>
  <c r="B1789" i="1"/>
  <c r="A1789" i="1"/>
  <c r="F1788" i="1"/>
  <c r="E1788" i="1"/>
  <c r="D1788" i="1"/>
  <c r="C1788" i="1"/>
  <c r="B1788" i="1"/>
  <c r="A1788" i="1"/>
  <c r="F1787" i="1"/>
  <c r="E1787" i="1"/>
  <c r="D1787" i="1"/>
  <c r="C1787" i="1"/>
  <c r="B1787" i="1"/>
  <c r="A1787" i="1"/>
  <c r="F1786" i="1"/>
  <c r="E1786" i="1"/>
  <c r="D1786" i="1"/>
  <c r="C1786" i="1"/>
  <c r="B1786" i="1"/>
  <c r="A1786" i="1"/>
  <c r="F1785" i="1"/>
  <c r="E1785" i="1"/>
  <c r="D1785" i="1"/>
  <c r="C1785" i="1"/>
  <c r="B1785" i="1"/>
  <c r="A1785" i="1"/>
  <c r="F1784" i="1"/>
  <c r="E1784" i="1"/>
  <c r="D1784" i="1"/>
  <c r="C1784" i="1"/>
  <c r="B1784" i="1"/>
  <c r="A1784" i="1"/>
  <c r="F1783" i="1"/>
  <c r="E1783" i="1"/>
  <c r="D1783" i="1"/>
  <c r="C1783" i="1"/>
  <c r="B1783" i="1"/>
  <c r="A1783" i="1"/>
  <c r="F1782" i="1"/>
  <c r="E1782" i="1"/>
  <c r="D1782" i="1"/>
  <c r="C1782" i="1"/>
  <c r="B1782" i="1"/>
  <c r="A1782" i="1"/>
  <c r="F1781" i="1"/>
  <c r="E1781" i="1"/>
  <c r="D1781" i="1"/>
  <c r="C1781" i="1"/>
  <c r="B1781" i="1"/>
  <c r="A1781" i="1"/>
  <c r="F1780" i="1"/>
  <c r="E1780" i="1"/>
  <c r="D1780" i="1"/>
  <c r="C1780" i="1"/>
  <c r="B1780" i="1"/>
  <c r="A1780" i="1"/>
  <c r="F1779" i="1"/>
  <c r="E1779" i="1"/>
  <c r="D1779" i="1"/>
  <c r="C1779" i="1"/>
  <c r="B1779" i="1"/>
  <c r="A1779" i="1"/>
  <c r="F1778" i="1"/>
  <c r="E1778" i="1"/>
  <c r="D1778" i="1"/>
  <c r="C1778" i="1"/>
  <c r="B1778" i="1"/>
  <c r="A1778" i="1"/>
  <c r="F1777" i="1"/>
  <c r="E1777" i="1"/>
  <c r="D1777" i="1"/>
  <c r="C1777" i="1"/>
  <c r="B1777" i="1"/>
  <c r="A1777" i="1"/>
  <c r="F1776" i="1"/>
  <c r="E1776" i="1"/>
  <c r="D1776" i="1"/>
  <c r="C1776" i="1"/>
  <c r="B1776" i="1"/>
  <c r="A1776" i="1"/>
  <c r="F1775" i="1"/>
  <c r="E1775" i="1"/>
  <c r="D1775" i="1"/>
  <c r="C1775" i="1"/>
  <c r="B1775" i="1"/>
  <c r="A1775" i="1"/>
  <c r="F1774" i="1"/>
  <c r="E1774" i="1"/>
  <c r="D1774" i="1"/>
  <c r="C1774" i="1"/>
  <c r="B1774" i="1"/>
  <c r="A1774" i="1"/>
  <c r="F1773" i="1"/>
  <c r="E1773" i="1"/>
  <c r="D1773" i="1"/>
  <c r="C1773" i="1"/>
  <c r="B1773" i="1"/>
  <c r="A1773" i="1"/>
  <c r="F1772" i="1"/>
  <c r="E1772" i="1"/>
  <c r="D1772" i="1"/>
  <c r="C1772" i="1"/>
  <c r="B1772" i="1"/>
  <c r="A1772" i="1"/>
  <c r="F1771" i="1"/>
  <c r="E1771" i="1"/>
  <c r="D1771" i="1"/>
  <c r="C1771" i="1"/>
  <c r="B1771" i="1"/>
  <c r="A1771" i="1"/>
  <c r="F1770" i="1"/>
  <c r="E1770" i="1"/>
  <c r="D1770" i="1"/>
  <c r="C1770" i="1"/>
  <c r="B1770" i="1"/>
  <c r="A1770" i="1"/>
  <c r="F1769" i="1"/>
  <c r="E1769" i="1"/>
  <c r="D1769" i="1"/>
  <c r="C1769" i="1"/>
  <c r="B1769" i="1"/>
  <c r="A1769" i="1"/>
  <c r="F1768" i="1"/>
  <c r="E1768" i="1"/>
  <c r="D1768" i="1"/>
  <c r="C1768" i="1"/>
  <c r="B1768" i="1"/>
  <c r="A1768" i="1"/>
  <c r="F1767" i="1"/>
  <c r="E1767" i="1"/>
  <c r="D1767" i="1"/>
  <c r="C1767" i="1"/>
  <c r="B1767" i="1"/>
  <c r="A1767" i="1"/>
  <c r="F1766" i="1"/>
  <c r="E1766" i="1"/>
  <c r="D1766" i="1"/>
  <c r="C1766" i="1"/>
  <c r="B1766" i="1"/>
  <c r="A1766" i="1"/>
  <c r="F1765" i="1"/>
  <c r="E1765" i="1"/>
  <c r="D1765" i="1"/>
  <c r="C1765" i="1"/>
  <c r="B1765" i="1"/>
  <c r="A1765" i="1"/>
  <c r="F1764" i="1"/>
  <c r="E1764" i="1"/>
  <c r="D1764" i="1"/>
  <c r="C1764" i="1"/>
  <c r="B1764" i="1"/>
  <c r="A1764" i="1"/>
  <c r="F1763" i="1"/>
  <c r="E1763" i="1"/>
  <c r="D1763" i="1"/>
  <c r="C1763" i="1"/>
  <c r="B1763" i="1"/>
  <c r="A1763" i="1"/>
  <c r="F1762" i="1"/>
  <c r="E1762" i="1"/>
  <c r="D1762" i="1"/>
  <c r="C1762" i="1"/>
  <c r="B1762" i="1"/>
  <c r="A1762" i="1"/>
  <c r="F1761" i="1"/>
  <c r="E1761" i="1"/>
  <c r="D1761" i="1"/>
  <c r="C1761" i="1"/>
  <c r="B1761" i="1"/>
  <c r="A1761" i="1"/>
  <c r="F1760" i="1"/>
  <c r="E1760" i="1"/>
  <c r="D1760" i="1"/>
  <c r="C1760" i="1"/>
  <c r="B1760" i="1"/>
  <c r="A1760" i="1"/>
  <c r="F1759" i="1"/>
  <c r="E1759" i="1"/>
  <c r="D1759" i="1"/>
  <c r="C1759" i="1"/>
  <c r="B1759" i="1"/>
  <c r="A1759" i="1"/>
  <c r="F1758" i="1"/>
  <c r="E1758" i="1"/>
  <c r="D1758" i="1"/>
  <c r="C1758" i="1"/>
  <c r="B1758" i="1"/>
  <c r="A1758" i="1"/>
  <c r="F1757" i="1"/>
  <c r="E1757" i="1"/>
  <c r="D1757" i="1"/>
  <c r="C1757" i="1"/>
  <c r="B1757" i="1"/>
  <c r="A1757" i="1"/>
  <c r="F1756" i="1"/>
  <c r="E1756" i="1"/>
  <c r="D1756" i="1"/>
  <c r="C1756" i="1"/>
  <c r="B1756" i="1"/>
  <c r="A1756" i="1"/>
  <c r="F1755" i="1"/>
  <c r="E1755" i="1"/>
  <c r="D1755" i="1"/>
  <c r="C1755" i="1"/>
  <c r="B1755" i="1"/>
  <c r="A1755" i="1"/>
  <c r="F1754" i="1"/>
  <c r="E1754" i="1"/>
  <c r="D1754" i="1"/>
  <c r="C1754" i="1"/>
  <c r="B1754" i="1"/>
  <c r="A1754" i="1"/>
  <c r="F1753" i="1"/>
  <c r="E1753" i="1"/>
  <c r="D1753" i="1"/>
  <c r="C1753" i="1"/>
  <c r="B1753" i="1"/>
  <c r="A1753" i="1"/>
  <c r="F1752" i="1"/>
  <c r="E1752" i="1"/>
  <c r="D1752" i="1"/>
  <c r="C1752" i="1"/>
  <c r="B1752" i="1"/>
  <c r="A1752" i="1"/>
  <c r="F1751" i="1"/>
  <c r="E1751" i="1"/>
  <c r="D1751" i="1"/>
  <c r="C1751" i="1"/>
  <c r="B1751" i="1"/>
  <c r="A1751" i="1"/>
  <c r="F1750" i="1"/>
  <c r="E1750" i="1"/>
  <c r="D1750" i="1"/>
  <c r="C1750" i="1"/>
  <c r="B1750" i="1"/>
  <c r="A1750" i="1"/>
  <c r="F1749" i="1"/>
  <c r="E1749" i="1"/>
  <c r="D1749" i="1"/>
  <c r="C1749" i="1"/>
  <c r="B1749" i="1"/>
  <c r="A1749" i="1"/>
  <c r="F1748" i="1"/>
  <c r="E1748" i="1"/>
  <c r="D1748" i="1"/>
  <c r="C1748" i="1"/>
  <c r="B1748" i="1"/>
  <c r="A1748" i="1"/>
  <c r="F1747" i="1"/>
  <c r="E1747" i="1"/>
  <c r="D1747" i="1"/>
  <c r="C1747" i="1"/>
  <c r="B1747" i="1"/>
  <c r="A1747" i="1"/>
  <c r="F1746" i="1"/>
  <c r="E1746" i="1"/>
  <c r="D1746" i="1"/>
  <c r="C1746" i="1"/>
  <c r="B1746" i="1"/>
  <c r="A1746" i="1"/>
  <c r="F1745" i="1"/>
  <c r="E1745" i="1"/>
  <c r="D1745" i="1"/>
  <c r="C1745" i="1"/>
  <c r="B1745" i="1"/>
  <c r="A1745" i="1"/>
  <c r="F1744" i="1"/>
  <c r="E1744" i="1"/>
  <c r="D1744" i="1"/>
  <c r="C1744" i="1"/>
  <c r="B1744" i="1"/>
  <c r="A1744" i="1"/>
  <c r="F1743" i="1"/>
  <c r="E1743" i="1"/>
  <c r="D1743" i="1"/>
  <c r="C1743" i="1"/>
  <c r="B1743" i="1"/>
  <c r="A1743" i="1"/>
  <c r="F1742" i="1"/>
  <c r="E1742" i="1"/>
  <c r="D1742" i="1"/>
  <c r="C1742" i="1"/>
  <c r="B1742" i="1"/>
  <c r="A1742" i="1"/>
  <c r="F1741" i="1"/>
  <c r="E1741" i="1"/>
  <c r="D1741" i="1"/>
  <c r="C1741" i="1"/>
  <c r="B1741" i="1"/>
  <c r="A1741" i="1"/>
  <c r="F1740" i="1"/>
  <c r="E1740" i="1"/>
  <c r="D1740" i="1"/>
  <c r="C1740" i="1"/>
  <c r="B1740" i="1"/>
  <c r="A1740" i="1"/>
  <c r="F1739" i="1"/>
  <c r="E1739" i="1"/>
  <c r="D1739" i="1"/>
  <c r="C1739" i="1"/>
  <c r="B1739" i="1"/>
  <c r="A1739" i="1"/>
  <c r="F1738" i="1"/>
  <c r="E1738" i="1"/>
  <c r="D1738" i="1"/>
  <c r="C1738" i="1"/>
  <c r="B1738" i="1"/>
  <c r="A1738" i="1"/>
  <c r="F1737" i="1"/>
  <c r="E1737" i="1"/>
  <c r="D1737" i="1"/>
  <c r="C1737" i="1"/>
  <c r="B1737" i="1"/>
  <c r="A1737" i="1"/>
  <c r="F1736" i="1"/>
  <c r="E1736" i="1"/>
  <c r="D1736" i="1"/>
  <c r="C1736" i="1"/>
  <c r="B1736" i="1"/>
  <c r="A1736" i="1"/>
  <c r="F1735" i="1"/>
  <c r="E1735" i="1"/>
  <c r="D1735" i="1"/>
  <c r="C1735" i="1"/>
  <c r="B1735" i="1"/>
  <c r="A1735" i="1"/>
  <c r="F1734" i="1"/>
  <c r="E1734" i="1"/>
  <c r="D1734" i="1"/>
  <c r="C1734" i="1"/>
  <c r="B1734" i="1"/>
  <c r="A1734" i="1"/>
  <c r="F1733" i="1"/>
  <c r="E1733" i="1"/>
  <c r="D1733" i="1"/>
  <c r="C1733" i="1"/>
  <c r="B1733" i="1"/>
  <c r="A1733" i="1"/>
  <c r="F1732" i="1"/>
  <c r="E1732" i="1"/>
  <c r="D1732" i="1"/>
  <c r="C1732" i="1"/>
  <c r="B1732" i="1"/>
  <c r="A1732" i="1"/>
  <c r="F1731" i="1"/>
  <c r="E1731" i="1"/>
  <c r="D1731" i="1"/>
  <c r="C1731" i="1"/>
  <c r="B1731" i="1"/>
  <c r="A1731" i="1"/>
  <c r="F1730" i="1"/>
  <c r="E1730" i="1"/>
  <c r="D1730" i="1"/>
  <c r="C1730" i="1"/>
  <c r="B1730" i="1"/>
  <c r="A1730" i="1"/>
  <c r="F1729" i="1"/>
  <c r="E1729" i="1"/>
  <c r="D1729" i="1"/>
  <c r="C1729" i="1"/>
  <c r="B1729" i="1"/>
  <c r="A1729" i="1"/>
  <c r="F1728" i="1"/>
  <c r="E1728" i="1"/>
  <c r="D1728" i="1"/>
  <c r="C1728" i="1"/>
  <c r="B1728" i="1"/>
  <c r="A1728" i="1"/>
  <c r="F1727" i="1"/>
  <c r="E1727" i="1"/>
  <c r="D1727" i="1"/>
  <c r="C1727" i="1"/>
  <c r="B1727" i="1"/>
  <c r="A1727" i="1"/>
  <c r="F1726" i="1"/>
  <c r="E1726" i="1"/>
  <c r="D1726" i="1"/>
  <c r="C1726" i="1"/>
  <c r="B1726" i="1"/>
  <c r="A1726" i="1"/>
  <c r="F1725" i="1"/>
  <c r="E1725" i="1"/>
  <c r="D1725" i="1"/>
  <c r="C1725" i="1"/>
  <c r="B1725" i="1"/>
  <c r="A1725" i="1"/>
  <c r="F1724" i="1"/>
  <c r="E1724" i="1"/>
  <c r="D1724" i="1"/>
  <c r="C1724" i="1"/>
  <c r="B1724" i="1"/>
  <c r="A1724" i="1"/>
  <c r="F1723" i="1"/>
  <c r="E1723" i="1"/>
  <c r="D1723" i="1"/>
  <c r="C1723" i="1"/>
  <c r="B1723" i="1"/>
  <c r="A1723" i="1"/>
  <c r="F1722" i="1"/>
  <c r="E1722" i="1"/>
  <c r="D1722" i="1"/>
  <c r="C1722" i="1"/>
  <c r="B1722" i="1"/>
  <c r="A1722" i="1"/>
  <c r="F1721" i="1"/>
  <c r="E1721" i="1"/>
  <c r="D1721" i="1"/>
  <c r="C1721" i="1"/>
  <c r="B1721" i="1"/>
  <c r="A1721" i="1"/>
  <c r="F1720" i="1"/>
  <c r="E1720" i="1"/>
  <c r="D1720" i="1"/>
  <c r="C1720" i="1"/>
  <c r="B1720" i="1"/>
  <c r="A1720" i="1"/>
  <c r="F1719" i="1"/>
  <c r="E1719" i="1"/>
  <c r="D1719" i="1"/>
  <c r="C1719" i="1"/>
  <c r="B1719" i="1"/>
  <c r="A1719" i="1"/>
  <c r="F1718" i="1"/>
  <c r="E1718" i="1"/>
  <c r="D1718" i="1"/>
  <c r="C1718" i="1"/>
  <c r="B1718" i="1"/>
  <c r="A1718" i="1"/>
  <c r="F1717" i="1"/>
  <c r="E1717" i="1"/>
  <c r="D1717" i="1"/>
  <c r="C1717" i="1"/>
  <c r="B1717" i="1"/>
  <c r="A1717" i="1"/>
  <c r="F1716" i="1"/>
  <c r="E1716" i="1"/>
  <c r="D1716" i="1"/>
  <c r="C1716" i="1"/>
  <c r="B1716" i="1"/>
  <c r="A1716" i="1"/>
  <c r="F1715" i="1"/>
  <c r="E1715" i="1"/>
  <c r="D1715" i="1"/>
  <c r="C1715" i="1"/>
  <c r="B1715" i="1"/>
  <c r="A1715" i="1"/>
  <c r="F1714" i="1"/>
  <c r="E1714" i="1"/>
  <c r="D1714" i="1"/>
  <c r="C1714" i="1"/>
  <c r="B1714" i="1"/>
  <c r="A1714" i="1"/>
  <c r="F1713" i="1"/>
  <c r="E1713" i="1"/>
  <c r="D1713" i="1"/>
  <c r="C1713" i="1"/>
  <c r="B1713" i="1"/>
  <c r="A1713" i="1"/>
  <c r="F1712" i="1"/>
  <c r="E1712" i="1"/>
  <c r="D1712" i="1"/>
  <c r="C1712" i="1"/>
  <c r="B1712" i="1"/>
  <c r="A1712" i="1"/>
  <c r="F1711" i="1"/>
  <c r="E1711" i="1"/>
  <c r="D1711" i="1"/>
  <c r="C1711" i="1"/>
  <c r="B1711" i="1"/>
  <c r="A1711" i="1"/>
  <c r="F1710" i="1"/>
  <c r="E1710" i="1"/>
  <c r="D1710" i="1"/>
  <c r="C1710" i="1"/>
  <c r="B1710" i="1"/>
  <c r="A1710" i="1"/>
  <c r="F1709" i="1"/>
  <c r="E1709" i="1"/>
  <c r="D1709" i="1"/>
  <c r="C1709" i="1"/>
  <c r="B1709" i="1"/>
  <c r="A1709" i="1"/>
  <c r="F1708" i="1"/>
  <c r="E1708" i="1"/>
  <c r="D1708" i="1"/>
  <c r="C1708" i="1"/>
  <c r="B1708" i="1"/>
  <c r="A1708" i="1"/>
  <c r="F1707" i="1"/>
  <c r="E1707" i="1"/>
  <c r="D1707" i="1"/>
  <c r="C1707" i="1"/>
  <c r="B1707" i="1"/>
  <c r="A1707" i="1"/>
  <c r="F1706" i="1"/>
  <c r="E1706" i="1"/>
  <c r="D1706" i="1"/>
  <c r="C1706" i="1"/>
  <c r="B1706" i="1"/>
  <c r="A1706" i="1"/>
  <c r="F1705" i="1"/>
  <c r="E1705" i="1"/>
  <c r="D1705" i="1"/>
  <c r="C1705" i="1"/>
  <c r="B1705" i="1"/>
  <c r="A1705" i="1"/>
  <c r="F1704" i="1"/>
  <c r="E1704" i="1"/>
  <c r="D1704" i="1"/>
  <c r="C1704" i="1"/>
  <c r="B1704" i="1"/>
  <c r="A1704" i="1"/>
  <c r="F1703" i="1"/>
  <c r="E1703" i="1"/>
  <c r="D1703" i="1"/>
  <c r="C1703" i="1"/>
  <c r="B1703" i="1"/>
  <c r="A1703" i="1"/>
  <c r="F1702" i="1"/>
  <c r="E1702" i="1"/>
  <c r="D1702" i="1"/>
  <c r="C1702" i="1"/>
  <c r="B1702" i="1"/>
  <c r="A1702" i="1"/>
  <c r="F1701" i="1"/>
  <c r="E1701" i="1"/>
  <c r="D1701" i="1"/>
  <c r="C1701" i="1"/>
  <c r="B1701" i="1"/>
  <c r="A1701" i="1"/>
  <c r="F1700" i="1"/>
  <c r="E1700" i="1"/>
  <c r="D1700" i="1"/>
  <c r="C1700" i="1"/>
  <c r="B1700" i="1"/>
  <c r="A1700" i="1"/>
  <c r="F1699" i="1"/>
  <c r="E1699" i="1"/>
  <c r="D1699" i="1"/>
  <c r="C1699" i="1"/>
  <c r="B1699" i="1"/>
  <c r="A1699" i="1"/>
  <c r="F1698" i="1"/>
  <c r="E1698" i="1"/>
  <c r="D1698" i="1"/>
  <c r="C1698" i="1"/>
  <c r="B1698" i="1"/>
  <c r="A1698" i="1"/>
  <c r="F1697" i="1"/>
  <c r="E1697" i="1"/>
  <c r="D1697" i="1"/>
  <c r="C1697" i="1"/>
  <c r="B1697" i="1"/>
  <c r="A1697" i="1"/>
  <c r="F1696" i="1"/>
  <c r="E1696" i="1"/>
  <c r="D1696" i="1"/>
  <c r="C1696" i="1"/>
  <c r="B1696" i="1"/>
  <c r="A1696" i="1"/>
  <c r="F1695" i="1"/>
  <c r="E1695" i="1"/>
  <c r="D1695" i="1"/>
  <c r="C1695" i="1"/>
  <c r="B1695" i="1"/>
  <c r="A1695" i="1"/>
  <c r="F1694" i="1"/>
  <c r="E1694" i="1"/>
  <c r="D1694" i="1"/>
  <c r="C1694" i="1"/>
  <c r="B1694" i="1"/>
  <c r="A1694" i="1"/>
  <c r="F1693" i="1"/>
  <c r="E1693" i="1"/>
  <c r="D1693" i="1"/>
  <c r="C1693" i="1"/>
  <c r="B1693" i="1"/>
  <c r="A1693" i="1"/>
  <c r="F1692" i="1"/>
  <c r="E1692" i="1"/>
  <c r="D1692" i="1"/>
  <c r="C1692" i="1"/>
  <c r="B1692" i="1"/>
  <c r="A1692" i="1"/>
  <c r="F1691" i="1"/>
  <c r="E1691" i="1"/>
  <c r="D1691" i="1"/>
  <c r="C1691" i="1"/>
  <c r="B1691" i="1"/>
  <c r="A1691" i="1"/>
  <c r="F1690" i="1"/>
  <c r="E1690" i="1"/>
  <c r="D1690" i="1"/>
  <c r="C1690" i="1"/>
  <c r="B1690" i="1"/>
  <c r="A1690" i="1"/>
  <c r="F1689" i="1"/>
  <c r="E1689" i="1"/>
  <c r="D1689" i="1"/>
  <c r="C1689" i="1"/>
  <c r="B1689" i="1"/>
  <c r="A1689" i="1"/>
  <c r="F1688" i="1"/>
  <c r="E1688" i="1"/>
  <c r="D1688" i="1"/>
  <c r="C1688" i="1"/>
  <c r="B1688" i="1"/>
  <c r="A1688" i="1"/>
  <c r="F1687" i="1"/>
  <c r="E1687" i="1"/>
  <c r="D1687" i="1"/>
  <c r="C1687" i="1"/>
  <c r="B1687" i="1"/>
  <c r="A1687" i="1"/>
  <c r="F1686" i="1"/>
  <c r="E1686" i="1"/>
  <c r="D1686" i="1"/>
  <c r="C1686" i="1"/>
  <c r="B1686" i="1"/>
  <c r="A1686" i="1"/>
  <c r="F1685" i="1"/>
  <c r="E1685" i="1"/>
  <c r="D1685" i="1"/>
  <c r="C1685" i="1"/>
  <c r="B1685" i="1"/>
  <c r="A1685" i="1"/>
  <c r="F1684" i="1"/>
  <c r="E1684" i="1"/>
  <c r="D1684" i="1"/>
  <c r="C1684" i="1"/>
  <c r="B1684" i="1"/>
  <c r="A1684" i="1"/>
  <c r="F1683" i="1"/>
  <c r="E1683" i="1"/>
  <c r="D1683" i="1"/>
  <c r="C1683" i="1"/>
  <c r="B1683" i="1"/>
  <c r="A1683" i="1"/>
  <c r="F1682" i="1"/>
  <c r="E1682" i="1"/>
  <c r="D1682" i="1"/>
  <c r="C1682" i="1"/>
  <c r="B1682" i="1"/>
  <c r="A1682" i="1"/>
  <c r="F1681" i="1"/>
  <c r="E1681" i="1"/>
  <c r="D1681" i="1"/>
  <c r="C1681" i="1"/>
  <c r="B1681" i="1"/>
  <c r="A1681" i="1"/>
  <c r="F1680" i="1"/>
  <c r="E1680" i="1"/>
  <c r="D1680" i="1"/>
  <c r="C1680" i="1"/>
  <c r="B1680" i="1"/>
  <c r="A1680" i="1"/>
  <c r="F1679" i="1"/>
  <c r="E1679" i="1"/>
  <c r="D1679" i="1"/>
  <c r="C1679" i="1"/>
  <c r="B1679" i="1"/>
  <c r="A1679" i="1"/>
  <c r="F1678" i="1"/>
  <c r="E1678" i="1"/>
  <c r="D1678" i="1"/>
  <c r="C1678" i="1"/>
  <c r="B1678" i="1"/>
  <c r="A1678" i="1"/>
  <c r="F1677" i="1"/>
  <c r="E1677" i="1"/>
  <c r="D1677" i="1"/>
  <c r="C1677" i="1"/>
  <c r="B1677" i="1"/>
  <c r="A1677" i="1"/>
  <c r="F1676" i="1"/>
  <c r="E1676" i="1"/>
  <c r="D1676" i="1"/>
  <c r="C1676" i="1"/>
  <c r="B1676" i="1"/>
  <c r="A1676" i="1"/>
  <c r="F1675" i="1"/>
  <c r="E1675" i="1"/>
  <c r="D1675" i="1"/>
  <c r="C1675" i="1"/>
  <c r="B1675" i="1"/>
  <c r="A1675" i="1"/>
  <c r="F1674" i="1"/>
  <c r="E1674" i="1"/>
  <c r="D1674" i="1"/>
  <c r="C1674" i="1"/>
  <c r="B1674" i="1"/>
  <c r="A1674" i="1"/>
  <c r="F1673" i="1"/>
  <c r="E1673" i="1"/>
  <c r="D1673" i="1"/>
  <c r="C1673" i="1"/>
  <c r="B1673" i="1"/>
  <c r="A1673" i="1"/>
  <c r="F1672" i="1"/>
  <c r="E1672" i="1"/>
  <c r="D1672" i="1"/>
  <c r="C1672" i="1"/>
  <c r="B1672" i="1"/>
  <c r="A1672" i="1"/>
  <c r="F1671" i="1"/>
  <c r="E1671" i="1"/>
  <c r="D1671" i="1"/>
  <c r="C1671" i="1"/>
  <c r="B1671" i="1"/>
  <c r="A1671" i="1"/>
  <c r="F1670" i="1"/>
  <c r="E1670" i="1"/>
  <c r="D1670" i="1"/>
  <c r="C1670" i="1"/>
  <c r="B1670" i="1"/>
  <c r="A1670" i="1"/>
  <c r="F1669" i="1"/>
  <c r="E1669" i="1"/>
  <c r="D1669" i="1"/>
  <c r="C1669" i="1"/>
  <c r="B1669" i="1"/>
  <c r="A1669" i="1"/>
  <c r="F1668" i="1"/>
  <c r="E1668" i="1"/>
  <c r="D1668" i="1"/>
  <c r="C1668" i="1"/>
  <c r="B1668" i="1"/>
  <c r="A1668" i="1"/>
  <c r="F1667" i="1"/>
  <c r="E1667" i="1"/>
  <c r="D1667" i="1"/>
  <c r="C1667" i="1"/>
  <c r="B1667" i="1"/>
  <c r="A1667" i="1"/>
  <c r="F1666" i="1"/>
  <c r="E1666" i="1"/>
  <c r="D1666" i="1"/>
  <c r="C1666" i="1"/>
  <c r="B1666" i="1"/>
  <c r="A1666" i="1"/>
  <c r="F1665" i="1"/>
  <c r="E1665" i="1"/>
  <c r="D1665" i="1"/>
  <c r="C1665" i="1"/>
  <c r="B1665" i="1"/>
  <c r="A1665" i="1"/>
  <c r="F1664" i="1"/>
  <c r="E1664" i="1"/>
  <c r="D1664" i="1"/>
  <c r="C1664" i="1"/>
  <c r="B1664" i="1"/>
  <c r="A1664" i="1"/>
  <c r="F1663" i="1"/>
  <c r="E1663" i="1"/>
  <c r="D1663" i="1"/>
  <c r="C1663" i="1"/>
  <c r="B1663" i="1"/>
  <c r="A1663" i="1"/>
  <c r="F1662" i="1"/>
  <c r="E1662" i="1"/>
  <c r="D1662" i="1"/>
  <c r="C1662" i="1"/>
  <c r="B1662" i="1"/>
  <c r="A1662" i="1"/>
  <c r="F1661" i="1"/>
  <c r="E1661" i="1"/>
  <c r="D1661" i="1"/>
  <c r="C1661" i="1"/>
  <c r="B1661" i="1"/>
  <c r="A1661" i="1"/>
  <c r="F1660" i="1"/>
  <c r="E1660" i="1"/>
  <c r="D1660" i="1"/>
  <c r="C1660" i="1"/>
  <c r="B1660" i="1"/>
  <c r="A1660" i="1"/>
  <c r="F1659" i="1"/>
  <c r="E1659" i="1"/>
  <c r="D1659" i="1"/>
  <c r="C1659" i="1"/>
  <c r="B1659" i="1"/>
  <c r="A1659" i="1"/>
  <c r="F1658" i="1"/>
  <c r="E1658" i="1"/>
  <c r="D1658" i="1"/>
  <c r="C1658" i="1"/>
  <c r="B1658" i="1"/>
  <c r="A1658" i="1"/>
  <c r="F1657" i="1"/>
  <c r="E1657" i="1"/>
  <c r="D1657" i="1"/>
  <c r="C1657" i="1"/>
  <c r="B1657" i="1"/>
  <c r="A1657" i="1"/>
  <c r="F1656" i="1"/>
  <c r="E1656" i="1"/>
  <c r="D1656" i="1"/>
  <c r="C1656" i="1"/>
  <c r="B1656" i="1"/>
  <c r="A1656" i="1"/>
  <c r="F1655" i="1"/>
  <c r="E1655" i="1"/>
  <c r="D1655" i="1"/>
  <c r="C1655" i="1"/>
  <c r="B1655" i="1"/>
  <c r="A1655" i="1"/>
  <c r="F1654" i="1"/>
  <c r="E1654" i="1"/>
  <c r="D1654" i="1"/>
  <c r="C1654" i="1"/>
  <c r="B1654" i="1"/>
  <c r="A1654" i="1"/>
  <c r="F1653" i="1"/>
  <c r="E1653" i="1"/>
  <c r="D1653" i="1"/>
  <c r="C1653" i="1"/>
  <c r="B1653" i="1"/>
  <c r="A1653" i="1"/>
  <c r="F1652" i="1"/>
  <c r="E1652" i="1"/>
  <c r="D1652" i="1"/>
  <c r="C1652" i="1"/>
  <c r="B1652" i="1"/>
  <c r="A1652" i="1"/>
  <c r="F1651" i="1"/>
  <c r="E1651" i="1"/>
  <c r="D1651" i="1"/>
  <c r="C1651" i="1"/>
  <c r="B1651" i="1"/>
  <c r="A1651" i="1"/>
  <c r="F1650" i="1"/>
  <c r="E1650" i="1"/>
  <c r="D1650" i="1"/>
  <c r="C1650" i="1"/>
  <c r="B1650" i="1"/>
  <c r="A1650" i="1"/>
  <c r="F1649" i="1"/>
  <c r="E1649" i="1"/>
  <c r="D1649" i="1"/>
  <c r="C1649" i="1"/>
  <c r="B1649" i="1"/>
  <c r="A1649" i="1"/>
  <c r="F1648" i="1"/>
  <c r="E1648" i="1"/>
  <c r="D1648" i="1"/>
  <c r="C1648" i="1"/>
  <c r="B1648" i="1"/>
  <c r="A1648" i="1"/>
  <c r="F1647" i="1"/>
  <c r="E1647" i="1"/>
  <c r="D1647" i="1"/>
  <c r="C1647" i="1"/>
  <c r="B1647" i="1"/>
  <c r="A1647" i="1"/>
  <c r="F1646" i="1"/>
  <c r="E1646" i="1"/>
  <c r="D1646" i="1"/>
  <c r="C1646" i="1"/>
  <c r="B1646" i="1"/>
  <c r="A1646" i="1"/>
  <c r="F1645" i="1"/>
  <c r="E1645" i="1"/>
  <c r="D1645" i="1"/>
  <c r="C1645" i="1"/>
  <c r="B1645" i="1"/>
  <c r="A1645" i="1"/>
  <c r="F1644" i="1"/>
  <c r="E1644" i="1"/>
  <c r="D1644" i="1"/>
  <c r="C1644" i="1"/>
  <c r="B1644" i="1"/>
  <c r="A1644" i="1"/>
  <c r="F1643" i="1"/>
  <c r="E1643" i="1"/>
  <c r="D1643" i="1"/>
  <c r="C1643" i="1"/>
  <c r="B1643" i="1"/>
  <c r="A1643" i="1"/>
  <c r="F1642" i="1"/>
  <c r="E1642" i="1"/>
  <c r="D1642" i="1"/>
  <c r="C1642" i="1"/>
  <c r="B1642" i="1"/>
  <c r="A1642" i="1"/>
  <c r="F1641" i="1"/>
  <c r="E1641" i="1"/>
  <c r="D1641" i="1"/>
  <c r="C1641" i="1"/>
  <c r="B1641" i="1"/>
  <c r="A1641" i="1"/>
  <c r="F1640" i="1"/>
  <c r="E1640" i="1"/>
  <c r="D1640" i="1"/>
  <c r="C1640" i="1"/>
  <c r="B1640" i="1"/>
  <c r="A1640" i="1"/>
  <c r="F1639" i="1"/>
  <c r="E1639" i="1"/>
  <c r="D1639" i="1"/>
  <c r="C1639" i="1"/>
  <c r="B1639" i="1"/>
  <c r="A1639" i="1"/>
  <c r="F1638" i="1"/>
  <c r="E1638" i="1"/>
  <c r="D1638" i="1"/>
  <c r="C1638" i="1"/>
  <c r="B1638" i="1"/>
  <c r="A1638" i="1"/>
  <c r="F1637" i="1"/>
  <c r="E1637" i="1"/>
  <c r="D1637" i="1"/>
  <c r="C1637" i="1"/>
  <c r="B1637" i="1"/>
  <c r="A1637" i="1"/>
  <c r="F1636" i="1"/>
  <c r="E1636" i="1"/>
  <c r="D1636" i="1"/>
  <c r="C1636" i="1"/>
  <c r="B1636" i="1"/>
  <c r="A1636" i="1"/>
  <c r="F1635" i="1"/>
  <c r="E1635" i="1"/>
  <c r="D1635" i="1"/>
  <c r="C1635" i="1"/>
  <c r="B1635" i="1"/>
  <c r="A1635" i="1"/>
  <c r="F1634" i="1"/>
  <c r="E1634" i="1"/>
  <c r="D1634" i="1"/>
  <c r="C1634" i="1"/>
  <c r="B1634" i="1"/>
  <c r="A1634" i="1"/>
  <c r="F1633" i="1"/>
  <c r="E1633" i="1"/>
  <c r="D1633" i="1"/>
  <c r="C1633" i="1"/>
  <c r="B1633" i="1"/>
  <c r="A1633" i="1"/>
  <c r="F1632" i="1"/>
  <c r="E1632" i="1"/>
  <c r="D1632" i="1"/>
  <c r="C1632" i="1"/>
  <c r="B1632" i="1"/>
  <c r="A1632" i="1"/>
  <c r="F1631" i="1"/>
  <c r="E1631" i="1"/>
  <c r="D1631" i="1"/>
  <c r="C1631" i="1"/>
  <c r="B1631" i="1"/>
  <c r="A1631" i="1"/>
  <c r="F1630" i="1"/>
  <c r="E1630" i="1"/>
  <c r="D1630" i="1"/>
  <c r="C1630" i="1"/>
  <c r="B1630" i="1"/>
  <c r="A1630" i="1"/>
  <c r="F1629" i="1"/>
  <c r="E1629" i="1"/>
  <c r="D1629" i="1"/>
  <c r="C1629" i="1"/>
  <c r="B1629" i="1"/>
  <c r="A1629" i="1"/>
  <c r="F1628" i="1"/>
  <c r="E1628" i="1"/>
  <c r="D1628" i="1"/>
  <c r="C1628" i="1"/>
  <c r="B1628" i="1"/>
  <c r="A1628" i="1"/>
  <c r="F1627" i="1"/>
  <c r="E1627" i="1"/>
  <c r="D1627" i="1"/>
  <c r="C1627" i="1"/>
  <c r="B1627" i="1"/>
  <c r="A1627" i="1"/>
  <c r="F1626" i="1"/>
  <c r="E1626" i="1"/>
  <c r="D1626" i="1"/>
  <c r="C1626" i="1"/>
  <c r="B1626" i="1"/>
  <c r="A1626" i="1"/>
  <c r="F1625" i="1"/>
  <c r="E1625" i="1"/>
  <c r="D1625" i="1"/>
  <c r="C1625" i="1"/>
  <c r="B1625" i="1"/>
  <c r="A1625" i="1"/>
  <c r="F1624" i="1"/>
  <c r="E1624" i="1"/>
  <c r="D1624" i="1"/>
  <c r="C1624" i="1"/>
  <c r="B1624" i="1"/>
  <c r="A1624" i="1"/>
  <c r="F1623" i="1"/>
  <c r="E1623" i="1"/>
  <c r="D1623" i="1"/>
  <c r="C1623" i="1"/>
  <c r="B1623" i="1"/>
  <c r="A1623" i="1"/>
  <c r="F1622" i="1"/>
  <c r="E1622" i="1"/>
  <c r="D1622" i="1"/>
  <c r="C1622" i="1"/>
  <c r="B1622" i="1"/>
  <c r="A1622" i="1"/>
  <c r="F1621" i="1"/>
  <c r="E1621" i="1"/>
  <c r="D1621" i="1"/>
  <c r="C1621" i="1"/>
  <c r="B1621" i="1"/>
  <c r="A1621" i="1"/>
  <c r="F1620" i="1"/>
  <c r="E1620" i="1"/>
  <c r="D1620" i="1"/>
  <c r="C1620" i="1"/>
  <c r="B1620" i="1"/>
  <c r="A1620" i="1"/>
  <c r="F1619" i="1"/>
  <c r="E1619" i="1"/>
  <c r="D1619" i="1"/>
  <c r="C1619" i="1"/>
  <c r="B1619" i="1"/>
  <c r="A1619" i="1"/>
  <c r="F1618" i="1"/>
  <c r="E1618" i="1"/>
  <c r="D1618" i="1"/>
  <c r="C1618" i="1"/>
  <c r="B1618" i="1"/>
  <c r="A1618" i="1"/>
  <c r="F1617" i="1"/>
  <c r="E1617" i="1"/>
  <c r="D1617" i="1"/>
  <c r="C1617" i="1"/>
  <c r="B1617" i="1"/>
  <c r="A1617" i="1"/>
  <c r="F1616" i="1"/>
  <c r="E1616" i="1"/>
  <c r="D1616" i="1"/>
  <c r="C1616" i="1"/>
  <c r="B1616" i="1"/>
  <c r="A1616" i="1"/>
  <c r="F1615" i="1"/>
  <c r="E1615" i="1"/>
  <c r="D1615" i="1"/>
  <c r="C1615" i="1"/>
  <c r="B1615" i="1"/>
  <c r="A1615" i="1"/>
  <c r="F1614" i="1"/>
  <c r="E1614" i="1"/>
  <c r="D1614" i="1"/>
  <c r="C1614" i="1"/>
  <c r="B1614" i="1"/>
  <c r="A1614" i="1"/>
  <c r="F1613" i="1"/>
  <c r="E1613" i="1"/>
  <c r="D1613" i="1"/>
  <c r="C1613" i="1"/>
  <c r="B1613" i="1"/>
  <c r="A1613" i="1"/>
  <c r="F1612" i="1"/>
  <c r="E1612" i="1"/>
  <c r="D1612" i="1"/>
  <c r="C1612" i="1"/>
  <c r="B1612" i="1"/>
  <c r="A1612" i="1"/>
  <c r="F1611" i="1"/>
  <c r="E1611" i="1"/>
  <c r="D1611" i="1"/>
  <c r="C1611" i="1"/>
  <c r="B1611" i="1"/>
  <c r="A1611" i="1"/>
  <c r="F1610" i="1"/>
  <c r="E1610" i="1"/>
  <c r="D1610" i="1"/>
  <c r="C1610" i="1"/>
  <c r="B1610" i="1"/>
  <c r="A1610" i="1"/>
  <c r="F1609" i="1"/>
  <c r="E1609" i="1"/>
  <c r="D1609" i="1"/>
  <c r="C1609" i="1"/>
  <c r="B1609" i="1"/>
  <c r="A1609" i="1"/>
  <c r="F1608" i="1"/>
  <c r="E1608" i="1"/>
  <c r="D1608" i="1"/>
  <c r="C1608" i="1"/>
  <c r="B1608" i="1"/>
  <c r="A1608" i="1"/>
  <c r="F1607" i="1"/>
  <c r="E1607" i="1"/>
  <c r="D1607" i="1"/>
  <c r="C1607" i="1"/>
  <c r="B1607" i="1"/>
  <c r="A1607" i="1"/>
  <c r="F1606" i="1"/>
  <c r="E1606" i="1"/>
  <c r="D1606" i="1"/>
  <c r="C1606" i="1"/>
  <c r="B1606" i="1"/>
  <c r="A1606" i="1"/>
  <c r="F1605" i="1"/>
  <c r="E1605" i="1"/>
  <c r="D1605" i="1"/>
  <c r="C1605" i="1"/>
  <c r="B1605" i="1"/>
  <c r="A1605" i="1"/>
  <c r="F1604" i="1"/>
  <c r="E1604" i="1"/>
  <c r="D1604" i="1"/>
  <c r="C1604" i="1"/>
  <c r="B1604" i="1"/>
  <c r="A1604" i="1"/>
  <c r="F1603" i="1"/>
  <c r="E1603" i="1"/>
  <c r="D1603" i="1"/>
  <c r="C1603" i="1"/>
  <c r="B1603" i="1"/>
  <c r="A1603" i="1"/>
  <c r="F1602" i="1"/>
  <c r="E1602" i="1"/>
  <c r="D1602" i="1"/>
  <c r="C1602" i="1"/>
  <c r="B1602" i="1"/>
  <c r="A1602" i="1"/>
  <c r="F1601" i="1"/>
  <c r="E1601" i="1"/>
  <c r="D1601" i="1"/>
  <c r="C1601" i="1"/>
  <c r="B1601" i="1"/>
  <c r="A1601" i="1"/>
  <c r="F1600" i="1"/>
  <c r="E1600" i="1"/>
  <c r="D1600" i="1"/>
  <c r="C1600" i="1"/>
  <c r="B1600" i="1"/>
  <c r="A1600" i="1"/>
  <c r="F1599" i="1"/>
  <c r="E1599" i="1"/>
  <c r="D1599" i="1"/>
  <c r="C1599" i="1"/>
  <c r="B1599" i="1"/>
  <c r="A1599" i="1"/>
  <c r="F1598" i="1"/>
  <c r="E1598" i="1"/>
  <c r="D1598" i="1"/>
  <c r="C1598" i="1"/>
  <c r="B1598" i="1"/>
  <c r="A1598" i="1"/>
  <c r="F1597" i="1"/>
  <c r="E1597" i="1"/>
  <c r="D1597" i="1"/>
  <c r="C1597" i="1"/>
  <c r="B1597" i="1"/>
  <c r="A1597" i="1"/>
  <c r="F1596" i="1"/>
  <c r="E1596" i="1"/>
  <c r="D1596" i="1"/>
  <c r="C1596" i="1"/>
  <c r="B1596" i="1"/>
  <c r="A1596" i="1"/>
  <c r="F1595" i="1"/>
  <c r="E1595" i="1"/>
  <c r="D1595" i="1"/>
  <c r="C1595" i="1"/>
  <c r="B1595" i="1"/>
  <c r="A1595" i="1"/>
  <c r="F1594" i="1"/>
  <c r="E1594" i="1"/>
  <c r="D1594" i="1"/>
  <c r="C1594" i="1"/>
  <c r="B1594" i="1"/>
  <c r="A1594" i="1"/>
  <c r="F1593" i="1"/>
  <c r="E1593" i="1"/>
  <c r="D1593" i="1"/>
  <c r="C1593" i="1"/>
  <c r="B1593" i="1"/>
  <c r="A1593" i="1"/>
  <c r="F1592" i="1"/>
  <c r="E1592" i="1"/>
  <c r="D1592" i="1"/>
  <c r="C1592" i="1"/>
  <c r="B1592" i="1"/>
  <c r="A1592" i="1"/>
  <c r="F1591" i="1"/>
  <c r="E1591" i="1"/>
  <c r="D1591" i="1"/>
  <c r="C1591" i="1"/>
  <c r="B1591" i="1"/>
  <c r="A1591" i="1"/>
  <c r="F1590" i="1"/>
  <c r="E1590" i="1"/>
  <c r="D1590" i="1"/>
  <c r="C1590" i="1"/>
  <c r="B1590" i="1"/>
  <c r="A1590" i="1"/>
  <c r="F1589" i="1"/>
  <c r="E1589" i="1"/>
  <c r="D1589" i="1"/>
  <c r="C1589" i="1"/>
  <c r="B1589" i="1"/>
  <c r="A1589" i="1"/>
  <c r="F1588" i="1"/>
  <c r="E1588" i="1"/>
  <c r="D1588" i="1"/>
  <c r="C1588" i="1"/>
  <c r="B1588" i="1"/>
  <c r="A1588" i="1"/>
  <c r="F1587" i="1"/>
  <c r="E1587" i="1"/>
  <c r="D1587" i="1"/>
  <c r="C1587" i="1"/>
  <c r="B1587" i="1"/>
  <c r="A1587" i="1"/>
  <c r="F1586" i="1"/>
  <c r="E1586" i="1"/>
  <c r="D1586" i="1"/>
  <c r="C1586" i="1"/>
  <c r="B1586" i="1"/>
  <c r="A1586" i="1"/>
  <c r="F1585" i="1"/>
  <c r="E1585" i="1"/>
  <c r="D1585" i="1"/>
  <c r="C1585" i="1"/>
  <c r="B1585" i="1"/>
  <c r="A1585" i="1"/>
  <c r="F1584" i="1"/>
  <c r="E1584" i="1"/>
  <c r="D1584" i="1"/>
  <c r="C1584" i="1"/>
  <c r="B1584" i="1"/>
  <c r="A1584" i="1"/>
  <c r="F1583" i="1"/>
  <c r="E1583" i="1"/>
  <c r="D1583" i="1"/>
  <c r="C1583" i="1"/>
  <c r="B1583" i="1"/>
  <c r="A1583" i="1"/>
  <c r="F1582" i="1"/>
  <c r="E1582" i="1"/>
  <c r="D1582" i="1"/>
  <c r="C1582" i="1"/>
  <c r="B1582" i="1"/>
  <c r="A1582" i="1"/>
  <c r="F1581" i="1"/>
  <c r="E1581" i="1"/>
  <c r="D1581" i="1"/>
  <c r="C1581" i="1"/>
  <c r="B1581" i="1"/>
  <c r="A1581" i="1"/>
  <c r="F1580" i="1"/>
  <c r="E1580" i="1"/>
  <c r="D1580" i="1"/>
  <c r="C1580" i="1"/>
  <c r="B1580" i="1"/>
  <c r="A1580" i="1"/>
  <c r="F1579" i="1"/>
  <c r="E1579" i="1"/>
  <c r="D1579" i="1"/>
  <c r="C1579" i="1"/>
  <c r="B1579" i="1"/>
  <c r="A1579" i="1"/>
  <c r="F1578" i="1"/>
  <c r="E1578" i="1"/>
  <c r="D1578" i="1"/>
  <c r="C1578" i="1"/>
  <c r="B1578" i="1"/>
  <c r="A1578" i="1"/>
  <c r="F1577" i="1"/>
  <c r="E1577" i="1"/>
  <c r="D1577" i="1"/>
  <c r="C1577" i="1"/>
  <c r="B1577" i="1"/>
  <c r="A1577" i="1"/>
  <c r="F1576" i="1"/>
  <c r="E1576" i="1"/>
  <c r="D1576" i="1"/>
  <c r="C1576" i="1"/>
  <c r="B1576" i="1"/>
  <c r="A1576" i="1"/>
  <c r="F1575" i="1"/>
  <c r="E1575" i="1"/>
  <c r="D1575" i="1"/>
  <c r="C1575" i="1"/>
  <c r="B1575" i="1"/>
  <c r="A1575" i="1"/>
  <c r="F1574" i="1"/>
  <c r="E1574" i="1"/>
  <c r="D1574" i="1"/>
  <c r="C1574" i="1"/>
  <c r="B1574" i="1"/>
  <c r="A1574" i="1"/>
  <c r="F1573" i="1"/>
  <c r="E1573" i="1"/>
  <c r="D1573" i="1"/>
  <c r="C1573" i="1"/>
  <c r="B1573" i="1"/>
  <c r="A1573" i="1"/>
  <c r="F1572" i="1"/>
  <c r="E1572" i="1"/>
  <c r="D1572" i="1"/>
  <c r="C1572" i="1"/>
  <c r="B1572" i="1"/>
  <c r="A1572" i="1"/>
  <c r="F1571" i="1"/>
  <c r="E1571" i="1"/>
  <c r="D1571" i="1"/>
  <c r="C1571" i="1"/>
  <c r="B1571" i="1"/>
  <c r="A1571" i="1"/>
  <c r="F1570" i="1"/>
  <c r="E1570" i="1"/>
  <c r="D1570" i="1"/>
  <c r="C1570" i="1"/>
  <c r="B1570" i="1"/>
  <c r="A1570" i="1"/>
  <c r="F1569" i="1"/>
  <c r="E1569" i="1"/>
  <c r="D1569" i="1"/>
  <c r="C1569" i="1"/>
  <c r="B1569" i="1"/>
  <c r="A1569" i="1"/>
  <c r="F1568" i="1"/>
  <c r="E1568" i="1"/>
  <c r="D1568" i="1"/>
  <c r="C1568" i="1"/>
  <c r="B1568" i="1"/>
  <c r="A1568" i="1"/>
  <c r="F1567" i="1"/>
  <c r="E1567" i="1"/>
  <c r="D1567" i="1"/>
  <c r="C1567" i="1"/>
  <c r="B1567" i="1"/>
  <c r="A1567" i="1"/>
  <c r="F1566" i="1"/>
  <c r="E1566" i="1"/>
  <c r="D1566" i="1"/>
  <c r="C1566" i="1"/>
  <c r="B1566" i="1"/>
  <c r="A1566" i="1"/>
  <c r="F1565" i="1"/>
  <c r="E1565" i="1"/>
  <c r="D1565" i="1"/>
  <c r="C1565" i="1"/>
  <c r="B1565" i="1"/>
  <c r="A1565" i="1"/>
  <c r="F1564" i="1"/>
  <c r="E1564" i="1"/>
  <c r="D1564" i="1"/>
  <c r="C1564" i="1"/>
  <c r="B1564" i="1"/>
  <c r="A1564" i="1"/>
  <c r="F1563" i="1"/>
  <c r="E1563" i="1"/>
  <c r="D1563" i="1"/>
  <c r="C1563" i="1"/>
  <c r="B1563" i="1"/>
  <c r="A1563" i="1"/>
  <c r="F1562" i="1"/>
  <c r="E1562" i="1"/>
  <c r="D1562" i="1"/>
  <c r="C1562" i="1"/>
  <c r="B1562" i="1"/>
  <c r="A1562" i="1"/>
  <c r="F1561" i="1"/>
  <c r="E1561" i="1"/>
  <c r="D1561" i="1"/>
  <c r="C1561" i="1"/>
  <c r="B1561" i="1"/>
  <c r="A1561" i="1"/>
  <c r="F1560" i="1"/>
  <c r="E1560" i="1"/>
  <c r="D1560" i="1"/>
  <c r="C1560" i="1"/>
  <c r="B1560" i="1"/>
  <c r="A1560" i="1"/>
  <c r="F1559" i="1"/>
  <c r="E1559" i="1"/>
  <c r="D1559" i="1"/>
  <c r="C1559" i="1"/>
  <c r="B1559" i="1"/>
  <c r="A1559" i="1"/>
  <c r="F1558" i="1"/>
  <c r="E1558" i="1"/>
  <c r="D1558" i="1"/>
  <c r="C1558" i="1"/>
  <c r="B1558" i="1"/>
  <c r="A1558" i="1"/>
  <c r="F1557" i="1"/>
  <c r="E1557" i="1"/>
  <c r="D1557" i="1"/>
  <c r="C1557" i="1"/>
  <c r="B1557" i="1"/>
  <c r="A1557" i="1"/>
  <c r="F1556" i="1"/>
  <c r="E1556" i="1"/>
  <c r="D1556" i="1"/>
  <c r="C1556" i="1"/>
  <c r="B1556" i="1"/>
  <c r="A1556" i="1"/>
  <c r="F1555" i="1"/>
  <c r="E1555" i="1"/>
  <c r="D1555" i="1"/>
  <c r="C1555" i="1"/>
  <c r="B1555" i="1"/>
  <c r="A1555" i="1"/>
  <c r="F1554" i="1"/>
  <c r="E1554" i="1"/>
  <c r="D1554" i="1"/>
  <c r="C1554" i="1"/>
  <c r="B1554" i="1"/>
  <c r="A1554" i="1"/>
  <c r="F1553" i="1"/>
  <c r="E1553" i="1"/>
  <c r="D1553" i="1"/>
  <c r="C1553" i="1"/>
  <c r="B1553" i="1"/>
  <c r="A1553" i="1"/>
  <c r="F1552" i="1"/>
  <c r="E1552" i="1"/>
  <c r="D1552" i="1"/>
  <c r="C1552" i="1"/>
  <c r="B1552" i="1"/>
  <c r="A1552" i="1"/>
  <c r="F1551" i="1"/>
  <c r="E1551" i="1"/>
  <c r="D1551" i="1"/>
  <c r="C1551" i="1"/>
  <c r="B1551" i="1"/>
  <c r="A1551" i="1"/>
  <c r="F1550" i="1"/>
  <c r="E1550" i="1"/>
  <c r="D1550" i="1"/>
  <c r="C1550" i="1"/>
  <c r="B1550" i="1"/>
  <c r="A1550" i="1"/>
  <c r="F1549" i="1"/>
  <c r="E1549" i="1"/>
  <c r="D1549" i="1"/>
  <c r="C1549" i="1"/>
  <c r="B1549" i="1"/>
  <c r="A1549" i="1"/>
  <c r="F1548" i="1"/>
  <c r="E1548" i="1"/>
  <c r="D1548" i="1"/>
  <c r="C1548" i="1"/>
  <c r="B1548" i="1"/>
  <c r="A1548" i="1"/>
  <c r="F1547" i="1"/>
  <c r="E1547" i="1"/>
  <c r="D1547" i="1"/>
  <c r="C1547" i="1"/>
  <c r="B1547" i="1"/>
  <c r="A1547" i="1"/>
  <c r="F1546" i="1"/>
  <c r="E1546" i="1"/>
  <c r="D1546" i="1"/>
  <c r="C1546" i="1"/>
  <c r="B1546" i="1"/>
  <c r="A1546" i="1"/>
  <c r="F1545" i="1"/>
  <c r="E1545" i="1"/>
  <c r="D1545" i="1"/>
  <c r="C1545" i="1"/>
  <c r="B1545" i="1"/>
  <c r="A1545" i="1"/>
  <c r="F1544" i="1"/>
  <c r="E1544" i="1"/>
  <c r="D1544" i="1"/>
  <c r="C1544" i="1"/>
  <c r="B1544" i="1"/>
  <c r="A1544" i="1"/>
  <c r="F1543" i="1"/>
  <c r="E1543" i="1"/>
  <c r="D1543" i="1"/>
  <c r="C1543" i="1"/>
  <c r="B1543" i="1"/>
  <c r="A1543" i="1"/>
  <c r="F1542" i="1"/>
  <c r="E1542" i="1"/>
  <c r="D1542" i="1"/>
  <c r="C1542" i="1"/>
  <c r="B1542" i="1"/>
  <c r="A1542" i="1"/>
  <c r="F1541" i="1"/>
  <c r="E1541" i="1"/>
  <c r="D1541" i="1"/>
  <c r="C1541" i="1"/>
  <c r="B1541" i="1"/>
  <c r="A1541" i="1"/>
  <c r="F1540" i="1"/>
  <c r="E1540" i="1"/>
  <c r="D1540" i="1"/>
  <c r="C1540" i="1"/>
  <c r="B1540" i="1"/>
  <c r="A1540" i="1"/>
  <c r="F1539" i="1"/>
  <c r="E1539" i="1"/>
  <c r="D1539" i="1"/>
  <c r="C1539" i="1"/>
  <c r="B1539" i="1"/>
  <c r="A1539" i="1"/>
  <c r="F1538" i="1"/>
  <c r="E1538" i="1"/>
  <c r="D1538" i="1"/>
  <c r="C1538" i="1"/>
  <c r="B1538" i="1"/>
  <c r="A1538" i="1"/>
  <c r="F1537" i="1"/>
  <c r="E1537" i="1"/>
  <c r="D1537" i="1"/>
  <c r="C1537" i="1"/>
  <c r="B1537" i="1"/>
  <c r="A1537" i="1"/>
  <c r="F1536" i="1"/>
  <c r="E1536" i="1"/>
  <c r="D1536" i="1"/>
  <c r="C1536" i="1"/>
  <c r="B1536" i="1"/>
  <c r="A1536" i="1"/>
  <c r="F1535" i="1"/>
  <c r="E1535" i="1"/>
  <c r="D1535" i="1"/>
  <c r="C1535" i="1"/>
  <c r="B1535" i="1"/>
  <c r="A1535" i="1"/>
  <c r="F1534" i="1"/>
  <c r="E1534" i="1"/>
  <c r="D1534" i="1"/>
  <c r="C1534" i="1"/>
  <c r="B1534" i="1"/>
  <c r="A1534" i="1"/>
  <c r="F1533" i="1"/>
  <c r="E1533" i="1"/>
  <c r="D1533" i="1"/>
  <c r="C1533" i="1"/>
  <c r="B1533" i="1"/>
  <c r="A1533" i="1"/>
  <c r="F1532" i="1"/>
  <c r="E1532" i="1"/>
  <c r="D1532" i="1"/>
  <c r="C1532" i="1"/>
  <c r="B1532" i="1"/>
  <c r="A1532" i="1"/>
  <c r="F1531" i="1"/>
  <c r="E1531" i="1"/>
  <c r="D1531" i="1"/>
  <c r="C1531" i="1"/>
  <c r="B1531" i="1"/>
  <c r="A1531" i="1"/>
  <c r="F1530" i="1"/>
  <c r="E1530" i="1"/>
  <c r="D1530" i="1"/>
  <c r="C1530" i="1"/>
  <c r="B1530" i="1"/>
  <c r="A1530" i="1"/>
  <c r="F1529" i="1"/>
  <c r="E1529" i="1"/>
  <c r="D1529" i="1"/>
  <c r="C1529" i="1"/>
  <c r="B1529" i="1"/>
  <c r="A1529" i="1"/>
  <c r="F1528" i="1"/>
  <c r="E1528" i="1"/>
  <c r="D1528" i="1"/>
  <c r="C1528" i="1"/>
  <c r="B1528" i="1"/>
  <c r="A1528" i="1"/>
  <c r="F1527" i="1"/>
  <c r="E1527" i="1"/>
  <c r="D1527" i="1"/>
  <c r="C1527" i="1"/>
  <c r="B1527" i="1"/>
  <c r="A1527" i="1"/>
  <c r="F1526" i="1"/>
  <c r="E1526" i="1"/>
  <c r="D1526" i="1"/>
  <c r="C1526" i="1"/>
  <c r="B1526" i="1"/>
  <c r="A1526" i="1"/>
  <c r="F1525" i="1"/>
  <c r="E1525" i="1"/>
  <c r="D1525" i="1"/>
  <c r="C1525" i="1"/>
  <c r="B1525" i="1"/>
  <c r="A1525" i="1"/>
  <c r="F1524" i="1"/>
  <c r="E1524" i="1"/>
  <c r="D1524" i="1"/>
  <c r="C1524" i="1"/>
  <c r="B1524" i="1"/>
  <c r="A1524" i="1"/>
  <c r="F1523" i="1"/>
  <c r="E1523" i="1"/>
  <c r="D1523" i="1"/>
  <c r="C1523" i="1"/>
  <c r="B1523" i="1"/>
  <c r="A1523" i="1"/>
  <c r="F1522" i="1"/>
  <c r="E1522" i="1"/>
  <c r="D1522" i="1"/>
  <c r="C1522" i="1"/>
  <c r="B1522" i="1"/>
  <c r="A1522" i="1"/>
  <c r="F1521" i="1"/>
  <c r="E1521" i="1"/>
  <c r="D1521" i="1"/>
  <c r="C1521" i="1"/>
  <c r="B1521" i="1"/>
  <c r="A1521" i="1"/>
  <c r="F1520" i="1"/>
  <c r="E1520" i="1"/>
  <c r="D1520" i="1"/>
  <c r="C1520" i="1"/>
  <c r="B1520" i="1"/>
  <c r="A1520" i="1"/>
  <c r="F1519" i="1"/>
  <c r="E1519" i="1"/>
  <c r="D1519" i="1"/>
  <c r="C1519" i="1"/>
  <c r="B1519" i="1"/>
  <c r="A1519" i="1"/>
  <c r="F1518" i="1"/>
  <c r="E1518" i="1"/>
  <c r="D1518" i="1"/>
  <c r="C1518" i="1"/>
  <c r="B1518" i="1"/>
  <c r="A1518" i="1"/>
  <c r="F1517" i="1"/>
  <c r="E1517" i="1"/>
  <c r="D1517" i="1"/>
  <c r="C1517" i="1"/>
  <c r="B1517" i="1"/>
  <c r="A1517" i="1"/>
  <c r="F1516" i="1"/>
  <c r="E1516" i="1"/>
  <c r="D1516" i="1"/>
  <c r="C1516" i="1"/>
  <c r="B1516" i="1"/>
  <c r="A1516" i="1"/>
  <c r="F1515" i="1"/>
  <c r="E1515" i="1"/>
  <c r="D1515" i="1"/>
  <c r="C1515" i="1"/>
  <c r="B1515" i="1"/>
  <c r="A1515" i="1"/>
  <c r="F1514" i="1"/>
  <c r="E1514" i="1"/>
  <c r="D1514" i="1"/>
  <c r="C1514" i="1"/>
  <c r="B1514" i="1"/>
  <c r="A1514" i="1"/>
  <c r="F1513" i="1"/>
  <c r="E1513" i="1"/>
  <c r="D1513" i="1"/>
  <c r="C1513" i="1"/>
  <c r="B1513" i="1"/>
  <c r="A1513" i="1"/>
  <c r="F1512" i="1"/>
  <c r="E1512" i="1"/>
  <c r="D1512" i="1"/>
  <c r="C1512" i="1"/>
  <c r="B1512" i="1"/>
  <c r="A1512" i="1"/>
  <c r="F1511" i="1"/>
  <c r="E1511" i="1"/>
  <c r="D1511" i="1"/>
  <c r="C1511" i="1"/>
  <c r="B1511" i="1"/>
  <c r="A1511" i="1"/>
  <c r="F1510" i="1"/>
  <c r="E1510" i="1"/>
  <c r="D1510" i="1"/>
  <c r="C1510" i="1"/>
  <c r="B1510" i="1"/>
  <c r="A1510" i="1"/>
  <c r="F1509" i="1"/>
  <c r="E1509" i="1"/>
  <c r="D1509" i="1"/>
  <c r="C1509" i="1"/>
  <c r="B1509" i="1"/>
  <c r="A1509" i="1"/>
  <c r="F1508" i="1"/>
  <c r="E1508" i="1"/>
  <c r="D1508" i="1"/>
  <c r="C1508" i="1"/>
  <c r="B1508" i="1"/>
  <c r="A1508" i="1"/>
  <c r="F1507" i="1"/>
  <c r="E1507" i="1"/>
  <c r="D1507" i="1"/>
  <c r="C1507" i="1"/>
  <c r="B1507" i="1"/>
  <c r="A1507" i="1"/>
  <c r="F1506" i="1"/>
  <c r="E1506" i="1"/>
  <c r="D1506" i="1"/>
  <c r="C1506" i="1"/>
  <c r="B1506" i="1"/>
  <c r="A1506" i="1"/>
  <c r="F1505" i="1"/>
  <c r="E1505" i="1"/>
  <c r="D1505" i="1"/>
  <c r="C1505" i="1"/>
  <c r="B1505" i="1"/>
  <c r="A1505" i="1"/>
  <c r="F1504" i="1"/>
  <c r="E1504" i="1"/>
  <c r="D1504" i="1"/>
  <c r="C1504" i="1"/>
  <c r="B1504" i="1"/>
  <c r="A1504" i="1"/>
  <c r="F1503" i="1"/>
  <c r="E1503" i="1"/>
  <c r="D1503" i="1"/>
  <c r="C1503" i="1"/>
  <c r="B1503" i="1"/>
  <c r="A1503" i="1"/>
  <c r="F1502" i="1"/>
  <c r="E1502" i="1"/>
  <c r="D1502" i="1"/>
  <c r="C1502" i="1"/>
  <c r="B1502" i="1"/>
  <c r="A1502" i="1"/>
  <c r="F1501" i="1"/>
  <c r="E1501" i="1"/>
  <c r="D1501" i="1"/>
  <c r="C1501" i="1"/>
  <c r="B1501" i="1"/>
  <c r="A1501" i="1"/>
  <c r="F1500" i="1"/>
  <c r="E1500" i="1"/>
  <c r="D1500" i="1"/>
  <c r="C1500" i="1"/>
  <c r="B1500" i="1"/>
  <c r="A1500" i="1"/>
  <c r="F1499" i="1"/>
  <c r="E1499" i="1"/>
  <c r="D1499" i="1"/>
  <c r="C1499" i="1"/>
  <c r="B1499" i="1"/>
  <c r="A1499" i="1"/>
  <c r="F1498" i="1"/>
  <c r="E1498" i="1"/>
  <c r="D1498" i="1"/>
  <c r="C1498" i="1"/>
  <c r="B1498" i="1"/>
  <c r="A1498" i="1"/>
  <c r="F1497" i="1"/>
  <c r="E1497" i="1"/>
  <c r="D1497" i="1"/>
  <c r="C1497" i="1"/>
  <c r="B1497" i="1"/>
  <c r="A1497" i="1"/>
  <c r="F1496" i="1"/>
  <c r="E1496" i="1"/>
  <c r="D1496" i="1"/>
  <c r="C1496" i="1"/>
  <c r="B1496" i="1"/>
  <c r="A1496" i="1"/>
  <c r="F1495" i="1"/>
  <c r="E1495" i="1"/>
  <c r="D1495" i="1"/>
  <c r="C1495" i="1"/>
  <c r="B1495" i="1"/>
  <c r="A1495" i="1"/>
  <c r="F1494" i="1"/>
  <c r="E1494" i="1"/>
  <c r="D1494" i="1"/>
  <c r="C1494" i="1"/>
  <c r="B1494" i="1"/>
  <c r="A1494" i="1"/>
  <c r="F1493" i="1"/>
  <c r="E1493" i="1"/>
  <c r="D1493" i="1"/>
  <c r="C1493" i="1"/>
  <c r="B1493" i="1"/>
  <c r="A1493" i="1"/>
  <c r="F1492" i="1"/>
  <c r="E1492" i="1"/>
  <c r="D1492" i="1"/>
  <c r="C1492" i="1"/>
  <c r="B1492" i="1"/>
  <c r="A1492" i="1"/>
  <c r="F1491" i="1"/>
  <c r="E1491" i="1"/>
  <c r="D1491" i="1"/>
  <c r="C1491" i="1"/>
  <c r="B1491" i="1"/>
  <c r="A1491" i="1"/>
  <c r="F1490" i="1"/>
  <c r="E1490" i="1"/>
  <c r="D1490" i="1"/>
  <c r="C1490" i="1"/>
  <c r="B1490" i="1"/>
  <c r="A1490" i="1"/>
  <c r="F1489" i="1"/>
  <c r="E1489" i="1"/>
  <c r="D1489" i="1"/>
  <c r="C1489" i="1"/>
  <c r="B1489" i="1"/>
  <c r="A1489" i="1"/>
  <c r="F1488" i="1"/>
  <c r="E1488" i="1"/>
  <c r="D1488" i="1"/>
  <c r="C1488" i="1"/>
  <c r="B1488" i="1"/>
  <c r="A1488" i="1"/>
  <c r="F1487" i="1"/>
  <c r="E1487" i="1"/>
  <c r="D1487" i="1"/>
  <c r="C1487" i="1"/>
  <c r="B1487" i="1"/>
  <c r="A1487" i="1"/>
  <c r="F1486" i="1"/>
  <c r="E1486" i="1"/>
  <c r="D1486" i="1"/>
  <c r="C1486" i="1"/>
  <c r="B1486" i="1"/>
  <c r="A1486" i="1"/>
  <c r="F1485" i="1"/>
  <c r="E1485" i="1"/>
  <c r="D1485" i="1"/>
  <c r="C1485" i="1"/>
  <c r="B1485" i="1"/>
  <c r="A1485" i="1"/>
  <c r="F1484" i="1"/>
  <c r="E1484" i="1"/>
  <c r="D1484" i="1"/>
  <c r="C1484" i="1"/>
  <c r="B1484" i="1"/>
  <c r="A1484" i="1"/>
  <c r="F1483" i="1"/>
  <c r="E1483" i="1"/>
  <c r="D1483" i="1"/>
  <c r="C1483" i="1"/>
  <c r="B1483" i="1"/>
  <c r="A1483" i="1"/>
  <c r="F1482" i="1"/>
  <c r="E1482" i="1"/>
  <c r="D1482" i="1"/>
  <c r="C1482" i="1"/>
  <c r="B1482" i="1"/>
  <c r="A1482" i="1"/>
  <c r="F1481" i="1"/>
  <c r="E1481" i="1"/>
  <c r="D1481" i="1"/>
  <c r="C1481" i="1"/>
  <c r="B1481" i="1"/>
  <c r="A1481" i="1"/>
  <c r="F1480" i="1"/>
  <c r="E1480" i="1"/>
  <c r="D1480" i="1"/>
  <c r="C1480" i="1"/>
  <c r="B1480" i="1"/>
  <c r="A1480" i="1"/>
  <c r="F1479" i="1"/>
  <c r="E1479" i="1"/>
  <c r="D1479" i="1"/>
  <c r="C1479" i="1"/>
  <c r="B1479" i="1"/>
  <c r="A1479" i="1"/>
  <c r="F1478" i="1"/>
  <c r="E1478" i="1"/>
  <c r="D1478" i="1"/>
  <c r="C1478" i="1"/>
  <c r="B1478" i="1"/>
  <c r="A1478" i="1"/>
  <c r="F1477" i="1"/>
  <c r="E1477" i="1"/>
  <c r="D1477" i="1"/>
  <c r="C1477" i="1"/>
  <c r="B1477" i="1"/>
  <c r="A1477" i="1"/>
  <c r="F1476" i="1"/>
  <c r="E1476" i="1"/>
  <c r="D1476" i="1"/>
  <c r="C1476" i="1"/>
  <c r="B1476" i="1"/>
  <c r="A1476" i="1"/>
  <c r="F1475" i="1"/>
  <c r="E1475" i="1"/>
  <c r="D1475" i="1"/>
  <c r="C1475" i="1"/>
  <c r="B1475" i="1"/>
  <c r="A1475" i="1"/>
  <c r="F1474" i="1"/>
  <c r="E1474" i="1"/>
  <c r="D1474" i="1"/>
  <c r="C1474" i="1"/>
  <c r="B1474" i="1"/>
  <c r="A1474" i="1"/>
  <c r="F1473" i="1"/>
  <c r="E1473" i="1"/>
  <c r="D1473" i="1"/>
  <c r="C1473" i="1"/>
  <c r="B1473" i="1"/>
  <c r="A1473" i="1"/>
  <c r="F1472" i="1"/>
  <c r="E1472" i="1"/>
  <c r="D1472" i="1"/>
  <c r="C1472" i="1"/>
  <c r="B1472" i="1"/>
  <c r="A1472" i="1"/>
  <c r="F1471" i="1"/>
  <c r="E1471" i="1"/>
  <c r="D1471" i="1"/>
  <c r="C1471" i="1"/>
  <c r="B1471" i="1"/>
  <c r="A1471" i="1"/>
  <c r="F1470" i="1"/>
  <c r="E1470" i="1"/>
  <c r="D1470" i="1"/>
  <c r="C1470" i="1"/>
  <c r="B1470" i="1"/>
  <c r="A1470" i="1"/>
  <c r="F1469" i="1"/>
  <c r="E1469" i="1"/>
  <c r="D1469" i="1"/>
  <c r="C1469" i="1"/>
  <c r="B1469" i="1"/>
  <c r="A1469" i="1"/>
  <c r="F1468" i="1"/>
  <c r="E1468" i="1"/>
  <c r="D1468" i="1"/>
  <c r="C1468" i="1"/>
  <c r="B1468" i="1"/>
  <c r="A1468" i="1"/>
  <c r="F1467" i="1"/>
  <c r="E1467" i="1"/>
  <c r="D1467" i="1"/>
  <c r="C1467" i="1"/>
  <c r="B1467" i="1"/>
  <c r="A1467" i="1"/>
  <c r="F1466" i="1"/>
  <c r="E1466" i="1"/>
  <c r="D1466" i="1"/>
  <c r="C1466" i="1"/>
  <c r="B1466" i="1"/>
  <c r="A1466" i="1"/>
  <c r="F1465" i="1"/>
  <c r="E1465" i="1"/>
  <c r="D1465" i="1"/>
  <c r="C1465" i="1"/>
  <c r="B1465" i="1"/>
  <c r="A1465" i="1"/>
  <c r="F1464" i="1"/>
  <c r="E1464" i="1"/>
  <c r="D1464" i="1"/>
  <c r="C1464" i="1"/>
  <c r="B1464" i="1"/>
  <c r="A1464" i="1"/>
  <c r="F1463" i="1"/>
  <c r="E1463" i="1"/>
  <c r="D1463" i="1"/>
  <c r="C1463" i="1"/>
  <c r="B1463" i="1"/>
  <c r="A1463" i="1"/>
  <c r="F1462" i="1"/>
  <c r="E1462" i="1"/>
  <c r="D1462" i="1"/>
  <c r="C1462" i="1"/>
  <c r="B1462" i="1"/>
  <c r="A1462" i="1"/>
  <c r="F1461" i="1"/>
  <c r="E1461" i="1"/>
  <c r="D1461" i="1"/>
  <c r="C1461" i="1"/>
  <c r="B1461" i="1"/>
  <c r="A1461" i="1"/>
  <c r="F1460" i="1"/>
  <c r="E1460" i="1"/>
  <c r="D1460" i="1"/>
  <c r="C1460" i="1"/>
  <c r="B1460" i="1"/>
  <c r="A1460" i="1"/>
  <c r="F1459" i="1"/>
  <c r="E1459" i="1"/>
  <c r="D1459" i="1"/>
  <c r="C1459" i="1"/>
  <c r="B1459" i="1"/>
  <c r="A1459" i="1"/>
  <c r="F1458" i="1"/>
  <c r="E1458" i="1"/>
  <c r="D1458" i="1"/>
  <c r="C1458" i="1"/>
  <c r="B1458" i="1"/>
  <c r="A1458" i="1"/>
  <c r="F1457" i="1"/>
  <c r="E1457" i="1"/>
  <c r="D1457" i="1"/>
  <c r="C1457" i="1"/>
  <c r="B1457" i="1"/>
  <c r="A1457" i="1"/>
  <c r="F1456" i="1"/>
  <c r="E1456" i="1"/>
  <c r="D1456" i="1"/>
  <c r="C1456" i="1"/>
  <c r="B1456" i="1"/>
  <c r="A1456" i="1"/>
  <c r="F1455" i="1"/>
  <c r="E1455" i="1"/>
  <c r="D1455" i="1"/>
  <c r="C1455" i="1"/>
  <c r="B1455" i="1"/>
  <c r="A1455" i="1"/>
  <c r="F1454" i="1"/>
  <c r="E1454" i="1"/>
  <c r="D1454" i="1"/>
  <c r="C1454" i="1"/>
  <c r="B1454" i="1"/>
  <c r="A1454" i="1"/>
  <c r="F1453" i="1"/>
  <c r="E1453" i="1"/>
  <c r="D1453" i="1"/>
  <c r="C1453" i="1"/>
  <c r="B1453" i="1"/>
  <c r="A1453" i="1"/>
  <c r="F1452" i="1"/>
  <c r="E1452" i="1"/>
  <c r="D1452" i="1"/>
  <c r="C1452" i="1"/>
  <c r="B1452" i="1"/>
  <c r="A1452" i="1"/>
  <c r="F1451" i="1"/>
  <c r="E1451" i="1"/>
  <c r="D1451" i="1"/>
  <c r="C1451" i="1"/>
  <c r="B1451" i="1"/>
  <c r="A1451" i="1"/>
  <c r="F1450" i="1"/>
  <c r="E1450" i="1"/>
  <c r="D1450" i="1"/>
  <c r="C1450" i="1"/>
  <c r="B1450" i="1"/>
  <c r="A1450" i="1"/>
  <c r="F1449" i="1"/>
  <c r="E1449" i="1"/>
  <c r="D1449" i="1"/>
  <c r="C1449" i="1"/>
  <c r="B1449" i="1"/>
  <c r="A1449" i="1"/>
  <c r="F1448" i="1"/>
  <c r="E1448" i="1"/>
  <c r="D1448" i="1"/>
  <c r="C1448" i="1"/>
  <c r="B1448" i="1"/>
  <c r="A1448" i="1"/>
  <c r="F1447" i="1"/>
  <c r="E1447" i="1"/>
  <c r="D1447" i="1"/>
  <c r="C1447" i="1"/>
  <c r="B1447" i="1"/>
  <c r="A1447" i="1"/>
  <c r="F1446" i="1"/>
  <c r="E1446" i="1"/>
  <c r="D1446" i="1"/>
  <c r="C1446" i="1"/>
  <c r="B1446" i="1"/>
  <c r="A1446" i="1"/>
  <c r="F1445" i="1"/>
  <c r="E1445" i="1"/>
  <c r="D1445" i="1"/>
  <c r="C1445" i="1"/>
  <c r="B1445" i="1"/>
  <c r="A1445" i="1"/>
  <c r="F1444" i="1"/>
  <c r="E1444" i="1"/>
  <c r="D1444" i="1"/>
  <c r="C1444" i="1"/>
  <c r="B1444" i="1"/>
  <c r="A1444" i="1"/>
  <c r="F1443" i="1"/>
  <c r="E1443" i="1"/>
  <c r="D1443" i="1"/>
  <c r="C1443" i="1"/>
  <c r="B1443" i="1"/>
  <c r="A1443" i="1"/>
  <c r="F1442" i="1"/>
  <c r="E1442" i="1"/>
  <c r="D1442" i="1"/>
  <c r="C1442" i="1"/>
  <c r="B1442" i="1"/>
  <c r="A1442" i="1"/>
  <c r="F1441" i="1"/>
  <c r="E1441" i="1"/>
  <c r="D1441" i="1"/>
  <c r="C1441" i="1"/>
  <c r="B1441" i="1"/>
  <c r="A1441" i="1"/>
  <c r="F1440" i="1"/>
  <c r="E1440" i="1"/>
  <c r="D1440" i="1"/>
  <c r="C1440" i="1"/>
  <c r="B1440" i="1"/>
  <c r="A1440" i="1"/>
  <c r="F1439" i="1"/>
  <c r="E1439" i="1"/>
  <c r="D1439" i="1"/>
  <c r="C1439" i="1"/>
  <c r="B1439" i="1"/>
  <c r="A1439" i="1"/>
  <c r="F1438" i="1"/>
  <c r="E1438" i="1"/>
  <c r="D1438" i="1"/>
  <c r="C1438" i="1"/>
  <c r="B1438" i="1"/>
  <c r="A1438" i="1"/>
  <c r="F1437" i="1"/>
  <c r="E1437" i="1"/>
  <c r="D1437" i="1"/>
  <c r="C1437" i="1"/>
  <c r="B1437" i="1"/>
  <c r="A1437" i="1"/>
  <c r="F1436" i="1"/>
  <c r="E1436" i="1"/>
  <c r="D1436" i="1"/>
  <c r="C1436" i="1"/>
  <c r="B1436" i="1"/>
  <c r="A1436" i="1"/>
  <c r="F1435" i="1"/>
  <c r="E1435" i="1"/>
  <c r="D1435" i="1"/>
  <c r="C1435" i="1"/>
  <c r="B1435" i="1"/>
  <c r="A1435" i="1"/>
  <c r="F1434" i="1"/>
  <c r="E1434" i="1"/>
  <c r="D1434" i="1"/>
  <c r="C1434" i="1"/>
  <c r="B1434" i="1"/>
  <c r="A1434" i="1"/>
  <c r="F1433" i="1"/>
  <c r="E1433" i="1"/>
  <c r="D1433" i="1"/>
  <c r="C1433" i="1"/>
  <c r="B1433" i="1"/>
  <c r="A1433" i="1"/>
  <c r="F1432" i="1"/>
  <c r="E1432" i="1"/>
  <c r="D1432" i="1"/>
  <c r="C1432" i="1"/>
  <c r="B1432" i="1"/>
  <c r="A1432" i="1"/>
  <c r="F1431" i="1"/>
  <c r="E1431" i="1"/>
  <c r="D1431" i="1"/>
  <c r="C1431" i="1"/>
  <c r="B1431" i="1"/>
  <c r="A1431" i="1"/>
  <c r="F1430" i="1"/>
  <c r="E1430" i="1"/>
  <c r="D1430" i="1"/>
  <c r="C1430" i="1"/>
  <c r="B1430" i="1"/>
  <c r="A1430" i="1"/>
  <c r="F1429" i="1"/>
  <c r="E1429" i="1"/>
  <c r="D1429" i="1"/>
  <c r="C1429" i="1"/>
  <c r="B1429" i="1"/>
  <c r="A1429" i="1"/>
  <c r="F1428" i="1"/>
  <c r="E1428" i="1"/>
  <c r="D1428" i="1"/>
  <c r="C1428" i="1"/>
  <c r="B1428" i="1"/>
  <c r="A1428" i="1"/>
  <c r="F1427" i="1"/>
  <c r="E1427" i="1"/>
  <c r="D1427" i="1"/>
  <c r="C1427" i="1"/>
  <c r="B1427" i="1"/>
  <c r="A1427" i="1"/>
  <c r="F1426" i="1"/>
  <c r="E1426" i="1"/>
  <c r="D1426" i="1"/>
  <c r="C1426" i="1"/>
  <c r="B1426" i="1"/>
  <c r="A1426" i="1"/>
  <c r="F1425" i="1"/>
  <c r="E1425" i="1"/>
  <c r="D1425" i="1"/>
  <c r="C1425" i="1"/>
  <c r="B1425" i="1"/>
  <c r="A1425" i="1"/>
  <c r="F1424" i="1"/>
  <c r="E1424" i="1"/>
  <c r="D1424" i="1"/>
  <c r="C1424" i="1"/>
  <c r="B1424" i="1"/>
  <c r="A1424" i="1"/>
  <c r="F1423" i="1"/>
  <c r="E1423" i="1"/>
  <c r="D1423" i="1"/>
  <c r="C1423" i="1"/>
  <c r="B1423" i="1"/>
  <c r="A1423" i="1"/>
  <c r="F1422" i="1"/>
  <c r="E1422" i="1"/>
  <c r="D1422" i="1"/>
  <c r="C1422" i="1"/>
  <c r="B1422" i="1"/>
  <c r="A1422" i="1"/>
  <c r="F1421" i="1"/>
  <c r="E1421" i="1"/>
  <c r="D1421" i="1"/>
  <c r="C1421" i="1"/>
  <c r="B1421" i="1"/>
  <c r="A1421" i="1"/>
  <c r="F1420" i="1"/>
  <c r="E1420" i="1"/>
  <c r="D1420" i="1"/>
  <c r="C1420" i="1"/>
  <c r="B1420" i="1"/>
  <c r="A1420" i="1"/>
  <c r="F1419" i="1"/>
  <c r="E1419" i="1"/>
  <c r="D1419" i="1"/>
  <c r="C1419" i="1"/>
  <c r="B1419" i="1"/>
  <c r="A1419" i="1"/>
  <c r="F1418" i="1"/>
  <c r="E1418" i="1"/>
  <c r="D1418" i="1"/>
  <c r="C1418" i="1"/>
  <c r="B1418" i="1"/>
  <c r="A1418" i="1"/>
  <c r="F1417" i="1"/>
  <c r="E1417" i="1"/>
  <c r="D1417" i="1"/>
  <c r="C1417" i="1"/>
  <c r="B1417" i="1"/>
  <c r="A1417" i="1"/>
  <c r="F1416" i="1"/>
  <c r="E1416" i="1"/>
  <c r="D1416" i="1"/>
  <c r="C1416" i="1"/>
  <c r="B1416" i="1"/>
  <c r="A1416" i="1"/>
  <c r="F1415" i="1"/>
  <c r="E1415" i="1"/>
  <c r="D1415" i="1"/>
  <c r="C1415" i="1"/>
  <c r="B1415" i="1"/>
  <c r="A1415" i="1"/>
  <c r="F1414" i="1"/>
  <c r="E1414" i="1"/>
  <c r="D1414" i="1"/>
  <c r="C1414" i="1"/>
  <c r="B1414" i="1"/>
  <c r="A1414" i="1"/>
  <c r="F1413" i="1"/>
  <c r="E1413" i="1"/>
  <c r="D1413" i="1"/>
  <c r="C1413" i="1"/>
  <c r="B1413" i="1"/>
  <c r="A1413" i="1"/>
  <c r="F1412" i="1"/>
  <c r="E1412" i="1"/>
  <c r="D1412" i="1"/>
  <c r="C1412" i="1"/>
  <c r="B1412" i="1"/>
  <c r="A1412" i="1"/>
  <c r="F1411" i="1"/>
  <c r="E1411" i="1"/>
  <c r="D1411" i="1"/>
  <c r="C1411" i="1"/>
  <c r="B1411" i="1"/>
  <c r="A1411" i="1"/>
  <c r="F1410" i="1"/>
  <c r="E1410" i="1"/>
  <c r="D1410" i="1"/>
  <c r="C1410" i="1"/>
  <c r="B1410" i="1"/>
  <c r="A1410" i="1"/>
  <c r="F1409" i="1"/>
  <c r="E1409" i="1"/>
  <c r="D1409" i="1"/>
  <c r="C1409" i="1"/>
  <c r="B1409" i="1"/>
  <c r="A1409" i="1"/>
  <c r="F1408" i="1"/>
  <c r="E1408" i="1"/>
  <c r="D1408" i="1"/>
  <c r="C1408" i="1"/>
  <c r="B1408" i="1"/>
  <c r="A1408" i="1"/>
  <c r="F1407" i="1"/>
  <c r="E1407" i="1"/>
  <c r="D1407" i="1"/>
  <c r="C1407" i="1"/>
  <c r="B1407" i="1"/>
  <c r="A1407" i="1"/>
  <c r="F1406" i="1"/>
  <c r="E1406" i="1"/>
  <c r="D1406" i="1"/>
  <c r="C1406" i="1"/>
  <c r="B1406" i="1"/>
  <c r="A1406" i="1"/>
  <c r="F1405" i="1"/>
  <c r="E1405" i="1"/>
  <c r="D1405" i="1"/>
  <c r="C1405" i="1"/>
  <c r="B1405" i="1"/>
  <c r="A1405" i="1"/>
  <c r="F1404" i="1"/>
  <c r="E1404" i="1"/>
  <c r="D1404" i="1"/>
  <c r="C1404" i="1"/>
  <c r="B1404" i="1"/>
  <c r="A1404" i="1"/>
  <c r="F1403" i="1"/>
  <c r="E1403" i="1"/>
  <c r="D1403" i="1"/>
  <c r="C1403" i="1"/>
  <c r="B1403" i="1"/>
  <c r="A1403" i="1"/>
  <c r="F1402" i="1"/>
  <c r="E1402" i="1"/>
  <c r="D1402" i="1"/>
  <c r="C1402" i="1"/>
  <c r="B1402" i="1"/>
  <c r="A1402" i="1"/>
  <c r="F1401" i="1"/>
  <c r="E1401" i="1"/>
  <c r="D1401" i="1"/>
  <c r="C1401" i="1"/>
  <c r="B1401" i="1"/>
  <c r="A1401" i="1"/>
  <c r="F1400" i="1"/>
  <c r="E1400" i="1"/>
  <c r="D1400" i="1"/>
  <c r="C1400" i="1"/>
  <c r="B1400" i="1"/>
  <c r="A1400" i="1"/>
  <c r="F1399" i="1"/>
  <c r="E1399" i="1"/>
  <c r="D1399" i="1"/>
  <c r="C1399" i="1"/>
  <c r="B1399" i="1"/>
  <c r="A1399" i="1"/>
  <c r="F1398" i="1"/>
  <c r="E1398" i="1"/>
  <c r="D1398" i="1"/>
  <c r="C1398" i="1"/>
  <c r="B1398" i="1"/>
  <c r="A1398" i="1"/>
  <c r="F1397" i="1"/>
  <c r="E1397" i="1"/>
  <c r="D1397" i="1"/>
  <c r="C1397" i="1"/>
  <c r="B1397" i="1"/>
  <c r="A1397" i="1"/>
  <c r="F1396" i="1"/>
  <c r="E1396" i="1"/>
  <c r="D1396" i="1"/>
  <c r="C1396" i="1"/>
  <c r="B1396" i="1"/>
  <c r="A1396" i="1"/>
  <c r="F1395" i="1"/>
  <c r="E1395" i="1"/>
  <c r="D1395" i="1"/>
  <c r="C1395" i="1"/>
  <c r="B1395" i="1"/>
  <c r="A1395" i="1"/>
  <c r="F1394" i="1"/>
  <c r="E1394" i="1"/>
  <c r="D1394" i="1"/>
  <c r="C1394" i="1"/>
  <c r="B1394" i="1"/>
  <c r="A1394" i="1"/>
  <c r="F1393" i="1"/>
  <c r="E1393" i="1"/>
  <c r="D1393" i="1"/>
  <c r="C1393" i="1"/>
  <c r="B1393" i="1"/>
  <c r="A1393" i="1"/>
  <c r="F1392" i="1"/>
  <c r="E1392" i="1"/>
  <c r="D1392" i="1"/>
  <c r="C1392" i="1"/>
  <c r="B1392" i="1"/>
  <c r="A1392" i="1"/>
  <c r="F1391" i="1"/>
  <c r="E1391" i="1"/>
  <c r="D1391" i="1"/>
  <c r="C1391" i="1"/>
  <c r="B1391" i="1"/>
  <c r="A1391" i="1"/>
  <c r="F1390" i="1"/>
  <c r="E1390" i="1"/>
  <c r="D1390" i="1"/>
  <c r="C1390" i="1"/>
  <c r="B1390" i="1"/>
  <c r="A1390" i="1"/>
  <c r="F1389" i="1"/>
  <c r="E1389" i="1"/>
  <c r="D1389" i="1"/>
  <c r="C1389" i="1"/>
  <c r="B1389" i="1"/>
  <c r="A1389" i="1"/>
  <c r="F1388" i="1"/>
  <c r="E1388" i="1"/>
  <c r="D1388" i="1"/>
  <c r="C1388" i="1"/>
  <c r="B1388" i="1"/>
  <c r="A1388" i="1"/>
  <c r="F1387" i="1"/>
  <c r="E1387" i="1"/>
  <c r="D1387" i="1"/>
  <c r="C1387" i="1"/>
  <c r="B1387" i="1"/>
  <c r="A1387" i="1"/>
  <c r="F1386" i="1"/>
  <c r="E1386" i="1"/>
  <c r="D1386" i="1"/>
  <c r="C1386" i="1"/>
  <c r="B1386" i="1"/>
  <c r="A1386" i="1"/>
  <c r="F1385" i="1"/>
  <c r="E1385" i="1"/>
  <c r="D1385" i="1"/>
  <c r="C1385" i="1"/>
  <c r="B1385" i="1"/>
  <c r="A1385" i="1"/>
  <c r="F1384" i="1"/>
  <c r="E1384" i="1"/>
  <c r="D1384" i="1"/>
  <c r="C1384" i="1"/>
  <c r="B1384" i="1"/>
  <c r="A1384" i="1"/>
  <c r="F1383" i="1"/>
  <c r="E1383" i="1"/>
  <c r="D1383" i="1"/>
  <c r="C1383" i="1"/>
  <c r="B1383" i="1"/>
  <c r="A1383" i="1"/>
  <c r="F1382" i="1"/>
  <c r="E1382" i="1"/>
  <c r="D1382" i="1"/>
  <c r="C1382" i="1"/>
  <c r="B1382" i="1"/>
  <c r="A1382" i="1"/>
  <c r="F1381" i="1"/>
  <c r="E1381" i="1"/>
  <c r="D1381" i="1"/>
  <c r="C1381" i="1"/>
  <c r="B1381" i="1"/>
  <c r="A1381" i="1"/>
  <c r="F1380" i="1"/>
  <c r="E1380" i="1"/>
  <c r="D1380" i="1"/>
  <c r="C1380" i="1"/>
  <c r="B1380" i="1"/>
  <c r="A1380" i="1"/>
  <c r="F1379" i="1"/>
  <c r="E1379" i="1"/>
  <c r="D1379" i="1"/>
  <c r="C1379" i="1"/>
  <c r="B1379" i="1"/>
  <c r="A1379" i="1"/>
  <c r="F1378" i="1"/>
  <c r="E1378" i="1"/>
  <c r="D1378" i="1"/>
  <c r="C1378" i="1"/>
  <c r="B1378" i="1"/>
  <c r="A1378" i="1"/>
  <c r="F1377" i="1"/>
  <c r="E1377" i="1"/>
  <c r="D1377" i="1"/>
  <c r="C1377" i="1"/>
  <c r="B1377" i="1"/>
  <c r="A1377" i="1"/>
  <c r="F1376" i="1"/>
  <c r="E1376" i="1"/>
  <c r="D1376" i="1"/>
  <c r="C1376" i="1"/>
  <c r="B1376" i="1"/>
  <c r="A1376" i="1"/>
  <c r="F1375" i="1"/>
  <c r="E1375" i="1"/>
  <c r="D1375" i="1"/>
  <c r="C1375" i="1"/>
  <c r="B1375" i="1"/>
  <c r="A1375" i="1"/>
  <c r="F1374" i="1"/>
  <c r="E1374" i="1"/>
  <c r="D1374" i="1"/>
  <c r="C1374" i="1"/>
  <c r="B1374" i="1"/>
  <c r="A1374" i="1"/>
  <c r="F1373" i="1"/>
  <c r="E1373" i="1"/>
  <c r="D1373" i="1"/>
  <c r="C1373" i="1"/>
  <c r="B1373" i="1"/>
  <c r="A1373" i="1"/>
  <c r="F1372" i="1"/>
  <c r="E1372" i="1"/>
  <c r="D1372" i="1"/>
  <c r="C1372" i="1"/>
  <c r="B1372" i="1"/>
  <c r="A1372" i="1"/>
  <c r="F1371" i="1"/>
  <c r="E1371" i="1"/>
  <c r="D1371" i="1"/>
  <c r="C1371" i="1"/>
  <c r="B1371" i="1"/>
  <c r="A1371" i="1"/>
  <c r="F1370" i="1"/>
  <c r="E1370" i="1"/>
  <c r="D1370" i="1"/>
  <c r="C1370" i="1"/>
  <c r="B1370" i="1"/>
  <c r="A1370" i="1"/>
  <c r="F1369" i="1"/>
  <c r="E1369" i="1"/>
  <c r="D1369" i="1"/>
  <c r="C1369" i="1"/>
  <c r="B1369" i="1"/>
  <c r="A1369" i="1"/>
  <c r="F1368" i="1"/>
  <c r="E1368" i="1"/>
  <c r="D1368" i="1"/>
  <c r="C1368" i="1"/>
  <c r="B1368" i="1"/>
  <c r="A1368" i="1"/>
  <c r="F1367" i="1"/>
  <c r="E1367" i="1"/>
  <c r="D1367" i="1"/>
  <c r="C1367" i="1"/>
  <c r="B1367" i="1"/>
  <c r="A1367" i="1"/>
  <c r="F1366" i="1"/>
  <c r="E1366" i="1"/>
  <c r="D1366" i="1"/>
  <c r="C1366" i="1"/>
  <c r="B1366" i="1"/>
  <c r="A1366" i="1"/>
  <c r="F1365" i="1"/>
  <c r="E1365" i="1"/>
  <c r="D1365" i="1"/>
  <c r="C1365" i="1"/>
  <c r="B1365" i="1"/>
  <c r="A1365" i="1"/>
  <c r="F1364" i="1"/>
  <c r="E1364" i="1"/>
  <c r="D1364" i="1"/>
  <c r="C1364" i="1"/>
  <c r="B1364" i="1"/>
  <c r="A1364" i="1"/>
  <c r="F1363" i="1"/>
  <c r="E1363" i="1"/>
  <c r="D1363" i="1"/>
  <c r="C1363" i="1"/>
  <c r="B1363" i="1"/>
  <c r="A1363" i="1"/>
  <c r="F1362" i="1"/>
  <c r="E1362" i="1"/>
  <c r="D1362" i="1"/>
  <c r="C1362" i="1"/>
  <c r="B1362" i="1"/>
  <c r="A1362" i="1"/>
  <c r="F1361" i="1"/>
  <c r="E1361" i="1"/>
  <c r="D1361" i="1"/>
  <c r="C1361" i="1"/>
  <c r="B1361" i="1"/>
  <c r="A1361" i="1"/>
  <c r="F1360" i="1"/>
  <c r="E1360" i="1"/>
  <c r="D1360" i="1"/>
  <c r="C1360" i="1"/>
  <c r="B1360" i="1"/>
  <c r="A1360" i="1"/>
  <c r="F1359" i="1"/>
  <c r="E1359" i="1"/>
  <c r="D1359" i="1"/>
  <c r="C1359" i="1"/>
  <c r="B1359" i="1"/>
  <c r="A1359" i="1"/>
  <c r="F1358" i="1"/>
  <c r="E1358" i="1"/>
  <c r="D1358" i="1"/>
  <c r="C1358" i="1"/>
  <c r="B1358" i="1"/>
  <c r="A1358" i="1"/>
  <c r="F1357" i="1"/>
  <c r="E1357" i="1"/>
  <c r="D1357" i="1"/>
  <c r="C1357" i="1"/>
  <c r="B1357" i="1"/>
  <c r="A1357" i="1"/>
  <c r="F1356" i="1"/>
  <c r="E1356" i="1"/>
  <c r="D1356" i="1"/>
  <c r="C1356" i="1"/>
  <c r="B1356" i="1"/>
  <c r="A1356" i="1"/>
  <c r="F1355" i="1"/>
  <c r="E1355" i="1"/>
  <c r="D1355" i="1"/>
  <c r="C1355" i="1"/>
  <c r="B1355" i="1"/>
  <c r="A1355" i="1"/>
  <c r="F1354" i="1"/>
  <c r="E1354" i="1"/>
  <c r="D1354" i="1"/>
  <c r="C1354" i="1"/>
  <c r="B1354" i="1"/>
  <c r="A1354" i="1"/>
  <c r="F1353" i="1"/>
  <c r="E1353" i="1"/>
  <c r="D1353" i="1"/>
  <c r="C1353" i="1"/>
  <c r="B1353" i="1"/>
  <c r="A1353" i="1"/>
  <c r="F1352" i="1"/>
  <c r="E1352" i="1"/>
  <c r="D1352" i="1"/>
  <c r="C1352" i="1"/>
  <c r="B1352" i="1"/>
  <c r="A1352" i="1"/>
  <c r="F1351" i="1"/>
  <c r="E1351" i="1"/>
  <c r="D1351" i="1"/>
  <c r="C1351" i="1"/>
  <c r="B1351" i="1"/>
  <c r="A1351" i="1"/>
  <c r="F1350" i="1"/>
  <c r="E1350" i="1"/>
  <c r="D1350" i="1"/>
  <c r="C1350" i="1"/>
  <c r="B1350" i="1"/>
  <c r="A1350" i="1"/>
  <c r="F1349" i="1"/>
  <c r="E1349" i="1"/>
  <c r="D1349" i="1"/>
  <c r="C1349" i="1"/>
  <c r="B1349" i="1"/>
  <c r="A1349" i="1"/>
  <c r="F1348" i="1"/>
  <c r="E1348" i="1"/>
  <c r="D1348" i="1"/>
  <c r="C1348" i="1"/>
  <c r="B1348" i="1"/>
  <c r="A1348" i="1"/>
  <c r="F1347" i="1"/>
  <c r="E1347" i="1"/>
  <c r="D1347" i="1"/>
  <c r="C1347" i="1"/>
  <c r="B1347" i="1"/>
  <c r="A1347" i="1"/>
  <c r="F1346" i="1"/>
  <c r="E1346" i="1"/>
  <c r="D1346" i="1"/>
  <c r="C1346" i="1"/>
  <c r="B1346" i="1"/>
  <c r="A1346" i="1"/>
  <c r="F1345" i="1"/>
  <c r="E1345" i="1"/>
  <c r="D1345" i="1"/>
  <c r="C1345" i="1"/>
  <c r="B1345" i="1"/>
  <c r="A1345" i="1"/>
  <c r="F1344" i="1"/>
  <c r="E1344" i="1"/>
  <c r="D1344" i="1"/>
  <c r="C1344" i="1"/>
  <c r="B1344" i="1"/>
  <c r="A1344" i="1"/>
  <c r="F1343" i="1"/>
  <c r="E1343" i="1"/>
  <c r="D1343" i="1"/>
  <c r="C1343" i="1"/>
  <c r="B1343" i="1"/>
  <c r="A1343" i="1"/>
  <c r="F1342" i="1"/>
  <c r="E1342" i="1"/>
  <c r="D1342" i="1"/>
  <c r="C1342" i="1"/>
  <c r="B1342" i="1"/>
  <c r="A1342" i="1"/>
  <c r="F1341" i="1"/>
  <c r="E1341" i="1"/>
  <c r="D1341" i="1"/>
  <c r="C1341" i="1"/>
  <c r="B1341" i="1"/>
  <c r="A1341" i="1"/>
  <c r="F1340" i="1"/>
  <c r="E1340" i="1"/>
  <c r="D1340" i="1"/>
  <c r="C1340" i="1"/>
  <c r="B1340" i="1"/>
  <c r="A1340" i="1"/>
  <c r="F1339" i="1"/>
  <c r="E1339" i="1"/>
  <c r="D1339" i="1"/>
  <c r="C1339" i="1"/>
  <c r="B1339" i="1"/>
  <c r="A1339" i="1"/>
  <c r="F1338" i="1"/>
  <c r="E1338" i="1"/>
  <c r="D1338" i="1"/>
  <c r="C1338" i="1"/>
  <c r="B1338" i="1"/>
  <c r="A1338" i="1"/>
  <c r="F1337" i="1"/>
  <c r="E1337" i="1"/>
  <c r="D1337" i="1"/>
  <c r="C1337" i="1"/>
  <c r="B1337" i="1"/>
  <c r="A1337" i="1"/>
  <c r="F1336" i="1"/>
  <c r="E1336" i="1"/>
  <c r="D1336" i="1"/>
  <c r="C1336" i="1"/>
  <c r="B1336" i="1"/>
  <c r="A1336" i="1"/>
  <c r="F1335" i="1"/>
  <c r="E1335" i="1"/>
  <c r="D1335" i="1"/>
  <c r="C1335" i="1"/>
  <c r="B1335" i="1"/>
  <c r="A1335" i="1"/>
  <c r="F1334" i="1"/>
  <c r="E1334" i="1"/>
  <c r="D1334" i="1"/>
  <c r="C1334" i="1"/>
  <c r="B1334" i="1"/>
  <c r="A1334" i="1"/>
  <c r="F1333" i="1"/>
  <c r="E1333" i="1"/>
  <c r="D1333" i="1"/>
  <c r="C1333" i="1"/>
  <c r="B1333" i="1"/>
  <c r="A1333" i="1"/>
  <c r="F1332" i="1"/>
  <c r="E1332" i="1"/>
  <c r="D1332" i="1"/>
  <c r="C1332" i="1"/>
  <c r="B1332" i="1"/>
  <c r="A1332" i="1"/>
  <c r="F1331" i="1"/>
  <c r="E1331" i="1"/>
  <c r="D1331" i="1"/>
  <c r="C1331" i="1"/>
  <c r="B1331" i="1"/>
  <c r="A1331" i="1"/>
  <c r="F1330" i="1"/>
  <c r="E1330" i="1"/>
  <c r="D1330" i="1"/>
  <c r="C1330" i="1"/>
  <c r="B1330" i="1"/>
  <c r="A1330" i="1"/>
  <c r="F1329" i="1"/>
  <c r="E1329" i="1"/>
  <c r="D1329" i="1"/>
  <c r="C1329" i="1"/>
  <c r="B1329" i="1"/>
  <c r="A1329" i="1"/>
  <c r="F1328" i="1"/>
  <c r="E1328" i="1"/>
  <c r="D1328" i="1"/>
  <c r="C1328" i="1"/>
  <c r="B1328" i="1"/>
  <c r="A1328" i="1"/>
  <c r="F1327" i="1"/>
  <c r="E1327" i="1"/>
  <c r="D1327" i="1"/>
  <c r="C1327" i="1"/>
  <c r="B1327" i="1"/>
  <c r="A1327" i="1"/>
  <c r="F1326" i="1"/>
  <c r="E1326" i="1"/>
  <c r="D1326" i="1"/>
  <c r="C1326" i="1"/>
  <c r="B1326" i="1"/>
  <c r="A1326" i="1"/>
  <c r="F1325" i="1"/>
  <c r="E1325" i="1"/>
  <c r="D1325" i="1"/>
  <c r="C1325" i="1"/>
  <c r="B1325" i="1"/>
  <c r="A1325" i="1"/>
  <c r="F1324" i="1"/>
  <c r="E1324" i="1"/>
  <c r="D1324" i="1"/>
  <c r="C1324" i="1"/>
  <c r="B1324" i="1"/>
  <c r="A1324" i="1"/>
  <c r="F1323" i="1"/>
  <c r="E1323" i="1"/>
  <c r="D1323" i="1"/>
  <c r="C1323" i="1"/>
  <c r="B1323" i="1"/>
  <c r="A1323" i="1"/>
  <c r="F1322" i="1"/>
  <c r="E1322" i="1"/>
  <c r="D1322" i="1"/>
  <c r="C1322" i="1"/>
  <c r="B1322" i="1"/>
  <c r="A1322" i="1"/>
  <c r="F1321" i="1"/>
  <c r="E1321" i="1"/>
  <c r="D1321" i="1"/>
  <c r="C1321" i="1"/>
  <c r="B1321" i="1"/>
  <c r="A1321" i="1"/>
  <c r="F1320" i="1"/>
  <c r="E1320" i="1"/>
  <c r="D1320" i="1"/>
  <c r="C1320" i="1"/>
  <c r="B1320" i="1"/>
  <c r="A1320" i="1"/>
  <c r="F1319" i="1"/>
  <c r="E1319" i="1"/>
  <c r="D1319" i="1"/>
  <c r="C1319" i="1"/>
  <c r="B1319" i="1"/>
  <c r="A1319" i="1"/>
  <c r="F1318" i="1"/>
  <c r="E1318" i="1"/>
  <c r="D1318" i="1"/>
  <c r="C1318" i="1"/>
  <c r="B1318" i="1"/>
  <c r="A1318" i="1"/>
  <c r="F1317" i="1"/>
  <c r="E1317" i="1"/>
  <c r="D1317" i="1"/>
  <c r="C1317" i="1"/>
  <c r="B1317" i="1"/>
  <c r="A1317" i="1"/>
  <c r="F1316" i="1"/>
  <c r="E1316" i="1"/>
  <c r="D1316" i="1"/>
  <c r="C1316" i="1"/>
  <c r="B1316" i="1"/>
  <c r="A1316" i="1"/>
  <c r="F1315" i="1"/>
  <c r="E1315" i="1"/>
  <c r="D1315" i="1"/>
  <c r="C1315" i="1"/>
  <c r="B1315" i="1"/>
  <c r="A1315" i="1"/>
  <c r="F1314" i="1"/>
  <c r="E1314" i="1"/>
  <c r="D1314" i="1"/>
  <c r="C1314" i="1"/>
  <c r="B1314" i="1"/>
  <c r="A1314" i="1"/>
  <c r="F1313" i="1"/>
  <c r="E1313" i="1"/>
  <c r="D1313" i="1"/>
  <c r="C1313" i="1"/>
  <c r="B1313" i="1"/>
  <c r="A1313" i="1"/>
  <c r="F1312" i="1"/>
  <c r="E1312" i="1"/>
  <c r="D1312" i="1"/>
  <c r="C1312" i="1"/>
  <c r="B1312" i="1"/>
  <c r="A1312" i="1"/>
  <c r="F1311" i="1"/>
  <c r="E1311" i="1"/>
  <c r="D1311" i="1"/>
  <c r="C1311" i="1"/>
  <c r="B1311" i="1"/>
  <c r="A1311" i="1"/>
  <c r="F1310" i="1"/>
  <c r="E1310" i="1"/>
  <c r="D1310" i="1"/>
  <c r="C1310" i="1"/>
  <c r="B1310" i="1"/>
  <c r="A1310" i="1"/>
  <c r="F1309" i="1"/>
  <c r="E1309" i="1"/>
  <c r="D1309" i="1"/>
  <c r="C1309" i="1"/>
  <c r="B1309" i="1"/>
  <c r="A1309" i="1"/>
  <c r="F1308" i="1"/>
  <c r="E1308" i="1"/>
  <c r="D1308" i="1"/>
  <c r="C1308" i="1"/>
  <c r="B1308" i="1"/>
  <c r="A1308" i="1"/>
  <c r="F1307" i="1"/>
  <c r="E1307" i="1"/>
  <c r="D1307" i="1"/>
  <c r="C1307" i="1"/>
  <c r="B1307" i="1"/>
  <c r="A1307" i="1"/>
  <c r="F1306" i="1"/>
  <c r="E1306" i="1"/>
  <c r="D1306" i="1"/>
  <c r="C1306" i="1"/>
  <c r="B1306" i="1"/>
  <c r="A1306" i="1"/>
  <c r="F1305" i="1"/>
  <c r="E1305" i="1"/>
  <c r="D1305" i="1"/>
  <c r="C1305" i="1"/>
  <c r="B1305" i="1"/>
  <c r="A1305" i="1"/>
  <c r="F1304" i="1"/>
  <c r="E1304" i="1"/>
  <c r="D1304" i="1"/>
  <c r="C1304" i="1"/>
  <c r="B1304" i="1"/>
  <c r="A1304" i="1"/>
  <c r="F1303" i="1"/>
  <c r="E1303" i="1"/>
  <c r="D1303" i="1"/>
  <c r="C1303" i="1"/>
  <c r="B1303" i="1"/>
  <c r="A1303" i="1"/>
  <c r="F1302" i="1"/>
  <c r="E1302" i="1"/>
  <c r="D1302" i="1"/>
  <c r="C1302" i="1"/>
  <c r="B1302" i="1"/>
  <c r="A1302" i="1"/>
  <c r="F1301" i="1"/>
  <c r="E1301" i="1"/>
  <c r="D1301" i="1"/>
  <c r="C1301" i="1"/>
  <c r="B1301" i="1"/>
  <c r="A1301" i="1"/>
  <c r="F1300" i="1"/>
  <c r="E1300" i="1"/>
  <c r="D1300" i="1"/>
  <c r="C1300" i="1"/>
  <c r="B1300" i="1"/>
  <c r="A1300" i="1"/>
  <c r="F1299" i="1"/>
  <c r="E1299" i="1"/>
  <c r="D1299" i="1"/>
  <c r="C1299" i="1"/>
  <c r="B1299" i="1"/>
  <c r="A1299" i="1"/>
  <c r="F1298" i="1"/>
  <c r="E1298" i="1"/>
  <c r="D1298" i="1"/>
  <c r="C1298" i="1"/>
  <c r="B1298" i="1"/>
  <c r="A1298" i="1"/>
  <c r="F1297" i="1"/>
  <c r="E1297" i="1"/>
  <c r="D1297" i="1"/>
  <c r="C1297" i="1"/>
  <c r="B1297" i="1"/>
  <c r="A1297" i="1"/>
  <c r="F1296" i="1"/>
  <c r="E1296" i="1"/>
  <c r="D1296" i="1"/>
  <c r="C1296" i="1"/>
  <c r="B1296" i="1"/>
  <c r="A1296" i="1"/>
  <c r="F1295" i="1"/>
  <c r="E1295" i="1"/>
  <c r="D1295" i="1"/>
  <c r="C1295" i="1"/>
  <c r="B1295" i="1"/>
  <c r="A1295" i="1"/>
  <c r="F1294" i="1"/>
  <c r="E1294" i="1"/>
  <c r="D1294" i="1"/>
  <c r="C1294" i="1"/>
  <c r="B1294" i="1"/>
  <c r="A1294" i="1"/>
  <c r="F1293" i="1"/>
  <c r="E1293" i="1"/>
  <c r="D1293" i="1"/>
  <c r="C1293" i="1"/>
  <c r="B1293" i="1"/>
  <c r="A1293" i="1"/>
  <c r="F1292" i="1"/>
  <c r="E1292" i="1"/>
  <c r="D1292" i="1"/>
  <c r="C1292" i="1"/>
  <c r="B1292" i="1"/>
  <c r="A1292" i="1"/>
  <c r="F1291" i="1"/>
  <c r="E1291" i="1"/>
  <c r="D1291" i="1"/>
  <c r="C1291" i="1"/>
  <c r="B1291" i="1"/>
  <c r="A1291" i="1"/>
  <c r="F1290" i="1"/>
  <c r="E1290" i="1"/>
  <c r="D1290" i="1"/>
  <c r="C1290" i="1"/>
  <c r="B1290" i="1"/>
  <c r="A1290" i="1"/>
  <c r="F1289" i="1"/>
  <c r="E1289" i="1"/>
  <c r="D1289" i="1"/>
  <c r="C1289" i="1"/>
  <c r="B1289" i="1"/>
  <c r="A1289" i="1"/>
  <c r="F1288" i="1"/>
  <c r="E1288" i="1"/>
  <c r="D1288" i="1"/>
  <c r="C1288" i="1"/>
  <c r="B1288" i="1"/>
  <c r="A1288" i="1"/>
  <c r="F1287" i="1"/>
  <c r="E1287" i="1"/>
  <c r="D1287" i="1"/>
  <c r="C1287" i="1"/>
  <c r="B1287" i="1"/>
  <c r="A1287" i="1"/>
  <c r="F1286" i="1"/>
  <c r="E1286" i="1"/>
  <c r="D1286" i="1"/>
  <c r="C1286" i="1"/>
  <c r="B1286" i="1"/>
  <c r="A1286" i="1"/>
  <c r="F1285" i="1"/>
  <c r="E1285" i="1"/>
  <c r="D1285" i="1"/>
  <c r="C1285" i="1"/>
  <c r="B1285" i="1"/>
  <c r="A1285" i="1"/>
  <c r="F1284" i="1"/>
  <c r="E1284" i="1"/>
  <c r="D1284" i="1"/>
  <c r="C1284" i="1"/>
  <c r="B1284" i="1"/>
  <c r="A1284" i="1"/>
  <c r="F1283" i="1"/>
  <c r="E1283" i="1"/>
  <c r="D1283" i="1"/>
  <c r="C1283" i="1"/>
  <c r="B1283" i="1"/>
  <c r="A1283" i="1"/>
  <c r="F1282" i="1"/>
  <c r="E1282" i="1"/>
  <c r="D1282" i="1"/>
  <c r="C1282" i="1"/>
  <c r="B1282" i="1"/>
  <c r="A1282" i="1"/>
  <c r="F1281" i="1"/>
  <c r="E1281" i="1"/>
  <c r="D1281" i="1"/>
  <c r="C1281" i="1"/>
  <c r="B1281" i="1"/>
  <c r="A1281" i="1"/>
  <c r="F1280" i="1"/>
  <c r="E1280" i="1"/>
  <c r="D1280" i="1"/>
  <c r="C1280" i="1"/>
  <c r="B1280" i="1"/>
  <c r="A1280" i="1"/>
  <c r="F1279" i="1"/>
  <c r="E1279" i="1"/>
  <c r="D1279" i="1"/>
  <c r="C1279" i="1"/>
  <c r="B1279" i="1"/>
  <c r="A1279" i="1"/>
  <c r="F1278" i="1"/>
  <c r="E1278" i="1"/>
  <c r="D1278" i="1"/>
  <c r="C1278" i="1"/>
  <c r="B1278" i="1"/>
  <c r="A1278" i="1"/>
  <c r="F1277" i="1"/>
  <c r="E1277" i="1"/>
  <c r="D1277" i="1"/>
  <c r="C1277" i="1"/>
  <c r="B1277" i="1"/>
  <c r="A1277" i="1"/>
  <c r="F1276" i="1"/>
  <c r="E1276" i="1"/>
  <c r="D1276" i="1"/>
  <c r="C1276" i="1"/>
  <c r="B1276" i="1"/>
  <c r="A1276" i="1"/>
  <c r="F1275" i="1"/>
  <c r="E1275" i="1"/>
  <c r="D1275" i="1"/>
  <c r="C1275" i="1"/>
  <c r="B1275" i="1"/>
  <c r="A1275" i="1"/>
  <c r="F1274" i="1"/>
  <c r="E1274" i="1"/>
  <c r="D1274" i="1"/>
  <c r="C1274" i="1"/>
  <c r="B1274" i="1"/>
  <c r="A1274" i="1"/>
  <c r="F1273" i="1"/>
  <c r="E1273" i="1"/>
  <c r="D1273" i="1"/>
  <c r="C1273" i="1"/>
  <c r="B1273" i="1"/>
  <c r="A1273" i="1"/>
  <c r="F1272" i="1"/>
  <c r="E1272" i="1"/>
  <c r="D1272" i="1"/>
  <c r="C1272" i="1"/>
  <c r="B1272" i="1"/>
  <c r="A1272" i="1"/>
  <c r="F1271" i="1"/>
  <c r="E1271" i="1"/>
  <c r="D1271" i="1"/>
  <c r="C1271" i="1"/>
  <c r="B1271" i="1"/>
  <c r="A1271" i="1"/>
  <c r="F1270" i="1"/>
  <c r="E1270" i="1"/>
  <c r="D1270" i="1"/>
  <c r="C1270" i="1"/>
  <c r="B1270" i="1"/>
  <c r="A1270" i="1"/>
  <c r="F1269" i="1"/>
  <c r="E1269" i="1"/>
  <c r="D1269" i="1"/>
  <c r="C1269" i="1"/>
  <c r="B1269" i="1"/>
  <c r="A1269" i="1"/>
  <c r="F1268" i="1"/>
  <c r="E1268" i="1"/>
  <c r="D1268" i="1"/>
  <c r="C1268" i="1"/>
  <c r="B1268" i="1"/>
  <c r="A1268" i="1"/>
  <c r="F1267" i="1"/>
  <c r="E1267" i="1"/>
  <c r="D1267" i="1"/>
  <c r="C1267" i="1"/>
  <c r="B1267" i="1"/>
  <c r="A1267" i="1"/>
  <c r="F1266" i="1"/>
  <c r="E1266" i="1"/>
  <c r="D1266" i="1"/>
  <c r="C1266" i="1"/>
  <c r="B1266" i="1"/>
  <c r="A1266" i="1"/>
  <c r="F1265" i="1"/>
  <c r="E1265" i="1"/>
  <c r="D1265" i="1"/>
  <c r="C1265" i="1"/>
  <c r="B1265" i="1"/>
  <c r="A1265" i="1"/>
  <c r="F1264" i="1"/>
  <c r="E1264" i="1"/>
  <c r="D1264" i="1"/>
  <c r="C1264" i="1"/>
  <c r="B1264" i="1"/>
  <c r="A1264" i="1"/>
  <c r="F1263" i="1"/>
  <c r="E1263" i="1"/>
  <c r="D1263" i="1"/>
  <c r="C1263" i="1"/>
  <c r="B1263" i="1"/>
  <c r="A1263" i="1"/>
  <c r="F1262" i="1"/>
  <c r="E1262" i="1"/>
  <c r="D1262" i="1"/>
  <c r="C1262" i="1"/>
  <c r="B1262" i="1"/>
  <c r="A1262" i="1"/>
  <c r="F1261" i="1"/>
  <c r="E1261" i="1"/>
  <c r="D1261" i="1"/>
  <c r="C1261" i="1"/>
  <c r="B1261" i="1"/>
  <c r="A1261" i="1"/>
  <c r="F1260" i="1"/>
  <c r="E1260" i="1"/>
  <c r="D1260" i="1"/>
  <c r="C1260" i="1"/>
  <c r="B1260" i="1"/>
  <c r="A1260" i="1"/>
  <c r="F1259" i="1"/>
  <c r="E1259" i="1"/>
  <c r="D1259" i="1"/>
  <c r="C1259" i="1"/>
  <c r="B1259" i="1"/>
  <c r="A1259" i="1"/>
  <c r="F1258" i="1"/>
  <c r="E1258" i="1"/>
  <c r="D1258" i="1"/>
  <c r="C1258" i="1"/>
  <c r="B1258" i="1"/>
  <c r="A1258" i="1"/>
  <c r="F1257" i="1"/>
  <c r="E1257" i="1"/>
  <c r="D1257" i="1"/>
  <c r="C1257" i="1"/>
  <c r="B1257" i="1"/>
  <c r="A1257" i="1"/>
  <c r="F1256" i="1"/>
  <c r="E1256" i="1"/>
  <c r="D1256" i="1"/>
  <c r="C1256" i="1"/>
  <c r="B1256" i="1"/>
  <c r="A1256" i="1"/>
  <c r="F1255" i="1"/>
  <c r="E1255" i="1"/>
  <c r="D1255" i="1"/>
  <c r="C1255" i="1"/>
  <c r="B1255" i="1"/>
  <c r="A1255" i="1"/>
  <c r="F1254" i="1"/>
  <c r="E1254" i="1"/>
  <c r="D1254" i="1"/>
  <c r="C1254" i="1"/>
  <c r="B1254" i="1"/>
  <c r="A1254" i="1"/>
  <c r="F1253" i="1"/>
  <c r="E1253" i="1"/>
  <c r="D1253" i="1"/>
  <c r="C1253" i="1"/>
  <c r="B1253" i="1"/>
  <c r="A1253" i="1"/>
  <c r="F1252" i="1"/>
  <c r="E1252" i="1"/>
  <c r="D1252" i="1"/>
  <c r="C1252" i="1"/>
  <c r="B1252" i="1"/>
  <c r="A1252" i="1"/>
  <c r="F1251" i="1"/>
  <c r="E1251" i="1"/>
  <c r="D1251" i="1"/>
  <c r="C1251" i="1"/>
  <c r="B1251" i="1"/>
  <c r="A1251" i="1"/>
  <c r="F1250" i="1"/>
  <c r="E1250" i="1"/>
  <c r="D1250" i="1"/>
  <c r="C1250" i="1"/>
  <c r="B1250" i="1"/>
  <c r="A1250" i="1"/>
  <c r="F1249" i="1"/>
  <c r="E1249" i="1"/>
  <c r="D1249" i="1"/>
  <c r="C1249" i="1"/>
  <c r="B1249" i="1"/>
  <c r="A1249" i="1"/>
  <c r="F1248" i="1"/>
  <c r="E1248" i="1"/>
  <c r="D1248" i="1"/>
  <c r="C1248" i="1"/>
  <c r="B1248" i="1"/>
  <c r="A1248" i="1"/>
  <c r="F1247" i="1"/>
  <c r="E1247" i="1"/>
  <c r="D1247" i="1"/>
  <c r="C1247" i="1"/>
  <c r="B1247" i="1"/>
  <c r="A1247" i="1"/>
  <c r="F1246" i="1"/>
  <c r="E1246" i="1"/>
  <c r="D1246" i="1"/>
  <c r="C1246" i="1"/>
  <c r="B1246" i="1"/>
  <c r="A1246" i="1"/>
  <c r="F1245" i="1"/>
  <c r="E1245" i="1"/>
  <c r="D1245" i="1"/>
  <c r="C1245" i="1"/>
  <c r="B1245" i="1"/>
  <c r="A1245" i="1"/>
  <c r="F1244" i="1"/>
  <c r="E1244" i="1"/>
  <c r="D1244" i="1"/>
  <c r="C1244" i="1"/>
  <c r="B1244" i="1"/>
  <c r="A1244" i="1"/>
  <c r="F1243" i="1"/>
  <c r="E1243" i="1"/>
  <c r="D1243" i="1"/>
  <c r="C1243" i="1"/>
  <c r="B1243" i="1"/>
  <c r="A1243" i="1"/>
  <c r="F1242" i="1"/>
  <c r="E1242" i="1"/>
  <c r="D1242" i="1"/>
  <c r="C1242" i="1"/>
  <c r="B1242" i="1"/>
  <c r="A1242" i="1"/>
  <c r="F1241" i="1"/>
  <c r="E1241" i="1"/>
  <c r="D1241" i="1"/>
  <c r="C1241" i="1"/>
  <c r="B1241" i="1"/>
  <c r="A1241" i="1"/>
  <c r="F1240" i="1"/>
  <c r="E1240" i="1"/>
  <c r="D1240" i="1"/>
  <c r="C1240" i="1"/>
  <c r="B1240" i="1"/>
  <c r="A1240" i="1"/>
  <c r="F1239" i="1"/>
  <c r="E1239" i="1"/>
  <c r="D1239" i="1"/>
  <c r="C1239" i="1"/>
  <c r="B1239" i="1"/>
  <c r="A1239" i="1"/>
  <c r="F1238" i="1"/>
  <c r="E1238" i="1"/>
  <c r="D1238" i="1"/>
  <c r="C1238" i="1"/>
  <c r="B1238" i="1"/>
  <c r="A1238" i="1"/>
  <c r="F1237" i="1"/>
  <c r="E1237" i="1"/>
  <c r="D1237" i="1"/>
  <c r="C1237" i="1"/>
  <c r="B1237" i="1"/>
  <c r="A1237" i="1"/>
  <c r="F1236" i="1"/>
  <c r="E1236" i="1"/>
  <c r="D1236" i="1"/>
  <c r="C1236" i="1"/>
  <c r="B1236" i="1"/>
  <c r="A1236" i="1"/>
  <c r="F1235" i="1"/>
  <c r="E1235" i="1"/>
  <c r="D1235" i="1"/>
  <c r="C1235" i="1"/>
  <c r="B1235" i="1"/>
  <c r="A1235" i="1"/>
  <c r="F1234" i="1"/>
  <c r="E1234" i="1"/>
  <c r="D1234" i="1"/>
  <c r="C1234" i="1"/>
  <c r="B1234" i="1"/>
  <c r="A1234" i="1"/>
  <c r="F1233" i="1"/>
  <c r="E1233" i="1"/>
  <c r="D1233" i="1"/>
  <c r="C1233" i="1"/>
  <c r="B1233" i="1"/>
  <c r="A1233" i="1"/>
  <c r="F1232" i="1"/>
  <c r="E1232" i="1"/>
  <c r="D1232" i="1"/>
  <c r="C1232" i="1"/>
  <c r="B1232" i="1"/>
  <c r="A1232" i="1"/>
  <c r="F1231" i="1"/>
  <c r="E1231" i="1"/>
  <c r="D1231" i="1"/>
  <c r="C1231" i="1"/>
  <c r="B1231" i="1"/>
  <c r="A1231" i="1"/>
  <c r="F1230" i="1"/>
  <c r="E1230" i="1"/>
  <c r="D1230" i="1"/>
  <c r="C1230" i="1"/>
  <c r="B1230" i="1"/>
  <c r="A1230" i="1"/>
  <c r="F1229" i="1"/>
  <c r="E1229" i="1"/>
  <c r="D1229" i="1"/>
  <c r="C1229" i="1"/>
  <c r="B1229" i="1"/>
  <c r="A1229" i="1"/>
  <c r="F1228" i="1"/>
  <c r="E1228" i="1"/>
  <c r="D1228" i="1"/>
  <c r="C1228" i="1"/>
  <c r="B1228" i="1"/>
  <c r="A1228" i="1"/>
  <c r="F1227" i="1"/>
  <c r="E1227" i="1"/>
  <c r="D1227" i="1"/>
  <c r="C1227" i="1"/>
  <c r="B1227" i="1"/>
  <c r="A1227" i="1"/>
  <c r="F1226" i="1"/>
  <c r="E1226" i="1"/>
  <c r="D1226" i="1"/>
  <c r="C1226" i="1"/>
  <c r="B1226" i="1"/>
  <c r="A1226" i="1"/>
  <c r="F1225" i="1"/>
  <c r="E1225" i="1"/>
  <c r="D1225" i="1"/>
  <c r="C1225" i="1"/>
  <c r="B1225" i="1"/>
  <c r="A1225" i="1"/>
  <c r="F1224" i="1"/>
  <c r="E1224" i="1"/>
  <c r="D1224" i="1"/>
  <c r="C1224" i="1"/>
  <c r="B1224" i="1"/>
  <c r="A1224" i="1"/>
  <c r="F1223" i="1"/>
  <c r="E1223" i="1"/>
  <c r="D1223" i="1"/>
  <c r="C1223" i="1"/>
  <c r="B1223" i="1"/>
  <c r="A1223" i="1"/>
  <c r="F1222" i="1"/>
  <c r="E1222" i="1"/>
  <c r="D1222" i="1"/>
  <c r="C1222" i="1"/>
  <c r="B1222" i="1"/>
  <c r="A1222" i="1"/>
  <c r="F1221" i="1"/>
  <c r="E1221" i="1"/>
  <c r="D1221" i="1"/>
  <c r="C1221" i="1"/>
  <c r="B1221" i="1"/>
  <c r="A1221" i="1"/>
  <c r="F1220" i="1"/>
  <c r="E1220" i="1"/>
  <c r="D1220" i="1"/>
  <c r="C1220" i="1"/>
  <c r="B1220" i="1"/>
  <c r="A1220" i="1"/>
  <c r="F1219" i="1"/>
  <c r="E1219" i="1"/>
  <c r="D1219" i="1"/>
  <c r="C1219" i="1"/>
  <c r="B1219" i="1"/>
  <c r="A1219" i="1"/>
  <c r="F1218" i="1"/>
  <c r="E1218" i="1"/>
  <c r="D1218" i="1"/>
  <c r="C1218" i="1"/>
  <c r="B1218" i="1"/>
  <c r="A1218" i="1"/>
  <c r="F1217" i="1"/>
  <c r="E1217" i="1"/>
  <c r="D1217" i="1"/>
  <c r="C1217" i="1"/>
  <c r="B1217" i="1"/>
  <c r="A1217" i="1"/>
  <c r="F1216" i="1"/>
  <c r="E1216" i="1"/>
  <c r="D1216" i="1"/>
  <c r="C1216" i="1"/>
  <c r="B1216" i="1"/>
  <c r="A1216" i="1"/>
  <c r="F1215" i="1"/>
  <c r="E1215" i="1"/>
  <c r="D1215" i="1"/>
  <c r="C1215" i="1"/>
  <c r="B1215" i="1"/>
  <c r="A1215" i="1"/>
  <c r="F1214" i="1"/>
  <c r="E1214" i="1"/>
  <c r="D1214" i="1"/>
  <c r="C1214" i="1"/>
  <c r="B1214" i="1"/>
  <c r="A1214" i="1"/>
  <c r="F1213" i="1"/>
  <c r="E1213" i="1"/>
  <c r="D1213" i="1"/>
  <c r="C1213" i="1"/>
  <c r="B1213" i="1"/>
  <c r="A1213" i="1"/>
  <c r="F1212" i="1"/>
  <c r="E1212" i="1"/>
  <c r="D1212" i="1"/>
  <c r="C1212" i="1"/>
  <c r="B1212" i="1"/>
  <c r="A1212" i="1"/>
  <c r="F1211" i="1"/>
  <c r="E1211" i="1"/>
  <c r="D1211" i="1"/>
  <c r="C1211" i="1"/>
  <c r="B1211" i="1"/>
  <c r="A1211" i="1"/>
  <c r="F1210" i="1"/>
  <c r="E1210" i="1"/>
  <c r="D1210" i="1"/>
  <c r="C1210" i="1"/>
  <c r="B1210" i="1"/>
  <c r="A1210" i="1"/>
  <c r="F1209" i="1"/>
  <c r="E1209" i="1"/>
  <c r="D1209" i="1"/>
  <c r="C1209" i="1"/>
  <c r="B1209" i="1"/>
  <c r="A1209" i="1"/>
  <c r="F1208" i="1"/>
  <c r="E1208" i="1"/>
  <c r="D1208" i="1"/>
  <c r="C1208" i="1"/>
  <c r="B1208" i="1"/>
  <c r="A1208" i="1"/>
  <c r="F1207" i="1"/>
  <c r="E1207" i="1"/>
  <c r="D1207" i="1"/>
  <c r="C1207" i="1"/>
  <c r="B1207" i="1"/>
  <c r="A1207" i="1"/>
  <c r="F1206" i="1"/>
  <c r="E1206" i="1"/>
  <c r="D1206" i="1"/>
  <c r="C1206" i="1"/>
  <c r="B1206" i="1"/>
  <c r="A1206" i="1"/>
  <c r="F1205" i="1"/>
  <c r="E1205" i="1"/>
  <c r="D1205" i="1"/>
  <c r="C1205" i="1"/>
  <c r="B1205" i="1"/>
  <c r="A1205" i="1"/>
  <c r="F1204" i="1"/>
  <c r="E1204" i="1"/>
  <c r="D1204" i="1"/>
  <c r="C1204" i="1"/>
  <c r="B1204" i="1"/>
  <c r="A1204" i="1"/>
  <c r="F1203" i="1"/>
  <c r="E1203" i="1"/>
  <c r="D1203" i="1"/>
  <c r="C1203" i="1"/>
  <c r="B1203" i="1"/>
  <c r="A1203" i="1"/>
  <c r="F1202" i="1"/>
  <c r="E1202" i="1"/>
  <c r="D1202" i="1"/>
  <c r="C1202" i="1"/>
  <c r="B1202" i="1"/>
  <c r="A1202" i="1"/>
  <c r="F1201" i="1"/>
  <c r="E1201" i="1"/>
  <c r="D1201" i="1"/>
  <c r="C1201" i="1"/>
  <c r="B1201" i="1"/>
  <c r="A1201" i="1"/>
  <c r="F1200" i="1"/>
  <c r="E1200" i="1"/>
  <c r="D1200" i="1"/>
  <c r="C1200" i="1"/>
  <c r="B1200" i="1"/>
  <c r="A1200" i="1"/>
  <c r="F1199" i="1"/>
  <c r="E1199" i="1"/>
  <c r="D1199" i="1"/>
  <c r="C1199" i="1"/>
  <c r="B1199" i="1"/>
  <c r="A1199" i="1"/>
  <c r="F1198" i="1"/>
  <c r="E1198" i="1"/>
  <c r="D1198" i="1"/>
  <c r="C1198" i="1"/>
  <c r="B1198" i="1"/>
  <c r="A1198" i="1"/>
  <c r="F1197" i="1"/>
  <c r="E1197" i="1"/>
  <c r="D1197" i="1"/>
  <c r="C1197" i="1"/>
  <c r="B1197" i="1"/>
  <c r="A1197" i="1"/>
  <c r="F1196" i="1"/>
  <c r="E1196" i="1"/>
  <c r="D1196" i="1"/>
  <c r="C1196" i="1"/>
  <c r="B1196" i="1"/>
  <c r="A1196" i="1"/>
  <c r="F1195" i="1"/>
  <c r="E1195" i="1"/>
  <c r="D1195" i="1"/>
  <c r="C1195" i="1"/>
  <c r="B1195" i="1"/>
  <c r="A1195" i="1"/>
  <c r="F1194" i="1"/>
  <c r="E1194" i="1"/>
  <c r="D1194" i="1"/>
  <c r="C1194" i="1"/>
  <c r="B1194" i="1"/>
  <c r="A1194" i="1"/>
  <c r="F1193" i="1"/>
  <c r="E1193" i="1"/>
  <c r="D1193" i="1"/>
  <c r="C1193" i="1"/>
  <c r="B1193" i="1"/>
  <c r="A1193" i="1"/>
  <c r="F1192" i="1"/>
  <c r="E1192" i="1"/>
  <c r="D1192" i="1"/>
  <c r="C1192" i="1"/>
  <c r="B1192" i="1"/>
  <c r="A1192" i="1"/>
  <c r="F1191" i="1"/>
  <c r="E1191" i="1"/>
  <c r="D1191" i="1"/>
  <c r="C1191" i="1"/>
  <c r="B1191" i="1"/>
  <c r="A1191" i="1"/>
  <c r="F1190" i="1"/>
  <c r="E1190" i="1"/>
  <c r="D1190" i="1"/>
  <c r="C1190" i="1"/>
  <c r="B1190" i="1"/>
  <c r="A1190" i="1"/>
  <c r="F1189" i="1"/>
  <c r="E1189" i="1"/>
  <c r="D1189" i="1"/>
  <c r="C1189" i="1"/>
  <c r="B1189" i="1"/>
  <c r="A1189" i="1"/>
  <c r="F1188" i="1"/>
  <c r="E1188" i="1"/>
  <c r="D1188" i="1"/>
  <c r="C1188" i="1"/>
  <c r="B1188" i="1"/>
  <c r="A1188" i="1"/>
  <c r="F1187" i="1"/>
  <c r="E1187" i="1"/>
  <c r="D1187" i="1"/>
  <c r="C1187" i="1"/>
  <c r="B1187" i="1"/>
  <c r="A1187" i="1"/>
  <c r="F1186" i="1"/>
  <c r="E1186" i="1"/>
  <c r="D1186" i="1"/>
  <c r="C1186" i="1"/>
  <c r="B1186" i="1"/>
  <c r="A1186" i="1"/>
  <c r="F1185" i="1"/>
  <c r="E1185" i="1"/>
  <c r="D1185" i="1"/>
  <c r="C1185" i="1"/>
  <c r="B1185" i="1"/>
  <c r="A1185" i="1"/>
  <c r="F1184" i="1"/>
  <c r="E1184" i="1"/>
  <c r="D1184" i="1"/>
  <c r="C1184" i="1"/>
  <c r="B1184" i="1"/>
  <c r="A1184" i="1"/>
  <c r="F1183" i="1"/>
  <c r="E1183" i="1"/>
  <c r="D1183" i="1"/>
  <c r="C1183" i="1"/>
  <c r="B1183" i="1"/>
  <c r="A1183" i="1"/>
  <c r="F1182" i="1"/>
  <c r="E1182" i="1"/>
  <c r="D1182" i="1"/>
  <c r="C1182" i="1"/>
  <c r="B1182" i="1"/>
  <c r="A1182" i="1"/>
  <c r="F1181" i="1"/>
  <c r="E1181" i="1"/>
  <c r="D1181" i="1"/>
  <c r="C1181" i="1"/>
  <c r="B1181" i="1"/>
  <c r="A1181" i="1"/>
  <c r="F1180" i="1"/>
  <c r="E1180" i="1"/>
  <c r="D1180" i="1"/>
  <c r="C1180" i="1"/>
  <c r="B1180" i="1"/>
  <c r="A1180" i="1"/>
  <c r="F1179" i="1"/>
  <c r="E1179" i="1"/>
  <c r="D1179" i="1"/>
  <c r="C1179" i="1"/>
  <c r="B1179" i="1"/>
  <c r="A1179" i="1"/>
  <c r="F1178" i="1"/>
  <c r="E1178" i="1"/>
  <c r="D1178" i="1"/>
  <c r="C1178" i="1"/>
  <c r="B1178" i="1"/>
  <c r="A1178" i="1"/>
  <c r="F1177" i="1"/>
  <c r="E1177" i="1"/>
  <c r="D1177" i="1"/>
  <c r="C1177" i="1"/>
  <c r="B1177" i="1"/>
  <c r="A1177" i="1"/>
  <c r="F1176" i="1"/>
  <c r="E1176" i="1"/>
  <c r="D1176" i="1"/>
  <c r="C1176" i="1"/>
  <c r="B1176" i="1"/>
  <c r="A1176" i="1"/>
  <c r="F1175" i="1"/>
  <c r="E1175" i="1"/>
  <c r="D1175" i="1"/>
  <c r="C1175" i="1"/>
  <c r="B1175" i="1"/>
  <c r="A1175" i="1"/>
  <c r="F1174" i="1"/>
  <c r="E1174" i="1"/>
  <c r="D1174" i="1"/>
  <c r="C1174" i="1"/>
  <c r="B1174" i="1"/>
  <c r="A1174" i="1"/>
  <c r="F1173" i="1"/>
  <c r="E1173" i="1"/>
  <c r="D1173" i="1"/>
  <c r="C1173" i="1"/>
  <c r="B1173" i="1"/>
  <c r="A1173" i="1"/>
  <c r="F1172" i="1"/>
  <c r="E1172" i="1"/>
  <c r="D1172" i="1"/>
  <c r="C1172" i="1"/>
  <c r="B1172" i="1"/>
  <c r="A1172" i="1"/>
  <c r="F1171" i="1"/>
  <c r="E1171" i="1"/>
  <c r="D1171" i="1"/>
  <c r="C1171" i="1"/>
  <c r="B1171" i="1"/>
  <c r="A1171" i="1"/>
  <c r="F1170" i="1"/>
  <c r="E1170" i="1"/>
  <c r="D1170" i="1"/>
  <c r="C1170" i="1"/>
  <c r="B1170" i="1"/>
  <c r="A1170" i="1"/>
  <c r="F1169" i="1"/>
  <c r="E1169" i="1"/>
  <c r="D1169" i="1"/>
  <c r="C1169" i="1"/>
  <c r="B1169" i="1"/>
  <c r="A1169" i="1"/>
  <c r="F1168" i="1"/>
  <c r="E1168" i="1"/>
  <c r="D1168" i="1"/>
  <c r="C1168" i="1"/>
  <c r="B1168" i="1"/>
  <c r="A1168" i="1"/>
  <c r="F1167" i="1"/>
  <c r="E1167" i="1"/>
  <c r="D1167" i="1"/>
  <c r="C1167" i="1"/>
  <c r="B1167" i="1"/>
  <c r="A1167" i="1"/>
  <c r="F1166" i="1"/>
  <c r="E1166" i="1"/>
  <c r="D1166" i="1"/>
  <c r="C1166" i="1"/>
  <c r="B1166" i="1"/>
  <c r="A1166" i="1"/>
  <c r="F1165" i="1"/>
  <c r="E1165" i="1"/>
  <c r="D1165" i="1"/>
  <c r="C1165" i="1"/>
  <c r="B1165" i="1"/>
  <c r="A1165" i="1"/>
  <c r="F1164" i="1"/>
  <c r="E1164" i="1"/>
  <c r="D1164" i="1"/>
  <c r="C1164" i="1"/>
  <c r="B1164" i="1"/>
  <c r="A1164" i="1"/>
  <c r="F1163" i="1"/>
  <c r="E1163" i="1"/>
  <c r="D1163" i="1"/>
  <c r="C1163" i="1"/>
  <c r="B1163" i="1"/>
  <c r="A1163" i="1"/>
  <c r="F1162" i="1"/>
  <c r="E1162" i="1"/>
  <c r="D1162" i="1"/>
  <c r="C1162" i="1"/>
  <c r="B1162" i="1"/>
  <c r="A1162" i="1"/>
  <c r="F1161" i="1"/>
  <c r="E1161" i="1"/>
  <c r="D1161" i="1"/>
  <c r="C1161" i="1"/>
  <c r="B1161" i="1"/>
  <c r="A1161" i="1"/>
  <c r="F1160" i="1"/>
  <c r="E1160" i="1"/>
  <c r="D1160" i="1"/>
  <c r="C1160" i="1"/>
  <c r="B1160" i="1"/>
  <c r="A1160" i="1"/>
  <c r="F1159" i="1"/>
  <c r="E1159" i="1"/>
  <c r="D1159" i="1"/>
  <c r="C1159" i="1"/>
  <c r="B1159" i="1"/>
  <c r="A1159" i="1"/>
  <c r="F1158" i="1"/>
  <c r="E1158" i="1"/>
  <c r="D1158" i="1"/>
  <c r="C1158" i="1"/>
  <c r="B1158" i="1"/>
  <c r="A1158" i="1"/>
  <c r="F1157" i="1"/>
  <c r="E1157" i="1"/>
  <c r="D1157" i="1"/>
  <c r="C1157" i="1"/>
  <c r="B1157" i="1"/>
  <c r="A1157" i="1"/>
  <c r="F1156" i="1"/>
  <c r="E1156" i="1"/>
  <c r="D1156" i="1"/>
  <c r="C1156" i="1"/>
  <c r="B1156" i="1"/>
  <c r="A1156" i="1"/>
  <c r="F1155" i="1"/>
  <c r="E1155" i="1"/>
  <c r="D1155" i="1"/>
  <c r="C1155" i="1"/>
  <c r="B1155" i="1"/>
  <c r="A1155" i="1"/>
  <c r="F1154" i="1"/>
  <c r="E1154" i="1"/>
  <c r="D1154" i="1"/>
  <c r="C1154" i="1"/>
  <c r="B1154" i="1"/>
  <c r="A1154" i="1"/>
  <c r="F1153" i="1"/>
  <c r="E1153" i="1"/>
  <c r="D1153" i="1"/>
  <c r="C1153" i="1"/>
  <c r="B1153" i="1"/>
  <c r="A1153" i="1"/>
  <c r="F1152" i="1"/>
  <c r="E1152" i="1"/>
  <c r="D1152" i="1"/>
  <c r="C1152" i="1"/>
  <c r="B1152" i="1"/>
  <c r="A1152" i="1"/>
  <c r="F1151" i="1"/>
  <c r="E1151" i="1"/>
  <c r="D1151" i="1"/>
  <c r="C1151" i="1"/>
  <c r="B1151" i="1"/>
  <c r="A1151" i="1"/>
  <c r="F1150" i="1"/>
  <c r="E1150" i="1"/>
  <c r="D1150" i="1"/>
  <c r="C1150" i="1"/>
  <c r="B1150" i="1"/>
  <c r="A1150" i="1"/>
  <c r="F1149" i="1"/>
  <c r="E1149" i="1"/>
  <c r="D1149" i="1"/>
  <c r="C1149" i="1"/>
  <c r="B1149" i="1"/>
  <c r="A1149" i="1"/>
  <c r="F1148" i="1"/>
  <c r="E1148" i="1"/>
  <c r="D1148" i="1"/>
  <c r="C1148" i="1"/>
  <c r="B1148" i="1"/>
  <c r="A1148" i="1"/>
  <c r="F1147" i="1"/>
  <c r="E1147" i="1"/>
  <c r="D1147" i="1"/>
  <c r="C1147" i="1"/>
  <c r="B1147" i="1"/>
  <c r="A1147" i="1"/>
  <c r="F1146" i="1"/>
  <c r="E1146" i="1"/>
  <c r="D1146" i="1"/>
  <c r="C1146" i="1"/>
  <c r="B1146" i="1"/>
  <c r="A1146" i="1"/>
  <c r="F1145" i="1"/>
  <c r="E1145" i="1"/>
  <c r="D1145" i="1"/>
  <c r="C1145" i="1"/>
  <c r="B1145" i="1"/>
  <c r="A1145" i="1"/>
  <c r="F1144" i="1"/>
  <c r="E1144" i="1"/>
  <c r="D1144" i="1"/>
  <c r="C1144" i="1"/>
  <c r="B1144" i="1"/>
  <c r="A1144" i="1"/>
  <c r="F1143" i="1"/>
  <c r="E1143" i="1"/>
  <c r="D1143" i="1"/>
  <c r="C1143" i="1"/>
  <c r="B1143" i="1"/>
  <c r="A1143" i="1"/>
  <c r="F1142" i="1"/>
  <c r="E1142" i="1"/>
  <c r="D1142" i="1"/>
  <c r="C1142" i="1"/>
  <c r="B1142" i="1"/>
  <c r="A1142" i="1"/>
  <c r="F1141" i="1"/>
  <c r="E1141" i="1"/>
  <c r="D1141" i="1"/>
  <c r="C1141" i="1"/>
  <c r="B1141" i="1"/>
  <c r="A1141" i="1"/>
  <c r="F1140" i="1"/>
  <c r="E1140" i="1"/>
  <c r="D1140" i="1"/>
  <c r="C1140" i="1"/>
  <c r="B1140" i="1"/>
  <c r="A1140" i="1"/>
  <c r="F1139" i="1"/>
  <c r="E1139" i="1"/>
  <c r="D1139" i="1"/>
  <c r="C1139" i="1"/>
  <c r="B1139" i="1"/>
  <c r="A1139" i="1"/>
  <c r="F1138" i="1"/>
  <c r="E1138" i="1"/>
  <c r="D1138" i="1"/>
  <c r="C1138" i="1"/>
  <c r="B1138" i="1"/>
  <c r="A1138" i="1"/>
  <c r="F1137" i="1"/>
  <c r="E1137" i="1"/>
  <c r="D1137" i="1"/>
  <c r="C1137" i="1"/>
  <c r="B1137" i="1"/>
  <c r="A1137" i="1"/>
  <c r="F1136" i="1"/>
  <c r="E1136" i="1"/>
  <c r="D1136" i="1"/>
  <c r="C1136" i="1"/>
  <c r="B1136" i="1"/>
  <c r="A1136" i="1"/>
  <c r="F1135" i="1"/>
  <c r="E1135" i="1"/>
  <c r="D1135" i="1"/>
  <c r="C1135" i="1"/>
  <c r="B1135" i="1"/>
  <c r="A1135" i="1"/>
  <c r="F1134" i="1"/>
  <c r="E1134" i="1"/>
  <c r="D1134" i="1"/>
  <c r="C1134" i="1"/>
  <c r="B1134" i="1"/>
  <c r="A1134" i="1"/>
  <c r="F1133" i="1"/>
  <c r="E1133" i="1"/>
  <c r="D1133" i="1"/>
  <c r="C1133" i="1"/>
  <c r="B1133" i="1"/>
  <c r="A1133" i="1"/>
  <c r="F1132" i="1"/>
  <c r="E1132" i="1"/>
  <c r="D1132" i="1"/>
  <c r="C1132" i="1"/>
  <c r="B1132" i="1"/>
  <c r="A1132" i="1"/>
  <c r="F1131" i="1"/>
  <c r="E1131" i="1"/>
  <c r="D1131" i="1"/>
  <c r="C1131" i="1"/>
  <c r="B1131" i="1"/>
  <c r="A1131" i="1"/>
  <c r="F1130" i="1"/>
  <c r="E1130" i="1"/>
  <c r="D1130" i="1"/>
  <c r="C1130" i="1"/>
  <c r="B1130" i="1"/>
  <c r="A1130" i="1"/>
  <c r="F1129" i="1"/>
  <c r="E1129" i="1"/>
  <c r="D1129" i="1"/>
  <c r="C1129" i="1"/>
  <c r="B1129" i="1"/>
  <c r="A1129" i="1"/>
  <c r="F1128" i="1"/>
  <c r="E1128" i="1"/>
  <c r="D1128" i="1"/>
  <c r="C1128" i="1"/>
  <c r="B1128" i="1"/>
  <c r="A1128" i="1"/>
  <c r="F1127" i="1"/>
  <c r="E1127" i="1"/>
  <c r="D1127" i="1"/>
  <c r="C1127" i="1"/>
  <c r="B1127" i="1"/>
  <c r="A1127" i="1"/>
  <c r="F1126" i="1"/>
  <c r="E1126" i="1"/>
  <c r="D1126" i="1"/>
  <c r="C1126" i="1"/>
  <c r="B1126" i="1"/>
  <c r="A1126" i="1"/>
  <c r="F1125" i="1"/>
  <c r="E1125" i="1"/>
  <c r="D1125" i="1"/>
  <c r="C1125" i="1"/>
  <c r="B1125" i="1"/>
  <c r="A1125" i="1"/>
  <c r="F1124" i="1"/>
  <c r="E1124" i="1"/>
  <c r="D1124" i="1"/>
  <c r="C1124" i="1"/>
  <c r="B1124" i="1"/>
  <c r="A1124" i="1"/>
  <c r="F1123" i="1"/>
  <c r="E1123" i="1"/>
  <c r="D1123" i="1"/>
  <c r="C1123" i="1"/>
  <c r="B1123" i="1"/>
  <c r="A1123" i="1"/>
  <c r="F1122" i="1"/>
  <c r="E1122" i="1"/>
  <c r="D1122" i="1"/>
  <c r="C1122" i="1"/>
  <c r="B1122" i="1"/>
  <c r="A1122" i="1"/>
  <c r="F1121" i="1"/>
  <c r="E1121" i="1"/>
  <c r="D1121" i="1"/>
  <c r="C1121" i="1"/>
  <c r="B1121" i="1"/>
  <c r="A1121" i="1"/>
  <c r="F1120" i="1"/>
  <c r="E1120" i="1"/>
  <c r="D1120" i="1"/>
  <c r="C1120" i="1"/>
  <c r="B1120" i="1"/>
  <c r="A1120" i="1"/>
  <c r="F1119" i="1"/>
  <c r="E1119" i="1"/>
  <c r="D1119" i="1"/>
  <c r="C1119" i="1"/>
  <c r="B1119" i="1"/>
  <c r="A1119" i="1"/>
  <c r="F1118" i="1"/>
  <c r="E1118" i="1"/>
  <c r="D1118" i="1"/>
  <c r="C1118" i="1"/>
  <c r="B1118" i="1"/>
  <c r="A1118" i="1"/>
  <c r="F1117" i="1"/>
  <c r="E1117" i="1"/>
  <c r="D1117" i="1"/>
  <c r="C1117" i="1"/>
  <c r="B1117" i="1"/>
  <c r="A1117" i="1"/>
  <c r="F1116" i="1"/>
  <c r="E1116" i="1"/>
  <c r="D1116" i="1"/>
  <c r="C1116" i="1"/>
  <c r="B1116" i="1"/>
  <c r="A1116" i="1"/>
  <c r="F1115" i="1"/>
  <c r="E1115" i="1"/>
  <c r="D1115" i="1"/>
  <c r="C1115" i="1"/>
  <c r="B1115" i="1"/>
  <c r="A1115" i="1"/>
  <c r="F1114" i="1"/>
  <c r="E1114" i="1"/>
  <c r="D1114" i="1"/>
  <c r="C1114" i="1"/>
  <c r="B1114" i="1"/>
  <c r="A1114" i="1"/>
  <c r="F1113" i="1"/>
  <c r="E1113" i="1"/>
  <c r="D1113" i="1"/>
  <c r="C1113" i="1"/>
  <c r="B1113" i="1"/>
  <c r="A1113" i="1"/>
  <c r="F1112" i="1"/>
  <c r="E1112" i="1"/>
  <c r="D1112" i="1"/>
  <c r="C1112" i="1"/>
  <c r="B1112" i="1"/>
  <c r="A1112" i="1"/>
  <c r="F1111" i="1"/>
  <c r="E1111" i="1"/>
  <c r="D1111" i="1"/>
  <c r="C1111" i="1"/>
  <c r="B1111" i="1"/>
  <c r="A1111" i="1"/>
  <c r="F1110" i="1"/>
  <c r="E1110" i="1"/>
  <c r="D1110" i="1"/>
  <c r="C1110" i="1"/>
  <c r="B1110" i="1"/>
  <c r="A1110" i="1"/>
  <c r="F1109" i="1"/>
  <c r="E1109" i="1"/>
  <c r="D1109" i="1"/>
  <c r="C1109" i="1"/>
  <c r="B1109" i="1"/>
  <c r="A1109" i="1"/>
  <c r="F1108" i="1"/>
  <c r="E1108" i="1"/>
  <c r="D1108" i="1"/>
  <c r="C1108" i="1"/>
  <c r="B1108" i="1"/>
  <c r="A1108" i="1"/>
  <c r="F1107" i="1"/>
  <c r="E1107" i="1"/>
  <c r="D1107" i="1"/>
  <c r="C1107" i="1"/>
  <c r="B1107" i="1"/>
  <c r="A1107" i="1"/>
  <c r="F1106" i="1"/>
  <c r="E1106" i="1"/>
  <c r="D1106" i="1"/>
  <c r="C1106" i="1"/>
  <c r="B1106" i="1"/>
  <c r="A1106" i="1"/>
  <c r="F1105" i="1"/>
  <c r="E1105" i="1"/>
  <c r="D1105" i="1"/>
  <c r="C1105" i="1"/>
  <c r="B1105" i="1"/>
  <c r="A1105" i="1"/>
  <c r="F1104" i="1"/>
  <c r="E1104" i="1"/>
  <c r="D1104" i="1"/>
  <c r="C1104" i="1"/>
  <c r="B1104" i="1"/>
  <c r="A1104" i="1"/>
  <c r="F1103" i="1"/>
  <c r="E1103" i="1"/>
  <c r="D1103" i="1"/>
  <c r="C1103" i="1"/>
  <c r="B1103" i="1"/>
  <c r="A1103" i="1"/>
  <c r="F1102" i="1"/>
  <c r="E1102" i="1"/>
  <c r="D1102" i="1"/>
  <c r="C1102" i="1"/>
  <c r="B1102" i="1"/>
  <c r="A1102" i="1"/>
  <c r="F1101" i="1"/>
  <c r="E1101" i="1"/>
  <c r="D1101" i="1"/>
  <c r="C1101" i="1"/>
  <c r="B1101" i="1"/>
  <c r="A1101" i="1"/>
  <c r="F1100" i="1"/>
  <c r="E1100" i="1"/>
  <c r="D1100" i="1"/>
  <c r="C1100" i="1"/>
  <c r="B1100" i="1"/>
  <c r="A1100" i="1"/>
  <c r="F1099" i="1"/>
  <c r="E1099" i="1"/>
  <c r="D1099" i="1"/>
  <c r="C1099" i="1"/>
  <c r="B1099" i="1"/>
  <c r="A1099" i="1"/>
  <c r="F1098" i="1"/>
  <c r="E1098" i="1"/>
  <c r="D1098" i="1"/>
  <c r="C1098" i="1"/>
  <c r="B1098" i="1"/>
  <c r="A1098" i="1"/>
  <c r="F1097" i="1"/>
  <c r="E1097" i="1"/>
  <c r="D1097" i="1"/>
  <c r="C1097" i="1"/>
  <c r="B1097" i="1"/>
  <c r="A1097" i="1"/>
  <c r="F1096" i="1"/>
  <c r="E1096" i="1"/>
  <c r="D1096" i="1"/>
  <c r="C1096" i="1"/>
  <c r="B1096" i="1"/>
  <c r="A1096" i="1"/>
  <c r="F1095" i="1"/>
  <c r="E1095" i="1"/>
  <c r="D1095" i="1"/>
  <c r="C1095" i="1"/>
  <c r="B1095" i="1"/>
  <c r="A1095" i="1"/>
  <c r="F1094" i="1"/>
  <c r="E1094" i="1"/>
  <c r="D1094" i="1"/>
  <c r="C1094" i="1"/>
  <c r="B1094" i="1"/>
  <c r="A1094" i="1"/>
  <c r="F1093" i="1"/>
  <c r="E1093" i="1"/>
  <c r="D1093" i="1"/>
  <c r="C1093" i="1"/>
  <c r="B1093" i="1"/>
  <c r="A1093" i="1"/>
  <c r="F1092" i="1"/>
  <c r="E1092" i="1"/>
  <c r="D1092" i="1"/>
  <c r="C1092" i="1"/>
  <c r="B1092" i="1"/>
  <c r="A1092" i="1"/>
  <c r="F1091" i="1"/>
  <c r="E1091" i="1"/>
  <c r="D1091" i="1"/>
  <c r="C1091" i="1"/>
  <c r="B1091" i="1"/>
  <c r="A1091" i="1"/>
  <c r="F1090" i="1"/>
  <c r="E1090" i="1"/>
  <c r="D1090" i="1"/>
  <c r="C1090" i="1"/>
  <c r="B1090" i="1"/>
  <c r="A1090" i="1"/>
  <c r="F1089" i="1"/>
  <c r="E1089" i="1"/>
  <c r="D1089" i="1"/>
  <c r="C1089" i="1"/>
  <c r="B1089" i="1"/>
  <c r="A1089" i="1"/>
  <c r="F1088" i="1"/>
  <c r="E1088" i="1"/>
  <c r="D1088" i="1"/>
  <c r="C1088" i="1"/>
  <c r="B1088" i="1"/>
  <c r="A1088" i="1"/>
  <c r="F1087" i="1"/>
  <c r="E1087" i="1"/>
  <c r="D1087" i="1"/>
  <c r="C1087" i="1"/>
  <c r="B1087" i="1"/>
  <c r="A1087" i="1"/>
  <c r="F1086" i="1"/>
  <c r="E1086" i="1"/>
  <c r="D1086" i="1"/>
  <c r="C1086" i="1"/>
  <c r="B1086" i="1"/>
  <c r="A1086" i="1"/>
  <c r="F1085" i="1"/>
  <c r="E1085" i="1"/>
  <c r="D1085" i="1"/>
  <c r="C1085" i="1"/>
  <c r="B1085" i="1"/>
  <c r="A1085" i="1"/>
  <c r="F1084" i="1"/>
  <c r="E1084" i="1"/>
  <c r="D1084" i="1"/>
  <c r="C1084" i="1"/>
  <c r="B1084" i="1"/>
  <c r="A1084" i="1"/>
  <c r="F1083" i="1"/>
  <c r="E1083" i="1"/>
  <c r="D1083" i="1"/>
  <c r="C1083" i="1"/>
  <c r="B1083" i="1"/>
  <c r="A1083" i="1"/>
  <c r="F1082" i="1"/>
  <c r="E1082" i="1"/>
  <c r="D1082" i="1"/>
  <c r="C1082" i="1"/>
  <c r="B1082" i="1"/>
  <c r="A1082" i="1"/>
  <c r="F1081" i="1"/>
  <c r="E1081" i="1"/>
  <c r="D1081" i="1"/>
  <c r="C1081" i="1"/>
  <c r="B1081" i="1"/>
  <c r="A1081" i="1"/>
  <c r="F1080" i="1"/>
  <c r="E1080" i="1"/>
  <c r="D1080" i="1"/>
  <c r="C1080" i="1"/>
  <c r="B1080" i="1"/>
  <c r="A1080" i="1"/>
  <c r="F1079" i="1"/>
  <c r="E1079" i="1"/>
  <c r="D1079" i="1"/>
  <c r="C1079" i="1"/>
  <c r="B1079" i="1"/>
  <c r="A1079" i="1"/>
  <c r="F1078" i="1"/>
  <c r="E1078" i="1"/>
  <c r="D1078" i="1"/>
  <c r="C1078" i="1"/>
  <c r="B1078" i="1"/>
  <c r="A1078" i="1"/>
  <c r="F1077" i="1"/>
  <c r="E1077" i="1"/>
  <c r="D1077" i="1"/>
  <c r="C1077" i="1"/>
  <c r="B1077" i="1"/>
  <c r="A1077" i="1"/>
  <c r="F1076" i="1"/>
  <c r="E1076" i="1"/>
  <c r="D1076" i="1"/>
  <c r="C1076" i="1"/>
  <c r="B1076" i="1"/>
  <c r="A1076" i="1"/>
  <c r="F1075" i="1"/>
  <c r="E1075" i="1"/>
  <c r="D1075" i="1"/>
  <c r="C1075" i="1"/>
  <c r="B1075" i="1"/>
  <c r="A1075" i="1"/>
  <c r="F1074" i="1"/>
  <c r="E1074" i="1"/>
  <c r="D1074" i="1"/>
  <c r="C1074" i="1"/>
  <c r="B1074" i="1"/>
  <c r="A1074" i="1"/>
  <c r="F1073" i="1"/>
  <c r="E1073" i="1"/>
  <c r="D1073" i="1"/>
  <c r="C1073" i="1"/>
  <c r="B1073" i="1"/>
  <c r="A1073" i="1"/>
  <c r="F1072" i="1"/>
  <c r="E1072" i="1"/>
  <c r="D1072" i="1"/>
  <c r="C1072" i="1"/>
  <c r="B1072" i="1"/>
  <c r="A1072" i="1"/>
  <c r="F1071" i="1"/>
  <c r="E1071" i="1"/>
  <c r="D1071" i="1"/>
  <c r="C1071" i="1"/>
  <c r="B1071" i="1"/>
  <c r="A1071" i="1"/>
  <c r="F1070" i="1"/>
  <c r="E1070" i="1"/>
  <c r="D1070" i="1"/>
  <c r="C1070" i="1"/>
  <c r="B1070" i="1"/>
  <c r="A1070" i="1"/>
  <c r="F1069" i="1"/>
  <c r="E1069" i="1"/>
  <c r="D1069" i="1"/>
  <c r="C1069" i="1"/>
  <c r="B1069" i="1"/>
  <c r="A1069" i="1"/>
  <c r="F1068" i="1"/>
  <c r="E1068" i="1"/>
  <c r="D1068" i="1"/>
  <c r="C1068" i="1"/>
  <c r="B1068" i="1"/>
  <c r="A1068" i="1"/>
  <c r="F1067" i="1"/>
  <c r="E1067" i="1"/>
  <c r="D1067" i="1"/>
  <c r="C1067" i="1"/>
  <c r="B1067" i="1"/>
  <c r="A1067" i="1"/>
  <c r="F1066" i="1"/>
  <c r="E1066" i="1"/>
  <c r="D1066" i="1"/>
  <c r="C1066" i="1"/>
  <c r="B1066" i="1"/>
  <c r="A1066" i="1"/>
  <c r="F1065" i="1"/>
  <c r="E1065" i="1"/>
  <c r="D1065" i="1"/>
  <c r="C1065" i="1"/>
  <c r="B1065" i="1"/>
  <c r="A1065" i="1"/>
  <c r="F1064" i="1"/>
  <c r="E1064" i="1"/>
  <c r="D1064" i="1"/>
  <c r="C1064" i="1"/>
  <c r="B1064" i="1"/>
  <c r="A1064" i="1"/>
  <c r="F1063" i="1"/>
  <c r="E1063" i="1"/>
  <c r="D1063" i="1"/>
  <c r="C1063" i="1"/>
  <c r="B1063" i="1"/>
  <c r="A1063" i="1"/>
  <c r="F1062" i="1"/>
  <c r="E1062" i="1"/>
  <c r="D1062" i="1"/>
  <c r="C1062" i="1"/>
  <c r="B1062" i="1"/>
  <c r="A1062" i="1"/>
  <c r="F1061" i="1"/>
  <c r="E1061" i="1"/>
  <c r="D1061" i="1"/>
  <c r="C1061" i="1"/>
  <c r="B1061" i="1"/>
  <c r="A1061" i="1"/>
  <c r="F1060" i="1"/>
  <c r="E1060" i="1"/>
  <c r="D1060" i="1"/>
  <c r="C1060" i="1"/>
  <c r="B1060" i="1"/>
  <c r="A1060" i="1"/>
  <c r="F1059" i="1"/>
  <c r="E1059" i="1"/>
  <c r="D1059" i="1"/>
  <c r="C1059" i="1"/>
  <c r="B1059" i="1"/>
  <c r="A1059" i="1"/>
  <c r="F1058" i="1"/>
  <c r="E1058" i="1"/>
  <c r="D1058" i="1"/>
  <c r="C1058" i="1"/>
  <c r="B1058" i="1"/>
  <c r="A1058" i="1"/>
  <c r="F1057" i="1"/>
  <c r="E1057" i="1"/>
  <c r="D1057" i="1"/>
  <c r="C1057" i="1"/>
  <c r="B1057" i="1"/>
  <c r="A1057" i="1"/>
  <c r="F1056" i="1"/>
  <c r="E1056" i="1"/>
  <c r="D1056" i="1"/>
  <c r="C1056" i="1"/>
  <c r="B1056" i="1"/>
  <c r="A1056" i="1"/>
  <c r="F1055" i="1"/>
  <c r="E1055" i="1"/>
  <c r="D1055" i="1"/>
  <c r="C1055" i="1"/>
  <c r="B1055" i="1"/>
  <c r="A1055" i="1"/>
  <c r="F1054" i="1"/>
  <c r="E1054" i="1"/>
  <c r="D1054" i="1"/>
  <c r="C1054" i="1"/>
  <c r="B1054" i="1"/>
  <c r="A1054" i="1"/>
  <c r="F1053" i="1"/>
  <c r="E1053" i="1"/>
  <c r="D1053" i="1"/>
  <c r="C1053" i="1"/>
  <c r="B1053" i="1"/>
  <c r="A1053" i="1"/>
  <c r="F1052" i="1"/>
  <c r="E1052" i="1"/>
  <c r="D1052" i="1"/>
  <c r="C1052" i="1"/>
  <c r="B1052" i="1"/>
  <c r="A1052" i="1"/>
  <c r="F1051" i="1"/>
  <c r="E1051" i="1"/>
  <c r="D1051" i="1"/>
  <c r="C1051" i="1"/>
  <c r="B1051" i="1"/>
  <c r="A1051" i="1"/>
  <c r="F1050" i="1"/>
  <c r="E1050" i="1"/>
  <c r="D1050" i="1"/>
  <c r="C1050" i="1"/>
  <c r="B1050" i="1"/>
  <c r="A1050" i="1"/>
  <c r="F1049" i="1"/>
  <c r="E1049" i="1"/>
  <c r="D1049" i="1"/>
  <c r="C1049" i="1"/>
  <c r="B1049" i="1"/>
  <c r="A1049" i="1"/>
  <c r="F1048" i="1"/>
  <c r="E1048" i="1"/>
  <c r="D1048" i="1"/>
  <c r="C1048" i="1"/>
  <c r="B1048" i="1"/>
  <c r="A1048" i="1"/>
  <c r="F1047" i="1"/>
  <c r="E1047" i="1"/>
  <c r="D1047" i="1"/>
  <c r="C1047" i="1"/>
  <c r="B1047" i="1"/>
  <c r="A1047" i="1"/>
  <c r="F1046" i="1"/>
  <c r="E1046" i="1"/>
  <c r="D1046" i="1"/>
  <c r="C1046" i="1"/>
  <c r="B1046" i="1"/>
  <c r="A1046" i="1"/>
  <c r="F1045" i="1"/>
  <c r="E1045" i="1"/>
  <c r="D1045" i="1"/>
  <c r="C1045" i="1"/>
  <c r="B1045" i="1"/>
  <c r="A1045" i="1"/>
  <c r="F1044" i="1"/>
  <c r="E1044" i="1"/>
  <c r="D1044" i="1"/>
  <c r="C1044" i="1"/>
  <c r="B1044" i="1"/>
  <c r="A1044" i="1"/>
  <c r="F1043" i="1"/>
  <c r="E1043" i="1"/>
  <c r="D1043" i="1"/>
  <c r="C1043" i="1"/>
  <c r="B1043" i="1"/>
  <c r="A1043" i="1"/>
  <c r="F1042" i="1"/>
  <c r="E1042" i="1"/>
  <c r="D1042" i="1"/>
  <c r="C1042" i="1"/>
  <c r="B1042" i="1"/>
  <c r="A1042" i="1"/>
  <c r="F1041" i="1"/>
  <c r="E1041" i="1"/>
  <c r="D1041" i="1"/>
  <c r="C1041" i="1"/>
  <c r="B1041" i="1"/>
  <c r="A1041" i="1"/>
  <c r="F1040" i="1"/>
  <c r="E1040" i="1"/>
  <c r="D1040" i="1"/>
  <c r="C1040" i="1"/>
  <c r="B1040" i="1"/>
  <c r="A1040" i="1"/>
  <c r="F1039" i="1"/>
  <c r="E1039" i="1"/>
  <c r="D1039" i="1"/>
  <c r="C1039" i="1"/>
  <c r="B1039" i="1"/>
  <c r="A1039" i="1"/>
  <c r="F1038" i="1"/>
  <c r="E1038" i="1"/>
  <c r="D1038" i="1"/>
  <c r="C1038" i="1"/>
  <c r="B1038" i="1"/>
  <c r="A1038" i="1"/>
  <c r="F1037" i="1"/>
  <c r="E1037" i="1"/>
  <c r="D1037" i="1"/>
  <c r="C1037" i="1"/>
  <c r="B1037" i="1"/>
  <c r="A1037" i="1"/>
  <c r="F1036" i="1"/>
  <c r="E1036" i="1"/>
  <c r="D1036" i="1"/>
  <c r="C1036" i="1"/>
  <c r="B1036" i="1"/>
  <c r="A1036" i="1"/>
  <c r="F1035" i="1"/>
  <c r="E1035" i="1"/>
  <c r="D1035" i="1"/>
  <c r="C1035" i="1"/>
  <c r="B1035" i="1"/>
  <c r="A1035" i="1"/>
  <c r="F1034" i="1"/>
  <c r="E1034" i="1"/>
  <c r="D1034" i="1"/>
  <c r="C1034" i="1"/>
  <c r="B1034" i="1"/>
  <c r="A1034" i="1"/>
  <c r="F1033" i="1"/>
  <c r="E1033" i="1"/>
  <c r="D1033" i="1"/>
  <c r="C1033" i="1"/>
  <c r="B1033" i="1"/>
  <c r="A1033" i="1"/>
  <c r="F1032" i="1"/>
  <c r="E1032" i="1"/>
  <c r="D1032" i="1"/>
  <c r="C1032" i="1"/>
  <c r="B1032" i="1"/>
  <c r="A1032" i="1"/>
  <c r="F1031" i="1"/>
  <c r="E1031" i="1"/>
  <c r="D1031" i="1"/>
  <c r="C1031" i="1"/>
  <c r="B1031" i="1"/>
  <c r="A1031" i="1"/>
  <c r="F1030" i="1"/>
  <c r="E1030" i="1"/>
  <c r="D1030" i="1"/>
  <c r="C1030" i="1"/>
  <c r="B1030" i="1"/>
  <c r="A1030" i="1"/>
  <c r="F1029" i="1"/>
  <c r="E1029" i="1"/>
  <c r="D1029" i="1"/>
  <c r="C1029" i="1"/>
  <c r="B1029" i="1"/>
  <c r="A1029" i="1"/>
  <c r="F1028" i="1"/>
  <c r="E1028" i="1"/>
  <c r="D1028" i="1"/>
  <c r="C1028" i="1"/>
  <c r="B1028" i="1"/>
  <c r="A1028" i="1"/>
  <c r="F1027" i="1"/>
  <c r="E1027" i="1"/>
  <c r="D1027" i="1"/>
  <c r="C1027" i="1"/>
  <c r="B1027" i="1"/>
  <c r="A1027" i="1"/>
  <c r="F1026" i="1"/>
  <c r="E1026" i="1"/>
  <c r="D1026" i="1"/>
  <c r="C1026" i="1"/>
  <c r="B1026" i="1"/>
  <c r="A1026" i="1"/>
  <c r="F1025" i="1"/>
  <c r="E1025" i="1"/>
  <c r="D1025" i="1"/>
  <c r="C1025" i="1"/>
  <c r="B1025" i="1"/>
  <c r="A1025" i="1"/>
  <c r="F1024" i="1"/>
  <c r="E1024" i="1"/>
  <c r="D1024" i="1"/>
  <c r="C1024" i="1"/>
  <c r="B1024" i="1"/>
  <c r="A1024" i="1"/>
  <c r="F1023" i="1"/>
  <c r="E1023" i="1"/>
  <c r="D1023" i="1"/>
  <c r="C1023" i="1"/>
  <c r="B1023" i="1"/>
  <c r="A1023" i="1"/>
  <c r="F1022" i="1"/>
  <c r="E1022" i="1"/>
  <c r="D1022" i="1"/>
  <c r="C1022" i="1"/>
  <c r="B1022" i="1"/>
  <c r="A1022" i="1"/>
  <c r="F1021" i="1"/>
  <c r="E1021" i="1"/>
  <c r="D1021" i="1"/>
  <c r="C1021" i="1"/>
  <c r="B1021" i="1"/>
  <c r="A1021" i="1"/>
  <c r="F1020" i="1"/>
  <c r="E1020" i="1"/>
  <c r="D1020" i="1"/>
  <c r="C1020" i="1"/>
  <c r="B1020" i="1"/>
  <c r="A1020" i="1"/>
  <c r="F1019" i="1"/>
  <c r="E1019" i="1"/>
  <c r="D1019" i="1"/>
  <c r="C1019" i="1"/>
  <c r="B1019" i="1"/>
  <c r="A1019" i="1"/>
  <c r="F1018" i="1"/>
  <c r="E1018" i="1"/>
  <c r="D1018" i="1"/>
  <c r="C1018" i="1"/>
  <c r="B1018" i="1"/>
  <c r="A1018" i="1"/>
  <c r="F1017" i="1"/>
  <c r="E1017" i="1"/>
  <c r="D1017" i="1"/>
  <c r="C1017" i="1"/>
  <c r="B1017" i="1"/>
  <c r="A1017" i="1"/>
  <c r="F1016" i="1"/>
  <c r="E1016" i="1"/>
  <c r="D1016" i="1"/>
  <c r="C1016" i="1"/>
  <c r="B1016" i="1"/>
  <c r="A1016" i="1"/>
  <c r="F1015" i="1"/>
  <c r="E1015" i="1"/>
  <c r="D1015" i="1"/>
  <c r="C1015" i="1"/>
  <c r="B1015" i="1"/>
  <c r="A1015" i="1"/>
  <c r="F1014" i="1"/>
  <c r="E1014" i="1"/>
  <c r="D1014" i="1"/>
  <c r="C1014" i="1"/>
  <c r="B1014" i="1"/>
  <c r="A1014" i="1"/>
  <c r="F1013" i="1"/>
  <c r="E1013" i="1"/>
  <c r="D1013" i="1"/>
  <c r="C1013" i="1"/>
  <c r="B1013" i="1"/>
  <c r="A1013" i="1"/>
  <c r="F1012" i="1"/>
  <c r="E1012" i="1"/>
  <c r="D1012" i="1"/>
  <c r="C1012" i="1"/>
  <c r="B1012" i="1"/>
  <c r="A1012" i="1"/>
  <c r="F1011" i="1"/>
  <c r="E1011" i="1"/>
  <c r="D1011" i="1"/>
  <c r="C1011" i="1"/>
  <c r="B1011" i="1"/>
  <c r="A1011" i="1"/>
  <c r="F1010" i="1"/>
  <c r="E1010" i="1"/>
  <c r="D1010" i="1"/>
  <c r="C1010" i="1"/>
  <c r="B1010" i="1"/>
  <c r="A1010" i="1"/>
  <c r="F1009" i="1"/>
  <c r="E1009" i="1"/>
  <c r="D1009" i="1"/>
  <c r="C1009" i="1"/>
  <c r="B1009" i="1"/>
  <c r="A1009" i="1"/>
  <c r="F1008" i="1"/>
  <c r="E1008" i="1"/>
  <c r="D1008" i="1"/>
  <c r="C1008" i="1"/>
  <c r="B1008" i="1"/>
  <c r="A1008" i="1"/>
  <c r="F1007" i="1"/>
  <c r="E1007" i="1"/>
  <c r="D1007" i="1"/>
  <c r="C1007" i="1"/>
  <c r="B1007" i="1"/>
  <c r="A1007" i="1"/>
  <c r="F1006" i="1"/>
  <c r="E1006" i="1"/>
  <c r="D1006" i="1"/>
  <c r="C1006" i="1"/>
  <c r="B1006" i="1"/>
  <c r="A1006" i="1"/>
  <c r="F1005" i="1"/>
  <c r="E1005" i="1"/>
  <c r="D1005" i="1"/>
  <c r="C1005" i="1"/>
  <c r="B1005" i="1"/>
  <c r="A1005" i="1"/>
  <c r="F1004" i="1"/>
  <c r="E1004" i="1"/>
  <c r="D1004" i="1"/>
  <c r="C1004" i="1"/>
  <c r="B1004" i="1"/>
  <c r="A1004" i="1"/>
  <c r="F1003" i="1"/>
  <c r="E1003" i="1"/>
  <c r="D1003" i="1"/>
  <c r="C1003" i="1"/>
  <c r="B1003" i="1"/>
  <c r="A1003" i="1"/>
  <c r="F1002" i="1"/>
  <c r="E1002" i="1"/>
  <c r="D1002" i="1"/>
  <c r="C1002" i="1"/>
  <c r="B1002" i="1"/>
  <c r="A1002" i="1"/>
  <c r="F1001" i="1"/>
  <c r="E1001" i="1"/>
  <c r="D1001" i="1"/>
  <c r="C1001" i="1"/>
  <c r="B1001" i="1"/>
  <c r="A1001" i="1"/>
  <c r="F1000" i="1"/>
  <c r="E1000" i="1"/>
  <c r="D1000" i="1"/>
  <c r="C1000" i="1"/>
  <c r="B1000" i="1"/>
  <c r="A1000" i="1"/>
  <c r="F999" i="1"/>
  <c r="E999" i="1"/>
  <c r="D999" i="1"/>
  <c r="C999" i="1"/>
  <c r="B999" i="1"/>
  <c r="A999" i="1"/>
  <c r="F998" i="1"/>
  <c r="E998" i="1"/>
  <c r="D998" i="1"/>
  <c r="C998" i="1"/>
  <c r="B998" i="1"/>
  <c r="A998" i="1"/>
  <c r="F997" i="1"/>
  <c r="E997" i="1"/>
  <c r="D997" i="1"/>
  <c r="C997" i="1"/>
  <c r="B997" i="1"/>
  <c r="A997" i="1"/>
  <c r="F996" i="1"/>
  <c r="E996" i="1"/>
  <c r="D996" i="1"/>
  <c r="C996" i="1"/>
  <c r="B996" i="1"/>
  <c r="A996" i="1"/>
  <c r="F995" i="1"/>
  <c r="E995" i="1"/>
  <c r="D995" i="1"/>
  <c r="C995" i="1"/>
  <c r="B995" i="1"/>
  <c r="A995" i="1"/>
  <c r="F994" i="1"/>
  <c r="E994" i="1"/>
  <c r="D994" i="1"/>
  <c r="C994" i="1"/>
  <c r="B994" i="1"/>
  <c r="A994" i="1"/>
  <c r="F993" i="1"/>
  <c r="E993" i="1"/>
  <c r="D993" i="1"/>
  <c r="C993" i="1"/>
  <c r="B993" i="1"/>
  <c r="A993" i="1"/>
  <c r="F992" i="1"/>
  <c r="E992" i="1"/>
  <c r="D992" i="1"/>
  <c r="C992" i="1"/>
  <c r="B992" i="1"/>
  <c r="A992" i="1"/>
  <c r="F991" i="1"/>
  <c r="E991" i="1"/>
  <c r="D991" i="1"/>
  <c r="C991" i="1"/>
  <c r="B991" i="1"/>
  <c r="A991" i="1"/>
  <c r="F990" i="1"/>
  <c r="E990" i="1"/>
  <c r="D990" i="1"/>
  <c r="C990" i="1"/>
  <c r="B990" i="1"/>
  <c r="A990" i="1"/>
  <c r="F989" i="1"/>
  <c r="E989" i="1"/>
  <c r="D989" i="1"/>
  <c r="C989" i="1"/>
  <c r="B989" i="1"/>
  <c r="A989" i="1"/>
  <c r="F988" i="1"/>
  <c r="E988" i="1"/>
  <c r="D988" i="1"/>
  <c r="C988" i="1"/>
  <c r="B988" i="1"/>
  <c r="A988" i="1"/>
  <c r="F987" i="1"/>
  <c r="E987" i="1"/>
  <c r="D987" i="1"/>
  <c r="C987" i="1"/>
  <c r="B987" i="1"/>
  <c r="A987" i="1"/>
  <c r="F986" i="1"/>
  <c r="E986" i="1"/>
  <c r="D986" i="1"/>
  <c r="C986" i="1"/>
  <c r="B986" i="1"/>
  <c r="A986" i="1"/>
  <c r="F985" i="1"/>
  <c r="E985" i="1"/>
  <c r="D985" i="1"/>
  <c r="C985" i="1"/>
  <c r="B985" i="1"/>
  <c r="A985" i="1"/>
  <c r="F984" i="1"/>
  <c r="E984" i="1"/>
  <c r="D984" i="1"/>
  <c r="C984" i="1"/>
  <c r="B984" i="1"/>
  <c r="A984" i="1"/>
  <c r="F983" i="1"/>
  <c r="E983" i="1"/>
  <c r="D983" i="1"/>
  <c r="C983" i="1"/>
  <c r="B983" i="1"/>
  <c r="A983" i="1"/>
  <c r="F982" i="1"/>
  <c r="E982" i="1"/>
  <c r="D982" i="1"/>
  <c r="C982" i="1"/>
  <c r="B982" i="1"/>
  <c r="A982" i="1"/>
  <c r="F981" i="1"/>
  <c r="E981" i="1"/>
  <c r="D981" i="1"/>
  <c r="C981" i="1"/>
  <c r="B981" i="1"/>
  <c r="A981" i="1"/>
  <c r="F980" i="1"/>
  <c r="E980" i="1"/>
  <c r="D980" i="1"/>
  <c r="C980" i="1"/>
  <c r="B980" i="1"/>
  <c r="A980" i="1"/>
  <c r="F979" i="1"/>
  <c r="E979" i="1"/>
  <c r="D979" i="1"/>
  <c r="C979" i="1"/>
  <c r="B979" i="1"/>
  <c r="A979" i="1"/>
  <c r="F978" i="1"/>
  <c r="E978" i="1"/>
  <c r="D978" i="1"/>
  <c r="C978" i="1"/>
  <c r="B978" i="1"/>
  <c r="A978" i="1"/>
  <c r="F977" i="1"/>
  <c r="E977" i="1"/>
  <c r="D977" i="1"/>
  <c r="C977" i="1"/>
  <c r="B977" i="1"/>
  <c r="A977" i="1"/>
  <c r="F976" i="1"/>
  <c r="E976" i="1"/>
  <c r="D976" i="1"/>
  <c r="C976" i="1"/>
  <c r="B976" i="1"/>
  <c r="A976" i="1"/>
  <c r="F975" i="1"/>
  <c r="E975" i="1"/>
  <c r="D975" i="1"/>
  <c r="C975" i="1"/>
  <c r="B975" i="1"/>
  <c r="A975" i="1"/>
  <c r="F974" i="1"/>
  <c r="E974" i="1"/>
  <c r="D974" i="1"/>
  <c r="C974" i="1"/>
  <c r="B974" i="1"/>
  <c r="A974" i="1"/>
  <c r="F973" i="1"/>
  <c r="E973" i="1"/>
  <c r="D973" i="1"/>
  <c r="C973" i="1"/>
  <c r="B973" i="1"/>
  <c r="A973" i="1"/>
  <c r="F972" i="1"/>
  <c r="E972" i="1"/>
  <c r="D972" i="1"/>
  <c r="C972" i="1"/>
  <c r="B972" i="1"/>
  <c r="A972" i="1"/>
  <c r="F971" i="1"/>
  <c r="E971" i="1"/>
  <c r="D971" i="1"/>
  <c r="C971" i="1"/>
  <c r="B971" i="1"/>
  <c r="A971" i="1"/>
  <c r="F970" i="1"/>
  <c r="E970" i="1"/>
  <c r="D970" i="1"/>
  <c r="C970" i="1"/>
  <c r="B970" i="1"/>
  <c r="A970" i="1"/>
  <c r="F969" i="1"/>
  <c r="E969" i="1"/>
  <c r="D969" i="1"/>
  <c r="C969" i="1"/>
  <c r="B969" i="1"/>
  <c r="A969" i="1"/>
  <c r="F968" i="1"/>
  <c r="E968" i="1"/>
  <c r="D968" i="1"/>
  <c r="C968" i="1"/>
  <c r="B968" i="1"/>
  <c r="A968" i="1"/>
  <c r="F967" i="1"/>
  <c r="E967" i="1"/>
  <c r="D967" i="1"/>
  <c r="C967" i="1"/>
  <c r="B967" i="1"/>
  <c r="A967" i="1"/>
  <c r="F966" i="1"/>
  <c r="E966" i="1"/>
  <c r="D966" i="1"/>
  <c r="C966" i="1"/>
  <c r="B966" i="1"/>
  <c r="A966" i="1"/>
  <c r="F965" i="1"/>
  <c r="E965" i="1"/>
  <c r="D965" i="1"/>
  <c r="C965" i="1"/>
  <c r="B965" i="1"/>
  <c r="A965" i="1"/>
  <c r="F964" i="1"/>
  <c r="E964" i="1"/>
  <c r="D964" i="1"/>
  <c r="C964" i="1"/>
  <c r="B964" i="1"/>
  <c r="A964" i="1"/>
  <c r="F963" i="1"/>
  <c r="E963" i="1"/>
  <c r="D963" i="1"/>
  <c r="C963" i="1"/>
  <c r="B963" i="1"/>
  <c r="A963" i="1"/>
  <c r="F962" i="1"/>
  <c r="E962" i="1"/>
  <c r="D962" i="1"/>
  <c r="C962" i="1"/>
  <c r="B962" i="1"/>
  <c r="A962" i="1"/>
  <c r="F961" i="1"/>
  <c r="E961" i="1"/>
  <c r="D961" i="1"/>
  <c r="C961" i="1"/>
  <c r="B961" i="1"/>
  <c r="A961" i="1"/>
  <c r="F960" i="1"/>
  <c r="E960" i="1"/>
  <c r="D960" i="1"/>
  <c r="C960" i="1"/>
  <c r="B960" i="1"/>
  <c r="A960" i="1"/>
  <c r="F959" i="1"/>
  <c r="E959" i="1"/>
  <c r="D959" i="1"/>
  <c r="C959" i="1"/>
  <c r="B959" i="1"/>
  <c r="A959" i="1"/>
  <c r="F958" i="1"/>
  <c r="E958" i="1"/>
  <c r="D958" i="1"/>
  <c r="C958" i="1"/>
  <c r="B958" i="1"/>
  <c r="A958" i="1"/>
  <c r="F957" i="1"/>
  <c r="E957" i="1"/>
  <c r="D957" i="1"/>
  <c r="C957" i="1"/>
  <c r="B957" i="1"/>
  <c r="A957" i="1"/>
  <c r="F956" i="1"/>
  <c r="E956" i="1"/>
  <c r="D956" i="1"/>
  <c r="C956" i="1"/>
  <c r="B956" i="1"/>
  <c r="A956" i="1"/>
  <c r="F955" i="1"/>
  <c r="E955" i="1"/>
  <c r="D955" i="1"/>
  <c r="C955" i="1"/>
  <c r="B955" i="1"/>
  <c r="A955" i="1"/>
  <c r="F954" i="1"/>
  <c r="E954" i="1"/>
  <c r="D954" i="1"/>
  <c r="C954" i="1"/>
  <c r="B954" i="1"/>
  <c r="A954" i="1"/>
  <c r="F953" i="1"/>
  <c r="E953" i="1"/>
  <c r="D953" i="1"/>
  <c r="C953" i="1"/>
  <c r="B953" i="1"/>
  <c r="A953" i="1"/>
  <c r="F952" i="1"/>
  <c r="E952" i="1"/>
  <c r="D952" i="1"/>
  <c r="C952" i="1"/>
  <c r="B952" i="1"/>
  <c r="A952" i="1"/>
  <c r="F951" i="1"/>
  <c r="E951" i="1"/>
  <c r="D951" i="1"/>
  <c r="C951" i="1"/>
  <c r="B951" i="1"/>
  <c r="A951" i="1"/>
  <c r="F950" i="1"/>
  <c r="E950" i="1"/>
  <c r="D950" i="1"/>
  <c r="C950" i="1"/>
  <c r="B950" i="1"/>
  <c r="A950" i="1"/>
  <c r="F949" i="1"/>
  <c r="E949" i="1"/>
  <c r="D949" i="1"/>
  <c r="C949" i="1"/>
  <c r="B949" i="1"/>
  <c r="A949" i="1"/>
  <c r="F948" i="1"/>
  <c r="E948" i="1"/>
  <c r="D948" i="1"/>
  <c r="C948" i="1"/>
  <c r="B948" i="1"/>
  <c r="A948" i="1"/>
  <c r="F947" i="1"/>
  <c r="E947" i="1"/>
  <c r="D947" i="1"/>
  <c r="C947" i="1"/>
  <c r="B947" i="1"/>
  <c r="A947" i="1"/>
  <c r="F946" i="1"/>
  <c r="E946" i="1"/>
  <c r="D946" i="1"/>
  <c r="C946" i="1"/>
  <c r="B946" i="1"/>
  <c r="A946" i="1"/>
  <c r="F945" i="1"/>
  <c r="E945" i="1"/>
  <c r="D945" i="1"/>
  <c r="C945" i="1"/>
  <c r="B945" i="1"/>
  <c r="A945" i="1"/>
  <c r="F944" i="1"/>
  <c r="E944" i="1"/>
  <c r="D944" i="1"/>
  <c r="C944" i="1"/>
  <c r="B944" i="1"/>
  <c r="A944" i="1"/>
  <c r="F943" i="1"/>
  <c r="E943" i="1"/>
  <c r="D943" i="1"/>
  <c r="C943" i="1"/>
  <c r="B943" i="1"/>
  <c r="A943" i="1"/>
  <c r="F942" i="1"/>
  <c r="E942" i="1"/>
  <c r="D942" i="1"/>
  <c r="C942" i="1"/>
  <c r="B942" i="1"/>
  <c r="A942" i="1"/>
  <c r="F941" i="1"/>
  <c r="E941" i="1"/>
  <c r="D941" i="1"/>
  <c r="C941" i="1"/>
  <c r="B941" i="1"/>
  <c r="A941" i="1"/>
  <c r="F940" i="1"/>
  <c r="E940" i="1"/>
  <c r="D940" i="1"/>
  <c r="C940" i="1"/>
  <c r="B940" i="1"/>
  <c r="A940" i="1"/>
  <c r="F939" i="1"/>
  <c r="E939" i="1"/>
  <c r="D939" i="1"/>
  <c r="C939" i="1"/>
  <c r="B939" i="1"/>
  <c r="A939" i="1"/>
  <c r="F938" i="1"/>
  <c r="E938" i="1"/>
  <c r="D938" i="1"/>
  <c r="C938" i="1"/>
  <c r="B938" i="1"/>
  <c r="A938" i="1"/>
  <c r="F937" i="1"/>
  <c r="E937" i="1"/>
  <c r="D937" i="1"/>
  <c r="C937" i="1"/>
  <c r="B937" i="1"/>
  <c r="A937" i="1"/>
  <c r="F936" i="1"/>
  <c r="E936" i="1"/>
  <c r="D936" i="1"/>
  <c r="C936" i="1"/>
  <c r="B936" i="1"/>
  <c r="A936" i="1"/>
  <c r="F935" i="1"/>
  <c r="E935" i="1"/>
  <c r="D935" i="1"/>
  <c r="C935" i="1"/>
  <c r="B935" i="1"/>
  <c r="A935" i="1"/>
  <c r="F934" i="1"/>
  <c r="E934" i="1"/>
  <c r="D934" i="1"/>
  <c r="C934" i="1"/>
  <c r="B934" i="1"/>
  <c r="A934" i="1"/>
  <c r="F933" i="1"/>
  <c r="E933" i="1"/>
  <c r="D933" i="1"/>
  <c r="C933" i="1"/>
  <c r="B933" i="1"/>
  <c r="A933" i="1"/>
  <c r="F932" i="1"/>
  <c r="E932" i="1"/>
  <c r="D932" i="1"/>
  <c r="C932" i="1"/>
  <c r="B932" i="1"/>
  <c r="A932" i="1"/>
  <c r="F931" i="1"/>
  <c r="E931" i="1"/>
  <c r="D931" i="1"/>
  <c r="C931" i="1"/>
  <c r="B931" i="1"/>
  <c r="A931" i="1"/>
  <c r="F930" i="1"/>
  <c r="E930" i="1"/>
  <c r="D930" i="1"/>
  <c r="C930" i="1"/>
  <c r="B930" i="1"/>
  <c r="A930" i="1"/>
  <c r="F929" i="1"/>
  <c r="E929" i="1"/>
  <c r="D929" i="1"/>
  <c r="C929" i="1"/>
  <c r="B929" i="1"/>
  <c r="A929" i="1"/>
  <c r="F928" i="1"/>
  <c r="E928" i="1"/>
  <c r="D928" i="1"/>
  <c r="C928" i="1"/>
  <c r="B928" i="1"/>
  <c r="A928" i="1"/>
  <c r="F927" i="1"/>
  <c r="E927" i="1"/>
  <c r="D927" i="1"/>
  <c r="C927" i="1"/>
  <c r="B927" i="1"/>
  <c r="A927" i="1"/>
  <c r="F926" i="1"/>
  <c r="E926" i="1"/>
  <c r="D926" i="1"/>
  <c r="C926" i="1"/>
  <c r="B926" i="1"/>
  <c r="A926" i="1"/>
  <c r="F925" i="1"/>
  <c r="E925" i="1"/>
  <c r="D925" i="1"/>
  <c r="C925" i="1"/>
  <c r="B925" i="1"/>
  <c r="A925" i="1"/>
  <c r="F924" i="1"/>
  <c r="E924" i="1"/>
  <c r="D924" i="1"/>
  <c r="C924" i="1"/>
  <c r="B924" i="1"/>
  <c r="A924" i="1"/>
  <c r="F923" i="1"/>
  <c r="E923" i="1"/>
  <c r="D923" i="1"/>
  <c r="C923" i="1"/>
  <c r="B923" i="1"/>
  <c r="A923" i="1"/>
  <c r="F922" i="1"/>
  <c r="E922" i="1"/>
  <c r="D922" i="1"/>
  <c r="C922" i="1"/>
  <c r="B922" i="1"/>
  <c r="A922" i="1"/>
  <c r="F921" i="1"/>
  <c r="E921" i="1"/>
  <c r="D921" i="1"/>
  <c r="C921" i="1"/>
  <c r="B921" i="1"/>
  <c r="A921" i="1"/>
  <c r="F920" i="1"/>
  <c r="E920" i="1"/>
  <c r="D920" i="1"/>
  <c r="C920" i="1"/>
  <c r="B920" i="1"/>
  <c r="A920" i="1"/>
  <c r="F919" i="1"/>
  <c r="E919" i="1"/>
  <c r="D919" i="1"/>
  <c r="C919" i="1"/>
  <c r="B919" i="1"/>
  <c r="A919" i="1"/>
  <c r="F918" i="1"/>
  <c r="E918" i="1"/>
  <c r="D918" i="1"/>
  <c r="C918" i="1"/>
  <c r="B918" i="1"/>
  <c r="A918" i="1"/>
  <c r="F917" i="1"/>
  <c r="E917" i="1"/>
  <c r="D917" i="1"/>
  <c r="C917" i="1"/>
  <c r="B917" i="1"/>
  <c r="A917" i="1"/>
  <c r="F916" i="1"/>
  <c r="E916" i="1"/>
  <c r="D916" i="1"/>
  <c r="C916" i="1"/>
  <c r="B916" i="1"/>
  <c r="A916" i="1"/>
  <c r="F915" i="1"/>
  <c r="E915" i="1"/>
  <c r="D915" i="1"/>
  <c r="C915" i="1"/>
  <c r="B915" i="1"/>
  <c r="A915" i="1"/>
  <c r="F914" i="1"/>
  <c r="E914" i="1"/>
  <c r="D914" i="1"/>
  <c r="C914" i="1"/>
  <c r="B914" i="1"/>
  <c r="A914" i="1"/>
  <c r="F913" i="1"/>
  <c r="E913" i="1"/>
  <c r="D913" i="1"/>
  <c r="C913" i="1"/>
  <c r="B913" i="1"/>
  <c r="A913" i="1"/>
  <c r="F912" i="1"/>
  <c r="E912" i="1"/>
  <c r="D912" i="1"/>
  <c r="C912" i="1"/>
  <c r="B912" i="1"/>
  <c r="A912" i="1"/>
  <c r="F911" i="1"/>
  <c r="E911" i="1"/>
  <c r="D911" i="1"/>
  <c r="C911" i="1"/>
  <c r="B911" i="1"/>
  <c r="A911" i="1"/>
  <c r="F910" i="1"/>
  <c r="E910" i="1"/>
  <c r="D910" i="1"/>
  <c r="C910" i="1"/>
  <c r="B910" i="1"/>
  <c r="A910" i="1"/>
  <c r="F909" i="1"/>
  <c r="E909" i="1"/>
  <c r="D909" i="1"/>
  <c r="C909" i="1"/>
  <c r="B909" i="1"/>
  <c r="A909" i="1"/>
  <c r="F908" i="1"/>
  <c r="E908" i="1"/>
  <c r="D908" i="1"/>
  <c r="C908" i="1"/>
  <c r="B908" i="1"/>
  <c r="A908" i="1"/>
  <c r="F907" i="1"/>
  <c r="E907" i="1"/>
  <c r="D907" i="1"/>
  <c r="C907" i="1"/>
  <c r="B907" i="1"/>
  <c r="A907" i="1"/>
  <c r="F906" i="1"/>
  <c r="E906" i="1"/>
  <c r="D906" i="1"/>
  <c r="C906" i="1"/>
  <c r="B906" i="1"/>
  <c r="A906" i="1"/>
  <c r="F905" i="1"/>
  <c r="E905" i="1"/>
  <c r="D905" i="1"/>
  <c r="C905" i="1"/>
  <c r="B905" i="1"/>
  <c r="A905" i="1"/>
  <c r="F904" i="1"/>
  <c r="E904" i="1"/>
  <c r="D904" i="1"/>
  <c r="C904" i="1"/>
  <c r="B904" i="1"/>
  <c r="A904" i="1"/>
  <c r="F903" i="1"/>
  <c r="E903" i="1"/>
  <c r="D903" i="1"/>
  <c r="C903" i="1"/>
  <c r="B903" i="1"/>
  <c r="A903" i="1"/>
  <c r="F902" i="1"/>
  <c r="E902" i="1"/>
  <c r="D902" i="1"/>
  <c r="C902" i="1"/>
  <c r="B902" i="1"/>
  <c r="A902" i="1"/>
  <c r="F901" i="1"/>
  <c r="E901" i="1"/>
  <c r="D901" i="1"/>
  <c r="C901" i="1"/>
  <c r="B901" i="1"/>
  <c r="A901" i="1"/>
  <c r="F900" i="1"/>
  <c r="E900" i="1"/>
  <c r="D900" i="1"/>
  <c r="C900" i="1"/>
  <c r="B900" i="1"/>
  <c r="A900" i="1"/>
  <c r="F899" i="1"/>
  <c r="E899" i="1"/>
  <c r="D899" i="1"/>
  <c r="C899" i="1"/>
  <c r="B899" i="1"/>
  <c r="A899" i="1"/>
  <c r="F898" i="1"/>
  <c r="E898" i="1"/>
  <c r="D898" i="1"/>
  <c r="C898" i="1"/>
  <c r="B898" i="1"/>
  <c r="A898" i="1"/>
  <c r="F897" i="1"/>
  <c r="E897" i="1"/>
  <c r="D897" i="1"/>
  <c r="C897" i="1"/>
  <c r="B897" i="1"/>
  <c r="A897" i="1"/>
  <c r="F896" i="1"/>
  <c r="E896" i="1"/>
  <c r="D896" i="1"/>
  <c r="C896" i="1"/>
  <c r="B896" i="1"/>
  <c r="A896" i="1"/>
  <c r="F895" i="1"/>
  <c r="E895" i="1"/>
  <c r="D895" i="1"/>
  <c r="C895" i="1"/>
  <c r="B895" i="1"/>
  <c r="A895" i="1"/>
  <c r="F894" i="1"/>
  <c r="E894" i="1"/>
  <c r="D894" i="1"/>
  <c r="C894" i="1"/>
  <c r="B894" i="1"/>
  <c r="A894" i="1"/>
  <c r="F893" i="1"/>
  <c r="E893" i="1"/>
  <c r="D893" i="1"/>
  <c r="C893" i="1"/>
  <c r="B893" i="1"/>
  <c r="A893" i="1"/>
  <c r="F892" i="1"/>
  <c r="E892" i="1"/>
  <c r="D892" i="1"/>
  <c r="C892" i="1"/>
  <c r="B892" i="1"/>
  <c r="A892" i="1"/>
  <c r="F891" i="1"/>
  <c r="E891" i="1"/>
  <c r="D891" i="1"/>
  <c r="C891" i="1"/>
  <c r="B891" i="1"/>
  <c r="A891" i="1"/>
  <c r="F890" i="1"/>
  <c r="E890" i="1"/>
  <c r="D890" i="1"/>
  <c r="C890" i="1"/>
  <c r="B890" i="1"/>
  <c r="A890" i="1"/>
  <c r="F889" i="1"/>
  <c r="E889" i="1"/>
  <c r="D889" i="1"/>
  <c r="C889" i="1"/>
  <c r="B889" i="1"/>
  <c r="A889" i="1"/>
  <c r="F888" i="1"/>
  <c r="E888" i="1"/>
  <c r="D888" i="1"/>
  <c r="C888" i="1"/>
  <c r="B888" i="1"/>
  <c r="A888" i="1"/>
  <c r="F887" i="1"/>
  <c r="E887" i="1"/>
  <c r="D887" i="1"/>
  <c r="C887" i="1"/>
  <c r="B887" i="1"/>
  <c r="A887" i="1"/>
  <c r="F886" i="1"/>
  <c r="E886" i="1"/>
  <c r="D886" i="1"/>
  <c r="C886" i="1"/>
  <c r="B886" i="1"/>
  <c r="A886" i="1"/>
  <c r="F885" i="1"/>
  <c r="E885" i="1"/>
  <c r="D885" i="1"/>
  <c r="C885" i="1"/>
  <c r="B885" i="1"/>
  <c r="A885" i="1"/>
  <c r="F884" i="1"/>
  <c r="E884" i="1"/>
  <c r="D884" i="1"/>
  <c r="C884" i="1"/>
  <c r="B884" i="1"/>
  <c r="A884" i="1"/>
  <c r="F883" i="1"/>
  <c r="E883" i="1"/>
  <c r="D883" i="1"/>
  <c r="C883" i="1"/>
  <c r="B883" i="1"/>
  <c r="A883" i="1"/>
  <c r="F882" i="1"/>
  <c r="E882" i="1"/>
  <c r="D882" i="1"/>
  <c r="C882" i="1"/>
  <c r="B882" i="1"/>
  <c r="A882" i="1"/>
  <c r="F881" i="1"/>
  <c r="E881" i="1"/>
  <c r="D881" i="1"/>
  <c r="C881" i="1"/>
  <c r="B881" i="1"/>
  <c r="A881" i="1"/>
  <c r="F880" i="1"/>
  <c r="E880" i="1"/>
  <c r="D880" i="1"/>
  <c r="C880" i="1"/>
  <c r="B880" i="1"/>
  <c r="A880" i="1"/>
  <c r="F879" i="1"/>
  <c r="E879" i="1"/>
  <c r="D879" i="1"/>
  <c r="C879" i="1"/>
  <c r="B879" i="1"/>
  <c r="A879" i="1"/>
  <c r="F878" i="1"/>
  <c r="E878" i="1"/>
  <c r="D878" i="1"/>
  <c r="C878" i="1"/>
  <c r="B878" i="1"/>
  <c r="A878" i="1"/>
  <c r="F877" i="1"/>
  <c r="E877" i="1"/>
  <c r="D877" i="1"/>
  <c r="C877" i="1"/>
  <c r="B877" i="1"/>
  <c r="A877" i="1"/>
  <c r="F876" i="1"/>
  <c r="E876" i="1"/>
  <c r="D876" i="1"/>
  <c r="C876" i="1"/>
  <c r="B876" i="1"/>
  <c r="A876" i="1"/>
  <c r="F875" i="1"/>
  <c r="E875" i="1"/>
  <c r="D875" i="1"/>
  <c r="C875" i="1"/>
  <c r="B875" i="1"/>
  <c r="A875" i="1"/>
  <c r="F874" i="1"/>
  <c r="E874" i="1"/>
  <c r="D874" i="1"/>
  <c r="C874" i="1"/>
  <c r="B874" i="1"/>
  <c r="A874" i="1"/>
  <c r="F873" i="1"/>
  <c r="E873" i="1"/>
  <c r="D873" i="1"/>
  <c r="C873" i="1"/>
  <c r="B873" i="1"/>
  <c r="A873" i="1"/>
  <c r="F872" i="1"/>
  <c r="E872" i="1"/>
  <c r="D872" i="1"/>
  <c r="C872" i="1"/>
  <c r="B872" i="1"/>
  <c r="A872" i="1"/>
  <c r="F871" i="1"/>
  <c r="E871" i="1"/>
  <c r="D871" i="1"/>
  <c r="C871" i="1"/>
  <c r="B871" i="1"/>
  <c r="A871" i="1"/>
  <c r="F870" i="1"/>
  <c r="E870" i="1"/>
  <c r="D870" i="1"/>
  <c r="C870" i="1"/>
  <c r="B870" i="1"/>
  <c r="A870" i="1"/>
  <c r="F869" i="1"/>
  <c r="E869" i="1"/>
  <c r="D869" i="1"/>
  <c r="C869" i="1"/>
  <c r="B869" i="1"/>
  <c r="A869" i="1"/>
  <c r="F868" i="1"/>
  <c r="E868" i="1"/>
  <c r="D868" i="1"/>
  <c r="C868" i="1"/>
  <c r="B868" i="1"/>
  <c r="A868" i="1"/>
  <c r="F867" i="1"/>
  <c r="E867" i="1"/>
  <c r="D867" i="1"/>
  <c r="C867" i="1"/>
  <c r="B867" i="1"/>
  <c r="A867" i="1"/>
  <c r="F866" i="1"/>
  <c r="E866" i="1"/>
  <c r="D866" i="1"/>
  <c r="C866" i="1"/>
  <c r="B866" i="1"/>
  <c r="A866" i="1"/>
  <c r="F865" i="1"/>
  <c r="E865" i="1"/>
  <c r="D865" i="1"/>
  <c r="C865" i="1"/>
  <c r="B865" i="1"/>
  <c r="A865" i="1"/>
  <c r="F864" i="1"/>
  <c r="E864" i="1"/>
  <c r="D864" i="1"/>
  <c r="C864" i="1"/>
  <c r="B864" i="1"/>
  <c r="A864" i="1"/>
  <c r="F863" i="1"/>
  <c r="E863" i="1"/>
  <c r="D863" i="1"/>
  <c r="C863" i="1"/>
  <c r="B863" i="1"/>
  <c r="A863" i="1"/>
  <c r="F862" i="1"/>
  <c r="E862" i="1"/>
  <c r="D862" i="1"/>
  <c r="C862" i="1"/>
  <c r="B862" i="1"/>
  <c r="A862" i="1"/>
  <c r="F861" i="1"/>
  <c r="E861" i="1"/>
  <c r="D861" i="1"/>
  <c r="C861" i="1"/>
  <c r="B861" i="1"/>
  <c r="A861" i="1"/>
  <c r="F860" i="1"/>
  <c r="E860" i="1"/>
  <c r="D860" i="1"/>
  <c r="C860" i="1"/>
  <c r="B860" i="1"/>
  <c r="A860" i="1"/>
  <c r="F859" i="1"/>
  <c r="E859" i="1"/>
  <c r="D859" i="1"/>
  <c r="C859" i="1"/>
  <c r="B859" i="1"/>
  <c r="A859" i="1"/>
  <c r="F858" i="1"/>
  <c r="E858" i="1"/>
  <c r="D858" i="1"/>
  <c r="C858" i="1"/>
  <c r="B858" i="1"/>
  <c r="A858" i="1"/>
  <c r="F857" i="1"/>
  <c r="E857" i="1"/>
  <c r="D857" i="1"/>
  <c r="C857" i="1"/>
  <c r="B857" i="1"/>
  <c r="A857" i="1"/>
  <c r="F856" i="1"/>
  <c r="E856" i="1"/>
  <c r="D856" i="1"/>
  <c r="C856" i="1"/>
  <c r="B856" i="1"/>
  <c r="A856" i="1"/>
  <c r="F855" i="1"/>
  <c r="E855" i="1"/>
  <c r="D855" i="1"/>
  <c r="C855" i="1"/>
  <c r="B855" i="1"/>
  <c r="A855" i="1"/>
  <c r="F854" i="1"/>
  <c r="E854" i="1"/>
  <c r="D854" i="1"/>
  <c r="C854" i="1"/>
  <c r="B854" i="1"/>
  <c r="A854" i="1"/>
  <c r="F853" i="1"/>
  <c r="E853" i="1"/>
  <c r="D853" i="1"/>
  <c r="C853" i="1"/>
  <c r="B853" i="1"/>
  <c r="A853" i="1"/>
  <c r="F852" i="1"/>
  <c r="E852" i="1"/>
  <c r="D852" i="1"/>
  <c r="C852" i="1"/>
  <c r="B852" i="1"/>
  <c r="A852" i="1"/>
  <c r="F851" i="1"/>
  <c r="E851" i="1"/>
  <c r="D851" i="1"/>
  <c r="C851" i="1"/>
  <c r="B851" i="1"/>
  <c r="A851" i="1"/>
  <c r="F850" i="1"/>
  <c r="E850" i="1"/>
  <c r="D850" i="1"/>
  <c r="C850" i="1"/>
  <c r="B850" i="1"/>
  <c r="A850" i="1"/>
  <c r="F849" i="1"/>
  <c r="E849" i="1"/>
  <c r="D849" i="1"/>
  <c r="C849" i="1"/>
  <c r="B849" i="1"/>
  <c r="A849" i="1"/>
  <c r="F848" i="1"/>
  <c r="E848" i="1"/>
  <c r="D848" i="1"/>
  <c r="C848" i="1"/>
  <c r="B848" i="1"/>
  <c r="A848" i="1"/>
  <c r="F847" i="1"/>
  <c r="E847" i="1"/>
  <c r="D847" i="1"/>
  <c r="C847" i="1"/>
  <c r="B847" i="1"/>
  <c r="A847" i="1"/>
  <c r="F846" i="1"/>
  <c r="E846" i="1"/>
  <c r="D846" i="1"/>
  <c r="C846" i="1"/>
  <c r="B846" i="1"/>
  <c r="A846" i="1"/>
  <c r="F845" i="1"/>
  <c r="E845" i="1"/>
  <c r="D845" i="1"/>
  <c r="C845" i="1"/>
  <c r="B845" i="1"/>
  <c r="A845" i="1"/>
  <c r="F844" i="1"/>
  <c r="E844" i="1"/>
  <c r="D844" i="1"/>
  <c r="C844" i="1"/>
  <c r="B844" i="1"/>
  <c r="A844" i="1"/>
  <c r="F843" i="1"/>
  <c r="E843" i="1"/>
  <c r="D843" i="1"/>
  <c r="C843" i="1"/>
  <c r="B843" i="1"/>
  <c r="A843" i="1"/>
  <c r="F842" i="1"/>
  <c r="E842" i="1"/>
  <c r="D842" i="1"/>
  <c r="C842" i="1"/>
  <c r="B842" i="1"/>
  <c r="A842" i="1"/>
  <c r="F841" i="1"/>
  <c r="E841" i="1"/>
  <c r="D841" i="1"/>
  <c r="C841" i="1"/>
  <c r="B841" i="1"/>
  <c r="A841" i="1"/>
  <c r="F840" i="1"/>
  <c r="E840" i="1"/>
  <c r="D840" i="1"/>
  <c r="C840" i="1"/>
  <c r="B840" i="1"/>
  <c r="A840" i="1"/>
  <c r="F839" i="1"/>
  <c r="E839" i="1"/>
  <c r="D839" i="1"/>
  <c r="C839" i="1"/>
  <c r="B839" i="1"/>
  <c r="A839" i="1"/>
  <c r="F838" i="1"/>
  <c r="E838" i="1"/>
  <c r="D838" i="1"/>
  <c r="C838" i="1"/>
  <c r="B838" i="1"/>
  <c r="A838" i="1"/>
  <c r="F837" i="1"/>
  <c r="E837" i="1"/>
  <c r="D837" i="1"/>
  <c r="C837" i="1"/>
  <c r="B837" i="1"/>
  <c r="A837" i="1"/>
  <c r="F836" i="1"/>
  <c r="E836" i="1"/>
  <c r="D836" i="1"/>
  <c r="C836" i="1"/>
  <c r="B836" i="1"/>
  <c r="A836" i="1"/>
  <c r="F835" i="1"/>
  <c r="E835" i="1"/>
  <c r="D835" i="1"/>
  <c r="C835" i="1"/>
  <c r="B835" i="1"/>
  <c r="A835" i="1"/>
  <c r="F834" i="1"/>
  <c r="E834" i="1"/>
  <c r="D834" i="1"/>
  <c r="C834" i="1"/>
  <c r="B834" i="1"/>
  <c r="A834" i="1"/>
  <c r="F833" i="1"/>
  <c r="E833" i="1"/>
  <c r="D833" i="1"/>
  <c r="C833" i="1"/>
  <c r="B833" i="1"/>
  <c r="A833" i="1"/>
  <c r="F832" i="1"/>
  <c r="E832" i="1"/>
  <c r="D832" i="1"/>
  <c r="C832" i="1"/>
  <c r="B832" i="1"/>
  <c r="A832" i="1"/>
  <c r="F831" i="1"/>
  <c r="E831" i="1"/>
  <c r="D831" i="1"/>
  <c r="C831" i="1"/>
  <c r="B831" i="1"/>
  <c r="A831" i="1"/>
  <c r="F830" i="1"/>
  <c r="E830" i="1"/>
  <c r="D830" i="1"/>
  <c r="C830" i="1"/>
  <c r="B830" i="1"/>
  <c r="A830" i="1"/>
  <c r="F829" i="1"/>
  <c r="E829" i="1"/>
  <c r="D829" i="1"/>
  <c r="C829" i="1"/>
  <c r="B829" i="1"/>
  <c r="A829" i="1"/>
  <c r="F828" i="1"/>
  <c r="E828" i="1"/>
  <c r="D828" i="1"/>
  <c r="C828" i="1"/>
  <c r="B828" i="1"/>
  <c r="A828" i="1"/>
  <c r="F827" i="1"/>
  <c r="E827" i="1"/>
  <c r="D827" i="1"/>
  <c r="C827" i="1"/>
  <c r="B827" i="1"/>
  <c r="A827" i="1"/>
  <c r="F826" i="1"/>
  <c r="E826" i="1"/>
  <c r="D826" i="1"/>
  <c r="C826" i="1"/>
  <c r="B826" i="1"/>
  <c r="A826" i="1"/>
  <c r="F825" i="1"/>
  <c r="E825" i="1"/>
  <c r="D825" i="1"/>
  <c r="C825" i="1"/>
  <c r="B825" i="1"/>
  <c r="A825" i="1"/>
  <c r="F824" i="1"/>
  <c r="E824" i="1"/>
  <c r="D824" i="1"/>
  <c r="C824" i="1"/>
  <c r="B824" i="1"/>
  <c r="A824" i="1"/>
  <c r="F823" i="1"/>
  <c r="E823" i="1"/>
  <c r="D823" i="1"/>
  <c r="C823" i="1"/>
  <c r="B823" i="1"/>
  <c r="A823" i="1"/>
  <c r="F822" i="1"/>
  <c r="E822" i="1"/>
  <c r="D822" i="1"/>
  <c r="C822" i="1"/>
  <c r="B822" i="1"/>
  <c r="A822" i="1"/>
  <c r="F821" i="1"/>
  <c r="E821" i="1"/>
  <c r="D821" i="1"/>
  <c r="C821" i="1"/>
  <c r="B821" i="1"/>
  <c r="A821" i="1"/>
  <c r="F820" i="1"/>
  <c r="E820" i="1"/>
  <c r="D820" i="1"/>
  <c r="C820" i="1"/>
  <c r="B820" i="1"/>
  <c r="A820" i="1"/>
  <c r="F819" i="1"/>
  <c r="E819" i="1"/>
  <c r="D819" i="1"/>
  <c r="C819" i="1"/>
  <c r="B819" i="1"/>
  <c r="A819" i="1"/>
  <c r="F818" i="1"/>
  <c r="E818" i="1"/>
  <c r="D818" i="1"/>
  <c r="C818" i="1"/>
  <c r="B818" i="1"/>
  <c r="A818" i="1"/>
  <c r="F817" i="1"/>
  <c r="E817" i="1"/>
  <c r="D817" i="1"/>
  <c r="C817" i="1"/>
  <c r="B817" i="1"/>
  <c r="A817" i="1"/>
  <c r="F816" i="1"/>
  <c r="E816" i="1"/>
  <c r="D816" i="1"/>
  <c r="C816" i="1"/>
  <c r="B816" i="1"/>
  <c r="A816" i="1"/>
  <c r="F815" i="1"/>
  <c r="E815" i="1"/>
  <c r="D815" i="1"/>
  <c r="C815" i="1"/>
  <c r="B815" i="1"/>
  <c r="A815" i="1"/>
  <c r="F814" i="1"/>
  <c r="E814" i="1"/>
  <c r="D814" i="1"/>
  <c r="C814" i="1"/>
  <c r="B814" i="1"/>
  <c r="A814" i="1"/>
  <c r="F813" i="1"/>
  <c r="E813" i="1"/>
  <c r="D813" i="1"/>
  <c r="C813" i="1"/>
  <c r="B813" i="1"/>
  <c r="A813" i="1"/>
  <c r="F812" i="1"/>
  <c r="E812" i="1"/>
  <c r="D812" i="1"/>
  <c r="C812" i="1"/>
  <c r="B812" i="1"/>
  <c r="A812" i="1"/>
  <c r="F811" i="1"/>
  <c r="E811" i="1"/>
  <c r="D811" i="1"/>
  <c r="C811" i="1"/>
  <c r="B811" i="1"/>
  <c r="A811" i="1"/>
  <c r="F810" i="1"/>
  <c r="E810" i="1"/>
  <c r="D810" i="1"/>
  <c r="C810" i="1"/>
  <c r="B810" i="1"/>
  <c r="A810" i="1"/>
  <c r="F809" i="1"/>
  <c r="E809" i="1"/>
  <c r="D809" i="1"/>
  <c r="C809" i="1"/>
  <c r="B809" i="1"/>
  <c r="A809" i="1"/>
  <c r="F808" i="1"/>
  <c r="E808" i="1"/>
  <c r="D808" i="1"/>
  <c r="C808" i="1"/>
  <c r="B808" i="1"/>
  <c r="A808" i="1"/>
  <c r="F807" i="1"/>
  <c r="E807" i="1"/>
  <c r="D807" i="1"/>
  <c r="C807" i="1"/>
  <c r="B807" i="1"/>
  <c r="A807" i="1"/>
  <c r="F806" i="1"/>
  <c r="E806" i="1"/>
  <c r="D806" i="1"/>
  <c r="C806" i="1"/>
  <c r="B806" i="1"/>
  <c r="A806" i="1"/>
  <c r="F805" i="1"/>
  <c r="E805" i="1"/>
  <c r="D805" i="1"/>
  <c r="C805" i="1"/>
  <c r="B805" i="1"/>
  <c r="A805" i="1"/>
  <c r="F804" i="1"/>
  <c r="E804" i="1"/>
  <c r="D804" i="1"/>
  <c r="C804" i="1"/>
  <c r="B804" i="1"/>
  <c r="A804" i="1"/>
  <c r="F803" i="1"/>
  <c r="E803" i="1"/>
  <c r="D803" i="1"/>
  <c r="C803" i="1"/>
  <c r="B803" i="1"/>
  <c r="A803" i="1"/>
  <c r="F802" i="1"/>
  <c r="E802" i="1"/>
  <c r="D802" i="1"/>
  <c r="C802" i="1"/>
  <c r="B802" i="1"/>
  <c r="A802" i="1"/>
  <c r="F801" i="1"/>
  <c r="E801" i="1"/>
  <c r="D801" i="1"/>
  <c r="C801" i="1"/>
  <c r="B801" i="1"/>
  <c r="A801" i="1"/>
  <c r="F800" i="1"/>
  <c r="E800" i="1"/>
  <c r="D800" i="1"/>
  <c r="C800" i="1"/>
  <c r="B800" i="1"/>
  <c r="A800" i="1"/>
  <c r="F799" i="1"/>
  <c r="E799" i="1"/>
  <c r="D799" i="1"/>
  <c r="C799" i="1"/>
  <c r="B799" i="1"/>
  <c r="A799" i="1"/>
  <c r="F798" i="1"/>
  <c r="E798" i="1"/>
  <c r="D798" i="1"/>
  <c r="C798" i="1"/>
  <c r="B798" i="1"/>
  <c r="A798" i="1"/>
  <c r="F797" i="1"/>
  <c r="E797" i="1"/>
  <c r="D797" i="1"/>
  <c r="C797" i="1"/>
  <c r="B797" i="1"/>
  <c r="A797" i="1"/>
  <c r="F796" i="1"/>
  <c r="E796" i="1"/>
  <c r="D796" i="1"/>
  <c r="C796" i="1"/>
  <c r="B796" i="1"/>
  <c r="A796" i="1"/>
  <c r="F795" i="1"/>
  <c r="E795" i="1"/>
  <c r="D795" i="1"/>
  <c r="C795" i="1"/>
  <c r="B795" i="1"/>
  <c r="A795" i="1"/>
  <c r="F794" i="1"/>
  <c r="E794" i="1"/>
  <c r="D794" i="1"/>
  <c r="C794" i="1"/>
  <c r="B794" i="1"/>
  <c r="A794" i="1"/>
  <c r="F793" i="1"/>
  <c r="E793" i="1"/>
  <c r="D793" i="1"/>
  <c r="C793" i="1"/>
  <c r="B793" i="1"/>
  <c r="A793" i="1"/>
  <c r="F792" i="1"/>
  <c r="E792" i="1"/>
  <c r="D792" i="1"/>
  <c r="C792" i="1"/>
  <c r="B792" i="1"/>
  <c r="A792" i="1"/>
  <c r="F791" i="1"/>
  <c r="E791" i="1"/>
  <c r="D791" i="1"/>
  <c r="C791" i="1"/>
  <c r="B791" i="1"/>
  <c r="A791" i="1"/>
  <c r="F790" i="1"/>
  <c r="E790" i="1"/>
  <c r="D790" i="1"/>
  <c r="C790" i="1"/>
  <c r="B790" i="1"/>
  <c r="A790" i="1"/>
  <c r="F789" i="1"/>
  <c r="E789" i="1"/>
  <c r="D789" i="1"/>
  <c r="C789" i="1"/>
  <c r="B789" i="1"/>
  <c r="A789" i="1"/>
  <c r="F788" i="1"/>
  <c r="E788" i="1"/>
  <c r="D788" i="1"/>
  <c r="C788" i="1"/>
  <c r="B788" i="1"/>
  <c r="A788" i="1"/>
  <c r="F787" i="1"/>
  <c r="E787" i="1"/>
  <c r="D787" i="1"/>
  <c r="C787" i="1"/>
  <c r="B787" i="1"/>
  <c r="A787" i="1"/>
  <c r="F786" i="1"/>
  <c r="E786" i="1"/>
  <c r="D786" i="1"/>
  <c r="C786" i="1"/>
  <c r="B786" i="1"/>
  <c r="A786" i="1"/>
  <c r="F785" i="1"/>
  <c r="E785" i="1"/>
  <c r="D785" i="1"/>
  <c r="C785" i="1"/>
  <c r="B785" i="1"/>
  <c r="A785" i="1"/>
  <c r="F784" i="1"/>
  <c r="E784" i="1"/>
  <c r="D784" i="1"/>
  <c r="C784" i="1"/>
  <c r="B784" i="1"/>
  <c r="A784" i="1"/>
  <c r="F783" i="1"/>
  <c r="E783" i="1"/>
  <c r="D783" i="1"/>
  <c r="C783" i="1"/>
  <c r="B783" i="1"/>
  <c r="A783" i="1"/>
  <c r="F782" i="1"/>
  <c r="E782" i="1"/>
  <c r="D782" i="1"/>
  <c r="C782" i="1"/>
  <c r="B782" i="1"/>
  <c r="A782" i="1"/>
  <c r="F781" i="1"/>
  <c r="E781" i="1"/>
  <c r="D781" i="1"/>
  <c r="C781" i="1"/>
  <c r="B781" i="1"/>
  <c r="A781" i="1"/>
  <c r="F780" i="1"/>
  <c r="E780" i="1"/>
  <c r="D780" i="1"/>
  <c r="C780" i="1"/>
  <c r="B780" i="1"/>
  <c r="A780" i="1"/>
  <c r="F779" i="1"/>
  <c r="E779" i="1"/>
  <c r="D779" i="1"/>
  <c r="C779" i="1"/>
  <c r="B779" i="1"/>
  <c r="A779" i="1"/>
  <c r="F778" i="1"/>
  <c r="E778" i="1"/>
  <c r="D778" i="1"/>
  <c r="C778" i="1"/>
  <c r="B778" i="1"/>
  <c r="A778" i="1"/>
  <c r="F777" i="1"/>
  <c r="E777" i="1"/>
  <c r="D777" i="1"/>
  <c r="C777" i="1"/>
  <c r="B777" i="1"/>
  <c r="A777" i="1"/>
  <c r="F776" i="1"/>
  <c r="E776" i="1"/>
  <c r="D776" i="1"/>
  <c r="C776" i="1"/>
  <c r="B776" i="1"/>
  <c r="A776" i="1"/>
  <c r="F775" i="1"/>
  <c r="E775" i="1"/>
  <c r="D775" i="1"/>
  <c r="C775" i="1"/>
  <c r="B775" i="1"/>
  <c r="A775" i="1"/>
  <c r="F774" i="1"/>
  <c r="E774" i="1"/>
  <c r="D774" i="1"/>
  <c r="C774" i="1"/>
  <c r="B774" i="1"/>
  <c r="A774" i="1"/>
  <c r="F773" i="1"/>
  <c r="E773" i="1"/>
  <c r="D773" i="1"/>
  <c r="C773" i="1"/>
  <c r="B773" i="1"/>
  <c r="A773" i="1"/>
  <c r="F772" i="1"/>
  <c r="E772" i="1"/>
  <c r="D772" i="1"/>
  <c r="C772" i="1"/>
  <c r="B772" i="1"/>
  <c r="A772" i="1"/>
  <c r="F771" i="1"/>
  <c r="E771" i="1"/>
  <c r="D771" i="1"/>
  <c r="C771" i="1"/>
  <c r="B771" i="1"/>
  <c r="A771" i="1"/>
  <c r="F770" i="1"/>
  <c r="E770" i="1"/>
  <c r="D770" i="1"/>
  <c r="C770" i="1"/>
  <c r="B770" i="1"/>
  <c r="A770" i="1"/>
  <c r="F769" i="1"/>
  <c r="E769" i="1"/>
  <c r="D769" i="1"/>
  <c r="C769" i="1"/>
  <c r="B769" i="1"/>
  <c r="A769" i="1"/>
  <c r="F768" i="1"/>
  <c r="E768" i="1"/>
  <c r="D768" i="1"/>
  <c r="C768" i="1"/>
  <c r="B768" i="1"/>
  <c r="A768" i="1"/>
  <c r="F767" i="1"/>
  <c r="E767" i="1"/>
  <c r="D767" i="1"/>
  <c r="C767" i="1"/>
  <c r="B767" i="1"/>
  <c r="A767" i="1"/>
  <c r="F766" i="1"/>
  <c r="E766" i="1"/>
  <c r="D766" i="1"/>
  <c r="C766" i="1"/>
  <c r="B766" i="1"/>
  <c r="A766" i="1"/>
  <c r="F765" i="1"/>
  <c r="E765" i="1"/>
  <c r="D765" i="1"/>
  <c r="C765" i="1"/>
  <c r="B765" i="1"/>
  <c r="A765" i="1"/>
  <c r="F764" i="1"/>
  <c r="E764" i="1"/>
  <c r="D764" i="1"/>
  <c r="C764" i="1"/>
  <c r="B764" i="1"/>
  <c r="A764" i="1"/>
  <c r="F763" i="1"/>
  <c r="E763" i="1"/>
  <c r="D763" i="1"/>
  <c r="C763" i="1"/>
  <c r="B763" i="1"/>
  <c r="A763" i="1"/>
  <c r="F762" i="1"/>
  <c r="E762" i="1"/>
  <c r="D762" i="1"/>
  <c r="C762" i="1"/>
  <c r="B762" i="1"/>
  <c r="A762" i="1"/>
  <c r="F761" i="1"/>
  <c r="E761" i="1"/>
  <c r="D761" i="1"/>
  <c r="C761" i="1"/>
  <c r="B761" i="1"/>
  <c r="A761" i="1"/>
  <c r="F760" i="1"/>
  <c r="E760" i="1"/>
  <c r="D760" i="1"/>
  <c r="C760" i="1"/>
  <c r="B760" i="1"/>
  <c r="A760" i="1"/>
  <c r="F759" i="1"/>
  <c r="E759" i="1"/>
  <c r="D759" i="1"/>
  <c r="C759" i="1"/>
  <c r="B759" i="1"/>
  <c r="A759" i="1"/>
  <c r="F758" i="1"/>
  <c r="E758" i="1"/>
  <c r="D758" i="1"/>
  <c r="C758" i="1"/>
  <c r="B758" i="1"/>
  <c r="A758" i="1"/>
  <c r="F757" i="1"/>
  <c r="E757" i="1"/>
  <c r="D757" i="1"/>
  <c r="C757" i="1"/>
  <c r="B757" i="1"/>
  <c r="A757" i="1"/>
  <c r="F756" i="1"/>
  <c r="E756" i="1"/>
  <c r="D756" i="1"/>
  <c r="C756" i="1"/>
  <c r="B756" i="1"/>
  <c r="A756" i="1"/>
  <c r="F755" i="1"/>
  <c r="E755" i="1"/>
  <c r="D755" i="1"/>
  <c r="C755" i="1"/>
  <c r="B755" i="1"/>
  <c r="A755" i="1"/>
  <c r="F754" i="1"/>
  <c r="E754" i="1"/>
  <c r="D754" i="1"/>
  <c r="C754" i="1"/>
  <c r="B754" i="1"/>
  <c r="A754" i="1"/>
  <c r="F753" i="1"/>
  <c r="E753" i="1"/>
  <c r="D753" i="1"/>
  <c r="C753" i="1"/>
  <c r="B753" i="1"/>
  <c r="A753" i="1"/>
  <c r="F752" i="1"/>
  <c r="E752" i="1"/>
  <c r="D752" i="1"/>
  <c r="C752" i="1"/>
  <c r="B752" i="1"/>
  <c r="A752" i="1"/>
  <c r="F751" i="1"/>
  <c r="E751" i="1"/>
  <c r="D751" i="1"/>
  <c r="C751" i="1"/>
  <c r="B751" i="1"/>
  <c r="A751" i="1"/>
  <c r="F750" i="1"/>
  <c r="E750" i="1"/>
  <c r="D750" i="1"/>
  <c r="C750" i="1"/>
  <c r="B750" i="1"/>
  <c r="A750" i="1"/>
  <c r="F749" i="1"/>
  <c r="E749" i="1"/>
  <c r="D749" i="1"/>
  <c r="C749" i="1"/>
  <c r="B749" i="1"/>
  <c r="A749" i="1"/>
  <c r="F748" i="1"/>
  <c r="E748" i="1"/>
  <c r="D748" i="1"/>
  <c r="C748" i="1"/>
  <c r="B748" i="1"/>
  <c r="A748" i="1"/>
  <c r="F747" i="1"/>
  <c r="E747" i="1"/>
  <c r="D747" i="1"/>
  <c r="C747" i="1"/>
  <c r="B747" i="1"/>
  <c r="A747" i="1"/>
  <c r="F746" i="1"/>
  <c r="E746" i="1"/>
  <c r="D746" i="1"/>
  <c r="C746" i="1"/>
  <c r="B746" i="1"/>
  <c r="A746" i="1"/>
  <c r="F745" i="1"/>
  <c r="E745" i="1"/>
  <c r="D745" i="1"/>
  <c r="C745" i="1"/>
  <c r="B745" i="1"/>
  <c r="A745" i="1"/>
  <c r="F744" i="1"/>
  <c r="E744" i="1"/>
  <c r="D744" i="1"/>
  <c r="C744" i="1"/>
  <c r="B744" i="1"/>
  <c r="A744" i="1"/>
  <c r="F743" i="1"/>
  <c r="E743" i="1"/>
  <c r="D743" i="1"/>
  <c r="C743" i="1"/>
  <c r="B743" i="1"/>
  <c r="A743" i="1"/>
  <c r="F742" i="1"/>
  <c r="E742" i="1"/>
  <c r="D742" i="1"/>
  <c r="C742" i="1"/>
  <c r="B742" i="1"/>
  <c r="A742" i="1"/>
  <c r="F741" i="1"/>
  <c r="E741" i="1"/>
  <c r="D741" i="1"/>
  <c r="C741" i="1"/>
  <c r="B741" i="1"/>
  <c r="A741" i="1"/>
  <c r="F740" i="1"/>
  <c r="E740" i="1"/>
  <c r="D740" i="1"/>
  <c r="C740" i="1"/>
  <c r="B740" i="1"/>
  <c r="A740" i="1"/>
  <c r="F739" i="1"/>
  <c r="E739" i="1"/>
  <c r="D739" i="1"/>
  <c r="C739" i="1"/>
  <c r="B739" i="1"/>
  <c r="A739" i="1"/>
  <c r="F738" i="1"/>
  <c r="E738" i="1"/>
  <c r="D738" i="1"/>
  <c r="C738" i="1"/>
  <c r="B738" i="1"/>
  <c r="A738" i="1"/>
  <c r="F737" i="1"/>
  <c r="E737" i="1"/>
  <c r="D737" i="1"/>
  <c r="C737" i="1"/>
  <c r="B737" i="1"/>
  <c r="A737" i="1"/>
  <c r="F736" i="1"/>
  <c r="E736" i="1"/>
  <c r="D736" i="1"/>
  <c r="C736" i="1"/>
  <c r="B736" i="1"/>
  <c r="A736" i="1"/>
  <c r="F735" i="1"/>
  <c r="E735" i="1"/>
  <c r="D735" i="1"/>
  <c r="C735" i="1"/>
  <c r="B735" i="1"/>
  <c r="A735" i="1"/>
  <c r="F734" i="1"/>
  <c r="E734" i="1"/>
  <c r="D734" i="1"/>
  <c r="C734" i="1"/>
  <c r="B734" i="1"/>
  <c r="A734" i="1"/>
  <c r="F733" i="1"/>
  <c r="E733" i="1"/>
  <c r="D733" i="1"/>
  <c r="C733" i="1"/>
  <c r="B733" i="1"/>
  <c r="A733" i="1"/>
  <c r="F732" i="1"/>
  <c r="E732" i="1"/>
  <c r="D732" i="1"/>
  <c r="C732" i="1"/>
  <c r="B732" i="1"/>
  <c r="A732" i="1"/>
  <c r="F731" i="1"/>
  <c r="E731" i="1"/>
  <c r="D731" i="1"/>
  <c r="C731" i="1"/>
  <c r="B731" i="1"/>
  <c r="A731" i="1"/>
  <c r="F730" i="1"/>
  <c r="E730" i="1"/>
  <c r="D730" i="1"/>
  <c r="C730" i="1"/>
  <c r="B730" i="1"/>
  <c r="A730" i="1"/>
  <c r="F729" i="1"/>
  <c r="E729" i="1"/>
  <c r="D729" i="1"/>
  <c r="C729" i="1"/>
  <c r="B729" i="1"/>
  <c r="A729" i="1"/>
  <c r="F728" i="1"/>
  <c r="E728" i="1"/>
  <c r="D728" i="1"/>
  <c r="C728" i="1"/>
  <c r="B728" i="1"/>
  <c r="A728" i="1"/>
  <c r="F727" i="1"/>
  <c r="E727" i="1"/>
  <c r="D727" i="1"/>
  <c r="C727" i="1"/>
  <c r="B727" i="1"/>
  <c r="A727" i="1"/>
  <c r="F726" i="1"/>
  <c r="E726" i="1"/>
  <c r="D726" i="1"/>
  <c r="C726" i="1"/>
  <c r="B726" i="1"/>
  <c r="A726" i="1"/>
  <c r="F725" i="1"/>
  <c r="E725" i="1"/>
  <c r="D725" i="1"/>
  <c r="C725" i="1"/>
  <c r="B725" i="1"/>
  <c r="A725" i="1"/>
  <c r="F724" i="1"/>
  <c r="E724" i="1"/>
  <c r="D724" i="1"/>
  <c r="C724" i="1"/>
  <c r="B724" i="1"/>
  <c r="A724" i="1"/>
  <c r="F723" i="1"/>
  <c r="E723" i="1"/>
  <c r="D723" i="1"/>
  <c r="C723" i="1"/>
  <c r="B723" i="1"/>
  <c r="A723" i="1"/>
  <c r="F722" i="1"/>
  <c r="E722" i="1"/>
  <c r="D722" i="1"/>
  <c r="C722" i="1"/>
  <c r="B722" i="1"/>
  <c r="A722" i="1"/>
  <c r="F721" i="1"/>
  <c r="E721" i="1"/>
  <c r="D721" i="1"/>
  <c r="C721" i="1"/>
  <c r="B721" i="1"/>
  <c r="A721" i="1"/>
  <c r="F720" i="1"/>
  <c r="E720" i="1"/>
  <c r="D720" i="1"/>
  <c r="C720" i="1"/>
  <c r="B720" i="1"/>
  <c r="A720" i="1"/>
  <c r="F719" i="1"/>
  <c r="E719" i="1"/>
  <c r="D719" i="1"/>
  <c r="C719" i="1"/>
  <c r="B719" i="1"/>
  <c r="A719" i="1"/>
  <c r="F718" i="1"/>
  <c r="E718" i="1"/>
  <c r="D718" i="1"/>
  <c r="C718" i="1"/>
  <c r="B718" i="1"/>
  <c r="A718" i="1"/>
  <c r="F717" i="1"/>
  <c r="E717" i="1"/>
  <c r="D717" i="1"/>
  <c r="C717" i="1"/>
  <c r="B717" i="1"/>
  <c r="A717" i="1"/>
  <c r="F716" i="1"/>
  <c r="E716" i="1"/>
  <c r="D716" i="1"/>
  <c r="C716" i="1"/>
  <c r="B716" i="1"/>
  <c r="A716" i="1"/>
  <c r="F715" i="1"/>
  <c r="E715" i="1"/>
  <c r="D715" i="1"/>
  <c r="C715" i="1"/>
  <c r="B715" i="1"/>
  <c r="A715" i="1"/>
  <c r="F714" i="1"/>
  <c r="E714" i="1"/>
  <c r="D714" i="1"/>
  <c r="C714" i="1"/>
  <c r="B714" i="1"/>
  <c r="A714" i="1"/>
  <c r="F713" i="1"/>
  <c r="E713" i="1"/>
  <c r="D713" i="1"/>
  <c r="C713" i="1"/>
  <c r="B713" i="1"/>
  <c r="A713" i="1"/>
  <c r="F712" i="1"/>
  <c r="E712" i="1"/>
  <c r="D712" i="1"/>
  <c r="C712" i="1"/>
  <c r="B712" i="1"/>
  <c r="A712" i="1"/>
  <c r="F711" i="1"/>
  <c r="E711" i="1"/>
  <c r="D711" i="1"/>
  <c r="C711" i="1"/>
  <c r="B711" i="1"/>
  <c r="A711" i="1"/>
  <c r="F710" i="1"/>
  <c r="E710" i="1"/>
  <c r="D710" i="1"/>
  <c r="C710" i="1"/>
  <c r="B710" i="1"/>
  <c r="A710" i="1"/>
  <c r="F709" i="1"/>
  <c r="E709" i="1"/>
  <c r="D709" i="1"/>
  <c r="C709" i="1"/>
  <c r="B709" i="1"/>
  <c r="A709" i="1"/>
  <c r="F708" i="1"/>
  <c r="E708" i="1"/>
  <c r="D708" i="1"/>
  <c r="C708" i="1"/>
  <c r="B708" i="1"/>
  <c r="A708" i="1"/>
  <c r="F707" i="1"/>
  <c r="E707" i="1"/>
  <c r="D707" i="1"/>
  <c r="C707" i="1"/>
  <c r="B707" i="1"/>
  <c r="A707" i="1"/>
  <c r="F706" i="1"/>
  <c r="E706" i="1"/>
  <c r="D706" i="1"/>
  <c r="C706" i="1"/>
  <c r="B706" i="1"/>
  <c r="A706" i="1"/>
  <c r="F705" i="1"/>
  <c r="E705" i="1"/>
  <c r="D705" i="1"/>
  <c r="C705" i="1"/>
  <c r="B705" i="1"/>
  <c r="A705" i="1"/>
  <c r="F704" i="1"/>
  <c r="E704" i="1"/>
  <c r="D704" i="1"/>
  <c r="C704" i="1"/>
  <c r="B704" i="1"/>
  <c r="A704" i="1"/>
  <c r="F703" i="1"/>
  <c r="E703" i="1"/>
  <c r="D703" i="1"/>
  <c r="C703" i="1"/>
  <c r="B703" i="1"/>
  <c r="A703" i="1"/>
  <c r="F702" i="1"/>
  <c r="E702" i="1"/>
  <c r="D702" i="1"/>
  <c r="C702" i="1"/>
  <c r="B702" i="1"/>
  <c r="A702" i="1"/>
  <c r="F701" i="1"/>
  <c r="E701" i="1"/>
  <c r="D701" i="1"/>
  <c r="C701" i="1"/>
  <c r="B701" i="1"/>
  <c r="A701" i="1"/>
  <c r="F700" i="1"/>
  <c r="E700" i="1"/>
  <c r="D700" i="1"/>
  <c r="C700" i="1"/>
  <c r="B700" i="1"/>
  <c r="A700" i="1"/>
  <c r="F699" i="1"/>
  <c r="E699" i="1"/>
  <c r="D699" i="1"/>
  <c r="C699" i="1"/>
  <c r="B699" i="1"/>
  <c r="A699" i="1"/>
  <c r="F698" i="1"/>
  <c r="E698" i="1"/>
  <c r="D698" i="1"/>
  <c r="C698" i="1"/>
  <c r="B698" i="1"/>
  <c r="A698" i="1"/>
  <c r="F697" i="1"/>
  <c r="E697" i="1"/>
  <c r="D697" i="1"/>
  <c r="C697" i="1"/>
  <c r="B697" i="1"/>
  <c r="A697" i="1"/>
  <c r="F696" i="1"/>
  <c r="E696" i="1"/>
  <c r="D696" i="1"/>
  <c r="C696" i="1"/>
  <c r="B696" i="1"/>
  <c r="A696" i="1"/>
  <c r="F695" i="1"/>
  <c r="E695" i="1"/>
  <c r="D695" i="1"/>
  <c r="C695" i="1"/>
  <c r="B695" i="1"/>
  <c r="A695" i="1"/>
  <c r="F694" i="1"/>
  <c r="E694" i="1"/>
  <c r="D694" i="1"/>
  <c r="C694" i="1"/>
  <c r="B694" i="1"/>
  <c r="A694" i="1"/>
  <c r="F693" i="1"/>
  <c r="E693" i="1"/>
  <c r="D693" i="1"/>
  <c r="C693" i="1"/>
  <c r="B693" i="1"/>
  <c r="A693" i="1"/>
  <c r="F692" i="1"/>
  <c r="E692" i="1"/>
  <c r="D692" i="1"/>
  <c r="C692" i="1"/>
  <c r="B692" i="1"/>
  <c r="A692" i="1"/>
  <c r="F691" i="1"/>
  <c r="E691" i="1"/>
  <c r="D691" i="1"/>
  <c r="C691" i="1"/>
  <c r="B691" i="1"/>
  <c r="A691" i="1"/>
  <c r="F690" i="1"/>
  <c r="E690" i="1"/>
  <c r="D690" i="1"/>
  <c r="C690" i="1"/>
  <c r="B690" i="1"/>
  <c r="A690" i="1"/>
  <c r="F689" i="1"/>
  <c r="E689" i="1"/>
  <c r="D689" i="1"/>
  <c r="C689" i="1"/>
  <c r="B689" i="1"/>
  <c r="A689" i="1"/>
  <c r="F688" i="1"/>
  <c r="E688" i="1"/>
  <c r="D688" i="1"/>
  <c r="C688" i="1"/>
  <c r="B688" i="1"/>
  <c r="A688" i="1"/>
  <c r="F687" i="1"/>
  <c r="E687" i="1"/>
  <c r="D687" i="1"/>
  <c r="C687" i="1"/>
  <c r="B687" i="1"/>
  <c r="A687" i="1"/>
  <c r="F686" i="1"/>
  <c r="E686" i="1"/>
  <c r="D686" i="1"/>
  <c r="C686" i="1"/>
  <c r="B686" i="1"/>
  <c r="A686" i="1"/>
  <c r="F685" i="1"/>
  <c r="E685" i="1"/>
  <c r="D685" i="1"/>
  <c r="C685" i="1"/>
  <c r="B685" i="1"/>
  <c r="A685" i="1"/>
  <c r="F684" i="1"/>
  <c r="E684" i="1"/>
  <c r="D684" i="1"/>
  <c r="C684" i="1"/>
  <c r="B684" i="1"/>
  <c r="A684" i="1"/>
  <c r="F683" i="1"/>
  <c r="E683" i="1"/>
  <c r="D683" i="1"/>
  <c r="C683" i="1"/>
  <c r="B683" i="1"/>
  <c r="A683" i="1"/>
  <c r="F682" i="1"/>
  <c r="E682" i="1"/>
  <c r="D682" i="1"/>
  <c r="C682" i="1"/>
  <c r="B682" i="1"/>
  <c r="A682" i="1"/>
  <c r="F681" i="1"/>
  <c r="E681" i="1"/>
  <c r="D681" i="1"/>
  <c r="C681" i="1"/>
  <c r="B681" i="1"/>
  <c r="A681" i="1"/>
  <c r="F680" i="1"/>
  <c r="E680" i="1"/>
  <c r="D680" i="1"/>
  <c r="C680" i="1"/>
  <c r="B680" i="1"/>
  <c r="A680" i="1"/>
  <c r="F679" i="1"/>
  <c r="E679" i="1"/>
  <c r="D679" i="1"/>
  <c r="C679" i="1"/>
  <c r="B679" i="1"/>
  <c r="A679" i="1"/>
  <c r="F678" i="1"/>
  <c r="E678" i="1"/>
  <c r="D678" i="1"/>
  <c r="C678" i="1"/>
  <c r="B678" i="1"/>
  <c r="A678" i="1"/>
  <c r="F677" i="1"/>
  <c r="E677" i="1"/>
  <c r="D677" i="1"/>
  <c r="C677" i="1"/>
  <c r="B677" i="1"/>
  <c r="A677" i="1"/>
  <c r="F676" i="1"/>
  <c r="E676" i="1"/>
  <c r="D676" i="1"/>
  <c r="C676" i="1"/>
  <c r="B676" i="1"/>
  <c r="A676" i="1"/>
  <c r="F675" i="1"/>
  <c r="E675" i="1"/>
  <c r="D675" i="1"/>
  <c r="C675" i="1"/>
  <c r="B675" i="1"/>
  <c r="A675" i="1"/>
  <c r="F674" i="1"/>
  <c r="E674" i="1"/>
  <c r="D674" i="1"/>
  <c r="C674" i="1"/>
  <c r="B674" i="1"/>
  <c r="A674" i="1"/>
  <c r="F673" i="1"/>
  <c r="E673" i="1"/>
  <c r="D673" i="1"/>
  <c r="C673" i="1"/>
  <c r="B673" i="1"/>
  <c r="A673" i="1"/>
  <c r="F672" i="1"/>
  <c r="E672" i="1"/>
  <c r="D672" i="1"/>
  <c r="C672" i="1"/>
  <c r="B672" i="1"/>
  <c r="A672" i="1"/>
  <c r="F671" i="1"/>
  <c r="E671" i="1"/>
  <c r="D671" i="1"/>
  <c r="C671" i="1"/>
  <c r="B671" i="1"/>
  <c r="A671" i="1"/>
  <c r="F670" i="1"/>
  <c r="E670" i="1"/>
  <c r="D670" i="1"/>
  <c r="C670" i="1"/>
  <c r="B670" i="1"/>
  <c r="A670" i="1"/>
  <c r="F669" i="1"/>
  <c r="E669" i="1"/>
  <c r="D669" i="1"/>
  <c r="C669" i="1"/>
  <c r="B669" i="1"/>
  <c r="A669" i="1"/>
  <c r="F668" i="1"/>
  <c r="E668" i="1"/>
  <c r="D668" i="1"/>
  <c r="C668" i="1"/>
  <c r="B668" i="1"/>
  <c r="A668" i="1"/>
  <c r="F667" i="1"/>
  <c r="E667" i="1"/>
  <c r="D667" i="1"/>
  <c r="C667" i="1"/>
  <c r="B667" i="1"/>
  <c r="A667" i="1"/>
  <c r="F666" i="1"/>
  <c r="E666" i="1"/>
  <c r="D666" i="1"/>
  <c r="C666" i="1"/>
  <c r="B666" i="1"/>
  <c r="A666" i="1"/>
  <c r="F665" i="1"/>
  <c r="E665" i="1"/>
  <c r="D665" i="1"/>
  <c r="C665" i="1"/>
  <c r="B665" i="1"/>
  <c r="A665" i="1"/>
  <c r="F664" i="1"/>
  <c r="E664" i="1"/>
  <c r="D664" i="1"/>
  <c r="C664" i="1"/>
  <c r="B664" i="1"/>
  <c r="A664" i="1"/>
  <c r="F663" i="1"/>
  <c r="E663" i="1"/>
  <c r="D663" i="1"/>
  <c r="C663" i="1"/>
  <c r="B663" i="1"/>
  <c r="A663" i="1"/>
  <c r="F662" i="1"/>
  <c r="E662" i="1"/>
  <c r="D662" i="1"/>
  <c r="C662" i="1"/>
  <c r="B662" i="1"/>
  <c r="A662" i="1"/>
  <c r="F661" i="1"/>
  <c r="E661" i="1"/>
  <c r="D661" i="1"/>
  <c r="C661" i="1"/>
  <c r="B661" i="1"/>
  <c r="A661" i="1"/>
  <c r="F660" i="1"/>
  <c r="E660" i="1"/>
  <c r="D660" i="1"/>
  <c r="C660" i="1"/>
  <c r="B660" i="1"/>
  <c r="A660" i="1"/>
  <c r="F659" i="1"/>
  <c r="E659" i="1"/>
  <c r="D659" i="1"/>
  <c r="C659" i="1"/>
  <c r="B659" i="1"/>
  <c r="A659" i="1"/>
  <c r="F658" i="1"/>
  <c r="E658" i="1"/>
  <c r="D658" i="1"/>
  <c r="C658" i="1"/>
  <c r="B658" i="1"/>
  <c r="A658" i="1"/>
  <c r="F657" i="1"/>
  <c r="E657" i="1"/>
  <c r="D657" i="1"/>
  <c r="C657" i="1"/>
  <c r="B657" i="1"/>
  <c r="A657" i="1"/>
  <c r="F656" i="1"/>
  <c r="E656" i="1"/>
  <c r="D656" i="1"/>
  <c r="C656" i="1"/>
  <c r="B656" i="1"/>
  <c r="A656" i="1"/>
  <c r="F655" i="1"/>
  <c r="E655" i="1"/>
  <c r="D655" i="1"/>
  <c r="C655" i="1"/>
  <c r="B655" i="1"/>
  <c r="A655" i="1"/>
  <c r="F654" i="1"/>
  <c r="E654" i="1"/>
  <c r="D654" i="1"/>
  <c r="C654" i="1"/>
  <c r="B654" i="1"/>
  <c r="A654" i="1"/>
  <c r="F653" i="1"/>
  <c r="E653" i="1"/>
  <c r="D653" i="1"/>
  <c r="C653" i="1"/>
  <c r="B653" i="1"/>
  <c r="A653" i="1"/>
  <c r="F652" i="1"/>
  <c r="E652" i="1"/>
  <c r="D652" i="1"/>
  <c r="C652" i="1"/>
  <c r="B652" i="1"/>
  <c r="A652" i="1"/>
  <c r="F651" i="1"/>
  <c r="E651" i="1"/>
  <c r="D651" i="1"/>
  <c r="C651" i="1"/>
  <c r="B651" i="1"/>
  <c r="A651" i="1"/>
  <c r="F650" i="1"/>
  <c r="E650" i="1"/>
  <c r="D650" i="1"/>
  <c r="C650" i="1"/>
  <c r="B650" i="1"/>
  <c r="A650" i="1"/>
  <c r="F649" i="1"/>
  <c r="E649" i="1"/>
  <c r="D649" i="1"/>
  <c r="C649" i="1"/>
  <c r="B649" i="1"/>
  <c r="A649" i="1"/>
  <c r="F648" i="1"/>
  <c r="E648" i="1"/>
  <c r="D648" i="1"/>
  <c r="C648" i="1"/>
  <c r="B648" i="1"/>
  <c r="A648" i="1"/>
  <c r="F647" i="1"/>
  <c r="E647" i="1"/>
  <c r="D647" i="1"/>
  <c r="C647" i="1"/>
  <c r="B647" i="1"/>
  <c r="A647" i="1"/>
  <c r="F646" i="1"/>
  <c r="E646" i="1"/>
  <c r="D646" i="1"/>
  <c r="C646" i="1"/>
  <c r="B646" i="1"/>
  <c r="A646" i="1"/>
  <c r="F645" i="1"/>
  <c r="E645" i="1"/>
  <c r="D645" i="1"/>
  <c r="C645" i="1"/>
  <c r="B645" i="1"/>
  <c r="A645" i="1"/>
  <c r="F644" i="1"/>
  <c r="E644" i="1"/>
  <c r="D644" i="1"/>
  <c r="C644" i="1"/>
  <c r="B644" i="1"/>
  <c r="A644" i="1"/>
  <c r="F643" i="1"/>
  <c r="E643" i="1"/>
  <c r="D643" i="1"/>
  <c r="C643" i="1"/>
  <c r="B643" i="1"/>
  <c r="A643" i="1"/>
  <c r="F642" i="1"/>
  <c r="E642" i="1"/>
  <c r="D642" i="1"/>
  <c r="C642" i="1"/>
  <c r="B642" i="1"/>
  <c r="A642" i="1"/>
  <c r="F641" i="1"/>
  <c r="E641" i="1"/>
  <c r="D641" i="1"/>
  <c r="C641" i="1"/>
  <c r="B641" i="1"/>
  <c r="A641" i="1"/>
  <c r="F640" i="1"/>
  <c r="E640" i="1"/>
  <c r="D640" i="1"/>
  <c r="C640" i="1"/>
  <c r="B640" i="1"/>
  <c r="A640" i="1"/>
  <c r="F639" i="1"/>
  <c r="E639" i="1"/>
  <c r="D639" i="1"/>
  <c r="C639" i="1"/>
  <c r="B639" i="1"/>
  <c r="A639" i="1"/>
  <c r="F638" i="1"/>
  <c r="E638" i="1"/>
  <c r="D638" i="1"/>
  <c r="C638" i="1"/>
  <c r="B638" i="1"/>
  <c r="A638" i="1"/>
  <c r="F637" i="1"/>
  <c r="E637" i="1"/>
  <c r="D637" i="1"/>
  <c r="C637" i="1"/>
  <c r="B637" i="1"/>
  <c r="A637" i="1"/>
  <c r="F636" i="1"/>
  <c r="E636" i="1"/>
  <c r="D636" i="1"/>
  <c r="C636" i="1"/>
  <c r="B636" i="1"/>
  <c r="A636" i="1"/>
  <c r="F635" i="1"/>
  <c r="E635" i="1"/>
  <c r="D635" i="1"/>
  <c r="C635" i="1"/>
  <c r="B635" i="1"/>
  <c r="A635" i="1"/>
  <c r="F634" i="1"/>
  <c r="E634" i="1"/>
  <c r="D634" i="1"/>
  <c r="C634" i="1"/>
  <c r="B634" i="1"/>
  <c r="A634" i="1"/>
  <c r="F633" i="1"/>
  <c r="E633" i="1"/>
  <c r="D633" i="1"/>
  <c r="C633" i="1"/>
  <c r="B633" i="1"/>
  <c r="A633" i="1"/>
  <c r="F632" i="1"/>
  <c r="E632" i="1"/>
  <c r="D632" i="1"/>
  <c r="C632" i="1"/>
  <c r="B632" i="1"/>
  <c r="A632" i="1"/>
  <c r="F631" i="1"/>
  <c r="E631" i="1"/>
  <c r="D631" i="1"/>
  <c r="C631" i="1"/>
  <c r="B631" i="1"/>
  <c r="A631" i="1"/>
  <c r="F630" i="1"/>
  <c r="E630" i="1"/>
  <c r="D630" i="1"/>
  <c r="C630" i="1"/>
  <c r="B630" i="1"/>
  <c r="A630" i="1"/>
  <c r="F629" i="1"/>
  <c r="E629" i="1"/>
  <c r="D629" i="1"/>
  <c r="C629" i="1"/>
  <c r="B629" i="1"/>
  <c r="A629" i="1"/>
  <c r="F628" i="1"/>
  <c r="E628" i="1"/>
  <c r="D628" i="1"/>
  <c r="C628" i="1"/>
  <c r="B628" i="1"/>
  <c r="A628" i="1"/>
  <c r="F627" i="1"/>
  <c r="E627" i="1"/>
  <c r="D627" i="1"/>
  <c r="C627" i="1"/>
  <c r="B627" i="1"/>
  <c r="A627" i="1"/>
  <c r="F626" i="1"/>
  <c r="E626" i="1"/>
  <c r="D626" i="1"/>
  <c r="C626" i="1"/>
  <c r="B626" i="1"/>
  <c r="A626" i="1"/>
  <c r="F625" i="1"/>
  <c r="E625" i="1"/>
  <c r="D625" i="1"/>
  <c r="C625" i="1"/>
  <c r="B625" i="1"/>
  <c r="A625" i="1"/>
  <c r="F624" i="1"/>
  <c r="E624" i="1"/>
  <c r="D624" i="1"/>
  <c r="C624" i="1"/>
  <c r="B624" i="1"/>
  <c r="A624" i="1"/>
  <c r="F623" i="1"/>
  <c r="E623" i="1"/>
  <c r="D623" i="1"/>
  <c r="C623" i="1"/>
  <c r="B623" i="1"/>
  <c r="A623" i="1"/>
  <c r="F622" i="1"/>
  <c r="E622" i="1"/>
  <c r="D622" i="1"/>
  <c r="C622" i="1"/>
  <c r="B622" i="1"/>
  <c r="A622" i="1"/>
  <c r="F621" i="1"/>
  <c r="E621" i="1"/>
  <c r="D621" i="1"/>
  <c r="C621" i="1"/>
  <c r="B621" i="1"/>
  <c r="A621" i="1"/>
  <c r="F620" i="1"/>
  <c r="E620" i="1"/>
  <c r="D620" i="1"/>
  <c r="C620" i="1"/>
  <c r="B620" i="1"/>
  <c r="A620" i="1"/>
  <c r="F619" i="1"/>
  <c r="E619" i="1"/>
  <c r="D619" i="1"/>
  <c r="C619" i="1"/>
  <c r="B619" i="1"/>
  <c r="A619" i="1"/>
  <c r="F618" i="1"/>
  <c r="E618" i="1"/>
  <c r="D618" i="1"/>
  <c r="C618" i="1"/>
  <c r="B618" i="1"/>
  <c r="A618" i="1"/>
  <c r="F617" i="1"/>
  <c r="E617" i="1"/>
  <c r="D617" i="1"/>
  <c r="C617" i="1"/>
  <c r="B617" i="1"/>
  <c r="A617" i="1"/>
  <c r="F616" i="1"/>
  <c r="E616" i="1"/>
  <c r="D616" i="1"/>
  <c r="C616" i="1"/>
  <c r="B616" i="1"/>
  <c r="A616" i="1"/>
  <c r="F615" i="1"/>
  <c r="E615" i="1"/>
  <c r="D615" i="1"/>
  <c r="C615" i="1"/>
  <c r="B615" i="1"/>
  <c r="A615" i="1"/>
  <c r="F614" i="1"/>
  <c r="E614" i="1"/>
  <c r="D614" i="1"/>
  <c r="C614" i="1"/>
  <c r="B614" i="1"/>
  <c r="A614" i="1"/>
  <c r="F613" i="1"/>
  <c r="E613" i="1"/>
  <c r="D613" i="1"/>
  <c r="C613" i="1"/>
  <c r="B613" i="1"/>
  <c r="A613" i="1"/>
  <c r="F612" i="1"/>
  <c r="E612" i="1"/>
  <c r="D612" i="1"/>
  <c r="C612" i="1"/>
  <c r="B612" i="1"/>
  <c r="A612" i="1"/>
  <c r="F611" i="1"/>
  <c r="E611" i="1"/>
  <c r="D611" i="1"/>
  <c r="C611" i="1"/>
  <c r="B611" i="1"/>
  <c r="A611" i="1"/>
  <c r="F610" i="1"/>
  <c r="E610" i="1"/>
  <c r="D610" i="1"/>
  <c r="C610" i="1"/>
  <c r="B610" i="1"/>
  <c r="A610" i="1"/>
  <c r="F609" i="1"/>
  <c r="E609" i="1"/>
  <c r="D609" i="1"/>
  <c r="C609" i="1"/>
  <c r="B609" i="1"/>
  <c r="A609" i="1"/>
  <c r="F608" i="1"/>
  <c r="E608" i="1"/>
  <c r="D608" i="1"/>
  <c r="C608" i="1"/>
  <c r="B608" i="1"/>
  <c r="A608" i="1"/>
  <c r="F607" i="1"/>
  <c r="E607" i="1"/>
  <c r="D607" i="1"/>
  <c r="C607" i="1"/>
  <c r="B607" i="1"/>
  <c r="A607" i="1"/>
  <c r="F606" i="1"/>
  <c r="E606" i="1"/>
  <c r="D606" i="1"/>
  <c r="C606" i="1"/>
  <c r="B606" i="1"/>
  <c r="A606" i="1"/>
  <c r="F605" i="1"/>
  <c r="E605" i="1"/>
  <c r="D605" i="1"/>
  <c r="C605" i="1"/>
  <c r="B605" i="1"/>
  <c r="A605" i="1"/>
  <c r="F604" i="1"/>
  <c r="E604" i="1"/>
  <c r="D604" i="1"/>
  <c r="C604" i="1"/>
  <c r="B604" i="1"/>
  <c r="A604" i="1"/>
  <c r="F603" i="1"/>
  <c r="E603" i="1"/>
  <c r="D603" i="1"/>
  <c r="C603" i="1"/>
  <c r="B603" i="1"/>
  <c r="A603" i="1"/>
  <c r="F602" i="1"/>
  <c r="E602" i="1"/>
  <c r="D602" i="1"/>
  <c r="C602" i="1"/>
  <c r="B602" i="1"/>
  <c r="A602" i="1"/>
  <c r="F601" i="1"/>
  <c r="E601" i="1"/>
  <c r="D601" i="1"/>
  <c r="C601" i="1"/>
  <c r="B601" i="1"/>
  <c r="A601" i="1"/>
  <c r="F600" i="1"/>
  <c r="E600" i="1"/>
  <c r="D600" i="1"/>
  <c r="C600" i="1"/>
  <c r="B600" i="1"/>
  <c r="A600" i="1"/>
  <c r="F599" i="1"/>
  <c r="E599" i="1"/>
  <c r="D599" i="1"/>
  <c r="C599" i="1"/>
  <c r="B599" i="1"/>
  <c r="A599" i="1"/>
  <c r="F598" i="1"/>
  <c r="E598" i="1"/>
  <c r="D598" i="1"/>
  <c r="C598" i="1"/>
  <c r="B598" i="1"/>
  <c r="A598" i="1"/>
  <c r="F597" i="1"/>
  <c r="E597" i="1"/>
  <c r="D597" i="1"/>
  <c r="C597" i="1"/>
  <c r="B597" i="1"/>
  <c r="A597" i="1"/>
  <c r="F596" i="1"/>
  <c r="E596" i="1"/>
  <c r="D596" i="1"/>
  <c r="C596" i="1"/>
  <c r="B596" i="1"/>
  <c r="A596" i="1"/>
  <c r="F595" i="1"/>
  <c r="E595" i="1"/>
  <c r="D595" i="1"/>
  <c r="C595" i="1"/>
  <c r="B595" i="1"/>
  <c r="A595" i="1"/>
  <c r="F594" i="1"/>
  <c r="E594" i="1"/>
  <c r="D594" i="1"/>
  <c r="C594" i="1"/>
  <c r="B594" i="1"/>
  <c r="A594" i="1"/>
  <c r="F593" i="1"/>
  <c r="E593" i="1"/>
  <c r="D593" i="1"/>
  <c r="C593" i="1"/>
  <c r="B593" i="1"/>
  <c r="A593" i="1"/>
  <c r="F592" i="1"/>
  <c r="E592" i="1"/>
  <c r="D592" i="1"/>
  <c r="C592" i="1"/>
  <c r="B592" i="1"/>
  <c r="A592" i="1"/>
  <c r="F591" i="1"/>
  <c r="E591" i="1"/>
  <c r="D591" i="1"/>
  <c r="C591" i="1"/>
  <c r="B591" i="1"/>
  <c r="A591" i="1"/>
  <c r="F590" i="1"/>
  <c r="E590" i="1"/>
  <c r="D590" i="1"/>
  <c r="C590" i="1"/>
  <c r="B590" i="1"/>
  <c r="A590" i="1"/>
  <c r="F589" i="1"/>
  <c r="E589" i="1"/>
  <c r="D589" i="1"/>
  <c r="C589" i="1"/>
  <c r="B589" i="1"/>
  <c r="A589" i="1"/>
  <c r="F588" i="1"/>
  <c r="E588" i="1"/>
  <c r="D588" i="1"/>
  <c r="C588" i="1"/>
  <c r="B588" i="1"/>
  <c r="A588" i="1"/>
  <c r="F587" i="1"/>
  <c r="E587" i="1"/>
  <c r="D587" i="1"/>
  <c r="C587" i="1"/>
  <c r="B587" i="1"/>
  <c r="A587" i="1"/>
  <c r="F586" i="1"/>
  <c r="E586" i="1"/>
  <c r="D586" i="1"/>
  <c r="C586" i="1"/>
  <c r="B586" i="1"/>
  <c r="A586" i="1"/>
  <c r="F585" i="1"/>
  <c r="E585" i="1"/>
  <c r="D585" i="1"/>
  <c r="C585" i="1"/>
  <c r="B585" i="1"/>
  <c r="A585" i="1"/>
  <c r="F584" i="1"/>
  <c r="E584" i="1"/>
  <c r="D584" i="1"/>
  <c r="C584" i="1"/>
  <c r="B584" i="1"/>
  <c r="A584" i="1"/>
  <c r="F583" i="1"/>
  <c r="E583" i="1"/>
  <c r="D583" i="1"/>
  <c r="C583" i="1"/>
  <c r="B583" i="1"/>
  <c r="A583" i="1"/>
  <c r="F582" i="1"/>
  <c r="E582" i="1"/>
  <c r="D582" i="1"/>
  <c r="C582" i="1"/>
  <c r="B582" i="1"/>
  <c r="A582" i="1"/>
  <c r="F581" i="1"/>
  <c r="E581" i="1"/>
  <c r="D581" i="1"/>
  <c r="C581" i="1"/>
  <c r="B581" i="1"/>
  <c r="A581" i="1"/>
  <c r="F580" i="1"/>
  <c r="E580" i="1"/>
  <c r="D580" i="1"/>
  <c r="C580" i="1"/>
  <c r="B580" i="1"/>
  <c r="A580" i="1"/>
  <c r="F579" i="1"/>
  <c r="E579" i="1"/>
  <c r="D579" i="1"/>
  <c r="C579" i="1"/>
  <c r="B579" i="1"/>
  <c r="A579" i="1"/>
  <c r="F578" i="1"/>
  <c r="E578" i="1"/>
  <c r="D578" i="1"/>
  <c r="C578" i="1"/>
  <c r="B578" i="1"/>
  <c r="A578" i="1"/>
  <c r="F577" i="1"/>
  <c r="E577" i="1"/>
  <c r="D577" i="1"/>
  <c r="C577" i="1"/>
  <c r="B577" i="1"/>
  <c r="A577" i="1"/>
  <c r="F576" i="1"/>
  <c r="E576" i="1"/>
  <c r="D576" i="1"/>
  <c r="C576" i="1"/>
  <c r="B576" i="1"/>
  <c r="A576" i="1"/>
  <c r="F575" i="1"/>
  <c r="E575" i="1"/>
  <c r="D575" i="1"/>
  <c r="C575" i="1"/>
  <c r="B575" i="1"/>
  <c r="A575" i="1"/>
  <c r="F574" i="1"/>
  <c r="E574" i="1"/>
  <c r="D574" i="1"/>
  <c r="C574" i="1"/>
  <c r="B574" i="1"/>
  <c r="A574" i="1"/>
  <c r="F573" i="1"/>
  <c r="E573" i="1"/>
  <c r="D573" i="1"/>
  <c r="C573" i="1"/>
  <c r="B573" i="1"/>
  <c r="A573" i="1"/>
  <c r="F572" i="1"/>
  <c r="E572" i="1"/>
  <c r="D572" i="1"/>
  <c r="C572" i="1"/>
  <c r="B572" i="1"/>
  <c r="A572" i="1"/>
  <c r="F571" i="1"/>
  <c r="E571" i="1"/>
  <c r="D571" i="1"/>
  <c r="C571" i="1"/>
  <c r="B571" i="1"/>
  <c r="A571" i="1"/>
  <c r="F570" i="1"/>
  <c r="E570" i="1"/>
  <c r="D570" i="1"/>
  <c r="C570" i="1"/>
  <c r="B570" i="1"/>
  <c r="A570" i="1"/>
  <c r="F569" i="1"/>
  <c r="E569" i="1"/>
  <c r="D569" i="1"/>
  <c r="C569" i="1"/>
  <c r="B569" i="1"/>
  <c r="A569" i="1"/>
  <c r="F568" i="1"/>
  <c r="E568" i="1"/>
  <c r="D568" i="1"/>
  <c r="C568" i="1"/>
  <c r="B568" i="1"/>
  <c r="A568" i="1"/>
  <c r="F567" i="1"/>
  <c r="E567" i="1"/>
  <c r="D567" i="1"/>
  <c r="C567" i="1"/>
  <c r="B567" i="1"/>
  <c r="A567" i="1"/>
  <c r="F566" i="1"/>
  <c r="E566" i="1"/>
  <c r="D566" i="1"/>
  <c r="C566" i="1"/>
  <c r="B566" i="1"/>
  <c r="A566" i="1"/>
  <c r="F565" i="1"/>
  <c r="E565" i="1"/>
  <c r="D565" i="1"/>
  <c r="C565" i="1"/>
  <c r="B565" i="1"/>
  <c r="A565" i="1"/>
  <c r="F564" i="1"/>
  <c r="E564" i="1"/>
  <c r="D564" i="1"/>
  <c r="C564" i="1"/>
  <c r="B564" i="1"/>
  <c r="A564" i="1"/>
  <c r="F563" i="1"/>
  <c r="E563" i="1"/>
  <c r="D563" i="1"/>
  <c r="C563" i="1"/>
  <c r="B563" i="1"/>
  <c r="A563" i="1"/>
  <c r="F562" i="1"/>
  <c r="E562" i="1"/>
  <c r="D562" i="1"/>
  <c r="C562" i="1"/>
  <c r="B562" i="1"/>
  <c r="A562" i="1"/>
  <c r="F561" i="1"/>
  <c r="E561" i="1"/>
  <c r="D561" i="1"/>
  <c r="C561" i="1"/>
  <c r="B561" i="1"/>
  <c r="A561" i="1"/>
  <c r="F560" i="1"/>
  <c r="E560" i="1"/>
  <c r="D560" i="1"/>
  <c r="C560" i="1"/>
  <c r="B560" i="1"/>
  <c r="A560" i="1"/>
  <c r="F559" i="1"/>
  <c r="E559" i="1"/>
  <c r="D559" i="1"/>
  <c r="C559" i="1"/>
  <c r="B559" i="1"/>
  <c r="A559" i="1"/>
  <c r="F558" i="1"/>
  <c r="E558" i="1"/>
  <c r="D558" i="1"/>
  <c r="C558" i="1"/>
  <c r="B558" i="1"/>
  <c r="A558" i="1"/>
  <c r="F557" i="1"/>
  <c r="E557" i="1"/>
  <c r="D557" i="1"/>
  <c r="C557" i="1"/>
  <c r="B557" i="1"/>
  <c r="A557" i="1"/>
  <c r="F556" i="1"/>
  <c r="E556" i="1"/>
  <c r="D556" i="1"/>
  <c r="C556" i="1"/>
  <c r="B556" i="1"/>
  <c r="A556" i="1"/>
  <c r="F555" i="1"/>
  <c r="E555" i="1"/>
  <c r="D555" i="1"/>
  <c r="C555" i="1"/>
  <c r="B555" i="1"/>
  <c r="A555" i="1"/>
  <c r="F554" i="1"/>
  <c r="E554" i="1"/>
  <c r="D554" i="1"/>
  <c r="C554" i="1"/>
  <c r="B554" i="1"/>
  <c r="A554" i="1"/>
  <c r="F553" i="1"/>
  <c r="E553" i="1"/>
  <c r="D553" i="1"/>
  <c r="C553" i="1"/>
  <c r="B553" i="1"/>
  <c r="A553" i="1"/>
  <c r="F552" i="1"/>
  <c r="E552" i="1"/>
  <c r="D552" i="1"/>
  <c r="C552" i="1"/>
  <c r="B552" i="1"/>
  <c r="A552" i="1"/>
  <c r="F551" i="1"/>
  <c r="E551" i="1"/>
  <c r="D551" i="1"/>
  <c r="C551" i="1"/>
  <c r="B551" i="1"/>
  <c r="A551" i="1"/>
  <c r="F550" i="1"/>
  <c r="E550" i="1"/>
  <c r="D550" i="1"/>
  <c r="C550" i="1"/>
  <c r="B550" i="1"/>
  <c r="A550" i="1"/>
  <c r="F549" i="1"/>
  <c r="E549" i="1"/>
  <c r="D549" i="1"/>
  <c r="C549" i="1"/>
  <c r="B549" i="1"/>
  <c r="A549" i="1"/>
  <c r="F548" i="1"/>
  <c r="E548" i="1"/>
  <c r="D548" i="1"/>
  <c r="C548" i="1"/>
  <c r="B548" i="1"/>
  <c r="A548" i="1"/>
  <c r="F547" i="1"/>
  <c r="E547" i="1"/>
  <c r="D547" i="1"/>
  <c r="C547" i="1"/>
  <c r="B547" i="1"/>
  <c r="A547" i="1"/>
  <c r="F546" i="1"/>
  <c r="E546" i="1"/>
  <c r="D546" i="1"/>
  <c r="C546" i="1"/>
  <c r="B546" i="1"/>
  <c r="A546" i="1"/>
  <c r="F545" i="1"/>
  <c r="E545" i="1"/>
  <c r="D545" i="1"/>
  <c r="C545" i="1"/>
  <c r="B545" i="1"/>
  <c r="A545" i="1"/>
  <c r="F544" i="1"/>
  <c r="E544" i="1"/>
  <c r="D544" i="1"/>
  <c r="C544" i="1"/>
  <c r="B544" i="1"/>
  <c r="A544" i="1"/>
  <c r="F543" i="1"/>
  <c r="E543" i="1"/>
  <c r="D543" i="1"/>
  <c r="C543" i="1"/>
  <c r="B543" i="1"/>
  <c r="A543" i="1"/>
  <c r="F542" i="1"/>
  <c r="E542" i="1"/>
  <c r="D542" i="1"/>
  <c r="C542" i="1"/>
  <c r="B542" i="1"/>
  <c r="A542" i="1"/>
  <c r="F541" i="1"/>
  <c r="E541" i="1"/>
  <c r="D541" i="1"/>
  <c r="C541" i="1"/>
  <c r="B541" i="1"/>
  <c r="A541" i="1"/>
  <c r="F540" i="1"/>
  <c r="E540" i="1"/>
  <c r="D540" i="1"/>
  <c r="C540" i="1"/>
  <c r="B540" i="1"/>
  <c r="A540" i="1"/>
  <c r="F539" i="1"/>
  <c r="E539" i="1"/>
  <c r="D539" i="1"/>
  <c r="C539" i="1"/>
  <c r="B539" i="1"/>
  <c r="A539" i="1"/>
  <c r="F538" i="1"/>
  <c r="E538" i="1"/>
  <c r="D538" i="1"/>
  <c r="C538" i="1"/>
  <c r="B538" i="1"/>
  <c r="A538" i="1"/>
  <c r="F537" i="1"/>
  <c r="E537" i="1"/>
  <c r="D537" i="1"/>
  <c r="C537" i="1"/>
  <c r="B537" i="1"/>
  <c r="A537" i="1"/>
  <c r="F536" i="1"/>
  <c r="E536" i="1"/>
  <c r="D536" i="1"/>
  <c r="C536" i="1"/>
  <c r="B536" i="1"/>
  <c r="A536" i="1"/>
  <c r="F535" i="1"/>
  <c r="E535" i="1"/>
  <c r="D535" i="1"/>
  <c r="C535" i="1"/>
  <c r="B535" i="1"/>
  <c r="A535" i="1"/>
  <c r="F534" i="1"/>
  <c r="E534" i="1"/>
  <c r="D534" i="1"/>
  <c r="C534" i="1"/>
  <c r="B534" i="1"/>
  <c r="A534" i="1"/>
  <c r="F533" i="1"/>
  <c r="E533" i="1"/>
  <c r="D533" i="1"/>
  <c r="C533" i="1"/>
  <c r="B533" i="1"/>
  <c r="A533" i="1"/>
  <c r="F532" i="1"/>
  <c r="E532" i="1"/>
  <c r="D532" i="1"/>
  <c r="C532" i="1"/>
  <c r="B532" i="1"/>
  <c r="A532" i="1"/>
  <c r="F531" i="1"/>
  <c r="E531" i="1"/>
  <c r="D531" i="1"/>
  <c r="C531" i="1"/>
  <c r="B531" i="1"/>
  <c r="A531" i="1"/>
  <c r="F530" i="1"/>
  <c r="E530" i="1"/>
  <c r="D530" i="1"/>
  <c r="C530" i="1"/>
  <c r="B530" i="1"/>
  <c r="A530" i="1"/>
  <c r="F529" i="1"/>
  <c r="E529" i="1"/>
  <c r="D529" i="1"/>
  <c r="C529" i="1"/>
  <c r="B529" i="1"/>
  <c r="A529" i="1"/>
  <c r="F528" i="1"/>
  <c r="E528" i="1"/>
  <c r="D528" i="1"/>
  <c r="C528" i="1"/>
  <c r="B528" i="1"/>
  <c r="A528" i="1"/>
  <c r="F527" i="1"/>
  <c r="E527" i="1"/>
  <c r="D527" i="1"/>
  <c r="C527" i="1"/>
  <c r="B527" i="1"/>
  <c r="A527" i="1"/>
  <c r="F526" i="1"/>
  <c r="E526" i="1"/>
  <c r="D526" i="1"/>
  <c r="C526" i="1"/>
  <c r="B526" i="1"/>
  <c r="A526" i="1"/>
  <c r="F525" i="1"/>
  <c r="E525" i="1"/>
  <c r="D525" i="1"/>
  <c r="C525" i="1"/>
  <c r="B525" i="1"/>
  <c r="A525" i="1"/>
  <c r="F524" i="1"/>
  <c r="E524" i="1"/>
  <c r="D524" i="1"/>
  <c r="C524" i="1"/>
  <c r="B524" i="1"/>
  <c r="A524" i="1"/>
  <c r="F523" i="1"/>
  <c r="E523" i="1"/>
  <c r="D523" i="1"/>
  <c r="C523" i="1"/>
  <c r="B523" i="1"/>
  <c r="A523" i="1"/>
  <c r="F522" i="1"/>
  <c r="E522" i="1"/>
  <c r="D522" i="1"/>
  <c r="C522" i="1"/>
  <c r="B522" i="1"/>
  <c r="A522" i="1"/>
  <c r="F521" i="1"/>
  <c r="E521" i="1"/>
  <c r="D521" i="1"/>
  <c r="C521" i="1"/>
  <c r="B521" i="1"/>
  <c r="A521" i="1"/>
  <c r="F520" i="1"/>
  <c r="E520" i="1"/>
  <c r="D520" i="1"/>
  <c r="C520" i="1"/>
  <c r="B520" i="1"/>
  <c r="A520" i="1"/>
  <c r="F519" i="1"/>
  <c r="E519" i="1"/>
  <c r="D519" i="1"/>
  <c r="C519" i="1"/>
  <c r="B519" i="1"/>
  <c r="A519" i="1"/>
  <c r="F518" i="1"/>
  <c r="E518" i="1"/>
  <c r="D518" i="1"/>
  <c r="C518" i="1"/>
  <c r="B518" i="1"/>
  <c r="A518" i="1"/>
  <c r="F517" i="1"/>
  <c r="E517" i="1"/>
  <c r="D517" i="1"/>
  <c r="C517" i="1"/>
  <c r="B517" i="1"/>
  <c r="A517" i="1"/>
  <c r="F516" i="1"/>
  <c r="E516" i="1"/>
  <c r="D516" i="1"/>
  <c r="C516" i="1"/>
  <c r="B516" i="1"/>
  <c r="A516" i="1"/>
  <c r="F515" i="1"/>
  <c r="E515" i="1"/>
  <c r="D515" i="1"/>
  <c r="C515" i="1"/>
  <c r="B515" i="1"/>
  <c r="A515" i="1"/>
  <c r="F514" i="1"/>
  <c r="E514" i="1"/>
  <c r="D514" i="1"/>
  <c r="C514" i="1"/>
  <c r="B514" i="1"/>
  <c r="A514" i="1"/>
  <c r="F513" i="1"/>
  <c r="E513" i="1"/>
  <c r="D513" i="1"/>
  <c r="C513" i="1"/>
  <c r="B513" i="1"/>
  <c r="A513" i="1"/>
  <c r="F512" i="1"/>
  <c r="E512" i="1"/>
  <c r="D512" i="1"/>
  <c r="C512" i="1"/>
  <c r="B512" i="1"/>
  <c r="A512" i="1"/>
  <c r="F511" i="1"/>
  <c r="E511" i="1"/>
  <c r="D511" i="1"/>
  <c r="C511" i="1"/>
  <c r="B511" i="1"/>
  <c r="A511" i="1"/>
  <c r="F510" i="1"/>
  <c r="E510" i="1"/>
  <c r="D510" i="1"/>
  <c r="C510" i="1"/>
  <c r="B510" i="1"/>
  <c r="A510" i="1"/>
  <c r="F509" i="1"/>
  <c r="E509" i="1"/>
  <c r="D509" i="1"/>
  <c r="C509" i="1"/>
  <c r="B509" i="1"/>
  <c r="A509" i="1"/>
  <c r="F508" i="1"/>
  <c r="E508" i="1"/>
  <c r="D508" i="1"/>
  <c r="C508" i="1"/>
  <c r="B508" i="1"/>
  <c r="A508" i="1"/>
  <c r="F507" i="1"/>
  <c r="E507" i="1"/>
  <c r="D507" i="1"/>
  <c r="C507" i="1"/>
  <c r="B507" i="1"/>
  <c r="A507" i="1"/>
  <c r="F506" i="1"/>
  <c r="E506" i="1"/>
  <c r="D506" i="1"/>
  <c r="C506" i="1"/>
  <c r="B506" i="1"/>
  <c r="A506" i="1"/>
  <c r="F505" i="1"/>
  <c r="E505" i="1"/>
  <c r="D505" i="1"/>
  <c r="C505" i="1"/>
  <c r="B505" i="1"/>
  <c r="A505" i="1"/>
  <c r="F504" i="1"/>
  <c r="E504" i="1"/>
  <c r="D504" i="1"/>
  <c r="C504" i="1"/>
  <c r="B504" i="1"/>
  <c r="A504" i="1"/>
  <c r="F503" i="1"/>
  <c r="E503" i="1"/>
  <c r="D503" i="1"/>
  <c r="C503" i="1"/>
  <c r="B503" i="1"/>
  <c r="A503" i="1"/>
  <c r="F502" i="1"/>
  <c r="E502" i="1"/>
  <c r="D502" i="1"/>
  <c r="C502" i="1"/>
  <c r="B502" i="1"/>
  <c r="A502" i="1"/>
  <c r="F501" i="1"/>
  <c r="E501" i="1"/>
  <c r="D501" i="1"/>
  <c r="C501" i="1"/>
  <c r="B501" i="1"/>
  <c r="A501" i="1"/>
  <c r="F500" i="1"/>
  <c r="E500" i="1"/>
  <c r="D500" i="1"/>
  <c r="C500" i="1"/>
  <c r="B500" i="1"/>
  <c r="A500" i="1"/>
  <c r="F499" i="1"/>
  <c r="E499" i="1"/>
  <c r="D499" i="1"/>
  <c r="C499" i="1"/>
  <c r="B499" i="1"/>
  <c r="A499" i="1"/>
  <c r="F498" i="1"/>
  <c r="E498" i="1"/>
  <c r="D498" i="1"/>
  <c r="C498" i="1"/>
  <c r="B498" i="1"/>
  <c r="A498" i="1"/>
  <c r="F497" i="1"/>
  <c r="E497" i="1"/>
  <c r="D497" i="1"/>
  <c r="C497" i="1"/>
  <c r="B497" i="1"/>
  <c r="A497" i="1"/>
  <c r="F496" i="1"/>
  <c r="E496" i="1"/>
  <c r="D496" i="1"/>
  <c r="C496" i="1"/>
  <c r="B496" i="1"/>
  <c r="A496" i="1"/>
  <c r="F495" i="1"/>
  <c r="E495" i="1"/>
  <c r="D495" i="1"/>
  <c r="C495" i="1"/>
  <c r="B495" i="1"/>
  <c r="A495" i="1"/>
  <c r="F494" i="1"/>
  <c r="E494" i="1"/>
  <c r="D494" i="1"/>
  <c r="C494" i="1"/>
  <c r="B494" i="1"/>
  <c r="A494" i="1"/>
  <c r="F493" i="1"/>
  <c r="E493" i="1"/>
  <c r="D493" i="1"/>
  <c r="C493" i="1"/>
  <c r="B493" i="1"/>
  <c r="A493" i="1"/>
  <c r="F492" i="1"/>
  <c r="E492" i="1"/>
  <c r="D492" i="1"/>
  <c r="C492" i="1"/>
  <c r="B492" i="1"/>
  <c r="A492" i="1"/>
  <c r="F491" i="1"/>
  <c r="E491" i="1"/>
  <c r="D491" i="1"/>
  <c r="C491" i="1"/>
  <c r="B491" i="1"/>
  <c r="A491" i="1"/>
  <c r="F490" i="1"/>
  <c r="E490" i="1"/>
  <c r="D490" i="1"/>
  <c r="C490" i="1"/>
  <c r="B490" i="1"/>
  <c r="A490" i="1"/>
  <c r="F489" i="1"/>
  <c r="E489" i="1"/>
  <c r="D489" i="1"/>
  <c r="C489" i="1"/>
  <c r="B489" i="1"/>
  <c r="A489" i="1"/>
  <c r="F488" i="1"/>
  <c r="E488" i="1"/>
  <c r="D488" i="1"/>
  <c r="C488" i="1"/>
  <c r="B488" i="1"/>
  <c r="A488" i="1"/>
  <c r="F487" i="1"/>
  <c r="E487" i="1"/>
  <c r="D487" i="1"/>
  <c r="C487" i="1"/>
  <c r="B487" i="1"/>
  <c r="A487" i="1"/>
  <c r="F486" i="1"/>
  <c r="E486" i="1"/>
  <c r="D486" i="1"/>
  <c r="C486" i="1"/>
  <c r="B486" i="1"/>
  <c r="A486" i="1"/>
  <c r="F485" i="1"/>
  <c r="E485" i="1"/>
  <c r="D485" i="1"/>
  <c r="C485" i="1"/>
  <c r="B485" i="1"/>
  <c r="A485" i="1"/>
  <c r="F484" i="1"/>
  <c r="E484" i="1"/>
  <c r="D484" i="1"/>
  <c r="C484" i="1"/>
  <c r="B484" i="1"/>
  <c r="A484" i="1"/>
  <c r="F483" i="1"/>
  <c r="E483" i="1"/>
  <c r="D483" i="1"/>
  <c r="C483" i="1"/>
  <c r="B483" i="1"/>
  <c r="A483" i="1"/>
  <c r="F482" i="1"/>
  <c r="E482" i="1"/>
  <c r="D482" i="1"/>
  <c r="C482" i="1"/>
  <c r="B482" i="1"/>
  <c r="A482" i="1"/>
  <c r="F481" i="1"/>
  <c r="E481" i="1"/>
  <c r="D481" i="1"/>
  <c r="C481" i="1"/>
  <c r="B481" i="1"/>
  <c r="A481" i="1"/>
  <c r="F480" i="1"/>
  <c r="E480" i="1"/>
  <c r="D480" i="1"/>
  <c r="C480" i="1"/>
  <c r="B480" i="1"/>
  <c r="A480" i="1"/>
  <c r="F479" i="1"/>
  <c r="E479" i="1"/>
  <c r="D479" i="1"/>
  <c r="C479" i="1"/>
  <c r="B479" i="1"/>
  <c r="A479" i="1"/>
  <c r="F478" i="1"/>
  <c r="E478" i="1"/>
  <c r="D478" i="1"/>
  <c r="C478" i="1"/>
  <c r="B478" i="1"/>
  <c r="A478" i="1"/>
  <c r="F477" i="1"/>
  <c r="E477" i="1"/>
  <c r="D477" i="1"/>
  <c r="C477" i="1"/>
  <c r="B477" i="1"/>
  <c r="A477" i="1"/>
  <c r="F476" i="1"/>
  <c r="E476" i="1"/>
  <c r="D476" i="1"/>
  <c r="C476" i="1"/>
  <c r="B476" i="1"/>
  <c r="A476" i="1"/>
  <c r="F475" i="1"/>
  <c r="E475" i="1"/>
  <c r="D475" i="1"/>
  <c r="C475" i="1"/>
  <c r="B475" i="1"/>
  <c r="A475" i="1"/>
  <c r="F474" i="1"/>
  <c r="E474" i="1"/>
  <c r="D474" i="1"/>
  <c r="C474" i="1"/>
  <c r="B474" i="1"/>
  <c r="A474" i="1"/>
  <c r="F473" i="1"/>
  <c r="E473" i="1"/>
  <c r="D473" i="1"/>
  <c r="C473" i="1"/>
  <c r="B473" i="1"/>
  <c r="A473" i="1"/>
  <c r="F472" i="1"/>
  <c r="E472" i="1"/>
  <c r="D472" i="1"/>
  <c r="C472" i="1"/>
  <c r="B472" i="1"/>
  <c r="A472" i="1"/>
  <c r="F471" i="1"/>
  <c r="E471" i="1"/>
  <c r="D471" i="1"/>
  <c r="C471" i="1"/>
  <c r="B471" i="1"/>
  <c r="A471" i="1"/>
  <c r="F470" i="1"/>
  <c r="E470" i="1"/>
  <c r="D470" i="1"/>
  <c r="C470" i="1"/>
  <c r="B470" i="1"/>
  <c r="A470" i="1"/>
  <c r="F469" i="1"/>
  <c r="E469" i="1"/>
  <c r="D469" i="1"/>
  <c r="C469" i="1"/>
  <c r="B469" i="1"/>
  <c r="A469" i="1"/>
  <c r="F468" i="1"/>
  <c r="E468" i="1"/>
  <c r="D468" i="1"/>
  <c r="C468" i="1"/>
  <c r="B468" i="1"/>
  <c r="A468" i="1"/>
  <c r="F467" i="1"/>
  <c r="E467" i="1"/>
  <c r="D467" i="1"/>
  <c r="C467" i="1"/>
  <c r="B467" i="1"/>
  <c r="A467" i="1"/>
  <c r="F466" i="1"/>
  <c r="E466" i="1"/>
  <c r="D466" i="1"/>
  <c r="C466" i="1"/>
  <c r="B466" i="1"/>
  <c r="A466" i="1"/>
  <c r="F465" i="1"/>
  <c r="E465" i="1"/>
  <c r="D465" i="1"/>
  <c r="C465" i="1"/>
  <c r="B465" i="1"/>
  <c r="A465" i="1"/>
  <c r="F464" i="1"/>
  <c r="E464" i="1"/>
  <c r="D464" i="1"/>
  <c r="C464" i="1"/>
  <c r="B464" i="1"/>
  <c r="A464" i="1"/>
  <c r="F463" i="1"/>
  <c r="E463" i="1"/>
  <c r="D463" i="1"/>
  <c r="C463" i="1"/>
  <c r="B463" i="1"/>
  <c r="A463" i="1"/>
  <c r="F462" i="1"/>
  <c r="E462" i="1"/>
  <c r="D462" i="1"/>
  <c r="C462" i="1"/>
  <c r="B462" i="1"/>
  <c r="A462" i="1"/>
  <c r="F461" i="1"/>
  <c r="E461" i="1"/>
  <c r="D461" i="1"/>
  <c r="C461" i="1"/>
  <c r="B461" i="1"/>
  <c r="A461" i="1"/>
  <c r="F460" i="1"/>
  <c r="E460" i="1"/>
  <c r="D460" i="1"/>
  <c r="C460" i="1"/>
  <c r="B460" i="1"/>
  <c r="A460" i="1"/>
  <c r="F459" i="1"/>
  <c r="E459" i="1"/>
  <c r="D459" i="1"/>
  <c r="C459" i="1"/>
  <c r="B459" i="1"/>
  <c r="A459" i="1"/>
  <c r="F458" i="1"/>
  <c r="E458" i="1"/>
  <c r="D458" i="1"/>
  <c r="C458" i="1"/>
  <c r="B458" i="1"/>
  <c r="A458" i="1"/>
  <c r="F457" i="1"/>
  <c r="E457" i="1"/>
  <c r="D457" i="1"/>
  <c r="C457" i="1"/>
  <c r="B457" i="1"/>
  <c r="A457" i="1"/>
  <c r="F456" i="1"/>
  <c r="E456" i="1"/>
  <c r="D456" i="1"/>
  <c r="C456" i="1"/>
  <c r="B456" i="1"/>
  <c r="A456" i="1"/>
  <c r="F455" i="1"/>
  <c r="E455" i="1"/>
  <c r="D455" i="1"/>
  <c r="C455" i="1"/>
  <c r="B455" i="1"/>
  <c r="A455" i="1"/>
  <c r="F454" i="1"/>
  <c r="E454" i="1"/>
  <c r="D454" i="1"/>
  <c r="C454" i="1"/>
  <c r="B454" i="1"/>
  <c r="A454" i="1"/>
  <c r="F453" i="1"/>
  <c r="E453" i="1"/>
  <c r="D453" i="1"/>
  <c r="C453" i="1"/>
  <c r="B453" i="1"/>
  <c r="A453" i="1"/>
  <c r="F452" i="1"/>
  <c r="E452" i="1"/>
  <c r="D452" i="1"/>
  <c r="C452" i="1"/>
  <c r="B452" i="1"/>
  <c r="A452" i="1"/>
  <c r="F451" i="1"/>
  <c r="E451" i="1"/>
  <c r="D451" i="1"/>
  <c r="C451" i="1"/>
  <c r="B451" i="1"/>
  <c r="A451" i="1"/>
  <c r="F450" i="1"/>
  <c r="E450" i="1"/>
  <c r="D450" i="1"/>
  <c r="C450" i="1"/>
  <c r="B450" i="1"/>
  <c r="A450" i="1"/>
  <c r="F449" i="1"/>
  <c r="E449" i="1"/>
  <c r="D449" i="1"/>
  <c r="C449" i="1"/>
  <c r="B449" i="1"/>
  <c r="A449" i="1"/>
  <c r="F448" i="1"/>
  <c r="E448" i="1"/>
  <c r="D448" i="1"/>
  <c r="C448" i="1"/>
  <c r="B448" i="1"/>
  <c r="A448" i="1"/>
  <c r="F447" i="1"/>
  <c r="E447" i="1"/>
  <c r="D447" i="1"/>
  <c r="C447" i="1"/>
  <c r="B447" i="1"/>
  <c r="A447" i="1"/>
  <c r="F446" i="1"/>
  <c r="E446" i="1"/>
  <c r="D446" i="1"/>
  <c r="C446" i="1"/>
  <c r="B446" i="1"/>
  <c r="A446" i="1"/>
  <c r="F445" i="1"/>
  <c r="E445" i="1"/>
  <c r="D445" i="1"/>
  <c r="C445" i="1"/>
  <c r="B445" i="1"/>
  <c r="A445" i="1"/>
  <c r="F444" i="1"/>
  <c r="E444" i="1"/>
  <c r="D444" i="1"/>
  <c r="C444" i="1"/>
  <c r="B444" i="1"/>
  <c r="A444" i="1"/>
  <c r="F443" i="1"/>
  <c r="E443" i="1"/>
  <c r="D443" i="1"/>
  <c r="C443" i="1"/>
  <c r="B443" i="1"/>
  <c r="A443" i="1"/>
  <c r="F442" i="1"/>
  <c r="E442" i="1"/>
  <c r="D442" i="1"/>
  <c r="C442" i="1"/>
  <c r="B442" i="1"/>
  <c r="A442" i="1"/>
  <c r="F441" i="1"/>
  <c r="E441" i="1"/>
  <c r="D441" i="1"/>
  <c r="C441" i="1"/>
  <c r="B441" i="1"/>
  <c r="A441" i="1"/>
  <c r="F440" i="1"/>
  <c r="E440" i="1"/>
  <c r="D440" i="1"/>
  <c r="C440" i="1"/>
  <c r="B440" i="1"/>
  <c r="A440" i="1"/>
  <c r="F439" i="1"/>
  <c r="E439" i="1"/>
  <c r="D439" i="1"/>
  <c r="C439" i="1"/>
  <c r="B439" i="1"/>
  <c r="A439" i="1"/>
  <c r="F438" i="1"/>
  <c r="E438" i="1"/>
  <c r="D438" i="1"/>
  <c r="C438" i="1"/>
  <c r="B438" i="1"/>
  <c r="A438" i="1"/>
  <c r="F437" i="1"/>
  <c r="E437" i="1"/>
  <c r="D437" i="1"/>
  <c r="C437" i="1"/>
  <c r="B437" i="1"/>
  <c r="A437" i="1"/>
  <c r="F436" i="1"/>
  <c r="E436" i="1"/>
  <c r="D436" i="1"/>
  <c r="C436" i="1"/>
  <c r="B436" i="1"/>
  <c r="A436" i="1"/>
  <c r="F435" i="1"/>
  <c r="E435" i="1"/>
  <c r="D435" i="1"/>
  <c r="C435" i="1"/>
  <c r="B435" i="1"/>
  <c r="A435" i="1"/>
  <c r="F434" i="1"/>
  <c r="E434" i="1"/>
  <c r="D434" i="1"/>
  <c r="C434" i="1"/>
  <c r="B434" i="1"/>
  <c r="A434" i="1"/>
  <c r="F433" i="1"/>
  <c r="E433" i="1"/>
  <c r="D433" i="1"/>
  <c r="C433" i="1"/>
  <c r="B433" i="1"/>
  <c r="A433" i="1"/>
  <c r="F432" i="1"/>
  <c r="E432" i="1"/>
  <c r="D432" i="1"/>
  <c r="C432" i="1"/>
  <c r="B432" i="1"/>
  <c r="A432" i="1"/>
  <c r="F431" i="1"/>
  <c r="E431" i="1"/>
  <c r="D431" i="1"/>
  <c r="C431" i="1"/>
  <c r="B431" i="1"/>
  <c r="A431" i="1"/>
  <c r="F430" i="1"/>
  <c r="E430" i="1"/>
  <c r="D430" i="1"/>
  <c r="C430" i="1"/>
  <c r="B430" i="1"/>
  <c r="A430" i="1"/>
  <c r="F429" i="1"/>
  <c r="E429" i="1"/>
  <c r="D429" i="1"/>
  <c r="C429" i="1"/>
  <c r="B429" i="1"/>
  <c r="A429" i="1"/>
  <c r="F428" i="1"/>
  <c r="E428" i="1"/>
  <c r="D428" i="1"/>
  <c r="C428" i="1"/>
  <c r="B428" i="1"/>
  <c r="A428" i="1"/>
  <c r="F427" i="1"/>
  <c r="E427" i="1"/>
  <c r="D427" i="1"/>
  <c r="C427" i="1"/>
  <c r="B427" i="1"/>
  <c r="A427" i="1"/>
  <c r="F426" i="1"/>
  <c r="E426" i="1"/>
  <c r="D426" i="1"/>
  <c r="C426" i="1"/>
  <c r="B426" i="1"/>
  <c r="A426" i="1"/>
  <c r="F425" i="1"/>
  <c r="E425" i="1"/>
  <c r="D425" i="1"/>
  <c r="C425" i="1"/>
  <c r="B425" i="1"/>
  <c r="A425" i="1"/>
  <c r="F424" i="1"/>
  <c r="E424" i="1"/>
  <c r="D424" i="1"/>
  <c r="C424" i="1"/>
  <c r="B424" i="1"/>
  <c r="A424" i="1"/>
  <c r="F423" i="1"/>
  <c r="E423" i="1"/>
  <c r="D423" i="1"/>
  <c r="C423" i="1"/>
  <c r="B423" i="1"/>
  <c r="A423" i="1"/>
  <c r="F422" i="1"/>
  <c r="E422" i="1"/>
  <c r="D422" i="1"/>
  <c r="C422" i="1"/>
  <c r="B422" i="1"/>
  <c r="A422" i="1"/>
  <c r="F421" i="1"/>
  <c r="E421" i="1"/>
  <c r="D421" i="1"/>
  <c r="C421" i="1"/>
  <c r="B421" i="1"/>
  <c r="A421" i="1"/>
  <c r="F420" i="1"/>
  <c r="E420" i="1"/>
  <c r="D420" i="1"/>
  <c r="C420" i="1"/>
  <c r="B420" i="1"/>
  <c r="A420" i="1"/>
  <c r="F419" i="1"/>
  <c r="E419" i="1"/>
  <c r="D419" i="1"/>
  <c r="C419" i="1"/>
  <c r="B419" i="1"/>
  <c r="A419" i="1"/>
  <c r="F418" i="1"/>
  <c r="E418" i="1"/>
  <c r="D418" i="1"/>
  <c r="C418" i="1"/>
  <c r="B418" i="1"/>
  <c r="A418" i="1"/>
  <c r="F417" i="1"/>
  <c r="E417" i="1"/>
  <c r="D417" i="1"/>
  <c r="C417" i="1"/>
  <c r="B417" i="1"/>
  <c r="A417" i="1"/>
  <c r="F416" i="1"/>
  <c r="E416" i="1"/>
  <c r="D416" i="1"/>
  <c r="C416" i="1"/>
  <c r="B416" i="1"/>
  <c r="A416" i="1"/>
  <c r="F415" i="1"/>
  <c r="E415" i="1"/>
  <c r="D415" i="1"/>
  <c r="C415" i="1"/>
  <c r="B415" i="1"/>
  <c r="A415" i="1"/>
  <c r="F414" i="1"/>
  <c r="E414" i="1"/>
  <c r="D414" i="1"/>
  <c r="C414" i="1"/>
  <c r="B414" i="1"/>
  <c r="A414" i="1"/>
  <c r="F413" i="1"/>
  <c r="E413" i="1"/>
  <c r="D413" i="1"/>
  <c r="C413" i="1"/>
  <c r="B413" i="1"/>
  <c r="A413" i="1"/>
  <c r="F412" i="1"/>
  <c r="E412" i="1"/>
  <c r="D412" i="1"/>
  <c r="C412" i="1"/>
  <c r="B412" i="1"/>
  <c r="A412" i="1"/>
  <c r="F411" i="1"/>
  <c r="E411" i="1"/>
  <c r="D411" i="1"/>
  <c r="C411" i="1"/>
  <c r="B411" i="1"/>
  <c r="A411" i="1"/>
  <c r="F410" i="1"/>
  <c r="E410" i="1"/>
  <c r="D410" i="1"/>
  <c r="C410" i="1"/>
  <c r="B410" i="1"/>
  <c r="A410" i="1"/>
  <c r="F409" i="1"/>
  <c r="E409" i="1"/>
  <c r="D409" i="1"/>
  <c r="C409" i="1"/>
  <c r="B409" i="1"/>
  <c r="A409" i="1"/>
  <c r="F408" i="1"/>
  <c r="E408" i="1"/>
  <c r="D408" i="1"/>
  <c r="C408" i="1"/>
  <c r="B408" i="1"/>
  <c r="A408" i="1"/>
  <c r="F407" i="1"/>
  <c r="E407" i="1"/>
  <c r="D407" i="1"/>
  <c r="C407" i="1"/>
  <c r="B407" i="1"/>
  <c r="A407" i="1"/>
  <c r="F406" i="1"/>
  <c r="E406" i="1"/>
  <c r="D406" i="1"/>
  <c r="C406" i="1"/>
  <c r="B406" i="1"/>
  <c r="A406" i="1"/>
  <c r="F405" i="1"/>
  <c r="E405" i="1"/>
  <c r="D405" i="1"/>
  <c r="C405" i="1"/>
  <c r="B405" i="1"/>
  <c r="A405" i="1"/>
  <c r="F404" i="1"/>
  <c r="E404" i="1"/>
  <c r="D404" i="1"/>
  <c r="C404" i="1"/>
  <c r="B404" i="1"/>
  <c r="A404" i="1"/>
  <c r="F403" i="1"/>
  <c r="E403" i="1"/>
  <c r="D403" i="1"/>
  <c r="C403" i="1"/>
  <c r="B403" i="1"/>
  <c r="A403" i="1"/>
  <c r="F402" i="1"/>
  <c r="E402" i="1"/>
  <c r="D402" i="1"/>
  <c r="C402" i="1"/>
  <c r="B402" i="1"/>
  <c r="A402" i="1"/>
  <c r="F401" i="1"/>
  <c r="E401" i="1"/>
  <c r="D401" i="1"/>
  <c r="C401" i="1"/>
  <c r="B401" i="1"/>
  <c r="A401" i="1"/>
  <c r="F400" i="1"/>
  <c r="E400" i="1"/>
  <c r="D400" i="1"/>
  <c r="C400" i="1"/>
  <c r="B400" i="1"/>
  <c r="A400" i="1"/>
  <c r="F399" i="1"/>
  <c r="E399" i="1"/>
  <c r="D399" i="1"/>
  <c r="C399" i="1"/>
  <c r="B399" i="1"/>
  <c r="A399" i="1"/>
  <c r="F398" i="1"/>
  <c r="E398" i="1"/>
  <c r="D398" i="1"/>
  <c r="C398" i="1"/>
  <c r="B398" i="1"/>
  <c r="A398" i="1"/>
  <c r="F397" i="1"/>
  <c r="E397" i="1"/>
  <c r="D397" i="1"/>
  <c r="C397" i="1"/>
  <c r="B397" i="1"/>
  <c r="A397" i="1"/>
  <c r="F396" i="1"/>
  <c r="E396" i="1"/>
  <c r="D396" i="1"/>
  <c r="C396" i="1"/>
  <c r="B396" i="1"/>
  <c r="A396" i="1"/>
  <c r="F395" i="1"/>
  <c r="E395" i="1"/>
  <c r="D395" i="1"/>
  <c r="C395" i="1"/>
  <c r="B395" i="1"/>
  <c r="A395" i="1"/>
  <c r="F394" i="1"/>
  <c r="E394" i="1"/>
  <c r="D394" i="1"/>
  <c r="C394" i="1"/>
  <c r="B394" i="1"/>
  <c r="A394" i="1"/>
  <c r="F393" i="1"/>
  <c r="E393" i="1"/>
  <c r="D393" i="1"/>
  <c r="C393" i="1"/>
  <c r="B393" i="1"/>
  <c r="A393" i="1"/>
  <c r="F392" i="1"/>
  <c r="E392" i="1"/>
  <c r="D392" i="1"/>
  <c r="C392" i="1"/>
  <c r="B392" i="1"/>
  <c r="A392" i="1"/>
  <c r="F391" i="1"/>
  <c r="E391" i="1"/>
  <c r="D391" i="1"/>
  <c r="C391" i="1"/>
  <c r="B391" i="1"/>
  <c r="A391" i="1"/>
  <c r="F390" i="1"/>
  <c r="E390" i="1"/>
  <c r="D390" i="1"/>
  <c r="C390" i="1"/>
  <c r="B390" i="1"/>
  <c r="A390" i="1"/>
  <c r="F389" i="1"/>
  <c r="E389" i="1"/>
  <c r="D389" i="1"/>
  <c r="C389" i="1"/>
  <c r="B389" i="1"/>
  <c r="A389" i="1"/>
  <c r="F388" i="1"/>
  <c r="E388" i="1"/>
  <c r="D388" i="1"/>
  <c r="C388" i="1"/>
  <c r="B388" i="1"/>
  <c r="A388" i="1"/>
  <c r="F387" i="1"/>
  <c r="E387" i="1"/>
  <c r="D387" i="1"/>
  <c r="C387" i="1"/>
  <c r="B387" i="1"/>
  <c r="A387" i="1"/>
  <c r="F386" i="1"/>
  <c r="E386" i="1"/>
  <c r="D386" i="1"/>
  <c r="C386" i="1"/>
  <c r="B386" i="1"/>
  <c r="A386" i="1"/>
  <c r="F385" i="1"/>
  <c r="E385" i="1"/>
  <c r="D385" i="1"/>
  <c r="C385" i="1"/>
  <c r="B385" i="1"/>
  <c r="A385" i="1"/>
  <c r="F384" i="1"/>
  <c r="E384" i="1"/>
  <c r="D384" i="1"/>
  <c r="C384" i="1"/>
  <c r="B384" i="1"/>
  <c r="A384" i="1"/>
  <c r="F383" i="1"/>
  <c r="E383" i="1"/>
  <c r="D383" i="1"/>
  <c r="C383" i="1"/>
  <c r="B383" i="1"/>
  <c r="A383" i="1"/>
  <c r="F382" i="1"/>
  <c r="E382" i="1"/>
  <c r="D382" i="1"/>
  <c r="C382" i="1"/>
  <c r="B382" i="1"/>
  <c r="A382" i="1"/>
  <c r="F381" i="1"/>
  <c r="E381" i="1"/>
  <c r="D381" i="1"/>
  <c r="C381" i="1"/>
  <c r="B381" i="1"/>
  <c r="A381" i="1"/>
  <c r="F380" i="1"/>
  <c r="E380" i="1"/>
  <c r="D380" i="1"/>
  <c r="C380" i="1"/>
  <c r="B380" i="1"/>
  <c r="A380" i="1"/>
  <c r="F379" i="1"/>
  <c r="E379" i="1"/>
  <c r="D379" i="1"/>
  <c r="C379" i="1"/>
  <c r="B379" i="1"/>
  <c r="A379" i="1"/>
  <c r="F378" i="1"/>
  <c r="E378" i="1"/>
  <c r="D378" i="1"/>
  <c r="C378" i="1"/>
  <c r="B378" i="1"/>
  <c r="A378" i="1"/>
  <c r="F377" i="1"/>
  <c r="E377" i="1"/>
  <c r="D377" i="1"/>
  <c r="C377" i="1"/>
  <c r="B377" i="1"/>
  <c r="A377" i="1"/>
  <c r="F376" i="1"/>
  <c r="E376" i="1"/>
  <c r="D376" i="1"/>
  <c r="C376" i="1"/>
  <c r="B376" i="1"/>
  <c r="A376" i="1"/>
  <c r="F375" i="1"/>
  <c r="E375" i="1"/>
  <c r="D375" i="1"/>
  <c r="C375" i="1"/>
  <c r="B375" i="1"/>
  <c r="A375" i="1"/>
  <c r="F374" i="1"/>
  <c r="E374" i="1"/>
  <c r="D374" i="1"/>
  <c r="C374" i="1"/>
  <c r="B374" i="1"/>
  <c r="A374" i="1"/>
  <c r="F373" i="1"/>
  <c r="E373" i="1"/>
  <c r="D373" i="1"/>
  <c r="C373" i="1"/>
  <c r="B373" i="1"/>
  <c r="A373" i="1"/>
  <c r="F372" i="1"/>
  <c r="E372" i="1"/>
  <c r="D372" i="1"/>
  <c r="C372" i="1"/>
  <c r="B372" i="1"/>
  <c r="A372" i="1"/>
  <c r="F371" i="1"/>
  <c r="E371" i="1"/>
  <c r="D371" i="1"/>
  <c r="C371" i="1"/>
  <c r="B371" i="1"/>
  <c r="A371" i="1"/>
  <c r="F370" i="1"/>
  <c r="E370" i="1"/>
  <c r="D370" i="1"/>
  <c r="C370" i="1"/>
  <c r="B370" i="1"/>
  <c r="A370" i="1"/>
  <c r="F369" i="1"/>
  <c r="E369" i="1"/>
  <c r="D369" i="1"/>
  <c r="C369" i="1"/>
  <c r="B369" i="1"/>
  <c r="A369" i="1"/>
  <c r="F368" i="1"/>
  <c r="E368" i="1"/>
  <c r="D368" i="1"/>
  <c r="C368" i="1"/>
  <c r="B368" i="1"/>
  <c r="A368" i="1"/>
  <c r="F367" i="1"/>
  <c r="E367" i="1"/>
  <c r="D367" i="1"/>
  <c r="C367" i="1"/>
  <c r="B367" i="1"/>
  <c r="A367" i="1"/>
  <c r="F366" i="1"/>
  <c r="E366" i="1"/>
  <c r="D366" i="1"/>
  <c r="C366" i="1"/>
  <c r="B366" i="1"/>
  <c r="A366" i="1"/>
  <c r="F365" i="1"/>
  <c r="E365" i="1"/>
  <c r="D365" i="1"/>
  <c r="C365" i="1"/>
  <c r="B365" i="1"/>
  <c r="A365" i="1"/>
  <c r="F364" i="1"/>
  <c r="E364" i="1"/>
  <c r="D364" i="1"/>
  <c r="C364" i="1"/>
  <c r="B364" i="1"/>
  <c r="A364" i="1"/>
  <c r="F363" i="1"/>
  <c r="E363" i="1"/>
  <c r="D363" i="1"/>
  <c r="C363" i="1"/>
  <c r="B363" i="1"/>
  <c r="A363" i="1"/>
  <c r="F362" i="1"/>
  <c r="E362" i="1"/>
  <c r="D362" i="1"/>
  <c r="C362" i="1"/>
  <c r="B362" i="1"/>
  <c r="A362" i="1"/>
  <c r="F361" i="1"/>
  <c r="E361" i="1"/>
  <c r="D361" i="1"/>
  <c r="C361" i="1"/>
  <c r="B361" i="1"/>
  <c r="A361" i="1"/>
  <c r="F360" i="1"/>
  <c r="E360" i="1"/>
  <c r="D360" i="1"/>
  <c r="C360" i="1"/>
  <c r="B360" i="1"/>
  <c r="A360" i="1"/>
  <c r="F359" i="1"/>
  <c r="E359" i="1"/>
  <c r="D359" i="1"/>
  <c r="C359" i="1"/>
  <c r="B359" i="1"/>
  <c r="A359" i="1"/>
  <c r="F358" i="1"/>
  <c r="E358" i="1"/>
  <c r="D358" i="1"/>
  <c r="C358" i="1"/>
  <c r="B358" i="1"/>
  <c r="A358" i="1"/>
  <c r="F357" i="1"/>
  <c r="E357" i="1"/>
  <c r="D357" i="1"/>
  <c r="C357" i="1"/>
  <c r="B357" i="1"/>
  <c r="A357" i="1"/>
  <c r="F356" i="1"/>
  <c r="E356" i="1"/>
  <c r="D356" i="1"/>
  <c r="C356" i="1"/>
  <c r="B356" i="1"/>
  <c r="A356" i="1"/>
  <c r="F355" i="1"/>
  <c r="E355" i="1"/>
  <c r="D355" i="1"/>
  <c r="C355" i="1"/>
  <c r="B355" i="1"/>
  <c r="A355" i="1"/>
  <c r="F354" i="1"/>
  <c r="E354" i="1"/>
  <c r="D354" i="1"/>
  <c r="C354" i="1"/>
  <c r="B354" i="1"/>
  <c r="A354" i="1"/>
  <c r="F353" i="1"/>
  <c r="E353" i="1"/>
  <c r="D353" i="1"/>
  <c r="C353" i="1"/>
  <c r="B353" i="1"/>
  <c r="A353" i="1"/>
  <c r="F352" i="1"/>
  <c r="E352" i="1"/>
  <c r="D352" i="1"/>
  <c r="C352" i="1"/>
  <c r="B352" i="1"/>
  <c r="A352" i="1"/>
  <c r="F351" i="1"/>
  <c r="E351" i="1"/>
  <c r="D351" i="1"/>
  <c r="C351" i="1"/>
  <c r="B351" i="1"/>
  <c r="A351" i="1"/>
  <c r="F350" i="1"/>
  <c r="E350" i="1"/>
  <c r="D350" i="1"/>
  <c r="C350" i="1"/>
  <c r="B350" i="1"/>
  <c r="A350" i="1"/>
  <c r="F349" i="1"/>
  <c r="E349" i="1"/>
  <c r="D349" i="1"/>
  <c r="C349" i="1"/>
  <c r="B349" i="1"/>
  <c r="A349" i="1"/>
  <c r="F348" i="1"/>
  <c r="E348" i="1"/>
  <c r="D348" i="1"/>
  <c r="C348" i="1"/>
  <c r="B348" i="1"/>
  <c r="A348" i="1"/>
  <c r="F347" i="1"/>
  <c r="E347" i="1"/>
  <c r="D347" i="1"/>
  <c r="C347" i="1"/>
  <c r="B347" i="1"/>
  <c r="A347" i="1"/>
  <c r="F346" i="1"/>
  <c r="E346" i="1"/>
  <c r="D346" i="1"/>
  <c r="C346" i="1"/>
  <c r="B346" i="1"/>
  <c r="A346" i="1"/>
  <c r="F345" i="1"/>
  <c r="E345" i="1"/>
  <c r="D345" i="1"/>
  <c r="C345" i="1"/>
  <c r="B345" i="1"/>
  <c r="A345" i="1"/>
  <c r="F344" i="1"/>
  <c r="E344" i="1"/>
  <c r="D344" i="1"/>
  <c r="C344" i="1"/>
  <c r="B344" i="1"/>
  <c r="A344" i="1"/>
  <c r="F343" i="1"/>
  <c r="E343" i="1"/>
  <c r="D343" i="1"/>
  <c r="C343" i="1"/>
  <c r="B343" i="1"/>
  <c r="A343" i="1"/>
  <c r="F342" i="1"/>
  <c r="E342" i="1"/>
  <c r="D342" i="1"/>
  <c r="C342" i="1"/>
  <c r="B342" i="1"/>
  <c r="A342" i="1"/>
  <c r="F341" i="1"/>
  <c r="E341" i="1"/>
  <c r="D341" i="1"/>
  <c r="C341" i="1"/>
  <c r="B341" i="1"/>
  <c r="A341" i="1"/>
  <c r="F340" i="1"/>
  <c r="E340" i="1"/>
  <c r="D340" i="1"/>
  <c r="C340" i="1"/>
  <c r="B340" i="1"/>
  <c r="A340" i="1"/>
  <c r="F339" i="1"/>
  <c r="E339" i="1"/>
  <c r="D339" i="1"/>
  <c r="C339" i="1"/>
  <c r="B339" i="1"/>
  <c r="A339" i="1"/>
  <c r="F338" i="1"/>
  <c r="E338" i="1"/>
  <c r="D338" i="1"/>
  <c r="C338" i="1"/>
  <c r="B338" i="1"/>
  <c r="A338" i="1"/>
  <c r="F337" i="1"/>
  <c r="E337" i="1"/>
  <c r="D337" i="1"/>
  <c r="C337" i="1"/>
  <c r="B337" i="1"/>
  <c r="A337" i="1"/>
  <c r="F336" i="1"/>
  <c r="E336" i="1"/>
  <c r="D336" i="1"/>
  <c r="C336" i="1"/>
  <c r="B336" i="1"/>
  <c r="A336" i="1"/>
  <c r="F335" i="1"/>
  <c r="E335" i="1"/>
  <c r="D335" i="1"/>
  <c r="C335" i="1"/>
  <c r="B335" i="1"/>
  <c r="A335" i="1"/>
  <c r="F334" i="1"/>
  <c r="E334" i="1"/>
  <c r="D334" i="1"/>
  <c r="C334" i="1"/>
  <c r="B334" i="1"/>
  <c r="A334" i="1"/>
  <c r="F333" i="1"/>
  <c r="E333" i="1"/>
  <c r="D333" i="1"/>
  <c r="C333" i="1"/>
  <c r="B333" i="1"/>
  <c r="A333" i="1"/>
  <c r="F332" i="1"/>
  <c r="E332" i="1"/>
  <c r="D332" i="1"/>
  <c r="C332" i="1"/>
  <c r="B332" i="1"/>
  <c r="A332" i="1"/>
  <c r="F331" i="1"/>
  <c r="E331" i="1"/>
  <c r="D331" i="1"/>
  <c r="C331" i="1"/>
  <c r="B331" i="1"/>
  <c r="A331" i="1"/>
  <c r="F330" i="1"/>
  <c r="E330" i="1"/>
  <c r="D330" i="1"/>
  <c r="C330" i="1"/>
  <c r="B330" i="1"/>
  <c r="A330" i="1"/>
  <c r="F329" i="1"/>
  <c r="E329" i="1"/>
  <c r="D329" i="1"/>
  <c r="C329" i="1"/>
  <c r="B329" i="1"/>
  <c r="A329" i="1"/>
  <c r="F328" i="1"/>
  <c r="E328" i="1"/>
  <c r="D328" i="1"/>
  <c r="C328" i="1"/>
  <c r="B328" i="1"/>
  <c r="A328" i="1"/>
  <c r="F327" i="1"/>
  <c r="E327" i="1"/>
  <c r="D327" i="1"/>
  <c r="C327" i="1"/>
  <c r="B327" i="1"/>
  <c r="A327" i="1"/>
  <c r="F326" i="1"/>
  <c r="E326" i="1"/>
  <c r="D326" i="1"/>
  <c r="C326" i="1"/>
  <c r="B326" i="1"/>
  <c r="A326" i="1"/>
  <c r="F325" i="1"/>
  <c r="E325" i="1"/>
  <c r="D325" i="1"/>
  <c r="C325" i="1"/>
  <c r="B325" i="1"/>
  <c r="A325" i="1"/>
  <c r="F324" i="1"/>
  <c r="E324" i="1"/>
  <c r="D324" i="1"/>
  <c r="C324" i="1"/>
  <c r="B324" i="1"/>
  <c r="A324" i="1"/>
  <c r="F323" i="1"/>
  <c r="E323" i="1"/>
  <c r="D323" i="1"/>
  <c r="C323" i="1"/>
  <c r="B323" i="1"/>
  <c r="A323" i="1"/>
  <c r="F322" i="1"/>
  <c r="E322" i="1"/>
  <c r="D322" i="1"/>
  <c r="C322" i="1"/>
  <c r="B322" i="1"/>
  <c r="A322" i="1"/>
  <c r="F321" i="1"/>
  <c r="E321" i="1"/>
  <c r="D321" i="1"/>
  <c r="C321" i="1"/>
  <c r="B321" i="1"/>
  <c r="A321" i="1"/>
  <c r="F320" i="1"/>
  <c r="E320" i="1"/>
  <c r="D320" i="1"/>
  <c r="C320" i="1"/>
  <c r="B320" i="1"/>
  <c r="A320" i="1"/>
  <c r="F319" i="1"/>
  <c r="E319" i="1"/>
  <c r="D319" i="1"/>
  <c r="C319" i="1"/>
  <c r="B319" i="1"/>
  <c r="A319" i="1"/>
  <c r="F318" i="1"/>
  <c r="E318" i="1"/>
  <c r="D318" i="1"/>
  <c r="C318" i="1"/>
  <c r="B318" i="1"/>
  <c r="A318" i="1"/>
  <c r="F317" i="1"/>
  <c r="E317" i="1"/>
  <c r="D317" i="1"/>
  <c r="C317" i="1"/>
  <c r="B317" i="1"/>
  <c r="A317" i="1"/>
  <c r="F316" i="1"/>
  <c r="E316" i="1"/>
  <c r="D316" i="1"/>
  <c r="C316" i="1"/>
  <c r="B316" i="1"/>
  <c r="A316" i="1"/>
  <c r="F315" i="1"/>
  <c r="E315" i="1"/>
  <c r="D315" i="1"/>
  <c r="C315" i="1"/>
  <c r="B315" i="1"/>
  <c r="A315" i="1"/>
  <c r="F314" i="1"/>
  <c r="E314" i="1"/>
  <c r="D314" i="1"/>
  <c r="C314" i="1"/>
  <c r="B314" i="1"/>
  <c r="A314" i="1"/>
  <c r="F313" i="1"/>
  <c r="E313" i="1"/>
  <c r="D313" i="1"/>
  <c r="C313" i="1"/>
  <c r="B313" i="1"/>
  <c r="A313" i="1"/>
  <c r="F312" i="1"/>
  <c r="E312" i="1"/>
  <c r="D312" i="1"/>
  <c r="C312" i="1"/>
  <c r="B312" i="1"/>
  <c r="A312" i="1"/>
  <c r="F311" i="1"/>
  <c r="E311" i="1"/>
  <c r="D311" i="1"/>
  <c r="C311" i="1"/>
  <c r="B311" i="1"/>
  <c r="A311" i="1"/>
  <c r="F310" i="1"/>
  <c r="E310" i="1"/>
  <c r="D310" i="1"/>
  <c r="C310" i="1"/>
  <c r="B310" i="1"/>
  <c r="A310" i="1"/>
  <c r="F309" i="1"/>
  <c r="E309" i="1"/>
  <c r="D309" i="1"/>
  <c r="C309" i="1"/>
  <c r="B309" i="1"/>
  <c r="A309" i="1"/>
  <c r="F308" i="1"/>
  <c r="E308" i="1"/>
  <c r="D308" i="1"/>
  <c r="C308" i="1"/>
  <c r="B308" i="1"/>
  <c r="A308" i="1"/>
  <c r="F307" i="1"/>
  <c r="E307" i="1"/>
  <c r="D307" i="1"/>
  <c r="C307" i="1"/>
  <c r="B307" i="1"/>
  <c r="A307" i="1"/>
  <c r="F306" i="1"/>
  <c r="E306" i="1"/>
  <c r="D306" i="1"/>
  <c r="C306" i="1"/>
  <c r="B306" i="1"/>
  <c r="A306" i="1"/>
  <c r="F305" i="1"/>
  <c r="E305" i="1"/>
  <c r="D305" i="1"/>
  <c r="C305" i="1"/>
  <c r="B305" i="1"/>
  <c r="A305" i="1"/>
  <c r="F304" i="1"/>
  <c r="E304" i="1"/>
  <c r="D304" i="1"/>
  <c r="C304" i="1"/>
  <c r="B304" i="1"/>
  <c r="A304" i="1"/>
  <c r="F303" i="1"/>
  <c r="E303" i="1"/>
  <c r="D303" i="1"/>
  <c r="C303" i="1"/>
  <c r="B303" i="1"/>
  <c r="A303" i="1"/>
  <c r="F302" i="1"/>
  <c r="E302" i="1"/>
  <c r="D302" i="1"/>
  <c r="C302" i="1"/>
  <c r="B302" i="1"/>
  <c r="A302" i="1"/>
  <c r="F301" i="1"/>
  <c r="E301" i="1"/>
  <c r="D301" i="1"/>
  <c r="C301" i="1"/>
  <c r="B301" i="1"/>
  <c r="A301" i="1"/>
  <c r="F300" i="1"/>
  <c r="E300" i="1"/>
  <c r="D300" i="1"/>
  <c r="C300" i="1"/>
  <c r="B300" i="1"/>
  <c r="A300" i="1"/>
  <c r="F299" i="1"/>
  <c r="E299" i="1"/>
  <c r="D299" i="1"/>
  <c r="C299" i="1"/>
  <c r="B299" i="1"/>
  <c r="A299" i="1"/>
  <c r="F298" i="1"/>
  <c r="E298" i="1"/>
  <c r="D298" i="1"/>
  <c r="C298" i="1"/>
  <c r="B298" i="1"/>
  <c r="A298" i="1"/>
  <c r="F297" i="1"/>
  <c r="E297" i="1"/>
  <c r="D297" i="1"/>
  <c r="C297" i="1"/>
  <c r="B297" i="1"/>
  <c r="A297" i="1"/>
  <c r="F296" i="1"/>
  <c r="E296" i="1"/>
  <c r="D296" i="1"/>
  <c r="C296" i="1"/>
  <c r="B296" i="1"/>
  <c r="A296" i="1"/>
  <c r="F295" i="1"/>
  <c r="E295" i="1"/>
  <c r="D295" i="1"/>
  <c r="C295" i="1"/>
  <c r="B295" i="1"/>
  <c r="A295" i="1"/>
  <c r="F294" i="1"/>
  <c r="E294" i="1"/>
  <c r="D294" i="1"/>
  <c r="C294" i="1"/>
  <c r="B294" i="1"/>
  <c r="A294" i="1"/>
  <c r="F293" i="1"/>
  <c r="E293" i="1"/>
  <c r="D293" i="1"/>
  <c r="C293" i="1"/>
  <c r="B293" i="1"/>
  <c r="A293" i="1"/>
  <c r="F292" i="1"/>
  <c r="E292" i="1"/>
  <c r="D292" i="1"/>
  <c r="C292" i="1"/>
  <c r="B292" i="1"/>
  <c r="A292" i="1"/>
  <c r="F291" i="1"/>
  <c r="E291" i="1"/>
  <c r="D291" i="1"/>
  <c r="C291" i="1"/>
  <c r="B291" i="1"/>
  <c r="A291" i="1"/>
  <c r="F290" i="1"/>
  <c r="E290" i="1"/>
  <c r="D290" i="1"/>
  <c r="C290" i="1"/>
  <c r="B290" i="1"/>
  <c r="A290" i="1"/>
  <c r="F289" i="1"/>
  <c r="E289" i="1"/>
  <c r="D289" i="1"/>
  <c r="C289" i="1"/>
  <c r="B289" i="1"/>
  <c r="A289" i="1"/>
  <c r="F288" i="1"/>
  <c r="E288" i="1"/>
  <c r="D288" i="1"/>
  <c r="C288" i="1"/>
  <c r="B288" i="1"/>
  <c r="A288" i="1"/>
  <c r="F287" i="1"/>
  <c r="E287" i="1"/>
  <c r="D287" i="1"/>
  <c r="C287" i="1"/>
  <c r="B287" i="1"/>
  <c r="A287" i="1"/>
  <c r="F286" i="1"/>
  <c r="E286" i="1"/>
  <c r="D286" i="1"/>
  <c r="C286" i="1"/>
  <c r="B286" i="1"/>
  <c r="A286" i="1"/>
  <c r="F285" i="1"/>
  <c r="E285" i="1"/>
  <c r="D285" i="1"/>
  <c r="C285" i="1"/>
  <c r="B285" i="1"/>
  <c r="A285" i="1"/>
  <c r="F284" i="1"/>
  <c r="E284" i="1"/>
  <c r="D284" i="1"/>
  <c r="C284" i="1"/>
  <c r="B284" i="1"/>
  <c r="A284" i="1"/>
  <c r="F283" i="1"/>
  <c r="E283" i="1"/>
  <c r="D283" i="1"/>
  <c r="C283" i="1"/>
  <c r="B283" i="1"/>
  <c r="A283" i="1"/>
  <c r="F282" i="1"/>
  <c r="E282" i="1"/>
  <c r="D282" i="1"/>
  <c r="C282" i="1"/>
  <c r="B282" i="1"/>
  <c r="A282" i="1"/>
  <c r="F281" i="1"/>
  <c r="E281" i="1"/>
  <c r="D281" i="1"/>
  <c r="C281" i="1"/>
  <c r="B281" i="1"/>
  <c r="A281" i="1"/>
  <c r="F280" i="1"/>
  <c r="E280" i="1"/>
  <c r="D280" i="1"/>
  <c r="C280" i="1"/>
  <c r="B280" i="1"/>
  <c r="A280" i="1"/>
  <c r="F279" i="1"/>
  <c r="E279" i="1"/>
  <c r="D279" i="1"/>
  <c r="C279" i="1"/>
  <c r="B279" i="1"/>
  <c r="A279" i="1"/>
  <c r="F278" i="1"/>
  <c r="E278" i="1"/>
  <c r="D278" i="1"/>
  <c r="C278" i="1"/>
  <c r="B278" i="1"/>
  <c r="A278" i="1"/>
  <c r="F277" i="1"/>
  <c r="E277" i="1"/>
  <c r="D277" i="1"/>
  <c r="C277" i="1"/>
  <c r="B277" i="1"/>
  <c r="A277" i="1"/>
  <c r="F276" i="1"/>
  <c r="E276" i="1"/>
  <c r="D276" i="1"/>
  <c r="C276" i="1"/>
  <c r="B276" i="1"/>
  <c r="A276" i="1"/>
  <c r="F275" i="1"/>
  <c r="E275" i="1"/>
  <c r="D275" i="1"/>
  <c r="C275" i="1"/>
  <c r="B275" i="1"/>
  <c r="A275" i="1"/>
  <c r="F274" i="1"/>
  <c r="E274" i="1"/>
  <c r="D274" i="1"/>
  <c r="C274" i="1"/>
  <c r="B274" i="1"/>
  <c r="A274" i="1"/>
  <c r="F273" i="1"/>
  <c r="E273" i="1"/>
  <c r="D273" i="1"/>
  <c r="C273" i="1"/>
  <c r="B273" i="1"/>
  <c r="A273" i="1"/>
  <c r="F272" i="1"/>
  <c r="E272" i="1"/>
  <c r="D272" i="1"/>
  <c r="C272" i="1"/>
  <c r="B272" i="1"/>
  <c r="A272" i="1"/>
  <c r="F271" i="1"/>
  <c r="E271" i="1"/>
  <c r="D271" i="1"/>
  <c r="C271" i="1"/>
  <c r="B271" i="1"/>
  <c r="A271" i="1"/>
  <c r="F270" i="1"/>
  <c r="E270" i="1"/>
  <c r="D270" i="1"/>
  <c r="C270" i="1"/>
  <c r="B270" i="1"/>
  <c r="A270" i="1"/>
  <c r="F269" i="1"/>
  <c r="E269" i="1"/>
  <c r="D269" i="1"/>
  <c r="C269" i="1"/>
  <c r="B269" i="1"/>
  <c r="A269" i="1"/>
  <c r="F268" i="1"/>
  <c r="E268" i="1"/>
  <c r="D268" i="1"/>
  <c r="C268" i="1"/>
  <c r="B268" i="1"/>
  <c r="A268" i="1"/>
  <c r="F267" i="1"/>
  <c r="E267" i="1"/>
  <c r="D267" i="1"/>
  <c r="C267" i="1"/>
  <c r="B267" i="1"/>
  <c r="A267" i="1"/>
  <c r="F266" i="1"/>
  <c r="E266" i="1"/>
  <c r="D266" i="1"/>
  <c r="C266" i="1"/>
  <c r="B266" i="1"/>
  <c r="A266" i="1"/>
  <c r="F265" i="1"/>
  <c r="E265" i="1"/>
  <c r="D265" i="1"/>
  <c r="C265" i="1"/>
  <c r="B265" i="1"/>
  <c r="A265" i="1"/>
  <c r="F264" i="1"/>
  <c r="E264" i="1"/>
  <c r="D264" i="1"/>
  <c r="C264" i="1"/>
  <c r="B264" i="1"/>
  <c r="A264" i="1"/>
  <c r="F263" i="1"/>
  <c r="E263" i="1"/>
  <c r="D263" i="1"/>
  <c r="C263" i="1"/>
  <c r="B263" i="1"/>
  <c r="A263" i="1"/>
  <c r="F262" i="1"/>
  <c r="E262" i="1"/>
  <c r="D262" i="1"/>
  <c r="C262" i="1"/>
  <c r="B262" i="1"/>
  <c r="A262" i="1"/>
  <c r="F261" i="1"/>
  <c r="E261" i="1"/>
  <c r="D261" i="1"/>
  <c r="C261" i="1"/>
  <c r="B261" i="1"/>
  <c r="A261" i="1"/>
  <c r="F260" i="1"/>
  <c r="E260" i="1"/>
  <c r="D260" i="1"/>
  <c r="C260" i="1"/>
  <c r="B260" i="1"/>
  <c r="A260" i="1"/>
  <c r="F259" i="1"/>
  <c r="E259" i="1"/>
  <c r="D259" i="1"/>
  <c r="C259" i="1"/>
  <c r="B259" i="1"/>
  <c r="A259" i="1"/>
  <c r="F258" i="1"/>
  <c r="E258" i="1"/>
  <c r="D258" i="1"/>
  <c r="C258" i="1"/>
  <c r="B258" i="1"/>
  <c r="A258" i="1"/>
  <c r="F257" i="1"/>
  <c r="E257" i="1"/>
  <c r="D257" i="1"/>
  <c r="C257" i="1"/>
  <c r="B257" i="1"/>
  <c r="A257" i="1"/>
  <c r="F256" i="1"/>
  <c r="E256" i="1"/>
  <c r="D256" i="1"/>
  <c r="C256" i="1"/>
  <c r="B256" i="1"/>
  <c r="A256" i="1"/>
  <c r="F255" i="1"/>
  <c r="E255" i="1"/>
  <c r="D255" i="1"/>
  <c r="C255" i="1"/>
  <c r="B255" i="1"/>
  <c r="A255" i="1"/>
  <c r="F254" i="1"/>
  <c r="E254" i="1"/>
  <c r="D254" i="1"/>
  <c r="C254" i="1"/>
  <c r="B254" i="1"/>
  <c r="A254" i="1"/>
  <c r="F253" i="1"/>
  <c r="E253" i="1"/>
  <c r="D253" i="1"/>
  <c r="C253" i="1"/>
  <c r="B253" i="1"/>
  <c r="A253" i="1"/>
  <c r="F252" i="1"/>
  <c r="E252" i="1"/>
  <c r="D252" i="1"/>
  <c r="C252" i="1"/>
  <c r="B252" i="1"/>
  <c r="A252" i="1"/>
  <c r="F251" i="1"/>
  <c r="E251" i="1"/>
  <c r="D251" i="1"/>
  <c r="C251" i="1"/>
  <c r="B251" i="1"/>
  <c r="A251" i="1"/>
  <c r="F250" i="1"/>
  <c r="E250" i="1"/>
  <c r="D250" i="1"/>
  <c r="C250" i="1"/>
  <c r="B250" i="1"/>
  <c r="A250" i="1"/>
  <c r="F249" i="1"/>
  <c r="E249" i="1"/>
  <c r="D249" i="1"/>
  <c r="C249" i="1"/>
  <c r="B249" i="1"/>
  <c r="A249" i="1"/>
  <c r="F248" i="1"/>
  <c r="E248" i="1"/>
  <c r="D248" i="1"/>
  <c r="C248" i="1"/>
  <c r="B248" i="1"/>
  <c r="A248" i="1"/>
  <c r="F247" i="1"/>
  <c r="E247" i="1"/>
  <c r="D247" i="1"/>
  <c r="C247" i="1"/>
  <c r="B247" i="1"/>
  <c r="A247" i="1"/>
  <c r="F246" i="1"/>
  <c r="E246" i="1"/>
  <c r="D246" i="1"/>
  <c r="C246" i="1"/>
  <c r="B246" i="1"/>
  <c r="A246" i="1"/>
  <c r="F245" i="1"/>
  <c r="E245" i="1"/>
  <c r="D245" i="1"/>
  <c r="C245" i="1"/>
  <c r="B245" i="1"/>
  <c r="A245" i="1"/>
  <c r="F244" i="1"/>
  <c r="E244" i="1"/>
  <c r="D244" i="1"/>
  <c r="C244" i="1"/>
  <c r="B244" i="1"/>
  <c r="A244" i="1"/>
  <c r="F243" i="1"/>
  <c r="E243" i="1"/>
  <c r="D243" i="1"/>
  <c r="C243" i="1"/>
  <c r="B243" i="1"/>
  <c r="A243" i="1"/>
  <c r="F242" i="1"/>
  <c r="E242" i="1"/>
  <c r="D242" i="1"/>
  <c r="C242" i="1"/>
  <c r="B242" i="1"/>
  <c r="A242" i="1"/>
  <c r="F241" i="1"/>
  <c r="E241" i="1"/>
  <c r="D241" i="1"/>
  <c r="C241" i="1"/>
  <c r="B241" i="1"/>
  <c r="A241" i="1"/>
  <c r="F240" i="1"/>
  <c r="E240" i="1"/>
  <c r="D240" i="1"/>
  <c r="C240" i="1"/>
  <c r="B240" i="1"/>
  <c r="A240" i="1"/>
  <c r="F239" i="1"/>
  <c r="E239" i="1"/>
  <c r="D239" i="1"/>
  <c r="C239" i="1"/>
  <c r="B239" i="1"/>
  <c r="A239" i="1"/>
  <c r="F238" i="1"/>
  <c r="E238" i="1"/>
  <c r="D238" i="1"/>
  <c r="C238" i="1"/>
  <c r="B238" i="1"/>
  <c r="A238" i="1"/>
  <c r="F237" i="1"/>
  <c r="E237" i="1"/>
  <c r="D237" i="1"/>
  <c r="C237" i="1"/>
  <c r="B237" i="1"/>
  <c r="A237" i="1"/>
  <c r="F236" i="1"/>
  <c r="E236" i="1"/>
  <c r="D236" i="1"/>
  <c r="C236" i="1"/>
  <c r="B236" i="1"/>
  <c r="A236" i="1"/>
  <c r="F235" i="1"/>
  <c r="E235" i="1"/>
  <c r="D235" i="1"/>
  <c r="C235" i="1"/>
  <c r="B235" i="1"/>
  <c r="A235" i="1"/>
  <c r="F234" i="1"/>
  <c r="E234" i="1"/>
  <c r="D234" i="1"/>
  <c r="C234" i="1"/>
  <c r="B234" i="1"/>
  <c r="A234" i="1"/>
  <c r="F233" i="1"/>
  <c r="E233" i="1"/>
  <c r="D233" i="1"/>
  <c r="C233" i="1"/>
  <c r="B233" i="1"/>
  <c r="A233" i="1"/>
  <c r="F232" i="1"/>
  <c r="E232" i="1"/>
  <c r="D232" i="1"/>
  <c r="C232" i="1"/>
  <c r="B232" i="1"/>
  <c r="A232" i="1"/>
  <c r="F231" i="1"/>
  <c r="E231" i="1"/>
  <c r="D231" i="1"/>
  <c r="C231" i="1"/>
  <c r="B231" i="1"/>
  <c r="A231" i="1"/>
  <c r="F230" i="1"/>
  <c r="E230" i="1"/>
  <c r="D230" i="1"/>
  <c r="C230" i="1"/>
  <c r="B230" i="1"/>
  <c r="A230" i="1"/>
  <c r="F229" i="1"/>
  <c r="E229" i="1"/>
  <c r="D229" i="1"/>
  <c r="C229" i="1"/>
  <c r="B229" i="1"/>
  <c r="A229" i="1"/>
  <c r="F228" i="1"/>
  <c r="E228" i="1"/>
  <c r="D228" i="1"/>
  <c r="C228" i="1"/>
  <c r="B228" i="1"/>
  <c r="A228" i="1"/>
  <c r="F227" i="1"/>
  <c r="E227" i="1"/>
  <c r="D227" i="1"/>
  <c r="C227" i="1"/>
  <c r="B227" i="1"/>
  <c r="A227" i="1"/>
  <c r="F226" i="1"/>
  <c r="E226" i="1"/>
  <c r="D226" i="1"/>
  <c r="C226" i="1"/>
  <c r="B226" i="1"/>
  <c r="A226" i="1"/>
  <c r="F225" i="1"/>
  <c r="E225" i="1"/>
  <c r="D225" i="1"/>
  <c r="C225" i="1"/>
  <c r="B225" i="1"/>
  <c r="A225" i="1"/>
  <c r="F224" i="1"/>
  <c r="E224" i="1"/>
  <c r="D224" i="1"/>
  <c r="C224" i="1"/>
  <c r="B224" i="1"/>
  <c r="A224" i="1"/>
  <c r="F223" i="1"/>
  <c r="E223" i="1"/>
  <c r="D223" i="1"/>
  <c r="C223" i="1"/>
  <c r="B223" i="1"/>
  <c r="A223" i="1"/>
  <c r="F222" i="1"/>
  <c r="E222" i="1"/>
  <c r="D222" i="1"/>
  <c r="C222" i="1"/>
  <c r="B222" i="1"/>
  <c r="A222" i="1"/>
  <c r="F221" i="1"/>
  <c r="E221" i="1"/>
  <c r="D221" i="1"/>
  <c r="C221" i="1"/>
  <c r="B221" i="1"/>
  <c r="A221" i="1"/>
  <c r="F220" i="1"/>
  <c r="E220" i="1"/>
  <c r="D220" i="1"/>
  <c r="C220" i="1"/>
  <c r="B220" i="1"/>
  <c r="A220" i="1"/>
  <c r="F219" i="1"/>
  <c r="E219" i="1"/>
  <c r="D219" i="1"/>
  <c r="C219" i="1"/>
  <c r="B219" i="1"/>
  <c r="A219" i="1"/>
  <c r="F218" i="1"/>
  <c r="E218" i="1"/>
  <c r="D218" i="1"/>
  <c r="C218" i="1"/>
  <c r="B218" i="1"/>
  <c r="A218" i="1"/>
  <c r="F217" i="1"/>
  <c r="E217" i="1"/>
  <c r="D217" i="1"/>
  <c r="C217" i="1"/>
  <c r="B217" i="1"/>
  <c r="A217" i="1"/>
  <c r="F216" i="1"/>
  <c r="E216" i="1"/>
  <c r="D216" i="1"/>
  <c r="C216" i="1"/>
  <c r="B216" i="1"/>
  <c r="A216" i="1"/>
  <c r="F215" i="1"/>
  <c r="E215" i="1"/>
  <c r="D215" i="1"/>
  <c r="C215" i="1"/>
  <c r="B215" i="1"/>
  <c r="A215" i="1"/>
  <c r="F214" i="1"/>
  <c r="E214" i="1"/>
  <c r="D214" i="1"/>
  <c r="C214" i="1"/>
  <c r="B214" i="1"/>
  <c r="A214" i="1"/>
  <c r="F213" i="1"/>
  <c r="E213" i="1"/>
  <c r="D213" i="1"/>
  <c r="C213" i="1"/>
  <c r="B213" i="1"/>
  <c r="A213" i="1"/>
  <c r="F212" i="1"/>
  <c r="E212" i="1"/>
  <c r="D212" i="1"/>
  <c r="C212" i="1"/>
  <c r="B212" i="1"/>
  <c r="A212" i="1"/>
  <c r="F211" i="1"/>
  <c r="E211" i="1"/>
  <c r="D211" i="1"/>
  <c r="C211" i="1"/>
  <c r="B211" i="1"/>
  <c r="A211" i="1"/>
  <c r="F210" i="1"/>
  <c r="E210" i="1"/>
  <c r="D210" i="1"/>
  <c r="C210" i="1"/>
  <c r="B210" i="1"/>
  <c r="A210" i="1"/>
  <c r="F209" i="1"/>
  <c r="E209" i="1"/>
  <c r="D209" i="1"/>
  <c r="C209" i="1"/>
  <c r="B209" i="1"/>
  <c r="A209" i="1"/>
  <c r="F208" i="1"/>
  <c r="E208" i="1"/>
  <c r="D208" i="1"/>
  <c r="C208" i="1"/>
  <c r="B208" i="1"/>
  <c r="A208" i="1"/>
  <c r="F207" i="1"/>
  <c r="E207" i="1"/>
  <c r="D207" i="1"/>
  <c r="C207" i="1"/>
  <c r="B207" i="1"/>
  <c r="A207" i="1"/>
  <c r="F206" i="1"/>
  <c r="E206" i="1"/>
  <c r="D206" i="1"/>
  <c r="C206" i="1"/>
  <c r="B206" i="1"/>
  <c r="A206" i="1"/>
  <c r="F205" i="1"/>
  <c r="E205" i="1"/>
  <c r="D205" i="1"/>
  <c r="C205" i="1"/>
  <c r="B205" i="1"/>
  <c r="A205" i="1"/>
  <c r="F204" i="1"/>
  <c r="E204" i="1"/>
  <c r="D204" i="1"/>
  <c r="C204" i="1"/>
  <c r="B204" i="1"/>
  <c r="A204" i="1"/>
  <c r="F203" i="1"/>
  <c r="E203" i="1"/>
  <c r="D203" i="1"/>
  <c r="C203" i="1"/>
  <c r="B203" i="1"/>
  <c r="A203" i="1"/>
  <c r="F202" i="1"/>
  <c r="E202" i="1"/>
  <c r="D202" i="1"/>
  <c r="C202" i="1"/>
  <c r="B202" i="1"/>
  <c r="A202" i="1"/>
  <c r="F201" i="1"/>
  <c r="E201" i="1"/>
  <c r="D201" i="1"/>
  <c r="C201" i="1"/>
  <c r="B201" i="1"/>
  <c r="A201" i="1"/>
  <c r="F200" i="1"/>
  <c r="E200" i="1"/>
  <c r="D200" i="1"/>
  <c r="C200" i="1"/>
  <c r="B200" i="1"/>
  <c r="A200" i="1"/>
  <c r="F199" i="1"/>
  <c r="E199" i="1"/>
  <c r="D199" i="1"/>
  <c r="C199" i="1"/>
  <c r="B199" i="1"/>
  <c r="A199" i="1"/>
  <c r="F198" i="1"/>
  <c r="E198" i="1"/>
  <c r="D198" i="1"/>
  <c r="C198" i="1"/>
  <c r="B198" i="1"/>
  <c r="A198" i="1"/>
  <c r="F197" i="1"/>
  <c r="E197" i="1"/>
  <c r="D197" i="1"/>
  <c r="C197" i="1"/>
  <c r="B197" i="1"/>
  <c r="A197" i="1"/>
  <c r="F196" i="1"/>
  <c r="E196" i="1"/>
  <c r="D196" i="1"/>
  <c r="C196" i="1"/>
  <c r="B196" i="1"/>
  <c r="A196" i="1"/>
  <c r="F195" i="1"/>
  <c r="E195" i="1"/>
  <c r="D195" i="1"/>
  <c r="C195" i="1"/>
  <c r="B195" i="1"/>
  <c r="A195" i="1"/>
  <c r="F194" i="1"/>
  <c r="E194" i="1"/>
  <c r="D194" i="1"/>
  <c r="C194" i="1"/>
  <c r="B194" i="1"/>
  <c r="A194" i="1"/>
  <c r="F193" i="1"/>
  <c r="E193" i="1"/>
  <c r="D193" i="1"/>
  <c r="C193" i="1"/>
  <c r="B193" i="1"/>
  <c r="A193" i="1"/>
  <c r="F192" i="1"/>
  <c r="E192" i="1"/>
  <c r="D192" i="1"/>
  <c r="C192" i="1"/>
  <c r="B192" i="1"/>
  <c r="A192" i="1"/>
  <c r="F191" i="1"/>
  <c r="E191" i="1"/>
  <c r="D191" i="1"/>
  <c r="C191" i="1"/>
  <c r="B191" i="1"/>
  <c r="A191" i="1"/>
  <c r="F190" i="1"/>
  <c r="E190" i="1"/>
  <c r="D190" i="1"/>
  <c r="C190" i="1"/>
  <c r="B190" i="1"/>
  <c r="A190" i="1"/>
  <c r="F189" i="1"/>
  <c r="E189" i="1"/>
  <c r="D189" i="1"/>
  <c r="C189" i="1"/>
  <c r="B189" i="1"/>
  <c r="A189" i="1"/>
  <c r="F188" i="1"/>
  <c r="E188" i="1"/>
  <c r="D188" i="1"/>
  <c r="C188" i="1"/>
  <c r="B188" i="1"/>
  <c r="A188" i="1"/>
  <c r="F187" i="1"/>
  <c r="E187" i="1"/>
  <c r="D187" i="1"/>
  <c r="C187" i="1"/>
  <c r="B187" i="1"/>
  <c r="A187" i="1"/>
  <c r="F186" i="1"/>
  <c r="E186" i="1"/>
  <c r="D186" i="1"/>
  <c r="C186" i="1"/>
  <c r="B186" i="1"/>
  <c r="A186" i="1"/>
  <c r="F185" i="1"/>
  <c r="E185" i="1"/>
  <c r="D185" i="1"/>
  <c r="C185" i="1"/>
  <c r="B185" i="1"/>
  <c r="A185" i="1"/>
  <c r="F184" i="1"/>
  <c r="E184" i="1"/>
  <c r="D184" i="1"/>
  <c r="C184" i="1"/>
  <c r="B184" i="1"/>
  <c r="A184" i="1"/>
  <c r="F183" i="1"/>
  <c r="E183" i="1"/>
  <c r="D183" i="1"/>
  <c r="C183" i="1"/>
  <c r="B183" i="1"/>
  <c r="A183" i="1"/>
  <c r="F182" i="1"/>
  <c r="E182" i="1"/>
  <c r="D182" i="1"/>
  <c r="C182" i="1"/>
  <c r="B182" i="1"/>
  <c r="A182" i="1"/>
  <c r="F181" i="1"/>
  <c r="E181" i="1"/>
  <c r="D181" i="1"/>
  <c r="C181" i="1"/>
  <c r="B181" i="1"/>
  <c r="A181" i="1"/>
  <c r="F180" i="1"/>
  <c r="E180" i="1"/>
  <c r="D180" i="1"/>
  <c r="C180" i="1"/>
  <c r="B180" i="1"/>
  <c r="A180" i="1"/>
  <c r="F179" i="1"/>
  <c r="E179" i="1"/>
  <c r="D179" i="1"/>
  <c r="C179" i="1"/>
  <c r="B179" i="1"/>
  <c r="A179" i="1"/>
  <c r="F178" i="1"/>
  <c r="E178" i="1"/>
  <c r="D178" i="1"/>
  <c r="C178" i="1"/>
  <c r="B178" i="1"/>
  <c r="A178" i="1"/>
  <c r="F177" i="1"/>
  <c r="E177" i="1"/>
  <c r="D177" i="1"/>
  <c r="C177" i="1"/>
  <c r="B177" i="1"/>
  <c r="A177" i="1"/>
  <c r="F176" i="1"/>
  <c r="E176" i="1"/>
  <c r="D176" i="1"/>
  <c r="C176" i="1"/>
  <c r="B176" i="1"/>
  <c r="A176" i="1"/>
  <c r="F175" i="1"/>
  <c r="E175" i="1"/>
  <c r="D175" i="1"/>
  <c r="C175" i="1"/>
  <c r="B175" i="1"/>
  <c r="A175" i="1"/>
  <c r="F174" i="1"/>
  <c r="E174" i="1"/>
  <c r="D174" i="1"/>
  <c r="C174" i="1"/>
  <c r="B174" i="1"/>
  <c r="A174" i="1"/>
  <c r="F173" i="1"/>
  <c r="E173" i="1"/>
  <c r="D173" i="1"/>
  <c r="C173" i="1"/>
  <c r="B173" i="1"/>
  <c r="A173" i="1"/>
  <c r="F172" i="1"/>
  <c r="E172" i="1"/>
  <c r="D172" i="1"/>
  <c r="C172" i="1"/>
  <c r="B172" i="1"/>
  <c r="A172" i="1"/>
  <c r="F171" i="1"/>
  <c r="E171" i="1"/>
  <c r="D171" i="1"/>
  <c r="C171" i="1"/>
  <c r="B171" i="1"/>
  <c r="A171" i="1"/>
  <c r="F170" i="1"/>
  <c r="E170" i="1"/>
  <c r="D170" i="1"/>
  <c r="C170" i="1"/>
  <c r="B170" i="1"/>
  <c r="A170" i="1"/>
  <c r="F169" i="1"/>
  <c r="E169" i="1"/>
  <c r="D169" i="1"/>
  <c r="C169" i="1"/>
  <c r="B169" i="1"/>
  <c r="A169" i="1"/>
  <c r="F168" i="1"/>
  <c r="E168" i="1"/>
  <c r="D168" i="1"/>
  <c r="C168" i="1"/>
  <c r="B168" i="1"/>
  <c r="A168" i="1"/>
  <c r="F167" i="1"/>
  <c r="E167" i="1"/>
  <c r="D167" i="1"/>
  <c r="C167" i="1"/>
  <c r="B167" i="1"/>
  <c r="A167" i="1"/>
  <c r="F166" i="1"/>
  <c r="E166" i="1"/>
  <c r="D166" i="1"/>
  <c r="C166" i="1"/>
  <c r="B166" i="1"/>
  <c r="A166" i="1"/>
  <c r="F165" i="1"/>
  <c r="E165" i="1"/>
  <c r="D165" i="1"/>
  <c r="C165" i="1"/>
  <c r="B165" i="1"/>
  <c r="A165" i="1"/>
  <c r="F164" i="1"/>
  <c r="E164" i="1"/>
  <c r="D164" i="1"/>
  <c r="C164" i="1"/>
  <c r="B164" i="1"/>
  <c r="A164" i="1"/>
  <c r="F163" i="1"/>
  <c r="E163" i="1"/>
  <c r="D163" i="1"/>
  <c r="C163" i="1"/>
  <c r="B163" i="1"/>
  <c r="A163" i="1"/>
  <c r="F162" i="1"/>
  <c r="E162" i="1"/>
  <c r="D162" i="1"/>
  <c r="C162" i="1"/>
  <c r="B162" i="1"/>
  <c r="A162" i="1"/>
  <c r="F161" i="1"/>
  <c r="E161" i="1"/>
  <c r="D161" i="1"/>
  <c r="C161" i="1"/>
  <c r="B161" i="1"/>
  <c r="A161" i="1"/>
  <c r="F160" i="1"/>
  <c r="E160" i="1"/>
  <c r="D160" i="1"/>
  <c r="C160" i="1"/>
  <c r="B160" i="1"/>
  <c r="A160" i="1"/>
  <c r="F159" i="1"/>
  <c r="E159" i="1"/>
  <c r="D159" i="1"/>
  <c r="C159" i="1"/>
  <c r="B159" i="1"/>
  <c r="A159" i="1"/>
  <c r="F158" i="1"/>
  <c r="E158" i="1"/>
  <c r="D158" i="1"/>
  <c r="C158" i="1"/>
  <c r="B158" i="1"/>
  <c r="A158" i="1"/>
  <c r="F157" i="1"/>
  <c r="E157" i="1"/>
  <c r="D157" i="1"/>
  <c r="C157" i="1"/>
  <c r="B157" i="1"/>
  <c r="A157" i="1"/>
  <c r="F156" i="1"/>
  <c r="E156" i="1"/>
  <c r="D156" i="1"/>
  <c r="C156" i="1"/>
  <c r="B156" i="1"/>
  <c r="A156" i="1"/>
  <c r="F155" i="1"/>
  <c r="E155" i="1"/>
  <c r="D155" i="1"/>
  <c r="C155" i="1"/>
  <c r="B155" i="1"/>
  <c r="A155" i="1"/>
  <c r="F154" i="1"/>
  <c r="E154" i="1"/>
  <c r="D154" i="1"/>
  <c r="C154" i="1"/>
  <c r="B154" i="1"/>
  <c r="A154" i="1"/>
  <c r="F153" i="1"/>
  <c r="E153" i="1"/>
  <c r="D153" i="1"/>
  <c r="C153" i="1"/>
  <c r="B153" i="1"/>
  <c r="A153" i="1"/>
  <c r="F152" i="1"/>
  <c r="E152" i="1"/>
  <c r="D152" i="1"/>
  <c r="C152" i="1"/>
  <c r="B152" i="1"/>
  <c r="A152" i="1"/>
  <c r="F151" i="1"/>
  <c r="E151" i="1"/>
  <c r="D151" i="1"/>
  <c r="C151" i="1"/>
  <c r="B151" i="1"/>
  <c r="A151" i="1"/>
  <c r="F150" i="1"/>
  <c r="E150" i="1"/>
  <c r="D150" i="1"/>
  <c r="C150" i="1"/>
  <c r="B150" i="1"/>
  <c r="A150" i="1"/>
  <c r="F149" i="1"/>
  <c r="E149" i="1"/>
  <c r="D149" i="1"/>
  <c r="C149" i="1"/>
  <c r="B149" i="1"/>
  <c r="A149" i="1"/>
  <c r="F148" i="1"/>
  <c r="E148" i="1"/>
  <c r="D148" i="1"/>
  <c r="C148" i="1"/>
  <c r="B148" i="1"/>
  <c r="A148" i="1"/>
  <c r="F147" i="1"/>
  <c r="E147" i="1"/>
  <c r="D147" i="1"/>
  <c r="C147" i="1"/>
  <c r="B147" i="1"/>
  <c r="A147" i="1"/>
  <c r="F146" i="1"/>
  <c r="E146" i="1"/>
  <c r="D146" i="1"/>
  <c r="C146" i="1"/>
  <c r="B146" i="1"/>
  <c r="A146" i="1"/>
  <c r="F145" i="1"/>
  <c r="E145" i="1"/>
  <c r="D145" i="1"/>
  <c r="C145" i="1"/>
  <c r="B145" i="1"/>
  <c r="A145" i="1"/>
  <c r="F144" i="1"/>
  <c r="E144" i="1"/>
  <c r="D144" i="1"/>
  <c r="C144" i="1"/>
  <c r="B144" i="1"/>
  <c r="A144" i="1"/>
  <c r="F143" i="1"/>
  <c r="E143" i="1"/>
  <c r="D143" i="1"/>
  <c r="C143" i="1"/>
  <c r="B143" i="1"/>
  <c r="A143" i="1"/>
  <c r="F142" i="1"/>
  <c r="E142" i="1"/>
  <c r="D142" i="1"/>
  <c r="C142" i="1"/>
  <c r="B142" i="1"/>
  <c r="A142" i="1"/>
  <c r="F141" i="1"/>
  <c r="E141" i="1"/>
  <c r="D141" i="1"/>
  <c r="C141" i="1"/>
  <c r="B141" i="1"/>
  <c r="A141" i="1"/>
  <c r="F140" i="1"/>
  <c r="E140" i="1"/>
  <c r="D140" i="1"/>
  <c r="C140" i="1"/>
  <c r="B140" i="1"/>
  <c r="A140" i="1"/>
  <c r="F139" i="1"/>
  <c r="E139" i="1"/>
  <c r="D139" i="1"/>
  <c r="C139" i="1"/>
  <c r="B139" i="1"/>
  <c r="A139" i="1"/>
  <c r="F138" i="1"/>
  <c r="E138" i="1"/>
  <c r="D138" i="1"/>
  <c r="C138" i="1"/>
  <c r="B138" i="1"/>
  <c r="A138" i="1"/>
  <c r="F137" i="1"/>
  <c r="E137" i="1"/>
  <c r="D137" i="1"/>
  <c r="C137" i="1"/>
  <c r="B137" i="1"/>
  <c r="A137" i="1"/>
  <c r="F136" i="1"/>
  <c r="E136" i="1"/>
  <c r="D136" i="1"/>
  <c r="C136" i="1"/>
  <c r="B136" i="1"/>
  <c r="A136" i="1"/>
  <c r="F135" i="1"/>
  <c r="E135" i="1"/>
  <c r="D135" i="1"/>
  <c r="C135" i="1"/>
  <c r="B135" i="1"/>
  <c r="A135" i="1"/>
  <c r="F134" i="1"/>
  <c r="E134" i="1"/>
  <c r="D134" i="1"/>
  <c r="C134" i="1"/>
  <c r="B134" i="1"/>
  <c r="A134" i="1"/>
  <c r="F133" i="1"/>
  <c r="E133" i="1"/>
  <c r="D133" i="1"/>
  <c r="C133" i="1"/>
  <c r="B133" i="1"/>
  <c r="A133" i="1"/>
  <c r="F132" i="1"/>
  <c r="E132" i="1"/>
  <c r="D132" i="1"/>
  <c r="C132" i="1"/>
  <c r="B132" i="1"/>
  <c r="A132" i="1"/>
  <c r="F131" i="1"/>
  <c r="E131" i="1"/>
  <c r="D131" i="1"/>
  <c r="C131" i="1"/>
  <c r="B131" i="1"/>
  <c r="A131" i="1"/>
  <c r="F130" i="1"/>
  <c r="E130" i="1"/>
  <c r="D130" i="1"/>
  <c r="C130" i="1"/>
  <c r="B130" i="1"/>
  <c r="A130" i="1"/>
  <c r="F129" i="1"/>
  <c r="E129" i="1"/>
  <c r="D129" i="1"/>
  <c r="C129" i="1"/>
  <c r="B129" i="1"/>
  <c r="A129" i="1"/>
  <c r="F128" i="1"/>
  <c r="E128" i="1"/>
  <c r="D128" i="1"/>
  <c r="C128" i="1"/>
  <c r="B128" i="1"/>
  <c r="A128" i="1"/>
  <c r="F127" i="1"/>
  <c r="E127" i="1"/>
  <c r="D127" i="1"/>
  <c r="C127" i="1"/>
  <c r="B127" i="1"/>
  <c r="A127" i="1"/>
  <c r="F126" i="1"/>
  <c r="E126" i="1"/>
  <c r="D126" i="1"/>
  <c r="C126" i="1"/>
  <c r="B126" i="1"/>
  <c r="A126" i="1"/>
  <c r="F125" i="1"/>
  <c r="E125" i="1"/>
  <c r="D125" i="1"/>
  <c r="C125" i="1"/>
  <c r="B125" i="1"/>
  <c r="A125" i="1"/>
  <c r="F124" i="1"/>
  <c r="E124" i="1"/>
  <c r="D124" i="1"/>
  <c r="C124" i="1"/>
  <c r="B124" i="1"/>
  <c r="A124" i="1"/>
  <c r="F123" i="1"/>
  <c r="E123" i="1"/>
  <c r="D123" i="1"/>
  <c r="C123" i="1"/>
  <c r="B123" i="1"/>
  <c r="A123" i="1"/>
  <c r="F122" i="1"/>
  <c r="E122" i="1"/>
  <c r="D122" i="1"/>
  <c r="C122" i="1"/>
  <c r="B122" i="1"/>
  <c r="A122" i="1"/>
  <c r="F121" i="1"/>
  <c r="E121" i="1"/>
  <c r="D121" i="1"/>
  <c r="C121" i="1"/>
  <c r="B121" i="1"/>
  <c r="A121" i="1"/>
  <c r="F120" i="1"/>
  <c r="E120" i="1"/>
  <c r="D120" i="1"/>
  <c r="C120" i="1"/>
  <c r="B120" i="1"/>
  <c r="A120" i="1"/>
  <c r="F119" i="1"/>
  <c r="E119" i="1"/>
  <c r="D119" i="1"/>
  <c r="C119" i="1"/>
  <c r="B119" i="1"/>
  <c r="A119" i="1"/>
  <c r="F118" i="1"/>
  <c r="E118" i="1"/>
  <c r="D118" i="1"/>
  <c r="C118" i="1"/>
  <c r="B118" i="1"/>
  <c r="A118" i="1"/>
  <c r="F117" i="1"/>
  <c r="E117" i="1"/>
  <c r="D117" i="1"/>
  <c r="C117" i="1"/>
  <c r="B117" i="1"/>
  <c r="A117" i="1"/>
  <c r="F116" i="1"/>
  <c r="E116" i="1"/>
  <c r="D116" i="1"/>
  <c r="C116" i="1"/>
  <c r="B116" i="1"/>
  <c r="A116" i="1"/>
  <c r="F115" i="1"/>
  <c r="E115" i="1"/>
  <c r="D115" i="1"/>
  <c r="C115" i="1"/>
  <c r="B115" i="1"/>
  <c r="A115" i="1"/>
  <c r="F114" i="1"/>
  <c r="E114" i="1"/>
  <c r="D114" i="1"/>
  <c r="C114" i="1"/>
  <c r="B114" i="1"/>
  <c r="A114" i="1"/>
  <c r="F113" i="1"/>
  <c r="E113" i="1"/>
  <c r="D113" i="1"/>
  <c r="C113" i="1"/>
  <c r="B113" i="1"/>
  <c r="A113" i="1"/>
  <c r="F112" i="1"/>
  <c r="E112" i="1"/>
  <c r="D112" i="1"/>
  <c r="C112" i="1"/>
  <c r="B112" i="1"/>
  <c r="A112" i="1"/>
  <c r="F111" i="1"/>
  <c r="E111" i="1"/>
  <c r="D111" i="1"/>
  <c r="C111" i="1"/>
  <c r="B111" i="1"/>
  <c r="A111" i="1"/>
  <c r="F110" i="1"/>
  <c r="E110" i="1"/>
  <c r="D110" i="1"/>
  <c r="C110" i="1"/>
  <c r="B110" i="1"/>
  <c r="A110" i="1"/>
  <c r="F109" i="1"/>
  <c r="E109" i="1"/>
  <c r="D109" i="1"/>
  <c r="C109" i="1"/>
  <c r="B109" i="1"/>
  <c r="A109" i="1"/>
  <c r="F108" i="1"/>
  <c r="E108" i="1"/>
  <c r="D108" i="1"/>
  <c r="C108" i="1"/>
  <c r="B108" i="1"/>
  <c r="A108" i="1"/>
  <c r="F107" i="1"/>
  <c r="E107" i="1"/>
  <c r="D107" i="1"/>
  <c r="C107" i="1"/>
  <c r="B107" i="1"/>
  <c r="A107" i="1"/>
  <c r="F106" i="1"/>
  <c r="E106" i="1"/>
  <c r="D106" i="1"/>
  <c r="C106" i="1"/>
  <c r="B106" i="1"/>
  <c r="A106" i="1"/>
  <c r="F105" i="1"/>
  <c r="E105" i="1"/>
  <c r="D105" i="1"/>
  <c r="C105" i="1"/>
  <c r="B105" i="1"/>
  <c r="A105" i="1"/>
  <c r="F104" i="1"/>
  <c r="E104" i="1"/>
  <c r="D104" i="1"/>
  <c r="C104" i="1"/>
  <c r="B104" i="1"/>
  <c r="A104" i="1"/>
  <c r="F103" i="1"/>
  <c r="E103" i="1"/>
  <c r="D103" i="1"/>
  <c r="C103" i="1"/>
  <c r="B103" i="1"/>
  <c r="A103" i="1"/>
  <c r="F102" i="1"/>
  <c r="E102" i="1"/>
  <c r="D102" i="1"/>
  <c r="C102" i="1"/>
  <c r="B102" i="1"/>
  <c r="A102" i="1"/>
  <c r="F101" i="1"/>
  <c r="E101" i="1"/>
  <c r="D101" i="1"/>
  <c r="C101" i="1"/>
  <c r="B101" i="1"/>
  <c r="A101" i="1"/>
  <c r="F100" i="1"/>
  <c r="E100" i="1"/>
  <c r="D100" i="1"/>
  <c r="C100" i="1"/>
  <c r="B100" i="1"/>
  <c r="A100" i="1"/>
  <c r="F99" i="1"/>
  <c r="E99" i="1"/>
  <c r="D99" i="1"/>
  <c r="C99" i="1"/>
  <c r="B99" i="1"/>
  <c r="A99" i="1"/>
  <c r="F98" i="1"/>
  <c r="E98" i="1"/>
  <c r="D98" i="1"/>
  <c r="C98" i="1"/>
  <c r="B98" i="1"/>
  <c r="A98" i="1"/>
  <c r="F97" i="1"/>
  <c r="E97" i="1"/>
  <c r="D97" i="1"/>
  <c r="C97" i="1"/>
  <c r="B97" i="1"/>
  <c r="A97" i="1"/>
  <c r="F96" i="1"/>
  <c r="E96" i="1"/>
  <c r="D96" i="1"/>
  <c r="C96" i="1"/>
  <c r="B96" i="1"/>
  <c r="A96" i="1"/>
  <c r="F95" i="1"/>
  <c r="E95" i="1"/>
  <c r="D95" i="1"/>
  <c r="C95" i="1"/>
  <c r="B95" i="1"/>
  <c r="A95" i="1"/>
  <c r="F94" i="1"/>
  <c r="E94" i="1"/>
  <c r="D94" i="1"/>
  <c r="C94" i="1"/>
  <c r="B94" i="1"/>
  <c r="A94" i="1"/>
  <c r="F93" i="1"/>
  <c r="E93" i="1"/>
  <c r="D93" i="1"/>
  <c r="C93" i="1"/>
  <c r="B93" i="1"/>
  <c r="A93" i="1"/>
  <c r="F92" i="1"/>
  <c r="E92" i="1"/>
  <c r="D92" i="1"/>
  <c r="C92" i="1"/>
  <c r="B92" i="1"/>
  <c r="A92" i="1"/>
  <c r="F91" i="1"/>
  <c r="E91" i="1"/>
  <c r="D91" i="1"/>
  <c r="C91" i="1"/>
  <c r="B91" i="1"/>
  <c r="A91" i="1"/>
  <c r="F90" i="1"/>
  <c r="E90" i="1"/>
  <c r="D90" i="1"/>
  <c r="C90" i="1"/>
  <c r="B90" i="1"/>
  <c r="A90" i="1"/>
  <c r="F89" i="1"/>
  <c r="E89" i="1"/>
  <c r="D89" i="1"/>
  <c r="C89" i="1"/>
  <c r="B89" i="1"/>
  <c r="A89" i="1"/>
  <c r="F88" i="1"/>
  <c r="E88" i="1"/>
  <c r="D88" i="1"/>
  <c r="C88" i="1"/>
  <c r="B88" i="1"/>
  <c r="A88" i="1"/>
  <c r="F87" i="1"/>
  <c r="E87" i="1"/>
  <c r="D87" i="1"/>
  <c r="C87" i="1"/>
  <c r="B87" i="1"/>
  <c r="A87" i="1"/>
  <c r="F86" i="1"/>
  <c r="E86" i="1"/>
  <c r="D86" i="1"/>
  <c r="C86" i="1"/>
  <c r="B86" i="1"/>
  <c r="A86" i="1"/>
  <c r="F85" i="1"/>
  <c r="E85" i="1"/>
  <c r="D85" i="1"/>
  <c r="C85" i="1"/>
  <c r="B85" i="1"/>
  <c r="A85" i="1"/>
  <c r="F84" i="1"/>
  <c r="E84" i="1"/>
  <c r="D84" i="1"/>
  <c r="C84" i="1"/>
  <c r="B84" i="1"/>
  <c r="A84" i="1"/>
  <c r="F83" i="1"/>
  <c r="E83" i="1"/>
  <c r="D83" i="1"/>
  <c r="C83" i="1"/>
  <c r="B83" i="1"/>
  <c r="A83" i="1"/>
  <c r="F82" i="1"/>
  <c r="E82" i="1"/>
  <c r="D82" i="1"/>
  <c r="C82" i="1"/>
  <c r="B82" i="1"/>
  <c r="A82" i="1"/>
  <c r="F81" i="1"/>
  <c r="E81" i="1"/>
  <c r="D81" i="1"/>
  <c r="C81" i="1"/>
  <c r="B81" i="1"/>
  <c r="A81" i="1"/>
  <c r="F80" i="1"/>
  <c r="E80" i="1"/>
  <c r="D80" i="1"/>
  <c r="C80" i="1"/>
  <c r="B80" i="1"/>
  <c r="A80" i="1"/>
  <c r="F79" i="1"/>
  <c r="E79" i="1"/>
  <c r="D79" i="1"/>
  <c r="C79" i="1"/>
  <c r="B79" i="1"/>
  <c r="A79" i="1"/>
  <c r="F78" i="1"/>
  <c r="E78" i="1"/>
  <c r="D78" i="1"/>
  <c r="C78" i="1"/>
  <c r="B78" i="1"/>
  <c r="A78" i="1"/>
  <c r="F77" i="1"/>
  <c r="E77" i="1"/>
  <c r="D77" i="1"/>
  <c r="C77" i="1"/>
  <c r="B77" i="1"/>
  <c r="A77" i="1"/>
  <c r="F76" i="1"/>
  <c r="E76" i="1"/>
  <c r="D76" i="1"/>
  <c r="C76" i="1"/>
  <c r="B76" i="1"/>
  <c r="A76" i="1"/>
  <c r="F75" i="1"/>
  <c r="E75" i="1"/>
  <c r="D75" i="1"/>
  <c r="C75" i="1"/>
  <c r="B75" i="1"/>
  <c r="A75" i="1"/>
  <c r="F74" i="1"/>
  <c r="E74" i="1"/>
  <c r="D74" i="1"/>
  <c r="C74" i="1"/>
  <c r="B74" i="1"/>
  <c r="A74" i="1"/>
  <c r="F73" i="1"/>
  <c r="E73" i="1"/>
  <c r="D73" i="1"/>
  <c r="C73" i="1"/>
  <c r="B73" i="1"/>
  <c r="A73" i="1"/>
  <c r="F72" i="1"/>
  <c r="E72" i="1"/>
  <c r="D72" i="1"/>
  <c r="C72" i="1"/>
  <c r="B72" i="1"/>
  <c r="A72" i="1"/>
  <c r="F71" i="1"/>
  <c r="E71" i="1"/>
  <c r="D71" i="1"/>
  <c r="C71" i="1"/>
  <c r="B71" i="1"/>
  <c r="A71" i="1"/>
  <c r="F70" i="1"/>
  <c r="E70" i="1"/>
  <c r="D70" i="1"/>
  <c r="C70" i="1"/>
  <c r="B70" i="1"/>
  <c r="A70" i="1"/>
  <c r="F69" i="1"/>
  <c r="E69" i="1"/>
  <c r="D69" i="1"/>
  <c r="C69" i="1"/>
  <c r="B69" i="1"/>
  <c r="A69" i="1"/>
  <c r="F68" i="1"/>
  <c r="E68" i="1"/>
  <c r="D68" i="1"/>
  <c r="C68" i="1"/>
  <c r="B68" i="1"/>
  <c r="A68" i="1"/>
  <c r="F67" i="1"/>
  <c r="E67" i="1"/>
  <c r="D67" i="1"/>
  <c r="C67" i="1"/>
  <c r="B67" i="1"/>
  <c r="A67" i="1"/>
  <c r="F66" i="1"/>
  <c r="E66" i="1"/>
  <c r="D66" i="1"/>
  <c r="C66" i="1"/>
  <c r="B66" i="1"/>
  <c r="A66" i="1"/>
  <c r="F65" i="1"/>
  <c r="E65" i="1"/>
  <c r="D65" i="1"/>
  <c r="C65" i="1"/>
  <c r="B65" i="1"/>
  <c r="A65" i="1"/>
  <c r="F64" i="1"/>
  <c r="E64" i="1"/>
  <c r="D64" i="1"/>
  <c r="C64" i="1"/>
  <c r="B64" i="1"/>
  <c r="A64" i="1"/>
  <c r="F63" i="1"/>
  <c r="E63" i="1"/>
  <c r="D63" i="1"/>
  <c r="C63" i="1"/>
  <c r="B63" i="1"/>
  <c r="A63" i="1"/>
  <c r="F62" i="1"/>
  <c r="E62" i="1"/>
  <c r="D62" i="1"/>
  <c r="C62" i="1"/>
  <c r="B62" i="1"/>
  <c r="A62" i="1"/>
  <c r="F61" i="1"/>
  <c r="E61" i="1"/>
  <c r="D61" i="1"/>
  <c r="C61" i="1"/>
  <c r="B61" i="1"/>
  <c r="A61" i="1"/>
  <c r="F60" i="1"/>
  <c r="E60" i="1"/>
  <c r="D60" i="1"/>
  <c r="C60" i="1"/>
  <c r="B60" i="1"/>
  <c r="A60" i="1"/>
  <c r="F59" i="1"/>
  <c r="E59" i="1"/>
  <c r="D59" i="1"/>
  <c r="C59" i="1"/>
  <c r="B59" i="1"/>
  <c r="A59" i="1"/>
  <c r="F58" i="1"/>
  <c r="E58" i="1"/>
  <c r="D58" i="1"/>
  <c r="C58" i="1"/>
  <c r="B58" i="1"/>
  <c r="A58" i="1"/>
  <c r="F57" i="1"/>
  <c r="E57" i="1"/>
  <c r="D57" i="1"/>
  <c r="C57" i="1"/>
  <c r="B57" i="1"/>
  <c r="A57" i="1"/>
  <c r="F56" i="1"/>
  <c r="E56" i="1"/>
  <c r="D56" i="1"/>
  <c r="C56" i="1"/>
  <c r="B56" i="1"/>
  <c r="A56" i="1"/>
  <c r="F55" i="1"/>
  <c r="E55" i="1"/>
  <c r="D55" i="1"/>
  <c r="C55" i="1"/>
  <c r="B55" i="1"/>
  <c r="A55" i="1"/>
  <c r="F54" i="1"/>
  <c r="E54" i="1"/>
  <c r="D54" i="1"/>
  <c r="C54" i="1"/>
  <c r="B54" i="1"/>
  <c r="A54" i="1"/>
  <c r="F53" i="1"/>
  <c r="E53" i="1"/>
  <c r="D53" i="1"/>
  <c r="C53" i="1"/>
  <c r="B53" i="1"/>
  <c r="A53" i="1"/>
  <c r="F52" i="1"/>
  <c r="E52" i="1"/>
  <c r="D52" i="1"/>
  <c r="C52" i="1"/>
  <c r="B52" i="1"/>
  <c r="A52" i="1"/>
  <c r="F51" i="1"/>
  <c r="E51" i="1"/>
  <c r="D51" i="1"/>
  <c r="C51" i="1"/>
  <c r="B51" i="1"/>
  <c r="A51" i="1"/>
  <c r="F50" i="1"/>
  <c r="E50" i="1"/>
  <c r="D50" i="1"/>
  <c r="C50" i="1"/>
  <c r="B50" i="1"/>
  <c r="A50" i="1"/>
  <c r="F49" i="1"/>
  <c r="E49" i="1"/>
  <c r="D49" i="1"/>
  <c r="C49" i="1"/>
  <c r="B49" i="1"/>
  <c r="A49" i="1"/>
  <c r="F48" i="1"/>
  <c r="E48" i="1"/>
  <c r="D48" i="1"/>
  <c r="C48" i="1"/>
  <c r="B48" i="1"/>
  <c r="A48" i="1"/>
  <c r="F47" i="1"/>
  <c r="E47" i="1"/>
  <c r="D47" i="1"/>
  <c r="C47" i="1"/>
  <c r="B47" i="1"/>
  <c r="A47" i="1"/>
  <c r="F46" i="1"/>
  <c r="E46" i="1"/>
  <c r="D46" i="1"/>
  <c r="C46" i="1"/>
  <c r="B46" i="1"/>
  <c r="A46" i="1"/>
  <c r="F45" i="1"/>
  <c r="E45" i="1"/>
  <c r="D45" i="1"/>
  <c r="C45" i="1"/>
  <c r="B45" i="1"/>
  <c r="A45" i="1"/>
  <c r="F44" i="1"/>
  <c r="E44" i="1"/>
  <c r="D44" i="1"/>
  <c r="C44" i="1"/>
  <c r="B44" i="1"/>
  <c r="A44" i="1"/>
  <c r="F43" i="1"/>
  <c r="E43" i="1"/>
  <c r="D43" i="1"/>
  <c r="C43" i="1"/>
  <c r="B43" i="1"/>
  <c r="A43" i="1"/>
  <c r="F42" i="1"/>
  <c r="E42" i="1"/>
  <c r="D42" i="1"/>
  <c r="C42" i="1"/>
  <c r="B42" i="1"/>
  <c r="A42" i="1"/>
  <c r="F41" i="1"/>
  <c r="E41" i="1"/>
  <c r="D41" i="1"/>
  <c r="C41" i="1"/>
  <c r="B41" i="1"/>
  <c r="A41" i="1"/>
  <c r="F40" i="1"/>
  <c r="E40" i="1"/>
  <c r="D40" i="1"/>
  <c r="C40" i="1"/>
  <c r="B40" i="1"/>
  <c r="A40" i="1"/>
  <c r="F39" i="1"/>
  <c r="E39" i="1"/>
  <c r="D39" i="1"/>
  <c r="C39" i="1"/>
  <c r="B39" i="1"/>
  <c r="A39" i="1"/>
  <c r="F38" i="1"/>
  <c r="E38" i="1"/>
  <c r="D38" i="1"/>
  <c r="C38" i="1"/>
  <c r="B38" i="1"/>
  <c r="A38" i="1"/>
  <c r="F37" i="1"/>
  <c r="E37" i="1"/>
  <c r="D37" i="1"/>
  <c r="C37" i="1"/>
  <c r="B37" i="1"/>
  <c r="A37" i="1"/>
  <c r="F36" i="1"/>
  <c r="E36" i="1"/>
  <c r="D36" i="1"/>
  <c r="C36" i="1"/>
  <c r="B36" i="1"/>
  <c r="A36" i="1"/>
  <c r="F35" i="1"/>
  <c r="E35" i="1"/>
  <c r="D35" i="1"/>
  <c r="C35" i="1"/>
  <c r="B35" i="1"/>
  <c r="A35" i="1"/>
  <c r="F34" i="1"/>
  <c r="E34" i="1"/>
  <c r="D34" i="1"/>
  <c r="C34" i="1"/>
  <c r="B34" i="1"/>
  <c r="A34" i="1"/>
  <c r="F33" i="1"/>
  <c r="E33" i="1"/>
  <c r="D33" i="1"/>
  <c r="C33" i="1"/>
  <c r="B33" i="1"/>
  <c r="A33" i="1"/>
  <c r="F32" i="1"/>
  <c r="E32" i="1"/>
  <c r="D32" i="1"/>
  <c r="C32" i="1"/>
  <c r="B32" i="1"/>
  <c r="A32" i="1"/>
  <c r="F31" i="1"/>
  <c r="E31" i="1"/>
  <c r="D31" i="1"/>
  <c r="C31" i="1"/>
  <c r="B31" i="1"/>
  <c r="A31" i="1"/>
  <c r="F30" i="1"/>
  <c r="E30" i="1"/>
  <c r="D30" i="1"/>
  <c r="C30" i="1"/>
  <c r="B30" i="1"/>
  <c r="A30" i="1"/>
  <c r="F29" i="1"/>
  <c r="E29" i="1"/>
  <c r="D29" i="1"/>
  <c r="C29" i="1"/>
  <c r="B29" i="1"/>
  <c r="A29" i="1"/>
  <c r="F28" i="1"/>
  <c r="E28" i="1"/>
  <c r="D28" i="1"/>
  <c r="C28" i="1"/>
  <c r="B28" i="1"/>
  <c r="A28" i="1"/>
  <c r="F27" i="1"/>
  <c r="E27" i="1"/>
  <c r="D27" i="1"/>
  <c r="C27" i="1"/>
  <c r="B27" i="1"/>
  <c r="A27" i="1"/>
  <c r="F26" i="1"/>
  <c r="E26" i="1"/>
  <c r="D26" i="1"/>
  <c r="C26" i="1"/>
  <c r="B26" i="1"/>
  <c r="A26" i="1"/>
  <c r="F25" i="1"/>
  <c r="E25" i="1"/>
  <c r="D25" i="1"/>
  <c r="C25" i="1"/>
  <c r="B25" i="1"/>
  <c r="A25" i="1"/>
  <c r="F24" i="1"/>
  <c r="E24" i="1"/>
  <c r="D24" i="1"/>
  <c r="C24" i="1"/>
  <c r="B24" i="1"/>
  <c r="A24" i="1"/>
  <c r="F23" i="1"/>
  <c r="E23" i="1"/>
  <c r="D23" i="1"/>
  <c r="C23" i="1"/>
  <c r="B23" i="1"/>
  <c r="A23" i="1"/>
  <c r="F22" i="1"/>
  <c r="E22" i="1"/>
  <c r="D22" i="1"/>
  <c r="C22" i="1"/>
  <c r="B22" i="1"/>
  <c r="A22" i="1"/>
  <c r="F21" i="1"/>
  <c r="E21" i="1"/>
  <c r="D21" i="1"/>
  <c r="C21" i="1"/>
  <c r="B21" i="1"/>
  <c r="A21" i="1"/>
  <c r="F20" i="1"/>
  <c r="E20" i="1"/>
  <c r="D20" i="1"/>
  <c r="C20" i="1"/>
  <c r="B20" i="1"/>
  <c r="A20" i="1"/>
  <c r="F19" i="1"/>
  <c r="E19" i="1"/>
  <c r="D19" i="1"/>
  <c r="C19" i="1"/>
  <c r="B19" i="1"/>
  <c r="A19" i="1"/>
  <c r="F18" i="1"/>
  <c r="E18" i="1"/>
  <c r="D18" i="1"/>
  <c r="C18" i="1"/>
  <c r="B18" i="1"/>
  <c r="A18" i="1"/>
  <c r="F17" i="1"/>
  <c r="E17" i="1"/>
  <c r="D17" i="1"/>
  <c r="C17" i="1"/>
  <c r="B17" i="1"/>
  <c r="A17" i="1"/>
  <c r="F16" i="1"/>
  <c r="E16" i="1"/>
  <c r="D16" i="1"/>
  <c r="C16" i="1"/>
  <c r="B16" i="1"/>
  <c r="A16" i="1"/>
  <c r="F15" i="1"/>
  <c r="E15" i="1"/>
  <c r="D15" i="1"/>
  <c r="C15" i="1"/>
  <c r="B15" i="1"/>
  <c r="A15" i="1"/>
  <c r="F14" i="1"/>
  <c r="E14" i="1"/>
  <c r="D14" i="1"/>
  <c r="C14" i="1"/>
  <c r="B14" i="1"/>
  <c r="A14" i="1"/>
  <c r="F13" i="1"/>
  <c r="E13" i="1"/>
  <c r="D13" i="1"/>
  <c r="C13" i="1"/>
  <c r="B13" i="1"/>
  <c r="A13" i="1"/>
  <c r="F12" i="1"/>
  <c r="E12" i="1"/>
  <c r="D12" i="1"/>
  <c r="C12" i="1"/>
  <c r="B12" i="1"/>
  <c r="A12" i="1"/>
  <c r="F11" i="1"/>
  <c r="E11" i="1"/>
  <c r="D11" i="1"/>
  <c r="C11" i="1"/>
  <c r="B11" i="1"/>
  <c r="A11" i="1"/>
  <c r="F10" i="1"/>
  <c r="E10" i="1"/>
  <c r="D10" i="1"/>
  <c r="C10" i="1"/>
  <c r="B10" i="1"/>
  <c r="A10" i="1"/>
  <c r="F9" i="1"/>
  <c r="E9" i="1"/>
  <c r="D9" i="1"/>
  <c r="C9" i="1"/>
  <c r="B9" i="1"/>
  <c r="A9" i="1"/>
  <c r="F8" i="1"/>
  <c r="E8" i="1"/>
  <c r="D8" i="1"/>
  <c r="C8" i="1"/>
  <c r="B8" i="1"/>
  <c r="A8" i="1"/>
  <c r="F7" i="1"/>
  <c r="E7" i="1"/>
  <c r="D7" i="1"/>
  <c r="C7" i="1"/>
  <c r="B7" i="1"/>
  <c r="A7" i="1"/>
</calcChain>
</file>

<file path=xl/sharedStrings.xml><?xml version="1.0" encoding="utf-8"?>
<sst xmlns="http://schemas.openxmlformats.org/spreadsheetml/2006/main" count="17" uniqueCount="17">
  <si>
    <t>Report  : PRV-0126-W</t>
  </si>
  <si>
    <t>MS MEDICAID ENTERPRISE SYSTEM</t>
  </si>
  <si>
    <t>Run Date: 08/01/2026</t>
  </si>
  <si>
    <t>Process : PRVPW126</t>
  </si>
  <si>
    <t xml:space="preserve">Run Time: 00:30:04  </t>
  </si>
  <si>
    <t>Location: PRVP126W</t>
  </si>
  <si>
    <t>PRESCRIBING PROVIDER LISTING</t>
  </si>
  <si>
    <t>Page:         1</t>
  </si>
  <si>
    <t>Payer   : ALL</t>
  </si>
  <si>
    <t>REPORT PERIOD: 07/31/2026</t>
  </si>
  <si>
    <t>PROVIDER ID</t>
  </si>
  <si>
    <t>NPI</t>
  </si>
  <si>
    <t>TAXONOMY</t>
  </si>
  <si>
    <t>PROVIDER NAME</t>
  </si>
  <si>
    <t>CITY</t>
  </si>
  <si>
    <t>STATE</t>
  </si>
  <si>
    <t>* * * END OF REPORT * *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</si>
</sst>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50BF-F467-4713-976C-981E306C50D3}">
  <dimension ref="A1:G25028"/>
  <sheetViews>
    <sheetView tabSelected="1" workbookViewId="0">
      <selection activeCell="D3" sqref="D3"/>
    </sheetView>
  </sheetViews>
  <sheetFormatPr defaultRowHeight="15" x14ac:dyDescent="0.25"/>
  <cols>
    <col min="1" max="1" width="19.42578125" bestFit="1" customWidth="1"/>
    <col min="2" max="2" width="11" bestFit="1" customWidth="1"/>
    <col min="3" max="3" width="12.140625" bestFit="1" customWidth="1"/>
    <col min="4" max="4" width="56.85546875" bestFit="1" customWidth="1"/>
    <col min="5" max="5" width="24" bestFit="1" customWidth="1"/>
    <col min="6" max="6" width="6.140625" bestFit="1" customWidth="1"/>
    <col min="7" max="7" width="19.5703125" bestFit="1" customWidth="1"/>
  </cols>
  <sheetData>
    <row r="1" spans="1:7" x14ac:dyDescent="0.25">
      <c r="A1" t="s">
        <v>0</v>
      </c>
      <c r="D1" t="s">
        <v>1</v>
      </c>
      <c r="G1" t="s">
        <v>2</v>
      </c>
    </row>
    <row r="2" spans="1:7" x14ac:dyDescent="0.25">
      <c r="A2" t="s">
        <v>3</v>
      </c>
      <c r="G2" t="s">
        <v>4</v>
      </c>
    </row>
    <row r="3" spans="1:7" x14ac:dyDescent="0.25">
      <c r="A3" t="s">
        <v>5</v>
      </c>
      <c r="D3" t="s">
        <v>6</v>
      </c>
      <c r="G3" t="s">
        <v>7</v>
      </c>
    </row>
    <row r="4" spans="1:7" x14ac:dyDescent="0.25">
      <c r="A4" t="s">
        <v>8</v>
      </c>
      <c r="D4" t="s">
        <v>9</v>
      </c>
    </row>
    <row r="6" spans="1:7" x14ac:dyDescent="0.25">
      <c r="A6" t="s">
        <v>10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</row>
    <row r="7" spans="1:7" x14ac:dyDescent="0.25">
      <c r="A7" t="str">
        <f>"000000588"</f>
        <v>000000588</v>
      </c>
      <c r="B7" t="str">
        <f>"1891710323"</f>
        <v>1891710323</v>
      </c>
      <c r="C7" t="str">
        <f>"367500000X"</f>
        <v>367500000X</v>
      </c>
      <c r="D7" t="str">
        <f>"PAGE                     GREGORY                  "</f>
        <v xml:space="preserve">PAGE                     GREGORY                  </v>
      </c>
      <c r="E7" t="str">
        <f>"BIRMINGHAM                "</f>
        <v xml:space="preserve">BIRMINGHAM                </v>
      </c>
      <c r="F7" t="str">
        <f t="shared" ref="F7:F70" si="0">"AL"</f>
        <v>AL</v>
      </c>
    </row>
    <row r="8" spans="1:7" x14ac:dyDescent="0.25">
      <c r="A8" t="str">
        <f>"000000827"</f>
        <v>000000827</v>
      </c>
      <c r="B8" t="str">
        <f>"1891275236"</f>
        <v>1891275236</v>
      </c>
      <c r="C8" t="str">
        <f>"363L00000X"</f>
        <v>363L00000X</v>
      </c>
      <c r="D8" t="str">
        <f>"VARLEY                   AMANDA       K           "</f>
        <v xml:space="preserve">VARLEY                   AMANDA       K           </v>
      </c>
      <c r="E8" t="str">
        <f>"BIRMINGHAM                "</f>
        <v xml:space="preserve">BIRMINGHAM                </v>
      </c>
      <c r="F8" t="str">
        <f t="shared" si="0"/>
        <v>AL</v>
      </c>
    </row>
    <row r="9" spans="1:7" x14ac:dyDescent="0.25">
      <c r="A9" t="str">
        <f>"000011059"</f>
        <v>000011059</v>
      </c>
      <c r="B9" t="str">
        <f>"1528012226"</f>
        <v>1528012226</v>
      </c>
      <c r="C9" t="str">
        <f>"208600000X"</f>
        <v>208600000X</v>
      </c>
      <c r="D9" t="str">
        <f>"DYESS                    DONNA        L           "</f>
        <v xml:space="preserve">DYESS                    DONNA        L           </v>
      </c>
      <c r="E9" t="str">
        <f>"MOBILE                    "</f>
        <v xml:space="preserve">MOBILE                    </v>
      </c>
      <c r="F9" t="str">
        <f t="shared" si="0"/>
        <v>AL</v>
      </c>
    </row>
    <row r="10" spans="1:7" x14ac:dyDescent="0.25">
      <c r="A10" t="str">
        <f>"000013139"</f>
        <v>000013139</v>
      </c>
      <c r="B10" t="str">
        <f>"1881776078"</f>
        <v>1881776078</v>
      </c>
      <c r="C10" t="str">
        <f>"207R00000X"</f>
        <v>207R00000X</v>
      </c>
      <c r="D10" t="str">
        <f>"MITCHELL                 IRA          L           "</f>
        <v xml:space="preserve">MITCHELL                 IRA          L           </v>
      </c>
      <c r="E10" t="str">
        <f>"FLORENCE                  "</f>
        <v xml:space="preserve">FLORENCE                  </v>
      </c>
      <c r="F10" t="str">
        <f t="shared" si="0"/>
        <v>AL</v>
      </c>
    </row>
    <row r="11" spans="1:7" x14ac:dyDescent="0.25">
      <c r="A11" t="str">
        <f>"000014750"</f>
        <v>000014750</v>
      </c>
      <c r="B11" t="str">
        <f>"1295783181"</f>
        <v>1295783181</v>
      </c>
      <c r="C11" t="str">
        <f>"207RG0100X"</f>
        <v>207RG0100X</v>
      </c>
      <c r="D11" t="str">
        <f>"LERNER                   ROBERT       D           "</f>
        <v xml:space="preserve">LERNER                   ROBERT       D           </v>
      </c>
      <c r="E11" t="str">
        <f t="shared" ref="E11:E19" si="1">"MOBILE                    "</f>
        <v xml:space="preserve">MOBILE                    </v>
      </c>
      <c r="F11" t="str">
        <f t="shared" si="0"/>
        <v>AL</v>
      </c>
    </row>
    <row r="12" spans="1:7" x14ac:dyDescent="0.25">
      <c r="A12" t="str">
        <f>"000016484"</f>
        <v>000016484</v>
      </c>
      <c r="B12" t="str">
        <f>"1750369468"</f>
        <v>1750369468</v>
      </c>
      <c r="C12" t="str">
        <f>"2080P0206X"</f>
        <v>2080P0206X</v>
      </c>
      <c r="D12" t="str">
        <f>"GREMSE                   DAVID        A           "</f>
        <v xml:space="preserve">GREMSE                   DAVID        A           </v>
      </c>
      <c r="E12" t="str">
        <f t="shared" si="1"/>
        <v xml:space="preserve">MOBILE                    </v>
      </c>
      <c r="F12" t="str">
        <f t="shared" si="0"/>
        <v>AL</v>
      </c>
    </row>
    <row r="13" spans="1:7" x14ac:dyDescent="0.25">
      <c r="A13" t="str">
        <f>"000016520"</f>
        <v>000016520</v>
      </c>
      <c r="B13" t="str">
        <f>"1639220270"</f>
        <v>1639220270</v>
      </c>
      <c r="C13" t="str">
        <f>"207P00000X"</f>
        <v>207P00000X</v>
      </c>
      <c r="D13" t="str">
        <f>"LUCAS                    ERIC         D           "</f>
        <v xml:space="preserve">LUCAS                    ERIC         D           </v>
      </c>
      <c r="E13" t="str">
        <f t="shared" si="1"/>
        <v xml:space="preserve">MOBILE                    </v>
      </c>
      <c r="F13" t="str">
        <f t="shared" si="0"/>
        <v>AL</v>
      </c>
    </row>
    <row r="14" spans="1:7" x14ac:dyDescent="0.25">
      <c r="A14" t="str">
        <f>"000017765"</f>
        <v>000017765</v>
      </c>
      <c r="B14" t="str">
        <f>"1922043421"</f>
        <v>1922043421</v>
      </c>
      <c r="C14" t="str">
        <f>"2084N0400X"</f>
        <v>2084N0400X</v>
      </c>
      <c r="D14" t="str">
        <f>"CHALHUB                  ELIAS        G           "</f>
        <v xml:space="preserve">CHALHUB                  ELIAS        G           </v>
      </c>
      <c r="E14" t="str">
        <f t="shared" si="1"/>
        <v xml:space="preserve">MOBILE                    </v>
      </c>
      <c r="F14" t="str">
        <f t="shared" si="0"/>
        <v>AL</v>
      </c>
    </row>
    <row r="15" spans="1:7" x14ac:dyDescent="0.25">
      <c r="A15" t="str">
        <f>"000017940"</f>
        <v>000017940</v>
      </c>
      <c r="B15" t="str">
        <f>"1912951195"</f>
        <v>1912951195</v>
      </c>
      <c r="C15" t="str">
        <f>"2084N0402X"</f>
        <v>2084N0402X</v>
      </c>
      <c r="D15" t="str">
        <f>"MAERTENS                 PAUL                     "</f>
        <v xml:space="preserve">MAERTENS                 PAUL                     </v>
      </c>
      <c r="E15" t="str">
        <f t="shared" si="1"/>
        <v xml:space="preserve">MOBILE                    </v>
      </c>
      <c r="F15" t="str">
        <f t="shared" si="0"/>
        <v>AL</v>
      </c>
    </row>
    <row r="16" spans="1:7" x14ac:dyDescent="0.25">
      <c r="A16" t="str">
        <f>"000018039"</f>
        <v>000018039</v>
      </c>
      <c r="B16" t="str">
        <f>"1851340806"</f>
        <v>1851340806</v>
      </c>
      <c r="C16" t="str">
        <f>"2084N0400X"</f>
        <v>2084N0400X</v>
      </c>
      <c r="D16" t="str">
        <f>"BASSAM                   BASSAM       A           "</f>
        <v xml:space="preserve">BASSAM                   BASSAM       A           </v>
      </c>
      <c r="E16" t="str">
        <f t="shared" si="1"/>
        <v xml:space="preserve">MOBILE                    </v>
      </c>
      <c r="F16" t="str">
        <f t="shared" si="0"/>
        <v>AL</v>
      </c>
    </row>
    <row r="17" spans="1:6" x14ac:dyDescent="0.25">
      <c r="A17" t="str">
        <f>"000018680"</f>
        <v>000018680</v>
      </c>
      <c r="B17" t="str">
        <f>"1073567293"</f>
        <v>1073567293</v>
      </c>
      <c r="C17" t="str">
        <f>"207ZP0213X"</f>
        <v>207ZP0213X</v>
      </c>
      <c r="D17" t="str">
        <f>"MANCI                    ELIZABETH    A           "</f>
        <v xml:space="preserve">MANCI                    ELIZABETH    A           </v>
      </c>
      <c r="E17" t="str">
        <f t="shared" si="1"/>
        <v xml:space="preserve">MOBILE                    </v>
      </c>
      <c r="F17" t="str">
        <f t="shared" si="0"/>
        <v>AL</v>
      </c>
    </row>
    <row r="18" spans="1:6" x14ac:dyDescent="0.25">
      <c r="A18" t="str">
        <f>"000019514"</f>
        <v>000019514</v>
      </c>
      <c r="B18" t="str">
        <f>"1053350710"</f>
        <v>1053350710</v>
      </c>
      <c r="C18" t="str">
        <f>"208600000X"</f>
        <v>208600000X</v>
      </c>
      <c r="D18" t="str">
        <f>"SILVER                   FREDERICK    M           "</f>
        <v xml:space="preserve">SILVER                   FREDERICK    M           </v>
      </c>
      <c r="E18" t="str">
        <f t="shared" si="1"/>
        <v xml:space="preserve">MOBILE                    </v>
      </c>
      <c r="F18" t="str">
        <f t="shared" si="0"/>
        <v>AL</v>
      </c>
    </row>
    <row r="19" spans="1:6" x14ac:dyDescent="0.25">
      <c r="A19" t="str">
        <f>"000022064"</f>
        <v>000022064</v>
      </c>
      <c r="B19" t="str">
        <f>"1346689163"</f>
        <v>1346689163</v>
      </c>
      <c r="C19" t="str">
        <f>"207RG0100X"</f>
        <v>207RG0100X</v>
      </c>
      <c r="D19" t="str">
        <f>"NILAND                   BENJAMIN     R           "</f>
        <v xml:space="preserve">NILAND                   BENJAMIN     R           </v>
      </c>
      <c r="E19" t="str">
        <f t="shared" si="1"/>
        <v xml:space="preserve">MOBILE                    </v>
      </c>
      <c r="F19" t="str">
        <f t="shared" si="0"/>
        <v>AL</v>
      </c>
    </row>
    <row r="20" spans="1:6" x14ac:dyDescent="0.25">
      <c r="A20" t="str">
        <f>"000024516"</f>
        <v>000024516</v>
      </c>
      <c r="B20" t="str">
        <f>"1376896662"</f>
        <v>1376896662</v>
      </c>
      <c r="C20" t="str">
        <f>"363L00000X"</f>
        <v>363L00000X</v>
      </c>
      <c r="D20" t="str">
        <f>"RIDGEL                   CASSANDRA    W           "</f>
        <v xml:space="preserve">RIDGEL                   CASSANDRA    W           </v>
      </c>
      <c r="E20" t="str">
        <f>"BIRMINGHAM                "</f>
        <v xml:space="preserve">BIRMINGHAM                </v>
      </c>
      <c r="F20" t="str">
        <f t="shared" si="0"/>
        <v>AL</v>
      </c>
    </row>
    <row r="21" spans="1:6" x14ac:dyDescent="0.25">
      <c r="A21" t="str">
        <f>"000054385"</f>
        <v>000054385</v>
      </c>
      <c r="B21" t="str">
        <f>"1003223603"</f>
        <v>1003223603</v>
      </c>
      <c r="C21" t="str">
        <f>"207L00000X"</f>
        <v>207L00000X</v>
      </c>
      <c r="D21" t="str">
        <f>"KARUKAPPADATH            RIAZ         M           "</f>
        <v xml:space="preserve">KARUKAPPADATH            RIAZ         M           </v>
      </c>
      <c r="E21" t="str">
        <f>"BIRMINGHAM                "</f>
        <v xml:space="preserve">BIRMINGHAM                </v>
      </c>
      <c r="F21" t="str">
        <f t="shared" si="0"/>
        <v>AL</v>
      </c>
    </row>
    <row r="22" spans="1:6" x14ac:dyDescent="0.25">
      <c r="A22" t="str">
        <f>"000083533"</f>
        <v>000083533</v>
      </c>
      <c r="B22" t="str">
        <f>"1861831067"</f>
        <v>1861831067</v>
      </c>
      <c r="C22" t="str">
        <f>"207RC0000X"</f>
        <v>207RC0000X</v>
      </c>
      <c r="D22" t="str">
        <f>"GLADDEN                  JAMES        D           "</f>
        <v xml:space="preserve">GLADDEN                  JAMES        D           </v>
      </c>
      <c r="E22" t="str">
        <f>"MOBILE                    "</f>
        <v xml:space="preserve">MOBILE                    </v>
      </c>
      <c r="F22" t="str">
        <f t="shared" si="0"/>
        <v>AL</v>
      </c>
    </row>
    <row r="23" spans="1:6" x14ac:dyDescent="0.25">
      <c r="A23" t="str">
        <f>"000110688"</f>
        <v>000110688</v>
      </c>
      <c r="B23" t="str">
        <f>"1851387575"</f>
        <v>1851387575</v>
      </c>
      <c r="C23" t="str">
        <f>"207Q00000X"</f>
        <v>207Q00000X</v>
      </c>
      <c r="D23" t="str">
        <f>"FABIANKE                 RAYNARD      G           "</f>
        <v xml:space="preserve">FABIANKE                 RAYNARD      G           </v>
      </c>
      <c r="E23" t="str">
        <f>"RED BAY                   "</f>
        <v xml:space="preserve">RED BAY                   </v>
      </c>
      <c r="F23" t="str">
        <f t="shared" si="0"/>
        <v>AL</v>
      </c>
    </row>
    <row r="24" spans="1:6" x14ac:dyDescent="0.25">
      <c r="A24" t="str">
        <f>"000111185"</f>
        <v>000111185</v>
      </c>
      <c r="B24" t="str">
        <f>"1114966694"</f>
        <v>1114966694</v>
      </c>
      <c r="C24" t="str">
        <f>"2080P0207X"</f>
        <v>2080P0207X</v>
      </c>
      <c r="D24" t="str">
        <f>"WILSON                   FELICIA      M           "</f>
        <v xml:space="preserve">WILSON                   FELICIA      M           </v>
      </c>
      <c r="E24" t="str">
        <f>"MOBILE                    "</f>
        <v xml:space="preserve">MOBILE                    </v>
      </c>
      <c r="F24" t="str">
        <f t="shared" si="0"/>
        <v>AL</v>
      </c>
    </row>
    <row r="25" spans="1:6" x14ac:dyDescent="0.25">
      <c r="A25" t="str">
        <f>"000111730"</f>
        <v>000111730</v>
      </c>
      <c r="B25" t="str">
        <f>"1659325116"</f>
        <v>1659325116</v>
      </c>
      <c r="C25" t="str">
        <f>"208D00000X"</f>
        <v>208D00000X</v>
      </c>
      <c r="D25" t="str">
        <f>"ESTRADA                  BENJAMIN                 "</f>
        <v xml:space="preserve">ESTRADA                  BENJAMIN                 </v>
      </c>
      <c r="E25" t="str">
        <f>"MOBILE                    "</f>
        <v xml:space="preserve">MOBILE                    </v>
      </c>
      <c r="F25" t="str">
        <f t="shared" si="0"/>
        <v>AL</v>
      </c>
    </row>
    <row r="26" spans="1:6" x14ac:dyDescent="0.25">
      <c r="A26" t="str">
        <f>"000114487"</f>
        <v>000114487</v>
      </c>
      <c r="B26" t="str">
        <f>"1407967771"</f>
        <v>1407967771</v>
      </c>
      <c r="C26" t="str">
        <f>"207R00000X"</f>
        <v>207R00000X</v>
      </c>
      <c r="D26" t="str">
        <f>"CRUTCHER, JR.            COLIE        E           "</f>
        <v xml:space="preserve">CRUTCHER, JR.            COLIE        E           </v>
      </c>
      <c r="E26" t="str">
        <f>"YORK                      "</f>
        <v xml:space="preserve">YORK                      </v>
      </c>
      <c r="F26" t="str">
        <f t="shared" si="0"/>
        <v>AL</v>
      </c>
    </row>
    <row r="27" spans="1:6" x14ac:dyDescent="0.25">
      <c r="A27" t="str">
        <f>"000114660"</f>
        <v>000114660</v>
      </c>
      <c r="B27" t="str">
        <f>"1477556074"</f>
        <v>1477556074</v>
      </c>
      <c r="C27" t="str">
        <f>"2085R0202X"</f>
        <v>2085R0202X</v>
      </c>
      <c r="D27" t="str">
        <f>"MARTINDALE               GEORGE       H           "</f>
        <v xml:space="preserve">MARTINDALE               GEORGE       H           </v>
      </c>
      <c r="E27" t="str">
        <f t="shared" ref="E27:E34" si="2">"MOBILE                    "</f>
        <v xml:space="preserve">MOBILE                    </v>
      </c>
      <c r="F27" t="str">
        <f t="shared" si="0"/>
        <v>AL</v>
      </c>
    </row>
    <row r="28" spans="1:6" x14ac:dyDescent="0.25">
      <c r="A28" t="str">
        <f>"000114886"</f>
        <v>000114886</v>
      </c>
      <c r="B28" t="str">
        <f>"1396799805"</f>
        <v>1396799805</v>
      </c>
      <c r="C28" t="str">
        <f>"2080N0001X"</f>
        <v>2080N0001X</v>
      </c>
      <c r="D28" t="str">
        <f>"EYAL                     FABIEN                   "</f>
        <v xml:space="preserve">EYAL                     FABIEN                   </v>
      </c>
      <c r="E28" t="str">
        <f t="shared" si="2"/>
        <v xml:space="preserve">MOBILE                    </v>
      </c>
      <c r="F28" t="str">
        <f t="shared" si="0"/>
        <v>AL</v>
      </c>
    </row>
    <row r="29" spans="1:6" x14ac:dyDescent="0.25">
      <c r="A29" t="str">
        <f>"000115559"</f>
        <v>000115559</v>
      </c>
      <c r="B29" t="str">
        <f>"1902887615"</f>
        <v>1902887615</v>
      </c>
      <c r="C29" t="str">
        <f>"2085R0202X"</f>
        <v>2085R0202X</v>
      </c>
      <c r="D29" t="str">
        <f>"TART                     ROGER        P           "</f>
        <v xml:space="preserve">TART                     ROGER        P           </v>
      </c>
      <c r="E29" t="str">
        <f t="shared" si="2"/>
        <v xml:space="preserve">MOBILE                    </v>
      </c>
      <c r="F29" t="str">
        <f t="shared" si="0"/>
        <v>AL</v>
      </c>
    </row>
    <row r="30" spans="1:6" x14ac:dyDescent="0.25">
      <c r="A30" t="str">
        <f>"000115739"</f>
        <v>000115739</v>
      </c>
      <c r="B30" t="str">
        <f>"1801877543"</f>
        <v>1801877543</v>
      </c>
      <c r="C30" t="str">
        <f>"2085R0202X"</f>
        <v>2085R0202X</v>
      </c>
      <c r="D30" t="str">
        <f>"MCCASLIN                 MARK         D           "</f>
        <v xml:space="preserve">MCCASLIN                 MARK         D           </v>
      </c>
      <c r="E30" t="str">
        <f t="shared" si="2"/>
        <v xml:space="preserve">MOBILE                    </v>
      </c>
      <c r="F30" t="str">
        <f t="shared" si="0"/>
        <v>AL</v>
      </c>
    </row>
    <row r="31" spans="1:6" x14ac:dyDescent="0.25">
      <c r="A31" t="str">
        <f>"000115810"</f>
        <v>000115810</v>
      </c>
      <c r="B31" t="str">
        <f>"1376633636"</f>
        <v>1376633636</v>
      </c>
      <c r="C31" t="str">
        <f>"207P00000X"</f>
        <v>207P00000X</v>
      </c>
      <c r="D31" t="str">
        <f>"STERNBERG                MICHAEL      L           "</f>
        <v xml:space="preserve">STERNBERG                MICHAEL      L           </v>
      </c>
      <c r="E31" t="str">
        <f t="shared" si="2"/>
        <v xml:space="preserve">MOBILE                    </v>
      </c>
      <c r="F31" t="str">
        <f t="shared" si="0"/>
        <v>AL</v>
      </c>
    </row>
    <row r="32" spans="1:6" x14ac:dyDescent="0.25">
      <c r="A32" t="str">
        <f>"000115915"</f>
        <v>000115915</v>
      </c>
      <c r="B32" t="str">
        <f>"1104807825"</f>
        <v>1104807825</v>
      </c>
      <c r="C32" t="str">
        <f>"2085R0202X"</f>
        <v>2085R0202X</v>
      </c>
      <c r="D32" t="str">
        <f>"RENZ                     JOHN         T           "</f>
        <v xml:space="preserve">RENZ                     JOHN         T           </v>
      </c>
      <c r="E32" t="str">
        <f t="shared" si="2"/>
        <v xml:space="preserve">MOBILE                    </v>
      </c>
      <c r="F32" t="str">
        <f t="shared" si="0"/>
        <v>AL</v>
      </c>
    </row>
    <row r="33" spans="1:6" x14ac:dyDescent="0.25">
      <c r="A33" t="str">
        <f>"000116712"</f>
        <v>000116712</v>
      </c>
      <c r="B33" t="str">
        <f>"1336234467"</f>
        <v>1336234467</v>
      </c>
      <c r="C33" t="str">
        <f>"207L00000X"</f>
        <v>207L00000X</v>
      </c>
      <c r="D33" t="str">
        <f>"VARMA                    JYOTSNA                  "</f>
        <v xml:space="preserve">VARMA                    JYOTSNA                  </v>
      </c>
      <c r="E33" t="str">
        <f t="shared" si="2"/>
        <v xml:space="preserve">MOBILE                    </v>
      </c>
      <c r="F33" t="str">
        <f t="shared" si="0"/>
        <v>AL</v>
      </c>
    </row>
    <row r="34" spans="1:6" x14ac:dyDescent="0.25">
      <c r="A34" t="str">
        <f>"000116740"</f>
        <v>000116740</v>
      </c>
      <c r="B34" t="str">
        <f>"1891047056"</f>
        <v>1891047056</v>
      </c>
      <c r="C34" t="str">
        <f>"207V00000X"</f>
        <v>207V00000X</v>
      </c>
      <c r="D34" t="str">
        <f>"ROTH                     TRACY        Y           "</f>
        <v xml:space="preserve">ROTH                     TRACY        Y           </v>
      </c>
      <c r="E34" t="str">
        <f t="shared" si="2"/>
        <v xml:space="preserve">MOBILE                    </v>
      </c>
      <c r="F34" t="str">
        <f t="shared" si="0"/>
        <v>AL</v>
      </c>
    </row>
    <row r="35" spans="1:6" x14ac:dyDescent="0.25">
      <c r="A35" t="str">
        <f>"000116887"</f>
        <v>000116887</v>
      </c>
      <c r="B35" t="str">
        <f>"1114958832"</f>
        <v>1114958832</v>
      </c>
      <c r="C35" t="str">
        <f>"2085R0202X"</f>
        <v>2085R0202X</v>
      </c>
      <c r="D35" t="str">
        <f>"MORGAN                   DESIREE                  "</f>
        <v xml:space="preserve">MORGAN                   DESIREE                  </v>
      </c>
      <c r="E35" t="str">
        <f>"BIRMINGHAM                "</f>
        <v xml:space="preserve">BIRMINGHAM                </v>
      </c>
      <c r="F35" t="str">
        <f t="shared" si="0"/>
        <v>AL</v>
      </c>
    </row>
    <row r="36" spans="1:6" x14ac:dyDescent="0.25">
      <c r="A36" t="str">
        <f>"000117087"</f>
        <v>000117087</v>
      </c>
      <c r="B36" t="str">
        <f>"1346265535"</f>
        <v>1346265535</v>
      </c>
      <c r="C36" t="str">
        <f>"2085R0202X"</f>
        <v>2085R0202X</v>
      </c>
      <c r="D36" t="str">
        <f>"ROBBIN                   MICHELLE     L           "</f>
        <v xml:space="preserve">ROBBIN                   MICHELLE     L           </v>
      </c>
      <c r="E36" t="str">
        <f>"BIRMINGHAM                "</f>
        <v xml:space="preserve">BIRMINGHAM                </v>
      </c>
      <c r="F36" t="str">
        <f t="shared" si="0"/>
        <v>AL</v>
      </c>
    </row>
    <row r="37" spans="1:6" x14ac:dyDescent="0.25">
      <c r="A37" t="str">
        <f>"000117461"</f>
        <v>000117461</v>
      </c>
      <c r="B37" t="str">
        <f>"1730133570"</f>
        <v>1730133570</v>
      </c>
      <c r="C37" t="str">
        <f>"2085R0202X"</f>
        <v>2085R0202X</v>
      </c>
      <c r="D37" t="str">
        <f>"FIGAROLA                 MARIA        S           "</f>
        <v xml:space="preserve">FIGAROLA                 MARIA        S           </v>
      </c>
      <c r="E37" t="str">
        <f>"MOBILE                    "</f>
        <v xml:space="preserve">MOBILE                    </v>
      </c>
      <c r="F37" t="str">
        <f t="shared" si="0"/>
        <v>AL</v>
      </c>
    </row>
    <row r="38" spans="1:6" x14ac:dyDescent="0.25">
      <c r="A38" t="str">
        <f>"000118042"</f>
        <v>000118042</v>
      </c>
      <c r="B38" t="str">
        <f>"1366472797"</f>
        <v>1366472797</v>
      </c>
      <c r="C38" t="str">
        <f>"207L00000X"</f>
        <v>207L00000X</v>
      </c>
      <c r="D38" t="str">
        <f>"MOORE II                 THOMAS       A           "</f>
        <v xml:space="preserve">MOORE II                 THOMAS       A           </v>
      </c>
      <c r="E38" t="str">
        <f>"BIRMINGHAM                "</f>
        <v xml:space="preserve">BIRMINGHAM                </v>
      </c>
      <c r="F38" t="str">
        <f t="shared" si="0"/>
        <v>AL</v>
      </c>
    </row>
    <row r="39" spans="1:6" x14ac:dyDescent="0.25">
      <c r="A39" t="str">
        <f>"000118320"</f>
        <v>000118320</v>
      </c>
      <c r="B39" t="str">
        <f>"1811990765"</f>
        <v>1811990765</v>
      </c>
      <c r="C39" t="str">
        <f>"207Y00000X"</f>
        <v>207Y00000X</v>
      </c>
      <c r="D39" t="str">
        <f>"CROCKER                  PERCY        V           "</f>
        <v xml:space="preserve">CROCKER                  PERCY        V           </v>
      </c>
      <c r="E39" t="str">
        <f>"MOBILE                    "</f>
        <v xml:space="preserve">MOBILE                    </v>
      </c>
      <c r="F39" t="str">
        <f t="shared" si="0"/>
        <v>AL</v>
      </c>
    </row>
    <row r="40" spans="1:6" x14ac:dyDescent="0.25">
      <c r="A40" t="str">
        <f>"000118475"</f>
        <v>000118475</v>
      </c>
      <c r="B40" t="str">
        <f>"1952386641"</f>
        <v>1952386641</v>
      </c>
      <c r="C40" t="str">
        <f>"207R00000X"</f>
        <v>207R00000X</v>
      </c>
      <c r="D40" t="str">
        <f>"TRAVIS                   PHILIP       S           "</f>
        <v xml:space="preserve">TRAVIS                   PHILIP       S           </v>
      </c>
      <c r="E40" t="str">
        <f>"MOBILE                    "</f>
        <v xml:space="preserve">MOBILE                    </v>
      </c>
      <c r="F40" t="str">
        <f t="shared" si="0"/>
        <v>AL</v>
      </c>
    </row>
    <row r="41" spans="1:6" x14ac:dyDescent="0.25">
      <c r="A41" t="str">
        <f>"000118750"</f>
        <v>000118750</v>
      </c>
      <c r="B41" t="str">
        <f>"1003870494"</f>
        <v>1003870494</v>
      </c>
      <c r="C41" t="str">
        <f>"207R00000X"</f>
        <v>207R00000X</v>
      </c>
      <c r="D41" t="str">
        <f>"ROMERO                   CESAR                    "</f>
        <v xml:space="preserve">ROMERO                   CESAR                    </v>
      </c>
      <c r="E41" t="str">
        <f>"HAMILTON                  "</f>
        <v xml:space="preserve">HAMILTON                  </v>
      </c>
      <c r="F41" t="str">
        <f t="shared" si="0"/>
        <v>AL</v>
      </c>
    </row>
    <row r="42" spans="1:6" x14ac:dyDescent="0.25">
      <c r="A42" t="str">
        <f>"000118797"</f>
        <v>000118797</v>
      </c>
      <c r="B42" t="str">
        <f>"1477539096"</f>
        <v>1477539096</v>
      </c>
      <c r="C42" t="str">
        <f>"207RN0300X"</f>
        <v>207RN0300X</v>
      </c>
      <c r="D42" t="str">
        <f>"GAINES                   RONALD       L           "</f>
        <v xml:space="preserve">GAINES                   RONALD       L           </v>
      </c>
      <c r="E42" t="str">
        <f>"MOBILE                    "</f>
        <v xml:space="preserve">MOBILE                    </v>
      </c>
      <c r="F42" t="str">
        <f t="shared" si="0"/>
        <v>AL</v>
      </c>
    </row>
    <row r="43" spans="1:6" x14ac:dyDescent="0.25">
      <c r="A43" t="str">
        <f>"000119248"</f>
        <v>000119248</v>
      </c>
      <c r="B43" t="str">
        <f>"1669488292"</f>
        <v>1669488292</v>
      </c>
      <c r="C43" t="str">
        <f>"207L00000X"</f>
        <v>207L00000X</v>
      </c>
      <c r="D43" t="str">
        <f>"SAKAWI                   YASSER                   "</f>
        <v xml:space="preserve">SAKAWI                   YASSER                   </v>
      </c>
      <c r="E43" t="str">
        <f>"BIRMINGHAM                "</f>
        <v xml:space="preserve">BIRMINGHAM                </v>
      </c>
      <c r="F43" t="str">
        <f t="shared" si="0"/>
        <v>AL</v>
      </c>
    </row>
    <row r="44" spans="1:6" x14ac:dyDescent="0.25">
      <c r="A44" t="str">
        <f>"000119365"</f>
        <v>000119365</v>
      </c>
      <c r="B44" t="str">
        <f>"1003866005"</f>
        <v>1003866005</v>
      </c>
      <c r="C44" t="str">
        <f>"208000000X"</f>
        <v>208000000X</v>
      </c>
      <c r="D44" t="str">
        <f>"CREWS                    LADONNA      M           "</f>
        <v xml:space="preserve">CREWS                    LADONNA      M           </v>
      </c>
      <c r="E44" t="str">
        <f t="shared" ref="E44:E51" si="3">"MOBILE                    "</f>
        <v xml:space="preserve">MOBILE                    </v>
      </c>
      <c r="F44" t="str">
        <f t="shared" si="0"/>
        <v>AL</v>
      </c>
    </row>
    <row r="45" spans="1:6" x14ac:dyDescent="0.25">
      <c r="A45" t="str">
        <f>"000119955"</f>
        <v>000119955</v>
      </c>
      <c r="B45" t="str">
        <f>"1558423756"</f>
        <v>1558423756</v>
      </c>
      <c r="C45" t="str">
        <f>"207VM0101X"</f>
        <v>207VM0101X</v>
      </c>
      <c r="D45" t="str">
        <f>"MUNN                     MARY         B           "</f>
        <v xml:space="preserve">MUNN                     MARY         B           </v>
      </c>
      <c r="E45" t="str">
        <f t="shared" si="3"/>
        <v xml:space="preserve">MOBILE                    </v>
      </c>
      <c r="F45" t="str">
        <f t="shared" si="0"/>
        <v>AL</v>
      </c>
    </row>
    <row r="46" spans="1:6" x14ac:dyDescent="0.25">
      <c r="A46" t="str">
        <f>"000120071"</f>
        <v>000120071</v>
      </c>
      <c r="B46" t="str">
        <f>"1457305229"</f>
        <v>1457305229</v>
      </c>
      <c r="C46" t="str">
        <f>"207RX0202X"</f>
        <v>207RX0202X</v>
      </c>
      <c r="D46" t="str">
        <f>"ANGEL                    NICOLE       L           "</f>
        <v xml:space="preserve">ANGEL                    NICOLE       L           </v>
      </c>
      <c r="E46" t="str">
        <f t="shared" si="3"/>
        <v xml:space="preserve">MOBILE                    </v>
      </c>
      <c r="F46" t="str">
        <f t="shared" si="0"/>
        <v>AL</v>
      </c>
    </row>
    <row r="47" spans="1:6" x14ac:dyDescent="0.25">
      <c r="A47" t="str">
        <f>"000120643"</f>
        <v>000120643</v>
      </c>
      <c r="B47" t="str">
        <f>"1588637649"</f>
        <v>1588637649</v>
      </c>
      <c r="C47" t="str">
        <f>"207W00000X"</f>
        <v>207W00000X</v>
      </c>
      <c r="D47" t="str">
        <f>"WEAVER                   YAFFA        K           "</f>
        <v xml:space="preserve">WEAVER                   YAFFA        K           </v>
      </c>
      <c r="E47" t="str">
        <f t="shared" si="3"/>
        <v xml:space="preserve">MOBILE                    </v>
      </c>
      <c r="F47" t="str">
        <f t="shared" si="0"/>
        <v>AL</v>
      </c>
    </row>
    <row r="48" spans="1:6" x14ac:dyDescent="0.25">
      <c r="A48" t="str">
        <f>"000121124"</f>
        <v>000121124</v>
      </c>
      <c r="B48" t="str">
        <f>"1114905429"</f>
        <v>1114905429</v>
      </c>
      <c r="C48" t="str">
        <f>"207RC0000X"</f>
        <v>207RC0000X</v>
      </c>
      <c r="D48" t="str">
        <f>"ALFORD                   CHAD         M           "</f>
        <v xml:space="preserve">ALFORD                   CHAD         M           </v>
      </c>
      <c r="E48" t="str">
        <f t="shared" si="3"/>
        <v xml:space="preserve">MOBILE                    </v>
      </c>
      <c r="F48" t="str">
        <f t="shared" si="0"/>
        <v>AL</v>
      </c>
    </row>
    <row r="49" spans="1:6" x14ac:dyDescent="0.25">
      <c r="A49" t="str">
        <f>"000121889"</f>
        <v>000121889</v>
      </c>
      <c r="B49" t="str">
        <f>"1215981923"</f>
        <v>1215981923</v>
      </c>
      <c r="C49" t="str">
        <f>"2080P0203X"</f>
        <v>2080P0203X</v>
      </c>
      <c r="D49" t="str">
        <f>"FALKOS                   SHERYL       A           "</f>
        <v xml:space="preserve">FALKOS                   SHERYL       A           </v>
      </c>
      <c r="E49" t="str">
        <f t="shared" si="3"/>
        <v xml:space="preserve">MOBILE                    </v>
      </c>
      <c r="F49" t="str">
        <f t="shared" si="0"/>
        <v>AL</v>
      </c>
    </row>
    <row r="50" spans="1:6" x14ac:dyDescent="0.25">
      <c r="A50" t="str">
        <f>"000121911"</f>
        <v>000121911</v>
      </c>
      <c r="B50" t="str">
        <f>"1215988696"</f>
        <v>1215988696</v>
      </c>
      <c r="C50" t="str">
        <f>"207ZP0102X"</f>
        <v>207ZP0102X</v>
      </c>
      <c r="D50" t="str">
        <f>"CARTER                   JAMES        E           "</f>
        <v xml:space="preserve">CARTER                   JAMES        E           </v>
      </c>
      <c r="E50" t="str">
        <f t="shared" si="3"/>
        <v xml:space="preserve">MOBILE                    </v>
      </c>
      <c r="F50" t="str">
        <f t="shared" si="0"/>
        <v>AL</v>
      </c>
    </row>
    <row r="51" spans="1:6" x14ac:dyDescent="0.25">
      <c r="A51" t="str">
        <f>"000122019"</f>
        <v>000122019</v>
      </c>
      <c r="B51" t="str">
        <f>"1144223645"</f>
        <v>1144223645</v>
      </c>
      <c r="C51" t="str">
        <f>"2085R0202X"</f>
        <v>2085R0202X</v>
      </c>
      <c r="D51" t="str">
        <f>"BATTEN                   KENNETH      D           "</f>
        <v xml:space="preserve">BATTEN                   KENNETH      D           </v>
      </c>
      <c r="E51" t="str">
        <f t="shared" si="3"/>
        <v xml:space="preserve">MOBILE                    </v>
      </c>
      <c r="F51" t="str">
        <f t="shared" si="0"/>
        <v>AL</v>
      </c>
    </row>
    <row r="52" spans="1:6" x14ac:dyDescent="0.25">
      <c r="A52" t="str">
        <f>"000122324"</f>
        <v>000122324</v>
      </c>
      <c r="B52" t="str">
        <f>"1336179688"</f>
        <v>1336179688</v>
      </c>
      <c r="C52" t="str">
        <f>"207RG0100X"</f>
        <v>207RG0100X</v>
      </c>
      <c r="D52" t="str">
        <f>"MCGUIRE                  BRENDAN      M           "</f>
        <v xml:space="preserve">MCGUIRE                  BRENDAN      M           </v>
      </c>
      <c r="E52" t="str">
        <f>"BIRMINGHAM                "</f>
        <v xml:space="preserve">BIRMINGHAM                </v>
      </c>
      <c r="F52" t="str">
        <f t="shared" si="0"/>
        <v>AL</v>
      </c>
    </row>
    <row r="53" spans="1:6" x14ac:dyDescent="0.25">
      <c r="A53" t="str">
        <f>"000122325"</f>
        <v>000122325</v>
      </c>
      <c r="B53" t="str">
        <f>"1760437727"</f>
        <v>1760437727</v>
      </c>
      <c r="C53" t="str">
        <f>"207ZP0105X"</f>
        <v>207ZP0105X</v>
      </c>
      <c r="D53" t="str">
        <f>"POLSKI                   JACEK        M           "</f>
        <v xml:space="preserve">POLSKI                   JACEK        M           </v>
      </c>
      <c r="E53" t="str">
        <f>"MOBILE                    "</f>
        <v xml:space="preserve">MOBILE                    </v>
      </c>
      <c r="F53" t="str">
        <f t="shared" si="0"/>
        <v>AL</v>
      </c>
    </row>
    <row r="54" spans="1:6" x14ac:dyDescent="0.25">
      <c r="A54" t="str">
        <f>"000122563"</f>
        <v>000122563</v>
      </c>
      <c r="B54" t="str">
        <f>"1518914803"</f>
        <v>1518914803</v>
      </c>
      <c r="C54" t="str">
        <f>"2080P0202X"</f>
        <v>2080P0202X</v>
      </c>
      <c r="D54" t="str">
        <f>"BATTEN                   LYNN         A           "</f>
        <v xml:space="preserve">BATTEN                   LYNN         A           </v>
      </c>
      <c r="E54" t="str">
        <f>"MOBILE                    "</f>
        <v xml:space="preserve">MOBILE                    </v>
      </c>
      <c r="F54" t="str">
        <f t="shared" si="0"/>
        <v>AL</v>
      </c>
    </row>
    <row r="55" spans="1:6" x14ac:dyDescent="0.25">
      <c r="A55" t="str">
        <f>"000122871"</f>
        <v>000122871</v>
      </c>
      <c r="B55" t="str">
        <f>"1922050715"</f>
        <v>1922050715</v>
      </c>
      <c r="C55" t="str">
        <f>"207X00000X"</f>
        <v>207X00000X</v>
      </c>
      <c r="D55" t="str">
        <f>"THEISS                   STEVEN       M           "</f>
        <v xml:space="preserve">THEISS                   STEVEN       M           </v>
      </c>
      <c r="E55" t="str">
        <f>"BIRMINGHAM                "</f>
        <v xml:space="preserve">BIRMINGHAM                </v>
      </c>
      <c r="F55" t="str">
        <f t="shared" si="0"/>
        <v>AL</v>
      </c>
    </row>
    <row r="56" spans="1:6" x14ac:dyDescent="0.25">
      <c r="A56" t="str">
        <f>"000122977"</f>
        <v>000122977</v>
      </c>
      <c r="B56" t="str">
        <f>"1407870702"</f>
        <v>1407870702</v>
      </c>
      <c r="C56" t="str">
        <f>"208600000X"</f>
        <v>208600000X</v>
      </c>
      <c r="D56" t="str">
        <f>"YOUNG                    CARLTON      J           "</f>
        <v xml:space="preserve">YOUNG                    CARLTON      J           </v>
      </c>
      <c r="E56" t="str">
        <f>"BIRMINGHAM                "</f>
        <v xml:space="preserve">BIRMINGHAM                </v>
      </c>
      <c r="F56" t="str">
        <f t="shared" si="0"/>
        <v>AL</v>
      </c>
    </row>
    <row r="57" spans="1:6" x14ac:dyDescent="0.25">
      <c r="A57" t="str">
        <f>"000123645"</f>
        <v>000123645</v>
      </c>
      <c r="B57" t="str">
        <f>"1285619403"</f>
        <v>1285619403</v>
      </c>
      <c r="C57" t="str">
        <f>"2085R0202X"</f>
        <v>2085R0202X</v>
      </c>
      <c r="D57" t="str">
        <f>"GRUMLEY                  SCOTT                    "</f>
        <v xml:space="preserve">GRUMLEY                  SCOTT                    </v>
      </c>
      <c r="E57" t="str">
        <f>"BIRMINGHAM                "</f>
        <v xml:space="preserve">BIRMINGHAM                </v>
      </c>
      <c r="F57" t="str">
        <f t="shared" si="0"/>
        <v>AL</v>
      </c>
    </row>
    <row r="58" spans="1:6" x14ac:dyDescent="0.25">
      <c r="A58" t="str">
        <f>"000123756"</f>
        <v>000123756</v>
      </c>
      <c r="B58" t="str">
        <f>"1326048356"</f>
        <v>1326048356</v>
      </c>
      <c r="C58" t="str">
        <f>"207RX0202X"</f>
        <v>207RX0202X</v>
      </c>
      <c r="D58" t="str">
        <f>"YUNUS                    FURHAN                   "</f>
        <v xml:space="preserve">YUNUS                    FURHAN                   </v>
      </c>
      <c r="E58" t="str">
        <f>"MOBILE                    "</f>
        <v xml:space="preserve">MOBILE                    </v>
      </c>
      <c r="F58" t="str">
        <f t="shared" si="0"/>
        <v>AL</v>
      </c>
    </row>
    <row r="59" spans="1:6" x14ac:dyDescent="0.25">
      <c r="A59" t="str">
        <f>"000124433"</f>
        <v>000124433</v>
      </c>
      <c r="B59" t="str">
        <f>"1194740373"</f>
        <v>1194740373</v>
      </c>
      <c r="C59" t="str">
        <f>"2083P0901X"</f>
        <v>2083P0901X</v>
      </c>
      <c r="D59" t="str">
        <f>"ROBERSON                 GLENN        H           "</f>
        <v xml:space="preserve">ROBERSON                 GLENN        H           </v>
      </c>
      <c r="E59" t="str">
        <f>"BIRMINGHAM                "</f>
        <v xml:space="preserve">BIRMINGHAM                </v>
      </c>
      <c r="F59" t="str">
        <f t="shared" si="0"/>
        <v>AL</v>
      </c>
    </row>
    <row r="60" spans="1:6" x14ac:dyDescent="0.25">
      <c r="A60" t="str">
        <f>"000124450"</f>
        <v>000124450</v>
      </c>
      <c r="B60" t="str">
        <f>"1952332397"</f>
        <v>1952332397</v>
      </c>
      <c r="C60" t="str">
        <f>"2085R0202X"</f>
        <v>2085R0202X</v>
      </c>
      <c r="D60" t="str">
        <f>"O'MALLEY                 JANIS                    "</f>
        <v xml:space="preserve">O'MALLEY                 JANIS                    </v>
      </c>
      <c r="E60" t="str">
        <f>"BIRMINGHAM                "</f>
        <v xml:space="preserve">BIRMINGHAM                </v>
      </c>
      <c r="F60" t="str">
        <f t="shared" si="0"/>
        <v>AL</v>
      </c>
    </row>
    <row r="61" spans="1:6" x14ac:dyDescent="0.25">
      <c r="A61" t="str">
        <f>"000124571"</f>
        <v>000124571</v>
      </c>
      <c r="B61" t="str">
        <f>"1740214253"</f>
        <v>1740214253</v>
      </c>
      <c r="C61" t="str">
        <f>"207ZP0101X"</f>
        <v>207ZP0101X</v>
      </c>
      <c r="D61" t="str">
        <f>"REDDY                    BALEED       V           "</f>
        <v xml:space="preserve">REDDY                    BALEED       V           </v>
      </c>
      <c r="E61" t="str">
        <f>"BIRMINGHAM                "</f>
        <v xml:space="preserve">BIRMINGHAM                </v>
      </c>
      <c r="F61" t="str">
        <f t="shared" si="0"/>
        <v>AL</v>
      </c>
    </row>
    <row r="62" spans="1:6" x14ac:dyDescent="0.25">
      <c r="A62" t="str">
        <f>"000124576"</f>
        <v>000124576</v>
      </c>
      <c r="B62" t="str">
        <f>"1538118997"</f>
        <v>1538118997</v>
      </c>
      <c r="C62" t="str">
        <f>"208D00000X"</f>
        <v>208D00000X</v>
      </c>
      <c r="D62" t="str">
        <f>"BAKER                    SUSAN        L           "</f>
        <v xml:space="preserve">BAKER                    SUSAN        L           </v>
      </c>
      <c r="E62" t="str">
        <f>"MOBILE                    "</f>
        <v xml:space="preserve">MOBILE                    </v>
      </c>
      <c r="F62" t="str">
        <f t="shared" si="0"/>
        <v>AL</v>
      </c>
    </row>
    <row r="63" spans="1:6" x14ac:dyDescent="0.25">
      <c r="A63" t="str">
        <f>"000124582"</f>
        <v>000124582</v>
      </c>
      <c r="B63" t="str">
        <f>"1578500146"</f>
        <v>1578500146</v>
      </c>
      <c r="C63" t="str">
        <f>"207Q00000X"</f>
        <v>207Q00000X</v>
      </c>
      <c r="D63" t="str">
        <f>"CRANDELL                 KRISTY       L           "</f>
        <v xml:space="preserve">CRANDELL                 KRISTY       L           </v>
      </c>
      <c r="E63" t="str">
        <f>"RED BAY                   "</f>
        <v xml:space="preserve">RED BAY                   </v>
      </c>
      <c r="F63" t="str">
        <f t="shared" si="0"/>
        <v>AL</v>
      </c>
    </row>
    <row r="64" spans="1:6" x14ac:dyDescent="0.25">
      <c r="A64" t="str">
        <f>"000124650"</f>
        <v>000124650</v>
      </c>
      <c r="B64" t="str">
        <f>"1295745149"</f>
        <v>1295745149</v>
      </c>
      <c r="C64" t="str">
        <f>"207RC0000X"</f>
        <v>207RC0000X</v>
      </c>
      <c r="D64" t="str">
        <f>"URTHALER                 FERDINAND                "</f>
        <v xml:space="preserve">URTHALER                 FERDINAND                </v>
      </c>
      <c r="E64" t="str">
        <f>"BIRMINGHAM                "</f>
        <v xml:space="preserve">BIRMINGHAM                </v>
      </c>
      <c r="F64" t="str">
        <f t="shared" si="0"/>
        <v>AL</v>
      </c>
    </row>
    <row r="65" spans="1:6" x14ac:dyDescent="0.25">
      <c r="A65" t="str">
        <f>"000124705"</f>
        <v>000124705</v>
      </c>
      <c r="B65" t="str">
        <f>"1033149737"</f>
        <v>1033149737</v>
      </c>
      <c r="C65" t="str">
        <f>"2085R0202X"</f>
        <v>2085R0202X</v>
      </c>
      <c r="D65" t="str">
        <f>"OSER                     RACHEL       F           "</f>
        <v xml:space="preserve">OSER                     RACHEL       F           </v>
      </c>
      <c r="E65" t="str">
        <f>"BIRMINGHAM                "</f>
        <v xml:space="preserve">BIRMINGHAM                </v>
      </c>
      <c r="F65" t="str">
        <f t="shared" si="0"/>
        <v>AL</v>
      </c>
    </row>
    <row r="66" spans="1:6" x14ac:dyDescent="0.25">
      <c r="A66" t="str">
        <f>"000124706"</f>
        <v>000124706</v>
      </c>
      <c r="B66" t="str">
        <f>"1609888783"</f>
        <v>1609888783</v>
      </c>
      <c r="C66" t="str">
        <f>"207P00000X"</f>
        <v>207P00000X</v>
      </c>
      <c r="D66" t="str">
        <f>"PACHECO                  ANTONIO      L           "</f>
        <v xml:space="preserve">PACHECO                  ANTONIO      L           </v>
      </c>
      <c r="E66" t="str">
        <f>"MOBILE                    "</f>
        <v xml:space="preserve">MOBILE                    </v>
      </c>
      <c r="F66" t="str">
        <f t="shared" si="0"/>
        <v>AL</v>
      </c>
    </row>
    <row r="67" spans="1:6" x14ac:dyDescent="0.25">
      <c r="A67" t="str">
        <f>"000124708"</f>
        <v>000124708</v>
      </c>
      <c r="B67" t="str">
        <f>"1467496083"</f>
        <v>1467496083</v>
      </c>
      <c r="C67" t="str">
        <f>"207T00000X"</f>
        <v>207T00000X</v>
      </c>
      <c r="D67" t="str">
        <f>"FISHER III               WINFIELD     S           "</f>
        <v xml:space="preserve">FISHER III               WINFIELD     S           </v>
      </c>
      <c r="E67" t="str">
        <f>"BIRMINGHAM                "</f>
        <v xml:space="preserve">BIRMINGHAM                </v>
      </c>
      <c r="F67" t="str">
        <f t="shared" si="0"/>
        <v>AL</v>
      </c>
    </row>
    <row r="68" spans="1:6" x14ac:dyDescent="0.25">
      <c r="A68" t="str">
        <f>"000124755"</f>
        <v>000124755</v>
      </c>
      <c r="B68" t="str">
        <f>"1679576516"</f>
        <v>1679576516</v>
      </c>
      <c r="C68" t="str">
        <f>"207W00000X"</f>
        <v>207W00000X</v>
      </c>
      <c r="D68" t="str">
        <f>"DOUGLAS                  MARK         J           "</f>
        <v xml:space="preserve">DOUGLAS                  MARK         J           </v>
      </c>
      <c r="E68" t="str">
        <f>"MOBILE                    "</f>
        <v xml:space="preserve">MOBILE                    </v>
      </c>
      <c r="F68" t="str">
        <f t="shared" si="0"/>
        <v>AL</v>
      </c>
    </row>
    <row r="69" spans="1:6" x14ac:dyDescent="0.25">
      <c r="A69" t="str">
        <f>"000124772"</f>
        <v>000124772</v>
      </c>
      <c r="B69" t="str">
        <f>"1306883624"</f>
        <v>1306883624</v>
      </c>
      <c r="C69" t="str">
        <f>"207V00000X"</f>
        <v>207V00000X</v>
      </c>
      <c r="D69" t="str">
        <f>"VARNER                   STEPHEN      T           "</f>
        <v xml:space="preserve">VARNER                   STEPHEN      T           </v>
      </c>
      <c r="E69" t="str">
        <f>"MOBILE                    "</f>
        <v xml:space="preserve">MOBILE                    </v>
      </c>
      <c r="F69" t="str">
        <f t="shared" si="0"/>
        <v>AL</v>
      </c>
    </row>
    <row r="70" spans="1:6" x14ac:dyDescent="0.25">
      <c r="A70" t="str">
        <f>"000124821"</f>
        <v>000124821</v>
      </c>
      <c r="B70" t="str">
        <f>"1437236882"</f>
        <v>1437236882</v>
      </c>
      <c r="C70" t="str">
        <f>"2084N0402X"</f>
        <v>2084N0402X</v>
      </c>
      <c r="D70" t="str">
        <f>"BEBIN                    ELIZABETH                "</f>
        <v xml:space="preserve">BEBIN                    ELIZABETH                </v>
      </c>
      <c r="E70" t="str">
        <f>"BIRMINGHAM                "</f>
        <v xml:space="preserve">BIRMINGHAM                </v>
      </c>
      <c r="F70" t="str">
        <f t="shared" si="0"/>
        <v>AL</v>
      </c>
    </row>
    <row r="71" spans="1:6" x14ac:dyDescent="0.25">
      <c r="A71" t="str">
        <f>"000124955"</f>
        <v>000124955</v>
      </c>
      <c r="B71" t="str">
        <f>"1891740981"</f>
        <v>1891740981</v>
      </c>
      <c r="C71" t="str">
        <f>"363L00000X"</f>
        <v>363L00000X</v>
      </c>
      <c r="D71" t="str">
        <f>"PACK-MABIEN              ARDIE        V           "</f>
        <v xml:space="preserve">PACK-MABIEN              ARDIE        V           </v>
      </c>
      <c r="E71" t="str">
        <f>"MOBILE                    "</f>
        <v xml:space="preserve">MOBILE                    </v>
      </c>
      <c r="F71" t="str">
        <f t="shared" ref="F71:F134" si="4">"AL"</f>
        <v>AL</v>
      </c>
    </row>
    <row r="72" spans="1:6" x14ac:dyDescent="0.25">
      <c r="A72" t="str">
        <f>"000125173"</f>
        <v>000125173</v>
      </c>
      <c r="B72" t="str">
        <f>"1619984861"</f>
        <v>1619984861</v>
      </c>
      <c r="C72" t="str">
        <f>"2085R0202X"</f>
        <v>2085R0202X</v>
      </c>
      <c r="D72" t="str">
        <f>"SINGH                    SATINDER     P           "</f>
        <v xml:space="preserve">SINGH                    SATINDER     P           </v>
      </c>
      <c r="E72" t="str">
        <f>"BIRMINGHAM                "</f>
        <v xml:space="preserve">BIRMINGHAM                </v>
      </c>
      <c r="F72" t="str">
        <f t="shared" si="4"/>
        <v>AL</v>
      </c>
    </row>
    <row r="73" spans="1:6" x14ac:dyDescent="0.25">
      <c r="A73" t="str">
        <f>"000125188"</f>
        <v>000125188</v>
      </c>
      <c r="B73" t="str">
        <f>"1346851946"</f>
        <v>1346851946</v>
      </c>
      <c r="C73" t="str">
        <f>"208000000X"</f>
        <v>208000000X</v>
      </c>
      <c r="D73" t="str">
        <f>"DELGADO                  MYRTLE       A           "</f>
        <v xml:space="preserve">DELGADO                  MYRTLE       A           </v>
      </c>
      <c r="E73" t="str">
        <f>"MOBILE                    "</f>
        <v xml:space="preserve">MOBILE                    </v>
      </c>
      <c r="F73" t="str">
        <f t="shared" si="4"/>
        <v>AL</v>
      </c>
    </row>
    <row r="74" spans="1:6" x14ac:dyDescent="0.25">
      <c r="A74" t="str">
        <f>"000125355"</f>
        <v>000125355</v>
      </c>
      <c r="B74" t="str">
        <f>"1023031408"</f>
        <v>1023031408</v>
      </c>
      <c r="C74" t="str">
        <f>"207ZP0102X"</f>
        <v>207ZP0102X</v>
      </c>
      <c r="D74" t="str">
        <f>"WINOKUR                  THOMAS       S           "</f>
        <v xml:space="preserve">WINOKUR                  THOMAS       S           </v>
      </c>
      <c r="E74" t="str">
        <f>"BIRMINGHAM                "</f>
        <v xml:space="preserve">BIRMINGHAM                </v>
      </c>
      <c r="F74" t="str">
        <f t="shared" si="4"/>
        <v>AL</v>
      </c>
    </row>
    <row r="75" spans="1:6" x14ac:dyDescent="0.25">
      <c r="A75" t="str">
        <f>"000125711"</f>
        <v>000125711</v>
      </c>
      <c r="B75" t="str">
        <f>"1578594834"</f>
        <v>1578594834</v>
      </c>
      <c r="C75" t="str">
        <f>"207RC0000X"</f>
        <v>207RC0000X</v>
      </c>
      <c r="D75" t="str">
        <f>"NANDA                    NAVIN        C           "</f>
        <v xml:space="preserve">NANDA                    NAVIN        C           </v>
      </c>
      <c r="E75" t="str">
        <f>"BIRMINGHAM                "</f>
        <v xml:space="preserve">BIRMINGHAM                </v>
      </c>
      <c r="F75" t="str">
        <f t="shared" si="4"/>
        <v>AL</v>
      </c>
    </row>
    <row r="76" spans="1:6" x14ac:dyDescent="0.25">
      <c r="A76" t="str">
        <f>"000125744"</f>
        <v>000125744</v>
      </c>
      <c r="B76" t="str">
        <f>"1518973783"</f>
        <v>1518973783</v>
      </c>
      <c r="C76" t="str">
        <f>"207RG0100X"</f>
        <v>207RG0100X</v>
      </c>
      <c r="D76" t="str">
        <f>"TRUSS                    CHRISTOPHER  D           "</f>
        <v xml:space="preserve">TRUSS                    CHRISTOPHER  D           </v>
      </c>
      <c r="E76" t="str">
        <f>"BIRMINGHAM                "</f>
        <v xml:space="preserve">BIRMINGHAM                </v>
      </c>
      <c r="F76" t="str">
        <f t="shared" si="4"/>
        <v>AL</v>
      </c>
    </row>
    <row r="77" spans="1:6" x14ac:dyDescent="0.25">
      <c r="A77" t="str">
        <f>"000126226"</f>
        <v>000126226</v>
      </c>
      <c r="B77" t="str">
        <f>"1477534121"</f>
        <v>1477534121</v>
      </c>
      <c r="C77" t="str">
        <f>"2085R0202X"</f>
        <v>2085R0202X</v>
      </c>
      <c r="D77" t="str">
        <f>"DONATI                   DONNA        L           "</f>
        <v xml:space="preserve">DONATI                   DONNA        L           </v>
      </c>
      <c r="E77" t="str">
        <f>"MOBILE                    "</f>
        <v xml:space="preserve">MOBILE                    </v>
      </c>
      <c r="F77" t="str">
        <f t="shared" si="4"/>
        <v>AL</v>
      </c>
    </row>
    <row r="78" spans="1:6" x14ac:dyDescent="0.25">
      <c r="A78" t="str">
        <f>"000126464"</f>
        <v>000126464</v>
      </c>
      <c r="B78" t="str">
        <f>"1386620912"</f>
        <v>1386620912</v>
      </c>
      <c r="C78" t="str">
        <f>"207R00000X"</f>
        <v>207R00000X</v>
      </c>
      <c r="D78" t="str">
        <f>"KLEINMANN                MICHEAL      C           "</f>
        <v xml:space="preserve">KLEINMANN                MICHEAL      C           </v>
      </c>
      <c r="E78" t="str">
        <f>"MOBILE                    "</f>
        <v xml:space="preserve">MOBILE                    </v>
      </c>
      <c r="F78" t="str">
        <f t="shared" si="4"/>
        <v>AL</v>
      </c>
    </row>
    <row r="79" spans="1:6" x14ac:dyDescent="0.25">
      <c r="A79" t="str">
        <f>"000126465"</f>
        <v>000126465</v>
      </c>
      <c r="B79" t="str">
        <f>"1083690465"</f>
        <v>1083690465</v>
      </c>
      <c r="C79" t="str">
        <f>"207R00000X"</f>
        <v>207R00000X</v>
      </c>
      <c r="D79" t="str">
        <f>"NIPPER                   JOHN         M           "</f>
        <v xml:space="preserve">NIPPER                   JOHN         M           </v>
      </c>
      <c r="E79" t="str">
        <f>"MOBILE                    "</f>
        <v xml:space="preserve">MOBILE                    </v>
      </c>
      <c r="F79" t="str">
        <f t="shared" si="4"/>
        <v>AL</v>
      </c>
    </row>
    <row r="80" spans="1:6" x14ac:dyDescent="0.25">
      <c r="A80" t="str">
        <f>"000126475"</f>
        <v>000126475</v>
      </c>
      <c r="B80" t="str">
        <f>"1457337081"</f>
        <v>1457337081</v>
      </c>
      <c r="C80" t="str">
        <f>"207R00000X"</f>
        <v>207R00000X</v>
      </c>
      <c r="D80" t="str">
        <f>"WILBER                   STEPHEN      P           "</f>
        <v xml:space="preserve">WILBER                   STEPHEN      P           </v>
      </c>
      <c r="E80" t="str">
        <f>"MOBILE                    "</f>
        <v xml:space="preserve">MOBILE                    </v>
      </c>
      <c r="F80" t="str">
        <f t="shared" si="4"/>
        <v>AL</v>
      </c>
    </row>
    <row r="81" spans="1:6" x14ac:dyDescent="0.25">
      <c r="A81" t="str">
        <f>"000126751"</f>
        <v>000126751</v>
      </c>
      <c r="B81" t="str">
        <f>"1073568895"</f>
        <v>1073568895</v>
      </c>
      <c r="C81" t="str">
        <f>"207RC0000X"</f>
        <v>207RC0000X</v>
      </c>
      <c r="D81" t="str">
        <f>"OMAR                     BASSAM       A           "</f>
        <v xml:space="preserve">OMAR                     BASSAM       A           </v>
      </c>
      <c r="E81" t="str">
        <f>"MOBILE                    "</f>
        <v xml:space="preserve">MOBILE                    </v>
      </c>
      <c r="F81" t="str">
        <f t="shared" si="4"/>
        <v>AL</v>
      </c>
    </row>
    <row r="82" spans="1:6" x14ac:dyDescent="0.25">
      <c r="A82" t="str">
        <f>"000126797"</f>
        <v>000126797</v>
      </c>
      <c r="B82" t="str">
        <f>"1376578195"</f>
        <v>1376578195</v>
      </c>
      <c r="C82" t="str">
        <f>"207R00000X"</f>
        <v>207R00000X</v>
      </c>
      <c r="D82" t="str">
        <f>"PLUMB                    VANCE        J           "</f>
        <v xml:space="preserve">PLUMB                    VANCE        J           </v>
      </c>
      <c r="E82" t="str">
        <f t="shared" ref="E82:E88" si="5">"BIRMINGHAM                "</f>
        <v xml:space="preserve">BIRMINGHAM                </v>
      </c>
      <c r="F82" t="str">
        <f t="shared" si="4"/>
        <v>AL</v>
      </c>
    </row>
    <row r="83" spans="1:6" x14ac:dyDescent="0.25">
      <c r="A83" t="str">
        <f>"000126869"</f>
        <v>000126869</v>
      </c>
      <c r="B83" t="str">
        <f>"1033151352"</f>
        <v>1033151352</v>
      </c>
      <c r="C83" t="str">
        <f>"2080P0202X"</f>
        <v>2080P0202X</v>
      </c>
      <c r="D83" t="str">
        <f>"LAU                      YUNG         R           "</f>
        <v xml:space="preserve">LAU                      YUNG         R           </v>
      </c>
      <c r="E83" t="str">
        <f t="shared" si="5"/>
        <v xml:space="preserve">BIRMINGHAM                </v>
      </c>
      <c r="F83" t="str">
        <f t="shared" si="4"/>
        <v>AL</v>
      </c>
    </row>
    <row r="84" spans="1:6" x14ac:dyDescent="0.25">
      <c r="A84" t="str">
        <f>"000126915"</f>
        <v>000126915</v>
      </c>
      <c r="B84" t="str">
        <f>"1992748131"</f>
        <v>1992748131</v>
      </c>
      <c r="C84" t="str">
        <f>"207RC0000X"</f>
        <v>207RC0000X</v>
      </c>
      <c r="D84" t="str">
        <f>"DAILEY                   SHARON       M           "</f>
        <v xml:space="preserve">DAILEY                   SHARON       M           </v>
      </c>
      <c r="E84" t="str">
        <f t="shared" si="5"/>
        <v xml:space="preserve">BIRMINGHAM                </v>
      </c>
      <c r="F84" t="str">
        <f t="shared" si="4"/>
        <v>AL</v>
      </c>
    </row>
    <row r="85" spans="1:6" x14ac:dyDescent="0.25">
      <c r="A85" t="str">
        <f>"000126918"</f>
        <v>000126918</v>
      </c>
      <c r="B85" t="str">
        <f>"1134174667"</f>
        <v>1134174667</v>
      </c>
      <c r="C85" t="str">
        <f>"2084N0400X"</f>
        <v>2084N0400X</v>
      </c>
      <c r="D85" t="str">
        <f>"ATCHISON                 PAUL         R           "</f>
        <v xml:space="preserve">ATCHISON                 PAUL         R           </v>
      </c>
      <c r="E85" t="str">
        <f t="shared" si="5"/>
        <v xml:space="preserve">BIRMINGHAM                </v>
      </c>
      <c r="F85" t="str">
        <f t="shared" si="4"/>
        <v>AL</v>
      </c>
    </row>
    <row r="86" spans="1:6" x14ac:dyDescent="0.25">
      <c r="A86" t="str">
        <f>"000131310"</f>
        <v>000131310</v>
      </c>
      <c r="B86" t="str">
        <f>"1093127425"</f>
        <v>1093127425</v>
      </c>
      <c r="C86" t="str">
        <f>"207RX0202X"</f>
        <v>207RX0202X</v>
      </c>
      <c r="D86" t="str">
        <f>"MARCROM                  SAMUEL       R           "</f>
        <v xml:space="preserve">MARCROM                  SAMUEL       R           </v>
      </c>
      <c r="E86" t="str">
        <f t="shared" si="5"/>
        <v xml:space="preserve">BIRMINGHAM                </v>
      </c>
      <c r="F86" t="str">
        <f t="shared" si="4"/>
        <v>AL</v>
      </c>
    </row>
    <row r="87" spans="1:6" x14ac:dyDescent="0.25">
      <c r="A87" t="str">
        <f>"000134234"</f>
        <v>000134234</v>
      </c>
      <c r="B87" t="str">
        <f>"1649681453"</f>
        <v>1649681453</v>
      </c>
      <c r="C87" t="str">
        <f>"363L00000X"</f>
        <v>363L00000X</v>
      </c>
      <c r="D87" t="str">
        <f>"O'HARE                   LANIER       L           "</f>
        <v xml:space="preserve">O'HARE                   LANIER       L           </v>
      </c>
      <c r="E87" t="str">
        <f t="shared" si="5"/>
        <v xml:space="preserve">BIRMINGHAM                </v>
      </c>
      <c r="F87" t="str">
        <f t="shared" si="4"/>
        <v>AL</v>
      </c>
    </row>
    <row r="88" spans="1:6" x14ac:dyDescent="0.25">
      <c r="A88" t="str">
        <f>"000150586"</f>
        <v>000150586</v>
      </c>
      <c r="B88" t="str">
        <f>"1841533809"</f>
        <v>1841533809</v>
      </c>
      <c r="C88" t="str">
        <f>"2084N0400X"</f>
        <v>2084N0400X</v>
      </c>
      <c r="D88" t="str">
        <f>"JONES                    BENJAMIN     A           "</f>
        <v xml:space="preserve">JONES                    BENJAMIN     A           </v>
      </c>
      <c r="E88" t="str">
        <f t="shared" si="5"/>
        <v xml:space="preserve">BIRMINGHAM                </v>
      </c>
      <c r="F88" t="str">
        <f t="shared" si="4"/>
        <v>AL</v>
      </c>
    </row>
    <row r="89" spans="1:6" x14ac:dyDescent="0.25">
      <c r="A89" t="str">
        <f>"000184211"</f>
        <v>000184211</v>
      </c>
      <c r="B89" t="str">
        <f>"1285764456"</f>
        <v>1285764456</v>
      </c>
      <c r="C89" t="str">
        <f>"363L00000X"</f>
        <v>363L00000X</v>
      </c>
      <c r="D89" t="str">
        <f>"LASKAY                   KATHLEEN     M           "</f>
        <v xml:space="preserve">LASKAY                   KATHLEEN     M           </v>
      </c>
      <c r="E89" t="str">
        <f>"MOBILE                    "</f>
        <v xml:space="preserve">MOBILE                    </v>
      </c>
      <c r="F89" t="str">
        <f t="shared" si="4"/>
        <v>AL</v>
      </c>
    </row>
    <row r="90" spans="1:6" x14ac:dyDescent="0.25">
      <c r="A90" t="str">
        <f>"000202842"</f>
        <v>000202842</v>
      </c>
      <c r="B90" t="str">
        <f>"1104121508"</f>
        <v>1104121508</v>
      </c>
      <c r="C90" t="str">
        <f>"363L00000X"</f>
        <v>363L00000X</v>
      </c>
      <c r="D90" t="str">
        <f>"WADE                     MELISSA      H           "</f>
        <v xml:space="preserve">WADE                     MELISSA      H           </v>
      </c>
      <c r="E90" t="str">
        <f t="shared" ref="E90:E98" si="6">"BIRMINGHAM                "</f>
        <v xml:space="preserve">BIRMINGHAM                </v>
      </c>
      <c r="F90" t="str">
        <f t="shared" si="4"/>
        <v>AL</v>
      </c>
    </row>
    <row r="91" spans="1:6" x14ac:dyDescent="0.25">
      <c r="A91" t="str">
        <f>"000205271"</f>
        <v>000205271</v>
      </c>
      <c r="B91" t="str">
        <f>"1578624508"</f>
        <v>1578624508</v>
      </c>
      <c r="C91" t="str">
        <f>"207R00000X"</f>
        <v>207R00000X</v>
      </c>
      <c r="D91" t="str">
        <f>"BURKHOLDER               GREER        A           "</f>
        <v xml:space="preserve">BURKHOLDER               GREER        A           </v>
      </c>
      <c r="E91" t="str">
        <f t="shared" si="6"/>
        <v xml:space="preserve">BIRMINGHAM                </v>
      </c>
      <c r="F91" t="str">
        <f t="shared" si="4"/>
        <v>AL</v>
      </c>
    </row>
    <row r="92" spans="1:6" x14ac:dyDescent="0.25">
      <c r="A92" t="str">
        <f>"000207086"</f>
        <v>000207086</v>
      </c>
      <c r="B92" t="str">
        <f>"1750601696"</f>
        <v>1750601696</v>
      </c>
      <c r="C92" t="str">
        <f>"207N00000X"</f>
        <v>207N00000X</v>
      </c>
      <c r="D92" t="str">
        <f>"KOLE                     LAUREN       C           "</f>
        <v xml:space="preserve">KOLE                     LAUREN       C           </v>
      </c>
      <c r="E92" t="str">
        <f t="shared" si="6"/>
        <v xml:space="preserve">BIRMINGHAM                </v>
      </c>
      <c r="F92" t="str">
        <f t="shared" si="4"/>
        <v>AL</v>
      </c>
    </row>
    <row r="93" spans="1:6" x14ac:dyDescent="0.25">
      <c r="A93" t="str">
        <f>"000277251"</f>
        <v>000277251</v>
      </c>
      <c r="B93" t="str">
        <f>"1205195195"</f>
        <v>1205195195</v>
      </c>
      <c r="C93" t="str">
        <f>"208800000X"</f>
        <v>208800000X</v>
      </c>
      <c r="D93" t="str">
        <f>"PEYTON                   CHARLES      C           "</f>
        <v xml:space="preserve">PEYTON                   CHARLES      C           </v>
      </c>
      <c r="E93" t="str">
        <f t="shared" si="6"/>
        <v xml:space="preserve">BIRMINGHAM                </v>
      </c>
      <c r="F93" t="str">
        <f t="shared" si="4"/>
        <v>AL</v>
      </c>
    </row>
    <row r="94" spans="1:6" x14ac:dyDescent="0.25">
      <c r="A94" t="str">
        <f>"000279899"</f>
        <v>000279899</v>
      </c>
      <c r="B94" t="str">
        <f>"1962455204"</f>
        <v>1962455204</v>
      </c>
      <c r="C94" t="str">
        <f>"207LP2900X"</f>
        <v>207LP2900X</v>
      </c>
      <c r="D94" t="str">
        <f>"BROOKS                   BRANDON      S           "</f>
        <v xml:space="preserve">BROOKS                   BRANDON      S           </v>
      </c>
      <c r="E94" t="str">
        <f t="shared" si="6"/>
        <v xml:space="preserve">BIRMINGHAM                </v>
      </c>
      <c r="F94" t="str">
        <f t="shared" si="4"/>
        <v>AL</v>
      </c>
    </row>
    <row r="95" spans="1:6" x14ac:dyDescent="0.25">
      <c r="A95" t="str">
        <f>"000282360"</f>
        <v>000282360</v>
      </c>
      <c r="B95" t="str">
        <f>"1619236858"</f>
        <v>1619236858</v>
      </c>
      <c r="C95" t="str">
        <f>"207L00000X"</f>
        <v>207L00000X</v>
      </c>
      <c r="D95" t="str">
        <f>"COX                      CARA         H           "</f>
        <v xml:space="preserve">COX                      CARA         H           </v>
      </c>
      <c r="E95" t="str">
        <f t="shared" si="6"/>
        <v xml:space="preserve">BIRMINGHAM                </v>
      </c>
      <c r="F95" t="str">
        <f t="shared" si="4"/>
        <v>AL</v>
      </c>
    </row>
    <row r="96" spans="1:6" x14ac:dyDescent="0.25">
      <c r="A96" t="str">
        <f>"000288856"</f>
        <v>000288856</v>
      </c>
      <c r="B96" t="str">
        <f>"1437192317"</f>
        <v>1437192317</v>
      </c>
      <c r="C96" t="str">
        <f>"207N00000X"</f>
        <v>207N00000X</v>
      </c>
      <c r="D96" t="str">
        <f>"ELEWSKI                  BONI         E           "</f>
        <v xml:space="preserve">ELEWSKI                  BONI         E           </v>
      </c>
      <c r="E96" t="str">
        <f t="shared" si="6"/>
        <v xml:space="preserve">BIRMINGHAM                </v>
      </c>
      <c r="F96" t="str">
        <f t="shared" si="4"/>
        <v>AL</v>
      </c>
    </row>
    <row r="97" spans="1:6" x14ac:dyDescent="0.25">
      <c r="A97" t="str">
        <f>"000304751"</f>
        <v>000304751</v>
      </c>
      <c r="B97" t="str">
        <f>"1518991132"</f>
        <v>1518991132</v>
      </c>
      <c r="C97" t="str">
        <f>"207RC0000X"</f>
        <v>207RC0000X</v>
      </c>
      <c r="D97" t="str">
        <f>"PERRY                    GILBERT      J           "</f>
        <v xml:space="preserve">PERRY                    GILBERT      J           </v>
      </c>
      <c r="E97" t="str">
        <f t="shared" si="6"/>
        <v xml:space="preserve">BIRMINGHAM                </v>
      </c>
      <c r="F97" t="str">
        <f t="shared" si="4"/>
        <v>AL</v>
      </c>
    </row>
    <row r="98" spans="1:6" x14ac:dyDescent="0.25">
      <c r="A98" t="str">
        <f>"000325897"</f>
        <v>000325897</v>
      </c>
      <c r="B98" t="str">
        <f>"1821054115"</f>
        <v>1821054115</v>
      </c>
      <c r="C98" t="str">
        <f>"207ZP0102X"</f>
        <v>207ZP0102X</v>
      </c>
      <c r="D98" t="str">
        <f>"MAGI-GALLUZZI            CRISTINA                 "</f>
        <v xml:space="preserve">MAGI-GALLUZZI            CRISTINA                 </v>
      </c>
      <c r="E98" t="str">
        <f t="shared" si="6"/>
        <v xml:space="preserve">BIRMINGHAM                </v>
      </c>
      <c r="F98" t="str">
        <f t="shared" si="4"/>
        <v>AL</v>
      </c>
    </row>
    <row r="99" spans="1:6" x14ac:dyDescent="0.25">
      <c r="A99" t="str">
        <f>"000328853"</f>
        <v>000328853</v>
      </c>
      <c r="B99" t="str">
        <f>"1780114231"</f>
        <v>1780114231</v>
      </c>
      <c r="C99" t="str">
        <f>"363L00000X"</f>
        <v>363L00000X</v>
      </c>
      <c r="D99" t="str">
        <f>"WANNER                   LISA                     "</f>
        <v xml:space="preserve">WANNER                   LISA                     </v>
      </c>
      <c r="E99" t="str">
        <f>"HAMILTON                  "</f>
        <v xml:space="preserve">HAMILTON                  </v>
      </c>
      <c r="F99" t="str">
        <f t="shared" si="4"/>
        <v>AL</v>
      </c>
    </row>
    <row r="100" spans="1:6" x14ac:dyDescent="0.25">
      <c r="A100" t="str">
        <f>"000353864"</f>
        <v>000353864</v>
      </c>
      <c r="B100" t="str">
        <f>"1982838181"</f>
        <v>1982838181</v>
      </c>
      <c r="C100" t="str">
        <f>"207P00000X"</f>
        <v>207P00000X</v>
      </c>
      <c r="D100" t="str">
        <f>"RUSHTON                  WILLIAM                  "</f>
        <v xml:space="preserve">RUSHTON                  WILLIAM                  </v>
      </c>
      <c r="E100" t="str">
        <f>"BIRMINGHAM                "</f>
        <v xml:space="preserve">BIRMINGHAM                </v>
      </c>
      <c r="F100" t="str">
        <f t="shared" si="4"/>
        <v>AL</v>
      </c>
    </row>
    <row r="101" spans="1:6" x14ac:dyDescent="0.25">
      <c r="A101" t="str">
        <f>"000376375"</f>
        <v>000376375</v>
      </c>
      <c r="B101" t="str">
        <f>"1033408851"</f>
        <v>1033408851</v>
      </c>
      <c r="C101" t="str">
        <f>"367500000X"</f>
        <v>367500000X</v>
      </c>
      <c r="D101" t="str">
        <f>"SMITH                    GLENNIE      S           "</f>
        <v xml:space="preserve">SMITH                    GLENNIE      S           </v>
      </c>
      <c r="E101" t="str">
        <f>"BIRMINGHAM                "</f>
        <v xml:space="preserve">BIRMINGHAM                </v>
      </c>
      <c r="F101" t="str">
        <f t="shared" si="4"/>
        <v>AL</v>
      </c>
    </row>
    <row r="102" spans="1:6" x14ac:dyDescent="0.25">
      <c r="A102" t="str">
        <f>"000382773"</f>
        <v>000382773</v>
      </c>
      <c r="B102" t="str">
        <f>"1295772986"</f>
        <v>1295772986</v>
      </c>
      <c r="C102" t="str">
        <f>"207P00000X"</f>
        <v>207P00000X</v>
      </c>
      <c r="D102" t="str">
        <f>"STANMORE                 ROGER        D           "</f>
        <v xml:space="preserve">STANMORE                 ROGER        D           </v>
      </c>
      <c r="E102" t="str">
        <f>"CARROLLTON                "</f>
        <v xml:space="preserve">CARROLLTON                </v>
      </c>
      <c r="F102" t="str">
        <f t="shared" si="4"/>
        <v>AL</v>
      </c>
    </row>
    <row r="103" spans="1:6" x14ac:dyDescent="0.25">
      <c r="A103" t="str">
        <f>"000387314"</f>
        <v>000387314</v>
      </c>
      <c r="B103" t="str">
        <f>"1811566532"</f>
        <v>1811566532</v>
      </c>
      <c r="C103" t="str">
        <f>"2084N0400X"</f>
        <v>2084N0400X</v>
      </c>
      <c r="D103" t="str">
        <f>"LEE                      DANIEL                   "</f>
        <v xml:space="preserve">LEE                      DANIEL                   </v>
      </c>
      <c r="E103" t="str">
        <f>"MOBILE                    "</f>
        <v xml:space="preserve">MOBILE                    </v>
      </c>
      <c r="F103" t="str">
        <f t="shared" si="4"/>
        <v>AL</v>
      </c>
    </row>
    <row r="104" spans="1:6" x14ac:dyDescent="0.25">
      <c r="A104" t="str">
        <f>"000433756"</f>
        <v>000433756</v>
      </c>
      <c r="B104" t="str">
        <f>"1700837614"</f>
        <v>1700837614</v>
      </c>
      <c r="C104" t="str">
        <f>"2084N0400X"</f>
        <v>2084N0400X</v>
      </c>
      <c r="D104" t="str">
        <f>"FATHALLAH SHAYKH         HASSAN                   "</f>
        <v xml:space="preserve">FATHALLAH SHAYKH         HASSAN                   </v>
      </c>
      <c r="E104" t="str">
        <f>"BIRMINGHAM                "</f>
        <v xml:space="preserve">BIRMINGHAM                </v>
      </c>
      <c r="F104" t="str">
        <f t="shared" si="4"/>
        <v>AL</v>
      </c>
    </row>
    <row r="105" spans="1:6" x14ac:dyDescent="0.25">
      <c r="A105" t="str">
        <f>"000452733"</f>
        <v>000452733</v>
      </c>
      <c r="B105" t="str">
        <f>"1790737807"</f>
        <v>1790737807</v>
      </c>
      <c r="C105" t="str">
        <f>"207V00000X"</f>
        <v>207V00000X</v>
      </c>
      <c r="D105" t="str">
        <f>"FAGBONGBE                ENIOLA       O           "</f>
        <v xml:space="preserve">FAGBONGBE                ENIOLA       O           </v>
      </c>
      <c r="E105" t="str">
        <f>"BUTLER                    "</f>
        <v xml:space="preserve">BUTLER                    </v>
      </c>
      <c r="F105" t="str">
        <f t="shared" si="4"/>
        <v>AL</v>
      </c>
    </row>
    <row r="106" spans="1:6" x14ac:dyDescent="0.25">
      <c r="A106" t="str">
        <f>"000456393"</f>
        <v>000456393</v>
      </c>
      <c r="B106" t="str">
        <f>"1457970568"</f>
        <v>1457970568</v>
      </c>
      <c r="C106" t="str">
        <f>"363A00000X"</f>
        <v>363A00000X</v>
      </c>
      <c r="D106" t="str">
        <f>"HAYES                    ANDREA       P           "</f>
        <v xml:space="preserve">HAYES                    ANDREA       P           </v>
      </c>
      <c r="E106" t="str">
        <f>"MOBILE                    "</f>
        <v xml:space="preserve">MOBILE                    </v>
      </c>
      <c r="F106" t="str">
        <f t="shared" si="4"/>
        <v>AL</v>
      </c>
    </row>
    <row r="107" spans="1:6" x14ac:dyDescent="0.25">
      <c r="A107" t="str">
        <f>"000457053"</f>
        <v>000457053</v>
      </c>
      <c r="B107" t="str">
        <f>"1063866770"</f>
        <v>1063866770</v>
      </c>
      <c r="C107" t="str">
        <f>"207R00000X"</f>
        <v>207R00000X</v>
      </c>
      <c r="D107" t="str">
        <f>"BRINGUEL                 BRANDON      M           "</f>
        <v xml:space="preserve">BRINGUEL                 BRANDON      M           </v>
      </c>
      <c r="E107" t="str">
        <f>"BIRMINGHAM                "</f>
        <v xml:space="preserve">BIRMINGHAM                </v>
      </c>
      <c r="F107" t="str">
        <f t="shared" si="4"/>
        <v>AL</v>
      </c>
    </row>
    <row r="108" spans="1:6" x14ac:dyDescent="0.25">
      <c r="A108" t="str">
        <f>"000474241"</f>
        <v>000474241</v>
      </c>
      <c r="B108" t="str">
        <f>"1568665552"</f>
        <v>1568665552</v>
      </c>
      <c r="C108" t="str">
        <f>"207V00000X"</f>
        <v>207V00000X</v>
      </c>
      <c r="D108" t="str">
        <f>"ELLINGTON                DAVID        R           "</f>
        <v xml:space="preserve">ELLINGTON                DAVID        R           </v>
      </c>
      <c r="E108" t="str">
        <f>"BIRMINGHAM                "</f>
        <v xml:space="preserve">BIRMINGHAM                </v>
      </c>
      <c r="F108" t="str">
        <f t="shared" si="4"/>
        <v>AL</v>
      </c>
    </row>
    <row r="109" spans="1:6" x14ac:dyDescent="0.25">
      <c r="A109" t="str">
        <f>"000477517"</f>
        <v>000477517</v>
      </c>
      <c r="B109" t="str">
        <f>"1679992630"</f>
        <v>1679992630</v>
      </c>
      <c r="C109" t="str">
        <f>"208000000X"</f>
        <v>208000000X</v>
      </c>
      <c r="D109" t="str">
        <f>"HOLLAND                  JAYCELYN     R           "</f>
        <v xml:space="preserve">HOLLAND                  JAYCELYN     R           </v>
      </c>
      <c r="E109" t="str">
        <f>"BIRMINGHAM                "</f>
        <v xml:space="preserve">BIRMINGHAM                </v>
      </c>
      <c r="F109" t="str">
        <f t="shared" si="4"/>
        <v>AL</v>
      </c>
    </row>
    <row r="110" spans="1:6" x14ac:dyDescent="0.25">
      <c r="A110" t="str">
        <f>"000482005"</f>
        <v>000482005</v>
      </c>
      <c r="B110" t="str">
        <f>"1740438183"</f>
        <v>1740438183</v>
      </c>
      <c r="C110" t="str">
        <f>"2085R0202X"</f>
        <v>2085R0202X</v>
      </c>
      <c r="D110" t="str">
        <f>"PARK                     ELIZABETH    A           "</f>
        <v xml:space="preserve">PARK                     ELIZABETH    A           </v>
      </c>
      <c r="E110" t="str">
        <f>"MOBILE                    "</f>
        <v xml:space="preserve">MOBILE                    </v>
      </c>
      <c r="F110" t="str">
        <f t="shared" si="4"/>
        <v>AL</v>
      </c>
    </row>
    <row r="111" spans="1:6" x14ac:dyDescent="0.25">
      <c r="A111" t="str">
        <f>"000488773"</f>
        <v>000488773</v>
      </c>
      <c r="B111" t="str">
        <f>"1659041390"</f>
        <v>1659041390</v>
      </c>
      <c r="C111" t="str">
        <f>"363L00000X"</f>
        <v>363L00000X</v>
      </c>
      <c r="D111" t="str">
        <f>"PIERCE                   ALLYSON      J           "</f>
        <v xml:space="preserve">PIERCE                   ALLYSON      J           </v>
      </c>
      <c r="E111" t="str">
        <f>"MOBILE                    "</f>
        <v xml:space="preserve">MOBILE                    </v>
      </c>
      <c r="F111" t="str">
        <f t="shared" si="4"/>
        <v>AL</v>
      </c>
    </row>
    <row r="112" spans="1:6" x14ac:dyDescent="0.25">
      <c r="A112" t="str">
        <f>"000501851"</f>
        <v>000501851</v>
      </c>
      <c r="B112" t="str">
        <f>"1578784518"</f>
        <v>1578784518</v>
      </c>
      <c r="C112" t="str">
        <f>"207ZP0105X"</f>
        <v>207ZP0105X</v>
      </c>
      <c r="D112" t="str">
        <f>"LIMA                     JOSE         L           "</f>
        <v xml:space="preserve">LIMA                     JOSE         L           </v>
      </c>
      <c r="E112" t="str">
        <f>"BIRMINGHAM                "</f>
        <v xml:space="preserve">BIRMINGHAM                </v>
      </c>
      <c r="F112" t="str">
        <f t="shared" si="4"/>
        <v>AL</v>
      </c>
    </row>
    <row r="113" spans="1:6" x14ac:dyDescent="0.25">
      <c r="A113" t="str">
        <f>"000528721"</f>
        <v>000528721</v>
      </c>
      <c r="B113" t="str">
        <f>"1952342529"</f>
        <v>1952342529</v>
      </c>
      <c r="C113" t="str">
        <f>"207RN0300X"</f>
        <v>207RN0300X</v>
      </c>
      <c r="D113" t="str">
        <f>"COLE                     JONATHAN                 "</f>
        <v xml:space="preserve">COLE                     JONATHAN                 </v>
      </c>
      <c r="E113" t="str">
        <f>"MOBILE                    "</f>
        <v xml:space="preserve">MOBILE                    </v>
      </c>
      <c r="F113" t="str">
        <f t="shared" si="4"/>
        <v>AL</v>
      </c>
    </row>
    <row r="114" spans="1:6" x14ac:dyDescent="0.25">
      <c r="A114" t="str">
        <f>"000570257"</f>
        <v>000570257</v>
      </c>
      <c r="B114" t="str">
        <f>"1073533824"</f>
        <v>1073533824</v>
      </c>
      <c r="C114" t="str">
        <f>"207RN0300X"</f>
        <v>207RN0300X</v>
      </c>
      <c r="D114" t="str">
        <f>"TOLWANI                  ASHITA       J           "</f>
        <v xml:space="preserve">TOLWANI                  ASHITA       J           </v>
      </c>
      <c r="E114" t="str">
        <f>"BIRMINGHAM                "</f>
        <v xml:space="preserve">BIRMINGHAM                </v>
      </c>
      <c r="F114" t="str">
        <f t="shared" si="4"/>
        <v>AL</v>
      </c>
    </row>
    <row r="115" spans="1:6" x14ac:dyDescent="0.25">
      <c r="A115" t="str">
        <f>"000578391"</f>
        <v>000578391</v>
      </c>
      <c r="B115" t="str">
        <f>"1992065940"</f>
        <v>1992065940</v>
      </c>
      <c r="C115" t="str">
        <f>"207X00000X"</f>
        <v>207X00000X</v>
      </c>
      <c r="D115" t="str">
        <f>"JOHNSON                  JOSEPH       P           "</f>
        <v xml:space="preserve">JOHNSON                  JOSEPH       P           </v>
      </c>
      <c r="E115" t="str">
        <f>"BIRMINGHAM                "</f>
        <v xml:space="preserve">BIRMINGHAM                </v>
      </c>
      <c r="F115" t="str">
        <f t="shared" si="4"/>
        <v>AL</v>
      </c>
    </row>
    <row r="116" spans="1:6" x14ac:dyDescent="0.25">
      <c r="A116" t="str">
        <f>"000608532"</f>
        <v>000608532</v>
      </c>
      <c r="B116" t="str">
        <f>"1033146790"</f>
        <v>1033146790</v>
      </c>
      <c r="C116" t="str">
        <f>"207R00000X"</f>
        <v>207R00000X</v>
      </c>
      <c r="D116" t="str">
        <f>"KUMAR                    VINEETA                  "</f>
        <v xml:space="preserve">KUMAR                    VINEETA                  </v>
      </c>
      <c r="E116" t="str">
        <f>"BIRMINGHAM                "</f>
        <v xml:space="preserve">BIRMINGHAM                </v>
      </c>
      <c r="F116" t="str">
        <f t="shared" si="4"/>
        <v>AL</v>
      </c>
    </row>
    <row r="117" spans="1:6" x14ac:dyDescent="0.25">
      <c r="A117" t="str">
        <f>"000608851"</f>
        <v>000608851</v>
      </c>
      <c r="B117" t="str">
        <f>"1558639567"</f>
        <v>1558639567</v>
      </c>
      <c r="C117" t="str">
        <f>"363A00000X"</f>
        <v>363A00000X</v>
      </c>
      <c r="D117" t="str">
        <f>"THOMPSON                 TARYN        R           "</f>
        <v xml:space="preserve">THOMPSON                 TARYN        R           </v>
      </c>
      <c r="E117" t="str">
        <f>"MOBILE                    "</f>
        <v xml:space="preserve">MOBILE                    </v>
      </c>
      <c r="F117" t="str">
        <f t="shared" si="4"/>
        <v>AL</v>
      </c>
    </row>
    <row r="118" spans="1:6" x14ac:dyDescent="0.25">
      <c r="A118" t="str">
        <f>"000626877"</f>
        <v>000626877</v>
      </c>
      <c r="B118" t="str">
        <f>"1306136692"</f>
        <v>1306136692</v>
      </c>
      <c r="C118" t="str">
        <f>"207R00000X"</f>
        <v>207R00000X</v>
      </c>
      <c r="D118" t="str">
        <f>"RUDEMILLER               KYLE         J           "</f>
        <v xml:space="preserve">RUDEMILLER               KYLE         J           </v>
      </c>
      <c r="E118" t="str">
        <f>"BIRMINGHAM                "</f>
        <v xml:space="preserve">BIRMINGHAM                </v>
      </c>
      <c r="F118" t="str">
        <f t="shared" si="4"/>
        <v>AL</v>
      </c>
    </row>
    <row r="119" spans="1:6" x14ac:dyDescent="0.25">
      <c r="A119" t="str">
        <f>"000630301"</f>
        <v>000630301</v>
      </c>
      <c r="B119" t="str">
        <f>"1518352335"</f>
        <v>1518352335</v>
      </c>
      <c r="C119" t="str">
        <f>"2084N0400X"</f>
        <v>2084N0400X</v>
      </c>
      <c r="D119" t="str">
        <f>"VO                       QUYNH                    "</f>
        <v xml:space="preserve">VO                       QUYNH                    </v>
      </c>
      <c r="E119" t="str">
        <f>"BIRMINGHAM                "</f>
        <v xml:space="preserve">BIRMINGHAM                </v>
      </c>
      <c r="F119" t="str">
        <f t="shared" si="4"/>
        <v>AL</v>
      </c>
    </row>
    <row r="120" spans="1:6" x14ac:dyDescent="0.25">
      <c r="A120" t="str">
        <f>"000637099"</f>
        <v>000637099</v>
      </c>
      <c r="B120" t="str">
        <f>"1003427626"</f>
        <v>1003427626</v>
      </c>
      <c r="C120" t="str">
        <f>"363A00000X"</f>
        <v>363A00000X</v>
      </c>
      <c r="D120" t="str">
        <f>"BEEBE                    RACHEL       W           "</f>
        <v xml:space="preserve">BEEBE                    RACHEL       W           </v>
      </c>
      <c r="E120" t="str">
        <f>"MOBILE                    "</f>
        <v xml:space="preserve">MOBILE                    </v>
      </c>
      <c r="F120" t="str">
        <f t="shared" si="4"/>
        <v>AL</v>
      </c>
    </row>
    <row r="121" spans="1:6" x14ac:dyDescent="0.25">
      <c r="A121" t="str">
        <f>"000733720"</f>
        <v>000733720</v>
      </c>
      <c r="B121" t="str">
        <f>"1104930916"</f>
        <v>1104930916</v>
      </c>
      <c r="C121" t="str">
        <f>"207RE0101X"</f>
        <v>207RE0101X</v>
      </c>
      <c r="D121" t="str">
        <f>"OVALLE                   FERNANDO                 "</f>
        <v xml:space="preserve">OVALLE                   FERNANDO                 </v>
      </c>
      <c r="E121" t="str">
        <f>"BIRMINGHAM                "</f>
        <v xml:space="preserve">BIRMINGHAM                </v>
      </c>
      <c r="F121" t="str">
        <f t="shared" si="4"/>
        <v>AL</v>
      </c>
    </row>
    <row r="122" spans="1:6" x14ac:dyDescent="0.25">
      <c r="A122" t="str">
        <f>"000770136"</f>
        <v>000770136</v>
      </c>
      <c r="B122" t="str">
        <f>"1720044522"</f>
        <v>1720044522</v>
      </c>
      <c r="C122" t="str">
        <f>"261QA1903X"</f>
        <v>261QA1903X</v>
      </c>
      <c r="D122" t="str">
        <f>"SURGICARE OF MOBILE                               "</f>
        <v xml:space="preserve">SURGICARE OF MOBILE                               </v>
      </c>
      <c r="E122" t="str">
        <f>"MOBILE                    "</f>
        <v xml:space="preserve">MOBILE                    </v>
      </c>
      <c r="F122" t="str">
        <f t="shared" si="4"/>
        <v>AL</v>
      </c>
    </row>
    <row r="123" spans="1:6" x14ac:dyDescent="0.25">
      <c r="A123" t="str">
        <f>"000784795"</f>
        <v>000784795</v>
      </c>
      <c r="B123" t="str">
        <f>"1184105900"</f>
        <v>1184105900</v>
      </c>
      <c r="C123" t="str">
        <f>"2085R0202X"</f>
        <v>2085R0202X</v>
      </c>
      <c r="D123" t="str">
        <f>"ABOZEED                  MOSTAFA                  "</f>
        <v xml:space="preserve">ABOZEED                  MOSTAFA                  </v>
      </c>
      <c r="E123" t="str">
        <f>"BIRMINGHAM                "</f>
        <v xml:space="preserve">BIRMINGHAM                </v>
      </c>
      <c r="F123" t="str">
        <f t="shared" si="4"/>
        <v>AL</v>
      </c>
    </row>
    <row r="124" spans="1:6" x14ac:dyDescent="0.25">
      <c r="A124" t="str">
        <f>"000786595"</f>
        <v>000786595</v>
      </c>
      <c r="B124" t="str">
        <f>"1003401464"</f>
        <v>1003401464</v>
      </c>
      <c r="C124" t="str">
        <f>"208600000X"</f>
        <v>208600000X</v>
      </c>
      <c r="D124" t="str">
        <f>"MCNALLY                  ALEXANDER                "</f>
        <v xml:space="preserve">MCNALLY                  ALEXANDER                </v>
      </c>
      <c r="E124" t="str">
        <f>"MOBILE                    "</f>
        <v xml:space="preserve">MOBILE                    </v>
      </c>
      <c r="F124" t="str">
        <f t="shared" si="4"/>
        <v>AL</v>
      </c>
    </row>
    <row r="125" spans="1:6" x14ac:dyDescent="0.25">
      <c r="A125" t="str">
        <f>"000822851"</f>
        <v>000822851</v>
      </c>
      <c r="B125" t="str">
        <f>"1477920528"</f>
        <v>1477920528</v>
      </c>
      <c r="C125" t="str">
        <f>"207RN0300X"</f>
        <v>207RN0300X</v>
      </c>
      <c r="D125" t="str">
        <f>"AL JABER                 EMAD         K           "</f>
        <v xml:space="preserve">AL JABER                 EMAD         K           </v>
      </c>
      <c r="E125" t="str">
        <f>"MOBILE                    "</f>
        <v xml:space="preserve">MOBILE                    </v>
      </c>
      <c r="F125" t="str">
        <f t="shared" si="4"/>
        <v>AL</v>
      </c>
    </row>
    <row r="126" spans="1:6" x14ac:dyDescent="0.25">
      <c r="A126" t="str">
        <f>"000827872"</f>
        <v>000827872</v>
      </c>
      <c r="B126" t="str">
        <f>"1225558323"</f>
        <v>1225558323</v>
      </c>
      <c r="C126" t="str">
        <f>"363L00000X"</f>
        <v>363L00000X</v>
      </c>
      <c r="D126" t="str">
        <f>"COCHRAN                  MELISSA                  "</f>
        <v xml:space="preserve">COCHRAN                  MELISSA                  </v>
      </c>
      <c r="E126" t="str">
        <f>"MOBILE                    "</f>
        <v xml:space="preserve">MOBILE                    </v>
      </c>
      <c r="F126" t="str">
        <f t="shared" si="4"/>
        <v>AL</v>
      </c>
    </row>
    <row r="127" spans="1:6" x14ac:dyDescent="0.25">
      <c r="A127" t="str">
        <f>"000851319"</f>
        <v>000851319</v>
      </c>
      <c r="B127" t="str">
        <f>"1164471546"</f>
        <v>1164471546</v>
      </c>
      <c r="C127" t="str">
        <f>"207R00000X"</f>
        <v>207R00000X</v>
      </c>
      <c r="D127" t="str">
        <f>"TARAKJI                  HOSSAM                   "</f>
        <v xml:space="preserve">TARAKJI                  HOSSAM                   </v>
      </c>
      <c r="E127" t="str">
        <f>"CHATOM                    "</f>
        <v xml:space="preserve">CHATOM                    </v>
      </c>
      <c r="F127" t="str">
        <f t="shared" si="4"/>
        <v>AL</v>
      </c>
    </row>
    <row r="128" spans="1:6" x14ac:dyDescent="0.25">
      <c r="A128" t="str">
        <f>"000853577"</f>
        <v>000853577</v>
      </c>
      <c r="B128" t="str">
        <f>"1255693149"</f>
        <v>1255693149</v>
      </c>
      <c r="C128" t="str">
        <f>"207VM0101X"</f>
        <v>207VM0101X</v>
      </c>
      <c r="D128" t="str">
        <f>"PEREZ                    WILLIAM      M           "</f>
        <v xml:space="preserve">PEREZ                    WILLIAM      M           </v>
      </c>
      <c r="E128" t="str">
        <f>"MOBILE                    "</f>
        <v xml:space="preserve">MOBILE                    </v>
      </c>
      <c r="F128" t="str">
        <f t="shared" si="4"/>
        <v>AL</v>
      </c>
    </row>
    <row r="129" spans="1:6" x14ac:dyDescent="0.25">
      <c r="A129" t="str">
        <f>"000857701"</f>
        <v>000857701</v>
      </c>
      <c r="B129" t="str">
        <f>"1275644510"</f>
        <v>1275644510</v>
      </c>
      <c r="C129" t="str">
        <f>"2085R0202X"</f>
        <v>2085R0202X</v>
      </c>
      <c r="D129" t="str">
        <f>"STANDLEY                 TODD         B           "</f>
        <v xml:space="preserve">STANDLEY                 TODD         B           </v>
      </c>
      <c r="E129" t="str">
        <f>"MOBILE                    "</f>
        <v xml:space="preserve">MOBILE                    </v>
      </c>
      <c r="F129" t="str">
        <f t="shared" si="4"/>
        <v>AL</v>
      </c>
    </row>
    <row r="130" spans="1:6" x14ac:dyDescent="0.25">
      <c r="A130" t="str">
        <f>"000878070"</f>
        <v>000878070</v>
      </c>
      <c r="B130" t="str">
        <f>"1962442186"</f>
        <v>1962442186</v>
      </c>
      <c r="C130" t="str">
        <f>"207RC0000X"</f>
        <v>207RC0000X</v>
      </c>
      <c r="D130" t="str">
        <f>"BROTT                    BRIGITTA     C           "</f>
        <v xml:space="preserve">BROTT                    BRIGITTA     C           </v>
      </c>
      <c r="E130" t="str">
        <f>"BIRMINGHAM                "</f>
        <v xml:space="preserve">BIRMINGHAM                </v>
      </c>
      <c r="F130" t="str">
        <f t="shared" si="4"/>
        <v>AL</v>
      </c>
    </row>
    <row r="131" spans="1:6" x14ac:dyDescent="0.25">
      <c r="A131" t="str">
        <f>"000879254"</f>
        <v>000879254</v>
      </c>
      <c r="B131" t="str">
        <f>"1407284292"</f>
        <v>1407284292</v>
      </c>
      <c r="C131" t="str">
        <f>"363L00000X"</f>
        <v>363L00000X</v>
      </c>
      <c r="D131" t="str">
        <f>"MITCHELL                 RACHEL       H           "</f>
        <v xml:space="preserve">MITCHELL                 RACHEL       H           </v>
      </c>
      <c r="E131" t="str">
        <f>"BIRMINGHAM                "</f>
        <v xml:space="preserve">BIRMINGHAM                </v>
      </c>
      <c r="F131" t="str">
        <f t="shared" si="4"/>
        <v>AL</v>
      </c>
    </row>
    <row r="132" spans="1:6" x14ac:dyDescent="0.25">
      <c r="A132" t="str">
        <f>"000887813"</f>
        <v>000887813</v>
      </c>
      <c r="B132" t="str">
        <f>"1619111200"</f>
        <v>1619111200</v>
      </c>
      <c r="C132" t="str">
        <f>"208800000X"</f>
        <v>208800000X</v>
      </c>
      <c r="D132" t="str">
        <f>"KEEL                     CHRISTOPHER              "</f>
        <v xml:space="preserve">KEEL                     CHRISTOPHER              </v>
      </c>
      <c r="E132" t="str">
        <f>"MOBILE                    "</f>
        <v xml:space="preserve">MOBILE                    </v>
      </c>
      <c r="F132" t="str">
        <f t="shared" si="4"/>
        <v>AL</v>
      </c>
    </row>
    <row r="133" spans="1:6" x14ac:dyDescent="0.25">
      <c r="A133" t="str">
        <f>"000922725"</f>
        <v>000922725</v>
      </c>
      <c r="B133" t="str">
        <f>"1871918896"</f>
        <v>1871918896</v>
      </c>
      <c r="C133" t="str">
        <f>"363L00000X"</f>
        <v>363L00000X</v>
      </c>
      <c r="D133" t="str">
        <f>"SKIFIC                   KAREN                    "</f>
        <v xml:space="preserve">SKIFIC                   KAREN                    </v>
      </c>
      <c r="E133" t="str">
        <f>"MOBILE                    "</f>
        <v xml:space="preserve">MOBILE                    </v>
      </c>
      <c r="F133" t="str">
        <f t="shared" si="4"/>
        <v>AL</v>
      </c>
    </row>
    <row r="134" spans="1:6" x14ac:dyDescent="0.25">
      <c r="A134" t="str">
        <f>"000924057"</f>
        <v>000924057</v>
      </c>
      <c r="B134" t="str">
        <f>"1700198082"</f>
        <v>1700198082</v>
      </c>
      <c r="C134" t="str">
        <f>"2086S0120X"</f>
        <v>2086S0120X</v>
      </c>
      <c r="D134" t="str">
        <f>"ONWUBIKO                 CHINWENDU                "</f>
        <v xml:space="preserve">ONWUBIKO                 CHINWENDU                </v>
      </c>
      <c r="E134" t="str">
        <f>"BIRMINGHAM                "</f>
        <v xml:space="preserve">BIRMINGHAM                </v>
      </c>
      <c r="F134" t="str">
        <f t="shared" si="4"/>
        <v>AL</v>
      </c>
    </row>
    <row r="135" spans="1:6" x14ac:dyDescent="0.25">
      <c r="A135" t="str">
        <f>"000926817"</f>
        <v>000926817</v>
      </c>
      <c r="B135" t="str">
        <f>"1386105864"</f>
        <v>1386105864</v>
      </c>
      <c r="C135" t="str">
        <f>"207P00000X"</f>
        <v>207P00000X</v>
      </c>
      <c r="D135" t="str">
        <f>"MUSSELWHITE              CHRISTOPHER  C           "</f>
        <v xml:space="preserve">MUSSELWHITE              CHRISTOPHER  C           </v>
      </c>
      <c r="E135" t="str">
        <f>"MOBILE                    "</f>
        <v xml:space="preserve">MOBILE                    </v>
      </c>
      <c r="F135" t="str">
        <f t="shared" ref="F135:F198" si="7">"AL"</f>
        <v>AL</v>
      </c>
    </row>
    <row r="136" spans="1:6" x14ac:dyDescent="0.25">
      <c r="A136" t="str">
        <f>"000939897"</f>
        <v>000939897</v>
      </c>
      <c r="B136" t="str">
        <f>"1235667429"</f>
        <v>1235667429</v>
      </c>
      <c r="C136" t="str">
        <f>"363L00000X"</f>
        <v>363L00000X</v>
      </c>
      <c r="D136" t="str">
        <f>"BOGART                   HEATHER      A           "</f>
        <v xml:space="preserve">BOGART                   HEATHER      A           </v>
      </c>
      <c r="E136" t="str">
        <f>"MOBILE                    "</f>
        <v xml:space="preserve">MOBILE                    </v>
      </c>
      <c r="F136" t="str">
        <f t="shared" si="7"/>
        <v>AL</v>
      </c>
    </row>
    <row r="137" spans="1:6" x14ac:dyDescent="0.25">
      <c r="A137" t="str">
        <f>"000970304"</f>
        <v>000970304</v>
      </c>
      <c r="B137" t="str">
        <f>"1871596205"</f>
        <v>1871596205</v>
      </c>
      <c r="C137" t="str">
        <f>"207P00000X"</f>
        <v>207P00000X</v>
      </c>
      <c r="D137" t="str">
        <f>"TRAMMELL, JR             DALE                     "</f>
        <v xml:space="preserve">TRAMMELL, JR             DALE                     </v>
      </c>
      <c r="E137" t="str">
        <f>"RED BAY                   "</f>
        <v xml:space="preserve">RED BAY                   </v>
      </c>
      <c r="F137" t="str">
        <f t="shared" si="7"/>
        <v>AL</v>
      </c>
    </row>
    <row r="138" spans="1:6" x14ac:dyDescent="0.25">
      <c r="A138" t="str">
        <f>"000974552"</f>
        <v>000974552</v>
      </c>
      <c r="B138" t="str">
        <f>"1700820339"</f>
        <v>1700820339</v>
      </c>
      <c r="C138" t="str">
        <f>"2085R0001X"</f>
        <v>2085R0001X</v>
      </c>
      <c r="D138" t="str">
        <f>"FIVEASH                  JOHN         B           "</f>
        <v xml:space="preserve">FIVEASH                  JOHN         B           </v>
      </c>
      <c r="E138" t="str">
        <f>"BIRMINGHAM                "</f>
        <v xml:space="preserve">BIRMINGHAM                </v>
      </c>
      <c r="F138" t="str">
        <f t="shared" si="7"/>
        <v>AL</v>
      </c>
    </row>
    <row r="139" spans="1:6" x14ac:dyDescent="0.25">
      <c r="A139" t="str">
        <f>"000984216"</f>
        <v>000984216</v>
      </c>
      <c r="B139" t="str">
        <f>"1568946101"</f>
        <v>1568946101</v>
      </c>
      <c r="C139" t="str">
        <f>"363L00000X"</f>
        <v>363L00000X</v>
      </c>
      <c r="D139" t="str">
        <f>"WOOD                     AMANDA       L           "</f>
        <v xml:space="preserve">WOOD                     AMANDA       L           </v>
      </c>
      <c r="E139" t="str">
        <f>"MOBILE                    "</f>
        <v xml:space="preserve">MOBILE                    </v>
      </c>
      <c r="F139" t="str">
        <f t="shared" si="7"/>
        <v>AL</v>
      </c>
    </row>
    <row r="140" spans="1:6" x14ac:dyDescent="0.25">
      <c r="A140" t="str">
        <f>"001007059"</f>
        <v>001007059</v>
      </c>
      <c r="B140" t="str">
        <f>"1568857993"</f>
        <v>1568857993</v>
      </c>
      <c r="C140" t="str">
        <f>"208000000X"</f>
        <v>208000000X</v>
      </c>
      <c r="D140" t="str">
        <f>"ROWELL                   FREDERICK    W           "</f>
        <v xml:space="preserve">ROWELL                   FREDERICK    W           </v>
      </c>
      <c r="E140" t="str">
        <f>"MOBILE                    "</f>
        <v xml:space="preserve">MOBILE                    </v>
      </c>
      <c r="F140" t="str">
        <f t="shared" si="7"/>
        <v>AL</v>
      </c>
    </row>
    <row r="141" spans="1:6" x14ac:dyDescent="0.25">
      <c r="A141" t="str">
        <f>"001035331"</f>
        <v>001035331</v>
      </c>
      <c r="B141" t="str">
        <f>"1740227016"</f>
        <v>1740227016</v>
      </c>
      <c r="C141" t="str">
        <f>"363L00000X"</f>
        <v>363L00000X</v>
      </c>
      <c r="D141" t="str">
        <f>"DINGES                   DEBRA        P           "</f>
        <v xml:space="preserve">DINGES                   DEBRA        P           </v>
      </c>
      <c r="E141" t="str">
        <f>"FLORENCE                  "</f>
        <v xml:space="preserve">FLORENCE                  </v>
      </c>
      <c r="F141" t="str">
        <f t="shared" si="7"/>
        <v>AL</v>
      </c>
    </row>
    <row r="142" spans="1:6" x14ac:dyDescent="0.25">
      <c r="A142" t="str">
        <f>"001057748"</f>
        <v>001057748</v>
      </c>
      <c r="B142" t="str">
        <f>"1841451101"</f>
        <v>1841451101</v>
      </c>
      <c r="C142" t="str">
        <f>"207R00000X"</f>
        <v>207R00000X</v>
      </c>
      <c r="D142" t="str">
        <f>"HWANGPO                  TRACY        A           "</f>
        <v xml:space="preserve">HWANGPO                  TRACY        A           </v>
      </c>
      <c r="E142" t="str">
        <f>"BIRMINGHAM                "</f>
        <v xml:space="preserve">BIRMINGHAM                </v>
      </c>
      <c r="F142" t="str">
        <f t="shared" si="7"/>
        <v>AL</v>
      </c>
    </row>
    <row r="143" spans="1:6" x14ac:dyDescent="0.25">
      <c r="A143" t="str">
        <f>"001105821"</f>
        <v>001105821</v>
      </c>
      <c r="B143" t="str">
        <f>"1548392228"</f>
        <v>1548392228</v>
      </c>
      <c r="C143" t="str">
        <f>"363L00000X"</f>
        <v>363L00000X</v>
      </c>
      <c r="D143" t="str">
        <f>"MAIOLA                   ANGELA       D           "</f>
        <v xml:space="preserve">MAIOLA                   ANGELA       D           </v>
      </c>
      <c r="E143" t="str">
        <f>"BIRMINGHAM                "</f>
        <v xml:space="preserve">BIRMINGHAM                </v>
      </c>
      <c r="F143" t="str">
        <f t="shared" si="7"/>
        <v>AL</v>
      </c>
    </row>
    <row r="144" spans="1:6" x14ac:dyDescent="0.25">
      <c r="A144" t="str">
        <f>"001108321"</f>
        <v>001108321</v>
      </c>
      <c r="B144" t="str">
        <f>"1861469546"</f>
        <v>1861469546</v>
      </c>
      <c r="C144" t="str">
        <f>"2084N0400X"</f>
        <v>2084N0400X</v>
      </c>
      <c r="D144" t="str">
        <f>"DEWOLFE                  JENNIFER     L           "</f>
        <v xml:space="preserve">DEWOLFE                  JENNIFER     L           </v>
      </c>
      <c r="E144" t="str">
        <f>"BIRMINGHAM                "</f>
        <v xml:space="preserve">BIRMINGHAM                </v>
      </c>
      <c r="F144" t="str">
        <f t="shared" si="7"/>
        <v>AL</v>
      </c>
    </row>
    <row r="145" spans="1:6" x14ac:dyDescent="0.25">
      <c r="A145" t="str">
        <f>"001137355"</f>
        <v>001137355</v>
      </c>
      <c r="B145" t="str">
        <f>"1063602449"</f>
        <v>1063602449</v>
      </c>
      <c r="C145" t="str">
        <f>"207RN0300X"</f>
        <v>207RN0300X</v>
      </c>
      <c r="D145" t="str">
        <f>"CORBELLO                 JESSE        M           "</f>
        <v xml:space="preserve">CORBELLO                 JESSE        M           </v>
      </c>
      <c r="E145" t="str">
        <f>"MOBILE                    "</f>
        <v xml:space="preserve">MOBILE                    </v>
      </c>
      <c r="F145" t="str">
        <f t="shared" si="7"/>
        <v>AL</v>
      </c>
    </row>
    <row r="146" spans="1:6" x14ac:dyDescent="0.25">
      <c r="A146" t="str">
        <f>"001137539"</f>
        <v>001137539</v>
      </c>
      <c r="B146" t="str">
        <f>"1972706067"</f>
        <v>1972706067</v>
      </c>
      <c r="C146" t="str">
        <f>"207R00000X"</f>
        <v>207R00000X</v>
      </c>
      <c r="D146" t="str">
        <f>"JUDD                     ERIC         K           "</f>
        <v xml:space="preserve">JUDD                     ERIC         K           </v>
      </c>
      <c r="E146" t="str">
        <f>"BIRMINGHAM                "</f>
        <v xml:space="preserve">BIRMINGHAM                </v>
      </c>
      <c r="F146" t="str">
        <f t="shared" si="7"/>
        <v>AL</v>
      </c>
    </row>
    <row r="147" spans="1:6" x14ac:dyDescent="0.25">
      <c r="A147" t="str">
        <f>"001151827"</f>
        <v>001151827</v>
      </c>
      <c r="B147" t="str">
        <f>"1184913691"</f>
        <v>1184913691</v>
      </c>
      <c r="C147" t="str">
        <f>"207P00000X"</f>
        <v>207P00000X</v>
      </c>
      <c r="D147" t="str">
        <f>"GREENE                   CHRISTOPHER  J           "</f>
        <v xml:space="preserve">GREENE                   CHRISTOPHER  J           </v>
      </c>
      <c r="E147" t="str">
        <f>"BIRMINGHAM                "</f>
        <v xml:space="preserve">BIRMINGHAM                </v>
      </c>
      <c r="F147" t="str">
        <f t="shared" si="7"/>
        <v>AL</v>
      </c>
    </row>
    <row r="148" spans="1:6" x14ac:dyDescent="0.25">
      <c r="A148" t="str">
        <f>"001152554"</f>
        <v>001152554</v>
      </c>
      <c r="B148" t="str">
        <f>"1316430739"</f>
        <v>1316430739</v>
      </c>
      <c r="C148" t="str">
        <f>"363L00000X"</f>
        <v>363L00000X</v>
      </c>
      <c r="D148" t="str">
        <f>"BRANTLEY                 KAITLIN                  "</f>
        <v xml:space="preserve">BRANTLEY                 KAITLIN                  </v>
      </c>
      <c r="E148" t="str">
        <f>"MOBILE                    "</f>
        <v xml:space="preserve">MOBILE                    </v>
      </c>
      <c r="F148" t="str">
        <f t="shared" si="7"/>
        <v>AL</v>
      </c>
    </row>
    <row r="149" spans="1:6" x14ac:dyDescent="0.25">
      <c r="A149" t="str">
        <f>"001157843"</f>
        <v>001157843</v>
      </c>
      <c r="B149" t="str">
        <f>"1114360047"</f>
        <v>1114360047</v>
      </c>
      <c r="C149" t="str">
        <f>"207R00000X"</f>
        <v>207R00000X</v>
      </c>
      <c r="D149" t="str">
        <f>"BASHAM                   MARY         M           "</f>
        <v xml:space="preserve">BASHAM                   MARY         M           </v>
      </c>
      <c r="E149" t="str">
        <f>"BIRMINGHAM                "</f>
        <v xml:space="preserve">BIRMINGHAM                </v>
      </c>
      <c r="F149" t="str">
        <f t="shared" si="7"/>
        <v>AL</v>
      </c>
    </row>
    <row r="150" spans="1:6" x14ac:dyDescent="0.25">
      <c r="A150" t="str">
        <f>"001207841"</f>
        <v>001207841</v>
      </c>
      <c r="B150" t="str">
        <f>"1265732994"</f>
        <v>1265732994</v>
      </c>
      <c r="C150" t="str">
        <f>"363L00000X"</f>
        <v>363L00000X</v>
      </c>
      <c r="D150" t="str">
        <f>"MINCHEW                  LEIGH        A           "</f>
        <v xml:space="preserve">MINCHEW                  LEIGH        A           </v>
      </c>
      <c r="E150" t="str">
        <f>"MOBILE                    "</f>
        <v xml:space="preserve">MOBILE                    </v>
      </c>
      <c r="F150" t="str">
        <f t="shared" si="7"/>
        <v>AL</v>
      </c>
    </row>
    <row r="151" spans="1:6" x14ac:dyDescent="0.25">
      <c r="A151" t="str">
        <f>"001208334"</f>
        <v>001208334</v>
      </c>
      <c r="B151" t="str">
        <f>"1255738332"</f>
        <v>1255738332</v>
      </c>
      <c r="C151" t="str">
        <f>"363L00000X"</f>
        <v>363L00000X</v>
      </c>
      <c r="D151" t="str">
        <f>"KELLY                    AMANDA       M           "</f>
        <v xml:space="preserve">KELLY                    AMANDA       M           </v>
      </c>
      <c r="E151" t="str">
        <f>"MOBILE                    "</f>
        <v xml:space="preserve">MOBILE                    </v>
      </c>
      <c r="F151" t="str">
        <f t="shared" si="7"/>
        <v>AL</v>
      </c>
    </row>
    <row r="152" spans="1:6" x14ac:dyDescent="0.25">
      <c r="A152" t="str">
        <f>"001209201"</f>
        <v>001209201</v>
      </c>
      <c r="B152" t="str">
        <f>"1043622558"</f>
        <v>1043622558</v>
      </c>
      <c r="C152" t="str">
        <f>"363A00000X"</f>
        <v>363A00000X</v>
      </c>
      <c r="D152" t="str">
        <f>"PEACE                    ASHLEY       D           "</f>
        <v xml:space="preserve">PEACE                    ASHLEY       D           </v>
      </c>
      <c r="E152" t="str">
        <f>"MOBILE                    "</f>
        <v xml:space="preserve">MOBILE                    </v>
      </c>
      <c r="F152" t="str">
        <f t="shared" si="7"/>
        <v>AL</v>
      </c>
    </row>
    <row r="153" spans="1:6" x14ac:dyDescent="0.25">
      <c r="A153" t="str">
        <f>"001260132"</f>
        <v>001260132</v>
      </c>
      <c r="B153" t="str">
        <f>"1356571400"</f>
        <v>1356571400</v>
      </c>
      <c r="C153" t="str">
        <f>"208000000X"</f>
        <v>208000000X</v>
      </c>
      <c r="D153" t="str">
        <f>"SIVANANDAM               HARI                     "</f>
        <v xml:space="preserve">SIVANANDAM               HARI                     </v>
      </c>
      <c r="E153" t="str">
        <f>"MOBILE                    "</f>
        <v xml:space="preserve">MOBILE                    </v>
      </c>
      <c r="F153" t="str">
        <f t="shared" si="7"/>
        <v>AL</v>
      </c>
    </row>
    <row r="154" spans="1:6" x14ac:dyDescent="0.25">
      <c r="A154" t="str">
        <f>"001279851"</f>
        <v>001279851</v>
      </c>
      <c r="B154" t="str">
        <f>"1184650152"</f>
        <v>1184650152</v>
      </c>
      <c r="C154" t="str">
        <f>"207RI0200X"</f>
        <v>207RI0200X</v>
      </c>
      <c r="D154" t="str">
        <f>"DELGADO                  DENNIS       G           "</f>
        <v xml:space="preserve">DELGADO                  DENNIS       G           </v>
      </c>
      <c r="E154" t="str">
        <f t="shared" ref="E154:E159" si="8">"BIRMINGHAM                "</f>
        <v xml:space="preserve">BIRMINGHAM                </v>
      </c>
      <c r="F154" t="str">
        <f t="shared" si="7"/>
        <v>AL</v>
      </c>
    </row>
    <row r="155" spans="1:6" x14ac:dyDescent="0.25">
      <c r="A155" t="str">
        <f>"001285044"</f>
        <v>001285044</v>
      </c>
      <c r="B155" t="str">
        <f>"1306051164"</f>
        <v>1306051164</v>
      </c>
      <c r="C155" t="str">
        <f>"2085R0202X"</f>
        <v>2085R0202X</v>
      </c>
      <c r="D155" t="str">
        <f>"SPANN, JR                JAMES        S           "</f>
        <v xml:space="preserve">SPANN, JR                JAMES        S           </v>
      </c>
      <c r="E155" t="str">
        <f t="shared" si="8"/>
        <v xml:space="preserve">BIRMINGHAM                </v>
      </c>
      <c r="F155" t="str">
        <f t="shared" si="7"/>
        <v>AL</v>
      </c>
    </row>
    <row r="156" spans="1:6" x14ac:dyDescent="0.25">
      <c r="A156" t="str">
        <f>"001309783"</f>
        <v>001309783</v>
      </c>
      <c r="B156" t="str">
        <f>"1376785170"</f>
        <v>1376785170</v>
      </c>
      <c r="C156" t="str">
        <f>"2086S0122X"</f>
        <v>2086S0122X</v>
      </c>
      <c r="D156" t="str">
        <f>"MYERS                    RENE         P           "</f>
        <v xml:space="preserve">MYERS                    RENE         P           </v>
      </c>
      <c r="E156" t="str">
        <f t="shared" si="8"/>
        <v xml:space="preserve">BIRMINGHAM                </v>
      </c>
      <c r="F156" t="str">
        <f t="shared" si="7"/>
        <v>AL</v>
      </c>
    </row>
    <row r="157" spans="1:6" x14ac:dyDescent="0.25">
      <c r="A157" t="str">
        <f>"001327364"</f>
        <v>001327364</v>
      </c>
      <c r="B157" t="str">
        <f>"1548292345"</f>
        <v>1548292345</v>
      </c>
      <c r="C157" t="str">
        <f>"363L00000X"</f>
        <v>363L00000X</v>
      </c>
      <c r="D157" t="str">
        <f>"MCCORMICK                RHONDA       J           "</f>
        <v xml:space="preserve">MCCORMICK                RHONDA       J           </v>
      </c>
      <c r="E157" t="str">
        <f t="shared" si="8"/>
        <v xml:space="preserve">BIRMINGHAM                </v>
      </c>
      <c r="F157" t="str">
        <f t="shared" si="7"/>
        <v>AL</v>
      </c>
    </row>
    <row r="158" spans="1:6" x14ac:dyDescent="0.25">
      <c r="A158" t="str">
        <f>"001335223"</f>
        <v>001335223</v>
      </c>
      <c r="B158" t="str">
        <f>"1023429396"</f>
        <v>1023429396</v>
      </c>
      <c r="C158" t="str">
        <f>"207N00000X"</f>
        <v>207N00000X</v>
      </c>
      <c r="D158" t="str">
        <f>"ELSTON                   CARLY        A           "</f>
        <v xml:space="preserve">ELSTON                   CARLY        A           </v>
      </c>
      <c r="E158" t="str">
        <f t="shared" si="8"/>
        <v xml:space="preserve">BIRMINGHAM                </v>
      </c>
      <c r="F158" t="str">
        <f t="shared" si="7"/>
        <v>AL</v>
      </c>
    </row>
    <row r="159" spans="1:6" x14ac:dyDescent="0.25">
      <c r="A159" t="str">
        <f>"001338341"</f>
        <v>001338341</v>
      </c>
      <c r="B159" t="str">
        <f>"1740265958"</f>
        <v>1740265958</v>
      </c>
      <c r="C159" t="str">
        <f>"207R00000X"</f>
        <v>207R00000X</v>
      </c>
      <c r="D159" t="str">
        <f>"WELLS                    GRETCHEN                 "</f>
        <v xml:space="preserve">WELLS                    GRETCHEN                 </v>
      </c>
      <c r="E159" t="str">
        <f t="shared" si="8"/>
        <v xml:space="preserve">BIRMINGHAM                </v>
      </c>
      <c r="F159" t="str">
        <f t="shared" si="7"/>
        <v>AL</v>
      </c>
    </row>
    <row r="160" spans="1:6" x14ac:dyDescent="0.25">
      <c r="A160" t="str">
        <f>"001351373"</f>
        <v>001351373</v>
      </c>
      <c r="B160" t="str">
        <f>"1699352880"</f>
        <v>1699352880</v>
      </c>
      <c r="C160" t="str">
        <f>"208600000X"</f>
        <v>208600000X</v>
      </c>
      <c r="D160" t="str">
        <f>"OYETAN                   OREOLUWA                 "</f>
        <v xml:space="preserve">OYETAN                   OREOLUWA                 </v>
      </c>
      <c r="E160" t="str">
        <f>"MOBILE                    "</f>
        <v xml:space="preserve">MOBILE                    </v>
      </c>
      <c r="F160" t="str">
        <f t="shared" si="7"/>
        <v>AL</v>
      </c>
    </row>
    <row r="161" spans="1:6" x14ac:dyDescent="0.25">
      <c r="A161" t="str">
        <f>"001372204"</f>
        <v>001372204</v>
      </c>
      <c r="B161" t="str">
        <f>"1497287353"</f>
        <v>1497287353</v>
      </c>
      <c r="C161" t="str">
        <f>"208M00000X"</f>
        <v>208M00000X</v>
      </c>
      <c r="D161" t="str">
        <f>"HUJIER                   FARES                    "</f>
        <v xml:space="preserve">HUJIER                   FARES                    </v>
      </c>
      <c r="E161" t="str">
        <f>"MOBILE                    "</f>
        <v xml:space="preserve">MOBILE                    </v>
      </c>
      <c r="F161" t="str">
        <f t="shared" si="7"/>
        <v>AL</v>
      </c>
    </row>
    <row r="162" spans="1:6" x14ac:dyDescent="0.25">
      <c r="A162" t="str">
        <f>"001377070"</f>
        <v>001377070</v>
      </c>
      <c r="B162" t="str">
        <f>"1013127315"</f>
        <v>1013127315</v>
      </c>
      <c r="C162" t="str">
        <f>"207ZP0102X"</f>
        <v>207ZP0102X</v>
      </c>
      <c r="D162" t="str">
        <f>"COUNCIL                  LEONA        N           "</f>
        <v xml:space="preserve">COUNCIL                  LEONA        N           </v>
      </c>
      <c r="E162" t="str">
        <f>"BIRMINGHAM                "</f>
        <v xml:space="preserve">BIRMINGHAM                </v>
      </c>
      <c r="F162" t="str">
        <f t="shared" si="7"/>
        <v>AL</v>
      </c>
    </row>
    <row r="163" spans="1:6" x14ac:dyDescent="0.25">
      <c r="A163" t="str">
        <f>"001379519"</f>
        <v>001379519</v>
      </c>
      <c r="B163" t="str">
        <f>"1548686660"</f>
        <v>1548686660</v>
      </c>
      <c r="C163" t="str">
        <f>"363L00000X"</f>
        <v>363L00000X</v>
      </c>
      <c r="D163" t="str">
        <f>"CHASON                   DANIELLE     N           "</f>
        <v xml:space="preserve">CHASON                   DANIELLE     N           </v>
      </c>
      <c r="E163" t="str">
        <f>"MOBILE                    "</f>
        <v xml:space="preserve">MOBILE                    </v>
      </c>
      <c r="F163" t="str">
        <f t="shared" si="7"/>
        <v>AL</v>
      </c>
    </row>
    <row r="164" spans="1:6" x14ac:dyDescent="0.25">
      <c r="A164" t="str">
        <f>"001385712"</f>
        <v>001385712</v>
      </c>
      <c r="B164" t="str">
        <f>"1013414911"</f>
        <v>1013414911</v>
      </c>
      <c r="C164" t="str">
        <f>"208000000X"</f>
        <v>208000000X</v>
      </c>
      <c r="D164" t="str">
        <f>"WHEELER                  AUSTIN       R           "</f>
        <v xml:space="preserve">WHEELER                  AUSTIN       R           </v>
      </c>
      <c r="E164" t="str">
        <f>"BIRMINGHAM                "</f>
        <v xml:space="preserve">BIRMINGHAM                </v>
      </c>
      <c r="F164" t="str">
        <f t="shared" si="7"/>
        <v>AL</v>
      </c>
    </row>
    <row r="165" spans="1:6" x14ac:dyDescent="0.25">
      <c r="A165" t="str">
        <f>"001403741"</f>
        <v>001403741</v>
      </c>
      <c r="B165" t="str">
        <f>"1316207244"</f>
        <v>1316207244</v>
      </c>
      <c r="C165" t="str">
        <f>"2084N0400X"</f>
        <v>2084N0400X</v>
      </c>
      <c r="D165" t="str">
        <f>"JIANG                    NAN                      "</f>
        <v xml:space="preserve">JIANG                    NAN                      </v>
      </c>
      <c r="E165" t="str">
        <f>"BIRMINGHAM                "</f>
        <v xml:space="preserve">BIRMINGHAM                </v>
      </c>
      <c r="F165" t="str">
        <f t="shared" si="7"/>
        <v>AL</v>
      </c>
    </row>
    <row r="166" spans="1:6" x14ac:dyDescent="0.25">
      <c r="A166" t="str">
        <f>"001406599"</f>
        <v>001406599</v>
      </c>
      <c r="B166" t="str">
        <f>"1922544766"</f>
        <v>1922544766</v>
      </c>
      <c r="C166" t="str">
        <f>"363L00000X"</f>
        <v>363L00000X</v>
      </c>
      <c r="D166" t="str">
        <f>"CLARKE                   KELLY        A           "</f>
        <v xml:space="preserve">CLARKE                   KELLY        A           </v>
      </c>
      <c r="E166" t="str">
        <f>"MOBILE                    "</f>
        <v xml:space="preserve">MOBILE                    </v>
      </c>
      <c r="F166" t="str">
        <f t="shared" si="7"/>
        <v>AL</v>
      </c>
    </row>
    <row r="167" spans="1:6" x14ac:dyDescent="0.25">
      <c r="A167" t="str">
        <f>"001409327"</f>
        <v>001409327</v>
      </c>
      <c r="B167" t="str">
        <f>"1487954236"</f>
        <v>1487954236</v>
      </c>
      <c r="C167" t="str">
        <f>"363L00000X"</f>
        <v>363L00000X</v>
      </c>
      <c r="D167" t="str">
        <f>"ZARICHNAK                ANDREA       K           "</f>
        <v xml:space="preserve">ZARICHNAK                ANDREA       K           </v>
      </c>
      <c r="E167" t="str">
        <f>"BIRMINGHAM                "</f>
        <v xml:space="preserve">BIRMINGHAM                </v>
      </c>
      <c r="F167" t="str">
        <f t="shared" si="7"/>
        <v>AL</v>
      </c>
    </row>
    <row r="168" spans="1:6" x14ac:dyDescent="0.25">
      <c r="A168" t="str">
        <f>"001427816"</f>
        <v>001427816</v>
      </c>
      <c r="B168" t="str">
        <f>"1477715712"</f>
        <v>1477715712</v>
      </c>
      <c r="C168" t="str">
        <f>"207Q00000X"</f>
        <v>207Q00000X</v>
      </c>
      <c r="D168" t="str">
        <f>"RIPPEY                   PETER                    "</f>
        <v xml:space="preserve">RIPPEY                   PETER                    </v>
      </c>
      <c r="E168" t="str">
        <f>"MOBILE                    "</f>
        <v xml:space="preserve">MOBILE                    </v>
      </c>
      <c r="F168" t="str">
        <f t="shared" si="7"/>
        <v>AL</v>
      </c>
    </row>
    <row r="169" spans="1:6" x14ac:dyDescent="0.25">
      <c r="A169" t="str">
        <f>"001428799"</f>
        <v>001428799</v>
      </c>
      <c r="B169" t="str">
        <f>"1104080803"</f>
        <v>1104080803</v>
      </c>
      <c r="C169" t="str">
        <f>"207R00000X"</f>
        <v>207R00000X</v>
      </c>
      <c r="D169" t="str">
        <f>"ONG                      SONG         C           "</f>
        <v xml:space="preserve">ONG                      SONG         C           </v>
      </c>
      <c r="E169" t="str">
        <f>"BIRMINGHAM                "</f>
        <v xml:space="preserve">BIRMINGHAM                </v>
      </c>
      <c r="F169" t="str">
        <f t="shared" si="7"/>
        <v>AL</v>
      </c>
    </row>
    <row r="170" spans="1:6" x14ac:dyDescent="0.25">
      <c r="A170" t="str">
        <f>"001430820"</f>
        <v>001430820</v>
      </c>
      <c r="B170" t="str">
        <f>"1558353987"</f>
        <v>1558353987</v>
      </c>
      <c r="C170" t="str">
        <f>"207RH0003X"</f>
        <v>207RH0003X</v>
      </c>
      <c r="D170" t="str">
        <f>"CAMERON                  DANIEL       G           "</f>
        <v xml:space="preserve">CAMERON                  DANIEL       G           </v>
      </c>
      <c r="E170" t="str">
        <f>"MOBILE                    "</f>
        <v xml:space="preserve">MOBILE                    </v>
      </c>
      <c r="F170" t="str">
        <f t="shared" si="7"/>
        <v>AL</v>
      </c>
    </row>
    <row r="171" spans="1:6" x14ac:dyDescent="0.25">
      <c r="A171" t="str">
        <f>"001450876"</f>
        <v>001450876</v>
      </c>
      <c r="B171" t="str">
        <f>"1740674720"</f>
        <v>1740674720</v>
      </c>
      <c r="C171" t="str">
        <f>"2086S0127X"</f>
        <v>2086S0127X</v>
      </c>
      <c r="D171" t="str">
        <f>"WILLIAMS                 ASHLEY       Y           "</f>
        <v xml:space="preserve">WILLIAMS                 ASHLEY       Y           </v>
      </c>
      <c r="E171" t="str">
        <f>"MOBILE                    "</f>
        <v xml:space="preserve">MOBILE                    </v>
      </c>
      <c r="F171" t="str">
        <f t="shared" si="7"/>
        <v>AL</v>
      </c>
    </row>
    <row r="172" spans="1:6" x14ac:dyDescent="0.25">
      <c r="A172" t="str">
        <f>"001454741"</f>
        <v>001454741</v>
      </c>
      <c r="B172" t="str">
        <f>"1598994451"</f>
        <v>1598994451</v>
      </c>
      <c r="C172" t="str">
        <f>"2085R0202X"</f>
        <v>2085R0202X</v>
      </c>
      <c r="D172" t="str">
        <f>"HANNON, III              PAUL         J           "</f>
        <v xml:space="preserve">HANNON, III              PAUL         J           </v>
      </c>
      <c r="E172" t="str">
        <f>"MOBILE                    "</f>
        <v xml:space="preserve">MOBILE                    </v>
      </c>
      <c r="F172" t="str">
        <f t="shared" si="7"/>
        <v>AL</v>
      </c>
    </row>
    <row r="173" spans="1:6" x14ac:dyDescent="0.25">
      <c r="A173" t="str">
        <f>"001501824"</f>
        <v>001501824</v>
      </c>
      <c r="B173" t="str">
        <f>"1619395944"</f>
        <v>1619395944</v>
      </c>
      <c r="C173" t="str">
        <f>"2085R0202X"</f>
        <v>2085R0202X</v>
      </c>
      <c r="D173" t="str">
        <f>"BASS                     RACHEL       Z           "</f>
        <v xml:space="preserve">BASS                     RACHEL       Z           </v>
      </c>
      <c r="E173" t="str">
        <f>"BIRMINGHAM                "</f>
        <v xml:space="preserve">BIRMINGHAM                </v>
      </c>
      <c r="F173" t="str">
        <f t="shared" si="7"/>
        <v>AL</v>
      </c>
    </row>
    <row r="174" spans="1:6" x14ac:dyDescent="0.25">
      <c r="A174" t="str">
        <f>"001526714"</f>
        <v>001526714</v>
      </c>
      <c r="B174" t="str">
        <f>"1629301692"</f>
        <v>1629301692</v>
      </c>
      <c r="C174" t="str">
        <f>"363L00000X"</f>
        <v>363L00000X</v>
      </c>
      <c r="D174" t="str">
        <f>"STEWART                  REGINA       A           "</f>
        <v xml:space="preserve">STEWART                  REGINA       A           </v>
      </c>
      <c r="E174" t="str">
        <f>"MOBILE                    "</f>
        <v xml:space="preserve">MOBILE                    </v>
      </c>
      <c r="F174" t="str">
        <f t="shared" si="7"/>
        <v>AL</v>
      </c>
    </row>
    <row r="175" spans="1:6" x14ac:dyDescent="0.25">
      <c r="A175" t="str">
        <f>"001555743"</f>
        <v>001555743</v>
      </c>
      <c r="B175" t="str">
        <f>"1265949200"</f>
        <v>1265949200</v>
      </c>
      <c r="C175" t="str">
        <f>"363L00000X"</f>
        <v>363L00000X</v>
      </c>
      <c r="D175" t="str">
        <f>"DAVIS                    JENNIFER     J           "</f>
        <v xml:space="preserve">DAVIS                    JENNIFER     J           </v>
      </c>
      <c r="E175" t="str">
        <f>"MOBILE                    "</f>
        <v xml:space="preserve">MOBILE                    </v>
      </c>
      <c r="F175" t="str">
        <f t="shared" si="7"/>
        <v>AL</v>
      </c>
    </row>
    <row r="176" spans="1:6" x14ac:dyDescent="0.25">
      <c r="A176" t="str">
        <f>"001571853"</f>
        <v>001571853</v>
      </c>
      <c r="B176" t="str">
        <f>"1760413645"</f>
        <v>1760413645</v>
      </c>
      <c r="C176" t="str">
        <f>"207T00000X"</f>
        <v>207T00000X</v>
      </c>
      <c r="D176" t="str">
        <f>"MARKERT JR               JAMES        M           "</f>
        <v xml:space="preserve">MARKERT JR               JAMES        M           </v>
      </c>
      <c r="E176" t="str">
        <f>"BIRMINGHAM                "</f>
        <v xml:space="preserve">BIRMINGHAM                </v>
      </c>
      <c r="F176" t="str">
        <f t="shared" si="7"/>
        <v>AL</v>
      </c>
    </row>
    <row r="177" spans="1:6" x14ac:dyDescent="0.25">
      <c r="A177" t="str">
        <f>"001579391"</f>
        <v>001579391</v>
      </c>
      <c r="B177" t="str">
        <f>"1215399787"</f>
        <v>1215399787</v>
      </c>
      <c r="C177" t="str">
        <f>"207V00000X"</f>
        <v>207V00000X</v>
      </c>
      <c r="D177" t="str">
        <f>"SANUSI                   AYODEJI                  "</f>
        <v xml:space="preserve">SANUSI                   AYODEJI                  </v>
      </c>
      <c r="E177" t="str">
        <f>"BIRMINGHAM                "</f>
        <v xml:space="preserve">BIRMINGHAM                </v>
      </c>
      <c r="F177" t="str">
        <f t="shared" si="7"/>
        <v>AL</v>
      </c>
    </row>
    <row r="178" spans="1:6" x14ac:dyDescent="0.25">
      <c r="A178" t="str">
        <f>"001605712"</f>
        <v>001605712</v>
      </c>
      <c r="B178" t="str">
        <f>"1942434709"</f>
        <v>1942434709</v>
      </c>
      <c r="C178" t="str">
        <f>"207P00000X"</f>
        <v>207P00000X</v>
      </c>
      <c r="D178" t="str">
        <f>"BOOTH                    JAMES        S           "</f>
        <v xml:space="preserve">BOOTH                    JAMES        S           </v>
      </c>
      <c r="E178" t="str">
        <f>"BIRMINGHAM                "</f>
        <v xml:space="preserve">BIRMINGHAM                </v>
      </c>
      <c r="F178" t="str">
        <f t="shared" si="7"/>
        <v>AL</v>
      </c>
    </row>
    <row r="179" spans="1:6" x14ac:dyDescent="0.25">
      <c r="A179" t="str">
        <f>"001628599"</f>
        <v>001628599</v>
      </c>
      <c r="B179" t="str">
        <f>"1265665178"</f>
        <v>1265665178</v>
      </c>
      <c r="C179" t="str">
        <f>"363A00000X"</f>
        <v>363A00000X</v>
      </c>
      <c r="D179" t="str">
        <f>"GRONEWOLD                BRIAN        M           "</f>
        <v xml:space="preserve">GRONEWOLD                BRIAN        M           </v>
      </c>
      <c r="E179" t="str">
        <f>"MOBILE                    "</f>
        <v xml:space="preserve">MOBILE                    </v>
      </c>
      <c r="F179" t="str">
        <f t="shared" si="7"/>
        <v>AL</v>
      </c>
    </row>
    <row r="180" spans="1:6" x14ac:dyDescent="0.25">
      <c r="A180" t="str">
        <f>"001635231"</f>
        <v>001635231</v>
      </c>
      <c r="B180" t="str">
        <f>"1477851830"</f>
        <v>1477851830</v>
      </c>
      <c r="C180" t="str">
        <f>"363L00000X"</f>
        <v>363L00000X</v>
      </c>
      <c r="D180" t="str">
        <f>"LAMBERT                  JENNIFER                 "</f>
        <v xml:space="preserve">LAMBERT                  JENNIFER                 </v>
      </c>
      <c r="E180" t="str">
        <f>"MOBILE                    "</f>
        <v xml:space="preserve">MOBILE                    </v>
      </c>
      <c r="F180" t="str">
        <f t="shared" si="7"/>
        <v>AL</v>
      </c>
    </row>
    <row r="181" spans="1:6" x14ac:dyDescent="0.25">
      <c r="A181" t="str">
        <f>"001635847"</f>
        <v>001635847</v>
      </c>
      <c r="B181" t="str">
        <f>"1639581739"</f>
        <v>1639581739</v>
      </c>
      <c r="C181" t="str">
        <f>"207P00000X"</f>
        <v>207P00000X</v>
      </c>
      <c r="D181" t="str">
        <f>"MCNEIL                   MEGAN        I           "</f>
        <v xml:space="preserve">MCNEIL                   MEGAN        I           </v>
      </c>
      <c r="E181" t="str">
        <f>"MOBILE                    "</f>
        <v xml:space="preserve">MOBILE                    </v>
      </c>
      <c r="F181" t="str">
        <f t="shared" si="7"/>
        <v>AL</v>
      </c>
    </row>
    <row r="182" spans="1:6" x14ac:dyDescent="0.25">
      <c r="A182" t="str">
        <f>"001637297"</f>
        <v>001637297</v>
      </c>
      <c r="B182" t="str">
        <f>"1174172829"</f>
        <v>1174172829</v>
      </c>
      <c r="C182" t="str">
        <f>"363L00000X"</f>
        <v>363L00000X</v>
      </c>
      <c r="D182" t="str">
        <f>"SHELBY                   EMILY        W           "</f>
        <v xml:space="preserve">SHELBY                   EMILY        W           </v>
      </c>
      <c r="E182" t="str">
        <f>"BIRMINGHAM                "</f>
        <v xml:space="preserve">BIRMINGHAM                </v>
      </c>
      <c r="F182" t="str">
        <f t="shared" si="7"/>
        <v>AL</v>
      </c>
    </row>
    <row r="183" spans="1:6" x14ac:dyDescent="0.25">
      <c r="A183" t="str">
        <f>"001638291"</f>
        <v>001638291</v>
      </c>
      <c r="B183" t="str">
        <f>"1285139667"</f>
        <v>1285139667</v>
      </c>
      <c r="C183" t="str">
        <f>"207P00000X"</f>
        <v>207P00000X</v>
      </c>
      <c r="D183" t="str">
        <f>"NADARAJAN JR             ANNAMALAI                "</f>
        <v xml:space="preserve">NADARAJAN JR             ANNAMALAI                </v>
      </c>
      <c r="E183" t="str">
        <f>"MOBILE                    "</f>
        <v xml:space="preserve">MOBILE                    </v>
      </c>
      <c r="F183" t="str">
        <f t="shared" si="7"/>
        <v>AL</v>
      </c>
    </row>
    <row r="184" spans="1:6" x14ac:dyDescent="0.25">
      <c r="A184" t="str">
        <f>"001679088"</f>
        <v>001679088</v>
      </c>
      <c r="B184" t="str">
        <f>"1699720151"</f>
        <v>1699720151</v>
      </c>
      <c r="C184" t="str">
        <f>"207RC0000X"</f>
        <v>207RC0000X</v>
      </c>
      <c r="D184" t="str">
        <f>"BITTNER                  VERA         A           "</f>
        <v xml:space="preserve">BITTNER                  VERA         A           </v>
      </c>
      <c r="E184" t="str">
        <f>"BIRMINGHAM                "</f>
        <v xml:space="preserve">BIRMINGHAM                </v>
      </c>
      <c r="F184" t="str">
        <f t="shared" si="7"/>
        <v>AL</v>
      </c>
    </row>
    <row r="185" spans="1:6" x14ac:dyDescent="0.25">
      <c r="A185" t="str">
        <f>"001680379"</f>
        <v>001680379</v>
      </c>
      <c r="B185" t="str">
        <f>"1932141041"</f>
        <v>1932141041</v>
      </c>
      <c r="C185" t="str">
        <f>"207R00000X"</f>
        <v>207R00000X</v>
      </c>
      <c r="D185" t="str">
        <f>"TAYLOR                   BENJAMIN     B           "</f>
        <v xml:space="preserve">TAYLOR                   BENJAMIN     B           </v>
      </c>
      <c r="E185" t="str">
        <f>"BIRMINGHAM                "</f>
        <v xml:space="preserve">BIRMINGHAM                </v>
      </c>
      <c r="F185" t="str">
        <f t="shared" si="7"/>
        <v>AL</v>
      </c>
    </row>
    <row r="186" spans="1:6" x14ac:dyDescent="0.25">
      <c r="A186" t="str">
        <f>"001687826"</f>
        <v>001687826</v>
      </c>
      <c r="B186" t="str">
        <f>"1003030693"</f>
        <v>1003030693</v>
      </c>
      <c r="C186" t="str">
        <f>"207RC0000X"</f>
        <v>207RC0000X</v>
      </c>
      <c r="D186" t="str">
        <f>"MADDOX                   WILLIAM      R           "</f>
        <v xml:space="preserve">MADDOX                   WILLIAM      R           </v>
      </c>
      <c r="E186" t="str">
        <f>"BIRMINGHAM                "</f>
        <v xml:space="preserve">BIRMINGHAM                </v>
      </c>
      <c r="F186" t="str">
        <f t="shared" si="7"/>
        <v>AL</v>
      </c>
    </row>
    <row r="187" spans="1:6" x14ac:dyDescent="0.25">
      <c r="A187" t="str">
        <f>"001701724"</f>
        <v>001701724</v>
      </c>
      <c r="B187" t="str">
        <f>"1780972505"</f>
        <v>1780972505</v>
      </c>
      <c r="C187" t="str">
        <f>"2085R0202X"</f>
        <v>2085R0202X</v>
      </c>
      <c r="D187" t="str">
        <f>"EL KHUDARI               HUSAMEDDIN   M           "</f>
        <v xml:space="preserve">EL KHUDARI               HUSAMEDDIN   M           </v>
      </c>
      <c r="E187" t="str">
        <f>"BIRMINGHAM                "</f>
        <v xml:space="preserve">BIRMINGHAM                </v>
      </c>
      <c r="F187" t="str">
        <f t="shared" si="7"/>
        <v>AL</v>
      </c>
    </row>
    <row r="188" spans="1:6" x14ac:dyDescent="0.25">
      <c r="A188" t="str">
        <f>"001703831"</f>
        <v>001703831</v>
      </c>
      <c r="B188" t="str">
        <f>"1881006500"</f>
        <v>1881006500</v>
      </c>
      <c r="C188" t="str">
        <f>"2086S0127X"</f>
        <v>2086S0127X</v>
      </c>
      <c r="D188" t="str">
        <f>"MBAKA                    MARYANN      I           "</f>
        <v xml:space="preserve">MBAKA                    MARYANN      I           </v>
      </c>
      <c r="E188" t="str">
        <f>"MOBILE                    "</f>
        <v xml:space="preserve">MOBILE                    </v>
      </c>
      <c r="F188" t="str">
        <f t="shared" si="7"/>
        <v>AL</v>
      </c>
    </row>
    <row r="189" spans="1:6" x14ac:dyDescent="0.25">
      <c r="A189" t="str">
        <f>"001705318"</f>
        <v>001705318</v>
      </c>
      <c r="B189" t="str">
        <f>"1881743607"</f>
        <v>1881743607</v>
      </c>
      <c r="C189" t="str">
        <f>"207RC0000X"</f>
        <v>207RC0000X</v>
      </c>
      <c r="D189" t="str">
        <f>"GALLA                    JOHN         M           "</f>
        <v xml:space="preserve">GALLA                    JOHN         M           </v>
      </c>
      <c r="E189" t="str">
        <f>"MOBILE                    "</f>
        <v xml:space="preserve">MOBILE                    </v>
      </c>
      <c r="F189" t="str">
        <f t="shared" si="7"/>
        <v>AL</v>
      </c>
    </row>
    <row r="190" spans="1:6" x14ac:dyDescent="0.25">
      <c r="A190" t="str">
        <f>"001727291"</f>
        <v>001727291</v>
      </c>
      <c r="B190" t="str">
        <f>"1770538233"</f>
        <v>1770538233</v>
      </c>
      <c r="C190" t="str">
        <f>"2084N0400X"</f>
        <v>2084N0400X</v>
      </c>
      <c r="D190" t="str">
        <f>"BASHIR                   KHURRAM                  "</f>
        <v xml:space="preserve">BASHIR                   KHURRAM                  </v>
      </c>
      <c r="E190" t="str">
        <f>"BIRMINGHAM                "</f>
        <v xml:space="preserve">BIRMINGHAM                </v>
      </c>
      <c r="F190" t="str">
        <f t="shared" si="7"/>
        <v>AL</v>
      </c>
    </row>
    <row r="191" spans="1:6" x14ac:dyDescent="0.25">
      <c r="A191" t="str">
        <f>"001736701"</f>
        <v>001736701</v>
      </c>
      <c r="B191" t="str">
        <f>"1598238578"</f>
        <v>1598238578</v>
      </c>
      <c r="C191" t="str">
        <f>"367500000X"</f>
        <v>367500000X</v>
      </c>
      <c r="D191" t="str">
        <f>"MARGHERIO                BRADFORD     T           "</f>
        <v xml:space="preserve">MARGHERIO                BRADFORD     T           </v>
      </c>
      <c r="E191" t="str">
        <f>"MOBILE                    "</f>
        <v xml:space="preserve">MOBILE                    </v>
      </c>
      <c r="F191" t="str">
        <f t="shared" si="7"/>
        <v>AL</v>
      </c>
    </row>
    <row r="192" spans="1:6" x14ac:dyDescent="0.25">
      <c r="A192" t="str">
        <f>"001753370"</f>
        <v>001753370</v>
      </c>
      <c r="B192" t="str">
        <f>"1366487316"</f>
        <v>1366487316</v>
      </c>
      <c r="C192" t="str">
        <f>"207V00000X"</f>
        <v>207V00000X</v>
      </c>
      <c r="D192" t="str">
        <f>"GOEPFERT                 ALICE        R           "</f>
        <v xml:space="preserve">GOEPFERT                 ALICE        R           </v>
      </c>
      <c r="E192" t="str">
        <f>"BIRMINGHAM                "</f>
        <v xml:space="preserve">BIRMINGHAM                </v>
      </c>
      <c r="F192" t="str">
        <f t="shared" si="7"/>
        <v>AL</v>
      </c>
    </row>
    <row r="193" spans="1:6" x14ac:dyDescent="0.25">
      <c r="A193" t="str">
        <f>"001756729"</f>
        <v>001756729</v>
      </c>
      <c r="B193" t="str">
        <f>"1306124813"</f>
        <v>1306124813</v>
      </c>
      <c r="C193" t="str">
        <f>"207RH0000X"</f>
        <v>207RH0000X</v>
      </c>
      <c r="D193" t="str">
        <f>"ALKHARABSHEH             OMAR                     "</f>
        <v xml:space="preserve">ALKHARABSHEH             OMAR                     </v>
      </c>
      <c r="E193" t="str">
        <f>"MOBILE                    "</f>
        <v xml:space="preserve">MOBILE                    </v>
      </c>
      <c r="F193" t="str">
        <f t="shared" si="7"/>
        <v>AL</v>
      </c>
    </row>
    <row r="194" spans="1:6" x14ac:dyDescent="0.25">
      <c r="A194" t="str">
        <f>"001770368"</f>
        <v>001770368</v>
      </c>
      <c r="B194" t="str">
        <f>"1104173186"</f>
        <v>1104173186</v>
      </c>
      <c r="C194" t="str">
        <f>"208000000X"</f>
        <v>208000000X</v>
      </c>
      <c r="D194" t="str">
        <f>"ROCA GARCIA              MARIA        M           "</f>
        <v xml:space="preserve">ROCA GARCIA              MARIA        M           </v>
      </c>
      <c r="E194" t="str">
        <f>"MOBILE                    "</f>
        <v xml:space="preserve">MOBILE                    </v>
      </c>
      <c r="F194" t="str">
        <f t="shared" si="7"/>
        <v>AL</v>
      </c>
    </row>
    <row r="195" spans="1:6" x14ac:dyDescent="0.25">
      <c r="A195" t="str">
        <f>"001781867"</f>
        <v>001781867</v>
      </c>
      <c r="B195" t="str">
        <f>"1467871269"</f>
        <v>1467871269</v>
      </c>
      <c r="C195" t="str">
        <f>"207P00000X"</f>
        <v>207P00000X</v>
      </c>
      <c r="D195" t="str">
        <f>"LAGASSE                  GRACE        A           "</f>
        <v xml:space="preserve">LAGASSE                  GRACE        A           </v>
      </c>
      <c r="E195" t="str">
        <f>"MOBILE                    "</f>
        <v xml:space="preserve">MOBILE                    </v>
      </c>
      <c r="F195" t="str">
        <f t="shared" si="7"/>
        <v>AL</v>
      </c>
    </row>
    <row r="196" spans="1:6" x14ac:dyDescent="0.25">
      <c r="A196" t="str">
        <f>"001822838"</f>
        <v>001822838</v>
      </c>
      <c r="B196" t="str">
        <f>"1801089099"</f>
        <v>1801089099</v>
      </c>
      <c r="C196" t="str">
        <f>"207P00000X"</f>
        <v>207P00000X</v>
      </c>
      <c r="D196" t="str">
        <f>"WANG                     WENLI                    "</f>
        <v xml:space="preserve">WANG                     WENLI                    </v>
      </c>
      <c r="E196" t="str">
        <f>"MOBILE                    "</f>
        <v xml:space="preserve">MOBILE                    </v>
      </c>
      <c r="F196" t="str">
        <f t="shared" si="7"/>
        <v>AL</v>
      </c>
    </row>
    <row r="197" spans="1:6" x14ac:dyDescent="0.25">
      <c r="A197" t="str">
        <f>"001838707"</f>
        <v>001838707</v>
      </c>
      <c r="B197" t="str">
        <f>"1558011726"</f>
        <v>1558011726</v>
      </c>
      <c r="C197" t="str">
        <f>"207P00000X"</f>
        <v>207P00000X</v>
      </c>
      <c r="D197" t="str">
        <f>"STROUD                   SOTERIOS                 "</f>
        <v xml:space="preserve">STROUD                   SOTERIOS                 </v>
      </c>
      <c r="E197" t="str">
        <f>"MOBILE                    "</f>
        <v xml:space="preserve">MOBILE                    </v>
      </c>
      <c r="F197" t="str">
        <f t="shared" si="7"/>
        <v>AL</v>
      </c>
    </row>
    <row r="198" spans="1:6" x14ac:dyDescent="0.25">
      <c r="A198" t="str">
        <f>"001859705"</f>
        <v>001859705</v>
      </c>
      <c r="B198" t="str">
        <f>"1699982488"</f>
        <v>1699982488</v>
      </c>
      <c r="C198" t="str">
        <f>"2084N0400X"</f>
        <v>2084N0400X</v>
      </c>
      <c r="D198" t="str">
        <f>"MARON                    RHODEMARIE               "</f>
        <v xml:space="preserve">MARON                    RHODEMARIE               </v>
      </c>
      <c r="E198" t="str">
        <f>"BIRMINGHAM                "</f>
        <v xml:space="preserve">BIRMINGHAM                </v>
      </c>
      <c r="F198" t="str">
        <f t="shared" si="7"/>
        <v>AL</v>
      </c>
    </row>
    <row r="199" spans="1:6" x14ac:dyDescent="0.25">
      <c r="A199" t="str">
        <f>"001875004"</f>
        <v>001875004</v>
      </c>
      <c r="B199" t="str">
        <f>"1487869244"</f>
        <v>1487869244</v>
      </c>
      <c r="C199" t="str">
        <f>"2085R0202X"</f>
        <v>2085R0202X</v>
      </c>
      <c r="D199" t="str">
        <f>"LURSEN                   KATHERINE    P           "</f>
        <v xml:space="preserve">LURSEN                   KATHERINE    P           </v>
      </c>
      <c r="E199" t="str">
        <f>"MOBILE                    "</f>
        <v xml:space="preserve">MOBILE                    </v>
      </c>
      <c r="F199" t="str">
        <f t="shared" ref="F199:F262" si="9">"AL"</f>
        <v>AL</v>
      </c>
    </row>
    <row r="200" spans="1:6" x14ac:dyDescent="0.25">
      <c r="A200" t="str">
        <f>"001875220"</f>
        <v>001875220</v>
      </c>
      <c r="B200" t="str">
        <f>"1407297864"</f>
        <v>1407297864</v>
      </c>
      <c r="C200" t="str">
        <f>"207R00000X"</f>
        <v>207R00000X</v>
      </c>
      <c r="D200" t="str">
        <f>"JAMY                     OMER         H           "</f>
        <v xml:space="preserve">JAMY                     OMER         H           </v>
      </c>
      <c r="E200" t="str">
        <f>"BIRMINGHAM                "</f>
        <v xml:space="preserve">BIRMINGHAM                </v>
      </c>
      <c r="F200" t="str">
        <f t="shared" si="9"/>
        <v>AL</v>
      </c>
    </row>
    <row r="201" spans="1:6" x14ac:dyDescent="0.25">
      <c r="A201" t="str">
        <f>"001877597"</f>
        <v>001877597</v>
      </c>
      <c r="B201" t="str">
        <f>"1902269400"</f>
        <v>1902269400</v>
      </c>
      <c r="C201" t="str">
        <f>"207R00000X"</f>
        <v>207R00000X</v>
      </c>
      <c r="D201" t="str">
        <f>"MORENO                   CESAR        G           "</f>
        <v xml:space="preserve">MORENO                   CESAR        G           </v>
      </c>
      <c r="E201" t="str">
        <f>"MOBILE                    "</f>
        <v xml:space="preserve">MOBILE                    </v>
      </c>
      <c r="F201" t="str">
        <f t="shared" si="9"/>
        <v>AL</v>
      </c>
    </row>
    <row r="202" spans="1:6" x14ac:dyDescent="0.25">
      <c r="A202" t="str">
        <f>"001879830"</f>
        <v>001879830</v>
      </c>
      <c r="B202" t="str">
        <f>"1689992661"</f>
        <v>1689992661</v>
      </c>
      <c r="C202" t="str">
        <f>"207P00000X"</f>
        <v>207P00000X</v>
      </c>
      <c r="D202" t="str">
        <f>"FERGUSON                 WILLIAM      C           "</f>
        <v xml:space="preserve">FERGUSON                 WILLIAM      C           </v>
      </c>
      <c r="E202" t="str">
        <f>"BIRMINGHAM                "</f>
        <v xml:space="preserve">BIRMINGHAM                </v>
      </c>
      <c r="F202" t="str">
        <f t="shared" si="9"/>
        <v>AL</v>
      </c>
    </row>
    <row r="203" spans="1:6" x14ac:dyDescent="0.25">
      <c r="A203" t="str">
        <f>"001881304"</f>
        <v>001881304</v>
      </c>
      <c r="B203" t="str">
        <f>"1477878023"</f>
        <v>1477878023</v>
      </c>
      <c r="C203" t="str">
        <f>"207X00000X"</f>
        <v>207X00000X</v>
      </c>
      <c r="D203" t="str">
        <f>"QUADE                    JONATHAN     H           "</f>
        <v xml:space="preserve">QUADE                    JONATHAN     H           </v>
      </c>
      <c r="E203" t="str">
        <f>"BIRMINGHAM                "</f>
        <v xml:space="preserve">BIRMINGHAM                </v>
      </c>
      <c r="F203" t="str">
        <f t="shared" si="9"/>
        <v>AL</v>
      </c>
    </row>
    <row r="204" spans="1:6" x14ac:dyDescent="0.25">
      <c r="A204" t="str">
        <f>"001886869"</f>
        <v>001886869</v>
      </c>
      <c r="B204" t="str">
        <f>"1043266281"</f>
        <v>1043266281</v>
      </c>
      <c r="C204" t="str">
        <f>"207RC0000X"</f>
        <v>207RC0000X</v>
      </c>
      <c r="D204" t="str">
        <f>"BUCKLEY                  RALPH        S           "</f>
        <v xml:space="preserve">BUCKLEY                  RALPH        S           </v>
      </c>
      <c r="E204" t="str">
        <f>"MOBILE                    "</f>
        <v xml:space="preserve">MOBILE                    </v>
      </c>
      <c r="F204" t="str">
        <f t="shared" si="9"/>
        <v>AL</v>
      </c>
    </row>
    <row r="205" spans="1:6" x14ac:dyDescent="0.25">
      <c r="A205" t="str">
        <f>"001922881"</f>
        <v>001922881</v>
      </c>
      <c r="B205" t="str">
        <f>"1598177719"</f>
        <v>1598177719</v>
      </c>
      <c r="C205" t="str">
        <f>"207RN0300X"</f>
        <v>207RN0300X</v>
      </c>
      <c r="D205" t="str">
        <f>"COOK                     JARED        M           "</f>
        <v xml:space="preserve">COOK                     JARED        M           </v>
      </c>
      <c r="E205" t="str">
        <f>"BIRMINGHAM                "</f>
        <v xml:space="preserve">BIRMINGHAM                </v>
      </c>
      <c r="F205" t="str">
        <f t="shared" si="9"/>
        <v>AL</v>
      </c>
    </row>
    <row r="206" spans="1:6" x14ac:dyDescent="0.25">
      <c r="A206" t="str">
        <f>"001925885"</f>
        <v>001925885</v>
      </c>
      <c r="B206" t="str">
        <f>"1053447268"</f>
        <v>1053447268</v>
      </c>
      <c r="C206" t="str">
        <f>"2085R0202X"</f>
        <v>2085R0202X</v>
      </c>
      <c r="D206" t="str">
        <f>"WALL                     MARK                     "</f>
        <v xml:space="preserve">WALL                     MARK                     </v>
      </c>
      <c r="E206" t="str">
        <f>"MOBILE                    "</f>
        <v xml:space="preserve">MOBILE                    </v>
      </c>
      <c r="F206" t="str">
        <f t="shared" si="9"/>
        <v>AL</v>
      </c>
    </row>
    <row r="207" spans="1:6" x14ac:dyDescent="0.25">
      <c r="A207" t="str">
        <f>"001927304"</f>
        <v>001927304</v>
      </c>
      <c r="B207" t="str">
        <f>"1386625507"</f>
        <v>1386625507</v>
      </c>
      <c r="C207" t="str">
        <f>"2084N0400X"</f>
        <v>2084N0400X</v>
      </c>
      <c r="D207" t="str">
        <f>"NARITOKU                 DEAN         K           "</f>
        <v xml:space="preserve">NARITOKU                 DEAN         K           </v>
      </c>
      <c r="E207" t="str">
        <f>"MOBILE                    "</f>
        <v xml:space="preserve">MOBILE                    </v>
      </c>
      <c r="F207" t="str">
        <f t="shared" si="9"/>
        <v>AL</v>
      </c>
    </row>
    <row r="208" spans="1:6" x14ac:dyDescent="0.25">
      <c r="A208" t="str">
        <f>"002008842"</f>
        <v>002008842</v>
      </c>
      <c r="B208" t="str">
        <f>"1871911263"</f>
        <v>1871911263</v>
      </c>
      <c r="C208" t="str">
        <f>"207R00000X"</f>
        <v>207R00000X</v>
      </c>
      <c r="D208" t="str">
        <f>"SABOUNI                  MOUHAMED                 "</f>
        <v xml:space="preserve">SABOUNI                  MOUHAMED                 </v>
      </c>
      <c r="E208" t="str">
        <f>"BIRMINGHAM                "</f>
        <v xml:space="preserve">BIRMINGHAM                </v>
      </c>
      <c r="F208" t="str">
        <f t="shared" si="9"/>
        <v>AL</v>
      </c>
    </row>
    <row r="209" spans="1:6" x14ac:dyDescent="0.25">
      <c r="A209" t="str">
        <f>"002022303"</f>
        <v>002022303</v>
      </c>
      <c r="B209" t="str">
        <f>"1467835314"</f>
        <v>1467835314</v>
      </c>
      <c r="C209" t="str">
        <f>"2085R0202X"</f>
        <v>2085R0202X</v>
      </c>
      <c r="D209" t="str">
        <f>"ZAHID                    MOHD                     "</f>
        <v xml:space="preserve">ZAHID                    MOHD                     </v>
      </c>
      <c r="E209" t="str">
        <f>"BIRMINGHAM                "</f>
        <v xml:space="preserve">BIRMINGHAM                </v>
      </c>
      <c r="F209" t="str">
        <f t="shared" si="9"/>
        <v>AL</v>
      </c>
    </row>
    <row r="210" spans="1:6" x14ac:dyDescent="0.25">
      <c r="A210" t="str">
        <f>"002029050"</f>
        <v>002029050</v>
      </c>
      <c r="B210" t="str">
        <f>"1710194071"</f>
        <v>1710194071</v>
      </c>
      <c r="C210" t="str">
        <f>"2085R0202X"</f>
        <v>2085R0202X</v>
      </c>
      <c r="D210" t="str">
        <f>"MCKEAN, JR               GEORGE       H           "</f>
        <v xml:space="preserve">MCKEAN, JR               GEORGE       H           </v>
      </c>
      <c r="E210" t="str">
        <f>"MOBILE                    "</f>
        <v xml:space="preserve">MOBILE                    </v>
      </c>
      <c r="F210" t="str">
        <f t="shared" si="9"/>
        <v>AL</v>
      </c>
    </row>
    <row r="211" spans="1:6" x14ac:dyDescent="0.25">
      <c r="A211" t="str">
        <f>"002029831"</f>
        <v>002029831</v>
      </c>
      <c r="B211" t="str">
        <f>"1477911816"</f>
        <v>1477911816</v>
      </c>
      <c r="C211" t="str">
        <f>"207Y00000X"</f>
        <v>207Y00000X</v>
      </c>
      <c r="D211" t="str">
        <f>"JEYARAJAN                HARISHANKER              "</f>
        <v xml:space="preserve">JEYARAJAN                HARISHANKER              </v>
      </c>
      <c r="E211" t="str">
        <f>"BIRMINGHAM                "</f>
        <v xml:space="preserve">BIRMINGHAM                </v>
      </c>
      <c r="F211" t="str">
        <f t="shared" si="9"/>
        <v>AL</v>
      </c>
    </row>
    <row r="212" spans="1:6" x14ac:dyDescent="0.25">
      <c r="A212" t="str">
        <f>"002037763"</f>
        <v>002037763</v>
      </c>
      <c r="B212" t="str">
        <f>"1619901253"</f>
        <v>1619901253</v>
      </c>
      <c r="C212" t="str">
        <f>"207T00000X"</f>
        <v>207T00000X</v>
      </c>
      <c r="D212" t="str">
        <f>"PRITCHARD                PATRICK      R           "</f>
        <v xml:space="preserve">PRITCHARD                PATRICK      R           </v>
      </c>
      <c r="E212" t="str">
        <f>"BIRMINGHAM                "</f>
        <v xml:space="preserve">BIRMINGHAM                </v>
      </c>
      <c r="F212" t="str">
        <f t="shared" si="9"/>
        <v>AL</v>
      </c>
    </row>
    <row r="213" spans="1:6" x14ac:dyDescent="0.25">
      <c r="A213" t="str">
        <f>"002070516"</f>
        <v>002070516</v>
      </c>
      <c r="B213" t="str">
        <f>"1477981033"</f>
        <v>1477981033</v>
      </c>
      <c r="C213" t="str">
        <f>"363L00000X"</f>
        <v>363L00000X</v>
      </c>
      <c r="D213" t="str">
        <f>"CREW                     MARGARET     E           "</f>
        <v xml:space="preserve">CREW                     MARGARET     E           </v>
      </c>
      <c r="E213" t="str">
        <f>"BIRMINGHAM                "</f>
        <v xml:space="preserve">BIRMINGHAM                </v>
      </c>
      <c r="F213" t="str">
        <f t="shared" si="9"/>
        <v>AL</v>
      </c>
    </row>
    <row r="214" spans="1:6" x14ac:dyDescent="0.25">
      <c r="A214" t="str">
        <f>"002077544"</f>
        <v>002077544</v>
      </c>
      <c r="B214" t="str">
        <f>"1184936304"</f>
        <v>1184936304</v>
      </c>
      <c r="C214" t="str">
        <f>"207RN0300X"</f>
        <v>207RN0300X</v>
      </c>
      <c r="D214" t="str">
        <f>"AL-BALAS                 ALIAN        A           "</f>
        <v xml:space="preserve">AL-BALAS                 ALIAN        A           </v>
      </c>
      <c r="E214" t="str">
        <f>"BIRMINGHAM                "</f>
        <v xml:space="preserve">BIRMINGHAM                </v>
      </c>
      <c r="F214" t="str">
        <f t="shared" si="9"/>
        <v>AL</v>
      </c>
    </row>
    <row r="215" spans="1:6" x14ac:dyDescent="0.25">
      <c r="A215" t="str">
        <f>"002123847"</f>
        <v>002123847</v>
      </c>
      <c r="B215" t="str">
        <f>"1982807079"</f>
        <v>1982807079</v>
      </c>
      <c r="C215" t="str">
        <f>"207R00000X"</f>
        <v>207R00000X</v>
      </c>
      <c r="D215" t="str">
        <f>"BURSKI                   CHAD                     "</f>
        <v xml:space="preserve">BURSKI                   CHAD                     </v>
      </c>
      <c r="E215" t="str">
        <f>"BIRMINGHAM                "</f>
        <v xml:space="preserve">BIRMINGHAM                </v>
      </c>
      <c r="F215" t="str">
        <f t="shared" si="9"/>
        <v>AL</v>
      </c>
    </row>
    <row r="216" spans="1:6" x14ac:dyDescent="0.25">
      <c r="A216" t="str">
        <f>"002124507"</f>
        <v>002124507</v>
      </c>
      <c r="B216" t="str">
        <f>"1386068708"</f>
        <v>1386068708</v>
      </c>
      <c r="C216" t="str">
        <f>"363L00000X"</f>
        <v>363L00000X</v>
      </c>
      <c r="D216" t="str">
        <f>"SMITH                    HANNAH                   "</f>
        <v xml:space="preserve">SMITH                    HANNAH                   </v>
      </c>
      <c r="E216" t="str">
        <f>"MOBILE                    "</f>
        <v xml:space="preserve">MOBILE                    </v>
      </c>
      <c r="F216" t="str">
        <f t="shared" si="9"/>
        <v>AL</v>
      </c>
    </row>
    <row r="217" spans="1:6" x14ac:dyDescent="0.25">
      <c r="A217" t="str">
        <f>"002130871"</f>
        <v>002130871</v>
      </c>
      <c r="B217" t="str">
        <f>"1891920252"</f>
        <v>1891920252</v>
      </c>
      <c r="C217" t="str">
        <f>"367500000X"</f>
        <v>367500000X</v>
      </c>
      <c r="D217" t="str">
        <f>"MIDGETTE JR              JOEL         A           "</f>
        <v xml:space="preserve">MIDGETTE JR              JOEL         A           </v>
      </c>
      <c r="E217" t="str">
        <f>"MOBILE                    "</f>
        <v xml:space="preserve">MOBILE                    </v>
      </c>
      <c r="F217" t="str">
        <f t="shared" si="9"/>
        <v>AL</v>
      </c>
    </row>
    <row r="218" spans="1:6" x14ac:dyDescent="0.25">
      <c r="A218" t="str">
        <f>"002139867"</f>
        <v>002139867</v>
      </c>
      <c r="B218" t="str">
        <f>"1093489510"</f>
        <v>1093489510</v>
      </c>
      <c r="C218" t="str">
        <f>"363L00000X"</f>
        <v>363L00000X</v>
      </c>
      <c r="D218" t="str">
        <f>"SMITHGALL                ASHLEY       L           "</f>
        <v xml:space="preserve">SMITHGALL                ASHLEY       L           </v>
      </c>
      <c r="E218" t="str">
        <f>"MOBILE                    "</f>
        <v xml:space="preserve">MOBILE                    </v>
      </c>
      <c r="F218" t="str">
        <f t="shared" si="9"/>
        <v>AL</v>
      </c>
    </row>
    <row r="219" spans="1:6" x14ac:dyDescent="0.25">
      <c r="A219" t="str">
        <f>"002155201"</f>
        <v>002155201</v>
      </c>
      <c r="B219" t="str">
        <f>"1477037588"</f>
        <v>1477037588</v>
      </c>
      <c r="C219" t="str">
        <f>"363A00000X"</f>
        <v>363A00000X</v>
      </c>
      <c r="D219" t="str">
        <f>"MORRISON                 KATIE        L           "</f>
        <v xml:space="preserve">MORRISON                 KATIE        L           </v>
      </c>
      <c r="E219" t="str">
        <f>"MOBILE                    "</f>
        <v xml:space="preserve">MOBILE                    </v>
      </c>
      <c r="F219" t="str">
        <f t="shared" si="9"/>
        <v>AL</v>
      </c>
    </row>
    <row r="220" spans="1:6" x14ac:dyDescent="0.25">
      <c r="A220" t="str">
        <f>"002175009"</f>
        <v>002175009</v>
      </c>
      <c r="B220" t="str">
        <f>"1053431338"</f>
        <v>1053431338</v>
      </c>
      <c r="C220" t="str">
        <f>"207RP1001X"</f>
        <v>207RP1001X</v>
      </c>
      <c r="D220" t="str">
        <f>"LUCKHARDT                TRACY        R           "</f>
        <v xml:space="preserve">LUCKHARDT                TRACY        R           </v>
      </c>
      <c r="E220" t="str">
        <f>"BIRMINGHAM                "</f>
        <v xml:space="preserve">BIRMINGHAM                </v>
      </c>
      <c r="F220" t="str">
        <f t="shared" si="9"/>
        <v>AL</v>
      </c>
    </row>
    <row r="221" spans="1:6" x14ac:dyDescent="0.25">
      <c r="A221" t="str">
        <f>"002180564"</f>
        <v>002180564</v>
      </c>
      <c r="B221" t="str">
        <f>"1679717342"</f>
        <v>1679717342</v>
      </c>
      <c r="C221" t="str">
        <f>"207RP1001X"</f>
        <v>207RP1001X</v>
      </c>
      <c r="D221" t="str">
        <f>"ACOSTA LARA              MARIA DEL PIL            "</f>
        <v xml:space="preserve">ACOSTA LARA              MARIA DEL PIL            </v>
      </c>
      <c r="E221" t="str">
        <f>"BIRMINGHAM                "</f>
        <v xml:space="preserve">BIRMINGHAM                </v>
      </c>
      <c r="F221" t="str">
        <f t="shared" si="9"/>
        <v>AL</v>
      </c>
    </row>
    <row r="222" spans="1:6" x14ac:dyDescent="0.25">
      <c r="A222" t="str">
        <f>"002207891"</f>
        <v>002207891</v>
      </c>
      <c r="B222" t="str">
        <f>"1417112871"</f>
        <v>1417112871</v>
      </c>
      <c r="C222" t="str">
        <f>"207R00000X"</f>
        <v>207R00000X</v>
      </c>
      <c r="D222" t="str">
        <f>"TREVOR                   JENNIFER     L           "</f>
        <v xml:space="preserve">TREVOR                   JENNIFER     L           </v>
      </c>
      <c r="E222" t="str">
        <f>"BIRMINGHAM                "</f>
        <v xml:space="preserve">BIRMINGHAM                </v>
      </c>
      <c r="F222" t="str">
        <f t="shared" si="9"/>
        <v>AL</v>
      </c>
    </row>
    <row r="223" spans="1:6" x14ac:dyDescent="0.25">
      <c r="A223" t="str">
        <f>"002232041"</f>
        <v>002232041</v>
      </c>
      <c r="B223" t="str">
        <f>"1679921704"</f>
        <v>1679921704</v>
      </c>
      <c r="C223" t="str">
        <f>"363L00000X"</f>
        <v>363L00000X</v>
      </c>
      <c r="D223" t="str">
        <f>"BOWMAN                   ASHLEIGH     A           "</f>
        <v xml:space="preserve">BOWMAN                   ASHLEIGH     A           </v>
      </c>
      <c r="E223" t="str">
        <f>"MOBILE                    "</f>
        <v xml:space="preserve">MOBILE                    </v>
      </c>
      <c r="F223" t="str">
        <f t="shared" si="9"/>
        <v>AL</v>
      </c>
    </row>
    <row r="224" spans="1:6" x14ac:dyDescent="0.25">
      <c r="A224" t="str">
        <f>"002232071"</f>
        <v>002232071</v>
      </c>
      <c r="B224" t="str">
        <f>"1932710548"</f>
        <v>1932710548</v>
      </c>
      <c r="C224" t="str">
        <f>"363A00000X"</f>
        <v>363A00000X</v>
      </c>
      <c r="D224" t="str">
        <f>"MCCONNELL                ZACHARY      A           "</f>
        <v xml:space="preserve">MCCONNELL                ZACHARY      A           </v>
      </c>
      <c r="E224" t="str">
        <f>"MOBILE                    "</f>
        <v xml:space="preserve">MOBILE                    </v>
      </c>
      <c r="F224" t="str">
        <f t="shared" si="9"/>
        <v>AL</v>
      </c>
    </row>
    <row r="225" spans="1:6" x14ac:dyDescent="0.25">
      <c r="A225" t="str">
        <f>"002233809"</f>
        <v>002233809</v>
      </c>
      <c r="B225" t="str">
        <f>"1174552004"</f>
        <v>1174552004</v>
      </c>
      <c r="C225" t="str">
        <f>"207R00000X"</f>
        <v>207R00000X</v>
      </c>
      <c r="D225" t="str">
        <f>"MCELDERRY JR             HUGH         T           "</f>
        <v xml:space="preserve">MCELDERRY JR             HUGH         T           </v>
      </c>
      <c r="E225" t="str">
        <f>"BIRMINGHAM                "</f>
        <v xml:space="preserve">BIRMINGHAM                </v>
      </c>
      <c r="F225" t="str">
        <f t="shared" si="9"/>
        <v>AL</v>
      </c>
    </row>
    <row r="226" spans="1:6" x14ac:dyDescent="0.25">
      <c r="A226" t="str">
        <f>"002238315"</f>
        <v>002238315</v>
      </c>
      <c r="B226" t="str">
        <f>"1427478106"</f>
        <v>1427478106</v>
      </c>
      <c r="C226" t="str">
        <f>"2085R0202X"</f>
        <v>2085R0202X</v>
      </c>
      <c r="D226" t="str">
        <f>"BOLLING JR               CHRISTOPHER  H           "</f>
        <v xml:space="preserve">BOLLING JR               CHRISTOPHER  H           </v>
      </c>
      <c r="E226" t="str">
        <f>"MOBILE                    "</f>
        <v xml:space="preserve">MOBILE                    </v>
      </c>
      <c r="F226" t="str">
        <f t="shared" si="9"/>
        <v>AL</v>
      </c>
    </row>
    <row r="227" spans="1:6" x14ac:dyDescent="0.25">
      <c r="A227" t="str">
        <f>"002251064"</f>
        <v>002251064</v>
      </c>
      <c r="B227" t="str">
        <f>"1710429378"</f>
        <v>1710429378</v>
      </c>
      <c r="C227" t="str">
        <f>"363L00000X"</f>
        <v>363L00000X</v>
      </c>
      <c r="D227" t="str">
        <f>"LITTLE                   BROOKE       L           "</f>
        <v xml:space="preserve">LITTLE                   BROOKE       L           </v>
      </c>
      <c r="E227" t="str">
        <f>"BIRMINGHAM                "</f>
        <v xml:space="preserve">BIRMINGHAM                </v>
      </c>
      <c r="F227" t="str">
        <f t="shared" si="9"/>
        <v>AL</v>
      </c>
    </row>
    <row r="228" spans="1:6" x14ac:dyDescent="0.25">
      <c r="A228" t="str">
        <f>"002252774"</f>
        <v>002252774</v>
      </c>
      <c r="B228" t="str">
        <f>"1801054754"</f>
        <v>1801054754</v>
      </c>
      <c r="C228" t="str">
        <f>"207R00000X"</f>
        <v>207R00000X</v>
      </c>
      <c r="D228" t="str">
        <f>"GATES                    MICHAEL      G           "</f>
        <v xml:space="preserve">GATES                    MICHAEL      G           </v>
      </c>
      <c r="E228" t="str">
        <f>"MOBILE                    "</f>
        <v xml:space="preserve">MOBILE                    </v>
      </c>
      <c r="F228" t="str">
        <f t="shared" si="9"/>
        <v>AL</v>
      </c>
    </row>
    <row r="229" spans="1:6" x14ac:dyDescent="0.25">
      <c r="A229" t="str">
        <f>"002274057"</f>
        <v>002274057</v>
      </c>
      <c r="B229" t="str">
        <f>"1881912632"</f>
        <v>1881912632</v>
      </c>
      <c r="C229" t="str">
        <f>"2084N0400X"</f>
        <v>2084N0400X</v>
      </c>
      <c r="D229" t="str">
        <f>"HOUSTON                  JAMES        T           "</f>
        <v xml:space="preserve">HOUSTON                  JAMES        T           </v>
      </c>
      <c r="E229" t="str">
        <f>"BIRMINGHAM                "</f>
        <v xml:space="preserve">BIRMINGHAM                </v>
      </c>
      <c r="F229" t="str">
        <f t="shared" si="9"/>
        <v>AL</v>
      </c>
    </row>
    <row r="230" spans="1:6" x14ac:dyDescent="0.25">
      <c r="A230" t="str">
        <f>"002286718"</f>
        <v>002286718</v>
      </c>
      <c r="B230" t="str">
        <f>"1699874479"</f>
        <v>1699874479</v>
      </c>
      <c r="C230" t="str">
        <f>"207RX0202X"</f>
        <v>207RX0202X</v>
      </c>
      <c r="D230" t="str">
        <f>"DOBELBOWER               MICHAEL      C           "</f>
        <v xml:space="preserve">DOBELBOWER               MICHAEL      C           </v>
      </c>
      <c r="E230" t="str">
        <f>"BIRMINGHAM                "</f>
        <v xml:space="preserve">BIRMINGHAM                </v>
      </c>
      <c r="F230" t="str">
        <f t="shared" si="9"/>
        <v>AL</v>
      </c>
    </row>
    <row r="231" spans="1:6" x14ac:dyDescent="0.25">
      <c r="A231" t="str">
        <f>"002303025"</f>
        <v>002303025</v>
      </c>
      <c r="B231" t="str">
        <f>"1003556101"</f>
        <v>1003556101</v>
      </c>
      <c r="C231" t="str">
        <f>"207V00000X"</f>
        <v>207V00000X</v>
      </c>
      <c r="D231" t="str">
        <f>"MCNEELY                  MEGHAN                   "</f>
        <v xml:space="preserve">MCNEELY                  MEGHAN                   </v>
      </c>
      <c r="E231" t="str">
        <f>"MOBILE                    "</f>
        <v xml:space="preserve">MOBILE                    </v>
      </c>
      <c r="F231" t="str">
        <f t="shared" si="9"/>
        <v>AL</v>
      </c>
    </row>
    <row r="232" spans="1:6" x14ac:dyDescent="0.25">
      <c r="A232" t="str">
        <f>"002328031"</f>
        <v>002328031</v>
      </c>
      <c r="B232" t="str">
        <f>"1295103307"</f>
        <v>1295103307</v>
      </c>
      <c r="C232" t="str">
        <f>"363L00000X"</f>
        <v>363L00000X</v>
      </c>
      <c r="D232" t="str">
        <f>"MCGRIFF                  BRIANNE      R           "</f>
        <v xml:space="preserve">MCGRIFF                  BRIANNE      R           </v>
      </c>
      <c r="E232" t="str">
        <f>"BIRMINGHAM                "</f>
        <v xml:space="preserve">BIRMINGHAM                </v>
      </c>
      <c r="F232" t="str">
        <f t="shared" si="9"/>
        <v>AL</v>
      </c>
    </row>
    <row r="233" spans="1:6" x14ac:dyDescent="0.25">
      <c r="A233" t="str">
        <f>"002337362"</f>
        <v>002337362</v>
      </c>
      <c r="B233" t="str">
        <f>"1043711427"</f>
        <v>1043711427</v>
      </c>
      <c r="C233" t="str">
        <f>"363L00000X"</f>
        <v>363L00000X</v>
      </c>
      <c r="D233" t="str">
        <f>"YEARTY                   JAMES        A           "</f>
        <v xml:space="preserve">YEARTY                   JAMES        A           </v>
      </c>
      <c r="E233" t="str">
        <f>"BIRMINGHAM                "</f>
        <v xml:space="preserve">BIRMINGHAM                </v>
      </c>
      <c r="F233" t="str">
        <f t="shared" si="9"/>
        <v>AL</v>
      </c>
    </row>
    <row r="234" spans="1:6" x14ac:dyDescent="0.25">
      <c r="A234" t="str">
        <f>"002352261"</f>
        <v>002352261</v>
      </c>
      <c r="B234" t="str">
        <f>"1396375879"</f>
        <v>1396375879</v>
      </c>
      <c r="C234" t="str">
        <f>"367500000X"</f>
        <v>367500000X</v>
      </c>
      <c r="D234" t="str">
        <f>"WILLIAMS                 AUSTIN       L           "</f>
        <v xml:space="preserve">WILLIAMS                 AUSTIN       L           </v>
      </c>
      <c r="E234" t="str">
        <f>"MOBILE                    "</f>
        <v xml:space="preserve">MOBILE                    </v>
      </c>
      <c r="F234" t="str">
        <f t="shared" si="9"/>
        <v>AL</v>
      </c>
    </row>
    <row r="235" spans="1:6" x14ac:dyDescent="0.25">
      <c r="A235" t="str">
        <f>"002371820"</f>
        <v>002371820</v>
      </c>
      <c r="B235" t="str">
        <f>"1396957387"</f>
        <v>1396957387</v>
      </c>
      <c r="C235" t="str">
        <f>"207RH0000X"</f>
        <v>207RH0000X</v>
      </c>
      <c r="D235" t="str">
        <f>"GODBY                    KELLY                    "</f>
        <v xml:space="preserve">GODBY                    KELLY                    </v>
      </c>
      <c r="E235" t="str">
        <f>"BIRMINGHAM                "</f>
        <v xml:space="preserve">BIRMINGHAM                </v>
      </c>
      <c r="F235" t="str">
        <f t="shared" si="9"/>
        <v>AL</v>
      </c>
    </row>
    <row r="236" spans="1:6" x14ac:dyDescent="0.25">
      <c r="A236" t="str">
        <f>"002372277"</f>
        <v>002372277</v>
      </c>
      <c r="B236" t="str">
        <f>"1710021266"</f>
        <v>1710021266</v>
      </c>
      <c r="C236" t="str">
        <f>"2080P0203X"</f>
        <v>2080P0203X</v>
      </c>
      <c r="D236" t="str">
        <f>"SANCHEZ VILLANUEVA       OMAR         A           "</f>
        <v xml:space="preserve">SANCHEZ VILLANUEVA       OMAR         A           </v>
      </c>
      <c r="E236" t="str">
        <f>"MOBILE                    "</f>
        <v xml:space="preserve">MOBILE                    </v>
      </c>
      <c r="F236" t="str">
        <f t="shared" si="9"/>
        <v>AL</v>
      </c>
    </row>
    <row r="237" spans="1:6" x14ac:dyDescent="0.25">
      <c r="A237" t="str">
        <f>"002377297"</f>
        <v>002377297</v>
      </c>
      <c r="B237" t="str">
        <f>"1073548657"</f>
        <v>1073548657</v>
      </c>
      <c r="C237" t="str">
        <f>"208600000X"</f>
        <v>208600000X</v>
      </c>
      <c r="D237" t="str">
        <f>"REIFF                    DONALD       A           "</f>
        <v xml:space="preserve">REIFF                    DONALD       A           </v>
      </c>
      <c r="E237" t="str">
        <f>"BIRMINGHAM                "</f>
        <v xml:space="preserve">BIRMINGHAM                </v>
      </c>
      <c r="F237" t="str">
        <f t="shared" si="9"/>
        <v>AL</v>
      </c>
    </row>
    <row r="238" spans="1:6" x14ac:dyDescent="0.25">
      <c r="A238" t="str">
        <f>"002401713"</f>
        <v>002401713</v>
      </c>
      <c r="B238" t="str">
        <f>"1972619385"</f>
        <v>1972619385</v>
      </c>
      <c r="C238" t="str">
        <f>"2085R0202X"</f>
        <v>2085R0202X</v>
      </c>
      <c r="D238" t="str">
        <f>"TRIDANDAPANI             SRINI                    "</f>
        <v xml:space="preserve">TRIDANDAPANI             SRINI                    </v>
      </c>
      <c r="E238" t="str">
        <f>"BIRMINGHAM                "</f>
        <v xml:space="preserve">BIRMINGHAM                </v>
      </c>
      <c r="F238" t="str">
        <f t="shared" si="9"/>
        <v>AL</v>
      </c>
    </row>
    <row r="239" spans="1:6" x14ac:dyDescent="0.25">
      <c r="A239" t="str">
        <f>"002409295"</f>
        <v>002409295</v>
      </c>
      <c r="B239" t="str">
        <f>"1871055681"</f>
        <v>1871055681</v>
      </c>
      <c r="C239" t="str">
        <f>"363L00000X"</f>
        <v>363L00000X</v>
      </c>
      <c r="D239" t="str">
        <f>"MCCLUNG                  MEGHAN       L           "</f>
        <v xml:space="preserve">MCCLUNG                  MEGHAN       L           </v>
      </c>
      <c r="E239" t="str">
        <f>"BIRMINGHAM                "</f>
        <v xml:space="preserve">BIRMINGHAM                </v>
      </c>
      <c r="F239" t="str">
        <f t="shared" si="9"/>
        <v>AL</v>
      </c>
    </row>
    <row r="240" spans="1:6" x14ac:dyDescent="0.25">
      <c r="A240" t="str">
        <f>"002475821"</f>
        <v>002475821</v>
      </c>
      <c r="B240" t="str">
        <f>"1174090237"</f>
        <v>1174090237</v>
      </c>
      <c r="C240" t="str">
        <f>"363L00000X"</f>
        <v>363L00000X</v>
      </c>
      <c r="D240" t="str">
        <f>"EPP                      LAUREN       M           "</f>
        <v xml:space="preserve">EPP                      LAUREN       M           </v>
      </c>
      <c r="E240" t="str">
        <f>"BIRMINGHAM                "</f>
        <v xml:space="preserve">BIRMINGHAM                </v>
      </c>
      <c r="F240" t="str">
        <f t="shared" si="9"/>
        <v>AL</v>
      </c>
    </row>
    <row r="241" spans="1:6" x14ac:dyDescent="0.25">
      <c r="A241" t="str">
        <f>"002484317"</f>
        <v>002484317</v>
      </c>
      <c r="B241" t="str">
        <f>"1215447750"</f>
        <v>1215447750</v>
      </c>
      <c r="C241" t="str">
        <f>"363L00000X"</f>
        <v>363L00000X</v>
      </c>
      <c r="D241" t="str">
        <f>"SEAMAN                   DEANNA       W           "</f>
        <v xml:space="preserve">SEAMAN                   DEANNA       W           </v>
      </c>
      <c r="E241" t="str">
        <f>"MOBILE                    "</f>
        <v xml:space="preserve">MOBILE                    </v>
      </c>
      <c r="F241" t="str">
        <f t="shared" si="9"/>
        <v>AL</v>
      </c>
    </row>
    <row r="242" spans="1:6" x14ac:dyDescent="0.25">
      <c r="A242" t="str">
        <f>"002501202"</f>
        <v>002501202</v>
      </c>
      <c r="B242" t="str">
        <f>"1265882674"</f>
        <v>1265882674</v>
      </c>
      <c r="C242" t="str">
        <f>"2085R0202X"</f>
        <v>2085R0202X</v>
      </c>
      <c r="D242" t="str">
        <f>"EUWER                    BENJAMIN                 "</f>
        <v xml:space="preserve">EUWER                    BENJAMIN                 </v>
      </c>
      <c r="E242" t="str">
        <f>"BIRMINGHAM                "</f>
        <v xml:space="preserve">BIRMINGHAM                </v>
      </c>
      <c r="F242" t="str">
        <f t="shared" si="9"/>
        <v>AL</v>
      </c>
    </row>
    <row r="243" spans="1:6" x14ac:dyDescent="0.25">
      <c r="A243" t="str">
        <f>"002508856"</f>
        <v>002508856</v>
      </c>
      <c r="B243" t="str">
        <f>"1467490086"</f>
        <v>1467490086</v>
      </c>
      <c r="C243" t="str">
        <f>"207W00000X"</f>
        <v>207W00000X</v>
      </c>
      <c r="D243" t="str">
        <f>"ZLOTY                    PETER                    "</f>
        <v xml:space="preserve">ZLOTY                    PETER                    </v>
      </c>
      <c r="E243" t="str">
        <f>"MOBILE                    "</f>
        <v xml:space="preserve">MOBILE                    </v>
      </c>
      <c r="F243" t="str">
        <f t="shared" si="9"/>
        <v>AL</v>
      </c>
    </row>
    <row r="244" spans="1:6" x14ac:dyDescent="0.25">
      <c r="A244" t="str">
        <f>"002508890"</f>
        <v>002508890</v>
      </c>
      <c r="B244" t="str">
        <f>"1487072393"</f>
        <v>1487072393</v>
      </c>
      <c r="C244" t="str">
        <f>"207RI0200X"</f>
        <v>207RI0200X</v>
      </c>
      <c r="D244" t="str">
        <f>"VAN GERWEN               OLIVIA                   "</f>
        <v xml:space="preserve">VAN GERWEN               OLIVIA                   </v>
      </c>
      <c r="E244" t="str">
        <f>"BIRMINGHAM                "</f>
        <v xml:space="preserve">BIRMINGHAM                </v>
      </c>
      <c r="F244" t="str">
        <f t="shared" si="9"/>
        <v>AL</v>
      </c>
    </row>
    <row r="245" spans="1:6" x14ac:dyDescent="0.25">
      <c r="A245" t="str">
        <f>"002526891"</f>
        <v>002526891</v>
      </c>
      <c r="B245" t="str">
        <f>"1023080942"</f>
        <v>1023080942</v>
      </c>
      <c r="C245" t="str">
        <f>"2086S0120X"</f>
        <v>2086S0120X</v>
      </c>
      <c r="D245" t="str">
        <f>"PHAM                     TUAN         H           "</f>
        <v xml:space="preserve">PHAM                     TUAN         H           </v>
      </c>
      <c r="E245" t="str">
        <f>"MOBILE                    "</f>
        <v xml:space="preserve">MOBILE                    </v>
      </c>
      <c r="F245" t="str">
        <f t="shared" si="9"/>
        <v>AL</v>
      </c>
    </row>
    <row r="246" spans="1:6" x14ac:dyDescent="0.25">
      <c r="A246" t="str">
        <f>"002528823"</f>
        <v>002528823</v>
      </c>
      <c r="B246" t="str">
        <f>"1497713036"</f>
        <v>1497713036</v>
      </c>
      <c r="C246" t="str">
        <f>"207P00000X"</f>
        <v>207P00000X</v>
      </c>
      <c r="D246" t="str">
        <f>"ROBLEDO                  JULIAN                   "</f>
        <v xml:space="preserve">ROBLEDO                  JULIAN                   </v>
      </c>
      <c r="E246" t="str">
        <f>"CHATOM                    "</f>
        <v xml:space="preserve">CHATOM                    </v>
      </c>
      <c r="F246" t="str">
        <f t="shared" si="9"/>
        <v>AL</v>
      </c>
    </row>
    <row r="247" spans="1:6" x14ac:dyDescent="0.25">
      <c r="A247" t="str">
        <f>"002539716"</f>
        <v>002539716</v>
      </c>
      <c r="B247" t="str">
        <f>"1962504134"</f>
        <v>1962504134</v>
      </c>
      <c r="C247" t="str">
        <f>"207ZP0213X"</f>
        <v>207ZP0213X</v>
      </c>
      <c r="D247" t="str">
        <f>"GALLIANI                 CARLOS       A           "</f>
        <v xml:space="preserve">GALLIANI                 CARLOS       A           </v>
      </c>
      <c r="E247" t="str">
        <f>"MOBILE                    "</f>
        <v xml:space="preserve">MOBILE                    </v>
      </c>
      <c r="F247" t="str">
        <f t="shared" si="9"/>
        <v>AL</v>
      </c>
    </row>
    <row r="248" spans="1:6" x14ac:dyDescent="0.25">
      <c r="A248" t="str">
        <f>"002550203"</f>
        <v>002550203</v>
      </c>
      <c r="B248" t="str">
        <f>"1538385703"</f>
        <v>1538385703</v>
      </c>
      <c r="C248" t="str">
        <f>"207V00000X"</f>
        <v>207V00000X</v>
      </c>
      <c r="D248" t="str">
        <f>"BROCATO                  BRIAN                    "</f>
        <v xml:space="preserve">BROCATO                  BRIAN                    </v>
      </c>
      <c r="E248" t="str">
        <f>"BIRMINGHAM                "</f>
        <v xml:space="preserve">BIRMINGHAM                </v>
      </c>
      <c r="F248" t="str">
        <f t="shared" si="9"/>
        <v>AL</v>
      </c>
    </row>
    <row r="249" spans="1:6" x14ac:dyDescent="0.25">
      <c r="A249" t="str">
        <f>"002571226"</f>
        <v>002571226</v>
      </c>
      <c r="B249" t="str">
        <f>"1144517996"</f>
        <v>1144517996</v>
      </c>
      <c r="C249" t="str">
        <f>"207R00000X"</f>
        <v>207R00000X</v>
      </c>
      <c r="D249" t="str">
        <f>"PARCHA                   SIVA                     "</f>
        <v xml:space="preserve">PARCHA                   SIVA                     </v>
      </c>
      <c r="E249" t="str">
        <f>"MOBILE                    "</f>
        <v xml:space="preserve">MOBILE                    </v>
      </c>
      <c r="F249" t="str">
        <f t="shared" si="9"/>
        <v>AL</v>
      </c>
    </row>
    <row r="250" spans="1:6" x14ac:dyDescent="0.25">
      <c r="A250" t="str">
        <f>"002572362"</f>
        <v>002572362</v>
      </c>
      <c r="B250" t="str">
        <f>"1659602233"</f>
        <v>1659602233</v>
      </c>
      <c r="C250" t="str">
        <f>"363L00000X"</f>
        <v>363L00000X</v>
      </c>
      <c r="D250" t="str">
        <f>"HAYES                    ALLISON      A           "</f>
        <v xml:space="preserve">HAYES                    ALLISON      A           </v>
      </c>
      <c r="E250" t="str">
        <f>"BIRMINGHAM                "</f>
        <v xml:space="preserve">BIRMINGHAM                </v>
      </c>
      <c r="F250" t="str">
        <f t="shared" si="9"/>
        <v>AL</v>
      </c>
    </row>
    <row r="251" spans="1:6" x14ac:dyDescent="0.25">
      <c r="A251" t="str">
        <f>"002603296"</f>
        <v>002603296</v>
      </c>
      <c r="B251" t="str">
        <f>"1245856400"</f>
        <v>1245856400</v>
      </c>
      <c r="C251" t="str">
        <f>"363L00000X"</f>
        <v>363L00000X</v>
      </c>
      <c r="D251" t="str">
        <f>"HESPEN                   HALEY        A           "</f>
        <v xml:space="preserve">HESPEN                   HALEY        A           </v>
      </c>
      <c r="E251" t="str">
        <f>"MOBILE                    "</f>
        <v xml:space="preserve">MOBILE                    </v>
      </c>
      <c r="F251" t="str">
        <f t="shared" si="9"/>
        <v>AL</v>
      </c>
    </row>
    <row r="252" spans="1:6" x14ac:dyDescent="0.25">
      <c r="A252" t="str">
        <f>"002628247"</f>
        <v>002628247</v>
      </c>
      <c r="B252" t="str">
        <f>"1174834154"</f>
        <v>1174834154</v>
      </c>
      <c r="C252" t="str">
        <f>"363L00000X"</f>
        <v>363L00000X</v>
      </c>
      <c r="D252" t="str">
        <f>"HART                     KATHARINE                "</f>
        <v xml:space="preserve">HART                     KATHARINE                </v>
      </c>
      <c r="E252" t="str">
        <f>"MOBILE                    "</f>
        <v xml:space="preserve">MOBILE                    </v>
      </c>
      <c r="F252" t="str">
        <f t="shared" si="9"/>
        <v>AL</v>
      </c>
    </row>
    <row r="253" spans="1:6" x14ac:dyDescent="0.25">
      <c r="A253" t="str">
        <f>"002632037"</f>
        <v>002632037</v>
      </c>
      <c r="B253" t="str">
        <f>"1952352361"</f>
        <v>1952352361</v>
      </c>
      <c r="C253" t="str">
        <f>"363L00000X"</f>
        <v>363L00000X</v>
      </c>
      <c r="D253" t="str">
        <f>"STEVENS                  DONNA        P           "</f>
        <v xml:space="preserve">STEVENS                  DONNA        P           </v>
      </c>
      <c r="E253" t="str">
        <f>"BIRMINGHAM                "</f>
        <v xml:space="preserve">BIRMINGHAM                </v>
      </c>
      <c r="F253" t="str">
        <f t="shared" si="9"/>
        <v>AL</v>
      </c>
    </row>
    <row r="254" spans="1:6" x14ac:dyDescent="0.25">
      <c r="A254" t="str">
        <f>"002650848"</f>
        <v>002650848</v>
      </c>
      <c r="B254" t="str">
        <f>"1285171363"</f>
        <v>1285171363</v>
      </c>
      <c r="C254" t="str">
        <f>"363L00000X"</f>
        <v>363L00000X</v>
      </c>
      <c r="D254" t="str">
        <f>"REED                     CHERIE       E           "</f>
        <v xml:space="preserve">REED                     CHERIE       E           </v>
      </c>
      <c r="E254" t="str">
        <f>"BIRMINGHAM                "</f>
        <v xml:space="preserve">BIRMINGHAM                </v>
      </c>
      <c r="F254" t="str">
        <f t="shared" si="9"/>
        <v>AL</v>
      </c>
    </row>
    <row r="255" spans="1:6" x14ac:dyDescent="0.25">
      <c r="A255" t="str">
        <f>"002683896"</f>
        <v>002683896</v>
      </c>
      <c r="B255" t="str">
        <f>"1932368834"</f>
        <v>1932368834</v>
      </c>
      <c r="C255" t="str">
        <f>"208600000X"</f>
        <v>208600000X</v>
      </c>
      <c r="D255" t="str">
        <f>"FERGUSON                 LEE          C           "</f>
        <v xml:space="preserve">FERGUSON                 LEE          C           </v>
      </c>
      <c r="E255" t="str">
        <f>"MOBILE                    "</f>
        <v xml:space="preserve">MOBILE                    </v>
      </c>
      <c r="F255" t="str">
        <f t="shared" si="9"/>
        <v>AL</v>
      </c>
    </row>
    <row r="256" spans="1:6" x14ac:dyDescent="0.25">
      <c r="A256" t="str">
        <f>"002756734"</f>
        <v>002756734</v>
      </c>
      <c r="B256" t="str">
        <f>"1104020106"</f>
        <v>1104020106</v>
      </c>
      <c r="C256" t="str">
        <f>"208000000X"</f>
        <v>208000000X</v>
      </c>
      <c r="D256" t="str">
        <f>"HOOVER                   WYNTON                   "</f>
        <v xml:space="preserve">HOOVER                   WYNTON                   </v>
      </c>
      <c r="E256" t="str">
        <f>"BIRMINGHAM                "</f>
        <v xml:space="preserve">BIRMINGHAM                </v>
      </c>
      <c r="F256" t="str">
        <f t="shared" si="9"/>
        <v>AL</v>
      </c>
    </row>
    <row r="257" spans="1:6" x14ac:dyDescent="0.25">
      <c r="A257" t="str">
        <f>"002757201"</f>
        <v>002757201</v>
      </c>
      <c r="B257" t="str">
        <f>"1124602941"</f>
        <v>1124602941</v>
      </c>
      <c r="C257" t="str">
        <f>"367500000X"</f>
        <v>367500000X</v>
      </c>
      <c r="D257" t="str">
        <f>"CATT                     EMMA                     "</f>
        <v xml:space="preserve">CATT                     EMMA                     </v>
      </c>
      <c r="E257" t="str">
        <f>"BIRMINGHAM                "</f>
        <v xml:space="preserve">BIRMINGHAM                </v>
      </c>
      <c r="F257" t="str">
        <f t="shared" si="9"/>
        <v>AL</v>
      </c>
    </row>
    <row r="258" spans="1:6" x14ac:dyDescent="0.25">
      <c r="A258" t="str">
        <f>"002770266"</f>
        <v>002770266</v>
      </c>
      <c r="B258" t="str">
        <f>"1124318340"</f>
        <v>1124318340</v>
      </c>
      <c r="C258" t="str">
        <f>"207R00000X"</f>
        <v>207R00000X</v>
      </c>
      <c r="D258" t="str">
        <f>"AIKEN                    PATRICIA     B           "</f>
        <v xml:space="preserve">AIKEN                    PATRICIA     B           </v>
      </c>
      <c r="E258" t="str">
        <f>"BIRMINGHAM                "</f>
        <v xml:space="preserve">BIRMINGHAM                </v>
      </c>
      <c r="F258" t="str">
        <f t="shared" si="9"/>
        <v>AL</v>
      </c>
    </row>
    <row r="259" spans="1:6" x14ac:dyDescent="0.25">
      <c r="A259" t="str">
        <f>"002775717"</f>
        <v>002775717</v>
      </c>
      <c r="B259" t="str">
        <f>"1669126033"</f>
        <v>1669126033</v>
      </c>
      <c r="C259" t="str">
        <f>"363L00000X"</f>
        <v>363L00000X</v>
      </c>
      <c r="D259" t="str">
        <f>"KERN                     ASHLEY       L           "</f>
        <v xml:space="preserve">KERN                     ASHLEY       L           </v>
      </c>
      <c r="E259" t="str">
        <f>"MOBILE                    "</f>
        <v xml:space="preserve">MOBILE                    </v>
      </c>
      <c r="F259" t="str">
        <f t="shared" si="9"/>
        <v>AL</v>
      </c>
    </row>
    <row r="260" spans="1:6" x14ac:dyDescent="0.25">
      <c r="A260" t="str">
        <f>"002789574"</f>
        <v>002789574</v>
      </c>
      <c r="B260" t="str">
        <f>"1841462744"</f>
        <v>1841462744</v>
      </c>
      <c r="C260" t="str">
        <f>"208600000X"</f>
        <v>208600000X</v>
      </c>
      <c r="D260" t="str">
        <f>"CANNON                   ROBERT       M           "</f>
        <v xml:space="preserve">CANNON                   ROBERT       M           </v>
      </c>
      <c r="E260" t="str">
        <f>"BIRMINGHAM                "</f>
        <v xml:space="preserve">BIRMINGHAM                </v>
      </c>
      <c r="F260" t="str">
        <f t="shared" si="9"/>
        <v>AL</v>
      </c>
    </row>
    <row r="261" spans="1:6" x14ac:dyDescent="0.25">
      <c r="A261" t="str">
        <f>"002826538"</f>
        <v>002826538</v>
      </c>
      <c r="B261" t="str">
        <f>"1366754129"</f>
        <v>1366754129</v>
      </c>
      <c r="C261" t="str">
        <f>"208100000X"</f>
        <v>208100000X</v>
      </c>
      <c r="D261" t="str">
        <f>"CARR                     CONLEY       J           "</f>
        <v xml:space="preserve">CARR                     CONLEY       J           </v>
      </c>
      <c r="E261" t="str">
        <f>"BIRMINGHAM                "</f>
        <v xml:space="preserve">BIRMINGHAM                </v>
      </c>
      <c r="F261" t="str">
        <f t="shared" si="9"/>
        <v>AL</v>
      </c>
    </row>
    <row r="262" spans="1:6" x14ac:dyDescent="0.25">
      <c r="A262" t="str">
        <f>"002827341"</f>
        <v>002827341</v>
      </c>
      <c r="B262" t="str">
        <f>"1982817508"</f>
        <v>1982817508</v>
      </c>
      <c r="C262" t="str">
        <f>"207RE0101X"</f>
        <v>207RE0101X</v>
      </c>
      <c r="D262" t="str">
        <f>"WARRINER                 AMY          H           "</f>
        <v xml:space="preserve">WARRINER                 AMY          H           </v>
      </c>
      <c r="E262" t="str">
        <f>"BIRMINGHAM                "</f>
        <v xml:space="preserve">BIRMINGHAM                </v>
      </c>
      <c r="F262" t="str">
        <f t="shared" si="9"/>
        <v>AL</v>
      </c>
    </row>
    <row r="263" spans="1:6" x14ac:dyDescent="0.25">
      <c r="A263" t="str">
        <f>"002828398"</f>
        <v>002828398</v>
      </c>
      <c r="B263" t="str">
        <f>"1427410760"</f>
        <v>1427410760</v>
      </c>
      <c r="C263" t="str">
        <f>"208000000X"</f>
        <v>208000000X</v>
      </c>
      <c r="D263" t="str">
        <f>"HASSOUNEH                LINDA                    "</f>
        <v xml:space="preserve">HASSOUNEH                LINDA                    </v>
      </c>
      <c r="E263" t="str">
        <f>"MOBILE                    "</f>
        <v xml:space="preserve">MOBILE                    </v>
      </c>
      <c r="F263" t="str">
        <f t="shared" ref="F263:F326" si="10">"AL"</f>
        <v>AL</v>
      </c>
    </row>
    <row r="264" spans="1:6" x14ac:dyDescent="0.25">
      <c r="A264" t="str">
        <f>"002830062"</f>
        <v>002830062</v>
      </c>
      <c r="B264" t="str">
        <f>"1144412461"</f>
        <v>1144412461</v>
      </c>
      <c r="C264" t="str">
        <f>"363A00000X"</f>
        <v>363A00000X</v>
      </c>
      <c r="D264" t="str">
        <f>"WOODALL                  CASSIE       B           "</f>
        <v xml:space="preserve">WOODALL                  CASSIE       B           </v>
      </c>
      <c r="E264" t="str">
        <f>"MOBILE                    "</f>
        <v xml:space="preserve">MOBILE                    </v>
      </c>
      <c r="F264" t="str">
        <f t="shared" si="10"/>
        <v>AL</v>
      </c>
    </row>
    <row r="265" spans="1:6" x14ac:dyDescent="0.25">
      <c r="A265" t="str">
        <f>"002832501"</f>
        <v>002832501</v>
      </c>
      <c r="B265" t="str">
        <f>"1770042400"</f>
        <v>1770042400</v>
      </c>
      <c r="C265" t="str">
        <f>"363L00000X"</f>
        <v>363L00000X</v>
      </c>
      <c r="D265" t="str">
        <f>"BOLIN                    AMIA         L           "</f>
        <v xml:space="preserve">BOLIN                    AMIA         L           </v>
      </c>
      <c r="E265" t="str">
        <f>"BIRMINGHAM                "</f>
        <v xml:space="preserve">BIRMINGHAM                </v>
      </c>
      <c r="F265" t="str">
        <f t="shared" si="10"/>
        <v>AL</v>
      </c>
    </row>
    <row r="266" spans="1:6" x14ac:dyDescent="0.25">
      <c r="A266" t="str">
        <f>"002870819"</f>
        <v>002870819</v>
      </c>
      <c r="B266" t="str">
        <f>"1053524686"</f>
        <v>1053524686</v>
      </c>
      <c r="C266" t="str">
        <f>"207RC0000X"</f>
        <v>207RC0000X</v>
      </c>
      <c r="D266" t="str">
        <f>"ROBICHAUX                ROBERT       P           "</f>
        <v xml:space="preserve">ROBICHAUX                ROBERT       P           </v>
      </c>
      <c r="E266" t="str">
        <f>"MOBILE                    "</f>
        <v xml:space="preserve">MOBILE                    </v>
      </c>
      <c r="F266" t="str">
        <f t="shared" si="10"/>
        <v>AL</v>
      </c>
    </row>
    <row r="267" spans="1:6" x14ac:dyDescent="0.25">
      <c r="A267" t="str">
        <f>"002872201"</f>
        <v>002872201</v>
      </c>
      <c r="B267" t="str">
        <f>"1295116762"</f>
        <v>1295116762</v>
      </c>
      <c r="C267" t="str">
        <f>"208000000X"</f>
        <v>208000000X</v>
      </c>
      <c r="D267" t="str">
        <f>"FOWLER                   CHRISTOPHER  M           "</f>
        <v xml:space="preserve">FOWLER                   CHRISTOPHER  M           </v>
      </c>
      <c r="E267" t="str">
        <f>"BIRMINGHAM                "</f>
        <v xml:space="preserve">BIRMINGHAM                </v>
      </c>
      <c r="F267" t="str">
        <f t="shared" si="10"/>
        <v>AL</v>
      </c>
    </row>
    <row r="268" spans="1:6" x14ac:dyDescent="0.25">
      <c r="A268" t="str">
        <f>"002875865"</f>
        <v>002875865</v>
      </c>
      <c r="B268" t="str">
        <f>"1114491214"</f>
        <v>1114491214</v>
      </c>
      <c r="C268" t="str">
        <f>"363L00000X"</f>
        <v>363L00000X</v>
      </c>
      <c r="D268" t="str">
        <f>"WATSON                   JESSICA                  "</f>
        <v xml:space="preserve">WATSON                   JESSICA                  </v>
      </c>
      <c r="E268" t="str">
        <f>"BIRMINGHAM                "</f>
        <v xml:space="preserve">BIRMINGHAM                </v>
      </c>
      <c r="F268" t="str">
        <f t="shared" si="10"/>
        <v>AL</v>
      </c>
    </row>
    <row r="269" spans="1:6" x14ac:dyDescent="0.25">
      <c r="A269" t="str">
        <f>"002886898"</f>
        <v>002886898</v>
      </c>
      <c r="B269" t="str">
        <f>"1457864175"</f>
        <v>1457864175</v>
      </c>
      <c r="C269" t="str">
        <f>"207R00000X"</f>
        <v>207R00000X</v>
      </c>
      <c r="D269" t="str">
        <f>"BOKHARI                  AMBER        M           "</f>
        <v xml:space="preserve">BOKHARI                  AMBER        M           </v>
      </c>
      <c r="E269" t="str">
        <f>"MOBILE                    "</f>
        <v xml:space="preserve">MOBILE                    </v>
      </c>
      <c r="F269" t="str">
        <f t="shared" si="10"/>
        <v>AL</v>
      </c>
    </row>
    <row r="270" spans="1:6" x14ac:dyDescent="0.25">
      <c r="A270" t="str">
        <f>"002900560"</f>
        <v>002900560</v>
      </c>
      <c r="B270" t="str">
        <f>"1174840144"</f>
        <v>1174840144</v>
      </c>
      <c r="C270" t="str">
        <f>"2085R0202X"</f>
        <v>2085R0202X</v>
      </c>
      <c r="D270" t="str">
        <f>"BURGAN                   CONSTANTINE  M           "</f>
        <v xml:space="preserve">BURGAN                   CONSTANTINE  M           </v>
      </c>
      <c r="E270" t="str">
        <f>"BIRMINGHAM                "</f>
        <v xml:space="preserve">BIRMINGHAM                </v>
      </c>
      <c r="F270" t="str">
        <f t="shared" si="10"/>
        <v>AL</v>
      </c>
    </row>
    <row r="271" spans="1:6" x14ac:dyDescent="0.25">
      <c r="A271" t="str">
        <f>"002903329"</f>
        <v>002903329</v>
      </c>
      <c r="B271" t="str">
        <f>"1356584189"</f>
        <v>1356584189</v>
      </c>
      <c r="C271" t="str">
        <f>"207L00000X"</f>
        <v>207L00000X</v>
      </c>
      <c r="D271" t="str">
        <f>"WAGENER                  BRANT        M           "</f>
        <v xml:space="preserve">WAGENER                  BRANT        M           </v>
      </c>
      <c r="E271" t="str">
        <f>"BIRMINGHAM                "</f>
        <v xml:space="preserve">BIRMINGHAM                </v>
      </c>
      <c r="F271" t="str">
        <f t="shared" si="10"/>
        <v>AL</v>
      </c>
    </row>
    <row r="272" spans="1:6" x14ac:dyDescent="0.25">
      <c r="A272" t="str">
        <f>"002909017"</f>
        <v>002909017</v>
      </c>
      <c r="B272" t="str">
        <f>"1811907769"</f>
        <v>1811907769</v>
      </c>
      <c r="C272" t="str">
        <f>"367500000X"</f>
        <v>367500000X</v>
      </c>
      <c r="D272" t="str">
        <f>"NORMAN                   LESLIE       L           "</f>
        <v xml:space="preserve">NORMAN                   LESLIE       L           </v>
      </c>
      <c r="E272" t="str">
        <f>"BIRMINGHAM                "</f>
        <v xml:space="preserve">BIRMINGHAM                </v>
      </c>
      <c r="F272" t="str">
        <f t="shared" si="10"/>
        <v>AL</v>
      </c>
    </row>
    <row r="273" spans="1:6" x14ac:dyDescent="0.25">
      <c r="A273" t="str">
        <f>"002923276"</f>
        <v>002923276</v>
      </c>
      <c r="B273" t="str">
        <f>"1700856192"</f>
        <v>1700856192</v>
      </c>
      <c r="C273" t="str">
        <f>"2085R0202X"</f>
        <v>2085R0202X</v>
      </c>
      <c r="D273" t="str">
        <f>"ASHER                    DEAN         B           "</f>
        <v xml:space="preserve">ASHER                    DEAN         B           </v>
      </c>
      <c r="E273" t="str">
        <f>"MOBILE                    "</f>
        <v xml:space="preserve">MOBILE                    </v>
      </c>
      <c r="F273" t="str">
        <f t="shared" si="10"/>
        <v>AL</v>
      </c>
    </row>
    <row r="274" spans="1:6" x14ac:dyDescent="0.25">
      <c r="A274" t="str">
        <f>"002923736"</f>
        <v>002923736</v>
      </c>
      <c r="B274" t="str">
        <f>"1548278872"</f>
        <v>1548278872</v>
      </c>
      <c r="C274" t="str">
        <f>"2086S0120X"</f>
        <v>2086S0120X</v>
      </c>
      <c r="D274" t="str">
        <f>"BEIERLE CHEN             ELIZABETH    A           "</f>
        <v xml:space="preserve">BEIERLE CHEN             ELIZABETH    A           </v>
      </c>
      <c r="E274" t="str">
        <f>"BIRMINGHAM                "</f>
        <v xml:space="preserve">BIRMINGHAM                </v>
      </c>
      <c r="F274" t="str">
        <f t="shared" si="10"/>
        <v>AL</v>
      </c>
    </row>
    <row r="275" spans="1:6" x14ac:dyDescent="0.25">
      <c r="A275" t="str">
        <f>"002924779"</f>
        <v>002924779</v>
      </c>
      <c r="B275" t="str">
        <f>"1659784544"</f>
        <v>1659784544</v>
      </c>
      <c r="C275" t="str">
        <f>"207P00000X"</f>
        <v>207P00000X</v>
      </c>
      <c r="D275" t="str">
        <f>"WATTENBARGER             SARA         L           "</f>
        <v xml:space="preserve">WATTENBARGER             SARA         L           </v>
      </c>
      <c r="E275" t="str">
        <f>"MOBILE                    "</f>
        <v xml:space="preserve">MOBILE                    </v>
      </c>
      <c r="F275" t="str">
        <f t="shared" si="10"/>
        <v>AL</v>
      </c>
    </row>
    <row r="276" spans="1:6" x14ac:dyDescent="0.25">
      <c r="A276" t="str">
        <f>"002926816"</f>
        <v>002926816</v>
      </c>
      <c r="B276" t="str">
        <f>"1245596592"</f>
        <v>1245596592</v>
      </c>
      <c r="C276" t="str">
        <f>"207P00000X"</f>
        <v>207P00000X</v>
      </c>
      <c r="D276" t="str">
        <f>"TURNER                   WHITNEY      S           "</f>
        <v xml:space="preserve">TURNER                   WHITNEY      S           </v>
      </c>
      <c r="E276" t="str">
        <f>"BIRMINGHAM                "</f>
        <v xml:space="preserve">BIRMINGHAM                </v>
      </c>
      <c r="F276" t="str">
        <f t="shared" si="10"/>
        <v>AL</v>
      </c>
    </row>
    <row r="277" spans="1:6" x14ac:dyDescent="0.25">
      <c r="A277" t="str">
        <f>"002971018"</f>
        <v>002971018</v>
      </c>
      <c r="B277" t="str">
        <f>"1265412241"</f>
        <v>1265412241</v>
      </c>
      <c r="C277" t="str">
        <f>"367500000X"</f>
        <v>367500000X</v>
      </c>
      <c r="D277" t="str">
        <f>"WARREN                   JENNIFER     A           "</f>
        <v xml:space="preserve">WARREN                   JENNIFER     A           </v>
      </c>
      <c r="E277" t="str">
        <f>"BIRMINGHAM                "</f>
        <v xml:space="preserve">BIRMINGHAM                </v>
      </c>
      <c r="F277" t="str">
        <f t="shared" si="10"/>
        <v>AL</v>
      </c>
    </row>
    <row r="278" spans="1:6" x14ac:dyDescent="0.25">
      <c r="A278" t="str">
        <f>"002973501"</f>
        <v>002973501</v>
      </c>
      <c r="B278" t="str">
        <f>"1053061978"</f>
        <v>1053061978</v>
      </c>
      <c r="C278" t="str">
        <f>"207R00000X"</f>
        <v>207R00000X</v>
      </c>
      <c r="D278" t="str">
        <f>"PAILLE                   AARON                    "</f>
        <v xml:space="preserve">PAILLE                   AARON                    </v>
      </c>
      <c r="E278" t="str">
        <f>"MOBILE                    "</f>
        <v xml:space="preserve">MOBILE                    </v>
      </c>
      <c r="F278" t="str">
        <f t="shared" si="10"/>
        <v>AL</v>
      </c>
    </row>
    <row r="279" spans="1:6" x14ac:dyDescent="0.25">
      <c r="A279" t="str">
        <f>"002973874"</f>
        <v>002973874</v>
      </c>
      <c r="B279" t="str">
        <f>"1194201277"</f>
        <v>1194201277</v>
      </c>
      <c r="C279" t="str">
        <f>"363L00000X"</f>
        <v>363L00000X</v>
      </c>
      <c r="D279" t="str">
        <f>"AGEE                     CLAY                     "</f>
        <v xml:space="preserve">AGEE                     CLAY                     </v>
      </c>
      <c r="E279" t="str">
        <f>"MOBILE                    "</f>
        <v xml:space="preserve">MOBILE                    </v>
      </c>
      <c r="F279" t="str">
        <f t="shared" si="10"/>
        <v>AL</v>
      </c>
    </row>
    <row r="280" spans="1:6" x14ac:dyDescent="0.25">
      <c r="A280" t="str">
        <f>"002980291"</f>
        <v>002980291</v>
      </c>
      <c r="B280" t="str">
        <f>"1477026367"</f>
        <v>1477026367</v>
      </c>
      <c r="C280" t="str">
        <f>"367500000X"</f>
        <v>367500000X</v>
      </c>
      <c r="D280" t="str">
        <f>"ROBERTS                  LAUREN                   "</f>
        <v xml:space="preserve">ROBERTS                  LAUREN                   </v>
      </c>
      <c r="E280" t="str">
        <f>"MOBILE                    "</f>
        <v xml:space="preserve">MOBILE                    </v>
      </c>
      <c r="F280" t="str">
        <f t="shared" si="10"/>
        <v>AL</v>
      </c>
    </row>
    <row r="281" spans="1:6" x14ac:dyDescent="0.25">
      <c r="A281" t="str">
        <f>"002980351"</f>
        <v>002980351</v>
      </c>
      <c r="B281" t="str">
        <f>"1639334915"</f>
        <v>1639334915</v>
      </c>
      <c r="C281" t="str">
        <f>"2085R0202X"</f>
        <v>2085R0202X</v>
      </c>
      <c r="D281" t="str">
        <f>"ZARZOUR                  JESSICA      G           "</f>
        <v xml:space="preserve">ZARZOUR                  JESSICA      G           </v>
      </c>
      <c r="E281" t="str">
        <f>"BIRMINGHAM                "</f>
        <v xml:space="preserve">BIRMINGHAM                </v>
      </c>
      <c r="F281" t="str">
        <f t="shared" si="10"/>
        <v>AL</v>
      </c>
    </row>
    <row r="282" spans="1:6" x14ac:dyDescent="0.25">
      <c r="A282" t="str">
        <f>"003036816"</f>
        <v>003036816</v>
      </c>
      <c r="B282" t="str">
        <f>"1548553035"</f>
        <v>1548553035</v>
      </c>
      <c r="C282" t="str">
        <f>"207T00000X"</f>
        <v>207T00000X</v>
      </c>
      <c r="D282" t="str">
        <f>"LIPTRAP                  ELIZABETH                "</f>
        <v xml:space="preserve">LIPTRAP                  ELIZABETH                </v>
      </c>
      <c r="E282" t="str">
        <f>"BIRMINGHAM                "</f>
        <v xml:space="preserve">BIRMINGHAM                </v>
      </c>
      <c r="F282" t="str">
        <f t="shared" si="10"/>
        <v>AL</v>
      </c>
    </row>
    <row r="283" spans="1:6" x14ac:dyDescent="0.25">
      <c r="A283" t="str">
        <f>"003054817"</f>
        <v>003054817</v>
      </c>
      <c r="B283" t="str">
        <f>"1427531151"</f>
        <v>1427531151</v>
      </c>
      <c r="C283" t="str">
        <f>"363L00000X"</f>
        <v>363L00000X</v>
      </c>
      <c r="D283" t="str">
        <f>"SOCKWELL                 ELIZABETH    D           "</f>
        <v xml:space="preserve">SOCKWELL                 ELIZABETH    D           </v>
      </c>
      <c r="E283" t="str">
        <f>"BIRMINGHAM                "</f>
        <v xml:space="preserve">BIRMINGHAM                </v>
      </c>
      <c r="F283" t="str">
        <f t="shared" si="10"/>
        <v>AL</v>
      </c>
    </row>
    <row r="284" spans="1:6" x14ac:dyDescent="0.25">
      <c r="A284" t="str">
        <f>"003076378"</f>
        <v>003076378</v>
      </c>
      <c r="B284" t="str">
        <f>"1053632638"</f>
        <v>1053632638</v>
      </c>
      <c r="C284" t="str">
        <f>"367500000X"</f>
        <v>367500000X</v>
      </c>
      <c r="D284" t="str">
        <f>"SELF                     JOHN         A           "</f>
        <v xml:space="preserve">SELF                     JOHN         A           </v>
      </c>
      <c r="E284" t="str">
        <f>"MOBILE                    "</f>
        <v xml:space="preserve">MOBILE                    </v>
      </c>
      <c r="F284" t="str">
        <f t="shared" si="10"/>
        <v>AL</v>
      </c>
    </row>
    <row r="285" spans="1:6" x14ac:dyDescent="0.25">
      <c r="A285" t="str">
        <f>"003076391"</f>
        <v>003076391</v>
      </c>
      <c r="B285" t="str">
        <f>"1477868610"</f>
        <v>1477868610</v>
      </c>
      <c r="C285" t="str">
        <f>"208600000X"</f>
        <v>208600000X</v>
      </c>
      <c r="D285" t="str">
        <f>"LEE                      YANN-LEEI    L           "</f>
        <v xml:space="preserve">LEE                      YANN-LEEI    L           </v>
      </c>
      <c r="E285" t="str">
        <f>"MOBILE                    "</f>
        <v xml:space="preserve">MOBILE                    </v>
      </c>
      <c r="F285" t="str">
        <f t="shared" si="10"/>
        <v>AL</v>
      </c>
    </row>
    <row r="286" spans="1:6" x14ac:dyDescent="0.25">
      <c r="A286" t="str">
        <f>"003077090"</f>
        <v>003077090</v>
      </c>
      <c r="B286" t="str">
        <f>"1558312348"</f>
        <v>1558312348</v>
      </c>
      <c r="C286" t="str">
        <f>"208000000X"</f>
        <v>208000000X</v>
      </c>
      <c r="D286" t="str">
        <f>"GRAY                     JENNIFER     M           "</f>
        <v xml:space="preserve">GRAY                     JENNIFER     M           </v>
      </c>
      <c r="E286" t="str">
        <f>"MOBILE                    "</f>
        <v xml:space="preserve">MOBILE                    </v>
      </c>
      <c r="F286" t="str">
        <f t="shared" si="10"/>
        <v>AL</v>
      </c>
    </row>
    <row r="287" spans="1:6" x14ac:dyDescent="0.25">
      <c r="A287" t="str">
        <f>"003079701"</f>
        <v>003079701</v>
      </c>
      <c r="B287" t="str">
        <f>"1881154367"</f>
        <v>1881154367</v>
      </c>
      <c r="C287" t="str">
        <f>"363L00000X"</f>
        <v>363L00000X</v>
      </c>
      <c r="D287" t="str">
        <f>"DODSON                   ABBY         C           "</f>
        <v xml:space="preserve">DODSON                   ABBY         C           </v>
      </c>
      <c r="E287" t="str">
        <f>"BIRMINGHAM                "</f>
        <v xml:space="preserve">BIRMINGHAM                </v>
      </c>
      <c r="F287" t="str">
        <f t="shared" si="10"/>
        <v>AL</v>
      </c>
    </row>
    <row r="288" spans="1:6" x14ac:dyDescent="0.25">
      <c r="A288" t="str">
        <f>"003102794"</f>
        <v>003102794</v>
      </c>
      <c r="B288" t="str">
        <f>"1053366500"</f>
        <v>1053366500</v>
      </c>
      <c r="C288" t="str">
        <f>"207RE0101X"</f>
        <v>207RE0101X</v>
      </c>
      <c r="D288" t="str">
        <f>"ARGUELLO                 CARLOS       R           "</f>
        <v xml:space="preserve">ARGUELLO                 CARLOS       R           </v>
      </c>
      <c r="E288" t="str">
        <f>"BIRMINGHAM                "</f>
        <v xml:space="preserve">BIRMINGHAM                </v>
      </c>
      <c r="F288" t="str">
        <f t="shared" si="10"/>
        <v>AL</v>
      </c>
    </row>
    <row r="289" spans="1:6" x14ac:dyDescent="0.25">
      <c r="A289" t="str">
        <f>"003103566"</f>
        <v>003103566</v>
      </c>
      <c r="B289" t="str">
        <f>"1073766572"</f>
        <v>1073766572</v>
      </c>
      <c r="C289" t="str">
        <f>"363L00000X"</f>
        <v>363L00000X</v>
      </c>
      <c r="D289" t="str">
        <f>"PRICE                    STEPHANIE    L           "</f>
        <v xml:space="preserve">PRICE                    STEPHANIE    L           </v>
      </c>
      <c r="E289" t="str">
        <f>"BIRMINGHAM                "</f>
        <v xml:space="preserve">BIRMINGHAM                </v>
      </c>
      <c r="F289" t="str">
        <f t="shared" si="10"/>
        <v>AL</v>
      </c>
    </row>
    <row r="290" spans="1:6" x14ac:dyDescent="0.25">
      <c r="A290" t="str">
        <f>"003109548"</f>
        <v>003109548</v>
      </c>
      <c r="B290" t="str">
        <f>"1801181649"</f>
        <v>1801181649</v>
      </c>
      <c r="C290" t="str">
        <f>"208G00000X"</f>
        <v>208G00000X</v>
      </c>
      <c r="D290" t="str">
        <f>"VARDAS                   PANAYOTIS                "</f>
        <v xml:space="preserve">VARDAS                   PANAYOTIS                </v>
      </c>
      <c r="E290" t="str">
        <f>"BIRMINGHAM                "</f>
        <v xml:space="preserve">BIRMINGHAM                </v>
      </c>
      <c r="F290" t="str">
        <f t="shared" si="10"/>
        <v>AL</v>
      </c>
    </row>
    <row r="291" spans="1:6" x14ac:dyDescent="0.25">
      <c r="A291" t="str">
        <f>"003128711"</f>
        <v>003128711</v>
      </c>
      <c r="B291" t="str">
        <f>"1225050305"</f>
        <v>1225050305</v>
      </c>
      <c r="C291" t="str">
        <f>"2084N0400X"</f>
        <v>2084N0400X</v>
      </c>
      <c r="D291" t="str">
        <f>"VER HOEF                 LAWRENCE     W           "</f>
        <v xml:space="preserve">VER HOEF                 LAWRENCE     W           </v>
      </c>
      <c r="E291" t="str">
        <f>"BIRMINGHAM                "</f>
        <v xml:space="preserve">BIRMINGHAM                </v>
      </c>
      <c r="F291" t="str">
        <f t="shared" si="10"/>
        <v>AL</v>
      </c>
    </row>
    <row r="292" spans="1:6" x14ac:dyDescent="0.25">
      <c r="A292" t="str">
        <f>"003130001"</f>
        <v>003130001</v>
      </c>
      <c r="B292" t="str">
        <f>"1669122685"</f>
        <v>1669122685</v>
      </c>
      <c r="C292" t="str">
        <f>"207R00000X"</f>
        <v>207R00000X</v>
      </c>
      <c r="D292" t="str">
        <f>"NGUYEN                   MICHELLE                 "</f>
        <v xml:space="preserve">NGUYEN                   MICHELLE                 </v>
      </c>
      <c r="E292" t="str">
        <f>"MOBILE                    "</f>
        <v xml:space="preserve">MOBILE                    </v>
      </c>
      <c r="F292" t="str">
        <f t="shared" si="10"/>
        <v>AL</v>
      </c>
    </row>
    <row r="293" spans="1:6" x14ac:dyDescent="0.25">
      <c r="A293" t="str">
        <f>"003134357"</f>
        <v>003134357</v>
      </c>
      <c r="B293" t="str">
        <f>"1750723870"</f>
        <v>1750723870</v>
      </c>
      <c r="C293" t="str">
        <f>"363L00000X"</f>
        <v>363L00000X</v>
      </c>
      <c r="D293" t="str">
        <f>"ANGELILLO                MARGARET                 "</f>
        <v xml:space="preserve">ANGELILLO                MARGARET                 </v>
      </c>
      <c r="E293" t="str">
        <f>"BIRMINGHAM                "</f>
        <v xml:space="preserve">BIRMINGHAM                </v>
      </c>
      <c r="F293" t="str">
        <f t="shared" si="10"/>
        <v>AL</v>
      </c>
    </row>
    <row r="294" spans="1:6" x14ac:dyDescent="0.25">
      <c r="A294" t="str">
        <f>"003153563"</f>
        <v>003153563</v>
      </c>
      <c r="B294" t="str">
        <f>"1356310916"</f>
        <v>1356310916</v>
      </c>
      <c r="C294" t="str">
        <f>"207T00000X"</f>
        <v>207T00000X</v>
      </c>
      <c r="D294" t="str">
        <f>"ROZZELLE                 CURTIS       J           "</f>
        <v xml:space="preserve">ROZZELLE                 CURTIS       J           </v>
      </c>
      <c r="E294" t="str">
        <f>"BIRMINGHAM                "</f>
        <v xml:space="preserve">BIRMINGHAM                </v>
      </c>
      <c r="F294" t="str">
        <f t="shared" si="10"/>
        <v>AL</v>
      </c>
    </row>
    <row r="295" spans="1:6" x14ac:dyDescent="0.25">
      <c r="A295" t="str">
        <f>"003171086"</f>
        <v>003171086</v>
      </c>
      <c r="B295" t="str">
        <f>"1407507536"</f>
        <v>1407507536</v>
      </c>
      <c r="C295" t="str">
        <f>"363L00000X"</f>
        <v>363L00000X</v>
      </c>
      <c r="D295" t="str">
        <f>"JAUDON                   DANIELLE     F           "</f>
        <v xml:space="preserve">JAUDON                   DANIELLE     F           </v>
      </c>
      <c r="E295" t="str">
        <f>"MOBILE                    "</f>
        <v xml:space="preserve">MOBILE                    </v>
      </c>
      <c r="F295" t="str">
        <f t="shared" si="10"/>
        <v>AL</v>
      </c>
    </row>
    <row r="296" spans="1:6" x14ac:dyDescent="0.25">
      <c r="A296" t="str">
        <f>"003185853"</f>
        <v>003185853</v>
      </c>
      <c r="B296" t="str">
        <f>"1477972511"</f>
        <v>1477972511</v>
      </c>
      <c r="C296" t="str">
        <f>"363L00000X"</f>
        <v>363L00000X</v>
      </c>
      <c r="D296" t="str">
        <f>"GOODWIN                  DANA         L           "</f>
        <v xml:space="preserve">GOODWIN                  DANA         L           </v>
      </c>
      <c r="E296" t="str">
        <f>"BIRMINGHAM                "</f>
        <v xml:space="preserve">BIRMINGHAM                </v>
      </c>
      <c r="F296" t="str">
        <f t="shared" si="10"/>
        <v>AL</v>
      </c>
    </row>
    <row r="297" spans="1:6" x14ac:dyDescent="0.25">
      <c r="A297" t="str">
        <f>"003188290"</f>
        <v>003188290</v>
      </c>
      <c r="B297" t="str">
        <f>"1629318282"</f>
        <v>1629318282</v>
      </c>
      <c r="C297" t="str">
        <f>"363L00000X"</f>
        <v>363L00000X</v>
      </c>
      <c r="D297" t="str">
        <f>"ODA                      MAYUMI                   "</f>
        <v xml:space="preserve">ODA                      MAYUMI                   </v>
      </c>
      <c r="E297" t="str">
        <f>"BIRMINGHAM                "</f>
        <v xml:space="preserve">BIRMINGHAM                </v>
      </c>
      <c r="F297" t="str">
        <f t="shared" si="10"/>
        <v>AL</v>
      </c>
    </row>
    <row r="298" spans="1:6" x14ac:dyDescent="0.25">
      <c r="A298" t="str">
        <f>"003208597"</f>
        <v>003208597</v>
      </c>
      <c r="B298" t="str">
        <f>"1154683266"</f>
        <v>1154683266</v>
      </c>
      <c r="C298" t="str">
        <f>"207RX0202X"</f>
        <v>207RX0202X</v>
      </c>
      <c r="D298" t="str">
        <f>"BACHIASHVILI             KIMO                     "</f>
        <v xml:space="preserve">BACHIASHVILI             KIMO                     </v>
      </c>
      <c r="E298" t="str">
        <f>"BIRMINGHAM                "</f>
        <v xml:space="preserve">BIRMINGHAM                </v>
      </c>
      <c r="F298" t="str">
        <f t="shared" si="10"/>
        <v>AL</v>
      </c>
    </row>
    <row r="299" spans="1:6" x14ac:dyDescent="0.25">
      <c r="A299" t="str">
        <f>"003220504"</f>
        <v>003220504</v>
      </c>
      <c r="B299" t="str">
        <f>"1073923462"</f>
        <v>1073923462</v>
      </c>
      <c r="C299" t="str">
        <f>"2084N0400X"</f>
        <v>2084N0400X</v>
      </c>
      <c r="D299" t="str">
        <f>"BENESH                   FRANK        S           "</f>
        <v xml:space="preserve">BENESH                   FRANK        S           </v>
      </c>
      <c r="E299" t="str">
        <f>"BIRMINGHAM                "</f>
        <v xml:space="preserve">BIRMINGHAM                </v>
      </c>
      <c r="F299" t="str">
        <f t="shared" si="10"/>
        <v>AL</v>
      </c>
    </row>
    <row r="300" spans="1:6" x14ac:dyDescent="0.25">
      <c r="A300" t="str">
        <f>"003226318"</f>
        <v>003226318</v>
      </c>
      <c r="B300" t="str">
        <f>"1285863670"</f>
        <v>1285863670</v>
      </c>
      <c r="C300" t="str">
        <f>"207V00000X"</f>
        <v>207V00000X</v>
      </c>
      <c r="D300" t="str">
        <f>"HOLLIDAY                 NICOLETTE    P           "</f>
        <v xml:space="preserve">HOLLIDAY                 NICOLETTE    P           </v>
      </c>
      <c r="E300" t="str">
        <f>"MOBILE                    "</f>
        <v xml:space="preserve">MOBILE                    </v>
      </c>
      <c r="F300" t="str">
        <f t="shared" si="10"/>
        <v>AL</v>
      </c>
    </row>
    <row r="301" spans="1:6" x14ac:dyDescent="0.25">
      <c r="A301" t="str">
        <f>"003229213"</f>
        <v>003229213</v>
      </c>
      <c r="B301" t="str">
        <f>"1306272141"</f>
        <v>1306272141</v>
      </c>
      <c r="C301" t="str">
        <f>"207P00000X"</f>
        <v>207P00000X</v>
      </c>
      <c r="D301" t="str">
        <f>"ATTI                     SUKHSHANT                "</f>
        <v xml:space="preserve">ATTI                     SUKHSHANT                </v>
      </c>
      <c r="E301" t="str">
        <f>"BIRMINGHAM                "</f>
        <v xml:space="preserve">BIRMINGHAM                </v>
      </c>
      <c r="F301" t="str">
        <f t="shared" si="10"/>
        <v>AL</v>
      </c>
    </row>
    <row r="302" spans="1:6" x14ac:dyDescent="0.25">
      <c r="A302" t="str">
        <f>"003230219"</f>
        <v>003230219</v>
      </c>
      <c r="B302" t="str">
        <f>"1174936538"</f>
        <v>1174936538</v>
      </c>
      <c r="C302" t="str">
        <f>"2084N0400X"</f>
        <v>2084N0400X</v>
      </c>
      <c r="D302" t="str">
        <f>"MULKI                    RAMZI        H           "</f>
        <v xml:space="preserve">MULKI                    RAMZI        H           </v>
      </c>
      <c r="E302" t="str">
        <f>"BIRMINGHAM                "</f>
        <v xml:space="preserve">BIRMINGHAM                </v>
      </c>
      <c r="F302" t="str">
        <f t="shared" si="10"/>
        <v>AL</v>
      </c>
    </row>
    <row r="303" spans="1:6" x14ac:dyDescent="0.25">
      <c r="A303" t="str">
        <f>"003230899"</f>
        <v>003230899</v>
      </c>
      <c r="B303" t="str">
        <f>"1821276676"</f>
        <v>1821276676</v>
      </c>
      <c r="C303" t="str">
        <f>"363A00000X"</f>
        <v>363A00000X</v>
      </c>
      <c r="D303" t="str">
        <f>"GERJOI                   MARCELO      N           "</f>
        <v xml:space="preserve">GERJOI                   MARCELO      N           </v>
      </c>
      <c r="E303" t="str">
        <f>"MOBILE                    "</f>
        <v xml:space="preserve">MOBILE                    </v>
      </c>
      <c r="F303" t="str">
        <f t="shared" si="10"/>
        <v>AL</v>
      </c>
    </row>
    <row r="304" spans="1:6" x14ac:dyDescent="0.25">
      <c r="A304" t="str">
        <f>"003231306"</f>
        <v>003231306</v>
      </c>
      <c r="B304" t="str">
        <f>"1275069759"</f>
        <v>1275069759</v>
      </c>
      <c r="C304" t="str">
        <f>"363L00000X"</f>
        <v>363L00000X</v>
      </c>
      <c r="D304" t="str">
        <f>"PATTERSON                AMBER        L           "</f>
        <v xml:space="preserve">PATTERSON                AMBER        L           </v>
      </c>
      <c r="E304" t="str">
        <f>"BIRMINGHAM                "</f>
        <v xml:space="preserve">BIRMINGHAM                </v>
      </c>
      <c r="F304" t="str">
        <f t="shared" si="10"/>
        <v>AL</v>
      </c>
    </row>
    <row r="305" spans="1:6" x14ac:dyDescent="0.25">
      <c r="A305" t="str">
        <f>"003239569"</f>
        <v>003239569</v>
      </c>
      <c r="B305" t="str">
        <f>"1336588086"</f>
        <v>1336588086</v>
      </c>
      <c r="C305" t="str">
        <f>"363L00000X"</f>
        <v>363L00000X</v>
      </c>
      <c r="D305" t="str">
        <f>"WILEY                    JESSICA      M           "</f>
        <v xml:space="preserve">WILEY                    JESSICA      M           </v>
      </c>
      <c r="E305" t="str">
        <f>"BIRMINGHAM                "</f>
        <v xml:space="preserve">BIRMINGHAM                </v>
      </c>
      <c r="F305" t="str">
        <f t="shared" si="10"/>
        <v>AL</v>
      </c>
    </row>
    <row r="306" spans="1:6" x14ac:dyDescent="0.25">
      <c r="A306" t="str">
        <f>"003253752"</f>
        <v>003253752</v>
      </c>
      <c r="B306" t="str">
        <f>"1871577049"</f>
        <v>1871577049</v>
      </c>
      <c r="C306" t="str">
        <f>"207P00000X"</f>
        <v>207P00000X</v>
      </c>
      <c r="D306" t="str">
        <f>"PANACEK                  EDWARD       A           "</f>
        <v xml:space="preserve">PANACEK                  EDWARD       A           </v>
      </c>
      <c r="E306" t="str">
        <f>"MOBILE                    "</f>
        <v xml:space="preserve">MOBILE                    </v>
      </c>
      <c r="F306" t="str">
        <f t="shared" si="10"/>
        <v>AL</v>
      </c>
    </row>
    <row r="307" spans="1:6" x14ac:dyDescent="0.25">
      <c r="A307" t="str">
        <f>"003258869"</f>
        <v>003258869</v>
      </c>
      <c r="B307" t="str">
        <f>"1043503816"</f>
        <v>1043503816</v>
      </c>
      <c r="C307" t="str">
        <f>"363L00000X"</f>
        <v>363L00000X</v>
      </c>
      <c r="D307" t="str">
        <f>"HOUSTON                  EILEEN       D           "</f>
        <v xml:space="preserve">HOUSTON                  EILEEN       D           </v>
      </c>
      <c r="E307" t="str">
        <f>"MOBILE                    "</f>
        <v xml:space="preserve">MOBILE                    </v>
      </c>
      <c r="F307" t="str">
        <f t="shared" si="10"/>
        <v>AL</v>
      </c>
    </row>
    <row r="308" spans="1:6" x14ac:dyDescent="0.25">
      <c r="A308" t="str">
        <f>"003275235"</f>
        <v>003275235</v>
      </c>
      <c r="B308" t="str">
        <f>"1679109755"</f>
        <v>1679109755</v>
      </c>
      <c r="C308" t="str">
        <f>"363L00000X"</f>
        <v>363L00000X</v>
      </c>
      <c r="D308" t="str">
        <f>"PERRY                    DENA                     "</f>
        <v xml:space="preserve">PERRY                    DENA                     </v>
      </c>
      <c r="E308" t="str">
        <f>"MOBILE                    "</f>
        <v xml:space="preserve">MOBILE                    </v>
      </c>
      <c r="F308" t="str">
        <f t="shared" si="10"/>
        <v>AL</v>
      </c>
    </row>
    <row r="309" spans="1:6" x14ac:dyDescent="0.25">
      <c r="A309" t="str">
        <f>"003277878"</f>
        <v>003277878</v>
      </c>
      <c r="B309" t="str">
        <f>"1205824158"</f>
        <v>1205824158</v>
      </c>
      <c r="C309" t="str">
        <f>"207RP1001X"</f>
        <v>207RP1001X</v>
      </c>
      <c r="D309" t="str">
        <f>"CARTER                   AARON        B           "</f>
        <v xml:space="preserve">CARTER                   AARON        B           </v>
      </c>
      <c r="E309" t="str">
        <f>"BIRMINGHAM                "</f>
        <v xml:space="preserve">BIRMINGHAM                </v>
      </c>
      <c r="F309" t="str">
        <f t="shared" si="10"/>
        <v>AL</v>
      </c>
    </row>
    <row r="310" spans="1:6" x14ac:dyDescent="0.25">
      <c r="A310" t="str">
        <f>"003282716"</f>
        <v>003282716</v>
      </c>
      <c r="B310" t="str">
        <f>"1558318964"</f>
        <v>1558318964</v>
      </c>
      <c r="C310" t="str">
        <f>"2085R0202X"</f>
        <v>2085R0202X</v>
      </c>
      <c r="D310" t="str">
        <f>"TERRY                    NINA         L           "</f>
        <v xml:space="preserve">TERRY                    NINA         L           </v>
      </c>
      <c r="E310" t="str">
        <f>"BIRMINGHAM                "</f>
        <v xml:space="preserve">BIRMINGHAM                </v>
      </c>
      <c r="F310" t="str">
        <f t="shared" si="10"/>
        <v>AL</v>
      </c>
    </row>
    <row r="311" spans="1:6" x14ac:dyDescent="0.25">
      <c r="A311" t="str">
        <f>"003300071"</f>
        <v>003300071</v>
      </c>
      <c r="B311" t="str">
        <f>"1477526606"</f>
        <v>1477526606</v>
      </c>
      <c r="C311" t="str">
        <f>"152W00000X"</f>
        <v>152W00000X</v>
      </c>
      <c r="D311" t="str">
        <f>"SLADE                    LINDA        E           "</f>
        <v xml:space="preserve">SLADE                    LINDA        E           </v>
      </c>
      <c r="E311" t="str">
        <f>"MOBILE                    "</f>
        <v xml:space="preserve">MOBILE                    </v>
      </c>
      <c r="F311" t="str">
        <f t="shared" si="10"/>
        <v>AL</v>
      </c>
    </row>
    <row r="312" spans="1:6" x14ac:dyDescent="0.25">
      <c r="A312" t="str">
        <f>"003300561"</f>
        <v>003300561</v>
      </c>
      <c r="B312" t="str">
        <f>"1679837595"</f>
        <v>1679837595</v>
      </c>
      <c r="C312" t="str">
        <f>"207L00000X"</f>
        <v>207L00000X</v>
      </c>
      <c r="D312" t="str">
        <f>"WU                       SONGWEI                  "</f>
        <v xml:space="preserve">WU                       SONGWEI                  </v>
      </c>
      <c r="E312" t="str">
        <f>"BIRMINGHAM                "</f>
        <v xml:space="preserve">BIRMINGHAM                </v>
      </c>
      <c r="F312" t="str">
        <f t="shared" si="10"/>
        <v>AL</v>
      </c>
    </row>
    <row r="313" spans="1:6" x14ac:dyDescent="0.25">
      <c r="A313" t="str">
        <f>"003302311"</f>
        <v>003302311</v>
      </c>
      <c r="B313" t="str">
        <f>"1912947532"</f>
        <v>1912947532</v>
      </c>
      <c r="C313" t="str">
        <f>"207P00000X"</f>
        <v>207P00000X</v>
      </c>
      <c r="D313" t="str">
        <f>"SCHNEIDER                ROBERT       A           "</f>
        <v xml:space="preserve">SCHNEIDER                ROBERT       A           </v>
      </c>
      <c r="E313" t="str">
        <f>"MOBILE                    "</f>
        <v xml:space="preserve">MOBILE                    </v>
      </c>
      <c r="F313" t="str">
        <f t="shared" si="10"/>
        <v>AL</v>
      </c>
    </row>
    <row r="314" spans="1:6" x14ac:dyDescent="0.25">
      <c r="A314" t="str">
        <f>"003327361"</f>
        <v>003327361</v>
      </c>
      <c r="B314" t="str">
        <f>"1487940656"</f>
        <v>1487940656</v>
      </c>
      <c r="C314" t="str">
        <f>"207L00000X"</f>
        <v>207L00000X</v>
      </c>
      <c r="D314" t="str">
        <f>"PAUL                     CHRISTOPHER  A           "</f>
        <v xml:space="preserve">PAUL                     CHRISTOPHER  A           </v>
      </c>
      <c r="E314" t="str">
        <f>"BIRMINGHAM                "</f>
        <v xml:space="preserve">BIRMINGHAM                </v>
      </c>
      <c r="F314" t="str">
        <f t="shared" si="10"/>
        <v>AL</v>
      </c>
    </row>
    <row r="315" spans="1:6" x14ac:dyDescent="0.25">
      <c r="A315" t="str">
        <f>"003353737"</f>
        <v>003353737</v>
      </c>
      <c r="B315" t="str">
        <f>"1821074147"</f>
        <v>1821074147</v>
      </c>
      <c r="C315" t="str">
        <f>"207RH0000X"</f>
        <v>207RH0000X</v>
      </c>
      <c r="D315" t="str">
        <f>"IMRAN                    HAMAYUN                  "</f>
        <v xml:space="preserve">IMRAN                    HAMAYUN                  </v>
      </c>
      <c r="E315" t="str">
        <f>"MOBILE                    "</f>
        <v xml:space="preserve">MOBILE                    </v>
      </c>
      <c r="F315" t="str">
        <f t="shared" si="10"/>
        <v>AL</v>
      </c>
    </row>
    <row r="316" spans="1:6" x14ac:dyDescent="0.25">
      <c r="A316" t="str">
        <f>"003353792"</f>
        <v>003353792</v>
      </c>
      <c r="B316" t="str">
        <f>"1053634386"</f>
        <v>1053634386</v>
      </c>
      <c r="C316" t="str">
        <f>"363L00000X"</f>
        <v>363L00000X</v>
      </c>
      <c r="D316" t="str">
        <f>"HILL                     VANESSA      K           "</f>
        <v xml:space="preserve">HILL                     VANESSA      K           </v>
      </c>
      <c r="E316" t="str">
        <f>"BIRMINGHAM                "</f>
        <v xml:space="preserve">BIRMINGHAM                </v>
      </c>
      <c r="F316" t="str">
        <f t="shared" si="10"/>
        <v>AL</v>
      </c>
    </row>
    <row r="317" spans="1:6" x14ac:dyDescent="0.25">
      <c r="A317" t="str">
        <f>"003370519"</f>
        <v>003370519</v>
      </c>
      <c r="B317" t="str">
        <f>"1548529167"</f>
        <v>1548529167</v>
      </c>
      <c r="C317" t="str">
        <f>"363L00000X"</f>
        <v>363L00000X</v>
      </c>
      <c r="D317" t="str">
        <f>"KING                     JESSICA      H           "</f>
        <v xml:space="preserve">KING                     JESSICA      H           </v>
      </c>
      <c r="E317" t="str">
        <f>"MOBILE                    "</f>
        <v xml:space="preserve">MOBILE                    </v>
      </c>
      <c r="F317" t="str">
        <f t="shared" si="10"/>
        <v>AL</v>
      </c>
    </row>
    <row r="318" spans="1:6" x14ac:dyDescent="0.25">
      <c r="A318" t="str">
        <f>"003379864"</f>
        <v>003379864</v>
      </c>
      <c r="B318" t="str">
        <f>"1851824429"</f>
        <v>1851824429</v>
      </c>
      <c r="C318" t="str">
        <f>"207R00000X"</f>
        <v>207R00000X</v>
      </c>
      <c r="D318" t="str">
        <f>"BAKER                    THOMAS                   "</f>
        <v xml:space="preserve">BAKER                    THOMAS                   </v>
      </c>
      <c r="E318" t="str">
        <f>"MOBILE                    "</f>
        <v xml:space="preserve">MOBILE                    </v>
      </c>
      <c r="F318" t="str">
        <f t="shared" si="10"/>
        <v>AL</v>
      </c>
    </row>
    <row r="319" spans="1:6" x14ac:dyDescent="0.25">
      <c r="A319" t="str">
        <f>"003384760"</f>
        <v>003384760</v>
      </c>
      <c r="B319" t="str">
        <f>"1497918395"</f>
        <v>1497918395</v>
      </c>
      <c r="C319" t="str">
        <f>"2080P0207X"</f>
        <v>2080P0207X</v>
      </c>
      <c r="D319" t="str">
        <f>"MARRI                    PREETHI      R           "</f>
        <v xml:space="preserve">MARRI                    PREETHI      R           </v>
      </c>
      <c r="E319" t="str">
        <f>"MOBILE                    "</f>
        <v xml:space="preserve">MOBILE                    </v>
      </c>
      <c r="F319" t="str">
        <f t="shared" si="10"/>
        <v>AL</v>
      </c>
    </row>
    <row r="320" spans="1:6" x14ac:dyDescent="0.25">
      <c r="A320" t="str">
        <f>"003387091"</f>
        <v>003387091</v>
      </c>
      <c r="B320" t="str">
        <f>"1235576273"</f>
        <v>1235576273</v>
      </c>
      <c r="C320" t="str">
        <f>"207V00000X"</f>
        <v>207V00000X</v>
      </c>
      <c r="D320" t="str">
        <f>"WEBSTER                  CAROLYN                  "</f>
        <v xml:space="preserve">WEBSTER                  CAROLYN                  </v>
      </c>
      <c r="E320" t="str">
        <f>"BIRMINGHAM                "</f>
        <v xml:space="preserve">BIRMINGHAM                </v>
      </c>
      <c r="F320" t="str">
        <f t="shared" si="10"/>
        <v>AL</v>
      </c>
    </row>
    <row r="321" spans="1:6" x14ac:dyDescent="0.25">
      <c r="A321" t="str">
        <f>"003388261"</f>
        <v>003388261</v>
      </c>
      <c r="B321" t="str">
        <f>"1417247347"</f>
        <v>1417247347</v>
      </c>
      <c r="C321" t="str">
        <f>"2084N0400X"</f>
        <v>2084N0400X</v>
      </c>
      <c r="D321" t="str">
        <f>"GASTON                   TYLER        E           "</f>
        <v xml:space="preserve">GASTON                   TYLER        E           </v>
      </c>
      <c r="E321" t="str">
        <f>"BIRMINGHAM                "</f>
        <v xml:space="preserve">BIRMINGHAM                </v>
      </c>
      <c r="F321" t="str">
        <f t="shared" si="10"/>
        <v>AL</v>
      </c>
    </row>
    <row r="322" spans="1:6" x14ac:dyDescent="0.25">
      <c r="A322" t="str">
        <f>"003406302"</f>
        <v>003406302</v>
      </c>
      <c r="B322" t="str">
        <f>"1043272644"</f>
        <v>1043272644</v>
      </c>
      <c r="C322" t="str">
        <f>"207R00000X"</f>
        <v>207R00000X</v>
      </c>
      <c r="D322" t="str">
        <f>"ROCQUE                   BRANDON      G           "</f>
        <v xml:space="preserve">ROCQUE                   BRANDON      G           </v>
      </c>
      <c r="E322" t="str">
        <f>"BIRMINGHAM                "</f>
        <v xml:space="preserve">BIRMINGHAM                </v>
      </c>
      <c r="F322" t="str">
        <f t="shared" si="10"/>
        <v>AL</v>
      </c>
    </row>
    <row r="323" spans="1:6" x14ac:dyDescent="0.25">
      <c r="A323" t="str">
        <f>"003421204"</f>
        <v>003421204</v>
      </c>
      <c r="B323" t="str">
        <f>"1245278274"</f>
        <v>1245278274</v>
      </c>
      <c r="C323" t="str">
        <f>"367500000X"</f>
        <v>367500000X</v>
      </c>
      <c r="D323" t="str">
        <f>"MELLOWN                  COLLEEN      H           "</f>
        <v xml:space="preserve">MELLOWN                  COLLEEN      H           </v>
      </c>
      <c r="E323" t="str">
        <f>"BIRMINGHAM                "</f>
        <v xml:space="preserve">BIRMINGHAM                </v>
      </c>
      <c r="F323" t="str">
        <f t="shared" si="10"/>
        <v>AL</v>
      </c>
    </row>
    <row r="324" spans="1:6" x14ac:dyDescent="0.25">
      <c r="A324" t="str">
        <f>"003453800"</f>
        <v>003453800</v>
      </c>
      <c r="B324" t="str">
        <f>"1093065419"</f>
        <v>1093065419</v>
      </c>
      <c r="C324" t="str">
        <f>"363L00000X"</f>
        <v>363L00000X</v>
      </c>
      <c r="D324" t="str">
        <f>"CHENEY                   CATHERINE                "</f>
        <v xml:space="preserve">CHENEY                   CATHERINE                </v>
      </c>
      <c r="E324" t="str">
        <f>"BIRMINGHAM                "</f>
        <v xml:space="preserve">BIRMINGHAM                </v>
      </c>
      <c r="F324" t="str">
        <f t="shared" si="10"/>
        <v>AL</v>
      </c>
    </row>
    <row r="325" spans="1:6" x14ac:dyDescent="0.25">
      <c r="A325" t="str">
        <f>"003471203"</f>
        <v>003471203</v>
      </c>
      <c r="B325" t="str">
        <f>"1740234327"</f>
        <v>1740234327</v>
      </c>
      <c r="C325" t="str">
        <f>"207RC0200X"</f>
        <v>207RC0200X</v>
      </c>
      <c r="D325" t="str">
        <f>"FOUTY                    BRIAN        W           "</f>
        <v xml:space="preserve">FOUTY                    BRIAN        W           </v>
      </c>
      <c r="E325" t="str">
        <f>"MOBILE                    "</f>
        <v xml:space="preserve">MOBILE                    </v>
      </c>
      <c r="F325" t="str">
        <f t="shared" si="10"/>
        <v>AL</v>
      </c>
    </row>
    <row r="326" spans="1:6" x14ac:dyDescent="0.25">
      <c r="A326" t="str">
        <f>"003475853"</f>
        <v>003475853</v>
      </c>
      <c r="B326" t="str">
        <f>"1952515736"</f>
        <v>1952515736</v>
      </c>
      <c r="C326" t="str">
        <f>"2086X0206X"</f>
        <v>2086X0206X</v>
      </c>
      <c r="D326" t="str">
        <f>"HOWARD                   JOHN         H           "</f>
        <v xml:space="preserve">HOWARD                   JOHN         H           </v>
      </c>
      <c r="E326" t="str">
        <f>"MOBILE                    "</f>
        <v xml:space="preserve">MOBILE                    </v>
      </c>
      <c r="F326" t="str">
        <f t="shared" si="10"/>
        <v>AL</v>
      </c>
    </row>
    <row r="327" spans="1:6" x14ac:dyDescent="0.25">
      <c r="A327" t="str">
        <f>"003475891"</f>
        <v>003475891</v>
      </c>
      <c r="B327" t="str">
        <f>"1235101973"</f>
        <v>1235101973</v>
      </c>
      <c r="C327" t="str">
        <f>"208G00000X"</f>
        <v>208G00000X</v>
      </c>
      <c r="D327" t="str">
        <f>"DOREMUS, JR              JOHN         B           "</f>
        <v xml:space="preserve">DOREMUS, JR              JOHN         B           </v>
      </c>
      <c r="E327" t="str">
        <f>"MOBILE                    "</f>
        <v xml:space="preserve">MOBILE                    </v>
      </c>
      <c r="F327" t="str">
        <f t="shared" ref="F327:F390" si="11">"AL"</f>
        <v>AL</v>
      </c>
    </row>
    <row r="328" spans="1:6" x14ac:dyDescent="0.25">
      <c r="A328" t="str">
        <f>"003482059"</f>
        <v>003482059</v>
      </c>
      <c r="B328" t="str">
        <f>"1104038306"</f>
        <v>1104038306</v>
      </c>
      <c r="C328" t="str">
        <f>"207R00000X"</f>
        <v>207R00000X</v>
      </c>
      <c r="D328" t="str">
        <f>"CHERRY                   DAVID        M           "</f>
        <v xml:space="preserve">CHERRY                   DAVID        M           </v>
      </c>
      <c r="E328" t="str">
        <f>"BIRMINGHAM                "</f>
        <v xml:space="preserve">BIRMINGHAM                </v>
      </c>
      <c r="F328" t="str">
        <f t="shared" si="11"/>
        <v>AL</v>
      </c>
    </row>
    <row r="329" spans="1:6" x14ac:dyDescent="0.25">
      <c r="A329" t="str">
        <f>"003484501"</f>
        <v>003484501</v>
      </c>
      <c r="B329" t="str">
        <f>"1912326695"</f>
        <v>1912326695</v>
      </c>
      <c r="C329" t="str">
        <f>"2085R0202X"</f>
        <v>2085R0202X</v>
      </c>
      <c r="D329" t="str">
        <f>"SOIKE                    MICHAEL                  "</f>
        <v xml:space="preserve">SOIKE                    MICHAEL                  </v>
      </c>
      <c r="E329" t="str">
        <f>"BIRMINGHAM                "</f>
        <v xml:space="preserve">BIRMINGHAM                </v>
      </c>
      <c r="F329" t="str">
        <f t="shared" si="11"/>
        <v>AL</v>
      </c>
    </row>
    <row r="330" spans="1:6" x14ac:dyDescent="0.25">
      <c r="A330" t="str">
        <f>"003505779"</f>
        <v>003505779</v>
      </c>
      <c r="B330" t="str">
        <f>"1053786657"</f>
        <v>1053786657</v>
      </c>
      <c r="C330" t="str">
        <f>"363L00000X"</f>
        <v>363L00000X</v>
      </c>
      <c r="D330" t="str">
        <f>"HAMLIN                   ELIZABETH    H           "</f>
        <v xml:space="preserve">HAMLIN                   ELIZABETH    H           </v>
      </c>
      <c r="E330" t="str">
        <f>"BIRMINGHAM                "</f>
        <v xml:space="preserve">BIRMINGHAM                </v>
      </c>
      <c r="F330" t="str">
        <f t="shared" si="11"/>
        <v>AL</v>
      </c>
    </row>
    <row r="331" spans="1:6" x14ac:dyDescent="0.25">
      <c r="A331" t="str">
        <f>"003529014"</f>
        <v>003529014</v>
      </c>
      <c r="B331" t="str">
        <f>"1043242985"</f>
        <v>1043242985</v>
      </c>
      <c r="C331" t="str">
        <f>"207RP1001X"</f>
        <v>207RP1001X</v>
      </c>
      <c r="D331" t="str">
        <f>"BARNEY                   JOSEPH       B           "</f>
        <v xml:space="preserve">BARNEY                   JOSEPH       B           </v>
      </c>
      <c r="E331" t="str">
        <f>"BIRMINGHAM                "</f>
        <v xml:space="preserve">BIRMINGHAM                </v>
      </c>
      <c r="F331" t="str">
        <f t="shared" si="11"/>
        <v>AL</v>
      </c>
    </row>
    <row r="332" spans="1:6" x14ac:dyDescent="0.25">
      <c r="A332" t="str">
        <f>"003530345"</f>
        <v>003530345</v>
      </c>
      <c r="B332" t="str">
        <f>"1255645594"</f>
        <v>1255645594</v>
      </c>
      <c r="C332" t="str">
        <f>"207VX0201X"</f>
        <v>207VX0201X</v>
      </c>
      <c r="D332" t="str">
        <f>"JONES                    NATHANIEL    L           "</f>
        <v xml:space="preserve">JONES                    NATHANIEL    L           </v>
      </c>
      <c r="E332" t="str">
        <f>"MOBILE                    "</f>
        <v xml:space="preserve">MOBILE                    </v>
      </c>
      <c r="F332" t="str">
        <f t="shared" si="11"/>
        <v>AL</v>
      </c>
    </row>
    <row r="333" spans="1:6" x14ac:dyDescent="0.25">
      <c r="A333" t="str">
        <f>"003536807"</f>
        <v>003536807</v>
      </c>
      <c r="B333" t="str">
        <f>"1063704534"</f>
        <v>1063704534</v>
      </c>
      <c r="C333" t="str">
        <f>"2085R0202X"</f>
        <v>2085R0202X</v>
      </c>
      <c r="D333" t="str">
        <f>"BENSON                   DONALD                   "</f>
        <v xml:space="preserve">BENSON                   DONALD                   </v>
      </c>
      <c r="E333" t="str">
        <f>"BIRMINGHAM                "</f>
        <v xml:space="preserve">BIRMINGHAM                </v>
      </c>
      <c r="F333" t="str">
        <f t="shared" si="11"/>
        <v>AL</v>
      </c>
    </row>
    <row r="334" spans="1:6" x14ac:dyDescent="0.25">
      <c r="A334" t="str">
        <f>"003539721"</f>
        <v>003539721</v>
      </c>
      <c r="B334" t="str">
        <f>"1306302948"</f>
        <v>1306302948</v>
      </c>
      <c r="C334" t="str">
        <f>"363L00000X"</f>
        <v>363L00000X</v>
      </c>
      <c r="D334" t="str">
        <f>"WELCH                    KELSEY       S           "</f>
        <v xml:space="preserve">WELCH                    KELSEY       S           </v>
      </c>
      <c r="E334" t="str">
        <f>"MOBILE                    "</f>
        <v xml:space="preserve">MOBILE                    </v>
      </c>
      <c r="F334" t="str">
        <f t="shared" si="11"/>
        <v>AL</v>
      </c>
    </row>
    <row r="335" spans="1:6" x14ac:dyDescent="0.25">
      <c r="A335" t="str">
        <f>"003550248"</f>
        <v>003550248</v>
      </c>
      <c r="B335" t="str">
        <f>"1427279579"</f>
        <v>1427279579</v>
      </c>
      <c r="C335" t="str">
        <f>"208000000X"</f>
        <v>208000000X</v>
      </c>
      <c r="D335" t="str">
        <f>"MERRITT                  BRANDY       E           "</f>
        <v xml:space="preserve">MERRITT                  BRANDY       E           </v>
      </c>
      <c r="E335" t="str">
        <f>"MOBILE                    "</f>
        <v xml:space="preserve">MOBILE                    </v>
      </c>
      <c r="F335" t="str">
        <f t="shared" si="11"/>
        <v>AL</v>
      </c>
    </row>
    <row r="336" spans="1:6" x14ac:dyDescent="0.25">
      <c r="A336" t="str">
        <f>"003588277"</f>
        <v>003588277</v>
      </c>
      <c r="B336" t="str">
        <f>"1073758827"</f>
        <v>1073758827</v>
      </c>
      <c r="C336" t="str">
        <f>"367500000X"</f>
        <v>367500000X</v>
      </c>
      <c r="D336" t="str">
        <f>"HARVEY                   CHARLES      A           "</f>
        <v xml:space="preserve">HARVEY                   CHARLES      A           </v>
      </c>
      <c r="E336" t="str">
        <f>"BIRMINGHAM                "</f>
        <v xml:space="preserve">BIRMINGHAM                </v>
      </c>
      <c r="F336" t="str">
        <f t="shared" si="11"/>
        <v>AL</v>
      </c>
    </row>
    <row r="337" spans="1:6" x14ac:dyDescent="0.25">
      <c r="A337" t="str">
        <f>"003589290"</f>
        <v>003589290</v>
      </c>
      <c r="B337" t="str">
        <f>"1083642011"</f>
        <v>1083642011</v>
      </c>
      <c r="C337" t="str">
        <f>"207V00000X"</f>
        <v>207V00000X</v>
      </c>
      <c r="D337" t="str">
        <f>"JENKINS                  SHERI        M           "</f>
        <v xml:space="preserve">JENKINS                  SHERI        M           </v>
      </c>
      <c r="E337" t="str">
        <f>"BIRMINGHAM                "</f>
        <v xml:space="preserve">BIRMINGHAM                </v>
      </c>
      <c r="F337" t="str">
        <f t="shared" si="11"/>
        <v>AL</v>
      </c>
    </row>
    <row r="338" spans="1:6" x14ac:dyDescent="0.25">
      <c r="A338" t="str">
        <f>"003601740"</f>
        <v>003601740</v>
      </c>
      <c r="B338" t="str">
        <f>"1427199470"</f>
        <v>1427199470</v>
      </c>
      <c r="C338" t="str">
        <f>"207R00000X"</f>
        <v>207R00000X</v>
      </c>
      <c r="D338" t="str">
        <f>"HUNDLEY                  OLIVETTE     T           "</f>
        <v xml:space="preserve">HUNDLEY                  OLIVETTE     T           </v>
      </c>
      <c r="E338" t="str">
        <f>"MOBILE                    "</f>
        <v xml:space="preserve">MOBILE                    </v>
      </c>
      <c r="F338" t="str">
        <f t="shared" si="11"/>
        <v>AL</v>
      </c>
    </row>
    <row r="339" spans="1:6" x14ac:dyDescent="0.25">
      <c r="A339" t="str">
        <f>"003625020"</f>
        <v>003625020</v>
      </c>
      <c r="B339" t="str">
        <f>"1104212588"</f>
        <v>1104212588</v>
      </c>
      <c r="C339" t="str">
        <f>"207L00000X"</f>
        <v>207L00000X</v>
      </c>
      <c r="D339" t="str">
        <f>"PIENNETTE                PAUL         D           "</f>
        <v xml:space="preserve">PIENNETTE                PAUL         D           </v>
      </c>
      <c r="E339" t="str">
        <f>"BIRMINGHAM                "</f>
        <v xml:space="preserve">BIRMINGHAM                </v>
      </c>
      <c r="F339" t="str">
        <f t="shared" si="11"/>
        <v>AL</v>
      </c>
    </row>
    <row r="340" spans="1:6" x14ac:dyDescent="0.25">
      <c r="A340" t="str">
        <f>"003704091"</f>
        <v>003704091</v>
      </c>
      <c r="B340" t="str">
        <f>"1861808263"</f>
        <v>1861808263</v>
      </c>
      <c r="C340" t="str">
        <f>"207R00000X"</f>
        <v>207R00000X</v>
      </c>
      <c r="D340" t="str">
        <f>"HAMEED                   ANAM                     "</f>
        <v xml:space="preserve">HAMEED                   ANAM                     </v>
      </c>
      <c r="E340" t="str">
        <f>"BIRMINGHAM                "</f>
        <v xml:space="preserve">BIRMINGHAM                </v>
      </c>
      <c r="F340" t="str">
        <f t="shared" si="11"/>
        <v>AL</v>
      </c>
    </row>
    <row r="341" spans="1:6" x14ac:dyDescent="0.25">
      <c r="A341" t="str">
        <f>"003727814"</f>
        <v>003727814</v>
      </c>
      <c r="B341" t="str">
        <f>"1528057650"</f>
        <v>1528057650</v>
      </c>
      <c r="C341" t="str">
        <f>"2085R0202X"</f>
        <v>2085R0202X</v>
      </c>
      <c r="D341" t="str">
        <f>"ADAMS                    CURTIS       L           "</f>
        <v xml:space="preserve">ADAMS                    CURTIS       L           </v>
      </c>
      <c r="E341" t="str">
        <f>"MOBILE                    "</f>
        <v xml:space="preserve">MOBILE                    </v>
      </c>
      <c r="F341" t="str">
        <f t="shared" si="11"/>
        <v>AL</v>
      </c>
    </row>
    <row r="342" spans="1:6" x14ac:dyDescent="0.25">
      <c r="A342" t="str">
        <f>"003729004"</f>
        <v>003729004</v>
      </c>
      <c r="B342" t="str">
        <f>"1710625058"</f>
        <v>1710625058</v>
      </c>
      <c r="C342" t="str">
        <f>"363L00000X"</f>
        <v>363L00000X</v>
      </c>
      <c r="D342" t="str">
        <f>"WILLIAMS                 ALEXANDRIA   E           "</f>
        <v xml:space="preserve">WILLIAMS                 ALEXANDRIA   E           </v>
      </c>
      <c r="E342" t="str">
        <f>"MOBILE                    "</f>
        <v xml:space="preserve">MOBILE                    </v>
      </c>
      <c r="F342" t="str">
        <f t="shared" si="11"/>
        <v>AL</v>
      </c>
    </row>
    <row r="343" spans="1:6" x14ac:dyDescent="0.25">
      <c r="A343" t="str">
        <f>"003734375"</f>
        <v>003734375</v>
      </c>
      <c r="B343" t="str">
        <f>"1003090986"</f>
        <v>1003090986</v>
      </c>
      <c r="C343" t="str">
        <f>"207R00000X"</f>
        <v>207R00000X</v>
      </c>
      <c r="D343" t="str">
        <f>"DIONNE                   JODIE        A           "</f>
        <v xml:space="preserve">DIONNE                   JODIE        A           </v>
      </c>
      <c r="E343" t="str">
        <f>"BIRMINGHAM                "</f>
        <v xml:space="preserve">BIRMINGHAM                </v>
      </c>
      <c r="F343" t="str">
        <f t="shared" si="11"/>
        <v>AL</v>
      </c>
    </row>
    <row r="344" spans="1:6" x14ac:dyDescent="0.25">
      <c r="A344" t="str">
        <f>"003752891"</f>
        <v>003752891</v>
      </c>
      <c r="B344" t="str">
        <f>"1780142653"</f>
        <v>1780142653</v>
      </c>
      <c r="C344" t="str">
        <f>"363L00000X"</f>
        <v>363L00000X</v>
      </c>
      <c r="D344" t="str">
        <f>"BRYAN                    MELISSA      S           "</f>
        <v xml:space="preserve">BRYAN                    MELISSA      S           </v>
      </c>
      <c r="E344" t="str">
        <f>"MOBILE                    "</f>
        <v xml:space="preserve">MOBILE                    </v>
      </c>
      <c r="F344" t="str">
        <f t="shared" si="11"/>
        <v>AL</v>
      </c>
    </row>
    <row r="345" spans="1:6" x14ac:dyDescent="0.25">
      <c r="A345" t="str">
        <f>"003771046"</f>
        <v>003771046</v>
      </c>
      <c r="B345" t="str">
        <f>"1891778684"</f>
        <v>1891778684</v>
      </c>
      <c r="C345" t="str">
        <f>"207RP1001X"</f>
        <v>207RP1001X</v>
      </c>
      <c r="D345" t="str">
        <f>"PATTERSON                SCOTT        H           "</f>
        <v xml:space="preserve">PATTERSON                SCOTT        H           </v>
      </c>
      <c r="E345" t="str">
        <f>"MOBILE                    "</f>
        <v xml:space="preserve">MOBILE                    </v>
      </c>
      <c r="F345" t="str">
        <f t="shared" si="11"/>
        <v>AL</v>
      </c>
    </row>
    <row r="346" spans="1:6" x14ac:dyDescent="0.25">
      <c r="A346" t="str">
        <f>"003774531"</f>
        <v>003774531</v>
      </c>
      <c r="B346" t="str">
        <f>"1861629230"</f>
        <v>1861629230</v>
      </c>
      <c r="C346" t="str">
        <f>"2084N0400X"</f>
        <v>2084N0400X</v>
      </c>
      <c r="D346" t="str">
        <f>"MEADOR                   WILLIAM      R           "</f>
        <v xml:space="preserve">MEADOR                   WILLIAM      R           </v>
      </c>
      <c r="E346" t="str">
        <f>"BIRMINGHAM                "</f>
        <v xml:space="preserve">BIRMINGHAM                </v>
      </c>
      <c r="F346" t="str">
        <f t="shared" si="11"/>
        <v>AL</v>
      </c>
    </row>
    <row r="347" spans="1:6" x14ac:dyDescent="0.25">
      <c r="A347" t="str">
        <f>"003783800"</f>
        <v>003783800</v>
      </c>
      <c r="B347" t="str">
        <f>"1962487934"</f>
        <v>1962487934</v>
      </c>
      <c r="C347" t="str">
        <f>"208800000X"</f>
        <v>208800000X</v>
      </c>
      <c r="D347" t="str">
        <f>"FLECK                    LORIE                    "</f>
        <v xml:space="preserve">FLECK                    LORIE                    </v>
      </c>
      <c r="E347" t="str">
        <f>"MOBILE                    "</f>
        <v xml:space="preserve">MOBILE                    </v>
      </c>
      <c r="F347" t="str">
        <f t="shared" si="11"/>
        <v>AL</v>
      </c>
    </row>
    <row r="348" spans="1:6" x14ac:dyDescent="0.25">
      <c r="A348" t="str">
        <f>"003789093"</f>
        <v>003789093</v>
      </c>
      <c r="B348" t="str">
        <f>"1649220781"</f>
        <v>1649220781</v>
      </c>
      <c r="C348" t="str">
        <f>"207ZP0102X"</f>
        <v>207ZP0102X</v>
      </c>
      <c r="D348" t="str">
        <f>"MADELAIRE                CARLINA                  "</f>
        <v xml:space="preserve">MADELAIRE                CARLINA                  </v>
      </c>
      <c r="E348" t="str">
        <f>"MOBILE                    "</f>
        <v xml:space="preserve">MOBILE                    </v>
      </c>
      <c r="F348" t="str">
        <f t="shared" si="11"/>
        <v>AL</v>
      </c>
    </row>
    <row r="349" spans="1:6" x14ac:dyDescent="0.25">
      <c r="A349" t="str">
        <f>"003801241"</f>
        <v>003801241</v>
      </c>
      <c r="B349" t="str">
        <f>"1588291785"</f>
        <v>1588291785</v>
      </c>
      <c r="C349" t="str">
        <f>"363A00000X"</f>
        <v>363A00000X</v>
      </c>
      <c r="D349" t="str">
        <f>"WILEY                    LAKENDRA     C           "</f>
        <v xml:space="preserve">WILEY                    LAKENDRA     C           </v>
      </c>
      <c r="E349" t="str">
        <f>"MOBILE                    "</f>
        <v xml:space="preserve">MOBILE                    </v>
      </c>
      <c r="F349" t="str">
        <f t="shared" si="11"/>
        <v>AL</v>
      </c>
    </row>
    <row r="350" spans="1:6" x14ac:dyDescent="0.25">
      <c r="A350" t="str">
        <f>"003852004"</f>
        <v>003852004</v>
      </c>
      <c r="B350" t="str">
        <f>"1033478466"</f>
        <v>1033478466</v>
      </c>
      <c r="C350" t="str">
        <f>"208600000X"</f>
        <v>208600000X</v>
      </c>
      <c r="D350" t="str">
        <f>"HORST                    VERNON       D           "</f>
        <v xml:space="preserve">HORST                    VERNON       D           </v>
      </c>
      <c r="E350" t="str">
        <f>"BUTLER                    "</f>
        <v xml:space="preserve">BUTLER                    </v>
      </c>
      <c r="F350" t="str">
        <f t="shared" si="11"/>
        <v>AL</v>
      </c>
    </row>
    <row r="351" spans="1:6" x14ac:dyDescent="0.25">
      <c r="A351" t="str">
        <f>"003856806"</f>
        <v>003856806</v>
      </c>
      <c r="B351" t="str">
        <f>"1851619761"</f>
        <v>1851619761</v>
      </c>
      <c r="C351" t="str">
        <f>"207L00000X"</f>
        <v>207L00000X</v>
      </c>
      <c r="D351" t="str">
        <f>"ROUTMAN                  JUSTIN                   "</f>
        <v xml:space="preserve">ROUTMAN                  JUSTIN                   </v>
      </c>
      <c r="E351" t="str">
        <f>"BIRMINGHAM                "</f>
        <v xml:space="preserve">BIRMINGHAM                </v>
      </c>
      <c r="F351" t="str">
        <f t="shared" si="11"/>
        <v>AL</v>
      </c>
    </row>
    <row r="352" spans="1:6" x14ac:dyDescent="0.25">
      <c r="A352" t="str">
        <f>"003875069"</f>
        <v>003875069</v>
      </c>
      <c r="B352" t="str">
        <f>"1760779904"</f>
        <v>1760779904</v>
      </c>
      <c r="C352" t="str">
        <f>"363L00000X"</f>
        <v>363L00000X</v>
      </c>
      <c r="D352" t="str">
        <f>"WILSON                   MICAH                    "</f>
        <v xml:space="preserve">WILSON                   MICAH                    </v>
      </c>
      <c r="E352" t="str">
        <f>"MOBILE                    "</f>
        <v xml:space="preserve">MOBILE                    </v>
      </c>
      <c r="F352" t="str">
        <f t="shared" si="11"/>
        <v>AL</v>
      </c>
    </row>
    <row r="353" spans="1:6" x14ac:dyDescent="0.25">
      <c r="A353" t="str">
        <f>"003875859"</f>
        <v>003875859</v>
      </c>
      <c r="B353" t="str">
        <f>"1083971121"</f>
        <v>1083971121</v>
      </c>
      <c r="C353" t="str">
        <f>"207RG0100X"</f>
        <v>207RG0100X</v>
      </c>
      <c r="D353" t="str">
        <f>"RUSS                     KIRK         B           "</f>
        <v xml:space="preserve">RUSS                     KIRK         B           </v>
      </c>
      <c r="E353" t="str">
        <f>"BIRMINGHAM                "</f>
        <v xml:space="preserve">BIRMINGHAM                </v>
      </c>
      <c r="F353" t="str">
        <f t="shared" si="11"/>
        <v>AL</v>
      </c>
    </row>
    <row r="354" spans="1:6" x14ac:dyDescent="0.25">
      <c r="A354" t="str">
        <f>"003879737"</f>
        <v>003879737</v>
      </c>
      <c r="B354" t="str">
        <f>"1083207906"</f>
        <v>1083207906</v>
      </c>
      <c r="C354" t="str">
        <f>"363L00000X"</f>
        <v>363L00000X</v>
      </c>
      <c r="D354" t="str">
        <f>"BISHOP                   HALEY        J           "</f>
        <v xml:space="preserve">BISHOP                   HALEY        J           </v>
      </c>
      <c r="E354" t="str">
        <f>"MOBILE                    "</f>
        <v xml:space="preserve">MOBILE                    </v>
      </c>
      <c r="F354" t="str">
        <f t="shared" si="11"/>
        <v>AL</v>
      </c>
    </row>
    <row r="355" spans="1:6" x14ac:dyDescent="0.25">
      <c r="A355" t="str">
        <f>"003881788"</f>
        <v>003881788</v>
      </c>
      <c r="B355" t="str">
        <f>"1871899054"</f>
        <v>1871899054</v>
      </c>
      <c r="C355" t="str">
        <f>"367500000X"</f>
        <v>367500000X</v>
      </c>
      <c r="D355" t="str">
        <f>"HOLT                     ROBIN        K           "</f>
        <v xml:space="preserve">HOLT                     ROBIN        K           </v>
      </c>
      <c r="E355" t="str">
        <f>"BIRMINGHAM                "</f>
        <v xml:space="preserve">BIRMINGHAM                </v>
      </c>
      <c r="F355" t="str">
        <f t="shared" si="11"/>
        <v>AL</v>
      </c>
    </row>
    <row r="356" spans="1:6" x14ac:dyDescent="0.25">
      <c r="A356" t="str">
        <f>"003901201"</f>
        <v>003901201</v>
      </c>
      <c r="B356" t="str">
        <f>"1417983180"</f>
        <v>1417983180</v>
      </c>
      <c r="C356" t="str">
        <f>"207Q00000X"</f>
        <v>207Q00000X</v>
      </c>
      <c r="D356" t="str">
        <f>"ARMISTEAD                DANIEL       L           "</f>
        <v xml:space="preserve">ARMISTEAD                DANIEL       L           </v>
      </c>
      <c r="E356" t="str">
        <f>"GILBERTOWN                "</f>
        <v xml:space="preserve">GILBERTOWN                </v>
      </c>
      <c r="F356" t="str">
        <f t="shared" si="11"/>
        <v>AL</v>
      </c>
    </row>
    <row r="357" spans="1:6" x14ac:dyDescent="0.25">
      <c r="A357" t="str">
        <f>"003924264"</f>
        <v>003924264</v>
      </c>
      <c r="B357" t="str">
        <f>"1255627345"</f>
        <v>1255627345</v>
      </c>
      <c r="C357" t="str">
        <f>"207P00000X"</f>
        <v>207P00000X</v>
      </c>
      <c r="D357" t="str">
        <f>"VON SCHWEINITZ           BENJAMIN     A           "</f>
        <v xml:space="preserve">VON SCHWEINITZ           BENJAMIN     A           </v>
      </c>
      <c r="E357" t="str">
        <f>"BIRMINGHAM                "</f>
        <v xml:space="preserve">BIRMINGHAM                </v>
      </c>
      <c r="F357" t="str">
        <f t="shared" si="11"/>
        <v>AL</v>
      </c>
    </row>
    <row r="358" spans="1:6" x14ac:dyDescent="0.25">
      <c r="A358" t="str">
        <f>"003939559"</f>
        <v>003939559</v>
      </c>
      <c r="B358" t="str">
        <f>"1629412564"</f>
        <v>1629412564</v>
      </c>
      <c r="C358" t="str">
        <f>"363L00000X"</f>
        <v>363L00000X</v>
      </c>
      <c r="D358" t="str">
        <f>"SKELTON                  TAMMI        L           "</f>
        <v xml:space="preserve">SKELTON                  TAMMI        L           </v>
      </c>
      <c r="E358" t="str">
        <f>"BIRMINGHAM                "</f>
        <v xml:space="preserve">BIRMINGHAM                </v>
      </c>
      <c r="F358" t="str">
        <f t="shared" si="11"/>
        <v>AL</v>
      </c>
    </row>
    <row r="359" spans="1:6" x14ac:dyDescent="0.25">
      <c r="A359" t="str">
        <f>"003950532"</f>
        <v>003950532</v>
      </c>
      <c r="B359" t="str">
        <f>"1639330905"</f>
        <v>1639330905</v>
      </c>
      <c r="C359" t="str">
        <f>"207V00000X"</f>
        <v>207V00000X</v>
      </c>
      <c r="D359" t="str">
        <f>"SUBRAMANIAM              AKILA                    "</f>
        <v xml:space="preserve">SUBRAMANIAM              AKILA                    </v>
      </c>
      <c r="E359" t="str">
        <f>"BIRMINGHAM                "</f>
        <v xml:space="preserve">BIRMINGHAM                </v>
      </c>
      <c r="F359" t="str">
        <f t="shared" si="11"/>
        <v>AL</v>
      </c>
    </row>
    <row r="360" spans="1:6" x14ac:dyDescent="0.25">
      <c r="A360" t="str">
        <f>"003970804"</f>
        <v>003970804</v>
      </c>
      <c r="B360" t="str">
        <f>"1760524250"</f>
        <v>1760524250</v>
      </c>
      <c r="C360" t="str">
        <f>"208600000X"</f>
        <v>208600000X</v>
      </c>
      <c r="D360" t="str">
        <f>"BRIGHT                   ANDREW       C           "</f>
        <v xml:space="preserve">BRIGHT                   ANDREW       C           </v>
      </c>
      <c r="E360" t="str">
        <f>"MOBILE                    "</f>
        <v xml:space="preserve">MOBILE                    </v>
      </c>
      <c r="F360" t="str">
        <f t="shared" si="11"/>
        <v>AL</v>
      </c>
    </row>
    <row r="361" spans="1:6" x14ac:dyDescent="0.25">
      <c r="A361" t="str">
        <f>"003982099"</f>
        <v>003982099</v>
      </c>
      <c r="B361" t="str">
        <f>"1659310126"</f>
        <v>1659310126</v>
      </c>
      <c r="C361" t="str">
        <f>"367500000X"</f>
        <v>367500000X</v>
      </c>
      <c r="D361" t="str">
        <f>"CHAPMAN                  ZACK         R           "</f>
        <v xml:space="preserve">CHAPMAN                  ZACK         R           </v>
      </c>
      <c r="E361" t="str">
        <f>"MOBILE                    "</f>
        <v xml:space="preserve">MOBILE                    </v>
      </c>
      <c r="F361" t="str">
        <f t="shared" si="11"/>
        <v>AL</v>
      </c>
    </row>
    <row r="362" spans="1:6" x14ac:dyDescent="0.25">
      <c r="A362" t="str">
        <f>"003988710"</f>
        <v>003988710</v>
      </c>
      <c r="B362" t="str">
        <f>"1043617855"</f>
        <v>1043617855</v>
      </c>
      <c r="C362" t="str">
        <f>"363L00000X"</f>
        <v>363L00000X</v>
      </c>
      <c r="D362" t="str">
        <f>"KOHN                     BRANDI       L           "</f>
        <v xml:space="preserve">KOHN                     BRANDI       L           </v>
      </c>
      <c r="E362" t="str">
        <f>"MOBILE                    "</f>
        <v xml:space="preserve">MOBILE                    </v>
      </c>
      <c r="F362" t="str">
        <f t="shared" si="11"/>
        <v>AL</v>
      </c>
    </row>
    <row r="363" spans="1:6" x14ac:dyDescent="0.25">
      <c r="A363" t="str">
        <f>"004007736"</f>
        <v>004007736</v>
      </c>
      <c r="B363" t="str">
        <f>"1831259043"</f>
        <v>1831259043</v>
      </c>
      <c r="C363" t="str">
        <f>"207Q00000X"</f>
        <v>207Q00000X</v>
      </c>
      <c r="D363" t="str">
        <f>"MAHLER                   LEX          D           "</f>
        <v xml:space="preserve">MAHLER                   LEX          D           </v>
      </c>
      <c r="E363" t="str">
        <f>"BUTLER                    "</f>
        <v xml:space="preserve">BUTLER                    </v>
      </c>
      <c r="F363" t="str">
        <f t="shared" si="11"/>
        <v>AL</v>
      </c>
    </row>
    <row r="364" spans="1:6" x14ac:dyDescent="0.25">
      <c r="A364" t="str">
        <f>"004009392"</f>
        <v>004009392</v>
      </c>
      <c r="B364" t="str">
        <f>"1912296476"</f>
        <v>1912296476</v>
      </c>
      <c r="C364" t="str">
        <f>"363L00000X"</f>
        <v>363L00000X</v>
      </c>
      <c r="D364" t="str">
        <f>"MOMPOINT WILLIAMS        DARNELL                  "</f>
        <v xml:space="preserve">MOMPOINT WILLIAMS        DARNELL                  </v>
      </c>
      <c r="E364" t="str">
        <f>"BIRMINGHAM                "</f>
        <v xml:space="preserve">BIRMINGHAM                </v>
      </c>
      <c r="F364" t="str">
        <f t="shared" si="11"/>
        <v>AL</v>
      </c>
    </row>
    <row r="365" spans="1:6" x14ac:dyDescent="0.25">
      <c r="A365" t="str">
        <f>"004029381"</f>
        <v>004029381</v>
      </c>
      <c r="B365" t="str">
        <f>"1588644389"</f>
        <v>1588644389</v>
      </c>
      <c r="C365" t="str">
        <f>"2086S0129X"</f>
        <v>2086S0129X</v>
      </c>
      <c r="D365" t="str">
        <f>"DONAHUE                  JAMES        M           "</f>
        <v xml:space="preserve">DONAHUE                  JAMES        M           </v>
      </c>
      <c r="E365" t="str">
        <f>"BIRMINGHAM                "</f>
        <v xml:space="preserve">BIRMINGHAM                </v>
      </c>
      <c r="F365" t="str">
        <f t="shared" si="11"/>
        <v>AL</v>
      </c>
    </row>
    <row r="366" spans="1:6" x14ac:dyDescent="0.25">
      <c r="A366" t="str">
        <f>"004050004"</f>
        <v>004050004</v>
      </c>
      <c r="B366" t="str">
        <f>"1376563494"</f>
        <v>1376563494</v>
      </c>
      <c r="C366" t="str">
        <f>"208100000X"</f>
        <v>208100000X</v>
      </c>
      <c r="D366" t="str">
        <f>"TURNLEY                  MICHELLE     J           "</f>
        <v xml:space="preserve">TURNLEY                  MICHELLE     J           </v>
      </c>
      <c r="E366" t="str">
        <f>"BIRMINGHAM                "</f>
        <v xml:space="preserve">BIRMINGHAM                </v>
      </c>
      <c r="F366" t="str">
        <f t="shared" si="11"/>
        <v>AL</v>
      </c>
    </row>
    <row r="367" spans="1:6" x14ac:dyDescent="0.25">
      <c r="A367" t="str">
        <f>"004054050"</f>
        <v>004054050</v>
      </c>
      <c r="B367" t="str">
        <f>"1114346210"</f>
        <v>1114346210</v>
      </c>
      <c r="C367" t="str">
        <f>"207R00000X"</f>
        <v>207R00000X</v>
      </c>
      <c r="D367" t="str">
        <f>"WILLIAMS                 KARLA        E           "</f>
        <v xml:space="preserve">WILLIAMS                 KARLA        E           </v>
      </c>
      <c r="E367" t="str">
        <f>"BIRMINGHAM                "</f>
        <v xml:space="preserve">BIRMINGHAM                </v>
      </c>
      <c r="F367" t="str">
        <f t="shared" si="11"/>
        <v>AL</v>
      </c>
    </row>
    <row r="368" spans="1:6" x14ac:dyDescent="0.25">
      <c r="A368" t="str">
        <f>"004072370"</f>
        <v>004072370</v>
      </c>
      <c r="B368" t="str">
        <f>"1427469311"</f>
        <v>1427469311</v>
      </c>
      <c r="C368" t="str">
        <f>"207P00000X"</f>
        <v>207P00000X</v>
      </c>
      <c r="D368" t="str">
        <f>"BURLESON                 SAMUEL       L           "</f>
        <v xml:space="preserve">BURLESON                 SAMUEL       L           </v>
      </c>
      <c r="E368" t="str">
        <f>"BIRMINGHAM                "</f>
        <v xml:space="preserve">BIRMINGHAM                </v>
      </c>
      <c r="F368" t="str">
        <f t="shared" si="11"/>
        <v>AL</v>
      </c>
    </row>
    <row r="369" spans="1:6" x14ac:dyDescent="0.25">
      <c r="A369" t="str">
        <f>"004102095"</f>
        <v>004102095</v>
      </c>
      <c r="B369" t="str">
        <f>"1871907022"</f>
        <v>1871907022</v>
      </c>
      <c r="C369" t="str">
        <f>"207RC0000X"</f>
        <v>207RC0000X</v>
      </c>
      <c r="D369" t="str">
        <f>"MULLIS                   ANDIN        H           "</f>
        <v xml:space="preserve">MULLIS                   ANDIN        H           </v>
      </c>
      <c r="E369" t="str">
        <f>"MOBILE                    "</f>
        <v xml:space="preserve">MOBILE                    </v>
      </c>
      <c r="F369" t="str">
        <f t="shared" si="11"/>
        <v>AL</v>
      </c>
    </row>
    <row r="370" spans="1:6" x14ac:dyDescent="0.25">
      <c r="A370" t="str">
        <f>"004107086"</f>
        <v>004107086</v>
      </c>
      <c r="B370" t="str">
        <f>"1962781518"</f>
        <v>1962781518</v>
      </c>
      <c r="C370" t="str">
        <f>"363L00000X"</f>
        <v>363L00000X</v>
      </c>
      <c r="D370" t="str">
        <f>"THOMPSON                 KIMBERLY     A           "</f>
        <v xml:space="preserve">THOMPSON                 KIMBERLY     A           </v>
      </c>
      <c r="E370" t="str">
        <f>"MOBILE                    "</f>
        <v xml:space="preserve">MOBILE                    </v>
      </c>
      <c r="F370" t="str">
        <f t="shared" si="11"/>
        <v>AL</v>
      </c>
    </row>
    <row r="371" spans="1:6" x14ac:dyDescent="0.25">
      <c r="A371" t="str">
        <f>"004130598"</f>
        <v>004130598</v>
      </c>
      <c r="B371" t="str">
        <f>"1720083967"</f>
        <v>1720083967</v>
      </c>
      <c r="C371" t="str">
        <f>"2085R0202X"</f>
        <v>2085R0202X</v>
      </c>
      <c r="D371" t="str">
        <f>"HERRING                  CALVIN       W           "</f>
        <v xml:space="preserve">HERRING                  CALVIN       W           </v>
      </c>
      <c r="E371" t="str">
        <f>"GADSDEN                   "</f>
        <v xml:space="preserve">GADSDEN                   </v>
      </c>
      <c r="F371" t="str">
        <f t="shared" si="11"/>
        <v>AL</v>
      </c>
    </row>
    <row r="372" spans="1:6" x14ac:dyDescent="0.25">
      <c r="A372" t="str">
        <f>"004130868"</f>
        <v>004130868</v>
      </c>
      <c r="B372" t="str">
        <f>"1689960478"</f>
        <v>1689960478</v>
      </c>
      <c r="C372" t="str">
        <f>"207RC0000X"</f>
        <v>207RC0000X</v>
      </c>
      <c r="D372" t="str">
        <f>"WITT                     CHANCE       M           "</f>
        <v xml:space="preserve">WITT                     CHANCE       M           </v>
      </c>
      <c r="E372" t="str">
        <f t="shared" ref="E372:E378" si="12">"MOBILE                    "</f>
        <v xml:space="preserve">MOBILE                    </v>
      </c>
      <c r="F372" t="str">
        <f t="shared" si="11"/>
        <v>AL</v>
      </c>
    </row>
    <row r="373" spans="1:6" x14ac:dyDescent="0.25">
      <c r="A373" t="str">
        <f>"004157081"</f>
        <v>004157081</v>
      </c>
      <c r="B373" t="str">
        <f>"1417513995"</f>
        <v>1417513995</v>
      </c>
      <c r="C373" t="str">
        <f>"363L00000X"</f>
        <v>363L00000X</v>
      </c>
      <c r="D373" t="str">
        <f>"RUDD                     ALISON       B           "</f>
        <v xml:space="preserve">RUDD                     ALISON       B           </v>
      </c>
      <c r="E373" t="str">
        <f t="shared" si="12"/>
        <v xml:space="preserve">MOBILE                    </v>
      </c>
      <c r="F373" t="str">
        <f t="shared" si="11"/>
        <v>AL</v>
      </c>
    </row>
    <row r="374" spans="1:6" x14ac:dyDescent="0.25">
      <c r="A374" t="str">
        <f>"004157886"</f>
        <v>004157886</v>
      </c>
      <c r="B374" t="str">
        <f>"1134488679"</f>
        <v>1134488679</v>
      </c>
      <c r="C374" t="str">
        <f>"2086S0122X"</f>
        <v>2086S0122X</v>
      </c>
      <c r="D374" t="str">
        <f>"MCKEE                    KELSEY       C           "</f>
        <v xml:space="preserve">MCKEE                    KELSEY       C           </v>
      </c>
      <c r="E374" t="str">
        <f t="shared" si="12"/>
        <v xml:space="preserve">MOBILE                    </v>
      </c>
      <c r="F374" t="str">
        <f t="shared" si="11"/>
        <v>AL</v>
      </c>
    </row>
    <row r="375" spans="1:6" x14ac:dyDescent="0.25">
      <c r="A375" t="str">
        <f>"004159552"</f>
        <v>004159552</v>
      </c>
      <c r="B375" t="str">
        <f>"1639170723"</f>
        <v>1639170723</v>
      </c>
      <c r="C375" t="str">
        <f>"363A00000X"</f>
        <v>363A00000X</v>
      </c>
      <c r="D375" t="str">
        <f>"HITES                    KEVIN        M           "</f>
        <v xml:space="preserve">HITES                    KEVIN        M           </v>
      </c>
      <c r="E375" t="str">
        <f t="shared" si="12"/>
        <v xml:space="preserve">MOBILE                    </v>
      </c>
      <c r="F375" t="str">
        <f t="shared" si="11"/>
        <v>AL</v>
      </c>
    </row>
    <row r="376" spans="1:6" x14ac:dyDescent="0.25">
      <c r="A376" t="str">
        <f>"004185015"</f>
        <v>004185015</v>
      </c>
      <c r="B376" t="str">
        <f>"1154952547"</f>
        <v>1154952547</v>
      </c>
      <c r="C376" t="str">
        <f>"363L00000X"</f>
        <v>363L00000X</v>
      </c>
      <c r="D376" t="str">
        <f>"MORGAN                   LAUREN                   "</f>
        <v xml:space="preserve">MORGAN                   LAUREN                   </v>
      </c>
      <c r="E376" t="str">
        <f t="shared" si="12"/>
        <v xml:space="preserve">MOBILE                    </v>
      </c>
      <c r="F376" t="str">
        <f t="shared" si="11"/>
        <v>AL</v>
      </c>
    </row>
    <row r="377" spans="1:6" x14ac:dyDescent="0.25">
      <c r="A377" t="str">
        <f>"004220065"</f>
        <v>004220065</v>
      </c>
      <c r="B377" t="str">
        <f>"1386089001"</f>
        <v>1386089001</v>
      </c>
      <c r="C377" t="str">
        <f>"207RG0100X"</f>
        <v>207RG0100X</v>
      </c>
      <c r="D377" t="str">
        <f>"SONNIER                  WILLIAM      P           "</f>
        <v xml:space="preserve">SONNIER                  WILLIAM      P           </v>
      </c>
      <c r="E377" t="str">
        <f t="shared" si="12"/>
        <v xml:space="preserve">MOBILE                    </v>
      </c>
      <c r="F377" t="str">
        <f t="shared" si="11"/>
        <v>AL</v>
      </c>
    </row>
    <row r="378" spans="1:6" x14ac:dyDescent="0.25">
      <c r="A378" t="str">
        <f>"004224206"</f>
        <v>004224206</v>
      </c>
      <c r="B378" t="str">
        <f>"1730445339"</f>
        <v>1730445339</v>
      </c>
      <c r="C378" t="str">
        <f>"2085R0202X"</f>
        <v>2085R0202X</v>
      </c>
      <c r="D378" t="str">
        <f>"MARTIN                   BRETT        S           "</f>
        <v xml:space="preserve">MARTIN                   BRETT        S           </v>
      </c>
      <c r="E378" t="str">
        <f t="shared" si="12"/>
        <v xml:space="preserve">MOBILE                    </v>
      </c>
      <c r="F378" t="str">
        <f t="shared" si="11"/>
        <v>AL</v>
      </c>
    </row>
    <row r="379" spans="1:6" x14ac:dyDescent="0.25">
      <c r="A379" t="str">
        <f>"004230828"</f>
        <v>004230828</v>
      </c>
      <c r="B379" t="str">
        <f>"1356754956"</f>
        <v>1356754956</v>
      </c>
      <c r="C379" t="str">
        <f>"2085R0202X"</f>
        <v>2085R0202X</v>
      </c>
      <c r="D379" t="str">
        <f>"PHILLIPS                 BRANDON      M           "</f>
        <v xml:space="preserve">PHILLIPS                 BRANDON      M           </v>
      </c>
      <c r="E379" t="str">
        <f>"BIRMINGHAM                "</f>
        <v xml:space="preserve">BIRMINGHAM                </v>
      </c>
      <c r="F379" t="str">
        <f t="shared" si="11"/>
        <v>AL</v>
      </c>
    </row>
    <row r="380" spans="1:6" x14ac:dyDescent="0.25">
      <c r="A380" t="str">
        <f>"004230864"</f>
        <v>004230864</v>
      </c>
      <c r="B380" t="str">
        <f>"1669804969"</f>
        <v>1669804969</v>
      </c>
      <c r="C380" t="str">
        <f>"363L00000X"</f>
        <v>363L00000X</v>
      </c>
      <c r="D380" t="str">
        <f>"GRAY                     WHITNEY      A           "</f>
        <v xml:space="preserve">GRAY                     WHITNEY      A           </v>
      </c>
      <c r="E380" t="str">
        <f>"BIRMINGHAM                "</f>
        <v xml:space="preserve">BIRMINGHAM                </v>
      </c>
      <c r="F380" t="str">
        <f t="shared" si="11"/>
        <v>AL</v>
      </c>
    </row>
    <row r="381" spans="1:6" x14ac:dyDescent="0.25">
      <c r="A381" t="str">
        <f>"004231850"</f>
        <v>004231850</v>
      </c>
      <c r="B381" t="str">
        <f>"1881676708"</f>
        <v>1881676708</v>
      </c>
      <c r="C381" t="str">
        <f>"2085R0202X"</f>
        <v>2085R0202X</v>
      </c>
      <c r="D381" t="str">
        <f>"FAVRET JR                ROBERT       F           "</f>
        <v xml:space="preserve">FAVRET JR                ROBERT       F           </v>
      </c>
      <c r="E381" t="str">
        <f>"MOBILE                    "</f>
        <v xml:space="preserve">MOBILE                    </v>
      </c>
      <c r="F381" t="str">
        <f t="shared" si="11"/>
        <v>AL</v>
      </c>
    </row>
    <row r="382" spans="1:6" x14ac:dyDescent="0.25">
      <c r="A382" t="str">
        <f>"004232070"</f>
        <v>004232070</v>
      </c>
      <c r="B382" t="str">
        <f>"1528565538"</f>
        <v>1528565538</v>
      </c>
      <c r="C382" t="str">
        <f>"207R00000X"</f>
        <v>207R00000X</v>
      </c>
      <c r="D382" t="str">
        <f>"MORGAN                   WILLIAM      S           "</f>
        <v xml:space="preserve">MORGAN                   WILLIAM      S           </v>
      </c>
      <c r="E382" t="str">
        <f>"BIRMINGHAM                "</f>
        <v xml:space="preserve">BIRMINGHAM                </v>
      </c>
      <c r="F382" t="str">
        <f t="shared" si="11"/>
        <v>AL</v>
      </c>
    </row>
    <row r="383" spans="1:6" x14ac:dyDescent="0.25">
      <c r="A383" t="str">
        <f>"004235308"</f>
        <v>004235308</v>
      </c>
      <c r="B383" t="str">
        <f>"1629059175"</f>
        <v>1629059175</v>
      </c>
      <c r="C383" t="str">
        <f>"2085R0202X"</f>
        <v>2085R0202X</v>
      </c>
      <c r="D383" t="str">
        <f>"DELGADO                  GREGG                    "</f>
        <v xml:space="preserve">DELGADO                  GREGG                    </v>
      </c>
      <c r="E383" t="str">
        <f>"MOBILE                    "</f>
        <v xml:space="preserve">MOBILE                    </v>
      </c>
      <c r="F383" t="str">
        <f t="shared" si="11"/>
        <v>AL</v>
      </c>
    </row>
    <row r="384" spans="1:6" x14ac:dyDescent="0.25">
      <c r="A384" t="str">
        <f>"004252855"</f>
        <v>004252855</v>
      </c>
      <c r="B384" t="str">
        <f>"1306848023"</f>
        <v>1306848023</v>
      </c>
      <c r="C384" t="str">
        <f>"207RG0100X"</f>
        <v>207RG0100X</v>
      </c>
      <c r="D384" t="str">
        <f>"WEBER                    FREDERICK    H           "</f>
        <v xml:space="preserve">WEBER                    FREDERICK    H           </v>
      </c>
      <c r="E384" t="str">
        <f>"BIRMINGHAM                "</f>
        <v xml:space="preserve">BIRMINGHAM                </v>
      </c>
      <c r="F384" t="str">
        <f t="shared" si="11"/>
        <v>AL</v>
      </c>
    </row>
    <row r="385" spans="1:6" x14ac:dyDescent="0.25">
      <c r="A385" t="str">
        <f>"004274059"</f>
        <v>004274059</v>
      </c>
      <c r="B385" t="str">
        <f>"1881805406"</f>
        <v>1881805406</v>
      </c>
      <c r="C385" t="str">
        <f>"207RX0202X"</f>
        <v>207RX0202X</v>
      </c>
      <c r="D385" t="str">
        <f>"ARLEDGE                  SHERRI       S           "</f>
        <v xml:space="preserve">ARLEDGE                  SHERRI       S           </v>
      </c>
      <c r="E385" t="str">
        <f>"MOBILE                    "</f>
        <v xml:space="preserve">MOBILE                    </v>
      </c>
      <c r="F385" t="str">
        <f t="shared" si="11"/>
        <v>AL</v>
      </c>
    </row>
    <row r="386" spans="1:6" x14ac:dyDescent="0.25">
      <c r="A386" t="str">
        <f>"004276548"</f>
        <v>004276548</v>
      </c>
      <c r="B386" t="str">
        <f>"1447481791"</f>
        <v>1447481791</v>
      </c>
      <c r="C386" t="str">
        <f>"2085R0202X"</f>
        <v>2085R0202X</v>
      </c>
      <c r="D386" t="str">
        <f>"SINGHAL                  APARNA                   "</f>
        <v xml:space="preserve">SINGHAL                  APARNA                   </v>
      </c>
      <c r="E386" t="str">
        <f>"BIRMINGHAM                "</f>
        <v xml:space="preserve">BIRMINGHAM                </v>
      </c>
      <c r="F386" t="str">
        <f t="shared" si="11"/>
        <v>AL</v>
      </c>
    </row>
    <row r="387" spans="1:6" x14ac:dyDescent="0.25">
      <c r="A387" t="str">
        <f>"004282098"</f>
        <v>004282098</v>
      </c>
      <c r="B387" t="str">
        <f>"1740350842"</f>
        <v>1740350842</v>
      </c>
      <c r="C387" t="str">
        <f>"152W00000X"</f>
        <v>152W00000X</v>
      </c>
      <c r="D387" t="str">
        <f>"EYECARE PROFESSIONALS PC                          "</f>
        <v xml:space="preserve">EYECARE PROFESSIONALS PC                          </v>
      </c>
      <c r="E387" t="str">
        <f>"RED BAY                   "</f>
        <v xml:space="preserve">RED BAY                   </v>
      </c>
      <c r="F387" t="str">
        <f t="shared" si="11"/>
        <v>AL</v>
      </c>
    </row>
    <row r="388" spans="1:6" x14ac:dyDescent="0.25">
      <c r="A388" t="str">
        <f>"004321734"</f>
        <v>004321734</v>
      </c>
      <c r="B388" t="str">
        <f>"1457613580"</f>
        <v>1457613580</v>
      </c>
      <c r="C388" t="str">
        <f>"207RG0100X"</f>
        <v>207RG0100X</v>
      </c>
      <c r="D388" t="str">
        <f>"GRAY                     MEAGAN       E           "</f>
        <v xml:space="preserve">GRAY                     MEAGAN       E           </v>
      </c>
      <c r="E388" t="str">
        <f>"BIRMINGHAM                "</f>
        <v xml:space="preserve">BIRMINGHAM                </v>
      </c>
      <c r="F388" t="str">
        <f t="shared" si="11"/>
        <v>AL</v>
      </c>
    </row>
    <row r="389" spans="1:6" x14ac:dyDescent="0.25">
      <c r="A389" t="str">
        <f>"004372584"</f>
        <v>004372584</v>
      </c>
      <c r="B389" t="str">
        <f>"1902856735"</f>
        <v>1902856735</v>
      </c>
      <c r="C389" t="str">
        <f>"208800000X"</f>
        <v>208800000X</v>
      </c>
      <c r="D389" t="str">
        <f>"WILSON                   TRACEY       S           "</f>
        <v xml:space="preserve">WILSON                   TRACEY       S           </v>
      </c>
      <c r="E389" t="str">
        <f>"BIRMINGHAM                "</f>
        <v xml:space="preserve">BIRMINGHAM                </v>
      </c>
      <c r="F389" t="str">
        <f t="shared" si="11"/>
        <v>AL</v>
      </c>
    </row>
    <row r="390" spans="1:6" x14ac:dyDescent="0.25">
      <c r="A390" t="str">
        <f>"004382501"</f>
        <v>004382501</v>
      </c>
      <c r="B390" t="str">
        <f>"1497093082"</f>
        <v>1497093082</v>
      </c>
      <c r="C390" t="str">
        <f>"207L00000X"</f>
        <v>207L00000X</v>
      </c>
      <c r="D390" t="str">
        <f>"GERLAK                   JASON        B           "</f>
        <v xml:space="preserve">GERLAK                   JASON        B           </v>
      </c>
      <c r="E390" t="str">
        <f>"BIRMINGHAM                "</f>
        <v xml:space="preserve">BIRMINGHAM                </v>
      </c>
      <c r="F390" t="str">
        <f t="shared" si="11"/>
        <v>AL</v>
      </c>
    </row>
    <row r="391" spans="1:6" x14ac:dyDescent="0.25">
      <c r="A391" t="str">
        <f>"004382893"</f>
        <v>004382893</v>
      </c>
      <c r="B391" t="str">
        <f>"1770160830"</f>
        <v>1770160830</v>
      </c>
      <c r="C391" t="str">
        <f>"207R00000X"</f>
        <v>207R00000X</v>
      </c>
      <c r="D391" t="str">
        <f>"VAN HORN                 NATHANIEL                "</f>
        <v xml:space="preserve">VAN HORN                 NATHANIEL                </v>
      </c>
      <c r="E391" t="str">
        <f>"MOBILE                    "</f>
        <v xml:space="preserve">MOBILE                    </v>
      </c>
      <c r="F391" t="str">
        <f t="shared" ref="F391:F454" si="13">"AL"</f>
        <v>AL</v>
      </c>
    </row>
    <row r="392" spans="1:6" x14ac:dyDescent="0.25">
      <c r="A392" t="str">
        <f>"004402391"</f>
        <v>004402391</v>
      </c>
      <c r="B392" t="str">
        <f>"1922202753"</f>
        <v>1922202753</v>
      </c>
      <c r="C392" t="str">
        <f>"207L00000X"</f>
        <v>207L00000X</v>
      </c>
      <c r="D392" t="str">
        <f>"SHERRER                  DANIEL       M           "</f>
        <v xml:space="preserve">SHERRER                  DANIEL       M           </v>
      </c>
      <c r="E392" t="str">
        <f>"BIRMINGHAM                "</f>
        <v xml:space="preserve">BIRMINGHAM                </v>
      </c>
      <c r="F392" t="str">
        <f t="shared" si="13"/>
        <v>AL</v>
      </c>
    </row>
    <row r="393" spans="1:6" x14ac:dyDescent="0.25">
      <c r="A393" t="str">
        <f>"004405596"</f>
        <v>004405596</v>
      </c>
      <c r="B393" t="str">
        <f>"1679045744"</f>
        <v>1679045744</v>
      </c>
      <c r="C393" t="str">
        <f>"367500000X"</f>
        <v>367500000X</v>
      </c>
      <c r="D393" t="str">
        <f>"MCRAE                    JAMES                    "</f>
        <v xml:space="preserve">MCRAE                    JAMES                    </v>
      </c>
      <c r="E393" t="str">
        <f>"MOBILE                    "</f>
        <v xml:space="preserve">MOBILE                    </v>
      </c>
      <c r="F393" t="str">
        <f t="shared" si="13"/>
        <v>AL</v>
      </c>
    </row>
    <row r="394" spans="1:6" x14ac:dyDescent="0.25">
      <c r="A394" t="str">
        <f>"004472822"</f>
        <v>004472822</v>
      </c>
      <c r="B394" t="str">
        <f>"1063979953"</f>
        <v>1063979953</v>
      </c>
      <c r="C394" t="str">
        <f>"363L00000X"</f>
        <v>363L00000X</v>
      </c>
      <c r="D394" t="str">
        <f>"BARTEL                   TRACEY       E           "</f>
        <v xml:space="preserve">BARTEL                   TRACEY       E           </v>
      </c>
      <c r="E394" t="str">
        <f>"MOBILE                    "</f>
        <v xml:space="preserve">MOBILE                    </v>
      </c>
      <c r="F394" t="str">
        <f t="shared" si="13"/>
        <v>AL</v>
      </c>
    </row>
    <row r="395" spans="1:6" x14ac:dyDescent="0.25">
      <c r="A395" t="str">
        <f>"004488213"</f>
        <v>004488213</v>
      </c>
      <c r="B395" t="str">
        <f>"1184668501"</f>
        <v>1184668501</v>
      </c>
      <c r="C395" t="str">
        <f>"2084N0400X"</f>
        <v>2084N0400X</v>
      </c>
      <c r="D395" t="str">
        <f>"HEWITT                   WILLIAM      H           "</f>
        <v xml:space="preserve">HEWITT                   WILLIAM      H           </v>
      </c>
      <c r="E395" t="str">
        <f>"MOBILE                    "</f>
        <v xml:space="preserve">MOBILE                    </v>
      </c>
      <c r="F395" t="str">
        <f t="shared" si="13"/>
        <v>AL</v>
      </c>
    </row>
    <row r="396" spans="1:6" x14ac:dyDescent="0.25">
      <c r="A396" t="str">
        <f>"004489049"</f>
        <v>004489049</v>
      </c>
      <c r="B396" t="str">
        <f>"1992963847"</f>
        <v>1992963847</v>
      </c>
      <c r="C396" t="str">
        <f>"207RG0100X"</f>
        <v>207RG0100X</v>
      </c>
      <c r="D396" t="str">
        <f>"FETTIG                   DAVID                    "</f>
        <v xml:space="preserve">FETTIG                   DAVID                    </v>
      </c>
      <c r="E396" t="str">
        <f>"BIRMINGHAM                "</f>
        <v xml:space="preserve">BIRMINGHAM                </v>
      </c>
      <c r="F396" t="str">
        <f t="shared" si="13"/>
        <v>AL</v>
      </c>
    </row>
    <row r="397" spans="1:6" x14ac:dyDescent="0.25">
      <c r="A397" t="str">
        <f>"004521361"</f>
        <v>004521361</v>
      </c>
      <c r="B397" t="str">
        <f>"1841504693"</f>
        <v>1841504693</v>
      </c>
      <c r="C397" t="str">
        <f>"363L00000X"</f>
        <v>363L00000X</v>
      </c>
      <c r="D397" t="str">
        <f>"PETTY                    ASHLEY       L           "</f>
        <v xml:space="preserve">PETTY                    ASHLEY       L           </v>
      </c>
      <c r="E397" t="str">
        <f>"BIRMINGHAM                "</f>
        <v xml:space="preserve">BIRMINGHAM                </v>
      </c>
      <c r="F397" t="str">
        <f t="shared" si="13"/>
        <v>AL</v>
      </c>
    </row>
    <row r="398" spans="1:6" x14ac:dyDescent="0.25">
      <c r="A398" t="str">
        <f>"004521559"</f>
        <v>004521559</v>
      </c>
      <c r="B398" t="str">
        <f>"1215198577"</f>
        <v>1215198577</v>
      </c>
      <c r="C398" t="str">
        <f>"207R00000X"</f>
        <v>207R00000X</v>
      </c>
      <c r="D398" t="str">
        <f>"CALLAWAY                 JAMES        P           "</f>
        <v xml:space="preserve">CALLAWAY                 JAMES        P           </v>
      </c>
      <c r="E398" t="str">
        <f>"BIRMINGHAM                "</f>
        <v xml:space="preserve">BIRMINGHAM                </v>
      </c>
      <c r="F398" t="str">
        <f t="shared" si="13"/>
        <v>AL</v>
      </c>
    </row>
    <row r="399" spans="1:6" x14ac:dyDescent="0.25">
      <c r="A399" t="str">
        <f>"004539791"</f>
        <v>004539791</v>
      </c>
      <c r="B399" t="str">
        <f>"1780845040"</f>
        <v>1780845040</v>
      </c>
      <c r="C399" t="str">
        <f>"208C00000X"</f>
        <v>208C00000X</v>
      </c>
      <c r="D399" t="str">
        <f>"HUNTER                   JOHN         D           "</f>
        <v xml:space="preserve">HUNTER                   JOHN         D           </v>
      </c>
      <c r="E399" t="str">
        <f>"MOBILE                    "</f>
        <v xml:space="preserve">MOBILE                    </v>
      </c>
      <c r="F399" t="str">
        <f t="shared" si="13"/>
        <v>AL</v>
      </c>
    </row>
    <row r="400" spans="1:6" x14ac:dyDescent="0.25">
      <c r="A400" t="str">
        <f>"004575381"</f>
        <v>004575381</v>
      </c>
      <c r="B400" t="str">
        <f>"1639173271"</f>
        <v>1639173271</v>
      </c>
      <c r="C400" t="str">
        <f>"208G00000X"</f>
        <v>208G00000X</v>
      </c>
      <c r="D400" t="str">
        <f>"LEWIS SR                 CLIFTON      T           "</f>
        <v xml:space="preserve">LEWIS SR                 CLIFTON      T           </v>
      </c>
      <c r="E400" t="str">
        <f t="shared" ref="E400:E405" si="14">"BIRMINGHAM                "</f>
        <v xml:space="preserve">BIRMINGHAM                </v>
      </c>
      <c r="F400" t="str">
        <f t="shared" si="13"/>
        <v>AL</v>
      </c>
    </row>
    <row r="401" spans="1:6" x14ac:dyDescent="0.25">
      <c r="A401" t="str">
        <f>"004589791"</f>
        <v>004589791</v>
      </c>
      <c r="B401" t="str">
        <f>"1295199180"</f>
        <v>1295199180</v>
      </c>
      <c r="C401" t="str">
        <f>"207R00000X"</f>
        <v>207R00000X</v>
      </c>
      <c r="D401" t="str">
        <f>"PENICK III               JOHN         R           "</f>
        <v xml:space="preserve">PENICK III               JOHN         R           </v>
      </c>
      <c r="E401" t="str">
        <f t="shared" si="14"/>
        <v xml:space="preserve">BIRMINGHAM                </v>
      </c>
      <c r="F401" t="str">
        <f t="shared" si="13"/>
        <v>AL</v>
      </c>
    </row>
    <row r="402" spans="1:6" x14ac:dyDescent="0.25">
      <c r="A402" t="str">
        <f>"004603558"</f>
        <v>004603558</v>
      </c>
      <c r="B402" t="str">
        <f>"1689622185"</f>
        <v>1689622185</v>
      </c>
      <c r="C402" t="str">
        <f>"208C00000X"</f>
        <v>208C00000X</v>
      </c>
      <c r="D402" t="str">
        <f>"KENNEDY                  GREGORY      D           "</f>
        <v xml:space="preserve">KENNEDY                  GREGORY      D           </v>
      </c>
      <c r="E402" t="str">
        <f t="shared" si="14"/>
        <v xml:space="preserve">BIRMINGHAM                </v>
      </c>
      <c r="F402" t="str">
        <f t="shared" si="13"/>
        <v>AL</v>
      </c>
    </row>
    <row r="403" spans="1:6" x14ac:dyDescent="0.25">
      <c r="A403" t="str">
        <f>"004633017"</f>
        <v>004633017</v>
      </c>
      <c r="B403" t="str">
        <f>"1982019949"</f>
        <v>1982019949</v>
      </c>
      <c r="C403" t="str">
        <f>"207P00000X"</f>
        <v>207P00000X</v>
      </c>
      <c r="D403" t="str">
        <f>"BLOOM                    ANDREW                   "</f>
        <v xml:space="preserve">BLOOM                    ANDREW                   </v>
      </c>
      <c r="E403" t="str">
        <f t="shared" si="14"/>
        <v xml:space="preserve">BIRMINGHAM                </v>
      </c>
      <c r="F403" t="str">
        <f t="shared" si="13"/>
        <v>AL</v>
      </c>
    </row>
    <row r="404" spans="1:6" x14ac:dyDescent="0.25">
      <c r="A404" t="str">
        <f>"004637217"</f>
        <v>004637217</v>
      </c>
      <c r="B404" t="str">
        <f>"1497798219"</f>
        <v>1497798219</v>
      </c>
      <c r="C404" t="str">
        <f>"207RN0300X"</f>
        <v>207RN0300X</v>
      </c>
      <c r="D404" t="str">
        <f>"ALMEHMI                  AMMAR                    "</f>
        <v xml:space="preserve">ALMEHMI                  AMMAR                    </v>
      </c>
      <c r="E404" t="str">
        <f t="shared" si="14"/>
        <v xml:space="preserve">BIRMINGHAM                </v>
      </c>
      <c r="F404" t="str">
        <f t="shared" si="13"/>
        <v>AL</v>
      </c>
    </row>
    <row r="405" spans="1:6" x14ac:dyDescent="0.25">
      <c r="A405" t="str">
        <f>"004638833"</f>
        <v>004638833</v>
      </c>
      <c r="B405" t="str">
        <f>"1689887820"</f>
        <v>1689887820</v>
      </c>
      <c r="C405" t="str">
        <f>"207Q00000X"</f>
        <v>207Q00000X</v>
      </c>
      <c r="D405" t="str">
        <f>"HANNA                    JENNIFER     M           "</f>
        <v xml:space="preserve">HANNA                    JENNIFER     M           </v>
      </c>
      <c r="E405" t="str">
        <f t="shared" si="14"/>
        <v xml:space="preserve">BIRMINGHAM                </v>
      </c>
      <c r="F405" t="str">
        <f t="shared" si="13"/>
        <v>AL</v>
      </c>
    </row>
    <row r="406" spans="1:6" x14ac:dyDescent="0.25">
      <c r="A406" t="str">
        <f>"004658872"</f>
        <v>004658872</v>
      </c>
      <c r="B406" t="str">
        <f>"1780020206"</f>
        <v>1780020206</v>
      </c>
      <c r="C406" t="str">
        <f>"207V00000X"</f>
        <v>207V00000X</v>
      </c>
      <c r="D406" t="str">
        <f>"HEWES                    AMELIA       R           "</f>
        <v xml:space="preserve">HEWES                    AMELIA       R           </v>
      </c>
      <c r="E406" t="str">
        <f>"MOBILE                    "</f>
        <v xml:space="preserve">MOBILE                    </v>
      </c>
      <c r="F406" t="str">
        <f t="shared" si="13"/>
        <v>AL</v>
      </c>
    </row>
    <row r="407" spans="1:6" x14ac:dyDescent="0.25">
      <c r="A407" t="str">
        <f>"004672706"</f>
        <v>004672706</v>
      </c>
      <c r="B407" t="str">
        <f>"1093198632"</f>
        <v>1093198632</v>
      </c>
      <c r="C407" t="str">
        <f>"207RR0500X"</f>
        <v>207RR0500X</v>
      </c>
      <c r="D407" t="str">
        <f>"AHMED                    HAMDY        M           "</f>
        <v xml:space="preserve">AHMED                    HAMDY        M           </v>
      </c>
      <c r="E407" t="str">
        <f>"MOBILE                    "</f>
        <v xml:space="preserve">MOBILE                    </v>
      </c>
      <c r="F407" t="str">
        <f t="shared" si="13"/>
        <v>AL</v>
      </c>
    </row>
    <row r="408" spans="1:6" x14ac:dyDescent="0.25">
      <c r="A408" t="str">
        <f>"004674708"</f>
        <v>004674708</v>
      </c>
      <c r="B408" t="str">
        <f>"1053314997"</f>
        <v>1053314997</v>
      </c>
      <c r="C408" t="str">
        <f>"207W00000X"</f>
        <v>207W00000X</v>
      </c>
      <c r="D408" t="str">
        <f>"DUFFEY                   RICHARD      J           "</f>
        <v xml:space="preserve">DUFFEY                   RICHARD      J           </v>
      </c>
      <c r="E408" t="str">
        <f>"MOBILE                    "</f>
        <v xml:space="preserve">MOBILE                    </v>
      </c>
      <c r="F408" t="str">
        <f t="shared" si="13"/>
        <v>AL</v>
      </c>
    </row>
    <row r="409" spans="1:6" x14ac:dyDescent="0.25">
      <c r="A409" t="str">
        <f>"004677356"</f>
        <v>004677356</v>
      </c>
      <c r="B409" t="str">
        <f>"1730112269"</f>
        <v>1730112269</v>
      </c>
      <c r="C409" t="str">
        <f>"207ZP0102X"</f>
        <v>207ZP0102X</v>
      </c>
      <c r="D409" t="str">
        <f>"XIN                      WEI                      "</f>
        <v xml:space="preserve">XIN                      WEI                      </v>
      </c>
      <c r="E409" t="str">
        <f>"MOBILE                    "</f>
        <v xml:space="preserve">MOBILE                    </v>
      </c>
      <c r="F409" t="str">
        <f t="shared" si="13"/>
        <v>AL</v>
      </c>
    </row>
    <row r="410" spans="1:6" x14ac:dyDescent="0.25">
      <c r="A410" t="str">
        <f>"004682091"</f>
        <v>004682091</v>
      </c>
      <c r="B410" t="str">
        <f>"1467629006"</f>
        <v>1467629006</v>
      </c>
      <c r="C410" t="str">
        <f>"207RX0202X"</f>
        <v>207RX0202X</v>
      </c>
      <c r="D410" t="str">
        <f>"STRINGER-REASOR          ERICA        M           "</f>
        <v xml:space="preserve">STRINGER-REASOR          ERICA        M           </v>
      </c>
      <c r="E410" t="str">
        <f>"BIRMINGHAM                "</f>
        <v xml:space="preserve">BIRMINGHAM                </v>
      </c>
      <c r="F410" t="str">
        <f t="shared" si="13"/>
        <v>AL</v>
      </c>
    </row>
    <row r="411" spans="1:6" x14ac:dyDescent="0.25">
      <c r="A411" t="str">
        <f>"004702004"</f>
        <v>004702004</v>
      </c>
      <c r="B411" t="str">
        <f>"1497137335"</f>
        <v>1497137335</v>
      </c>
      <c r="C411" t="str">
        <f>"2080N0001X"</f>
        <v>2080N0001X</v>
      </c>
      <c r="D411" t="str">
        <f>"IKERI                    KELECHI      C           "</f>
        <v xml:space="preserve">IKERI                    KELECHI      C           </v>
      </c>
      <c r="E411" t="str">
        <f>"MOBILE                    "</f>
        <v xml:space="preserve">MOBILE                    </v>
      </c>
      <c r="F411" t="str">
        <f t="shared" si="13"/>
        <v>AL</v>
      </c>
    </row>
    <row r="412" spans="1:6" x14ac:dyDescent="0.25">
      <c r="A412" t="str">
        <f>"004703753"</f>
        <v>004703753</v>
      </c>
      <c r="B412" t="str">
        <f>"1578917357"</f>
        <v>1578917357</v>
      </c>
      <c r="C412" t="str">
        <f>"363L00000X"</f>
        <v>363L00000X</v>
      </c>
      <c r="D412" t="str">
        <f>"MINTSIN                  OLESEA       A           "</f>
        <v xml:space="preserve">MINTSIN                  OLESEA       A           </v>
      </c>
      <c r="E412" t="str">
        <f>"BIRMINGHAM                "</f>
        <v xml:space="preserve">BIRMINGHAM                </v>
      </c>
      <c r="F412" t="str">
        <f t="shared" si="13"/>
        <v>AL</v>
      </c>
    </row>
    <row r="413" spans="1:6" x14ac:dyDescent="0.25">
      <c r="A413" t="str">
        <f>"004720259"</f>
        <v>004720259</v>
      </c>
      <c r="B413" t="str">
        <f>"1942380290"</f>
        <v>1942380290</v>
      </c>
      <c r="C413" t="str">
        <f>"207RN0300X"</f>
        <v>207RN0300X</v>
      </c>
      <c r="D413" t="str">
        <f>"FEIG                     DANIEL       I           "</f>
        <v xml:space="preserve">FEIG                     DANIEL       I           </v>
      </c>
      <c r="E413" t="str">
        <f>"BIRMINGHAM                "</f>
        <v xml:space="preserve">BIRMINGHAM                </v>
      </c>
      <c r="F413" t="str">
        <f t="shared" si="13"/>
        <v>AL</v>
      </c>
    </row>
    <row r="414" spans="1:6" x14ac:dyDescent="0.25">
      <c r="A414" t="str">
        <f>"004722014"</f>
        <v>004722014</v>
      </c>
      <c r="B414" t="str">
        <f>"1548800956"</f>
        <v>1548800956</v>
      </c>
      <c r="C414" t="str">
        <f>"363L00000X"</f>
        <v>363L00000X</v>
      </c>
      <c r="D414" t="str">
        <f>"PATEL                    NIDHIBEN                 "</f>
        <v xml:space="preserve">PATEL                    NIDHIBEN                 </v>
      </c>
      <c r="E414" t="str">
        <f>"BIRMINGHAM                "</f>
        <v xml:space="preserve">BIRMINGHAM                </v>
      </c>
      <c r="F414" t="str">
        <f t="shared" si="13"/>
        <v>AL</v>
      </c>
    </row>
    <row r="415" spans="1:6" x14ac:dyDescent="0.25">
      <c r="A415" t="str">
        <f>"004723073"</f>
        <v>004723073</v>
      </c>
      <c r="B415" t="str">
        <f>"1912360637"</f>
        <v>1912360637</v>
      </c>
      <c r="C415" t="str">
        <f>"2084N0400X"</f>
        <v>2084N0400X</v>
      </c>
      <c r="D415" t="str">
        <f>"SANCHEZ                  JOSE         A           "</f>
        <v xml:space="preserve">SANCHEZ                  JOSE         A           </v>
      </c>
      <c r="E415" t="str">
        <f>"MOBILE                    "</f>
        <v xml:space="preserve">MOBILE                    </v>
      </c>
      <c r="F415" t="str">
        <f t="shared" si="13"/>
        <v>AL</v>
      </c>
    </row>
    <row r="416" spans="1:6" x14ac:dyDescent="0.25">
      <c r="A416" t="str">
        <f>"004723081"</f>
        <v>004723081</v>
      </c>
      <c r="B416" t="str">
        <f>"1629531181"</f>
        <v>1629531181</v>
      </c>
      <c r="C416" t="str">
        <f>"363L00000X"</f>
        <v>363L00000X</v>
      </c>
      <c r="D416" t="str">
        <f>"COLLINS                  HOLLEY       L           "</f>
        <v xml:space="preserve">COLLINS                  HOLLEY       L           </v>
      </c>
      <c r="E416" t="str">
        <f>"MOBILE                    "</f>
        <v xml:space="preserve">MOBILE                    </v>
      </c>
      <c r="F416" t="str">
        <f t="shared" si="13"/>
        <v>AL</v>
      </c>
    </row>
    <row r="417" spans="1:6" x14ac:dyDescent="0.25">
      <c r="A417" t="str">
        <f>"004729270"</f>
        <v>004729270</v>
      </c>
      <c r="B417" t="str">
        <f>"1932183217"</f>
        <v>1932183217</v>
      </c>
      <c r="C417" t="str">
        <f>"2085R0001X"</f>
        <v>2085R0001X</v>
      </c>
      <c r="D417" t="str">
        <f>"HIXSON                   WILLIAM      C           "</f>
        <v xml:space="preserve">HIXSON                   WILLIAM      C           </v>
      </c>
      <c r="E417" t="str">
        <f>"MOBILE                    "</f>
        <v xml:space="preserve">MOBILE                    </v>
      </c>
      <c r="F417" t="str">
        <f t="shared" si="13"/>
        <v>AL</v>
      </c>
    </row>
    <row r="418" spans="1:6" x14ac:dyDescent="0.25">
      <c r="A418" t="str">
        <f>"004731010"</f>
        <v>004731010</v>
      </c>
      <c r="B418" t="str">
        <f>"1730132556"</f>
        <v>1730132556</v>
      </c>
      <c r="C418" t="str">
        <f>"207RC0000X"</f>
        <v>207RC0000X</v>
      </c>
      <c r="D418" t="str">
        <f>"JACOB                    MINA                     "</f>
        <v xml:space="preserve">JACOB                    MINA                     </v>
      </c>
      <c r="E418" t="str">
        <f>"MOBILE                    "</f>
        <v xml:space="preserve">MOBILE                    </v>
      </c>
      <c r="F418" t="str">
        <f t="shared" si="13"/>
        <v>AL</v>
      </c>
    </row>
    <row r="419" spans="1:6" x14ac:dyDescent="0.25">
      <c r="A419" t="str">
        <f>"004756780"</f>
        <v>004756780</v>
      </c>
      <c r="B419" t="str">
        <f>"1487706230"</f>
        <v>1487706230</v>
      </c>
      <c r="C419" t="str">
        <f>"207ZP0101X"</f>
        <v>207ZP0101X</v>
      </c>
      <c r="D419" t="str">
        <f>"CHOI                     JOHN                     "</f>
        <v xml:space="preserve">CHOI                     JOHN                     </v>
      </c>
      <c r="E419" t="str">
        <f>"BIRMINGHAM                "</f>
        <v xml:space="preserve">BIRMINGHAM                </v>
      </c>
      <c r="F419" t="str">
        <f t="shared" si="13"/>
        <v>AL</v>
      </c>
    </row>
    <row r="420" spans="1:6" x14ac:dyDescent="0.25">
      <c r="A420" t="str">
        <f>"004778501"</f>
        <v>004778501</v>
      </c>
      <c r="B420" t="str">
        <f>"1760642813"</f>
        <v>1760642813</v>
      </c>
      <c r="C420" t="str">
        <f>"208000000X"</f>
        <v>208000000X</v>
      </c>
      <c r="D420" t="str">
        <f>"CRIBBS                   MARC         G           "</f>
        <v xml:space="preserve">CRIBBS                   MARC         G           </v>
      </c>
      <c r="E420" t="str">
        <f>"BIRMINGHAM                "</f>
        <v xml:space="preserve">BIRMINGHAM                </v>
      </c>
      <c r="F420" t="str">
        <f t="shared" si="13"/>
        <v>AL</v>
      </c>
    </row>
    <row r="421" spans="1:6" x14ac:dyDescent="0.25">
      <c r="A421" t="str">
        <f>"004782346"</f>
        <v>004782346</v>
      </c>
      <c r="B421" t="str">
        <f>"1700025251"</f>
        <v>1700025251</v>
      </c>
      <c r="C421" t="str">
        <f>"208600000X"</f>
        <v>208600000X</v>
      </c>
      <c r="D421" t="str">
        <f>"MCMAHON                  DANIEL       P           "</f>
        <v xml:space="preserve">MCMAHON                  DANIEL       P           </v>
      </c>
      <c r="E421" t="str">
        <f>"MOBILE                    "</f>
        <v xml:space="preserve">MOBILE                    </v>
      </c>
      <c r="F421" t="str">
        <f t="shared" si="13"/>
        <v>AL</v>
      </c>
    </row>
    <row r="422" spans="1:6" x14ac:dyDescent="0.25">
      <c r="A422" t="str">
        <f>"004788362"</f>
        <v>004788362</v>
      </c>
      <c r="B422" t="str">
        <f>"1124499876"</f>
        <v>1124499876</v>
      </c>
      <c r="C422" t="str">
        <f>"363L00000X"</f>
        <v>363L00000X</v>
      </c>
      <c r="D422" t="str">
        <f>"ESTES                    COURTNEY     W           "</f>
        <v xml:space="preserve">ESTES                    COURTNEY     W           </v>
      </c>
      <c r="E422" t="str">
        <f>"BIRMINGHAM                "</f>
        <v xml:space="preserve">BIRMINGHAM                </v>
      </c>
      <c r="F422" t="str">
        <f t="shared" si="13"/>
        <v>AL</v>
      </c>
    </row>
    <row r="423" spans="1:6" x14ac:dyDescent="0.25">
      <c r="A423" t="str">
        <f>"004807519"</f>
        <v>004807519</v>
      </c>
      <c r="B423" t="str">
        <f>"1942236708"</f>
        <v>1942236708</v>
      </c>
      <c r="C423" t="str">
        <f>"207RI0200X"</f>
        <v>207RI0200X</v>
      </c>
      <c r="D423" t="str">
        <f>"HOESLEY                  CRAIG        J           "</f>
        <v xml:space="preserve">HOESLEY                  CRAIG        J           </v>
      </c>
      <c r="E423" t="str">
        <f>"BIRMINGHAM                "</f>
        <v xml:space="preserve">BIRMINGHAM                </v>
      </c>
      <c r="F423" t="str">
        <f t="shared" si="13"/>
        <v>AL</v>
      </c>
    </row>
    <row r="424" spans="1:6" x14ac:dyDescent="0.25">
      <c r="A424" t="str">
        <f>"004830222"</f>
        <v>004830222</v>
      </c>
      <c r="B424" t="str">
        <f>"1447316195"</f>
        <v>1447316195</v>
      </c>
      <c r="C424" t="str">
        <f>"2085R0202X"</f>
        <v>2085R0202X</v>
      </c>
      <c r="D424" t="str">
        <f>"MINTO                    SCOTT        E           "</f>
        <v xml:space="preserve">MINTO                    SCOTT        E           </v>
      </c>
      <c r="E424" t="str">
        <f>"MOBILE                    "</f>
        <v xml:space="preserve">MOBILE                    </v>
      </c>
      <c r="F424" t="str">
        <f t="shared" si="13"/>
        <v>AL</v>
      </c>
    </row>
    <row r="425" spans="1:6" x14ac:dyDescent="0.25">
      <c r="A425" t="str">
        <f>"004850269"</f>
        <v>004850269</v>
      </c>
      <c r="B425" t="str">
        <f>"1023052743"</f>
        <v>1023052743</v>
      </c>
      <c r="C425" t="str">
        <f>"207ZP0101X"</f>
        <v>207ZP0101X</v>
      </c>
      <c r="D425" t="str">
        <f>"ELTOUM                   ISAM-ELDIN   A           "</f>
        <v xml:space="preserve">ELTOUM                   ISAM-ELDIN   A           </v>
      </c>
      <c r="E425" t="str">
        <f>"BIRMINGHAM                "</f>
        <v xml:space="preserve">BIRMINGHAM                </v>
      </c>
      <c r="F425" t="str">
        <f t="shared" si="13"/>
        <v>AL</v>
      </c>
    </row>
    <row r="426" spans="1:6" x14ac:dyDescent="0.25">
      <c r="A426" t="str">
        <f>"004851547"</f>
        <v>004851547</v>
      </c>
      <c r="B426" t="str">
        <f>"1619429081"</f>
        <v>1619429081</v>
      </c>
      <c r="C426" t="str">
        <f>"363L00000X"</f>
        <v>363L00000X</v>
      </c>
      <c r="D426" t="str">
        <f>"SPARKS                   KANSAS                   "</f>
        <v xml:space="preserve">SPARKS                   KANSAS                   </v>
      </c>
      <c r="E426" t="str">
        <f>"BIRMINGHAM                "</f>
        <v xml:space="preserve">BIRMINGHAM                </v>
      </c>
      <c r="F426" t="str">
        <f t="shared" si="13"/>
        <v>AL</v>
      </c>
    </row>
    <row r="427" spans="1:6" x14ac:dyDescent="0.25">
      <c r="A427" t="str">
        <f>"004852389"</f>
        <v>004852389</v>
      </c>
      <c r="B427" t="str">
        <f>"1003011859"</f>
        <v>1003011859</v>
      </c>
      <c r="C427" t="str">
        <f>"2086S0102X"</f>
        <v>2086S0102X</v>
      </c>
      <c r="D427" t="str">
        <f>"MORRIS                   MELANIE      S           "</f>
        <v xml:space="preserve">MORRIS                   MELANIE      S           </v>
      </c>
      <c r="E427" t="str">
        <f>"BIRMINGHAM                "</f>
        <v xml:space="preserve">BIRMINGHAM                </v>
      </c>
      <c r="F427" t="str">
        <f t="shared" si="13"/>
        <v>AL</v>
      </c>
    </row>
    <row r="428" spans="1:6" x14ac:dyDescent="0.25">
      <c r="A428" t="str">
        <f>"004857838"</f>
        <v>004857838</v>
      </c>
      <c r="B428" t="str">
        <f>"1205814019"</f>
        <v>1205814019</v>
      </c>
      <c r="C428" t="str">
        <f>"208600000X"</f>
        <v>208600000X</v>
      </c>
      <c r="D428" t="str">
        <f>"PONS                     PETER        J           "</f>
        <v xml:space="preserve">PONS                     PETER        J           </v>
      </c>
      <c r="E428" t="str">
        <f>"FLORENCE                  "</f>
        <v xml:space="preserve">FLORENCE                  </v>
      </c>
      <c r="F428" t="str">
        <f t="shared" si="13"/>
        <v>AL</v>
      </c>
    </row>
    <row r="429" spans="1:6" x14ac:dyDescent="0.25">
      <c r="A429" t="str">
        <f>"004871076"</f>
        <v>004871076</v>
      </c>
      <c r="B429" t="str">
        <f>"1134138035"</f>
        <v>1134138035</v>
      </c>
      <c r="C429" t="str">
        <f>"2086S0102X"</f>
        <v>2086S0102X</v>
      </c>
      <c r="D429" t="str">
        <f>"HANAWAY                  MICHAEL      J           "</f>
        <v xml:space="preserve">HANAWAY                  MICHAEL      J           </v>
      </c>
      <c r="E429" t="str">
        <f>"BIRMINGHAM                "</f>
        <v xml:space="preserve">BIRMINGHAM                </v>
      </c>
      <c r="F429" t="str">
        <f t="shared" si="13"/>
        <v>AL</v>
      </c>
    </row>
    <row r="430" spans="1:6" x14ac:dyDescent="0.25">
      <c r="A430" t="str">
        <f>"004902539"</f>
        <v>004902539</v>
      </c>
      <c r="B430" t="str">
        <f>"1407506744"</f>
        <v>1407506744</v>
      </c>
      <c r="C430" t="str">
        <f>"207R00000X"</f>
        <v>207R00000X</v>
      </c>
      <c r="D430" t="str">
        <f>"YI                       CHARLES                  "</f>
        <v xml:space="preserve">YI                       CHARLES                  </v>
      </c>
      <c r="E430" t="str">
        <f>"MOBILE                    "</f>
        <v xml:space="preserve">MOBILE                    </v>
      </c>
      <c r="F430" t="str">
        <f t="shared" si="13"/>
        <v>AL</v>
      </c>
    </row>
    <row r="431" spans="1:6" x14ac:dyDescent="0.25">
      <c r="A431" t="str">
        <f>"004904295"</f>
        <v>004904295</v>
      </c>
      <c r="B431" t="str">
        <f>"1932399318"</f>
        <v>1932399318</v>
      </c>
      <c r="C431" t="str">
        <f>"207RC0000X"</f>
        <v>207RC0000X</v>
      </c>
      <c r="D431" t="str">
        <f>"LENNEMAN                 ANDREW       J           "</f>
        <v xml:space="preserve">LENNEMAN                 ANDREW       J           </v>
      </c>
      <c r="E431" t="str">
        <f>"BIRMINGHAM                "</f>
        <v xml:space="preserve">BIRMINGHAM                </v>
      </c>
      <c r="F431" t="str">
        <f t="shared" si="13"/>
        <v>AL</v>
      </c>
    </row>
    <row r="432" spans="1:6" x14ac:dyDescent="0.25">
      <c r="A432" t="str">
        <f>"004923535"</f>
        <v>004923535</v>
      </c>
      <c r="B432" t="str">
        <f>"1508146796"</f>
        <v>1508146796</v>
      </c>
      <c r="C432" t="str">
        <f>"363A00000X"</f>
        <v>363A00000X</v>
      </c>
      <c r="D432" t="str">
        <f>"HUNTER                   WHITNEY                  "</f>
        <v xml:space="preserve">HUNTER                   WHITNEY                  </v>
      </c>
      <c r="E432" t="str">
        <f>"MOBILE                    "</f>
        <v xml:space="preserve">MOBILE                    </v>
      </c>
      <c r="F432" t="str">
        <f t="shared" si="13"/>
        <v>AL</v>
      </c>
    </row>
    <row r="433" spans="1:6" x14ac:dyDescent="0.25">
      <c r="A433" t="str">
        <f>"004973572"</f>
        <v>004973572</v>
      </c>
      <c r="B433" t="str">
        <f>"1750647046"</f>
        <v>1750647046</v>
      </c>
      <c r="C433" t="str">
        <f>"207ZP0101X"</f>
        <v>207ZP0101X</v>
      </c>
      <c r="D433" t="str">
        <f>"HULS                     FOREST       B           "</f>
        <v xml:space="preserve">HULS                     FOREST       B           </v>
      </c>
      <c r="E433" t="str">
        <f>"BIRMINGHAM                "</f>
        <v xml:space="preserve">BIRMINGHAM                </v>
      </c>
      <c r="F433" t="str">
        <f t="shared" si="13"/>
        <v>AL</v>
      </c>
    </row>
    <row r="434" spans="1:6" x14ac:dyDescent="0.25">
      <c r="A434" t="str">
        <f>"005020361"</f>
        <v>005020361</v>
      </c>
      <c r="B434" t="str">
        <f>"1497384093"</f>
        <v>1497384093</v>
      </c>
      <c r="C434" t="str">
        <f>"207Y00000X"</f>
        <v>207Y00000X</v>
      </c>
      <c r="D434" t="str">
        <f>"OGLESBY                  KACIE        R           "</f>
        <v xml:space="preserve">OGLESBY                  KACIE        R           </v>
      </c>
      <c r="E434" t="str">
        <f>"MOBILE                    "</f>
        <v xml:space="preserve">MOBILE                    </v>
      </c>
      <c r="F434" t="str">
        <f t="shared" si="13"/>
        <v>AL</v>
      </c>
    </row>
    <row r="435" spans="1:6" x14ac:dyDescent="0.25">
      <c r="A435" t="str">
        <f>"005022892"</f>
        <v>005022892</v>
      </c>
      <c r="B435" t="str">
        <f>"1669645784"</f>
        <v>1669645784</v>
      </c>
      <c r="C435" t="str">
        <f>"363L00000X"</f>
        <v>363L00000X</v>
      </c>
      <c r="D435" t="str">
        <f>"DAVIS                    SHANNON      N           "</f>
        <v xml:space="preserve">DAVIS                    SHANNON      N           </v>
      </c>
      <c r="E435" t="str">
        <f>"MOBILE                    "</f>
        <v xml:space="preserve">MOBILE                    </v>
      </c>
      <c r="F435" t="str">
        <f t="shared" si="13"/>
        <v>AL</v>
      </c>
    </row>
    <row r="436" spans="1:6" x14ac:dyDescent="0.25">
      <c r="A436" t="str">
        <f>"005031750"</f>
        <v>005031750</v>
      </c>
      <c r="B436" t="str">
        <f>"1619451150"</f>
        <v>1619451150</v>
      </c>
      <c r="C436" t="str">
        <f>"363A00000X"</f>
        <v>363A00000X</v>
      </c>
      <c r="D436" t="str">
        <f>"LILJEGREN                MICHAEL      T           "</f>
        <v xml:space="preserve">LILJEGREN                MICHAEL      T           </v>
      </c>
      <c r="E436" t="str">
        <f>"MOBILE                    "</f>
        <v xml:space="preserve">MOBILE                    </v>
      </c>
      <c r="F436" t="str">
        <f t="shared" si="13"/>
        <v>AL</v>
      </c>
    </row>
    <row r="437" spans="1:6" x14ac:dyDescent="0.25">
      <c r="A437" t="str">
        <f>"005038555"</f>
        <v>005038555</v>
      </c>
      <c r="B437" t="str">
        <f>"1477606309"</f>
        <v>1477606309</v>
      </c>
      <c r="C437" t="str">
        <f>"207RH0000X"</f>
        <v>207RH0000X</v>
      </c>
      <c r="D437" t="str">
        <f>"COSTA                    LUCIANO      J           "</f>
        <v xml:space="preserve">COSTA                    LUCIANO      J           </v>
      </c>
      <c r="E437" t="str">
        <f>"BIRMINGHAM                "</f>
        <v xml:space="preserve">BIRMINGHAM                </v>
      </c>
      <c r="F437" t="str">
        <f t="shared" si="13"/>
        <v>AL</v>
      </c>
    </row>
    <row r="438" spans="1:6" x14ac:dyDescent="0.25">
      <c r="A438" t="str">
        <f>"005071318"</f>
        <v>005071318</v>
      </c>
      <c r="B438" t="str">
        <f>"1386120293"</f>
        <v>1386120293</v>
      </c>
      <c r="C438" t="str">
        <f>"207R00000X"</f>
        <v>207R00000X</v>
      </c>
      <c r="D438" t="str">
        <f>"CHHETRI                  SUMIT                    "</f>
        <v xml:space="preserve">CHHETRI                  SUMIT                    </v>
      </c>
      <c r="E438" t="str">
        <f>"MOBILE                    "</f>
        <v xml:space="preserve">MOBILE                    </v>
      </c>
      <c r="F438" t="str">
        <f t="shared" si="13"/>
        <v>AL</v>
      </c>
    </row>
    <row r="439" spans="1:6" x14ac:dyDescent="0.25">
      <c r="A439" t="str">
        <f>"005071881"</f>
        <v>005071881</v>
      </c>
      <c r="B439" t="str">
        <f>"1669768008"</f>
        <v>1669768008</v>
      </c>
      <c r="C439" t="str">
        <f>"2080P0203X"</f>
        <v>2080P0203X</v>
      </c>
      <c r="D439" t="str">
        <f>"DAVIS                    NITA                     "</f>
        <v xml:space="preserve">DAVIS                    NITA                     </v>
      </c>
      <c r="E439" t="str">
        <f>"MOBILE                    "</f>
        <v xml:space="preserve">MOBILE                    </v>
      </c>
      <c r="F439" t="str">
        <f t="shared" si="13"/>
        <v>AL</v>
      </c>
    </row>
    <row r="440" spans="1:6" x14ac:dyDescent="0.25">
      <c r="A440" t="str">
        <f>"005075793"</f>
        <v>005075793</v>
      </c>
      <c r="B440" t="str">
        <f>"1518901248"</f>
        <v>1518901248</v>
      </c>
      <c r="C440" t="str">
        <f>"207RP1001X"</f>
        <v>207RP1001X</v>
      </c>
      <c r="D440" t="str">
        <f>"SCHAPHORST               KANE         L           "</f>
        <v xml:space="preserve">SCHAPHORST               KANE         L           </v>
      </c>
      <c r="E440" t="str">
        <f>"MOBILE                    "</f>
        <v xml:space="preserve">MOBILE                    </v>
      </c>
      <c r="F440" t="str">
        <f t="shared" si="13"/>
        <v>AL</v>
      </c>
    </row>
    <row r="441" spans="1:6" x14ac:dyDescent="0.25">
      <c r="A441" t="str">
        <f>"005133705"</f>
        <v>005133705</v>
      </c>
      <c r="B441" t="str">
        <f>"1710332218"</f>
        <v>1710332218</v>
      </c>
      <c r="C441" t="str">
        <f>"208000000X"</f>
        <v>208000000X</v>
      </c>
      <c r="D441" t="str">
        <f>"MCMULLIN                 SARAH        E           "</f>
        <v xml:space="preserve">MCMULLIN                 SARAH        E           </v>
      </c>
      <c r="E441" t="str">
        <f>"MOBILE                    "</f>
        <v xml:space="preserve">MOBILE                    </v>
      </c>
      <c r="F441" t="str">
        <f t="shared" si="13"/>
        <v>AL</v>
      </c>
    </row>
    <row r="442" spans="1:6" x14ac:dyDescent="0.25">
      <c r="A442" t="str">
        <f>"005155505"</f>
        <v>005155505</v>
      </c>
      <c r="B442" t="str">
        <f>"1346509718"</f>
        <v>1346509718</v>
      </c>
      <c r="C442" t="str">
        <f>"207W00000X"</f>
        <v>207W00000X</v>
      </c>
      <c r="D442" t="str">
        <f>"PARKER JR.               JOHN         S           "</f>
        <v xml:space="preserve">PARKER JR.               JOHN         S           </v>
      </c>
      <c r="E442" t="str">
        <f>"TUSCALOOSA                "</f>
        <v xml:space="preserve">TUSCALOOSA                </v>
      </c>
      <c r="F442" t="str">
        <f t="shared" si="13"/>
        <v>AL</v>
      </c>
    </row>
    <row r="443" spans="1:6" x14ac:dyDescent="0.25">
      <c r="A443" t="str">
        <f>"005155755"</f>
        <v>005155755</v>
      </c>
      <c r="B443" t="str">
        <f>"1528455110"</f>
        <v>1528455110</v>
      </c>
      <c r="C443" t="str">
        <f>"207P00000X"</f>
        <v>207P00000X</v>
      </c>
      <c r="D443" t="str">
        <f>"RAPER                    JARON        D           "</f>
        <v xml:space="preserve">RAPER                    JARON        D           </v>
      </c>
      <c r="E443" t="str">
        <f>"BIRMINGHAM                "</f>
        <v xml:space="preserve">BIRMINGHAM                </v>
      </c>
      <c r="F443" t="str">
        <f t="shared" si="13"/>
        <v>AL</v>
      </c>
    </row>
    <row r="444" spans="1:6" x14ac:dyDescent="0.25">
      <c r="A444" t="str">
        <f>"005156231"</f>
        <v>005156231</v>
      </c>
      <c r="B444" t="str">
        <f>"1609261684"</f>
        <v>1609261684</v>
      </c>
      <c r="C444" t="str">
        <f>"207R00000X"</f>
        <v>207R00000X</v>
      </c>
      <c r="D444" t="str">
        <f>"STATKEWICZ               PAYTON                   "</f>
        <v xml:space="preserve">STATKEWICZ               PAYTON                   </v>
      </c>
      <c r="E444" t="str">
        <f>"MOBILE                    "</f>
        <v xml:space="preserve">MOBILE                    </v>
      </c>
      <c r="F444" t="str">
        <f t="shared" si="13"/>
        <v>AL</v>
      </c>
    </row>
    <row r="445" spans="1:6" x14ac:dyDescent="0.25">
      <c r="A445" t="str">
        <f>"005157004"</f>
        <v>005157004</v>
      </c>
      <c r="B445" t="str">
        <f>"1417055179"</f>
        <v>1417055179</v>
      </c>
      <c r="C445" t="str">
        <f>"207RN0300X"</f>
        <v>207RN0300X</v>
      </c>
      <c r="D445" t="str">
        <f>"SANUSI                   ABAYOMI      R           "</f>
        <v xml:space="preserve">SANUSI                   ABAYOMI      R           </v>
      </c>
      <c r="E445" t="str">
        <f>"MOBILE                    "</f>
        <v xml:space="preserve">MOBILE                    </v>
      </c>
      <c r="F445" t="str">
        <f t="shared" si="13"/>
        <v>AL</v>
      </c>
    </row>
    <row r="446" spans="1:6" x14ac:dyDescent="0.25">
      <c r="A446" t="str">
        <f>"005183293"</f>
        <v>005183293</v>
      </c>
      <c r="B446" t="str">
        <f>"1063471589"</f>
        <v>1063471589</v>
      </c>
      <c r="C446" t="str">
        <f>"207P00000X"</f>
        <v>207P00000X</v>
      </c>
      <c r="D446" t="str">
        <f>"NGANDO                   GEORGE       E           "</f>
        <v xml:space="preserve">NGANDO                   GEORGE       E           </v>
      </c>
      <c r="E446" t="str">
        <f>"MOBILE                    "</f>
        <v xml:space="preserve">MOBILE                    </v>
      </c>
      <c r="F446" t="str">
        <f t="shared" si="13"/>
        <v>AL</v>
      </c>
    </row>
    <row r="447" spans="1:6" x14ac:dyDescent="0.25">
      <c r="A447" t="str">
        <f>"005188894"</f>
        <v>005188894</v>
      </c>
      <c r="B447" t="str">
        <f>"1265009542"</f>
        <v>1265009542</v>
      </c>
      <c r="C447" t="str">
        <f>"363A00000X"</f>
        <v>363A00000X</v>
      </c>
      <c r="D447" t="str">
        <f>"GANDY                    CALEB        N           "</f>
        <v xml:space="preserve">GANDY                    CALEB        N           </v>
      </c>
      <c r="E447" t="str">
        <f>"BIRMINGHAM                "</f>
        <v xml:space="preserve">BIRMINGHAM                </v>
      </c>
      <c r="F447" t="str">
        <f t="shared" si="13"/>
        <v>AL</v>
      </c>
    </row>
    <row r="448" spans="1:6" x14ac:dyDescent="0.25">
      <c r="A448" t="str">
        <f>"005200378"</f>
        <v>005200378</v>
      </c>
      <c r="B448" t="str">
        <f>"1114243003"</f>
        <v>1114243003</v>
      </c>
      <c r="C448" t="str">
        <f>"2086S0129X"</f>
        <v>2086S0129X</v>
      </c>
      <c r="D448" t="str">
        <f>"SPANGLER                 EMILY        L           "</f>
        <v xml:space="preserve">SPANGLER                 EMILY        L           </v>
      </c>
      <c r="E448" t="str">
        <f>"BIRMINGHAM                "</f>
        <v xml:space="preserve">BIRMINGHAM                </v>
      </c>
      <c r="F448" t="str">
        <f t="shared" si="13"/>
        <v>AL</v>
      </c>
    </row>
    <row r="449" spans="1:6" x14ac:dyDescent="0.25">
      <c r="A449" t="str">
        <f>"005200851"</f>
        <v>005200851</v>
      </c>
      <c r="B449" t="str">
        <f>"1720462732"</f>
        <v>1720462732</v>
      </c>
      <c r="C449" t="str">
        <f>"363L00000X"</f>
        <v>363L00000X</v>
      </c>
      <c r="D449" t="str">
        <f>"DESNOYERS                THOMAS       E           "</f>
        <v xml:space="preserve">DESNOYERS                THOMAS       E           </v>
      </c>
      <c r="E449" t="str">
        <f>"FLORENCE                  "</f>
        <v xml:space="preserve">FLORENCE                  </v>
      </c>
      <c r="F449" t="str">
        <f t="shared" si="13"/>
        <v>AL</v>
      </c>
    </row>
    <row r="450" spans="1:6" x14ac:dyDescent="0.25">
      <c r="A450" t="str">
        <f>"005207061"</f>
        <v>005207061</v>
      </c>
      <c r="B450" t="str">
        <f>"1487039350"</f>
        <v>1487039350</v>
      </c>
      <c r="C450" t="str">
        <f>"363L00000X"</f>
        <v>363L00000X</v>
      </c>
      <c r="D450" t="str">
        <f>"PHILLIPS                 SARA         D           "</f>
        <v xml:space="preserve">PHILLIPS                 SARA         D           </v>
      </c>
      <c r="E450" t="str">
        <f>"BIRMINGHAM                "</f>
        <v xml:space="preserve">BIRMINGHAM                </v>
      </c>
      <c r="F450" t="str">
        <f t="shared" si="13"/>
        <v>AL</v>
      </c>
    </row>
    <row r="451" spans="1:6" x14ac:dyDescent="0.25">
      <c r="A451" t="str">
        <f>"005251257"</f>
        <v>005251257</v>
      </c>
      <c r="B451" t="str">
        <f>"1275091159"</f>
        <v>1275091159</v>
      </c>
      <c r="C451" t="str">
        <f>"363A00000X"</f>
        <v>363A00000X</v>
      </c>
      <c r="D451" t="str">
        <f>"WILLIAMS                 JENNIFER     L           "</f>
        <v xml:space="preserve">WILLIAMS                 JENNIFER     L           </v>
      </c>
      <c r="E451" t="str">
        <f>"BIRMINGHAM                "</f>
        <v xml:space="preserve">BIRMINGHAM                </v>
      </c>
      <c r="F451" t="str">
        <f t="shared" si="13"/>
        <v>AL</v>
      </c>
    </row>
    <row r="452" spans="1:6" x14ac:dyDescent="0.25">
      <c r="A452" t="str">
        <f>"005253357"</f>
        <v>005253357</v>
      </c>
      <c r="B452" t="str">
        <f>"1730162751"</f>
        <v>1730162751</v>
      </c>
      <c r="C452" t="str">
        <f>"2086S0127X"</f>
        <v>2086S0127X</v>
      </c>
      <c r="D452" t="str">
        <f>"WINKLER                  JON          P           "</f>
        <v xml:space="preserve">WINKLER                  JON          P           </v>
      </c>
      <c r="E452" t="str">
        <f>"BIRMINGHAM                "</f>
        <v xml:space="preserve">BIRMINGHAM                </v>
      </c>
      <c r="F452" t="str">
        <f t="shared" si="13"/>
        <v>AL</v>
      </c>
    </row>
    <row r="453" spans="1:6" x14ac:dyDescent="0.25">
      <c r="A453" t="str">
        <f>"005259291"</f>
        <v>005259291</v>
      </c>
      <c r="B453" t="str">
        <f>"1376962282"</f>
        <v>1376962282</v>
      </c>
      <c r="C453" t="str">
        <f>"207P00000X"</f>
        <v>207P00000X</v>
      </c>
      <c r="D453" t="str">
        <f>"PLASH                    WALKER                   "</f>
        <v xml:space="preserve">PLASH                    WALKER                   </v>
      </c>
      <c r="E453" t="str">
        <f>"MOBILE                    "</f>
        <v xml:space="preserve">MOBILE                    </v>
      </c>
      <c r="F453" t="str">
        <f t="shared" si="13"/>
        <v>AL</v>
      </c>
    </row>
    <row r="454" spans="1:6" x14ac:dyDescent="0.25">
      <c r="A454" t="str">
        <f>"005273095"</f>
        <v>005273095</v>
      </c>
      <c r="B454" t="str">
        <f>"1376762815"</f>
        <v>1376762815</v>
      </c>
      <c r="C454" t="str">
        <f>"207Y00000X"</f>
        <v>207Y00000X</v>
      </c>
      <c r="D454" t="str">
        <f>"DONNELLAN                KIMBERLY                 "</f>
        <v xml:space="preserve">DONNELLAN                KIMBERLY                 </v>
      </c>
      <c r="E454" t="str">
        <f>"MOBILE                    "</f>
        <v xml:space="preserve">MOBILE                    </v>
      </c>
      <c r="F454" t="str">
        <f t="shared" si="13"/>
        <v>AL</v>
      </c>
    </row>
    <row r="455" spans="1:6" x14ac:dyDescent="0.25">
      <c r="A455" t="str">
        <f>"005277200"</f>
        <v>005277200</v>
      </c>
      <c r="B455" t="str">
        <f>"1467043851"</f>
        <v>1467043851</v>
      </c>
      <c r="C455" t="str">
        <f>"363L00000X"</f>
        <v>363L00000X</v>
      </c>
      <c r="D455" t="str">
        <f>"BAUGH                    VICTORIA     L           "</f>
        <v xml:space="preserve">BAUGH                    VICTORIA     L           </v>
      </c>
      <c r="E455" t="str">
        <f>"MOBILE                    "</f>
        <v xml:space="preserve">MOBILE                    </v>
      </c>
      <c r="F455" t="str">
        <f t="shared" ref="F455:F518" si="15">"AL"</f>
        <v>AL</v>
      </c>
    </row>
    <row r="456" spans="1:6" x14ac:dyDescent="0.25">
      <c r="A456" t="str">
        <f>"005303077"</f>
        <v>005303077</v>
      </c>
      <c r="B456" t="str">
        <f>"1841653748"</f>
        <v>1841653748</v>
      </c>
      <c r="C456" t="str">
        <f>"207L00000X"</f>
        <v>207L00000X</v>
      </c>
      <c r="D456" t="str">
        <f>"RACINE                   CHRISTOPHER              "</f>
        <v xml:space="preserve">RACINE                   CHRISTOPHER              </v>
      </c>
      <c r="E456" t="str">
        <f>"BIRMINGHAM                "</f>
        <v xml:space="preserve">BIRMINGHAM                </v>
      </c>
      <c r="F456" t="str">
        <f t="shared" si="15"/>
        <v>AL</v>
      </c>
    </row>
    <row r="457" spans="1:6" x14ac:dyDescent="0.25">
      <c r="A457" t="str">
        <f>"005307786"</f>
        <v>005307786</v>
      </c>
      <c r="B457" t="str">
        <f>"1295084291"</f>
        <v>1295084291</v>
      </c>
      <c r="C457" t="str">
        <f>"2080P0203X"</f>
        <v>2080P0203X</v>
      </c>
      <c r="D457" t="str">
        <f>"SHARMA                   KAMAL        P           "</f>
        <v xml:space="preserve">SHARMA                   KAMAL        P           </v>
      </c>
      <c r="E457" t="str">
        <f>"MOBILE                    "</f>
        <v xml:space="preserve">MOBILE                    </v>
      </c>
      <c r="F457" t="str">
        <f t="shared" si="15"/>
        <v>AL</v>
      </c>
    </row>
    <row r="458" spans="1:6" x14ac:dyDescent="0.25">
      <c r="A458" t="str">
        <f>"005308271"</f>
        <v>005308271</v>
      </c>
      <c r="B458" t="str">
        <f>"1780818542"</f>
        <v>1780818542</v>
      </c>
      <c r="C458" t="str">
        <f>"207P00000X"</f>
        <v>207P00000X</v>
      </c>
      <c r="D458" t="str">
        <f>"MAGUIRE                  RAYMOND      J           "</f>
        <v xml:space="preserve">MAGUIRE                  RAYMOND      J           </v>
      </c>
      <c r="E458" t="str">
        <f>"MOBILE                    "</f>
        <v xml:space="preserve">MOBILE                    </v>
      </c>
      <c r="F458" t="str">
        <f t="shared" si="15"/>
        <v>AL</v>
      </c>
    </row>
    <row r="459" spans="1:6" x14ac:dyDescent="0.25">
      <c r="A459" t="str">
        <f>"005323004"</f>
        <v>005323004</v>
      </c>
      <c r="B459" t="str">
        <f>"1265428270"</f>
        <v>1265428270</v>
      </c>
      <c r="C459" t="str">
        <f>"207W00000X"</f>
        <v>207W00000X</v>
      </c>
      <c r="D459" t="str">
        <f>"RIFAI                    AREF                     "</f>
        <v xml:space="preserve">RIFAI                    AREF                     </v>
      </c>
      <c r="E459" t="str">
        <f>"MOBILE                    "</f>
        <v xml:space="preserve">MOBILE                    </v>
      </c>
      <c r="F459" t="str">
        <f t="shared" si="15"/>
        <v>AL</v>
      </c>
    </row>
    <row r="460" spans="1:6" x14ac:dyDescent="0.25">
      <c r="A460" t="str">
        <f>"005357304"</f>
        <v>005357304</v>
      </c>
      <c r="B460" t="str">
        <f>"1629056544"</f>
        <v>1629056544</v>
      </c>
      <c r="C460" t="str">
        <f>"208G00000X"</f>
        <v>208G00000X</v>
      </c>
      <c r="D460" t="str">
        <f>"DAVIES                   JAMES        E           "</f>
        <v xml:space="preserve">DAVIES                   JAMES        E           </v>
      </c>
      <c r="E460" t="str">
        <f>"BIRMINGHAM                "</f>
        <v xml:space="preserve">BIRMINGHAM                </v>
      </c>
      <c r="F460" t="str">
        <f t="shared" si="15"/>
        <v>AL</v>
      </c>
    </row>
    <row r="461" spans="1:6" x14ac:dyDescent="0.25">
      <c r="A461" t="str">
        <f>"005358315"</f>
        <v>005358315</v>
      </c>
      <c r="B461" t="str">
        <f>"1396217691"</f>
        <v>1396217691</v>
      </c>
      <c r="C461" t="str">
        <f>"367500000X"</f>
        <v>367500000X</v>
      </c>
      <c r="D461" t="str">
        <f>"THOMASSON                SARAH        L           "</f>
        <v xml:space="preserve">THOMASSON                SARAH        L           </v>
      </c>
      <c r="E461" t="str">
        <f>"BIRMINGHAM                "</f>
        <v xml:space="preserve">BIRMINGHAM                </v>
      </c>
      <c r="F461" t="str">
        <f t="shared" si="15"/>
        <v>AL</v>
      </c>
    </row>
    <row r="462" spans="1:6" x14ac:dyDescent="0.25">
      <c r="A462" t="str">
        <f>"005370365"</f>
        <v>005370365</v>
      </c>
      <c r="B462" t="str">
        <f>"1235189085"</f>
        <v>1235189085</v>
      </c>
      <c r="C462" t="str">
        <f>"2085R0202X"</f>
        <v>2085R0202X</v>
      </c>
      <c r="D462" t="str">
        <f>"GUPTA                    SHIKHA                   "</f>
        <v xml:space="preserve">GUPTA                    SHIKHA                   </v>
      </c>
      <c r="E462" t="str">
        <f>"MOBILE                    "</f>
        <v xml:space="preserve">MOBILE                    </v>
      </c>
      <c r="F462" t="str">
        <f t="shared" si="15"/>
        <v>AL</v>
      </c>
    </row>
    <row r="463" spans="1:6" x14ac:dyDescent="0.25">
      <c r="A463" t="str">
        <f>"005375790"</f>
        <v>005375790</v>
      </c>
      <c r="B463" t="str">
        <f>"1750795332"</f>
        <v>1750795332</v>
      </c>
      <c r="C463" t="str">
        <f>"207R00000X"</f>
        <v>207R00000X</v>
      </c>
      <c r="D463" t="str">
        <f>"JAUMALLY                 BIBI         A           "</f>
        <v xml:space="preserve">JAUMALLY                 BIBI         A           </v>
      </c>
      <c r="E463" t="str">
        <f>"BIRMINGHAM                "</f>
        <v xml:space="preserve">BIRMINGHAM                </v>
      </c>
      <c r="F463" t="str">
        <f t="shared" si="15"/>
        <v>AL</v>
      </c>
    </row>
    <row r="464" spans="1:6" x14ac:dyDescent="0.25">
      <c r="A464" t="str">
        <f>"005377803"</f>
        <v>005377803</v>
      </c>
      <c r="B464" t="str">
        <f>"1255528287"</f>
        <v>1255528287</v>
      </c>
      <c r="C464" t="str">
        <f>"363A00000X"</f>
        <v>363A00000X</v>
      </c>
      <c r="D464" t="str">
        <f>"PELEKANOS                SHARON       F           "</f>
        <v xml:space="preserve">PELEKANOS                SHARON       F           </v>
      </c>
      <c r="E464" t="str">
        <f>"MOBILE                    "</f>
        <v xml:space="preserve">MOBILE                    </v>
      </c>
      <c r="F464" t="str">
        <f t="shared" si="15"/>
        <v>AL</v>
      </c>
    </row>
    <row r="465" spans="1:6" x14ac:dyDescent="0.25">
      <c r="A465" t="str">
        <f>"005379775"</f>
        <v>005379775</v>
      </c>
      <c r="B465" t="str">
        <f>"1376807008"</f>
        <v>1376807008</v>
      </c>
      <c r="C465" t="str">
        <f>"2084N0400X"</f>
        <v>2084N0400X</v>
      </c>
      <c r="D465" t="str">
        <f>"DEAN                     MARISSA      N           "</f>
        <v xml:space="preserve">DEAN                     MARISSA      N           </v>
      </c>
      <c r="E465" t="str">
        <f>"BIRMINGHAM                "</f>
        <v xml:space="preserve">BIRMINGHAM                </v>
      </c>
      <c r="F465" t="str">
        <f t="shared" si="15"/>
        <v>AL</v>
      </c>
    </row>
    <row r="466" spans="1:6" x14ac:dyDescent="0.25">
      <c r="A466" t="str">
        <f>"005405549"</f>
        <v>005405549</v>
      </c>
      <c r="B466" t="str">
        <f>"1013986041"</f>
        <v>1013986041</v>
      </c>
      <c r="C466" t="str">
        <f>"2084N0400X"</f>
        <v>2084N0400X</v>
      </c>
      <c r="D466" t="str">
        <f>"OCHOA                    JUAN         G           "</f>
        <v xml:space="preserve">OCHOA                    JUAN         G           </v>
      </c>
      <c r="E466" t="str">
        <f>"MOBILE                    "</f>
        <v xml:space="preserve">MOBILE                    </v>
      </c>
      <c r="F466" t="str">
        <f t="shared" si="15"/>
        <v>AL</v>
      </c>
    </row>
    <row r="467" spans="1:6" x14ac:dyDescent="0.25">
      <c r="A467" t="str">
        <f>"005408755"</f>
        <v>005408755</v>
      </c>
      <c r="B467" t="str">
        <f>"1669817169"</f>
        <v>1669817169</v>
      </c>
      <c r="C467" t="str">
        <f>"207R00000X"</f>
        <v>207R00000X</v>
      </c>
      <c r="D467" t="str">
        <f>"KITTRELL                 WILLIAM                  "</f>
        <v xml:space="preserve">KITTRELL                 WILLIAM                  </v>
      </c>
      <c r="E467" t="str">
        <f>"MOBILE                    "</f>
        <v xml:space="preserve">MOBILE                    </v>
      </c>
      <c r="F467" t="str">
        <f t="shared" si="15"/>
        <v>AL</v>
      </c>
    </row>
    <row r="468" spans="1:6" x14ac:dyDescent="0.25">
      <c r="A468" t="str">
        <f>"005423069"</f>
        <v>005423069</v>
      </c>
      <c r="B468" t="str">
        <f>"1154648210"</f>
        <v>1154648210</v>
      </c>
      <c r="C468" t="str">
        <f>"2080P0208X"</f>
        <v>2080P0208X</v>
      </c>
      <c r="D468" t="str">
        <f>"TENGSUPAKUL              SUPATIDA                 "</f>
        <v xml:space="preserve">TENGSUPAKUL              SUPATIDA                 </v>
      </c>
      <c r="E468" t="str">
        <f>"MOBILE                    "</f>
        <v xml:space="preserve">MOBILE                    </v>
      </c>
      <c r="F468" t="str">
        <f t="shared" si="15"/>
        <v>AL</v>
      </c>
    </row>
    <row r="469" spans="1:6" x14ac:dyDescent="0.25">
      <c r="A469" t="str">
        <f>"005432819"</f>
        <v>005432819</v>
      </c>
      <c r="B469" t="str">
        <f>"1841238011"</f>
        <v>1841238011</v>
      </c>
      <c r="C469" t="str">
        <f>"207T00000X"</f>
        <v>207T00000X</v>
      </c>
      <c r="D469" t="str">
        <f>"MARTINO                  ANTHONY      M           "</f>
        <v xml:space="preserve">MARTINO                  ANTHONY      M           </v>
      </c>
      <c r="E469" t="str">
        <f>"MOBILE                    "</f>
        <v xml:space="preserve">MOBILE                    </v>
      </c>
      <c r="F469" t="str">
        <f t="shared" si="15"/>
        <v>AL</v>
      </c>
    </row>
    <row r="470" spans="1:6" x14ac:dyDescent="0.25">
      <c r="A470" t="str">
        <f>"005433228"</f>
        <v>005433228</v>
      </c>
      <c r="B470" t="str">
        <f>"1740693340"</f>
        <v>1740693340</v>
      </c>
      <c r="C470" t="str">
        <f>"207ZP0102X"</f>
        <v>207ZP0102X</v>
      </c>
      <c r="D470" t="str">
        <f>"MORLOTE                  DIANA        M           "</f>
        <v xml:space="preserve">MORLOTE                  DIANA        M           </v>
      </c>
      <c r="E470" t="str">
        <f>"BIRMINGHAM                "</f>
        <v xml:space="preserve">BIRMINGHAM                </v>
      </c>
      <c r="F470" t="str">
        <f t="shared" si="15"/>
        <v>AL</v>
      </c>
    </row>
    <row r="471" spans="1:6" x14ac:dyDescent="0.25">
      <c r="A471" t="str">
        <f>"005433394"</f>
        <v>005433394</v>
      </c>
      <c r="B471" t="str">
        <f>"1598780777"</f>
        <v>1598780777</v>
      </c>
      <c r="C471" t="str">
        <f>"207T00000X"</f>
        <v>207T00000X</v>
      </c>
      <c r="D471" t="str">
        <f>"RILEY                    KRISTEN      O           "</f>
        <v xml:space="preserve">RILEY                    KRISTEN      O           </v>
      </c>
      <c r="E471" t="str">
        <f>"BIRMINGHAM                "</f>
        <v xml:space="preserve">BIRMINGHAM                </v>
      </c>
      <c r="F471" t="str">
        <f t="shared" si="15"/>
        <v>AL</v>
      </c>
    </row>
    <row r="472" spans="1:6" x14ac:dyDescent="0.25">
      <c r="A472" t="str">
        <f>"005434779"</f>
        <v>005434779</v>
      </c>
      <c r="B472" t="str">
        <f>"1922442342"</f>
        <v>1922442342</v>
      </c>
      <c r="C472" t="str">
        <f>"207V00000X"</f>
        <v>207V00000X</v>
      </c>
      <c r="D472" t="str">
        <f>"CAMPBELL                 SUKHKAMAL    B           "</f>
        <v xml:space="preserve">CAMPBELL                 SUKHKAMAL    B           </v>
      </c>
      <c r="E472" t="str">
        <f>"BIRMINGHAM                "</f>
        <v xml:space="preserve">BIRMINGHAM                </v>
      </c>
      <c r="F472" t="str">
        <f t="shared" si="15"/>
        <v>AL</v>
      </c>
    </row>
    <row r="473" spans="1:6" x14ac:dyDescent="0.25">
      <c r="A473" t="str">
        <f>"005452836"</f>
        <v>005452836</v>
      </c>
      <c r="B473" t="str">
        <f>"1578545810"</f>
        <v>1578545810</v>
      </c>
      <c r="C473" t="str">
        <f>"207P00000X"</f>
        <v>207P00000X</v>
      </c>
      <c r="D473" t="str">
        <f>"GILFORD JR               WILLIE       L           "</f>
        <v xml:space="preserve">GILFORD JR               WILLIE       L           </v>
      </c>
      <c r="E473" t="str">
        <f>"BIRMINGHAM                "</f>
        <v xml:space="preserve">BIRMINGHAM                </v>
      </c>
      <c r="F473" t="str">
        <f t="shared" si="15"/>
        <v>AL</v>
      </c>
    </row>
    <row r="474" spans="1:6" x14ac:dyDescent="0.25">
      <c r="A474" t="str">
        <f>"005473703"</f>
        <v>005473703</v>
      </c>
      <c r="B474" t="str">
        <f>"1093190118"</f>
        <v>1093190118</v>
      </c>
      <c r="C474" t="str">
        <f>"2084A2900X"</f>
        <v>2084A2900X</v>
      </c>
      <c r="D474" t="str">
        <f>"SALEEMI                  MUHAMMAD     A           "</f>
        <v xml:space="preserve">SALEEMI                  MUHAMMAD     A           </v>
      </c>
      <c r="E474" t="str">
        <f>"MOBILE                    "</f>
        <v xml:space="preserve">MOBILE                    </v>
      </c>
      <c r="F474" t="str">
        <f t="shared" si="15"/>
        <v>AL</v>
      </c>
    </row>
    <row r="475" spans="1:6" x14ac:dyDescent="0.25">
      <c r="A475" t="str">
        <f>"005474861"</f>
        <v>005474861</v>
      </c>
      <c r="B475" t="str">
        <f>"1861808230"</f>
        <v>1861808230</v>
      </c>
      <c r="C475" t="str">
        <f>"363L00000X"</f>
        <v>363L00000X</v>
      </c>
      <c r="D475" t="str">
        <f>"LOVELL                   CHRISTOPHER  M           "</f>
        <v xml:space="preserve">LOVELL                   CHRISTOPHER  M           </v>
      </c>
      <c r="E475" t="str">
        <f>"MOBILE                    "</f>
        <v xml:space="preserve">MOBILE                    </v>
      </c>
      <c r="F475" t="str">
        <f t="shared" si="15"/>
        <v>AL</v>
      </c>
    </row>
    <row r="476" spans="1:6" x14ac:dyDescent="0.25">
      <c r="A476" t="str">
        <f>"005476219"</f>
        <v>005476219</v>
      </c>
      <c r="B476" t="str">
        <f>"1144450792"</f>
        <v>1144450792</v>
      </c>
      <c r="C476" t="str">
        <f>"207RG0100X"</f>
        <v>207RG0100X</v>
      </c>
      <c r="D476" t="str">
        <f>"HENDERSON                PHILLIP      K           "</f>
        <v xml:space="preserve">HENDERSON                PHILLIP      K           </v>
      </c>
      <c r="E476" t="str">
        <f>"MOBILE                    "</f>
        <v xml:space="preserve">MOBILE                    </v>
      </c>
      <c r="F476" t="str">
        <f t="shared" si="15"/>
        <v>AL</v>
      </c>
    </row>
    <row r="477" spans="1:6" x14ac:dyDescent="0.25">
      <c r="A477" t="str">
        <f>"005488275"</f>
        <v>005488275</v>
      </c>
      <c r="B477" t="str">
        <f>"1952795577"</f>
        <v>1952795577</v>
      </c>
      <c r="C477" t="str">
        <f>"207XP3100X"</f>
        <v>207XP3100X</v>
      </c>
      <c r="D477" t="str">
        <f>"MCDONALD                 TYLER        C           "</f>
        <v xml:space="preserve">MCDONALD                 TYLER        C           </v>
      </c>
      <c r="E477" t="str">
        <f>"MOBILE                    "</f>
        <v xml:space="preserve">MOBILE                    </v>
      </c>
      <c r="F477" t="str">
        <f t="shared" si="15"/>
        <v>AL</v>
      </c>
    </row>
    <row r="478" spans="1:6" x14ac:dyDescent="0.25">
      <c r="A478" t="str">
        <f>"005502566"</f>
        <v>005502566</v>
      </c>
      <c r="B478" t="str">
        <f>"1497027387"</f>
        <v>1497027387</v>
      </c>
      <c r="C478" t="str">
        <f>"2085R0202X"</f>
        <v>2085R0202X</v>
      </c>
      <c r="D478" t="str">
        <f>"JONES                    JESSE        G           "</f>
        <v xml:space="preserve">JONES                    JESSE        G           </v>
      </c>
      <c r="E478" t="str">
        <f>"BIRMINGHAM                "</f>
        <v xml:space="preserve">BIRMINGHAM                </v>
      </c>
      <c r="F478" t="str">
        <f t="shared" si="15"/>
        <v>AL</v>
      </c>
    </row>
    <row r="479" spans="1:6" x14ac:dyDescent="0.25">
      <c r="A479" t="str">
        <f>"005522508"</f>
        <v>005522508</v>
      </c>
      <c r="B479" t="str">
        <f>"1871095570"</f>
        <v>1871095570</v>
      </c>
      <c r="C479" t="str">
        <f>"363L00000X"</f>
        <v>363L00000X</v>
      </c>
      <c r="D479" t="str">
        <f>"RUSH                     MALLORY                  "</f>
        <v xml:space="preserve">RUSH                     MALLORY                  </v>
      </c>
      <c r="E479" t="str">
        <f>"BIRMINGHAM                "</f>
        <v xml:space="preserve">BIRMINGHAM                </v>
      </c>
      <c r="F479" t="str">
        <f t="shared" si="15"/>
        <v>AL</v>
      </c>
    </row>
    <row r="480" spans="1:6" x14ac:dyDescent="0.25">
      <c r="A480" t="str">
        <f>"005538515"</f>
        <v>005538515</v>
      </c>
      <c r="B480" t="str">
        <f>"1669434395"</f>
        <v>1669434395</v>
      </c>
      <c r="C480" t="str">
        <f>"207VM0101X"</f>
        <v>207VM0101X</v>
      </c>
      <c r="D480" t="str">
        <f>"WINKLER                  CAREY                    "</f>
        <v xml:space="preserve">WINKLER                  CAREY                    </v>
      </c>
      <c r="E480" t="str">
        <f>"MOBILE                    "</f>
        <v xml:space="preserve">MOBILE                    </v>
      </c>
      <c r="F480" t="str">
        <f t="shared" si="15"/>
        <v>AL</v>
      </c>
    </row>
    <row r="481" spans="1:6" x14ac:dyDescent="0.25">
      <c r="A481" t="str">
        <f>"005553255"</f>
        <v>005553255</v>
      </c>
      <c r="B481" t="str">
        <f>"1427253269"</f>
        <v>1427253269</v>
      </c>
      <c r="C481" t="str">
        <f>"363L00000X"</f>
        <v>363L00000X</v>
      </c>
      <c r="D481" t="str">
        <f>"HOWELL                   STEPHEN      L           "</f>
        <v xml:space="preserve">HOWELL                   STEPHEN      L           </v>
      </c>
      <c r="E481" t="str">
        <f>"BIRMINGHAM                "</f>
        <v xml:space="preserve">BIRMINGHAM                </v>
      </c>
      <c r="F481" t="str">
        <f t="shared" si="15"/>
        <v>AL</v>
      </c>
    </row>
    <row r="482" spans="1:6" x14ac:dyDescent="0.25">
      <c r="A482" t="str">
        <f>"005587081"</f>
        <v>005587081</v>
      </c>
      <c r="B482" t="str">
        <f>"1073526752"</f>
        <v>1073526752</v>
      </c>
      <c r="C482" t="str">
        <f>"363L00000X"</f>
        <v>363L00000X</v>
      </c>
      <c r="D482" t="str">
        <f>"BROWN                    JENNIFER     R           "</f>
        <v xml:space="preserve">BROWN                    JENNIFER     R           </v>
      </c>
      <c r="E482" t="str">
        <f>"BIRMINGHAM                "</f>
        <v xml:space="preserve">BIRMINGHAM                </v>
      </c>
      <c r="F482" t="str">
        <f t="shared" si="15"/>
        <v>AL</v>
      </c>
    </row>
    <row r="483" spans="1:6" x14ac:dyDescent="0.25">
      <c r="A483" t="str">
        <f>"005589008"</f>
        <v>005589008</v>
      </c>
      <c r="B483" t="str">
        <f>"1457536765"</f>
        <v>1457536765</v>
      </c>
      <c r="C483" t="str">
        <f>"208000000X"</f>
        <v>208000000X</v>
      </c>
      <c r="D483" t="str">
        <f>"HEBSON                   CAMDEN       L           "</f>
        <v xml:space="preserve">HEBSON                   CAMDEN       L           </v>
      </c>
      <c r="E483" t="str">
        <f>"BIRMINGHAM                "</f>
        <v xml:space="preserve">BIRMINGHAM                </v>
      </c>
      <c r="F483" t="str">
        <f t="shared" si="15"/>
        <v>AL</v>
      </c>
    </row>
    <row r="484" spans="1:6" x14ac:dyDescent="0.25">
      <c r="A484" t="str">
        <f>"005600870"</f>
        <v>005600870</v>
      </c>
      <c r="B484" t="str">
        <f>"1396795654"</f>
        <v>1396795654</v>
      </c>
      <c r="C484" t="str">
        <f>"207Y00000X"</f>
        <v>207Y00000X</v>
      </c>
      <c r="D484" t="str">
        <f>"ELLIOTT                  KIMBERLY     A           "</f>
        <v xml:space="preserve">ELLIOTT                  KIMBERLY     A           </v>
      </c>
      <c r="E484" t="str">
        <f>"MOBILE                    "</f>
        <v xml:space="preserve">MOBILE                    </v>
      </c>
      <c r="F484" t="str">
        <f t="shared" si="15"/>
        <v>AL</v>
      </c>
    </row>
    <row r="485" spans="1:6" x14ac:dyDescent="0.25">
      <c r="A485" t="str">
        <f>"005605709"</f>
        <v>005605709</v>
      </c>
      <c r="B485" t="str">
        <f>"1619905643"</f>
        <v>1619905643</v>
      </c>
      <c r="C485" t="str">
        <f>"2084N0400X"</f>
        <v>2084N0400X</v>
      </c>
      <c r="D485" t="str">
        <f>"WALKER                   HARRISON     C           "</f>
        <v xml:space="preserve">WALKER                   HARRISON     C           </v>
      </c>
      <c r="E485" t="str">
        <f>"BIRMINGHAM                "</f>
        <v xml:space="preserve">BIRMINGHAM                </v>
      </c>
      <c r="F485" t="str">
        <f t="shared" si="15"/>
        <v>AL</v>
      </c>
    </row>
    <row r="486" spans="1:6" x14ac:dyDescent="0.25">
      <c r="A486" t="str">
        <f>"005606582"</f>
        <v>005606582</v>
      </c>
      <c r="B486" t="str">
        <f>"1689655235"</f>
        <v>1689655235</v>
      </c>
      <c r="C486" t="str">
        <f>"207N00000X"</f>
        <v>207N00000X</v>
      </c>
      <c r="D486" t="str">
        <f>"LAZARCHICK               JOHN         J           "</f>
        <v xml:space="preserve">LAZARCHICK               JOHN         J           </v>
      </c>
      <c r="E486" t="str">
        <f>"MOBILE                    "</f>
        <v xml:space="preserve">MOBILE                    </v>
      </c>
      <c r="F486" t="str">
        <f t="shared" si="15"/>
        <v>AL</v>
      </c>
    </row>
    <row r="487" spans="1:6" x14ac:dyDescent="0.25">
      <c r="A487" t="str">
        <f>"005624865"</f>
        <v>005624865</v>
      </c>
      <c r="B487" t="str">
        <f>"1871850859"</f>
        <v>1871850859</v>
      </c>
      <c r="C487" t="str">
        <f>"363L00000X"</f>
        <v>363L00000X</v>
      </c>
      <c r="D487" t="str">
        <f>"WILLIAMS                 AMANDA                   "</f>
        <v xml:space="preserve">WILLIAMS                 AMANDA                   </v>
      </c>
      <c r="E487" t="str">
        <f>"MOBILE                    "</f>
        <v xml:space="preserve">MOBILE                    </v>
      </c>
      <c r="F487" t="str">
        <f t="shared" si="15"/>
        <v>AL</v>
      </c>
    </row>
    <row r="488" spans="1:6" x14ac:dyDescent="0.25">
      <c r="A488" t="str">
        <f>"005627723"</f>
        <v>005627723</v>
      </c>
      <c r="B488" t="str">
        <f>"1588641070"</f>
        <v>1588641070</v>
      </c>
      <c r="C488" t="str">
        <f>"207RC0000X"</f>
        <v>207RC0000X</v>
      </c>
      <c r="D488" t="str">
        <f>"CHAPMAN                  GREGORY      D           "</f>
        <v xml:space="preserve">CHAPMAN                  GREGORY      D           </v>
      </c>
      <c r="E488" t="str">
        <f>"BIRMINGHAM                "</f>
        <v xml:space="preserve">BIRMINGHAM                </v>
      </c>
      <c r="F488" t="str">
        <f t="shared" si="15"/>
        <v>AL</v>
      </c>
    </row>
    <row r="489" spans="1:6" x14ac:dyDescent="0.25">
      <c r="A489" t="str">
        <f>"005706791"</f>
        <v>005706791</v>
      </c>
      <c r="B489" t="str">
        <f>"1588007686"</f>
        <v>1588007686</v>
      </c>
      <c r="C489" t="str">
        <f>"207X00000X"</f>
        <v>207X00000X</v>
      </c>
      <c r="D489" t="str">
        <f>"LOFTIN                   KARLEE       H           "</f>
        <v xml:space="preserve">LOFTIN                   KARLEE       H           </v>
      </c>
      <c r="E489" t="str">
        <f>"BIRMINGHAM                "</f>
        <v xml:space="preserve">BIRMINGHAM                </v>
      </c>
      <c r="F489" t="str">
        <f t="shared" si="15"/>
        <v>AL</v>
      </c>
    </row>
    <row r="490" spans="1:6" x14ac:dyDescent="0.25">
      <c r="A490" t="str">
        <f>"005707748"</f>
        <v>005707748</v>
      </c>
      <c r="B490" t="str">
        <f>"1942703970"</f>
        <v>1942703970</v>
      </c>
      <c r="C490" t="str">
        <f>"363L00000X"</f>
        <v>363L00000X</v>
      </c>
      <c r="D490" t="str">
        <f>"EHLERS                   SCOTT                    "</f>
        <v xml:space="preserve">EHLERS                   SCOTT                    </v>
      </c>
      <c r="E490" t="str">
        <f>"MOBILE                    "</f>
        <v xml:space="preserve">MOBILE                    </v>
      </c>
      <c r="F490" t="str">
        <f t="shared" si="15"/>
        <v>AL</v>
      </c>
    </row>
    <row r="491" spans="1:6" x14ac:dyDescent="0.25">
      <c r="A491" t="str">
        <f>"005753502"</f>
        <v>005753502</v>
      </c>
      <c r="B491" t="str">
        <f>"1124237003"</f>
        <v>1124237003</v>
      </c>
      <c r="C491" t="str">
        <f>"207L00000X"</f>
        <v>207L00000X</v>
      </c>
      <c r="D491" t="str">
        <f>"TUCK                     BENJAMIN     C           "</f>
        <v xml:space="preserve">TUCK                     BENJAMIN     C           </v>
      </c>
      <c r="E491" t="str">
        <f>"BIRMINGHAM                "</f>
        <v xml:space="preserve">BIRMINGHAM                </v>
      </c>
      <c r="F491" t="str">
        <f t="shared" si="15"/>
        <v>AL</v>
      </c>
    </row>
    <row r="492" spans="1:6" x14ac:dyDescent="0.25">
      <c r="A492" t="str">
        <f>"005757067"</f>
        <v>005757067</v>
      </c>
      <c r="B492" t="str">
        <f>"1922464288"</f>
        <v>1922464288</v>
      </c>
      <c r="C492" t="str">
        <f>"363L00000X"</f>
        <v>363L00000X</v>
      </c>
      <c r="D492" t="str">
        <f>"BARROS                   MARY         L           "</f>
        <v xml:space="preserve">BARROS                   MARY         L           </v>
      </c>
      <c r="E492" t="str">
        <f>"MOBILE                    "</f>
        <v xml:space="preserve">MOBILE                    </v>
      </c>
      <c r="F492" t="str">
        <f t="shared" si="15"/>
        <v>AL</v>
      </c>
    </row>
    <row r="493" spans="1:6" x14ac:dyDescent="0.25">
      <c r="A493" t="str">
        <f>"005771022"</f>
        <v>005771022</v>
      </c>
      <c r="B493" t="str">
        <f>"1457469314"</f>
        <v>1457469314</v>
      </c>
      <c r="C493" t="str">
        <f>"208000000X"</f>
        <v>208000000X</v>
      </c>
      <c r="D493" t="str">
        <f>"VIRELLA-LOWELL           ISABEL                   "</f>
        <v xml:space="preserve">VIRELLA-LOWELL           ISABEL                   </v>
      </c>
      <c r="E493" t="str">
        <f>"BIRMINGHAM                "</f>
        <v xml:space="preserve">BIRMINGHAM                </v>
      </c>
      <c r="F493" t="str">
        <f t="shared" si="15"/>
        <v>AL</v>
      </c>
    </row>
    <row r="494" spans="1:6" x14ac:dyDescent="0.25">
      <c r="A494" t="str">
        <f>"005779061"</f>
        <v>005779061</v>
      </c>
      <c r="B494" t="str">
        <f>"1548760432"</f>
        <v>1548760432</v>
      </c>
      <c r="C494" t="str">
        <f>"367500000X"</f>
        <v>367500000X</v>
      </c>
      <c r="D494" t="str">
        <f>"MURPH                    TYLER        R           "</f>
        <v xml:space="preserve">MURPH                    TYLER        R           </v>
      </c>
      <c r="E494" t="str">
        <f>"MOBILE                    "</f>
        <v xml:space="preserve">MOBILE                    </v>
      </c>
      <c r="F494" t="str">
        <f t="shared" si="15"/>
        <v>AL</v>
      </c>
    </row>
    <row r="495" spans="1:6" x14ac:dyDescent="0.25">
      <c r="A495" t="str">
        <f>"005780542"</f>
        <v>005780542</v>
      </c>
      <c r="B495" t="str">
        <f>"1477757094"</f>
        <v>1477757094</v>
      </c>
      <c r="C495" t="str">
        <f>"208100000X"</f>
        <v>208100000X</v>
      </c>
      <c r="D495" t="str">
        <f>"POWELL                   DANIELLE     K           "</f>
        <v xml:space="preserve">POWELL                   DANIELLE     K           </v>
      </c>
      <c r="E495" t="str">
        <f>"BIRMINGHAM                "</f>
        <v xml:space="preserve">BIRMINGHAM                </v>
      </c>
      <c r="F495" t="str">
        <f t="shared" si="15"/>
        <v>AL</v>
      </c>
    </row>
    <row r="496" spans="1:6" x14ac:dyDescent="0.25">
      <c r="A496" t="str">
        <f>"005787000"</f>
        <v>005787000</v>
      </c>
      <c r="B496" t="str">
        <f>"1114988086"</f>
        <v>1114988086</v>
      </c>
      <c r="C496" t="str">
        <f>"2085R0202X"</f>
        <v>2085R0202X</v>
      </c>
      <c r="D496" t="str">
        <f>"CROWDER                  JASON        B           "</f>
        <v xml:space="preserve">CROWDER                  JASON        B           </v>
      </c>
      <c r="E496" t="str">
        <f>"MOBILE                    "</f>
        <v xml:space="preserve">MOBILE                    </v>
      </c>
      <c r="F496" t="str">
        <f t="shared" si="15"/>
        <v>AL</v>
      </c>
    </row>
    <row r="497" spans="1:6" x14ac:dyDescent="0.25">
      <c r="A497" t="str">
        <f>"005802867"</f>
        <v>005802867</v>
      </c>
      <c r="B497" t="str">
        <f>"1487049300"</f>
        <v>1487049300</v>
      </c>
      <c r="C497" t="str">
        <f>"207R00000X"</f>
        <v>207R00000X</v>
      </c>
      <c r="D497" t="str">
        <f>"FISHEL                   HEATHER      L           "</f>
        <v xml:space="preserve">FISHEL                   HEATHER      L           </v>
      </c>
      <c r="E497" t="str">
        <f>"MOBILE                    "</f>
        <v xml:space="preserve">MOBILE                    </v>
      </c>
      <c r="F497" t="str">
        <f t="shared" si="15"/>
        <v>AL</v>
      </c>
    </row>
    <row r="498" spans="1:6" x14ac:dyDescent="0.25">
      <c r="A498" t="str">
        <f>"005804700"</f>
        <v>005804700</v>
      </c>
      <c r="B498" t="str">
        <f>"1528708716"</f>
        <v>1528708716</v>
      </c>
      <c r="C498" t="str">
        <f>"207R00000X"</f>
        <v>207R00000X</v>
      </c>
      <c r="D498" t="str">
        <f>"YEH                      JENIFER                  "</f>
        <v xml:space="preserve">YEH                      JENIFER                  </v>
      </c>
      <c r="E498" t="str">
        <f>"MOBILE                    "</f>
        <v xml:space="preserve">MOBILE                    </v>
      </c>
      <c r="F498" t="str">
        <f t="shared" si="15"/>
        <v>AL</v>
      </c>
    </row>
    <row r="499" spans="1:6" x14ac:dyDescent="0.25">
      <c r="A499" t="str">
        <f>"005808769"</f>
        <v>005808769</v>
      </c>
      <c r="B499" t="str">
        <f>"1578570545"</f>
        <v>1578570545</v>
      </c>
      <c r="C499" t="str">
        <f>"208600000X"</f>
        <v>208600000X</v>
      </c>
      <c r="D499" t="str">
        <f>"BECK                     ADAM         W           "</f>
        <v xml:space="preserve">BECK                     ADAM         W           </v>
      </c>
      <c r="E499" t="str">
        <f>"BIRMINGHAM                "</f>
        <v xml:space="preserve">BIRMINGHAM                </v>
      </c>
      <c r="F499" t="str">
        <f t="shared" si="15"/>
        <v>AL</v>
      </c>
    </row>
    <row r="500" spans="1:6" x14ac:dyDescent="0.25">
      <c r="A500" t="str">
        <f>"005834832"</f>
        <v>005834832</v>
      </c>
      <c r="B500" t="str">
        <f>"1568783793"</f>
        <v>1568783793</v>
      </c>
      <c r="C500" t="str">
        <f>"207RP1001X"</f>
        <v>207RP1001X</v>
      </c>
      <c r="D500" t="str">
        <f>"AULAKH                   PUNEET                   "</f>
        <v xml:space="preserve">AULAKH                   PUNEET                   </v>
      </c>
      <c r="E500" t="str">
        <f>"BIRMINGHAM                "</f>
        <v xml:space="preserve">BIRMINGHAM                </v>
      </c>
      <c r="F500" t="str">
        <f t="shared" si="15"/>
        <v>AL</v>
      </c>
    </row>
    <row r="501" spans="1:6" x14ac:dyDescent="0.25">
      <c r="A501" t="str">
        <f>"005835712"</f>
        <v>005835712</v>
      </c>
      <c r="B501" t="str">
        <f>"1922252691"</f>
        <v>1922252691</v>
      </c>
      <c r="C501" t="str">
        <f>"207RC0000X"</f>
        <v>207RC0000X</v>
      </c>
      <c r="D501" t="str">
        <f>"BOOKER                   OSCAR        J           "</f>
        <v xml:space="preserve">BOOKER                   OSCAR        J           </v>
      </c>
      <c r="E501" t="str">
        <f>"BIRMINGHAM                "</f>
        <v xml:space="preserve">BIRMINGHAM                </v>
      </c>
      <c r="F501" t="str">
        <f t="shared" si="15"/>
        <v>AL</v>
      </c>
    </row>
    <row r="502" spans="1:6" x14ac:dyDescent="0.25">
      <c r="A502" t="str">
        <f>"005837897"</f>
        <v>005837897</v>
      </c>
      <c r="B502" t="str">
        <f>"1174274997"</f>
        <v>1174274997</v>
      </c>
      <c r="C502" t="str">
        <f>"363L00000X"</f>
        <v>363L00000X</v>
      </c>
      <c r="D502" t="str">
        <f>"ANDERSON                 NIKITA                   "</f>
        <v xml:space="preserve">ANDERSON                 NIKITA                   </v>
      </c>
      <c r="E502" t="str">
        <f>"MOBILE                    "</f>
        <v xml:space="preserve">MOBILE                    </v>
      </c>
      <c r="F502" t="str">
        <f t="shared" si="15"/>
        <v>AL</v>
      </c>
    </row>
    <row r="503" spans="1:6" x14ac:dyDescent="0.25">
      <c r="A503" t="str">
        <f>"005852049"</f>
        <v>005852049</v>
      </c>
      <c r="B503" t="str">
        <f>"1790705978"</f>
        <v>1790705978</v>
      </c>
      <c r="C503" t="str">
        <f>"207R00000X"</f>
        <v>207R00000X</v>
      </c>
      <c r="D503" t="str">
        <f>"TALLAJ                   JOSE         A           "</f>
        <v xml:space="preserve">TALLAJ                   JOSE         A           </v>
      </c>
      <c r="E503" t="str">
        <f>"BIRMINGHAM                "</f>
        <v xml:space="preserve">BIRMINGHAM                </v>
      </c>
      <c r="F503" t="str">
        <f t="shared" si="15"/>
        <v>AL</v>
      </c>
    </row>
    <row r="504" spans="1:6" x14ac:dyDescent="0.25">
      <c r="A504" t="str">
        <f>"005889307"</f>
        <v>005889307</v>
      </c>
      <c r="B504" t="str">
        <f>"1770764813"</f>
        <v>1770764813</v>
      </c>
      <c r="C504" t="str">
        <f>"207ZP0105X"</f>
        <v>207ZP0105X</v>
      </c>
      <c r="D504" t="str">
        <f>"SINIARD                  RANCE        C           "</f>
        <v xml:space="preserve">SINIARD                  RANCE        C           </v>
      </c>
      <c r="E504" t="str">
        <f>"BIRMINGHAM                "</f>
        <v xml:space="preserve">BIRMINGHAM                </v>
      </c>
      <c r="F504" t="str">
        <f t="shared" si="15"/>
        <v>AL</v>
      </c>
    </row>
    <row r="505" spans="1:6" x14ac:dyDescent="0.25">
      <c r="A505" t="str">
        <f>"005907830"</f>
        <v>005907830</v>
      </c>
      <c r="B505" t="str">
        <f>"1720227796"</f>
        <v>1720227796</v>
      </c>
      <c r="C505" t="str">
        <f>"367500000X"</f>
        <v>367500000X</v>
      </c>
      <c r="D505" t="str">
        <f>"JORDAN                   BRYAN        D           "</f>
        <v xml:space="preserve">JORDAN                   BRYAN        D           </v>
      </c>
      <c r="E505" t="str">
        <f>"BIRMINGHAM                "</f>
        <v xml:space="preserve">BIRMINGHAM                </v>
      </c>
      <c r="F505" t="str">
        <f t="shared" si="15"/>
        <v>AL</v>
      </c>
    </row>
    <row r="506" spans="1:6" x14ac:dyDescent="0.25">
      <c r="A506" t="str">
        <f>"005931850"</f>
        <v>005931850</v>
      </c>
      <c r="B506" t="str">
        <f>"1568738136"</f>
        <v>1568738136</v>
      </c>
      <c r="C506" t="str">
        <f>"207L00000X"</f>
        <v>207L00000X</v>
      </c>
      <c r="D506" t="str">
        <f>"MCCORMICK                SARAH        L           "</f>
        <v xml:space="preserve">MCCORMICK                SARAH        L           </v>
      </c>
      <c r="E506" t="str">
        <f>"BIRMINGHAM                "</f>
        <v xml:space="preserve">BIRMINGHAM                </v>
      </c>
      <c r="F506" t="str">
        <f t="shared" si="15"/>
        <v>AL</v>
      </c>
    </row>
    <row r="507" spans="1:6" x14ac:dyDescent="0.25">
      <c r="A507" t="str">
        <f>"005932736"</f>
        <v>005932736</v>
      </c>
      <c r="B507" t="str">
        <f>"1881638518"</f>
        <v>1881638518</v>
      </c>
      <c r="C507" t="str">
        <f>"207R00000X"</f>
        <v>207R00000X</v>
      </c>
      <c r="D507" t="str">
        <f>"FAN                      POHOEY                   "</f>
        <v xml:space="preserve">FAN                      POHOEY                   </v>
      </c>
      <c r="E507" t="str">
        <f>"BIRMINGHAM                "</f>
        <v xml:space="preserve">BIRMINGHAM                </v>
      </c>
      <c r="F507" t="str">
        <f t="shared" si="15"/>
        <v>AL</v>
      </c>
    </row>
    <row r="508" spans="1:6" x14ac:dyDescent="0.25">
      <c r="A508" t="str">
        <f>"005935290"</f>
        <v>005935290</v>
      </c>
      <c r="B508" t="str">
        <f>"1275197212"</f>
        <v>1275197212</v>
      </c>
      <c r="C508" t="str">
        <f>"363L00000X"</f>
        <v>363L00000X</v>
      </c>
      <c r="D508" t="str">
        <f>"WEST                     SARAH        S           "</f>
        <v xml:space="preserve">WEST                     SARAH        S           </v>
      </c>
      <c r="E508" t="str">
        <f>"MOBILE                    "</f>
        <v xml:space="preserve">MOBILE                    </v>
      </c>
      <c r="F508" t="str">
        <f t="shared" si="15"/>
        <v>AL</v>
      </c>
    </row>
    <row r="509" spans="1:6" x14ac:dyDescent="0.25">
      <c r="A509" t="str">
        <f>"005952005"</f>
        <v>005952005</v>
      </c>
      <c r="B509" t="str">
        <f>"1629253950"</f>
        <v>1629253950</v>
      </c>
      <c r="C509" t="str">
        <f>"207V00000X"</f>
        <v>207V00000X</v>
      </c>
      <c r="D509" t="str">
        <f>"JOHNSON                  EMILY        B           "</f>
        <v xml:space="preserve">JOHNSON                  EMILY        B           </v>
      </c>
      <c r="E509" t="str">
        <f>"BIRMINGHAM                "</f>
        <v xml:space="preserve">BIRMINGHAM                </v>
      </c>
      <c r="F509" t="str">
        <f t="shared" si="15"/>
        <v>AL</v>
      </c>
    </row>
    <row r="510" spans="1:6" x14ac:dyDescent="0.25">
      <c r="A510" t="str">
        <f>"005957891"</f>
        <v>005957891</v>
      </c>
      <c r="B510" t="str">
        <f>"1205121696"</f>
        <v>1205121696</v>
      </c>
      <c r="C510" t="str">
        <f>"2085R0202X"</f>
        <v>2085R0202X</v>
      </c>
      <c r="D510" t="str">
        <f>"SUMMERLIN                DAVID        S           "</f>
        <v xml:space="preserve">SUMMERLIN                DAVID        S           </v>
      </c>
      <c r="E510" t="str">
        <f>"BIRMINGHAM                "</f>
        <v xml:space="preserve">BIRMINGHAM                </v>
      </c>
      <c r="F510" t="str">
        <f t="shared" si="15"/>
        <v>AL</v>
      </c>
    </row>
    <row r="511" spans="1:6" x14ac:dyDescent="0.25">
      <c r="A511" t="str">
        <f>"005976264"</f>
        <v>005976264</v>
      </c>
      <c r="B511" t="str">
        <f>"1194775940"</f>
        <v>1194775940</v>
      </c>
      <c r="C511" t="str">
        <f>"2085R0001X"</f>
        <v>2085R0001X</v>
      </c>
      <c r="D511" t="str">
        <f>"KEENE                    KIMBERLY     S           "</f>
        <v xml:space="preserve">KEENE                    KIMBERLY     S           </v>
      </c>
      <c r="E511" t="str">
        <f>"BIRMINGHAM                "</f>
        <v xml:space="preserve">BIRMINGHAM                </v>
      </c>
      <c r="F511" t="str">
        <f t="shared" si="15"/>
        <v>AL</v>
      </c>
    </row>
    <row r="512" spans="1:6" x14ac:dyDescent="0.25">
      <c r="A512" t="str">
        <f>"006025547"</f>
        <v>006025547</v>
      </c>
      <c r="B512" t="str">
        <f>"1174854681"</f>
        <v>1174854681</v>
      </c>
      <c r="C512" t="str">
        <f>"367500000X"</f>
        <v>367500000X</v>
      </c>
      <c r="D512" t="str">
        <f>"DOROUGH                  CHRISTOPHER  B           "</f>
        <v xml:space="preserve">DOROUGH                  CHRISTOPHER  B           </v>
      </c>
      <c r="E512" t="str">
        <f>"BIRMINGHAM                "</f>
        <v xml:space="preserve">BIRMINGHAM                </v>
      </c>
      <c r="F512" t="str">
        <f t="shared" si="15"/>
        <v>AL</v>
      </c>
    </row>
    <row r="513" spans="1:6" x14ac:dyDescent="0.25">
      <c r="A513" t="str">
        <f>"006037542"</f>
        <v>006037542</v>
      </c>
      <c r="B513" t="str">
        <f>"1043672538"</f>
        <v>1043672538</v>
      </c>
      <c r="C513" t="str">
        <f>"363L00000X"</f>
        <v>363L00000X</v>
      </c>
      <c r="D513" t="str">
        <f>"ALLMENDINGER             MEGAN        S           "</f>
        <v xml:space="preserve">ALLMENDINGER             MEGAN        S           </v>
      </c>
      <c r="E513" t="str">
        <f>"BIRMINGHAM                "</f>
        <v xml:space="preserve">BIRMINGHAM                </v>
      </c>
      <c r="F513" t="str">
        <f t="shared" si="15"/>
        <v>AL</v>
      </c>
    </row>
    <row r="514" spans="1:6" x14ac:dyDescent="0.25">
      <c r="A514" t="str">
        <f>"006106818"</f>
        <v>006106818</v>
      </c>
      <c r="B514" t="str">
        <f>"1215204292"</f>
        <v>1215204292</v>
      </c>
      <c r="C514" t="str">
        <f>"363L00000X"</f>
        <v>363L00000X</v>
      </c>
      <c r="D514" t="str">
        <f>"BUNNER                   DIANNE       L           "</f>
        <v xml:space="preserve">BUNNER                   DIANNE       L           </v>
      </c>
      <c r="E514" t="str">
        <f>"MOBILE                    "</f>
        <v xml:space="preserve">MOBILE                    </v>
      </c>
      <c r="F514" t="str">
        <f t="shared" si="15"/>
        <v>AL</v>
      </c>
    </row>
    <row r="515" spans="1:6" x14ac:dyDescent="0.25">
      <c r="A515" t="str">
        <f>"006124332"</f>
        <v>006124332</v>
      </c>
      <c r="B515" t="str">
        <f>"1942684485"</f>
        <v>1942684485</v>
      </c>
      <c r="C515" t="str">
        <f>"2080N0001X"</f>
        <v>2080N0001X</v>
      </c>
      <c r="D515" t="str">
        <f>"SHRESTHA                 DIKSHA                   "</f>
        <v xml:space="preserve">SHRESTHA                 DIKSHA                   </v>
      </c>
      <c r="E515" t="str">
        <f>"MOBILE                    "</f>
        <v xml:space="preserve">MOBILE                    </v>
      </c>
      <c r="F515" t="str">
        <f t="shared" si="15"/>
        <v>AL</v>
      </c>
    </row>
    <row r="516" spans="1:6" x14ac:dyDescent="0.25">
      <c r="A516" t="str">
        <f>"006154304"</f>
        <v>006154304</v>
      </c>
      <c r="B516" t="str">
        <f>"1124768296"</f>
        <v>1124768296</v>
      </c>
      <c r="C516" t="str">
        <f>"208600000X"</f>
        <v>208600000X</v>
      </c>
      <c r="D516" t="str">
        <f>"WARREN                   DANIEL                   "</f>
        <v xml:space="preserve">WARREN                   DANIEL                   </v>
      </c>
      <c r="E516" t="str">
        <f>"MOBILE                    "</f>
        <v xml:space="preserve">MOBILE                    </v>
      </c>
      <c r="F516" t="str">
        <f t="shared" si="15"/>
        <v>AL</v>
      </c>
    </row>
    <row r="517" spans="1:6" x14ac:dyDescent="0.25">
      <c r="A517" t="str">
        <f>"006154753"</f>
        <v>006154753</v>
      </c>
      <c r="B517" t="str">
        <f>"1134488521"</f>
        <v>1134488521</v>
      </c>
      <c r="C517" t="str">
        <f>"207RN0300X"</f>
        <v>207RN0300X</v>
      </c>
      <c r="D517" t="str">
        <f>"TULOWITZKI               RYAN                     "</f>
        <v xml:space="preserve">TULOWITZKI               RYAN                     </v>
      </c>
      <c r="E517" t="str">
        <f>"MOBILE                    "</f>
        <v xml:space="preserve">MOBILE                    </v>
      </c>
      <c r="F517" t="str">
        <f t="shared" si="15"/>
        <v>AL</v>
      </c>
    </row>
    <row r="518" spans="1:6" x14ac:dyDescent="0.25">
      <c r="A518" t="str">
        <f>"006156234"</f>
        <v>006156234</v>
      </c>
      <c r="B518" t="str">
        <f>"1760741185"</f>
        <v>1760741185</v>
      </c>
      <c r="C518" t="str">
        <f>"208D00000X"</f>
        <v>208D00000X</v>
      </c>
      <c r="D518" t="str">
        <f>"HARRIS                   TRAVIS       H           "</f>
        <v xml:space="preserve">HARRIS                   TRAVIS       H           </v>
      </c>
      <c r="E518" t="str">
        <f>"MOBILE                    "</f>
        <v xml:space="preserve">MOBILE                    </v>
      </c>
      <c r="F518" t="str">
        <f t="shared" si="15"/>
        <v>AL</v>
      </c>
    </row>
    <row r="519" spans="1:6" x14ac:dyDescent="0.25">
      <c r="A519" t="str">
        <f>"006172533"</f>
        <v>006172533</v>
      </c>
      <c r="B519" t="str">
        <f>"1578787859"</f>
        <v>1578787859</v>
      </c>
      <c r="C519" t="str">
        <f>"207L00000X"</f>
        <v>207L00000X</v>
      </c>
      <c r="D519" t="str">
        <f>"FEINSTEIN                JOEL         M           "</f>
        <v xml:space="preserve">FEINSTEIN                JOEL         M           </v>
      </c>
      <c r="E519" t="str">
        <f>"BIRMINGHAM                "</f>
        <v xml:space="preserve">BIRMINGHAM                </v>
      </c>
      <c r="F519" t="str">
        <f t="shared" ref="F519:F582" si="16">"AL"</f>
        <v>AL</v>
      </c>
    </row>
    <row r="520" spans="1:6" x14ac:dyDescent="0.25">
      <c r="A520" t="str">
        <f>"006209503"</f>
        <v>006209503</v>
      </c>
      <c r="B520" t="str">
        <f>"1306157904"</f>
        <v>1306157904</v>
      </c>
      <c r="C520" t="str">
        <f>"207R00000X"</f>
        <v>207R00000X</v>
      </c>
      <c r="D520" t="str">
        <f>"SEAMAN                   RACHEL                   "</f>
        <v xml:space="preserve">SEAMAN                   RACHEL                   </v>
      </c>
      <c r="E520" t="str">
        <f>"MOBILE                    "</f>
        <v xml:space="preserve">MOBILE                    </v>
      </c>
      <c r="F520" t="str">
        <f t="shared" si="16"/>
        <v>AL</v>
      </c>
    </row>
    <row r="521" spans="1:6" x14ac:dyDescent="0.25">
      <c r="A521" t="str">
        <f>"006223766"</f>
        <v>006223766</v>
      </c>
      <c r="B521" t="str">
        <f>"1326213257"</f>
        <v>1326213257</v>
      </c>
      <c r="C521" t="str">
        <f>"208600000X"</f>
        <v>208600000X</v>
      </c>
      <c r="D521" t="str">
        <f>"CHU                      DANIEL       I           "</f>
        <v xml:space="preserve">CHU                      DANIEL       I           </v>
      </c>
      <c r="E521" t="str">
        <f>"BIRMINGHAM                "</f>
        <v xml:space="preserve">BIRMINGHAM                </v>
      </c>
      <c r="F521" t="str">
        <f t="shared" si="16"/>
        <v>AL</v>
      </c>
    </row>
    <row r="522" spans="1:6" x14ac:dyDescent="0.25">
      <c r="A522" t="str">
        <f>"006238771"</f>
        <v>006238771</v>
      </c>
      <c r="B522" t="str">
        <f>"1861792863"</f>
        <v>1861792863</v>
      </c>
      <c r="C522" t="str">
        <f>"363A00000X"</f>
        <v>363A00000X</v>
      </c>
      <c r="D522" t="str">
        <f>"KESTLER                  BRIANNE      E           "</f>
        <v xml:space="preserve">KESTLER                  BRIANNE      E           </v>
      </c>
      <c r="E522" t="str">
        <f>"MOBILE                    "</f>
        <v xml:space="preserve">MOBILE                    </v>
      </c>
      <c r="F522" t="str">
        <f t="shared" si="16"/>
        <v>AL</v>
      </c>
    </row>
    <row r="523" spans="1:6" x14ac:dyDescent="0.25">
      <c r="A523" t="str">
        <f>"006253098"</f>
        <v>006253098</v>
      </c>
      <c r="B523" t="str">
        <f>"1083666705"</f>
        <v>1083666705</v>
      </c>
      <c r="C523" t="str">
        <f>"207RC0000X"</f>
        <v>207RC0000X</v>
      </c>
      <c r="D523" t="str">
        <f>"COLE                     JASON        H           "</f>
        <v xml:space="preserve">COLE                     JASON        H           </v>
      </c>
      <c r="E523" t="str">
        <f>"MOBILE                    "</f>
        <v xml:space="preserve">MOBILE                    </v>
      </c>
      <c r="F523" t="str">
        <f t="shared" si="16"/>
        <v>AL</v>
      </c>
    </row>
    <row r="524" spans="1:6" x14ac:dyDescent="0.25">
      <c r="A524" t="str">
        <f>"006254831"</f>
        <v>006254831</v>
      </c>
      <c r="B524" t="str">
        <f>"1538329446"</f>
        <v>1538329446</v>
      </c>
      <c r="C524" t="str">
        <f>"208C00000X"</f>
        <v>208C00000X</v>
      </c>
      <c r="D524" t="str">
        <f>"RIDER                    PAUL         F           "</f>
        <v xml:space="preserve">RIDER                    PAUL         F           </v>
      </c>
      <c r="E524" t="str">
        <f>"MOBILE                    "</f>
        <v xml:space="preserve">MOBILE                    </v>
      </c>
      <c r="F524" t="str">
        <f t="shared" si="16"/>
        <v>AL</v>
      </c>
    </row>
    <row r="525" spans="1:6" x14ac:dyDescent="0.25">
      <c r="A525" t="str">
        <f>"006258571"</f>
        <v>006258571</v>
      </c>
      <c r="B525" t="str">
        <f>"1467689919"</f>
        <v>1467689919</v>
      </c>
      <c r="C525" t="str">
        <f>"208800000X"</f>
        <v>208800000X</v>
      </c>
      <c r="D525" t="str">
        <f>"FERGUSON III             JAMES        E           "</f>
        <v xml:space="preserve">FERGUSON III             JAMES        E           </v>
      </c>
      <c r="E525" t="str">
        <f>"BIRMINGHAM                "</f>
        <v xml:space="preserve">BIRMINGHAM                </v>
      </c>
      <c r="F525" t="str">
        <f t="shared" si="16"/>
        <v>AL</v>
      </c>
    </row>
    <row r="526" spans="1:6" x14ac:dyDescent="0.25">
      <c r="A526" t="str">
        <f>"006303241"</f>
        <v>006303241</v>
      </c>
      <c r="B526" t="str">
        <f>"1770945487"</f>
        <v>1770945487</v>
      </c>
      <c r="C526" t="str">
        <f>"207L00000X"</f>
        <v>207L00000X</v>
      </c>
      <c r="D526" t="str">
        <f>"HUSSEY                   PATRICK      T           "</f>
        <v xml:space="preserve">HUSSEY                   PATRICK      T           </v>
      </c>
      <c r="E526" t="str">
        <f>"BESSEMER                  "</f>
        <v xml:space="preserve">BESSEMER                  </v>
      </c>
      <c r="F526" t="str">
        <f t="shared" si="16"/>
        <v>AL</v>
      </c>
    </row>
    <row r="527" spans="1:6" x14ac:dyDescent="0.25">
      <c r="A527" t="str">
        <f>"006306534"</f>
        <v>006306534</v>
      </c>
      <c r="B527" t="str">
        <f>"1568918753"</f>
        <v>1568918753</v>
      </c>
      <c r="C527" t="str">
        <f>"2086S0129X"</f>
        <v>2086S0129X</v>
      </c>
      <c r="D527" t="str">
        <f>"OROZCO HERNANDEZ         ERIK         J           "</f>
        <v xml:space="preserve">OROZCO HERNANDEZ         ERIK         J           </v>
      </c>
      <c r="E527" t="str">
        <f>"BIRMINGHAM                "</f>
        <v xml:space="preserve">BIRMINGHAM                </v>
      </c>
      <c r="F527" t="str">
        <f t="shared" si="16"/>
        <v>AL</v>
      </c>
    </row>
    <row r="528" spans="1:6" x14ac:dyDescent="0.25">
      <c r="A528" t="str">
        <f>"006353315"</f>
        <v>006353315</v>
      </c>
      <c r="B528" t="str">
        <f>"1437348711"</f>
        <v>1437348711</v>
      </c>
      <c r="C528" t="str">
        <f>"208100000X"</f>
        <v>208100000X</v>
      </c>
      <c r="D528" t="str">
        <f>"KOPP                     THEODORE     M           "</f>
        <v xml:space="preserve">KOPP                     THEODORE     M           </v>
      </c>
      <c r="E528" t="str">
        <f>"MOBILE                    "</f>
        <v xml:space="preserve">MOBILE                    </v>
      </c>
      <c r="F528" t="str">
        <f t="shared" si="16"/>
        <v>AL</v>
      </c>
    </row>
    <row r="529" spans="1:6" x14ac:dyDescent="0.25">
      <c r="A529" t="str">
        <f>"006371704"</f>
        <v>006371704</v>
      </c>
      <c r="B529" t="str">
        <f>"1477873495"</f>
        <v>1477873495</v>
      </c>
      <c r="C529" t="str">
        <f>"2085R0202X"</f>
        <v>2085R0202X</v>
      </c>
      <c r="D529" t="str">
        <f>"JORDAN                   BRYAN        J           "</f>
        <v xml:space="preserve">JORDAN                   BRYAN        J           </v>
      </c>
      <c r="E529" t="str">
        <f>"MOBILE                    "</f>
        <v xml:space="preserve">MOBILE                    </v>
      </c>
      <c r="F529" t="str">
        <f t="shared" si="16"/>
        <v>AL</v>
      </c>
    </row>
    <row r="530" spans="1:6" x14ac:dyDescent="0.25">
      <c r="A530" t="str">
        <f>"006374793"</f>
        <v>006374793</v>
      </c>
      <c r="B530" t="str">
        <f>"1700334711"</f>
        <v>1700334711</v>
      </c>
      <c r="C530" t="str">
        <f>"363L00000X"</f>
        <v>363L00000X</v>
      </c>
      <c r="D530" t="str">
        <f>"EDWARDS                  JAMIRA       N           "</f>
        <v xml:space="preserve">EDWARDS                  JAMIRA       N           </v>
      </c>
      <c r="E530" t="str">
        <f>"MOBILE                    "</f>
        <v xml:space="preserve">MOBILE                    </v>
      </c>
      <c r="F530" t="str">
        <f t="shared" si="16"/>
        <v>AL</v>
      </c>
    </row>
    <row r="531" spans="1:6" x14ac:dyDescent="0.25">
      <c r="A531" t="str">
        <f>"006375256"</f>
        <v>006375256</v>
      </c>
      <c r="B531" t="str">
        <f>"1326458746"</f>
        <v>1326458746</v>
      </c>
      <c r="C531" t="str">
        <f>"207R00000X"</f>
        <v>207R00000X</v>
      </c>
      <c r="D531" t="str">
        <f>"CORONADO                 YUN          A           "</f>
        <v xml:space="preserve">CORONADO                 YUN          A           </v>
      </c>
      <c r="E531" t="str">
        <f>"MOBILE                    "</f>
        <v xml:space="preserve">MOBILE                    </v>
      </c>
      <c r="F531" t="str">
        <f t="shared" si="16"/>
        <v>AL</v>
      </c>
    </row>
    <row r="532" spans="1:6" x14ac:dyDescent="0.25">
      <c r="A532" t="str">
        <f>"006375326"</f>
        <v>006375326</v>
      </c>
      <c r="B532" t="str">
        <f>"1841695954"</f>
        <v>1841695954</v>
      </c>
      <c r="C532" t="str">
        <f>"363L00000X"</f>
        <v>363L00000X</v>
      </c>
      <c r="D532" t="str">
        <f>"PETTAWAY                 JACQUELINE               "</f>
        <v xml:space="preserve">PETTAWAY                 JACQUELINE               </v>
      </c>
      <c r="E532" t="str">
        <f>"MOBILE                    "</f>
        <v xml:space="preserve">MOBILE                    </v>
      </c>
      <c r="F532" t="str">
        <f t="shared" si="16"/>
        <v>AL</v>
      </c>
    </row>
    <row r="533" spans="1:6" x14ac:dyDescent="0.25">
      <c r="A533" t="str">
        <f>"006388745"</f>
        <v>006388745</v>
      </c>
      <c r="B533" t="str">
        <f>"1053639351"</f>
        <v>1053639351</v>
      </c>
      <c r="C533" t="str">
        <f>"208600000X"</f>
        <v>208600000X</v>
      </c>
      <c r="D533" t="str">
        <f>"LANCASTER                RACHAEL      K           "</f>
        <v xml:space="preserve">LANCASTER                RACHAEL      K           </v>
      </c>
      <c r="E533" t="str">
        <f>"BIRMINGHAM                "</f>
        <v xml:space="preserve">BIRMINGHAM                </v>
      </c>
      <c r="F533" t="str">
        <f t="shared" si="16"/>
        <v>AL</v>
      </c>
    </row>
    <row r="534" spans="1:6" x14ac:dyDescent="0.25">
      <c r="A534" t="str">
        <f>"006401310"</f>
        <v>006401310</v>
      </c>
      <c r="B534" t="str">
        <f>"1932585015"</f>
        <v>1932585015</v>
      </c>
      <c r="C534" t="str">
        <f>"207L00000X"</f>
        <v>207L00000X</v>
      </c>
      <c r="D534" t="str">
        <f>"GOHAR                    MOHEB        A           "</f>
        <v xml:space="preserve">GOHAR                    MOHEB        A           </v>
      </c>
      <c r="E534" t="str">
        <f>"BIRMINGHAM                "</f>
        <v xml:space="preserve">BIRMINGHAM                </v>
      </c>
      <c r="F534" t="str">
        <f t="shared" si="16"/>
        <v>AL</v>
      </c>
    </row>
    <row r="535" spans="1:6" x14ac:dyDescent="0.25">
      <c r="A535" t="str">
        <f>"006422285"</f>
        <v>006422285</v>
      </c>
      <c r="B535" t="str">
        <f>"1912647496"</f>
        <v>1912647496</v>
      </c>
      <c r="C535" t="str">
        <f>"207R00000X"</f>
        <v>207R00000X</v>
      </c>
      <c r="D535" t="str">
        <f>"CHINNERS                 AARON                    "</f>
        <v xml:space="preserve">CHINNERS                 AARON                    </v>
      </c>
      <c r="E535" t="str">
        <f>"MOBILE                    "</f>
        <v xml:space="preserve">MOBILE                    </v>
      </c>
      <c r="F535" t="str">
        <f t="shared" si="16"/>
        <v>AL</v>
      </c>
    </row>
    <row r="536" spans="1:6" x14ac:dyDescent="0.25">
      <c r="A536" t="str">
        <f>"006429303"</f>
        <v>006429303</v>
      </c>
      <c r="B536" t="str">
        <f>"1437588928"</f>
        <v>1437588928</v>
      </c>
      <c r="C536" t="str">
        <f>"363L00000X"</f>
        <v>363L00000X</v>
      </c>
      <c r="D536" t="str">
        <f>"SEARS                    JULIE        M           "</f>
        <v xml:space="preserve">SEARS                    JULIE        M           </v>
      </c>
      <c r="E536" t="str">
        <f>"BIRMINGHAM                "</f>
        <v xml:space="preserve">BIRMINGHAM                </v>
      </c>
      <c r="F536" t="str">
        <f t="shared" si="16"/>
        <v>AL</v>
      </c>
    </row>
    <row r="537" spans="1:6" x14ac:dyDescent="0.25">
      <c r="A537" t="str">
        <f>"006478889"</f>
        <v>006478889</v>
      </c>
      <c r="B537" t="str">
        <f>"1952475980"</f>
        <v>1952475980</v>
      </c>
      <c r="C537" t="str">
        <f>"208000000X"</f>
        <v>208000000X</v>
      </c>
      <c r="D537" t="str">
        <f>"RICHERSON                JASON        M           "</f>
        <v xml:space="preserve">RICHERSON                JASON        M           </v>
      </c>
      <c r="E537" t="str">
        <f>"MOBILE                    "</f>
        <v xml:space="preserve">MOBILE                    </v>
      </c>
      <c r="F537" t="str">
        <f t="shared" si="16"/>
        <v>AL</v>
      </c>
    </row>
    <row r="538" spans="1:6" x14ac:dyDescent="0.25">
      <c r="A538" t="str">
        <f>"006524756"</f>
        <v>006524756</v>
      </c>
      <c r="B538" t="str">
        <f>"1528385879"</f>
        <v>1528385879</v>
      </c>
      <c r="C538" t="str">
        <f>"207RC0000X"</f>
        <v>207RC0000X</v>
      </c>
      <c r="D538" t="str">
        <f>"MCELWEE                  SAMUEL       K           "</f>
        <v xml:space="preserve">MCELWEE                  SAMUEL       K           </v>
      </c>
      <c r="E538" t="str">
        <f>"BIRMINGHAM                "</f>
        <v xml:space="preserve">BIRMINGHAM                </v>
      </c>
      <c r="F538" t="str">
        <f t="shared" si="16"/>
        <v>AL</v>
      </c>
    </row>
    <row r="539" spans="1:6" x14ac:dyDescent="0.25">
      <c r="A539" t="str">
        <f>"006534087"</f>
        <v>006534087</v>
      </c>
      <c r="B539" t="str">
        <f>"1477788420"</f>
        <v>1477788420</v>
      </c>
      <c r="C539" t="str">
        <f>"2084N0400X"</f>
        <v>2084N0400X</v>
      </c>
      <c r="D539" t="str">
        <f>"CZARKOWSKA               HANNA        T           "</f>
        <v xml:space="preserve">CZARKOWSKA               HANNA        T           </v>
      </c>
      <c r="E539" t="str">
        <f>"MOBILE                    "</f>
        <v xml:space="preserve">MOBILE                    </v>
      </c>
      <c r="F539" t="str">
        <f t="shared" si="16"/>
        <v>AL</v>
      </c>
    </row>
    <row r="540" spans="1:6" x14ac:dyDescent="0.25">
      <c r="A540" t="str">
        <f>"006537212"</f>
        <v>006537212</v>
      </c>
      <c r="B540" t="str">
        <f>"1972764231"</f>
        <v>1972764231</v>
      </c>
      <c r="C540" t="str">
        <f>"207P00000X"</f>
        <v>207P00000X</v>
      </c>
      <c r="D540" t="str">
        <f>"KHOURY                   CHARLES      A           "</f>
        <v xml:space="preserve">KHOURY                   CHARLES      A           </v>
      </c>
      <c r="E540" t="str">
        <f>"BIRMINGHAM                "</f>
        <v xml:space="preserve">BIRMINGHAM                </v>
      </c>
      <c r="F540" t="str">
        <f t="shared" si="16"/>
        <v>AL</v>
      </c>
    </row>
    <row r="541" spans="1:6" x14ac:dyDescent="0.25">
      <c r="A541" t="str">
        <f>"006578717"</f>
        <v>006578717</v>
      </c>
      <c r="B541" t="str">
        <f>"1154550010"</f>
        <v>1154550010</v>
      </c>
      <c r="C541" t="str">
        <f>"2085R0202X"</f>
        <v>2085R0202X</v>
      </c>
      <c r="D541" t="str">
        <f>"FRANCAVILLA              MICHAEL      L           "</f>
        <v xml:space="preserve">FRANCAVILLA              MICHAEL      L           </v>
      </c>
      <c r="E541" t="str">
        <f>"MOBILE                    "</f>
        <v xml:space="preserve">MOBILE                    </v>
      </c>
      <c r="F541" t="str">
        <f t="shared" si="16"/>
        <v>AL</v>
      </c>
    </row>
    <row r="542" spans="1:6" x14ac:dyDescent="0.25">
      <c r="A542" t="str">
        <f>"006588844"</f>
        <v>006588844</v>
      </c>
      <c r="B542" t="str">
        <f>"1255603833"</f>
        <v>1255603833</v>
      </c>
      <c r="C542" t="str">
        <f>"261QE0700X"</f>
        <v>261QE0700X</v>
      </c>
      <c r="D542" t="str">
        <f>"FRESENIUS MEDICAL CARE SOUTH MOBILE               "</f>
        <v xml:space="preserve">FRESENIUS MEDICAL CARE SOUTH MOBILE               </v>
      </c>
      <c r="E542" t="str">
        <f>"GRAND BAY                 "</f>
        <v xml:space="preserve">GRAND BAY                 </v>
      </c>
      <c r="F542" t="str">
        <f t="shared" si="16"/>
        <v>AL</v>
      </c>
    </row>
    <row r="543" spans="1:6" x14ac:dyDescent="0.25">
      <c r="A543" t="str">
        <f>"006606891"</f>
        <v>006606891</v>
      </c>
      <c r="B543" t="str">
        <f>"1851328702"</f>
        <v>1851328702</v>
      </c>
      <c r="C543" t="str">
        <f>"207R00000X"</f>
        <v>207R00000X</v>
      </c>
      <c r="D543" t="str">
        <f>"KEW II                   CLIFTON      E           "</f>
        <v xml:space="preserve">KEW II                   CLIFTON      E           </v>
      </c>
      <c r="E543" t="str">
        <f>"BIRMINGHAM                "</f>
        <v xml:space="preserve">BIRMINGHAM                </v>
      </c>
      <c r="F543" t="str">
        <f t="shared" si="16"/>
        <v>AL</v>
      </c>
    </row>
    <row r="544" spans="1:6" x14ac:dyDescent="0.25">
      <c r="A544" t="str">
        <f>"006625588"</f>
        <v>006625588</v>
      </c>
      <c r="B544" t="str">
        <f>"1194815092"</f>
        <v>1194815092</v>
      </c>
      <c r="C544" t="str">
        <f>"207Q00000X"</f>
        <v>207Q00000X</v>
      </c>
      <c r="D544" t="str">
        <f>"BYRD JR                  JAMES                    "</f>
        <v xml:space="preserve">BYRD JR                  JAMES                    </v>
      </c>
      <c r="E544" t="str">
        <f>"MOBILE                    "</f>
        <v xml:space="preserve">MOBILE                    </v>
      </c>
      <c r="F544" t="str">
        <f t="shared" si="16"/>
        <v>AL</v>
      </c>
    </row>
    <row r="545" spans="1:6" x14ac:dyDescent="0.25">
      <c r="A545" t="str">
        <f>"006626535"</f>
        <v>006626535</v>
      </c>
      <c r="B545" t="str">
        <f>"1912439233"</f>
        <v>1912439233</v>
      </c>
      <c r="C545" t="str">
        <f>"207V00000X"</f>
        <v>207V00000X</v>
      </c>
      <c r="D545" t="str">
        <f>"HOLLIDAY                 CANDICE      P           "</f>
        <v xml:space="preserve">HOLLIDAY                 CANDICE      P           </v>
      </c>
      <c r="E545" t="str">
        <f>"MOBILE                    "</f>
        <v xml:space="preserve">MOBILE                    </v>
      </c>
      <c r="F545" t="str">
        <f t="shared" si="16"/>
        <v>AL</v>
      </c>
    </row>
    <row r="546" spans="1:6" x14ac:dyDescent="0.25">
      <c r="A546" t="str">
        <f>"006636817"</f>
        <v>006636817</v>
      </c>
      <c r="B546" t="str">
        <f>"1679558662"</f>
        <v>1679558662</v>
      </c>
      <c r="C546" t="str">
        <f>"208800000X"</f>
        <v>208800000X</v>
      </c>
      <c r="D546" t="str">
        <f>"BLANCHARD BURCH          KRISTIE                  "</f>
        <v xml:space="preserve">BLANCHARD BURCH          KRISTIE                  </v>
      </c>
      <c r="E546" t="str">
        <f>"MOBILE                    "</f>
        <v xml:space="preserve">MOBILE                    </v>
      </c>
      <c r="F546" t="str">
        <f t="shared" si="16"/>
        <v>AL</v>
      </c>
    </row>
    <row r="547" spans="1:6" x14ac:dyDescent="0.25">
      <c r="A547" t="str">
        <f>"006655737"</f>
        <v>006655737</v>
      </c>
      <c r="B547" t="str">
        <f>"1811392897"</f>
        <v>1811392897</v>
      </c>
      <c r="C547" t="str">
        <f>"2085R0202X"</f>
        <v>2085R0202X</v>
      </c>
      <c r="D547" t="str">
        <f>"TANWAR                   MANOJ                    "</f>
        <v xml:space="preserve">TANWAR                   MANOJ                    </v>
      </c>
      <c r="E547" t="str">
        <f>"BIRMINGHAM                "</f>
        <v xml:space="preserve">BIRMINGHAM                </v>
      </c>
      <c r="F547" t="str">
        <f t="shared" si="16"/>
        <v>AL</v>
      </c>
    </row>
    <row r="548" spans="1:6" x14ac:dyDescent="0.25">
      <c r="A548" t="str">
        <f>"006656718"</f>
        <v>006656718</v>
      </c>
      <c r="B548" t="str">
        <f>"1720247075"</f>
        <v>1720247075</v>
      </c>
      <c r="C548" t="str">
        <f>"2080P0208X"</f>
        <v>2080P0208X</v>
      </c>
      <c r="D548" t="str">
        <f>"CUSTODIO                 HAIDEE       T           "</f>
        <v xml:space="preserve">CUSTODIO                 HAIDEE       T           </v>
      </c>
      <c r="E548" t="str">
        <f t="shared" ref="E548:E553" si="17">"MOBILE                    "</f>
        <v xml:space="preserve">MOBILE                    </v>
      </c>
      <c r="F548" t="str">
        <f t="shared" si="16"/>
        <v>AL</v>
      </c>
    </row>
    <row r="549" spans="1:6" x14ac:dyDescent="0.25">
      <c r="A549" t="str">
        <f>"006658027"</f>
        <v>006658027</v>
      </c>
      <c r="B549" t="str">
        <f>"1013273523"</f>
        <v>1013273523</v>
      </c>
      <c r="C549" t="str">
        <f>"363L00000X"</f>
        <v>363L00000X</v>
      </c>
      <c r="D549" t="str">
        <f>"THRASHER                 MICHELLE                 "</f>
        <v xml:space="preserve">THRASHER                 MICHELLE                 </v>
      </c>
      <c r="E549" t="str">
        <f t="shared" si="17"/>
        <v xml:space="preserve">MOBILE                    </v>
      </c>
      <c r="F549" t="str">
        <f t="shared" si="16"/>
        <v>AL</v>
      </c>
    </row>
    <row r="550" spans="1:6" x14ac:dyDescent="0.25">
      <c r="A550" t="str">
        <f>"006672352"</f>
        <v>006672352</v>
      </c>
      <c r="B550" t="str">
        <f>"1962484816"</f>
        <v>1962484816</v>
      </c>
      <c r="C550" t="str">
        <f>"2085R0202X"</f>
        <v>2085R0202X</v>
      </c>
      <c r="D550" t="str">
        <f>"HEISER                   MICHAEL      J           "</f>
        <v xml:space="preserve">HEISER                   MICHAEL      J           </v>
      </c>
      <c r="E550" t="str">
        <f t="shared" si="17"/>
        <v xml:space="preserve">MOBILE                    </v>
      </c>
      <c r="F550" t="str">
        <f t="shared" si="16"/>
        <v>AL</v>
      </c>
    </row>
    <row r="551" spans="1:6" x14ac:dyDescent="0.25">
      <c r="A551" t="str">
        <f>"006675231"</f>
        <v>006675231</v>
      </c>
      <c r="B551" t="str">
        <f>"1083152987"</f>
        <v>1083152987</v>
      </c>
      <c r="C551" t="str">
        <f>"363L00000X"</f>
        <v>363L00000X</v>
      </c>
      <c r="D551" t="str">
        <f>"QUICK                    FELICIA      Q           "</f>
        <v xml:space="preserve">QUICK                    FELICIA      Q           </v>
      </c>
      <c r="E551" t="str">
        <f t="shared" si="17"/>
        <v xml:space="preserve">MOBILE                    </v>
      </c>
      <c r="F551" t="str">
        <f t="shared" si="16"/>
        <v>AL</v>
      </c>
    </row>
    <row r="552" spans="1:6" x14ac:dyDescent="0.25">
      <c r="A552" t="str">
        <f>"006688548"</f>
        <v>006688548</v>
      </c>
      <c r="B552" t="str">
        <f>"1184831471"</f>
        <v>1184831471</v>
      </c>
      <c r="C552" t="str">
        <f>"2085R0202X"</f>
        <v>2085R0202X</v>
      </c>
      <c r="D552" t="str">
        <f>"COUMANIS                 LEWIS        G           "</f>
        <v xml:space="preserve">COUMANIS                 LEWIS        G           </v>
      </c>
      <c r="E552" t="str">
        <f t="shared" si="17"/>
        <v xml:space="preserve">MOBILE                    </v>
      </c>
      <c r="F552" t="str">
        <f t="shared" si="16"/>
        <v>AL</v>
      </c>
    </row>
    <row r="553" spans="1:6" x14ac:dyDescent="0.25">
      <c r="A553" t="str">
        <f>"006702387"</f>
        <v>006702387</v>
      </c>
      <c r="B553" t="str">
        <f>"1073263026"</f>
        <v>1073263026</v>
      </c>
      <c r="C553" t="str">
        <f>"207R00000X"</f>
        <v>207R00000X</v>
      </c>
      <c r="D553" t="str">
        <f>"JOHNSTON                 NATHANAEL                "</f>
        <v xml:space="preserve">JOHNSTON                 NATHANAEL                </v>
      </c>
      <c r="E553" t="str">
        <f t="shared" si="17"/>
        <v xml:space="preserve">MOBILE                    </v>
      </c>
      <c r="F553" t="str">
        <f t="shared" si="16"/>
        <v>AL</v>
      </c>
    </row>
    <row r="554" spans="1:6" x14ac:dyDescent="0.25">
      <c r="A554" t="str">
        <f>"006703207"</f>
        <v>006703207</v>
      </c>
      <c r="B554" t="str">
        <f>"1265465660"</f>
        <v>1265465660</v>
      </c>
      <c r="C554" t="str">
        <f>"2084N0400X"</f>
        <v>2084N0400X</v>
      </c>
      <c r="D554" t="str">
        <f>"PEARLMAN                 ROBERT       L           "</f>
        <v xml:space="preserve">PEARLMAN                 ROBERT       L           </v>
      </c>
      <c r="E554" t="str">
        <f>"BIRMINGHAM                "</f>
        <v xml:space="preserve">BIRMINGHAM                </v>
      </c>
      <c r="F554" t="str">
        <f t="shared" si="16"/>
        <v>AL</v>
      </c>
    </row>
    <row r="555" spans="1:6" x14ac:dyDescent="0.25">
      <c r="A555" t="str">
        <f>"006703784"</f>
        <v>006703784</v>
      </c>
      <c r="B555" t="str">
        <f>"1386156578"</f>
        <v>1386156578</v>
      </c>
      <c r="C555" t="str">
        <f>"363L00000X"</f>
        <v>363L00000X</v>
      </c>
      <c r="D555" t="str">
        <f>"WINDHAM                  JASON        A           "</f>
        <v xml:space="preserve">WINDHAM                  JASON        A           </v>
      </c>
      <c r="E555" t="str">
        <f>"BIRMINGHAM                "</f>
        <v xml:space="preserve">BIRMINGHAM                </v>
      </c>
      <c r="F555" t="str">
        <f t="shared" si="16"/>
        <v>AL</v>
      </c>
    </row>
    <row r="556" spans="1:6" x14ac:dyDescent="0.25">
      <c r="A556" t="str">
        <f>"006706515"</f>
        <v>006706515</v>
      </c>
      <c r="B556" t="str">
        <f>"1790002046"</f>
        <v>1790002046</v>
      </c>
      <c r="C556" t="str">
        <f>"207R00000X"</f>
        <v>207R00000X</v>
      </c>
      <c r="D556" t="str">
        <f>"MCCARTY                  TODD         P           "</f>
        <v xml:space="preserve">MCCARTY                  TODD         P           </v>
      </c>
      <c r="E556" t="str">
        <f>"BIRMINGHAM                "</f>
        <v xml:space="preserve">BIRMINGHAM                </v>
      </c>
      <c r="F556" t="str">
        <f t="shared" si="16"/>
        <v>AL</v>
      </c>
    </row>
    <row r="557" spans="1:6" x14ac:dyDescent="0.25">
      <c r="A557" t="str">
        <f>"006708290"</f>
        <v>006708290</v>
      </c>
      <c r="B557" t="str">
        <f>"1639128937"</f>
        <v>1639128937</v>
      </c>
      <c r="C557" t="str">
        <f>"207RG0300X"</f>
        <v>207RG0300X</v>
      </c>
      <c r="D557" t="str">
        <f>"LAMMERS                  JOHN         E           "</f>
        <v xml:space="preserve">LAMMERS                  JOHN         E           </v>
      </c>
      <c r="E557" t="str">
        <f>"MOBILE                    "</f>
        <v xml:space="preserve">MOBILE                    </v>
      </c>
      <c r="F557" t="str">
        <f t="shared" si="16"/>
        <v>AL</v>
      </c>
    </row>
    <row r="558" spans="1:6" x14ac:dyDescent="0.25">
      <c r="A558" t="str">
        <f>"006724701"</f>
        <v>006724701</v>
      </c>
      <c r="B558" t="str">
        <f>"1932732229"</f>
        <v>1932732229</v>
      </c>
      <c r="C558" t="str">
        <f>"363L00000X"</f>
        <v>363L00000X</v>
      </c>
      <c r="D558" t="str">
        <f>"GARRETT                  KELLIE       S           "</f>
        <v xml:space="preserve">GARRETT                  KELLIE       S           </v>
      </c>
      <c r="E558" t="str">
        <f>"MOBILE                    "</f>
        <v xml:space="preserve">MOBILE                    </v>
      </c>
      <c r="F558" t="str">
        <f t="shared" si="16"/>
        <v>AL</v>
      </c>
    </row>
    <row r="559" spans="1:6" x14ac:dyDescent="0.25">
      <c r="A559" t="str">
        <f>"006729559"</f>
        <v>006729559</v>
      </c>
      <c r="B559" t="str">
        <f>"1790135937"</f>
        <v>1790135937</v>
      </c>
      <c r="C559" t="str">
        <f>"363L00000X"</f>
        <v>363L00000X</v>
      </c>
      <c r="D559" t="str">
        <f>"STONE                    MANDY        D           "</f>
        <v xml:space="preserve">STONE                    MANDY        D           </v>
      </c>
      <c r="E559" t="str">
        <f>"HAMILTON                  "</f>
        <v xml:space="preserve">HAMILTON                  </v>
      </c>
      <c r="F559" t="str">
        <f t="shared" si="16"/>
        <v>AL</v>
      </c>
    </row>
    <row r="560" spans="1:6" x14ac:dyDescent="0.25">
      <c r="A560" t="str">
        <f>"006738844"</f>
        <v>006738844</v>
      </c>
      <c r="B560" t="str">
        <f>"1780940197"</f>
        <v>1780940197</v>
      </c>
      <c r="C560" t="str">
        <f>"363L00000X"</f>
        <v>363L00000X</v>
      </c>
      <c r="D560" t="str">
        <f>"FREGO                    JENNIFER                 "</f>
        <v xml:space="preserve">FREGO                    JENNIFER                 </v>
      </c>
      <c r="E560" t="str">
        <f>"MOBILE                    "</f>
        <v xml:space="preserve">MOBILE                    </v>
      </c>
      <c r="F560" t="str">
        <f t="shared" si="16"/>
        <v>AL</v>
      </c>
    </row>
    <row r="561" spans="1:6" x14ac:dyDescent="0.25">
      <c r="A561" t="str">
        <f>"006752077"</f>
        <v>006752077</v>
      </c>
      <c r="B561" t="str">
        <f>"1285225987"</f>
        <v>1285225987</v>
      </c>
      <c r="C561" t="str">
        <f>"363L00000X"</f>
        <v>363L00000X</v>
      </c>
      <c r="D561" t="str">
        <f>"BYRD                     CHARLOTTE    S           "</f>
        <v xml:space="preserve">BYRD                     CHARLOTTE    S           </v>
      </c>
      <c r="E561" t="str">
        <f>"MOBILE                    "</f>
        <v xml:space="preserve">MOBILE                    </v>
      </c>
      <c r="F561" t="str">
        <f t="shared" si="16"/>
        <v>AL</v>
      </c>
    </row>
    <row r="562" spans="1:6" x14ac:dyDescent="0.25">
      <c r="A562" t="str">
        <f>"006773592"</f>
        <v>006773592</v>
      </c>
      <c r="B562" t="str">
        <f>"1083645378"</f>
        <v>1083645378</v>
      </c>
      <c r="C562" t="str">
        <f>"208600000X"</f>
        <v>208600000X</v>
      </c>
      <c r="D562" t="str">
        <f>"PATTERSON                MARK         A           "</f>
        <v xml:space="preserve">PATTERSON                MARK         A           </v>
      </c>
      <c r="E562" t="str">
        <f>"BIRMINGHAM                "</f>
        <v xml:space="preserve">BIRMINGHAM                </v>
      </c>
      <c r="F562" t="str">
        <f t="shared" si="16"/>
        <v>AL</v>
      </c>
    </row>
    <row r="563" spans="1:6" x14ac:dyDescent="0.25">
      <c r="A563" t="str">
        <f>"006778215"</f>
        <v>006778215</v>
      </c>
      <c r="B563" t="str">
        <f>"1063815082"</f>
        <v>1063815082</v>
      </c>
      <c r="C563" t="str">
        <f>"363L00000X"</f>
        <v>363L00000X</v>
      </c>
      <c r="D563" t="str">
        <f>"BURKE                    MORGAN       A           "</f>
        <v xml:space="preserve">BURKE                    MORGAN       A           </v>
      </c>
      <c r="E563" t="str">
        <f>"BIRMINGHAM                "</f>
        <v xml:space="preserve">BIRMINGHAM                </v>
      </c>
      <c r="F563" t="str">
        <f t="shared" si="16"/>
        <v>AL</v>
      </c>
    </row>
    <row r="564" spans="1:6" x14ac:dyDescent="0.25">
      <c r="A564" t="str">
        <f>"006805366"</f>
        <v>006805366</v>
      </c>
      <c r="B564" t="str">
        <f>"1265790620"</f>
        <v>1265790620</v>
      </c>
      <c r="C564" t="str">
        <f>"363L00000X"</f>
        <v>363L00000X</v>
      </c>
      <c r="D564" t="str">
        <f>"BRUTKIEWICZ              BARBARA      V           "</f>
        <v xml:space="preserve">BRUTKIEWICZ              BARBARA      V           </v>
      </c>
      <c r="E564" t="str">
        <f>"MOBILE                    "</f>
        <v xml:space="preserve">MOBILE                    </v>
      </c>
      <c r="F564" t="str">
        <f t="shared" si="16"/>
        <v>AL</v>
      </c>
    </row>
    <row r="565" spans="1:6" x14ac:dyDescent="0.25">
      <c r="A565" t="str">
        <f>"006826502"</f>
        <v>006826502</v>
      </c>
      <c r="B565" t="str">
        <f>"1679502421"</f>
        <v>1679502421</v>
      </c>
      <c r="C565" t="str">
        <f>"207Y00000X"</f>
        <v>207Y00000X</v>
      </c>
      <c r="D565" t="str">
        <f>"MCMURPHY                 ANDREA       B           "</f>
        <v xml:space="preserve">MCMURPHY                 ANDREA       B           </v>
      </c>
      <c r="E565" t="str">
        <f>"MOBILE                    "</f>
        <v xml:space="preserve">MOBILE                    </v>
      </c>
      <c r="F565" t="str">
        <f t="shared" si="16"/>
        <v>AL</v>
      </c>
    </row>
    <row r="566" spans="1:6" x14ac:dyDescent="0.25">
      <c r="A566" t="str">
        <f>"006838294"</f>
        <v>006838294</v>
      </c>
      <c r="B566" t="str">
        <f>"1538587076"</f>
        <v>1538587076</v>
      </c>
      <c r="C566" t="str">
        <f>"208800000X"</f>
        <v>208800000X</v>
      </c>
      <c r="D566" t="str">
        <f>"BAUMGARTEN               ADAM                     "</f>
        <v xml:space="preserve">BAUMGARTEN               ADAM                     </v>
      </c>
      <c r="E566" t="str">
        <f>"BIRMINGHAM                "</f>
        <v xml:space="preserve">BIRMINGHAM                </v>
      </c>
      <c r="F566" t="str">
        <f t="shared" si="16"/>
        <v>AL</v>
      </c>
    </row>
    <row r="567" spans="1:6" x14ac:dyDescent="0.25">
      <c r="A567" t="str">
        <f>"006876531"</f>
        <v>006876531</v>
      </c>
      <c r="B567" t="str">
        <f>"1053796409"</f>
        <v>1053796409</v>
      </c>
      <c r="C567" t="str">
        <f>"2080P0210X"</f>
        <v>2080P0210X</v>
      </c>
      <c r="D567" t="str">
        <f>"MOHAMMAD                 DUNYA                    "</f>
        <v xml:space="preserve">MOHAMMAD                 DUNYA                    </v>
      </c>
      <c r="E567" t="str">
        <f>"MOBILE                    "</f>
        <v xml:space="preserve">MOBILE                    </v>
      </c>
      <c r="F567" t="str">
        <f t="shared" si="16"/>
        <v>AL</v>
      </c>
    </row>
    <row r="568" spans="1:6" x14ac:dyDescent="0.25">
      <c r="A568" t="str">
        <f>"006888521"</f>
        <v>006888521</v>
      </c>
      <c r="B568" t="str">
        <f>"1295893287"</f>
        <v>1295893287</v>
      </c>
      <c r="C568" t="str">
        <f>"2085R0202X"</f>
        <v>2085R0202X</v>
      </c>
      <c r="D568" t="str">
        <f>"GIBSON                   APRILE       B           "</f>
        <v xml:space="preserve">GIBSON                   APRILE       B           </v>
      </c>
      <c r="E568" t="str">
        <f>"HOOVER                    "</f>
        <v xml:space="preserve">HOOVER                    </v>
      </c>
      <c r="F568" t="str">
        <f t="shared" si="16"/>
        <v>AL</v>
      </c>
    </row>
    <row r="569" spans="1:6" x14ac:dyDescent="0.25">
      <c r="A569" t="str">
        <f>"006924801"</f>
        <v>006924801</v>
      </c>
      <c r="B569" t="str">
        <f>"1982707766"</f>
        <v>1982707766</v>
      </c>
      <c r="C569" t="str">
        <f>"207RI0200X"</f>
        <v>207RI0200X</v>
      </c>
      <c r="D569" t="str">
        <f>"ENNIS                    DAVID        M           "</f>
        <v xml:space="preserve">ENNIS                    DAVID        M           </v>
      </c>
      <c r="E569" t="str">
        <f>"BIRMINGHAM                "</f>
        <v xml:space="preserve">BIRMINGHAM                </v>
      </c>
      <c r="F569" t="str">
        <f t="shared" si="16"/>
        <v>AL</v>
      </c>
    </row>
    <row r="570" spans="1:6" x14ac:dyDescent="0.25">
      <c r="A570" t="str">
        <f>"006932854"</f>
        <v>006932854</v>
      </c>
      <c r="B570" t="str">
        <f>"1891894234"</f>
        <v>1891894234</v>
      </c>
      <c r="C570" t="str">
        <f>"207T00000X"</f>
        <v>207T00000X</v>
      </c>
      <c r="D570" t="str">
        <f>"PEARSON                  MATTHEW      M           "</f>
        <v xml:space="preserve">PEARSON                  MATTHEW      M           </v>
      </c>
      <c r="E570" t="str">
        <f>"MOBILE                    "</f>
        <v xml:space="preserve">MOBILE                    </v>
      </c>
      <c r="F570" t="str">
        <f t="shared" si="16"/>
        <v>AL</v>
      </c>
    </row>
    <row r="571" spans="1:6" x14ac:dyDescent="0.25">
      <c r="A571" t="str">
        <f>"006939360"</f>
        <v>006939360</v>
      </c>
      <c r="B571" t="str">
        <f>"1336464676"</f>
        <v>1336464676</v>
      </c>
      <c r="C571" t="str">
        <f>"207R00000X"</f>
        <v>207R00000X</v>
      </c>
      <c r="D571" t="str">
        <f>"TURNAGE                  THOMAS                   "</f>
        <v xml:space="preserve">TURNAGE                  THOMAS                   </v>
      </c>
      <c r="E571" t="str">
        <f>"MOBILE                    "</f>
        <v xml:space="preserve">MOBILE                    </v>
      </c>
      <c r="F571" t="str">
        <f t="shared" si="16"/>
        <v>AL</v>
      </c>
    </row>
    <row r="572" spans="1:6" x14ac:dyDescent="0.25">
      <c r="A572" t="str">
        <f>"006951810"</f>
        <v>006951810</v>
      </c>
      <c r="B572" t="str">
        <f>"1821667585"</f>
        <v>1821667585</v>
      </c>
      <c r="C572" t="str">
        <f>"363L00000X"</f>
        <v>363L00000X</v>
      </c>
      <c r="D572" t="str">
        <f>"HANSELL                  MORGAN       N           "</f>
        <v xml:space="preserve">HANSELL                  MORGAN       N           </v>
      </c>
      <c r="E572" t="str">
        <f>"MOBILE                    "</f>
        <v xml:space="preserve">MOBILE                    </v>
      </c>
      <c r="F572" t="str">
        <f t="shared" si="16"/>
        <v>AL</v>
      </c>
    </row>
    <row r="573" spans="1:6" x14ac:dyDescent="0.25">
      <c r="A573" t="str">
        <f>"006956850"</f>
        <v>006956850</v>
      </c>
      <c r="B573" t="str">
        <f>"1396936746"</f>
        <v>1396936746</v>
      </c>
      <c r="C573" t="str">
        <f>"207R00000X"</f>
        <v>207R00000X</v>
      </c>
      <c r="D573" t="str">
        <f>"BHATT                    SURYA        P           "</f>
        <v xml:space="preserve">BHATT                    SURYA        P           </v>
      </c>
      <c r="E573" t="str">
        <f>"BIRMINGHAM                "</f>
        <v xml:space="preserve">BIRMINGHAM                </v>
      </c>
      <c r="F573" t="str">
        <f t="shared" si="16"/>
        <v>AL</v>
      </c>
    </row>
    <row r="574" spans="1:6" x14ac:dyDescent="0.25">
      <c r="A574" t="str">
        <f>"006974283"</f>
        <v>006974283</v>
      </c>
      <c r="B574" t="str">
        <f>"1093320053"</f>
        <v>1093320053</v>
      </c>
      <c r="C574" t="str">
        <f>"363L00000X"</f>
        <v>363L00000X</v>
      </c>
      <c r="D574" t="str">
        <f>"NGUYEN                   JOANNE       M           "</f>
        <v xml:space="preserve">NGUYEN                   JOANNE       M           </v>
      </c>
      <c r="E574" t="str">
        <f>"MOBILE                    "</f>
        <v xml:space="preserve">MOBILE                    </v>
      </c>
      <c r="F574" t="str">
        <f t="shared" si="16"/>
        <v>AL</v>
      </c>
    </row>
    <row r="575" spans="1:6" x14ac:dyDescent="0.25">
      <c r="A575" t="str">
        <f>"006985884"</f>
        <v>006985884</v>
      </c>
      <c r="B575" t="str">
        <f>"1043607971"</f>
        <v>1043607971</v>
      </c>
      <c r="C575" t="str">
        <f>"207R00000X"</f>
        <v>207R00000X</v>
      </c>
      <c r="D575" t="str">
        <f>"NEVIN                    CHRISTA      R           "</f>
        <v xml:space="preserve">NEVIN                    CHRISTA      R           </v>
      </c>
      <c r="E575" t="str">
        <f>"BIRMINGHAM                "</f>
        <v xml:space="preserve">BIRMINGHAM                </v>
      </c>
      <c r="F575" t="str">
        <f t="shared" si="16"/>
        <v>AL</v>
      </c>
    </row>
    <row r="576" spans="1:6" x14ac:dyDescent="0.25">
      <c r="A576" t="str">
        <f>"007006014"</f>
        <v>007006014</v>
      </c>
      <c r="B576" t="str">
        <f>"1144735929"</f>
        <v>1144735929</v>
      </c>
      <c r="C576" t="str">
        <f>"363L00000X"</f>
        <v>363L00000X</v>
      </c>
      <c r="D576" t="str">
        <f>"HARRIS                   SAMANTHA     R           "</f>
        <v xml:space="preserve">HARRIS                   SAMANTHA     R           </v>
      </c>
      <c r="E576" t="str">
        <f>"BIRMINGHAM                "</f>
        <v xml:space="preserve">BIRMINGHAM                </v>
      </c>
      <c r="F576" t="str">
        <f t="shared" si="16"/>
        <v>AL</v>
      </c>
    </row>
    <row r="577" spans="1:6" x14ac:dyDescent="0.25">
      <c r="A577" t="str">
        <f>"007008792"</f>
        <v>007008792</v>
      </c>
      <c r="B577" t="str">
        <f>"1902072077"</f>
        <v>1902072077</v>
      </c>
      <c r="C577" t="str">
        <f>"207P00000X"</f>
        <v>207P00000X</v>
      </c>
      <c r="D577" t="str">
        <f>"DIAB                     ASHRAF                   "</f>
        <v xml:space="preserve">DIAB                     ASHRAF                   </v>
      </c>
      <c r="E577" t="str">
        <f>"CHATOM                    "</f>
        <v xml:space="preserve">CHATOM                    </v>
      </c>
      <c r="F577" t="str">
        <f t="shared" si="16"/>
        <v>AL</v>
      </c>
    </row>
    <row r="578" spans="1:6" x14ac:dyDescent="0.25">
      <c r="A578" t="str">
        <f>"007050717"</f>
        <v>007050717</v>
      </c>
      <c r="B578" t="str">
        <f>"1902071368"</f>
        <v>1902071368</v>
      </c>
      <c r="C578" t="str">
        <f>"208000000X"</f>
        <v>208000000X</v>
      </c>
      <c r="D578" t="str">
        <f>"WASHKO                   JULIE                    "</f>
        <v xml:space="preserve">WASHKO                   JULIE                    </v>
      </c>
      <c r="E578" t="str">
        <f>"BIRMINGHAM                "</f>
        <v xml:space="preserve">BIRMINGHAM                </v>
      </c>
      <c r="F578" t="str">
        <f t="shared" si="16"/>
        <v>AL</v>
      </c>
    </row>
    <row r="579" spans="1:6" x14ac:dyDescent="0.25">
      <c r="A579" t="str">
        <f>"007051785"</f>
        <v>007051785</v>
      </c>
      <c r="B579" t="str">
        <f>"1215159843"</f>
        <v>1215159843</v>
      </c>
      <c r="C579" t="str">
        <f>"208800000X"</f>
        <v>208800000X</v>
      </c>
      <c r="D579" t="str">
        <f>"NIX                      JEFFREY      W           "</f>
        <v xml:space="preserve">NIX                      JEFFREY      W           </v>
      </c>
      <c r="E579" t="str">
        <f>"BIRMINGHAM                "</f>
        <v xml:space="preserve">BIRMINGHAM                </v>
      </c>
      <c r="F579" t="str">
        <f t="shared" si="16"/>
        <v>AL</v>
      </c>
    </row>
    <row r="580" spans="1:6" x14ac:dyDescent="0.25">
      <c r="A580" t="str">
        <f>"007078385"</f>
        <v>007078385</v>
      </c>
      <c r="B580" t="str">
        <f>"1477171510"</f>
        <v>1477171510</v>
      </c>
      <c r="C580" t="str">
        <f>"363L00000X"</f>
        <v>363L00000X</v>
      </c>
      <c r="D580" t="str">
        <f>"JONES                    LOREN        L           "</f>
        <v xml:space="preserve">JONES                    LOREN        L           </v>
      </c>
      <c r="E580" t="str">
        <f>"MOBILE                    "</f>
        <v xml:space="preserve">MOBILE                    </v>
      </c>
      <c r="F580" t="str">
        <f t="shared" si="16"/>
        <v>AL</v>
      </c>
    </row>
    <row r="581" spans="1:6" x14ac:dyDescent="0.25">
      <c r="A581" t="str">
        <f>"007079549"</f>
        <v>007079549</v>
      </c>
      <c r="B581" t="str">
        <f>"1437536653"</f>
        <v>1437536653</v>
      </c>
      <c r="C581" t="str">
        <f>"207RP1001X"</f>
        <v>207RP1001X</v>
      </c>
      <c r="D581" t="str">
        <f>"LALANI                   ISHAN        A           "</f>
        <v xml:space="preserve">LALANI                   ISHAN        A           </v>
      </c>
      <c r="E581" t="str">
        <f>"BIRMINGHAM                "</f>
        <v xml:space="preserve">BIRMINGHAM                </v>
      </c>
      <c r="F581" t="str">
        <f t="shared" si="16"/>
        <v>AL</v>
      </c>
    </row>
    <row r="582" spans="1:6" x14ac:dyDescent="0.25">
      <c r="A582" t="str">
        <f>"007084315"</f>
        <v>007084315</v>
      </c>
      <c r="B582" t="str">
        <f>"1215376041"</f>
        <v>1215376041</v>
      </c>
      <c r="C582" t="str">
        <f>"207X00000X"</f>
        <v>207X00000X</v>
      </c>
      <c r="D582" t="str">
        <f>"CLAY                     TERRY        B           "</f>
        <v xml:space="preserve">CLAY                     TERRY        B           </v>
      </c>
      <c r="E582" t="str">
        <f>"MOBILE                    "</f>
        <v xml:space="preserve">MOBILE                    </v>
      </c>
      <c r="F582" t="str">
        <f t="shared" si="16"/>
        <v>AL</v>
      </c>
    </row>
    <row r="583" spans="1:6" x14ac:dyDescent="0.25">
      <c r="A583" t="str">
        <f>"007125229"</f>
        <v>007125229</v>
      </c>
      <c r="B583" t="str">
        <f>"1568857993"</f>
        <v>1568857993</v>
      </c>
      <c r="C583" t="str">
        <f>"208000000X"</f>
        <v>208000000X</v>
      </c>
      <c r="D583" t="str">
        <f>"ROWELL JR                FREDERICK    W           "</f>
        <v xml:space="preserve">ROWELL JR                FREDERICK    W           </v>
      </c>
      <c r="E583" t="str">
        <f>"MOBILE                    "</f>
        <v xml:space="preserve">MOBILE                    </v>
      </c>
      <c r="F583" t="str">
        <f t="shared" ref="F583:F646" si="18">"AL"</f>
        <v>AL</v>
      </c>
    </row>
    <row r="584" spans="1:6" x14ac:dyDescent="0.25">
      <c r="A584" t="str">
        <f>"007134073"</f>
        <v>007134073</v>
      </c>
      <c r="B584" t="str">
        <f>"1649223462"</f>
        <v>1649223462</v>
      </c>
      <c r="C584" t="str">
        <f>"2085R0202X"</f>
        <v>2085R0202X</v>
      </c>
      <c r="D584" t="str">
        <f>"MCQUISTON                SAMUEL       A           "</f>
        <v xml:space="preserve">MCQUISTON                SAMUEL       A           </v>
      </c>
      <c r="E584" t="str">
        <f>"MOBILE                    "</f>
        <v xml:space="preserve">MOBILE                    </v>
      </c>
      <c r="F584" t="str">
        <f t="shared" si="18"/>
        <v>AL</v>
      </c>
    </row>
    <row r="585" spans="1:6" x14ac:dyDescent="0.25">
      <c r="A585" t="str">
        <f>"007156721"</f>
        <v>007156721</v>
      </c>
      <c r="B585" t="str">
        <f>"1760829907"</f>
        <v>1760829907</v>
      </c>
      <c r="C585" t="str">
        <f>"2084N0400X"</f>
        <v>2084N0400X</v>
      </c>
      <c r="D585" t="str">
        <f>"KILGO                    WILLIAM      A           "</f>
        <v xml:space="preserve">KILGO                    WILLIAM      A           </v>
      </c>
      <c r="E585" t="str">
        <f>"MOBILE                    "</f>
        <v xml:space="preserve">MOBILE                    </v>
      </c>
      <c r="F585" t="str">
        <f t="shared" si="18"/>
        <v>AL</v>
      </c>
    </row>
    <row r="586" spans="1:6" x14ac:dyDescent="0.25">
      <c r="A586" t="str">
        <f>"007185738"</f>
        <v>007185738</v>
      </c>
      <c r="B586" t="str">
        <f>"1346344363"</f>
        <v>1346344363</v>
      </c>
      <c r="C586" t="str">
        <f>"207RC0000X"</f>
        <v>207RC0000X</v>
      </c>
      <c r="D586" t="str">
        <f>"LENNEMAN                 CARRIE       G           "</f>
        <v xml:space="preserve">LENNEMAN                 CARRIE       G           </v>
      </c>
      <c r="E586" t="str">
        <f>"BIRMINGHAM                "</f>
        <v xml:space="preserve">BIRMINGHAM                </v>
      </c>
      <c r="F586" t="str">
        <f t="shared" si="18"/>
        <v>AL</v>
      </c>
    </row>
    <row r="587" spans="1:6" x14ac:dyDescent="0.25">
      <c r="A587" t="str">
        <f>"007186553"</f>
        <v>007186553</v>
      </c>
      <c r="B587" t="str">
        <f>"1003122318"</f>
        <v>1003122318</v>
      </c>
      <c r="C587" t="str">
        <f>"363L00000X"</f>
        <v>363L00000X</v>
      </c>
      <c r="D587" t="str">
        <f>"WILLIAMS                 JENNIFER     G           "</f>
        <v xml:space="preserve">WILLIAMS                 JENNIFER     G           </v>
      </c>
      <c r="E587" t="str">
        <f>"MOBILE                    "</f>
        <v xml:space="preserve">MOBILE                    </v>
      </c>
      <c r="F587" t="str">
        <f t="shared" si="18"/>
        <v>AL</v>
      </c>
    </row>
    <row r="588" spans="1:6" x14ac:dyDescent="0.25">
      <c r="A588" t="str">
        <f>"007205821"</f>
        <v>007205821</v>
      </c>
      <c r="B588" t="str">
        <f>"1548872344"</f>
        <v>1548872344</v>
      </c>
      <c r="C588" t="str">
        <f>"363A00000X"</f>
        <v>363A00000X</v>
      </c>
      <c r="D588" t="str">
        <f>"GLYNN                    SHELBY       L           "</f>
        <v xml:space="preserve">GLYNN                    SHELBY       L           </v>
      </c>
      <c r="E588" t="str">
        <f>"MOBILE                    "</f>
        <v xml:space="preserve">MOBILE                    </v>
      </c>
      <c r="F588" t="str">
        <f t="shared" si="18"/>
        <v>AL</v>
      </c>
    </row>
    <row r="589" spans="1:6" x14ac:dyDescent="0.25">
      <c r="A589" t="str">
        <f>"007209078"</f>
        <v>007209078</v>
      </c>
      <c r="B589" t="str">
        <f>"1083934467"</f>
        <v>1083934467</v>
      </c>
      <c r="C589" t="str">
        <f>"2085R0202X"</f>
        <v>2085R0202X</v>
      </c>
      <c r="D589" t="str">
        <f>"CLARK                    HAL          J           "</f>
        <v xml:space="preserve">CLARK                    HAL          J           </v>
      </c>
      <c r="E589" t="str">
        <f>"MOBILE                    "</f>
        <v xml:space="preserve">MOBILE                    </v>
      </c>
      <c r="F589" t="str">
        <f t="shared" si="18"/>
        <v>AL</v>
      </c>
    </row>
    <row r="590" spans="1:6" x14ac:dyDescent="0.25">
      <c r="A590" t="str">
        <f>"007236314"</f>
        <v>007236314</v>
      </c>
      <c r="B590" t="str">
        <f>"1174905962"</f>
        <v>1174905962</v>
      </c>
      <c r="C590" t="str">
        <f>"2080P0206X"</f>
        <v>2080P0206X</v>
      </c>
      <c r="D590" t="str">
        <f>"ALTUN                    OSMAN                    "</f>
        <v xml:space="preserve">ALTUN                    OSMAN                    </v>
      </c>
      <c r="E590" t="str">
        <f>"MOBILE                    "</f>
        <v xml:space="preserve">MOBILE                    </v>
      </c>
      <c r="F590" t="str">
        <f t="shared" si="18"/>
        <v>AL</v>
      </c>
    </row>
    <row r="591" spans="1:6" x14ac:dyDescent="0.25">
      <c r="A591" t="str">
        <f>"007237898"</f>
        <v>007237898</v>
      </c>
      <c r="B591" t="str">
        <f>"1750774055"</f>
        <v>1750774055</v>
      </c>
      <c r="C591" t="str">
        <f>"367500000X"</f>
        <v>367500000X</v>
      </c>
      <c r="D591" t="str">
        <f>"WEISHAAR                 BRENDAN                  "</f>
        <v xml:space="preserve">WEISHAAR                 BRENDAN                  </v>
      </c>
      <c r="E591" t="str">
        <f>"MOBILE                    "</f>
        <v xml:space="preserve">MOBILE                    </v>
      </c>
      <c r="F591" t="str">
        <f t="shared" si="18"/>
        <v>AL</v>
      </c>
    </row>
    <row r="592" spans="1:6" x14ac:dyDescent="0.25">
      <c r="A592" t="str">
        <f>"007278555"</f>
        <v>007278555</v>
      </c>
      <c r="B592" t="str">
        <f>"1154688224"</f>
        <v>1154688224</v>
      </c>
      <c r="C592" t="str">
        <f>"207RP1001X"</f>
        <v>207RP1001X</v>
      </c>
      <c r="D592" t="str">
        <f>"CURTISS                  MIRANDA      L           "</f>
        <v xml:space="preserve">CURTISS                  MIRANDA      L           </v>
      </c>
      <c r="E592" t="str">
        <f>"BIRMINGHAM                "</f>
        <v xml:space="preserve">BIRMINGHAM                </v>
      </c>
      <c r="F592" t="str">
        <f t="shared" si="18"/>
        <v>AL</v>
      </c>
    </row>
    <row r="593" spans="1:6" x14ac:dyDescent="0.25">
      <c r="A593" t="str">
        <f>"007282825"</f>
        <v>007282825</v>
      </c>
      <c r="B593" t="str">
        <f>"1174273023"</f>
        <v>1174273023</v>
      </c>
      <c r="C593" t="str">
        <f>"207X00000X"</f>
        <v>207X00000X</v>
      </c>
      <c r="D593" t="str">
        <f>"DUNAWAY                  CHRISTIAN    B           "</f>
        <v xml:space="preserve">DUNAWAY                  CHRISTIAN    B           </v>
      </c>
      <c r="E593" t="str">
        <f>"MOBILE                    "</f>
        <v xml:space="preserve">MOBILE                    </v>
      </c>
      <c r="F593" t="str">
        <f t="shared" si="18"/>
        <v>AL</v>
      </c>
    </row>
    <row r="594" spans="1:6" x14ac:dyDescent="0.25">
      <c r="A594" t="str">
        <f>"007284861"</f>
        <v>007284861</v>
      </c>
      <c r="B594" t="str">
        <f>"1063459592"</f>
        <v>1063459592</v>
      </c>
      <c r="C594" t="str">
        <f>"2080P0206X"</f>
        <v>2080P0206X</v>
      </c>
      <c r="D594" t="str">
        <f>"PONNAMBALAM              ANANTHASEKAR             "</f>
        <v xml:space="preserve">PONNAMBALAM              ANANTHASEKAR             </v>
      </c>
      <c r="E594" t="str">
        <f>"MOBILE                    "</f>
        <v xml:space="preserve">MOBILE                    </v>
      </c>
      <c r="F594" t="str">
        <f t="shared" si="18"/>
        <v>AL</v>
      </c>
    </row>
    <row r="595" spans="1:6" x14ac:dyDescent="0.25">
      <c r="A595" t="str">
        <f>"007289200"</f>
        <v>007289200</v>
      </c>
      <c r="B595" t="str">
        <f>"1487079711"</f>
        <v>1487079711</v>
      </c>
      <c r="C595" t="str">
        <f>"363L00000X"</f>
        <v>363L00000X</v>
      </c>
      <c r="D595" t="str">
        <f>"HUMPHRIES                KAYLA        M           "</f>
        <v xml:space="preserve">HUMPHRIES                KAYLA        M           </v>
      </c>
      <c r="E595" t="str">
        <f>"RED BAY                   "</f>
        <v xml:space="preserve">RED BAY                   </v>
      </c>
      <c r="F595" t="str">
        <f t="shared" si="18"/>
        <v>AL</v>
      </c>
    </row>
    <row r="596" spans="1:6" x14ac:dyDescent="0.25">
      <c r="A596" t="str">
        <f>"007371282"</f>
        <v>007371282</v>
      </c>
      <c r="B596" t="str">
        <f>"1013450923"</f>
        <v>1013450923</v>
      </c>
      <c r="C596" t="str">
        <f>"363L00000X"</f>
        <v>363L00000X</v>
      </c>
      <c r="D596" t="str">
        <f>"BOLEN                    ELIZABETH    A           "</f>
        <v xml:space="preserve">BOLEN                    ELIZABETH    A           </v>
      </c>
      <c r="E596" t="str">
        <f>"BIRMINGHAM                "</f>
        <v xml:space="preserve">BIRMINGHAM                </v>
      </c>
      <c r="F596" t="str">
        <f t="shared" si="18"/>
        <v>AL</v>
      </c>
    </row>
    <row r="597" spans="1:6" x14ac:dyDescent="0.25">
      <c r="A597" t="str">
        <f>"007378293"</f>
        <v>007378293</v>
      </c>
      <c r="B597" t="str">
        <f>"1245402528"</f>
        <v>1245402528</v>
      </c>
      <c r="C597" t="str">
        <f>"367500000X"</f>
        <v>367500000X</v>
      </c>
      <c r="D597" t="str">
        <f>"MORRIS                   KIMBERLY     T           "</f>
        <v xml:space="preserve">MORRIS                   KIMBERLY     T           </v>
      </c>
      <c r="E597" t="str">
        <f>"BIRMINGHAM                "</f>
        <v xml:space="preserve">BIRMINGHAM                </v>
      </c>
      <c r="F597" t="str">
        <f t="shared" si="18"/>
        <v>AL</v>
      </c>
    </row>
    <row r="598" spans="1:6" x14ac:dyDescent="0.25">
      <c r="A598" t="str">
        <f>"007381232"</f>
        <v>007381232</v>
      </c>
      <c r="B598" t="str">
        <f>"1699856856"</f>
        <v>1699856856</v>
      </c>
      <c r="C598" t="str">
        <f>"363A00000X"</f>
        <v>363A00000X</v>
      </c>
      <c r="D598" t="str">
        <f>"AIKIN                    STEPHANIE    D           "</f>
        <v xml:space="preserve">AIKIN                    STEPHANIE    D           </v>
      </c>
      <c r="E598" t="str">
        <f>"MOBILE                    "</f>
        <v xml:space="preserve">MOBILE                    </v>
      </c>
      <c r="F598" t="str">
        <f t="shared" si="18"/>
        <v>AL</v>
      </c>
    </row>
    <row r="599" spans="1:6" x14ac:dyDescent="0.25">
      <c r="A599" t="str">
        <f>"007383595"</f>
        <v>007383595</v>
      </c>
      <c r="B599" t="str">
        <f>"1073756201"</f>
        <v>1073756201</v>
      </c>
      <c r="C599" t="str">
        <f>"208600000X"</f>
        <v>208600000X</v>
      </c>
      <c r="D599" t="str">
        <f>"ANDERSON                 DOUGLAS      J           "</f>
        <v xml:space="preserve">ANDERSON                 DOUGLAS      J           </v>
      </c>
      <c r="E599" t="str">
        <f>"BIRMINGHAM                "</f>
        <v xml:space="preserve">BIRMINGHAM                </v>
      </c>
      <c r="F599" t="str">
        <f t="shared" si="18"/>
        <v>AL</v>
      </c>
    </row>
    <row r="600" spans="1:6" x14ac:dyDescent="0.25">
      <c r="A600" t="str">
        <f>"007387564"</f>
        <v>007387564</v>
      </c>
      <c r="B600" t="str">
        <f>"1871536565"</f>
        <v>1871536565</v>
      </c>
      <c r="C600" t="str">
        <f>"207T00000X"</f>
        <v>207T00000X</v>
      </c>
      <c r="D600" t="str">
        <f>"CHAMBERS                 MELISSA      R           "</f>
        <v xml:space="preserve">CHAMBERS                 MELISSA      R           </v>
      </c>
      <c r="E600" t="str">
        <f>"BESSEMER                  "</f>
        <v xml:space="preserve">BESSEMER                  </v>
      </c>
      <c r="F600" t="str">
        <f t="shared" si="18"/>
        <v>AL</v>
      </c>
    </row>
    <row r="601" spans="1:6" x14ac:dyDescent="0.25">
      <c r="A601" t="str">
        <f>"007405398"</f>
        <v>007405398</v>
      </c>
      <c r="B601" t="str">
        <f>"1568405066"</f>
        <v>1568405066</v>
      </c>
      <c r="C601" t="str">
        <f>"207V00000X"</f>
        <v>207V00000X</v>
      </c>
      <c r="D601" t="str">
        <f>"BODIE                    FRANKIE      L           "</f>
        <v xml:space="preserve">BODIE                    FRANKIE      L           </v>
      </c>
      <c r="E601" t="str">
        <f>"MOBILE                    "</f>
        <v xml:space="preserve">MOBILE                    </v>
      </c>
      <c r="F601" t="str">
        <f t="shared" si="18"/>
        <v>AL</v>
      </c>
    </row>
    <row r="602" spans="1:6" x14ac:dyDescent="0.25">
      <c r="A602" t="str">
        <f>"007420965"</f>
        <v>007420965</v>
      </c>
      <c r="B602" t="str">
        <f>"1225442098"</f>
        <v>1225442098</v>
      </c>
      <c r="C602" t="str">
        <f>"208600000X"</f>
        <v>208600000X</v>
      </c>
      <c r="D602" t="str">
        <f>"HASHMI                   MOHAMMAD                 "</f>
        <v xml:space="preserve">HASHMI                   MOHAMMAD                 </v>
      </c>
      <c r="E602" t="str">
        <f>"BIRMINGHAM                "</f>
        <v xml:space="preserve">BIRMINGHAM                </v>
      </c>
      <c r="F602" t="str">
        <f t="shared" si="18"/>
        <v>AL</v>
      </c>
    </row>
    <row r="603" spans="1:6" x14ac:dyDescent="0.25">
      <c r="A603" t="str">
        <f>"007432047"</f>
        <v>007432047</v>
      </c>
      <c r="B603" t="str">
        <f>"1851930523"</f>
        <v>1851930523</v>
      </c>
      <c r="C603" t="str">
        <f>"367500000X"</f>
        <v>367500000X</v>
      </c>
      <c r="D603" t="str">
        <f>"ABERCROMBIE              ASHLEA       T           "</f>
        <v xml:space="preserve">ABERCROMBIE              ASHLEA       T           </v>
      </c>
      <c r="E603" t="str">
        <f>"BIRMINGHAM                "</f>
        <v xml:space="preserve">BIRMINGHAM                </v>
      </c>
      <c r="F603" t="str">
        <f t="shared" si="18"/>
        <v>AL</v>
      </c>
    </row>
    <row r="604" spans="1:6" x14ac:dyDescent="0.25">
      <c r="A604" t="str">
        <f>"007436309"</f>
        <v>007436309</v>
      </c>
      <c r="B604" t="str">
        <f>"1447668942"</f>
        <v>1447668942</v>
      </c>
      <c r="C604" t="str">
        <f>"208000000X"</f>
        <v>208000000X</v>
      </c>
      <c r="D604" t="str">
        <f>"LIM                      WHEI         Y           "</f>
        <v xml:space="preserve">LIM                      WHEI         Y           </v>
      </c>
      <c r="E604" t="str">
        <f>"MOBILE                    "</f>
        <v xml:space="preserve">MOBILE                    </v>
      </c>
      <c r="F604" t="str">
        <f t="shared" si="18"/>
        <v>AL</v>
      </c>
    </row>
    <row r="605" spans="1:6" x14ac:dyDescent="0.25">
      <c r="A605" t="str">
        <f>"007438371"</f>
        <v>007438371</v>
      </c>
      <c r="B605" t="str">
        <f>"1881659407"</f>
        <v>1881659407</v>
      </c>
      <c r="C605" t="str">
        <f>"2085R0202X"</f>
        <v>2085R0202X</v>
      </c>
      <c r="D605" t="str">
        <f>"LARRISON                 MATTHEW      C           "</f>
        <v xml:space="preserve">LARRISON                 MATTHEW      C           </v>
      </c>
      <c r="E605" t="str">
        <f>"BIRMINGHAM                "</f>
        <v xml:space="preserve">BIRMINGHAM                </v>
      </c>
      <c r="F605" t="str">
        <f t="shared" si="18"/>
        <v>AL</v>
      </c>
    </row>
    <row r="606" spans="1:6" x14ac:dyDescent="0.25">
      <c r="A606" t="str">
        <f>"007450251"</f>
        <v>007450251</v>
      </c>
      <c r="B606" t="str">
        <f>"1952417198"</f>
        <v>1952417198</v>
      </c>
      <c r="C606" t="str">
        <f>"207R00000X"</f>
        <v>207R00000X</v>
      </c>
      <c r="D606" t="str">
        <f>"HASSON                   JACK         H           "</f>
        <v xml:space="preserve">HASSON                   JACK         H           </v>
      </c>
      <c r="E606" t="str">
        <f>"BIRMINGHAM                "</f>
        <v xml:space="preserve">BIRMINGHAM                </v>
      </c>
      <c r="F606" t="str">
        <f t="shared" si="18"/>
        <v>AL</v>
      </c>
    </row>
    <row r="607" spans="1:6" x14ac:dyDescent="0.25">
      <c r="A607" t="str">
        <f>"007474754"</f>
        <v>007474754</v>
      </c>
      <c r="B607" t="str">
        <f>"1205044005"</f>
        <v>1205044005</v>
      </c>
      <c r="C607" t="str">
        <f>"207T00000X"</f>
        <v>207T00000X</v>
      </c>
      <c r="D607" t="str">
        <f>"OKOR                     MAMERHI      O           "</f>
        <v xml:space="preserve">OKOR                     MAMERHI      O           </v>
      </c>
      <c r="E607" t="str">
        <f>"BIRMINGHAM                "</f>
        <v xml:space="preserve">BIRMINGHAM                </v>
      </c>
      <c r="F607" t="str">
        <f t="shared" si="18"/>
        <v>AL</v>
      </c>
    </row>
    <row r="608" spans="1:6" x14ac:dyDescent="0.25">
      <c r="A608" t="str">
        <f>"007480869"</f>
        <v>007480869</v>
      </c>
      <c r="B608" t="str">
        <f>"1083669535"</f>
        <v>1083669535</v>
      </c>
      <c r="C608" t="str">
        <f>"207RG0100X"</f>
        <v>207RG0100X</v>
      </c>
      <c r="D608" t="str">
        <f>"HOOKS III                SAMUEL       B           "</f>
        <v xml:space="preserve">HOOKS III                SAMUEL       B           </v>
      </c>
      <c r="E608" t="str">
        <f>"MOBILE                    "</f>
        <v xml:space="preserve">MOBILE                    </v>
      </c>
      <c r="F608" t="str">
        <f t="shared" si="18"/>
        <v>AL</v>
      </c>
    </row>
    <row r="609" spans="1:6" x14ac:dyDescent="0.25">
      <c r="A609" t="str">
        <f>"007486592"</f>
        <v>007486592</v>
      </c>
      <c r="B609" t="str">
        <f>"1023693231"</f>
        <v>1023693231</v>
      </c>
      <c r="C609" t="str">
        <f>"363A00000X"</f>
        <v>363A00000X</v>
      </c>
      <c r="D609" t="str">
        <f>"MILLING                  NELL         F           "</f>
        <v xml:space="preserve">MILLING                  NELL         F           </v>
      </c>
      <c r="E609" t="str">
        <f>"MOBILE                    "</f>
        <v xml:space="preserve">MOBILE                    </v>
      </c>
      <c r="F609" t="str">
        <f t="shared" si="18"/>
        <v>AL</v>
      </c>
    </row>
    <row r="610" spans="1:6" x14ac:dyDescent="0.25">
      <c r="A610" t="str">
        <f>"007502508"</f>
        <v>007502508</v>
      </c>
      <c r="B610" t="str">
        <f>"1588063655"</f>
        <v>1588063655</v>
      </c>
      <c r="C610" t="str">
        <f>"207RP1001X"</f>
        <v>207RP1001X</v>
      </c>
      <c r="D610" t="str">
        <f>"COPELAND                 CARLA                    "</f>
        <v xml:space="preserve">COPELAND                 CARLA                    </v>
      </c>
      <c r="E610" t="str">
        <f>"BIRMINGHAM                "</f>
        <v xml:space="preserve">BIRMINGHAM                </v>
      </c>
      <c r="F610" t="str">
        <f t="shared" si="18"/>
        <v>AL</v>
      </c>
    </row>
    <row r="611" spans="1:6" x14ac:dyDescent="0.25">
      <c r="A611" t="str">
        <f>"007527560"</f>
        <v>007527560</v>
      </c>
      <c r="B611" t="str">
        <f>"1740549187"</f>
        <v>1740549187</v>
      </c>
      <c r="C611" t="str">
        <f>"2085R0202X"</f>
        <v>2085R0202X</v>
      </c>
      <c r="D611" t="str">
        <f>"MILNER                   DESMIN       M           "</f>
        <v xml:space="preserve">MILNER                   DESMIN       M           </v>
      </c>
      <c r="E611" t="str">
        <f>"BIRMINGHAM                "</f>
        <v xml:space="preserve">BIRMINGHAM                </v>
      </c>
      <c r="F611" t="str">
        <f t="shared" si="18"/>
        <v>AL</v>
      </c>
    </row>
    <row r="612" spans="1:6" x14ac:dyDescent="0.25">
      <c r="A612" t="str">
        <f>"007552791"</f>
        <v>007552791</v>
      </c>
      <c r="B612" t="str">
        <f>"1760093371"</f>
        <v>1760093371</v>
      </c>
      <c r="C612" t="str">
        <f>"363A00000X"</f>
        <v>363A00000X</v>
      </c>
      <c r="D612" t="str">
        <f>"RICE                     TAYLOR       R           "</f>
        <v xml:space="preserve">RICE                     TAYLOR       R           </v>
      </c>
      <c r="E612" t="str">
        <f>"MOBILE                    "</f>
        <v xml:space="preserve">MOBILE                    </v>
      </c>
      <c r="F612" t="str">
        <f t="shared" si="18"/>
        <v>AL</v>
      </c>
    </row>
    <row r="613" spans="1:6" x14ac:dyDescent="0.25">
      <c r="A613" t="str">
        <f>"007578250"</f>
        <v>007578250</v>
      </c>
      <c r="B613" t="str">
        <f>"1821201617"</f>
        <v>1821201617</v>
      </c>
      <c r="C613" t="str">
        <f>"207RC0000X"</f>
        <v>207RC0000X</v>
      </c>
      <c r="D613" t="str">
        <f>"BROWN                    TODD         M           "</f>
        <v xml:space="preserve">BROWN                    TODD         M           </v>
      </c>
      <c r="E613" t="str">
        <f>"BIRMINGHAM                "</f>
        <v xml:space="preserve">BIRMINGHAM                </v>
      </c>
      <c r="F613" t="str">
        <f t="shared" si="18"/>
        <v>AL</v>
      </c>
    </row>
    <row r="614" spans="1:6" x14ac:dyDescent="0.25">
      <c r="A614" t="str">
        <f>"007587071"</f>
        <v>007587071</v>
      </c>
      <c r="B614" t="str">
        <f>"1730116906"</f>
        <v>1730116906</v>
      </c>
      <c r="C614" t="str">
        <f>"2086S0129X"</f>
        <v>2086S0129X</v>
      </c>
      <c r="D614" t="str">
        <f>"PASSMAN                  MARC         A           "</f>
        <v xml:space="preserve">PASSMAN                  MARC         A           </v>
      </c>
      <c r="E614" t="str">
        <f>"BIRMINGHAM                "</f>
        <v xml:space="preserve">BIRMINGHAM                </v>
      </c>
      <c r="F614" t="str">
        <f t="shared" si="18"/>
        <v>AL</v>
      </c>
    </row>
    <row r="615" spans="1:6" x14ac:dyDescent="0.25">
      <c r="A615" t="str">
        <f>"007587805"</f>
        <v>007587805</v>
      </c>
      <c r="B615" t="str">
        <f>"1225438666"</f>
        <v>1225438666</v>
      </c>
      <c r="C615" t="str">
        <f>"2088P0231X"</f>
        <v>2088P0231X</v>
      </c>
      <c r="D615" t="str">
        <f>"SALVITTI FERMIN          MARIARITA                "</f>
        <v xml:space="preserve">SALVITTI FERMIN          MARIARITA                </v>
      </c>
      <c r="E615" t="str">
        <f>"MOBILE                    "</f>
        <v xml:space="preserve">MOBILE                    </v>
      </c>
      <c r="F615" t="str">
        <f t="shared" si="18"/>
        <v>AL</v>
      </c>
    </row>
    <row r="616" spans="1:6" x14ac:dyDescent="0.25">
      <c r="A616" t="str">
        <f>"007603300"</f>
        <v>007603300</v>
      </c>
      <c r="B616" t="str">
        <f>"1184641961"</f>
        <v>1184641961</v>
      </c>
      <c r="C616" t="str">
        <f>"207ZN0500X"</f>
        <v>207ZN0500X</v>
      </c>
      <c r="D616" t="str">
        <f>"GOYAL                    MONISHA                  "</f>
        <v xml:space="preserve">GOYAL                    MONISHA                  </v>
      </c>
      <c r="E616" t="str">
        <f>"BIRMINGHAM                "</f>
        <v xml:space="preserve">BIRMINGHAM                </v>
      </c>
      <c r="F616" t="str">
        <f t="shared" si="18"/>
        <v>AL</v>
      </c>
    </row>
    <row r="617" spans="1:6" x14ac:dyDescent="0.25">
      <c r="A617" t="str">
        <f>"007632391"</f>
        <v>007632391</v>
      </c>
      <c r="B617" t="str">
        <f>"1487854543"</f>
        <v>1487854543</v>
      </c>
      <c r="C617" t="str">
        <f>"207R00000X"</f>
        <v>207R00000X</v>
      </c>
      <c r="D617" t="str">
        <f>"XIE                      MIN                      "</f>
        <v xml:space="preserve">XIE                      MIN                      </v>
      </c>
      <c r="E617" t="str">
        <f>"BIRMINGHAM                "</f>
        <v xml:space="preserve">BIRMINGHAM                </v>
      </c>
      <c r="F617" t="str">
        <f t="shared" si="18"/>
        <v>AL</v>
      </c>
    </row>
    <row r="618" spans="1:6" x14ac:dyDescent="0.25">
      <c r="A618" t="str">
        <f>"007639500"</f>
        <v>007639500</v>
      </c>
      <c r="B618" t="str">
        <f>"1205883154"</f>
        <v>1205883154</v>
      </c>
      <c r="C618" t="str">
        <f>"207RI0200X"</f>
        <v>207RI0200X</v>
      </c>
      <c r="D618" t="str">
        <f>"TYLER                    SHANNON      K           "</f>
        <v xml:space="preserve">TYLER                    SHANNON      K           </v>
      </c>
      <c r="E618" t="str">
        <f>"MOBILE                    "</f>
        <v xml:space="preserve">MOBILE                    </v>
      </c>
      <c r="F618" t="str">
        <f t="shared" si="18"/>
        <v>AL</v>
      </c>
    </row>
    <row r="619" spans="1:6" x14ac:dyDescent="0.25">
      <c r="A619" t="str">
        <f>"007670290"</f>
        <v>007670290</v>
      </c>
      <c r="B619" t="str">
        <f>"1285245803"</f>
        <v>1285245803</v>
      </c>
      <c r="C619" t="str">
        <f>"363A00000X"</f>
        <v>363A00000X</v>
      </c>
      <c r="D619" t="str">
        <f>"HUMMEL                   URSULA       N           "</f>
        <v xml:space="preserve">HUMMEL                   URSULA       N           </v>
      </c>
      <c r="E619" t="str">
        <f>"MOBILE                    "</f>
        <v xml:space="preserve">MOBILE                    </v>
      </c>
      <c r="F619" t="str">
        <f t="shared" si="18"/>
        <v>AL</v>
      </c>
    </row>
    <row r="620" spans="1:6" x14ac:dyDescent="0.25">
      <c r="A620" t="str">
        <f>"007671792"</f>
        <v>007671792</v>
      </c>
      <c r="B620" t="str">
        <f>"1780218701"</f>
        <v>1780218701</v>
      </c>
      <c r="C620" t="str">
        <f>"363L00000X"</f>
        <v>363L00000X</v>
      </c>
      <c r="D620" t="str">
        <f>"CLINARD                  NAOMI                    "</f>
        <v xml:space="preserve">CLINARD                  NAOMI                    </v>
      </c>
      <c r="E620" t="str">
        <f>"MOBILE                    "</f>
        <v xml:space="preserve">MOBILE                    </v>
      </c>
      <c r="F620" t="str">
        <f t="shared" si="18"/>
        <v>AL</v>
      </c>
    </row>
    <row r="621" spans="1:6" x14ac:dyDescent="0.25">
      <c r="A621" t="str">
        <f>"007675724"</f>
        <v>007675724</v>
      </c>
      <c r="B621" t="str">
        <f>"1427377209"</f>
        <v>1427377209</v>
      </c>
      <c r="C621" t="str">
        <f>"207R00000X"</f>
        <v>207R00000X</v>
      </c>
      <c r="D621" t="str">
        <f>"BALLARD                  HALEY        H           "</f>
        <v xml:space="preserve">BALLARD                  HALEY        H           </v>
      </c>
      <c r="E621" t="str">
        <f>"MOBILE                    "</f>
        <v xml:space="preserve">MOBILE                    </v>
      </c>
      <c r="F621" t="str">
        <f t="shared" si="18"/>
        <v>AL</v>
      </c>
    </row>
    <row r="622" spans="1:6" x14ac:dyDescent="0.25">
      <c r="A622" t="str">
        <f>"007682051"</f>
        <v>007682051</v>
      </c>
      <c r="B622" t="str">
        <f>"1538167143"</f>
        <v>1538167143</v>
      </c>
      <c r="C622" t="str">
        <f>"207W00000X"</f>
        <v>207W00000X</v>
      </c>
      <c r="D622" t="str">
        <f>"BROWN                    JAY          A           "</f>
        <v xml:space="preserve">BROWN                    JAY          A           </v>
      </c>
      <c r="E622" t="str">
        <f>"MOBILE                    "</f>
        <v xml:space="preserve">MOBILE                    </v>
      </c>
      <c r="F622" t="str">
        <f t="shared" si="18"/>
        <v>AL</v>
      </c>
    </row>
    <row r="623" spans="1:6" x14ac:dyDescent="0.25">
      <c r="A623" t="str">
        <f>"007687312"</f>
        <v>007687312</v>
      </c>
      <c r="B623" t="str">
        <f>"1134110455"</f>
        <v>1134110455</v>
      </c>
      <c r="C623" t="str">
        <f>"207RG0100X"</f>
        <v>207RG0100X</v>
      </c>
      <c r="D623" t="str">
        <f>"SHOREIBAH                MOHAMED      G           "</f>
        <v xml:space="preserve">SHOREIBAH                MOHAMED      G           </v>
      </c>
      <c r="E623" t="str">
        <f>"BIRMINGHAM                "</f>
        <v xml:space="preserve">BIRMINGHAM                </v>
      </c>
      <c r="F623" t="str">
        <f t="shared" si="18"/>
        <v>AL</v>
      </c>
    </row>
    <row r="624" spans="1:6" x14ac:dyDescent="0.25">
      <c r="A624" t="str">
        <f>"007689021"</f>
        <v>007689021</v>
      </c>
      <c r="B624" t="str">
        <f>"1225426257"</f>
        <v>1225426257</v>
      </c>
      <c r="C624" t="str">
        <f>"2080P0202X"</f>
        <v>2080P0202X</v>
      </c>
      <c r="D624" t="str">
        <f>"OBIAKA                   UZOMA        C           "</f>
        <v xml:space="preserve">OBIAKA                   UZOMA        C           </v>
      </c>
      <c r="E624" t="str">
        <f>"MOBILE                    "</f>
        <v xml:space="preserve">MOBILE                    </v>
      </c>
      <c r="F624" t="str">
        <f t="shared" si="18"/>
        <v>AL</v>
      </c>
    </row>
    <row r="625" spans="1:6" x14ac:dyDescent="0.25">
      <c r="A625" t="str">
        <f>"007720719"</f>
        <v>007720719</v>
      </c>
      <c r="B625" t="str">
        <f>"1538572847"</f>
        <v>1538572847</v>
      </c>
      <c r="C625" t="str">
        <f>"207P00000X"</f>
        <v>207P00000X</v>
      </c>
      <c r="D625" t="str">
        <f>"STOKES                   TIMOTHY      B           "</f>
        <v xml:space="preserve">STOKES                   TIMOTHY      B           </v>
      </c>
      <c r="E625" t="str">
        <f>"MOBILE                    "</f>
        <v xml:space="preserve">MOBILE                    </v>
      </c>
      <c r="F625" t="str">
        <f t="shared" si="18"/>
        <v>AL</v>
      </c>
    </row>
    <row r="626" spans="1:6" x14ac:dyDescent="0.25">
      <c r="A626" t="str">
        <f>"007727501"</f>
        <v>007727501</v>
      </c>
      <c r="B626" t="str">
        <f>"1134564305"</f>
        <v>1134564305</v>
      </c>
      <c r="C626" t="str">
        <f>"208000000X"</f>
        <v>208000000X</v>
      </c>
      <c r="D626" t="str">
        <f>"HULS                     KARA         S           "</f>
        <v xml:space="preserve">HULS                     KARA         S           </v>
      </c>
      <c r="E626" t="str">
        <f>"BIRMINGHAM                "</f>
        <v xml:space="preserve">BIRMINGHAM                </v>
      </c>
      <c r="F626" t="str">
        <f t="shared" si="18"/>
        <v>AL</v>
      </c>
    </row>
    <row r="627" spans="1:6" x14ac:dyDescent="0.25">
      <c r="A627" t="str">
        <f>"007739330"</f>
        <v>007739330</v>
      </c>
      <c r="B627" t="str">
        <f>"1972765345"</f>
        <v>1972765345</v>
      </c>
      <c r="C627" t="str">
        <f>"207R00000X"</f>
        <v>207R00000X</v>
      </c>
      <c r="D627" t="str">
        <f>"SAIGUSA                  TAKAMITSU                "</f>
        <v xml:space="preserve">SAIGUSA                  TAKAMITSU                </v>
      </c>
      <c r="E627" t="str">
        <f>"BIRMINGHAM                "</f>
        <v xml:space="preserve">BIRMINGHAM                </v>
      </c>
      <c r="F627" t="str">
        <f t="shared" si="18"/>
        <v>AL</v>
      </c>
    </row>
    <row r="628" spans="1:6" x14ac:dyDescent="0.25">
      <c r="A628" t="str">
        <f>"007781559"</f>
        <v>007781559</v>
      </c>
      <c r="B628" t="str">
        <f>"1407257629"</f>
        <v>1407257629</v>
      </c>
      <c r="C628" t="str">
        <f>"363L00000X"</f>
        <v>363L00000X</v>
      </c>
      <c r="D628" t="str">
        <f>"LANGLEY                  KATHRYN      J           "</f>
        <v xml:space="preserve">LANGLEY                  KATHRYN      J           </v>
      </c>
      <c r="E628" t="str">
        <f>"BIRMINGHAM                "</f>
        <v xml:space="preserve">BIRMINGHAM                </v>
      </c>
      <c r="F628" t="str">
        <f t="shared" si="18"/>
        <v>AL</v>
      </c>
    </row>
    <row r="629" spans="1:6" x14ac:dyDescent="0.25">
      <c r="A629" t="str">
        <f>"007786310"</f>
        <v>007786310</v>
      </c>
      <c r="B629" t="str">
        <f>"1932311917"</f>
        <v>1932311917</v>
      </c>
      <c r="C629" t="str">
        <f>"208000000X"</f>
        <v>208000000X</v>
      </c>
      <c r="D629" t="str">
        <f>"COLE                     KIMBERLY     A           "</f>
        <v xml:space="preserve">COLE                     KIMBERLY     A           </v>
      </c>
      <c r="E629" t="str">
        <f>"MOBILE                    "</f>
        <v xml:space="preserve">MOBILE                    </v>
      </c>
      <c r="F629" t="str">
        <f t="shared" si="18"/>
        <v>AL</v>
      </c>
    </row>
    <row r="630" spans="1:6" x14ac:dyDescent="0.25">
      <c r="A630" t="str">
        <f>"007824559"</f>
        <v>007824559</v>
      </c>
      <c r="B630" t="str">
        <f>"1245492453"</f>
        <v>1245492453</v>
      </c>
      <c r="C630" t="str">
        <f>"2080P0203X"</f>
        <v>2080P0203X</v>
      </c>
      <c r="D630" t="str">
        <f>"GAVRILITA                CRISTINA     E           "</f>
        <v xml:space="preserve">GAVRILITA                CRISTINA     E           </v>
      </c>
      <c r="E630" t="str">
        <f>"MOBILE                    "</f>
        <v xml:space="preserve">MOBILE                    </v>
      </c>
      <c r="F630" t="str">
        <f t="shared" si="18"/>
        <v>AL</v>
      </c>
    </row>
    <row r="631" spans="1:6" x14ac:dyDescent="0.25">
      <c r="A631" t="str">
        <f>"007825071"</f>
        <v>007825071</v>
      </c>
      <c r="B631" t="str">
        <f>"1174665418"</f>
        <v>1174665418</v>
      </c>
      <c r="C631" t="str">
        <f>"207RC0200X"</f>
        <v>207RC0200X</v>
      </c>
      <c r="D631" t="str">
        <f>"BUSH                     ROBIN                    "</f>
        <v xml:space="preserve">BUSH                     ROBIN                    </v>
      </c>
      <c r="E631" t="str">
        <f>"BIRMINGHAM                "</f>
        <v xml:space="preserve">BIRMINGHAM                </v>
      </c>
      <c r="F631" t="str">
        <f t="shared" si="18"/>
        <v>AL</v>
      </c>
    </row>
    <row r="632" spans="1:6" x14ac:dyDescent="0.25">
      <c r="A632" t="str">
        <f>"007850605"</f>
        <v>007850605</v>
      </c>
      <c r="B632" t="str">
        <f>"1114218112"</f>
        <v>1114218112</v>
      </c>
      <c r="C632" t="str">
        <f>"2085R0202X"</f>
        <v>2085R0202X</v>
      </c>
      <c r="D632" t="str">
        <f>"CUNNINGHAM III           JACK         R           "</f>
        <v xml:space="preserve">CUNNINGHAM III           JACK         R           </v>
      </c>
      <c r="E632" t="str">
        <f>"MOBILE                    "</f>
        <v xml:space="preserve">MOBILE                    </v>
      </c>
      <c r="F632" t="str">
        <f t="shared" si="18"/>
        <v>AL</v>
      </c>
    </row>
    <row r="633" spans="1:6" x14ac:dyDescent="0.25">
      <c r="A633" t="str">
        <f>"007856034"</f>
        <v>007856034</v>
      </c>
      <c r="B633" t="str">
        <f>"1255774899"</f>
        <v>1255774899</v>
      </c>
      <c r="C633" t="str">
        <f>"207T00000X"</f>
        <v>207T00000X</v>
      </c>
      <c r="D633" t="str">
        <f>"SCHMALZ                  PHILIP       G           "</f>
        <v xml:space="preserve">SCHMALZ                  PHILIP       G           </v>
      </c>
      <c r="E633" t="str">
        <f>"BIRMINGHAM                "</f>
        <v xml:space="preserve">BIRMINGHAM                </v>
      </c>
      <c r="F633" t="str">
        <f t="shared" si="18"/>
        <v>AL</v>
      </c>
    </row>
    <row r="634" spans="1:6" x14ac:dyDescent="0.25">
      <c r="A634" t="str">
        <f>"007858876"</f>
        <v>007858876</v>
      </c>
      <c r="B634" t="str">
        <f>"1619262342"</f>
        <v>1619262342</v>
      </c>
      <c r="C634" t="str">
        <f>"207R00000X"</f>
        <v>207R00000X</v>
      </c>
      <c r="D634" t="str">
        <f>"COURTNEY                 MEGAN                    "</f>
        <v xml:space="preserve">COURTNEY                 MEGAN                    </v>
      </c>
      <c r="E634" t="str">
        <f>"BAY MINETTE               "</f>
        <v xml:space="preserve">BAY MINETTE               </v>
      </c>
      <c r="F634" t="str">
        <f t="shared" si="18"/>
        <v>AL</v>
      </c>
    </row>
    <row r="635" spans="1:6" x14ac:dyDescent="0.25">
      <c r="A635" t="str">
        <f>"007859523"</f>
        <v>007859523</v>
      </c>
      <c r="B635" t="str">
        <f>"1609080563"</f>
        <v>1609080563</v>
      </c>
      <c r="C635" t="str">
        <f>"2085R0202X"</f>
        <v>2085R0202X</v>
      </c>
      <c r="D635" t="str">
        <f>"PRATTIPATI               VEERANJANEYUL            "</f>
        <v xml:space="preserve">PRATTIPATI               VEERANJANEYUL            </v>
      </c>
      <c r="E635" t="str">
        <f t="shared" ref="E635:E640" si="19">"BIRMINGHAM                "</f>
        <v xml:space="preserve">BIRMINGHAM                </v>
      </c>
      <c r="F635" t="str">
        <f t="shared" si="18"/>
        <v>AL</v>
      </c>
    </row>
    <row r="636" spans="1:6" x14ac:dyDescent="0.25">
      <c r="A636" t="str">
        <f>"007872505"</f>
        <v>007872505</v>
      </c>
      <c r="B636" t="str">
        <f>"1205816410"</f>
        <v>1205816410</v>
      </c>
      <c r="C636" t="str">
        <f>"208600000X"</f>
        <v>208600000X</v>
      </c>
      <c r="D636" t="str">
        <f>"GRAMS                    JAYLEEN      M           "</f>
        <v xml:space="preserve">GRAMS                    JAYLEEN      M           </v>
      </c>
      <c r="E636" t="str">
        <f t="shared" si="19"/>
        <v xml:space="preserve">BIRMINGHAM                </v>
      </c>
      <c r="F636" t="str">
        <f t="shared" si="18"/>
        <v>AL</v>
      </c>
    </row>
    <row r="637" spans="1:6" x14ac:dyDescent="0.25">
      <c r="A637" t="str">
        <f>"007903893"</f>
        <v>007903893</v>
      </c>
      <c r="B637" t="str">
        <f>"1366718595"</f>
        <v>1366718595</v>
      </c>
      <c r="C637" t="str">
        <f>"363L00000X"</f>
        <v>363L00000X</v>
      </c>
      <c r="D637" t="str">
        <f>"KENT                     VLADA                    "</f>
        <v xml:space="preserve">KENT                     VLADA                    </v>
      </c>
      <c r="E637" t="str">
        <f t="shared" si="19"/>
        <v xml:space="preserve">BIRMINGHAM                </v>
      </c>
      <c r="F637" t="str">
        <f t="shared" si="18"/>
        <v>AL</v>
      </c>
    </row>
    <row r="638" spans="1:6" x14ac:dyDescent="0.25">
      <c r="A638" t="str">
        <f>"007905523"</f>
        <v>007905523</v>
      </c>
      <c r="B638" t="str">
        <f>"1356618292"</f>
        <v>1356618292</v>
      </c>
      <c r="C638" t="str">
        <f>"2085R0202X"</f>
        <v>2085R0202X</v>
      </c>
      <c r="D638" t="str">
        <f>"MANAPRAGADA              PADMA        P           "</f>
        <v xml:space="preserve">MANAPRAGADA              PADMA        P           </v>
      </c>
      <c r="E638" t="str">
        <f t="shared" si="19"/>
        <v xml:space="preserve">BIRMINGHAM                </v>
      </c>
      <c r="F638" t="str">
        <f t="shared" si="18"/>
        <v>AL</v>
      </c>
    </row>
    <row r="639" spans="1:6" x14ac:dyDescent="0.25">
      <c r="A639" t="str">
        <f>"007908022"</f>
        <v>007908022</v>
      </c>
      <c r="B639" t="str">
        <f>"1700206729"</f>
        <v>1700206729</v>
      </c>
      <c r="C639" t="str">
        <f>"208600000X"</f>
        <v>208600000X</v>
      </c>
      <c r="D639" t="str">
        <f>"STILL                    SASHA                    "</f>
        <v xml:space="preserve">STILL                    SASHA                    </v>
      </c>
      <c r="E639" t="str">
        <f t="shared" si="19"/>
        <v xml:space="preserve">BIRMINGHAM                </v>
      </c>
      <c r="F639" t="str">
        <f t="shared" si="18"/>
        <v>AL</v>
      </c>
    </row>
    <row r="640" spans="1:6" x14ac:dyDescent="0.25">
      <c r="A640" t="str">
        <f>"007937808"</f>
        <v>007937808</v>
      </c>
      <c r="B640" t="str">
        <f>"1396707832"</f>
        <v>1396707832</v>
      </c>
      <c r="C640" t="str">
        <f>"2084N0400X"</f>
        <v>2084N0400X</v>
      </c>
      <c r="D640" t="str">
        <f>"GROPEN                   TOBY         I           "</f>
        <v xml:space="preserve">GROPEN                   TOBY         I           </v>
      </c>
      <c r="E640" t="str">
        <f t="shared" si="19"/>
        <v xml:space="preserve">BIRMINGHAM                </v>
      </c>
      <c r="F640" t="str">
        <f t="shared" si="18"/>
        <v>AL</v>
      </c>
    </row>
    <row r="641" spans="1:6" x14ac:dyDescent="0.25">
      <c r="A641" t="str">
        <f>"007982360"</f>
        <v>007982360</v>
      </c>
      <c r="B641" t="str">
        <f>"1003278110"</f>
        <v>1003278110</v>
      </c>
      <c r="C641" t="str">
        <f>"2085R0204X"</f>
        <v>2085R0204X</v>
      </c>
      <c r="D641" t="str">
        <f>"SMITH                    JESTON       T           "</f>
        <v xml:space="preserve">SMITH                    JESTON       T           </v>
      </c>
      <c r="E641" t="str">
        <f>"MOBILE                    "</f>
        <v xml:space="preserve">MOBILE                    </v>
      </c>
      <c r="F641" t="str">
        <f t="shared" si="18"/>
        <v>AL</v>
      </c>
    </row>
    <row r="642" spans="1:6" x14ac:dyDescent="0.25">
      <c r="A642" t="str">
        <f>"007985075"</f>
        <v>007985075</v>
      </c>
      <c r="B642" t="str">
        <f>"1154599793"</f>
        <v>1154599793</v>
      </c>
      <c r="C642" t="str">
        <f>"363L00000X"</f>
        <v>363L00000X</v>
      </c>
      <c r="D642" t="str">
        <f>"BOWEN                    CONSTANCE    C           "</f>
        <v xml:space="preserve">BOWEN                    CONSTANCE    C           </v>
      </c>
      <c r="E642" t="str">
        <f>"BIRMINGHAM                "</f>
        <v xml:space="preserve">BIRMINGHAM                </v>
      </c>
      <c r="F642" t="str">
        <f t="shared" si="18"/>
        <v>AL</v>
      </c>
    </row>
    <row r="643" spans="1:6" x14ac:dyDescent="0.25">
      <c r="A643" t="str">
        <f>"007987710"</f>
        <v>007987710</v>
      </c>
      <c r="B643" t="str">
        <f>"1497119861"</f>
        <v>1497119861</v>
      </c>
      <c r="C643" t="str">
        <f>"207P00000X"</f>
        <v>207P00000X</v>
      </c>
      <c r="D643" t="str">
        <f>"HICKS                    SHERELL      L           "</f>
        <v xml:space="preserve">HICKS                    SHERELL      L           </v>
      </c>
      <c r="E643" t="str">
        <f>"BIRMINGHAM                "</f>
        <v xml:space="preserve">BIRMINGHAM                </v>
      </c>
      <c r="F643" t="str">
        <f t="shared" si="18"/>
        <v>AL</v>
      </c>
    </row>
    <row r="644" spans="1:6" x14ac:dyDescent="0.25">
      <c r="A644" t="str">
        <f>"008006322"</f>
        <v>008006322</v>
      </c>
      <c r="B644" t="str">
        <f>"1215160189"</f>
        <v>1215160189</v>
      </c>
      <c r="C644" t="str">
        <f>"208000000X"</f>
        <v>208000000X</v>
      </c>
      <c r="D644" t="str">
        <f>"GOSLINGS                 SOPHIA       M           "</f>
        <v xml:space="preserve">GOSLINGS                 SOPHIA       M           </v>
      </c>
      <c r="E644" t="str">
        <f>"MOBILE                    "</f>
        <v xml:space="preserve">MOBILE                    </v>
      </c>
      <c r="F644" t="str">
        <f t="shared" si="18"/>
        <v>AL</v>
      </c>
    </row>
    <row r="645" spans="1:6" x14ac:dyDescent="0.25">
      <c r="A645" t="str">
        <f>"008022599"</f>
        <v>008022599</v>
      </c>
      <c r="B645" t="str">
        <f>"1841456639"</f>
        <v>1841456639</v>
      </c>
      <c r="C645" t="str">
        <f>"363L00000X"</f>
        <v>363L00000X</v>
      </c>
      <c r="D645" t="str">
        <f>"FINDLEY                  LISA         S           "</f>
        <v xml:space="preserve">FINDLEY                  LISA         S           </v>
      </c>
      <c r="E645" t="str">
        <f>"BIRMINGHAM                "</f>
        <v xml:space="preserve">BIRMINGHAM                </v>
      </c>
      <c r="F645" t="str">
        <f t="shared" si="18"/>
        <v>AL</v>
      </c>
    </row>
    <row r="646" spans="1:6" x14ac:dyDescent="0.25">
      <c r="A646" t="str">
        <f>"008028800"</f>
        <v>008028800</v>
      </c>
      <c r="B646" t="str">
        <f>"1396982427"</f>
        <v>1396982427</v>
      </c>
      <c r="C646" t="str">
        <f>"363L00000X"</f>
        <v>363L00000X</v>
      </c>
      <c r="D646" t="str">
        <f>"CAMP                     PAMELA       R           "</f>
        <v xml:space="preserve">CAMP                     PAMELA       R           </v>
      </c>
      <c r="E646" t="str">
        <f>"MOBILE                    "</f>
        <v xml:space="preserve">MOBILE                    </v>
      </c>
      <c r="F646" t="str">
        <f t="shared" si="18"/>
        <v>AL</v>
      </c>
    </row>
    <row r="647" spans="1:6" x14ac:dyDescent="0.25">
      <c r="A647" t="str">
        <f>"008052367"</f>
        <v>008052367</v>
      </c>
      <c r="B647" t="str">
        <f>"1427410646"</f>
        <v>1427410646</v>
      </c>
      <c r="C647" t="str">
        <f>"363L00000X"</f>
        <v>363L00000X</v>
      </c>
      <c r="D647" t="str">
        <f>"ROWE                     DIANNA       L           "</f>
        <v xml:space="preserve">ROWE                     DIANNA       L           </v>
      </c>
      <c r="E647" t="str">
        <f>"BIRMINGHAM                "</f>
        <v xml:space="preserve">BIRMINGHAM                </v>
      </c>
      <c r="F647" t="str">
        <f t="shared" ref="F647:F710" si="20">"AL"</f>
        <v>AL</v>
      </c>
    </row>
    <row r="648" spans="1:6" x14ac:dyDescent="0.25">
      <c r="A648" t="str">
        <f>"008056574"</f>
        <v>008056574</v>
      </c>
      <c r="B648" t="str">
        <f>"1104419142"</f>
        <v>1104419142</v>
      </c>
      <c r="C648" t="str">
        <f>"363L00000X"</f>
        <v>363L00000X</v>
      </c>
      <c r="D648" t="str">
        <f>"GRANTHAM                 LAUREN       C           "</f>
        <v xml:space="preserve">GRANTHAM                 LAUREN       C           </v>
      </c>
      <c r="E648" t="str">
        <f>"MOBILE                    "</f>
        <v xml:space="preserve">MOBILE                    </v>
      </c>
      <c r="F648" t="str">
        <f t="shared" si="20"/>
        <v>AL</v>
      </c>
    </row>
    <row r="649" spans="1:6" x14ac:dyDescent="0.25">
      <c r="A649" t="str">
        <f>"008059282"</f>
        <v>008059282</v>
      </c>
      <c r="B649" t="str">
        <f>"1881839900"</f>
        <v>1881839900</v>
      </c>
      <c r="C649" t="str">
        <f>"207L00000X"</f>
        <v>207L00000X</v>
      </c>
      <c r="D649" t="str">
        <f>"KEY                      CHRISTOPHER  D           "</f>
        <v xml:space="preserve">KEY                      CHRISTOPHER  D           </v>
      </c>
      <c r="E649" t="str">
        <f>"BIRMINGHAM                "</f>
        <v xml:space="preserve">BIRMINGHAM                </v>
      </c>
      <c r="F649" t="str">
        <f t="shared" si="20"/>
        <v>AL</v>
      </c>
    </row>
    <row r="650" spans="1:6" x14ac:dyDescent="0.25">
      <c r="A650" t="str">
        <f>"008074748"</f>
        <v>008074748</v>
      </c>
      <c r="B650" t="str">
        <f>"1902198385"</f>
        <v>1902198385</v>
      </c>
      <c r="C650" t="str">
        <f>"208000000X"</f>
        <v>208000000X</v>
      </c>
      <c r="D650" t="str">
        <f>"PETTY                    MELODY       L           "</f>
        <v xml:space="preserve">PETTY                    MELODY       L           </v>
      </c>
      <c r="E650" t="str">
        <f>"MOBILE                    "</f>
        <v xml:space="preserve">MOBILE                    </v>
      </c>
      <c r="F650" t="str">
        <f t="shared" si="20"/>
        <v>AL</v>
      </c>
    </row>
    <row r="651" spans="1:6" x14ac:dyDescent="0.25">
      <c r="A651" t="str">
        <f>"008107030"</f>
        <v>008107030</v>
      </c>
      <c r="B651" t="str">
        <f>"1932223484"</f>
        <v>1932223484</v>
      </c>
      <c r="C651" t="str">
        <f>"363L00000X"</f>
        <v>363L00000X</v>
      </c>
      <c r="D651" t="str">
        <f>"COOK                     AMY          B           "</f>
        <v xml:space="preserve">COOK                     AMY          B           </v>
      </c>
      <c r="E651" t="str">
        <f>"MOBILE                    "</f>
        <v xml:space="preserve">MOBILE                    </v>
      </c>
      <c r="F651" t="str">
        <f t="shared" si="20"/>
        <v>AL</v>
      </c>
    </row>
    <row r="652" spans="1:6" x14ac:dyDescent="0.25">
      <c r="A652" t="str">
        <f>"008137333"</f>
        <v>008137333</v>
      </c>
      <c r="B652" t="str">
        <f>"1811400450"</f>
        <v>1811400450</v>
      </c>
      <c r="C652" t="str">
        <f>"363L00000X"</f>
        <v>363L00000X</v>
      </c>
      <c r="D652" t="str">
        <f>"DIBBLE                   YEN          H           "</f>
        <v xml:space="preserve">DIBBLE                   YEN          H           </v>
      </c>
      <c r="E652" t="str">
        <f>"BIRMINGHAM                "</f>
        <v xml:space="preserve">BIRMINGHAM                </v>
      </c>
      <c r="F652" t="str">
        <f t="shared" si="20"/>
        <v>AL</v>
      </c>
    </row>
    <row r="653" spans="1:6" x14ac:dyDescent="0.25">
      <c r="A653" t="str">
        <f>"008159538"</f>
        <v>008159538</v>
      </c>
      <c r="B653" t="str">
        <f>"1639757909"</f>
        <v>1639757909</v>
      </c>
      <c r="C653" t="str">
        <f>"208000000X"</f>
        <v>208000000X</v>
      </c>
      <c r="D653" t="str">
        <f>"NELSON                   DANIELLE                 "</f>
        <v xml:space="preserve">NELSON                   DANIELLE                 </v>
      </c>
      <c r="E653" t="str">
        <f>"MOBILE                    "</f>
        <v xml:space="preserve">MOBILE                    </v>
      </c>
      <c r="F653" t="str">
        <f t="shared" si="20"/>
        <v>AL</v>
      </c>
    </row>
    <row r="654" spans="1:6" x14ac:dyDescent="0.25">
      <c r="A654" t="str">
        <f>"008201232"</f>
        <v>008201232</v>
      </c>
      <c r="B654" t="str">
        <f>"1649293382"</f>
        <v>1649293382</v>
      </c>
      <c r="C654" t="str">
        <f>"207R00000X"</f>
        <v>207R00000X</v>
      </c>
      <c r="D654" t="str">
        <f>"AGARWAL                  GAURAV                   "</f>
        <v xml:space="preserve">AGARWAL                  GAURAV                   </v>
      </c>
      <c r="E654" t="str">
        <f>"BIRMINGHAM                "</f>
        <v xml:space="preserve">BIRMINGHAM                </v>
      </c>
      <c r="F654" t="str">
        <f t="shared" si="20"/>
        <v>AL</v>
      </c>
    </row>
    <row r="655" spans="1:6" x14ac:dyDescent="0.25">
      <c r="A655" t="str">
        <f>"008278723"</f>
        <v>008278723</v>
      </c>
      <c r="B655" t="str">
        <f>"1083667356"</f>
        <v>1083667356</v>
      </c>
      <c r="C655" t="str">
        <f>"207RX0202X"</f>
        <v>207RX0202X</v>
      </c>
      <c r="D655" t="str">
        <f>"GEORGE                   JEFFREY      R           "</f>
        <v xml:space="preserve">GEORGE                   JEFFREY      R           </v>
      </c>
      <c r="E655" t="str">
        <f>"MOBILE                    "</f>
        <v xml:space="preserve">MOBILE                    </v>
      </c>
      <c r="F655" t="str">
        <f t="shared" si="20"/>
        <v>AL</v>
      </c>
    </row>
    <row r="656" spans="1:6" x14ac:dyDescent="0.25">
      <c r="A656" t="str">
        <f>"008289062"</f>
        <v>008289062</v>
      </c>
      <c r="B656" t="str">
        <f>"1659379733"</f>
        <v>1659379733</v>
      </c>
      <c r="C656" t="str">
        <f>"208100000X"</f>
        <v>208100000X</v>
      </c>
      <c r="D656" t="str">
        <f>"CARTER                   JOHNNY                   "</f>
        <v xml:space="preserve">CARTER                   JOHNNY                   </v>
      </c>
      <c r="E656" t="str">
        <f>"BIRMINGHAM                "</f>
        <v xml:space="preserve">BIRMINGHAM                </v>
      </c>
      <c r="F656" t="str">
        <f t="shared" si="20"/>
        <v>AL</v>
      </c>
    </row>
    <row r="657" spans="1:6" x14ac:dyDescent="0.25">
      <c r="A657" t="str">
        <f>"008324008"</f>
        <v>008324008</v>
      </c>
      <c r="B657" t="str">
        <f>"1316565674"</f>
        <v>1316565674</v>
      </c>
      <c r="C657" t="str">
        <f>"363L00000X"</f>
        <v>363L00000X</v>
      </c>
      <c r="D657" t="str">
        <f>"RICH                     JAMIE        L           "</f>
        <v xml:space="preserve">RICH                     JAMIE        L           </v>
      </c>
      <c r="E657" t="str">
        <f>"MOBILE                    "</f>
        <v xml:space="preserve">MOBILE                    </v>
      </c>
      <c r="F657" t="str">
        <f t="shared" si="20"/>
        <v>AL</v>
      </c>
    </row>
    <row r="658" spans="1:6" x14ac:dyDescent="0.25">
      <c r="A658" t="str">
        <f>"008326501"</f>
        <v>008326501</v>
      </c>
      <c r="B658" t="str">
        <f>"1679854236"</f>
        <v>1679854236</v>
      </c>
      <c r="C658" t="str">
        <f>"363L00000X"</f>
        <v>363L00000X</v>
      </c>
      <c r="D658" t="str">
        <f>"HOLLAND                  WHITNEY      B           "</f>
        <v xml:space="preserve">HOLLAND                  WHITNEY      B           </v>
      </c>
      <c r="E658" t="str">
        <f>"BIRMINGHAM                "</f>
        <v xml:space="preserve">BIRMINGHAM                </v>
      </c>
      <c r="F658" t="str">
        <f t="shared" si="20"/>
        <v>AL</v>
      </c>
    </row>
    <row r="659" spans="1:6" x14ac:dyDescent="0.25">
      <c r="A659" t="str">
        <f>"008327225"</f>
        <v>008327225</v>
      </c>
      <c r="B659" t="str">
        <f>"1780977553"</f>
        <v>1780977553</v>
      </c>
      <c r="C659" t="str">
        <f>"207N00000X"</f>
        <v>207N00000X</v>
      </c>
      <c r="D659" t="str">
        <f>"GRAHAM                   LAUREN       V           "</f>
        <v xml:space="preserve">GRAHAM                   LAUREN       V           </v>
      </c>
      <c r="E659" t="str">
        <f>"BIRMINGHAM                "</f>
        <v xml:space="preserve">BIRMINGHAM                </v>
      </c>
      <c r="F659" t="str">
        <f t="shared" si="20"/>
        <v>AL</v>
      </c>
    </row>
    <row r="660" spans="1:6" x14ac:dyDescent="0.25">
      <c r="A660" t="str">
        <f>"008332301"</f>
        <v>008332301</v>
      </c>
      <c r="B660" t="str">
        <f>"1700341195"</f>
        <v>1700341195</v>
      </c>
      <c r="C660" t="str">
        <f>"363L00000X"</f>
        <v>363L00000X</v>
      </c>
      <c r="D660" t="str">
        <f>"GIAMBRONE                MELANIE      J           "</f>
        <v xml:space="preserve">GIAMBRONE                MELANIE      J           </v>
      </c>
      <c r="E660" t="str">
        <f>"MOBILE                    "</f>
        <v xml:space="preserve">MOBILE                    </v>
      </c>
      <c r="F660" t="str">
        <f t="shared" si="20"/>
        <v>AL</v>
      </c>
    </row>
    <row r="661" spans="1:6" x14ac:dyDescent="0.25">
      <c r="A661" t="str">
        <f>"008352358"</f>
        <v>008352358</v>
      </c>
      <c r="B661" t="str">
        <f>"1497712780"</f>
        <v>1497712780</v>
      </c>
      <c r="C661" t="str">
        <f>"207P00000X"</f>
        <v>207P00000X</v>
      </c>
      <c r="D661" t="str">
        <f>"BOYD                     LINDA        R           "</f>
        <v xml:space="preserve">BOYD                     LINDA        R           </v>
      </c>
      <c r="E661" t="str">
        <f>"MOBILE                    "</f>
        <v xml:space="preserve">MOBILE                    </v>
      </c>
      <c r="F661" t="str">
        <f t="shared" si="20"/>
        <v>AL</v>
      </c>
    </row>
    <row r="662" spans="1:6" x14ac:dyDescent="0.25">
      <c r="A662" t="str">
        <f>"008376399"</f>
        <v>008376399</v>
      </c>
      <c r="B662" t="str">
        <f>"1992948178"</f>
        <v>1992948178</v>
      </c>
      <c r="C662" t="str">
        <f>"363L00000X"</f>
        <v>363L00000X</v>
      </c>
      <c r="D662" t="str">
        <f>"MOSE                     BELINDA      M           "</f>
        <v xml:space="preserve">MOSE                     BELINDA      M           </v>
      </c>
      <c r="E662" t="str">
        <f>"MOBILE                    "</f>
        <v xml:space="preserve">MOBILE                    </v>
      </c>
      <c r="F662" t="str">
        <f t="shared" si="20"/>
        <v>AL</v>
      </c>
    </row>
    <row r="663" spans="1:6" x14ac:dyDescent="0.25">
      <c r="A663" t="str">
        <f>"008384254"</f>
        <v>008384254</v>
      </c>
      <c r="B663" t="str">
        <f>"1154342772"</f>
        <v>1154342772</v>
      </c>
      <c r="C663" t="str">
        <f>"2086S0120X"</f>
        <v>2086S0120X</v>
      </c>
      <c r="D663" t="str">
        <f>"CHEN                     MIKE         K           "</f>
        <v xml:space="preserve">CHEN                     MIKE         K           </v>
      </c>
      <c r="E663" t="str">
        <f>"BIRMINGHAM                "</f>
        <v xml:space="preserve">BIRMINGHAM                </v>
      </c>
      <c r="F663" t="str">
        <f t="shared" si="20"/>
        <v>AL</v>
      </c>
    </row>
    <row r="664" spans="1:6" x14ac:dyDescent="0.25">
      <c r="A664" t="str">
        <f>"008405821"</f>
        <v>008405821</v>
      </c>
      <c r="B664" t="str">
        <f>"1447613237"</f>
        <v>1447613237</v>
      </c>
      <c r="C664" t="str">
        <f>"207RN0300X"</f>
        <v>207RN0300X</v>
      </c>
      <c r="D664" t="str">
        <f>"ELETI                    NAVYA                    "</f>
        <v xml:space="preserve">ELETI                    NAVYA                    </v>
      </c>
      <c r="E664" t="str">
        <f>"BIRMINGHAM                "</f>
        <v xml:space="preserve">BIRMINGHAM                </v>
      </c>
      <c r="F664" t="str">
        <f t="shared" si="20"/>
        <v>AL</v>
      </c>
    </row>
    <row r="665" spans="1:6" x14ac:dyDescent="0.25">
      <c r="A665" t="str">
        <f>"008457761"</f>
        <v>008457761</v>
      </c>
      <c r="B665" t="str">
        <f>"1205126596"</f>
        <v>1205126596</v>
      </c>
      <c r="C665" t="str">
        <f>"207RC0000X"</f>
        <v>207RC0000X</v>
      </c>
      <c r="D665" t="str">
        <f>"PAYNE                    GREGORY      A           "</f>
        <v xml:space="preserve">PAYNE                    GREGORY      A           </v>
      </c>
      <c r="E665" t="str">
        <f>"BIRMINGHAM                "</f>
        <v xml:space="preserve">BIRMINGHAM                </v>
      </c>
      <c r="F665" t="str">
        <f t="shared" si="20"/>
        <v>AL</v>
      </c>
    </row>
    <row r="666" spans="1:6" x14ac:dyDescent="0.25">
      <c r="A666" t="str">
        <f>"008471017"</f>
        <v>008471017</v>
      </c>
      <c r="B666" t="str">
        <f>"1366881948"</f>
        <v>1366881948</v>
      </c>
      <c r="C666" t="str">
        <f>"208800000X"</f>
        <v>208800000X</v>
      </c>
      <c r="D666" t="str">
        <f>"CARMEN TONG              CHING MAN                "</f>
        <v xml:space="preserve">CARMEN TONG              CHING MAN                </v>
      </c>
      <c r="E666" t="str">
        <f>"BIRMINGHAM                "</f>
        <v xml:space="preserve">BIRMINGHAM                </v>
      </c>
      <c r="F666" t="str">
        <f t="shared" si="20"/>
        <v>AL</v>
      </c>
    </row>
    <row r="667" spans="1:6" x14ac:dyDescent="0.25">
      <c r="A667" t="str">
        <f>"008538090"</f>
        <v>008538090</v>
      </c>
      <c r="B667" t="str">
        <f>"1255742680"</f>
        <v>1255742680</v>
      </c>
      <c r="C667" t="str">
        <f>"207ZP0105X"</f>
        <v>207ZP0105X</v>
      </c>
      <c r="D667" t="str">
        <f>"SINGH                    NIRUPAMA                 "</f>
        <v xml:space="preserve">SINGH                    NIRUPAMA                 </v>
      </c>
      <c r="E667" t="str">
        <f>"BIRMINGHAM                "</f>
        <v xml:space="preserve">BIRMINGHAM                </v>
      </c>
      <c r="F667" t="str">
        <f t="shared" si="20"/>
        <v>AL</v>
      </c>
    </row>
    <row r="668" spans="1:6" x14ac:dyDescent="0.25">
      <c r="A668" t="str">
        <f>"008588506"</f>
        <v>008588506</v>
      </c>
      <c r="B668" t="str">
        <f>"1205586229"</f>
        <v>1205586229</v>
      </c>
      <c r="C668" t="str">
        <f>"207V00000X"</f>
        <v>207V00000X</v>
      </c>
      <c r="D668" t="str">
        <f>"SEMAN                    NATALIE                  "</f>
        <v xml:space="preserve">SEMAN                    NATALIE                  </v>
      </c>
      <c r="E668" t="str">
        <f>"MOBILE                    "</f>
        <v xml:space="preserve">MOBILE                    </v>
      </c>
      <c r="F668" t="str">
        <f t="shared" si="20"/>
        <v>AL</v>
      </c>
    </row>
    <row r="669" spans="1:6" x14ac:dyDescent="0.25">
      <c r="A669" t="str">
        <f>"008608261"</f>
        <v>008608261</v>
      </c>
      <c r="B669" t="str">
        <f>"1982832358"</f>
        <v>1982832358</v>
      </c>
      <c r="C669" t="str">
        <f>"207L00000X"</f>
        <v>207L00000X</v>
      </c>
      <c r="D669" t="str">
        <f>"BARKER                   ANDREW       B           "</f>
        <v xml:space="preserve">BARKER                   ANDREW       B           </v>
      </c>
      <c r="E669" t="str">
        <f>"BIRMINGHAM                "</f>
        <v xml:space="preserve">BIRMINGHAM                </v>
      </c>
      <c r="F669" t="str">
        <f t="shared" si="20"/>
        <v>AL</v>
      </c>
    </row>
    <row r="670" spans="1:6" x14ac:dyDescent="0.25">
      <c r="A670" t="str">
        <f>"008620004"</f>
        <v>008620004</v>
      </c>
      <c r="B670" t="str">
        <f>"1194987503"</f>
        <v>1194987503</v>
      </c>
      <c r="C670" t="str">
        <f>"208000000X"</f>
        <v>208000000X</v>
      </c>
      <c r="D670" t="str">
        <f>"BRADHAM                  KARI         A           "</f>
        <v xml:space="preserve">BRADHAM                  KARI         A           </v>
      </c>
      <c r="E670" t="str">
        <f>"MOBILE                    "</f>
        <v xml:space="preserve">MOBILE                    </v>
      </c>
      <c r="F670" t="str">
        <f t="shared" si="20"/>
        <v>AL</v>
      </c>
    </row>
    <row r="671" spans="1:6" x14ac:dyDescent="0.25">
      <c r="A671" t="str">
        <f>"008625829"</f>
        <v>008625829</v>
      </c>
      <c r="B671" t="str">
        <f>"1316308919"</f>
        <v>1316308919</v>
      </c>
      <c r="C671" t="str">
        <f>"363L00000X"</f>
        <v>363L00000X</v>
      </c>
      <c r="D671" t="str">
        <f>"WAINWRIGHT               MARY KATHERIN            "</f>
        <v xml:space="preserve">WAINWRIGHT               MARY KATHERIN            </v>
      </c>
      <c r="E671" t="str">
        <f>"BIRMINGHAM                "</f>
        <v xml:space="preserve">BIRMINGHAM                </v>
      </c>
      <c r="F671" t="str">
        <f t="shared" si="20"/>
        <v>AL</v>
      </c>
    </row>
    <row r="672" spans="1:6" x14ac:dyDescent="0.25">
      <c r="A672" t="str">
        <f>"008626592"</f>
        <v>008626592</v>
      </c>
      <c r="B672" t="str">
        <f>"1588952493"</f>
        <v>1588952493</v>
      </c>
      <c r="C672" t="str">
        <f>"207R00000X"</f>
        <v>207R00000X</v>
      </c>
      <c r="D672" t="str">
        <f>"TRIPATHY                 PURNIMA                  "</f>
        <v xml:space="preserve">TRIPATHY                 PURNIMA                  </v>
      </c>
      <c r="E672" t="str">
        <f>"MOBILE                    "</f>
        <v xml:space="preserve">MOBILE                    </v>
      </c>
      <c r="F672" t="str">
        <f t="shared" si="20"/>
        <v>AL</v>
      </c>
    </row>
    <row r="673" spans="1:6" x14ac:dyDescent="0.25">
      <c r="A673" t="str">
        <f>"008631263"</f>
        <v>008631263</v>
      </c>
      <c r="B673" t="str">
        <f>"1134350465"</f>
        <v>1134350465</v>
      </c>
      <c r="C673" t="str">
        <f>"208000000X"</f>
        <v>208000000X</v>
      </c>
      <c r="D673" t="str">
        <f>"BARNETT-GRINDLEY         NATOYA       N           "</f>
        <v xml:space="preserve">BARNETT-GRINDLEY         NATOYA       N           </v>
      </c>
      <c r="E673" t="str">
        <f>"SARALND                   "</f>
        <v xml:space="preserve">SARALND                   </v>
      </c>
      <c r="F673" t="str">
        <f t="shared" si="20"/>
        <v>AL</v>
      </c>
    </row>
    <row r="674" spans="1:6" x14ac:dyDescent="0.25">
      <c r="A674" t="str">
        <f>"008632796"</f>
        <v>008632796</v>
      </c>
      <c r="B674" t="str">
        <f>"1659769792"</f>
        <v>1659769792</v>
      </c>
      <c r="C674" t="str">
        <f>"363L00000X"</f>
        <v>363L00000X</v>
      </c>
      <c r="D674" t="str">
        <f>"BARROW                   ABIGAIL                  "</f>
        <v xml:space="preserve">BARROW                   ABIGAIL                  </v>
      </c>
      <c r="E674" t="str">
        <f>"BIRMINGHAM                "</f>
        <v xml:space="preserve">BIRMINGHAM                </v>
      </c>
      <c r="F674" t="str">
        <f t="shared" si="20"/>
        <v>AL</v>
      </c>
    </row>
    <row r="675" spans="1:6" x14ac:dyDescent="0.25">
      <c r="A675" t="str">
        <f>"008650525"</f>
        <v>008650525</v>
      </c>
      <c r="B675" t="str">
        <f>"1699765420"</f>
        <v>1699765420</v>
      </c>
      <c r="C675" t="str">
        <f>"207RP1001X"</f>
        <v>207RP1001X</v>
      </c>
      <c r="D675" t="str">
        <f>"KALEEKAL                 THOMAS                   "</f>
        <v xml:space="preserve">KALEEKAL                 THOMAS                   </v>
      </c>
      <c r="E675" t="str">
        <f>"BIRMINGHAM                "</f>
        <v xml:space="preserve">BIRMINGHAM                </v>
      </c>
      <c r="F675" t="str">
        <f t="shared" si="20"/>
        <v>AL</v>
      </c>
    </row>
    <row r="676" spans="1:6" x14ac:dyDescent="0.25">
      <c r="A676" t="str">
        <f>"008658729"</f>
        <v>008658729</v>
      </c>
      <c r="B676" t="str">
        <f>"1134160039"</f>
        <v>1134160039</v>
      </c>
      <c r="C676" t="str">
        <f>"2085R0202X"</f>
        <v>2085R0202X</v>
      </c>
      <c r="D676" t="str">
        <f>"NELSON JR                HUNTER       B           "</f>
        <v xml:space="preserve">NELSON JR                HUNTER       B           </v>
      </c>
      <c r="E676" t="str">
        <f>"MOBILE                    "</f>
        <v xml:space="preserve">MOBILE                    </v>
      </c>
      <c r="F676" t="str">
        <f t="shared" si="20"/>
        <v>AL</v>
      </c>
    </row>
    <row r="677" spans="1:6" x14ac:dyDescent="0.25">
      <c r="A677" t="str">
        <f>"008687770"</f>
        <v>008687770</v>
      </c>
      <c r="B677" t="str">
        <f>"1144639675"</f>
        <v>1144639675</v>
      </c>
      <c r="C677" t="str">
        <f>"363L00000X"</f>
        <v>363L00000X</v>
      </c>
      <c r="D677" t="str">
        <f>"ENSMINGER                STEPHANIE    J           "</f>
        <v xml:space="preserve">ENSMINGER                STEPHANIE    J           </v>
      </c>
      <c r="E677" t="str">
        <f>"BIRMINGHAM                "</f>
        <v xml:space="preserve">BIRMINGHAM                </v>
      </c>
      <c r="F677" t="str">
        <f t="shared" si="20"/>
        <v>AL</v>
      </c>
    </row>
    <row r="678" spans="1:6" x14ac:dyDescent="0.25">
      <c r="A678" t="str">
        <f>"008709009"</f>
        <v>008709009</v>
      </c>
      <c r="B678" t="str">
        <f>"1639146327"</f>
        <v>1639146327</v>
      </c>
      <c r="C678" t="str">
        <f>"207Y00000X"</f>
        <v>207Y00000X</v>
      </c>
      <c r="D678" t="str">
        <f>"WITHROW                  KIRK         P           "</f>
        <v xml:space="preserve">WITHROW                  KIRK         P           </v>
      </c>
      <c r="E678" t="str">
        <f>"BIRMINGHAM                "</f>
        <v xml:space="preserve">BIRMINGHAM                </v>
      </c>
      <c r="F678" t="str">
        <f t="shared" si="20"/>
        <v>AL</v>
      </c>
    </row>
    <row r="679" spans="1:6" x14ac:dyDescent="0.25">
      <c r="A679" t="str">
        <f>"008722075"</f>
        <v>008722075</v>
      </c>
      <c r="B679" t="str">
        <f>"1639432644"</f>
        <v>1639432644</v>
      </c>
      <c r="C679" t="str">
        <f>"207R00000X"</f>
        <v>207R00000X</v>
      </c>
      <c r="D679" t="str">
        <f>"HOGUE                    ANTWAN       J           "</f>
        <v xml:space="preserve">HOGUE                    ANTWAN       J           </v>
      </c>
      <c r="E679" t="str">
        <f>"MOBILE                    "</f>
        <v xml:space="preserve">MOBILE                    </v>
      </c>
      <c r="F679" t="str">
        <f t="shared" si="20"/>
        <v>AL</v>
      </c>
    </row>
    <row r="680" spans="1:6" x14ac:dyDescent="0.25">
      <c r="A680" t="str">
        <f>"008732751"</f>
        <v>008732751</v>
      </c>
      <c r="B680" t="str">
        <f>"1457554545"</f>
        <v>1457554545</v>
      </c>
      <c r="C680" t="str">
        <f>"208600000X"</f>
        <v>208600000X</v>
      </c>
      <c r="D680" t="str">
        <f>"PIERCE                   VIRGINIA     S           "</f>
        <v xml:space="preserve">PIERCE                   VIRGINIA     S           </v>
      </c>
      <c r="E680" t="str">
        <f>"BIRMINGHAM                "</f>
        <v xml:space="preserve">BIRMINGHAM                </v>
      </c>
      <c r="F680" t="str">
        <f t="shared" si="20"/>
        <v>AL</v>
      </c>
    </row>
    <row r="681" spans="1:6" x14ac:dyDescent="0.25">
      <c r="A681" t="str">
        <f>"008752298"</f>
        <v>008752298</v>
      </c>
      <c r="B681" t="str">
        <f>"1528161924"</f>
        <v>1528161924</v>
      </c>
      <c r="C681" t="str">
        <f>"208800000X"</f>
        <v>208800000X</v>
      </c>
      <c r="D681" t="str">
        <f>"SCOTT SR                 PAUL         A           "</f>
        <v xml:space="preserve">SCOTT SR                 PAUL         A           </v>
      </c>
      <c r="E681" t="str">
        <f>"MOBILE                    "</f>
        <v xml:space="preserve">MOBILE                    </v>
      </c>
      <c r="F681" t="str">
        <f t="shared" si="20"/>
        <v>AL</v>
      </c>
    </row>
    <row r="682" spans="1:6" x14ac:dyDescent="0.25">
      <c r="A682" t="str">
        <f>"008779547"</f>
        <v>008779547</v>
      </c>
      <c r="B682" t="str">
        <f>"1679788525"</f>
        <v>1679788525</v>
      </c>
      <c r="C682" t="str">
        <f>"2085R0202X"</f>
        <v>2085R0202X</v>
      </c>
      <c r="D682" t="str">
        <f>"LITTLE                   MARK         D           "</f>
        <v xml:space="preserve">LITTLE                   MARK         D           </v>
      </c>
      <c r="E682" t="str">
        <f>"BIRMINGHAM                "</f>
        <v xml:space="preserve">BIRMINGHAM                </v>
      </c>
      <c r="F682" t="str">
        <f t="shared" si="20"/>
        <v>AL</v>
      </c>
    </row>
    <row r="683" spans="1:6" x14ac:dyDescent="0.25">
      <c r="A683" t="str">
        <f>"008781306"</f>
        <v>008781306</v>
      </c>
      <c r="B683" t="str">
        <f>"1932308699"</f>
        <v>1932308699</v>
      </c>
      <c r="C683" t="str">
        <f>"2086S0129X"</f>
        <v>2086S0129X</v>
      </c>
      <c r="D683" t="str">
        <f>"PEARCE                   BENJAMIN     J           "</f>
        <v xml:space="preserve">PEARCE                   BENJAMIN     J           </v>
      </c>
      <c r="E683" t="str">
        <f>"BIRMINGHAM                "</f>
        <v xml:space="preserve">BIRMINGHAM                </v>
      </c>
      <c r="F683" t="str">
        <f t="shared" si="20"/>
        <v>AL</v>
      </c>
    </row>
    <row r="684" spans="1:6" x14ac:dyDescent="0.25">
      <c r="A684" t="str">
        <f>"008783306"</f>
        <v>008783306</v>
      </c>
      <c r="B684" t="str">
        <f>"1720281819"</f>
        <v>1720281819</v>
      </c>
      <c r="C684" t="str">
        <f>"208C00000X"</f>
        <v>208C00000X</v>
      </c>
      <c r="D684" t="str">
        <f>"GRIMM JR                 LEANDER      M           "</f>
        <v xml:space="preserve">GRIMM JR                 LEANDER      M           </v>
      </c>
      <c r="E684" t="str">
        <f>"MOBILE                    "</f>
        <v xml:space="preserve">MOBILE                    </v>
      </c>
      <c r="F684" t="str">
        <f t="shared" si="20"/>
        <v>AL</v>
      </c>
    </row>
    <row r="685" spans="1:6" x14ac:dyDescent="0.25">
      <c r="A685" t="str">
        <f>"008831042"</f>
        <v>008831042</v>
      </c>
      <c r="B685" t="str">
        <f>"1891138624"</f>
        <v>1891138624</v>
      </c>
      <c r="C685" t="str">
        <f>"207R00000X"</f>
        <v>207R00000X</v>
      </c>
      <c r="D685" t="str">
        <f>"OLIVER                   JAMES        C           "</f>
        <v xml:space="preserve">OLIVER                   JAMES        C           </v>
      </c>
      <c r="E685" t="str">
        <f>"BIRMINGHAM                "</f>
        <v xml:space="preserve">BIRMINGHAM                </v>
      </c>
      <c r="F685" t="str">
        <f t="shared" si="20"/>
        <v>AL</v>
      </c>
    </row>
    <row r="686" spans="1:6" x14ac:dyDescent="0.25">
      <c r="A686" t="str">
        <f>"008859033"</f>
        <v>008859033</v>
      </c>
      <c r="B686" t="str">
        <f>"1952369704"</f>
        <v>1952369704</v>
      </c>
      <c r="C686" t="str">
        <f>"2084N0400X"</f>
        <v>2084N0400X</v>
      </c>
      <c r="D686" t="str">
        <f>"YACOUBIAN                TALENE                   "</f>
        <v xml:space="preserve">YACOUBIAN                TALENE                   </v>
      </c>
      <c r="E686" t="str">
        <f>"BIRMINGHAM                "</f>
        <v xml:space="preserve">BIRMINGHAM                </v>
      </c>
      <c r="F686" t="str">
        <f t="shared" si="20"/>
        <v>AL</v>
      </c>
    </row>
    <row r="687" spans="1:6" x14ac:dyDescent="0.25">
      <c r="A687" t="str">
        <f>"008909867"</f>
        <v>008909867</v>
      </c>
      <c r="B687" t="str">
        <f>"1205808755"</f>
        <v>1205808755</v>
      </c>
      <c r="C687" t="str">
        <f>"2085R0202X"</f>
        <v>2085R0202X</v>
      </c>
      <c r="D687" t="str">
        <f>"BARNETT                  ROSS         W           "</f>
        <v xml:space="preserve">BARNETT                  ROSS         W           </v>
      </c>
      <c r="E687" t="str">
        <f>"MONTGOMERY                "</f>
        <v xml:space="preserve">MONTGOMERY                </v>
      </c>
      <c r="F687" t="str">
        <f t="shared" si="20"/>
        <v>AL</v>
      </c>
    </row>
    <row r="688" spans="1:6" x14ac:dyDescent="0.25">
      <c r="A688" t="str">
        <f>"008928703"</f>
        <v>008928703</v>
      </c>
      <c r="B688" t="str">
        <f>"1144673286"</f>
        <v>1144673286</v>
      </c>
      <c r="C688" t="str">
        <f>"2085R0202X"</f>
        <v>2085R0202X</v>
      </c>
      <c r="D688" t="str">
        <f>"AZIZ                     MUHAMMAD     U           "</f>
        <v xml:space="preserve">AZIZ                     MUHAMMAD     U           </v>
      </c>
      <c r="E688" t="str">
        <f>"BIRMINGHAM                "</f>
        <v xml:space="preserve">BIRMINGHAM                </v>
      </c>
      <c r="F688" t="str">
        <f t="shared" si="20"/>
        <v>AL</v>
      </c>
    </row>
    <row r="689" spans="1:6" x14ac:dyDescent="0.25">
      <c r="A689" t="str">
        <f>"008985051"</f>
        <v>008985051</v>
      </c>
      <c r="B689" t="str">
        <f>"1952625907"</f>
        <v>1952625907</v>
      </c>
      <c r="C689" t="str">
        <f>"207RX0202X"</f>
        <v>207RX0202X</v>
      </c>
      <c r="D689" t="str">
        <f>"ROSE                     JOHN         B           "</f>
        <v xml:space="preserve">ROSE                     JOHN         B           </v>
      </c>
      <c r="E689" t="str">
        <f>"BIRMINGHAM                "</f>
        <v xml:space="preserve">BIRMINGHAM                </v>
      </c>
      <c r="F689" t="str">
        <f t="shared" si="20"/>
        <v>AL</v>
      </c>
    </row>
    <row r="690" spans="1:6" x14ac:dyDescent="0.25">
      <c r="A690" t="str">
        <f>"008988788"</f>
        <v>008988788</v>
      </c>
      <c r="B690" t="str">
        <f>"1376715755"</f>
        <v>1376715755</v>
      </c>
      <c r="C690" t="str">
        <f>"2086S0127X"</f>
        <v>2086S0127X</v>
      </c>
      <c r="D690" t="str">
        <f>"SIMMONS                  JON          D           "</f>
        <v xml:space="preserve">SIMMONS                  JON          D           </v>
      </c>
      <c r="E690" t="str">
        <f>"MOBILE                    "</f>
        <v xml:space="preserve">MOBILE                    </v>
      </c>
      <c r="F690" t="str">
        <f t="shared" si="20"/>
        <v>AL</v>
      </c>
    </row>
    <row r="691" spans="1:6" x14ac:dyDescent="0.25">
      <c r="A691" t="str">
        <f>"009000758"</f>
        <v>009000758</v>
      </c>
      <c r="B691" t="str">
        <f>"1104025014"</f>
        <v>1104025014</v>
      </c>
      <c r="C691" t="str">
        <f>"367500000X"</f>
        <v>367500000X</v>
      </c>
      <c r="D691" t="str">
        <f>"TOMLINSON                MICHAEL                  "</f>
        <v xml:space="preserve">TOMLINSON                MICHAEL                  </v>
      </c>
      <c r="E691" t="str">
        <f>"MOBILE                    "</f>
        <v xml:space="preserve">MOBILE                    </v>
      </c>
      <c r="F691" t="str">
        <f t="shared" si="20"/>
        <v>AL</v>
      </c>
    </row>
    <row r="692" spans="1:6" x14ac:dyDescent="0.25">
      <c r="A692" t="str">
        <f>"009006337"</f>
        <v>009006337</v>
      </c>
      <c r="B692" t="str">
        <f>"1003420456"</f>
        <v>1003420456</v>
      </c>
      <c r="C692" t="str">
        <f>"363A00000X"</f>
        <v>363A00000X</v>
      </c>
      <c r="D692" t="str">
        <f>"SHUMAKER                 ROBIN        H           "</f>
        <v xml:space="preserve">SHUMAKER                 ROBIN        H           </v>
      </c>
      <c r="E692" t="str">
        <f>"MOBILE                    "</f>
        <v xml:space="preserve">MOBILE                    </v>
      </c>
      <c r="F692" t="str">
        <f t="shared" si="20"/>
        <v>AL</v>
      </c>
    </row>
    <row r="693" spans="1:6" x14ac:dyDescent="0.25">
      <c r="A693" t="str">
        <f>"009022557"</f>
        <v>009022557</v>
      </c>
      <c r="B693" t="str">
        <f>"1962867127"</f>
        <v>1962867127</v>
      </c>
      <c r="C693" t="str">
        <f>"363L00000X"</f>
        <v>363L00000X</v>
      </c>
      <c r="D693" t="str">
        <f>"MOSLEY                   JESSICA                  "</f>
        <v xml:space="preserve">MOSLEY                   JESSICA                  </v>
      </c>
      <c r="E693" t="str">
        <f>"LIVINGSTON                "</f>
        <v xml:space="preserve">LIVINGSTON                </v>
      </c>
      <c r="F693" t="str">
        <f t="shared" si="20"/>
        <v>AL</v>
      </c>
    </row>
    <row r="694" spans="1:6" x14ac:dyDescent="0.25">
      <c r="A694" t="str">
        <f>"009022769"</f>
        <v>009022769</v>
      </c>
      <c r="B694" t="str">
        <f>"1194018952"</f>
        <v>1194018952</v>
      </c>
      <c r="C694" t="str">
        <f>"207V00000X"</f>
        <v>207V00000X</v>
      </c>
      <c r="D694" t="str">
        <f>"SINKEY                   RACHEL       G           "</f>
        <v xml:space="preserve">SINKEY                   RACHEL       G           </v>
      </c>
      <c r="E694" t="str">
        <f t="shared" ref="E694:E702" si="21">"BIRMINGHAM                "</f>
        <v xml:space="preserve">BIRMINGHAM                </v>
      </c>
      <c r="F694" t="str">
        <f t="shared" si="20"/>
        <v>AL</v>
      </c>
    </row>
    <row r="695" spans="1:6" x14ac:dyDescent="0.25">
      <c r="A695" t="str">
        <f>"009038349"</f>
        <v>009038349</v>
      </c>
      <c r="B695" t="str">
        <f>"1790708162"</f>
        <v>1790708162</v>
      </c>
      <c r="C695" t="str">
        <f>"2086S0127X"</f>
        <v>2086S0127X</v>
      </c>
      <c r="D695" t="str">
        <f>"WINDHAM III              SAMUEL       T           "</f>
        <v xml:space="preserve">WINDHAM III              SAMUEL       T           </v>
      </c>
      <c r="E695" t="str">
        <f t="shared" si="21"/>
        <v xml:space="preserve">BIRMINGHAM                </v>
      </c>
      <c r="F695" t="str">
        <f t="shared" si="20"/>
        <v>AL</v>
      </c>
    </row>
    <row r="696" spans="1:6" x14ac:dyDescent="0.25">
      <c r="A696" t="str">
        <f>"009039214"</f>
        <v>009039214</v>
      </c>
      <c r="B696" t="str">
        <f>"1982984431"</f>
        <v>1982984431</v>
      </c>
      <c r="C696" t="str">
        <f>"207P00000X"</f>
        <v>207P00000X</v>
      </c>
      <c r="D696" t="str">
        <f>"WHITSON                  MICAH        R           "</f>
        <v xml:space="preserve">WHITSON                  MICAH        R           </v>
      </c>
      <c r="E696" t="str">
        <f t="shared" si="21"/>
        <v xml:space="preserve">BIRMINGHAM                </v>
      </c>
      <c r="F696" t="str">
        <f t="shared" si="20"/>
        <v>AL</v>
      </c>
    </row>
    <row r="697" spans="1:6" x14ac:dyDescent="0.25">
      <c r="A697" t="str">
        <f>"009050579"</f>
        <v>009050579</v>
      </c>
      <c r="B697" t="str">
        <f>"1487664454"</f>
        <v>1487664454</v>
      </c>
      <c r="C697" t="str">
        <f>"2085R0202X"</f>
        <v>2085R0202X</v>
      </c>
      <c r="D697" t="str">
        <f>"VIDAL                    JORGE        A           "</f>
        <v xml:space="preserve">VIDAL                    JORGE        A           </v>
      </c>
      <c r="E697" t="str">
        <f t="shared" si="21"/>
        <v xml:space="preserve">BIRMINGHAM                </v>
      </c>
      <c r="F697" t="str">
        <f t="shared" si="20"/>
        <v>AL</v>
      </c>
    </row>
    <row r="698" spans="1:6" x14ac:dyDescent="0.25">
      <c r="A698" t="str">
        <f>"009058551"</f>
        <v>009058551</v>
      </c>
      <c r="B698" t="str">
        <f>"1396001004"</f>
        <v>1396001004</v>
      </c>
      <c r="C698" t="str">
        <f>"208600000X"</f>
        <v>208600000X</v>
      </c>
      <c r="D698" t="str">
        <f>"HOLLIS IV                ROBERT                   "</f>
        <v xml:space="preserve">HOLLIS IV                ROBERT                   </v>
      </c>
      <c r="E698" t="str">
        <f t="shared" si="21"/>
        <v xml:space="preserve">BIRMINGHAM                </v>
      </c>
      <c r="F698" t="str">
        <f t="shared" si="20"/>
        <v>AL</v>
      </c>
    </row>
    <row r="699" spans="1:6" x14ac:dyDescent="0.25">
      <c r="A699" t="str">
        <f>"009073282"</f>
        <v>009073282</v>
      </c>
      <c r="B699" t="str">
        <f>"1386858157"</f>
        <v>1386858157</v>
      </c>
      <c r="C699" t="str">
        <f>"2086S0102X"</f>
        <v>2086S0102X</v>
      </c>
      <c r="D699" t="str">
        <f>"COX                      DANIEL                   "</f>
        <v xml:space="preserve">COX                      DANIEL                   </v>
      </c>
      <c r="E699" t="str">
        <f t="shared" si="21"/>
        <v xml:space="preserve">BIRMINGHAM                </v>
      </c>
      <c r="F699" t="str">
        <f t="shared" si="20"/>
        <v>AL</v>
      </c>
    </row>
    <row r="700" spans="1:6" x14ac:dyDescent="0.25">
      <c r="A700" t="str">
        <f>"009073710"</f>
        <v>009073710</v>
      </c>
      <c r="B700" t="str">
        <f>"1891792420"</f>
        <v>1891792420</v>
      </c>
      <c r="C700" t="str">
        <f>"207L00000X"</f>
        <v>207L00000X</v>
      </c>
      <c r="D700" t="str">
        <f>"SIPE                     SANDRA       S           "</f>
        <v xml:space="preserve">SIPE                     SANDRA       S           </v>
      </c>
      <c r="E700" t="str">
        <f t="shared" si="21"/>
        <v xml:space="preserve">BIRMINGHAM                </v>
      </c>
      <c r="F700" t="str">
        <f t="shared" si="20"/>
        <v>AL</v>
      </c>
    </row>
    <row r="701" spans="1:6" x14ac:dyDescent="0.25">
      <c r="A701" t="str">
        <f>"009078568"</f>
        <v>009078568</v>
      </c>
      <c r="B701" t="str">
        <f>"1487663225"</f>
        <v>1487663225</v>
      </c>
      <c r="C701" t="str">
        <f>"207R00000X"</f>
        <v>207R00000X</v>
      </c>
      <c r="D701" t="str">
        <f>"JOHNSON                  JAMES        E           "</f>
        <v xml:space="preserve">JOHNSON                  JAMES        E           </v>
      </c>
      <c r="E701" t="str">
        <f t="shared" si="21"/>
        <v xml:space="preserve">BIRMINGHAM                </v>
      </c>
      <c r="F701" t="str">
        <f t="shared" si="20"/>
        <v>AL</v>
      </c>
    </row>
    <row r="702" spans="1:6" x14ac:dyDescent="0.25">
      <c r="A702" t="str">
        <f>"009107862"</f>
        <v>009107862</v>
      </c>
      <c r="B702" t="str">
        <f>"1508110818"</f>
        <v>1508110818</v>
      </c>
      <c r="C702" t="str">
        <f>"363L00000X"</f>
        <v>363L00000X</v>
      </c>
      <c r="D702" t="str">
        <f>"FORESTER                 DEBBY        A           "</f>
        <v xml:space="preserve">FORESTER                 DEBBY        A           </v>
      </c>
      <c r="E702" t="str">
        <f t="shared" si="21"/>
        <v xml:space="preserve">BIRMINGHAM                </v>
      </c>
      <c r="F702" t="str">
        <f t="shared" si="20"/>
        <v>AL</v>
      </c>
    </row>
    <row r="703" spans="1:6" x14ac:dyDescent="0.25">
      <c r="A703" t="str">
        <f>"009108797"</f>
        <v>009108797</v>
      </c>
      <c r="B703" t="str">
        <f>"1710292941"</f>
        <v>1710292941</v>
      </c>
      <c r="C703" t="str">
        <f>"207ZP0102X"</f>
        <v>207ZP0102X</v>
      </c>
      <c r="D703" t="str">
        <f>"ELKADI                   OSAMA                    "</f>
        <v xml:space="preserve">ELKADI                   OSAMA                    </v>
      </c>
      <c r="E703" t="str">
        <f>"MOBILE                    "</f>
        <v xml:space="preserve">MOBILE                    </v>
      </c>
      <c r="F703" t="str">
        <f t="shared" si="20"/>
        <v>AL</v>
      </c>
    </row>
    <row r="704" spans="1:6" x14ac:dyDescent="0.25">
      <c r="A704" t="str">
        <f>"009133721"</f>
        <v>009133721</v>
      </c>
      <c r="B704" t="str">
        <f>"1962947986"</f>
        <v>1962947986</v>
      </c>
      <c r="C704" t="str">
        <f>"363L00000X"</f>
        <v>363L00000X</v>
      </c>
      <c r="D704" t="str">
        <f>"LAWLER                   DANA                     "</f>
        <v xml:space="preserve">LAWLER                   DANA                     </v>
      </c>
      <c r="E704" t="str">
        <f>"FLORENCE                  "</f>
        <v xml:space="preserve">FLORENCE                  </v>
      </c>
      <c r="F704" t="str">
        <f t="shared" si="20"/>
        <v>AL</v>
      </c>
    </row>
    <row r="705" spans="1:6" x14ac:dyDescent="0.25">
      <c r="A705" t="str">
        <f>"009139274"</f>
        <v>009139274</v>
      </c>
      <c r="B705" t="str">
        <f>"1114992310"</f>
        <v>1114992310</v>
      </c>
      <c r="C705" t="str">
        <f>"208600000X"</f>
        <v>208600000X</v>
      </c>
      <c r="D705" t="str">
        <f>"STAHL                    RICHARD                  "</f>
        <v xml:space="preserve">STAHL                    RICHARD                  </v>
      </c>
      <c r="E705" t="str">
        <f>"BIRMINGHAM                "</f>
        <v xml:space="preserve">BIRMINGHAM                </v>
      </c>
      <c r="F705" t="str">
        <f t="shared" si="20"/>
        <v>AL</v>
      </c>
    </row>
    <row r="706" spans="1:6" x14ac:dyDescent="0.25">
      <c r="A706" t="str">
        <f>"009159855"</f>
        <v>009159855</v>
      </c>
      <c r="B706" t="str">
        <f>"1871548339"</f>
        <v>1871548339</v>
      </c>
      <c r="C706" t="str">
        <f>"207RN0300X"</f>
        <v>207RN0300X</v>
      </c>
      <c r="D706" t="str">
        <f>"BELL                     EMMY         K           "</f>
        <v xml:space="preserve">BELL                     EMMY         K           </v>
      </c>
      <c r="E706" t="str">
        <f>"BIRMINGHAM                "</f>
        <v xml:space="preserve">BIRMINGHAM                </v>
      </c>
      <c r="F706" t="str">
        <f t="shared" si="20"/>
        <v>AL</v>
      </c>
    </row>
    <row r="707" spans="1:6" x14ac:dyDescent="0.25">
      <c r="A707" t="str">
        <f>"009172836"</f>
        <v>009172836</v>
      </c>
      <c r="B707" t="str">
        <f>"1316554876"</f>
        <v>1316554876</v>
      </c>
      <c r="C707" t="str">
        <f>"207R00000X"</f>
        <v>207R00000X</v>
      </c>
      <c r="D707" t="str">
        <f>"MILLER                   ADAM         N           "</f>
        <v xml:space="preserve">MILLER                   ADAM         N           </v>
      </c>
      <c r="E707" t="str">
        <f>"MOBILE                    "</f>
        <v xml:space="preserve">MOBILE                    </v>
      </c>
      <c r="F707" t="str">
        <f t="shared" si="20"/>
        <v>AL</v>
      </c>
    </row>
    <row r="708" spans="1:6" x14ac:dyDescent="0.25">
      <c r="A708" t="str">
        <f>"009180214"</f>
        <v>009180214</v>
      </c>
      <c r="B708" t="str">
        <f>"1528403367"</f>
        <v>1528403367</v>
      </c>
      <c r="C708" t="str">
        <f>"207L00000X"</f>
        <v>207L00000X</v>
      </c>
      <c r="D708" t="str">
        <f>"FLOWERS RAFIELD          GRACE        P           "</f>
        <v xml:space="preserve">FLOWERS RAFIELD          GRACE        P           </v>
      </c>
      <c r="E708" t="str">
        <f>"BIRMINGHAM                "</f>
        <v xml:space="preserve">BIRMINGHAM                </v>
      </c>
      <c r="F708" t="str">
        <f t="shared" si="20"/>
        <v>AL</v>
      </c>
    </row>
    <row r="709" spans="1:6" x14ac:dyDescent="0.25">
      <c r="A709" t="str">
        <f>"009188852"</f>
        <v>009188852</v>
      </c>
      <c r="B709" t="str">
        <f>"1871765552"</f>
        <v>1871765552</v>
      </c>
      <c r="C709" t="str">
        <f>"207RG0100X"</f>
        <v>207RG0100X</v>
      </c>
      <c r="D709" t="str">
        <f>"SUGANDHA                 SHAJANPETER  A           "</f>
        <v xml:space="preserve">SUGANDHA                 SHAJANPETER  A           </v>
      </c>
      <c r="E709" t="str">
        <f>"BIRMINGHAM                "</f>
        <v xml:space="preserve">BIRMINGHAM                </v>
      </c>
      <c r="F709" t="str">
        <f t="shared" si="20"/>
        <v>AL</v>
      </c>
    </row>
    <row r="710" spans="1:6" x14ac:dyDescent="0.25">
      <c r="A710" t="str">
        <f>"009200222"</f>
        <v>009200222</v>
      </c>
      <c r="B710" t="str">
        <f>"1205128790"</f>
        <v>1205128790</v>
      </c>
      <c r="C710" t="str">
        <f>"207T00000X"</f>
        <v>207T00000X</v>
      </c>
      <c r="D710" t="str">
        <f>"MENGER                   RICHARD      P           "</f>
        <v xml:space="preserve">MENGER                   RICHARD      P           </v>
      </c>
      <c r="E710" t="str">
        <f>"MOBILE                    "</f>
        <v xml:space="preserve">MOBILE                    </v>
      </c>
      <c r="F710" t="str">
        <f t="shared" si="20"/>
        <v>AL</v>
      </c>
    </row>
    <row r="711" spans="1:6" x14ac:dyDescent="0.25">
      <c r="A711" t="str">
        <f>"009220756"</f>
        <v>009220756</v>
      </c>
      <c r="B711" t="str">
        <f>"1639398019"</f>
        <v>1639398019</v>
      </c>
      <c r="C711" t="str">
        <f>"207R00000X"</f>
        <v>207R00000X</v>
      </c>
      <c r="D711" t="str">
        <f>"MYERS                    LORI         A           "</f>
        <v xml:space="preserve">MYERS                    LORI         A           </v>
      </c>
      <c r="E711" t="str">
        <f>"MOBILE                    "</f>
        <v xml:space="preserve">MOBILE                    </v>
      </c>
      <c r="F711" t="str">
        <f t="shared" ref="F711:F774" si="22">"AL"</f>
        <v>AL</v>
      </c>
    </row>
    <row r="712" spans="1:6" x14ac:dyDescent="0.25">
      <c r="A712" t="str">
        <f>"009230510"</f>
        <v>009230510</v>
      </c>
      <c r="B712" t="str">
        <f>"1801250303"</f>
        <v>1801250303</v>
      </c>
      <c r="C712" t="str">
        <f>"207V00000X"</f>
        <v>207V00000X</v>
      </c>
      <c r="D712" t="str">
        <f>"BOITANO                  TERESA       K           "</f>
        <v xml:space="preserve">BOITANO                  TERESA       K           </v>
      </c>
      <c r="E712" t="str">
        <f>"BIRMINGHAM                "</f>
        <v xml:space="preserve">BIRMINGHAM                </v>
      </c>
      <c r="F712" t="str">
        <f t="shared" si="22"/>
        <v>AL</v>
      </c>
    </row>
    <row r="713" spans="1:6" x14ac:dyDescent="0.25">
      <c r="A713" t="str">
        <f>"009231547"</f>
        <v>009231547</v>
      </c>
      <c r="B713" t="str">
        <f>"1821548348"</f>
        <v>1821548348</v>
      </c>
      <c r="C713" t="str">
        <f>"363L00000X"</f>
        <v>363L00000X</v>
      </c>
      <c r="D713" t="str">
        <f>"MCCREIGHT                JESSICA      D           "</f>
        <v xml:space="preserve">MCCREIGHT                JESSICA      D           </v>
      </c>
      <c r="E713" t="str">
        <f>"BIRMINGHAM                "</f>
        <v xml:space="preserve">BIRMINGHAM                </v>
      </c>
      <c r="F713" t="str">
        <f t="shared" si="22"/>
        <v>AL</v>
      </c>
    </row>
    <row r="714" spans="1:6" x14ac:dyDescent="0.25">
      <c r="A714" t="str">
        <f>"009233814"</f>
        <v>009233814</v>
      </c>
      <c r="B714" t="str">
        <f>"1003466228"</f>
        <v>1003466228</v>
      </c>
      <c r="C714" t="str">
        <f>"363L00000X"</f>
        <v>363L00000X</v>
      </c>
      <c r="D714" t="str">
        <f>"DUREN                    RYNE         S           "</f>
        <v xml:space="preserve">DUREN                    RYNE         S           </v>
      </c>
      <c r="E714" t="str">
        <f>"BIRMINGHAM                "</f>
        <v xml:space="preserve">BIRMINGHAM                </v>
      </c>
      <c r="F714" t="str">
        <f t="shared" si="22"/>
        <v>AL</v>
      </c>
    </row>
    <row r="715" spans="1:6" x14ac:dyDescent="0.25">
      <c r="A715" t="str">
        <f>"009250524"</f>
        <v>009250524</v>
      </c>
      <c r="B715" t="str">
        <f>"1336164482"</f>
        <v>1336164482</v>
      </c>
      <c r="C715" t="str">
        <f>"207V00000X"</f>
        <v>207V00000X</v>
      </c>
      <c r="D715" t="str">
        <f>"JENKINS                  TODD         R           "</f>
        <v xml:space="preserve">JENKINS                  TODD         R           </v>
      </c>
      <c r="E715" t="str">
        <f>"BIRMINGHAM                "</f>
        <v xml:space="preserve">BIRMINGHAM                </v>
      </c>
      <c r="F715" t="str">
        <f t="shared" si="22"/>
        <v>AL</v>
      </c>
    </row>
    <row r="716" spans="1:6" x14ac:dyDescent="0.25">
      <c r="A716" t="str">
        <f>"009271811"</f>
        <v>009271811</v>
      </c>
      <c r="B716" t="str">
        <f>"1932209277"</f>
        <v>1932209277</v>
      </c>
      <c r="C716" t="str">
        <f>"367500000X"</f>
        <v>367500000X</v>
      </c>
      <c r="D716" t="str">
        <f>"NAYLOR                   RICKEY       J           "</f>
        <v xml:space="preserve">NAYLOR                   RICKEY       J           </v>
      </c>
      <c r="E716" t="str">
        <f>"MOBILE                    "</f>
        <v xml:space="preserve">MOBILE                    </v>
      </c>
      <c r="F716" t="str">
        <f t="shared" si="22"/>
        <v>AL</v>
      </c>
    </row>
    <row r="717" spans="1:6" x14ac:dyDescent="0.25">
      <c r="A717" t="str">
        <f>"009277531"</f>
        <v>009277531</v>
      </c>
      <c r="B717" t="str">
        <f>"1972979797"</f>
        <v>1972979797</v>
      </c>
      <c r="C717" t="str">
        <f>"2080N0001X"</f>
        <v>2080N0001X</v>
      </c>
      <c r="D717" t="str">
        <f>"VAMESU                   BIANCA       M           "</f>
        <v xml:space="preserve">VAMESU                   BIANCA       M           </v>
      </c>
      <c r="E717" t="str">
        <f>"MOBILE                    "</f>
        <v xml:space="preserve">MOBILE                    </v>
      </c>
      <c r="F717" t="str">
        <f t="shared" si="22"/>
        <v>AL</v>
      </c>
    </row>
    <row r="718" spans="1:6" x14ac:dyDescent="0.25">
      <c r="A718" t="str">
        <f>"009277700"</f>
        <v>009277700</v>
      </c>
      <c r="B718" t="str">
        <f>"1235461930"</f>
        <v>1235461930</v>
      </c>
      <c r="C718" t="str">
        <f>"207RP1001X"</f>
        <v>207RP1001X</v>
      </c>
      <c r="D718" t="str">
        <f>"LEE                      JI YOUNG                 "</f>
        <v xml:space="preserve">LEE                      JI YOUNG                 </v>
      </c>
      <c r="E718" t="str">
        <f>"MOBILE                    "</f>
        <v xml:space="preserve">MOBILE                    </v>
      </c>
      <c r="F718" t="str">
        <f t="shared" si="22"/>
        <v>AL</v>
      </c>
    </row>
    <row r="719" spans="1:6" x14ac:dyDescent="0.25">
      <c r="A719" t="str">
        <f>"009287064"</f>
        <v>009287064</v>
      </c>
      <c r="B719" t="str">
        <f>"1578906236"</f>
        <v>1578906236</v>
      </c>
      <c r="C719" t="str">
        <f>"207L00000X"</f>
        <v>207L00000X</v>
      </c>
      <c r="D719" t="str">
        <f>"BROYLES                  MATTHEW      G           "</f>
        <v xml:space="preserve">BROYLES                  MATTHEW      G           </v>
      </c>
      <c r="E719" t="str">
        <f>"BIRMINGHAM                "</f>
        <v xml:space="preserve">BIRMINGHAM                </v>
      </c>
      <c r="F719" t="str">
        <f t="shared" si="22"/>
        <v>AL</v>
      </c>
    </row>
    <row r="720" spans="1:6" x14ac:dyDescent="0.25">
      <c r="A720" t="str">
        <f>"009287367"</f>
        <v>009287367</v>
      </c>
      <c r="B720" t="str">
        <f>"1437245420"</f>
        <v>1437245420</v>
      </c>
      <c r="C720" t="str">
        <f>"2085R0202X"</f>
        <v>2085R0202X</v>
      </c>
      <c r="D720" t="str">
        <f>"PETERS                   BRANDON      M           "</f>
        <v xml:space="preserve">PETERS                   BRANDON      M           </v>
      </c>
      <c r="E720" t="str">
        <f>"MOBILE                    "</f>
        <v xml:space="preserve">MOBILE                    </v>
      </c>
      <c r="F720" t="str">
        <f t="shared" si="22"/>
        <v>AL</v>
      </c>
    </row>
    <row r="721" spans="1:6" x14ac:dyDescent="0.25">
      <c r="A721" t="str">
        <f>"009305861"</f>
        <v>009305861</v>
      </c>
      <c r="B721" t="str">
        <f>"1699973669"</f>
        <v>1699973669</v>
      </c>
      <c r="C721" t="str">
        <f>"2084N0400X"</f>
        <v>2084N0400X</v>
      </c>
      <c r="D721" t="str">
        <f>"AGNIHOTRI                SHRUTI       P           "</f>
        <v xml:space="preserve">AGNIHOTRI                SHRUTI       P           </v>
      </c>
      <c r="E721" t="str">
        <f>"BIRMINGHAM                "</f>
        <v xml:space="preserve">BIRMINGHAM                </v>
      </c>
      <c r="F721" t="str">
        <f t="shared" si="22"/>
        <v>AL</v>
      </c>
    </row>
    <row r="722" spans="1:6" x14ac:dyDescent="0.25">
      <c r="A722" t="str">
        <f>"009336591"</f>
        <v>009336591</v>
      </c>
      <c r="B722" t="str">
        <f>"1700066677"</f>
        <v>1700066677</v>
      </c>
      <c r="C722" t="str">
        <f>"2084N0400X"</f>
        <v>2084N0400X</v>
      </c>
      <c r="D722" t="str">
        <f>"DEES                     DANIEL       D           "</f>
        <v xml:space="preserve">DEES                     DANIEL       D           </v>
      </c>
      <c r="E722" t="str">
        <f>"MOBILE                    "</f>
        <v xml:space="preserve">MOBILE                    </v>
      </c>
      <c r="F722" t="str">
        <f t="shared" si="22"/>
        <v>AL</v>
      </c>
    </row>
    <row r="723" spans="1:6" x14ac:dyDescent="0.25">
      <c r="A723" t="str">
        <f>"009356245"</f>
        <v>009356245</v>
      </c>
      <c r="B723" t="str">
        <f>"1306050109"</f>
        <v>1306050109</v>
      </c>
      <c r="C723" t="str">
        <f>"2086X0206X"</f>
        <v>2086X0206X</v>
      </c>
      <c r="D723" t="str">
        <f>"LILES                    JOE          S           "</f>
        <v xml:space="preserve">LILES                    JOE          S           </v>
      </c>
      <c r="E723" t="str">
        <f>"MOBILE                    "</f>
        <v xml:space="preserve">MOBILE                    </v>
      </c>
      <c r="F723" t="str">
        <f t="shared" si="22"/>
        <v>AL</v>
      </c>
    </row>
    <row r="724" spans="1:6" x14ac:dyDescent="0.25">
      <c r="A724" t="str">
        <f>"009389386"</f>
        <v>009389386</v>
      </c>
      <c r="B724" t="str">
        <f>"1376094516"</f>
        <v>1376094516</v>
      </c>
      <c r="C724" t="str">
        <f>"363L00000X"</f>
        <v>363L00000X</v>
      </c>
      <c r="D724" t="str">
        <f>"SLAY                     CATHERINE    D           "</f>
        <v xml:space="preserve">SLAY                     CATHERINE    D           </v>
      </c>
      <c r="E724" t="str">
        <f>"BIRMINGHAM                "</f>
        <v xml:space="preserve">BIRMINGHAM                </v>
      </c>
      <c r="F724" t="str">
        <f t="shared" si="22"/>
        <v>AL</v>
      </c>
    </row>
    <row r="725" spans="1:6" x14ac:dyDescent="0.25">
      <c r="A725" t="str">
        <f>"009437567"</f>
        <v>009437567</v>
      </c>
      <c r="B725" t="str">
        <f>"1285077784"</f>
        <v>1285077784</v>
      </c>
      <c r="C725" t="str">
        <f>"208M00000X"</f>
        <v>208M00000X</v>
      </c>
      <c r="D725" t="str">
        <f>"FOUST                    ANNA         C           "</f>
        <v xml:space="preserve">FOUST                    ANNA         C           </v>
      </c>
      <c r="E725" t="str">
        <f>"MOBILE                    "</f>
        <v xml:space="preserve">MOBILE                    </v>
      </c>
      <c r="F725" t="str">
        <f t="shared" si="22"/>
        <v>AL</v>
      </c>
    </row>
    <row r="726" spans="1:6" x14ac:dyDescent="0.25">
      <c r="A726" t="str">
        <f>"009438595"</f>
        <v>009438595</v>
      </c>
      <c r="B726" t="str">
        <f>"1336502822"</f>
        <v>1336502822</v>
      </c>
      <c r="C726" t="str">
        <f>"207RG0100X"</f>
        <v>207RG0100X</v>
      </c>
      <c r="D726" t="str">
        <f>"MARSHALL                 MARY         C           "</f>
        <v xml:space="preserve">MARSHALL                 MARY         C           </v>
      </c>
      <c r="E726" t="str">
        <f>"MOBILE                    "</f>
        <v xml:space="preserve">MOBILE                    </v>
      </c>
      <c r="F726" t="str">
        <f t="shared" si="22"/>
        <v>AL</v>
      </c>
    </row>
    <row r="727" spans="1:6" x14ac:dyDescent="0.25">
      <c r="A727" t="str">
        <f>"009453097"</f>
        <v>009453097</v>
      </c>
      <c r="B727" t="str">
        <f>"1841600707"</f>
        <v>1841600707</v>
      </c>
      <c r="C727" t="str">
        <f>"207RC0200X"</f>
        <v>207RC0200X</v>
      </c>
      <c r="D727" t="str">
        <f>"JOHN                     SONIA        M           "</f>
        <v xml:space="preserve">JOHN                     SONIA        M           </v>
      </c>
      <c r="E727" t="str">
        <f>"BIRMINGHAM                "</f>
        <v xml:space="preserve">BIRMINGHAM                </v>
      </c>
      <c r="F727" t="str">
        <f t="shared" si="22"/>
        <v>AL</v>
      </c>
    </row>
    <row r="728" spans="1:6" x14ac:dyDescent="0.25">
      <c r="A728" t="str">
        <f>"009457066"</f>
        <v>009457066</v>
      </c>
      <c r="B728" t="str">
        <f>"1578854766"</f>
        <v>1578854766</v>
      </c>
      <c r="C728" t="str">
        <f>"207W00000X"</f>
        <v>207W00000X</v>
      </c>
      <c r="D728" t="str">
        <f>"BURTON                   RYAN         C           "</f>
        <v xml:space="preserve">BURTON                   RYAN         C           </v>
      </c>
      <c r="E728" t="str">
        <f>"MOBILE                    "</f>
        <v xml:space="preserve">MOBILE                    </v>
      </c>
      <c r="F728" t="str">
        <f t="shared" si="22"/>
        <v>AL</v>
      </c>
    </row>
    <row r="729" spans="1:6" x14ac:dyDescent="0.25">
      <c r="A729" t="str">
        <f>"009458068"</f>
        <v>009458068</v>
      </c>
      <c r="B729" t="str">
        <f>"1053829556"</f>
        <v>1053829556</v>
      </c>
      <c r="C729" t="str">
        <f>"363L00000X"</f>
        <v>363L00000X</v>
      </c>
      <c r="D729" t="str">
        <f>"MCGOWIN                  EMILY        F           "</f>
        <v xml:space="preserve">MCGOWIN                  EMILY        F           </v>
      </c>
      <c r="E729" t="str">
        <f>"MOBILE                    "</f>
        <v xml:space="preserve">MOBILE                    </v>
      </c>
      <c r="F729" t="str">
        <f t="shared" si="22"/>
        <v>AL</v>
      </c>
    </row>
    <row r="730" spans="1:6" x14ac:dyDescent="0.25">
      <c r="A730" t="str">
        <f>"009471564"</f>
        <v>009471564</v>
      </c>
      <c r="B730" t="str">
        <f>"1649710054"</f>
        <v>1649710054</v>
      </c>
      <c r="C730" t="str">
        <f>"363L00000X"</f>
        <v>363L00000X</v>
      </c>
      <c r="D730" t="str">
        <f>"LYLE                     KATHRYN      M           "</f>
        <v xml:space="preserve">LYLE                     KATHRYN      M           </v>
      </c>
      <c r="E730" t="str">
        <f>"BIRMINGHAM                "</f>
        <v xml:space="preserve">BIRMINGHAM                </v>
      </c>
      <c r="F730" t="str">
        <f t="shared" si="22"/>
        <v>AL</v>
      </c>
    </row>
    <row r="731" spans="1:6" x14ac:dyDescent="0.25">
      <c r="A731" t="str">
        <f>"009486855"</f>
        <v>009486855</v>
      </c>
      <c r="B731" t="str">
        <f>"1689074668"</f>
        <v>1689074668</v>
      </c>
      <c r="C731" t="str">
        <f>"363L00000X"</f>
        <v>363L00000X</v>
      </c>
      <c r="D731" t="str">
        <f>"MOORE                    EMILY        C           "</f>
        <v xml:space="preserve">MOORE                    EMILY        C           </v>
      </c>
      <c r="E731" t="str">
        <f>"MOBILE                    "</f>
        <v xml:space="preserve">MOBILE                    </v>
      </c>
      <c r="F731" t="str">
        <f t="shared" si="22"/>
        <v>AL</v>
      </c>
    </row>
    <row r="732" spans="1:6" x14ac:dyDescent="0.25">
      <c r="A732" t="str">
        <f>"009500517"</f>
        <v>009500517</v>
      </c>
      <c r="B732" t="str">
        <f>"1235211988"</f>
        <v>1235211988</v>
      </c>
      <c r="C732" t="str">
        <f>"367500000X"</f>
        <v>367500000X</v>
      </c>
      <c r="D732" t="str">
        <f>"VIAL                     SHEILA       F           "</f>
        <v xml:space="preserve">VIAL                     SHEILA       F           </v>
      </c>
      <c r="E732" t="str">
        <f>"MOBILE                    "</f>
        <v xml:space="preserve">MOBILE                    </v>
      </c>
      <c r="F732" t="str">
        <f t="shared" si="22"/>
        <v>AL</v>
      </c>
    </row>
    <row r="733" spans="1:6" x14ac:dyDescent="0.25">
      <c r="A733" t="str">
        <f>"009502321"</f>
        <v>009502321</v>
      </c>
      <c r="B733" t="str">
        <f>"1962610709"</f>
        <v>1962610709</v>
      </c>
      <c r="C733" t="str">
        <f>"207T00000X"</f>
        <v>207T00000X</v>
      </c>
      <c r="D733" t="str">
        <f>"HARMON                   DANIEL       K           "</f>
        <v xml:space="preserve">HARMON                   DANIEL       K           </v>
      </c>
      <c r="E733" t="str">
        <f>"BIRMINGHAM                "</f>
        <v xml:space="preserve">BIRMINGHAM                </v>
      </c>
      <c r="F733" t="str">
        <f t="shared" si="22"/>
        <v>AL</v>
      </c>
    </row>
    <row r="734" spans="1:6" x14ac:dyDescent="0.25">
      <c r="A734" t="str">
        <f>"009530705"</f>
        <v>009530705</v>
      </c>
      <c r="B734" t="str">
        <f>"1285674150"</f>
        <v>1285674150</v>
      </c>
      <c r="C734" t="str">
        <f>"207R00000X"</f>
        <v>207R00000X</v>
      </c>
      <c r="D734" t="str">
        <f>"WESTERMAN                JAN          H           "</f>
        <v xml:space="preserve">WESTERMAN                JAN          H           </v>
      </c>
      <c r="E734" t="str">
        <f>"FLORENCE                  "</f>
        <v xml:space="preserve">FLORENCE                  </v>
      </c>
      <c r="F734" t="str">
        <f t="shared" si="22"/>
        <v>AL</v>
      </c>
    </row>
    <row r="735" spans="1:6" x14ac:dyDescent="0.25">
      <c r="A735" t="str">
        <f>"009532204"</f>
        <v>009532204</v>
      </c>
      <c r="B735" t="str">
        <f>"1861420440"</f>
        <v>1861420440</v>
      </c>
      <c r="C735" t="str">
        <f>"207RP1001X"</f>
        <v>207RP1001X</v>
      </c>
      <c r="D735" t="str">
        <f>"LEON                     KEVIN        J           "</f>
        <v xml:space="preserve">LEON                     KEVIN        J           </v>
      </c>
      <c r="E735" t="str">
        <f>"BIRMINGHAM                "</f>
        <v xml:space="preserve">BIRMINGHAM                </v>
      </c>
      <c r="F735" t="str">
        <f t="shared" si="22"/>
        <v>AL</v>
      </c>
    </row>
    <row r="736" spans="1:6" x14ac:dyDescent="0.25">
      <c r="A736" t="str">
        <f>"009534209"</f>
        <v>009534209</v>
      </c>
      <c r="B736" t="str">
        <f>"1275748428"</f>
        <v>1275748428</v>
      </c>
      <c r="C736" t="str">
        <f>"207X00000X"</f>
        <v>207X00000X</v>
      </c>
      <c r="D736" t="str">
        <f>"JOHNSON                  MICHAEL      D           "</f>
        <v xml:space="preserve">JOHNSON                  MICHAEL      D           </v>
      </c>
      <c r="E736" t="str">
        <f>"BIRMINGHAM                "</f>
        <v xml:space="preserve">BIRMINGHAM                </v>
      </c>
      <c r="F736" t="str">
        <f t="shared" si="22"/>
        <v>AL</v>
      </c>
    </row>
    <row r="737" spans="1:6" x14ac:dyDescent="0.25">
      <c r="A737" t="str">
        <f>"009536557"</f>
        <v>009536557</v>
      </c>
      <c r="B737" t="str">
        <f>"1740561869"</f>
        <v>1740561869</v>
      </c>
      <c r="C737" t="str">
        <f>"207L00000X"</f>
        <v>207L00000X</v>
      </c>
      <c r="D737" t="str">
        <f>"RASHID                   SALMAN                   "</f>
        <v xml:space="preserve">RASHID                   SALMAN                   </v>
      </c>
      <c r="E737" t="str">
        <f>"BIRMINGHAM                "</f>
        <v xml:space="preserve">BIRMINGHAM                </v>
      </c>
      <c r="F737" t="str">
        <f t="shared" si="22"/>
        <v>AL</v>
      </c>
    </row>
    <row r="738" spans="1:6" x14ac:dyDescent="0.25">
      <c r="A738" t="str">
        <f>"009545034"</f>
        <v>009545034</v>
      </c>
      <c r="B738" t="str">
        <f>"1356409320"</f>
        <v>1356409320</v>
      </c>
      <c r="C738" t="str">
        <f>"207RC0000X"</f>
        <v>207RC0000X</v>
      </c>
      <c r="D738" t="str">
        <f>"MALOZZI                  CHRISTOPHER  M           "</f>
        <v xml:space="preserve">MALOZZI                  CHRISTOPHER  M           </v>
      </c>
      <c r="E738" t="str">
        <f>"MOBILE                    "</f>
        <v xml:space="preserve">MOBILE                    </v>
      </c>
      <c r="F738" t="str">
        <f t="shared" si="22"/>
        <v>AL</v>
      </c>
    </row>
    <row r="739" spans="1:6" x14ac:dyDescent="0.25">
      <c r="A739" t="str">
        <f>"009570031"</f>
        <v>009570031</v>
      </c>
      <c r="B739" t="str">
        <f>"1982656773"</f>
        <v>1982656773</v>
      </c>
      <c r="C739" t="str">
        <f>"2084N0400X"</f>
        <v>2084N0400X</v>
      </c>
      <c r="D739" t="str">
        <f>"SUGG                     REBECCA      L           "</f>
        <v xml:space="preserve">SUGG                     REBECCA      L           </v>
      </c>
      <c r="E739" t="str">
        <f>"MOBILE                    "</f>
        <v xml:space="preserve">MOBILE                    </v>
      </c>
      <c r="F739" t="str">
        <f t="shared" si="22"/>
        <v>AL</v>
      </c>
    </row>
    <row r="740" spans="1:6" x14ac:dyDescent="0.25">
      <c r="A740" t="str">
        <f>"009572054"</f>
        <v>009572054</v>
      </c>
      <c r="B740" t="str">
        <f>"1669924270"</f>
        <v>1669924270</v>
      </c>
      <c r="C740" t="str">
        <f>"363L00000X"</f>
        <v>363L00000X</v>
      </c>
      <c r="D740" t="str">
        <f>"GODIN                    DANIELLE     B           "</f>
        <v xml:space="preserve">GODIN                    DANIELLE     B           </v>
      </c>
      <c r="E740" t="str">
        <f>"BIRMINGHAM                "</f>
        <v xml:space="preserve">BIRMINGHAM                </v>
      </c>
      <c r="F740" t="str">
        <f t="shared" si="22"/>
        <v>AL</v>
      </c>
    </row>
    <row r="741" spans="1:6" x14ac:dyDescent="0.25">
      <c r="A741" t="str">
        <f>"009572359"</f>
        <v>009572359</v>
      </c>
      <c r="B741" t="str">
        <f>"1942720834"</f>
        <v>1942720834</v>
      </c>
      <c r="C741" t="str">
        <f>"363L00000X"</f>
        <v>363L00000X</v>
      </c>
      <c r="D741" t="str">
        <f>"CUNNINGHAM               ERIN         B           "</f>
        <v xml:space="preserve">CUNNINGHAM               ERIN         B           </v>
      </c>
      <c r="E741" t="str">
        <f>"MOBILE                    "</f>
        <v xml:space="preserve">MOBILE                    </v>
      </c>
      <c r="F741" t="str">
        <f t="shared" si="22"/>
        <v>AL</v>
      </c>
    </row>
    <row r="742" spans="1:6" x14ac:dyDescent="0.25">
      <c r="A742" t="str">
        <f>"009576041"</f>
        <v>009576041</v>
      </c>
      <c r="B742" t="str">
        <f>"1568752459"</f>
        <v>1568752459</v>
      </c>
      <c r="C742" t="str">
        <f>"207L00000X"</f>
        <v>207L00000X</v>
      </c>
      <c r="D742" t="str">
        <f>"MEERS                    JACOB        B           "</f>
        <v xml:space="preserve">MEERS                    JACOB        B           </v>
      </c>
      <c r="E742" t="str">
        <f>"BIRMINGHAM                "</f>
        <v xml:space="preserve">BIRMINGHAM                </v>
      </c>
      <c r="F742" t="str">
        <f t="shared" si="22"/>
        <v>AL</v>
      </c>
    </row>
    <row r="743" spans="1:6" x14ac:dyDescent="0.25">
      <c r="A743" t="str">
        <f>"009587302"</f>
        <v>009587302</v>
      </c>
      <c r="B743" t="str">
        <f>"1568848901"</f>
        <v>1568848901</v>
      </c>
      <c r="C743" t="str">
        <f>"207RH0003X"</f>
        <v>207RH0003X</v>
      </c>
      <c r="D743" t="str">
        <f>"ABDALLA                  AHMED                    "</f>
        <v xml:space="preserve">ABDALLA                  AHMED                    </v>
      </c>
      <c r="E743" t="str">
        <f>"MOBILE                    "</f>
        <v xml:space="preserve">MOBILE                    </v>
      </c>
      <c r="F743" t="str">
        <f t="shared" si="22"/>
        <v>AL</v>
      </c>
    </row>
    <row r="744" spans="1:6" x14ac:dyDescent="0.25">
      <c r="A744" t="str">
        <f>"009589805"</f>
        <v>009589805</v>
      </c>
      <c r="B744" t="str">
        <f>"1063450252"</f>
        <v>1063450252</v>
      </c>
      <c r="C744" t="str">
        <f>"207V00000X"</f>
        <v>207V00000X</v>
      </c>
      <c r="D744" t="str">
        <f>"SHERMAN                  CRAIG        D           "</f>
        <v xml:space="preserve">SHERMAN                  CRAIG        D           </v>
      </c>
      <c r="E744" t="str">
        <f>"MOBILE                    "</f>
        <v xml:space="preserve">MOBILE                    </v>
      </c>
      <c r="F744" t="str">
        <f t="shared" si="22"/>
        <v>AL</v>
      </c>
    </row>
    <row r="745" spans="1:6" x14ac:dyDescent="0.25">
      <c r="A745" t="str">
        <f>"009600715"</f>
        <v>009600715</v>
      </c>
      <c r="B745" t="str">
        <f>"1952568750"</f>
        <v>1952568750</v>
      </c>
      <c r="C745" t="str">
        <f>"2086S0122X"</f>
        <v>2086S0122X</v>
      </c>
      <c r="D745" t="str">
        <f>"BROOKS                   RONALD       M           "</f>
        <v xml:space="preserve">BROOKS                   RONALD       M           </v>
      </c>
      <c r="E745" t="str">
        <f>"MOBILE                    "</f>
        <v xml:space="preserve">MOBILE                    </v>
      </c>
      <c r="F745" t="str">
        <f t="shared" si="22"/>
        <v>AL</v>
      </c>
    </row>
    <row r="746" spans="1:6" x14ac:dyDescent="0.25">
      <c r="A746" t="str">
        <f>"009620027"</f>
        <v>009620027</v>
      </c>
      <c r="B746" t="str">
        <f>"1255621215"</f>
        <v>1255621215</v>
      </c>
      <c r="C746" t="str">
        <f>"367500000X"</f>
        <v>367500000X</v>
      </c>
      <c r="D746" t="str">
        <f>"DENSON                   BRITTANY                 "</f>
        <v xml:space="preserve">DENSON                   BRITTANY                 </v>
      </c>
      <c r="E746" t="str">
        <f>"BIRMINGHAM                "</f>
        <v xml:space="preserve">BIRMINGHAM                </v>
      </c>
      <c r="F746" t="str">
        <f t="shared" si="22"/>
        <v>AL</v>
      </c>
    </row>
    <row r="747" spans="1:6" x14ac:dyDescent="0.25">
      <c r="A747" t="str">
        <f>"009620271"</f>
        <v>009620271</v>
      </c>
      <c r="B747" t="str">
        <f>"1902832009"</f>
        <v>1902832009</v>
      </c>
      <c r="C747" t="str">
        <f>"207L00000X"</f>
        <v>207L00000X</v>
      </c>
      <c r="D747" t="str">
        <f>"HENLING                  COLLEEN      E           "</f>
        <v xml:space="preserve">HENLING                  COLLEEN      E           </v>
      </c>
      <c r="E747" t="str">
        <f>"BIRMINGHAM                "</f>
        <v xml:space="preserve">BIRMINGHAM                </v>
      </c>
      <c r="F747" t="str">
        <f t="shared" si="22"/>
        <v>AL</v>
      </c>
    </row>
    <row r="748" spans="1:6" x14ac:dyDescent="0.25">
      <c r="A748" t="str">
        <f>"009622011"</f>
        <v>009622011</v>
      </c>
      <c r="B748" t="str">
        <f>"1740850965"</f>
        <v>1740850965</v>
      </c>
      <c r="C748" t="str">
        <f>"363L00000X"</f>
        <v>363L00000X</v>
      </c>
      <c r="D748" t="str">
        <f>"TINDLE                   HOPE                     "</f>
        <v xml:space="preserve">TINDLE                   HOPE                     </v>
      </c>
      <c r="E748" t="str">
        <f>"MOBILE                    "</f>
        <v xml:space="preserve">MOBILE                    </v>
      </c>
      <c r="F748" t="str">
        <f t="shared" si="22"/>
        <v>AL</v>
      </c>
    </row>
    <row r="749" spans="1:6" x14ac:dyDescent="0.25">
      <c r="A749" t="str">
        <f>"009624551"</f>
        <v>009624551</v>
      </c>
      <c r="B749" t="str">
        <f>"1851737746"</f>
        <v>1851737746</v>
      </c>
      <c r="C749" t="str">
        <f>"2084N0400X"</f>
        <v>2084N0400X</v>
      </c>
      <c r="D749" t="str">
        <f>"KOBELJA                  ROBERT                   "</f>
        <v xml:space="preserve">KOBELJA                  ROBERT                   </v>
      </c>
      <c r="E749" t="str">
        <f>"MOBILE                    "</f>
        <v xml:space="preserve">MOBILE                    </v>
      </c>
      <c r="F749" t="str">
        <f t="shared" si="22"/>
        <v>AL</v>
      </c>
    </row>
    <row r="750" spans="1:6" x14ac:dyDescent="0.25">
      <c r="A750" t="str">
        <f>"009631791"</f>
        <v>009631791</v>
      </c>
      <c r="B750" t="str">
        <f>"1285104943"</f>
        <v>1285104943</v>
      </c>
      <c r="C750" t="str">
        <f>"363L00000X"</f>
        <v>363L00000X</v>
      </c>
      <c r="D750" t="str">
        <f>"BAILEY                   KRESTI       L           "</f>
        <v xml:space="preserve">BAILEY                   KRESTI       L           </v>
      </c>
      <c r="E750" t="str">
        <f>"BIRMINGHAM                "</f>
        <v xml:space="preserve">BIRMINGHAM                </v>
      </c>
      <c r="F750" t="str">
        <f t="shared" si="22"/>
        <v>AL</v>
      </c>
    </row>
    <row r="751" spans="1:6" x14ac:dyDescent="0.25">
      <c r="A751" t="str">
        <f>"009635514"</f>
        <v>009635514</v>
      </c>
      <c r="B751" t="str">
        <f>"1477998532"</f>
        <v>1477998532</v>
      </c>
      <c r="C751" t="str">
        <f>"207T00000X"</f>
        <v>207T00000X</v>
      </c>
      <c r="D751" t="str">
        <f>"THAKUR                   JAI          D           "</f>
        <v xml:space="preserve">THAKUR                   JAI          D           </v>
      </c>
      <c r="E751" t="str">
        <f>"MOBILE                    "</f>
        <v xml:space="preserve">MOBILE                    </v>
      </c>
      <c r="F751" t="str">
        <f t="shared" si="22"/>
        <v>AL</v>
      </c>
    </row>
    <row r="752" spans="1:6" x14ac:dyDescent="0.25">
      <c r="A752" t="str">
        <f>"009636512"</f>
        <v>009636512</v>
      </c>
      <c r="B752" t="str">
        <f>"1871757856"</f>
        <v>1871757856</v>
      </c>
      <c r="C752" t="str">
        <f>"207ZP0105X"</f>
        <v>207ZP0105X</v>
      </c>
      <c r="D752" t="str">
        <f>"PAVLIDAKEY               PETER        G           "</f>
        <v xml:space="preserve">PAVLIDAKEY               PETER        G           </v>
      </c>
      <c r="E752" t="str">
        <f>"BIRMINGHAM                "</f>
        <v xml:space="preserve">BIRMINGHAM                </v>
      </c>
      <c r="F752" t="str">
        <f t="shared" si="22"/>
        <v>AL</v>
      </c>
    </row>
    <row r="753" spans="1:6" x14ac:dyDescent="0.25">
      <c r="A753" t="str">
        <f>"009657521"</f>
        <v>009657521</v>
      </c>
      <c r="B753" t="str">
        <f>"1710397880"</f>
        <v>1710397880</v>
      </c>
      <c r="C753" t="str">
        <f>"207R00000X"</f>
        <v>207R00000X</v>
      </c>
      <c r="D753" t="str">
        <f>"SHEA                     LAUREN                   "</f>
        <v xml:space="preserve">SHEA                     LAUREN                   </v>
      </c>
      <c r="E753" t="str">
        <f>"BIRMINGHAM                "</f>
        <v xml:space="preserve">BIRMINGHAM                </v>
      </c>
      <c r="F753" t="str">
        <f t="shared" si="22"/>
        <v>AL</v>
      </c>
    </row>
    <row r="754" spans="1:6" x14ac:dyDescent="0.25">
      <c r="A754" t="str">
        <f>"009678576"</f>
        <v>009678576</v>
      </c>
      <c r="B754" t="str">
        <f>"1801234398"</f>
        <v>1801234398</v>
      </c>
      <c r="C754" t="str">
        <f>"363L00000X"</f>
        <v>363L00000X</v>
      </c>
      <c r="D754" t="str">
        <f>"DRUMMONDS                JENNIFER     W           "</f>
        <v xml:space="preserve">DRUMMONDS                JENNIFER     W           </v>
      </c>
      <c r="E754" t="str">
        <f>"BIRMINGHAM                "</f>
        <v xml:space="preserve">BIRMINGHAM                </v>
      </c>
      <c r="F754" t="str">
        <f t="shared" si="22"/>
        <v>AL</v>
      </c>
    </row>
    <row r="755" spans="1:6" x14ac:dyDescent="0.25">
      <c r="A755" t="str">
        <f>"009682503"</f>
        <v>009682503</v>
      </c>
      <c r="B755" t="str">
        <f>"1396791158"</f>
        <v>1396791158</v>
      </c>
      <c r="C755" t="str">
        <f>"2085R0202X"</f>
        <v>2085R0202X</v>
      </c>
      <c r="D755" t="str">
        <f>"KLECKER                  ROSEMARY     J           "</f>
        <v xml:space="preserve">KLECKER                  ROSEMARY     J           </v>
      </c>
      <c r="E755" t="str">
        <f>"MOBILE                    "</f>
        <v xml:space="preserve">MOBILE                    </v>
      </c>
      <c r="F755" t="str">
        <f t="shared" si="22"/>
        <v>AL</v>
      </c>
    </row>
    <row r="756" spans="1:6" x14ac:dyDescent="0.25">
      <c r="A756" t="str">
        <f>"009684526"</f>
        <v>009684526</v>
      </c>
      <c r="B756" t="str">
        <f>"1033659917"</f>
        <v>1033659917</v>
      </c>
      <c r="C756" t="str">
        <f>"363L00000X"</f>
        <v>363L00000X</v>
      </c>
      <c r="D756" t="str">
        <f>"BROWN                    JASON        M           "</f>
        <v xml:space="preserve">BROWN                    JASON        M           </v>
      </c>
      <c r="E756" t="str">
        <f>"BIRMINGHAM                "</f>
        <v xml:space="preserve">BIRMINGHAM                </v>
      </c>
      <c r="F756" t="str">
        <f t="shared" si="22"/>
        <v>AL</v>
      </c>
    </row>
    <row r="757" spans="1:6" x14ac:dyDescent="0.25">
      <c r="A757" t="str">
        <f>"009709286"</f>
        <v>009709286</v>
      </c>
      <c r="B757" t="str">
        <f>"1265413611"</f>
        <v>1265413611</v>
      </c>
      <c r="C757" t="str">
        <f>"207RP1001X"</f>
        <v>207RP1001X</v>
      </c>
      <c r="D757" t="str">
        <f>"HUNTER                   JAMES        H           "</f>
        <v xml:space="preserve">HUNTER                   JAMES        H           </v>
      </c>
      <c r="E757" t="str">
        <f>"MOBILE                    "</f>
        <v xml:space="preserve">MOBILE                    </v>
      </c>
      <c r="F757" t="str">
        <f t="shared" si="22"/>
        <v>AL</v>
      </c>
    </row>
    <row r="758" spans="1:6" x14ac:dyDescent="0.25">
      <c r="A758" t="str">
        <f>"009727003"</f>
        <v>009727003</v>
      </c>
      <c r="B758" t="str">
        <f>"1912383670"</f>
        <v>1912383670</v>
      </c>
      <c r="C758" t="str">
        <f>"2080P0205X"</f>
        <v>2080P0205X</v>
      </c>
      <c r="D758" t="str">
        <f>"PEREZ GARCIA             ELIANA       M           "</f>
        <v xml:space="preserve">PEREZ GARCIA             ELIANA       M           </v>
      </c>
      <c r="E758" t="str">
        <f>"MOBILE                    "</f>
        <v xml:space="preserve">MOBILE                    </v>
      </c>
      <c r="F758" t="str">
        <f t="shared" si="22"/>
        <v>AL</v>
      </c>
    </row>
    <row r="759" spans="1:6" x14ac:dyDescent="0.25">
      <c r="A759" t="str">
        <f>"009751843"</f>
        <v>009751843</v>
      </c>
      <c r="B759" t="str">
        <f>"1245780972"</f>
        <v>1245780972</v>
      </c>
      <c r="C759" t="str">
        <f>"207R00000X"</f>
        <v>207R00000X</v>
      </c>
      <c r="D759" t="str">
        <f>"RUSANOV                  VICTORIA                 "</f>
        <v xml:space="preserve">RUSANOV                  VICTORIA                 </v>
      </c>
      <c r="E759" t="str">
        <f>"BIRMINGHAM                "</f>
        <v xml:space="preserve">BIRMINGHAM                </v>
      </c>
      <c r="F759" t="str">
        <f t="shared" si="22"/>
        <v>AL</v>
      </c>
    </row>
    <row r="760" spans="1:6" x14ac:dyDescent="0.25">
      <c r="A760" t="str">
        <f>"009757766"</f>
        <v>009757766</v>
      </c>
      <c r="B760" t="str">
        <f>"1508078577"</f>
        <v>1508078577</v>
      </c>
      <c r="C760" t="str">
        <f>"207VX0201X"</f>
        <v>207VX0201X</v>
      </c>
      <c r="D760" t="str">
        <f>"PIERCE                   JENNIFER     Y           "</f>
        <v xml:space="preserve">PIERCE                   JENNIFER     Y           </v>
      </c>
      <c r="E760" t="str">
        <f>"MOBILE                    "</f>
        <v xml:space="preserve">MOBILE                    </v>
      </c>
      <c r="F760" t="str">
        <f t="shared" si="22"/>
        <v>AL</v>
      </c>
    </row>
    <row r="761" spans="1:6" x14ac:dyDescent="0.25">
      <c r="A761" t="str">
        <f>"009758568"</f>
        <v>009758568</v>
      </c>
      <c r="B761" t="str">
        <f>"1497059919"</f>
        <v>1497059919</v>
      </c>
      <c r="C761" t="str">
        <f>"208000000X"</f>
        <v>208000000X</v>
      </c>
      <c r="D761" t="str">
        <f>"GALLOWAY                 DAVID        P           "</f>
        <v xml:space="preserve">GALLOWAY                 DAVID        P           </v>
      </c>
      <c r="E761" t="str">
        <f>"BIRMINGHAM                "</f>
        <v xml:space="preserve">BIRMINGHAM                </v>
      </c>
      <c r="F761" t="str">
        <f t="shared" si="22"/>
        <v>AL</v>
      </c>
    </row>
    <row r="762" spans="1:6" x14ac:dyDescent="0.25">
      <c r="A762" t="str">
        <f>"009775515"</f>
        <v>009775515</v>
      </c>
      <c r="B762" t="str">
        <f>"1154563898"</f>
        <v>1154563898</v>
      </c>
      <c r="C762" t="str">
        <f>"207Y00000X"</f>
        <v>207Y00000X</v>
      </c>
      <c r="D762" t="str">
        <f>"GREENE                   BENJAMIN     J           "</f>
        <v xml:space="preserve">GREENE                   BENJAMIN     J           </v>
      </c>
      <c r="E762" t="str">
        <f>"BIRMINGHAM                "</f>
        <v xml:space="preserve">BIRMINGHAM                </v>
      </c>
      <c r="F762" t="str">
        <f t="shared" si="22"/>
        <v>AL</v>
      </c>
    </row>
    <row r="763" spans="1:6" x14ac:dyDescent="0.25">
      <c r="A763" t="str">
        <f>"009780067"</f>
        <v>009780067</v>
      </c>
      <c r="B763" t="str">
        <f>"1730293093"</f>
        <v>1730293093</v>
      </c>
      <c r="C763" t="str">
        <f>"207RC0000X"</f>
        <v>207RC0000X</v>
      </c>
      <c r="D763" t="str">
        <f>"POGWIZD                  STEVEN       M           "</f>
        <v xml:space="preserve">POGWIZD                  STEVEN       M           </v>
      </c>
      <c r="E763" t="str">
        <f>"BIRMINGHAM                "</f>
        <v xml:space="preserve">BIRMINGHAM                </v>
      </c>
      <c r="F763" t="str">
        <f t="shared" si="22"/>
        <v>AL</v>
      </c>
    </row>
    <row r="764" spans="1:6" x14ac:dyDescent="0.25">
      <c r="A764" t="str">
        <f>"009787271"</f>
        <v>009787271</v>
      </c>
      <c r="B764" t="str">
        <f>"1508028002"</f>
        <v>1508028002</v>
      </c>
      <c r="C764" t="str">
        <f>"204E00000X"</f>
        <v>204E00000X</v>
      </c>
      <c r="D764" t="str">
        <f>"YING                     YEDEH        P           "</f>
        <v xml:space="preserve">YING                     YEDEH        P           </v>
      </c>
      <c r="E764" t="str">
        <f>"BIRMINGHAM                "</f>
        <v xml:space="preserve">BIRMINGHAM                </v>
      </c>
      <c r="F764" t="str">
        <f t="shared" si="22"/>
        <v>AL</v>
      </c>
    </row>
    <row r="765" spans="1:6" x14ac:dyDescent="0.25">
      <c r="A765" t="str">
        <f>"009803334"</f>
        <v>009803334</v>
      </c>
      <c r="B765" t="str">
        <f>"1699031369"</f>
        <v>1699031369</v>
      </c>
      <c r="C765" t="str">
        <f>"207X00000X"</f>
        <v>207X00000X</v>
      </c>
      <c r="D765" t="str">
        <f>"MULLENS                  JESS         H           "</f>
        <v xml:space="preserve">MULLENS                  JESS         H           </v>
      </c>
      <c r="E765" t="str">
        <f>"MOBILE                    "</f>
        <v xml:space="preserve">MOBILE                    </v>
      </c>
      <c r="F765" t="str">
        <f t="shared" si="22"/>
        <v>AL</v>
      </c>
    </row>
    <row r="766" spans="1:6" x14ac:dyDescent="0.25">
      <c r="A766" t="str">
        <f>"009837858"</f>
        <v>009837858</v>
      </c>
      <c r="B766" t="str">
        <f>"1326429127"</f>
        <v>1326429127</v>
      </c>
      <c r="C766" t="str">
        <f>"207RP1001X"</f>
        <v>207RP1001X</v>
      </c>
      <c r="D766" t="str">
        <f>"CAWASJI                  ZAIN                     "</f>
        <v xml:space="preserve">CAWASJI                  ZAIN                     </v>
      </c>
      <c r="E766" t="str">
        <f>"BIRMINGHAM                "</f>
        <v xml:space="preserve">BIRMINGHAM                </v>
      </c>
      <c r="F766" t="str">
        <f t="shared" si="22"/>
        <v>AL</v>
      </c>
    </row>
    <row r="767" spans="1:6" x14ac:dyDescent="0.25">
      <c r="A767" t="str">
        <f>"009854501"</f>
        <v>009854501</v>
      </c>
      <c r="B767" t="str">
        <f>"1730313974"</f>
        <v>1730313974</v>
      </c>
      <c r="C767" t="str">
        <f>"208600000X"</f>
        <v>208600000X</v>
      </c>
      <c r="D767" t="str">
        <f>"THERRIEN                 DAVID        S           "</f>
        <v xml:space="preserve">THERRIEN                 DAVID        S           </v>
      </c>
      <c r="E767" t="str">
        <f>"SHEFFIELD                 "</f>
        <v xml:space="preserve">SHEFFIELD                 </v>
      </c>
      <c r="F767" t="str">
        <f t="shared" si="22"/>
        <v>AL</v>
      </c>
    </row>
    <row r="768" spans="1:6" x14ac:dyDescent="0.25">
      <c r="A768" t="str">
        <f>"009858221"</f>
        <v>009858221</v>
      </c>
      <c r="B768" t="str">
        <f>"1003351727"</f>
        <v>1003351727</v>
      </c>
      <c r="C768" t="str">
        <f>"363L00000X"</f>
        <v>363L00000X</v>
      </c>
      <c r="D768" t="str">
        <f>"KREBSBACH                MACKENZIE    N           "</f>
        <v xml:space="preserve">KREBSBACH                MACKENZIE    N           </v>
      </c>
      <c r="E768" t="str">
        <f>"MOBILE                    "</f>
        <v xml:space="preserve">MOBILE                    </v>
      </c>
      <c r="F768" t="str">
        <f t="shared" si="22"/>
        <v>AL</v>
      </c>
    </row>
    <row r="769" spans="1:6" x14ac:dyDescent="0.25">
      <c r="A769" t="str">
        <f>"009871060"</f>
        <v>009871060</v>
      </c>
      <c r="B769" t="str">
        <f>"1770551293"</f>
        <v>1770551293</v>
      </c>
      <c r="C769" t="str">
        <f>"207P00000X"</f>
        <v>207P00000X</v>
      </c>
      <c r="D769" t="str">
        <f>"GARRI                    RICHARD      F           "</f>
        <v xml:space="preserve">GARRI                    RICHARD      F           </v>
      </c>
      <c r="E769" t="str">
        <f>"MOBILE                    "</f>
        <v xml:space="preserve">MOBILE                    </v>
      </c>
      <c r="F769" t="str">
        <f t="shared" si="22"/>
        <v>AL</v>
      </c>
    </row>
    <row r="770" spans="1:6" x14ac:dyDescent="0.25">
      <c r="A770" t="str">
        <f>"009875281"</f>
        <v>009875281</v>
      </c>
      <c r="B770" t="str">
        <f>"1720492051"</f>
        <v>1720492051</v>
      </c>
      <c r="C770" t="str">
        <f>"207RC0200X"</f>
        <v>207RC0200X</v>
      </c>
      <c r="D770" t="str">
        <f>"SALEM                    AHMED        M           "</f>
        <v xml:space="preserve">SALEM                    AHMED        M           </v>
      </c>
      <c r="E770" t="str">
        <f>"BIRMINGHAM                "</f>
        <v xml:space="preserve">BIRMINGHAM                </v>
      </c>
      <c r="F770" t="str">
        <f t="shared" si="22"/>
        <v>AL</v>
      </c>
    </row>
    <row r="771" spans="1:6" x14ac:dyDescent="0.25">
      <c r="A771" t="str">
        <f>"009875336"</f>
        <v>009875336</v>
      </c>
      <c r="B771" t="str">
        <f>"1740461292"</f>
        <v>1740461292</v>
      </c>
      <c r="C771" t="str">
        <f>"2086S0127X"</f>
        <v>2086S0127X</v>
      </c>
      <c r="D771" t="str">
        <f>"KINNARD                  CHRISTOPHER  M           "</f>
        <v xml:space="preserve">KINNARD                  CHRISTOPHER  M           </v>
      </c>
      <c r="E771" t="str">
        <f t="shared" ref="E771:E788" si="23">"MOBILE                    "</f>
        <v xml:space="preserve">MOBILE                    </v>
      </c>
      <c r="F771" t="str">
        <f t="shared" si="22"/>
        <v>AL</v>
      </c>
    </row>
    <row r="772" spans="1:6" x14ac:dyDescent="0.25">
      <c r="A772" t="str">
        <f>"009924327"</f>
        <v>009924327</v>
      </c>
      <c r="B772" t="str">
        <f>"1811011448"</f>
        <v>1811011448</v>
      </c>
      <c r="C772" t="str">
        <f>"207ZP0102X"</f>
        <v>207ZP0102X</v>
      </c>
      <c r="D772" t="str">
        <f>"KNOWLES                  KURT         J           "</f>
        <v xml:space="preserve">KNOWLES                  KURT         J           </v>
      </c>
      <c r="E772" t="str">
        <f t="shared" si="23"/>
        <v xml:space="preserve">MOBILE                    </v>
      </c>
      <c r="F772" t="str">
        <f t="shared" si="22"/>
        <v>AL</v>
      </c>
    </row>
    <row r="773" spans="1:6" x14ac:dyDescent="0.25">
      <c r="A773" t="str">
        <f>"009934568"</f>
        <v>009934568</v>
      </c>
      <c r="B773" t="str">
        <f>"1811579600"</f>
        <v>1811579600</v>
      </c>
      <c r="C773" t="str">
        <f>"363L00000X"</f>
        <v>363L00000X</v>
      </c>
      <c r="D773" t="str">
        <f>"MINGA                    AMANDA       T           "</f>
        <v xml:space="preserve">MINGA                    AMANDA       T           </v>
      </c>
      <c r="E773" t="str">
        <f t="shared" si="23"/>
        <v xml:space="preserve">MOBILE                    </v>
      </c>
      <c r="F773" t="str">
        <f t="shared" si="22"/>
        <v>AL</v>
      </c>
    </row>
    <row r="774" spans="1:6" x14ac:dyDescent="0.25">
      <c r="A774" t="str">
        <f>"009935828"</f>
        <v>009935828</v>
      </c>
      <c r="B774" t="str">
        <f>"1881646784"</f>
        <v>1881646784</v>
      </c>
      <c r="C774" t="str">
        <f>"363A00000X"</f>
        <v>363A00000X</v>
      </c>
      <c r="D774" t="str">
        <f>"CAULEY WEIDMAN           TONYA        N           "</f>
        <v xml:space="preserve">CAULEY WEIDMAN           TONYA        N           </v>
      </c>
      <c r="E774" t="str">
        <f t="shared" si="23"/>
        <v xml:space="preserve">MOBILE                    </v>
      </c>
      <c r="F774" t="str">
        <f t="shared" si="22"/>
        <v>AL</v>
      </c>
    </row>
    <row r="775" spans="1:6" x14ac:dyDescent="0.25">
      <c r="A775" t="str">
        <f>"009973737"</f>
        <v>009973737</v>
      </c>
      <c r="B775" t="str">
        <f>"1992068183"</f>
        <v>1992068183</v>
      </c>
      <c r="C775" t="str">
        <f>"208800000X"</f>
        <v>208800000X</v>
      </c>
      <c r="D775" t="str">
        <f>"YOUNGER                  AUSTIN                   "</f>
        <v xml:space="preserve">YOUNGER                  AUSTIN                   </v>
      </c>
      <c r="E775" t="str">
        <f t="shared" si="23"/>
        <v xml:space="preserve">MOBILE                    </v>
      </c>
      <c r="F775" t="str">
        <f t="shared" ref="F775:F838" si="24">"AL"</f>
        <v>AL</v>
      </c>
    </row>
    <row r="776" spans="1:6" x14ac:dyDescent="0.25">
      <c r="A776" t="str">
        <f>"009979720"</f>
        <v>009979720</v>
      </c>
      <c r="B776" t="str">
        <f>"1104955327"</f>
        <v>1104955327</v>
      </c>
      <c r="C776" t="str">
        <f>"363L00000X"</f>
        <v>363L00000X</v>
      </c>
      <c r="D776" t="str">
        <f>"GORE                     LISA         D           "</f>
        <v xml:space="preserve">GORE                     LISA         D           </v>
      </c>
      <c r="E776" t="str">
        <f t="shared" si="23"/>
        <v xml:space="preserve">MOBILE                    </v>
      </c>
      <c r="F776" t="str">
        <f t="shared" si="24"/>
        <v>AL</v>
      </c>
    </row>
    <row r="777" spans="1:6" x14ac:dyDescent="0.25">
      <c r="A777" t="str">
        <f>"009982508"</f>
        <v>009982508</v>
      </c>
      <c r="B777" t="str">
        <f>"1053654731"</f>
        <v>1053654731</v>
      </c>
      <c r="C777" t="str">
        <f>"2085R0202X"</f>
        <v>2085R0202X</v>
      </c>
      <c r="D777" t="str">
        <f>"LAWRENCE                 MICHAEL      S           "</f>
        <v xml:space="preserve">LAWRENCE                 MICHAEL      S           </v>
      </c>
      <c r="E777" t="str">
        <f t="shared" si="23"/>
        <v xml:space="preserve">MOBILE                    </v>
      </c>
      <c r="F777" t="str">
        <f t="shared" si="24"/>
        <v>AL</v>
      </c>
    </row>
    <row r="778" spans="1:6" x14ac:dyDescent="0.25">
      <c r="A778" t="str">
        <f>"100126045"</f>
        <v>100126045</v>
      </c>
      <c r="B778" t="str">
        <f>"1487702999"</f>
        <v>1487702999</v>
      </c>
      <c r="C778" t="str">
        <f>"208G00000X"</f>
        <v>208G00000X</v>
      </c>
      <c r="D778" t="str">
        <f>"MALTESE                  CARL                     "</f>
        <v xml:space="preserve">MALTESE                  CARL                     </v>
      </c>
      <c r="E778" t="str">
        <f t="shared" si="23"/>
        <v xml:space="preserve">MOBILE                    </v>
      </c>
      <c r="F778" t="str">
        <f t="shared" si="24"/>
        <v>AL</v>
      </c>
    </row>
    <row r="779" spans="1:6" x14ac:dyDescent="0.25">
      <c r="A779" t="str">
        <f>"100132818"</f>
        <v>100132818</v>
      </c>
      <c r="B779" t="str">
        <f>"1659325116"</f>
        <v>1659325116</v>
      </c>
      <c r="C779" t="str">
        <f>"208000000X"</f>
        <v>208000000X</v>
      </c>
      <c r="D779" t="str">
        <f>"ESTRADA                  BENJAMIN                 "</f>
        <v xml:space="preserve">ESTRADA                  BENJAMIN                 </v>
      </c>
      <c r="E779" t="str">
        <f t="shared" si="23"/>
        <v xml:space="preserve">MOBILE                    </v>
      </c>
      <c r="F779" t="str">
        <f t="shared" si="24"/>
        <v>AL</v>
      </c>
    </row>
    <row r="780" spans="1:6" x14ac:dyDescent="0.25">
      <c r="A780" t="str">
        <f>"100133887"</f>
        <v>100133887</v>
      </c>
      <c r="B780" t="str">
        <f>"1710932041"</f>
        <v>1710932041</v>
      </c>
      <c r="C780" t="str">
        <f>"2080N0001X"</f>
        <v>2080N0001X</v>
      </c>
      <c r="D780" t="str">
        <f>"ZAYEK                    MICHAEL      M           "</f>
        <v xml:space="preserve">ZAYEK                    MICHAEL      M           </v>
      </c>
      <c r="E780" t="str">
        <f t="shared" si="23"/>
        <v xml:space="preserve">MOBILE                    </v>
      </c>
      <c r="F780" t="str">
        <f t="shared" si="24"/>
        <v>AL</v>
      </c>
    </row>
    <row r="781" spans="1:6" x14ac:dyDescent="0.25">
      <c r="A781" t="str">
        <f>"100134479"</f>
        <v>100134479</v>
      </c>
      <c r="B781" t="str">
        <f>"1336189745"</f>
        <v>1336189745</v>
      </c>
      <c r="C781" t="str">
        <f>"2080N0001X"</f>
        <v>2080N0001X</v>
      </c>
      <c r="D781" t="str">
        <f>"WHITEHURST               RICHARD      M           "</f>
        <v xml:space="preserve">WHITEHURST               RICHARD      M           </v>
      </c>
      <c r="E781" t="str">
        <f t="shared" si="23"/>
        <v xml:space="preserve">MOBILE                    </v>
      </c>
      <c r="F781" t="str">
        <f t="shared" si="24"/>
        <v>AL</v>
      </c>
    </row>
    <row r="782" spans="1:6" x14ac:dyDescent="0.25">
      <c r="A782" t="str">
        <f>"100139610"</f>
        <v>100139610</v>
      </c>
      <c r="B782" t="str">
        <f>"1952386641"</f>
        <v>1952386641</v>
      </c>
      <c r="C782" t="str">
        <f>"207RN0300X"</f>
        <v>207RN0300X</v>
      </c>
      <c r="D782" t="str">
        <f>"TRAVIS                   PHILIP       S           "</f>
        <v xml:space="preserve">TRAVIS                   PHILIP       S           </v>
      </c>
      <c r="E782" t="str">
        <f t="shared" si="23"/>
        <v xml:space="preserve">MOBILE                    </v>
      </c>
      <c r="F782" t="str">
        <f t="shared" si="24"/>
        <v>AL</v>
      </c>
    </row>
    <row r="783" spans="1:6" x14ac:dyDescent="0.25">
      <c r="A783" t="str">
        <f>"100143908"</f>
        <v>100143908</v>
      </c>
      <c r="B783" t="str">
        <f>"1760437727"</f>
        <v>1760437727</v>
      </c>
      <c r="C783" t="str">
        <f>"208D00000X"</f>
        <v>208D00000X</v>
      </c>
      <c r="D783" t="str">
        <f>"POLSKI                   JACEK        M           "</f>
        <v xml:space="preserve">POLSKI                   JACEK        M           </v>
      </c>
      <c r="E783" t="str">
        <f t="shared" si="23"/>
        <v xml:space="preserve">MOBILE                    </v>
      </c>
      <c r="F783" t="str">
        <f t="shared" si="24"/>
        <v>AL</v>
      </c>
    </row>
    <row r="784" spans="1:6" x14ac:dyDescent="0.25">
      <c r="A784" t="str">
        <f>"100144187"</f>
        <v>100144187</v>
      </c>
      <c r="B784" t="str">
        <f>"1518914803"</f>
        <v>1518914803</v>
      </c>
      <c r="C784" t="str">
        <f>"2080P0202X"</f>
        <v>2080P0202X</v>
      </c>
      <c r="D784" t="str">
        <f>"BATTEN                   LYNN         A           "</f>
        <v xml:space="preserve">BATTEN                   LYNN         A           </v>
      </c>
      <c r="E784" t="str">
        <f t="shared" si="23"/>
        <v xml:space="preserve">MOBILE                    </v>
      </c>
      <c r="F784" t="str">
        <f t="shared" si="24"/>
        <v>AL</v>
      </c>
    </row>
    <row r="785" spans="1:6" x14ac:dyDescent="0.25">
      <c r="A785" t="str">
        <f>"100146444"</f>
        <v>100146444</v>
      </c>
      <c r="B785" t="str">
        <f>"1538118997"</f>
        <v>1538118997</v>
      </c>
      <c r="C785" t="str">
        <f>"2086S0102X"</f>
        <v>2086S0102X</v>
      </c>
      <c r="D785" t="str">
        <f>"BAKER                    SUSAN        L           "</f>
        <v xml:space="preserve">BAKER                    SUSAN        L           </v>
      </c>
      <c r="E785" t="str">
        <f t="shared" si="23"/>
        <v xml:space="preserve">MOBILE                    </v>
      </c>
      <c r="F785" t="str">
        <f t="shared" si="24"/>
        <v>AL</v>
      </c>
    </row>
    <row r="786" spans="1:6" x14ac:dyDescent="0.25">
      <c r="A786" t="str">
        <f>"100146446"</f>
        <v>100146446</v>
      </c>
      <c r="B786" t="str">
        <f>"1538118997"</f>
        <v>1538118997</v>
      </c>
      <c r="C786" t="str">
        <f>"207VM0101X"</f>
        <v>207VM0101X</v>
      </c>
      <c r="D786" t="str">
        <f>"BAKER                    SUSAN        L           "</f>
        <v xml:space="preserve">BAKER                    SUSAN        L           </v>
      </c>
      <c r="E786" t="str">
        <f t="shared" si="23"/>
        <v xml:space="preserve">MOBILE                    </v>
      </c>
      <c r="F786" t="str">
        <f t="shared" si="24"/>
        <v>AL</v>
      </c>
    </row>
    <row r="787" spans="1:6" x14ac:dyDescent="0.25">
      <c r="A787" t="str">
        <f>"100148582"</f>
        <v>100148582</v>
      </c>
      <c r="B787" t="str">
        <f>"1457337081"</f>
        <v>1457337081</v>
      </c>
      <c r="C787" t="str">
        <f>"207RN0300X"</f>
        <v>207RN0300X</v>
      </c>
      <c r="D787" t="str">
        <f>"WILBER                   STEPHEN      P           "</f>
        <v xml:space="preserve">WILBER                   STEPHEN      P           </v>
      </c>
      <c r="E787" t="str">
        <f t="shared" si="23"/>
        <v xml:space="preserve">MOBILE                    </v>
      </c>
      <c r="F787" t="str">
        <f t="shared" si="24"/>
        <v>AL</v>
      </c>
    </row>
    <row r="788" spans="1:6" x14ac:dyDescent="0.25">
      <c r="A788" t="str">
        <f>"100165377"</f>
        <v>100165377</v>
      </c>
      <c r="B788" t="str">
        <f>"1396787230"</f>
        <v>1396787230</v>
      </c>
      <c r="C788" t="str">
        <f>"207RX0202X"</f>
        <v>207RX0202X</v>
      </c>
      <c r="D788" t="str">
        <f>"BUTLER                   THOMAS       W           "</f>
        <v xml:space="preserve">BUTLER                   THOMAS       W           </v>
      </c>
      <c r="E788" t="str">
        <f t="shared" si="23"/>
        <v xml:space="preserve">MOBILE                    </v>
      </c>
      <c r="F788" t="str">
        <f t="shared" si="24"/>
        <v>AL</v>
      </c>
    </row>
    <row r="789" spans="1:6" x14ac:dyDescent="0.25">
      <c r="A789" t="str">
        <f>"100170662"</f>
        <v>100170662</v>
      </c>
      <c r="B789" t="str">
        <f>"1366547473"</f>
        <v>1366547473</v>
      </c>
      <c r="C789" t="str">
        <f>"207RI0200X"</f>
        <v>207RI0200X</v>
      </c>
      <c r="D789" t="str">
        <f>"MUZNY                    CHRISTINA    A           "</f>
        <v xml:space="preserve">MUZNY                    CHRISTINA    A           </v>
      </c>
      <c r="E789" t="str">
        <f>"BIRMINGHAM                "</f>
        <v xml:space="preserve">BIRMINGHAM                </v>
      </c>
      <c r="F789" t="str">
        <f t="shared" si="24"/>
        <v>AL</v>
      </c>
    </row>
    <row r="790" spans="1:6" x14ac:dyDescent="0.25">
      <c r="A790" t="str">
        <f>"100170946"</f>
        <v>100170946</v>
      </c>
      <c r="B790" t="str">
        <f>"1821201617"</f>
        <v>1821201617</v>
      </c>
      <c r="C790" t="str">
        <f>"207R00000X"</f>
        <v>207R00000X</v>
      </c>
      <c r="D790" t="str">
        <f>"BROWN                    TODD         M           "</f>
        <v xml:space="preserve">BROWN                    TODD         M           </v>
      </c>
      <c r="E790" t="str">
        <f>"BIRMINGHAM                "</f>
        <v xml:space="preserve">BIRMINGHAM                </v>
      </c>
      <c r="F790" t="str">
        <f t="shared" si="24"/>
        <v>AL</v>
      </c>
    </row>
    <row r="791" spans="1:6" x14ac:dyDescent="0.25">
      <c r="A791" t="str">
        <f>"100171521"</f>
        <v>100171521</v>
      </c>
      <c r="B791" t="str">
        <f>"1073599601"</f>
        <v>1073599601</v>
      </c>
      <c r="C791" t="str">
        <f>"207RN0300X"</f>
        <v>207RN0300X</v>
      </c>
      <c r="D791" t="str">
        <f>"LAMAR                    WILLIAM      B           "</f>
        <v xml:space="preserve">LAMAR                    WILLIAM      B           </v>
      </c>
      <c r="E791" t="str">
        <f>"MOBILE                    "</f>
        <v xml:space="preserve">MOBILE                    </v>
      </c>
      <c r="F791" t="str">
        <f t="shared" si="24"/>
        <v>AL</v>
      </c>
    </row>
    <row r="792" spans="1:6" x14ac:dyDescent="0.25">
      <c r="A792" t="str">
        <f>"100171624"</f>
        <v>100171624</v>
      </c>
      <c r="B792" t="str">
        <f>"1053501049"</f>
        <v>1053501049</v>
      </c>
      <c r="C792" t="str">
        <f>"2080P0006X"</f>
        <v>2080P0006X</v>
      </c>
      <c r="D792" t="str">
        <f>"ANDERSON                 STEPHANIE    J           "</f>
        <v xml:space="preserve">ANDERSON                 STEPHANIE    J           </v>
      </c>
      <c r="E792" t="str">
        <f>"MOBILE                    "</f>
        <v xml:space="preserve">MOBILE                    </v>
      </c>
      <c r="F792" t="str">
        <f t="shared" si="24"/>
        <v>AL</v>
      </c>
    </row>
    <row r="793" spans="1:6" x14ac:dyDescent="0.25">
      <c r="A793" t="str">
        <f>"100171783"</f>
        <v>100171783</v>
      </c>
      <c r="B793" t="str">
        <f>"1639386733"</f>
        <v>1639386733</v>
      </c>
      <c r="C793" t="str">
        <f>"2080P0205X"</f>
        <v>2080P0205X</v>
      </c>
      <c r="D793" t="str">
        <f>"KAULFERS                 ANNE MARIE   D           "</f>
        <v xml:space="preserve">KAULFERS                 ANNE MARIE   D           </v>
      </c>
      <c r="E793" t="str">
        <f>"MOBILE                    "</f>
        <v xml:space="preserve">MOBILE                    </v>
      </c>
      <c r="F793" t="str">
        <f t="shared" si="24"/>
        <v>AL</v>
      </c>
    </row>
    <row r="794" spans="1:6" x14ac:dyDescent="0.25">
      <c r="A794" t="str">
        <f>"100172771"</f>
        <v>100172771</v>
      </c>
      <c r="B794" t="str">
        <f>"1740493386"</f>
        <v>1740493386</v>
      </c>
      <c r="C794" t="str">
        <f>"207RN0300X"</f>
        <v>207RN0300X</v>
      </c>
      <c r="D794" t="str">
        <f>"MEHTA                    SHIKHA                   "</f>
        <v xml:space="preserve">MEHTA                    SHIKHA                   </v>
      </c>
      <c r="E794" t="str">
        <f t="shared" ref="E794:E800" si="25">"BIRMINGHAM                "</f>
        <v xml:space="preserve">BIRMINGHAM                </v>
      </c>
      <c r="F794" t="str">
        <f t="shared" si="24"/>
        <v>AL</v>
      </c>
    </row>
    <row r="795" spans="1:6" x14ac:dyDescent="0.25">
      <c r="A795" t="str">
        <f>"100173058"</f>
        <v>100173058</v>
      </c>
      <c r="B795" t="str">
        <f>"1154544401"</f>
        <v>1154544401</v>
      </c>
      <c r="C795" t="str">
        <f>"207T00000X"</f>
        <v>207T00000X</v>
      </c>
      <c r="D795" t="str">
        <f>"JOHNSTON                 JAMES        M           "</f>
        <v xml:space="preserve">JOHNSTON                 JAMES        M           </v>
      </c>
      <c r="E795" t="str">
        <f t="shared" si="25"/>
        <v xml:space="preserve">BIRMINGHAM                </v>
      </c>
      <c r="F795" t="str">
        <f t="shared" si="24"/>
        <v>AL</v>
      </c>
    </row>
    <row r="796" spans="1:6" x14ac:dyDescent="0.25">
      <c r="A796" t="str">
        <f>"100174277"</f>
        <v>100174277</v>
      </c>
      <c r="B796" t="str">
        <f>"1932141538"</f>
        <v>1932141538</v>
      </c>
      <c r="C796" t="str">
        <f>"207RN0300X"</f>
        <v>207RN0300X</v>
      </c>
      <c r="D796" t="str">
        <f>"GUTIERREZ                ORLANDO      M           "</f>
        <v xml:space="preserve">GUTIERREZ                ORLANDO      M           </v>
      </c>
      <c r="E796" t="str">
        <f t="shared" si="25"/>
        <v xml:space="preserve">BIRMINGHAM                </v>
      </c>
      <c r="F796" t="str">
        <f t="shared" si="24"/>
        <v>AL</v>
      </c>
    </row>
    <row r="797" spans="1:6" x14ac:dyDescent="0.25">
      <c r="A797" t="str">
        <f>"100177489"</f>
        <v>100177489</v>
      </c>
      <c r="B797" t="str">
        <f>"1255313193"</f>
        <v>1255313193</v>
      </c>
      <c r="C797" t="str">
        <f>"207VX0201X"</f>
        <v>207VX0201X</v>
      </c>
      <c r="D797" t="str">
        <f>"LEATH III                CHARLES      A           "</f>
        <v xml:space="preserve">LEATH III                CHARLES      A           </v>
      </c>
      <c r="E797" t="str">
        <f t="shared" si="25"/>
        <v xml:space="preserve">BIRMINGHAM                </v>
      </c>
      <c r="F797" t="str">
        <f t="shared" si="24"/>
        <v>AL</v>
      </c>
    </row>
    <row r="798" spans="1:6" x14ac:dyDescent="0.25">
      <c r="A798" t="str">
        <f>"100182739"</f>
        <v>100182739</v>
      </c>
      <c r="B798" t="str">
        <f>"1306093588"</f>
        <v>1306093588</v>
      </c>
      <c r="C798" t="str">
        <f>"207RC0000X"</f>
        <v>207RC0000X</v>
      </c>
      <c r="D798" t="str">
        <f>"AHMED                    MUSTAFA      I           "</f>
        <v xml:space="preserve">AHMED                    MUSTAFA      I           </v>
      </c>
      <c r="E798" t="str">
        <f t="shared" si="25"/>
        <v xml:space="preserve">BIRMINGHAM                </v>
      </c>
      <c r="F798" t="str">
        <f t="shared" si="24"/>
        <v>AL</v>
      </c>
    </row>
    <row r="799" spans="1:6" x14ac:dyDescent="0.25">
      <c r="A799" t="str">
        <f>"100185430"</f>
        <v>100185430</v>
      </c>
      <c r="B799" t="str">
        <f>"1366470718"</f>
        <v>1366470718</v>
      </c>
      <c r="C799" t="str">
        <f>"207RI0200X"</f>
        <v>207RI0200X</v>
      </c>
      <c r="D799" t="str">
        <f>"GOEPFERT                 PAUL         A           "</f>
        <v xml:space="preserve">GOEPFERT                 PAUL         A           </v>
      </c>
      <c r="E799" t="str">
        <f t="shared" si="25"/>
        <v xml:space="preserve">BIRMINGHAM                </v>
      </c>
      <c r="F799" t="str">
        <f t="shared" si="24"/>
        <v>AL</v>
      </c>
    </row>
    <row r="800" spans="1:6" x14ac:dyDescent="0.25">
      <c r="A800" t="str">
        <f>"100214050"</f>
        <v>100214050</v>
      </c>
      <c r="B800" t="str">
        <f>"1043452766"</f>
        <v>1043452766</v>
      </c>
      <c r="C800" t="str">
        <f>"207RP1001X"</f>
        <v>207RP1001X</v>
      </c>
      <c r="D800" t="str">
        <f>"KRICK                    STEFANIE                 "</f>
        <v xml:space="preserve">KRICK                    STEFANIE                 </v>
      </c>
      <c r="E800" t="str">
        <f t="shared" si="25"/>
        <v xml:space="preserve">BIRMINGHAM                </v>
      </c>
      <c r="F800" t="str">
        <f t="shared" si="24"/>
        <v>AL</v>
      </c>
    </row>
    <row r="801" spans="1:6" x14ac:dyDescent="0.25">
      <c r="A801" t="str">
        <f>"100222773"</f>
        <v>100222773</v>
      </c>
      <c r="B801" t="str">
        <f>"1285996694"</f>
        <v>1285996694</v>
      </c>
      <c r="C801" t="str">
        <f>"207RN0300X"</f>
        <v>207RN0300X</v>
      </c>
      <c r="D801" t="str">
        <f>"BURKETT                  ELIZABETH                "</f>
        <v xml:space="preserve">BURKETT                  ELIZABETH                </v>
      </c>
      <c r="E801" t="str">
        <f>"MOBILE                    "</f>
        <v xml:space="preserve">MOBILE                    </v>
      </c>
      <c r="F801" t="str">
        <f t="shared" si="24"/>
        <v>AL</v>
      </c>
    </row>
    <row r="802" spans="1:6" x14ac:dyDescent="0.25">
      <c r="A802" t="str">
        <f>"100233517"</f>
        <v>100233517</v>
      </c>
      <c r="B802" t="str">
        <f>"1073765269"</f>
        <v>1073765269</v>
      </c>
      <c r="C802" t="str">
        <f>"2086X0206X"</f>
        <v>2086X0206X</v>
      </c>
      <c r="D802" t="str">
        <f>"FONSECA                  ANNABELLE    L           "</f>
        <v xml:space="preserve">FONSECA                  ANNABELLE    L           </v>
      </c>
      <c r="E802" t="str">
        <f>"MOBILE                    "</f>
        <v xml:space="preserve">MOBILE                    </v>
      </c>
      <c r="F802" t="str">
        <f t="shared" si="24"/>
        <v>AL</v>
      </c>
    </row>
    <row r="803" spans="1:6" x14ac:dyDescent="0.25">
      <c r="A803" t="str">
        <f>"100244302"</f>
        <v>100244302</v>
      </c>
      <c r="B803" t="str">
        <f>"1023455847"</f>
        <v>1023455847</v>
      </c>
      <c r="C803" t="str">
        <f>"2080N0001X"</f>
        <v>2080N0001X</v>
      </c>
      <c r="D803" t="str">
        <f>"DOLMA                    KALSANG                  "</f>
        <v xml:space="preserve">DOLMA                    KALSANG                  </v>
      </c>
      <c r="E803" t="str">
        <f>"MOBILE                    "</f>
        <v xml:space="preserve">MOBILE                    </v>
      </c>
      <c r="F803" t="str">
        <f t="shared" si="24"/>
        <v>AL</v>
      </c>
    </row>
    <row r="804" spans="1:6" x14ac:dyDescent="0.25">
      <c r="A804" t="str">
        <f>"100270846"</f>
        <v>100270846</v>
      </c>
      <c r="B804" t="str">
        <f>"1740674720"</f>
        <v>1740674720</v>
      </c>
      <c r="C804" t="str">
        <f>"2086S0102X"</f>
        <v>2086S0102X</v>
      </c>
      <c r="D804" t="str">
        <f>"WILLIAMS                 ASHLEY       Y           "</f>
        <v xml:space="preserve">WILLIAMS                 ASHLEY       Y           </v>
      </c>
      <c r="E804" t="str">
        <f>"MOBILE                    "</f>
        <v xml:space="preserve">MOBILE                    </v>
      </c>
      <c r="F804" t="str">
        <f t="shared" si="24"/>
        <v>AL</v>
      </c>
    </row>
    <row r="805" spans="1:6" x14ac:dyDescent="0.25">
      <c r="A805" t="str">
        <f>"100316258"</f>
        <v>100316258</v>
      </c>
      <c r="B805" t="str">
        <f>"1861808263"</f>
        <v>1861808263</v>
      </c>
      <c r="C805" t="str">
        <f>"207RG0100X"</f>
        <v>207RG0100X</v>
      </c>
      <c r="D805" t="str">
        <f>"HAMEED                   ANAM                     "</f>
        <v xml:space="preserve">HAMEED                   ANAM                     </v>
      </c>
      <c r="E805" t="str">
        <f>"BIRMINGHAM                "</f>
        <v xml:space="preserve">BIRMINGHAM                </v>
      </c>
      <c r="F805" t="str">
        <f t="shared" si="24"/>
        <v>AL</v>
      </c>
    </row>
    <row r="806" spans="1:6" x14ac:dyDescent="0.25">
      <c r="A806" t="str">
        <f>"200000038"</f>
        <v>200000038</v>
      </c>
      <c r="B806" t="str">
        <f>"1073253548"</f>
        <v>1073253548</v>
      </c>
      <c r="C806" t="str">
        <f>"208000000X"</f>
        <v>208000000X</v>
      </c>
      <c r="D806" t="str">
        <f>"NG                       STEPHANIE                "</f>
        <v xml:space="preserve">NG                       STEPHANIE                </v>
      </c>
      <c r="E806" t="str">
        <f>"MOBILE                    "</f>
        <v xml:space="preserve">MOBILE                    </v>
      </c>
      <c r="F806" t="str">
        <f t="shared" si="24"/>
        <v>AL</v>
      </c>
    </row>
    <row r="807" spans="1:6" x14ac:dyDescent="0.25">
      <c r="A807" t="str">
        <f>"200000040"</f>
        <v>200000040</v>
      </c>
      <c r="B807" t="str">
        <f>"1831552538"</f>
        <v>1831552538</v>
      </c>
      <c r="C807" t="str">
        <f>"207R00000X"</f>
        <v>207R00000X</v>
      </c>
      <c r="D807" t="str">
        <f>"OLIVER                   CRAIG                    "</f>
        <v xml:space="preserve">OLIVER                   CRAIG                    </v>
      </c>
      <c r="E807" t="str">
        <f>"MOBILE                    "</f>
        <v xml:space="preserve">MOBILE                    </v>
      </c>
      <c r="F807" t="str">
        <f t="shared" si="24"/>
        <v>AL</v>
      </c>
    </row>
    <row r="808" spans="1:6" x14ac:dyDescent="0.25">
      <c r="A808" t="str">
        <f>"200000134"</f>
        <v>200000134</v>
      </c>
      <c r="B808" t="str">
        <f>"1720314768"</f>
        <v>1720314768</v>
      </c>
      <c r="C808" t="str">
        <f>"2080P0206X"</f>
        <v>2080P0206X</v>
      </c>
      <c r="D808" t="str">
        <f>"WILLIAMS                 KATHRYN      L           "</f>
        <v xml:space="preserve">WILLIAMS                 KATHRYN      L           </v>
      </c>
      <c r="E808" t="str">
        <f>"MOBILE                    "</f>
        <v xml:space="preserve">MOBILE                    </v>
      </c>
      <c r="F808" t="str">
        <f t="shared" si="24"/>
        <v>AL</v>
      </c>
    </row>
    <row r="809" spans="1:6" x14ac:dyDescent="0.25">
      <c r="A809" t="str">
        <f>"200000147"</f>
        <v>200000147</v>
      </c>
      <c r="B809" t="str">
        <f>"1700268208"</f>
        <v>1700268208</v>
      </c>
      <c r="C809" t="str">
        <f>"2084N0400X"</f>
        <v>2084N0400X</v>
      </c>
      <c r="D809" t="str">
        <f>"VADDIPARTI               APARNA                   "</f>
        <v xml:space="preserve">VADDIPARTI               APARNA                   </v>
      </c>
      <c r="E809" t="str">
        <f>"BIRMINGHAM                "</f>
        <v xml:space="preserve">BIRMINGHAM                </v>
      </c>
      <c r="F809" t="str">
        <f t="shared" si="24"/>
        <v>AL</v>
      </c>
    </row>
    <row r="810" spans="1:6" x14ac:dyDescent="0.25">
      <c r="A810" t="str">
        <f>"200000177"</f>
        <v>200000177</v>
      </c>
      <c r="B810" t="str">
        <f>"1487115838"</f>
        <v>1487115838</v>
      </c>
      <c r="C810" t="str">
        <f>"207R00000X"</f>
        <v>207R00000X</v>
      </c>
      <c r="D810" t="str">
        <f>"HALL                     SAMUEL       C           "</f>
        <v xml:space="preserve">HALL                     SAMUEL       C           </v>
      </c>
      <c r="E810" t="str">
        <f>"MOBILE                    "</f>
        <v xml:space="preserve">MOBILE                    </v>
      </c>
      <c r="F810" t="str">
        <f t="shared" si="24"/>
        <v>AL</v>
      </c>
    </row>
    <row r="811" spans="1:6" x14ac:dyDescent="0.25">
      <c r="A811" t="str">
        <f>"200000195"</f>
        <v>200000195</v>
      </c>
      <c r="B811" t="str">
        <f>"1407047129"</f>
        <v>1407047129</v>
      </c>
      <c r="C811" t="str">
        <f>"207RE0101X"</f>
        <v>207RE0101X</v>
      </c>
      <c r="D811" t="str">
        <f>"HEWITT                   JOCELYN                  "</f>
        <v xml:space="preserve">HEWITT                   JOCELYN                  </v>
      </c>
      <c r="E811" t="str">
        <f>"MOBILE                    "</f>
        <v xml:space="preserve">MOBILE                    </v>
      </c>
      <c r="F811" t="str">
        <f t="shared" si="24"/>
        <v>AL</v>
      </c>
    </row>
    <row r="812" spans="1:6" x14ac:dyDescent="0.25">
      <c r="A812" t="str">
        <f>"200000215"</f>
        <v>200000215</v>
      </c>
      <c r="B812" t="str">
        <f>"1942611223"</f>
        <v>1942611223</v>
      </c>
      <c r="C812" t="str">
        <f>"2085R0204X"</f>
        <v>2085R0204X</v>
      </c>
      <c r="D812" t="str">
        <f>"RAJA                     JUNAID                   "</f>
        <v xml:space="preserve">RAJA                     JUNAID                   </v>
      </c>
      <c r="E812" t="str">
        <f>"BIRMINGHAM                "</f>
        <v xml:space="preserve">BIRMINGHAM                </v>
      </c>
      <c r="F812" t="str">
        <f t="shared" si="24"/>
        <v>AL</v>
      </c>
    </row>
    <row r="813" spans="1:6" x14ac:dyDescent="0.25">
      <c r="A813" t="str">
        <f>"200000300"</f>
        <v>200000300</v>
      </c>
      <c r="B813" t="str">
        <f>"1245643873"</f>
        <v>1245643873</v>
      </c>
      <c r="C813" t="str">
        <f>"2086S0102X"</f>
        <v>2086S0102X</v>
      </c>
      <c r="D813" t="str">
        <f>"CAPASSO                  THOMAS       J           "</f>
        <v xml:space="preserve">CAPASSO                  THOMAS       J           </v>
      </c>
      <c r="E813" t="str">
        <f t="shared" ref="E813:E819" si="26">"MOBILE                    "</f>
        <v xml:space="preserve">MOBILE                    </v>
      </c>
      <c r="F813" t="str">
        <f t="shared" si="24"/>
        <v>AL</v>
      </c>
    </row>
    <row r="814" spans="1:6" x14ac:dyDescent="0.25">
      <c r="A814" t="str">
        <f>"200000363"</f>
        <v>200000363</v>
      </c>
      <c r="B814" t="str">
        <f>"1063907020"</f>
        <v>1063907020</v>
      </c>
      <c r="C814" t="str">
        <f>"207R00000X"</f>
        <v>207R00000X</v>
      </c>
      <c r="D814" t="str">
        <f>"SIDAHMED                 SHIMA        M           "</f>
        <v xml:space="preserve">SIDAHMED                 SHIMA        M           </v>
      </c>
      <c r="E814" t="str">
        <f t="shared" si="26"/>
        <v xml:space="preserve">MOBILE                    </v>
      </c>
      <c r="F814" t="str">
        <f t="shared" si="24"/>
        <v>AL</v>
      </c>
    </row>
    <row r="815" spans="1:6" x14ac:dyDescent="0.25">
      <c r="A815" t="str">
        <f>"200000397"</f>
        <v>200000397</v>
      </c>
      <c r="B815" t="str">
        <f>"1003843004"</f>
        <v>1003843004</v>
      </c>
      <c r="C815" t="str">
        <f>"207P00000X"</f>
        <v>207P00000X</v>
      </c>
      <c r="D815" t="str">
        <f>"SCHNEIDER                PAUL         D           "</f>
        <v xml:space="preserve">SCHNEIDER                PAUL         D           </v>
      </c>
      <c r="E815" t="str">
        <f t="shared" si="26"/>
        <v xml:space="preserve">MOBILE                    </v>
      </c>
      <c r="F815" t="str">
        <f t="shared" si="24"/>
        <v>AL</v>
      </c>
    </row>
    <row r="816" spans="1:6" x14ac:dyDescent="0.25">
      <c r="A816" t="str">
        <f>"200000409"</f>
        <v>200000409</v>
      </c>
      <c r="B816" t="str">
        <f>"1750993945"</f>
        <v>1750993945</v>
      </c>
      <c r="C816" t="str">
        <f>"363L00000X"</f>
        <v>363L00000X</v>
      </c>
      <c r="D816" t="str">
        <f>"WILSON                   BRITTANY     M           "</f>
        <v xml:space="preserve">WILSON                   BRITTANY     M           </v>
      </c>
      <c r="E816" t="str">
        <f t="shared" si="26"/>
        <v xml:space="preserve">MOBILE                    </v>
      </c>
      <c r="F816" t="str">
        <f t="shared" si="24"/>
        <v>AL</v>
      </c>
    </row>
    <row r="817" spans="1:6" x14ac:dyDescent="0.25">
      <c r="A817" t="str">
        <f>"200000410"</f>
        <v>200000410</v>
      </c>
      <c r="B817" t="str">
        <f>"1336870781"</f>
        <v>1336870781</v>
      </c>
      <c r="C817" t="str">
        <f>"363L00000X"</f>
        <v>363L00000X</v>
      </c>
      <c r="D817" t="str">
        <f>"HIGHTOWER                EMILY                    "</f>
        <v xml:space="preserve">HIGHTOWER                EMILY                    </v>
      </c>
      <c r="E817" t="str">
        <f t="shared" si="26"/>
        <v xml:space="preserve">MOBILE                    </v>
      </c>
      <c r="F817" t="str">
        <f t="shared" si="24"/>
        <v>AL</v>
      </c>
    </row>
    <row r="818" spans="1:6" x14ac:dyDescent="0.25">
      <c r="A818" t="str">
        <f>"200000431"</f>
        <v>200000431</v>
      </c>
      <c r="B818" t="str">
        <f>"1295186476"</f>
        <v>1295186476</v>
      </c>
      <c r="C818" t="str">
        <f>"207RH0003X"</f>
        <v>207RH0003X</v>
      </c>
      <c r="D818" t="str">
        <f>"KARKI                    NABIN        R           "</f>
        <v xml:space="preserve">KARKI                    NABIN        R           </v>
      </c>
      <c r="E818" t="str">
        <f t="shared" si="26"/>
        <v xml:space="preserve">MOBILE                    </v>
      </c>
      <c r="F818" t="str">
        <f t="shared" si="24"/>
        <v>AL</v>
      </c>
    </row>
    <row r="819" spans="1:6" x14ac:dyDescent="0.25">
      <c r="A819" t="str">
        <f>"200000452"</f>
        <v>200000452</v>
      </c>
      <c r="B819" t="str">
        <f>"1609449263"</f>
        <v>1609449263</v>
      </c>
      <c r="C819" t="str">
        <f>"363A00000X"</f>
        <v>363A00000X</v>
      </c>
      <c r="D819" t="str">
        <f>"MCINNIS                  CAMERON      H           "</f>
        <v xml:space="preserve">MCINNIS                  CAMERON      H           </v>
      </c>
      <c r="E819" t="str">
        <f t="shared" si="26"/>
        <v xml:space="preserve">MOBILE                    </v>
      </c>
      <c r="F819" t="str">
        <f t="shared" si="24"/>
        <v>AL</v>
      </c>
    </row>
    <row r="820" spans="1:6" x14ac:dyDescent="0.25">
      <c r="A820" t="str">
        <f>"200000497"</f>
        <v>200000497</v>
      </c>
      <c r="B820" t="str">
        <f>"1275997165"</f>
        <v>1275997165</v>
      </c>
      <c r="C820" t="str">
        <f>"207RN0300X"</f>
        <v>207RN0300X</v>
      </c>
      <c r="D820" t="str">
        <f>"LU                       YAN                      "</f>
        <v xml:space="preserve">LU                       YAN                      </v>
      </c>
      <c r="E820" t="str">
        <f>"BIRMINGHAM                "</f>
        <v xml:space="preserve">BIRMINGHAM                </v>
      </c>
      <c r="F820" t="str">
        <f t="shared" si="24"/>
        <v>AL</v>
      </c>
    </row>
    <row r="821" spans="1:6" x14ac:dyDescent="0.25">
      <c r="A821" t="str">
        <f>"200000544"</f>
        <v>200000544</v>
      </c>
      <c r="B821" t="str">
        <f>"1962897454"</f>
        <v>1962897454</v>
      </c>
      <c r="C821" t="str">
        <f>"207R00000X"</f>
        <v>207R00000X</v>
      </c>
      <c r="D821" t="str">
        <f>"BENDER                   STEPHANIE                "</f>
        <v xml:space="preserve">BENDER                   STEPHANIE                </v>
      </c>
      <c r="E821" t="str">
        <f>"MOBILE                    "</f>
        <v xml:space="preserve">MOBILE                    </v>
      </c>
      <c r="F821" t="str">
        <f t="shared" si="24"/>
        <v>AL</v>
      </c>
    </row>
    <row r="822" spans="1:6" x14ac:dyDescent="0.25">
      <c r="A822" t="str">
        <f>"200000558"</f>
        <v>200000558</v>
      </c>
      <c r="B822" t="str">
        <f>"1164819231"</f>
        <v>1164819231</v>
      </c>
      <c r="C822" t="str">
        <f>"207RG0100X"</f>
        <v>207RG0100X</v>
      </c>
      <c r="D822" t="str">
        <f>"BERCIER                  BARET        T           "</f>
        <v xml:space="preserve">BERCIER                  BARET        T           </v>
      </c>
      <c r="E822" t="str">
        <f>"MOBILE                    "</f>
        <v xml:space="preserve">MOBILE                    </v>
      </c>
      <c r="F822" t="str">
        <f t="shared" si="24"/>
        <v>AL</v>
      </c>
    </row>
    <row r="823" spans="1:6" x14ac:dyDescent="0.25">
      <c r="A823" t="str">
        <f>"200000564"</f>
        <v>200000564</v>
      </c>
      <c r="B823" t="str">
        <f>"1235662917"</f>
        <v>1235662917</v>
      </c>
      <c r="C823" t="str">
        <f>"2085R0202X"</f>
        <v>2085R0202X</v>
      </c>
      <c r="D823" t="str">
        <f>"PERCHIK                  JORDAN                   "</f>
        <v xml:space="preserve">PERCHIK                  JORDAN                   </v>
      </c>
      <c r="E823" t="str">
        <f>"BIRMINGHAM                "</f>
        <v xml:space="preserve">BIRMINGHAM                </v>
      </c>
      <c r="F823" t="str">
        <f t="shared" si="24"/>
        <v>AL</v>
      </c>
    </row>
    <row r="824" spans="1:6" x14ac:dyDescent="0.25">
      <c r="A824" t="str">
        <f>"200000568"</f>
        <v>200000568</v>
      </c>
      <c r="B824" t="str">
        <f>"1427657956"</f>
        <v>1427657956</v>
      </c>
      <c r="C824" t="str">
        <f>"363L00000X"</f>
        <v>363L00000X</v>
      </c>
      <c r="D824" t="str">
        <f>"FAUST                    MICHELLE     K           "</f>
        <v xml:space="preserve">FAUST                    MICHELLE     K           </v>
      </c>
      <c r="E824" t="str">
        <f>"MOBILE                    "</f>
        <v xml:space="preserve">MOBILE                    </v>
      </c>
      <c r="F824" t="str">
        <f t="shared" si="24"/>
        <v>AL</v>
      </c>
    </row>
    <row r="825" spans="1:6" x14ac:dyDescent="0.25">
      <c r="A825" t="str">
        <f>"200000622"</f>
        <v>200000622</v>
      </c>
      <c r="B825" t="str">
        <f>"1215142559"</f>
        <v>1215142559</v>
      </c>
      <c r="C825" t="str">
        <f>"207P00000X"</f>
        <v>207P00000X</v>
      </c>
      <c r="D825" t="str">
        <f>"LAMBIE                   NATALIE      D           "</f>
        <v xml:space="preserve">LAMBIE                   NATALIE      D           </v>
      </c>
      <c r="E825" t="str">
        <f>"MOBILE                    "</f>
        <v xml:space="preserve">MOBILE                    </v>
      </c>
      <c r="F825" t="str">
        <f t="shared" si="24"/>
        <v>AL</v>
      </c>
    </row>
    <row r="826" spans="1:6" x14ac:dyDescent="0.25">
      <c r="A826" t="str">
        <f>"200000626"</f>
        <v>200000626</v>
      </c>
      <c r="B826" t="str">
        <f>"1497834311"</f>
        <v>1497834311</v>
      </c>
      <c r="C826" t="str">
        <f>"2080N0001X"</f>
        <v>2080N0001X</v>
      </c>
      <c r="D826" t="str">
        <f>"RAMANI                   MANIMARAN                "</f>
        <v xml:space="preserve">RAMANI                   MANIMARAN                </v>
      </c>
      <c r="E826" t="str">
        <f>"MOBILE                    "</f>
        <v xml:space="preserve">MOBILE                    </v>
      </c>
      <c r="F826" t="str">
        <f t="shared" si="24"/>
        <v>AL</v>
      </c>
    </row>
    <row r="827" spans="1:6" x14ac:dyDescent="0.25">
      <c r="A827" t="str">
        <f>"200000688"</f>
        <v>200000688</v>
      </c>
      <c r="B827" t="str">
        <f>"1407952963"</f>
        <v>1407952963</v>
      </c>
      <c r="C827" t="str">
        <f>"208000000X"</f>
        <v>208000000X</v>
      </c>
      <c r="D827" t="str">
        <f>"AHMED                    IBRAHIM      M           "</f>
        <v xml:space="preserve">AHMED                    IBRAHIM      M           </v>
      </c>
      <c r="E827" t="str">
        <f>"MOBILE                    "</f>
        <v xml:space="preserve">MOBILE                    </v>
      </c>
      <c r="F827" t="str">
        <f t="shared" si="24"/>
        <v>AL</v>
      </c>
    </row>
    <row r="828" spans="1:6" x14ac:dyDescent="0.25">
      <c r="A828" t="str">
        <f>"200000765"</f>
        <v>200000765</v>
      </c>
      <c r="B828" t="str">
        <f>"1508392432"</f>
        <v>1508392432</v>
      </c>
      <c r="C828" t="str">
        <f>"261QM1300X"</f>
        <v>261QM1300X</v>
      </c>
      <c r="D828" t="str">
        <f>"UNIVERSITY OF SOUTH ALABAMA HEALTH CARE AUTHORITY "</f>
        <v xml:space="preserve">UNIVERSITY OF SOUTH ALABAMA HEALTH CARE AUTHORITY </v>
      </c>
      <c r="E828" t="str">
        <f>"MOBILE                    "</f>
        <v xml:space="preserve">MOBILE                    </v>
      </c>
      <c r="F828" t="str">
        <f t="shared" si="24"/>
        <v>AL</v>
      </c>
    </row>
    <row r="829" spans="1:6" x14ac:dyDescent="0.25">
      <c r="A829" t="str">
        <f>"200000782"</f>
        <v>200000782</v>
      </c>
      <c r="B829" t="str">
        <f>"1174907984"</f>
        <v>1174907984</v>
      </c>
      <c r="C829" t="str">
        <f>"207RR0500X"</f>
        <v>207RR0500X</v>
      </c>
      <c r="D829" t="str">
        <f>"RUBIO MOSQUERA           JOSE                     "</f>
        <v xml:space="preserve">RUBIO MOSQUERA           JOSE                     </v>
      </c>
      <c r="E829" t="str">
        <f>"BIRMINGHAM                "</f>
        <v xml:space="preserve">BIRMINGHAM                </v>
      </c>
      <c r="F829" t="str">
        <f t="shared" si="24"/>
        <v>AL</v>
      </c>
    </row>
    <row r="830" spans="1:6" x14ac:dyDescent="0.25">
      <c r="A830" t="str">
        <f>"200000836"</f>
        <v>200000836</v>
      </c>
      <c r="B830" t="str">
        <f>"1184767220"</f>
        <v>1184767220</v>
      </c>
      <c r="C830" t="str">
        <f>"207R00000X"</f>
        <v>207R00000X</v>
      </c>
      <c r="D830" t="str">
        <f>"WHITE                    LORI         C           "</f>
        <v xml:space="preserve">WHITE                    LORI         C           </v>
      </c>
      <c r="E830" t="str">
        <f>"MOBILE                    "</f>
        <v xml:space="preserve">MOBILE                    </v>
      </c>
      <c r="F830" t="str">
        <f t="shared" si="24"/>
        <v>AL</v>
      </c>
    </row>
    <row r="831" spans="1:6" x14ac:dyDescent="0.25">
      <c r="A831" t="str">
        <f>"200000847"</f>
        <v>200000847</v>
      </c>
      <c r="B831" t="str">
        <f>"1902538648"</f>
        <v>1902538648</v>
      </c>
      <c r="C831" t="str">
        <f>"363L00000X"</f>
        <v>363L00000X</v>
      </c>
      <c r="D831" t="str">
        <f>"THOMAS                   MELANIE      J           "</f>
        <v xml:space="preserve">THOMAS                   MELANIE      J           </v>
      </c>
      <c r="E831" t="str">
        <f>"MOBILE                    "</f>
        <v xml:space="preserve">MOBILE                    </v>
      </c>
      <c r="F831" t="str">
        <f t="shared" si="24"/>
        <v>AL</v>
      </c>
    </row>
    <row r="832" spans="1:6" x14ac:dyDescent="0.25">
      <c r="A832" t="str">
        <f>"200000961"</f>
        <v>200000961</v>
      </c>
      <c r="B832" t="str">
        <f>"1356898654"</f>
        <v>1356898654</v>
      </c>
      <c r="C832" t="str">
        <f>"2085R0202X"</f>
        <v>2085R0202X</v>
      </c>
      <c r="D832" t="str">
        <f>"RODRIGUEZ-CRUZ           ERICK                    "</f>
        <v xml:space="preserve">RODRIGUEZ-CRUZ           ERICK                    </v>
      </c>
      <c r="E832" t="str">
        <f>"BIRMINGHAM                "</f>
        <v xml:space="preserve">BIRMINGHAM                </v>
      </c>
      <c r="F832" t="str">
        <f t="shared" si="24"/>
        <v>AL</v>
      </c>
    </row>
    <row r="833" spans="1:6" x14ac:dyDescent="0.25">
      <c r="A833" t="str">
        <f>"200001012"</f>
        <v>200001012</v>
      </c>
      <c r="B833" t="str">
        <f>"1790166221"</f>
        <v>1790166221</v>
      </c>
      <c r="C833" t="str">
        <f>"207RG0100X"</f>
        <v>207RG0100X</v>
      </c>
      <c r="D833" t="str">
        <f>"AJAYI-FOX                PATRICIA                 "</f>
        <v xml:space="preserve">AJAYI-FOX                PATRICIA                 </v>
      </c>
      <c r="E833" t="str">
        <f>"BIRMINGHAM                "</f>
        <v xml:space="preserve">BIRMINGHAM                </v>
      </c>
      <c r="F833" t="str">
        <f t="shared" si="24"/>
        <v>AL</v>
      </c>
    </row>
    <row r="834" spans="1:6" x14ac:dyDescent="0.25">
      <c r="A834" t="str">
        <f>"200001035"</f>
        <v>200001035</v>
      </c>
      <c r="B834" t="str">
        <f>"1881845501"</f>
        <v>1881845501</v>
      </c>
      <c r="C834" t="str">
        <f>"2085R0001X"</f>
        <v>2085R0001X</v>
      </c>
      <c r="D834" t="str">
        <f>"HUDDLESTON               ADAM         J           "</f>
        <v xml:space="preserve">HUDDLESTON               ADAM         J           </v>
      </c>
      <c r="E834" t="str">
        <f>"MOBILE                    "</f>
        <v xml:space="preserve">MOBILE                    </v>
      </c>
      <c r="F834" t="str">
        <f t="shared" si="24"/>
        <v>AL</v>
      </c>
    </row>
    <row r="835" spans="1:6" x14ac:dyDescent="0.25">
      <c r="A835" t="str">
        <f>"200001043"</f>
        <v>200001043</v>
      </c>
      <c r="B835" t="str">
        <f>"1043734205"</f>
        <v>1043734205</v>
      </c>
      <c r="C835" t="str">
        <f>"208100000X"</f>
        <v>208100000X</v>
      </c>
      <c r="D835" t="str">
        <f>"TWIST                    ELIZABETH                "</f>
        <v xml:space="preserve">TWIST                    ELIZABETH                </v>
      </c>
      <c r="E835" t="str">
        <f>"BIRMINGHAM                "</f>
        <v xml:space="preserve">BIRMINGHAM                </v>
      </c>
      <c r="F835" t="str">
        <f t="shared" si="24"/>
        <v>AL</v>
      </c>
    </row>
    <row r="836" spans="1:6" x14ac:dyDescent="0.25">
      <c r="A836" t="str">
        <f>"200001094"</f>
        <v>200001094</v>
      </c>
      <c r="B836" t="str">
        <f>"1184112856"</f>
        <v>1184112856</v>
      </c>
      <c r="C836" t="str">
        <f>"207RG0100X"</f>
        <v>207RG0100X</v>
      </c>
      <c r="D836" t="str">
        <f>"IDRISS                   RAJAB                    "</f>
        <v xml:space="preserve">IDRISS                   RAJAB                    </v>
      </c>
      <c r="E836" t="str">
        <f>"MOBILE                    "</f>
        <v xml:space="preserve">MOBILE                    </v>
      </c>
      <c r="F836" t="str">
        <f t="shared" si="24"/>
        <v>AL</v>
      </c>
    </row>
    <row r="837" spans="1:6" x14ac:dyDescent="0.25">
      <c r="A837" t="str">
        <f>"200001285"</f>
        <v>200001285</v>
      </c>
      <c r="B837" t="str">
        <f>"1639480106"</f>
        <v>1639480106</v>
      </c>
      <c r="C837" t="str">
        <f>"207RH0003X"</f>
        <v>207RH0003X</v>
      </c>
      <c r="D837" t="str">
        <f>"AKCE                     MEHMET                   "</f>
        <v xml:space="preserve">AKCE                     MEHMET                   </v>
      </c>
      <c r="E837" t="str">
        <f>"BIRMINGHAM                "</f>
        <v xml:space="preserve">BIRMINGHAM                </v>
      </c>
      <c r="F837" t="str">
        <f t="shared" si="24"/>
        <v>AL</v>
      </c>
    </row>
    <row r="838" spans="1:6" x14ac:dyDescent="0.25">
      <c r="A838" t="str">
        <f>"200001330"</f>
        <v>200001330</v>
      </c>
      <c r="B838" t="str">
        <f>"1386250249"</f>
        <v>1386250249</v>
      </c>
      <c r="C838" t="str">
        <f>"363L00000X"</f>
        <v>363L00000X</v>
      </c>
      <c r="D838" t="str">
        <f>"STALLWORTH JONES         MARNITA      M           "</f>
        <v xml:space="preserve">STALLWORTH JONES         MARNITA      M           </v>
      </c>
      <c r="E838" t="str">
        <f t="shared" ref="E838:E844" si="27">"MOBILE                    "</f>
        <v xml:space="preserve">MOBILE                    </v>
      </c>
      <c r="F838" t="str">
        <f t="shared" si="24"/>
        <v>AL</v>
      </c>
    </row>
    <row r="839" spans="1:6" x14ac:dyDescent="0.25">
      <c r="A839" t="str">
        <f>"200001354"</f>
        <v>200001354</v>
      </c>
      <c r="B839" t="str">
        <f>"1306563564"</f>
        <v>1306563564</v>
      </c>
      <c r="C839" t="str">
        <f>"363LF0000X"</f>
        <v>363LF0000X</v>
      </c>
      <c r="D839" t="str">
        <f>"SPRAGUE                  BILLYE       R           "</f>
        <v xml:space="preserve">SPRAGUE                  BILLYE       R           </v>
      </c>
      <c r="E839" t="str">
        <f t="shared" si="27"/>
        <v xml:space="preserve">MOBILE                    </v>
      </c>
      <c r="F839" t="str">
        <f t="shared" ref="F839:F902" si="28">"AL"</f>
        <v>AL</v>
      </c>
    </row>
    <row r="840" spans="1:6" x14ac:dyDescent="0.25">
      <c r="A840" t="str">
        <f>"200001400"</f>
        <v>200001400</v>
      </c>
      <c r="B840" t="str">
        <f>"1851980221"</f>
        <v>1851980221</v>
      </c>
      <c r="C840" t="str">
        <f>"363L00000X"</f>
        <v>363L00000X</v>
      </c>
      <c r="D840" t="str">
        <f>"CRENSHAW                 DANIELLE     M           "</f>
        <v xml:space="preserve">CRENSHAW                 DANIELLE     M           </v>
      </c>
      <c r="E840" t="str">
        <f t="shared" si="27"/>
        <v xml:space="preserve">MOBILE                    </v>
      </c>
      <c r="F840" t="str">
        <f t="shared" si="28"/>
        <v>AL</v>
      </c>
    </row>
    <row r="841" spans="1:6" x14ac:dyDescent="0.25">
      <c r="A841" t="str">
        <f>"200001584"</f>
        <v>200001584</v>
      </c>
      <c r="B841" t="str">
        <f>"1407241136"</f>
        <v>1407241136</v>
      </c>
      <c r="C841" t="str">
        <f>"207Q00000X"</f>
        <v>207Q00000X</v>
      </c>
      <c r="D841" t="str">
        <f>"SOLLIE                   REBECCA                  "</f>
        <v xml:space="preserve">SOLLIE                   REBECCA                  </v>
      </c>
      <c r="E841" t="str">
        <f t="shared" si="27"/>
        <v xml:space="preserve">MOBILE                    </v>
      </c>
      <c r="F841" t="str">
        <f t="shared" si="28"/>
        <v>AL</v>
      </c>
    </row>
    <row r="842" spans="1:6" x14ac:dyDescent="0.25">
      <c r="A842" t="str">
        <f>"200001647"</f>
        <v>200001647</v>
      </c>
      <c r="B842" t="str">
        <f>"1952785263"</f>
        <v>1952785263</v>
      </c>
      <c r="C842" t="str">
        <f>"207T00000X"</f>
        <v>207T00000X</v>
      </c>
      <c r="D842" t="str">
        <f>"NISAR                    TAHA                     "</f>
        <v xml:space="preserve">NISAR                    TAHA                     </v>
      </c>
      <c r="E842" t="str">
        <f t="shared" si="27"/>
        <v xml:space="preserve">MOBILE                    </v>
      </c>
      <c r="F842" t="str">
        <f t="shared" si="28"/>
        <v>AL</v>
      </c>
    </row>
    <row r="843" spans="1:6" x14ac:dyDescent="0.25">
      <c r="A843" t="str">
        <f>"200001664"</f>
        <v>200001664</v>
      </c>
      <c r="B843" t="str">
        <f>"1104030998"</f>
        <v>1104030998</v>
      </c>
      <c r="C843" t="str">
        <f>"207L00000X"</f>
        <v>207L00000X</v>
      </c>
      <c r="D843" t="str">
        <f>"KNIGHTSHEAD              KANDI        T           "</f>
        <v xml:space="preserve">KNIGHTSHEAD              KANDI        T           </v>
      </c>
      <c r="E843" t="str">
        <f t="shared" si="27"/>
        <v xml:space="preserve">MOBILE                    </v>
      </c>
      <c r="F843" t="str">
        <f t="shared" si="28"/>
        <v>AL</v>
      </c>
    </row>
    <row r="844" spans="1:6" x14ac:dyDescent="0.25">
      <c r="A844" t="str">
        <f>"200001683"</f>
        <v>200001683</v>
      </c>
      <c r="B844" t="str">
        <f>"1942611314"</f>
        <v>1942611314</v>
      </c>
      <c r="C844" t="str">
        <f>"2086S0129X"</f>
        <v>2086S0129X</v>
      </c>
      <c r="D844" t="str">
        <f>"CLAPPER                  NICHOLAS                 "</f>
        <v xml:space="preserve">CLAPPER                  NICHOLAS                 </v>
      </c>
      <c r="E844" t="str">
        <f t="shared" si="27"/>
        <v xml:space="preserve">MOBILE                    </v>
      </c>
      <c r="F844" t="str">
        <f t="shared" si="28"/>
        <v>AL</v>
      </c>
    </row>
    <row r="845" spans="1:6" x14ac:dyDescent="0.25">
      <c r="A845" t="str">
        <f>"200001714"</f>
        <v>200001714</v>
      </c>
      <c r="B845" t="str">
        <f>"1982668828"</f>
        <v>1982668828</v>
      </c>
      <c r="C845" t="str">
        <f>"207RC0000X"</f>
        <v>207RC0000X</v>
      </c>
      <c r="D845" t="str">
        <f>"PRIME                    DARRYL                   "</f>
        <v xml:space="preserve">PRIME                    DARRYL                   </v>
      </c>
      <c r="E845" t="str">
        <f>"BIRMINGAHM                "</f>
        <v xml:space="preserve">BIRMINGAHM                </v>
      </c>
      <c r="F845" t="str">
        <f t="shared" si="28"/>
        <v>AL</v>
      </c>
    </row>
    <row r="846" spans="1:6" x14ac:dyDescent="0.25">
      <c r="A846" t="str">
        <f>"200001736"</f>
        <v>200001736</v>
      </c>
      <c r="B846" t="str">
        <f>"1962855460"</f>
        <v>1962855460</v>
      </c>
      <c r="C846" t="str">
        <f>"207RE0101X"</f>
        <v>207RE0101X</v>
      </c>
      <c r="D846" t="str">
        <f>"VODOPIVEC KURI           DANICA                   "</f>
        <v xml:space="preserve">VODOPIVEC KURI           DANICA                   </v>
      </c>
      <c r="E846" t="str">
        <f>"BIRMINGHAM                "</f>
        <v xml:space="preserve">BIRMINGHAM                </v>
      </c>
      <c r="F846" t="str">
        <f t="shared" si="28"/>
        <v>AL</v>
      </c>
    </row>
    <row r="847" spans="1:6" x14ac:dyDescent="0.25">
      <c r="A847" t="str">
        <f>"200001793"</f>
        <v>200001793</v>
      </c>
      <c r="B847" t="str">
        <f>"1710448931"</f>
        <v>1710448931</v>
      </c>
      <c r="C847" t="str">
        <f>"207R00000X"</f>
        <v>207R00000X</v>
      </c>
      <c r="D847" t="str">
        <f>"OZAIR                    SANA                     "</f>
        <v xml:space="preserve">OZAIR                    SANA                     </v>
      </c>
      <c r="E847" t="str">
        <f>"MOBILE                    "</f>
        <v xml:space="preserve">MOBILE                    </v>
      </c>
      <c r="F847" t="str">
        <f t="shared" si="28"/>
        <v>AL</v>
      </c>
    </row>
    <row r="848" spans="1:6" x14ac:dyDescent="0.25">
      <c r="A848" t="str">
        <f>"200001809"</f>
        <v>200001809</v>
      </c>
      <c r="B848" t="str">
        <f>"1982101671"</f>
        <v>1982101671</v>
      </c>
      <c r="C848" t="str">
        <f>"207R00000X"</f>
        <v>207R00000X</v>
      </c>
      <c r="D848" t="str">
        <f>"JAFFE                    ADAM                     "</f>
        <v xml:space="preserve">JAFFE                    ADAM                     </v>
      </c>
      <c r="E848" t="str">
        <f>"BIRMINGHAM                "</f>
        <v xml:space="preserve">BIRMINGHAM                </v>
      </c>
      <c r="F848" t="str">
        <f t="shared" si="28"/>
        <v>AL</v>
      </c>
    </row>
    <row r="849" spans="1:6" x14ac:dyDescent="0.25">
      <c r="A849" t="str">
        <f>"200001937"</f>
        <v>200001937</v>
      </c>
      <c r="B849" t="str">
        <f>"1730852922"</f>
        <v>1730852922</v>
      </c>
      <c r="C849" t="str">
        <f>"363A00000X"</f>
        <v>363A00000X</v>
      </c>
      <c r="D849" t="str">
        <f>"FREEMAN                  HOPE                     "</f>
        <v xml:space="preserve">FREEMAN                  HOPE                     </v>
      </c>
      <c r="E849" t="str">
        <f t="shared" ref="E849:E855" si="29">"MOBILE                    "</f>
        <v xml:space="preserve">MOBILE                    </v>
      </c>
      <c r="F849" t="str">
        <f t="shared" si="28"/>
        <v>AL</v>
      </c>
    </row>
    <row r="850" spans="1:6" x14ac:dyDescent="0.25">
      <c r="A850" t="str">
        <f>"200001954"</f>
        <v>200001954</v>
      </c>
      <c r="B850" t="str">
        <f>"1598338113"</f>
        <v>1598338113</v>
      </c>
      <c r="C850" t="str">
        <f>"363A00000X"</f>
        <v>363A00000X</v>
      </c>
      <c r="D850" t="str">
        <f>"CLARK                    SAVANNAH     E           "</f>
        <v xml:space="preserve">CLARK                    SAVANNAH     E           </v>
      </c>
      <c r="E850" t="str">
        <f t="shared" si="29"/>
        <v xml:space="preserve">MOBILE                    </v>
      </c>
      <c r="F850" t="str">
        <f t="shared" si="28"/>
        <v>AL</v>
      </c>
    </row>
    <row r="851" spans="1:6" x14ac:dyDescent="0.25">
      <c r="A851" t="str">
        <f>"200002072"</f>
        <v>200002072</v>
      </c>
      <c r="B851" t="str">
        <f>"1659564318"</f>
        <v>1659564318</v>
      </c>
      <c r="C851" t="str">
        <f>"207P00000X"</f>
        <v>207P00000X</v>
      </c>
      <c r="D851" t="str">
        <f>"MOLINS                   CAROLINE                 "</f>
        <v xml:space="preserve">MOLINS                   CAROLINE                 </v>
      </c>
      <c r="E851" t="str">
        <f t="shared" si="29"/>
        <v xml:space="preserve">MOBILE                    </v>
      </c>
      <c r="F851" t="str">
        <f t="shared" si="28"/>
        <v>AL</v>
      </c>
    </row>
    <row r="852" spans="1:6" x14ac:dyDescent="0.25">
      <c r="A852" t="str">
        <f>"200002107"</f>
        <v>200002107</v>
      </c>
      <c r="B852" t="str">
        <f>"1043751399"</f>
        <v>1043751399</v>
      </c>
      <c r="C852" t="str">
        <f>"207P00000X"</f>
        <v>207P00000X</v>
      </c>
      <c r="D852" t="str">
        <f>"MAIER                    KRISTA                   "</f>
        <v xml:space="preserve">MAIER                    KRISTA                   </v>
      </c>
      <c r="E852" t="str">
        <f t="shared" si="29"/>
        <v xml:space="preserve">MOBILE                    </v>
      </c>
      <c r="F852" t="str">
        <f t="shared" si="28"/>
        <v>AL</v>
      </c>
    </row>
    <row r="853" spans="1:6" x14ac:dyDescent="0.25">
      <c r="A853" t="str">
        <f>"200002120"</f>
        <v>200002120</v>
      </c>
      <c r="B853" t="str">
        <f>"1952720849"</f>
        <v>1952720849</v>
      </c>
      <c r="C853" t="str">
        <f>"2086X0206X"</f>
        <v>2086X0206X</v>
      </c>
      <c r="D853" t="str">
        <f>"HUNTER                   RACHEL       L           "</f>
        <v xml:space="preserve">HUNTER                   RACHEL       L           </v>
      </c>
      <c r="E853" t="str">
        <f t="shared" si="29"/>
        <v xml:space="preserve">MOBILE                    </v>
      </c>
      <c r="F853" t="str">
        <f t="shared" si="28"/>
        <v>AL</v>
      </c>
    </row>
    <row r="854" spans="1:6" x14ac:dyDescent="0.25">
      <c r="A854" t="str">
        <f>"200002160"</f>
        <v>200002160</v>
      </c>
      <c r="B854" t="str">
        <f>"1326275694"</f>
        <v>1326275694</v>
      </c>
      <c r="C854" t="str">
        <f>"2085R0202X"</f>
        <v>2085R0202X</v>
      </c>
      <c r="D854" t="str">
        <f>"YONTZ                    DUSTIN                   "</f>
        <v xml:space="preserve">YONTZ                    DUSTIN                   </v>
      </c>
      <c r="E854" t="str">
        <f t="shared" si="29"/>
        <v xml:space="preserve">MOBILE                    </v>
      </c>
      <c r="F854" t="str">
        <f t="shared" si="28"/>
        <v>AL</v>
      </c>
    </row>
    <row r="855" spans="1:6" x14ac:dyDescent="0.25">
      <c r="A855" t="str">
        <f>"200002169"</f>
        <v>200002169</v>
      </c>
      <c r="B855" t="str">
        <f>"1447240395"</f>
        <v>1447240395</v>
      </c>
      <c r="C855" t="str">
        <f>"2080N0001X"</f>
        <v>2080N0001X</v>
      </c>
      <c r="D855" t="str">
        <f>"SIMS                     JAMES        S           "</f>
        <v xml:space="preserve">SIMS                     JAMES        S           </v>
      </c>
      <c r="E855" t="str">
        <f t="shared" si="29"/>
        <v xml:space="preserve">MOBILE                    </v>
      </c>
      <c r="F855" t="str">
        <f t="shared" si="28"/>
        <v>AL</v>
      </c>
    </row>
    <row r="856" spans="1:6" x14ac:dyDescent="0.25">
      <c r="A856" t="str">
        <f>"200002174"</f>
        <v>200002174</v>
      </c>
      <c r="B856" t="str">
        <f>"1346987955"</f>
        <v>1346987955</v>
      </c>
      <c r="C856" t="str">
        <f>"367500000X"</f>
        <v>367500000X</v>
      </c>
      <c r="D856" t="str">
        <f>"KARST                    ELIZABETH                "</f>
        <v xml:space="preserve">KARST                    ELIZABETH                </v>
      </c>
      <c r="E856" t="str">
        <f>"BIRMINGHAM                "</f>
        <v xml:space="preserve">BIRMINGHAM                </v>
      </c>
      <c r="F856" t="str">
        <f t="shared" si="28"/>
        <v>AL</v>
      </c>
    </row>
    <row r="857" spans="1:6" x14ac:dyDescent="0.25">
      <c r="A857" t="str">
        <f>"200002405"</f>
        <v>200002405</v>
      </c>
      <c r="B857" t="str">
        <f>"1114033016"</f>
        <v>1114033016</v>
      </c>
      <c r="C857" t="str">
        <f>"207W00000X"</f>
        <v>207W00000X</v>
      </c>
      <c r="D857" t="str">
        <f>"PARKER                   JOHN                     "</f>
        <v xml:space="preserve">PARKER                   JOHN                     </v>
      </c>
      <c r="E857" t="str">
        <f>"VESTAVIA HILLS            "</f>
        <v xml:space="preserve">VESTAVIA HILLS            </v>
      </c>
      <c r="F857" t="str">
        <f t="shared" si="28"/>
        <v>AL</v>
      </c>
    </row>
    <row r="858" spans="1:6" x14ac:dyDescent="0.25">
      <c r="A858" t="str">
        <f>"200002429"</f>
        <v>200002429</v>
      </c>
      <c r="B858" t="str">
        <f>"1144972043"</f>
        <v>1144972043</v>
      </c>
      <c r="C858" t="str">
        <f>"363L00000X"</f>
        <v>363L00000X</v>
      </c>
      <c r="D858" t="str">
        <f>"SMITH                    KATHERINE                "</f>
        <v xml:space="preserve">SMITH                    KATHERINE                </v>
      </c>
      <c r="E858" t="str">
        <f>"MOBILE                    "</f>
        <v xml:space="preserve">MOBILE                    </v>
      </c>
      <c r="F858" t="str">
        <f t="shared" si="28"/>
        <v>AL</v>
      </c>
    </row>
    <row r="859" spans="1:6" x14ac:dyDescent="0.25">
      <c r="A859" t="str">
        <f>"200002516"</f>
        <v>200002516</v>
      </c>
      <c r="B859" t="str">
        <f>"1386360337"</f>
        <v>1386360337</v>
      </c>
      <c r="C859" t="str">
        <f>"363L00000X"</f>
        <v>363L00000X</v>
      </c>
      <c r="D859" t="str">
        <f>"RIVERS                   DEIDRE                   "</f>
        <v xml:space="preserve">RIVERS                   DEIDRE                   </v>
      </c>
      <c r="E859" t="str">
        <f>"MOBILE                    "</f>
        <v xml:space="preserve">MOBILE                    </v>
      </c>
      <c r="F859" t="str">
        <f t="shared" si="28"/>
        <v>AL</v>
      </c>
    </row>
    <row r="860" spans="1:6" x14ac:dyDescent="0.25">
      <c r="A860" t="str">
        <f>"200002517"</f>
        <v>200002517</v>
      </c>
      <c r="B860" t="str">
        <f>"1477600328"</f>
        <v>1477600328</v>
      </c>
      <c r="C860" t="str">
        <f>"2086S0120X"</f>
        <v>2086S0120X</v>
      </c>
      <c r="D860" t="str">
        <f>"RUSSELL                  ROBERT       T           "</f>
        <v xml:space="preserve">RUSSELL                  ROBERT       T           </v>
      </c>
      <c r="E860" t="str">
        <f>"MOBILE                    "</f>
        <v xml:space="preserve">MOBILE                    </v>
      </c>
      <c r="F860" t="str">
        <f t="shared" si="28"/>
        <v>AL</v>
      </c>
    </row>
    <row r="861" spans="1:6" x14ac:dyDescent="0.25">
      <c r="A861" t="str">
        <f>"200002562"</f>
        <v>200002562</v>
      </c>
      <c r="B861" t="str">
        <f>"1699064329"</f>
        <v>1699064329</v>
      </c>
      <c r="C861" t="str">
        <f>"207T00000X"</f>
        <v>207T00000X</v>
      </c>
      <c r="D861" t="str">
        <f>"ROMEO                    ANDREW                   "</f>
        <v xml:space="preserve">ROMEO                    ANDREW                   </v>
      </c>
      <c r="E861" t="str">
        <f>"MOBILE                    "</f>
        <v xml:space="preserve">MOBILE                    </v>
      </c>
      <c r="F861" t="str">
        <f t="shared" si="28"/>
        <v>AL</v>
      </c>
    </row>
    <row r="862" spans="1:6" x14ac:dyDescent="0.25">
      <c r="A862" t="str">
        <f>"200002571"</f>
        <v>200002571</v>
      </c>
      <c r="B862" t="str">
        <f>"1912655887"</f>
        <v>1912655887</v>
      </c>
      <c r="C862" t="str">
        <f>"363L00000X"</f>
        <v>363L00000X</v>
      </c>
      <c r="D862" t="str">
        <f>"NAMAN                    ELIZABETH                "</f>
        <v xml:space="preserve">NAMAN                    ELIZABETH                </v>
      </c>
      <c r="E862" t="str">
        <f>"MOBILE                    "</f>
        <v xml:space="preserve">MOBILE                    </v>
      </c>
      <c r="F862" t="str">
        <f t="shared" si="28"/>
        <v>AL</v>
      </c>
    </row>
    <row r="863" spans="1:6" x14ac:dyDescent="0.25">
      <c r="A863" t="str">
        <f>"200002624"</f>
        <v>200002624</v>
      </c>
      <c r="B863" t="str">
        <f>"1285048702"</f>
        <v>1285048702</v>
      </c>
      <c r="C863" t="str">
        <f>"363L00000X"</f>
        <v>363L00000X</v>
      </c>
      <c r="D863" t="str">
        <f>"LEE                      DAVID                    "</f>
        <v xml:space="preserve">LEE                      DAVID                    </v>
      </c>
      <c r="E863" t="str">
        <f>"BIRMINGHAM                "</f>
        <v xml:space="preserve">BIRMINGHAM                </v>
      </c>
      <c r="F863" t="str">
        <f t="shared" si="28"/>
        <v>AL</v>
      </c>
    </row>
    <row r="864" spans="1:6" x14ac:dyDescent="0.25">
      <c r="A864" t="str">
        <f>"200002661"</f>
        <v>200002661</v>
      </c>
      <c r="B864" t="str">
        <f>"1467807909"</f>
        <v>1467807909</v>
      </c>
      <c r="C864" t="str">
        <f>"207P00000X"</f>
        <v>207P00000X</v>
      </c>
      <c r="D864" t="str">
        <f>"DHILLON                  RESHVINDER   S           "</f>
        <v xml:space="preserve">DHILLON                  RESHVINDER   S           </v>
      </c>
      <c r="E864" t="str">
        <f>"MOBILE                    "</f>
        <v xml:space="preserve">MOBILE                    </v>
      </c>
      <c r="F864" t="str">
        <f t="shared" si="28"/>
        <v>AL</v>
      </c>
    </row>
    <row r="865" spans="1:6" x14ac:dyDescent="0.25">
      <c r="A865" t="str">
        <f>"200002792"</f>
        <v>200002792</v>
      </c>
      <c r="B865" t="str">
        <f>"1194786830"</f>
        <v>1194786830</v>
      </c>
      <c r="C865" t="str">
        <f>"207P00000X"</f>
        <v>207P00000X</v>
      </c>
      <c r="D865" t="str">
        <f>"THOMAS                   CARLA                    "</f>
        <v xml:space="preserve">THOMAS                   CARLA                    </v>
      </c>
      <c r="E865" t="str">
        <f>"BUTLER                    "</f>
        <v xml:space="preserve">BUTLER                    </v>
      </c>
      <c r="F865" t="str">
        <f t="shared" si="28"/>
        <v>AL</v>
      </c>
    </row>
    <row r="866" spans="1:6" x14ac:dyDescent="0.25">
      <c r="A866" t="str">
        <f>"200002942"</f>
        <v>200002942</v>
      </c>
      <c r="B866" t="str">
        <f>"1437684404"</f>
        <v>1437684404</v>
      </c>
      <c r="C866" t="str">
        <f>"208100000X"</f>
        <v>208100000X</v>
      </c>
      <c r="D866" t="str">
        <f>"TERANISHI                RACHEL                   "</f>
        <v xml:space="preserve">TERANISHI                RACHEL                   </v>
      </c>
      <c r="E866" t="str">
        <f>"BIRMINGHAM                "</f>
        <v xml:space="preserve">BIRMINGHAM                </v>
      </c>
      <c r="F866" t="str">
        <f t="shared" si="28"/>
        <v>AL</v>
      </c>
    </row>
    <row r="867" spans="1:6" x14ac:dyDescent="0.25">
      <c r="A867" t="str">
        <f>"200002954"</f>
        <v>200002954</v>
      </c>
      <c r="B867" t="str">
        <f>"1912298498"</f>
        <v>1912298498</v>
      </c>
      <c r="C867" t="str">
        <f>"2085R0202X"</f>
        <v>2085R0202X</v>
      </c>
      <c r="D867" t="str">
        <f>"SMITH                    LISA         M           "</f>
        <v xml:space="preserve">SMITH                    LISA         M           </v>
      </c>
      <c r="E867" t="str">
        <f t="shared" ref="E867:E881" si="30">"MOBILE                    "</f>
        <v xml:space="preserve">MOBILE                    </v>
      </c>
      <c r="F867" t="str">
        <f t="shared" si="28"/>
        <v>AL</v>
      </c>
    </row>
    <row r="868" spans="1:6" x14ac:dyDescent="0.25">
      <c r="A868" t="str">
        <f>"200002969"</f>
        <v>200002969</v>
      </c>
      <c r="B868" t="str">
        <f>"1669792776"</f>
        <v>1669792776</v>
      </c>
      <c r="C868" t="str">
        <f>"207V00000X"</f>
        <v>207V00000X</v>
      </c>
      <c r="D868" t="str">
        <f>"SMITH                    ALLESSA                  "</f>
        <v xml:space="preserve">SMITH                    ALLESSA                  </v>
      </c>
      <c r="E868" t="str">
        <f t="shared" si="30"/>
        <v xml:space="preserve">MOBILE                    </v>
      </c>
      <c r="F868" t="str">
        <f t="shared" si="28"/>
        <v>AL</v>
      </c>
    </row>
    <row r="869" spans="1:6" x14ac:dyDescent="0.25">
      <c r="A869" t="str">
        <f>"200003022"</f>
        <v>200003022</v>
      </c>
      <c r="B869" t="str">
        <f>"1982649182"</f>
        <v>1982649182</v>
      </c>
      <c r="C869" t="str">
        <f>"2084N0400X"</f>
        <v>2084N0400X</v>
      </c>
      <c r="D869" t="str">
        <f>"HINTON JR                JOHN                     "</f>
        <v xml:space="preserve">HINTON JR                JOHN                     </v>
      </c>
      <c r="E869" t="str">
        <f t="shared" si="30"/>
        <v xml:space="preserve">MOBILE                    </v>
      </c>
      <c r="F869" t="str">
        <f t="shared" si="28"/>
        <v>AL</v>
      </c>
    </row>
    <row r="870" spans="1:6" x14ac:dyDescent="0.25">
      <c r="A870" t="str">
        <f>"200003097"</f>
        <v>200003097</v>
      </c>
      <c r="B870" t="str">
        <f>"1386620912"</f>
        <v>1386620912</v>
      </c>
      <c r="C870" t="str">
        <f>"207RN0300X"</f>
        <v>207RN0300X</v>
      </c>
      <c r="D870" t="str">
        <f>"KLEINMANN                MICHAEL                  "</f>
        <v xml:space="preserve">KLEINMANN                MICHAEL                  </v>
      </c>
      <c r="E870" t="str">
        <f t="shared" si="30"/>
        <v xml:space="preserve">MOBILE                    </v>
      </c>
      <c r="F870" t="str">
        <f t="shared" si="28"/>
        <v>AL</v>
      </c>
    </row>
    <row r="871" spans="1:6" x14ac:dyDescent="0.25">
      <c r="A871" t="str">
        <f>"200003140"</f>
        <v>200003140</v>
      </c>
      <c r="B871" t="str">
        <f>"1407386949"</f>
        <v>1407386949</v>
      </c>
      <c r="C871" t="str">
        <f>"2085R0202X"</f>
        <v>2085R0202X</v>
      </c>
      <c r="D871" t="str">
        <f>"MCANDREWS                DANIEL       J           "</f>
        <v xml:space="preserve">MCANDREWS                DANIEL       J           </v>
      </c>
      <c r="E871" t="str">
        <f t="shared" si="30"/>
        <v xml:space="preserve">MOBILE                    </v>
      </c>
      <c r="F871" t="str">
        <f t="shared" si="28"/>
        <v>AL</v>
      </c>
    </row>
    <row r="872" spans="1:6" x14ac:dyDescent="0.25">
      <c r="A872" t="str">
        <f>"200003158"</f>
        <v>200003158</v>
      </c>
      <c r="B872" t="str">
        <f>"1124554712"</f>
        <v>1124554712</v>
      </c>
      <c r="C872" t="str">
        <f>"2085R0202X"</f>
        <v>2085R0202X</v>
      </c>
      <c r="D872" t="str">
        <f>"THOMAS                   WILLIAM      J           "</f>
        <v xml:space="preserve">THOMAS                   WILLIAM      J           </v>
      </c>
      <c r="E872" t="str">
        <f t="shared" si="30"/>
        <v xml:space="preserve">MOBILE                    </v>
      </c>
      <c r="F872" t="str">
        <f t="shared" si="28"/>
        <v>AL</v>
      </c>
    </row>
    <row r="873" spans="1:6" x14ac:dyDescent="0.25">
      <c r="A873" t="str">
        <f>"200003174"</f>
        <v>200003174</v>
      </c>
      <c r="B873" t="str">
        <f>"1881040087"</f>
        <v>1881040087</v>
      </c>
      <c r="C873" t="str">
        <f>"207V00000X"</f>
        <v>207V00000X</v>
      </c>
      <c r="D873" t="str">
        <f>"GOSLAWSKI                MELISSA                  "</f>
        <v xml:space="preserve">GOSLAWSKI                MELISSA                  </v>
      </c>
      <c r="E873" t="str">
        <f t="shared" si="30"/>
        <v xml:space="preserve">MOBILE                    </v>
      </c>
      <c r="F873" t="str">
        <f t="shared" si="28"/>
        <v>AL</v>
      </c>
    </row>
    <row r="874" spans="1:6" x14ac:dyDescent="0.25">
      <c r="A874" t="str">
        <f>"200003448"</f>
        <v>200003448</v>
      </c>
      <c r="B874" t="str">
        <f>"1093472219"</f>
        <v>1093472219</v>
      </c>
      <c r="C874" t="str">
        <f>"363LF0000X"</f>
        <v>363LF0000X</v>
      </c>
      <c r="D874" t="str">
        <f>"HARRIS                   JALEESA                  "</f>
        <v xml:space="preserve">HARRIS                   JALEESA                  </v>
      </c>
      <c r="E874" t="str">
        <f t="shared" si="30"/>
        <v xml:space="preserve">MOBILE                    </v>
      </c>
      <c r="F874" t="str">
        <f t="shared" si="28"/>
        <v>AL</v>
      </c>
    </row>
    <row r="875" spans="1:6" x14ac:dyDescent="0.25">
      <c r="A875" t="str">
        <f>"200003755"</f>
        <v>200003755</v>
      </c>
      <c r="B875" t="str">
        <f>"1417037748"</f>
        <v>1417037748</v>
      </c>
      <c r="C875" t="str">
        <f>"363L00000X"</f>
        <v>363L00000X</v>
      </c>
      <c r="D875" t="str">
        <f>"PRESTON                  JOANNE                   "</f>
        <v xml:space="preserve">PRESTON                  JOANNE                   </v>
      </c>
      <c r="E875" t="str">
        <f t="shared" si="30"/>
        <v xml:space="preserve">MOBILE                    </v>
      </c>
      <c r="F875" t="str">
        <f t="shared" si="28"/>
        <v>AL</v>
      </c>
    </row>
    <row r="876" spans="1:6" x14ac:dyDescent="0.25">
      <c r="A876" t="str">
        <f>"200003888"</f>
        <v>200003888</v>
      </c>
      <c r="B876" t="str">
        <f>"1881306546"</f>
        <v>1881306546</v>
      </c>
      <c r="C876" t="str">
        <f>"363L00000X"</f>
        <v>363L00000X</v>
      </c>
      <c r="D876" t="str">
        <f>"WICKER                   AMBER                    "</f>
        <v xml:space="preserve">WICKER                   AMBER                    </v>
      </c>
      <c r="E876" t="str">
        <f t="shared" si="30"/>
        <v xml:space="preserve">MOBILE                    </v>
      </c>
      <c r="F876" t="str">
        <f t="shared" si="28"/>
        <v>AL</v>
      </c>
    </row>
    <row r="877" spans="1:6" x14ac:dyDescent="0.25">
      <c r="A877" t="str">
        <f>"200003994"</f>
        <v>200003994</v>
      </c>
      <c r="B877" t="str">
        <f>"1114488350"</f>
        <v>1114488350</v>
      </c>
      <c r="C877" t="str">
        <f>"207Q00000X"</f>
        <v>207Q00000X</v>
      </c>
      <c r="D877" t="str">
        <f>"JEFFERSON                RICHELLE                 "</f>
        <v xml:space="preserve">JEFFERSON                RICHELLE                 </v>
      </c>
      <c r="E877" t="str">
        <f t="shared" si="30"/>
        <v xml:space="preserve">MOBILE                    </v>
      </c>
      <c r="F877" t="str">
        <f t="shared" si="28"/>
        <v>AL</v>
      </c>
    </row>
    <row r="878" spans="1:6" x14ac:dyDescent="0.25">
      <c r="A878" t="str">
        <f>"200004099"</f>
        <v>200004099</v>
      </c>
      <c r="B878" t="str">
        <f>"1043396625"</f>
        <v>1043396625</v>
      </c>
      <c r="C878" t="str">
        <f>"207V00000X"</f>
        <v>207V00000X</v>
      </c>
      <c r="D878" t="str">
        <f>"MCCATHRAN                CHARLES                  "</f>
        <v xml:space="preserve">MCCATHRAN                CHARLES                  </v>
      </c>
      <c r="E878" t="str">
        <f t="shared" si="30"/>
        <v xml:space="preserve">MOBILE                    </v>
      </c>
      <c r="F878" t="str">
        <f t="shared" si="28"/>
        <v>AL</v>
      </c>
    </row>
    <row r="879" spans="1:6" x14ac:dyDescent="0.25">
      <c r="A879" t="str">
        <f>"200004129"</f>
        <v>200004129</v>
      </c>
      <c r="B879" t="str">
        <f>"1093795486"</f>
        <v>1093795486</v>
      </c>
      <c r="C879" t="str">
        <f>"208000000X"</f>
        <v>208000000X</v>
      </c>
      <c r="D879" t="str">
        <f>"MESSEMER                 JANE         E           "</f>
        <v xml:space="preserve">MESSEMER                 JANE         E           </v>
      </c>
      <c r="E879" t="str">
        <f t="shared" si="30"/>
        <v xml:space="preserve">MOBILE                    </v>
      </c>
      <c r="F879" t="str">
        <f t="shared" si="28"/>
        <v>AL</v>
      </c>
    </row>
    <row r="880" spans="1:6" x14ac:dyDescent="0.25">
      <c r="A880" t="str">
        <f>"200004184"</f>
        <v>200004184</v>
      </c>
      <c r="B880" t="str">
        <f>"1386345114"</f>
        <v>1386345114</v>
      </c>
      <c r="C880" t="str">
        <f>"363L00000X"</f>
        <v>363L00000X</v>
      </c>
      <c r="D880" t="str">
        <f>"WARD                     TAYLOR                   "</f>
        <v xml:space="preserve">WARD                     TAYLOR                   </v>
      </c>
      <c r="E880" t="str">
        <f t="shared" si="30"/>
        <v xml:space="preserve">MOBILE                    </v>
      </c>
      <c r="F880" t="str">
        <f t="shared" si="28"/>
        <v>AL</v>
      </c>
    </row>
    <row r="881" spans="1:6" x14ac:dyDescent="0.25">
      <c r="A881" t="str">
        <f>"200004293"</f>
        <v>200004293</v>
      </c>
      <c r="B881" t="str">
        <f>"1194182642"</f>
        <v>1194182642</v>
      </c>
      <c r="C881" t="str">
        <f>"363L00000X"</f>
        <v>363L00000X</v>
      </c>
      <c r="D881" t="str">
        <f>"COLLIER                  JAMES                    "</f>
        <v xml:space="preserve">COLLIER                  JAMES                    </v>
      </c>
      <c r="E881" t="str">
        <f t="shared" si="30"/>
        <v xml:space="preserve">MOBILE                    </v>
      </c>
      <c r="F881" t="str">
        <f t="shared" si="28"/>
        <v>AL</v>
      </c>
    </row>
    <row r="882" spans="1:6" x14ac:dyDescent="0.25">
      <c r="A882" t="str">
        <f>"200004308"</f>
        <v>200004308</v>
      </c>
      <c r="B882" t="str">
        <f>"1528095007"</f>
        <v>1528095007</v>
      </c>
      <c r="C882" t="str">
        <f>"207P00000X"</f>
        <v>207P00000X</v>
      </c>
      <c r="D882" t="str">
        <f>"ANDERSON                 JEFFREY      D           "</f>
        <v xml:space="preserve">ANDERSON                 JEFFREY      D           </v>
      </c>
      <c r="E882" t="str">
        <f>"FLORENCE                  "</f>
        <v xml:space="preserve">FLORENCE                  </v>
      </c>
      <c r="F882" t="str">
        <f t="shared" si="28"/>
        <v>AL</v>
      </c>
    </row>
    <row r="883" spans="1:6" x14ac:dyDescent="0.25">
      <c r="A883" t="str">
        <f>"200004713"</f>
        <v>200004713</v>
      </c>
      <c r="B883" t="str">
        <f>"1699300145"</f>
        <v>1699300145</v>
      </c>
      <c r="C883" t="str">
        <f>"363L00000X"</f>
        <v>363L00000X</v>
      </c>
      <c r="D883" t="str">
        <f>"BRYANT                   KELLI                    "</f>
        <v xml:space="preserve">BRYANT                   KELLI                    </v>
      </c>
      <c r="E883" t="str">
        <f t="shared" ref="E883:E892" si="31">"MOBILE                    "</f>
        <v xml:space="preserve">MOBILE                    </v>
      </c>
      <c r="F883" t="str">
        <f t="shared" si="28"/>
        <v>AL</v>
      </c>
    </row>
    <row r="884" spans="1:6" x14ac:dyDescent="0.25">
      <c r="A884" t="str">
        <f>"200004850"</f>
        <v>200004850</v>
      </c>
      <c r="B884" t="str">
        <f>"1396170361"</f>
        <v>1396170361</v>
      </c>
      <c r="C884" t="str">
        <f>"363L00000X"</f>
        <v>363L00000X</v>
      </c>
      <c r="D884" t="str">
        <f>"JOLLY                    BRANDIE      R           "</f>
        <v xml:space="preserve">JOLLY                    BRANDIE      R           </v>
      </c>
      <c r="E884" t="str">
        <f t="shared" si="31"/>
        <v xml:space="preserve">MOBILE                    </v>
      </c>
      <c r="F884" t="str">
        <f t="shared" si="28"/>
        <v>AL</v>
      </c>
    </row>
    <row r="885" spans="1:6" x14ac:dyDescent="0.25">
      <c r="A885" t="str">
        <f>"200004890"</f>
        <v>200004890</v>
      </c>
      <c r="B885" t="str">
        <f>"1871016709"</f>
        <v>1871016709</v>
      </c>
      <c r="C885" t="str">
        <f>"207ZP0102X"</f>
        <v>207ZP0102X</v>
      </c>
      <c r="D885" t="str">
        <f>"BAROUQA                  MOHAMMAD                 "</f>
        <v xml:space="preserve">BAROUQA                  MOHAMMAD                 </v>
      </c>
      <c r="E885" t="str">
        <f t="shared" si="31"/>
        <v xml:space="preserve">MOBILE                    </v>
      </c>
      <c r="F885" t="str">
        <f t="shared" si="28"/>
        <v>AL</v>
      </c>
    </row>
    <row r="886" spans="1:6" x14ac:dyDescent="0.25">
      <c r="A886" t="str">
        <f>"200005109"</f>
        <v>200005109</v>
      </c>
      <c r="B886" t="str">
        <f>"1770979882"</f>
        <v>1770979882</v>
      </c>
      <c r="C886" t="str">
        <f>"207RG0100X"</f>
        <v>207RG0100X</v>
      </c>
      <c r="D886" t="str">
        <f>"ADAMS                    MASON                    "</f>
        <v xml:space="preserve">ADAMS                    MASON                    </v>
      </c>
      <c r="E886" t="str">
        <f t="shared" si="31"/>
        <v xml:space="preserve">MOBILE                    </v>
      </c>
      <c r="F886" t="str">
        <f t="shared" si="28"/>
        <v>AL</v>
      </c>
    </row>
    <row r="887" spans="1:6" x14ac:dyDescent="0.25">
      <c r="A887" t="str">
        <f>"200005282"</f>
        <v>200005282</v>
      </c>
      <c r="B887" t="str">
        <f>"1528009784"</f>
        <v>1528009784</v>
      </c>
      <c r="C887" t="str">
        <f>"363L00000X"</f>
        <v>363L00000X</v>
      </c>
      <c r="D887" t="str">
        <f>"OCONNOR                  SUSANN                   "</f>
        <v xml:space="preserve">OCONNOR                  SUSANN                   </v>
      </c>
      <c r="E887" t="str">
        <f t="shared" si="31"/>
        <v xml:space="preserve">MOBILE                    </v>
      </c>
      <c r="F887" t="str">
        <f t="shared" si="28"/>
        <v>AL</v>
      </c>
    </row>
    <row r="888" spans="1:6" x14ac:dyDescent="0.25">
      <c r="A888" t="str">
        <f>"200005503"</f>
        <v>200005503</v>
      </c>
      <c r="B888" t="str">
        <f>"1386174563"</f>
        <v>1386174563</v>
      </c>
      <c r="C888" t="str">
        <f>"207RX0202X"</f>
        <v>207RX0202X</v>
      </c>
      <c r="D888" t="str">
        <f>"MUNIR                    AYESHA                   "</f>
        <v xml:space="preserve">MUNIR                    AYESHA                   </v>
      </c>
      <c r="E888" t="str">
        <f t="shared" si="31"/>
        <v xml:space="preserve">MOBILE                    </v>
      </c>
      <c r="F888" t="str">
        <f t="shared" si="28"/>
        <v>AL</v>
      </c>
    </row>
    <row r="889" spans="1:6" x14ac:dyDescent="0.25">
      <c r="A889" t="str">
        <f>"200005593"</f>
        <v>200005593</v>
      </c>
      <c r="B889" t="str">
        <f>"1538611231"</f>
        <v>1538611231</v>
      </c>
      <c r="C889" t="str">
        <f>"363L00000X"</f>
        <v>363L00000X</v>
      </c>
      <c r="D889" t="str">
        <f>"ROCHFORD                 ELIZABETH                "</f>
        <v xml:space="preserve">ROCHFORD                 ELIZABETH                </v>
      </c>
      <c r="E889" t="str">
        <f t="shared" si="31"/>
        <v xml:space="preserve">MOBILE                    </v>
      </c>
      <c r="F889" t="str">
        <f t="shared" si="28"/>
        <v>AL</v>
      </c>
    </row>
    <row r="890" spans="1:6" x14ac:dyDescent="0.25">
      <c r="A890" t="str">
        <f>"200005636"</f>
        <v>200005636</v>
      </c>
      <c r="B890" t="str">
        <f>"1902175649"</f>
        <v>1902175649</v>
      </c>
      <c r="C890" t="str">
        <f>"207RN0300X"</f>
        <v>207RN0300X</v>
      </c>
      <c r="D890" t="str">
        <f>"CHAMARTHI                GAJAPATHIRAJU            "</f>
        <v xml:space="preserve">CHAMARTHI                GAJAPATHIRAJU            </v>
      </c>
      <c r="E890" t="str">
        <f t="shared" si="31"/>
        <v xml:space="preserve">MOBILE                    </v>
      </c>
      <c r="F890" t="str">
        <f t="shared" si="28"/>
        <v>AL</v>
      </c>
    </row>
    <row r="891" spans="1:6" x14ac:dyDescent="0.25">
      <c r="A891" t="str">
        <f>"200005683"</f>
        <v>200005683</v>
      </c>
      <c r="B891" t="str">
        <f>"1942838875"</f>
        <v>1942838875</v>
      </c>
      <c r="C891" t="str">
        <f>"207R00000X"</f>
        <v>207R00000X</v>
      </c>
      <c r="D891" t="str">
        <f>"GREEN III                JOHN                     "</f>
        <v xml:space="preserve">GREEN III                JOHN                     </v>
      </c>
      <c r="E891" t="str">
        <f t="shared" si="31"/>
        <v xml:space="preserve">MOBILE                    </v>
      </c>
      <c r="F891" t="str">
        <f t="shared" si="28"/>
        <v>AL</v>
      </c>
    </row>
    <row r="892" spans="1:6" x14ac:dyDescent="0.25">
      <c r="A892" t="str">
        <f>"200005746"</f>
        <v>200005746</v>
      </c>
      <c r="B892" t="str">
        <f>"1770597353"</f>
        <v>1770597353</v>
      </c>
      <c r="C892" t="str">
        <f>"2085R0001X"</f>
        <v>2085R0001X</v>
      </c>
      <c r="D892" t="str">
        <f>"GILBERT                  ROBERT                   "</f>
        <v xml:space="preserve">GILBERT                  ROBERT                   </v>
      </c>
      <c r="E892" t="str">
        <f t="shared" si="31"/>
        <v xml:space="preserve">MOBILE                    </v>
      </c>
      <c r="F892" t="str">
        <f t="shared" si="28"/>
        <v>AL</v>
      </c>
    </row>
    <row r="893" spans="1:6" x14ac:dyDescent="0.25">
      <c r="A893" t="str">
        <f>"200005748"</f>
        <v>200005748</v>
      </c>
      <c r="B893" t="str">
        <f>"1720725070"</f>
        <v>1720725070</v>
      </c>
      <c r="C893" t="str">
        <f>"367500000X"</f>
        <v>367500000X</v>
      </c>
      <c r="D893" t="str">
        <f>"FAIRCHILD                CONNOR                   "</f>
        <v xml:space="preserve">FAIRCHILD                CONNOR                   </v>
      </c>
      <c r="E893" t="str">
        <f>"BIRMINGHAM                "</f>
        <v xml:space="preserve">BIRMINGHAM                </v>
      </c>
      <c r="F893" t="str">
        <f t="shared" si="28"/>
        <v>AL</v>
      </c>
    </row>
    <row r="894" spans="1:6" x14ac:dyDescent="0.25">
      <c r="A894" t="str">
        <f>"200005802"</f>
        <v>200005802</v>
      </c>
      <c r="B894" t="str">
        <f>"1922088392"</f>
        <v>1922088392</v>
      </c>
      <c r="C894" t="str">
        <f>"2085R0202X"</f>
        <v>2085R0202X</v>
      </c>
      <c r="D894" t="str">
        <f>"STINSON                  DARRYL                   "</f>
        <v xml:space="preserve">STINSON                  DARRYL                   </v>
      </c>
      <c r="E894" t="str">
        <f t="shared" ref="E894:E911" si="32">"MOBILE                    "</f>
        <v xml:space="preserve">MOBILE                    </v>
      </c>
      <c r="F894" t="str">
        <f t="shared" si="28"/>
        <v>AL</v>
      </c>
    </row>
    <row r="895" spans="1:6" x14ac:dyDescent="0.25">
      <c r="A895" t="str">
        <f>"200005813"</f>
        <v>200005813</v>
      </c>
      <c r="B895" t="str">
        <f>"1437674397"</f>
        <v>1437674397</v>
      </c>
      <c r="C895" t="str">
        <f>"363L00000X"</f>
        <v>363L00000X</v>
      </c>
      <c r="D895" t="str">
        <f>"HUNT                     KARRAS                   "</f>
        <v xml:space="preserve">HUNT                     KARRAS                   </v>
      </c>
      <c r="E895" t="str">
        <f t="shared" si="32"/>
        <v xml:space="preserve">MOBILE                    </v>
      </c>
      <c r="F895" t="str">
        <f t="shared" si="28"/>
        <v>AL</v>
      </c>
    </row>
    <row r="896" spans="1:6" x14ac:dyDescent="0.25">
      <c r="A896" t="str">
        <f>"200005874"</f>
        <v>200005874</v>
      </c>
      <c r="B896" t="str">
        <f>"1568001816"</f>
        <v>1568001816</v>
      </c>
      <c r="C896" t="str">
        <f>"207Q00000X"</f>
        <v>207Q00000X</v>
      </c>
      <c r="D896" t="str">
        <f>"SMITH                    ASHLEIGH     G           "</f>
        <v xml:space="preserve">SMITH                    ASHLEIGH     G           </v>
      </c>
      <c r="E896" t="str">
        <f t="shared" si="32"/>
        <v xml:space="preserve">MOBILE                    </v>
      </c>
      <c r="F896" t="str">
        <f t="shared" si="28"/>
        <v>AL</v>
      </c>
    </row>
    <row r="897" spans="1:6" x14ac:dyDescent="0.25">
      <c r="A897" t="str">
        <f>"200005880"</f>
        <v>200005880</v>
      </c>
      <c r="B897" t="str">
        <f>"1962944355"</f>
        <v>1962944355</v>
      </c>
      <c r="C897" t="str">
        <f>"207Q00000X"</f>
        <v>207Q00000X</v>
      </c>
      <c r="D897" t="str">
        <f>"MASHBURN                 CHELSEA                  "</f>
        <v xml:space="preserve">MASHBURN                 CHELSEA                  </v>
      </c>
      <c r="E897" t="str">
        <f t="shared" si="32"/>
        <v xml:space="preserve">MOBILE                    </v>
      </c>
      <c r="F897" t="str">
        <f t="shared" si="28"/>
        <v>AL</v>
      </c>
    </row>
    <row r="898" spans="1:6" x14ac:dyDescent="0.25">
      <c r="A898" t="str">
        <f>"200006029"</f>
        <v>200006029</v>
      </c>
      <c r="B898" t="str">
        <f>"1497214266"</f>
        <v>1497214266</v>
      </c>
      <c r="C898" t="str">
        <f>"207Q00000X"</f>
        <v>207Q00000X</v>
      </c>
      <c r="D898" t="str">
        <f>"RICHARDSON               CHRISTINA                "</f>
        <v xml:space="preserve">RICHARDSON               CHRISTINA                </v>
      </c>
      <c r="E898" t="str">
        <f t="shared" si="32"/>
        <v xml:space="preserve">MOBILE                    </v>
      </c>
      <c r="F898" t="str">
        <f t="shared" si="28"/>
        <v>AL</v>
      </c>
    </row>
    <row r="899" spans="1:6" x14ac:dyDescent="0.25">
      <c r="A899" t="str">
        <f>"200006046"</f>
        <v>200006046</v>
      </c>
      <c r="B899" t="str">
        <f>"1235161498"</f>
        <v>1235161498</v>
      </c>
      <c r="C899" t="str">
        <f>"207RG0100X"</f>
        <v>207RG0100X</v>
      </c>
      <c r="D899" t="str">
        <f>"CASE                     WILLIAM                  "</f>
        <v xml:space="preserve">CASE                     WILLIAM                  </v>
      </c>
      <c r="E899" t="str">
        <f t="shared" si="32"/>
        <v xml:space="preserve">MOBILE                    </v>
      </c>
      <c r="F899" t="str">
        <f t="shared" si="28"/>
        <v>AL</v>
      </c>
    </row>
    <row r="900" spans="1:6" x14ac:dyDescent="0.25">
      <c r="A900" t="str">
        <f>"200006054"</f>
        <v>200006054</v>
      </c>
      <c r="B900" t="str">
        <f>"1902812803"</f>
        <v>1902812803</v>
      </c>
      <c r="C900" t="str">
        <f>"207Q00000X"</f>
        <v>207Q00000X</v>
      </c>
      <c r="D900" t="str">
        <f>"JOHNSON                  ERIC                     "</f>
        <v xml:space="preserve">JOHNSON                  ERIC                     </v>
      </c>
      <c r="E900" t="str">
        <f t="shared" si="32"/>
        <v xml:space="preserve">MOBILE                    </v>
      </c>
      <c r="F900" t="str">
        <f t="shared" si="28"/>
        <v>AL</v>
      </c>
    </row>
    <row r="901" spans="1:6" x14ac:dyDescent="0.25">
      <c r="A901" t="str">
        <f>"200006066"</f>
        <v>200006066</v>
      </c>
      <c r="B901" t="str">
        <f>"1629008123"</f>
        <v>1629008123</v>
      </c>
      <c r="C901" t="str">
        <f>"207RG0100X"</f>
        <v>207RG0100X</v>
      </c>
      <c r="D901" t="str">
        <f>"PARKER, JR.              LAWERENCE                "</f>
        <v xml:space="preserve">PARKER, JR.              LAWERENCE                </v>
      </c>
      <c r="E901" t="str">
        <f t="shared" si="32"/>
        <v xml:space="preserve">MOBILE                    </v>
      </c>
      <c r="F901" t="str">
        <f t="shared" si="28"/>
        <v>AL</v>
      </c>
    </row>
    <row r="902" spans="1:6" x14ac:dyDescent="0.25">
      <c r="A902" t="str">
        <f>"200006067"</f>
        <v>200006067</v>
      </c>
      <c r="B902" t="str">
        <f>"1659551851"</f>
        <v>1659551851</v>
      </c>
      <c r="C902" t="str">
        <f>"207RG0100X"</f>
        <v>207RG0100X</v>
      </c>
      <c r="D902" t="str">
        <f>"THOMPSON                 STEVEN                   "</f>
        <v xml:space="preserve">THOMPSON                 STEVEN                   </v>
      </c>
      <c r="E902" t="str">
        <f t="shared" si="32"/>
        <v xml:space="preserve">MOBILE                    </v>
      </c>
      <c r="F902" t="str">
        <f t="shared" si="28"/>
        <v>AL</v>
      </c>
    </row>
    <row r="903" spans="1:6" x14ac:dyDescent="0.25">
      <c r="A903" t="str">
        <f>"200006082"</f>
        <v>200006082</v>
      </c>
      <c r="B903" t="str">
        <f>"1952094161"</f>
        <v>1952094161</v>
      </c>
      <c r="C903" t="str">
        <f>"363L00000X"</f>
        <v>363L00000X</v>
      </c>
      <c r="D903" t="str">
        <f>"MOTYKIEWICZ              STACY                    "</f>
        <v xml:space="preserve">MOTYKIEWICZ              STACY                    </v>
      </c>
      <c r="E903" t="str">
        <f t="shared" si="32"/>
        <v xml:space="preserve">MOBILE                    </v>
      </c>
      <c r="F903" t="str">
        <f t="shared" ref="F903:F966" si="33">"AL"</f>
        <v>AL</v>
      </c>
    </row>
    <row r="904" spans="1:6" x14ac:dyDescent="0.25">
      <c r="A904" t="str">
        <f>"200006083"</f>
        <v>200006083</v>
      </c>
      <c r="B904" t="str">
        <f>"1265543094"</f>
        <v>1265543094</v>
      </c>
      <c r="C904" t="str">
        <f>"207R00000X"</f>
        <v>207R00000X</v>
      </c>
      <c r="D904" t="str">
        <f>"ORGERA                   ANGELINA     A           "</f>
        <v xml:space="preserve">ORGERA                   ANGELINA     A           </v>
      </c>
      <c r="E904" t="str">
        <f t="shared" si="32"/>
        <v xml:space="preserve">MOBILE                    </v>
      </c>
      <c r="F904" t="str">
        <f t="shared" si="33"/>
        <v>AL</v>
      </c>
    </row>
    <row r="905" spans="1:6" x14ac:dyDescent="0.25">
      <c r="A905" t="str">
        <f>"200006106"</f>
        <v>200006106</v>
      </c>
      <c r="B905" t="str">
        <f>"1487975710"</f>
        <v>1487975710</v>
      </c>
      <c r="C905" t="str">
        <f>"207RG0100X"</f>
        <v>207RG0100X</v>
      </c>
      <c r="D905" t="str">
        <f>"NAMAN                    BARBARA                  "</f>
        <v xml:space="preserve">NAMAN                    BARBARA                  </v>
      </c>
      <c r="E905" t="str">
        <f t="shared" si="32"/>
        <v xml:space="preserve">MOBILE                    </v>
      </c>
      <c r="F905" t="str">
        <f t="shared" si="33"/>
        <v>AL</v>
      </c>
    </row>
    <row r="906" spans="1:6" x14ac:dyDescent="0.25">
      <c r="A906" t="str">
        <f>"200006126"</f>
        <v>200006126</v>
      </c>
      <c r="B906" t="str">
        <f>"1497017313"</f>
        <v>1497017313</v>
      </c>
      <c r="C906" t="str">
        <f>"207Q00000X"</f>
        <v>207Q00000X</v>
      </c>
      <c r="D906" t="str">
        <f>"ROSS                     RYAN                     "</f>
        <v xml:space="preserve">ROSS                     RYAN                     </v>
      </c>
      <c r="E906" t="str">
        <f t="shared" si="32"/>
        <v xml:space="preserve">MOBILE                    </v>
      </c>
      <c r="F906" t="str">
        <f t="shared" si="33"/>
        <v>AL</v>
      </c>
    </row>
    <row r="907" spans="1:6" x14ac:dyDescent="0.25">
      <c r="A907" t="str">
        <f>"200006151"</f>
        <v>200006151</v>
      </c>
      <c r="B907" t="str">
        <f>"1285675835"</f>
        <v>1285675835</v>
      </c>
      <c r="C907" t="str">
        <f>"207RG0100X"</f>
        <v>207RG0100X</v>
      </c>
      <c r="D907" t="str">
        <f>"JOHNSON                  CHARLES                  "</f>
        <v xml:space="preserve">JOHNSON                  CHARLES                  </v>
      </c>
      <c r="E907" t="str">
        <f t="shared" si="32"/>
        <v xml:space="preserve">MOBILE                    </v>
      </c>
      <c r="F907" t="str">
        <f t="shared" si="33"/>
        <v>AL</v>
      </c>
    </row>
    <row r="908" spans="1:6" x14ac:dyDescent="0.25">
      <c r="A908" t="str">
        <f>"200006164"</f>
        <v>200006164</v>
      </c>
      <c r="B908" t="str">
        <f>"1275737876"</f>
        <v>1275737876</v>
      </c>
      <c r="C908" t="str">
        <f>"2084N0400X"</f>
        <v>2084N0400X</v>
      </c>
      <c r="D908" t="str">
        <f>"PEARSON                  JANE                     "</f>
        <v xml:space="preserve">PEARSON                  JANE                     </v>
      </c>
      <c r="E908" t="str">
        <f t="shared" si="32"/>
        <v xml:space="preserve">MOBILE                    </v>
      </c>
      <c r="F908" t="str">
        <f t="shared" si="33"/>
        <v>AL</v>
      </c>
    </row>
    <row r="909" spans="1:6" x14ac:dyDescent="0.25">
      <c r="A909" t="str">
        <f>"200006171"</f>
        <v>200006171</v>
      </c>
      <c r="B909" t="str">
        <f>"1780257493"</f>
        <v>1780257493</v>
      </c>
      <c r="C909" t="str">
        <f>"363A00000X"</f>
        <v>363A00000X</v>
      </c>
      <c r="D909" t="str">
        <f>"HYATT                    VICTORIA                 "</f>
        <v xml:space="preserve">HYATT                    VICTORIA                 </v>
      </c>
      <c r="E909" t="str">
        <f t="shared" si="32"/>
        <v xml:space="preserve">MOBILE                    </v>
      </c>
      <c r="F909" t="str">
        <f t="shared" si="33"/>
        <v>AL</v>
      </c>
    </row>
    <row r="910" spans="1:6" x14ac:dyDescent="0.25">
      <c r="A910" t="str">
        <f>"200006172"</f>
        <v>200006172</v>
      </c>
      <c r="B910" t="str">
        <f>"1932620887"</f>
        <v>1932620887</v>
      </c>
      <c r="C910" t="str">
        <f>"207R00000X"</f>
        <v>207R00000X</v>
      </c>
      <c r="D910" t="str">
        <f>"BASHIR                   YAMIMA                   "</f>
        <v xml:space="preserve">BASHIR                   YAMIMA                   </v>
      </c>
      <c r="E910" t="str">
        <f t="shared" si="32"/>
        <v xml:space="preserve">MOBILE                    </v>
      </c>
      <c r="F910" t="str">
        <f t="shared" si="33"/>
        <v>AL</v>
      </c>
    </row>
    <row r="911" spans="1:6" x14ac:dyDescent="0.25">
      <c r="A911" t="str">
        <f>"200006203"</f>
        <v>200006203</v>
      </c>
      <c r="B911" t="str">
        <f>"1326730540"</f>
        <v>1326730540</v>
      </c>
      <c r="C911" t="str">
        <f>"363L00000X"</f>
        <v>363L00000X</v>
      </c>
      <c r="D911" t="str">
        <f>"HETZEL                   AIMEE                    "</f>
        <v xml:space="preserve">HETZEL                   AIMEE                    </v>
      </c>
      <c r="E911" t="str">
        <f t="shared" si="32"/>
        <v xml:space="preserve">MOBILE                    </v>
      </c>
      <c r="F911" t="str">
        <f t="shared" si="33"/>
        <v>AL</v>
      </c>
    </row>
    <row r="912" spans="1:6" x14ac:dyDescent="0.25">
      <c r="A912" t="str">
        <f>"200006206"</f>
        <v>200006206</v>
      </c>
      <c r="B912" t="str">
        <f>"1144262387"</f>
        <v>1144262387</v>
      </c>
      <c r="C912" t="str">
        <f>"207P00000X"</f>
        <v>207P00000X</v>
      </c>
      <c r="D912" t="str">
        <f>"WILLIAMS                 MCRAE        W           "</f>
        <v xml:space="preserve">WILLIAMS                 MCRAE        W           </v>
      </c>
      <c r="E912" t="str">
        <f>"FLORENCE                  "</f>
        <v xml:space="preserve">FLORENCE                  </v>
      </c>
      <c r="F912" t="str">
        <f t="shared" si="33"/>
        <v>AL</v>
      </c>
    </row>
    <row r="913" spans="1:6" x14ac:dyDescent="0.25">
      <c r="A913" t="str">
        <f>"200006230"</f>
        <v>200006230</v>
      </c>
      <c r="B913" t="str">
        <f>"1114488087"</f>
        <v>1114488087</v>
      </c>
      <c r="C913" t="str">
        <f>"208M00000X"</f>
        <v>208M00000X</v>
      </c>
      <c r="D913" t="str">
        <f>"GONZALEZ RODRIGUEZ       ANGEL                    "</f>
        <v xml:space="preserve">GONZALEZ RODRIGUEZ       ANGEL                    </v>
      </c>
      <c r="E913" t="str">
        <f t="shared" ref="E913:E937" si="34">"MOBILE                    "</f>
        <v xml:space="preserve">MOBILE                    </v>
      </c>
      <c r="F913" t="str">
        <f t="shared" si="33"/>
        <v>AL</v>
      </c>
    </row>
    <row r="914" spans="1:6" x14ac:dyDescent="0.25">
      <c r="A914" t="str">
        <f>"200006231"</f>
        <v>200006231</v>
      </c>
      <c r="B914" t="str">
        <f>"1255525945"</f>
        <v>1255525945</v>
      </c>
      <c r="C914" t="str">
        <f>"207R00000X"</f>
        <v>207R00000X</v>
      </c>
      <c r="D914" t="str">
        <f>"ABRAHIM                  SHAMEER                  "</f>
        <v xml:space="preserve">ABRAHIM                  SHAMEER                  </v>
      </c>
      <c r="E914" t="str">
        <f t="shared" si="34"/>
        <v xml:space="preserve">MOBILE                    </v>
      </c>
      <c r="F914" t="str">
        <f t="shared" si="33"/>
        <v>AL</v>
      </c>
    </row>
    <row r="915" spans="1:6" x14ac:dyDescent="0.25">
      <c r="A915" t="str">
        <f>"200006237"</f>
        <v>200006237</v>
      </c>
      <c r="B915" t="str">
        <f>"1144858838"</f>
        <v>1144858838</v>
      </c>
      <c r="C915" t="str">
        <f>"207R00000X"</f>
        <v>207R00000X</v>
      </c>
      <c r="D915" t="str">
        <f>"COOK                     TAYLOR                   "</f>
        <v xml:space="preserve">COOK                     TAYLOR                   </v>
      </c>
      <c r="E915" t="str">
        <f t="shared" si="34"/>
        <v xml:space="preserve">MOBILE                    </v>
      </c>
      <c r="F915" t="str">
        <f t="shared" si="33"/>
        <v>AL</v>
      </c>
    </row>
    <row r="916" spans="1:6" x14ac:dyDescent="0.25">
      <c r="A916" t="str">
        <f>"200006255"</f>
        <v>200006255</v>
      </c>
      <c r="B916" t="str">
        <f>"1720026438"</f>
        <v>1720026438</v>
      </c>
      <c r="C916" t="str">
        <f>"207P00000X"</f>
        <v>207P00000X</v>
      </c>
      <c r="D916" t="str">
        <f>"VANDERHEYDEN             THOMAS                   "</f>
        <v xml:space="preserve">VANDERHEYDEN             THOMAS                   </v>
      </c>
      <c r="E916" t="str">
        <f t="shared" si="34"/>
        <v xml:space="preserve">MOBILE                    </v>
      </c>
      <c r="F916" t="str">
        <f t="shared" si="33"/>
        <v>AL</v>
      </c>
    </row>
    <row r="917" spans="1:6" x14ac:dyDescent="0.25">
      <c r="A917" t="str">
        <f>"200006314"</f>
        <v>200006314</v>
      </c>
      <c r="B917" t="str">
        <f>"1891299616"</f>
        <v>1891299616</v>
      </c>
      <c r="C917" t="str">
        <f>"207P00000X"</f>
        <v>207P00000X</v>
      </c>
      <c r="D917" t="str">
        <f>"SOMERS                   DAVID                    "</f>
        <v xml:space="preserve">SOMERS                   DAVID                    </v>
      </c>
      <c r="E917" t="str">
        <f t="shared" si="34"/>
        <v xml:space="preserve">MOBILE                    </v>
      </c>
      <c r="F917" t="str">
        <f t="shared" si="33"/>
        <v>AL</v>
      </c>
    </row>
    <row r="918" spans="1:6" x14ac:dyDescent="0.25">
      <c r="A918" t="str">
        <f>"200006326"</f>
        <v>200006326</v>
      </c>
      <c r="B918" t="str">
        <f>"1922461763"</f>
        <v>1922461763</v>
      </c>
      <c r="C918" t="str">
        <f>"208600000X"</f>
        <v>208600000X</v>
      </c>
      <c r="D918" t="str">
        <f>"SCHEXNAYDAR              DAVID                    "</f>
        <v xml:space="preserve">SCHEXNAYDAR              DAVID                    </v>
      </c>
      <c r="E918" t="str">
        <f t="shared" si="34"/>
        <v xml:space="preserve">MOBILE                    </v>
      </c>
      <c r="F918" t="str">
        <f t="shared" si="33"/>
        <v>AL</v>
      </c>
    </row>
    <row r="919" spans="1:6" x14ac:dyDescent="0.25">
      <c r="A919" t="str">
        <f>"200006390"</f>
        <v>200006390</v>
      </c>
      <c r="B919" t="str">
        <f>"1538118955"</f>
        <v>1538118955</v>
      </c>
      <c r="C919" t="str">
        <f>"207R00000X"</f>
        <v>207R00000X</v>
      </c>
      <c r="D919" t="str">
        <f>"DOUYON                   HUGUETTE                 "</f>
        <v xml:space="preserve">DOUYON                   HUGUETTE                 </v>
      </c>
      <c r="E919" t="str">
        <f t="shared" si="34"/>
        <v xml:space="preserve">MOBILE                    </v>
      </c>
      <c r="F919" t="str">
        <f t="shared" si="33"/>
        <v>AL</v>
      </c>
    </row>
    <row r="920" spans="1:6" x14ac:dyDescent="0.25">
      <c r="A920" t="str">
        <f>"200006470"</f>
        <v>200006470</v>
      </c>
      <c r="B920" t="str">
        <f>"1568819787"</f>
        <v>1568819787</v>
      </c>
      <c r="C920" t="str">
        <f>"363L00000X"</f>
        <v>363L00000X</v>
      </c>
      <c r="D920" t="str">
        <f>"LINTNER                  ALICIA                   "</f>
        <v xml:space="preserve">LINTNER                  ALICIA                   </v>
      </c>
      <c r="E920" t="str">
        <f t="shared" si="34"/>
        <v xml:space="preserve">MOBILE                    </v>
      </c>
      <c r="F920" t="str">
        <f t="shared" si="33"/>
        <v>AL</v>
      </c>
    </row>
    <row r="921" spans="1:6" x14ac:dyDescent="0.25">
      <c r="A921" t="str">
        <f>"200006521"</f>
        <v>200006521</v>
      </c>
      <c r="B921" t="str">
        <f>"1316922073"</f>
        <v>1316922073</v>
      </c>
      <c r="C921" t="str">
        <f>"207Q00000X"</f>
        <v>207Q00000X</v>
      </c>
      <c r="D921" t="str">
        <f>"CARROLL                  JAIME                    "</f>
        <v xml:space="preserve">CARROLL                  JAIME                    </v>
      </c>
      <c r="E921" t="str">
        <f t="shared" si="34"/>
        <v xml:space="preserve">MOBILE                    </v>
      </c>
      <c r="F921" t="str">
        <f t="shared" si="33"/>
        <v>AL</v>
      </c>
    </row>
    <row r="922" spans="1:6" x14ac:dyDescent="0.25">
      <c r="A922" t="str">
        <f>"200006522"</f>
        <v>200006522</v>
      </c>
      <c r="B922" t="str">
        <f>"1801192851"</f>
        <v>1801192851</v>
      </c>
      <c r="C922" t="str">
        <f>"207Q00000X"</f>
        <v>207Q00000X</v>
      </c>
      <c r="D922" t="str">
        <f>"DUNNE                    TAMI         L           "</f>
        <v xml:space="preserve">DUNNE                    TAMI         L           </v>
      </c>
      <c r="E922" t="str">
        <f t="shared" si="34"/>
        <v xml:space="preserve">MOBILE                    </v>
      </c>
      <c r="F922" t="str">
        <f t="shared" si="33"/>
        <v>AL</v>
      </c>
    </row>
    <row r="923" spans="1:6" x14ac:dyDescent="0.25">
      <c r="A923" t="str">
        <f>"200006548"</f>
        <v>200006548</v>
      </c>
      <c r="B923" t="str">
        <f>"1528527355"</f>
        <v>1528527355</v>
      </c>
      <c r="C923" t="str">
        <f>"207R00000X"</f>
        <v>207R00000X</v>
      </c>
      <c r="D923" t="str">
        <f>"GURUNATHAN               SAKTEESH                 "</f>
        <v xml:space="preserve">GURUNATHAN               SAKTEESH                 </v>
      </c>
      <c r="E923" t="str">
        <f t="shared" si="34"/>
        <v xml:space="preserve">MOBILE                    </v>
      </c>
      <c r="F923" t="str">
        <f t="shared" si="33"/>
        <v>AL</v>
      </c>
    </row>
    <row r="924" spans="1:6" x14ac:dyDescent="0.25">
      <c r="A924" t="str">
        <f>"200006550"</f>
        <v>200006550</v>
      </c>
      <c r="B924" t="str">
        <f>"1710689104"</f>
        <v>1710689104</v>
      </c>
      <c r="C924" t="str">
        <f>"363L00000X"</f>
        <v>363L00000X</v>
      </c>
      <c r="D924" t="str">
        <f>"ROHE LUTKINS             MEGAN                    "</f>
        <v xml:space="preserve">ROHE LUTKINS             MEGAN                    </v>
      </c>
      <c r="E924" t="str">
        <f t="shared" si="34"/>
        <v xml:space="preserve">MOBILE                    </v>
      </c>
      <c r="F924" t="str">
        <f t="shared" si="33"/>
        <v>AL</v>
      </c>
    </row>
    <row r="925" spans="1:6" x14ac:dyDescent="0.25">
      <c r="A925" t="str">
        <f>"200006571"</f>
        <v>200006571</v>
      </c>
      <c r="B925" t="str">
        <f>"1255941357"</f>
        <v>1255941357</v>
      </c>
      <c r="C925" t="str">
        <f>"207RC0000X"</f>
        <v>207RC0000X</v>
      </c>
      <c r="D925" t="str">
        <f>"ODIGWE                   CELESTINE                "</f>
        <v xml:space="preserve">ODIGWE                   CELESTINE                </v>
      </c>
      <c r="E925" t="str">
        <f t="shared" si="34"/>
        <v xml:space="preserve">MOBILE                    </v>
      </c>
      <c r="F925" t="str">
        <f t="shared" si="33"/>
        <v>AL</v>
      </c>
    </row>
    <row r="926" spans="1:6" x14ac:dyDescent="0.25">
      <c r="A926" t="str">
        <f>"200006585"</f>
        <v>200006585</v>
      </c>
      <c r="B926" t="str">
        <f>"1104529395"</f>
        <v>1104529395</v>
      </c>
      <c r="C926" t="str">
        <f>"207P00000X"</f>
        <v>207P00000X</v>
      </c>
      <c r="D926" t="str">
        <f>"ANICH                    SAMUEL                   "</f>
        <v xml:space="preserve">ANICH                    SAMUEL                   </v>
      </c>
      <c r="E926" t="str">
        <f t="shared" si="34"/>
        <v xml:space="preserve">MOBILE                    </v>
      </c>
      <c r="F926" t="str">
        <f t="shared" si="33"/>
        <v>AL</v>
      </c>
    </row>
    <row r="927" spans="1:6" x14ac:dyDescent="0.25">
      <c r="A927" t="str">
        <f>"200006646"</f>
        <v>200006646</v>
      </c>
      <c r="B927" t="str">
        <f>"1770287310"</f>
        <v>1770287310</v>
      </c>
      <c r="C927" t="str">
        <f>"207Q00000X"</f>
        <v>207Q00000X</v>
      </c>
      <c r="D927" t="str">
        <f>"STUTTS                   LARRY                    "</f>
        <v xml:space="preserve">STUTTS                   LARRY                    </v>
      </c>
      <c r="E927" t="str">
        <f t="shared" si="34"/>
        <v xml:space="preserve">MOBILE                    </v>
      </c>
      <c r="F927" t="str">
        <f t="shared" si="33"/>
        <v>AL</v>
      </c>
    </row>
    <row r="928" spans="1:6" x14ac:dyDescent="0.25">
      <c r="A928" t="str">
        <f>"200006658"</f>
        <v>200006658</v>
      </c>
      <c r="B928" t="str">
        <f>"1700580412"</f>
        <v>1700580412</v>
      </c>
      <c r="C928" t="str">
        <f>"207R00000X"</f>
        <v>207R00000X</v>
      </c>
      <c r="D928" t="str">
        <f>"CUTRELL                  PATRICK                  "</f>
        <v xml:space="preserve">CUTRELL                  PATRICK                  </v>
      </c>
      <c r="E928" t="str">
        <f t="shared" si="34"/>
        <v xml:space="preserve">MOBILE                    </v>
      </c>
      <c r="F928" t="str">
        <f t="shared" si="33"/>
        <v>AL</v>
      </c>
    </row>
    <row r="929" spans="1:6" x14ac:dyDescent="0.25">
      <c r="A929" t="str">
        <f>"200006676"</f>
        <v>200006676</v>
      </c>
      <c r="B929" t="str">
        <f>"1770278400"</f>
        <v>1770278400</v>
      </c>
      <c r="C929" t="str">
        <f>"207Q00000X"</f>
        <v>207Q00000X</v>
      </c>
      <c r="D929" t="str">
        <f>"RAZA                     DANIEL                   "</f>
        <v xml:space="preserve">RAZA                     DANIEL                   </v>
      </c>
      <c r="E929" t="str">
        <f t="shared" si="34"/>
        <v xml:space="preserve">MOBILE                    </v>
      </c>
      <c r="F929" t="str">
        <f t="shared" si="33"/>
        <v>AL</v>
      </c>
    </row>
    <row r="930" spans="1:6" x14ac:dyDescent="0.25">
      <c r="A930" t="str">
        <f>"200006678"</f>
        <v>200006678</v>
      </c>
      <c r="B930" t="str">
        <f>"1225442825"</f>
        <v>1225442825</v>
      </c>
      <c r="C930" t="str">
        <f>"207R00000X"</f>
        <v>207R00000X</v>
      </c>
      <c r="D930" t="str">
        <f>"MCGILL                   BARRON                   "</f>
        <v xml:space="preserve">MCGILL                   BARRON                   </v>
      </c>
      <c r="E930" t="str">
        <f t="shared" si="34"/>
        <v xml:space="preserve">MOBILE                    </v>
      </c>
      <c r="F930" t="str">
        <f t="shared" si="33"/>
        <v>AL</v>
      </c>
    </row>
    <row r="931" spans="1:6" x14ac:dyDescent="0.25">
      <c r="A931" t="str">
        <f>"200006727"</f>
        <v>200006727</v>
      </c>
      <c r="B931" t="str">
        <f>"1720583354"</f>
        <v>1720583354</v>
      </c>
      <c r="C931" t="str">
        <f>"2085R0202X"</f>
        <v>2085R0202X</v>
      </c>
      <c r="D931" t="str">
        <f>"RANA                     HUNAID       N           "</f>
        <v xml:space="preserve">RANA                     HUNAID       N           </v>
      </c>
      <c r="E931" t="str">
        <f t="shared" si="34"/>
        <v xml:space="preserve">MOBILE                    </v>
      </c>
      <c r="F931" t="str">
        <f t="shared" si="33"/>
        <v>AL</v>
      </c>
    </row>
    <row r="932" spans="1:6" x14ac:dyDescent="0.25">
      <c r="A932" t="str">
        <f>"200006728"</f>
        <v>200006728</v>
      </c>
      <c r="B932" t="str">
        <f>"1518594621"</f>
        <v>1518594621</v>
      </c>
      <c r="C932" t="str">
        <f>"207R00000X"</f>
        <v>207R00000X</v>
      </c>
      <c r="D932" t="str">
        <f>"MUELLER                  LUKE                     "</f>
        <v xml:space="preserve">MUELLER                  LUKE                     </v>
      </c>
      <c r="E932" t="str">
        <f t="shared" si="34"/>
        <v xml:space="preserve">MOBILE                    </v>
      </c>
      <c r="F932" t="str">
        <f t="shared" si="33"/>
        <v>AL</v>
      </c>
    </row>
    <row r="933" spans="1:6" x14ac:dyDescent="0.25">
      <c r="A933" t="str">
        <f>"200006732"</f>
        <v>200006732</v>
      </c>
      <c r="B933" t="str">
        <f>"1417652785"</f>
        <v>1417652785</v>
      </c>
      <c r="C933" t="str">
        <f>"207R00000X"</f>
        <v>207R00000X</v>
      </c>
      <c r="D933" t="str">
        <f>"EKTA                     FNU                      "</f>
        <v xml:space="preserve">EKTA                     FNU                      </v>
      </c>
      <c r="E933" t="str">
        <f t="shared" si="34"/>
        <v xml:space="preserve">MOBILE                    </v>
      </c>
      <c r="F933" t="str">
        <f t="shared" si="33"/>
        <v>AL</v>
      </c>
    </row>
    <row r="934" spans="1:6" x14ac:dyDescent="0.25">
      <c r="A934" t="str">
        <f>"200006737"</f>
        <v>200006737</v>
      </c>
      <c r="B934" t="str">
        <f>"1134823644"</f>
        <v>1134823644</v>
      </c>
      <c r="C934" t="str">
        <f>"207R00000X"</f>
        <v>207R00000X</v>
      </c>
      <c r="D934" t="str">
        <f>"GRIBBLE                  MATTHEW                  "</f>
        <v xml:space="preserve">GRIBBLE                  MATTHEW                  </v>
      </c>
      <c r="E934" t="str">
        <f t="shared" si="34"/>
        <v xml:space="preserve">MOBILE                    </v>
      </c>
      <c r="F934" t="str">
        <f t="shared" si="33"/>
        <v>AL</v>
      </c>
    </row>
    <row r="935" spans="1:6" x14ac:dyDescent="0.25">
      <c r="A935" t="str">
        <f>"200006757"</f>
        <v>200006757</v>
      </c>
      <c r="B935" t="str">
        <f>"1295417400"</f>
        <v>1295417400</v>
      </c>
      <c r="C935" t="str">
        <f>"207R00000X"</f>
        <v>207R00000X</v>
      </c>
      <c r="D935" t="str">
        <f>"HAIDARI                  HUSSEIN                  "</f>
        <v xml:space="preserve">HAIDARI                  HUSSEIN                  </v>
      </c>
      <c r="E935" t="str">
        <f t="shared" si="34"/>
        <v xml:space="preserve">MOBILE                    </v>
      </c>
      <c r="F935" t="str">
        <f t="shared" si="33"/>
        <v>AL</v>
      </c>
    </row>
    <row r="936" spans="1:6" x14ac:dyDescent="0.25">
      <c r="A936" t="str">
        <f>"200006768"</f>
        <v>200006768</v>
      </c>
      <c r="B936" t="str">
        <f>"1437154622"</f>
        <v>1437154622</v>
      </c>
      <c r="C936" t="str">
        <f>"208600000X"</f>
        <v>208600000X</v>
      </c>
      <c r="D936" t="str">
        <f>"MURRAY                   JAY                      "</f>
        <v xml:space="preserve">MURRAY                   JAY                      </v>
      </c>
      <c r="E936" t="str">
        <f t="shared" si="34"/>
        <v xml:space="preserve">MOBILE                    </v>
      </c>
      <c r="F936" t="str">
        <f t="shared" si="33"/>
        <v>AL</v>
      </c>
    </row>
    <row r="937" spans="1:6" x14ac:dyDescent="0.25">
      <c r="A937" t="str">
        <f>"200006771"</f>
        <v>200006771</v>
      </c>
      <c r="B937" t="str">
        <f>"1841569068"</f>
        <v>1841569068</v>
      </c>
      <c r="C937" t="str">
        <f>"207Q00000X"</f>
        <v>207Q00000X</v>
      </c>
      <c r="D937" t="str">
        <f>"ZHOU                     ZHENHONG                 "</f>
        <v xml:space="preserve">ZHOU                     ZHENHONG                 </v>
      </c>
      <c r="E937" t="str">
        <f t="shared" si="34"/>
        <v xml:space="preserve">MOBILE                    </v>
      </c>
      <c r="F937" t="str">
        <f t="shared" si="33"/>
        <v>AL</v>
      </c>
    </row>
    <row r="938" spans="1:6" x14ac:dyDescent="0.25">
      <c r="A938" t="str">
        <f>"200006778"</f>
        <v>200006778</v>
      </c>
      <c r="B938" t="str">
        <f>"1760572531"</f>
        <v>1760572531</v>
      </c>
      <c r="C938" t="str">
        <f>"207RG0100X"</f>
        <v>207RG0100X</v>
      </c>
      <c r="D938" t="str">
        <f>"CARNES                   MATTHEW                  "</f>
        <v xml:space="preserve">CARNES                   MATTHEW                  </v>
      </c>
      <c r="E938" t="str">
        <f>"FAIRHOPE                  "</f>
        <v xml:space="preserve">FAIRHOPE                  </v>
      </c>
      <c r="F938" t="str">
        <f t="shared" si="33"/>
        <v>AL</v>
      </c>
    </row>
    <row r="939" spans="1:6" x14ac:dyDescent="0.25">
      <c r="A939" t="str">
        <f>"200006789"</f>
        <v>200006789</v>
      </c>
      <c r="B939" t="str">
        <f>"1134133150"</f>
        <v>1134133150</v>
      </c>
      <c r="C939" t="str">
        <f>"207R00000X"</f>
        <v>207R00000X</v>
      </c>
      <c r="D939" t="str">
        <f>"WEBSTER                  KATHLEEN     J           "</f>
        <v xml:space="preserve">WEBSTER                  KATHLEEN     J           </v>
      </c>
      <c r="E939" t="str">
        <f t="shared" ref="E939:E963" si="35">"MOBILE                    "</f>
        <v xml:space="preserve">MOBILE                    </v>
      </c>
      <c r="F939" t="str">
        <f t="shared" si="33"/>
        <v>AL</v>
      </c>
    </row>
    <row r="940" spans="1:6" x14ac:dyDescent="0.25">
      <c r="A940" t="str">
        <f>"200006802"</f>
        <v>200006802</v>
      </c>
      <c r="B940" t="str">
        <f>"1427021435"</f>
        <v>1427021435</v>
      </c>
      <c r="C940" t="str">
        <f>"207Q00000X"</f>
        <v>207Q00000X</v>
      </c>
      <c r="D940" t="str">
        <f>"KHAN                     NEELAM                   "</f>
        <v xml:space="preserve">KHAN                     NEELAM                   </v>
      </c>
      <c r="E940" t="str">
        <f t="shared" si="35"/>
        <v xml:space="preserve">MOBILE                    </v>
      </c>
      <c r="F940" t="str">
        <f t="shared" si="33"/>
        <v>AL</v>
      </c>
    </row>
    <row r="941" spans="1:6" x14ac:dyDescent="0.25">
      <c r="A941" t="str">
        <f>"200006827"</f>
        <v>200006827</v>
      </c>
      <c r="B941" t="str">
        <f>"1821435207"</f>
        <v>1821435207</v>
      </c>
      <c r="C941" t="str">
        <f>"207R00000X"</f>
        <v>207R00000X</v>
      </c>
      <c r="D941" t="str">
        <f>"SEAY                     ANNA                     "</f>
        <v xml:space="preserve">SEAY                     ANNA                     </v>
      </c>
      <c r="E941" t="str">
        <f t="shared" si="35"/>
        <v xml:space="preserve">MOBILE                    </v>
      </c>
      <c r="F941" t="str">
        <f t="shared" si="33"/>
        <v>AL</v>
      </c>
    </row>
    <row r="942" spans="1:6" x14ac:dyDescent="0.25">
      <c r="A942" t="str">
        <f>"200006839"</f>
        <v>200006839</v>
      </c>
      <c r="B942" t="str">
        <f>"1275053951"</f>
        <v>1275053951</v>
      </c>
      <c r="C942" t="str">
        <f>"2080P0203X"</f>
        <v>2080P0203X</v>
      </c>
      <c r="D942" t="str">
        <f>"VELASQUEZ                DANIELA                  "</f>
        <v xml:space="preserve">VELASQUEZ                DANIELA                  </v>
      </c>
      <c r="E942" t="str">
        <f t="shared" si="35"/>
        <v xml:space="preserve">MOBILE                    </v>
      </c>
      <c r="F942" t="str">
        <f t="shared" si="33"/>
        <v>AL</v>
      </c>
    </row>
    <row r="943" spans="1:6" x14ac:dyDescent="0.25">
      <c r="A943" t="str">
        <f>"200006867"</f>
        <v>200006867</v>
      </c>
      <c r="B943" t="str">
        <f>"1457656456"</f>
        <v>1457656456</v>
      </c>
      <c r="C943" t="str">
        <f>"207R00000X"</f>
        <v>207R00000X</v>
      </c>
      <c r="D943" t="str">
        <f>"KAYANI                   NAJMA                    "</f>
        <v xml:space="preserve">KAYANI                   NAJMA                    </v>
      </c>
      <c r="E943" t="str">
        <f t="shared" si="35"/>
        <v xml:space="preserve">MOBILE                    </v>
      </c>
      <c r="F943" t="str">
        <f t="shared" si="33"/>
        <v>AL</v>
      </c>
    </row>
    <row r="944" spans="1:6" x14ac:dyDescent="0.25">
      <c r="A944" t="str">
        <f>"200006884"</f>
        <v>200006884</v>
      </c>
      <c r="B944" t="str">
        <f>"1073824439"</f>
        <v>1073824439</v>
      </c>
      <c r="C944" t="str">
        <f>"2085R0202X"</f>
        <v>2085R0202X</v>
      </c>
      <c r="D944" t="str">
        <f>"FROST                    JAMES                    "</f>
        <v xml:space="preserve">FROST                    JAMES                    </v>
      </c>
      <c r="E944" t="str">
        <f t="shared" si="35"/>
        <v xml:space="preserve">MOBILE                    </v>
      </c>
      <c r="F944" t="str">
        <f t="shared" si="33"/>
        <v>AL</v>
      </c>
    </row>
    <row r="945" spans="1:6" x14ac:dyDescent="0.25">
      <c r="A945" t="str">
        <f>"200006889"</f>
        <v>200006889</v>
      </c>
      <c r="B945" t="str">
        <f>"1346256260"</f>
        <v>1346256260</v>
      </c>
      <c r="C945" t="str">
        <f>"207Q00000X"</f>
        <v>207Q00000X</v>
      </c>
      <c r="D945" t="str">
        <f>"RUBLE                    JAMES                    "</f>
        <v xml:space="preserve">RUBLE                    JAMES                    </v>
      </c>
      <c r="E945" t="str">
        <f t="shared" si="35"/>
        <v xml:space="preserve">MOBILE                    </v>
      </c>
      <c r="F945" t="str">
        <f t="shared" si="33"/>
        <v>AL</v>
      </c>
    </row>
    <row r="946" spans="1:6" x14ac:dyDescent="0.25">
      <c r="A946" t="str">
        <f>"200006913"</f>
        <v>200006913</v>
      </c>
      <c r="B946" t="str">
        <f>"1497162309"</f>
        <v>1497162309</v>
      </c>
      <c r="C946" t="str">
        <f>"208600000X"</f>
        <v>208600000X</v>
      </c>
      <c r="D946" t="str">
        <f>"LAAN                     DANUEL                   "</f>
        <v xml:space="preserve">LAAN                     DANUEL                   </v>
      </c>
      <c r="E946" t="str">
        <f t="shared" si="35"/>
        <v xml:space="preserve">MOBILE                    </v>
      </c>
      <c r="F946" t="str">
        <f t="shared" si="33"/>
        <v>AL</v>
      </c>
    </row>
    <row r="947" spans="1:6" x14ac:dyDescent="0.25">
      <c r="A947" t="str">
        <f>"200006934"</f>
        <v>200006934</v>
      </c>
      <c r="B947" t="str">
        <f>"1477077899"</f>
        <v>1477077899</v>
      </c>
      <c r="C947" t="str">
        <f>"2080P0203X"</f>
        <v>2080P0203X</v>
      </c>
      <c r="D947" t="str">
        <f>"REVURI                   VAMSHI                   "</f>
        <v xml:space="preserve">REVURI                   VAMSHI                   </v>
      </c>
      <c r="E947" t="str">
        <f t="shared" si="35"/>
        <v xml:space="preserve">MOBILE                    </v>
      </c>
      <c r="F947" t="str">
        <f t="shared" si="33"/>
        <v>AL</v>
      </c>
    </row>
    <row r="948" spans="1:6" x14ac:dyDescent="0.25">
      <c r="A948" t="str">
        <f>"200006954"</f>
        <v>200006954</v>
      </c>
      <c r="B948" t="str">
        <f>"1033812326"</f>
        <v>1033812326</v>
      </c>
      <c r="C948" t="str">
        <f>"207R00000X"</f>
        <v>207R00000X</v>
      </c>
      <c r="D948" t="str">
        <f>"OGUZ                     USAMA                    "</f>
        <v xml:space="preserve">OGUZ                     USAMA                    </v>
      </c>
      <c r="E948" t="str">
        <f t="shared" si="35"/>
        <v xml:space="preserve">MOBILE                    </v>
      </c>
      <c r="F948" t="str">
        <f t="shared" si="33"/>
        <v>AL</v>
      </c>
    </row>
    <row r="949" spans="1:6" x14ac:dyDescent="0.25">
      <c r="A949" t="str">
        <f>"200006965"</f>
        <v>200006965</v>
      </c>
      <c r="B949" t="str">
        <f>"1760406276"</f>
        <v>1760406276</v>
      </c>
      <c r="C949" t="str">
        <f>"207RE0101X"</f>
        <v>207RE0101X</v>
      </c>
      <c r="D949" t="str">
        <f>"DELFIERRO                ROSS                     "</f>
        <v xml:space="preserve">DELFIERRO                ROSS                     </v>
      </c>
      <c r="E949" t="str">
        <f t="shared" si="35"/>
        <v xml:space="preserve">MOBILE                    </v>
      </c>
      <c r="F949" t="str">
        <f t="shared" si="33"/>
        <v>AL</v>
      </c>
    </row>
    <row r="950" spans="1:6" x14ac:dyDescent="0.25">
      <c r="A950" t="str">
        <f>"200006971"</f>
        <v>200006971</v>
      </c>
      <c r="B950" t="str">
        <f>"1811251614"</f>
        <v>1811251614</v>
      </c>
      <c r="C950" t="str">
        <f>"2085P0229X"</f>
        <v>2085P0229X</v>
      </c>
      <c r="D950" t="str">
        <f>"WONG                     KEVIN                    "</f>
        <v xml:space="preserve">WONG                     KEVIN                    </v>
      </c>
      <c r="E950" t="str">
        <f t="shared" si="35"/>
        <v xml:space="preserve">MOBILE                    </v>
      </c>
      <c r="F950" t="str">
        <f t="shared" si="33"/>
        <v>AL</v>
      </c>
    </row>
    <row r="951" spans="1:6" x14ac:dyDescent="0.25">
      <c r="A951" t="str">
        <f>"200006979"</f>
        <v>200006979</v>
      </c>
      <c r="B951" t="str">
        <f>"1407559685"</f>
        <v>1407559685</v>
      </c>
      <c r="C951" t="str">
        <f>"207R00000X"</f>
        <v>207R00000X</v>
      </c>
      <c r="D951" t="str">
        <f>"SHARMA                   SANGYA                   "</f>
        <v xml:space="preserve">SHARMA                   SANGYA                   </v>
      </c>
      <c r="E951" t="str">
        <f t="shared" si="35"/>
        <v xml:space="preserve">MOBILE                    </v>
      </c>
      <c r="F951" t="str">
        <f t="shared" si="33"/>
        <v>AL</v>
      </c>
    </row>
    <row r="952" spans="1:6" x14ac:dyDescent="0.25">
      <c r="A952" t="str">
        <f>"200006994"</f>
        <v>200006994</v>
      </c>
      <c r="B952" t="str">
        <f>"1710084678"</f>
        <v>1710084678</v>
      </c>
      <c r="C952" t="str">
        <f>"363L00000X"</f>
        <v>363L00000X</v>
      </c>
      <c r="D952" t="str">
        <f>"THOMPSON                 JEAN                     "</f>
        <v xml:space="preserve">THOMPSON                 JEAN                     </v>
      </c>
      <c r="E952" t="str">
        <f t="shared" si="35"/>
        <v xml:space="preserve">MOBILE                    </v>
      </c>
      <c r="F952" t="str">
        <f t="shared" si="33"/>
        <v>AL</v>
      </c>
    </row>
    <row r="953" spans="1:6" x14ac:dyDescent="0.25">
      <c r="A953" t="str">
        <f>"200007001"</f>
        <v>200007001</v>
      </c>
      <c r="B953" t="str">
        <f>"1801591789"</f>
        <v>1801591789</v>
      </c>
      <c r="C953" t="str">
        <f>"207R00000X"</f>
        <v>207R00000X</v>
      </c>
      <c r="D953" t="str">
        <f>"SHEIKH                   MUHAMMAD                 "</f>
        <v xml:space="preserve">SHEIKH                   MUHAMMAD                 </v>
      </c>
      <c r="E953" t="str">
        <f t="shared" si="35"/>
        <v xml:space="preserve">MOBILE                    </v>
      </c>
      <c r="F953" t="str">
        <f t="shared" si="33"/>
        <v>AL</v>
      </c>
    </row>
    <row r="954" spans="1:6" x14ac:dyDescent="0.25">
      <c r="A954" t="str">
        <f>"200007011"</f>
        <v>200007011</v>
      </c>
      <c r="B954" t="str">
        <f>"1083359301"</f>
        <v>1083359301</v>
      </c>
      <c r="C954" t="str">
        <f>"208800000X"</f>
        <v>208800000X</v>
      </c>
      <c r="D954" t="str">
        <f>"PARHAM                   KEVIN                    "</f>
        <v xml:space="preserve">PARHAM                   KEVIN                    </v>
      </c>
      <c r="E954" t="str">
        <f t="shared" si="35"/>
        <v xml:space="preserve">MOBILE                    </v>
      </c>
      <c r="F954" t="str">
        <f t="shared" si="33"/>
        <v>AL</v>
      </c>
    </row>
    <row r="955" spans="1:6" x14ac:dyDescent="0.25">
      <c r="A955" t="str">
        <f>"200007015"</f>
        <v>200007015</v>
      </c>
      <c r="B955" t="str">
        <f>"1720696552"</f>
        <v>1720696552</v>
      </c>
      <c r="C955" t="str">
        <f>"207R00000X"</f>
        <v>207R00000X</v>
      </c>
      <c r="D955" t="str">
        <f>"JOHNSON                  JOEL         S           "</f>
        <v xml:space="preserve">JOHNSON                  JOEL         S           </v>
      </c>
      <c r="E955" t="str">
        <f t="shared" si="35"/>
        <v xml:space="preserve">MOBILE                    </v>
      </c>
      <c r="F955" t="str">
        <f t="shared" si="33"/>
        <v>AL</v>
      </c>
    </row>
    <row r="956" spans="1:6" x14ac:dyDescent="0.25">
      <c r="A956" t="str">
        <f>"200007016"</f>
        <v>200007016</v>
      </c>
      <c r="B956" t="str">
        <f>"1376248450"</f>
        <v>1376248450</v>
      </c>
      <c r="C956" t="str">
        <f>"208600000X"</f>
        <v>208600000X</v>
      </c>
      <c r="D956" t="str">
        <f>"JASPER                   POLLY                    "</f>
        <v xml:space="preserve">JASPER                   POLLY                    </v>
      </c>
      <c r="E956" t="str">
        <f t="shared" si="35"/>
        <v xml:space="preserve">MOBILE                    </v>
      </c>
      <c r="F956" t="str">
        <f t="shared" si="33"/>
        <v>AL</v>
      </c>
    </row>
    <row r="957" spans="1:6" x14ac:dyDescent="0.25">
      <c r="A957" t="str">
        <f>"200007017"</f>
        <v>200007017</v>
      </c>
      <c r="B957" t="str">
        <f>"1134822174"</f>
        <v>1134822174</v>
      </c>
      <c r="C957" t="str">
        <f>"208600000X"</f>
        <v>208600000X</v>
      </c>
      <c r="D957" t="str">
        <f>"GILBERT                  AIDAN                    "</f>
        <v xml:space="preserve">GILBERT                  AIDAN                    </v>
      </c>
      <c r="E957" t="str">
        <f t="shared" si="35"/>
        <v xml:space="preserve">MOBILE                    </v>
      </c>
      <c r="F957" t="str">
        <f t="shared" si="33"/>
        <v>AL</v>
      </c>
    </row>
    <row r="958" spans="1:6" x14ac:dyDescent="0.25">
      <c r="A958" t="str">
        <f>"200007046"</f>
        <v>200007046</v>
      </c>
      <c r="B958" t="str">
        <f>"1952755423"</f>
        <v>1952755423</v>
      </c>
      <c r="C958" t="str">
        <f>"207RN0300X"</f>
        <v>207RN0300X</v>
      </c>
      <c r="D958" t="str">
        <f>"ZAHID                    HASAN                    "</f>
        <v xml:space="preserve">ZAHID                    HASAN                    </v>
      </c>
      <c r="E958" t="str">
        <f t="shared" si="35"/>
        <v xml:space="preserve">MOBILE                    </v>
      </c>
      <c r="F958" t="str">
        <f t="shared" si="33"/>
        <v>AL</v>
      </c>
    </row>
    <row r="959" spans="1:6" x14ac:dyDescent="0.25">
      <c r="A959" t="str">
        <f>"200007082"</f>
        <v>200007082</v>
      </c>
      <c r="B959" t="str">
        <f>"1144923269"</f>
        <v>1144923269</v>
      </c>
      <c r="C959" t="str">
        <f>"208600000X"</f>
        <v>208600000X</v>
      </c>
      <c r="D959" t="str">
        <f>"JACKSON                  MICHAEL                  "</f>
        <v xml:space="preserve">JACKSON                  MICHAEL                  </v>
      </c>
      <c r="E959" t="str">
        <f t="shared" si="35"/>
        <v xml:space="preserve">MOBILE                    </v>
      </c>
      <c r="F959" t="str">
        <f t="shared" si="33"/>
        <v>AL</v>
      </c>
    </row>
    <row r="960" spans="1:6" x14ac:dyDescent="0.25">
      <c r="A960" t="str">
        <f>"200007114"</f>
        <v>200007114</v>
      </c>
      <c r="B960" t="str">
        <f>"1184301970"</f>
        <v>1184301970</v>
      </c>
      <c r="C960" t="str">
        <f>"363L00000X"</f>
        <v>363L00000X</v>
      </c>
      <c r="D960" t="str">
        <f>"REEVES                   MARY                     "</f>
        <v xml:space="preserve">REEVES                   MARY                     </v>
      </c>
      <c r="E960" t="str">
        <f t="shared" si="35"/>
        <v xml:space="preserve">MOBILE                    </v>
      </c>
      <c r="F960" t="str">
        <f t="shared" si="33"/>
        <v>AL</v>
      </c>
    </row>
    <row r="961" spans="1:6" x14ac:dyDescent="0.25">
      <c r="A961" t="str">
        <f>"200007138"</f>
        <v>200007138</v>
      </c>
      <c r="B961" t="str">
        <f>"1235418385"</f>
        <v>1235418385</v>
      </c>
      <c r="C961" t="str">
        <f>"207R00000X"</f>
        <v>207R00000X</v>
      </c>
      <c r="D961" t="str">
        <f>"CARR                     MATTHEW                  "</f>
        <v xml:space="preserve">CARR                     MATTHEW                  </v>
      </c>
      <c r="E961" t="str">
        <f t="shared" si="35"/>
        <v xml:space="preserve">MOBILE                    </v>
      </c>
      <c r="F961" t="str">
        <f t="shared" si="33"/>
        <v>AL</v>
      </c>
    </row>
    <row r="962" spans="1:6" x14ac:dyDescent="0.25">
      <c r="A962" t="str">
        <f>"200007175"</f>
        <v>200007175</v>
      </c>
      <c r="B962" t="str">
        <f>"1548948268"</f>
        <v>1548948268</v>
      </c>
      <c r="C962" t="str">
        <f>"363L00000X"</f>
        <v>363L00000X</v>
      </c>
      <c r="D962" t="str">
        <f>"COCKRELL                 BAILEY                   "</f>
        <v xml:space="preserve">COCKRELL                 BAILEY                   </v>
      </c>
      <c r="E962" t="str">
        <f t="shared" si="35"/>
        <v xml:space="preserve">MOBILE                    </v>
      </c>
      <c r="F962" t="str">
        <f t="shared" si="33"/>
        <v>AL</v>
      </c>
    </row>
    <row r="963" spans="1:6" x14ac:dyDescent="0.25">
      <c r="A963" t="str">
        <f>"200007188"</f>
        <v>200007188</v>
      </c>
      <c r="B963" t="str">
        <f>"1619404233"</f>
        <v>1619404233</v>
      </c>
      <c r="C963" t="str">
        <f>"2080N0001X"</f>
        <v>2080N0001X</v>
      </c>
      <c r="D963" t="str">
        <f>"ANBALAGAN                SAMINATHAN               "</f>
        <v xml:space="preserve">ANBALAGAN                SAMINATHAN               </v>
      </c>
      <c r="E963" t="str">
        <f t="shared" si="35"/>
        <v xml:space="preserve">MOBILE                    </v>
      </c>
      <c r="F963" t="str">
        <f t="shared" si="33"/>
        <v>AL</v>
      </c>
    </row>
    <row r="964" spans="1:6" x14ac:dyDescent="0.25">
      <c r="A964" t="str">
        <f>"200007195"</f>
        <v>200007195</v>
      </c>
      <c r="B964" t="str">
        <f>"1760714968"</f>
        <v>1760714968</v>
      </c>
      <c r="C964" t="str">
        <f>"363L00000X"</f>
        <v>363L00000X</v>
      </c>
      <c r="D964" t="str">
        <f>"HOGELAND                 ERICA        D           "</f>
        <v xml:space="preserve">HOGELAND                 ERICA        D           </v>
      </c>
      <c r="E964" t="str">
        <f>"FLORENCE                  "</f>
        <v xml:space="preserve">FLORENCE                  </v>
      </c>
      <c r="F964" t="str">
        <f t="shared" si="33"/>
        <v>AL</v>
      </c>
    </row>
    <row r="965" spans="1:6" x14ac:dyDescent="0.25">
      <c r="A965" t="str">
        <f>"200007199"</f>
        <v>200007199</v>
      </c>
      <c r="B965" t="str">
        <f>"1275281800"</f>
        <v>1275281800</v>
      </c>
      <c r="C965" t="str">
        <f>"207X00000X"</f>
        <v>207X00000X</v>
      </c>
      <c r="D965" t="str">
        <f>"BETTRIDGE                AUSTIN                   "</f>
        <v xml:space="preserve">BETTRIDGE                AUSTIN                   </v>
      </c>
      <c r="E965" t="str">
        <f t="shared" ref="E965:E982" si="36">"MOBILE                    "</f>
        <v xml:space="preserve">MOBILE                    </v>
      </c>
      <c r="F965" t="str">
        <f t="shared" si="33"/>
        <v>AL</v>
      </c>
    </row>
    <row r="966" spans="1:6" x14ac:dyDescent="0.25">
      <c r="A966" t="str">
        <f>"200007224"</f>
        <v>200007224</v>
      </c>
      <c r="B966" t="str">
        <f>"1679278840"</f>
        <v>1679278840</v>
      </c>
      <c r="C966" t="str">
        <f>"207V00000X"</f>
        <v>207V00000X</v>
      </c>
      <c r="D966" t="str">
        <f>"NORRIS                   MATTHEW                  "</f>
        <v xml:space="preserve">NORRIS                   MATTHEW                  </v>
      </c>
      <c r="E966" t="str">
        <f t="shared" si="36"/>
        <v xml:space="preserve">MOBILE                    </v>
      </c>
      <c r="F966" t="str">
        <f t="shared" si="33"/>
        <v>AL</v>
      </c>
    </row>
    <row r="967" spans="1:6" x14ac:dyDescent="0.25">
      <c r="A967" t="str">
        <f>"200007262"</f>
        <v>200007262</v>
      </c>
      <c r="B967" t="str">
        <f>"1023703519"</f>
        <v>1023703519</v>
      </c>
      <c r="C967" t="str">
        <f>"2084N0400X"</f>
        <v>2084N0400X</v>
      </c>
      <c r="D967" t="str">
        <f>"ISAZA PIEROTTI           DANIEL                   "</f>
        <v xml:space="preserve">ISAZA PIEROTTI           DANIEL                   </v>
      </c>
      <c r="E967" t="str">
        <f t="shared" si="36"/>
        <v xml:space="preserve">MOBILE                    </v>
      </c>
      <c r="F967" t="str">
        <f t="shared" ref="F967:F1030" si="37">"AL"</f>
        <v>AL</v>
      </c>
    </row>
    <row r="968" spans="1:6" x14ac:dyDescent="0.25">
      <c r="A968" t="str">
        <f>"200007289"</f>
        <v>200007289</v>
      </c>
      <c r="B968" t="str">
        <f>"1518463058"</f>
        <v>1518463058</v>
      </c>
      <c r="C968" t="str">
        <f>"207R00000X"</f>
        <v>207R00000X</v>
      </c>
      <c r="D968" t="str">
        <f>"GLOSEMEYER               KATHERINE    E           "</f>
        <v xml:space="preserve">GLOSEMEYER               KATHERINE    E           </v>
      </c>
      <c r="E968" t="str">
        <f t="shared" si="36"/>
        <v xml:space="preserve">MOBILE                    </v>
      </c>
      <c r="F968" t="str">
        <f t="shared" si="37"/>
        <v>AL</v>
      </c>
    </row>
    <row r="969" spans="1:6" x14ac:dyDescent="0.25">
      <c r="A969" t="str">
        <f>"200007371"</f>
        <v>200007371</v>
      </c>
      <c r="B969" t="str">
        <f>"1720291636"</f>
        <v>1720291636</v>
      </c>
      <c r="C969" t="str">
        <f>"363L00000X"</f>
        <v>363L00000X</v>
      </c>
      <c r="D969" t="str">
        <f>"NORMAND                  ROBIN        S           "</f>
        <v xml:space="preserve">NORMAND                  ROBIN        S           </v>
      </c>
      <c r="E969" t="str">
        <f t="shared" si="36"/>
        <v xml:space="preserve">MOBILE                    </v>
      </c>
      <c r="F969" t="str">
        <f t="shared" si="37"/>
        <v>AL</v>
      </c>
    </row>
    <row r="970" spans="1:6" x14ac:dyDescent="0.25">
      <c r="A970" t="str">
        <f>"200007373"</f>
        <v>200007373</v>
      </c>
      <c r="B970" t="str">
        <f>"1932769890"</f>
        <v>1932769890</v>
      </c>
      <c r="C970" t="str">
        <f>"207QS0010X"</f>
        <v>207QS0010X</v>
      </c>
      <c r="D970" t="str">
        <f>"CARMICHAEL               BISHOP                   "</f>
        <v xml:space="preserve">CARMICHAEL               BISHOP                   </v>
      </c>
      <c r="E970" t="str">
        <f t="shared" si="36"/>
        <v xml:space="preserve">MOBILE                    </v>
      </c>
      <c r="F970" t="str">
        <f t="shared" si="37"/>
        <v>AL</v>
      </c>
    </row>
    <row r="971" spans="1:6" x14ac:dyDescent="0.25">
      <c r="A971" t="str">
        <f>"200007374"</f>
        <v>200007374</v>
      </c>
      <c r="B971" t="str">
        <f>"1013977339"</f>
        <v>1013977339</v>
      </c>
      <c r="C971" t="str">
        <f>"207R00000X"</f>
        <v>207R00000X</v>
      </c>
      <c r="D971" t="str">
        <f>"BHADKAMKAR               SANDEEP                  "</f>
        <v xml:space="preserve">BHADKAMKAR               SANDEEP                  </v>
      </c>
      <c r="E971" t="str">
        <f t="shared" si="36"/>
        <v xml:space="preserve">MOBILE                    </v>
      </c>
      <c r="F971" t="str">
        <f t="shared" si="37"/>
        <v>AL</v>
      </c>
    </row>
    <row r="972" spans="1:6" x14ac:dyDescent="0.25">
      <c r="A972" t="str">
        <f>"200007400"</f>
        <v>200007400</v>
      </c>
      <c r="B972" t="str">
        <f>"1851071211"</f>
        <v>1851071211</v>
      </c>
      <c r="C972" t="str">
        <f>"208000000X"</f>
        <v>208000000X</v>
      </c>
      <c r="D972" t="str">
        <f>"JHA                      SASWAT                   "</f>
        <v xml:space="preserve">JHA                      SASWAT                   </v>
      </c>
      <c r="E972" t="str">
        <f t="shared" si="36"/>
        <v xml:space="preserve">MOBILE                    </v>
      </c>
      <c r="F972" t="str">
        <f t="shared" si="37"/>
        <v>AL</v>
      </c>
    </row>
    <row r="973" spans="1:6" x14ac:dyDescent="0.25">
      <c r="A973" t="str">
        <f>"200007409"</f>
        <v>200007409</v>
      </c>
      <c r="B973" t="str">
        <f>"1972036002"</f>
        <v>1972036002</v>
      </c>
      <c r="C973" t="str">
        <f>"2080P0202X"</f>
        <v>2080P0202X</v>
      </c>
      <c r="D973" t="str">
        <f>"GAJENDRAN                INDUJA                   "</f>
        <v xml:space="preserve">GAJENDRAN                INDUJA                   </v>
      </c>
      <c r="E973" t="str">
        <f t="shared" si="36"/>
        <v xml:space="preserve">MOBILE                    </v>
      </c>
      <c r="F973" t="str">
        <f t="shared" si="37"/>
        <v>AL</v>
      </c>
    </row>
    <row r="974" spans="1:6" x14ac:dyDescent="0.25">
      <c r="A974" t="str">
        <f>"200007434"</f>
        <v>200007434</v>
      </c>
      <c r="B974" t="str">
        <f>"1730744012"</f>
        <v>1730744012</v>
      </c>
      <c r="C974" t="str">
        <f>"363L00000X"</f>
        <v>363L00000X</v>
      </c>
      <c r="D974" t="str">
        <f>"ACOSTA                   ASHLY        M           "</f>
        <v xml:space="preserve">ACOSTA                   ASHLY        M           </v>
      </c>
      <c r="E974" t="str">
        <f t="shared" si="36"/>
        <v xml:space="preserve">MOBILE                    </v>
      </c>
      <c r="F974" t="str">
        <f t="shared" si="37"/>
        <v>AL</v>
      </c>
    </row>
    <row r="975" spans="1:6" x14ac:dyDescent="0.25">
      <c r="A975" t="str">
        <f>"200007451"</f>
        <v>200007451</v>
      </c>
      <c r="B975" t="str">
        <f>"1851471122"</f>
        <v>1851471122</v>
      </c>
      <c r="C975" t="str">
        <f>"207R00000X"</f>
        <v>207R00000X</v>
      </c>
      <c r="D975" t="str">
        <f>"LAKKIS                   NASSER                   "</f>
        <v xml:space="preserve">LAKKIS                   NASSER                   </v>
      </c>
      <c r="E975" t="str">
        <f t="shared" si="36"/>
        <v xml:space="preserve">MOBILE                    </v>
      </c>
      <c r="F975" t="str">
        <f t="shared" si="37"/>
        <v>AL</v>
      </c>
    </row>
    <row r="976" spans="1:6" x14ac:dyDescent="0.25">
      <c r="A976" t="str">
        <f>"200007472"</f>
        <v>200007472</v>
      </c>
      <c r="B976" t="str">
        <f>"1740903681"</f>
        <v>1740903681</v>
      </c>
      <c r="C976" t="str">
        <f>"363L00000X"</f>
        <v>363L00000X</v>
      </c>
      <c r="D976" t="str">
        <f>"BLACK                    JESSIE                   "</f>
        <v xml:space="preserve">BLACK                    JESSIE                   </v>
      </c>
      <c r="E976" t="str">
        <f t="shared" si="36"/>
        <v xml:space="preserve">MOBILE                    </v>
      </c>
      <c r="F976" t="str">
        <f t="shared" si="37"/>
        <v>AL</v>
      </c>
    </row>
    <row r="977" spans="1:6" x14ac:dyDescent="0.25">
      <c r="A977" t="str">
        <f>"200007483"</f>
        <v>200007483</v>
      </c>
      <c r="B977" t="str">
        <f>"1912383670"</f>
        <v>1912383670</v>
      </c>
      <c r="C977" t="str">
        <f>"208000000X"</f>
        <v>208000000X</v>
      </c>
      <c r="D977" t="str">
        <f>"FRANCESCA                PEREZ                    "</f>
        <v xml:space="preserve">FRANCESCA                PEREZ                    </v>
      </c>
      <c r="E977" t="str">
        <f t="shared" si="36"/>
        <v xml:space="preserve">MOBILE                    </v>
      </c>
      <c r="F977" t="str">
        <f t="shared" si="37"/>
        <v>AL</v>
      </c>
    </row>
    <row r="978" spans="1:6" x14ac:dyDescent="0.25">
      <c r="A978" t="str">
        <f>"200007486"</f>
        <v>200007486</v>
      </c>
      <c r="B978" t="str">
        <f>"1427318211"</f>
        <v>1427318211</v>
      </c>
      <c r="C978" t="str">
        <f>"207R00000X"</f>
        <v>207R00000X</v>
      </c>
      <c r="D978" t="str">
        <f>"WHITE HALLFORD           EMILIE       O           "</f>
        <v xml:space="preserve">WHITE HALLFORD           EMILIE       O           </v>
      </c>
      <c r="E978" t="str">
        <f t="shared" si="36"/>
        <v xml:space="preserve">MOBILE                    </v>
      </c>
      <c r="F978" t="str">
        <f t="shared" si="37"/>
        <v>AL</v>
      </c>
    </row>
    <row r="979" spans="1:6" x14ac:dyDescent="0.25">
      <c r="A979" t="str">
        <f>"200007505"</f>
        <v>200007505</v>
      </c>
      <c r="B979" t="str">
        <f>"1740234624"</f>
        <v>1740234624</v>
      </c>
      <c r="C979" t="str">
        <f>"208000000X"</f>
        <v>208000000X</v>
      </c>
      <c r="D979" t="str">
        <f>"STRICKLAND               MICHAEL      C           "</f>
        <v xml:space="preserve">STRICKLAND               MICHAEL      C           </v>
      </c>
      <c r="E979" t="str">
        <f t="shared" si="36"/>
        <v xml:space="preserve">MOBILE                    </v>
      </c>
      <c r="F979" t="str">
        <f t="shared" si="37"/>
        <v>AL</v>
      </c>
    </row>
    <row r="980" spans="1:6" x14ac:dyDescent="0.25">
      <c r="A980" t="str">
        <f>"200007517"</f>
        <v>200007517</v>
      </c>
      <c r="B980" t="str">
        <f>"1932487055"</f>
        <v>1932487055</v>
      </c>
      <c r="C980" t="str">
        <f>"208000000X"</f>
        <v>208000000X</v>
      </c>
      <c r="D980" t="str">
        <f>"RAMASAMY                 POOVITHA                 "</f>
        <v xml:space="preserve">RAMASAMY                 POOVITHA                 </v>
      </c>
      <c r="E980" t="str">
        <f t="shared" si="36"/>
        <v xml:space="preserve">MOBILE                    </v>
      </c>
      <c r="F980" t="str">
        <f t="shared" si="37"/>
        <v>AL</v>
      </c>
    </row>
    <row r="981" spans="1:6" x14ac:dyDescent="0.25">
      <c r="A981" t="str">
        <f>"200007519"</f>
        <v>200007519</v>
      </c>
      <c r="B981" t="str">
        <f>"1811456866"</f>
        <v>1811456866</v>
      </c>
      <c r="C981" t="str">
        <f>"208800000X"</f>
        <v>208800000X</v>
      </c>
      <c r="D981" t="str">
        <f>"KUMAR                    JATINDER                 "</f>
        <v xml:space="preserve">KUMAR                    JATINDER                 </v>
      </c>
      <c r="E981" t="str">
        <f t="shared" si="36"/>
        <v xml:space="preserve">MOBILE                    </v>
      </c>
      <c r="F981" t="str">
        <f t="shared" si="37"/>
        <v>AL</v>
      </c>
    </row>
    <row r="982" spans="1:6" x14ac:dyDescent="0.25">
      <c r="A982" t="str">
        <f>"200007556"</f>
        <v>200007556</v>
      </c>
      <c r="B982" t="str">
        <f>"1164208286"</f>
        <v>1164208286</v>
      </c>
      <c r="C982" t="str">
        <f>"363L00000X"</f>
        <v>363L00000X</v>
      </c>
      <c r="D982" t="str">
        <f>"ELDRIDGE                 LENA         M           "</f>
        <v xml:space="preserve">ELDRIDGE                 LENA         M           </v>
      </c>
      <c r="E982" t="str">
        <f t="shared" si="36"/>
        <v xml:space="preserve">MOBILE                    </v>
      </c>
      <c r="F982" t="str">
        <f t="shared" si="37"/>
        <v>AL</v>
      </c>
    </row>
    <row r="983" spans="1:6" x14ac:dyDescent="0.25">
      <c r="A983" t="str">
        <f>"200007583"</f>
        <v>200007583</v>
      </c>
      <c r="B983" t="str">
        <f>"1205304557"</f>
        <v>1205304557</v>
      </c>
      <c r="C983" t="str">
        <f>"363L00000X"</f>
        <v>363L00000X</v>
      </c>
      <c r="D983" t="str">
        <f>"BETTS                    KRISTEN                  "</f>
        <v xml:space="preserve">BETTS                    KRISTEN                  </v>
      </c>
      <c r="E983" t="str">
        <f>"BIRMINGHAM                "</f>
        <v xml:space="preserve">BIRMINGHAM                </v>
      </c>
      <c r="F983" t="str">
        <f t="shared" si="37"/>
        <v>AL</v>
      </c>
    </row>
    <row r="984" spans="1:6" x14ac:dyDescent="0.25">
      <c r="A984" t="str">
        <f>"200007628"</f>
        <v>200007628</v>
      </c>
      <c r="B984" t="str">
        <f>"1356960876"</f>
        <v>1356960876</v>
      </c>
      <c r="C984" t="str">
        <f>"207RG0100X"</f>
        <v>207RG0100X</v>
      </c>
      <c r="D984" t="str">
        <f>"OUSLEY                   ROBERT       J           "</f>
        <v xml:space="preserve">OUSLEY                   ROBERT       J           </v>
      </c>
      <c r="E984" t="str">
        <f>"MOBILE                    "</f>
        <v xml:space="preserve">MOBILE                    </v>
      </c>
      <c r="F984" t="str">
        <f t="shared" si="37"/>
        <v>AL</v>
      </c>
    </row>
    <row r="985" spans="1:6" x14ac:dyDescent="0.25">
      <c r="A985" t="str">
        <f>"200007646"</f>
        <v>200007646</v>
      </c>
      <c r="B985" t="str">
        <f>"1639599483"</f>
        <v>1639599483</v>
      </c>
      <c r="C985" t="str">
        <f>"363L00000X"</f>
        <v>363L00000X</v>
      </c>
      <c r="D985" t="str">
        <f>"RIVERS                   JOSHUA                   "</f>
        <v xml:space="preserve">RIVERS                   JOSHUA                   </v>
      </c>
      <c r="E985" t="str">
        <f>"MOBILE                    "</f>
        <v xml:space="preserve">MOBILE                    </v>
      </c>
      <c r="F985" t="str">
        <f t="shared" si="37"/>
        <v>AL</v>
      </c>
    </row>
    <row r="986" spans="1:6" x14ac:dyDescent="0.25">
      <c r="A986" t="str">
        <f>"200007714"</f>
        <v>200007714</v>
      </c>
      <c r="B986" t="str">
        <f>"1578268363"</f>
        <v>1578268363</v>
      </c>
      <c r="C986" t="str">
        <f>"2084N0400X"</f>
        <v>2084N0400X</v>
      </c>
      <c r="D986" t="str">
        <f>"SLIVA                    RICHARD                  "</f>
        <v xml:space="preserve">SLIVA                    RICHARD                  </v>
      </c>
      <c r="E986" t="str">
        <f>"MOBILE                    "</f>
        <v xml:space="preserve">MOBILE                    </v>
      </c>
      <c r="F986" t="str">
        <f t="shared" si="37"/>
        <v>AL</v>
      </c>
    </row>
    <row r="987" spans="1:6" x14ac:dyDescent="0.25">
      <c r="A987" t="str">
        <f>"200007730"</f>
        <v>200007730</v>
      </c>
      <c r="B987" t="str">
        <f>"1417574880"</f>
        <v>1417574880</v>
      </c>
      <c r="C987" t="str">
        <f>"207RH0000X"</f>
        <v>207RH0000X</v>
      </c>
      <c r="D987" t="str">
        <f>"TITUS                    ABRAHAM                  "</f>
        <v xml:space="preserve">TITUS                    ABRAHAM                  </v>
      </c>
      <c r="E987" t="str">
        <f>"MOBILE                    "</f>
        <v xml:space="preserve">MOBILE                    </v>
      </c>
      <c r="F987" t="str">
        <f t="shared" si="37"/>
        <v>AL</v>
      </c>
    </row>
    <row r="988" spans="1:6" x14ac:dyDescent="0.25">
      <c r="A988" t="str">
        <f>"200007752"</f>
        <v>200007752</v>
      </c>
      <c r="B988" t="str">
        <f>"1780369140"</f>
        <v>1780369140</v>
      </c>
      <c r="C988" t="str">
        <f>"363L00000X"</f>
        <v>363L00000X</v>
      </c>
      <c r="D988" t="str">
        <f>"GLASS                    VALERIE      E           "</f>
        <v xml:space="preserve">GLASS                    VALERIE      E           </v>
      </c>
      <c r="E988" t="str">
        <f>"MOBILE                    "</f>
        <v xml:space="preserve">MOBILE                    </v>
      </c>
      <c r="F988" t="str">
        <f t="shared" si="37"/>
        <v>AL</v>
      </c>
    </row>
    <row r="989" spans="1:6" x14ac:dyDescent="0.25">
      <c r="A989" t="str">
        <f>"200007811"</f>
        <v>200007811</v>
      </c>
      <c r="B989" t="str">
        <f>"1932843125"</f>
        <v>1932843125</v>
      </c>
      <c r="C989" t="str">
        <f>"207N00000X"</f>
        <v>207N00000X</v>
      </c>
      <c r="D989" t="str">
        <f>"HIREMAGALORE             RAVI                     "</f>
        <v xml:space="preserve">HIREMAGALORE             RAVI                     </v>
      </c>
      <c r="E989" t="str">
        <f>"BIRMINGHAM                "</f>
        <v xml:space="preserve">BIRMINGHAM                </v>
      </c>
      <c r="F989" t="str">
        <f t="shared" si="37"/>
        <v>AL</v>
      </c>
    </row>
    <row r="990" spans="1:6" x14ac:dyDescent="0.25">
      <c r="A990" t="str">
        <f>"200007828"</f>
        <v>200007828</v>
      </c>
      <c r="B990" t="str">
        <f>"1477028744"</f>
        <v>1477028744</v>
      </c>
      <c r="C990" t="str">
        <f>"363L00000X"</f>
        <v>363L00000X</v>
      </c>
      <c r="D990" t="str">
        <f>"SPELLMON                 ANTOINETTE   A           "</f>
        <v xml:space="preserve">SPELLMON                 ANTOINETTE   A           </v>
      </c>
      <c r="E990" t="str">
        <f>"BIRMINGHAM                "</f>
        <v xml:space="preserve">BIRMINGHAM                </v>
      </c>
      <c r="F990" t="str">
        <f t="shared" si="37"/>
        <v>AL</v>
      </c>
    </row>
    <row r="991" spans="1:6" x14ac:dyDescent="0.25">
      <c r="A991" t="str">
        <f>"200007832"</f>
        <v>200007832</v>
      </c>
      <c r="B991" t="str">
        <f>"1598429615"</f>
        <v>1598429615</v>
      </c>
      <c r="C991" t="str">
        <f>"363L00000X"</f>
        <v>363L00000X</v>
      </c>
      <c r="D991" t="str">
        <f>"SCHOBER                  KIMBERLY     E           "</f>
        <v xml:space="preserve">SCHOBER                  KIMBERLY     E           </v>
      </c>
      <c r="E991" t="str">
        <f>"BIRMINGHAM                "</f>
        <v xml:space="preserve">BIRMINGHAM                </v>
      </c>
      <c r="F991" t="str">
        <f t="shared" si="37"/>
        <v>AL</v>
      </c>
    </row>
    <row r="992" spans="1:6" x14ac:dyDescent="0.25">
      <c r="A992" t="str">
        <f>"200007834"</f>
        <v>200007834</v>
      </c>
      <c r="B992" t="str">
        <f>"1952381949"</f>
        <v>1952381949</v>
      </c>
      <c r="C992" t="str">
        <f>"367500000X"</f>
        <v>367500000X</v>
      </c>
      <c r="D992" t="str">
        <f>"SNELL-WAUDBY             PAMELA       J           "</f>
        <v xml:space="preserve">SNELL-WAUDBY             PAMELA       J           </v>
      </c>
      <c r="E992" t="str">
        <f>"BIRMINGHAM                "</f>
        <v xml:space="preserve">BIRMINGHAM                </v>
      </c>
      <c r="F992" t="str">
        <f t="shared" si="37"/>
        <v>AL</v>
      </c>
    </row>
    <row r="993" spans="1:6" x14ac:dyDescent="0.25">
      <c r="A993" t="str">
        <f>"200007836"</f>
        <v>200007836</v>
      </c>
      <c r="B993" t="str">
        <f>"1285230813"</f>
        <v>1285230813</v>
      </c>
      <c r="C993" t="str">
        <f>"363A00000X"</f>
        <v>363A00000X</v>
      </c>
      <c r="D993" t="str">
        <f>"STRENKOWSKI              JOHN                     "</f>
        <v xml:space="preserve">STRENKOWSKI              JOHN                     </v>
      </c>
      <c r="E993" t="str">
        <f>"BIRMINGHAM                "</f>
        <v xml:space="preserve">BIRMINGHAM                </v>
      </c>
      <c r="F993" t="str">
        <f t="shared" si="37"/>
        <v>AL</v>
      </c>
    </row>
    <row r="994" spans="1:6" x14ac:dyDescent="0.25">
      <c r="A994" t="str">
        <f>"200007839"</f>
        <v>200007839</v>
      </c>
      <c r="B994" t="str">
        <f>"1932760113"</f>
        <v>1932760113</v>
      </c>
      <c r="C994" t="str">
        <f>"207ZP0102X"</f>
        <v>207ZP0102X</v>
      </c>
      <c r="D994" t="str">
        <f>"AHMED                    ZAN                      "</f>
        <v xml:space="preserve">AHMED                    ZAN                      </v>
      </c>
      <c r="E994" t="str">
        <f>"MOBILE                    "</f>
        <v xml:space="preserve">MOBILE                    </v>
      </c>
      <c r="F994" t="str">
        <f t="shared" si="37"/>
        <v>AL</v>
      </c>
    </row>
    <row r="995" spans="1:6" x14ac:dyDescent="0.25">
      <c r="A995" t="str">
        <f>"200008024"</f>
        <v>200008024</v>
      </c>
      <c r="B995" t="str">
        <f>"1689019523"</f>
        <v>1689019523</v>
      </c>
      <c r="C995" t="str">
        <f>"2085R0202X"</f>
        <v>2085R0202X</v>
      </c>
      <c r="D995" t="str">
        <f>"ALLEN                    ELIZABETH                "</f>
        <v xml:space="preserve">ALLEN                    ELIZABETH                </v>
      </c>
      <c r="E995" t="str">
        <f>"BIRMINGHAM                "</f>
        <v xml:space="preserve">BIRMINGHAM                </v>
      </c>
      <c r="F995" t="str">
        <f t="shared" si="37"/>
        <v>AL</v>
      </c>
    </row>
    <row r="996" spans="1:6" x14ac:dyDescent="0.25">
      <c r="A996" t="str">
        <f>"200008051"</f>
        <v>200008051</v>
      </c>
      <c r="B996" t="str">
        <f>"1235913534"</f>
        <v>1235913534</v>
      </c>
      <c r="C996" t="str">
        <f>"363L00000X"</f>
        <v>363L00000X</v>
      </c>
      <c r="D996" t="str">
        <f>"LYON                     KRISTA       S           "</f>
        <v xml:space="preserve">LYON                     KRISTA       S           </v>
      </c>
      <c r="E996" t="str">
        <f>"MOBILE                    "</f>
        <v xml:space="preserve">MOBILE                    </v>
      </c>
      <c r="F996" t="str">
        <f t="shared" si="37"/>
        <v>AL</v>
      </c>
    </row>
    <row r="997" spans="1:6" x14ac:dyDescent="0.25">
      <c r="A997" t="str">
        <f>"200008072"</f>
        <v>200008072</v>
      </c>
      <c r="B997" t="str">
        <f>"1275984387"</f>
        <v>1275984387</v>
      </c>
      <c r="C997" t="str">
        <f>"207R00000X"</f>
        <v>207R00000X</v>
      </c>
      <c r="D997" t="str">
        <f>"ALAWIEH                  HASSAN                   "</f>
        <v xml:space="preserve">ALAWIEH                  HASSAN                   </v>
      </c>
      <c r="E997" t="str">
        <f t="shared" ref="E997:E1005" si="38">"BIRMINGHAM                "</f>
        <v xml:space="preserve">BIRMINGHAM                </v>
      </c>
      <c r="F997" t="str">
        <f t="shared" si="37"/>
        <v>AL</v>
      </c>
    </row>
    <row r="998" spans="1:6" x14ac:dyDescent="0.25">
      <c r="A998" t="str">
        <f>"200008153"</f>
        <v>200008153</v>
      </c>
      <c r="B998" t="str">
        <f>"1184070450"</f>
        <v>1184070450</v>
      </c>
      <c r="C998" t="str">
        <f>"363A00000X"</f>
        <v>363A00000X</v>
      </c>
      <c r="D998" t="str">
        <f>"CLAY                     CHRISTINA                "</f>
        <v xml:space="preserve">CLAY                     CHRISTINA                </v>
      </c>
      <c r="E998" t="str">
        <f t="shared" si="38"/>
        <v xml:space="preserve">BIRMINGHAM                </v>
      </c>
      <c r="F998" t="str">
        <f t="shared" si="37"/>
        <v>AL</v>
      </c>
    </row>
    <row r="999" spans="1:6" x14ac:dyDescent="0.25">
      <c r="A999" t="str">
        <f>"200008176"</f>
        <v>200008176</v>
      </c>
      <c r="B999" t="str">
        <f>"1134138035"</f>
        <v>1134138035</v>
      </c>
      <c r="C999" t="str">
        <f>"208600000X"</f>
        <v>208600000X</v>
      </c>
      <c r="D999" t="str">
        <f>"HANAWAY                  MICHAEL                  "</f>
        <v xml:space="preserve">HANAWAY                  MICHAEL                  </v>
      </c>
      <c r="E999" t="str">
        <f t="shared" si="38"/>
        <v xml:space="preserve">BIRMINGHAM                </v>
      </c>
      <c r="F999" t="str">
        <f t="shared" si="37"/>
        <v>AL</v>
      </c>
    </row>
    <row r="1000" spans="1:6" x14ac:dyDescent="0.25">
      <c r="A1000" t="str">
        <f>"200008180"</f>
        <v>200008180</v>
      </c>
      <c r="B1000" t="str">
        <f>"1841930732"</f>
        <v>1841930732</v>
      </c>
      <c r="C1000" t="str">
        <f>"208G00000X"</f>
        <v>208G00000X</v>
      </c>
      <c r="D1000" t="str">
        <f>"GRILL                    FAITH                    "</f>
        <v xml:space="preserve">GRILL                    FAITH                    </v>
      </c>
      <c r="E1000" t="str">
        <f t="shared" si="38"/>
        <v xml:space="preserve">BIRMINGHAM                </v>
      </c>
      <c r="F1000" t="str">
        <f t="shared" si="37"/>
        <v>AL</v>
      </c>
    </row>
    <row r="1001" spans="1:6" x14ac:dyDescent="0.25">
      <c r="A1001" t="str">
        <f>"200008229"</f>
        <v>200008229</v>
      </c>
      <c r="B1001" t="str">
        <f>"1144847930"</f>
        <v>1144847930</v>
      </c>
      <c r="C1001" t="str">
        <f>"363L00000X"</f>
        <v>363L00000X</v>
      </c>
      <c r="D1001" t="str">
        <f>"DIAL                     LAUREN                   "</f>
        <v xml:space="preserve">DIAL                     LAUREN                   </v>
      </c>
      <c r="E1001" t="str">
        <f t="shared" si="38"/>
        <v xml:space="preserve">BIRMINGHAM                </v>
      </c>
      <c r="F1001" t="str">
        <f t="shared" si="37"/>
        <v>AL</v>
      </c>
    </row>
    <row r="1002" spans="1:6" x14ac:dyDescent="0.25">
      <c r="A1002" t="str">
        <f>"200008240"</f>
        <v>200008240</v>
      </c>
      <c r="B1002" t="str">
        <f>"1740803774"</f>
        <v>1740803774</v>
      </c>
      <c r="C1002" t="str">
        <f>"367500000X"</f>
        <v>367500000X</v>
      </c>
      <c r="D1002" t="str">
        <f>"GRIFFIN                  MICHAEL                  "</f>
        <v xml:space="preserve">GRIFFIN                  MICHAEL                  </v>
      </c>
      <c r="E1002" t="str">
        <f t="shared" si="38"/>
        <v xml:space="preserve">BIRMINGHAM                </v>
      </c>
      <c r="F1002" t="str">
        <f t="shared" si="37"/>
        <v>AL</v>
      </c>
    </row>
    <row r="1003" spans="1:6" x14ac:dyDescent="0.25">
      <c r="A1003" t="str">
        <f>"200008242"</f>
        <v>200008242</v>
      </c>
      <c r="B1003" t="str">
        <f>"1245612704"</f>
        <v>1245612704</v>
      </c>
      <c r="C1003" t="str">
        <f>"207R00000X"</f>
        <v>207R00000X</v>
      </c>
      <c r="D1003" t="str">
        <f>"EULO                     VANESSA                  "</f>
        <v xml:space="preserve">EULO                     VANESSA                  </v>
      </c>
      <c r="E1003" t="str">
        <f t="shared" si="38"/>
        <v xml:space="preserve">BIRMINGHAM                </v>
      </c>
      <c r="F1003" t="str">
        <f t="shared" si="37"/>
        <v>AL</v>
      </c>
    </row>
    <row r="1004" spans="1:6" x14ac:dyDescent="0.25">
      <c r="A1004" t="str">
        <f>"200008269"</f>
        <v>200008269</v>
      </c>
      <c r="B1004" t="str">
        <f>"1699116673"</f>
        <v>1699116673</v>
      </c>
      <c r="C1004" t="str">
        <f>"207RP1001X"</f>
        <v>207RP1001X</v>
      </c>
      <c r="D1004" t="str">
        <f>"DSOUZA                   KEVIN                    "</f>
        <v xml:space="preserve">DSOUZA                   KEVIN                    </v>
      </c>
      <c r="E1004" t="str">
        <f t="shared" si="38"/>
        <v xml:space="preserve">BIRMINGHAM                </v>
      </c>
      <c r="F1004" t="str">
        <f t="shared" si="37"/>
        <v>AL</v>
      </c>
    </row>
    <row r="1005" spans="1:6" x14ac:dyDescent="0.25">
      <c r="A1005" t="str">
        <f>"200008329"</f>
        <v>200008329</v>
      </c>
      <c r="B1005" t="str">
        <f>"1740495662"</f>
        <v>1740495662</v>
      </c>
      <c r="C1005" t="str">
        <f>"2085R0202X"</f>
        <v>2085R0202X</v>
      </c>
      <c r="D1005" t="str">
        <f>"FRAZIER                  MASON                    "</f>
        <v xml:space="preserve">FRAZIER                  MASON                    </v>
      </c>
      <c r="E1005" t="str">
        <f t="shared" si="38"/>
        <v xml:space="preserve">BIRMINGHAM                </v>
      </c>
      <c r="F1005" t="str">
        <f t="shared" si="37"/>
        <v>AL</v>
      </c>
    </row>
    <row r="1006" spans="1:6" x14ac:dyDescent="0.25">
      <c r="A1006" t="str">
        <f>"200008369"</f>
        <v>200008369</v>
      </c>
      <c r="B1006" t="str">
        <f>"1275311227"</f>
        <v>1275311227</v>
      </c>
      <c r="C1006" t="str">
        <f>"208000000X"</f>
        <v>208000000X</v>
      </c>
      <c r="D1006" t="str">
        <f>"JUAN                     HERNANDEZ                "</f>
        <v xml:space="preserve">JUAN                     HERNANDEZ                </v>
      </c>
      <c r="E1006" t="str">
        <f>"MOBILE                    "</f>
        <v xml:space="preserve">MOBILE                    </v>
      </c>
      <c r="F1006" t="str">
        <f t="shared" si="37"/>
        <v>AL</v>
      </c>
    </row>
    <row r="1007" spans="1:6" x14ac:dyDescent="0.25">
      <c r="A1007" t="str">
        <f>"200008371"</f>
        <v>200008371</v>
      </c>
      <c r="B1007" t="str">
        <f>"1316680531"</f>
        <v>1316680531</v>
      </c>
      <c r="C1007" t="str">
        <f>"363L00000X"</f>
        <v>363L00000X</v>
      </c>
      <c r="D1007" t="str">
        <f>"GOLDEN HOWARD            MARY         M           "</f>
        <v xml:space="preserve">GOLDEN HOWARD            MARY         M           </v>
      </c>
      <c r="E1007" t="str">
        <f>"BIRMINGHAM                "</f>
        <v xml:space="preserve">BIRMINGHAM                </v>
      </c>
      <c r="F1007" t="str">
        <f t="shared" si="37"/>
        <v>AL</v>
      </c>
    </row>
    <row r="1008" spans="1:6" x14ac:dyDescent="0.25">
      <c r="A1008" t="str">
        <f>"200008449"</f>
        <v>200008449</v>
      </c>
      <c r="B1008" t="str">
        <f>"1184001984"</f>
        <v>1184001984</v>
      </c>
      <c r="C1008" t="str">
        <f>"207RH0000X"</f>
        <v>207RH0000X</v>
      </c>
      <c r="D1008" t="str">
        <f>"OUTLAW JR                DARRYL                   "</f>
        <v xml:space="preserve">OUTLAW JR                DARRYL                   </v>
      </c>
      <c r="E1008" t="str">
        <f>"BIRMINGHAM                "</f>
        <v xml:space="preserve">BIRMINGHAM                </v>
      </c>
      <c r="F1008" t="str">
        <f t="shared" si="37"/>
        <v>AL</v>
      </c>
    </row>
    <row r="1009" spans="1:6" x14ac:dyDescent="0.25">
      <c r="A1009" t="str">
        <f>"200008470"</f>
        <v>200008470</v>
      </c>
      <c r="B1009" t="str">
        <f>"1023372141"</f>
        <v>1023372141</v>
      </c>
      <c r="C1009" t="str">
        <f>"2085R0204X"</f>
        <v>2085R0204X</v>
      </c>
      <c r="D1009" t="str">
        <f>"SALEI                    ALIAKSEI                 "</f>
        <v xml:space="preserve">SALEI                    ALIAKSEI                 </v>
      </c>
      <c r="E1009" t="str">
        <f>"BIRMINGHAM                "</f>
        <v xml:space="preserve">BIRMINGHAM                </v>
      </c>
      <c r="F1009" t="str">
        <f t="shared" si="37"/>
        <v>AL</v>
      </c>
    </row>
    <row r="1010" spans="1:6" x14ac:dyDescent="0.25">
      <c r="A1010" t="str">
        <f>"200008492"</f>
        <v>200008492</v>
      </c>
      <c r="B1010" t="str">
        <f>"1184155632"</f>
        <v>1184155632</v>
      </c>
      <c r="C1010" t="str">
        <f>"208600000X"</f>
        <v>208600000X</v>
      </c>
      <c r="D1010" t="str">
        <f>"KOENIG                   SAMANTHA                 "</f>
        <v xml:space="preserve">KOENIG                   SAMANTHA                 </v>
      </c>
      <c r="E1010" t="str">
        <f>"BIRMINGHAM                "</f>
        <v xml:space="preserve">BIRMINGHAM                </v>
      </c>
      <c r="F1010" t="str">
        <f t="shared" si="37"/>
        <v>AL</v>
      </c>
    </row>
    <row r="1011" spans="1:6" x14ac:dyDescent="0.25">
      <c r="A1011" t="str">
        <f>"200008601"</f>
        <v>200008601</v>
      </c>
      <c r="B1011" t="str">
        <f>"1306001920"</f>
        <v>1306001920</v>
      </c>
      <c r="C1011" t="str">
        <f>"204E00000X"</f>
        <v>204E00000X</v>
      </c>
      <c r="D1011" t="str">
        <f>"WALLENDER                AARON                    "</f>
        <v xml:space="preserve">WALLENDER                AARON                    </v>
      </c>
      <c r="E1011" t="str">
        <f>"MOBILE                    "</f>
        <v xml:space="preserve">MOBILE                    </v>
      </c>
      <c r="F1011" t="str">
        <f t="shared" si="37"/>
        <v>AL</v>
      </c>
    </row>
    <row r="1012" spans="1:6" x14ac:dyDescent="0.25">
      <c r="A1012" t="str">
        <f>"200008625"</f>
        <v>200008625</v>
      </c>
      <c r="B1012" t="str">
        <f>"1609030238"</f>
        <v>1609030238</v>
      </c>
      <c r="C1012" t="str">
        <f>"207ZP0102X"</f>
        <v>207ZP0102X</v>
      </c>
      <c r="D1012" t="str">
        <f>"DELA CRUZ                NESTOR       E           "</f>
        <v xml:space="preserve">DELA CRUZ                NESTOR       E           </v>
      </c>
      <c r="E1012" t="str">
        <f>"MOBILE                    "</f>
        <v xml:space="preserve">MOBILE                    </v>
      </c>
      <c r="F1012" t="str">
        <f t="shared" si="37"/>
        <v>AL</v>
      </c>
    </row>
    <row r="1013" spans="1:6" x14ac:dyDescent="0.25">
      <c r="A1013" t="str">
        <f>"200008627"</f>
        <v>200008627</v>
      </c>
      <c r="B1013" t="str">
        <f>"1861460156"</f>
        <v>1861460156</v>
      </c>
      <c r="C1013" t="str">
        <f>"207Y00000X"</f>
        <v>207Y00000X</v>
      </c>
      <c r="D1013" t="str">
        <f>"HOLMES                   DOUGLAS                  "</f>
        <v xml:space="preserve">HOLMES                   DOUGLAS                  </v>
      </c>
      <c r="E1013" t="str">
        <f>"MOBILE                    "</f>
        <v xml:space="preserve">MOBILE                    </v>
      </c>
      <c r="F1013" t="str">
        <f t="shared" si="37"/>
        <v>AL</v>
      </c>
    </row>
    <row r="1014" spans="1:6" x14ac:dyDescent="0.25">
      <c r="A1014" t="str">
        <f>"200008632"</f>
        <v>200008632</v>
      </c>
      <c r="B1014" t="str">
        <f>"1134485477"</f>
        <v>1134485477</v>
      </c>
      <c r="C1014" t="str">
        <f>"207T00000X"</f>
        <v>207T00000X</v>
      </c>
      <c r="D1014" t="str">
        <f>"AMBURGY                  JOHN         W           "</f>
        <v xml:space="preserve">AMBURGY                  JOHN         W           </v>
      </c>
      <c r="E1014" t="str">
        <f>"MOBILE                    "</f>
        <v xml:space="preserve">MOBILE                    </v>
      </c>
      <c r="F1014" t="str">
        <f t="shared" si="37"/>
        <v>AL</v>
      </c>
    </row>
    <row r="1015" spans="1:6" x14ac:dyDescent="0.25">
      <c r="A1015" t="str">
        <f>"200008633"</f>
        <v>200008633</v>
      </c>
      <c r="B1015" t="str">
        <f>"1881825412"</f>
        <v>1881825412</v>
      </c>
      <c r="C1015" t="str">
        <f>"207RH0000X"</f>
        <v>207RH0000X</v>
      </c>
      <c r="D1015" t="str">
        <f>"RAVI                     GAYATHRI                 "</f>
        <v xml:space="preserve">RAVI                     GAYATHRI                 </v>
      </c>
      <c r="E1015" t="str">
        <f>"BIRMINGHAM                "</f>
        <v xml:space="preserve">BIRMINGHAM                </v>
      </c>
      <c r="F1015" t="str">
        <f t="shared" si="37"/>
        <v>AL</v>
      </c>
    </row>
    <row r="1016" spans="1:6" x14ac:dyDescent="0.25">
      <c r="A1016" t="str">
        <f>"200008641"</f>
        <v>200008641</v>
      </c>
      <c r="B1016" t="str">
        <f>"1295122281"</f>
        <v>1295122281</v>
      </c>
      <c r="C1016" t="str">
        <f>"208000000X"</f>
        <v>208000000X</v>
      </c>
      <c r="D1016" t="str">
        <f>"LLOYD                    AUDREY                   "</f>
        <v xml:space="preserve">LLOYD                    AUDREY                   </v>
      </c>
      <c r="E1016" t="str">
        <f>"BIRMINGHAM                "</f>
        <v xml:space="preserve">BIRMINGHAM                </v>
      </c>
      <c r="F1016" t="str">
        <f t="shared" si="37"/>
        <v>AL</v>
      </c>
    </row>
    <row r="1017" spans="1:6" x14ac:dyDescent="0.25">
      <c r="A1017" t="str">
        <f>"200008652"</f>
        <v>200008652</v>
      </c>
      <c r="B1017" t="str">
        <f>"1568491017"</f>
        <v>1568491017</v>
      </c>
      <c r="C1017" t="str">
        <f>"207W00000X"</f>
        <v>207W00000X</v>
      </c>
      <c r="D1017" t="str">
        <f>"TAYLOR                   SAMUEL       W           "</f>
        <v xml:space="preserve">TAYLOR                   SAMUEL       W           </v>
      </c>
      <c r="E1017" t="str">
        <f>"TUSCALOOSA                "</f>
        <v xml:space="preserve">TUSCALOOSA                </v>
      </c>
      <c r="F1017" t="str">
        <f t="shared" si="37"/>
        <v>AL</v>
      </c>
    </row>
    <row r="1018" spans="1:6" x14ac:dyDescent="0.25">
      <c r="A1018" t="str">
        <f>"200008674"</f>
        <v>200008674</v>
      </c>
      <c r="B1018" t="str">
        <f>"1619317112"</f>
        <v>1619317112</v>
      </c>
      <c r="C1018" t="str">
        <f>"207L00000X"</f>
        <v>207L00000X</v>
      </c>
      <c r="D1018" t="str">
        <f>"BALABANOFF ACOSTA        CHRISTIAN                "</f>
        <v xml:space="preserve">BALABANOFF ACOSTA        CHRISTIAN                </v>
      </c>
      <c r="E1018" t="str">
        <f>"BIRMINGHAM                "</f>
        <v xml:space="preserve">BIRMINGHAM                </v>
      </c>
      <c r="F1018" t="str">
        <f t="shared" si="37"/>
        <v>AL</v>
      </c>
    </row>
    <row r="1019" spans="1:6" x14ac:dyDescent="0.25">
      <c r="A1019" t="str">
        <f>"200008699"</f>
        <v>200008699</v>
      </c>
      <c r="B1019" t="str">
        <f>"1376837872"</f>
        <v>1376837872</v>
      </c>
      <c r="C1019" t="str">
        <f>"208600000X"</f>
        <v>208600000X</v>
      </c>
      <c r="D1019" t="str">
        <f>"SPARKS                   ERIC                     "</f>
        <v xml:space="preserve">SPARKS                   ERIC                     </v>
      </c>
      <c r="E1019" t="str">
        <f>"BIRMINGHAM                "</f>
        <v xml:space="preserve">BIRMINGHAM                </v>
      </c>
      <c r="F1019" t="str">
        <f t="shared" si="37"/>
        <v>AL</v>
      </c>
    </row>
    <row r="1020" spans="1:6" x14ac:dyDescent="0.25">
      <c r="A1020" t="str">
        <f>"200008756"</f>
        <v>200008756</v>
      </c>
      <c r="B1020" t="str">
        <f>"1588028120"</f>
        <v>1588028120</v>
      </c>
      <c r="C1020" t="str">
        <f>"2085R0202X"</f>
        <v>2085R0202X</v>
      </c>
      <c r="D1020" t="str">
        <f>"CALDERONE                CARLI                    "</f>
        <v xml:space="preserve">CALDERONE                CARLI                    </v>
      </c>
      <c r="E1020" t="str">
        <f>"BIRMINGHAM                "</f>
        <v xml:space="preserve">BIRMINGHAM                </v>
      </c>
      <c r="F1020" t="str">
        <f t="shared" si="37"/>
        <v>AL</v>
      </c>
    </row>
    <row r="1021" spans="1:6" x14ac:dyDescent="0.25">
      <c r="A1021" t="str">
        <f>"200008763"</f>
        <v>200008763</v>
      </c>
      <c r="B1021" t="str">
        <f>"1730404377"</f>
        <v>1730404377</v>
      </c>
      <c r="C1021" t="str">
        <f>"207Q00000X"</f>
        <v>207Q00000X</v>
      </c>
      <c r="D1021" t="str">
        <f>"HARRIS                   JEWEL                    "</f>
        <v xml:space="preserve">HARRIS                   JEWEL                    </v>
      </c>
      <c r="E1021" t="str">
        <f>"MOBILE                    "</f>
        <v xml:space="preserve">MOBILE                    </v>
      </c>
      <c r="F1021" t="str">
        <f t="shared" si="37"/>
        <v>AL</v>
      </c>
    </row>
    <row r="1022" spans="1:6" x14ac:dyDescent="0.25">
      <c r="A1022" t="str">
        <f>"200008815"</f>
        <v>200008815</v>
      </c>
      <c r="B1022" t="str">
        <f>"1508399205"</f>
        <v>1508399205</v>
      </c>
      <c r="C1022" t="str">
        <f>"207RR0500X"</f>
        <v>207RR0500X</v>
      </c>
      <c r="D1022" t="str">
        <f>"TAYLOR                   ADAM                     "</f>
        <v xml:space="preserve">TAYLOR                   ADAM                     </v>
      </c>
      <c r="E1022" t="str">
        <f>"BIRMINGHAM                "</f>
        <v xml:space="preserve">BIRMINGHAM                </v>
      </c>
      <c r="F1022" t="str">
        <f t="shared" si="37"/>
        <v>AL</v>
      </c>
    </row>
    <row r="1023" spans="1:6" x14ac:dyDescent="0.25">
      <c r="A1023" t="str">
        <f>"200008821"</f>
        <v>200008821</v>
      </c>
      <c r="B1023" t="str">
        <f>"1467638460"</f>
        <v>1467638460</v>
      </c>
      <c r="C1023" t="str">
        <f>"2085R0202X"</f>
        <v>2085R0202X</v>
      </c>
      <c r="D1023" t="str">
        <f>"SIRINENI                 GOPI                     "</f>
        <v xml:space="preserve">SIRINENI                 GOPI                     </v>
      </c>
      <c r="E1023" t="str">
        <f>"BIRMINGHAM                "</f>
        <v xml:space="preserve">BIRMINGHAM                </v>
      </c>
      <c r="F1023" t="str">
        <f t="shared" si="37"/>
        <v>AL</v>
      </c>
    </row>
    <row r="1024" spans="1:6" x14ac:dyDescent="0.25">
      <c r="A1024" t="str">
        <f>"200008872"</f>
        <v>200008872</v>
      </c>
      <c r="B1024" t="str">
        <f>"1417504325"</f>
        <v>1417504325</v>
      </c>
      <c r="C1024" t="str">
        <f>"363L00000X"</f>
        <v>363L00000X</v>
      </c>
      <c r="D1024" t="str">
        <f>"TURNER                   JAMIE                    "</f>
        <v xml:space="preserve">TURNER                   JAMIE                    </v>
      </c>
      <c r="E1024" t="str">
        <f>"MOBILE                    "</f>
        <v xml:space="preserve">MOBILE                    </v>
      </c>
      <c r="F1024" t="str">
        <f t="shared" si="37"/>
        <v>AL</v>
      </c>
    </row>
    <row r="1025" spans="1:6" x14ac:dyDescent="0.25">
      <c r="A1025" t="str">
        <f>"200008937"</f>
        <v>200008937</v>
      </c>
      <c r="B1025" t="str">
        <f>"1992748602"</f>
        <v>1992748602</v>
      </c>
      <c r="C1025" t="str">
        <f>"207L00000X"</f>
        <v>207L00000X</v>
      </c>
      <c r="D1025" t="str">
        <f>"CROSS                    RICHARD                  "</f>
        <v xml:space="preserve">CROSS                    RICHARD                  </v>
      </c>
      <c r="E1025" t="str">
        <f>"BIRMINGHAM                "</f>
        <v xml:space="preserve">BIRMINGHAM                </v>
      </c>
      <c r="F1025" t="str">
        <f t="shared" si="37"/>
        <v>AL</v>
      </c>
    </row>
    <row r="1026" spans="1:6" x14ac:dyDescent="0.25">
      <c r="A1026" t="str">
        <f>"200008945"</f>
        <v>200008945</v>
      </c>
      <c r="B1026" t="str">
        <f>"1811421308"</f>
        <v>1811421308</v>
      </c>
      <c r="C1026" t="str">
        <f>"207RP1001X"</f>
        <v>207RP1001X</v>
      </c>
      <c r="D1026" t="str">
        <f>"SCULLIN                  DANIEL                   "</f>
        <v xml:space="preserve">SCULLIN                  DANIEL                   </v>
      </c>
      <c r="E1026" t="str">
        <f>"BIRMINGHAM                "</f>
        <v xml:space="preserve">BIRMINGHAM                </v>
      </c>
      <c r="F1026" t="str">
        <f t="shared" si="37"/>
        <v>AL</v>
      </c>
    </row>
    <row r="1027" spans="1:6" x14ac:dyDescent="0.25">
      <c r="A1027" t="str">
        <f>"200008981"</f>
        <v>200008981</v>
      </c>
      <c r="B1027" t="str">
        <f>"1295937654"</f>
        <v>1295937654</v>
      </c>
      <c r="C1027" t="str">
        <f>"207Q00000X"</f>
        <v>207Q00000X</v>
      </c>
      <c r="D1027" t="str">
        <f>"MINER                    ROY                      "</f>
        <v xml:space="preserve">MINER                    ROY                      </v>
      </c>
      <c r="E1027" t="str">
        <f>"MOBILE                    "</f>
        <v xml:space="preserve">MOBILE                    </v>
      </c>
      <c r="F1027" t="str">
        <f t="shared" si="37"/>
        <v>AL</v>
      </c>
    </row>
    <row r="1028" spans="1:6" x14ac:dyDescent="0.25">
      <c r="A1028" t="str">
        <f>"200008987"</f>
        <v>200008987</v>
      </c>
      <c r="B1028" t="str">
        <f>"1710244835"</f>
        <v>1710244835</v>
      </c>
      <c r="C1028" t="str">
        <f>"2086S0127X"</f>
        <v>2086S0127X</v>
      </c>
      <c r="D1028" t="str">
        <f>"BUTTS                    CHARLES      C           "</f>
        <v xml:space="preserve">BUTTS                    CHARLES      C           </v>
      </c>
      <c r="E1028" t="str">
        <f>"MOBILE                    "</f>
        <v xml:space="preserve">MOBILE                    </v>
      </c>
      <c r="F1028" t="str">
        <f t="shared" si="37"/>
        <v>AL</v>
      </c>
    </row>
    <row r="1029" spans="1:6" x14ac:dyDescent="0.25">
      <c r="A1029" t="str">
        <f>"200008994"</f>
        <v>200008994</v>
      </c>
      <c r="B1029" t="str">
        <f>"1629427406"</f>
        <v>1629427406</v>
      </c>
      <c r="C1029" t="str">
        <f>"363LA2200X"</f>
        <v>363LA2200X</v>
      </c>
      <c r="D1029" t="str">
        <f>"JENSEN                   JESSICA      L           "</f>
        <v xml:space="preserve">JENSEN                   JESSICA      L           </v>
      </c>
      <c r="E1029" t="str">
        <f>"MOBILE                    "</f>
        <v xml:space="preserve">MOBILE                    </v>
      </c>
      <c r="F1029" t="str">
        <f t="shared" si="37"/>
        <v>AL</v>
      </c>
    </row>
    <row r="1030" spans="1:6" x14ac:dyDescent="0.25">
      <c r="A1030" t="str">
        <f>"200009010"</f>
        <v>200009010</v>
      </c>
      <c r="B1030" t="str">
        <f>"1447290630"</f>
        <v>1447290630</v>
      </c>
      <c r="C1030" t="str">
        <f>"207RI0200X"</f>
        <v>207RI0200X</v>
      </c>
      <c r="D1030" t="str">
        <f>"VANDE WAA                JOHN         A           "</f>
        <v xml:space="preserve">VANDE WAA                JOHN         A           </v>
      </c>
      <c r="E1030" t="str">
        <f>"MOBILE                    "</f>
        <v xml:space="preserve">MOBILE                    </v>
      </c>
      <c r="F1030" t="str">
        <f t="shared" si="37"/>
        <v>AL</v>
      </c>
    </row>
    <row r="1031" spans="1:6" x14ac:dyDescent="0.25">
      <c r="A1031" t="str">
        <f>"200009016"</f>
        <v>200009016</v>
      </c>
      <c r="B1031" t="str">
        <f>"1225503386"</f>
        <v>1225503386</v>
      </c>
      <c r="C1031" t="str">
        <f>"363L00000X"</f>
        <v>363L00000X</v>
      </c>
      <c r="D1031" t="str">
        <f>"MASTERS                  JENNIFER                 "</f>
        <v xml:space="preserve">MASTERS                  JENNIFER                 </v>
      </c>
      <c r="E1031" t="str">
        <f>"BIRMINGHAM                "</f>
        <v xml:space="preserve">BIRMINGHAM                </v>
      </c>
      <c r="F1031" t="str">
        <f t="shared" ref="F1031:F1094" si="39">"AL"</f>
        <v>AL</v>
      </c>
    </row>
    <row r="1032" spans="1:6" x14ac:dyDescent="0.25">
      <c r="A1032" t="str">
        <f>"200009037"</f>
        <v>200009037</v>
      </c>
      <c r="B1032" t="str">
        <f>"1568752996"</f>
        <v>1568752996</v>
      </c>
      <c r="C1032" t="str">
        <f>"207R00000X"</f>
        <v>207R00000X</v>
      </c>
      <c r="D1032" t="str">
        <f>"HATCHETT                 JEREMY                   "</f>
        <v xml:space="preserve">HATCHETT                 JEREMY                   </v>
      </c>
      <c r="E1032" t="str">
        <f>"BIRMINGHAM                "</f>
        <v xml:space="preserve">BIRMINGHAM                </v>
      </c>
      <c r="F1032" t="str">
        <f t="shared" si="39"/>
        <v>AL</v>
      </c>
    </row>
    <row r="1033" spans="1:6" x14ac:dyDescent="0.25">
      <c r="A1033" t="str">
        <f>"200009078"</f>
        <v>200009078</v>
      </c>
      <c r="B1033" t="str">
        <f>"1073661500"</f>
        <v>1073661500</v>
      </c>
      <c r="C1033" t="str">
        <f>"208G00000X"</f>
        <v>208G00000X</v>
      </c>
      <c r="D1033" t="str">
        <f>"KYRIAZIS                 DIMITRIS     K           "</f>
        <v xml:space="preserve">KYRIAZIS                 DIMITRIS     K           </v>
      </c>
      <c r="E1033" t="str">
        <f>"MOBILE                    "</f>
        <v xml:space="preserve">MOBILE                    </v>
      </c>
      <c r="F1033" t="str">
        <f t="shared" si="39"/>
        <v>AL</v>
      </c>
    </row>
    <row r="1034" spans="1:6" x14ac:dyDescent="0.25">
      <c r="A1034" t="str">
        <f>"200009142"</f>
        <v>200009142</v>
      </c>
      <c r="B1034" t="str">
        <f>"1790384196"</f>
        <v>1790384196</v>
      </c>
      <c r="C1034" t="str">
        <f>"363L00000X"</f>
        <v>363L00000X</v>
      </c>
      <c r="D1034" t="str">
        <f>"GATES                    JILL                     "</f>
        <v xml:space="preserve">GATES                    JILL                     </v>
      </c>
      <c r="E1034" t="str">
        <f>"MOBILE                    "</f>
        <v xml:space="preserve">MOBILE                    </v>
      </c>
      <c r="F1034" t="str">
        <f t="shared" si="39"/>
        <v>AL</v>
      </c>
    </row>
    <row r="1035" spans="1:6" x14ac:dyDescent="0.25">
      <c r="A1035" t="str">
        <f>"200009175"</f>
        <v>200009175</v>
      </c>
      <c r="B1035" t="str">
        <f>"1366881385"</f>
        <v>1366881385</v>
      </c>
      <c r="C1035" t="str">
        <f>"2086S0129X"</f>
        <v>2086S0129X</v>
      </c>
      <c r="D1035" t="str">
        <f>"ROWSE                    JARRAD                   "</f>
        <v xml:space="preserve">ROWSE                    JARRAD                   </v>
      </c>
      <c r="E1035" t="str">
        <f>"BIRMINGHAM                "</f>
        <v xml:space="preserve">BIRMINGHAM                </v>
      </c>
      <c r="F1035" t="str">
        <f t="shared" si="39"/>
        <v>AL</v>
      </c>
    </row>
    <row r="1036" spans="1:6" x14ac:dyDescent="0.25">
      <c r="A1036" t="str">
        <f>"200009176"</f>
        <v>200009176</v>
      </c>
      <c r="B1036" t="str">
        <f>"1710916010"</f>
        <v>1710916010</v>
      </c>
      <c r="C1036" t="str">
        <f>"207ZP0101X"</f>
        <v>207ZP0101X</v>
      </c>
      <c r="D1036" t="str">
        <f>"LITOVSKY                 SILVIO                   "</f>
        <v xml:space="preserve">LITOVSKY                 SILVIO                   </v>
      </c>
      <c r="E1036" t="str">
        <f>"BIRMINGHAM                "</f>
        <v xml:space="preserve">BIRMINGHAM                </v>
      </c>
      <c r="F1036" t="str">
        <f t="shared" si="39"/>
        <v>AL</v>
      </c>
    </row>
    <row r="1037" spans="1:6" x14ac:dyDescent="0.25">
      <c r="A1037" t="str">
        <f>"200009194"</f>
        <v>200009194</v>
      </c>
      <c r="B1037" t="str">
        <f>"1942664370"</f>
        <v>1942664370</v>
      </c>
      <c r="C1037" t="str">
        <f>"207R00000X"</f>
        <v>207R00000X</v>
      </c>
      <c r="D1037" t="str">
        <f>"PETROSSIAN               ROBERT                   "</f>
        <v xml:space="preserve">PETROSSIAN               ROBERT                   </v>
      </c>
      <c r="E1037" t="str">
        <f>"MOBILE                    "</f>
        <v xml:space="preserve">MOBILE                    </v>
      </c>
      <c r="F1037" t="str">
        <f t="shared" si="39"/>
        <v>AL</v>
      </c>
    </row>
    <row r="1038" spans="1:6" x14ac:dyDescent="0.25">
      <c r="A1038" t="str">
        <f>"200009228"</f>
        <v>200009228</v>
      </c>
      <c r="B1038" t="str">
        <f>"1821469081"</f>
        <v>1821469081</v>
      </c>
      <c r="C1038" t="str">
        <f>"363L00000X"</f>
        <v>363L00000X</v>
      </c>
      <c r="D1038" t="str">
        <f>"BECHT                    KENNETH                  "</f>
        <v xml:space="preserve">BECHT                    KENNETH                  </v>
      </c>
      <c r="E1038" t="str">
        <f>"BIRMINGHAM                "</f>
        <v xml:space="preserve">BIRMINGHAM                </v>
      </c>
      <c r="F1038" t="str">
        <f t="shared" si="39"/>
        <v>AL</v>
      </c>
    </row>
    <row r="1039" spans="1:6" x14ac:dyDescent="0.25">
      <c r="A1039" t="str">
        <f>"200009245"</f>
        <v>200009245</v>
      </c>
      <c r="B1039" t="str">
        <f>"1316623861"</f>
        <v>1316623861</v>
      </c>
      <c r="C1039" t="str">
        <f>"363A00000X"</f>
        <v>363A00000X</v>
      </c>
      <c r="D1039" t="str">
        <f>"GUIDRY                   CAROLINE     R           "</f>
        <v xml:space="preserve">GUIDRY                   CAROLINE     R           </v>
      </c>
      <c r="E1039" t="str">
        <f>"BIRMINGHAM                "</f>
        <v xml:space="preserve">BIRMINGHAM                </v>
      </c>
      <c r="F1039" t="str">
        <f t="shared" si="39"/>
        <v>AL</v>
      </c>
    </row>
    <row r="1040" spans="1:6" x14ac:dyDescent="0.25">
      <c r="A1040" t="str">
        <f>"200009251"</f>
        <v>200009251</v>
      </c>
      <c r="B1040" t="str">
        <f>"1649031360"</f>
        <v>1649031360</v>
      </c>
      <c r="C1040" t="str">
        <f>"363A00000X"</f>
        <v>363A00000X</v>
      </c>
      <c r="D1040" t="str">
        <f>"BROGDEN                  ELIZABETH    S           "</f>
        <v xml:space="preserve">BROGDEN                  ELIZABETH    S           </v>
      </c>
      <c r="E1040" t="str">
        <f>"BIRMINGHAM                "</f>
        <v xml:space="preserve">BIRMINGHAM                </v>
      </c>
      <c r="F1040" t="str">
        <f t="shared" si="39"/>
        <v>AL</v>
      </c>
    </row>
    <row r="1041" spans="1:6" x14ac:dyDescent="0.25">
      <c r="A1041" t="str">
        <f>"200009260"</f>
        <v>200009260</v>
      </c>
      <c r="B1041" t="str">
        <f>"1053842344"</f>
        <v>1053842344</v>
      </c>
      <c r="C1041" t="str">
        <f>"2085R0204X"</f>
        <v>2085R0204X</v>
      </c>
      <c r="D1041" t="str">
        <f>"BROWN                    STEPHEN                  "</f>
        <v xml:space="preserve">BROWN                    STEPHEN                  </v>
      </c>
      <c r="E1041" t="str">
        <f>"BIRMINGHAM                "</f>
        <v xml:space="preserve">BIRMINGHAM                </v>
      </c>
      <c r="F1041" t="str">
        <f t="shared" si="39"/>
        <v>AL</v>
      </c>
    </row>
    <row r="1042" spans="1:6" x14ac:dyDescent="0.25">
      <c r="A1042" t="str">
        <f>"200009271"</f>
        <v>200009271</v>
      </c>
      <c r="B1042" t="str">
        <f>"1063560563"</f>
        <v>1063560563</v>
      </c>
      <c r="C1042" t="str">
        <f>"208G00000X"</f>
        <v>208G00000X</v>
      </c>
      <c r="D1042" t="str">
        <f>"DAMRICH                  MICHAEL      E           "</f>
        <v xml:space="preserve">DAMRICH                  MICHAEL      E           </v>
      </c>
      <c r="E1042" t="str">
        <f>"MOBILE                    "</f>
        <v xml:space="preserve">MOBILE                    </v>
      </c>
      <c r="F1042" t="str">
        <f t="shared" si="39"/>
        <v>AL</v>
      </c>
    </row>
    <row r="1043" spans="1:6" x14ac:dyDescent="0.25">
      <c r="A1043" t="str">
        <f>"200009279"</f>
        <v>200009279</v>
      </c>
      <c r="B1043" t="str">
        <f>"1265083158"</f>
        <v>1265083158</v>
      </c>
      <c r="C1043" t="str">
        <f>"363L00000X"</f>
        <v>363L00000X</v>
      </c>
      <c r="D1043" t="str">
        <f>"BROWN                    RHETT                    "</f>
        <v xml:space="preserve">BROWN                    RHETT                    </v>
      </c>
      <c r="E1043" t="str">
        <f>"MOBILE                    "</f>
        <v xml:space="preserve">MOBILE                    </v>
      </c>
      <c r="F1043" t="str">
        <f t="shared" si="39"/>
        <v>AL</v>
      </c>
    </row>
    <row r="1044" spans="1:6" x14ac:dyDescent="0.25">
      <c r="A1044" t="str">
        <f>"200009281"</f>
        <v>200009281</v>
      </c>
      <c r="B1044" t="str">
        <f>"1588018923"</f>
        <v>1588018923</v>
      </c>
      <c r="C1044" t="str">
        <f>"2084N0400X"</f>
        <v>2084N0400X</v>
      </c>
      <c r="D1044" t="str">
        <f>"SANDEFER                 KRISTEN                  "</f>
        <v xml:space="preserve">SANDEFER                 KRISTEN                  </v>
      </c>
      <c r="E1044" t="str">
        <f>"BIRMINGHAM                "</f>
        <v xml:space="preserve">BIRMINGHAM                </v>
      </c>
      <c r="F1044" t="str">
        <f t="shared" si="39"/>
        <v>AL</v>
      </c>
    </row>
    <row r="1045" spans="1:6" x14ac:dyDescent="0.25">
      <c r="A1045" t="str">
        <f>"200009292"</f>
        <v>200009292</v>
      </c>
      <c r="B1045" t="str">
        <f>"1487603437"</f>
        <v>1487603437</v>
      </c>
      <c r="C1045" t="str">
        <f>"207R00000X"</f>
        <v>207R00000X</v>
      </c>
      <c r="D1045" t="str">
        <f>"BLAIR-ELORTEGUI          JUDY         V           "</f>
        <v xml:space="preserve">BLAIR-ELORTEGUI          JUDY         V           </v>
      </c>
      <c r="E1045" t="str">
        <f>"MOBILE                    "</f>
        <v xml:space="preserve">MOBILE                    </v>
      </c>
      <c r="F1045" t="str">
        <f t="shared" si="39"/>
        <v>AL</v>
      </c>
    </row>
    <row r="1046" spans="1:6" x14ac:dyDescent="0.25">
      <c r="A1046" t="str">
        <f>"200009295"</f>
        <v>200009295</v>
      </c>
      <c r="B1046" t="str">
        <f>"1386029262"</f>
        <v>1386029262</v>
      </c>
      <c r="C1046" t="str">
        <f>"207R00000X"</f>
        <v>207R00000X</v>
      </c>
      <c r="D1046" t="str">
        <f>"SEN                      MITALI                   "</f>
        <v xml:space="preserve">SEN                      MITALI                   </v>
      </c>
      <c r="E1046" t="str">
        <f>"BIRMINGHAM                "</f>
        <v xml:space="preserve">BIRMINGHAM                </v>
      </c>
      <c r="F1046" t="str">
        <f t="shared" si="39"/>
        <v>AL</v>
      </c>
    </row>
    <row r="1047" spans="1:6" x14ac:dyDescent="0.25">
      <c r="A1047" t="str">
        <f>"200009332"</f>
        <v>200009332</v>
      </c>
      <c r="B1047" t="str">
        <f>"1093219933"</f>
        <v>1093219933</v>
      </c>
      <c r="C1047" t="str">
        <f>"2084N0400X"</f>
        <v>2084N0400X</v>
      </c>
      <c r="D1047" t="str">
        <f>"TAMULA                   GEORGE                   "</f>
        <v xml:space="preserve">TAMULA                   GEORGE                   </v>
      </c>
      <c r="E1047" t="str">
        <f>"BIRMINGHAM                "</f>
        <v xml:space="preserve">BIRMINGHAM                </v>
      </c>
      <c r="F1047" t="str">
        <f t="shared" si="39"/>
        <v>AL</v>
      </c>
    </row>
    <row r="1048" spans="1:6" x14ac:dyDescent="0.25">
      <c r="A1048" t="str">
        <f>"200009379"</f>
        <v>200009379</v>
      </c>
      <c r="B1048" t="str">
        <f>"1831747203"</f>
        <v>1831747203</v>
      </c>
      <c r="C1048" t="str">
        <f>"363A00000X"</f>
        <v>363A00000X</v>
      </c>
      <c r="D1048" t="str">
        <f>"BELL                     KELSEY       L           "</f>
        <v xml:space="preserve">BELL                     KELSEY       L           </v>
      </c>
      <c r="E1048" t="str">
        <f>"MOBILE                    "</f>
        <v xml:space="preserve">MOBILE                    </v>
      </c>
      <c r="F1048" t="str">
        <f t="shared" si="39"/>
        <v>AL</v>
      </c>
    </row>
    <row r="1049" spans="1:6" x14ac:dyDescent="0.25">
      <c r="A1049" t="str">
        <f>"200009385"</f>
        <v>200009385</v>
      </c>
      <c r="B1049" t="str">
        <f>"1083046007"</f>
        <v>1083046007</v>
      </c>
      <c r="C1049" t="str">
        <f>"207RH0003X"</f>
        <v>207RH0003X</v>
      </c>
      <c r="D1049" t="str">
        <f>"JAHAN                    NUSRAT                   "</f>
        <v xml:space="preserve">JAHAN                    NUSRAT                   </v>
      </c>
      <c r="E1049" t="str">
        <f>"BIRMINGHAM                "</f>
        <v xml:space="preserve">BIRMINGHAM                </v>
      </c>
      <c r="F1049" t="str">
        <f t="shared" si="39"/>
        <v>AL</v>
      </c>
    </row>
    <row r="1050" spans="1:6" x14ac:dyDescent="0.25">
      <c r="A1050" t="str">
        <f>"200009393"</f>
        <v>200009393</v>
      </c>
      <c r="B1050" t="str">
        <f>"1124589767"</f>
        <v>1124589767</v>
      </c>
      <c r="C1050" t="str">
        <f>"363L00000X"</f>
        <v>363L00000X</v>
      </c>
      <c r="D1050" t="str">
        <f>"SCOTT                    DONNA                    "</f>
        <v xml:space="preserve">SCOTT                    DONNA                    </v>
      </c>
      <c r="E1050" t="str">
        <f>"BIRMINGHAM                "</f>
        <v xml:space="preserve">BIRMINGHAM                </v>
      </c>
      <c r="F1050" t="str">
        <f t="shared" si="39"/>
        <v>AL</v>
      </c>
    </row>
    <row r="1051" spans="1:6" x14ac:dyDescent="0.25">
      <c r="A1051" t="str">
        <f>"200009404"</f>
        <v>200009404</v>
      </c>
      <c r="B1051" t="str">
        <f>"1639707979"</f>
        <v>1639707979</v>
      </c>
      <c r="C1051" t="str">
        <f>"207P00000X"</f>
        <v>207P00000X</v>
      </c>
      <c r="D1051" t="str">
        <f>"HALL                     KAITLYN      L           "</f>
        <v xml:space="preserve">HALL                     KAITLYN      L           </v>
      </c>
      <c r="E1051" t="str">
        <f>"MOBILE                    "</f>
        <v xml:space="preserve">MOBILE                    </v>
      </c>
      <c r="F1051" t="str">
        <f t="shared" si="39"/>
        <v>AL</v>
      </c>
    </row>
    <row r="1052" spans="1:6" x14ac:dyDescent="0.25">
      <c r="A1052" t="str">
        <f>"200009432"</f>
        <v>200009432</v>
      </c>
      <c r="B1052" t="str">
        <f>"1336176585"</f>
        <v>1336176585</v>
      </c>
      <c r="C1052" t="str">
        <f>"207T00000X"</f>
        <v>207T00000X</v>
      </c>
      <c r="D1052" t="str">
        <f>"HARRIGAN                 MARK                     "</f>
        <v xml:space="preserve">HARRIGAN                 MARK                     </v>
      </c>
      <c r="E1052" t="str">
        <f>"BIRMINGHAM                "</f>
        <v xml:space="preserve">BIRMINGHAM                </v>
      </c>
      <c r="F1052" t="str">
        <f t="shared" si="39"/>
        <v>AL</v>
      </c>
    </row>
    <row r="1053" spans="1:6" x14ac:dyDescent="0.25">
      <c r="A1053" t="str">
        <f>"200009434"</f>
        <v>200009434</v>
      </c>
      <c r="B1053" t="str">
        <f>"1518461128"</f>
        <v>1518461128</v>
      </c>
      <c r="C1053" t="str">
        <f>"207L00000X"</f>
        <v>207L00000X</v>
      </c>
      <c r="D1053" t="str">
        <f>"GANS                     ASAF                     "</f>
        <v xml:space="preserve">GANS                     ASAF                     </v>
      </c>
      <c r="E1053" t="str">
        <f>"BIRMINGHAM                "</f>
        <v xml:space="preserve">BIRMINGHAM                </v>
      </c>
      <c r="F1053" t="str">
        <f t="shared" si="39"/>
        <v>AL</v>
      </c>
    </row>
    <row r="1054" spans="1:6" x14ac:dyDescent="0.25">
      <c r="A1054" t="str">
        <f>"200009460"</f>
        <v>200009460</v>
      </c>
      <c r="B1054" t="str">
        <f>"1578184438"</f>
        <v>1578184438</v>
      </c>
      <c r="C1054" t="str">
        <f>"363L00000X"</f>
        <v>363L00000X</v>
      </c>
      <c r="D1054" t="str">
        <f>"MCKINLEY                 MARTHA                   "</f>
        <v xml:space="preserve">MCKINLEY                 MARTHA                   </v>
      </c>
      <c r="E1054" t="str">
        <f>"MOBILE                    "</f>
        <v xml:space="preserve">MOBILE                    </v>
      </c>
      <c r="F1054" t="str">
        <f t="shared" si="39"/>
        <v>AL</v>
      </c>
    </row>
    <row r="1055" spans="1:6" x14ac:dyDescent="0.25">
      <c r="A1055" t="str">
        <f>"200009464"</f>
        <v>200009464</v>
      </c>
      <c r="B1055" t="str">
        <f>"1275503690"</f>
        <v>1275503690</v>
      </c>
      <c r="C1055" t="str">
        <f>"207RE0101X"</f>
        <v>207RE0101X</v>
      </c>
      <c r="D1055" t="str">
        <f>"GALITZ                   MICHAEL                  "</f>
        <v xml:space="preserve">GALITZ                   MICHAEL                  </v>
      </c>
      <c r="E1055" t="str">
        <f>"MOBILE                    "</f>
        <v xml:space="preserve">MOBILE                    </v>
      </c>
      <c r="F1055" t="str">
        <f t="shared" si="39"/>
        <v>AL</v>
      </c>
    </row>
    <row r="1056" spans="1:6" x14ac:dyDescent="0.25">
      <c r="A1056" t="str">
        <f>"200009495"</f>
        <v>200009495</v>
      </c>
      <c r="B1056" t="str">
        <f>"1336676717"</f>
        <v>1336676717</v>
      </c>
      <c r="C1056" t="str">
        <f>"207R00000X"</f>
        <v>207R00000X</v>
      </c>
      <c r="D1056" t="str">
        <f>"HOLTON                   GINGER                   "</f>
        <v xml:space="preserve">HOLTON                   GINGER                   </v>
      </c>
      <c r="E1056" t="str">
        <f t="shared" ref="E1056:E1061" si="40">"BIRMINGHAM                "</f>
        <v xml:space="preserve">BIRMINGHAM                </v>
      </c>
      <c r="F1056" t="str">
        <f t="shared" si="39"/>
        <v>AL</v>
      </c>
    </row>
    <row r="1057" spans="1:6" x14ac:dyDescent="0.25">
      <c r="A1057" t="str">
        <f>"200009502"</f>
        <v>200009502</v>
      </c>
      <c r="B1057" t="str">
        <f>"1689011421"</f>
        <v>1689011421</v>
      </c>
      <c r="C1057" t="str">
        <f>"207T00000X"</f>
        <v>207T00000X</v>
      </c>
      <c r="D1057" t="str">
        <f>"HOLLAND                  MARSHALL                 "</f>
        <v xml:space="preserve">HOLLAND                  MARSHALL                 </v>
      </c>
      <c r="E1057" t="str">
        <f t="shared" si="40"/>
        <v xml:space="preserve">BIRMINGHAM                </v>
      </c>
      <c r="F1057" t="str">
        <f t="shared" si="39"/>
        <v>AL</v>
      </c>
    </row>
    <row r="1058" spans="1:6" x14ac:dyDescent="0.25">
      <c r="A1058" t="str">
        <f>"200009522"</f>
        <v>200009522</v>
      </c>
      <c r="B1058" t="str">
        <f>"1639112329"</f>
        <v>1639112329</v>
      </c>
      <c r="C1058" t="str">
        <f>"207X00000X"</f>
        <v>207X00000X</v>
      </c>
      <c r="D1058" t="str">
        <f>"CONKLIN                  MICHAEL                  "</f>
        <v xml:space="preserve">CONKLIN                  MICHAEL                  </v>
      </c>
      <c r="E1058" t="str">
        <f t="shared" si="40"/>
        <v xml:space="preserve">BIRMINGHAM                </v>
      </c>
      <c r="F1058" t="str">
        <f t="shared" si="39"/>
        <v>AL</v>
      </c>
    </row>
    <row r="1059" spans="1:6" x14ac:dyDescent="0.25">
      <c r="A1059" t="str">
        <f>"200009533"</f>
        <v>200009533</v>
      </c>
      <c r="B1059" t="str">
        <f>"1598784845"</f>
        <v>1598784845</v>
      </c>
      <c r="C1059" t="str">
        <f>"208800000X"</f>
        <v>208800000X</v>
      </c>
      <c r="D1059" t="str">
        <f>"JOSEPH                   DAVID                    "</f>
        <v xml:space="preserve">JOSEPH                   DAVID                    </v>
      </c>
      <c r="E1059" t="str">
        <f t="shared" si="40"/>
        <v xml:space="preserve">BIRMINGHAM                </v>
      </c>
      <c r="F1059" t="str">
        <f t="shared" si="39"/>
        <v>AL</v>
      </c>
    </row>
    <row r="1060" spans="1:6" x14ac:dyDescent="0.25">
      <c r="A1060" t="str">
        <f>"200009534"</f>
        <v>200009534</v>
      </c>
      <c r="B1060" t="str">
        <f>"1639457732"</f>
        <v>1639457732</v>
      </c>
      <c r="C1060" t="str">
        <f>"207R00000X"</f>
        <v>207R00000X</v>
      </c>
      <c r="D1060" t="str">
        <f>"CHALICHEEMALA            YASOLATHA                "</f>
        <v xml:space="preserve">CHALICHEEMALA            YASOLATHA                </v>
      </c>
      <c r="E1060" t="str">
        <f t="shared" si="40"/>
        <v xml:space="preserve">BIRMINGHAM                </v>
      </c>
      <c r="F1060" t="str">
        <f t="shared" si="39"/>
        <v>AL</v>
      </c>
    </row>
    <row r="1061" spans="1:6" x14ac:dyDescent="0.25">
      <c r="A1061" t="str">
        <f>"200009541"</f>
        <v>200009541</v>
      </c>
      <c r="B1061" t="str">
        <f>"1922483700"</f>
        <v>1922483700</v>
      </c>
      <c r="C1061" t="str">
        <f>"207ZP0102X"</f>
        <v>207ZP0102X</v>
      </c>
      <c r="D1061" t="str">
        <f>"GUO                      HUA                      "</f>
        <v xml:space="preserve">GUO                      HUA                      </v>
      </c>
      <c r="E1061" t="str">
        <f t="shared" si="40"/>
        <v xml:space="preserve">BIRMINGHAM                </v>
      </c>
      <c r="F1061" t="str">
        <f t="shared" si="39"/>
        <v>AL</v>
      </c>
    </row>
    <row r="1062" spans="1:6" x14ac:dyDescent="0.25">
      <c r="A1062" t="str">
        <f>"200009590"</f>
        <v>200009590</v>
      </c>
      <c r="B1062" t="str">
        <f>"1700307949"</f>
        <v>1700307949</v>
      </c>
      <c r="C1062" t="str">
        <f>"207R00000X"</f>
        <v>207R00000X</v>
      </c>
      <c r="D1062" t="str">
        <f>"CLUKIES                  MATTHEW                  "</f>
        <v xml:space="preserve">CLUKIES                  MATTHEW                  </v>
      </c>
      <c r="E1062" t="str">
        <f>"MOBILE                    "</f>
        <v xml:space="preserve">MOBILE                    </v>
      </c>
      <c r="F1062" t="str">
        <f t="shared" si="39"/>
        <v>AL</v>
      </c>
    </row>
    <row r="1063" spans="1:6" x14ac:dyDescent="0.25">
      <c r="A1063" t="str">
        <f>"200009630"</f>
        <v>200009630</v>
      </c>
      <c r="B1063" t="str">
        <f>"1306983143"</f>
        <v>1306983143</v>
      </c>
      <c r="C1063" t="str">
        <f>"2084P0800X"</f>
        <v>2084P0800X</v>
      </c>
      <c r="D1063" t="str">
        <f>"SADLER                   BRADLEY                  "</f>
        <v xml:space="preserve">SADLER                   BRADLEY                  </v>
      </c>
      <c r="E1063" t="str">
        <f>"MOBILE                    "</f>
        <v xml:space="preserve">MOBILE                    </v>
      </c>
      <c r="F1063" t="str">
        <f t="shared" si="39"/>
        <v>AL</v>
      </c>
    </row>
    <row r="1064" spans="1:6" x14ac:dyDescent="0.25">
      <c r="A1064" t="str">
        <f>"200009652"</f>
        <v>200009652</v>
      </c>
      <c r="B1064" t="str">
        <f>"1235655721"</f>
        <v>1235655721</v>
      </c>
      <c r="C1064" t="str">
        <f>"363L00000X"</f>
        <v>363L00000X</v>
      </c>
      <c r="D1064" t="str">
        <f>"BREWER                   CASSANDRA    N           "</f>
        <v xml:space="preserve">BREWER                   CASSANDRA    N           </v>
      </c>
      <c r="E1064" t="str">
        <f>"MOBILE                    "</f>
        <v xml:space="preserve">MOBILE                    </v>
      </c>
      <c r="F1064" t="str">
        <f t="shared" si="39"/>
        <v>AL</v>
      </c>
    </row>
    <row r="1065" spans="1:6" x14ac:dyDescent="0.25">
      <c r="A1065" t="str">
        <f>"200009674"</f>
        <v>200009674</v>
      </c>
      <c r="B1065" t="str">
        <f>"1942830278"</f>
        <v>1942830278</v>
      </c>
      <c r="C1065" t="str">
        <f>"363L00000X"</f>
        <v>363L00000X</v>
      </c>
      <c r="D1065" t="str">
        <f>"DOWNING                  RACHEL                   "</f>
        <v xml:space="preserve">DOWNING                  RACHEL                   </v>
      </c>
      <c r="E1065" t="str">
        <f>"BIRMINGHAM                "</f>
        <v xml:space="preserve">BIRMINGHAM                </v>
      </c>
      <c r="F1065" t="str">
        <f t="shared" si="39"/>
        <v>AL</v>
      </c>
    </row>
    <row r="1066" spans="1:6" x14ac:dyDescent="0.25">
      <c r="A1066" t="str">
        <f>"200009784"</f>
        <v>200009784</v>
      </c>
      <c r="B1066" t="str">
        <f>"1033607858"</f>
        <v>1033607858</v>
      </c>
      <c r="C1066" t="str">
        <f>"207RH0003X"</f>
        <v>207RH0003X</v>
      </c>
      <c r="D1066" t="str">
        <f>"MAZLOOM                  ANITA                    "</f>
        <v xml:space="preserve">MAZLOOM                  ANITA                    </v>
      </c>
      <c r="E1066" t="str">
        <f>"MOBILE                    "</f>
        <v xml:space="preserve">MOBILE                    </v>
      </c>
      <c r="F1066" t="str">
        <f t="shared" si="39"/>
        <v>AL</v>
      </c>
    </row>
    <row r="1067" spans="1:6" x14ac:dyDescent="0.25">
      <c r="A1067" t="str">
        <f>"200009801"</f>
        <v>200009801</v>
      </c>
      <c r="B1067" t="str">
        <f>"1104878883"</f>
        <v>1104878883</v>
      </c>
      <c r="C1067" t="str">
        <f>"2085R0202X"</f>
        <v>2085R0202X</v>
      </c>
      <c r="D1067" t="str">
        <f>"WATTS                    JUBAL                    "</f>
        <v xml:space="preserve">WATTS                    JUBAL                    </v>
      </c>
      <c r="E1067" t="str">
        <f>"BIRMINGHAM                "</f>
        <v xml:space="preserve">BIRMINGHAM                </v>
      </c>
      <c r="F1067" t="str">
        <f t="shared" si="39"/>
        <v>AL</v>
      </c>
    </row>
    <row r="1068" spans="1:6" x14ac:dyDescent="0.25">
      <c r="A1068" t="str">
        <f>"200009815"</f>
        <v>200009815</v>
      </c>
      <c r="B1068" t="str">
        <f>"1730573627"</f>
        <v>1730573627</v>
      </c>
      <c r="C1068" t="str">
        <f>"207R00000X"</f>
        <v>207R00000X</v>
      </c>
      <c r="D1068" t="str">
        <f>"YARBROUGH                THERESA                  "</f>
        <v xml:space="preserve">YARBROUGH                THERESA                  </v>
      </c>
      <c r="E1068" t="str">
        <f>"MOBILE                    "</f>
        <v xml:space="preserve">MOBILE                    </v>
      </c>
      <c r="F1068" t="str">
        <f t="shared" si="39"/>
        <v>AL</v>
      </c>
    </row>
    <row r="1069" spans="1:6" x14ac:dyDescent="0.25">
      <c r="A1069" t="str">
        <f>"200009891"</f>
        <v>200009891</v>
      </c>
      <c r="B1069" t="str">
        <f>"1154064251"</f>
        <v>1154064251</v>
      </c>
      <c r="C1069" t="str">
        <f>"363L00000X"</f>
        <v>363L00000X</v>
      </c>
      <c r="D1069" t="str">
        <f>"TRAMMELL                 MARY         F           "</f>
        <v xml:space="preserve">TRAMMELL                 MARY         F           </v>
      </c>
      <c r="E1069" t="str">
        <f>"BIRMINGHAM                "</f>
        <v xml:space="preserve">BIRMINGHAM                </v>
      </c>
      <c r="F1069" t="str">
        <f t="shared" si="39"/>
        <v>AL</v>
      </c>
    </row>
    <row r="1070" spans="1:6" x14ac:dyDescent="0.25">
      <c r="A1070" t="str">
        <f>"200009898"</f>
        <v>200009898</v>
      </c>
      <c r="B1070" t="str">
        <f>"1215617352"</f>
        <v>1215617352</v>
      </c>
      <c r="C1070" t="str">
        <f>"208000000X"</f>
        <v>208000000X</v>
      </c>
      <c r="D1070" t="str">
        <f>"VERA SANCHEZ             MARIA                    "</f>
        <v xml:space="preserve">VERA SANCHEZ             MARIA                    </v>
      </c>
      <c r="E1070" t="str">
        <f>"MOBILE                    "</f>
        <v xml:space="preserve">MOBILE                    </v>
      </c>
      <c r="F1070" t="str">
        <f t="shared" si="39"/>
        <v>AL</v>
      </c>
    </row>
    <row r="1071" spans="1:6" x14ac:dyDescent="0.25">
      <c r="A1071" t="str">
        <f>"200009907"</f>
        <v>200009907</v>
      </c>
      <c r="B1071" t="str">
        <f>"1952005209"</f>
        <v>1952005209</v>
      </c>
      <c r="C1071" t="str">
        <f>"208000000X"</f>
        <v>208000000X</v>
      </c>
      <c r="D1071" t="str">
        <f>"MORALES UBICO            ERIKA                    "</f>
        <v xml:space="preserve">MORALES UBICO            ERIKA                    </v>
      </c>
      <c r="E1071" t="str">
        <f>"MOBILE                    "</f>
        <v xml:space="preserve">MOBILE                    </v>
      </c>
      <c r="F1071" t="str">
        <f t="shared" si="39"/>
        <v>AL</v>
      </c>
    </row>
    <row r="1072" spans="1:6" x14ac:dyDescent="0.25">
      <c r="A1072" t="str">
        <f>"200009935"</f>
        <v>200009935</v>
      </c>
      <c r="B1072" t="str">
        <f>"1992301691"</f>
        <v>1992301691</v>
      </c>
      <c r="C1072" t="str">
        <f>"363A00000X"</f>
        <v>363A00000X</v>
      </c>
      <c r="D1072" t="str">
        <f>"NALL                     MOLLY        A           "</f>
        <v xml:space="preserve">NALL                     MOLLY        A           </v>
      </c>
      <c r="E1072" t="str">
        <f>"MOBILE                    "</f>
        <v xml:space="preserve">MOBILE                    </v>
      </c>
      <c r="F1072" t="str">
        <f t="shared" si="39"/>
        <v>AL</v>
      </c>
    </row>
    <row r="1073" spans="1:6" x14ac:dyDescent="0.25">
      <c r="A1073" t="str">
        <f>"200009947"</f>
        <v>200009947</v>
      </c>
      <c r="B1073" t="str">
        <f>"1689442899"</f>
        <v>1689442899</v>
      </c>
      <c r="C1073" t="str">
        <f>"363L00000X"</f>
        <v>363L00000X</v>
      </c>
      <c r="D1073" t="str">
        <f>"TINNELL                  WINDHAM                  "</f>
        <v xml:space="preserve">TINNELL                  WINDHAM                  </v>
      </c>
      <c r="E1073" t="str">
        <f>"MOBILE                    "</f>
        <v xml:space="preserve">MOBILE                    </v>
      </c>
      <c r="F1073" t="str">
        <f t="shared" si="39"/>
        <v>AL</v>
      </c>
    </row>
    <row r="1074" spans="1:6" x14ac:dyDescent="0.25">
      <c r="A1074" t="str">
        <f>"200009950"</f>
        <v>200009950</v>
      </c>
      <c r="B1074" t="str">
        <f>"1063709624"</f>
        <v>1063709624</v>
      </c>
      <c r="C1074" t="str">
        <f>"208G00000X"</f>
        <v>208G00000X</v>
      </c>
      <c r="D1074" t="str">
        <f>"EUDAILEY                 KYLE                     "</f>
        <v xml:space="preserve">EUDAILEY                 KYLE                     </v>
      </c>
      <c r="E1074" t="str">
        <f>"BIRMINGHAM                "</f>
        <v xml:space="preserve">BIRMINGHAM                </v>
      </c>
      <c r="F1074" t="str">
        <f t="shared" si="39"/>
        <v>AL</v>
      </c>
    </row>
    <row r="1075" spans="1:6" x14ac:dyDescent="0.25">
      <c r="A1075" t="str">
        <f>"200009963"</f>
        <v>200009963</v>
      </c>
      <c r="B1075" t="str">
        <f>"1568045060"</f>
        <v>1568045060</v>
      </c>
      <c r="C1075" t="str">
        <f>"363L00000X"</f>
        <v>363L00000X</v>
      </c>
      <c r="D1075" t="str">
        <f>"FRANKLIN                 TIFFANY                  "</f>
        <v xml:space="preserve">FRANKLIN                 TIFFANY                  </v>
      </c>
      <c r="E1075" t="str">
        <f>"MOBILE                    "</f>
        <v xml:space="preserve">MOBILE                    </v>
      </c>
      <c r="F1075" t="str">
        <f t="shared" si="39"/>
        <v>AL</v>
      </c>
    </row>
    <row r="1076" spans="1:6" x14ac:dyDescent="0.25">
      <c r="A1076" t="str">
        <f>"200009964"</f>
        <v>200009964</v>
      </c>
      <c r="B1076" t="str">
        <f>"1922875327"</f>
        <v>1922875327</v>
      </c>
      <c r="C1076" t="str">
        <f>"363L00000X"</f>
        <v>363L00000X</v>
      </c>
      <c r="D1076" t="str">
        <f>"FOUNTAIN                 SUMMER       D           "</f>
        <v xml:space="preserve">FOUNTAIN                 SUMMER       D           </v>
      </c>
      <c r="E1076" t="str">
        <f>"MOBILE                    "</f>
        <v xml:space="preserve">MOBILE                    </v>
      </c>
      <c r="F1076" t="str">
        <f t="shared" si="39"/>
        <v>AL</v>
      </c>
    </row>
    <row r="1077" spans="1:6" x14ac:dyDescent="0.25">
      <c r="A1077" t="str">
        <f>"200009972"</f>
        <v>200009972</v>
      </c>
      <c r="B1077" t="str">
        <f>"1396774105"</f>
        <v>1396774105</v>
      </c>
      <c r="C1077" t="str">
        <f>"207R00000X"</f>
        <v>207R00000X</v>
      </c>
      <c r="D1077" t="str">
        <f>"FOUTY                    CHRISTINE                "</f>
        <v xml:space="preserve">FOUTY                    CHRISTINE                </v>
      </c>
      <c r="E1077" t="str">
        <f>"MOBILE                    "</f>
        <v xml:space="preserve">MOBILE                    </v>
      </c>
      <c r="F1077" t="str">
        <f t="shared" si="39"/>
        <v>AL</v>
      </c>
    </row>
    <row r="1078" spans="1:6" x14ac:dyDescent="0.25">
      <c r="A1078" t="str">
        <f>"200010017"</f>
        <v>200010017</v>
      </c>
      <c r="B1078" t="str">
        <f>"1285658336"</f>
        <v>1285658336</v>
      </c>
      <c r="C1078" t="str">
        <f>"207R00000X"</f>
        <v>207R00000X</v>
      </c>
      <c r="D1078" t="str">
        <f>"WILLE                    KEITH                    "</f>
        <v xml:space="preserve">WILLE                    KEITH                    </v>
      </c>
      <c r="E1078" t="str">
        <f t="shared" ref="E1078:E1084" si="41">"BIRMINGHAM                "</f>
        <v xml:space="preserve">BIRMINGHAM                </v>
      </c>
      <c r="F1078" t="str">
        <f t="shared" si="39"/>
        <v>AL</v>
      </c>
    </row>
    <row r="1079" spans="1:6" x14ac:dyDescent="0.25">
      <c r="A1079" t="str">
        <f>"200010024"</f>
        <v>200010024</v>
      </c>
      <c r="B1079" t="str">
        <f>"1144676511"</f>
        <v>1144676511</v>
      </c>
      <c r="C1079" t="str">
        <f>"207X00000X"</f>
        <v>207X00000X</v>
      </c>
      <c r="D1079" t="str">
        <f>"MABRY                    SCOTT                    "</f>
        <v xml:space="preserve">MABRY                    SCOTT                    </v>
      </c>
      <c r="E1079" t="str">
        <f t="shared" si="41"/>
        <v xml:space="preserve">BIRMINGHAM                </v>
      </c>
      <c r="F1079" t="str">
        <f t="shared" si="39"/>
        <v>AL</v>
      </c>
    </row>
    <row r="1080" spans="1:6" x14ac:dyDescent="0.25">
      <c r="A1080" t="str">
        <f>"200010039"</f>
        <v>200010039</v>
      </c>
      <c r="B1080" t="str">
        <f>"1689224842"</f>
        <v>1689224842</v>
      </c>
      <c r="C1080" t="str">
        <f>"363L00000X"</f>
        <v>363L00000X</v>
      </c>
      <c r="D1080" t="str">
        <f>"JONES                    KRISTYN                  "</f>
        <v xml:space="preserve">JONES                    KRISTYN                  </v>
      </c>
      <c r="E1080" t="str">
        <f t="shared" si="41"/>
        <v xml:space="preserve">BIRMINGHAM                </v>
      </c>
      <c r="F1080" t="str">
        <f t="shared" si="39"/>
        <v>AL</v>
      </c>
    </row>
    <row r="1081" spans="1:6" x14ac:dyDescent="0.25">
      <c r="A1081" t="str">
        <f>"200010049"</f>
        <v>200010049</v>
      </c>
      <c r="B1081" t="str">
        <f>"1043262777"</f>
        <v>1043262777</v>
      </c>
      <c r="C1081" t="str">
        <f>"207VX0201X"</f>
        <v>207VX0201X</v>
      </c>
      <c r="D1081" t="str">
        <f>"STRAUGHN                 JOHN                     "</f>
        <v xml:space="preserve">STRAUGHN                 JOHN                     </v>
      </c>
      <c r="E1081" t="str">
        <f t="shared" si="41"/>
        <v xml:space="preserve">BIRMINGHAM                </v>
      </c>
      <c r="F1081" t="str">
        <f t="shared" si="39"/>
        <v>AL</v>
      </c>
    </row>
    <row r="1082" spans="1:6" x14ac:dyDescent="0.25">
      <c r="A1082" t="str">
        <f>"200010071"</f>
        <v>200010071</v>
      </c>
      <c r="B1082" t="str">
        <f>"1871099531"</f>
        <v>1871099531</v>
      </c>
      <c r="C1082" t="str">
        <f>"207R00000X"</f>
        <v>207R00000X</v>
      </c>
      <c r="D1082" t="str">
        <f>"HARDGROVE                DANIEL                   "</f>
        <v xml:space="preserve">HARDGROVE                DANIEL                   </v>
      </c>
      <c r="E1082" t="str">
        <f t="shared" si="41"/>
        <v xml:space="preserve">BIRMINGHAM                </v>
      </c>
      <c r="F1082" t="str">
        <f t="shared" si="39"/>
        <v>AL</v>
      </c>
    </row>
    <row r="1083" spans="1:6" x14ac:dyDescent="0.25">
      <c r="A1083" t="str">
        <f>"200010130"</f>
        <v>200010130</v>
      </c>
      <c r="B1083" t="str">
        <f>"1164041299"</f>
        <v>1164041299</v>
      </c>
      <c r="C1083" t="str">
        <f>"207R00000X"</f>
        <v>207R00000X</v>
      </c>
      <c r="D1083" t="str">
        <f>"MELANCON                 BENJAMIN                 "</f>
        <v xml:space="preserve">MELANCON                 BENJAMIN                 </v>
      </c>
      <c r="E1083" t="str">
        <f t="shared" si="41"/>
        <v xml:space="preserve">BIRMINGHAM                </v>
      </c>
      <c r="F1083" t="str">
        <f t="shared" si="39"/>
        <v>AL</v>
      </c>
    </row>
    <row r="1084" spans="1:6" x14ac:dyDescent="0.25">
      <c r="A1084" t="str">
        <f>"200010171"</f>
        <v>200010171</v>
      </c>
      <c r="B1084" t="str">
        <f>"1932307295"</f>
        <v>1932307295</v>
      </c>
      <c r="C1084" t="str">
        <f>"2085R0204X"</f>
        <v>2085R0204X</v>
      </c>
      <c r="D1084" t="str">
        <f>"KRISHNASAMY              VENKATESH    P           "</f>
        <v xml:space="preserve">KRISHNASAMY              VENKATESH    P           </v>
      </c>
      <c r="E1084" t="str">
        <f t="shared" si="41"/>
        <v xml:space="preserve">BIRMINGHAM                </v>
      </c>
      <c r="F1084" t="str">
        <f t="shared" si="39"/>
        <v>AL</v>
      </c>
    </row>
    <row r="1085" spans="1:6" x14ac:dyDescent="0.25">
      <c r="A1085" t="str">
        <f>"200010185"</f>
        <v>200010185</v>
      </c>
      <c r="B1085" t="str">
        <f>"1710605068"</f>
        <v>1710605068</v>
      </c>
      <c r="C1085" t="str">
        <f>"363L00000X"</f>
        <v>363L00000X</v>
      </c>
      <c r="D1085" t="str">
        <f>"LETSON                   DUSTIN       C           "</f>
        <v xml:space="preserve">LETSON                   DUSTIN       C           </v>
      </c>
      <c r="E1085" t="str">
        <f>"FLORENCE                  "</f>
        <v xml:space="preserve">FLORENCE                  </v>
      </c>
      <c r="F1085" t="str">
        <f t="shared" si="39"/>
        <v>AL</v>
      </c>
    </row>
    <row r="1086" spans="1:6" x14ac:dyDescent="0.25">
      <c r="A1086" t="str">
        <f>"200010190"</f>
        <v>200010190</v>
      </c>
      <c r="B1086" t="str">
        <f>"1184691859"</f>
        <v>1184691859</v>
      </c>
      <c r="C1086" t="str">
        <f>"207Q00000X"</f>
        <v>207Q00000X</v>
      </c>
      <c r="D1086" t="str">
        <f>"WEATHERLY                DANIELA                  "</f>
        <v xml:space="preserve">WEATHERLY                DANIELA                  </v>
      </c>
      <c r="E1086" t="str">
        <f>"MOBILE                    "</f>
        <v xml:space="preserve">MOBILE                    </v>
      </c>
      <c r="F1086" t="str">
        <f t="shared" si="39"/>
        <v>AL</v>
      </c>
    </row>
    <row r="1087" spans="1:6" x14ac:dyDescent="0.25">
      <c r="A1087" t="str">
        <f>"200010207"</f>
        <v>200010207</v>
      </c>
      <c r="B1087" t="str">
        <f>"1063835478"</f>
        <v>1063835478</v>
      </c>
      <c r="C1087" t="str">
        <f>"367500000X"</f>
        <v>367500000X</v>
      </c>
      <c r="D1087" t="str">
        <f>"CAMPBELL                 JOSHUA                   "</f>
        <v xml:space="preserve">CAMPBELL                 JOSHUA                   </v>
      </c>
      <c r="E1087" t="str">
        <f>"MOBILE                    "</f>
        <v xml:space="preserve">MOBILE                    </v>
      </c>
      <c r="F1087" t="str">
        <f t="shared" si="39"/>
        <v>AL</v>
      </c>
    </row>
    <row r="1088" spans="1:6" x14ac:dyDescent="0.25">
      <c r="A1088" t="str">
        <f>"200010235"</f>
        <v>200010235</v>
      </c>
      <c r="B1088" t="str">
        <f>"1548583883"</f>
        <v>1548583883</v>
      </c>
      <c r="C1088" t="str">
        <f>"2080P0202X"</f>
        <v>2080P0202X</v>
      </c>
      <c r="D1088" t="str">
        <f>"CARLO                    WALDEMAR     F           "</f>
        <v xml:space="preserve">CARLO                    WALDEMAR     F           </v>
      </c>
      <c r="E1088" t="str">
        <f>"BIRMINGHAM                "</f>
        <v xml:space="preserve">BIRMINGHAM                </v>
      </c>
      <c r="F1088" t="str">
        <f t="shared" si="39"/>
        <v>AL</v>
      </c>
    </row>
    <row r="1089" spans="1:6" x14ac:dyDescent="0.25">
      <c r="A1089" t="str">
        <f>"200010285"</f>
        <v>200010285</v>
      </c>
      <c r="B1089" t="str">
        <f>"1316140403"</f>
        <v>1316140403</v>
      </c>
      <c r="C1089" t="str">
        <f>"207RC0200X"</f>
        <v>207RC0200X</v>
      </c>
      <c r="D1089" t="str">
        <f>"SOLOMON                  GEORGE                   "</f>
        <v xml:space="preserve">SOLOMON                  GEORGE                   </v>
      </c>
      <c r="E1089" t="str">
        <f>"BIRMINGHAM                "</f>
        <v xml:space="preserve">BIRMINGHAM                </v>
      </c>
      <c r="F1089" t="str">
        <f t="shared" si="39"/>
        <v>AL</v>
      </c>
    </row>
    <row r="1090" spans="1:6" x14ac:dyDescent="0.25">
      <c r="A1090" t="str">
        <f>"200010287"</f>
        <v>200010287</v>
      </c>
      <c r="B1090" t="str">
        <f>"1083614572"</f>
        <v>1083614572</v>
      </c>
      <c r="C1090" t="str">
        <f>"207RC0000X"</f>
        <v>207RC0000X</v>
      </c>
      <c r="D1090" t="str">
        <f>"STAMPER                  JAMES                    "</f>
        <v xml:space="preserve">STAMPER                  JAMES                    </v>
      </c>
      <c r="E1090" t="str">
        <f>"BIRMINGHAM                "</f>
        <v xml:space="preserve">BIRMINGHAM                </v>
      </c>
      <c r="F1090" t="str">
        <f t="shared" si="39"/>
        <v>AL</v>
      </c>
    </row>
    <row r="1091" spans="1:6" x14ac:dyDescent="0.25">
      <c r="A1091" t="str">
        <f>"200010327"</f>
        <v>200010327</v>
      </c>
      <c r="B1091" t="str">
        <f>"1487003364"</f>
        <v>1487003364</v>
      </c>
      <c r="C1091" t="str">
        <f>"363L00000X"</f>
        <v>363L00000X</v>
      </c>
      <c r="D1091" t="str">
        <f>"BARNOWSKY                ROBERT       J           "</f>
        <v xml:space="preserve">BARNOWSKY                ROBERT       J           </v>
      </c>
      <c r="E1091" t="str">
        <f>"FLORENCE                  "</f>
        <v xml:space="preserve">FLORENCE                  </v>
      </c>
      <c r="F1091" t="str">
        <f t="shared" si="39"/>
        <v>AL</v>
      </c>
    </row>
    <row r="1092" spans="1:6" x14ac:dyDescent="0.25">
      <c r="A1092" t="str">
        <f>"200010333"</f>
        <v>200010333</v>
      </c>
      <c r="B1092" t="str">
        <f>"1134157928"</f>
        <v>1134157928</v>
      </c>
      <c r="C1092" t="str">
        <f>"208600000X"</f>
        <v>208600000X</v>
      </c>
      <c r="D1092" t="str">
        <f>"HENDERSHOT               KIMBERLY                 "</f>
        <v xml:space="preserve">HENDERSHOT               KIMBERLY                 </v>
      </c>
      <c r="E1092" t="str">
        <f>"BIRMINGHAM                "</f>
        <v xml:space="preserve">BIRMINGHAM                </v>
      </c>
      <c r="F1092" t="str">
        <f t="shared" si="39"/>
        <v>AL</v>
      </c>
    </row>
    <row r="1093" spans="1:6" x14ac:dyDescent="0.25">
      <c r="A1093" t="str">
        <f>"200010339"</f>
        <v>200010339</v>
      </c>
      <c r="B1093" t="str">
        <f>"1770697500"</f>
        <v>1770697500</v>
      </c>
      <c r="C1093" t="str">
        <f>"207Q00000X"</f>
        <v>207Q00000X</v>
      </c>
      <c r="D1093" t="str">
        <f>"EVANS                    CHARLA                   "</f>
        <v xml:space="preserve">EVANS                    CHARLA                   </v>
      </c>
      <c r="E1093" t="str">
        <f>"MOBILE                    "</f>
        <v xml:space="preserve">MOBILE                    </v>
      </c>
      <c r="F1093" t="str">
        <f t="shared" si="39"/>
        <v>AL</v>
      </c>
    </row>
    <row r="1094" spans="1:6" x14ac:dyDescent="0.25">
      <c r="A1094" t="str">
        <f>"200010341"</f>
        <v>200010341</v>
      </c>
      <c r="B1094" t="str">
        <f>"1679759898"</f>
        <v>1679759898</v>
      </c>
      <c r="C1094" t="str">
        <f>"2085R0204X"</f>
        <v>2085R0204X</v>
      </c>
      <c r="D1094" t="str">
        <f>"ALI                      MOHAMMAD                 "</f>
        <v xml:space="preserve">ALI                      MOHAMMAD                 </v>
      </c>
      <c r="E1094" t="str">
        <f>"MOBILE                    "</f>
        <v xml:space="preserve">MOBILE                    </v>
      </c>
      <c r="F1094" t="str">
        <f t="shared" si="39"/>
        <v>AL</v>
      </c>
    </row>
    <row r="1095" spans="1:6" x14ac:dyDescent="0.25">
      <c r="A1095" t="str">
        <f>"200010347"</f>
        <v>200010347</v>
      </c>
      <c r="B1095" t="str">
        <f>"1902176274"</f>
        <v>1902176274</v>
      </c>
      <c r="C1095" t="str">
        <f>"367500000X"</f>
        <v>367500000X</v>
      </c>
      <c r="D1095" t="str">
        <f>"SAVAGE                   MARSHALL                 "</f>
        <v xml:space="preserve">SAVAGE                   MARSHALL                 </v>
      </c>
      <c r="E1095" t="str">
        <f>"BIRMINGHAM                "</f>
        <v xml:space="preserve">BIRMINGHAM                </v>
      </c>
      <c r="F1095" t="str">
        <f t="shared" ref="F1095:F1158" si="42">"AL"</f>
        <v>AL</v>
      </c>
    </row>
    <row r="1096" spans="1:6" x14ac:dyDescent="0.25">
      <c r="A1096" t="str">
        <f>"200010364"</f>
        <v>200010364</v>
      </c>
      <c r="B1096" t="str">
        <f>"1760084784"</f>
        <v>1760084784</v>
      </c>
      <c r="C1096" t="str">
        <f>"363A00000X"</f>
        <v>363A00000X</v>
      </c>
      <c r="D1096" t="str">
        <f>"SCREWS                   ROBERT                   "</f>
        <v xml:space="preserve">SCREWS                   ROBERT                   </v>
      </c>
      <c r="E1096" t="str">
        <f>"BIRMINGHAM                "</f>
        <v xml:space="preserve">BIRMINGHAM                </v>
      </c>
      <c r="F1096" t="str">
        <f t="shared" si="42"/>
        <v>AL</v>
      </c>
    </row>
    <row r="1097" spans="1:6" x14ac:dyDescent="0.25">
      <c r="A1097" t="str">
        <f>"200010383"</f>
        <v>200010383</v>
      </c>
      <c r="B1097" t="str">
        <f>"1568979292"</f>
        <v>1568979292</v>
      </c>
      <c r="C1097" t="str">
        <f>"363L00000X"</f>
        <v>363L00000X</v>
      </c>
      <c r="D1097" t="str">
        <f>"THOMAS                   SANTANNA                 "</f>
        <v xml:space="preserve">THOMAS                   SANTANNA                 </v>
      </c>
      <c r="E1097" t="str">
        <f>"BIRMINGHAM                "</f>
        <v xml:space="preserve">BIRMINGHAM                </v>
      </c>
      <c r="F1097" t="str">
        <f t="shared" si="42"/>
        <v>AL</v>
      </c>
    </row>
    <row r="1098" spans="1:6" x14ac:dyDescent="0.25">
      <c r="A1098" t="str">
        <f>"200010611"</f>
        <v>200010611</v>
      </c>
      <c r="B1098" t="str">
        <f>"1548960651"</f>
        <v>1548960651</v>
      </c>
      <c r="C1098" t="str">
        <f>"363A00000X"</f>
        <v>363A00000X</v>
      </c>
      <c r="D1098" t="str">
        <f>"SUMNER                   TYLER                    "</f>
        <v xml:space="preserve">SUMNER                   TYLER                    </v>
      </c>
      <c r="E1098" t="str">
        <f>"MOBILE                    "</f>
        <v xml:space="preserve">MOBILE                    </v>
      </c>
      <c r="F1098" t="str">
        <f t="shared" si="42"/>
        <v>AL</v>
      </c>
    </row>
    <row r="1099" spans="1:6" x14ac:dyDescent="0.25">
      <c r="A1099" t="str">
        <f>"200010633"</f>
        <v>200010633</v>
      </c>
      <c r="B1099" t="str">
        <f>"1871171025"</f>
        <v>1871171025</v>
      </c>
      <c r="C1099" t="str">
        <f>"207X00000X"</f>
        <v>207X00000X</v>
      </c>
      <c r="D1099" t="str">
        <f>"GARRISON                 IAN                      "</f>
        <v xml:space="preserve">GARRISON                 IAN                      </v>
      </c>
      <c r="E1099" t="str">
        <f>"MOBILE                    "</f>
        <v xml:space="preserve">MOBILE                    </v>
      </c>
      <c r="F1099" t="str">
        <f t="shared" si="42"/>
        <v>AL</v>
      </c>
    </row>
    <row r="1100" spans="1:6" x14ac:dyDescent="0.25">
      <c r="A1100" t="str">
        <f>"200010639"</f>
        <v>200010639</v>
      </c>
      <c r="B1100" t="str">
        <f>"1093267858"</f>
        <v>1093267858</v>
      </c>
      <c r="C1100" t="str">
        <f>"207R00000X"</f>
        <v>207R00000X</v>
      </c>
      <c r="D1100" t="str">
        <f>"WALTERS                  KIMROY                   "</f>
        <v xml:space="preserve">WALTERS                  KIMROY                   </v>
      </c>
      <c r="E1100" t="str">
        <f>"FLORENCE                  "</f>
        <v xml:space="preserve">FLORENCE                  </v>
      </c>
      <c r="F1100" t="str">
        <f t="shared" si="42"/>
        <v>AL</v>
      </c>
    </row>
    <row r="1101" spans="1:6" x14ac:dyDescent="0.25">
      <c r="A1101" t="str">
        <f>"200010691"</f>
        <v>200010691</v>
      </c>
      <c r="B1101" t="str">
        <f>"1295591857"</f>
        <v>1295591857</v>
      </c>
      <c r="C1101" t="str">
        <f>"363L00000X"</f>
        <v>363L00000X</v>
      </c>
      <c r="D1101" t="str">
        <f>"MURPHY                   AVA                      "</f>
        <v xml:space="preserve">MURPHY                   AVA                      </v>
      </c>
      <c r="E1101" t="str">
        <f>"MOBILE                    "</f>
        <v xml:space="preserve">MOBILE                    </v>
      </c>
      <c r="F1101" t="str">
        <f t="shared" si="42"/>
        <v>AL</v>
      </c>
    </row>
    <row r="1102" spans="1:6" x14ac:dyDescent="0.25">
      <c r="A1102" t="str">
        <f>"200010719"</f>
        <v>200010719</v>
      </c>
      <c r="B1102" t="str">
        <f>"1942664370"</f>
        <v>1942664370</v>
      </c>
      <c r="C1102" t="str">
        <f>"207RP1001X"</f>
        <v>207RP1001X</v>
      </c>
      <c r="D1102" t="str">
        <f>"PETROSSIAN               ROBERT                   "</f>
        <v xml:space="preserve">PETROSSIAN               ROBERT                   </v>
      </c>
      <c r="E1102" t="str">
        <f>"MOBILE                    "</f>
        <v xml:space="preserve">MOBILE                    </v>
      </c>
      <c r="F1102" t="str">
        <f t="shared" si="42"/>
        <v>AL</v>
      </c>
    </row>
    <row r="1103" spans="1:6" x14ac:dyDescent="0.25">
      <c r="A1103" t="str">
        <f>"200010760"</f>
        <v>200010760</v>
      </c>
      <c r="B1103" t="str">
        <f>"1003489493"</f>
        <v>1003489493</v>
      </c>
      <c r="C1103" t="str">
        <f>"363A00000X"</f>
        <v>363A00000X</v>
      </c>
      <c r="D1103" t="str">
        <f>"LEE                      DELAINY                  "</f>
        <v xml:space="preserve">LEE                      DELAINY                  </v>
      </c>
      <c r="E1103" t="str">
        <f>"BIRMINGHAM                "</f>
        <v xml:space="preserve">BIRMINGHAM                </v>
      </c>
      <c r="F1103" t="str">
        <f t="shared" si="42"/>
        <v>AL</v>
      </c>
    </row>
    <row r="1104" spans="1:6" x14ac:dyDescent="0.25">
      <c r="A1104" t="str">
        <f>"200010789"</f>
        <v>200010789</v>
      </c>
      <c r="B1104" t="str">
        <f>"1588242614"</f>
        <v>1588242614</v>
      </c>
      <c r="C1104" t="str">
        <f>"207P00000X"</f>
        <v>207P00000X</v>
      </c>
      <c r="D1104" t="str">
        <f>"MCRAE                    CARLY                    "</f>
        <v xml:space="preserve">MCRAE                    CARLY                    </v>
      </c>
      <c r="E1104" t="str">
        <f>"MOBILE                    "</f>
        <v xml:space="preserve">MOBILE                    </v>
      </c>
      <c r="F1104" t="str">
        <f t="shared" si="42"/>
        <v>AL</v>
      </c>
    </row>
    <row r="1105" spans="1:6" x14ac:dyDescent="0.25">
      <c r="A1105" t="str">
        <f>"200010824"</f>
        <v>200010824</v>
      </c>
      <c r="B1105" t="str">
        <f>"1528563749"</f>
        <v>1528563749</v>
      </c>
      <c r="C1105" t="str">
        <f>"207RI0200X"</f>
        <v>207RI0200X</v>
      </c>
      <c r="D1105" t="str">
        <f>"RUHR                     RYAN                     "</f>
        <v xml:space="preserve">RUHR                     RYAN                     </v>
      </c>
      <c r="E1105" t="str">
        <f>"BIRMINGHAM                "</f>
        <v xml:space="preserve">BIRMINGHAM                </v>
      </c>
      <c r="F1105" t="str">
        <f t="shared" si="42"/>
        <v>AL</v>
      </c>
    </row>
    <row r="1106" spans="1:6" x14ac:dyDescent="0.25">
      <c r="A1106" t="str">
        <f>"200010829"</f>
        <v>200010829</v>
      </c>
      <c r="B1106" t="str">
        <f>"1861876567"</f>
        <v>1861876567</v>
      </c>
      <c r="C1106" t="str">
        <f>"208G00000X"</f>
        <v>208G00000X</v>
      </c>
      <c r="D1106" t="str">
        <f>"GONZALEZ BONILLA         HILDA        M           "</f>
        <v xml:space="preserve">GONZALEZ BONILLA         HILDA        M           </v>
      </c>
      <c r="E1106" t="str">
        <f>"BIRMINGHAM                "</f>
        <v xml:space="preserve">BIRMINGHAM                </v>
      </c>
      <c r="F1106" t="str">
        <f t="shared" si="42"/>
        <v>AL</v>
      </c>
    </row>
    <row r="1107" spans="1:6" x14ac:dyDescent="0.25">
      <c r="A1107" t="str">
        <f>"200010863"</f>
        <v>200010863</v>
      </c>
      <c r="B1107" t="str">
        <f>"1437579430"</f>
        <v>1437579430</v>
      </c>
      <c r="C1107" t="str">
        <f>"207ZP0102X"</f>
        <v>207ZP0102X</v>
      </c>
      <c r="D1107" t="str">
        <f>"DUNCAN                   VIRGINIA                 "</f>
        <v xml:space="preserve">DUNCAN                   VIRGINIA                 </v>
      </c>
      <c r="E1107" t="str">
        <f>"BIRMINGHAM                "</f>
        <v xml:space="preserve">BIRMINGHAM                </v>
      </c>
      <c r="F1107" t="str">
        <f t="shared" si="42"/>
        <v>AL</v>
      </c>
    </row>
    <row r="1108" spans="1:6" x14ac:dyDescent="0.25">
      <c r="A1108" t="str">
        <f>"200010870"</f>
        <v>200010870</v>
      </c>
      <c r="B1108" t="str">
        <f>"1023002433"</f>
        <v>1023002433</v>
      </c>
      <c r="C1108" t="str">
        <f>"207L00000X"</f>
        <v>207L00000X</v>
      </c>
      <c r="D1108" t="str">
        <f>"MCCAMMON                 ANDREW                   "</f>
        <v xml:space="preserve">MCCAMMON                 ANDREW                   </v>
      </c>
      <c r="E1108" t="str">
        <f>"BIRMINGHAM                "</f>
        <v xml:space="preserve">BIRMINGHAM                </v>
      </c>
      <c r="F1108" t="str">
        <f t="shared" si="42"/>
        <v>AL</v>
      </c>
    </row>
    <row r="1109" spans="1:6" x14ac:dyDescent="0.25">
      <c r="A1109" t="str">
        <f>"200010880"</f>
        <v>200010880</v>
      </c>
      <c r="B1109" t="str">
        <f>"1699707141"</f>
        <v>1699707141</v>
      </c>
      <c r="C1109" t="str">
        <f>"207RI0200X"</f>
        <v>207RI0200X</v>
      </c>
      <c r="D1109" t="str">
        <f>"WAINSCOAT                BOOTH                    "</f>
        <v xml:space="preserve">WAINSCOAT                BOOTH                    </v>
      </c>
      <c r="E1109" t="str">
        <f>"MOBILE                    "</f>
        <v xml:space="preserve">MOBILE                    </v>
      </c>
      <c r="F1109" t="str">
        <f t="shared" si="42"/>
        <v>AL</v>
      </c>
    </row>
    <row r="1110" spans="1:6" x14ac:dyDescent="0.25">
      <c r="A1110" t="str">
        <f>"200010945"</f>
        <v>200010945</v>
      </c>
      <c r="B1110" t="str">
        <f>"1841432614"</f>
        <v>1841432614</v>
      </c>
      <c r="C1110" t="str">
        <f>"207X00000X"</f>
        <v>207X00000X</v>
      </c>
      <c r="D1110" t="str">
        <f>"BREWER                   JEFFREY                  "</f>
        <v xml:space="preserve">BREWER                   JEFFREY                  </v>
      </c>
      <c r="E1110" t="str">
        <f>"MOBILE                    "</f>
        <v xml:space="preserve">MOBILE                    </v>
      </c>
      <c r="F1110" t="str">
        <f t="shared" si="42"/>
        <v>AL</v>
      </c>
    </row>
    <row r="1111" spans="1:6" x14ac:dyDescent="0.25">
      <c r="A1111" t="str">
        <f>"200011014"</f>
        <v>200011014</v>
      </c>
      <c r="B1111" t="str">
        <f>"1790147874"</f>
        <v>1790147874</v>
      </c>
      <c r="C1111" t="str">
        <f>"2080P0206X"</f>
        <v>2080P0206X</v>
      </c>
      <c r="D1111" t="str">
        <f>"FERNANDEZ                JENELLE                  "</f>
        <v xml:space="preserve">FERNANDEZ                JENELLE                  </v>
      </c>
      <c r="E1111" t="str">
        <f>"MOBILE                    "</f>
        <v xml:space="preserve">MOBILE                    </v>
      </c>
      <c r="F1111" t="str">
        <f t="shared" si="42"/>
        <v>AL</v>
      </c>
    </row>
    <row r="1112" spans="1:6" x14ac:dyDescent="0.25">
      <c r="A1112" t="str">
        <f>"200011062"</f>
        <v>200011062</v>
      </c>
      <c r="B1112" t="str">
        <f>"1487020897"</f>
        <v>1487020897</v>
      </c>
      <c r="C1112" t="str">
        <f>"207RA0401X"</f>
        <v>207RA0401X</v>
      </c>
      <c r="D1112" t="str">
        <f>"MATOS SANTANA            HERIBERTO                "</f>
        <v xml:space="preserve">MATOS SANTANA            HERIBERTO                </v>
      </c>
      <c r="E1112" t="str">
        <f>"BIRMINGHAM                "</f>
        <v xml:space="preserve">BIRMINGHAM                </v>
      </c>
      <c r="F1112" t="str">
        <f t="shared" si="42"/>
        <v>AL</v>
      </c>
    </row>
    <row r="1113" spans="1:6" x14ac:dyDescent="0.25">
      <c r="A1113" t="str">
        <f>"200011124"</f>
        <v>200011124</v>
      </c>
      <c r="B1113" t="str">
        <f>"1134341019"</f>
        <v>1134341019</v>
      </c>
      <c r="C1113" t="str">
        <f>"207Q00000X"</f>
        <v>207Q00000X</v>
      </c>
      <c r="D1113" t="str">
        <f>"CORNELIUS-PEACE          KIMBERLY                 "</f>
        <v xml:space="preserve">CORNELIUS-PEACE          KIMBERLY                 </v>
      </c>
      <c r="E1113" t="str">
        <f>"BIRMINGHAM                "</f>
        <v xml:space="preserve">BIRMINGHAM                </v>
      </c>
      <c r="F1113" t="str">
        <f t="shared" si="42"/>
        <v>AL</v>
      </c>
    </row>
    <row r="1114" spans="1:6" x14ac:dyDescent="0.25">
      <c r="A1114" t="str">
        <f>"200011142"</f>
        <v>200011142</v>
      </c>
      <c r="B1114" t="str">
        <f>"1215270616"</f>
        <v>1215270616</v>
      </c>
      <c r="C1114" t="str">
        <f>"2084N0400X"</f>
        <v>2084N0400X</v>
      </c>
      <c r="D1114" t="str">
        <f>"SOUTHWOOD                CHRISTOPHER              "</f>
        <v xml:space="preserve">SOUTHWOOD                CHRISTOPHER              </v>
      </c>
      <c r="E1114" t="str">
        <f>"MOBILE                    "</f>
        <v xml:space="preserve">MOBILE                    </v>
      </c>
      <c r="F1114" t="str">
        <f t="shared" si="42"/>
        <v>AL</v>
      </c>
    </row>
    <row r="1115" spans="1:6" x14ac:dyDescent="0.25">
      <c r="A1115" t="str">
        <f>"200011176"</f>
        <v>200011176</v>
      </c>
      <c r="B1115" t="str">
        <f>"1386626992"</f>
        <v>1386626992</v>
      </c>
      <c r="C1115" t="str">
        <f>"208G00000X"</f>
        <v>208G00000X</v>
      </c>
      <c r="D1115" t="str">
        <f>"BELLOT                   SCOTT                    "</f>
        <v xml:space="preserve">BELLOT                   SCOTT                    </v>
      </c>
      <c r="E1115" t="str">
        <f>"BIRMINGHAM                "</f>
        <v xml:space="preserve">BIRMINGHAM                </v>
      </c>
      <c r="F1115" t="str">
        <f t="shared" si="42"/>
        <v>AL</v>
      </c>
    </row>
    <row r="1116" spans="1:6" x14ac:dyDescent="0.25">
      <c r="A1116" t="str">
        <f>"200011208"</f>
        <v>200011208</v>
      </c>
      <c r="B1116" t="str">
        <f>"1205936416"</f>
        <v>1205936416</v>
      </c>
      <c r="C1116" t="str">
        <f>"207RP1001X"</f>
        <v>207RP1001X</v>
      </c>
      <c r="D1116" t="str">
        <f>"MAJUMDAR                 TILOTTAMA                "</f>
        <v xml:space="preserve">MAJUMDAR                 TILOTTAMA                </v>
      </c>
      <c r="E1116" t="str">
        <f>"BIRMINGHAM                "</f>
        <v xml:space="preserve">BIRMINGHAM                </v>
      </c>
      <c r="F1116" t="str">
        <f t="shared" si="42"/>
        <v>AL</v>
      </c>
    </row>
    <row r="1117" spans="1:6" x14ac:dyDescent="0.25">
      <c r="A1117" t="str">
        <f>"200011262"</f>
        <v>200011262</v>
      </c>
      <c r="B1117" t="str">
        <f>"1255690491"</f>
        <v>1255690491</v>
      </c>
      <c r="C1117" t="str">
        <f>"207L00000X"</f>
        <v>207L00000X</v>
      </c>
      <c r="D1117" t="str">
        <f>"HULL                     MATTHEW      S           "</f>
        <v xml:space="preserve">HULL                     MATTHEW      S           </v>
      </c>
      <c r="E1117" t="str">
        <f>"BIRMINGHAM                "</f>
        <v xml:space="preserve">BIRMINGHAM                </v>
      </c>
      <c r="F1117" t="str">
        <f t="shared" si="42"/>
        <v>AL</v>
      </c>
    </row>
    <row r="1118" spans="1:6" x14ac:dyDescent="0.25">
      <c r="A1118" t="str">
        <f>"200011267"</f>
        <v>200011267</v>
      </c>
      <c r="B1118" t="str">
        <f>"1023507712"</f>
        <v>1023507712</v>
      </c>
      <c r="C1118" t="str">
        <f>"207V00000X"</f>
        <v>207V00000X</v>
      </c>
      <c r="D1118" t="str">
        <f>"DUNK                     SARAH                    "</f>
        <v xml:space="preserve">DUNK                     SARAH                    </v>
      </c>
      <c r="E1118" t="str">
        <f>"BIRMINGHAM                "</f>
        <v xml:space="preserve">BIRMINGHAM                </v>
      </c>
      <c r="F1118" t="str">
        <f t="shared" si="42"/>
        <v>AL</v>
      </c>
    </row>
    <row r="1119" spans="1:6" x14ac:dyDescent="0.25">
      <c r="A1119" t="str">
        <f>"200011326"</f>
        <v>200011326</v>
      </c>
      <c r="B1119" t="str">
        <f>"1285262105"</f>
        <v>1285262105</v>
      </c>
      <c r="C1119" t="str">
        <f>"2084N0400X"</f>
        <v>2084N0400X</v>
      </c>
      <c r="D1119" t="str">
        <f>"KANDIL                   MOHAMED      I           "</f>
        <v xml:space="preserve">KANDIL                   MOHAMED      I           </v>
      </c>
      <c r="E1119" t="str">
        <f>"BIRMINGHAM                "</f>
        <v xml:space="preserve">BIRMINGHAM                </v>
      </c>
      <c r="F1119" t="str">
        <f t="shared" si="42"/>
        <v>AL</v>
      </c>
    </row>
    <row r="1120" spans="1:6" x14ac:dyDescent="0.25">
      <c r="A1120" t="str">
        <f>"200011341"</f>
        <v>200011341</v>
      </c>
      <c r="B1120" t="str">
        <f>"1790740694"</f>
        <v>1790740694</v>
      </c>
      <c r="C1120" t="str">
        <f>"2084N0400X"</f>
        <v>2084N0400X</v>
      </c>
      <c r="D1120" t="str">
        <f>"RAMSAY                   RICHARD                  "</f>
        <v xml:space="preserve">RAMSAY                   RICHARD                  </v>
      </c>
      <c r="E1120" t="str">
        <f>"MOBILE                    "</f>
        <v xml:space="preserve">MOBILE                    </v>
      </c>
      <c r="F1120" t="str">
        <f t="shared" si="42"/>
        <v>AL</v>
      </c>
    </row>
    <row r="1121" spans="1:6" x14ac:dyDescent="0.25">
      <c r="A1121" t="str">
        <f>"200011387"</f>
        <v>200011387</v>
      </c>
      <c r="B1121" t="str">
        <f>"1437827870"</f>
        <v>1437827870</v>
      </c>
      <c r="C1121" t="str">
        <f>"367500000X"</f>
        <v>367500000X</v>
      </c>
      <c r="D1121" t="str">
        <f>"HARRIS                   MATTHEW      H           "</f>
        <v xml:space="preserve">HARRIS                   MATTHEW      H           </v>
      </c>
      <c r="E1121" t="str">
        <f>"BIRMINGHAM                "</f>
        <v xml:space="preserve">BIRMINGHAM                </v>
      </c>
      <c r="F1121" t="str">
        <f t="shared" si="42"/>
        <v>AL</v>
      </c>
    </row>
    <row r="1122" spans="1:6" x14ac:dyDescent="0.25">
      <c r="A1122" t="str">
        <f>"200011412"</f>
        <v>200011412</v>
      </c>
      <c r="B1122" t="str">
        <f>"1710484514"</f>
        <v>1710484514</v>
      </c>
      <c r="C1122" t="str">
        <f>"208600000X"</f>
        <v>208600000X</v>
      </c>
      <c r="D1122" t="str">
        <f>"DECI                     RYAN                     "</f>
        <v xml:space="preserve">DECI                     RYAN                     </v>
      </c>
      <c r="E1122" t="str">
        <f>"MOBILE                    "</f>
        <v xml:space="preserve">MOBILE                    </v>
      </c>
      <c r="F1122" t="str">
        <f t="shared" si="42"/>
        <v>AL</v>
      </c>
    </row>
    <row r="1123" spans="1:6" x14ac:dyDescent="0.25">
      <c r="A1123" t="str">
        <f>"200011529"</f>
        <v>200011529</v>
      </c>
      <c r="B1123" t="str">
        <f>"1215374590"</f>
        <v>1215374590</v>
      </c>
      <c r="C1123" t="str">
        <f>"207V00000X"</f>
        <v>207V00000X</v>
      </c>
      <c r="D1123" t="str">
        <f>"CALHOUN                  ALLISON                  "</f>
        <v xml:space="preserve">CALHOUN                  ALLISON                  </v>
      </c>
      <c r="E1123" t="str">
        <f>"MOBILE                    "</f>
        <v xml:space="preserve">MOBILE                    </v>
      </c>
      <c r="F1123" t="str">
        <f t="shared" si="42"/>
        <v>AL</v>
      </c>
    </row>
    <row r="1124" spans="1:6" x14ac:dyDescent="0.25">
      <c r="A1124" t="str">
        <f>"200011554"</f>
        <v>200011554</v>
      </c>
      <c r="B1124" t="str">
        <f>"1376524553"</f>
        <v>1376524553</v>
      </c>
      <c r="C1124" t="str">
        <f>"207VM0101X"</f>
        <v>207VM0101X</v>
      </c>
      <c r="D1124" t="str">
        <f>"BUSOWSKI                 JOHN                     "</f>
        <v xml:space="preserve">BUSOWSKI                 JOHN                     </v>
      </c>
      <c r="E1124" t="str">
        <f>"MOBILE                    "</f>
        <v xml:space="preserve">MOBILE                    </v>
      </c>
      <c r="F1124" t="str">
        <f t="shared" si="42"/>
        <v>AL</v>
      </c>
    </row>
    <row r="1125" spans="1:6" x14ac:dyDescent="0.25">
      <c r="A1125" t="str">
        <f>"200011577"</f>
        <v>200011577</v>
      </c>
      <c r="B1125" t="str">
        <f>"1033852629"</f>
        <v>1033852629</v>
      </c>
      <c r="C1125" t="str">
        <f>"363L00000X"</f>
        <v>363L00000X</v>
      </c>
      <c r="D1125" t="str">
        <f>"NAIL                     JORDAN                   "</f>
        <v xml:space="preserve">NAIL                     JORDAN                   </v>
      </c>
      <c r="E1125" t="str">
        <f>"BIRMINGHAM                "</f>
        <v xml:space="preserve">BIRMINGHAM                </v>
      </c>
      <c r="F1125" t="str">
        <f t="shared" si="42"/>
        <v>AL</v>
      </c>
    </row>
    <row r="1126" spans="1:6" x14ac:dyDescent="0.25">
      <c r="A1126" t="str">
        <f>"200011597"</f>
        <v>200011597</v>
      </c>
      <c r="B1126" t="str">
        <f>"1144584236"</f>
        <v>1144584236</v>
      </c>
      <c r="C1126" t="str">
        <f>"2080P0206X"</f>
        <v>2080P0206X</v>
      </c>
      <c r="D1126" t="str">
        <f>"MONTOYA MELO             DIANA        L           "</f>
        <v xml:space="preserve">MONTOYA MELO             DIANA        L           </v>
      </c>
      <c r="E1126" t="str">
        <f>"BIRMINGHAM                "</f>
        <v xml:space="preserve">BIRMINGHAM                </v>
      </c>
      <c r="F1126" t="str">
        <f t="shared" si="42"/>
        <v>AL</v>
      </c>
    </row>
    <row r="1127" spans="1:6" x14ac:dyDescent="0.25">
      <c r="A1127" t="str">
        <f>"200011606"</f>
        <v>200011606</v>
      </c>
      <c r="B1127" t="str">
        <f>"1750919106"</f>
        <v>1750919106</v>
      </c>
      <c r="C1127" t="str">
        <f>"207P00000X"</f>
        <v>207P00000X</v>
      </c>
      <c r="D1127" t="str">
        <f>"SHAW                     CHRISTINE                "</f>
        <v xml:space="preserve">SHAW                     CHRISTINE                </v>
      </c>
      <c r="E1127" t="str">
        <f>"BIRMINGHAM                "</f>
        <v xml:space="preserve">BIRMINGHAM                </v>
      </c>
      <c r="F1127" t="str">
        <f t="shared" si="42"/>
        <v>AL</v>
      </c>
    </row>
    <row r="1128" spans="1:6" x14ac:dyDescent="0.25">
      <c r="A1128" t="str">
        <f>"200011615"</f>
        <v>200011615</v>
      </c>
      <c r="B1128" t="str">
        <f>"1124885454"</f>
        <v>1124885454</v>
      </c>
      <c r="C1128" t="str">
        <f>"363LW0102X"</f>
        <v>363LW0102X</v>
      </c>
      <c r="D1128" t="str">
        <f>"GAUCHER                  DANIELLE                 "</f>
        <v xml:space="preserve">GAUCHER                  DANIELLE                 </v>
      </c>
      <c r="E1128" t="str">
        <f>"MOBILE                    "</f>
        <v xml:space="preserve">MOBILE                    </v>
      </c>
      <c r="F1128" t="str">
        <f t="shared" si="42"/>
        <v>AL</v>
      </c>
    </row>
    <row r="1129" spans="1:6" x14ac:dyDescent="0.25">
      <c r="A1129" t="str">
        <f>"200011619"</f>
        <v>200011619</v>
      </c>
      <c r="B1129" t="str">
        <f>"1588815823"</f>
        <v>1588815823</v>
      </c>
      <c r="C1129" t="str">
        <f>"208600000X"</f>
        <v>208600000X</v>
      </c>
      <c r="D1129" t="str">
        <f>"REDDY                    SUSHANTH                 "</f>
        <v xml:space="preserve">REDDY                    SUSHANTH                 </v>
      </c>
      <c r="E1129" t="str">
        <f>"BIRMINGHAM                "</f>
        <v xml:space="preserve">BIRMINGHAM                </v>
      </c>
      <c r="F1129" t="str">
        <f t="shared" si="42"/>
        <v>AL</v>
      </c>
    </row>
    <row r="1130" spans="1:6" x14ac:dyDescent="0.25">
      <c r="A1130" t="str">
        <f>"200011620"</f>
        <v>200011620</v>
      </c>
      <c r="B1130" t="str">
        <f>"1790710168"</f>
        <v>1790710168</v>
      </c>
      <c r="C1130" t="str">
        <f>"2080A0000X"</f>
        <v>2080A0000X</v>
      </c>
      <c r="D1130" t="str">
        <f>"RAGER                    KRISTIN                  "</f>
        <v xml:space="preserve">RAGER                    KRISTIN                  </v>
      </c>
      <c r="E1130" t="str">
        <f>"MOBILE                    "</f>
        <v xml:space="preserve">MOBILE                    </v>
      </c>
      <c r="F1130" t="str">
        <f t="shared" si="42"/>
        <v>AL</v>
      </c>
    </row>
    <row r="1131" spans="1:6" x14ac:dyDescent="0.25">
      <c r="A1131" t="str">
        <f>"200011634"</f>
        <v>200011634</v>
      </c>
      <c r="B1131" t="str">
        <f>"1871357665"</f>
        <v>1871357665</v>
      </c>
      <c r="C1131" t="str">
        <f>"363LW0102X"</f>
        <v>363LW0102X</v>
      </c>
      <c r="D1131" t="str">
        <f>"WIGGINS                  MARY                     "</f>
        <v xml:space="preserve">WIGGINS                  MARY                     </v>
      </c>
      <c r="E1131" t="str">
        <f>"MOBILE                    "</f>
        <v xml:space="preserve">MOBILE                    </v>
      </c>
      <c r="F1131" t="str">
        <f t="shared" si="42"/>
        <v>AL</v>
      </c>
    </row>
    <row r="1132" spans="1:6" x14ac:dyDescent="0.25">
      <c r="A1132" t="str">
        <f>"200011691"</f>
        <v>200011691</v>
      </c>
      <c r="B1132" t="str">
        <f>"1821418468"</f>
        <v>1821418468</v>
      </c>
      <c r="C1132" t="str">
        <f>"207RC0200X"</f>
        <v>207RC0200X</v>
      </c>
      <c r="D1132" t="str">
        <f>"RICHARDSON               CHRISTOPHER  C           "</f>
        <v xml:space="preserve">RICHARDSON               CHRISTOPHER  C           </v>
      </c>
      <c r="E1132" t="str">
        <f>"MOBILE                    "</f>
        <v xml:space="preserve">MOBILE                    </v>
      </c>
      <c r="F1132" t="str">
        <f t="shared" si="42"/>
        <v>AL</v>
      </c>
    </row>
    <row r="1133" spans="1:6" x14ac:dyDescent="0.25">
      <c r="A1133" t="str">
        <f>"200011711"</f>
        <v>200011711</v>
      </c>
      <c r="B1133" t="str">
        <f>"1063891331"</f>
        <v>1063891331</v>
      </c>
      <c r="C1133" t="str">
        <f>"207RI0200X"</f>
        <v>207RI0200X</v>
      </c>
      <c r="D1133" t="str">
        <f>"VAZQUEZ GUILLAMET        LAIA                     "</f>
        <v xml:space="preserve">VAZQUEZ GUILLAMET        LAIA                     </v>
      </c>
      <c r="E1133" t="str">
        <f>"BIRMINGHAM                "</f>
        <v xml:space="preserve">BIRMINGHAM                </v>
      </c>
      <c r="F1133" t="str">
        <f t="shared" si="42"/>
        <v>AL</v>
      </c>
    </row>
    <row r="1134" spans="1:6" x14ac:dyDescent="0.25">
      <c r="A1134" t="str">
        <f>"200011742"</f>
        <v>200011742</v>
      </c>
      <c r="B1134" t="str">
        <f>"1518424266"</f>
        <v>1518424266</v>
      </c>
      <c r="C1134" t="str">
        <f>"363LA2100X"</f>
        <v>363LA2100X</v>
      </c>
      <c r="D1134" t="str">
        <f>"DAUENHEIMER              KELLY                    "</f>
        <v xml:space="preserve">DAUENHEIMER              KELLY                    </v>
      </c>
      <c r="E1134" t="str">
        <f>"MOBILE                    "</f>
        <v xml:space="preserve">MOBILE                    </v>
      </c>
      <c r="F1134" t="str">
        <f t="shared" si="42"/>
        <v>AL</v>
      </c>
    </row>
    <row r="1135" spans="1:6" x14ac:dyDescent="0.25">
      <c r="A1135" t="str">
        <f>"200011793"</f>
        <v>200011793</v>
      </c>
      <c r="B1135" t="str">
        <f>"1033443783"</f>
        <v>1033443783</v>
      </c>
      <c r="C1135" t="str">
        <f>"207L00000X"</f>
        <v>207L00000X</v>
      </c>
      <c r="D1135" t="str">
        <f>"SWAMY                    KARTHIK                  "</f>
        <v xml:space="preserve">SWAMY                    KARTHIK                  </v>
      </c>
      <c r="E1135" t="str">
        <f>"MOBILE                    "</f>
        <v xml:space="preserve">MOBILE                    </v>
      </c>
      <c r="F1135" t="str">
        <f t="shared" si="42"/>
        <v>AL</v>
      </c>
    </row>
    <row r="1136" spans="1:6" x14ac:dyDescent="0.25">
      <c r="A1136" t="str">
        <f>"200011820"</f>
        <v>200011820</v>
      </c>
      <c r="B1136" t="str">
        <f>"1235786286"</f>
        <v>1235786286</v>
      </c>
      <c r="C1136" t="str">
        <f>"207ZC0006X"</f>
        <v>207ZC0006X</v>
      </c>
      <c r="D1136" t="str">
        <f>"DABABNEH                 MELAD        N           "</f>
        <v xml:space="preserve">DABABNEH                 MELAD        N           </v>
      </c>
      <c r="E1136" t="str">
        <f>"BIRMINGHAM                "</f>
        <v xml:space="preserve">BIRMINGHAM                </v>
      </c>
      <c r="F1136" t="str">
        <f t="shared" si="42"/>
        <v>AL</v>
      </c>
    </row>
    <row r="1137" spans="1:6" x14ac:dyDescent="0.25">
      <c r="A1137" t="str">
        <f>"200011834"</f>
        <v>200011834</v>
      </c>
      <c r="B1137" t="str">
        <f>"1154812329"</f>
        <v>1154812329</v>
      </c>
      <c r="C1137" t="str">
        <f>"207ZP0102X"</f>
        <v>207ZP0102X</v>
      </c>
      <c r="D1137" t="str">
        <f>"CHAVARRIA BERNAL         HECTOR       D           "</f>
        <v xml:space="preserve">CHAVARRIA BERNAL         HECTOR       D           </v>
      </c>
      <c r="E1137" t="str">
        <f>"MOBILE                    "</f>
        <v xml:space="preserve">MOBILE                    </v>
      </c>
      <c r="F1137" t="str">
        <f t="shared" si="42"/>
        <v>AL</v>
      </c>
    </row>
    <row r="1138" spans="1:6" x14ac:dyDescent="0.25">
      <c r="A1138" t="str">
        <f>"200011874"</f>
        <v>200011874</v>
      </c>
      <c r="B1138" t="str">
        <f>"1285855049"</f>
        <v>1285855049</v>
      </c>
      <c r="C1138" t="str">
        <f>"207V00000X"</f>
        <v>207V00000X</v>
      </c>
      <c r="D1138" t="str">
        <f>"LACY                     BLAIR                    "</f>
        <v xml:space="preserve">LACY                     BLAIR                    </v>
      </c>
      <c r="E1138" t="str">
        <f>"BIRMINGHAM                "</f>
        <v xml:space="preserve">BIRMINGHAM                </v>
      </c>
      <c r="F1138" t="str">
        <f t="shared" si="42"/>
        <v>AL</v>
      </c>
    </row>
    <row r="1139" spans="1:6" x14ac:dyDescent="0.25">
      <c r="A1139" t="str">
        <f>"200011890"</f>
        <v>200011890</v>
      </c>
      <c r="B1139" t="str">
        <f>"1700463999"</f>
        <v>1700463999</v>
      </c>
      <c r="C1139" t="str">
        <f>"207R00000X"</f>
        <v>207R00000X</v>
      </c>
      <c r="D1139" t="str">
        <f>"DICKSON                  HUNTER       C           "</f>
        <v xml:space="preserve">DICKSON                  HUNTER       C           </v>
      </c>
      <c r="E1139" t="str">
        <f>"MOBILE                    "</f>
        <v xml:space="preserve">MOBILE                    </v>
      </c>
      <c r="F1139" t="str">
        <f t="shared" si="42"/>
        <v>AL</v>
      </c>
    </row>
    <row r="1140" spans="1:6" x14ac:dyDescent="0.25">
      <c r="A1140" t="str">
        <f>"200011934"</f>
        <v>200011934</v>
      </c>
      <c r="B1140" t="str">
        <f>"1265450233"</f>
        <v>1265450233</v>
      </c>
      <c r="C1140" t="str">
        <f>"207RC0200X"</f>
        <v>207RC0200X</v>
      </c>
      <c r="D1140" t="str">
        <f>"ABOUCHALA                NABIL                    "</f>
        <v xml:space="preserve">ABOUCHALA                NABIL                    </v>
      </c>
      <c r="E1140" t="str">
        <f>"BIRMINGHAM                "</f>
        <v xml:space="preserve">BIRMINGHAM                </v>
      </c>
      <c r="F1140" t="str">
        <f t="shared" si="42"/>
        <v>AL</v>
      </c>
    </row>
    <row r="1141" spans="1:6" x14ac:dyDescent="0.25">
      <c r="A1141" t="str">
        <f>"200011937"</f>
        <v>200011937</v>
      </c>
      <c r="B1141" t="str">
        <f>"1326561135"</f>
        <v>1326561135</v>
      </c>
      <c r="C1141" t="str">
        <f>"363LA2200X"</f>
        <v>363LA2200X</v>
      </c>
      <c r="D1141" t="str">
        <f>"RUDOLF                   VIRGINIA                 "</f>
        <v xml:space="preserve">RUDOLF                   VIRGINIA                 </v>
      </c>
      <c r="E1141" t="str">
        <f>"MOBILE                    "</f>
        <v xml:space="preserve">MOBILE                    </v>
      </c>
      <c r="F1141" t="str">
        <f t="shared" si="42"/>
        <v>AL</v>
      </c>
    </row>
    <row r="1142" spans="1:6" x14ac:dyDescent="0.25">
      <c r="A1142" t="str">
        <f>"200011949"</f>
        <v>200011949</v>
      </c>
      <c r="B1142" t="str">
        <f>"1326716614"</f>
        <v>1326716614</v>
      </c>
      <c r="C1142" t="str">
        <f>"367500000X"</f>
        <v>367500000X</v>
      </c>
      <c r="D1142" t="str">
        <f>"WALKER                   CHANDLER                 "</f>
        <v xml:space="preserve">WALKER                   CHANDLER                 </v>
      </c>
      <c r="E1142" t="str">
        <f>"BIRMINGHAM                "</f>
        <v xml:space="preserve">BIRMINGHAM                </v>
      </c>
      <c r="F1142" t="str">
        <f t="shared" si="42"/>
        <v>AL</v>
      </c>
    </row>
    <row r="1143" spans="1:6" x14ac:dyDescent="0.25">
      <c r="A1143" t="str">
        <f>"200011951"</f>
        <v>200011951</v>
      </c>
      <c r="B1143" t="str">
        <f>"1740362821"</f>
        <v>1740362821</v>
      </c>
      <c r="C1143" t="str">
        <f>"207R00000X"</f>
        <v>207R00000X</v>
      </c>
      <c r="D1143" t="str">
        <f>"CHAVES                   JOSE                     "</f>
        <v xml:space="preserve">CHAVES                   JOSE                     </v>
      </c>
      <c r="E1143" t="str">
        <f>"FLORENCE                  "</f>
        <v xml:space="preserve">FLORENCE                  </v>
      </c>
      <c r="F1143" t="str">
        <f t="shared" si="42"/>
        <v>AL</v>
      </c>
    </row>
    <row r="1144" spans="1:6" x14ac:dyDescent="0.25">
      <c r="A1144" t="str">
        <f>"200011961"</f>
        <v>200011961</v>
      </c>
      <c r="B1144" t="str">
        <f>"1669762621"</f>
        <v>1669762621</v>
      </c>
      <c r="C1144" t="str">
        <f>"207L00000X"</f>
        <v>207L00000X</v>
      </c>
      <c r="D1144" t="str">
        <f>"SONG                     WEIFENG                  "</f>
        <v xml:space="preserve">SONG                     WEIFENG                  </v>
      </c>
      <c r="E1144" t="str">
        <f>"BIRMINGHAM                "</f>
        <v xml:space="preserve">BIRMINGHAM                </v>
      </c>
      <c r="F1144" t="str">
        <f t="shared" si="42"/>
        <v>AL</v>
      </c>
    </row>
    <row r="1145" spans="1:6" x14ac:dyDescent="0.25">
      <c r="A1145" t="str">
        <f>"200011972"</f>
        <v>200011972</v>
      </c>
      <c r="B1145" t="str">
        <f>"1669404356"</f>
        <v>1669404356</v>
      </c>
      <c r="C1145" t="str">
        <f>"207L00000X"</f>
        <v>207L00000X</v>
      </c>
      <c r="D1145" t="str">
        <f>"PHILLIPS                 MARK                     "</f>
        <v xml:space="preserve">PHILLIPS                 MARK                     </v>
      </c>
      <c r="E1145" t="str">
        <f>"BIRMINGHAM                "</f>
        <v xml:space="preserve">BIRMINGHAM                </v>
      </c>
      <c r="F1145" t="str">
        <f t="shared" si="42"/>
        <v>AL</v>
      </c>
    </row>
    <row r="1146" spans="1:6" x14ac:dyDescent="0.25">
      <c r="A1146" t="str">
        <f>"200011979"</f>
        <v>200011979</v>
      </c>
      <c r="B1146" t="str">
        <f>"1427581321"</f>
        <v>1427581321</v>
      </c>
      <c r="C1146" t="str">
        <f>"208M00000X"</f>
        <v>208M00000X</v>
      </c>
      <c r="D1146" t="str">
        <f>"MASSOUD                  MOUSTAFA                 "</f>
        <v xml:space="preserve">MASSOUD                  MOUSTAFA                 </v>
      </c>
      <c r="E1146" t="str">
        <f>"BIRMINGHAM                "</f>
        <v xml:space="preserve">BIRMINGHAM                </v>
      </c>
      <c r="F1146" t="str">
        <f t="shared" si="42"/>
        <v>AL</v>
      </c>
    </row>
    <row r="1147" spans="1:6" x14ac:dyDescent="0.25">
      <c r="A1147" t="str">
        <f>"200011992"</f>
        <v>200011992</v>
      </c>
      <c r="B1147" t="str">
        <f>"1649840224"</f>
        <v>1649840224</v>
      </c>
      <c r="C1147" t="str">
        <f>"367500000X"</f>
        <v>367500000X</v>
      </c>
      <c r="D1147" t="str">
        <f>"MCALISTER                SARAH                    "</f>
        <v xml:space="preserve">MCALISTER                SARAH                    </v>
      </c>
      <c r="E1147" t="str">
        <f>"BIRMINGHAM                "</f>
        <v xml:space="preserve">BIRMINGHAM                </v>
      </c>
      <c r="F1147" t="str">
        <f t="shared" si="42"/>
        <v>AL</v>
      </c>
    </row>
    <row r="1148" spans="1:6" x14ac:dyDescent="0.25">
      <c r="A1148" t="str">
        <f>"200011996"</f>
        <v>200011996</v>
      </c>
      <c r="B1148" t="str">
        <f>"1720685886"</f>
        <v>1720685886</v>
      </c>
      <c r="C1148" t="str">
        <f>"363L00000X"</f>
        <v>363L00000X</v>
      </c>
      <c r="D1148" t="str">
        <f>"SWINSICK                 AERIEL                   "</f>
        <v xml:space="preserve">SWINSICK                 AERIEL                   </v>
      </c>
      <c r="E1148" t="str">
        <f>"BIRMINGHAM                "</f>
        <v xml:space="preserve">BIRMINGHAM                </v>
      </c>
      <c r="F1148" t="str">
        <f t="shared" si="42"/>
        <v>AL</v>
      </c>
    </row>
    <row r="1149" spans="1:6" x14ac:dyDescent="0.25">
      <c r="A1149" t="str">
        <f>"200012017"</f>
        <v>200012017</v>
      </c>
      <c r="B1149" t="str">
        <f>"1679190755"</f>
        <v>1679190755</v>
      </c>
      <c r="C1149" t="str">
        <f>"208000000X"</f>
        <v>208000000X</v>
      </c>
      <c r="D1149" t="str">
        <f>"WEIDOW                   NICOLE       C           "</f>
        <v xml:space="preserve">WEIDOW                   NICOLE       C           </v>
      </c>
      <c r="E1149" t="str">
        <f>"MOBILE                    "</f>
        <v xml:space="preserve">MOBILE                    </v>
      </c>
      <c r="F1149" t="str">
        <f t="shared" si="42"/>
        <v>AL</v>
      </c>
    </row>
    <row r="1150" spans="1:6" x14ac:dyDescent="0.25">
      <c r="A1150" t="str">
        <f>"200012023"</f>
        <v>200012023</v>
      </c>
      <c r="B1150" t="str">
        <f>"1275850463"</f>
        <v>1275850463</v>
      </c>
      <c r="C1150" t="str">
        <f>"207R00000X"</f>
        <v>207R00000X</v>
      </c>
      <c r="D1150" t="str">
        <f>"BARRETT                  RICHARD                  "</f>
        <v xml:space="preserve">BARRETT                  RICHARD                  </v>
      </c>
      <c r="E1150" t="str">
        <f>"BIRMINGHAM                "</f>
        <v xml:space="preserve">BIRMINGHAM                </v>
      </c>
      <c r="F1150" t="str">
        <f t="shared" si="42"/>
        <v>AL</v>
      </c>
    </row>
    <row r="1151" spans="1:6" x14ac:dyDescent="0.25">
      <c r="A1151" t="str">
        <f>"200012030"</f>
        <v>200012030</v>
      </c>
      <c r="B1151" t="str">
        <f>"1497134357"</f>
        <v>1497134357</v>
      </c>
      <c r="C1151" t="str">
        <f>"207R00000X"</f>
        <v>207R00000X</v>
      </c>
      <c r="D1151" t="str">
        <f>"FOX                      STEVEN                   "</f>
        <v xml:space="preserve">FOX                      STEVEN                   </v>
      </c>
      <c r="E1151" t="str">
        <f>"BIRMINGHAM                "</f>
        <v xml:space="preserve">BIRMINGHAM                </v>
      </c>
      <c r="F1151" t="str">
        <f t="shared" si="42"/>
        <v>AL</v>
      </c>
    </row>
    <row r="1152" spans="1:6" x14ac:dyDescent="0.25">
      <c r="A1152" t="str">
        <f>"200012032"</f>
        <v>200012032</v>
      </c>
      <c r="B1152" t="str">
        <f>"1881458024"</f>
        <v>1881458024</v>
      </c>
      <c r="C1152" t="str">
        <f>"363LA2200X"</f>
        <v>363LA2200X</v>
      </c>
      <c r="D1152" t="str">
        <f>"LONG                     CAMERON                  "</f>
        <v xml:space="preserve">LONG                     CAMERON                  </v>
      </c>
      <c r="E1152" t="str">
        <f>"MOBILE                    "</f>
        <v xml:space="preserve">MOBILE                    </v>
      </c>
      <c r="F1152" t="str">
        <f t="shared" si="42"/>
        <v>AL</v>
      </c>
    </row>
    <row r="1153" spans="1:6" x14ac:dyDescent="0.25">
      <c r="A1153" t="str">
        <f>"200012034"</f>
        <v>200012034</v>
      </c>
      <c r="B1153" t="str">
        <f>"1942816228"</f>
        <v>1942816228</v>
      </c>
      <c r="C1153" t="str">
        <f>"363L00000X"</f>
        <v>363L00000X</v>
      </c>
      <c r="D1153" t="str">
        <f>"DAVIS                    MORGAN-ELIZAB            "</f>
        <v xml:space="preserve">DAVIS                    MORGAN-ELIZAB            </v>
      </c>
      <c r="E1153" t="str">
        <f t="shared" ref="E1153:E1166" si="43">"BIRMINGHAM                "</f>
        <v xml:space="preserve">BIRMINGHAM                </v>
      </c>
      <c r="F1153" t="str">
        <f t="shared" si="42"/>
        <v>AL</v>
      </c>
    </row>
    <row r="1154" spans="1:6" x14ac:dyDescent="0.25">
      <c r="A1154" t="str">
        <f>"200012037"</f>
        <v>200012037</v>
      </c>
      <c r="B1154" t="str">
        <f>"1013154962"</f>
        <v>1013154962</v>
      </c>
      <c r="C1154" t="str">
        <f>"208G00000X"</f>
        <v>208G00000X</v>
      </c>
      <c r="D1154" t="str">
        <f>"WEI                      BENJAMIN                 "</f>
        <v xml:space="preserve">WEI                      BENJAMIN                 </v>
      </c>
      <c r="E1154" t="str">
        <f t="shared" si="43"/>
        <v xml:space="preserve">BIRMINGHAM                </v>
      </c>
      <c r="F1154" t="str">
        <f t="shared" si="42"/>
        <v>AL</v>
      </c>
    </row>
    <row r="1155" spans="1:6" x14ac:dyDescent="0.25">
      <c r="A1155" t="str">
        <f>"200012038"</f>
        <v>200012038</v>
      </c>
      <c r="B1155" t="str">
        <f>"1750840914"</f>
        <v>1750840914</v>
      </c>
      <c r="C1155" t="str">
        <f>"363L00000X"</f>
        <v>363L00000X</v>
      </c>
      <c r="D1155" t="str">
        <f>"ROBSON                   MADISON                  "</f>
        <v xml:space="preserve">ROBSON                   MADISON                  </v>
      </c>
      <c r="E1155" t="str">
        <f t="shared" si="43"/>
        <v xml:space="preserve">BIRMINGHAM                </v>
      </c>
      <c r="F1155" t="str">
        <f t="shared" si="42"/>
        <v>AL</v>
      </c>
    </row>
    <row r="1156" spans="1:6" x14ac:dyDescent="0.25">
      <c r="A1156" t="str">
        <f>"200012052"</f>
        <v>200012052</v>
      </c>
      <c r="B1156" t="str">
        <f>"1922773480"</f>
        <v>1922773480</v>
      </c>
      <c r="C1156" t="str">
        <f>"367500000X"</f>
        <v>367500000X</v>
      </c>
      <c r="D1156" t="str">
        <f>"NORRIS                   JUSTIN                   "</f>
        <v xml:space="preserve">NORRIS                   JUSTIN                   </v>
      </c>
      <c r="E1156" t="str">
        <f t="shared" si="43"/>
        <v xml:space="preserve">BIRMINGHAM                </v>
      </c>
      <c r="F1156" t="str">
        <f t="shared" si="42"/>
        <v>AL</v>
      </c>
    </row>
    <row r="1157" spans="1:6" x14ac:dyDescent="0.25">
      <c r="A1157" t="str">
        <f>"200012062"</f>
        <v>200012062</v>
      </c>
      <c r="B1157" t="str">
        <f>"1104426998"</f>
        <v>1104426998</v>
      </c>
      <c r="C1157" t="str">
        <f>"207X00000X"</f>
        <v>207X00000X</v>
      </c>
      <c r="D1157" t="str">
        <f>"MORSY                    MOHAMED                  "</f>
        <v xml:space="preserve">MORSY                    MOHAMED                  </v>
      </c>
      <c r="E1157" t="str">
        <f t="shared" si="43"/>
        <v xml:space="preserve">BIRMINGHAM                </v>
      </c>
      <c r="F1157" t="str">
        <f t="shared" si="42"/>
        <v>AL</v>
      </c>
    </row>
    <row r="1158" spans="1:6" x14ac:dyDescent="0.25">
      <c r="A1158" t="str">
        <f>"200012067"</f>
        <v>200012067</v>
      </c>
      <c r="B1158" t="str">
        <f>"1346762648"</f>
        <v>1346762648</v>
      </c>
      <c r="C1158" t="str">
        <f>"207RP1001X"</f>
        <v>207RP1001X</v>
      </c>
      <c r="D1158" t="str">
        <f>"MAEDA                    TETSURO                  "</f>
        <v xml:space="preserve">MAEDA                    TETSURO                  </v>
      </c>
      <c r="E1158" t="str">
        <f t="shared" si="43"/>
        <v xml:space="preserve">BIRMINGHAM                </v>
      </c>
      <c r="F1158" t="str">
        <f t="shared" si="42"/>
        <v>AL</v>
      </c>
    </row>
    <row r="1159" spans="1:6" x14ac:dyDescent="0.25">
      <c r="A1159" t="str">
        <f>"200012069"</f>
        <v>200012069</v>
      </c>
      <c r="B1159" t="str">
        <f>"1922485333"</f>
        <v>1922485333</v>
      </c>
      <c r="C1159" t="str">
        <f>"207R00000X"</f>
        <v>207R00000X</v>
      </c>
      <c r="D1159" t="str">
        <f>"PATEL                    RUSHIL                   "</f>
        <v xml:space="preserve">PATEL                    RUSHIL                   </v>
      </c>
      <c r="E1159" t="str">
        <f t="shared" si="43"/>
        <v xml:space="preserve">BIRMINGHAM                </v>
      </c>
      <c r="F1159" t="str">
        <f t="shared" ref="F1159:F1222" si="44">"AL"</f>
        <v>AL</v>
      </c>
    </row>
    <row r="1160" spans="1:6" x14ac:dyDescent="0.25">
      <c r="A1160" t="str">
        <f>"200012070"</f>
        <v>200012070</v>
      </c>
      <c r="B1160" t="str">
        <f>"1497397558"</f>
        <v>1497397558</v>
      </c>
      <c r="C1160" t="str">
        <f>"363L00000X"</f>
        <v>363L00000X</v>
      </c>
      <c r="D1160" t="str">
        <f>"HARRISON                 JENNIFER                 "</f>
        <v xml:space="preserve">HARRISON                 JENNIFER                 </v>
      </c>
      <c r="E1160" t="str">
        <f t="shared" si="43"/>
        <v xml:space="preserve">BIRMINGHAM                </v>
      </c>
      <c r="F1160" t="str">
        <f t="shared" si="44"/>
        <v>AL</v>
      </c>
    </row>
    <row r="1161" spans="1:6" x14ac:dyDescent="0.25">
      <c r="A1161" t="str">
        <f>"200012073"</f>
        <v>200012073</v>
      </c>
      <c r="B1161" t="str">
        <f>"1154959302"</f>
        <v>1154959302</v>
      </c>
      <c r="C1161" t="str">
        <f>"207R00000X"</f>
        <v>207R00000X</v>
      </c>
      <c r="D1161" t="str">
        <f>"SUAREZ                   DAMIAN       J           "</f>
        <v xml:space="preserve">SUAREZ                   DAMIAN       J           </v>
      </c>
      <c r="E1161" t="str">
        <f t="shared" si="43"/>
        <v xml:space="preserve">BIRMINGHAM                </v>
      </c>
      <c r="F1161" t="str">
        <f t="shared" si="44"/>
        <v>AL</v>
      </c>
    </row>
    <row r="1162" spans="1:6" x14ac:dyDescent="0.25">
      <c r="A1162" t="str">
        <f>"200012075"</f>
        <v>200012075</v>
      </c>
      <c r="B1162" t="str">
        <f>"1679079362"</f>
        <v>1679079362</v>
      </c>
      <c r="C1162" t="str">
        <f>"2085R0202X"</f>
        <v>2085R0202X</v>
      </c>
      <c r="D1162" t="str">
        <f>"KNIGHT                   ALYSSA                   "</f>
        <v xml:space="preserve">KNIGHT                   ALYSSA                   </v>
      </c>
      <c r="E1162" t="str">
        <f t="shared" si="43"/>
        <v xml:space="preserve">BIRMINGHAM                </v>
      </c>
      <c r="F1162" t="str">
        <f t="shared" si="44"/>
        <v>AL</v>
      </c>
    </row>
    <row r="1163" spans="1:6" x14ac:dyDescent="0.25">
      <c r="A1163" t="str">
        <f>"200012077"</f>
        <v>200012077</v>
      </c>
      <c r="B1163" t="str">
        <f>"1841686698"</f>
        <v>1841686698</v>
      </c>
      <c r="C1163" t="str">
        <f>"207L00000X"</f>
        <v>207L00000X</v>
      </c>
      <c r="D1163" t="str">
        <f>"NEUENSCHWANDER           ANNALESE                 "</f>
        <v xml:space="preserve">NEUENSCHWANDER           ANNALESE                 </v>
      </c>
      <c r="E1163" t="str">
        <f t="shared" si="43"/>
        <v xml:space="preserve">BIRMINGHAM                </v>
      </c>
      <c r="F1163" t="str">
        <f t="shared" si="44"/>
        <v>AL</v>
      </c>
    </row>
    <row r="1164" spans="1:6" x14ac:dyDescent="0.25">
      <c r="A1164" t="str">
        <f>"200012080"</f>
        <v>200012080</v>
      </c>
      <c r="B1164" t="str">
        <f>"1851322713"</f>
        <v>1851322713</v>
      </c>
      <c r="C1164" t="str">
        <f>"207P00000X"</f>
        <v>207P00000X</v>
      </c>
      <c r="D1164" t="str">
        <f>"SHAPSHAK                 DAG                      "</f>
        <v xml:space="preserve">SHAPSHAK                 DAG                      </v>
      </c>
      <c r="E1164" t="str">
        <f t="shared" si="43"/>
        <v xml:space="preserve">BIRMINGHAM                </v>
      </c>
      <c r="F1164" t="str">
        <f t="shared" si="44"/>
        <v>AL</v>
      </c>
    </row>
    <row r="1165" spans="1:6" x14ac:dyDescent="0.25">
      <c r="A1165" t="str">
        <f>"200012093"</f>
        <v>200012093</v>
      </c>
      <c r="B1165" t="str">
        <f>"1720790686"</f>
        <v>1720790686</v>
      </c>
      <c r="C1165" t="str">
        <f>"2085R0202X"</f>
        <v>2085R0202X</v>
      </c>
      <c r="D1165" t="str">
        <f>"IBRAHIM                  MOHAMED                  "</f>
        <v xml:space="preserve">IBRAHIM                  MOHAMED                  </v>
      </c>
      <c r="E1165" t="str">
        <f t="shared" si="43"/>
        <v xml:space="preserve">BIRMINGHAM                </v>
      </c>
      <c r="F1165" t="str">
        <f t="shared" si="44"/>
        <v>AL</v>
      </c>
    </row>
    <row r="1166" spans="1:6" x14ac:dyDescent="0.25">
      <c r="A1166" t="str">
        <f>"200012096"</f>
        <v>200012096</v>
      </c>
      <c r="B1166" t="str">
        <f>"1629503271"</f>
        <v>1629503271</v>
      </c>
      <c r="C1166" t="str">
        <f>"2085R0204X"</f>
        <v>2085R0204X</v>
      </c>
      <c r="D1166" t="str">
        <f>"JACOBS                   ADAM                     "</f>
        <v xml:space="preserve">JACOBS                   ADAM                     </v>
      </c>
      <c r="E1166" t="str">
        <f t="shared" si="43"/>
        <v xml:space="preserve">BIRMINGHAM                </v>
      </c>
      <c r="F1166" t="str">
        <f t="shared" si="44"/>
        <v>AL</v>
      </c>
    </row>
    <row r="1167" spans="1:6" x14ac:dyDescent="0.25">
      <c r="A1167" t="str">
        <f>"200012097"</f>
        <v>200012097</v>
      </c>
      <c r="B1167" t="str">
        <f>"1831949569"</f>
        <v>1831949569</v>
      </c>
      <c r="C1167" t="str">
        <f>"208600000X"</f>
        <v>208600000X</v>
      </c>
      <c r="D1167" t="str">
        <f>"FISCHER                  KARL                     "</f>
        <v xml:space="preserve">FISCHER                  KARL                     </v>
      </c>
      <c r="E1167" t="str">
        <f>"MOBILE                    "</f>
        <v xml:space="preserve">MOBILE                    </v>
      </c>
      <c r="F1167" t="str">
        <f t="shared" si="44"/>
        <v>AL</v>
      </c>
    </row>
    <row r="1168" spans="1:6" x14ac:dyDescent="0.25">
      <c r="A1168" t="str">
        <f>"200012105"</f>
        <v>200012105</v>
      </c>
      <c r="B1168" t="str">
        <f>"1215652516"</f>
        <v>1215652516</v>
      </c>
      <c r="C1168" t="str">
        <f>"363L00000X"</f>
        <v>363L00000X</v>
      </c>
      <c r="D1168" t="str">
        <f>"AL KHAMIS                FATEN                    "</f>
        <v xml:space="preserve">AL KHAMIS                FATEN                    </v>
      </c>
      <c r="E1168" t="str">
        <f t="shared" ref="E1168:E1173" si="45">"BIRMINGHAM                "</f>
        <v xml:space="preserve">BIRMINGHAM                </v>
      </c>
      <c r="F1168" t="str">
        <f t="shared" si="44"/>
        <v>AL</v>
      </c>
    </row>
    <row r="1169" spans="1:6" x14ac:dyDescent="0.25">
      <c r="A1169" t="str">
        <f>"200012108"</f>
        <v>200012108</v>
      </c>
      <c r="B1169" t="str">
        <f>"1053998559"</f>
        <v>1053998559</v>
      </c>
      <c r="C1169" t="str">
        <f>"207P00000X"</f>
        <v>207P00000X</v>
      </c>
      <c r="D1169" t="str">
        <f>"GRIESMER                 KATHERINE                "</f>
        <v xml:space="preserve">GRIESMER                 KATHERINE                </v>
      </c>
      <c r="E1169" t="str">
        <f t="shared" si="45"/>
        <v xml:space="preserve">BIRMINGHAM                </v>
      </c>
      <c r="F1169" t="str">
        <f t="shared" si="44"/>
        <v>AL</v>
      </c>
    </row>
    <row r="1170" spans="1:6" x14ac:dyDescent="0.25">
      <c r="A1170" t="str">
        <f>"200012112"</f>
        <v>200012112</v>
      </c>
      <c r="B1170" t="str">
        <f>"1528227345"</f>
        <v>1528227345</v>
      </c>
      <c r="C1170" t="str">
        <f>"207P00000X"</f>
        <v>207P00000X</v>
      </c>
      <c r="D1170" t="str">
        <f>"DELANEY                  MATTHEW                  "</f>
        <v xml:space="preserve">DELANEY                  MATTHEW                  </v>
      </c>
      <c r="E1170" t="str">
        <f t="shared" si="45"/>
        <v xml:space="preserve">BIRMINGHAM                </v>
      </c>
      <c r="F1170" t="str">
        <f t="shared" si="44"/>
        <v>AL</v>
      </c>
    </row>
    <row r="1171" spans="1:6" x14ac:dyDescent="0.25">
      <c r="A1171" t="str">
        <f>"200012135"</f>
        <v>200012135</v>
      </c>
      <c r="B1171" t="str">
        <f>"1487268785"</f>
        <v>1487268785</v>
      </c>
      <c r="C1171" t="str">
        <f>"363L00000X"</f>
        <v>363L00000X</v>
      </c>
      <c r="D1171" t="str">
        <f>"DEAR                     HOPE                     "</f>
        <v xml:space="preserve">DEAR                     HOPE                     </v>
      </c>
      <c r="E1171" t="str">
        <f t="shared" si="45"/>
        <v xml:space="preserve">BIRMINGHAM                </v>
      </c>
      <c r="F1171" t="str">
        <f t="shared" si="44"/>
        <v>AL</v>
      </c>
    </row>
    <row r="1172" spans="1:6" x14ac:dyDescent="0.25">
      <c r="A1172" t="str">
        <f>"200012138"</f>
        <v>200012138</v>
      </c>
      <c r="B1172" t="str">
        <f>"1154587897"</f>
        <v>1154587897</v>
      </c>
      <c r="C1172" t="str">
        <f>"207RN0300X"</f>
        <v>207RN0300X</v>
      </c>
      <c r="D1172" t="str">
        <f>"GANDHI                   MAMATHA                  "</f>
        <v xml:space="preserve">GANDHI                   MAMATHA                  </v>
      </c>
      <c r="E1172" t="str">
        <f t="shared" si="45"/>
        <v xml:space="preserve">BIRMINGHAM                </v>
      </c>
      <c r="F1172" t="str">
        <f t="shared" si="44"/>
        <v>AL</v>
      </c>
    </row>
    <row r="1173" spans="1:6" x14ac:dyDescent="0.25">
      <c r="A1173" t="str">
        <f>"200012140"</f>
        <v>200012140</v>
      </c>
      <c r="B1173" t="str">
        <f>"1912110040"</f>
        <v>1912110040</v>
      </c>
      <c r="C1173" t="str">
        <f>"207RC0000X"</f>
        <v>207RC0000X</v>
      </c>
      <c r="D1173" t="str">
        <f>"FONBAH                   WILLIAM      S           "</f>
        <v xml:space="preserve">FONBAH                   WILLIAM      S           </v>
      </c>
      <c r="E1173" t="str">
        <f t="shared" si="45"/>
        <v xml:space="preserve">BIRMINGHAM                </v>
      </c>
      <c r="F1173" t="str">
        <f t="shared" si="44"/>
        <v>AL</v>
      </c>
    </row>
    <row r="1174" spans="1:6" x14ac:dyDescent="0.25">
      <c r="A1174" t="str">
        <f>"200012144"</f>
        <v>200012144</v>
      </c>
      <c r="B1174" t="str">
        <f>"1467202697"</f>
        <v>1467202697</v>
      </c>
      <c r="C1174" t="str">
        <f>"208600000X"</f>
        <v>208600000X</v>
      </c>
      <c r="D1174" t="str">
        <f>"FLESHER                  NATHAN                   "</f>
        <v xml:space="preserve">FLESHER                  NATHAN                   </v>
      </c>
      <c r="E1174" t="str">
        <f>"MOBILE                    "</f>
        <v xml:space="preserve">MOBILE                    </v>
      </c>
      <c r="F1174" t="str">
        <f t="shared" si="44"/>
        <v>AL</v>
      </c>
    </row>
    <row r="1175" spans="1:6" x14ac:dyDescent="0.25">
      <c r="A1175" t="str">
        <f>"200012194"</f>
        <v>200012194</v>
      </c>
      <c r="B1175" t="str">
        <f>"1720473341"</f>
        <v>1720473341</v>
      </c>
      <c r="C1175" t="str">
        <f>"2084N0400X"</f>
        <v>2084N0400X</v>
      </c>
      <c r="D1175" t="str">
        <f>"RAHMAN                   SHAREENA                 "</f>
        <v xml:space="preserve">RAHMAN                   SHAREENA                 </v>
      </c>
      <c r="E1175" t="str">
        <f>"BIRMINGHAM                "</f>
        <v xml:space="preserve">BIRMINGHAM                </v>
      </c>
      <c r="F1175" t="str">
        <f t="shared" si="44"/>
        <v>AL</v>
      </c>
    </row>
    <row r="1176" spans="1:6" x14ac:dyDescent="0.25">
      <c r="A1176" t="str">
        <f>"200012197"</f>
        <v>200012197</v>
      </c>
      <c r="B1176" t="str">
        <f>"1649030834"</f>
        <v>1649030834</v>
      </c>
      <c r="C1176" t="str">
        <f>"208600000X"</f>
        <v>208600000X</v>
      </c>
      <c r="D1176" t="str">
        <f>"THROWER                  MADISON                  "</f>
        <v xml:space="preserve">THROWER                  MADISON                  </v>
      </c>
      <c r="E1176" t="str">
        <f>"MOBILE                    "</f>
        <v xml:space="preserve">MOBILE                    </v>
      </c>
      <c r="F1176" t="str">
        <f t="shared" si="44"/>
        <v>AL</v>
      </c>
    </row>
    <row r="1177" spans="1:6" x14ac:dyDescent="0.25">
      <c r="A1177" t="str">
        <f>"200012198"</f>
        <v>200012198</v>
      </c>
      <c r="B1177" t="str">
        <f>"1477050235"</f>
        <v>1477050235</v>
      </c>
      <c r="C1177" t="str">
        <f>"2085R0202X"</f>
        <v>2085R0202X</v>
      </c>
      <c r="D1177" t="str">
        <f>"COOK                     JAMES                    "</f>
        <v xml:space="preserve">COOK                     JAMES                    </v>
      </c>
      <c r="E1177" t="str">
        <f>"BIRMINGHAM                "</f>
        <v xml:space="preserve">BIRMINGHAM                </v>
      </c>
      <c r="F1177" t="str">
        <f t="shared" si="44"/>
        <v>AL</v>
      </c>
    </row>
    <row r="1178" spans="1:6" x14ac:dyDescent="0.25">
      <c r="A1178" t="str">
        <f>"200012199"</f>
        <v>200012199</v>
      </c>
      <c r="B1178" t="str">
        <f>"1154612315"</f>
        <v>1154612315</v>
      </c>
      <c r="C1178" t="str">
        <f>"207P00000X"</f>
        <v>207P00000X</v>
      </c>
      <c r="D1178" t="str">
        <f>"BOBO                     MICHAEL                  "</f>
        <v xml:space="preserve">BOBO                     MICHAEL                  </v>
      </c>
      <c r="E1178" t="str">
        <f>"BIRMINGHAM                "</f>
        <v xml:space="preserve">BIRMINGHAM                </v>
      </c>
      <c r="F1178" t="str">
        <f t="shared" si="44"/>
        <v>AL</v>
      </c>
    </row>
    <row r="1179" spans="1:6" x14ac:dyDescent="0.25">
      <c r="A1179" t="str">
        <f>"200012211"</f>
        <v>200012211</v>
      </c>
      <c r="B1179" t="str">
        <f>"1124779335"</f>
        <v>1124779335</v>
      </c>
      <c r="C1179" t="str">
        <f>"208600000X"</f>
        <v>208600000X</v>
      </c>
      <c r="D1179" t="str">
        <f>"KHONG                    TU                       "</f>
        <v xml:space="preserve">KHONG                    TU                       </v>
      </c>
      <c r="E1179" t="str">
        <f>"MOBILE                    "</f>
        <v xml:space="preserve">MOBILE                    </v>
      </c>
      <c r="F1179" t="str">
        <f t="shared" si="44"/>
        <v>AL</v>
      </c>
    </row>
    <row r="1180" spans="1:6" x14ac:dyDescent="0.25">
      <c r="A1180" t="str">
        <f>"200012216"</f>
        <v>200012216</v>
      </c>
      <c r="B1180" t="str">
        <f>"1275797342"</f>
        <v>1275797342</v>
      </c>
      <c r="C1180" t="str">
        <f>"207R00000X"</f>
        <v>207R00000X</v>
      </c>
      <c r="D1180" t="str">
        <f>"ARORA                    PANKAJ                   "</f>
        <v xml:space="preserve">ARORA                    PANKAJ                   </v>
      </c>
      <c r="E1180" t="str">
        <f>"BIRMINGHAM                "</f>
        <v xml:space="preserve">BIRMINGHAM                </v>
      </c>
      <c r="F1180" t="str">
        <f t="shared" si="44"/>
        <v>AL</v>
      </c>
    </row>
    <row r="1181" spans="1:6" x14ac:dyDescent="0.25">
      <c r="A1181" t="str">
        <f>"200012221"</f>
        <v>200012221</v>
      </c>
      <c r="B1181" t="str">
        <f>"1831734060"</f>
        <v>1831734060</v>
      </c>
      <c r="C1181" t="str">
        <f>"363L00000X"</f>
        <v>363L00000X</v>
      </c>
      <c r="D1181" t="str">
        <f>"ALEXANDER                KAYLA                    "</f>
        <v xml:space="preserve">ALEXANDER                KAYLA                    </v>
      </c>
      <c r="E1181" t="str">
        <f>"BIRMINGHAM                "</f>
        <v xml:space="preserve">BIRMINGHAM                </v>
      </c>
      <c r="F1181" t="str">
        <f t="shared" si="44"/>
        <v>AL</v>
      </c>
    </row>
    <row r="1182" spans="1:6" x14ac:dyDescent="0.25">
      <c r="A1182" t="str">
        <f>"200012225"</f>
        <v>200012225</v>
      </c>
      <c r="B1182" t="str">
        <f>"1023409091"</f>
        <v>1023409091</v>
      </c>
      <c r="C1182" t="str">
        <f>"363L00000X"</f>
        <v>363L00000X</v>
      </c>
      <c r="D1182" t="str">
        <f>"BECKHAM                  LINDSEY                  "</f>
        <v xml:space="preserve">BECKHAM                  LINDSEY                  </v>
      </c>
      <c r="E1182" t="str">
        <f>"BIRMINGHAM                "</f>
        <v xml:space="preserve">BIRMINGHAM                </v>
      </c>
      <c r="F1182" t="str">
        <f t="shared" si="44"/>
        <v>AL</v>
      </c>
    </row>
    <row r="1183" spans="1:6" x14ac:dyDescent="0.25">
      <c r="A1183" t="str">
        <f>"200012228"</f>
        <v>200012228</v>
      </c>
      <c r="B1183" t="str">
        <f>"1912490426"</f>
        <v>1912490426</v>
      </c>
      <c r="C1183" t="str">
        <f>"207RP1001X"</f>
        <v>207RP1001X</v>
      </c>
      <c r="D1183" t="str">
        <f>"SRIDHAR                  MEENAKSHI                "</f>
        <v xml:space="preserve">SRIDHAR                  MEENAKSHI                </v>
      </c>
      <c r="E1183" t="str">
        <f>"BIRMINGHAM                "</f>
        <v xml:space="preserve">BIRMINGHAM                </v>
      </c>
      <c r="F1183" t="str">
        <f t="shared" si="44"/>
        <v>AL</v>
      </c>
    </row>
    <row r="1184" spans="1:6" x14ac:dyDescent="0.25">
      <c r="A1184" t="str">
        <f>"200012237"</f>
        <v>200012237</v>
      </c>
      <c r="B1184" t="str">
        <f>"1235624958"</f>
        <v>1235624958</v>
      </c>
      <c r="C1184" t="str">
        <f>"207P00000X"</f>
        <v>207P00000X</v>
      </c>
      <c r="D1184" t="str">
        <f>"GRASS                    EMILY                    "</f>
        <v xml:space="preserve">GRASS                    EMILY                    </v>
      </c>
      <c r="E1184" t="str">
        <f>"BIRMINGHAM                "</f>
        <v xml:space="preserve">BIRMINGHAM                </v>
      </c>
      <c r="F1184" t="str">
        <f t="shared" si="44"/>
        <v>AL</v>
      </c>
    </row>
    <row r="1185" spans="1:6" x14ac:dyDescent="0.25">
      <c r="A1185" t="str">
        <f>"200012251"</f>
        <v>200012251</v>
      </c>
      <c r="B1185" t="str">
        <f>"1235622804"</f>
        <v>1235622804</v>
      </c>
      <c r="C1185" t="str">
        <f>"207P00000X"</f>
        <v>207P00000X</v>
      </c>
      <c r="D1185" t="str">
        <f>"GUYTON                   WILLIAM                  "</f>
        <v xml:space="preserve">GUYTON                   WILLIAM                  </v>
      </c>
      <c r="E1185" t="str">
        <f>"RED BAY                   "</f>
        <v xml:space="preserve">RED BAY                   </v>
      </c>
      <c r="F1185" t="str">
        <f t="shared" si="44"/>
        <v>AL</v>
      </c>
    </row>
    <row r="1186" spans="1:6" x14ac:dyDescent="0.25">
      <c r="A1186" t="str">
        <f>"200012256"</f>
        <v>200012256</v>
      </c>
      <c r="B1186" t="str">
        <f>"1104458389"</f>
        <v>1104458389</v>
      </c>
      <c r="C1186" t="str">
        <f>"363A00000X"</f>
        <v>363A00000X</v>
      </c>
      <c r="D1186" t="str">
        <f>"TRAVIS                   CRYSTAL                  "</f>
        <v xml:space="preserve">TRAVIS                   CRYSTAL                  </v>
      </c>
      <c r="E1186" t="str">
        <f>"BIRMINGHAM                "</f>
        <v xml:space="preserve">BIRMINGHAM                </v>
      </c>
      <c r="F1186" t="str">
        <f t="shared" si="44"/>
        <v>AL</v>
      </c>
    </row>
    <row r="1187" spans="1:6" x14ac:dyDescent="0.25">
      <c r="A1187" t="str">
        <f>"200012261"</f>
        <v>200012261</v>
      </c>
      <c r="B1187" t="str">
        <f>"1619400090"</f>
        <v>1619400090</v>
      </c>
      <c r="C1187" t="str">
        <f>"207RG0100X"</f>
        <v>207RG0100X</v>
      </c>
      <c r="D1187" t="str">
        <f>"SPENCER                  CHAD         M           "</f>
        <v xml:space="preserve">SPENCER                  CHAD         M           </v>
      </c>
      <c r="E1187" t="str">
        <f>"BIRMINGHAM                "</f>
        <v xml:space="preserve">BIRMINGHAM                </v>
      </c>
      <c r="F1187" t="str">
        <f t="shared" si="44"/>
        <v>AL</v>
      </c>
    </row>
    <row r="1188" spans="1:6" x14ac:dyDescent="0.25">
      <c r="A1188" t="str">
        <f>"200012267"</f>
        <v>200012267</v>
      </c>
      <c r="B1188" t="str">
        <f>"1407523392"</f>
        <v>1407523392</v>
      </c>
      <c r="C1188" t="str">
        <f>"208M00000X"</f>
        <v>208M00000X</v>
      </c>
      <c r="D1188" t="str">
        <f>"YAMANE                   AMIA                     "</f>
        <v xml:space="preserve">YAMANE                   AMIA                     </v>
      </c>
      <c r="E1188" t="str">
        <f>"MOBILE                    "</f>
        <v xml:space="preserve">MOBILE                    </v>
      </c>
      <c r="F1188" t="str">
        <f t="shared" si="44"/>
        <v>AL</v>
      </c>
    </row>
    <row r="1189" spans="1:6" x14ac:dyDescent="0.25">
      <c r="A1189" t="str">
        <f>"200012282"</f>
        <v>200012282</v>
      </c>
      <c r="B1189" t="str">
        <f>"1437924016"</f>
        <v>1437924016</v>
      </c>
      <c r="C1189" t="str">
        <f>"363LF0000X"</f>
        <v>363LF0000X</v>
      </c>
      <c r="D1189" t="str">
        <f>"KENNINGTON               BRANDACE                 "</f>
        <v xml:space="preserve">KENNINGTON               BRANDACE                 </v>
      </c>
      <c r="E1189" t="str">
        <f>"MOBILE                    "</f>
        <v xml:space="preserve">MOBILE                    </v>
      </c>
      <c r="F1189" t="str">
        <f t="shared" si="44"/>
        <v>AL</v>
      </c>
    </row>
    <row r="1190" spans="1:6" x14ac:dyDescent="0.25">
      <c r="A1190" t="str">
        <f>"200012290"</f>
        <v>200012290</v>
      </c>
      <c r="B1190" t="str">
        <f>"1740030766"</f>
        <v>1740030766</v>
      </c>
      <c r="C1190" t="str">
        <f>"208600000X"</f>
        <v>208600000X</v>
      </c>
      <c r="D1190" t="str">
        <f>"GROSS                    SARAH                    "</f>
        <v xml:space="preserve">GROSS                    SARAH                    </v>
      </c>
      <c r="E1190" t="str">
        <f>"MOBILE                    "</f>
        <v xml:space="preserve">MOBILE                    </v>
      </c>
      <c r="F1190" t="str">
        <f t="shared" si="44"/>
        <v>AL</v>
      </c>
    </row>
    <row r="1191" spans="1:6" x14ac:dyDescent="0.25">
      <c r="A1191" t="str">
        <f>"200012295"</f>
        <v>200012295</v>
      </c>
      <c r="B1191" t="str">
        <f>"1144635525"</f>
        <v>1144635525</v>
      </c>
      <c r="C1191" t="str">
        <f>"207R00000X"</f>
        <v>207R00000X</v>
      </c>
      <c r="D1191" t="str">
        <f>"SARKIS                   FAYEZ                    "</f>
        <v xml:space="preserve">SARKIS                   FAYEZ                    </v>
      </c>
      <c r="E1191" t="str">
        <f>"BIRMINGHAM                "</f>
        <v xml:space="preserve">BIRMINGHAM                </v>
      </c>
      <c r="F1191" t="str">
        <f t="shared" si="44"/>
        <v>AL</v>
      </c>
    </row>
    <row r="1192" spans="1:6" x14ac:dyDescent="0.25">
      <c r="A1192" t="str">
        <f>"200012301"</f>
        <v>200012301</v>
      </c>
      <c r="B1192" t="str">
        <f>"1477085256"</f>
        <v>1477085256</v>
      </c>
      <c r="C1192" t="str">
        <f>"207ZP0102X"</f>
        <v>207ZP0102X</v>
      </c>
      <c r="D1192" t="str">
        <f>"RAVINDRAN                AISHWARYA                "</f>
        <v xml:space="preserve">RAVINDRAN                AISHWARYA                </v>
      </c>
      <c r="E1192" t="str">
        <f>"BIRMINGHAM                "</f>
        <v xml:space="preserve">BIRMINGHAM                </v>
      </c>
      <c r="F1192" t="str">
        <f t="shared" si="44"/>
        <v>AL</v>
      </c>
    </row>
    <row r="1193" spans="1:6" x14ac:dyDescent="0.25">
      <c r="A1193" t="str">
        <f>"200012306"</f>
        <v>200012306</v>
      </c>
      <c r="B1193" t="str">
        <f>"1962039982"</f>
        <v>1962039982</v>
      </c>
      <c r="C1193" t="str">
        <f>"207VX0201X"</f>
        <v>207VX0201X</v>
      </c>
      <c r="D1193" t="str">
        <f>"CUMMINGS                 MACKENZIE                "</f>
        <v xml:space="preserve">CUMMINGS                 MACKENZIE                </v>
      </c>
      <c r="E1193" t="str">
        <f>"MOBILE                    "</f>
        <v xml:space="preserve">MOBILE                    </v>
      </c>
      <c r="F1193" t="str">
        <f t="shared" si="44"/>
        <v>AL</v>
      </c>
    </row>
    <row r="1194" spans="1:6" x14ac:dyDescent="0.25">
      <c r="A1194" t="str">
        <f>"200012329"</f>
        <v>200012329</v>
      </c>
      <c r="B1194" t="str">
        <f>"1881127132"</f>
        <v>1881127132</v>
      </c>
      <c r="C1194" t="str">
        <f>"2085R0202X"</f>
        <v>2085R0202X</v>
      </c>
      <c r="D1194" t="str">
        <f>"HENSLEY                  CHRISTOPHER              "</f>
        <v xml:space="preserve">HENSLEY                  CHRISTOPHER              </v>
      </c>
      <c r="E1194" t="str">
        <f>"BIRMINGHAM                "</f>
        <v xml:space="preserve">BIRMINGHAM                </v>
      </c>
      <c r="F1194" t="str">
        <f t="shared" si="44"/>
        <v>AL</v>
      </c>
    </row>
    <row r="1195" spans="1:6" x14ac:dyDescent="0.25">
      <c r="A1195" t="str">
        <f>"200012333"</f>
        <v>200012333</v>
      </c>
      <c r="B1195" t="str">
        <f>"1598228157"</f>
        <v>1598228157</v>
      </c>
      <c r="C1195" t="str">
        <f>"207R00000X"</f>
        <v>207R00000X</v>
      </c>
      <c r="D1195" t="str">
        <f>"WONG                     JASON                    "</f>
        <v xml:space="preserve">WONG                     JASON                    </v>
      </c>
      <c r="E1195" t="str">
        <f t="shared" ref="E1195:E1201" si="46">"MOBILE                    "</f>
        <v xml:space="preserve">MOBILE                    </v>
      </c>
      <c r="F1195" t="str">
        <f t="shared" si="44"/>
        <v>AL</v>
      </c>
    </row>
    <row r="1196" spans="1:6" x14ac:dyDescent="0.25">
      <c r="A1196" t="str">
        <f>"200012338"</f>
        <v>200012338</v>
      </c>
      <c r="B1196" t="str">
        <f>"1497505291"</f>
        <v>1497505291</v>
      </c>
      <c r="C1196" t="str">
        <f>"208800000X"</f>
        <v>208800000X</v>
      </c>
      <c r="D1196" t="str">
        <f>"MANGANTI                 CHRISTIAN                "</f>
        <v xml:space="preserve">MANGANTI                 CHRISTIAN                </v>
      </c>
      <c r="E1196" t="str">
        <f t="shared" si="46"/>
        <v xml:space="preserve">MOBILE                    </v>
      </c>
      <c r="F1196" t="str">
        <f t="shared" si="44"/>
        <v>AL</v>
      </c>
    </row>
    <row r="1197" spans="1:6" x14ac:dyDescent="0.25">
      <c r="A1197" t="str">
        <f>"200012364"</f>
        <v>200012364</v>
      </c>
      <c r="B1197" t="str">
        <f>"1114777109"</f>
        <v>1114777109</v>
      </c>
      <c r="C1197" t="str">
        <f>"207R00000X"</f>
        <v>207R00000X</v>
      </c>
      <c r="D1197" t="str">
        <f>"KHALID                   AARIEZ                   "</f>
        <v xml:space="preserve">KHALID                   AARIEZ                   </v>
      </c>
      <c r="E1197" t="str">
        <f t="shared" si="46"/>
        <v xml:space="preserve">MOBILE                    </v>
      </c>
      <c r="F1197" t="str">
        <f t="shared" si="44"/>
        <v>AL</v>
      </c>
    </row>
    <row r="1198" spans="1:6" x14ac:dyDescent="0.25">
      <c r="A1198" t="str">
        <f>"200012373"</f>
        <v>200012373</v>
      </c>
      <c r="B1198" t="str">
        <f>"1154908408"</f>
        <v>1154908408</v>
      </c>
      <c r="C1198" t="str">
        <f>"208M00000X"</f>
        <v>208M00000X</v>
      </c>
      <c r="D1198" t="str">
        <f>"NGUYEN                   KIM                      "</f>
        <v xml:space="preserve">NGUYEN                   KIM                      </v>
      </c>
      <c r="E1198" t="str">
        <f t="shared" si="46"/>
        <v xml:space="preserve">MOBILE                    </v>
      </c>
      <c r="F1198" t="str">
        <f t="shared" si="44"/>
        <v>AL</v>
      </c>
    </row>
    <row r="1199" spans="1:6" x14ac:dyDescent="0.25">
      <c r="A1199" t="str">
        <f>"200012392"</f>
        <v>200012392</v>
      </c>
      <c r="B1199" t="str">
        <f>"1881444057"</f>
        <v>1881444057</v>
      </c>
      <c r="C1199" t="str">
        <f>"207R00000X"</f>
        <v>207R00000X</v>
      </c>
      <c r="D1199" t="str">
        <f>"KYCYKU                   XHENSILA                 "</f>
        <v xml:space="preserve">KYCYKU                   XHENSILA                 </v>
      </c>
      <c r="E1199" t="str">
        <f t="shared" si="46"/>
        <v xml:space="preserve">MOBILE                    </v>
      </c>
      <c r="F1199" t="str">
        <f t="shared" si="44"/>
        <v>AL</v>
      </c>
    </row>
    <row r="1200" spans="1:6" x14ac:dyDescent="0.25">
      <c r="A1200" t="str">
        <f>"200012396"</f>
        <v>200012396</v>
      </c>
      <c r="B1200" t="str">
        <f>"1215788617"</f>
        <v>1215788617</v>
      </c>
      <c r="C1200" t="str">
        <f>"207R00000X"</f>
        <v>207R00000X</v>
      </c>
      <c r="D1200" t="str">
        <f>"EHTSHAM                  NUMAIR                   "</f>
        <v xml:space="preserve">EHTSHAM                  NUMAIR                   </v>
      </c>
      <c r="E1200" t="str">
        <f t="shared" si="46"/>
        <v xml:space="preserve">MOBILE                    </v>
      </c>
      <c r="F1200" t="str">
        <f t="shared" si="44"/>
        <v>AL</v>
      </c>
    </row>
    <row r="1201" spans="1:6" x14ac:dyDescent="0.25">
      <c r="A1201" t="str">
        <f>"200012398"</f>
        <v>200012398</v>
      </c>
      <c r="B1201" t="str">
        <f>"1295426419"</f>
        <v>1295426419</v>
      </c>
      <c r="C1201" t="str">
        <f>"207R00000X"</f>
        <v>207R00000X</v>
      </c>
      <c r="D1201" t="str">
        <f>"HURTADO CABRERA          PAVEL                    "</f>
        <v xml:space="preserve">HURTADO CABRERA          PAVEL                    </v>
      </c>
      <c r="E1201" t="str">
        <f t="shared" si="46"/>
        <v xml:space="preserve">MOBILE                    </v>
      </c>
      <c r="F1201" t="str">
        <f t="shared" si="44"/>
        <v>AL</v>
      </c>
    </row>
    <row r="1202" spans="1:6" x14ac:dyDescent="0.25">
      <c r="A1202" t="str">
        <f>"200012427"</f>
        <v>200012427</v>
      </c>
      <c r="B1202" t="str">
        <f>"1114363462"</f>
        <v>1114363462</v>
      </c>
      <c r="C1202" t="str">
        <f>"208600000X"</f>
        <v>208600000X</v>
      </c>
      <c r="D1202" t="str">
        <f>"GRIFFITH                 ZACHARY                  "</f>
        <v xml:space="preserve">GRIFFITH                 ZACHARY                  </v>
      </c>
      <c r="E1202" t="str">
        <f>"FLORENCE                  "</f>
        <v xml:space="preserve">FLORENCE                  </v>
      </c>
      <c r="F1202" t="str">
        <f t="shared" si="44"/>
        <v>AL</v>
      </c>
    </row>
    <row r="1203" spans="1:6" x14ac:dyDescent="0.25">
      <c r="A1203" t="str">
        <f>"200012439"</f>
        <v>200012439</v>
      </c>
      <c r="B1203" t="str">
        <f>"1194238790"</f>
        <v>1194238790</v>
      </c>
      <c r="C1203" t="str">
        <f>"363L00000X"</f>
        <v>363L00000X</v>
      </c>
      <c r="D1203" t="str">
        <f>"BARNETT                  STACEY                   "</f>
        <v xml:space="preserve">BARNETT                  STACEY                   </v>
      </c>
      <c r="E1203" t="str">
        <f>"FLORENCE                  "</f>
        <v xml:space="preserve">FLORENCE                  </v>
      </c>
      <c r="F1203" t="str">
        <f t="shared" si="44"/>
        <v>AL</v>
      </c>
    </row>
    <row r="1204" spans="1:6" x14ac:dyDescent="0.25">
      <c r="A1204" t="str">
        <f>"200012444"</f>
        <v>200012444</v>
      </c>
      <c r="B1204" t="str">
        <f>"1417707142"</f>
        <v>1417707142</v>
      </c>
      <c r="C1204" t="str">
        <f>"207R00000X"</f>
        <v>207R00000X</v>
      </c>
      <c r="D1204" t="str">
        <f>"MEKA                     OMSAI                    "</f>
        <v xml:space="preserve">MEKA                     OMSAI                    </v>
      </c>
      <c r="E1204" t="str">
        <f>"MOBILE                    "</f>
        <v xml:space="preserve">MOBILE                    </v>
      </c>
      <c r="F1204" t="str">
        <f t="shared" si="44"/>
        <v>AL</v>
      </c>
    </row>
    <row r="1205" spans="1:6" x14ac:dyDescent="0.25">
      <c r="A1205" t="str">
        <f>"200012448"</f>
        <v>200012448</v>
      </c>
      <c r="B1205" t="str">
        <f>"1619729993"</f>
        <v>1619729993</v>
      </c>
      <c r="C1205" t="str">
        <f>"207R00000X"</f>
        <v>207R00000X</v>
      </c>
      <c r="D1205" t="str">
        <f>"BARRIOS                  CLAUDIA                  "</f>
        <v xml:space="preserve">BARRIOS                  CLAUDIA                  </v>
      </c>
      <c r="E1205" t="str">
        <f>"MOBILE                    "</f>
        <v xml:space="preserve">MOBILE                    </v>
      </c>
      <c r="F1205" t="str">
        <f t="shared" si="44"/>
        <v>AL</v>
      </c>
    </row>
    <row r="1206" spans="1:6" x14ac:dyDescent="0.25">
      <c r="A1206" t="str">
        <f>"200012450"</f>
        <v>200012450</v>
      </c>
      <c r="B1206" t="str">
        <f>"1215412952"</f>
        <v>1215412952</v>
      </c>
      <c r="C1206" t="str">
        <f>"363L00000X"</f>
        <v>363L00000X</v>
      </c>
      <c r="D1206" t="str">
        <f>"O'NEAL                   EMMA                     "</f>
        <v xml:space="preserve">O'NEAL                   EMMA                     </v>
      </c>
      <c r="E1206" t="str">
        <f>"BIRMINGHAM                "</f>
        <v xml:space="preserve">BIRMINGHAM                </v>
      </c>
      <c r="F1206" t="str">
        <f t="shared" si="44"/>
        <v>AL</v>
      </c>
    </row>
    <row r="1207" spans="1:6" x14ac:dyDescent="0.25">
      <c r="A1207" t="str">
        <f>"200012494"</f>
        <v>200012494</v>
      </c>
      <c r="B1207" t="str">
        <f>"1689424020"</f>
        <v>1689424020</v>
      </c>
      <c r="C1207" t="str">
        <f>"207P00000X"</f>
        <v>207P00000X</v>
      </c>
      <c r="D1207" t="str">
        <f>"GRUBB                    SYDNEY                   "</f>
        <v xml:space="preserve">GRUBB                    SYDNEY                   </v>
      </c>
      <c r="E1207" t="str">
        <f>"MOBILE                    "</f>
        <v xml:space="preserve">MOBILE                    </v>
      </c>
      <c r="F1207" t="str">
        <f t="shared" si="44"/>
        <v>AL</v>
      </c>
    </row>
    <row r="1208" spans="1:6" x14ac:dyDescent="0.25">
      <c r="A1208" t="str">
        <f>"200012498"</f>
        <v>200012498</v>
      </c>
      <c r="B1208" t="str">
        <f>"1023637907"</f>
        <v>1023637907</v>
      </c>
      <c r="C1208" t="str">
        <f>"207VX0201X"</f>
        <v>207VX0201X</v>
      </c>
      <c r="D1208" t="str">
        <f>"MAYER                    CHRISTOPHER              "</f>
        <v xml:space="preserve">MAYER                    CHRISTOPHER              </v>
      </c>
      <c r="E1208" t="str">
        <f>"BIRMINGHAM                "</f>
        <v xml:space="preserve">BIRMINGHAM                </v>
      </c>
      <c r="F1208" t="str">
        <f t="shared" si="44"/>
        <v>AL</v>
      </c>
    </row>
    <row r="1209" spans="1:6" x14ac:dyDescent="0.25">
      <c r="A1209" t="str">
        <f>"200012510"</f>
        <v>200012510</v>
      </c>
      <c r="B1209" t="str">
        <f>"1871081505"</f>
        <v>1871081505</v>
      </c>
      <c r="C1209" t="str">
        <f>"207RP1001X"</f>
        <v>207RP1001X</v>
      </c>
      <c r="D1209" t="str">
        <f>"ABDALLA                  ABDELMOHAYMIN            "</f>
        <v xml:space="preserve">ABDALLA                  ABDELMOHAYMIN            </v>
      </c>
      <c r="E1209" t="str">
        <f>"MUSCLE SHOALS             "</f>
        <v xml:space="preserve">MUSCLE SHOALS             </v>
      </c>
      <c r="F1209" t="str">
        <f t="shared" si="44"/>
        <v>AL</v>
      </c>
    </row>
    <row r="1210" spans="1:6" x14ac:dyDescent="0.25">
      <c r="A1210" t="str">
        <f>"200012522"</f>
        <v>200012522</v>
      </c>
      <c r="B1210" t="str">
        <f>"1891545901"</f>
        <v>1891545901</v>
      </c>
      <c r="C1210" t="str">
        <f>"207R00000X"</f>
        <v>207R00000X</v>
      </c>
      <c r="D1210" t="str">
        <f>"BUCHANAN                 KRISTEN                  "</f>
        <v xml:space="preserve">BUCHANAN                 KRISTEN                  </v>
      </c>
      <c r="E1210" t="str">
        <f>"MOBILE                    "</f>
        <v xml:space="preserve">MOBILE                    </v>
      </c>
      <c r="F1210" t="str">
        <f t="shared" si="44"/>
        <v>AL</v>
      </c>
    </row>
    <row r="1211" spans="1:6" x14ac:dyDescent="0.25">
      <c r="A1211" t="str">
        <f>"200012556"</f>
        <v>200012556</v>
      </c>
      <c r="B1211" t="str">
        <f>"1376300400"</f>
        <v>1376300400</v>
      </c>
      <c r="C1211" t="str">
        <f>"363LN0000X"</f>
        <v>363LN0000X</v>
      </c>
      <c r="D1211" t="str">
        <f>"TOWLES                   CARRIE       S           "</f>
        <v xml:space="preserve">TOWLES                   CARRIE       S           </v>
      </c>
      <c r="E1211" t="str">
        <f>"MOBILE                    "</f>
        <v xml:space="preserve">MOBILE                    </v>
      </c>
      <c r="F1211" t="str">
        <f t="shared" si="44"/>
        <v>AL</v>
      </c>
    </row>
    <row r="1212" spans="1:6" x14ac:dyDescent="0.25">
      <c r="A1212" t="str">
        <f>"200012564"</f>
        <v>200012564</v>
      </c>
      <c r="B1212" t="str">
        <f>"1689151383"</f>
        <v>1689151383</v>
      </c>
      <c r="C1212" t="str">
        <f>"207RH0003X"</f>
        <v>207RH0003X</v>
      </c>
      <c r="D1212" t="str">
        <f>"ESCOBAR                  DAISY                    "</f>
        <v xml:space="preserve">ESCOBAR                  DAISY                    </v>
      </c>
      <c r="E1212" t="str">
        <f>"MOBILE                    "</f>
        <v xml:space="preserve">MOBILE                    </v>
      </c>
      <c r="F1212" t="str">
        <f t="shared" si="44"/>
        <v>AL</v>
      </c>
    </row>
    <row r="1213" spans="1:6" x14ac:dyDescent="0.25">
      <c r="A1213" t="str">
        <f>"200012578"</f>
        <v>200012578</v>
      </c>
      <c r="B1213" t="str">
        <f>"1356774368"</f>
        <v>1356774368</v>
      </c>
      <c r="C1213" t="str">
        <f>"207ZP0102X"</f>
        <v>207ZP0102X</v>
      </c>
      <c r="D1213" t="str">
        <f>"DAL ZOTTO                VALERIA                  "</f>
        <v xml:space="preserve">DAL ZOTTO                VALERIA                  </v>
      </c>
      <c r="E1213" t="str">
        <f>"BIRMINGHAM                "</f>
        <v xml:space="preserve">BIRMINGHAM                </v>
      </c>
      <c r="F1213" t="str">
        <f t="shared" si="44"/>
        <v>AL</v>
      </c>
    </row>
    <row r="1214" spans="1:6" x14ac:dyDescent="0.25">
      <c r="A1214" t="str">
        <f>"200012595"</f>
        <v>200012595</v>
      </c>
      <c r="B1214" t="str">
        <f>"1679249155"</f>
        <v>1679249155</v>
      </c>
      <c r="C1214" t="str">
        <f>"363LP0200X"</f>
        <v>363LP0200X</v>
      </c>
      <c r="D1214" t="str">
        <f>"BERTOLLA                 ALEXIS       L           "</f>
        <v xml:space="preserve">BERTOLLA                 ALEXIS       L           </v>
      </c>
      <c r="E1214" t="str">
        <f>"MOBILE                    "</f>
        <v xml:space="preserve">MOBILE                    </v>
      </c>
      <c r="F1214" t="str">
        <f t="shared" si="44"/>
        <v>AL</v>
      </c>
    </row>
    <row r="1215" spans="1:6" x14ac:dyDescent="0.25">
      <c r="A1215" t="str">
        <f>"200012611"</f>
        <v>200012611</v>
      </c>
      <c r="B1215" t="str">
        <f>"1396480141"</f>
        <v>1396480141</v>
      </c>
      <c r="C1215" t="str">
        <f>"363A00000X"</f>
        <v>363A00000X</v>
      </c>
      <c r="D1215" t="str">
        <f>"GUARISCO                 LEAH                     "</f>
        <v xml:space="preserve">GUARISCO                 LEAH                     </v>
      </c>
      <c r="E1215" t="str">
        <f>"BIRMINGHAM                "</f>
        <v xml:space="preserve">BIRMINGHAM                </v>
      </c>
      <c r="F1215" t="str">
        <f t="shared" si="44"/>
        <v>AL</v>
      </c>
    </row>
    <row r="1216" spans="1:6" x14ac:dyDescent="0.25">
      <c r="A1216" t="str">
        <f>"200012619"</f>
        <v>200012619</v>
      </c>
      <c r="B1216" t="str">
        <f>"1508576554"</f>
        <v>1508576554</v>
      </c>
      <c r="C1216" t="str">
        <f>"363LF0000X"</f>
        <v>363LF0000X</v>
      </c>
      <c r="D1216" t="str">
        <f>"MCCOLLOUGH-HARRIS        AMBER        M           "</f>
        <v xml:space="preserve">MCCOLLOUGH-HARRIS        AMBER        M           </v>
      </c>
      <c r="E1216" t="str">
        <f>"MOBILE                    "</f>
        <v xml:space="preserve">MOBILE                    </v>
      </c>
      <c r="F1216" t="str">
        <f t="shared" si="44"/>
        <v>AL</v>
      </c>
    </row>
    <row r="1217" spans="1:6" x14ac:dyDescent="0.25">
      <c r="A1217" t="str">
        <f>"200012626"</f>
        <v>200012626</v>
      </c>
      <c r="B1217" t="str">
        <f>"1396595351"</f>
        <v>1396595351</v>
      </c>
      <c r="C1217" t="str">
        <f>"207Q00000X"</f>
        <v>207Q00000X</v>
      </c>
      <c r="D1217" t="str">
        <f>"BARNES                   JARRETT                  "</f>
        <v xml:space="preserve">BARNES                   JARRETT                  </v>
      </c>
      <c r="E1217" t="str">
        <f>"MOBILE                    "</f>
        <v xml:space="preserve">MOBILE                    </v>
      </c>
      <c r="F1217" t="str">
        <f t="shared" si="44"/>
        <v>AL</v>
      </c>
    </row>
    <row r="1218" spans="1:6" x14ac:dyDescent="0.25">
      <c r="A1218" t="str">
        <f>"200012634"</f>
        <v>200012634</v>
      </c>
      <c r="B1218" t="str">
        <f>"1215500277"</f>
        <v>1215500277</v>
      </c>
      <c r="C1218" t="str">
        <f>"207R00000X"</f>
        <v>207R00000X</v>
      </c>
      <c r="D1218" t="str">
        <f>"SAPKOTA                  SUMAN                    "</f>
        <v xml:space="preserve">SAPKOTA                  SUMAN                    </v>
      </c>
      <c r="E1218" t="str">
        <f>"FLORENCE                  "</f>
        <v xml:space="preserve">FLORENCE                  </v>
      </c>
      <c r="F1218" t="str">
        <f t="shared" si="44"/>
        <v>AL</v>
      </c>
    </row>
    <row r="1219" spans="1:6" x14ac:dyDescent="0.25">
      <c r="A1219" t="str">
        <f>"200012638"</f>
        <v>200012638</v>
      </c>
      <c r="B1219" t="str">
        <f>"1568996031"</f>
        <v>1568996031</v>
      </c>
      <c r="C1219" t="str">
        <f>"208600000X"</f>
        <v>208600000X</v>
      </c>
      <c r="D1219" t="str">
        <f>"REED                     KRISTEN                  "</f>
        <v xml:space="preserve">REED                     KRISTEN                  </v>
      </c>
      <c r="E1219" t="str">
        <f>"FLORENCE                  "</f>
        <v xml:space="preserve">FLORENCE                  </v>
      </c>
      <c r="F1219" t="str">
        <f t="shared" si="44"/>
        <v>AL</v>
      </c>
    </row>
    <row r="1220" spans="1:6" x14ac:dyDescent="0.25">
      <c r="A1220" t="str">
        <f>"200012661"</f>
        <v>200012661</v>
      </c>
      <c r="B1220" t="str">
        <f>"1265865968"</f>
        <v>1265865968</v>
      </c>
      <c r="C1220" t="str">
        <f>"207RH0003X"</f>
        <v>207RH0003X</v>
      </c>
      <c r="D1220" t="str">
        <f>"MALLA                    MIDHUN                   "</f>
        <v xml:space="preserve">MALLA                    MIDHUN                   </v>
      </c>
      <c r="E1220" t="str">
        <f>"BIRMINGHAM                "</f>
        <v xml:space="preserve">BIRMINGHAM                </v>
      </c>
      <c r="F1220" t="str">
        <f t="shared" si="44"/>
        <v>AL</v>
      </c>
    </row>
    <row r="1221" spans="1:6" x14ac:dyDescent="0.25">
      <c r="A1221" t="str">
        <f>"200012667"</f>
        <v>200012667</v>
      </c>
      <c r="B1221" t="str">
        <f>"1922720705"</f>
        <v>1922720705</v>
      </c>
      <c r="C1221" t="str">
        <f>"363L00000X"</f>
        <v>363L00000X</v>
      </c>
      <c r="D1221" t="str">
        <f>"BARRON                   DEBRINIA                 "</f>
        <v xml:space="preserve">BARRON                   DEBRINIA                 </v>
      </c>
      <c r="E1221" t="str">
        <f>"MOBILE                    "</f>
        <v xml:space="preserve">MOBILE                    </v>
      </c>
      <c r="F1221" t="str">
        <f t="shared" si="44"/>
        <v>AL</v>
      </c>
    </row>
    <row r="1222" spans="1:6" x14ac:dyDescent="0.25">
      <c r="A1222" t="str">
        <f>"200012668"</f>
        <v>200012668</v>
      </c>
      <c r="B1222" t="str">
        <f>"1568212652"</f>
        <v>1568212652</v>
      </c>
      <c r="C1222" t="str">
        <f>"207P00000X"</f>
        <v>207P00000X</v>
      </c>
      <c r="D1222" t="str">
        <f>"GERGORY                  NICHOLAS                 "</f>
        <v xml:space="preserve">GERGORY                  NICHOLAS                 </v>
      </c>
      <c r="E1222" t="str">
        <f>"MOBILE                    "</f>
        <v xml:space="preserve">MOBILE                    </v>
      </c>
      <c r="F1222" t="str">
        <f t="shared" si="44"/>
        <v>AL</v>
      </c>
    </row>
    <row r="1223" spans="1:6" x14ac:dyDescent="0.25">
      <c r="A1223" t="str">
        <f>"200012683"</f>
        <v>200012683</v>
      </c>
      <c r="B1223" t="str">
        <f>"1275521510"</f>
        <v>1275521510</v>
      </c>
      <c r="C1223" t="str">
        <f>"208600000X"</f>
        <v>208600000X</v>
      </c>
      <c r="D1223" t="str">
        <f>"FERNANDEZ                DENNIS                   "</f>
        <v xml:space="preserve">FERNANDEZ                DENNIS                   </v>
      </c>
      <c r="E1223" t="str">
        <f>"FLORENCE                  "</f>
        <v xml:space="preserve">FLORENCE                  </v>
      </c>
      <c r="F1223" t="str">
        <f t="shared" ref="F1223:F1286" si="47">"AL"</f>
        <v>AL</v>
      </c>
    </row>
    <row r="1224" spans="1:6" x14ac:dyDescent="0.25">
      <c r="A1224" t="str">
        <f>"200012684"</f>
        <v>200012684</v>
      </c>
      <c r="B1224" t="str">
        <f>"1629559364"</f>
        <v>1629559364</v>
      </c>
      <c r="C1224" t="str">
        <f>"207L00000X"</f>
        <v>207L00000X</v>
      </c>
      <c r="D1224" t="str">
        <f>"TORRES BUENDIA           NATHALIA                 "</f>
        <v xml:space="preserve">TORRES BUENDIA           NATHALIA                 </v>
      </c>
      <c r="E1224" t="str">
        <f>"BIRMINGHAM                "</f>
        <v xml:space="preserve">BIRMINGHAM                </v>
      </c>
      <c r="F1224" t="str">
        <f t="shared" si="47"/>
        <v>AL</v>
      </c>
    </row>
    <row r="1225" spans="1:6" x14ac:dyDescent="0.25">
      <c r="A1225" t="str">
        <f>"200012697"</f>
        <v>200012697</v>
      </c>
      <c r="B1225" t="str">
        <f>"1447746771"</f>
        <v>1447746771</v>
      </c>
      <c r="C1225" t="str">
        <f>"207RH0003X"</f>
        <v>207RH0003X</v>
      </c>
      <c r="D1225" t="str">
        <f>"SARFRAZ                  HUMAIRA                  "</f>
        <v xml:space="preserve">SARFRAZ                  HUMAIRA                  </v>
      </c>
      <c r="E1225" t="str">
        <f>"BIRMINGHAM                "</f>
        <v xml:space="preserve">BIRMINGHAM                </v>
      </c>
      <c r="F1225" t="str">
        <f t="shared" si="47"/>
        <v>AL</v>
      </c>
    </row>
    <row r="1226" spans="1:6" x14ac:dyDescent="0.25">
      <c r="A1226" t="str">
        <f>"200012700"</f>
        <v>200012700</v>
      </c>
      <c r="B1226" t="str">
        <f>"1386686392"</f>
        <v>1386686392</v>
      </c>
      <c r="C1226" t="str">
        <f>"207Q00000X"</f>
        <v>207Q00000X</v>
      </c>
      <c r="D1226" t="str">
        <f>"JONES                    JOHN                     "</f>
        <v xml:space="preserve">JONES                    JOHN                     </v>
      </c>
      <c r="E1226" t="str">
        <f>"CHATOM                    "</f>
        <v xml:space="preserve">CHATOM                    </v>
      </c>
      <c r="F1226" t="str">
        <f t="shared" si="47"/>
        <v>AL</v>
      </c>
    </row>
    <row r="1227" spans="1:6" x14ac:dyDescent="0.25">
      <c r="A1227" t="str">
        <f>"200012703"</f>
        <v>200012703</v>
      </c>
      <c r="B1227" t="str">
        <f>"1417479742"</f>
        <v>1417479742</v>
      </c>
      <c r="C1227" t="str">
        <f>"208600000X"</f>
        <v>208600000X</v>
      </c>
      <c r="D1227" t="str">
        <f>"BENEVIDES DE MESQUITA NETJOSE                     "</f>
        <v xml:space="preserve">BENEVIDES DE MESQUITA NETJOSE                     </v>
      </c>
      <c r="E1227" t="str">
        <f>"FLORENCE                  "</f>
        <v xml:space="preserve">FLORENCE                  </v>
      </c>
      <c r="F1227" t="str">
        <f t="shared" si="47"/>
        <v>AL</v>
      </c>
    </row>
    <row r="1228" spans="1:6" x14ac:dyDescent="0.25">
      <c r="A1228" t="str">
        <f>"200012707"</f>
        <v>200012707</v>
      </c>
      <c r="B1228" t="str">
        <f>"1194135533"</f>
        <v>1194135533</v>
      </c>
      <c r="C1228" t="str">
        <f>"207T00000X"</f>
        <v>207T00000X</v>
      </c>
      <c r="D1228" t="str">
        <f>"GODZIK                   JAKUB                    "</f>
        <v xml:space="preserve">GODZIK                   JAKUB                    </v>
      </c>
      <c r="E1228" t="str">
        <f>"BIRMINGHAM                "</f>
        <v xml:space="preserve">BIRMINGHAM                </v>
      </c>
      <c r="F1228" t="str">
        <f t="shared" si="47"/>
        <v>AL</v>
      </c>
    </row>
    <row r="1229" spans="1:6" x14ac:dyDescent="0.25">
      <c r="A1229" t="str">
        <f>"200012735"</f>
        <v>200012735</v>
      </c>
      <c r="B1229" t="str">
        <f>"1841273646"</f>
        <v>1841273646</v>
      </c>
      <c r="C1229" t="str">
        <f>"207Q00000X"</f>
        <v>207Q00000X</v>
      </c>
      <c r="D1229" t="str">
        <f>"HENSLEIGH                KATHERINE                "</f>
        <v xml:space="preserve">HENSLEIGH                KATHERINE                </v>
      </c>
      <c r="E1229" t="str">
        <f>"BUTLER                    "</f>
        <v xml:space="preserve">BUTLER                    </v>
      </c>
      <c r="F1229" t="str">
        <f t="shared" si="47"/>
        <v>AL</v>
      </c>
    </row>
    <row r="1230" spans="1:6" x14ac:dyDescent="0.25">
      <c r="A1230" t="str">
        <f>"200012749"</f>
        <v>200012749</v>
      </c>
      <c r="B1230" t="str">
        <f>"1982135273"</f>
        <v>1982135273</v>
      </c>
      <c r="C1230" t="str">
        <f>"207W00000X"</f>
        <v>207W00000X</v>
      </c>
      <c r="D1230" t="str">
        <f>"ISEN                     DANIELLE                 "</f>
        <v xml:space="preserve">ISEN                     DANIELLE                 </v>
      </c>
      <c r="E1230" t="str">
        <f>"FAIRHOPE                  "</f>
        <v xml:space="preserve">FAIRHOPE                  </v>
      </c>
      <c r="F1230" t="str">
        <f t="shared" si="47"/>
        <v>AL</v>
      </c>
    </row>
    <row r="1231" spans="1:6" x14ac:dyDescent="0.25">
      <c r="A1231" t="str">
        <f>"200012772"</f>
        <v>200012772</v>
      </c>
      <c r="B1231" t="str">
        <f>"1487840229"</f>
        <v>1487840229</v>
      </c>
      <c r="C1231" t="str">
        <f>"207RI0200X"</f>
        <v>207RI0200X</v>
      </c>
      <c r="D1231" t="str">
        <f>"RANA                     AADIA                    "</f>
        <v xml:space="preserve">RANA                     AADIA                    </v>
      </c>
      <c r="E1231" t="str">
        <f>"BIRMINGHAM                "</f>
        <v xml:space="preserve">BIRMINGHAM                </v>
      </c>
      <c r="F1231" t="str">
        <f t="shared" si="47"/>
        <v>AL</v>
      </c>
    </row>
    <row r="1232" spans="1:6" x14ac:dyDescent="0.25">
      <c r="A1232" t="str">
        <f>"200012789"</f>
        <v>200012789</v>
      </c>
      <c r="B1232" t="str">
        <f>"1861719114"</f>
        <v>1861719114</v>
      </c>
      <c r="C1232" t="str">
        <f>"207RI0200X"</f>
        <v>207RI0200X</v>
      </c>
      <c r="D1232" t="str">
        <f>"LEE                      RACHAEL                  "</f>
        <v xml:space="preserve">LEE                      RACHAEL                  </v>
      </c>
      <c r="E1232" t="str">
        <f>"BIRMINGHAM                "</f>
        <v xml:space="preserve">BIRMINGHAM                </v>
      </c>
      <c r="F1232" t="str">
        <f t="shared" si="47"/>
        <v>AL</v>
      </c>
    </row>
    <row r="1233" spans="1:6" x14ac:dyDescent="0.25">
      <c r="A1233" t="str">
        <f>"200012807"</f>
        <v>200012807</v>
      </c>
      <c r="B1233" t="str">
        <f>"1144348632"</f>
        <v>1144348632</v>
      </c>
      <c r="C1233" t="str">
        <f>"207RA0001X"</f>
        <v>207RA0001X</v>
      </c>
      <c r="D1233" t="str">
        <f>"HAJ ASAAD                AYMAN                    "</f>
        <v xml:space="preserve">HAJ ASAAD                AYMAN                    </v>
      </c>
      <c r="E1233" t="str">
        <f>"BIRMINGHAM                "</f>
        <v xml:space="preserve">BIRMINGHAM                </v>
      </c>
      <c r="F1233" t="str">
        <f t="shared" si="47"/>
        <v>AL</v>
      </c>
    </row>
    <row r="1234" spans="1:6" x14ac:dyDescent="0.25">
      <c r="A1234" t="str">
        <f>"200012828"</f>
        <v>200012828</v>
      </c>
      <c r="B1234" t="str">
        <f>"1306338157"</f>
        <v>1306338157</v>
      </c>
      <c r="C1234" t="str">
        <f>"208000000X"</f>
        <v>208000000X</v>
      </c>
      <c r="D1234" t="str">
        <f>"STEWART                  PENNY        A           "</f>
        <v xml:space="preserve">STEWART                  PENNY        A           </v>
      </c>
      <c r="E1234" t="str">
        <f>"MOBILE                    "</f>
        <v xml:space="preserve">MOBILE                    </v>
      </c>
      <c r="F1234" t="str">
        <f t="shared" si="47"/>
        <v>AL</v>
      </c>
    </row>
    <row r="1235" spans="1:6" x14ac:dyDescent="0.25">
      <c r="A1235" t="str">
        <f>"200012874"</f>
        <v>200012874</v>
      </c>
      <c r="B1235" t="str">
        <f>"1790363570"</f>
        <v>1790363570</v>
      </c>
      <c r="C1235" t="str">
        <f>"363L00000X"</f>
        <v>363L00000X</v>
      </c>
      <c r="D1235" t="str">
        <f>"MULLENS                  EMILY                    "</f>
        <v xml:space="preserve">MULLENS                  EMILY                    </v>
      </c>
      <c r="E1235" t="str">
        <f>"BIRMINGHAM                "</f>
        <v xml:space="preserve">BIRMINGHAM                </v>
      </c>
      <c r="F1235" t="str">
        <f t="shared" si="47"/>
        <v>AL</v>
      </c>
    </row>
    <row r="1236" spans="1:6" x14ac:dyDescent="0.25">
      <c r="A1236" t="str">
        <f>"200012897"</f>
        <v>200012897</v>
      </c>
      <c r="B1236" t="str">
        <f>"1720423395"</f>
        <v>1720423395</v>
      </c>
      <c r="C1236" t="str">
        <f>"208M00000X"</f>
        <v>208M00000X</v>
      </c>
      <c r="D1236" t="str">
        <f>"ADEOYA                   AYODEJI                  "</f>
        <v xml:space="preserve">ADEOYA                   AYODEJI                  </v>
      </c>
      <c r="E1236" t="str">
        <f>"FLORENCE                  "</f>
        <v xml:space="preserve">FLORENCE                  </v>
      </c>
      <c r="F1236" t="str">
        <f t="shared" si="47"/>
        <v>AL</v>
      </c>
    </row>
    <row r="1237" spans="1:6" x14ac:dyDescent="0.25">
      <c r="A1237" t="str">
        <f>"200012958"</f>
        <v>200012958</v>
      </c>
      <c r="B1237" t="str">
        <f>"1467872473"</f>
        <v>1467872473</v>
      </c>
      <c r="C1237" t="str">
        <f>"208100000X"</f>
        <v>208100000X</v>
      </c>
      <c r="D1237" t="str">
        <f>"RENFRO                   CASSANDRA                "</f>
        <v xml:space="preserve">RENFRO                   CASSANDRA                </v>
      </c>
      <c r="E1237" t="str">
        <f>"BIRMINGHAM                "</f>
        <v xml:space="preserve">BIRMINGHAM                </v>
      </c>
      <c r="F1237" t="str">
        <f t="shared" si="47"/>
        <v>AL</v>
      </c>
    </row>
    <row r="1238" spans="1:6" x14ac:dyDescent="0.25">
      <c r="A1238" t="str">
        <f>"200012978"</f>
        <v>200012978</v>
      </c>
      <c r="B1238" t="str">
        <f>"1205406261"</f>
        <v>1205406261</v>
      </c>
      <c r="C1238" t="str">
        <f>"207R00000X"</f>
        <v>207R00000X</v>
      </c>
      <c r="D1238" t="str">
        <f>"KHAN                     MUHAMMAD                 "</f>
        <v xml:space="preserve">KHAN                     MUHAMMAD                 </v>
      </c>
      <c r="E1238" t="str">
        <f>"FLORENCE                  "</f>
        <v xml:space="preserve">FLORENCE                  </v>
      </c>
      <c r="F1238" t="str">
        <f t="shared" si="47"/>
        <v>AL</v>
      </c>
    </row>
    <row r="1239" spans="1:6" x14ac:dyDescent="0.25">
      <c r="A1239" t="str">
        <f>"200012979"</f>
        <v>200012979</v>
      </c>
      <c r="B1239" t="str">
        <f>"1144890666"</f>
        <v>1144890666</v>
      </c>
      <c r="C1239" t="str">
        <f>"367500000X"</f>
        <v>367500000X</v>
      </c>
      <c r="D1239" t="str">
        <f>"CLARK                    MELANIE                  "</f>
        <v xml:space="preserve">CLARK                    MELANIE                  </v>
      </c>
      <c r="E1239" t="str">
        <f>"BIRMINGHAM                "</f>
        <v xml:space="preserve">BIRMINGHAM                </v>
      </c>
      <c r="F1239" t="str">
        <f t="shared" si="47"/>
        <v>AL</v>
      </c>
    </row>
    <row r="1240" spans="1:6" x14ac:dyDescent="0.25">
      <c r="A1240" t="str">
        <f>"200012986"</f>
        <v>200012986</v>
      </c>
      <c r="B1240" t="str">
        <f>"1902362338"</f>
        <v>1902362338</v>
      </c>
      <c r="C1240" t="str">
        <f>"363LP0200X"</f>
        <v>363LP0200X</v>
      </c>
      <c r="D1240" t="str">
        <f>"SMITH                    KELSEY       B           "</f>
        <v xml:space="preserve">SMITH                    KELSEY       B           </v>
      </c>
      <c r="E1240" t="str">
        <f>"MOBILE                    "</f>
        <v xml:space="preserve">MOBILE                    </v>
      </c>
      <c r="F1240" t="str">
        <f t="shared" si="47"/>
        <v>AL</v>
      </c>
    </row>
    <row r="1241" spans="1:6" x14ac:dyDescent="0.25">
      <c r="A1241" t="str">
        <f>"200013015"</f>
        <v>200013015</v>
      </c>
      <c r="B1241" t="str">
        <f>"1275152969"</f>
        <v>1275152969</v>
      </c>
      <c r="C1241" t="str">
        <f>"207V00000X"</f>
        <v>207V00000X</v>
      </c>
      <c r="D1241" t="str">
        <f>"O'BRIEN                  EMILY                    "</f>
        <v xml:space="preserve">O'BRIEN                  EMILY                    </v>
      </c>
      <c r="E1241" t="str">
        <f>"BIRMINGHAM                "</f>
        <v xml:space="preserve">BIRMINGHAM                </v>
      </c>
      <c r="F1241" t="str">
        <f t="shared" si="47"/>
        <v>AL</v>
      </c>
    </row>
    <row r="1242" spans="1:6" x14ac:dyDescent="0.25">
      <c r="A1242" t="str">
        <f>"200013020"</f>
        <v>200013020</v>
      </c>
      <c r="B1242" t="str">
        <f>"1982135273"</f>
        <v>1982135273</v>
      </c>
      <c r="C1242" t="str">
        <f>"2084N0400X"</f>
        <v>2084N0400X</v>
      </c>
      <c r="D1242" t="str">
        <f>"ISEN                     DANIELLE                 "</f>
        <v xml:space="preserve">ISEN                     DANIELLE                 </v>
      </c>
      <c r="E1242" t="str">
        <f>"MOBILE                    "</f>
        <v xml:space="preserve">MOBILE                    </v>
      </c>
      <c r="F1242" t="str">
        <f t="shared" si="47"/>
        <v>AL</v>
      </c>
    </row>
    <row r="1243" spans="1:6" x14ac:dyDescent="0.25">
      <c r="A1243" t="str">
        <f>"200013022"</f>
        <v>200013022</v>
      </c>
      <c r="B1243" t="str">
        <f>"1164902268"</f>
        <v>1164902268</v>
      </c>
      <c r="C1243" t="str">
        <f>"363A00000X"</f>
        <v>363A00000X</v>
      </c>
      <c r="D1243" t="str">
        <f>"PERKINS                  LUCY                     "</f>
        <v xml:space="preserve">PERKINS                  LUCY                     </v>
      </c>
      <c r="E1243" t="str">
        <f>"BIRMINGHAM                "</f>
        <v xml:space="preserve">BIRMINGHAM                </v>
      </c>
      <c r="F1243" t="str">
        <f t="shared" si="47"/>
        <v>AL</v>
      </c>
    </row>
    <row r="1244" spans="1:6" x14ac:dyDescent="0.25">
      <c r="A1244" t="str">
        <f>"200013024"</f>
        <v>200013024</v>
      </c>
      <c r="B1244" t="str">
        <f>"1881638518"</f>
        <v>1881638518</v>
      </c>
      <c r="C1244" t="str">
        <f>"207RC0000X"</f>
        <v>207RC0000X</v>
      </c>
      <c r="D1244" t="str">
        <f>"FAN                      POHOEY                   "</f>
        <v xml:space="preserve">FAN                      POHOEY                   </v>
      </c>
      <c r="E1244" t="str">
        <f>"BIRMINGHAM                "</f>
        <v xml:space="preserve">BIRMINGHAM                </v>
      </c>
      <c r="F1244" t="str">
        <f t="shared" si="47"/>
        <v>AL</v>
      </c>
    </row>
    <row r="1245" spans="1:6" x14ac:dyDescent="0.25">
      <c r="A1245" t="str">
        <f>"200013048"</f>
        <v>200013048</v>
      </c>
      <c r="B1245" t="str">
        <f>"1558866186"</f>
        <v>1558866186</v>
      </c>
      <c r="C1245" t="str">
        <f>"207RC0000X"</f>
        <v>207RC0000X</v>
      </c>
      <c r="D1245" t="str">
        <f>"VAUTIER                  RICHARD                  "</f>
        <v xml:space="preserve">VAUTIER                  RICHARD                  </v>
      </c>
      <c r="E1245" t="str">
        <f>"MOBILE                    "</f>
        <v xml:space="preserve">MOBILE                    </v>
      </c>
      <c r="F1245" t="str">
        <f t="shared" si="47"/>
        <v>AL</v>
      </c>
    </row>
    <row r="1246" spans="1:6" x14ac:dyDescent="0.25">
      <c r="A1246" t="str">
        <f>"200013097"</f>
        <v>200013097</v>
      </c>
      <c r="B1246" t="str">
        <f>"1912287392"</f>
        <v>1912287392</v>
      </c>
      <c r="C1246" t="str">
        <f>"207VM0101X"</f>
        <v>207VM0101X</v>
      </c>
      <c r="D1246" t="str">
        <f>"HARRIS                   KEMOY        K           "</f>
        <v xml:space="preserve">HARRIS                   KEMOY        K           </v>
      </c>
      <c r="E1246" t="str">
        <f>"MOBILE                    "</f>
        <v xml:space="preserve">MOBILE                    </v>
      </c>
      <c r="F1246" t="str">
        <f t="shared" si="47"/>
        <v>AL</v>
      </c>
    </row>
    <row r="1247" spans="1:6" x14ac:dyDescent="0.25">
      <c r="A1247" t="str">
        <f>"200013112"</f>
        <v>200013112</v>
      </c>
      <c r="B1247" t="str">
        <f>"1306055116"</f>
        <v>1306055116</v>
      </c>
      <c r="C1247" t="str">
        <f>"2086S0120X"</f>
        <v>2086S0120X</v>
      </c>
      <c r="D1247" t="str">
        <f>"SEIMS                    AARON        D           "</f>
        <v xml:space="preserve">SEIMS                    AARON        D           </v>
      </c>
      <c r="E1247" t="str">
        <f>"MOBILE                    "</f>
        <v xml:space="preserve">MOBILE                    </v>
      </c>
      <c r="F1247" t="str">
        <f t="shared" si="47"/>
        <v>AL</v>
      </c>
    </row>
    <row r="1248" spans="1:6" x14ac:dyDescent="0.25">
      <c r="A1248" t="str">
        <f>"200013121"</f>
        <v>200013121</v>
      </c>
      <c r="B1248" t="str">
        <f>"1598184509"</f>
        <v>1598184509</v>
      </c>
      <c r="C1248" t="str">
        <f>"207RE0101X"</f>
        <v>207RE0101X</v>
      </c>
      <c r="D1248" t="str">
        <f>"WEAVER                   ANNE                     "</f>
        <v xml:space="preserve">WEAVER                   ANNE                     </v>
      </c>
      <c r="E1248" t="str">
        <f>"BIRMINGHAM                "</f>
        <v xml:space="preserve">BIRMINGHAM                </v>
      </c>
      <c r="F1248" t="str">
        <f t="shared" si="47"/>
        <v>AL</v>
      </c>
    </row>
    <row r="1249" spans="1:6" x14ac:dyDescent="0.25">
      <c r="A1249" t="str">
        <f>"200013124"</f>
        <v>200013124</v>
      </c>
      <c r="B1249" t="str">
        <f>"1316566318"</f>
        <v>1316566318</v>
      </c>
      <c r="C1249" t="str">
        <f>"207P00000X"</f>
        <v>207P00000X</v>
      </c>
      <c r="D1249" t="str">
        <f>"GOODLOE III              TRAVIS       B           "</f>
        <v xml:space="preserve">GOODLOE III              TRAVIS       B           </v>
      </c>
      <c r="E1249" t="str">
        <f>"MOBILE                    "</f>
        <v xml:space="preserve">MOBILE                    </v>
      </c>
      <c r="F1249" t="str">
        <f t="shared" si="47"/>
        <v>AL</v>
      </c>
    </row>
    <row r="1250" spans="1:6" x14ac:dyDescent="0.25">
      <c r="A1250" t="str">
        <f>"200013130"</f>
        <v>200013130</v>
      </c>
      <c r="B1250" t="str">
        <f>"1043942550"</f>
        <v>1043942550</v>
      </c>
      <c r="C1250" t="str">
        <f>"363A00000X"</f>
        <v>363A00000X</v>
      </c>
      <c r="D1250" t="str">
        <f>"HUCALUK                  KYLEIGH                  "</f>
        <v xml:space="preserve">HUCALUK                  KYLEIGH                  </v>
      </c>
      <c r="E1250" t="str">
        <f>"BIRMINGHAM                "</f>
        <v xml:space="preserve">BIRMINGHAM                </v>
      </c>
      <c r="F1250" t="str">
        <f t="shared" si="47"/>
        <v>AL</v>
      </c>
    </row>
    <row r="1251" spans="1:6" x14ac:dyDescent="0.25">
      <c r="A1251" t="str">
        <f>"200013134"</f>
        <v>200013134</v>
      </c>
      <c r="B1251" t="str">
        <f>"1184898223"</f>
        <v>1184898223</v>
      </c>
      <c r="C1251" t="str">
        <f>"2086S0127X"</f>
        <v>2086S0127X</v>
      </c>
      <c r="D1251" t="str">
        <f>"POLITE                   NATHAN       M           "</f>
        <v xml:space="preserve">POLITE                   NATHAN       M           </v>
      </c>
      <c r="E1251" t="str">
        <f>"MOBILE                    "</f>
        <v xml:space="preserve">MOBILE                    </v>
      </c>
      <c r="F1251" t="str">
        <f t="shared" si="47"/>
        <v>AL</v>
      </c>
    </row>
    <row r="1252" spans="1:6" x14ac:dyDescent="0.25">
      <c r="A1252" t="str">
        <f>"200013148"</f>
        <v>200013148</v>
      </c>
      <c r="B1252" t="str">
        <f>"1245762855"</f>
        <v>1245762855</v>
      </c>
      <c r="C1252" t="str">
        <f>"207RH0003X"</f>
        <v>207RH0003X</v>
      </c>
      <c r="D1252" t="str">
        <f>"HUSSAINI                 SYED                     "</f>
        <v xml:space="preserve">HUSSAINI                 SYED                     </v>
      </c>
      <c r="E1252" t="str">
        <f>"BIRMINGHAM                "</f>
        <v xml:space="preserve">BIRMINGHAM                </v>
      </c>
      <c r="F1252" t="str">
        <f t="shared" si="47"/>
        <v>AL</v>
      </c>
    </row>
    <row r="1253" spans="1:6" x14ac:dyDescent="0.25">
      <c r="A1253" t="str">
        <f>"200013166"</f>
        <v>200013166</v>
      </c>
      <c r="B1253" t="str">
        <f>"1588154355"</f>
        <v>1588154355</v>
      </c>
      <c r="C1253" t="str">
        <f>"2084N0400X"</f>
        <v>2084N0400X</v>
      </c>
      <c r="D1253" t="str">
        <f>"TARIQ                    USAMA                    "</f>
        <v xml:space="preserve">TARIQ                    USAMA                    </v>
      </c>
      <c r="E1253" t="str">
        <f>"BIRMINGHAM                "</f>
        <v xml:space="preserve">BIRMINGHAM                </v>
      </c>
      <c r="F1253" t="str">
        <f t="shared" si="47"/>
        <v>AL</v>
      </c>
    </row>
    <row r="1254" spans="1:6" x14ac:dyDescent="0.25">
      <c r="A1254" t="str">
        <f>"200013179"</f>
        <v>200013179</v>
      </c>
      <c r="B1254" t="str">
        <f>"1407166432"</f>
        <v>1407166432</v>
      </c>
      <c r="C1254" t="str">
        <f>"208600000X"</f>
        <v>208600000X</v>
      </c>
      <c r="D1254" t="str">
        <f>"AIZED                    MAJID                    "</f>
        <v xml:space="preserve">AIZED                    MAJID                    </v>
      </c>
      <c r="E1254" t="str">
        <f>"FLORENCE                  "</f>
        <v xml:space="preserve">FLORENCE                  </v>
      </c>
      <c r="F1254" t="str">
        <f t="shared" si="47"/>
        <v>AL</v>
      </c>
    </row>
    <row r="1255" spans="1:6" x14ac:dyDescent="0.25">
      <c r="A1255" t="str">
        <f>"200013210"</f>
        <v>200013210</v>
      </c>
      <c r="B1255" t="str">
        <f>"1114120102"</f>
        <v>1114120102</v>
      </c>
      <c r="C1255" t="str">
        <f>"208M00000X"</f>
        <v>208M00000X</v>
      </c>
      <c r="D1255" t="str">
        <f>"KENNEDY                  KIERSTIN                 "</f>
        <v xml:space="preserve">KENNEDY                  KIERSTIN                 </v>
      </c>
      <c r="E1255" t="str">
        <f>"BIRMINGHAM                "</f>
        <v xml:space="preserve">BIRMINGHAM                </v>
      </c>
      <c r="F1255" t="str">
        <f t="shared" si="47"/>
        <v>AL</v>
      </c>
    </row>
    <row r="1256" spans="1:6" x14ac:dyDescent="0.25">
      <c r="A1256" t="str">
        <f>"200013243"</f>
        <v>200013243</v>
      </c>
      <c r="B1256" t="str">
        <f>"1376091892"</f>
        <v>1376091892</v>
      </c>
      <c r="C1256" t="str">
        <f>"363A00000X"</f>
        <v>363A00000X</v>
      </c>
      <c r="D1256" t="str">
        <f>"FLANAGAN                 DARYL                    "</f>
        <v xml:space="preserve">FLANAGAN                 DARYL                    </v>
      </c>
      <c r="E1256" t="str">
        <f>"BIRMINGHAM                "</f>
        <v xml:space="preserve">BIRMINGHAM                </v>
      </c>
      <c r="F1256" t="str">
        <f t="shared" si="47"/>
        <v>AL</v>
      </c>
    </row>
    <row r="1257" spans="1:6" x14ac:dyDescent="0.25">
      <c r="A1257" t="str">
        <f>"200013270"</f>
        <v>200013270</v>
      </c>
      <c r="B1257" t="str">
        <f>"1609336080"</f>
        <v>1609336080</v>
      </c>
      <c r="C1257" t="str">
        <f>"208600000X"</f>
        <v>208600000X</v>
      </c>
      <c r="D1257" t="str">
        <f>"REDENIUS                 NICOLE                   "</f>
        <v xml:space="preserve">REDENIUS                 NICOLE                   </v>
      </c>
      <c r="E1257" t="str">
        <f>"FLORENCE                  "</f>
        <v xml:space="preserve">FLORENCE                  </v>
      </c>
      <c r="F1257" t="str">
        <f t="shared" si="47"/>
        <v>AL</v>
      </c>
    </row>
    <row r="1258" spans="1:6" x14ac:dyDescent="0.25">
      <c r="A1258" t="str">
        <f>"200013325"</f>
        <v>200013325</v>
      </c>
      <c r="B1258" t="str">
        <f>"1720583651"</f>
        <v>1720583651</v>
      </c>
      <c r="C1258" t="str">
        <f>"2086S0127X"</f>
        <v>2086S0127X</v>
      </c>
      <c r="D1258" t="str">
        <f>"MANGOLD                  MICHELLE                 "</f>
        <v xml:space="preserve">MANGOLD                  MICHELLE                 </v>
      </c>
      <c r="E1258" t="str">
        <f>"BIRMINGHAM                "</f>
        <v xml:space="preserve">BIRMINGHAM                </v>
      </c>
      <c r="F1258" t="str">
        <f t="shared" si="47"/>
        <v>AL</v>
      </c>
    </row>
    <row r="1259" spans="1:6" x14ac:dyDescent="0.25">
      <c r="A1259" t="str">
        <f>"200013387"</f>
        <v>200013387</v>
      </c>
      <c r="B1259" t="str">
        <f>"1275038655"</f>
        <v>1275038655</v>
      </c>
      <c r="C1259" t="str">
        <f>"207RR0500X"</f>
        <v>207RR0500X</v>
      </c>
      <c r="D1259" t="str">
        <f>"WILLIAMSON               KATRINA                  "</f>
        <v xml:space="preserve">WILLIAMSON               KATRINA                  </v>
      </c>
      <c r="E1259" t="str">
        <f>"BIRMINGHAM                "</f>
        <v xml:space="preserve">BIRMINGHAM                </v>
      </c>
      <c r="F1259" t="str">
        <f t="shared" si="47"/>
        <v>AL</v>
      </c>
    </row>
    <row r="1260" spans="1:6" x14ac:dyDescent="0.25">
      <c r="A1260" t="str">
        <f>"200013422"</f>
        <v>200013422</v>
      </c>
      <c r="B1260" t="str">
        <f>"1447647557"</f>
        <v>1447647557</v>
      </c>
      <c r="C1260" t="str">
        <f>"2086X0206X"</f>
        <v>2086X0206X</v>
      </c>
      <c r="D1260" t="str">
        <f>"BATH                     NATALIE      M           "</f>
        <v xml:space="preserve">BATH                     NATALIE      M           </v>
      </c>
      <c r="E1260" t="str">
        <f>"MOBILE                    "</f>
        <v xml:space="preserve">MOBILE                    </v>
      </c>
      <c r="F1260" t="str">
        <f t="shared" si="47"/>
        <v>AL</v>
      </c>
    </row>
    <row r="1261" spans="1:6" x14ac:dyDescent="0.25">
      <c r="A1261" t="str">
        <f>"200013438"</f>
        <v>200013438</v>
      </c>
      <c r="B1261" t="str">
        <f>"1235591231"</f>
        <v>1235591231</v>
      </c>
      <c r="C1261" t="str">
        <f>"2084P0804X"</f>
        <v>2084P0804X</v>
      </c>
      <c r="D1261" t="str">
        <f>"KILPATRICK               KARA                     "</f>
        <v xml:space="preserve">KILPATRICK               KARA                     </v>
      </c>
      <c r="E1261" t="str">
        <f>"BIRMINGHAM                "</f>
        <v xml:space="preserve">BIRMINGHAM                </v>
      </c>
      <c r="F1261" t="str">
        <f t="shared" si="47"/>
        <v>AL</v>
      </c>
    </row>
    <row r="1262" spans="1:6" x14ac:dyDescent="0.25">
      <c r="A1262" t="str">
        <f>"200013449"</f>
        <v>200013449</v>
      </c>
      <c r="B1262" t="str">
        <f>"1154171338"</f>
        <v>1154171338</v>
      </c>
      <c r="C1262" t="str">
        <f>"207R00000X"</f>
        <v>207R00000X</v>
      </c>
      <c r="D1262" t="str">
        <f>"LOPER                    LAFEYETTE                "</f>
        <v xml:space="preserve">LOPER                    LAFEYETTE                </v>
      </c>
      <c r="E1262" t="str">
        <f>"MOBILE                    "</f>
        <v xml:space="preserve">MOBILE                    </v>
      </c>
      <c r="F1262" t="str">
        <f t="shared" si="47"/>
        <v>AL</v>
      </c>
    </row>
    <row r="1263" spans="1:6" x14ac:dyDescent="0.25">
      <c r="A1263" t="str">
        <f>"200013450"</f>
        <v>200013450</v>
      </c>
      <c r="B1263" t="str">
        <f>"1609628700"</f>
        <v>1609628700</v>
      </c>
      <c r="C1263" t="str">
        <f>"207V00000X"</f>
        <v>207V00000X</v>
      </c>
      <c r="D1263" t="str">
        <f>"STEPHENS                 JONCEL                   "</f>
        <v xml:space="preserve">STEPHENS                 JONCEL                   </v>
      </c>
      <c r="E1263" t="str">
        <f>"MOBILE                    "</f>
        <v xml:space="preserve">MOBILE                    </v>
      </c>
      <c r="F1263" t="str">
        <f t="shared" si="47"/>
        <v>AL</v>
      </c>
    </row>
    <row r="1264" spans="1:6" x14ac:dyDescent="0.25">
      <c r="A1264" t="str">
        <f>"200013469"</f>
        <v>200013469</v>
      </c>
      <c r="B1264" t="str">
        <f>"1215549225"</f>
        <v>1215549225</v>
      </c>
      <c r="C1264" t="str">
        <f>"208M00000X"</f>
        <v>208M00000X</v>
      </c>
      <c r="D1264" t="str">
        <f>"BISTA                    PUSPA        B           "</f>
        <v xml:space="preserve">BISTA                    PUSPA        B           </v>
      </c>
      <c r="E1264" t="str">
        <f>"MOBILE                    "</f>
        <v xml:space="preserve">MOBILE                    </v>
      </c>
      <c r="F1264" t="str">
        <f t="shared" si="47"/>
        <v>AL</v>
      </c>
    </row>
    <row r="1265" spans="1:6" x14ac:dyDescent="0.25">
      <c r="A1265" t="str">
        <f>"200013494"</f>
        <v>200013494</v>
      </c>
      <c r="B1265" t="str">
        <f>"1417565912"</f>
        <v>1417565912</v>
      </c>
      <c r="C1265" t="str">
        <f>"363LF0000X"</f>
        <v>363LF0000X</v>
      </c>
      <c r="D1265" t="str">
        <f>"HENNESSEY                JENAE        C           "</f>
        <v xml:space="preserve">HENNESSEY                JENAE        C           </v>
      </c>
      <c r="E1265" t="str">
        <f>"MOBILE                    "</f>
        <v xml:space="preserve">MOBILE                    </v>
      </c>
      <c r="F1265" t="str">
        <f t="shared" si="47"/>
        <v>AL</v>
      </c>
    </row>
    <row r="1266" spans="1:6" x14ac:dyDescent="0.25">
      <c r="A1266" t="str">
        <f>"200013507"</f>
        <v>200013507</v>
      </c>
      <c r="B1266" t="str">
        <f>"1043707532"</f>
        <v>1043707532</v>
      </c>
      <c r="C1266" t="str">
        <f>"207XX0801X"</f>
        <v>207XX0801X</v>
      </c>
      <c r="D1266" t="str">
        <f>"WALTERS                  MURPHY       M           "</f>
        <v xml:space="preserve">WALTERS                  MURPHY       M           </v>
      </c>
      <c r="E1266" t="str">
        <f>"MOBILE                    "</f>
        <v xml:space="preserve">MOBILE                    </v>
      </c>
      <c r="F1266" t="str">
        <f t="shared" si="47"/>
        <v>AL</v>
      </c>
    </row>
    <row r="1267" spans="1:6" x14ac:dyDescent="0.25">
      <c r="A1267" t="str">
        <f>"200013512"</f>
        <v>200013512</v>
      </c>
      <c r="B1267" t="str">
        <f>"1689224016"</f>
        <v>1689224016</v>
      </c>
      <c r="C1267" t="str">
        <f>"363L00000X"</f>
        <v>363L00000X</v>
      </c>
      <c r="D1267" t="str">
        <f>"ASHLEY                   BLAIR                    "</f>
        <v xml:space="preserve">ASHLEY                   BLAIR                    </v>
      </c>
      <c r="E1267" t="str">
        <f>"BIRMINGHAM                "</f>
        <v xml:space="preserve">BIRMINGHAM                </v>
      </c>
      <c r="F1267" t="str">
        <f t="shared" si="47"/>
        <v>AL</v>
      </c>
    </row>
    <row r="1268" spans="1:6" x14ac:dyDescent="0.25">
      <c r="A1268" t="str">
        <f>"200013537"</f>
        <v>200013537</v>
      </c>
      <c r="B1268" t="str">
        <f>"1689882136"</f>
        <v>1689882136</v>
      </c>
      <c r="C1268" t="str">
        <f>"207V00000X"</f>
        <v>207V00000X</v>
      </c>
      <c r="D1268" t="str">
        <f>"STEWART                  CHERE'                   "</f>
        <v xml:space="preserve">STEWART                  CHERE'                   </v>
      </c>
      <c r="E1268" t="str">
        <f>"BIRMINGHAM                "</f>
        <v xml:space="preserve">BIRMINGHAM                </v>
      </c>
      <c r="F1268" t="str">
        <f t="shared" si="47"/>
        <v>AL</v>
      </c>
    </row>
    <row r="1269" spans="1:6" x14ac:dyDescent="0.25">
      <c r="A1269" t="str">
        <f>"200013599"</f>
        <v>200013599</v>
      </c>
      <c r="B1269" t="str">
        <f>"1154392330"</f>
        <v>1154392330</v>
      </c>
      <c r="C1269" t="str">
        <f>"207RC0000X"</f>
        <v>207RC0000X</v>
      </c>
      <c r="D1269" t="str">
        <f>"JASSER                   MOHAMED      S           "</f>
        <v xml:space="preserve">JASSER                   MOHAMED      S           </v>
      </c>
      <c r="E1269" t="str">
        <f>"BIRMINGHAM                "</f>
        <v xml:space="preserve">BIRMINGHAM                </v>
      </c>
      <c r="F1269" t="str">
        <f t="shared" si="47"/>
        <v>AL</v>
      </c>
    </row>
    <row r="1270" spans="1:6" x14ac:dyDescent="0.25">
      <c r="A1270" t="str">
        <f>"200013605"</f>
        <v>200013605</v>
      </c>
      <c r="B1270" t="str">
        <f>"1861719817"</f>
        <v>1861719817</v>
      </c>
      <c r="C1270" t="str">
        <f>"207T00000X"</f>
        <v>207T00000X</v>
      </c>
      <c r="D1270" t="str">
        <f>"MANIX                    MARC         C           "</f>
        <v xml:space="preserve">MANIX                    MARC         C           </v>
      </c>
      <c r="E1270" t="str">
        <f>"MOBILE                    "</f>
        <v xml:space="preserve">MOBILE                    </v>
      </c>
      <c r="F1270" t="str">
        <f t="shared" si="47"/>
        <v>AL</v>
      </c>
    </row>
    <row r="1271" spans="1:6" x14ac:dyDescent="0.25">
      <c r="A1271" t="str">
        <f>"200013611"</f>
        <v>200013611</v>
      </c>
      <c r="B1271" t="str">
        <f>"1093150724"</f>
        <v>1093150724</v>
      </c>
      <c r="C1271" t="str">
        <f>"207L00000X"</f>
        <v>207L00000X</v>
      </c>
      <c r="D1271" t="str">
        <f>"MALLORY                  CATHERINE                "</f>
        <v xml:space="preserve">MALLORY                  CATHERINE                </v>
      </c>
      <c r="E1271" t="str">
        <f>"BIRMINGHAM                "</f>
        <v xml:space="preserve">BIRMINGHAM                </v>
      </c>
      <c r="F1271" t="str">
        <f t="shared" si="47"/>
        <v>AL</v>
      </c>
    </row>
    <row r="1272" spans="1:6" x14ac:dyDescent="0.25">
      <c r="A1272" t="str">
        <f>"200013621"</f>
        <v>200013621</v>
      </c>
      <c r="B1272" t="str">
        <f>"1700809548"</f>
        <v>1700809548</v>
      </c>
      <c r="C1272" t="str">
        <f>"207RI0200X"</f>
        <v>207RI0200X</v>
      </c>
      <c r="D1272" t="str">
        <f>"SAAG                     MICHAEL                  "</f>
        <v xml:space="preserve">SAAG                     MICHAEL                  </v>
      </c>
      <c r="E1272" t="str">
        <f>"BIRMINGHAM                "</f>
        <v xml:space="preserve">BIRMINGHAM                </v>
      </c>
      <c r="F1272" t="str">
        <f t="shared" si="47"/>
        <v>AL</v>
      </c>
    </row>
    <row r="1273" spans="1:6" x14ac:dyDescent="0.25">
      <c r="A1273" t="str">
        <f>"200013653"</f>
        <v>200013653</v>
      </c>
      <c r="B1273" t="str">
        <f>"1053167932"</f>
        <v>1053167932</v>
      </c>
      <c r="C1273" t="str">
        <f>"207R00000X"</f>
        <v>207R00000X</v>
      </c>
      <c r="D1273" t="str">
        <f>"BASEGODA CRUIEL          WHILHELM                 "</f>
        <v xml:space="preserve">BASEGODA CRUIEL          WHILHELM                 </v>
      </c>
      <c r="E1273" t="str">
        <f>"MOBILE                    "</f>
        <v xml:space="preserve">MOBILE                    </v>
      </c>
      <c r="F1273" t="str">
        <f t="shared" si="47"/>
        <v>AL</v>
      </c>
    </row>
    <row r="1274" spans="1:6" x14ac:dyDescent="0.25">
      <c r="A1274" t="str">
        <f>"200013666"</f>
        <v>200013666</v>
      </c>
      <c r="B1274" t="str">
        <f>"1740030907"</f>
        <v>1740030907</v>
      </c>
      <c r="C1274" t="str">
        <f>"207R00000X"</f>
        <v>207R00000X</v>
      </c>
      <c r="D1274" t="str">
        <f>"BOEUR                    BRANDON                  "</f>
        <v xml:space="preserve">BOEUR                    BRANDON                  </v>
      </c>
      <c r="E1274" t="str">
        <f>"MOBILE                    "</f>
        <v xml:space="preserve">MOBILE                    </v>
      </c>
      <c r="F1274" t="str">
        <f t="shared" si="47"/>
        <v>AL</v>
      </c>
    </row>
    <row r="1275" spans="1:6" x14ac:dyDescent="0.25">
      <c r="A1275" t="str">
        <f>"200013682"</f>
        <v>200013682</v>
      </c>
      <c r="B1275" t="str">
        <f>"1962172189"</f>
        <v>1962172189</v>
      </c>
      <c r="C1275" t="str">
        <f>"363L00000X"</f>
        <v>363L00000X</v>
      </c>
      <c r="D1275" t="str">
        <f>"GENDRICH                 LAUREN                   "</f>
        <v xml:space="preserve">GENDRICH                 LAUREN                   </v>
      </c>
      <c r="E1275" t="str">
        <f>"BIRMINGHAM                "</f>
        <v xml:space="preserve">BIRMINGHAM                </v>
      </c>
      <c r="F1275" t="str">
        <f t="shared" si="47"/>
        <v>AL</v>
      </c>
    </row>
    <row r="1276" spans="1:6" x14ac:dyDescent="0.25">
      <c r="A1276" t="str">
        <f>"200013741"</f>
        <v>200013741</v>
      </c>
      <c r="B1276" t="str">
        <f>"1457889891"</f>
        <v>1457889891</v>
      </c>
      <c r="C1276" t="str">
        <f>"207RC0000X"</f>
        <v>207RC0000X</v>
      </c>
      <c r="D1276" t="str">
        <f>"HARVEY                   WILLIAM      K           "</f>
        <v xml:space="preserve">HARVEY                   WILLIAM      K           </v>
      </c>
      <c r="E1276" t="str">
        <f>"MOBILE                    "</f>
        <v xml:space="preserve">MOBILE                    </v>
      </c>
      <c r="F1276" t="str">
        <f t="shared" si="47"/>
        <v>AL</v>
      </c>
    </row>
    <row r="1277" spans="1:6" x14ac:dyDescent="0.25">
      <c r="A1277" t="str">
        <f>"200013761"</f>
        <v>200013761</v>
      </c>
      <c r="B1277" t="str">
        <f>"1295155869"</f>
        <v>1295155869</v>
      </c>
      <c r="C1277" t="str">
        <f>"208M00000X"</f>
        <v>208M00000X</v>
      </c>
      <c r="D1277" t="str">
        <f>"AL-NUFAL                 MOHAMMED                 "</f>
        <v xml:space="preserve">AL-NUFAL                 MOHAMMED                 </v>
      </c>
      <c r="E1277" t="str">
        <f>"MOBILE                    "</f>
        <v xml:space="preserve">MOBILE                    </v>
      </c>
      <c r="F1277" t="str">
        <f t="shared" si="47"/>
        <v>AL</v>
      </c>
    </row>
    <row r="1278" spans="1:6" x14ac:dyDescent="0.25">
      <c r="A1278" t="str">
        <f>"200013762"</f>
        <v>200013762</v>
      </c>
      <c r="B1278" t="str">
        <f>"1851141451"</f>
        <v>1851141451</v>
      </c>
      <c r="C1278" t="str">
        <f>"207V00000X"</f>
        <v>207V00000X</v>
      </c>
      <c r="D1278" t="str">
        <f>"KNOLL                    OLIVIA                   "</f>
        <v xml:space="preserve">KNOLL                    OLIVIA                   </v>
      </c>
      <c r="E1278" t="str">
        <f>"MOBILE                    "</f>
        <v xml:space="preserve">MOBILE                    </v>
      </c>
      <c r="F1278" t="str">
        <f t="shared" si="47"/>
        <v>AL</v>
      </c>
    </row>
    <row r="1279" spans="1:6" x14ac:dyDescent="0.25">
      <c r="A1279" t="str">
        <f>"200013765"</f>
        <v>200013765</v>
      </c>
      <c r="B1279" t="str">
        <f>"1801646104"</f>
        <v>1801646104</v>
      </c>
      <c r="C1279" t="str">
        <f>"207R00000X"</f>
        <v>207R00000X</v>
      </c>
      <c r="D1279" t="str">
        <f>"BURSON                   REBECCA                  "</f>
        <v xml:space="preserve">BURSON                   REBECCA                  </v>
      </c>
      <c r="E1279" t="str">
        <f>"MOBILE                    "</f>
        <v xml:space="preserve">MOBILE                    </v>
      </c>
      <c r="F1279" t="str">
        <f t="shared" si="47"/>
        <v>AL</v>
      </c>
    </row>
    <row r="1280" spans="1:6" x14ac:dyDescent="0.25">
      <c r="A1280" t="str">
        <f>"200013824"</f>
        <v>200013824</v>
      </c>
      <c r="B1280" t="str">
        <f>"1730720244"</f>
        <v>1730720244</v>
      </c>
      <c r="C1280" t="str">
        <f>"363L00000X"</f>
        <v>363L00000X</v>
      </c>
      <c r="D1280" t="str">
        <f>"REGALIZA                 CARL                     "</f>
        <v xml:space="preserve">REGALIZA                 CARL                     </v>
      </c>
      <c r="E1280" t="str">
        <f>"MOBILE                    "</f>
        <v xml:space="preserve">MOBILE                    </v>
      </c>
      <c r="F1280" t="str">
        <f t="shared" si="47"/>
        <v>AL</v>
      </c>
    </row>
    <row r="1281" spans="1:6" x14ac:dyDescent="0.25">
      <c r="A1281" t="str">
        <f>"200013855"</f>
        <v>200013855</v>
      </c>
      <c r="B1281" t="str">
        <f>"1912341132"</f>
        <v>1912341132</v>
      </c>
      <c r="C1281" t="str">
        <f>"207R00000X"</f>
        <v>207R00000X</v>
      </c>
      <c r="D1281" t="str">
        <f>"WILBANKS                 MORGAN                   "</f>
        <v xml:space="preserve">WILBANKS                 MORGAN                   </v>
      </c>
      <c r="E1281" t="str">
        <f>"BIRMINGHAM                "</f>
        <v xml:space="preserve">BIRMINGHAM                </v>
      </c>
      <c r="F1281" t="str">
        <f t="shared" si="47"/>
        <v>AL</v>
      </c>
    </row>
    <row r="1282" spans="1:6" x14ac:dyDescent="0.25">
      <c r="A1282" t="str">
        <f>"200013877"</f>
        <v>200013877</v>
      </c>
      <c r="B1282" t="str">
        <f>"1649452301"</f>
        <v>1649452301</v>
      </c>
      <c r="C1282" t="str">
        <f>"207Q00000X"</f>
        <v>207Q00000X</v>
      </c>
      <c r="D1282" t="str">
        <f>"AL-ABBADI                SALAH                    "</f>
        <v xml:space="preserve">AL-ABBADI                SALAH                    </v>
      </c>
      <c r="E1282" t="str">
        <f>"CHATOM                    "</f>
        <v xml:space="preserve">CHATOM                    </v>
      </c>
      <c r="F1282" t="str">
        <f t="shared" si="47"/>
        <v>AL</v>
      </c>
    </row>
    <row r="1283" spans="1:6" x14ac:dyDescent="0.25">
      <c r="A1283" t="str">
        <f>"200013923"</f>
        <v>200013923</v>
      </c>
      <c r="B1283" t="str">
        <f>"1881787471"</f>
        <v>1881787471</v>
      </c>
      <c r="C1283" t="str">
        <f>"208600000X"</f>
        <v>208600000X</v>
      </c>
      <c r="D1283" t="str">
        <f>"BLANKENSHIP              ALEXANDER                "</f>
        <v xml:space="preserve">BLANKENSHIP              ALEXANDER                </v>
      </c>
      <c r="E1283" t="str">
        <f>"MOBILE                    "</f>
        <v xml:space="preserve">MOBILE                    </v>
      </c>
      <c r="F1283" t="str">
        <f t="shared" si="47"/>
        <v>AL</v>
      </c>
    </row>
    <row r="1284" spans="1:6" x14ac:dyDescent="0.25">
      <c r="A1284" t="str">
        <f>"200013953"</f>
        <v>200013953</v>
      </c>
      <c r="B1284" t="str">
        <f>"1912393828"</f>
        <v>1912393828</v>
      </c>
      <c r="C1284" t="str">
        <f>"207LC0200X"</f>
        <v>207LC0200X</v>
      </c>
      <c r="D1284" t="str">
        <f>"SCHREINER                NICOLE                   "</f>
        <v xml:space="preserve">SCHREINER                NICOLE                   </v>
      </c>
      <c r="E1284" t="str">
        <f>"BIRMINGHAM                "</f>
        <v xml:space="preserve">BIRMINGHAM                </v>
      </c>
      <c r="F1284" t="str">
        <f t="shared" si="47"/>
        <v>AL</v>
      </c>
    </row>
    <row r="1285" spans="1:6" x14ac:dyDescent="0.25">
      <c r="A1285" t="str">
        <f>"200014006"</f>
        <v>200014006</v>
      </c>
      <c r="B1285" t="str">
        <f>"1467077917"</f>
        <v>1467077917</v>
      </c>
      <c r="C1285" t="str">
        <f>"207RG0300X"</f>
        <v>207RG0300X</v>
      </c>
      <c r="D1285" t="str">
        <f>"ALVAREZ                  DYAN                     "</f>
        <v xml:space="preserve">ALVAREZ                  DYAN                     </v>
      </c>
      <c r="E1285" t="str">
        <f>"BIRMINGHAM                "</f>
        <v xml:space="preserve">BIRMINGHAM                </v>
      </c>
      <c r="F1285" t="str">
        <f t="shared" si="47"/>
        <v>AL</v>
      </c>
    </row>
    <row r="1286" spans="1:6" x14ac:dyDescent="0.25">
      <c r="A1286" t="str">
        <f>"200014022"</f>
        <v>200014022</v>
      </c>
      <c r="B1286" t="str">
        <f>"1811574460"</f>
        <v>1811574460</v>
      </c>
      <c r="C1286" t="str">
        <f>"207P00000X"</f>
        <v>207P00000X</v>
      </c>
      <c r="D1286" t="str">
        <f>"DAVIS                    WILLIAM                  "</f>
        <v xml:space="preserve">DAVIS                    WILLIAM                  </v>
      </c>
      <c r="E1286" t="str">
        <f>"BIRMINGHAM                "</f>
        <v xml:space="preserve">BIRMINGHAM                </v>
      </c>
      <c r="F1286" t="str">
        <f t="shared" si="47"/>
        <v>AL</v>
      </c>
    </row>
    <row r="1287" spans="1:6" x14ac:dyDescent="0.25">
      <c r="A1287" t="str">
        <f>"200014037"</f>
        <v>200014037</v>
      </c>
      <c r="B1287" t="str">
        <f>"1720511017"</f>
        <v>1720511017</v>
      </c>
      <c r="C1287" t="str">
        <f>"208600000X"</f>
        <v>208600000X</v>
      </c>
      <c r="D1287" t="str">
        <f>"RIESKE                   RICHARD      R           "</f>
        <v xml:space="preserve">RIESKE                   RICHARD      R           </v>
      </c>
      <c r="E1287" t="str">
        <f>"MOBILE                    "</f>
        <v xml:space="preserve">MOBILE                    </v>
      </c>
      <c r="F1287" t="str">
        <f t="shared" ref="F1287:F1350" si="48">"AL"</f>
        <v>AL</v>
      </c>
    </row>
    <row r="1288" spans="1:6" x14ac:dyDescent="0.25">
      <c r="A1288" t="str">
        <f>"200014055"</f>
        <v>200014055</v>
      </c>
      <c r="B1288" t="str">
        <f>"1639758444"</f>
        <v>1639758444</v>
      </c>
      <c r="C1288" t="str">
        <f>"207Q00000X"</f>
        <v>207Q00000X</v>
      </c>
      <c r="D1288" t="str">
        <f>"JEWETT                   NATALIE                  "</f>
        <v xml:space="preserve">JEWETT                   NATALIE                  </v>
      </c>
      <c r="E1288" t="str">
        <f>"BIRMINGHAM                "</f>
        <v xml:space="preserve">BIRMINGHAM                </v>
      </c>
      <c r="F1288" t="str">
        <f t="shared" si="48"/>
        <v>AL</v>
      </c>
    </row>
    <row r="1289" spans="1:6" x14ac:dyDescent="0.25">
      <c r="A1289" t="str">
        <f>"200014057"</f>
        <v>200014057</v>
      </c>
      <c r="B1289" t="str">
        <f>"1003158189"</f>
        <v>1003158189</v>
      </c>
      <c r="C1289" t="str">
        <f>"207RN0300X"</f>
        <v>207RN0300X</v>
      </c>
      <c r="D1289" t="str">
        <f>"MACHADO                  SHANA                    "</f>
        <v xml:space="preserve">MACHADO                  SHANA                    </v>
      </c>
      <c r="E1289" t="str">
        <f>"BIRMINGHAM                "</f>
        <v xml:space="preserve">BIRMINGHAM                </v>
      </c>
      <c r="F1289" t="str">
        <f t="shared" si="48"/>
        <v>AL</v>
      </c>
    </row>
    <row r="1290" spans="1:6" x14ac:dyDescent="0.25">
      <c r="A1290" t="str">
        <f>"200014066"</f>
        <v>200014066</v>
      </c>
      <c r="B1290" t="str">
        <f>"1992384499"</f>
        <v>1992384499</v>
      </c>
      <c r="C1290" t="str">
        <f>"207R00000X"</f>
        <v>207R00000X</v>
      </c>
      <c r="D1290" t="str">
        <f>"KUKUC                    LAURA                    "</f>
        <v xml:space="preserve">KUKUC                    LAURA                    </v>
      </c>
      <c r="E1290" t="str">
        <f>"BIRMINGHAM                "</f>
        <v xml:space="preserve">BIRMINGHAM                </v>
      </c>
      <c r="F1290" t="str">
        <f t="shared" si="48"/>
        <v>AL</v>
      </c>
    </row>
    <row r="1291" spans="1:6" x14ac:dyDescent="0.25">
      <c r="A1291" t="str">
        <f>"200014068"</f>
        <v>200014068</v>
      </c>
      <c r="B1291" t="str">
        <f>"1134758824"</f>
        <v>1134758824</v>
      </c>
      <c r="C1291" t="str">
        <f>"207P00000X"</f>
        <v>207P00000X</v>
      </c>
      <c r="D1291" t="str">
        <f>"AZMY                     MARK         K           "</f>
        <v xml:space="preserve">AZMY                     MARK         K           </v>
      </c>
      <c r="E1291" t="str">
        <f>"MOBILE                    "</f>
        <v xml:space="preserve">MOBILE                    </v>
      </c>
      <c r="F1291" t="str">
        <f t="shared" si="48"/>
        <v>AL</v>
      </c>
    </row>
    <row r="1292" spans="1:6" x14ac:dyDescent="0.25">
      <c r="A1292" t="str">
        <f>"200014085"</f>
        <v>200014085</v>
      </c>
      <c r="B1292" t="str">
        <f>"1407485600"</f>
        <v>1407485600</v>
      </c>
      <c r="C1292" t="str">
        <f>"2084N0400X"</f>
        <v>2084N0400X</v>
      </c>
      <c r="D1292" t="str">
        <f>"MCCAY                    MATTHEW                  "</f>
        <v xml:space="preserve">MCCAY                    MATTHEW                  </v>
      </c>
      <c r="E1292" t="str">
        <f>"BIRMINGHAM                "</f>
        <v xml:space="preserve">BIRMINGHAM                </v>
      </c>
      <c r="F1292" t="str">
        <f t="shared" si="48"/>
        <v>AL</v>
      </c>
    </row>
    <row r="1293" spans="1:6" x14ac:dyDescent="0.25">
      <c r="A1293" t="str">
        <f>"200014122"</f>
        <v>200014122</v>
      </c>
      <c r="B1293" t="str">
        <f>"1083969802"</f>
        <v>1083969802</v>
      </c>
      <c r="C1293" t="str">
        <f>"207RI0200X"</f>
        <v>207RI0200X</v>
      </c>
      <c r="D1293" t="str">
        <f>"BENJAMIN                 CARLA        G           "</f>
        <v xml:space="preserve">BENJAMIN                 CARLA        G           </v>
      </c>
      <c r="E1293" t="str">
        <f>"MOBILE                    "</f>
        <v xml:space="preserve">MOBILE                    </v>
      </c>
      <c r="F1293" t="str">
        <f t="shared" si="48"/>
        <v>AL</v>
      </c>
    </row>
    <row r="1294" spans="1:6" x14ac:dyDescent="0.25">
      <c r="A1294" t="str">
        <f>"200014167"</f>
        <v>200014167</v>
      </c>
      <c r="B1294" t="str">
        <f>"1023005832"</f>
        <v>1023005832</v>
      </c>
      <c r="C1294" t="str">
        <f>"2080P0204X"</f>
        <v>2080P0204X</v>
      </c>
      <c r="D1294" t="str">
        <f>"PETERS                   MELISSA                  "</f>
        <v xml:space="preserve">PETERS                   MELISSA                  </v>
      </c>
      <c r="E1294" t="str">
        <f>"MOBILE                    "</f>
        <v xml:space="preserve">MOBILE                    </v>
      </c>
      <c r="F1294" t="str">
        <f t="shared" si="48"/>
        <v>AL</v>
      </c>
    </row>
    <row r="1295" spans="1:6" x14ac:dyDescent="0.25">
      <c r="A1295" t="str">
        <f>"200014185"</f>
        <v>200014185</v>
      </c>
      <c r="B1295" t="str">
        <f>"1710558044"</f>
        <v>1710558044</v>
      </c>
      <c r="C1295" t="str">
        <f>"208M00000X"</f>
        <v>208M00000X</v>
      </c>
      <c r="D1295" t="str">
        <f>"DEYLAMIPOUR              JOE                      "</f>
        <v xml:space="preserve">DEYLAMIPOUR              JOE                      </v>
      </c>
      <c r="E1295" t="str">
        <f>"MOBILE                    "</f>
        <v xml:space="preserve">MOBILE                    </v>
      </c>
      <c r="F1295" t="str">
        <f t="shared" si="48"/>
        <v>AL</v>
      </c>
    </row>
    <row r="1296" spans="1:6" x14ac:dyDescent="0.25">
      <c r="A1296" t="str">
        <f>"200014205"</f>
        <v>200014205</v>
      </c>
      <c r="B1296" t="str">
        <f>"1417799925"</f>
        <v>1417799925</v>
      </c>
      <c r="C1296" t="str">
        <f>"363LF0000X"</f>
        <v>363LF0000X</v>
      </c>
      <c r="D1296" t="str">
        <f>"ODOM                     CATHERINE    E           "</f>
        <v xml:space="preserve">ODOM                     CATHERINE    E           </v>
      </c>
      <c r="E1296" t="str">
        <f>"MOBILE                    "</f>
        <v xml:space="preserve">MOBILE                    </v>
      </c>
      <c r="F1296" t="str">
        <f t="shared" si="48"/>
        <v>AL</v>
      </c>
    </row>
    <row r="1297" spans="1:6" x14ac:dyDescent="0.25">
      <c r="A1297" t="str">
        <f>"200014206"</f>
        <v>200014206</v>
      </c>
      <c r="B1297" t="str">
        <f>"1801391420"</f>
        <v>1801391420</v>
      </c>
      <c r="C1297" t="str">
        <f>"207P00000X"</f>
        <v>207P00000X</v>
      </c>
      <c r="D1297" t="str">
        <f>"DELANEY                  WILSON       C           "</f>
        <v xml:space="preserve">DELANEY                  WILSON       C           </v>
      </c>
      <c r="E1297" t="str">
        <f>"MOBILE                    "</f>
        <v xml:space="preserve">MOBILE                    </v>
      </c>
      <c r="F1297" t="str">
        <f t="shared" si="48"/>
        <v>AL</v>
      </c>
    </row>
    <row r="1298" spans="1:6" x14ac:dyDescent="0.25">
      <c r="A1298" t="str">
        <f>"200014224"</f>
        <v>200014224</v>
      </c>
      <c r="B1298" t="str">
        <f>"1629539267"</f>
        <v>1629539267</v>
      </c>
      <c r="C1298" t="str">
        <f>"363LA2100X"</f>
        <v>363LA2100X</v>
      </c>
      <c r="D1298" t="str">
        <f>"HOPE                     HEDDIE                   "</f>
        <v xml:space="preserve">HOPE                     HEDDIE                   </v>
      </c>
      <c r="E1298" t="str">
        <f>"BIRMINGHAM                "</f>
        <v xml:space="preserve">BIRMINGHAM                </v>
      </c>
      <c r="F1298" t="str">
        <f t="shared" si="48"/>
        <v>AL</v>
      </c>
    </row>
    <row r="1299" spans="1:6" x14ac:dyDescent="0.25">
      <c r="A1299" t="str">
        <f>"200014226"</f>
        <v>200014226</v>
      </c>
      <c r="B1299" t="str">
        <f>"1649584350"</f>
        <v>1649584350</v>
      </c>
      <c r="C1299" t="str">
        <f>"207RG0100X"</f>
        <v>207RG0100X</v>
      </c>
      <c r="D1299" t="str">
        <f>"RAVI                     SUJAN                    "</f>
        <v xml:space="preserve">RAVI                     SUJAN                    </v>
      </c>
      <c r="E1299" t="str">
        <f>"BIRMINGHAM                "</f>
        <v xml:space="preserve">BIRMINGHAM                </v>
      </c>
      <c r="F1299" t="str">
        <f t="shared" si="48"/>
        <v>AL</v>
      </c>
    </row>
    <row r="1300" spans="1:6" x14ac:dyDescent="0.25">
      <c r="A1300" t="str">
        <f>"200014278"</f>
        <v>200014278</v>
      </c>
      <c r="B1300" t="str">
        <f>"1548503881"</f>
        <v>1548503881</v>
      </c>
      <c r="C1300" t="str">
        <f>"363A00000X"</f>
        <v>363A00000X</v>
      </c>
      <c r="D1300" t="str">
        <f>"MURPHY                   SARAH                    "</f>
        <v xml:space="preserve">MURPHY                   SARAH                    </v>
      </c>
      <c r="E1300" t="str">
        <f>"MOBILE                    "</f>
        <v xml:space="preserve">MOBILE                    </v>
      </c>
      <c r="F1300" t="str">
        <f t="shared" si="48"/>
        <v>AL</v>
      </c>
    </row>
    <row r="1301" spans="1:6" x14ac:dyDescent="0.25">
      <c r="A1301" t="str">
        <f>"200014293"</f>
        <v>200014293</v>
      </c>
      <c r="B1301" t="str">
        <f>"1215557855"</f>
        <v>1215557855</v>
      </c>
      <c r="C1301" t="str">
        <f>"363LA2200X"</f>
        <v>363LA2200X</v>
      </c>
      <c r="D1301" t="str">
        <f>"PHILLIPS                 CARRIE                   "</f>
        <v xml:space="preserve">PHILLIPS                 CARRIE                   </v>
      </c>
      <c r="E1301" t="str">
        <f>"BIRMINGHAM                "</f>
        <v xml:space="preserve">BIRMINGHAM                </v>
      </c>
      <c r="F1301" t="str">
        <f t="shared" si="48"/>
        <v>AL</v>
      </c>
    </row>
    <row r="1302" spans="1:6" x14ac:dyDescent="0.25">
      <c r="A1302" t="str">
        <f>"200014304"</f>
        <v>200014304</v>
      </c>
      <c r="B1302" t="str">
        <f>"1093335119"</f>
        <v>1093335119</v>
      </c>
      <c r="C1302" t="str">
        <f>"207L00000X"</f>
        <v>207L00000X</v>
      </c>
      <c r="D1302" t="str">
        <f>"MAYFIELD                 JACOB        D           "</f>
        <v xml:space="preserve">MAYFIELD                 JACOB        D           </v>
      </c>
      <c r="E1302" t="str">
        <f>"BIRMINGHAM                "</f>
        <v xml:space="preserve">BIRMINGHAM                </v>
      </c>
      <c r="F1302" t="str">
        <f t="shared" si="48"/>
        <v>AL</v>
      </c>
    </row>
    <row r="1303" spans="1:6" x14ac:dyDescent="0.25">
      <c r="A1303" t="str">
        <f>"200014308"</f>
        <v>200014308</v>
      </c>
      <c r="B1303" t="str">
        <f>"1396902250"</f>
        <v>1396902250</v>
      </c>
      <c r="C1303" t="str">
        <f>"207RI0200X"</f>
        <v>207RI0200X</v>
      </c>
      <c r="D1303" t="str">
        <f>"FUSCO                    DAHLENE      N           "</f>
        <v xml:space="preserve">FUSCO                    DAHLENE      N           </v>
      </c>
      <c r="E1303" t="str">
        <f>"MOBILE                    "</f>
        <v xml:space="preserve">MOBILE                    </v>
      </c>
      <c r="F1303" t="str">
        <f t="shared" si="48"/>
        <v>AL</v>
      </c>
    </row>
    <row r="1304" spans="1:6" x14ac:dyDescent="0.25">
      <c r="A1304" t="str">
        <f>"200014310"</f>
        <v>200014310</v>
      </c>
      <c r="B1304" t="str">
        <f>"1043471618"</f>
        <v>1043471618</v>
      </c>
      <c r="C1304" t="str">
        <f>"2080P0210X"</f>
        <v>2080P0210X</v>
      </c>
      <c r="D1304" t="str">
        <f>"SEIFERT                  MICHAEL      E           "</f>
        <v xml:space="preserve">SEIFERT                  MICHAEL      E           </v>
      </c>
      <c r="E1304" t="str">
        <f>"BIRMINGHAM                "</f>
        <v xml:space="preserve">BIRMINGHAM                </v>
      </c>
      <c r="F1304" t="str">
        <f t="shared" si="48"/>
        <v>AL</v>
      </c>
    </row>
    <row r="1305" spans="1:6" x14ac:dyDescent="0.25">
      <c r="A1305" t="str">
        <f>"200014333"</f>
        <v>200014333</v>
      </c>
      <c r="B1305" t="str">
        <f>"1487049300"</f>
        <v>1487049300</v>
      </c>
      <c r="C1305" t="str">
        <f>"207RE0101X"</f>
        <v>207RE0101X</v>
      </c>
      <c r="D1305" t="str">
        <f>"FISHEL                   HEATHER      L           "</f>
        <v xml:space="preserve">FISHEL                   HEATHER      L           </v>
      </c>
      <c r="E1305" t="str">
        <f>"MOBILE                    "</f>
        <v xml:space="preserve">MOBILE                    </v>
      </c>
      <c r="F1305" t="str">
        <f t="shared" si="48"/>
        <v>AL</v>
      </c>
    </row>
    <row r="1306" spans="1:6" x14ac:dyDescent="0.25">
      <c r="A1306" t="str">
        <f>"200014339"</f>
        <v>200014339</v>
      </c>
      <c r="B1306" t="str">
        <f>"1053805291"</f>
        <v>1053805291</v>
      </c>
      <c r="C1306" t="str">
        <f>"207RC0000X"</f>
        <v>207RC0000X</v>
      </c>
      <c r="D1306" t="str">
        <f>"MANOHARAN                SUGANYA                  "</f>
        <v xml:space="preserve">MANOHARAN                SUGANYA                  </v>
      </c>
      <c r="E1306" t="str">
        <f>"MOBILE                    "</f>
        <v xml:space="preserve">MOBILE                    </v>
      </c>
      <c r="F1306" t="str">
        <f t="shared" si="48"/>
        <v>AL</v>
      </c>
    </row>
    <row r="1307" spans="1:6" x14ac:dyDescent="0.25">
      <c r="A1307" t="str">
        <f>"200014344"</f>
        <v>200014344</v>
      </c>
      <c r="B1307" t="str">
        <f>"1649926312"</f>
        <v>1649926312</v>
      </c>
      <c r="C1307" t="str">
        <f>"363L00000X"</f>
        <v>363L00000X</v>
      </c>
      <c r="D1307" t="str">
        <f>"HARRIS                   BRIANNA                  "</f>
        <v xml:space="preserve">HARRIS                   BRIANNA                  </v>
      </c>
      <c r="E1307" t="str">
        <f>"BIRMINGHAM                "</f>
        <v xml:space="preserve">BIRMINGHAM                </v>
      </c>
      <c r="F1307" t="str">
        <f t="shared" si="48"/>
        <v>AL</v>
      </c>
    </row>
    <row r="1308" spans="1:6" x14ac:dyDescent="0.25">
      <c r="A1308" t="str">
        <f>"200014380"</f>
        <v>200014380</v>
      </c>
      <c r="B1308" t="str">
        <f>"1215056817"</f>
        <v>1215056817</v>
      </c>
      <c r="C1308" t="str">
        <f>"208M00000X"</f>
        <v>208M00000X</v>
      </c>
      <c r="D1308" t="str">
        <f>"KALU                     OLIVIA                   "</f>
        <v xml:space="preserve">KALU                     OLIVIA                   </v>
      </c>
      <c r="E1308" t="str">
        <f>"MOBILE                    "</f>
        <v xml:space="preserve">MOBILE                    </v>
      </c>
      <c r="F1308" t="str">
        <f t="shared" si="48"/>
        <v>AL</v>
      </c>
    </row>
    <row r="1309" spans="1:6" x14ac:dyDescent="0.25">
      <c r="A1309" t="str">
        <f>"200014394"</f>
        <v>200014394</v>
      </c>
      <c r="B1309" t="str">
        <f>"1326533076"</f>
        <v>1326533076</v>
      </c>
      <c r="C1309" t="str">
        <f>"363LF0000X"</f>
        <v>363LF0000X</v>
      </c>
      <c r="D1309" t="str">
        <f>"WELCH                    JENA                     "</f>
        <v xml:space="preserve">WELCH                    JENA                     </v>
      </c>
      <c r="E1309" t="str">
        <f>"BIRMINGHAM                "</f>
        <v xml:space="preserve">BIRMINGHAM                </v>
      </c>
      <c r="F1309" t="str">
        <f t="shared" si="48"/>
        <v>AL</v>
      </c>
    </row>
    <row r="1310" spans="1:6" x14ac:dyDescent="0.25">
      <c r="A1310" t="str">
        <f>"200014431"</f>
        <v>200014431</v>
      </c>
      <c r="B1310" t="str">
        <f>"1720812654"</f>
        <v>1720812654</v>
      </c>
      <c r="C1310" t="str">
        <f>"367500000X"</f>
        <v>367500000X</v>
      </c>
      <c r="D1310" t="str">
        <f>"BROCK                    ALEXANDRA    J           "</f>
        <v xml:space="preserve">BROCK                    ALEXANDRA    J           </v>
      </c>
      <c r="E1310" t="str">
        <f>"MOBILE                    "</f>
        <v xml:space="preserve">MOBILE                    </v>
      </c>
      <c r="F1310" t="str">
        <f t="shared" si="48"/>
        <v>AL</v>
      </c>
    </row>
    <row r="1311" spans="1:6" x14ac:dyDescent="0.25">
      <c r="A1311" t="str">
        <f>"200014451"</f>
        <v>200014451</v>
      </c>
      <c r="B1311" t="str">
        <f>"1033793161"</f>
        <v>1033793161</v>
      </c>
      <c r="C1311" t="str">
        <f>"207RP1001X"</f>
        <v>207RP1001X</v>
      </c>
      <c r="D1311" t="str">
        <f>"SINGH                    ANGAD                    "</f>
        <v xml:space="preserve">SINGH                    ANGAD                    </v>
      </c>
      <c r="E1311" t="str">
        <f>"MOBILE                    "</f>
        <v xml:space="preserve">MOBILE                    </v>
      </c>
      <c r="F1311" t="str">
        <f t="shared" si="48"/>
        <v>AL</v>
      </c>
    </row>
    <row r="1312" spans="1:6" x14ac:dyDescent="0.25">
      <c r="A1312" t="str">
        <f>"200014468"</f>
        <v>200014468</v>
      </c>
      <c r="B1312" t="str">
        <f>"1124601810"</f>
        <v>1124601810</v>
      </c>
      <c r="C1312" t="str">
        <f>"207RG0100X"</f>
        <v>207RG0100X</v>
      </c>
      <c r="D1312" t="str">
        <f>"WOODHAM                  JESSICA                  "</f>
        <v xml:space="preserve">WOODHAM                  JESSICA                  </v>
      </c>
      <c r="E1312" t="str">
        <f>"MOBILE                    "</f>
        <v xml:space="preserve">MOBILE                    </v>
      </c>
      <c r="F1312" t="str">
        <f t="shared" si="48"/>
        <v>AL</v>
      </c>
    </row>
    <row r="1313" spans="1:6" x14ac:dyDescent="0.25">
      <c r="A1313" t="str">
        <f>"200014474"</f>
        <v>200014474</v>
      </c>
      <c r="B1313" t="str">
        <f>"1952980328"</f>
        <v>1952980328</v>
      </c>
      <c r="C1313" t="str">
        <f>"207P00000X"</f>
        <v>207P00000X</v>
      </c>
      <c r="D1313" t="str">
        <f>"HADDERTON                LANDRY                   "</f>
        <v xml:space="preserve">HADDERTON                LANDRY                   </v>
      </c>
      <c r="E1313" t="str">
        <f>"BIRMINGHAM                "</f>
        <v xml:space="preserve">BIRMINGHAM                </v>
      </c>
      <c r="F1313" t="str">
        <f t="shared" si="48"/>
        <v>AL</v>
      </c>
    </row>
    <row r="1314" spans="1:6" x14ac:dyDescent="0.25">
      <c r="A1314" t="str">
        <f>"200014475"</f>
        <v>200014475</v>
      </c>
      <c r="B1314" t="str">
        <f>"1487359261"</f>
        <v>1487359261</v>
      </c>
      <c r="C1314" t="str">
        <f>"207X00000X"</f>
        <v>207X00000X</v>
      </c>
      <c r="D1314" t="str">
        <f>"FORRISTER                DAVID                    "</f>
        <v xml:space="preserve">FORRISTER                DAVID                    </v>
      </c>
      <c r="E1314" t="str">
        <f>"MOBILE                    "</f>
        <v xml:space="preserve">MOBILE                    </v>
      </c>
      <c r="F1314" t="str">
        <f t="shared" si="48"/>
        <v>AL</v>
      </c>
    </row>
    <row r="1315" spans="1:6" x14ac:dyDescent="0.25">
      <c r="A1315" t="str">
        <f>"200014485"</f>
        <v>200014485</v>
      </c>
      <c r="B1315" t="str">
        <f>"1831839760"</f>
        <v>1831839760</v>
      </c>
      <c r="C1315" t="str">
        <f>"207X00000X"</f>
        <v>207X00000X</v>
      </c>
      <c r="D1315" t="str">
        <f>"BOYD                     ETHAN                    "</f>
        <v xml:space="preserve">BOYD                     ETHAN                    </v>
      </c>
      <c r="E1315" t="str">
        <f>"MOBILE                    "</f>
        <v xml:space="preserve">MOBILE                    </v>
      </c>
      <c r="F1315" t="str">
        <f t="shared" si="48"/>
        <v>AL</v>
      </c>
    </row>
    <row r="1316" spans="1:6" x14ac:dyDescent="0.25">
      <c r="A1316" t="str">
        <f>"200014488"</f>
        <v>200014488</v>
      </c>
      <c r="B1316" t="str">
        <f>"1558823096"</f>
        <v>1558823096</v>
      </c>
      <c r="C1316" t="str">
        <f>"207L00000X"</f>
        <v>207L00000X</v>
      </c>
      <c r="D1316" t="str">
        <f>"OHLMAN                   BEOMJY                   "</f>
        <v xml:space="preserve">OHLMAN                   BEOMJY                   </v>
      </c>
      <c r="E1316" t="str">
        <f>"BIRMINGHAM                "</f>
        <v xml:space="preserve">BIRMINGHAM                </v>
      </c>
      <c r="F1316" t="str">
        <f t="shared" si="48"/>
        <v>AL</v>
      </c>
    </row>
    <row r="1317" spans="1:6" x14ac:dyDescent="0.25">
      <c r="A1317" t="str">
        <f>"200014502"</f>
        <v>200014502</v>
      </c>
      <c r="B1317" t="str">
        <f>"1669228938"</f>
        <v>1669228938</v>
      </c>
      <c r="C1317" t="str">
        <f>"207T00000X"</f>
        <v>207T00000X</v>
      </c>
      <c r="D1317" t="str">
        <f>"SANTOS                   ROMEL                    "</f>
        <v xml:space="preserve">SANTOS                   ROMEL                    </v>
      </c>
      <c r="E1317" t="str">
        <f>"BIRMINGHAM                "</f>
        <v xml:space="preserve">BIRMINGHAM                </v>
      </c>
      <c r="F1317" t="str">
        <f t="shared" si="48"/>
        <v>AL</v>
      </c>
    </row>
    <row r="1318" spans="1:6" x14ac:dyDescent="0.25">
      <c r="A1318" t="str">
        <f>"200014523"</f>
        <v>200014523</v>
      </c>
      <c r="B1318" t="str">
        <f>"1457663676"</f>
        <v>1457663676</v>
      </c>
      <c r="C1318" t="str">
        <f>"207ZC0006X"</f>
        <v>207ZC0006X</v>
      </c>
      <c r="D1318" t="str">
        <f>"DROUIN                   ARNAUD       C           "</f>
        <v xml:space="preserve">DROUIN                   ARNAUD       C           </v>
      </c>
      <c r="E1318" t="str">
        <f>"MOBILE                    "</f>
        <v xml:space="preserve">MOBILE                    </v>
      </c>
      <c r="F1318" t="str">
        <f t="shared" si="48"/>
        <v>AL</v>
      </c>
    </row>
    <row r="1319" spans="1:6" x14ac:dyDescent="0.25">
      <c r="A1319" t="str">
        <f>"200014539"</f>
        <v>200014539</v>
      </c>
      <c r="B1319" t="str">
        <f>"1881394625"</f>
        <v>1881394625</v>
      </c>
      <c r="C1319" t="str">
        <f>"363L00000X"</f>
        <v>363L00000X</v>
      </c>
      <c r="D1319" t="str">
        <f>"TRENIER                  JAKAYLA                  "</f>
        <v xml:space="preserve">TRENIER                  JAKAYLA                  </v>
      </c>
      <c r="E1319" t="str">
        <f>"MOBILE                    "</f>
        <v xml:space="preserve">MOBILE                    </v>
      </c>
      <c r="F1319" t="str">
        <f t="shared" si="48"/>
        <v>AL</v>
      </c>
    </row>
    <row r="1320" spans="1:6" x14ac:dyDescent="0.25">
      <c r="A1320" t="str">
        <f>"200014600"</f>
        <v>200014600</v>
      </c>
      <c r="B1320" t="str">
        <f>"1053540450"</f>
        <v>1053540450</v>
      </c>
      <c r="C1320" t="str">
        <f>"363L00000X"</f>
        <v>363L00000X</v>
      </c>
      <c r="D1320" t="str">
        <f>"BROCK                    JESSICA                  "</f>
        <v xml:space="preserve">BROCK                    JESSICA                  </v>
      </c>
      <c r="E1320" t="str">
        <f>"MOBILE                    "</f>
        <v xml:space="preserve">MOBILE                    </v>
      </c>
      <c r="F1320" t="str">
        <f t="shared" si="48"/>
        <v>AL</v>
      </c>
    </row>
    <row r="1321" spans="1:6" x14ac:dyDescent="0.25">
      <c r="A1321" t="str">
        <f>"200014641"</f>
        <v>200014641</v>
      </c>
      <c r="B1321" t="str">
        <f>"1770954828"</f>
        <v>1770954828</v>
      </c>
      <c r="C1321" t="str">
        <f>"2085R0202X"</f>
        <v>2085R0202X</v>
      </c>
      <c r="D1321" t="str">
        <f>"DE JESUS RODRIGUEZ       HECTOR                   "</f>
        <v xml:space="preserve">DE JESUS RODRIGUEZ       HECTOR                   </v>
      </c>
      <c r="E1321" t="str">
        <f>"BIRMINGHAM                "</f>
        <v xml:space="preserve">BIRMINGHAM                </v>
      </c>
      <c r="F1321" t="str">
        <f t="shared" si="48"/>
        <v>AL</v>
      </c>
    </row>
    <row r="1322" spans="1:6" x14ac:dyDescent="0.25">
      <c r="A1322" t="str">
        <f>"200014680"</f>
        <v>200014680</v>
      </c>
      <c r="B1322" t="str">
        <f>"1730932096"</f>
        <v>1730932096</v>
      </c>
      <c r="C1322" t="str">
        <f>"207R00000X"</f>
        <v>207R00000X</v>
      </c>
      <c r="D1322" t="str">
        <f>"SEOK                     MINYE                    "</f>
        <v xml:space="preserve">SEOK                     MINYE                    </v>
      </c>
      <c r="E1322" t="str">
        <f>"MOBILE                    "</f>
        <v xml:space="preserve">MOBILE                    </v>
      </c>
      <c r="F1322" t="str">
        <f t="shared" si="48"/>
        <v>AL</v>
      </c>
    </row>
    <row r="1323" spans="1:6" x14ac:dyDescent="0.25">
      <c r="A1323" t="str">
        <f>"200014684"</f>
        <v>200014684</v>
      </c>
      <c r="B1323" t="str">
        <f>"1790276855"</f>
        <v>1790276855</v>
      </c>
      <c r="C1323" t="str">
        <f>"208600000X"</f>
        <v>208600000X</v>
      </c>
      <c r="D1323" t="str">
        <f>"LAVERTY                  ROBERT       B           "</f>
        <v xml:space="preserve">LAVERTY                  ROBERT       B           </v>
      </c>
      <c r="E1323" t="str">
        <f>"BIRMINGHAM                "</f>
        <v xml:space="preserve">BIRMINGHAM                </v>
      </c>
      <c r="F1323" t="str">
        <f t="shared" si="48"/>
        <v>AL</v>
      </c>
    </row>
    <row r="1324" spans="1:6" x14ac:dyDescent="0.25">
      <c r="A1324" t="str">
        <f>"200014708"</f>
        <v>200014708</v>
      </c>
      <c r="B1324" t="str">
        <f>"1649927401"</f>
        <v>1649927401</v>
      </c>
      <c r="C1324" t="str">
        <f>"2085R0202X"</f>
        <v>2085R0202X</v>
      </c>
      <c r="D1324" t="str">
        <f>"REZAEI                   ALI                      "</f>
        <v xml:space="preserve">REZAEI                   ALI                      </v>
      </c>
      <c r="E1324" t="str">
        <f>"BIRMINGHAM                "</f>
        <v xml:space="preserve">BIRMINGHAM                </v>
      </c>
      <c r="F1324" t="str">
        <f t="shared" si="48"/>
        <v>AL</v>
      </c>
    </row>
    <row r="1325" spans="1:6" x14ac:dyDescent="0.25">
      <c r="A1325" t="str">
        <f>"200014718"</f>
        <v>200014718</v>
      </c>
      <c r="B1325" t="str">
        <f>"1568218725"</f>
        <v>1568218725</v>
      </c>
      <c r="C1325" t="str">
        <f>"207R00000X"</f>
        <v>207R00000X</v>
      </c>
      <c r="D1325" t="str">
        <f>"FEUCHT ARCHILA           MARKUS                   "</f>
        <v xml:space="preserve">FEUCHT ARCHILA           MARKUS                   </v>
      </c>
      <c r="E1325" t="str">
        <f>"MOBILE                    "</f>
        <v xml:space="preserve">MOBILE                    </v>
      </c>
      <c r="F1325" t="str">
        <f t="shared" si="48"/>
        <v>AL</v>
      </c>
    </row>
    <row r="1326" spans="1:6" x14ac:dyDescent="0.25">
      <c r="A1326" t="str">
        <f>"200014727"</f>
        <v>200014727</v>
      </c>
      <c r="B1326" t="str">
        <f>"1740030683"</f>
        <v>1740030683</v>
      </c>
      <c r="C1326" t="str">
        <f>"208000000X"</f>
        <v>208000000X</v>
      </c>
      <c r="D1326" t="str">
        <f>"ARYAL                    LAXMAN                   "</f>
        <v xml:space="preserve">ARYAL                    LAXMAN                   </v>
      </c>
      <c r="E1326" t="str">
        <f>"MOBILE                    "</f>
        <v xml:space="preserve">MOBILE                    </v>
      </c>
      <c r="F1326" t="str">
        <f t="shared" si="48"/>
        <v>AL</v>
      </c>
    </row>
    <row r="1327" spans="1:6" x14ac:dyDescent="0.25">
      <c r="A1327" t="str">
        <f>"200014744"</f>
        <v>200014744</v>
      </c>
      <c r="B1327" t="str">
        <f>"1598084394"</f>
        <v>1598084394</v>
      </c>
      <c r="C1327" t="str">
        <f>"207T00000X"</f>
        <v>207T00000X</v>
      </c>
      <c r="D1327" t="str">
        <f>"BENTLEY                  JESSICA                  "</f>
        <v xml:space="preserve">BENTLEY                  JESSICA                  </v>
      </c>
      <c r="E1327" t="str">
        <f>"BIRMINGHAM                "</f>
        <v xml:space="preserve">BIRMINGHAM                </v>
      </c>
      <c r="F1327" t="str">
        <f t="shared" si="48"/>
        <v>AL</v>
      </c>
    </row>
    <row r="1328" spans="1:6" x14ac:dyDescent="0.25">
      <c r="A1328" t="str">
        <f>"200014774"</f>
        <v>200014774</v>
      </c>
      <c r="B1328" t="str">
        <f>"1346751245"</f>
        <v>1346751245</v>
      </c>
      <c r="C1328" t="str">
        <f>"363LA2100X"</f>
        <v>363LA2100X</v>
      </c>
      <c r="D1328" t="str">
        <f>"KING                     JENNA        D           "</f>
        <v xml:space="preserve">KING                     JENNA        D           </v>
      </c>
      <c r="E1328" t="str">
        <f>"MOBILE                    "</f>
        <v xml:space="preserve">MOBILE                    </v>
      </c>
      <c r="F1328" t="str">
        <f t="shared" si="48"/>
        <v>AL</v>
      </c>
    </row>
    <row r="1329" spans="1:6" x14ac:dyDescent="0.25">
      <c r="A1329" t="str">
        <f>"200014779"</f>
        <v>200014779</v>
      </c>
      <c r="B1329" t="str">
        <f>"1760234959"</f>
        <v>1760234959</v>
      </c>
      <c r="C1329" t="str">
        <f>"207V00000X"</f>
        <v>207V00000X</v>
      </c>
      <c r="D1329" t="str">
        <f>"JOSHI                    AARTI                    "</f>
        <v xml:space="preserve">JOSHI                    AARTI                    </v>
      </c>
      <c r="E1329" t="str">
        <f>"MOBILE                    "</f>
        <v xml:space="preserve">MOBILE                    </v>
      </c>
      <c r="F1329" t="str">
        <f t="shared" si="48"/>
        <v>AL</v>
      </c>
    </row>
    <row r="1330" spans="1:6" x14ac:dyDescent="0.25">
      <c r="A1330" t="str">
        <f>"200014788"</f>
        <v>200014788</v>
      </c>
      <c r="B1330" t="str">
        <f>"1003444373"</f>
        <v>1003444373</v>
      </c>
      <c r="C1330" t="str">
        <f>"208M00000X"</f>
        <v>208M00000X</v>
      </c>
      <c r="D1330" t="str">
        <f>"ROSSI III                FREDERICK    J           "</f>
        <v xml:space="preserve">ROSSI III                FREDERICK    J           </v>
      </c>
      <c r="E1330" t="str">
        <f>"MOBILE                    "</f>
        <v xml:space="preserve">MOBILE                    </v>
      </c>
      <c r="F1330" t="str">
        <f t="shared" si="48"/>
        <v>AL</v>
      </c>
    </row>
    <row r="1331" spans="1:6" x14ac:dyDescent="0.25">
      <c r="A1331" t="str">
        <f>"200014837"</f>
        <v>200014837</v>
      </c>
      <c r="B1331" t="str">
        <f>"1306356555"</f>
        <v>1306356555</v>
      </c>
      <c r="C1331" t="str">
        <f>"363AM0700X"</f>
        <v>363AM0700X</v>
      </c>
      <c r="D1331" t="str">
        <f>"STRINGFELLOW             SARA         K           "</f>
        <v xml:space="preserve">STRINGFELLOW             SARA         K           </v>
      </c>
      <c r="E1331" t="str">
        <f>"MOBILE                    "</f>
        <v xml:space="preserve">MOBILE                    </v>
      </c>
      <c r="F1331" t="str">
        <f t="shared" si="48"/>
        <v>AL</v>
      </c>
    </row>
    <row r="1332" spans="1:6" x14ac:dyDescent="0.25">
      <c r="A1332" t="str">
        <f>"200014895"</f>
        <v>200014895</v>
      </c>
      <c r="B1332" t="str">
        <f>"1770979221"</f>
        <v>1770979221</v>
      </c>
      <c r="C1332" t="str">
        <f>"207RC0001X"</f>
        <v>207RC0001X</v>
      </c>
      <c r="D1332" t="str">
        <f>"SMITH                    BLAKE                    "</f>
        <v xml:space="preserve">SMITH                    BLAKE                    </v>
      </c>
      <c r="E1332" t="str">
        <f>"BIRMINGHAM                "</f>
        <v xml:space="preserve">BIRMINGHAM                </v>
      </c>
      <c r="F1332" t="str">
        <f t="shared" si="48"/>
        <v>AL</v>
      </c>
    </row>
    <row r="1333" spans="1:6" x14ac:dyDescent="0.25">
      <c r="A1333" t="str">
        <f>"200014905"</f>
        <v>200014905</v>
      </c>
      <c r="B1333" t="str">
        <f>"1649020579"</f>
        <v>1649020579</v>
      </c>
      <c r="C1333" t="str">
        <f>"208000000X"</f>
        <v>208000000X</v>
      </c>
      <c r="D1333" t="str">
        <f>"SHRESTHA                 BIJAY                    "</f>
        <v xml:space="preserve">SHRESTHA                 BIJAY                    </v>
      </c>
      <c r="E1333" t="str">
        <f>"MOBILE                    "</f>
        <v xml:space="preserve">MOBILE                    </v>
      </c>
      <c r="F1333" t="str">
        <f t="shared" si="48"/>
        <v>AL</v>
      </c>
    </row>
    <row r="1334" spans="1:6" x14ac:dyDescent="0.25">
      <c r="A1334" t="str">
        <f>"200014914"</f>
        <v>200014914</v>
      </c>
      <c r="B1334" t="str">
        <f>"1992167571"</f>
        <v>1992167571</v>
      </c>
      <c r="C1334" t="str">
        <f>"363LF0000X"</f>
        <v>363LF0000X</v>
      </c>
      <c r="D1334" t="str">
        <f>"ROBINSON                 ALISA                    "</f>
        <v xml:space="preserve">ROBINSON                 ALISA                    </v>
      </c>
      <c r="E1334" t="str">
        <f>"FLORENCE                  "</f>
        <v xml:space="preserve">FLORENCE                  </v>
      </c>
      <c r="F1334" t="str">
        <f t="shared" si="48"/>
        <v>AL</v>
      </c>
    </row>
    <row r="1335" spans="1:6" x14ac:dyDescent="0.25">
      <c r="A1335" t="str">
        <f>"200014955"</f>
        <v>200014955</v>
      </c>
      <c r="B1335" t="str">
        <f>"1669918538"</f>
        <v>1669918538</v>
      </c>
      <c r="C1335" t="str">
        <f>"363LF0000X"</f>
        <v>363LF0000X</v>
      </c>
      <c r="D1335" t="str">
        <f>"LEWIS                    TAWNY        W           "</f>
        <v xml:space="preserve">LEWIS                    TAWNY        W           </v>
      </c>
      <c r="E1335" t="str">
        <f>"MOBILE                    "</f>
        <v xml:space="preserve">MOBILE                    </v>
      </c>
      <c r="F1335" t="str">
        <f t="shared" si="48"/>
        <v>AL</v>
      </c>
    </row>
    <row r="1336" spans="1:6" x14ac:dyDescent="0.25">
      <c r="A1336" t="str">
        <f>"200015089"</f>
        <v>200015089</v>
      </c>
      <c r="B1336" t="str">
        <f>"1497782031"</f>
        <v>1497782031</v>
      </c>
      <c r="C1336" t="str">
        <f>"2085R0202X"</f>
        <v>2085R0202X</v>
      </c>
      <c r="D1336" t="str">
        <f>"LANGSTON                 MARK                     "</f>
        <v xml:space="preserve">LANGSTON                 MARK                     </v>
      </c>
      <c r="E1336" t="str">
        <f>"BIRMINGHAM                "</f>
        <v xml:space="preserve">BIRMINGHAM                </v>
      </c>
      <c r="F1336" t="str">
        <f t="shared" si="48"/>
        <v>AL</v>
      </c>
    </row>
    <row r="1337" spans="1:6" x14ac:dyDescent="0.25">
      <c r="A1337" t="str">
        <f>"200015158"</f>
        <v>200015158</v>
      </c>
      <c r="B1337" t="str">
        <f>"1750532263"</f>
        <v>1750532263</v>
      </c>
      <c r="C1337" t="str">
        <f>"208000000X"</f>
        <v>208000000X</v>
      </c>
      <c r="D1337" t="str">
        <f>"MCDADE                   CAREY        L           "</f>
        <v xml:space="preserve">MCDADE                   CAREY        L           </v>
      </c>
      <c r="E1337" t="str">
        <f>"MOBILE                    "</f>
        <v xml:space="preserve">MOBILE                    </v>
      </c>
      <c r="F1337" t="str">
        <f t="shared" si="48"/>
        <v>AL</v>
      </c>
    </row>
    <row r="1338" spans="1:6" x14ac:dyDescent="0.25">
      <c r="A1338" t="str">
        <f>"200015173"</f>
        <v>200015173</v>
      </c>
      <c r="B1338" t="str">
        <f>"1457112922"</f>
        <v>1457112922</v>
      </c>
      <c r="C1338" t="str">
        <f>"363LF0000X"</f>
        <v>363LF0000X</v>
      </c>
      <c r="D1338" t="str">
        <f>"FAIRLEY                  SHERRINEKIA  L           "</f>
        <v xml:space="preserve">FAIRLEY                  SHERRINEKIA  L           </v>
      </c>
      <c r="E1338" t="str">
        <f>"MOBILE                    "</f>
        <v xml:space="preserve">MOBILE                    </v>
      </c>
      <c r="F1338" t="str">
        <f t="shared" si="48"/>
        <v>AL</v>
      </c>
    </row>
    <row r="1339" spans="1:6" x14ac:dyDescent="0.25">
      <c r="A1339" t="str">
        <f>"200015213"</f>
        <v>200015213</v>
      </c>
      <c r="B1339" t="str">
        <f>"1801538541"</f>
        <v>1801538541</v>
      </c>
      <c r="C1339" t="str">
        <f>"363LP0200X"</f>
        <v>363LP0200X</v>
      </c>
      <c r="D1339" t="str">
        <f>"WHITE                    MEGAN        T           "</f>
        <v xml:space="preserve">WHITE                    MEGAN        T           </v>
      </c>
      <c r="E1339" t="str">
        <f>"MOBILE                    "</f>
        <v xml:space="preserve">MOBILE                    </v>
      </c>
      <c r="F1339" t="str">
        <f t="shared" si="48"/>
        <v>AL</v>
      </c>
    </row>
    <row r="1340" spans="1:6" x14ac:dyDescent="0.25">
      <c r="A1340" t="str">
        <f>"200015229"</f>
        <v>200015229</v>
      </c>
      <c r="B1340" t="str">
        <f>"1053601526"</f>
        <v>1053601526</v>
      </c>
      <c r="C1340" t="str">
        <f>"208M00000X"</f>
        <v>208M00000X</v>
      </c>
      <c r="D1340" t="str">
        <f>"FAIRBROTHER              ERIN                     "</f>
        <v xml:space="preserve">FAIRBROTHER              ERIN                     </v>
      </c>
      <c r="E1340" t="str">
        <f>"MOBILE                    "</f>
        <v xml:space="preserve">MOBILE                    </v>
      </c>
      <c r="F1340" t="str">
        <f t="shared" si="48"/>
        <v>AL</v>
      </c>
    </row>
    <row r="1341" spans="1:6" x14ac:dyDescent="0.25">
      <c r="A1341" t="str">
        <f>"200015278"</f>
        <v>200015278</v>
      </c>
      <c r="B1341" t="str">
        <f>"1194221952"</f>
        <v>1194221952</v>
      </c>
      <c r="C1341" t="str">
        <f>"2084N0400X"</f>
        <v>2084N0400X</v>
      </c>
      <c r="D1341" t="str">
        <f>"SOLTYS                   JOHN         N           "</f>
        <v xml:space="preserve">SOLTYS                   JOHN         N           </v>
      </c>
      <c r="E1341" t="str">
        <f>"MOBILE                    "</f>
        <v xml:space="preserve">MOBILE                    </v>
      </c>
      <c r="F1341" t="str">
        <f t="shared" si="48"/>
        <v>AL</v>
      </c>
    </row>
    <row r="1342" spans="1:6" x14ac:dyDescent="0.25">
      <c r="A1342" t="str">
        <f>"200015283"</f>
        <v>200015283</v>
      </c>
      <c r="B1342" t="str">
        <f>"1194180331"</f>
        <v>1194180331</v>
      </c>
      <c r="C1342" t="str">
        <f>"363A00000X"</f>
        <v>363A00000X</v>
      </c>
      <c r="D1342" t="str">
        <f>"BLACKWELL                BRENT                    "</f>
        <v xml:space="preserve">BLACKWELL                BRENT                    </v>
      </c>
      <c r="E1342" t="str">
        <f>"BIRMINGHAM                "</f>
        <v xml:space="preserve">BIRMINGHAM                </v>
      </c>
      <c r="F1342" t="str">
        <f t="shared" si="48"/>
        <v>AL</v>
      </c>
    </row>
    <row r="1343" spans="1:6" x14ac:dyDescent="0.25">
      <c r="A1343" t="str">
        <f>"200015327"</f>
        <v>200015327</v>
      </c>
      <c r="B1343" t="str">
        <f>"1013596170"</f>
        <v>1013596170</v>
      </c>
      <c r="C1343" t="str">
        <f>"363L00000X"</f>
        <v>363L00000X</v>
      </c>
      <c r="D1343" t="str">
        <f>"SARHAN                   WENDY                    "</f>
        <v xml:space="preserve">SARHAN                   WENDY                    </v>
      </c>
      <c r="E1343" t="str">
        <f>"MOBILE                    "</f>
        <v xml:space="preserve">MOBILE                    </v>
      </c>
      <c r="F1343" t="str">
        <f t="shared" si="48"/>
        <v>AL</v>
      </c>
    </row>
    <row r="1344" spans="1:6" x14ac:dyDescent="0.25">
      <c r="A1344" t="str">
        <f>"200015336"</f>
        <v>200015336</v>
      </c>
      <c r="B1344" t="str">
        <f>"1366736159"</f>
        <v>1366736159</v>
      </c>
      <c r="C1344" t="str">
        <f>"208600000X"</f>
        <v>208600000X</v>
      </c>
      <c r="D1344" t="str">
        <f>"EDGERTON                 JOSHUA                   "</f>
        <v xml:space="preserve">EDGERTON                 JOSHUA                   </v>
      </c>
      <c r="E1344" t="str">
        <f>"MOBILE                    "</f>
        <v xml:space="preserve">MOBILE                    </v>
      </c>
      <c r="F1344" t="str">
        <f t="shared" si="48"/>
        <v>AL</v>
      </c>
    </row>
    <row r="1345" spans="1:6" x14ac:dyDescent="0.25">
      <c r="A1345" t="str">
        <f>"200015358"</f>
        <v>200015358</v>
      </c>
      <c r="B1345" t="str">
        <f>"1205324407"</f>
        <v>1205324407</v>
      </c>
      <c r="C1345" t="str">
        <f>"2086S0127X"</f>
        <v>2086S0127X</v>
      </c>
      <c r="D1345" t="str">
        <f>"HEWGLEY                  WILLIAM                  "</f>
        <v xml:space="preserve">HEWGLEY                  WILLIAM                  </v>
      </c>
      <c r="E1345" t="str">
        <f>"BIRMINGHAM                "</f>
        <v xml:space="preserve">BIRMINGHAM                </v>
      </c>
      <c r="F1345" t="str">
        <f t="shared" si="48"/>
        <v>AL</v>
      </c>
    </row>
    <row r="1346" spans="1:6" x14ac:dyDescent="0.25">
      <c r="A1346" t="str">
        <f>"200015361"</f>
        <v>200015361</v>
      </c>
      <c r="B1346" t="str">
        <f>"1780052589"</f>
        <v>1780052589</v>
      </c>
      <c r="C1346" t="str">
        <f>"363L00000X"</f>
        <v>363L00000X</v>
      </c>
      <c r="D1346" t="str">
        <f>"WATERS                   ADAM                     "</f>
        <v xml:space="preserve">WATERS                   ADAM                     </v>
      </c>
      <c r="E1346" t="str">
        <f>"BIRMINGHAM                "</f>
        <v xml:space="preserve">BIRMINGHAM                </v>
      </c>
      <c r="F1346" t="str">
        <f t="shared" si="48"/>
        <v>AL</v>
      </c>
    </row>
    <row r="1347" spans="1:6" x14ac:dyDescent="0.25">
      <c r="A1347" t="str">
        <f>"200015366"</f>
        <v>200015366</v>
      </c>
      <c r="B1347" t="str">
        <f>"1043717275"</f>
        <v>1043717275</v>
      </c>
      <c r="C1347" t="str">
        <f>"2085R0202X"</f>
        <v>2085R0202X</v>
      </c>
      <c r="D1347" t="str">
        <f>"TURNER                   ERIC                     "</f>
        <v xml:space="preserve">TURNER                   ERIC                     </v>
      </c>
      <c r="E1347" t="str">
        <f>"BIRMINGHAM                "</f>
        <v xml:space="preserve">BIRMINGHAM                </v>
      </c>
      <c r="F1347" t="str">
        <f t="shared" si="48"/>
        <v>AL</v>
      </c>
    </row>
    <row r="1348" spans="1:6" x14ac:dyDescent="0.25">
      <c r="A1348" t="str">
        <f>"200015383"</f>
        <v>200015383</v>
      </c>
      <c r="B1348" t="str">
        <f>"1619597721"</f>
        <v>1619597721</v>
      </c>
      <c r="C1348" t="str">
        <f>"363L00000X"</f>
        <v>363L00000X</v>
      </c>
      <c r="D1348" t="str">
        <f>"MULLINS                  KATELYN                  "</f>
        <v xml:space="preserve">MULLINS                  KATELYN                  </v>
      </c>
      <c r="E1348" t="str">
        <f>"BIRMINGHAM                "</f>
        <v xml:space="preserve">BIRMINGHAM                </v>
      </c>
      <c r="F1348" t="str">
        <f t="shared" si="48"/>
        <v>AL</v>
      </c>
    </row>
    <row r="1349" spans="1:6" x14ac:dyDescent="0.25">
      <c r="A1349" t="str">
        <f>"200015402"</f>
        <v>200015402</v>
      </c>
      <c r="B1349" t="str">
        <f>"1700639382"</f>
        <v>1700639382</v>
      </c>
      <c r="C1349" t="str">
        <f>"208000000X"</f>
        <v>208000000X</v>
      </c>
      <c r="D1349" t="str">
        <f>"TRAN                     NHAN                     "</f>
        <v xml:space="preserve">TRAN                     NHAN                     </v>
      </c>
      <c r="E1349" t="str">
        <f>"MOBILE                    "</f>
        <v xml:space="preserve">MOBILE                    </v>
      </c>
      <c r="F1349" t="str">
        <f t="shared" si="48"/>
        <v>AL</v>
      </c>
    </row>
    <row r="1350" spans="1:6" x14ac:dyDescent="0.25">
      <c r="A1350" t="str">
        <f>"200015444"</f>
        <v>200015444</v>
      </c>
      <c r="B1350" t="str">
        <f>"1063262087"</f>
        <v>1063262087</v>
      </c>
      <c r="C1350" t="str">
        <f>"208000000X"</f>
        <v>208000000X</v>
      </c>
      <c r="D1350" t="str">
        <f>"AFRIN                    HUMAYRA                  "</f>
        <v xml:space="preserve">AFRIN                    HUMAYRA                  </v>
      </c>
      <c r="E1350" t="str">
        <f>"MOBILE                    "</f>
        <v xml:space="preserve">MOBILE                    </v>
      </c>
      <c r="F1350" t="str">
        <f t="shared" si="48"/>
        <v>AL</v>
      </c>
    </row>
    <row r="1351" spans="1:6" x14ac:dyDescent="0.25">
      <c r="A1351" t="str">
        <f>"200015451"</f>
        <v>200015451</v>
      </c>
      <c r="B1351" t="str">
        <f>"1700146685"</f>
        <v>1700146685</v>
      </c>
      <c r="C1351" t="str">
        <f>"207RP1001X"</f>
        <v>207RP1001X</v>
      </c>
      <c r="D1351" t="str">
        <f>"GARCIA                   BRYAN                    "</f>
        <v xml:space="preserve">GARCIA                   BRYAN                    </v>
      </c>
      <c r="E1351" t="str">
        <f>"BIRMINGHAM                "</f>
        <v xml:space="preserve">BIRMINGHAM                </v>
      </c>
      <c r="F1351" t="str">
        <f t="shared" ref="F1351:F1414" si="49">"AL"</f>
        <v>AL</v>
      </c>
    </row>
    <row r="1352" spans="1:6" x14ac:dyDescent="0.25">
      <c r="A1352" t="str">
        <f>"200015453"</f>
        <v>200015453</v>
      </c>
      <c r="B1352" t="str">
        <f>"1245762251"</f>
        <v>1245762251</v>
      </c>
      <c r="C1352" t="str">
        <f>"208600000X"</f>
        <v>208600000X</v>
      </c>
      <c r="D1352" t="str">
        <f>"SLAUGHTER                KEVIN        A           "</f>
        <v xml:space="preserve">SLAUGHTER                KEVIN        A           </v>
      </c>
      <c r="E1352" t="str">
        <f>"MOBILE                    "</f>
        <v xml:space="preserve">MOBILE                    </v>
      </c>
      <c r="F1352" t="str">
        <f t="shared" si="49"/>
        <v>AL</v>
      </c>
    </row>
    <row r="1353" spans="1:6" x14ac:dyDescent="0.25">
      <c r="A1353" t="str">
        <f>"200015506"</f>
        <v>200015506</v>
      </c>
      <c r="B1353" t="str">
        <f>"1467092817"</f>
        <v>1467092817</v>
      </c>
      <c r="C1353" t="str">
        <f>"207RG0100X"</f>
        <v>207RG0100X</v>
      </c>
      <c r="D1353" t="str">
        <f>"ISMAIL                   MOHAMED                  "</f>
        <v xml:space="preserve">ISMAIL                   MOHAMED                  </v>
      </c>
      <c r="E1353" t="str">
        <f>"BIRMINGHAM                "</f>
        <v xml:space="preserve">BIRMINGHAM                </v>
      </c>
      <c r="F1353" t="str">
        <f t="shared" si="49"/>
        <v>AL</v>
      </c>
    </row>
    <row r="1354" spans="1:6" x14ac:dyDescent="0.25">
      <c r="A1354" t="str">
        <f>"200015527"</f>
        <v>200015527</v>
      </c>
      <c r="B1354" t="str">
        <f>"1164167102"</f>
        <v>1164167102</v>
      </c>
      <c r="C1354" t="str">
        <f>"363A00000X"</f>
        <v>363A00000X</v>
      </c>
      <c r="D1354" t="str">
        <f>"SMITH                    VALERIE                  "</f>
        <v xml:space="preserve">SMITH                    VALERIE                  </v>
      </c>
      <c r="E1354" t="str">
        <f>"BIRMINGHAM                "</f>
        <v xml:space="preserve">BIRMINGHAM                </v>
      </c>
      <c r="F1354" t="str">
        <f t="shared" si="49"/>
        <v>AL</v>
      </c>
    </row>
    <row r="1355" spans="1:6" x14ac:dyDescent="0.25">
      <c r="A1355" t="str">
        <f>"200015557"</f>
        <v>200015557</v>
      </c>
      <c r="B1355" t="str">
        <f>"1407808868"</f>
        <v>1407808868</v>
      </c>
      <c r="C1355" t="str">
        <f>"204E00000X"</f>
        <v>204E00000X</v>
      </c>
      <c r="D1355" t="str">
        <f>"SITTITAVORNWONG          SOMSAK                   "</f>
        <v xml:space="preserve">SITTITAVORNWONG          SOMSAK                   </v>
      </c>
      <c r="E1355" t="str">
        <f>"BIRMINGHAM                "</f>
        <v xml:space="preserve">BIRMINGHAM                </v>
      </c>
      <c r="F1355" t="str">
        <f t="shared" si="49"/>
        <v>AL</v>
      </c>
    </row>
    <row r="1356" spans="1:6" x14ac:dyDescent="0.25">
      <c r="A1356" t="str">
        <f>"200015590"</f>
        <v>200015590</v>
      </c>
      <c r="B1356" t="str">
        <f>"1760943658"</f>
        <v>1760943658</v>
      </c>
      <c r="C1356" t="str">
        <f>"2085R0202X"</f>
        <v>2085R0202X</v>
      </c>
      <c r="D1356" t="str">
        <f>"BREGNI                   JOSE         A           "</f>
        <v xml:space="preserve">BREGNI                   JOSE         A           </v>
      </c>
      <c r="E1356" t="str">
        <f>"MOBILE                    "</f>
        <v xml:space="preserve">MOBILE                    </v>
      </c>
      <c r="F1356" t="str">
        <f t="shared" si="49"/>
        <v>AL</v>
      </c>
    </row>
    <row r="1357" spans="1:6" x14ac:dyDescent="0.25">
      <c r="A1357" t="str">
        <f>"200015592"</f>
        <v>200015592</v>
      </c>
      <c r="B1357" t="str">
        <f>"1407686728"</f>
        <v>1407686728</v>
      </c>
      <c r="C1357" t="str">
        <f>"363LP0200X"</f>
        <v>363LP0200X</v>
      </c>
      <c r="D1357" t="str">
        <f>"LOWERY                   BRITTANY     M           "</f>
        <v xml:space="preserve">LOWERY                   BRITTANY     M           </v>
      </c>
      <c r="E1357" t="str">
        <f>"MOBILE                    "</f>
        <v xml:space="preserve">MOBILE                    </v>
      </c>
      <c r="F1357" t="str">
        <f t="shared" si="49"/>
        <v>AL</v>
      </c>
    </row>
    <row r="1358" spans="1:6" x14ac:dyDescent="0.25">
      <c r="A1358" t="str">
        <f>"200015599"</f>
        <v>200015599</v>
      </c>
      <c r="B1358" t="str">
        <f>"1164017612"</f>
        <v>1164017612</v>
      </c>
      <c r="C1358" t="str">
        <f>"363L00000X"</f>
        <v>363L00000X</v>
      </c>
      <c r="D1358" t="str">
        <f>"TOWERY                   EMILY                    "</f>
        <v xml:space="preserve">TOWERY                   EMILY                    </v>
      </c>
      <c r="E1358" t="str">
        <f>"BIRMINGHAM                "</f>
        <v xml:space="preserve">BIRMINGHAM                </v>
      </c>
      <c r="F1358" t="str">
        <f t="shared" si="49"/>
        <v>AL</v>
      </c>
    </row>
    <row r="1359" spans="1:6" x14ac:dyDescent="0.25">
      <c r="A1359" t="str">
        <f>"200015600"</f>
        <v>200015600</v>
      </c>
      <c r="B1359" t="str">
        <f>"1316938277"</f>
        <v>1316938277</v>
      </c>
      <c r="C1359" t="str">
        <f>"207V00000X"</f>
        <v>207V00000X</v>
      </c>
      <c r="D1359" t="str">
        <f>"FESENMEIER               MICHAEL      F           "</f>
        <v xml:space="preserve">FESENMEIER               MICHAEL      F           </v>
      </c>
      <c r="E1359" t="str">
        <f>"MOBILE                    "</f>
        <v xml:space="preserve">MOBILE                    </v>
      </c>
      <c r="F1359" t="str">
        <f t="shared" si="49"/>
        <v>AL</v>
      </c>
    </row>
    <row r="1360" spans="1:6" x14ac:dyDescent="0.25">
      <c r="A1360" t="str">
        <f>"200015610"</f>
        <v>200015610</v>
      </c>
      <c r="B1360" t="str">
        <f>"1366020679"</f>
        <v>1366020679</v>
      </c>
      <c r="C1360" t="str">
        <f>"207P00000X"</f>
        <v>207P00000X</v>
      </c>
      <c r="D1360" t="str">
        <f>"GARCIA-DIAZ              JORDI                    "</f>
        <v xml:space="preserve">GARCIA-DIAZ              JORDI                    </v>
      </c>
      <c r="E1360" t="str">
        <f>"BIRMINGHAM                "</f>
        <v xml:space="preserve">BIRMINGHAM                </v>
      </c>
      <c r="F1360" t="str">
        <f t="shared" si="49"/>
        <v>AL</v>
      </c>
    </row>
    <row r="1361" spans="1:6" x14ac:dyDescent="0.25">
      <c r="A1361" t="str">
        <f>"200015633"</f>
        <v>200015633</v>
      </c>
      <c r="B1361" t="str">
        <f>"1700560208"</f>
        <v>1700560208</v>
      </c>
      <c r="C1361" t="str">
        <f>"363A00000X"</f>
        <v>363A00000X</v>
      </c>
      <c r="D1361" t="str">
        <f>"GORDON                   AYANA                    "</f>
        <v xml:space="preserve">GORDON                   AYANA                    </v>
      </c>
      <c r="E1361" t="str">
        <f>"BIRMINGHAM                "</f>
        <v xml:space="preserve">BIRMINGHAM                </v>
      </c>
      <c r="F1361" t="str">
        <f t="shared" si="49"/>
        <v>AL</v>
      </c>
    </row>
    <row r="1362" spans="1:6" x14ac:dyDescent="0.25">
      <c r="A1362" t="str">
        <f>"200015656"</f>
        <v>200015656</v>
      </c>
      <c r="B1362" t="str">
        <f>"1770319717"</f>
        <v>1770319717</v>
      </c>
      <c r="C1362" t="str">
        <f>"363LN0000X"</f>
        <v>363LN0000X</v>
      </c>
      <c r="D1362" t="str">
        <f>"WARD                     ANASTASIA    L           "</f>
        <v xml:space="preserve">WARD                     ANASTASIA    L           </v>
      </c>
      <c r="E1362" t="str">
        <f>"MOBILE                    "</f>
        <v xml:space="preserve">MOBILE                    </v>
      </c>
      <c r="F1362" t="str">
        <f t="shared" si="49"/>
        <v>AL</v>
      </c>
    </row>
    <row r="1363" spans="1:6" x14ac:dyDescent="0.25">
      <c r="A1363" t="str">
        <f>"200015657"</f>
        <v>200015657</v>
      </c>
      <c r="B1363" t="str">
        <f>"1619107091"</f>
        <v>1619107091</v>
      </c>
      <c r="C1363" t="str">
        <f>"207ZP0102X"</f>
        <v>207ZP0102X</v>
      </c>
      <c r="D1363" t="str">
        <f>"MUNFUS MCCRAY            DELICIA      L           "</f>
        <v xml:space="preserve">MUNFUS MCCRAY            DELICIA      L           </v>
      </c>
      <c r="E1363" t="str">
        <f>"BIRMINGHAM                "</f>
        <v xml:space="preserve">BIRMINGHAM                </v>
      </c>
      <c r="F1363" t="str">
        <f t="shared" si="49"/>
        <v>AL</v>
      </c>
    </row>
    <row r="1364" spans="1:6" x14ac:dyDescent="0.25">
      <c r="A1364" t="str">
        <f>"200015723"</f>
        <v>200015723</v>
      </c>
      <c r="B1364" t="str">
        <f>"1710008289"</f>
        <v>1710008289</v>
      </c>
      <c r="C1364" t="str">
        <f>"207RP1001X"</f>
        <v>207RP1001X</v>
      </c>
      <c r="D1364" t="str">
        <f>"STIGLER                  WILLIAM                  "</f>
        <v xml:space="preserve">STIGLER                  WILLIAM                  </v>
      </c>
      <c r="E1364" t="str">
        <f>"BIRMINGHAM                "</f>
        <v xml:space="preserve">BIRMINGHAM                </v>
      </c>
      <c r="F1364" t="str">
        <f t="shared" si="49"/>
        <v>AL</v>
      </c>
    </row>
    <row r="1365" spans="1:6" x14ac:dyDescent="0.25">
      <c r="A1365" t="str">
        <f>"200015726"</f>
        <v>200015726</v>
      </c>
      <c r="B1365" t="str">
        <f>"1548200371"</f>
        <v>1548200371</v>
      </c>
      <c r="C1365" t="str">
        <f>"2084A2900X"</f>
        <v>2084A2900X</v>
      </c>
      <c r="D1365" t="str">
        <f>"CHALELA                  JULIO        A           "</f>
        <v xml:space="preserve">CHALELA                  JULIO        A           </v>
      </c>
      <c r="E1365" t="str">
        <f>"MOBILE                    "</f>
        <v xml:space="preserve">MOBILE                    </v>
      </c>
      <c r="F1365" t="str">
        <f t="shared" si="49"/>
        <v>AL</v>
      </c>
    </row>
    <row r="1366" spans="1:6" x14ac:dyDescent="0.25">
      <c r="A1366" t="str">
        <f>"200015797"</f>
        <v>200015797</v>
      </c>
      <c r="B1366" t="str">
        <f>"1831667997"</f>
        <v>1831667997</v>
      </c>
      <c r="C1366" t="str">
        <f>"363L00000X"</f>
        <v>363L00000X</v>
      </c>
      <c r="D1366" t="str">
        <f>"GAITHER                  LINDSEY                  "</f>
        <v xml:space="preserve">GAITHER                  LINDSEY                  </v>
      </c>
      <c r="E1366" t="str">
        <f>"BIRMINGHAM                "</f>
        <v xml:space="preserve">BIRMINGHAM                </v>
      </c>
      <c r="F1366" t="str">
        <f t="shared" si="49"/>
        <v>AL</v>
      </c>
    </row>
    <row r="1367" spans="1:6" x14ac:dyDescent="0.25">
      <c r="A1367" t="str">
        <f>"200015807"</f>
        <v>200015807</v>
      </c>
      <c r="B1367" t="str">
        <f>"1801927876"</f>
        <v>1801927876</v>
      </c>
      <c r="C1367" t="str">
        <f>"207RC0000X"</f>
        <v>207RC0000X</v>
      </c>
      <c r="D1367" t="str">
        <f>"HSIEH                    BILL                     "</f>
        <v xml:space="preserve">HSIEH                    BILL                     </v>
      </c>
      <c r="E1367" t="str">
        <f>"BIRMINGHAM                "</f>
        <v xml:space="preserve">BIRMINGHAM                </v>
      </c>
      <c r="F1367" t="str">
        <f t="shared" si="49"/>
        <v>AL</v>
      </c>
    </row>
    <row r="1368" spans="1:6" x14ac:dyDescent="0.25">
      <c r="A1368" t="str">
        <f>"200015829"</f>
        <v>200015829</v>
      </c>
      <c r="B1368" t="str">
        <f>"1154883148"</f>
        <v>1154883148</v>
      </c>
      <c r="C1368" t="str">
        <f>"207SG0201X"</f>
        <v>207SG0201X</v>
      </c>
      <c r="D1368" t="str">
        <f>"LINSCOTT                 KRISTIN                  "</f>
        <v xml:space="preserve">LINSCOTT                 KRISTIN                  </v>
      </c>
      <c r="E1368" t="str">
        <f>"BIRMINGHAM                "</f>
        <v xml:space="preserve">BIRMINGHAM                </v>
      </c>
      <c r="F1368" t="str">
        <f t="shared" si="49"/>
        <v>AL</v>
      </c>
    </row>
    <row r="1369" spans="1:6" x14ac:dyDescent="0.25">
      <c r="A1369" t="str">
        <f>"200015831"</f>
        <v>200015831</v>
      </c>
      <c r="B1369" t="str">
        <f>"1063770048"</f>
        <v>1063770048</v>
      </c>
      <c r="C1369" t="str">
        <f>"207RI0011X"</f>
        <v>207RI0011X</v>
      </c>
      <c r="D1369" t="str">
        <f>"AKSUT                    BARAN                    "</f>
        <v xml:space="preserve">AKSUT                    BARAN                    </v>
      </c>
      <c r="E1369" t="str">
        <f>"BIRMINGHAM                "</f>
        <v xml:space="preserve">BIRMINGHAM                </v>
      </c>
      <c r="F1369" t="str">
        <f t="shared" si="49"/>
        <v>AL</v>
      </c>
    </row>
    <row r="1370" spans="1:6" x14ac:dyDescent="0.25">
      <c r="A1370" t="str">
        <f>"200015842"</f>
        <v>200015842</v>
      </c>
      <c r="B1370" t="str">
        <f>"1063285013"</f>
        <v>1063285013</v>
      </c>
      <c r="C1370" t="str">
        <f>"363LF0000X"</f>
        <v>363LF0000X</v>
      </c>
      <c r="D1370" t="str">
        <f>"CORLEY                   ANDREA                   "</f>
        <v xml:space="preserve">CORLEY                   ANDREA                   </v>
      </c>
      <c r="E1370" t="str">
        <f>"FLORENCE                  "</f>
        <v xml:space="preserve">FLORENCE                  </v>
      </c>
      <c r="F1370" t="str">
        <f t="shared" si="49"/>
        <v>AL</v>
      </c>
    </row>
    <row r="1371" spans="1:6" x14ac:dyDescent="0.25">
      <c r="A1371" t="str">
        <f>"200015847"</f>
        <v>200015847</v>
      </c>
      <c r="B1371" t="str">
        <f>"1306677661"</f>
        <v>1306677661</v>
      </c>
      <c r="C1371" t="str">
        <f>"2085R0202X"</f>
        <v>2085R0202X</v>
      </c>
      <c r="D1371" t="str">
        <f>"DHAWAN                   ANMOL                    "</f>
        <v xml:space="preserve">DHAWAN                   ANMOL                    </v>
      </c>
      <c r="E1371" t="str">
        <f>"BIRMINGHAM                "</f>
        <v xml:space="preserve">BIRMINGHAM                </v>
      </c>
      <c r="F1371" t="str">
        <f t="shared" si="49"/>
        <v>AL</v>
      </c>
    </row>
    <row r="1372" spans="1:6" x14ac:dyDescent="0.25">
      <c r="A1372" t="str">
        <f>"200015848"</f>
        <v>200015848</v>
      </c>
      <c r="B1372" t="str">
        <f>"1992535785"</f>
        <v>1992535785</v>
      </c>
      <c r="C1372" t="str">
        <f>"2085R0202X"</f>
        <v>2085R0202X</v>
      </c>
      <c r="D1372" t="str">
        <f>"KARKI                    TANKA                    "</f>
        <v xml:space="preserve">KARKI                    TANKA                    </v>
      </c>
      <c r="E1372" t="str">
        <f>"BIRMINGHAM                "</f>
        <v xml:space="preserve">BIRMINGHAM                </v>
      </c>
      <c r="F1372" t="str">
        <f t="shared" si="49"/>
        <v>AL</v>
      </c>
    </row>
    <row r="1373" spans="1:6" x14ac:dyDescent="0.25">
      <c r="A1373" t="str">
        <f>"200015859"</f>
        <v>200015859</v>
      </c>
      <c r="B1373" t="str">
        <f>"1659802247"</f>
        <v>1659802247</v>
      </c>
      <c r="C1373" t="str">
        <f>"207P00000X"</f>
        <v>207P00000X</v>
      </c>
      <c r="D1373" t="str">
        <f>"PALMER                   MADELINE     A           "</f>
        <v xml:space="preserve">PALMER                   MADELINE     A           </v>
      </c>
      <c r="E1373" t="str">
        <f>"BIRMINGHAM                "</f>
        <v xml:space="preserve">BIRMINGHAM                </v>
      </c>
      <c r="F1373" t="str">
        <f t="shared" si="49"/>
        <v>AL</v>
      </c>
    </row>
    <row r="1374" spans="1:6" x14ac:dyDescent="0.25">
      <c r="A1374" t="str">
        <f>"200015870"</f>
        <v>200015870</v>
      </c>
      <c r="B1374" t="str">
        <f>"1982058947"</f>
        <v>1982058947</v>
      </c>
      <c r="C1374" t="str">
        <f>"207RP1001X"</f>
        <v>207RP1001X</v>
      </c>
      <c r="D1374" t="str">
        <f>"JORDAN                   MELISSA                  "</f>
        <v xml:space="preserve">JORDAN                   MELISSA                  </v>
      </c>
      <c r="E1374" t="str">
        <f>"BIRMINGHAM                "</f>
        <v xml:space="preserve">BIRMINGHAM                </v>
      </c>
      <c r="F1374" t="str">
        <f t="shared" si="49"/>
        <v>AL</v>
      </c>
    </row>
    <row r="1375" spans="1:6" x14ac:dyDescent="0.25">
      <c r="A1375" t="str">
        <f>"200015887"</f>
        <v>200015887</v>
      </c>
      <c r="B1375" t="str">
        <f>"1578574851"</f>
        <v>1578574851</v>
      </c>
      <c r="C1375" t="str">
        <f>"207RH0003X"</f>
        <v>207RH0003X</v>
      </c>
      <c r="D1375" t="str">
        <f>"HAMILTON                 JOELLE                   "</f>
        <v xml:space="preserve">HAMILTON                 JOELLE                   </v>
      </c>
      <c r="E1375" t="str">
        <f>"BIRMINGHAM                "</f>
        <v xml:space="preserve">BIRMINGHAM                </v>
      </c>
      <c r="F1375" t="str">
        <f t="shared" si="49"/>
        <v>AL</v>
      </c>
    </row>
    <row r="1376" spans="1:6" x14ac:dyDescent="0.25">
      <c r="A1376" t="str">
        <f>"200015913"</f>
        <v>200015913</v>
      </c>
      <c r="B1376" t="str">
        <f>"1891543575"</f>
        <v>1891543575</v>
      </c>
      <c r="C1376" t="str">
        <f>"208000000X"</f>
        <v>208000000X</v>
      </c>
      <c r="D1376" t="str">
        <f>"BADER                    ABDULRAHMAN              "</f>
        <v xml:space="preserve">BADER                    ABDULRAHMAN              </v>
      </c>
      <c r="E1376" t="str">
        <f>"MOBILE                    "</f>
        <v xml:space="preserve">MOBILE                    </v>
      </c>
      <c r="F1376" t="str">
        <f t="shared" si="49"/>
        <v>AL</v>
      </c>
    </row>
    <row r="1377" spans="1:6" x14ac:dyDescent="0.25">
      <c r="A1377" t="str">
        <f>"200015991"</f>
        <v>200015991</v>
      </c>
      <c r="B1377" t="str">
        <f>"1265270300"</f>
        <v>1265270300</v>
      </c>
      <c r="C1377" t="str">
        <f>"2085R0202X"</f>
        <v>2085R0202X</v>
      </c>
      <c r="D1377" t="str">
        <f>"CHEEMA                   SIMRAN                   "</f>
        <v xml:space="preserve">CHEEMA                   SIMRAN                   </v>
      </c>
      <c r="E1377" t="str">
        <f>"BIRMINGHAM                "</f>
        <v xml:space="preserve">BIRMINGHAM                </v>
      </c>
      <c r="F1377" t="str">
        <f t="shared" si="49"/>
        <v>AL</v>
      </c>
    </row>
    <row r="1378" spans="1:6" x14ac:dyDescent="0.25">
      <c r="A1378" t="str">
        <f>"200016006"</f>
        <v>200016006</v>
      </c>
      <c r="B1378" t="str">
        <f>"1831944438"</f>
        <v>1831944438</v>
      </c>
      <c r="C1378" t="str">
        <f>"208000000X"</f>
        <v>208000000X</v>
      </c>
      <c r="D1378" t="str">
        <f>"SOWWAN                   YASMIN                   "</f>
        <v xml:space="preserve">SOWWAN                   YASMIN                   </v>
      </c>
      <c r="E1378" t="str">
        <f>"MOBILE                    "</f>
        <v xml:space="preserve">MOBILE                    </v>
      </c>
      <c r="F1378" t="str">
        <f t="shared" si="49"/>
        <v>AL</v>
      </c>
    </row>
    <row r="1379" spans="1:6" x14ac:dyDescent="0.25">
      <c r="A1379" t="str">
        <f>"200016019"</f>
        <v>200016019</v>
      </c>
      <c r="B1379" t="str">
        <f>"1285377150"</f>
        <v>1285377150</v>
      </c>
      <c r="C1379" t="str">
        <f>"363LA2100X"</f>
        <v>363LA2100X</v>
      </c>
      <c r="D1379" t="str">
        <f>"COOK                     ANSLEY       R           "</f>
        <v xml:space="preserve">COOK                     ANSLEY       R           </v>
      </c>
      <c r="E1379" t="str">
        <f>"MOBILE                    "</f>
        <v xml:space="preserve">MOBILE                    </v>
      </c>
      <c r="F1379" t="str">
        <f t="shared" si="49"/>
        <v>AL</v>
      </c>
    </row>
    <row r="1380" spans="1:6" x14ac:dyDescent="0.25">
      <c r="A1380" t="str">
        <f>"200016066"</f>
        <v>200016066</v>
      </c>
      <c r="B1380" t="str">
        <f>"1780147629"</f>
        <v>1780147629</v>
      </c>
      <c r="C1380" t="str">
        <f>"208M00000X"</f>
        <v>208M00000X</v>
      </c>
      <c r="D1380" t="str">
        <f>"PRADOS                   MYLES                    "</f>
        <v xml:space="preserve">PRADOS                   MYLES                    </v>
      </c>
      <c r="E1380" t="str">
        <f>"BIRMINGHAM                "</f>
        <v xml:space="preserve">BIRMINGHAM                </v>
      </c>
      <c r="F1380" t="str">
        <f t="shared" si="49"/>
        <v>AL</v>
      </c>
    </row>
    <row r="1381" spans="1:6" x14ac:dyDescent="0.25">
      <c r="A1381" t="str">
        <f>"200016081"</f>
        <v>200016081</v>
      </c>
      <c r="B1381" t="str">
        <f>"1457033441"</f>
        <v>1457033441</v>
      </c>
      <c r="C1381" t="str">
        <f>"363A00000X"</f>
        <v>363A00000X</v>
      </c>
      <c r="D1381" t="str">
        <f>"DANIEL                   LINDSEY      C           "</f>
        <v xml:space="preserve">DANIEL                   LINDSEY      C           </v>
      </c>
      <c r="E1381" t="str">
        <f>"MOBILE                    "</f>
        <v xml:space="preserve">MOBILE                    </v>
      </c>
      <c r="F1381" t="str">
        <f t="shared" si="49"/>
        <v>AL</v>
      </c>
    </row>
    <row r="1382" spans="1:6" x14ac:dyDescent="0.25">
      <c r="A1382" t="str">
        <f>"200016085"</f>
        <v>200016085</v>
      </c>
      <c r="B1382" t="str">
        <f>"1639875057"</f>
        <v>1639875057</v>
      </c>
      <c r="C1382" t="str">
        <f>"363LF0000X"</f>
        <v>363LF0000X</v>
      </c>
      <c r="D1382" t="str">
        <f>"KEARLEY                  CHARLOTTE                "</f>
        <v xml:space="preserve">KEARLEY                  CHARLOTTE                </v>
      </c>
      <c r="E1382" t="str">
        <f>"MOBILE                    "</f>
        <v xml:space="preserve">MOBILE                    </v>
      </c>
      <c r="F1382" t="str">
        <f t="shared" si="49"/>
        <v>AL</v>
      </c>
    </row>
    <row r="1383" spans="1:6" x14ac:dyDescent="0.25">
      <c r="A1383" t="str">
        <f>"200016119"</f>
        <v>200016119</v>
      </c>
      <c r="B1383" t="str">
        <f>"1538855119"</f>
        <v>1538855119</v>
      </c>
      <c r="C1383" t="str">
        <f>"363LF0000X"</f>
        <v>363LF0000X</v>
      </c>
      <c r="D1383" t="str">
        <f>"CRANE                    ALEXANDRIA               "</f>
        <v xml:space="preserve">CRANE                    ALEXANDRIA               </v>
      </c>
      <c r="E1383" t="str">
        <f>"BIRMINGHAM                "</f>
        <v xml:space="preserve">BIRMINGHAM                </v>
      </c>
      <c r="F1383" t="str">
        <f t="shared" si="49"/>
        <v>AL</v>
      </c>
    </row>
    <row r="1384" spans="1:6" x14ac:dyDescent="0.25">
      <c r="A1384" t="str">
        <f>"200016137"</f>
        <v>200016137</v>
      </c>
      <c r="B1384" t="str">
        <f>"1912153172"</f>
        <v>1912153172</v>
      </c>
      <c r="C1384" t="str">
        <f>"208600000X"</f>
        <v>208600000X</v>
      </c>
      <c r="D1384" t="str">
        <f>"CARROLL                  SHANNON                  "</f>
        <v xml:space="preserve">CARROLL                  SHANNON                  </v>
      </c>
      <c r="E1384" t="str">
        <f>"BIRMINGHAM                "</f>
        <v xml:space="preserve">BIRMINGHAM                </v>
      </c>
      <c r="F1384" t="str">
        <f t="shared" si="49"/>
        <v>AL</v>
      </c>
    </row>
    <row r="1385" spans="1:6" x14ac:dyDescent="0.25">
      <c r="A1385" t="str">
        <f>"200016148"</f>
        <v>200016148</v>
      </c>
      <c r="B1385" t="str">
        <f>"1881413987"</f>
        <v>1881413987</v>
      </c>
      <c r="C1385" t="str">
        <f>"363LA2100X"</f>
        <v>363LA2100X</v>
      </c>
      <c r="D1385" t="str">
        <f>"THRELKELD                REBECCA      W           "</f>
        <v xml:space="preserve">THRELKELD                REBECCA      W           </v>
      </c>
      <c r="E1385" t="str">
        <f>"MOBILE                    "</f>
        <v xml:space="preserve">MOBILE                    </v>
      </c>
      <c r="F1385" t="str">
        <f t="shared" si="49"/>
        <v>AL</v>
      </c>
    </row>
    <row r="1386" spans="1:6" x14ac:dyDescent="0.25">
      <c r="A1386" t="str">
        <f>"200016150"</f>
        <v>200016150</v>
      </c>
      <c r="B1386" t="str">
        <f>"1053048983"</f>
        <v>1053048983</v>
      </c>
      <c r="C1386" t="str">
        <f>"363L00000X"</f>
        <v>363L00000X</v>
      </c>
      <c r="D1386" t="str">
        <f>"AULT                     EMILY                    "</f>
        <v xml:space="preserve">AULT                     EMILY                    </v>
      </c>
      <c r="E1386" t="str">
        <f>"MOBILE                    "</f>
        <v xml:space="preserve">MOBILE                    </v>
      </c>
      <c r="F1386" t="str">
        <f t="shared" si="49"/>
        <v>AL</v>
      </c>
    </row>
    <row r="1387" spans="1:6" x14ac:dyDescent="0.25">
      <c r="A1387" t="str">
        <f>"200016158"</f>
        <v>200016158</v>
      </c>
      <c r="B1387" t="str">
        <f>"1740600345"</f>
        <v>1740600345</v>
      </c>
      <c r="C1387" t="str">
        <f>"2085R0202X"</f>
        <v>2085R0202X</v>
      </c>
      <c r="D1387" t="str">
        <f>"NAWROCKI                 ALLEN                    "</f>
        <v xml:space="preserve">NAWROCKI                 ALLEN                    </v>
      </c>
      <c r="E1387" t="str">
        <f>"BIRMINGHAM                "</f>
        <v xml:space="preserve">BIRMINGHAM                </v>
      </c>
      <c r="F1387" t="str">
        <f t="shared" si="49"/>
        <v>AL</v>
      </c>
    </row>
    <row r="1388" spans="1:6" x14ac:dyDescent="0.25">
      <c r="A1388" t="str">
        <f>"200016162"</f>
        <v>200016162</v>
      </c>
      <c r="B1388" t="str">
        <f>"1811491053"</f>
        <v>1811491053</v>
      </c>
      <c r="C1388" t="str">
        <f>"207RG0100X"</f>
        <v>207RG0100X</v>
      </c>
      <c r="D1388" t="str">
        <f>"GIRI                     BHUWAN                   "</f>
        <v xml:space="preserve">GIRI                     BHUWAN                   </v>
      </c>
      <c r="E1388" t="str">
        <f>"BIRMINGHAM                "</f>
        <v xml:space="preserve">BIRMINGHAM                </v>
      </c>
      <c r="F1388" t="str">
        <f t="shared" si="49"/>
        <v>AL</v>
      </c>
    </row>
    <row r="1389" spans="1:6" x14ac:dyDescent="0.25">
      <c r="A1389" t="str">
        <f>"200016167"</f>
        <v>200016167</v>
      </c>
      <c r="B1389" t="str">
        <f>"1285487371"</f>
        <v>1285487371</v>
      </c>
      <c r="C1389" t="str">
        <f>"207R00000X"</f>
        <v>207R00000X</v>
      </c>
      <c r="D1389" t="str">
        <f>"JACK                     COMFORT                  "</f>
        <v xml:space="preserve">JACK                     COMFORT                  </v>
      </c>
      <c r="E1389" t="str">
        <f>"MOBILE                    "</f>
        <v xml:space="preserve">MOBILE                    </v>
      </c>
      <c r="F1389" t="str">
        <f t="shared" si="49"/>
        <v>AL</v>
      </c>
    </row>
    <row r="1390" spans="1:6" x14ac:dyDescent="0.25">
      <c r="A1390" t="str">
        <f>"200016169"</f>
        <v>200016169</v>
      </c>
      <c r="B1390" t="str">
        <f>"1235851528"</f>
        <v>1235851528</v>
      </c>
      <c r="C1390" t="str">
        <f>"363LC0200X"</f>
        <v>363LC0200X</v>
      </c>
      <c r="D1390" t="str">
        <f>"ROBERTS                  SARAH        E           "</f>
        <v xml:space="preserve">ROBERTS                  SARAH        E           </v>
      </c>
      <c r="E1390" t="str">
        <f>"MOBILE                    "</f>
        <v xml:space="preserve">MOBILE                    </v>
      </c>
      <c r="F1390" t="str">
        <f t="shared" si="49"/>
        <v>AL</v>
      </c>
    </row>
    <row r="1391" spans="1:6" x14ac:dyDescent="0.25">
      <c r="A1391" t="str">
        <f>"200016190"</f>
        <v>200016190</v>
      </c>
      <c r="B1391" t="str">
        <f>"1376598680"</f>
        <v>1376598680</v>
      </c>
      <c r="C1391" t="str">
        <f>"207VM0101X"</f>
        <v>207VM0101X</v>
      </c>
      <c r="D1391" t="str">
        <f>"SHEIKH                   ASAD         U           "</f>
        <v xml:space="preserve">SHEIKH                   ASAD         U           </v>
      </c>
      <c r="E1391" t="str">
        <f>"MOBILE                    "</f>
        <v xml:space="preserve">MOBILE                    </v>
      </c>
      <c r="F1391" t="str">
        <f t="shared" si="49"/>
        <v>AL</v>
      </c>
    </row>
    <row r="1392" spans="1:6" x14ac:dyDescent="0.25">
      <c r="A1392" t="str">
        <f>"200016205"</f>
        <v>200016205</v>
      </c>
      <c r="B1392" t="str">
        <f>"1245360320"</f>
        <v>1245360320</v>
      </c>
      <c r="C1392" t="str">
        <f>"208800000X"</f>
        <v>208800000X</v>
      </c>
      <c r="D1392" t="str">
        <f>"CHI                      THOMAS       L           "</f>
        <v xml:space="preserve">CHI                      THOMAS       L           </v>
      </c>
      <c r="E1392" t="str">
        <f>"BIRMINGHAM                "</f>
        <v xml:space="preserve">BIRMINGHAM                </v>
      </c>
      <c r="F1392" t="str">
        <f t="shared" si="49"/>
        <v>AL</v>
      </c>
    </row>
    <row r="1393" spans="1:6" x14ac:dyDescent="0.25">
      <c r="A1393" t="str">
        <f>"200016209"</f>
        <v>200016209</v>
      </c>
      <c r="B1393" t="str">
        <f>"1578545711"</f>
        <v>1578545711</v>
      </c>
      <c r="C1393" t="str">
        <f>"207P00000X"</f>
        <v>207P00000X</v>
      </c>
      <c r="D1393" t="str">
        <f>"MCDONALD                 LAINE                    "</f>
        <v xml:space="preserve">MCDONALD                 LAINE                    </v>
      </c>
      <c r="E1393" t="str">
        <f>"BIRMINGHAM                "</f>
        <v xml:space="preserve">BIRMINGHAM                </v>
      </c>
      <c r="F1393" t="str">
        <f t="shared" si="49"/>
        <v>AL</v>
      </c>
    </row>
    <row r="1394" spans="1:6" x14ac:dyDescent="0.25">
      <c r="A1394" t="str">
        <f>"200016219"</f>
        <v>200016219</v>
      </c>
      <c r="B1394" t="str">
        <f>"1588150239"</f>
        <v>1588150239</v>
      </c>
      <c r="C1394" t="str">
        <f>"207RI0200X"</f>
        <v>207RI0200X</v>
      </c>
      <c r="D1394" t="str">
        <f>"BERTO MOREANO            CESAR        G           "</f>
        <v xml:space="preserve">BERTO MOREANO            CESAR        G           </v>
      </c>
      <c r="E1394" t="str">
        <f>"BIRMINGHAM                "</f>
        <v xml:space="preserve">BIRMINGHAM                </v>
      </c>
      <c r="F1394" t="str">
        <f t="shared" si="49"/>
        <v>AL</v>
      </c>
    </row>
    <row r="1395" spans="1:6" x14ac:dyDescent="0.25">
      <c r="A1395" t="str">
        <f>"200016220"</f>
        <v>200016220</v>
      </c>
      <c r="B1395" t="str">
        <f>"1255036984"</f>
        <v>1255036984</v>
      </c>
      <c r="C1395" t="str">
        <f>"363LA2100X"</f>
        <v>363LA2100X</v>
      </c>
      <c r="D1395" t="str">
        <f>"GLENN                    ALEXIS       L           "</f>
        <v xml:space="preserve">GLENN                    ALEXIS       L           </v>
      </c>
      <c r="E1395" t="str">
        <f>"BIRMINGHAM                "</f>
        <v xml:space="preserve">BIRMINGHAM                </v>
      </c>
      <c r="F1395" t="str">
        <f t="shared" si="49"/>
        <v>AL</v>
      </c>
    </row>
    <row r="1396" spans="1:6" x14ac:dyDescent="0.25">
      <c r="A1396" t="str">
        <f>"200016232"</f>
        <v>200016232</v>
      </c>
      <c r="B1396" t="str">
        <f>"1316795263"</f>
        <v>1316795263</v>
      </c>
      <c r="C1396" t="str">
        <f>"208000000X"</f>
        <v>208000000X</v>
      </c>
      <c r="D1396" t="str">
        <f>"SOUDAGAR                 SOHEL                    "</f>
        <v xml:space="preserve">SOUDAGAR                 SOHEL                    </v>
      </c>
      <c r="E1396" t="str">
        <f>"MOBILE                    "</f>
        <v xml:space="preserve">MOBILE                    </v>
      </c>
      <c r="F1396" t="str">
        <f t="shared" si="49"/>
        <v>AL</v>
      </c>
    </row>
    <row r="1397" spans="1:6" x14ac:dyDescent="0.25">
      <c r="A1397" t="str">
        <f>"200016251"</f>
        <v>200016251</v>
      </c>
      <c r="B1397" t="str">
        <f>"1790911782"</f>
        <v>1790911782</v>
      </c>
      <c r="C1397" t="str">
        <f>"2086S0102X"</f>
        <v>2086S0102X</v>
      </c>
      <c r="D1397" t="str">
        <f>"MILLER                   STEVEN       G           "</f>
        <v xml:space="preserve">MILLER                   STEVEN       G           </v>
      </c>
      <c r="E1397" t="str">
        <f>"MOBILE                    "</f>
        <v xml:space="preserve">MOBILE                    </v>
      </c>
      <c r="F1397" t="str">
        <f t="shared" si="49"/>
        <v>AL</v>
      </c>
    </row>
    <row r="1398" spans="1:6" x14ac:dyDescent="0.25">
      <c r="A1398" t="str">
        <f>"200016332"</f>
        <v>200016332</v>
      </c>
      <c r="B1398" t="str">
        <f>"1518220003"</f>
        <v>1518220003</v>
      </c>
      <c r="C1398" t="str">
        <f>"2086S0129X"</f>
        <v>2086S0129X</v>
      </c>
      <c r="D1398" t="str">
        <f>"SUTZKO                   DANIELLE                 "</f>
        <v xml:space="preserve">SUTZKO                   DANIELLE                 </v>
      </c>
      <c r="E1398" t="str">
        <f>"BIRMINGHAM                "</f>
        <v xml:space="preserve">BIRMINGHAM                </v>
      </c>
      <c r="F1398" t="str">
        <f t="shared" si="49"/>
        <v>AL</v>
      </c>
    </row>
    <row r="1399" spans="1:6" x14ac:dyDescent="0.25">
      <c r="A1399" t="str">
        <f>"200016344"</f>
        <v>200016344</v>
      </c>
      <c r="B1399" t="str">
        <f>"1063875524"</f>
        <v>1063875524</v>
      </c>
      <c r="C1399" t="str">
        <f>"207T00000X"</f>
        <v>207T00000X</v>
      </c>
      <c r="D1399" t="str">
        <f>"THUM                     JASMINE      A           "</f>
        <v xml:space="preserve">THUM                     JASMINE      A           </v>
      </c>
      <c r="E1399" t="str">
        <f>"BIRMINGHAM                "</f>
        <v xml:space="preserve">BIRMINGHAM                </v>
      </c>
      <c r="F1399" t="str">
        <f t="shared" si="49"/>
        <v>AL</v>
      </c>
    </row>
    <row r="1400" spans="1:6" x14ac:dyDescent="0.25">
      <c r="A1400" t="str">
        <f>"200016355"</f>
        <v>200016355</v>
      </c>
      <c r="B1400" t="str">
        <f>"1710484514"</f>
        <v>1710484514</v>
      </c>
      <c r="C1400" t="str">
        <f>"208600000X"</f>
        <v>208600000X</v>
      </c>
      <c r="D1400" t="str">
        <f>"DECI                     RYAN         T           "</f>
        <v xml:space="preserve">DECI                     RYAN         T           </v>
      </c>
      <c r="E1400" t="str">
        <f>"MOBILE                    "</f>
        <v xml:space="preserve">MOBILE                    </v>
      </c>
      <c r="F1400" t="str">
        <f t="shared" si="49"/>
        <v>AL</v>
      </c>
    </row>
    <row r="1401" spans="1:6" x14ac:dyDescent="0.25">
      <c r="A1401" t="str">
        <f>"200016367"</f>
        <v>200016367</v>
      </c>
      <c r="B1401" t="str">
        <f>"1134162191"</f>
        <v>1134162191</v>
      </c>
      <c r="C1401" t="str">
        <f>"207X00000X"</f>
        <v>207X00000X</v>
      </c>
      <c r="D1401" t="str">
        <f>"DOYLE                    JOHN                     "</f>
        <v xml:space="preserve">DOYLE                    JOHN                     </v>
      </c>
      <c r="E1401" t="str">
        <f>"BIRMINGHAM                "</f>
        <v xml:space="preserve">BIRMINGHAM                </v>
      </c>
      <c r="F1401" t="str">
        <f t="shared" si="49"/>
        <v>AL</v>
      </c>
    </row>
    <row r="1402" spans="1:6" x14ac:dyDescent="0.25">
      <c r="A1402" t="str">
        <f>"200016375"</f>
        <v>200016375</v>
      </c>
      <c r="B1402" t="str">
        <f>"1871525717"</f>
        <v>1871525717</v>
      </c>
      <c r="C1402" t="str">
        <f>"208M00000X"</f>
        <v>208M00000X</v>
      </c>
      <c r="D1402" t="str">
        <f>"ARMSTRONG                AMY                      "</f>
        <v xml:space="preserve">ARMSTRONG                AMY                      </v>
      </c>
      <c r="E1402" t="str">
        <f>"MOBILE                    "</f>
        <v xml:space="preserve">MOBILE                    </v>
      </c>
      <c r="F1402" t="str">
        <f t="shared" si="49"/>
        <v>AL</v>
      </c>
    </row>
    <row r="1403" spans="1:6" x14ac:dyDescent="0.25">
      <c r="A1403" t="str">
        <f>"200016446"</f>
        <v>200016446</v>
      </c>
      <c r="B1403" t="str">
        <f>"1801358668"</f>
        <v>1801358668</v>
      </c>
      <c r="C1403" t="str">
        <f>"207VM0101X"</f>
        <v>207VM0101X</v>
      </c>
      <c r="D1403" t="str">
        <f>"MCILWRAITH               CLAIRE                   "</f>
        <v xml:space="preserve">MCILWRAITH               CLAIRE                   </v>
      </c>
      <c r="E1403" t="str">
        <f>"BIRMINGHAM                "</f>
        <v xml:space="preserve">BIRMINGHAM                </v>
      </c>
      <c r="F1403" t="str">
        <f t="shared" si="49"/>
        <v>AL</v>
      </c>
    </row>
    <row r="1404" spans="1:6" x14ac:dyDescent="0.25">
      <c r="A1404" t="str">
        <f>"200016455"</f>
        <v>200016455</v>
      </c>
      <c r="B1404" t="str">
        <f>"1558509380"</f>
        <v>1558509380</v>
      </c>
      <c r="C1404" t="str">
        <f>"367500000X"</f>
        <v>367500000X</v>
      </c>
      <c r="D1404" t="str">
        <f>"PIERCE                   REBECCA      S           "</f>
        <v xml:space="preserve">PIERCE                   REBECCA      S           </v>
      </c>
      <c r="E1404" t="str">
        <f>"BIRMINGHAM                "</f>
        <v xml:space="preserve">BIRMINGHAM                </v>
      </c>
      <c r="F1404" t="str">
        <f t="shared" si="49"/>
        <v>AL</v>
      </c>
    </row>
    <row r="1405" spans="1:6" x14ac:dyDescent="0.25">
      <c r="A1405" t="str">
        <f>"200016533"</f>
        <v>200016533</v>
      </c>
      <c r="B1405" t="str">
        <f>"1760832687"</f>
        <v>1760832687</v>
      </c>
      <c r="C1405" t="str">
        <f>"207RP1001X"</f>
        <v>207RP1001X</v>
      </c>
      <c r="D1405" t="str">
        <f>"GUPTA                    MRIDUL                   "</f>
        <v xml:space="preserve">GUPTA                    MRIDUL                   </v>
      </c>
      <c r="E1405" t="str">
        <f>"BIRMINGHAM                "</f>
        <v xml:space="preserve">BIRMINGHAM                </v>
      </c>
      <c r="F1405" t="str">
        <f t="shared" si="49"/>
        <v>AL</v>
      </c>
    </row>
    <row r="1406" spans="1:6" x14ac:dyDescent="0.25">
      <c r="A1406" t="str">
        <f>"200016539"</f>
        <v>200016539</v>
      </c>
      <c r="B1406" t="str">
        <f>"1841059359"</f>
        <v>1841059359</v>
      </c>
      <c r="C1406" t="str">
        <f>"363L00000X"</f>
        <v>363L00000X</v>
      </c>
      <c r="D1406" t="str">
        <f>"WILKERSON                HAYDEN                   "</f>
        <v xml:space="preserve">WILKERSON                HAYDEN                   </v>
      </c>
      <c r="E1406" t="str">
        <f>"MOBILE                    "</f>
        <v xml:space="preserve">MOBILE                    </v>
      </c>
      <c r="F1406" t="str">
        <f t="shared" si="49"/>
        <v>AL</v>
      </c>
    </row>
    <row r="1407" spans="1:6" x14ac:dyDescent="0.25">
      <c r="A1407" t="str">
        <f>"200016552"</f>
        <v>200016552</v>
      </c>
      <c r="B1407" t="str">
        <f>"1730800368"</f>
        <v>1730800368</v>
      </c>
      <c r="C1407" t="str">
        <f>"363L00000X"</f>
        <v>363L00000X</v>
      </c>
      <c r="D1407" t="str">
        <f>"TRAGESSER                ABBY                     "</f>
        <v xml:space="preserve">TRAGESSER                ABBY                     </v>
      </c>
      <c r="E1407" t="str">
        <f>"BIRMINGHAM                "</f>
        <v xml:space="preserve">BIRMINGHAM                </v>
      </c>
      <c r="F1407" t="str">
        <f t="shared" si="49"/>
        <v>AL</v>
      </c>
    </row>
    <row r="1408" spans="1:6" x14ac:dyDescent="0.25">
      <c r="A1408" t="str">
        <f>"200016574"</f>
        <v>200016574</v>
      </c>
      <c r="B1408" t="str">
        <f>"1215245147"</f>
        <v>1215245147</v>
      </c>
      <c r="C1408" t="str">
        <f>"363L00000X"</f>
        <v>363L00000X</v>
      </c>
      <c r="D1408" t="str">
        <f>"RANALLI                  ALEXIS                   "</f>
        <v xml:space="preserve">RANALLI                  ALEXIS                   </v>
      </c>
      <c r="E1408" t="str">
        <f>"BIRMINGHAM                "</f>
        <v xml:space="preserve">BIRMINGHAM                </v>
      </c>
      <c r="F1408" t="str">
        <f t="shared" si="49"/>
        <v>AL</v>
      </c>
    </row>
    <row r="1409" spans="1:6" x14ac:dyDescent="0.25">
      <c r="A1409" t="str">
        <f>"200016587"</f>
        <v>200016587</v>
      </c>
      <c r="B1409" t="str">
        <f>"1871215509"</f>
        <v>1871215509</v>
      </c>
      <c r="C1409" t="str">
        <f>"363LF0000X"</f>
        <v>363LF0000X</v>
      </c>
      <c r="D1409" t="str">
        <f>"MORRIS                   MATILYN                  "</f>
        <v xml:space="preserve">MORRIS                   MATILYN                  </v>
      </c>
      <c r="E1409" t="str">
        <f>"BIRMINGHAM                "</f>
        <v xml:space="preserve">BIRMINGHAM                </v>
      </c>
      <c r="F1409" t="str">
        <f t="shared" si="49"/>
        <v>AL</v>
      </c>
    </row>
    <row r="1410" spans="1:6" x14ac:dyDescent="0.25">
      <c r="A1410" t="str">
        <f>"200016641"</f>
        <v>200016641</v>
      </c>
      <c r="B1410" t="str">
        <f>"1407321748"</f>
        <v>1407321748</v>
      </c>
      <c r="C1410" t="str">
        <f>"363A00000X"</f>
        <v>363A00000X</v>
      </c>
      <c r="D1410" t="str">
        <f>"RUSSELL                  MAUREEN                  "</f>
        <v xml:space="preserve">RUSSELL                  MAUREEN                  </v>
      </c>
      <c r="E1410" t="str">
        <f>"BIRMINGHAM                "</f>
        <v xml:space="preserve">BIRMINGHAM                </v>
      </c>
      <c r="F1410" t="str">
        <f t="shared" si="49"/>
        <v>AL</v>
      </c>
    </row>
    <row r="1411" spans="1:6" x14ac:dyDescent="0.25">
      <c r="A1411" t="str">
        <f>"200016666"</f>
        <v>200016666</v>
      </c>
      <c r="B1411" t="str">
        <f>"1497232458"</f>
        <v>1497232458</v>
      </c>
      <c r="C1411" t="str">
        <f>"363LF0000X"</f>
        <v>363LF0000X</v>
      </c>
      <c r="D1411" t="str">
        <f>"ORR                      MERSADIES                "</f>
        <v xml:space="preserve">ORR                      MERSADIES                </v>
      </c>
      <c r="E1411" t="str">
        <f>"BIRMINGHAM                "</f>
        <v xml:space="preserve">BIRMINGHAM                </v>
      </c>
      <c r="F1411" t="str">
        <f t="shared" si="49"/>
        <v>AL</v>
      </c>
    </row>
    <row r="1412" spans="1:6" x14ac:dyDescent="0.25">
      <c r="A1412" t="str">
        <f>"200016736"</f>
        <v>200016736</v>
      </c>
      <c r="B1412" t="str">
        <f>"1225807571"</f>
        <v>1225807571</v>
      </c>
      <c r="C1412" t="str">
        <f>"363A00000X"</f>
        <v>363A00000X</v>
      </c>
      <c r="D1412" t="str">
        <f>"SIMMONS                  STEVEN                   "</f>
        <v xml:space="preserve">SIMMONS                  STEVEN                   </v>
      </c>
      <c r="E1412" t="str">
        <f t="shared" ref="E1412:E1418" si="50">"MOBILE                    "</f>
        <v xml:space="preserve">MOBILE                    </v>
      </c>
      <c r="F1412" t="str">
        <f t="shared" si="49"/>
        <v>AL</v>
      </c>
    </row>
    <row r="1413" spans="1:6" x14ac:dyDescent="0.25">
      <c r="A1413" t="str">
        <f>"200016743"</f>
        <v>200016743</v>
      </c>
      <c r="B1413" t="str">
        <f>"1053148338"</f>
        <v>1053148338</v>
      </c>
      <c r="C1413" t="str">
        <f>"363LP0200X"</f>
        <v>363LP0200X</v>
      </c>
      <c r="D1413" t="str">
        <f>"TALLIS                   AUDREY       L           "</f>
        <v xml:space="preserve">TALLIS                   AUDREY       L           </v>
      </c>
      <c r="E1413" t="str">
        <f t="shared" si="50"/>
        <v xml:space="preserve">MOBILE                    </v>
      </c>
      <c r="F1413" t="str">
        <f t="shared" si="49"/>
        <v>AL</v>
      </c>
    </row>
    <row r="1414" spans="1:6" x14ac:dyDescent="0.25">
      <c r="A1414" t="str">
        <f>"200016759"</f>
        <v>200016759</v>
      </c>
      <c r="B1414" t="str">
        <f>"1750398434"</f>
        <v>1750398434</v>
      </c>
      <c r="C1414" t="str">
        <f>"207Q00000X"</f>
        <v>207Q00000X</v>
      </c>
      <c r="D1414" t="str">
        <f>"MATHISON                 ELIZABETH                "</f>
        <v xml:space="preserve">MATHISON                 ELIZABETH                </v>
      </c>
      <c r="E1414" t="str">
        <f t="shared" si="50"/>
        <v xml:space="preserve">MOBILE                    </v>
      </c>
      <c r="F1414" t="str">
        <f t="shared" si="49"/>
        <v>AL</v>
      </c>
    </row>
    <row r="1415" spans="1:6" x14ac:dyDescent="0.25">
      <c r="A1415" t="str">
        <f>"200016790"</f>
        <v>200016790</v>
      </c>
      <c r="B1415" t="str">
        <f>"1508251638"</f>
        <v>1508251638</v>
      </c>
      <c r="C1415" t="str">
        <f>"207XS0106X"</f>
        <v>207XS0106X</v>
      </c>
      <c r="D1415" t="str">
        <f>"RODRIGUEZ-FEO            CHARLES      L           "</f>
        <v xml:space="preserve">RODRIGUEZ-FEO            CHARLES      L           </v>
      </c>
      <c r="E1415" t="str">
        <f t="shared" si="50"/>
        <v xml:space="preserve">MOBILE                    </v>
      </c>
      <c r="F1415" t="str">
        <f t="shared" ref="F1415:F1478" si="51">"AL"</f>
        <v>AL</v>
      </c>
    </row>
    <row r="1416" spans="1:6" x14ac:dyDescent="0.25">
      <c r="A1416" t="str">
        <f>"200016808"</f>
        <v>200016808</v>
      </c>
      <c r="B1416" t="str">
        <f>"1255014957"</f>
        <v>1255014957</v>
      </c>
      <c r="C1416" t="str">
        <f>"363A00000X"</f>
        <v>363A00000X</v>
      </c>
      <c r="D1416" t="str">
        <f>"YOUNG                    CAROLINE     M           "</f>
        <v xml:space="preserve">YOUNG                    CAROLINE     M           </v>
      </c>
      <c r="E1416" t="str">
        <f t="shared" si="50"/>
        <v xml:space="preserve">MOBILE                    </v>
      </c>
      <c r="F1416" t="str">
        <f t="shared" si="51"/>
        <v>AL</v>
      </c>
    </row>
    <row r="1417" spans="1:6" x14ac:dyDescent="0.25">
      <c r="A1417" t="str">
        <f>"200016848"</f>
        <v>200016848</v>
      </c>
      <c r="B1417" t="str">
        <f>"1093005779"</f>
        <v>1093005779</v>
      </c>
      <c r="C1417" t="str">
        <f>"208M00000X"</f>
        <v>208M00000X</v>
      </c>
      <c r="D1417" t="str">
        <f>"JONES                    JESSICA                  "</f>
        <v xml:space="preserve">JONES                    JESSICA                  </v>
      </c>
      <c r="E1417" t="str">
        <f t="shared" si="50"/>
        <v xml:space="preserve">MOBILE                    </v>
      </c>
      <c r="F1417" t="str">
        <f t="shared" si="51"/>
        <v>AL</v>
      </c>
    </row>
    <row r="1418" spans="1:6" x14ac:dyDescent="0.25">
      <c r="A1418" t="str">
        <f>"200016876"</f>
        <v>200016876</v>
      </c>
      <c r="B1418" t="str">
        <f>"1629829361"</f>
        <v>1629829361</v>
      </c>
      <c r="C1418" t="str">
        <f>"208000000X"</f>
        <v>208000000X</v>
      </c>
      <c r="D1418" t="str">
        <f>"TALATALA                 RACHELANNE               "</f>
        <v xml:space="preserve">TALATALA                 RACHELANNE               </v>
      </c>
      <c r="E1418" t="str">
        <f t="shared" si="50"/>
        <v xml:space="preserve">MOBILE                    </v>
      </c>
      <c r="F1418" t="str">
        <f t="shared" si="51"/>
        <v>AL</v>
      </c>
    </row>
    <row r="1419" spans="1:6" x14ac:dyDescent="0.25">
      <c r="A1419" t="str">
        <f>"200016888"</f>
        <v>200016888</v>
      </c>
      <c r="B1419" t="str">
        <f>"1831633403"</f>
        <v>1831633403</v>
      </c>
      <c r="C1419" t="str">
        <f>"363LA2200X"</f>
        <v>363LA2200X</v>
      </c>
      <c r="D1419" t="str">
        <f>"RAY                      BRANDI                   "</f>
        <v xml:space="preserve">RAY                      BRANDI                   </v>
      </c>
      <c r="E1419" t="str">
        <f>"FLORENCE                  "</f>
        <v xml:space="preserve">FLORENCE                  </v>
      </c>
      <c r="F1419" t="str">
        <f t="shared" si="51"/>
        <v>AL</v>
      </c>
    </row>
    <row r="1420" spans="1:6" x14ac:dyDescent="0.25">
      <c r="A1420" t="str">
        <f>"200016914"</f>
        <v>200016914</v>
      </c>
      <c r="B1420" t="str">
        <f>"1275119190"</f>
        <v>1275119190</v>
      </c>
      <c r="C1420" t="str">
        <f>"207Q00000X"</f>
        <v>207Q00000X</v>
      </c>
      <c r="D1420" t="str">
        <f>"WILLIAMS                 ANDREW                   "</f>
        <v xml:space="preserve">WILLIAMS                 ANDREW                   </v>
      </c>
      <c r="E1420" t="str">
        <f>"RED BAY                   "</f>
        <v xml:space="preserve">RED BAY                   </v>
      </c>
      <c r="F1420" t="str">
        <f t="shared" si="51"/>
        <v>AL</v>
      </c>
    </row>
    <row r="1421" spans="1:6" x14ac:dyDescent="0.25">
      <c r="A1421" t="str">
        <f>"200016947"</f>
        <v>200016947</v>
      </c>
      <c r="B1421" t="str">
        <f>"1467171447"</f>
        <v>1467171447</v>
      </c>
      <c r="C1421" t="str">
        <f>"363L00000X"</f>
        <v>363L00000X</v>
      </c>
      <c r="D1421" t="str">
        <f>"LARD                     TIFFANEY                 "</f>
        <v xml:space="preserve">LARD                     TIFFANEY                 </v>
      </c>
      <c r="E1421" t="str">
        <f>"BIRMINGHAM                "</f>
        <v xml:space="preserve">BIRMINGHAM                </v>
      </c>
      <c r="F1421" t="str">
        <f t="shared" si="51"/>
        <v>AL</v>
      </c>
    </row>
    <row r="1422" spans="1:6" x14ac:dyDescent="0.25">
      <c r="A1422" t="str">
        <f>"200016954"</f>
        <v>200016954</v>
      </c>
      <c r="B1422" t="str">
        <f>"1013767896"</f>
        <v>1013767896</v>
      </c>
      <c r="C1422" t="str">
        <f>"207P00000X"</f>
        <v>207P00000X</v>
      </c>
      <c r="D1422" t="str">
        <f>"RICHARD                  SETH                     "</f>
        <v xml:space="preserve">RICHARD                  SETH                     </v>
      </c>
      <c r="E1422" t="str">
        <f>"MOBILE                    "</f>
        <v xml:space="preserve">MOBILE                    </v>
      </c>
      <c r="F1422" t="str">
        <f t="shared" si="51"/>
        <v>AL</v>
      </c>
    </row>
    <row r="1423" spans="1:6" x14ac:dyDescent="0.25">
      <c r="A1423" t="str">
        <f>"200017095"</f>
        <v>200017095</v>
      </c>
      <c r="B1423" t="str">
        <f>"1124569538"</f>
        <v>1124569538</v>
      </c>
      <c r="C1423" t="str">
        <f>"363LN0000X"</f>
        <v>363LN0000X</v>
      </c>
      <c r="D1423" t="str">
        <f>"SMITH                    MEGAN        K           "</f>
        <v xml:space="preserve">SMITH                    MEGAN        K           </v>
      </c>
      <c r="E1423" t="str">
        <f>"MOBILE                    "</f>
        <v xml:space="preserve">MOBILE                    </v>
      </c>
      <c r="F1423" t="str">
        <f t="shared" si="51"/>
        <v>AL</v>
      </c>
    </row>
    <row r="1424" spans="1:6" x14ac:dyDescent="0.25">
      <c r="A1424" t="str">
        <f>"200017106"</f>
        <v>200017106</v>
      </c>
      <c r="B1424" t="str">
        <f>"1942950969"</f>
        <v>1942950969</v>
      </c>
      <c r="C1424" t="str">
        <f>"207P00000X"</f>
        <v>207P00000X</v>
      </c>
      <c r="D1424" t="str">
        <f>"LINK                     MACKENZIE    K           "</f>
        <v xml:space="preserve">LINK                     MACKENZIE    K           </v>
      </c>
      <c r="E1424" t="str">
        <f>"MOBILE                    "</f>
        <v xml:space="preserve">MOBILE                    </v>
      </c>
      <c r="F1424" t="str">
        <f t="shared" si="51"/>
        <v>AL</v>
      </c>
    </row>
    <row r="1425" spans="1:6" x14ac:dyDescent="0.25">
      <c r="A1425" t="str">
        <f>"200017109"</f>
        <v>200017109</v>
      </c>
      <c r="B1425" t="str">
        <f>"1396428462"</f>
        <v>1396428462</v>
      </c>
      <c r="C1425" t="str">
        <f>"363A00000X"</f>
        <v>363A00000X</v>
      </c>
      <c r="D1425" t="str">
        <f>"OWEN                     CALLIE       T           "</f>
        <v xml:space="preserve">OWEN                     CALLIE       T           </v>
      </c>
      <c r="E1425" t="str">
        <f>"MOBILE                    "</f>
        <v xml:space="preserve">MOBILE                    </v>
      </c>
      <c r="F1425" t="str">
        <f t="shared" si="51"/>
        <v>AL</v>
      </c>
    </row>
    <row r="1426" spans="1:6" x14ac:dyDescent="0.25">
      <c r="A1426" t="str">
        <f>"200017159"</f>
        <v>200017159</v>
      </c>
      <c r="B1426" t="str">
        <f>"1568923381"</f>
        <v>1568923381</v>
      </c>
      <c r="C1426" t="str">
        <f>"207P00000X"</f>
        <v>207P00000X</v>
      </c>
      <c r="D1426" t="str">
        <f>"HOLLOWAY                 WALTER                   "</f>
        <v xml:space="preserve">HOLLOWAY                 WALTER                   </v>
      </c>
      <c r="E1426" t="str">
        <f>"BIRMINGHAM                "</f>
        <v xml:space="preserve">BIRMINGHAM                </v>
      </c>
      <c r="F1426" t="str">
        <f t="shared" si="51"/>
        <v>AL</v>
      </c>
    </row>
    <row r="1427" spans="1:6" x14ac:dyDescent="0.25">
      <c r="A1427" t="str">
        <f>"200017168"</f>
        <v>200017168</v>
      </c>
      <c r="B1427" t="str">
        <f>"1407695620"</f>
        <v>1407695620</v>
      </c>
      <c r="C1427" t="str">
        <f>"363LF0000X"</f>
        <v>363LF0000X</v>
      </c>
      <c r="D1427" t="str">
        <f>"HARRISON                 CAMERON      D           "</f>
        <v xml:space="preserve">HARRISON                 CAMERON      D           </v>
      </c>
      <c r="E1427" t="str">
        <f>"MOBILE                    "</f>
        <v xml:space="preserve">MOBILE                    </v>
      </c>
      <c r="F1427" t="str">
        <f t="shared" si="51"/>
        <v>AL</v>
      </c>
    </row>
    <row r="1428" spans="1:6" x14ac:dyDescent="0.25">
      <c r="A1428" t="str">
        <f>"200017209"</f>
        <v>200017209</v>
      </c>
      <c r="B1428" t="str">
        <f>"1730862343"</f>
        <v>1730862343</v>
      </c>
      <c r="C1428" t="str">
        <f>"207RG0100X"</f>
        <v>207RG0100X</v>
      </c>
      <c r="D1428" t="str">
        <f>"FTAIHA                   BASHAR                   "</f>
        <v xml:space="preserve">FTAIHA                   BASHAR                   </v>
      </c>
      <c r="E1428" t="str">
        <f>"BIRMINGHAM                "</f>
        <v xml:space="preserve">BIRMINGHAM                </v>
      </c>
      <c r="F1428" t="str">
        <f t="shared" si="51"/>
        <v>AL</v>
      </c>
    </row>
    <row r="1429" spans="1:6" x14ac:dyDescent="0.25">
      <c r="A1429" t="str">
        <f>"200017211"</f>
        <v>200017211</v>
      </c>
      <c r="B1429" t="str">
        <f>"1295591857"</f>
        <v>1295591857</v>
      </c>
      <c r="C1429" t="str">
        <f>"363LW0102X"</f>
        <v>363LW0102X</v>
      </c>
      <c r="D1429" t="str">
        <f>"MURPHY                   AVA          H           "</f>
        <v xml:space="preserve">MURPHY                   AVA          H           </v>
      </c>
      <c r="E1429" t="str">
        <f>"MOBILE                    "</f>
        <v xml:space="preserve">MOBILE                    </v>
      </c>
      <c r="F1429" t="str">
        <f t="shared" si="51"/>
        <v>AL</v>
      </c>
    </row>
    <row r="1430" spans="1:6" x14ac:dyDescent="0.25">
      <c r="A1430" t="str">
        <f>"200017265"</f>
        <v>200017265</v>
      </c>
      <c r="B1430" t="str">
        <f>"1497998736"</f>
        <v>1497998736</v>
      </c>
      <c r="C1430" t="str">
        <f>"207RH0003X"</f>
        <v>207RH0003X</v>
      </c>
      <c r="D1430" t="str">
        <f>"ESCOBAR                  MAURICIO                 "</f>
        <v xml:space="preserve">ESCOBAR                  MAURICIO                 </v>
      </c>
      <c r="E1430" t="str">
        <f>"BIRMINGHAM                "</f>
        <v xml:space="preserve">BIRMINGHAM                </v>
      </c>
      <c r="F1430" t="str">
        <f t="shared" si="51"/>
        <v>AL</v>
      </c>
    </row>
    <row r="1431" spans="1:6" x14ac:dyDescent="0.25">
      <c r="A1431" t="str">
        <f>"200017280"</f>
        <v>200017280</v>
      </c>
      <c r="B1431" t="str">
        <f>"1508872557"</f>
        <v>1508872557</v>
      </c>
      <c r="C1431" t="str">
        <f>"207R00000X"</f>
        <v>207R00000X</v>
      </c>
      <c r="D1431" t="str">
        <f>"LAMBERT                  MARLA                    "</f>
        <v xml:space="preserve">LAMBERT                  MARLA                    </v>
      </c>
      <c r="E1431" t="str">
        <f>"MOBILE                    "</f>
        <v xml:space="preserve">MOBILE                    </v>
      </c>
      <c r="F1431" t="str">
        <f t="shared" si="51"/>
        <v>AL</v>
      </c>
    </row>
    <row r="1432" spans="1:6" x14ac:dyDescent="0.25">
      <c r="A1432" t="str">
        <f>"200017371"</f>
        <v>200017371</v>
      </c>
      <c r="B1432" t="str">
        <f>"1285254029"</f>
        <v>1285254029</v>
      </c>
      <c r="C1432" t="str">
        <f>"208100000X"</f>
        <v>208100000X</v>
      </c>
      <c r="D1432" t="str">
        <f>"LOPES                    SARAH                    "</f>
        <v xml:space="preserve">LOPES                    SARAH                    </v>
      </c>
      <c r="E1432" t="str">
        <f>"BIRMINGHAM                "</f>
        <v xml:space="preserve">BIRMINGHAM                </v>
      </c>
      <c r="F1432" t="str">
        <f t="shared" si="51"/>
        <v>AL</v>
      </c>
    </row>
    <row r="1433" spans="1:6" x14ac:dyDescent="0.25">
      <c r="A1433" t="str">
        <f>"200017376"</f>
        <v>200017376</v>
      </c>
      <c r="B1433" t="str">
        <f>"1740224286"</f>
        <v>1740224286</v>
      </c>
      <c r="C1433" t="str">
        <f>"207VM0101X"</f>
        <v>207VM0101X</v>
      </c>
      <c r="D1433" t="str">
        <f>"BEAUCHAMP                LUANNA       L           "</f>
        <v xml:space="preserve">BEAUCHAMP                LUANNA       L           </v>
      </c>
      <c r="E1433" t="str">
        <f>"MOBILE                    "</f>
        <v xml:space="preserve">MOBILE                    </v>
      </c>
      <c r="F1433" t="str">
        <f t="shared" si="51"/>
        <v>AL</v>
      </c>
    </row>
    <row r="1434" spans="1:6" x14ac:dyDescent="0.25">
      <c r="A1434" t="str">
        <f>"200017381"</f>
        <v>200017381</v>
      </c>
      <c r="B1434" t="str">
        <f>"1174919153"</f>
        <v>1174919153</v>
      </c>
      <c r="C1434" t="str">
        <f>"207R00000X"</f>
        <v>207R00000X</v>
      </c>
      <c r="D1434" t="str">
        <f>"HERRING                  ADAM                     "</f>
        <v xml:space="preserve">HERRING                  ADAM                     </v>
      </c>
      <c r="E1434" t="str">
        <f>"MOBILE                    "</f>
        <v xml:space="preserve">MOBILE                    </v>
      </c>
      <c r="F1434" t="str">
        <f t="shared" si="51"/>
        <v>AL</v>
      </c>
    </row>
    <row r="1435" spans="1:6" x14ac:dyDescent="0.25">
      <c r="A1435" t="str">
        <f>"200017441"</f>
        <v>200017441</v>
      </c>
      <c r="B1435" t="str">
        <f>"1083291751"</f>
        <v>1083291751</v>
      </c>
      <c r="C1435" t="str">
        <f>"363L00000X"</f>
        <v>363L00000X</v>
      </c>
      <c r="D1435" t="str">
        <f>"PORTZ                    MALLORY                  "</f>
        <v xml:space="preserve">PORTZ                    MALLORY                  </v>
      </c>
      <c r="E1435" t="str">
        <f>"BIRMINGHAM                "</f>
        <v xml:space="preserve">BIRMINGHAM                </v>
      </c>
      <c r="F1435" t="str">
        <f t="shared" si="51"/>
        <v>AL</v>
      </c>
    </row>
    <row r="1436" spans="1:6" x14ac:dyDescent="0.25">
      <c r="A1436" t="str">
        <f>"200017456"</f>
        <v>200017456</v>
      </c>
      <c r="B1436" t="str">
        <f>"1992414825"</f>
        <v>1992414825</v>
      </c>
      <c r="C1436" t="str">
        <f>"363L00000X"</f>
        <v>363L00000X</v>
      </c>
      <c r="D1436" t="str">
        <f>"WEBB                     ASHLEY                   "</f>
        <v xml:space="preserve">WEBB                     ASHLEY                   </v>
      </c>
      <c r="E1436" t="str">
        <f>"BIRMINGHAM                "</f>
        <v xml:space="preserve">BIRMINGHAM                </v>
      </c>
      <c r="F1436" t="str">
        <f t="shared" si="51"/>
        <v>AL</v>
      </c>
    </row>
    <row r="1437" spans="1:6" x14ac:dyDescent="0.25">
      <c r="A1437" t="str">
        <f>"200017462"</f>
        <v>200017462</v>
      </c>
      <c r="B1437" t="str">
        <f>"1942595350"</f>
        <v>1942595350</v>
      </c>
      <c r="C1437" t="str">
        <f>"208800000X"</f>
        <v>208800000X</v>
      </c>
      <c r="D1437" t="str">
        <f>"WOOD                     KYLE                     "</f>
        <v xml:space="preserve">WOOD                     KYLE                     </v>
      </c>
      <c r="E1437" t="str">
        <f>"FLORENCE                  "</f>
        <v xml:space="preserve">FLORENCE                  </v>
      </c>
      <c r="F1437" t="str">
        <f t="shared" si="51"/>
        <v>AL</v>
      </c>
    </row>
    <row r="1438" spans="1:6" x14ac:dyDescent="0.25">
      <c r="A1438" t="str">
        <f>"200017496"</f>
        <v>200017496</v>
      </c>
      <c r="B1438" t="str">
        <f>"1093945644"</f>
        <v>1093945644</v>
      </c>
      <c r="C1438" t="str">
        <f>"207R00000X"</f>
        <v>207R00000X</v>
      </c>
      <c r="D1438" t="str">
        <f>"SHEPLER                  LISA                     "</f>
        <v xml:space="preserve">SHEPLER                  LISA                     </v>
      </c>
      <c r="E1438" t="str">
        <f>"MOBILE                    "</f>
        <v xml:space="preserve">MOBILE                    </v>
      </c>
      <c r="F1438" t="str">
        <f t="shared" si="51"/>
        <v>AL</v>
      </c>
    </row>
    <row r="1439" spans="1:6" x14ac:dyDescent="0.25">
      <c r="A1439" t="str">
        <f>"200017541"</f>
        <v>200017541</v>
      </c>
      <c r="B1439" t="str">
        <f>"1154594737"</f>
        <v>1154594737</v>
      </c>
      <c r="C1439" t="str">
        <f>"207RR0500X"</f>
        <v>207RR0500X</v>
      </c>
      <c r="D1439" t="str">
        <f>"XING                     YANMING                  "</f>
        <v xml:space="preserve">XING                     YANMING                  </v>
      </c>
      <c r="E1439" t="str">
        <f>"MOBILE                    "</f>
        <v xml:space="preserve">MOBILE                    </v>
      </c>
      <c r="F1439" t="str">
        <f t="shared" si="51"/>
        <v>AL</v>
      </c>
    </row>
    <row r="1440" spans="1:6" x14ac:dyDescent="0.25">
      <c r="A1440" t="str">
        <f>"200017578"</f>
        <v>200017578</v>
      </c>
      <c r="B1440" t="str">
        <f>"1114905429"</f>
        <v>1114905429</v>
      </c>
      <c r="C1440" t="str">
        <f>"207RI0011X"</f>
        <v>207RI0011X</v>
      </c>
      <c r="D1440" t="str">
        <f>"ALFORD                   CHAD         M           "</f>
        <v xml:space="preserve">ALFORD                   CHAD         M           </v>
      </c>
      <c r="E1440" t="str">
        <f>"MOBILE                    "</f>
        <v xml:space="preserve">MOBILE                    </v>
      </c>
      <c r="F1440" t="str">
        <f t="shared" si="51"/>
        <v>AL</v>
      </c>
    </row>
    <row r="1441" spans="1:6" x14ac:dyDescent="0.25">
      <c r="A1441" t="str">
        <f>"200017595"</f>
        <v>200017595</v>
      </c>
      <c r="B1441" t="str">
        <f>"1073257473"</f>
        <v>1073257473</v>
      </c>
      <c r="C1441" t="str">
        <f>"363LA2100X"</f>
        <v>363LA2100X</v>
      </c>
      <c r="D1441" t="str">
        <f>"DAWSON BOWLING           KRISTIN                  "</f>
        <v xml:space="preserve">DAWSON BOWLING           KRISTIN                  </v>
      </c>
      <c r="E1441" t="str">
        <f>"BIRMINGHAM                "</f>
        <v xml:space="preserve">BIRMINGHAM                </v>
      </c>
      <c r="F1441" t="str">
        <f t="shared" si="51"/>
        <v>AL</v>
      </c>
    </row>
    <row r="1442" spans="1:6" x14ac:dyDescent="0.25">
      <c r="A1442" t="str">
        <f>"200017603"</f>
        <v>200017603</v>
      </c>
      <c r="B1442" t="str">
        <f>"1659395341"</f>
        <v>1659395341</v>
      </c>
      <c r="C1442" t="str">
        <f>"207R00000X"</f>
        <v>207R00000X</v>
      </c>
      <c r="D1442" t="str">
        <f>"JIMENEZ                  KAREN                    "</f>
        <v xml:space="preserve">JIMENEZ                  KAREN                    </v>
      </c>
      <c r="E1442" t="str">
        <f>"MOBILE                    "</f>
        <v xml:space="preserve">MOBILE                    </v>
      </c>
      <c r="F1442" t="str">
        <f t="shared" si="51"/>
        <v>AL</v>
      </c>
    </row>
    <row r="1443" spans="1:6" x14ac:dyDescent="0.25">
      <c r="A1443" t="str">
        <f>"200017639"</f>
        <v>200017639</v>
      </c>
      <c r="B1443" t="str">
        <f>"1841721578"</f>
        <v>1841721578</v>
      </c>
      <c r="C1443" t="str">
        <f>"363LP0200X"</f>
        <v>363LP0200X</v>
      </c>
      <c r="D1443" t="str">
        <f>"PATTON                   SARAH        E           "</f>
        <v xml:space="preserve">PATTON                   SARAH        E           </v>
      </c>
      <c r="E1443" t="str">
        <f>"MOBILE                    "</f>
        <v xml:space="preserve">MOBILE                    </v>
      </c>
      <c r="F1443" t="str">
        <f t="shared" si="51"/>
        <v>AL</v>
      </c>
    </row>
    <row r="1444" spans="1:6" x14ac:dyDescent="0.25">
      <c r="A1444" t="str">
        <f>"200017641"</f>
        <v>200017641</v>
      </c>
      <c r="B1444" t="str">
        <f>"1013964261"</f>
        <v>1013964261</v>
      </c>
      <c r="C1444" t="str">
        <f>"207P00000X"</f>
        <v>207P00000X</v>
      </c>
      <c r="D1444" t="str">
        <f>"MIEREZ                   MARCIA                   "</f>
        <v xml:space="preserve">MIEREZ                   MARCIA                   </v>
      </c>
      <c r="E1444" t="str">
        <f>"HAMILTON                  "</f>
        <v xml:space="preserve">HAMILTON                  </v>
      </c>
      <c r="F1444" t="str">
        <f t="shared" si="51"/>
        <v>AL</v>
      </c>
    </row>
    <row r="1445" spans="1:6" x14ac:dyDescent="0.25">
      <c r="A1445" t="str">
        <f>"200017680"</f>
        <v>200017680</v>
      </c>
      <c r="B1445" t="str">
        <f>"1063130490"</f>
        <v>1063130490</v>
      </c>
      <c r="C1445" t="str">
        <f>"207RG0100X"</f>
        <v>207RG0100X</v>
      </c>
      <c r="D1445" t="str">
        <f>"JAYARAM                  NIKHIL                   "</f>
        <v xml:space="preserve">JAYARAM                  NIKHIL                   </v>
      </c>
      <c r="E1445" t="str">
        <f>"BIRMINGHAM                "</f>
        <v xml:space="preserve">BIRMINGHAM                </v>
      </c>
      <c r="F1445" t="str">
        <f t="shared" si="51"/>
        <v>AL</v>
      </c>
    </row>
    <row r="1446" spans="1:6" x14ac:dyDescent="0.25">
      <c r="A1446" t="str">
        <f>"200017683"</f>
        <v>200017683</v>
      </c>
      <c r="B1446" t="str">
        <f>"1992912455"</f>
        <v>1992912455</v>
      </c>
      <c r="C1446" t="str">
        <f>"2084P0800X"</f>
        <v>2084P0800X</v>
      </c>
      <c r="D1446" t="str">
        <f>"MCLANE III               CLYDE                    "</f>
        <v xml:space="preserve">MCLANE III               CLYDE                    </v>
      </c>
      <c r="E1446" t="str">
        <f>"BIRMINGHAM                "</f>
        <v xml:space="preserve">BIRMINGHAM                </v>
      </c>
      <c r="F1446" t="str">
        <f t="shared" si="51"/>
        <v>AL</v>
      </c>
    </row>
    <row r="1447" spans="1:6" x14ac:dyDescent="0.25">
      <c r="A1447" t="str">
        <f>"200017692"</f>
        <v>200017692</v>
      </c>
      <c r="B1447" t="str">
        <f>"1851074439"</f>
        <v>1851074439</v>
      </c>
      <c r="C1447" t="str">
        <f>"363A00000X"</f>
        <v>363A00000X</v>
      </c>
      <c r="D1447" t="str">
        <f>"LUKENBILL                CHELSEA                  "</f>
        <v xml:space="preserve">LUKENBILL                CHELSEA                  </v>
      </c>
      <c r="E1447" t="str">
        <f t="shared" ref="E1447:E1458" si="52">"MOBILE                    "</f>
        <v xml:space="preserve">MOBILE                    </v>
      </c>
      <c r="F1447" t="str">
        <f t="shared" si="51"/>
        <v>AL</v>
      </c>
    </row>
    <row r="1448" spans="1:6" x14ac:dyDescent="0.25">
      <c r="A1448" t="str">
        <f>"200017693"</f>
        <v>200017693</v>
      </c>
      <c r="B1448" t="str">
        <f>"1902383383"</f>
        <v>1902383383</v>
      </c>
      <c r="C1448" t="str">
        <f>"363LP0200X"</f>
        <v>363LP0200X</v>
      </c>
      <c r="D1448" t="str">
        <f>"SKIPPER                  CAITLIN      E           "</f>
        <v xml:space="preserve">SKIPPER                  CAITLIN      E           </v>
      </c>
      <c r="E1448" t="str">
        <f t="shared" si="52"/>
        <v xml:space="preserve">MOBILE                    </v>
      </c>
      <c r="F1448" t="str">
        <f t="shared" si="51"/>
        <v>AL</v>
      </c>
    </row>
    <row r="1449" spans="1:6" x14ac:dyDescent="0.25">
      <c r="A1449" t="str">
        <f>"200017746"</f>
        <v>200017746</v>
      </c>
      <c r="B1449" t="str">
        <f>"1336533694"</f>
        <v>1336533694</v>
      </c>
      <c r="C1449" t="str">
        <f>"2085R0202X"</f>
        <v>2085R0202X</v>
      </c>
      <c r="D1449" t="str">
        <f>"SCOTT                    JOHN         A           "</f>
        <v xml:space="preserve">SCOTT                    JOHN         A           </v>
      </c>
      <c r="E1449" t="str">
        <f t="shared" si="52"/>
        <v xml:space="preserve">MOBILE                    </v>
      </c>
      <c r="F1449" t="str">
        <f t="shared" si="51"/>
        <v>AL</v>
      </c>
    </row>
    <row r="1450" spans="1:6" x14ac:dyDescent="0.25">
      <c r="A1450" t="str">
        <f>"200017828"</f>
        <v>200017828</v>
      </c>
      <c r="B1450" t="str">
        <f>"1841204443"</f>
        <v>1841204443</v>
      </c>
      <c r="C1450" t="str">
        <f>"207R00000X"</f>
        <v>207R00000X</v>
      </c>
      <c r="D1450" t="str">
        <f>"ISRAEL                   ROBERT                   "</f>
        <v xml:space="preserve">ISRAEL                   ROBERT                   </v>
      </c>
      <c r="E1450" t="str">
        <f t="shared" si="52"/>
        <v xml:space="preserve">MOBILE                    </v>
      </c>
      <c r="F1450" t="str">
        <f t="shared" si="51"/>
        <v>AL</v>
      </c>
    </row>
    <row r="1451" spans="1:6" x14ac:dyDescent="0.25">
      <c r="A1451" t="str">
        <f>"200017842"</f>
        <v>200017842</v>
      </c>
      <c r="B1451" t="str">
        <f>"1316357270"</f>
        <v>1316357270</v>
      </c>
      <c r="C1451" t="str">
        <f>"207P00000X"</f>
        <v>207P00000X</v>
      </c>
      <c r="D1451" t="str">
        <f>"STEVENSON                ZACHARY      L           "</f>
        <v xml:space="preserve">STEVENSON                ZACHARY      L           </v>
      </c>
      <c r="E1451" t="str">
        <f t="shared" si="52"/>
        <v xml:space="preserve">MOBILE                    </v>
      </c>
      <c r="F1451" t="str">
        <f t="shared" si="51"/>
        <v>AL</v>
      </c>
    </row>
    <row r="1452" spans="1:6" x14ac:dyDescent="0.25">
      <c r="A1452" t="str">
        <f>"200017862"</f>
        <v>200017862</v>
      </c>
      <c r="B1452" t="str">
        <f>"1861493835"</f>
        <v>1861493835</v>
      </c>
      <c r="C1452" t="str">
        <f>"207P00000X"</f>
        <v>207P00000X</v>
      </c>
      <c r="D1452" t="str">
        <f>"JHA                      ASHWINI      K           "</f>
        <v xml:space="preserve">JHA                      ASHWINI      K           </v>
      </c>
      <c r="E1452" t="str">
        <f t="shared" si="52"/>
        <v xml:space="preserve">MOBILE                    </v>
      </c>
      <c r="F1452" t="str">
        <f t="shared" si="51"/>
        <v>AL</v>
      </c>
    </row>
    <row r="1453" spans="1:6" x14ac:dyDescent="0.25">
      <c r="A1453" t="str">
        <f>"200017888"</f>
        <v>200017888</v>
      </c>
      <c r="B1453" t="str">
        <f>"1558349860"</f>
        <v>1558349860</v>
      </c>
      <c r="C1453" t="str">
        <f>"207RI0011X"</f>
        <v>207RI0011X</v>
      </c>
      <c r="D1453" t="str">
        <f>"HARDY                    WARREN       D           "</f>
        <v xml:space="preserve">HARDY                    WARREN       D           </v>
      </c>
      <c r="E1453" t="str">
        <f t="shared" si="52"/>
        <v xml:space="preserve">MOBILE                    </v>
      </c>
      <c r="F1453" t="str">
        <f t="shared" si="51"/>
        <v>AL</v>
      </c>
    </row>
    <row r="1454" spans="1:6" x14ac:dyDescent="0.25">
      <c r="A1454" t="str">
        <f>"200017898"</f>
        <v>200017898</v>
      </c>
      <c r="B1454" t="str">
        <f>"1750624508"</f>
        <v>1750624508</v>
      </c>
      <c r="C1454" t="str">
        <f>"207R00000X"</f>
        <v>207R00000X</v>
      </c>
      <c r="D1454" t="str">
        <f>"MCCREARY                 DE'ARCO                  "</f>
        <v xml:space="preserve">MCCREARY                 DE'ARCO                  </v>
      </c>
      <c r="E1454" t="str">
        <f t="shared" si="52"/>
        <v xml:space="preserve">MOBILE                    </v>
      </c>
      <c r="F1454" t="str">
        <f t="shared" si="51"/>
        <v>AL</v>
      </c>
    </row>
    <row r="1455" spans="1:6" x14ac:dyDescent="0.25">
      <c r="A1455" t="str">
        <f>"200017939"</f>
        <v>200017939</v>
      </c>
      <c r="B1455" t="str">
        <f>"1174781017"</f>
        <v>1174781017</v>
      </c>
      <c r="C1455" t="str">
        <f>"207RI0011X"</f>
        <v>207RI0011X</v>
      </c>
      <c r="D1455" t="str">
        <f>"DEANDRADE                KEVIN        B           "</f>
        <v xml:space="preserve">DEANDRADE                KEVIN        B           </v>
      </c>
      <c r="E1455" t="str">
        <f t="shared" si="52"/>
        <v xml:space="preserve">MOBILE                    </v>
      </c>
      <c r="F1455" t="str">
        <f t="shared" si="51"/>
        <v>AL</v>
      </c>
    </row>
    <row r="1456" spans="1:6" x14ac:dyDescent="0.25">
      <c r="A1456" t="str">
        <f>"200017963"</f>
        <v>200017963</v>
      </c>
      <c r="B1456" t="str">
        <f>"1477956357"</f>
        <v>1477956357</v>
      </c>
      <c r="C1456" t="str">
        <f>"363LF0000X"</f>
        <v>363LF0000X</v>
      </c>
      <c r="D1456" t="str">
        <f>"PETERSON                 SARAH        L           "</f>
        <v xml:space="preserve">PETERSON                 SARAH        L           </v>
      </c>
      <c r="E1456" t="str">
        <f t="shared" si="52"/>
        <v xml:space="preserve">MOBILE                    </v>
      </c>
      <c r="F1456" t="str">
        <f t="shared" si="51"/>
        <v>AL</v>
      </c>
    </row>
    <row r="1457" spans="1:6" x14ac:dyDescent="0.25">
      <c r="A1457" t="str">
        <f>"200017987"</f>
        <v>200017987</v>
      </c>
      <c r="B1457" t="str">
        <f>"1467433524"</f>
        <v>1467433524</v>
      </c>
      <c r="C1457" t="str">
        <f>"207RC0001X"</f>
        <v>207RC0001X</v>
      </c>
      <c r="D1457" t="str">
        <f>"BEDWELL                  NOEL         W           "</f>
        <v xml:space="preserve">BEDWELL                  NOEL         W           </v>
      </c>
      <c r="E1457" t="str">
        <f t="shared" si="52"/>
        <v xml:space="preserve">MOBILE                    </v>
      </c>
      <c r="F1457" t="str">
        <f t="shared" si="51"/>
        <v>AL</v>
      </c>
    </row>
    <row r="1458" spans="1:6" x14ac:dyDescent="0.25">
      <c r="A1458" t="str">
        <f>"200018042"</f>
        <v>200018042</v>
      </c>
      <c r="B1458" t="str">
        <f>"1033379706"</f>
        <v>1033379706</v>
      </c>
      <c r="C1458" t="str">
        <f>"207R00000X"</f>
        <v>207R00000X</v>
      </c>
      <c r="D1458" t="str">
        <f>"GRIFFIS                  CHRYSTAL                 "</f>
        <v xml:space="preserve">GRIFFIS                  CHRYSTAL                 </v>
      </c>
      <c r="E1458" t="str">
        <f t="shared" si="52"/>
        <v xml:space="preserve">MOBILE                    </v>
      </c>
      <c r="F1458" t="str">
        <f t="shared" si="51"/>
        <v>AL</v>
      </c>
    </row>
    <row r="1459" spans="1:6" x14ac:dyDescent="0.25">
      <c r="A1459" t="str">
        <f>"200018049"</f>
        <v>200018049</v>
      </c>
      <c r="B1459" t="str">
        <f>"1205122926"</f>
        <v>1205122926</v>
      </c>
      <c r="C1459" t="str">
        <f>"367500000X"</f>
        <v>367500000X</v>
      </c>
      <c r="D1459" t="str">
        <f>"BILODEAU                 BRIAN        A           "</f>
        <v xml:space="preserve">BILODEAU                 BRIAN        A           </v>
      </c>
      <c r="E1459" t="str">
        <f>"BIRMINGHAM                "</f>
        <v xml:space="preserve">BIRMINGHAM                </v>
      </c>
      <c r="F1459" t="str">
        <f t="shared" si="51"/>
        <v>AL</v>
      </c>
    </row>
    <row r="1460" spans="1:6" x14ac:dyDescent="0.25">
      <c r="A1460" t="str">
        <f>"200018118"</f>
        <v>200018118</v>
      </c>
      <c r="B1460" t="str">
        <f>"1023543451"</f>
        <v>1023543451</v>
      </c>
      <c r="C1460" t="str">
        <f>"207RH0003X"</f>
        <v>207RH0003X</v>
      </c>
      <c r="D1460" t="str">
        <f>"DESAI                    AAKASH                   "</f>
        <v xml:space="preserve">DESAI                    AAKASH                   </v>
      </c>
      <c r="E1460" t="str">
        <f>"BIRMINGHAM                "</f>
        <v xml:space="preserve">BIRMINGHAM                </v>
      </c>
      <c r="F1460" t="str">
        <f t="shared" si="51"/>
        <v>AL</v>
      </c>
    </row>
    <row r="1461" spans="1:6" x14ac:dyDescent="0.25">
      <c r="A1461" t="str">
        <f>"200018133"</f>
        <v>200018133</v>
      </c>
      <c r="B1461" t="str">
        <f>"1144489691"</f>
        <v>1144489691</v>
      </c>
      <c r="C1461" t="str">
        <f>"208M00000X"</f>
        <v>208M00000X</v>
      </c>
      <c r="D1461" t="str">
        <f>"NGUYEN                   IAN                      "</f>
        <v xml:space="preserve">NGUYEN                   IAN                      </v>
      </c>
      <c r="E1461" t="str">
        <f>"MOBILE                    "</f>
        <v xml:space="preserve">MOBILE                    </v>
      </c>
      <c r="F1461" t="str">
        <f t="shared" si="51"/>
        <v>AL</v>
      </c>
    </row>
    <row r="1462" spans="1:6" x14ac:dyDescent="0.25">
      <c r="A1462" t="str">
        <f>"200018145"</f>
        <v>200018145</v>
      </c>
      <c r="B1462" t="str">
        <f>"1972922466"</f>
        <v>1972922466</v>
      </c>
      <c r="C1462" t="str">
        <f>"207RN0300X"</f>
        <v>207RN0300X</v>
      </c>
      <c r="D1462" t="str">
        <f>"GUIRGUIS                 JOHN                     "</f>
        <v xml:space="preserve">GUIRGUIS                 JOHN                     </v>
      </c>
      <c r="E1462" t="str">
        <f>"MOBILE                    "</f>
        <v xml:space="preserve">MOBILE                    </v>
      </c>
      <c r="F1462" t="str">
        <f t="shared" si="51"/>
        <v>AL</v>
      </c>
    </row>
    <row r="1463" spans="1:6" x14ac:dyDescent="0.25">
      <c r="A1463" t="str">
        <f>"200018305"</f>
        <v>200018305</v>
      </c>
      <c r="B1463" t="str">
        <f>"1053361691"</f>
        <v>1053361691</v>
      </c>
      <c r="C1463" t="str">
        <f>"207R00000X"</f>
        <v>207R00000X</v>
      </c>
      <c r="D1463" t="str">
        <f>"KEITH                    KIMBERLY                 "</f>
        <v xml:space="preserve">KEITH                    KIMBERLY                 </v>
      </c>
      <c r="E1463" t="str">
        <f>"MOBILE                    "</f>
        <v xml:space="preserve">MOBILE                    </v>
      </c>
      <c r="F1463" t="str">
        <f t="shared" si="51"/>
        <v>AL</v>
      </c>
    </row>
    <row r="1464" spans="1:6" x14ac:dyDescent="0.25">
      <c r="A1464" t="str">
        <f>"200018345"</f>
        <v>200018345</v>
      </c>
      <c r="B1464" t="str">
        <f>"1891798807"</f>
        <v>1891798807</v>
      </c>
      <c r="C1464" t="str">
        <f>"207N00000X"</f>
        <v>207N00000X</v>
      </c>
      <c r="D1464" t="str">
        <f>"BODIE                    BELIN                    "</f>
        <v xml:space="preserve">BODIE                    BELIN                    </v>
      </c>
      <c r="E1464" t="str">
        <f>"MOBILE                    "</f>
        <v xml:space="preserve">MOBILE                    </v>
      </c>
      <c r="F1464" t="str">
        <f t="shared" si="51"/>
        <v>AL</v>
      </c>
    </row>
    <row r="1465" spans="1:6" x14ac:dyDescent="0.25">
      <c r="A1465" t="str">
        <f>"200018371"</f>
        <v>200018371</v>
      </c>
      <c r="B1465" t="str">
        <f>"1306335625"</f>
        <v>1306335625</v>
      </c>
      <c r="C1465" t="str">
        <f>"207P00000X"</f>
        <v>207P00000X</v>
      </c>
      <c r="D1465" t="str">
        <f>"CANDELARIA               NOELANI      A           "</f>
        <v xml:space="preserve">CANDELARIA               NOELANI      A           </v>
      </c>
      <c r="E1465" t="str">
        <f>"MOBILE                    "</f>
        <v xml:space="preserve">MOBILE                    </v>
      </c>
      <c r="F1465" t="str">
        <f t="shared" si="51"/>
        <v>AL</v>
      </c>
    </row>
    <row r="1466" spans="1:6" x14ac:dyDescent="0.25">
      <c r="A1466" t="str">
        <f>"200018386"</f>
        <v>200018386</v>
      </c>
      <c r="B1466" t="str">
        <f>"1992172373"</f>
        <v>1992172373</v>
      </c>
      <c r="C1466" t="str">
        <f>"363L00000X"</f>
        <v>363L00000X</v>
      </c>
      <c r="D1466" t="str">
        <f>"JOHNSON                  JAMIE                    "</f>
        <v xml:space="preserve">JOHNSON                  JAMIE                    </v>
      </c>
      <c r="E1466" t="str">
        <f>"BIRMINGHAM                "</f>
        <v xml:space="preserve">BIRMINGHAM                </v>
      </c>
      <c r="F1466" t="str">
        <f t="shared" si="51"/>
        <v>AL</v>
      </c>
    </row>
    <row r="1467" spans="1:6" x14ac:dyDescent="0.25">
      <c r="A1467" t="str">
        <f>"200018417"</f>
        <v>200018417</v>
      </c>
      <c r="B1467" t="str">
        <f>"1174218622"</f>
        <v>1174218622</v>
      </c>
      <c r="C1467" t="str">
        <f>"363LP0200X"</f>
        <v>363LP0200X</v>
      </c>
      <c r="D1467" t="str">
        <f>"JOLLY                    KELLY        S           "</f>
        <v xml:space="preserve">JOLLY                    KELLY        S           </v>
      </c>
      <c r="E1467" t="str">
        <f>"BIRMINGHAM                "</f>
        <v xml:space="preserve">BIRMINGHAM                </v>
      </c>
      <c r="F1467" t="str">
        <f t="shared" si="51"/>
        <v>AL</v>
      </c>
    </row>
    <row r="1468" spans="1:6" x14ac:dyDescent="0.25">
      <c r="A1468" t="str">
        <f>"200018429"</f>
        <v>200018429</v>
      </c>
      <c r="B1468" t="str">
        <f>"1821074147"</f>
        <v>1821074147</v>
      </c>
      <c r="C1468" t="str">
        <f>"2080P0207X"</f>
        <v>2080P0207X</v>
      </c>
      <c r="D1468" t="str">
        <f>"IMRAN                    HAMAYUN                  "</f>
        <v xml:space="preserve">IMRAN                    HAMAYUN                  </v>
      </c>
      <c r="E1468" t="str">
        <f>"MOBILE                    "</f>
        <v xml:space="preserve">MOBILE                    </v>
      </c>
      <c r="F1468" t="str">
        <f t="shared" si="51"/>
        <v>AL</v>
      </c>
    </row>
    <row r="1469" spans="1:6" x14ac:dyDescent="0.25">
      <c r="A1469" t="str">
        <f>"200018439"</f>
        <v>200018439</v>
      </c>
      <c r="B1469" t="str">
        <f>"1013285048"</f>
        <v>1013285048</v>
      </c>
      <c r="C1469" t="str">
        <f>"2085R0202X"</f>
        <v>2085R0202X</v>
      </c>
      <c r="D1469" t="str">
        <f>"KELUTH CHAVAN            VENUGOPAL NAI            "</f>
        <v xml:space="preserve">KELUTH CHAVAN            VENUGOPAL NAI            </v>
      </c>
      <c r="E1469" t="str">
        <f>"BIRMINGHAM                "</f>
        <v xml:space="preserve">BIRMINGHAM                </v>
      </c>
      <c r="F1469" t="str">
        <f t="shared" si="51"/>
        <v>AL</v>
      </c>
    </row>
    <row r="1470" spans="1:6" x14ac:dyDescent="0.25">
      <c r="A1470" t="str">
        <f>"200018445"</f>
        <v>200018445</v>
      </c>
      <c r="B1470" t="str">
        <f>"1780244491"</f>
        <v>1780244491</v>
      </c>
      <c r="C1470" t="str">
        <f>"208M00000X"</f>
        <v>208M00000X</v>
      </c>
      <c r="D1470" t="str">
        <f>"ABDELMONEIM              MONA         H           "</f>
        <v xml:space="preserve">ABDELMONEIM              MONA         H           </v>
      </c>
      <c r="E1470" t="str">
        <f>"MOBILE                    "</f>
        <v xml:space="preserve">MOBILE                    </v>
      </c>
      <c r="F1470" t="str">
        <f t="shared" si="51"/>
        <v>AL</v>
      </c>
    </row>
    <row r="1471" spans="1:6" x14ac:dyDescent="0.25">
      <c r="A1471" t="str">
        <f>"200018465"</f>
        <v>200018465</v>
      </c>
      <c r="B1471" t="str">
        <f>"1366502155"</f>
        <v>1366502155</v>
      </c>
      <c r="C1471" t="str">
        <f>"208M00000X"</f>
        <v>208M00000X</v>
      </c>
      <c r="D1471" t="str">
        <f>"SEXSON                   JAMES        A           "</f>
        <v xml:space="preserve">SEXSON                   JAMES        A           </v>
      </c>
      <c r="E1471" t="str">
        <f>"MOBILE                    "</f>
        <v xml:space="preserve">MOBILE                    </v>
      </c>
      <c r="F1471" t="str">
        <f t="shared" si="51"/>
        <v>AL</v>
      </c>
    </row>
    <row r="1472" spans="1:6" x14ac:dyDescent="0.25">
      <c r="A1472" t="str">
        <f>"200018482"</f>
        <v>200018482</v>
      </c>
      <c r="B1472" t="str">
        <f>"1255397824"</f>
        <v>1255397824</v>
      </c>
      <c r="C1472" t="str">
        <f>"207Q00000X"</f>
        <v>207Q00000X</v>
      </c>
      <c r="D1472" t="str">
        <f>"BOOTHE                   JULIA        L           "</f>
        <v xml:space="preserve">BOOTHE                   JULIA        L           </v>
      </c>
      <c r="E1472" t="str">
        <f>"REFORM                    "</f>
        <v xml:space="preserve">REFORM                    </v>
      </c>
      <c r="F1472" t="str">
        <f t="shared" si="51"/>
        <v>AL</v>
      </c>
    </row>
    <row r="1473" spans="1:6" x14ac:dyDescent="0.25">
      <c r="A1473" t="str">
        <f>"200018490"</f>
        <v>200018490</v>
      </c>
      <c r="B1473" t="str">
        <f>"1336383934"</f>
        <v>1336383934</v>
      </c>
      <c r="C1473" t="str">
        <f>"208800000X"</f>
        <v>208800000X</v>
      </c>
      <c r="D1473" t="str">
        <f>"SELPH                    JOHN                     "</f>
        <v xml:space="preserve">SELPH                    JOHN                     </v>
      </c>
      <c r="E1473" t="str">
        <f>"FLORENCE                  "</f>
        <v xml:space="preserve">FLORENCE                  </v>
      </c>
      <c r="F1473" t="str">
        <f t="shared" si="51"/>
        <v>AL</v>
      </c>
    </row>
    <row r="1474" spans="1:6" x14ac:dyDescent="0.25">
      <c r="A1474" t="str">
        <f>"200018493"</f>
        <v>200018493</v>
      </c>
      <c r="B1474" t="str">
        <f>"1033643556"</f>
        <v>1033643556</v>
      </c>
      <c r="C1474" t="str">
        <f>"2080P0210X"</f>
        <v>2080P0210X</v>
      </c>
      <c r="D1474" t="str">
        <f>"DEVILLE                  KYLE         A           "</f>
        <v xml:space="preserve">DEVILLE                  KYLE         A           </v>
      </c>
      <c r="E1474" t="str">
        <f>"BIRMINGHAM                "</f>
        <v xml:space="preserve">BIRMINGHAM                </v>
      </c>
      <c r="F1474" t="str">
        <f t="shared" si="51"/>
        <v>AL</v>
      </c>
    </row>
    <row r="1475" spans="1:6" x14ac:dyDescent="0.25">
      <c r="A1475" t="str">
        <f>"200018502"</f>
        <v>200018502</v>
      </c>
      <c r="B1475" t="str">
        <f>"1346465549"</f>
        <v>1346465549</v>
      </c>
      <c r="C1475" t="str">
        <f>"2085R0202X"</f>
        <v>2085R0202X</v>
      </c>
      <c r="D1475" t="str">
        <f>"LUCAS                    LOUIS        W           "</f>
        <v xml:space="preserve">LUCAS                    LOUIS        W           </v>
      </c>
      <c r="E1475" t="str">
        <f>"BIRMINGHAM                "</f>
        <v xml:space="preserve">BIRMINGHAM                </v>
      </c>
      <c r="F1475" t="str">
        <f t="shared" si="51"/>
        <v>AL</v>
      </c>
    </row>
    <row r="1476" spans="1:6" x14ac:dyDescent="0.25">
      <c r="A1476" t="str">
        <f>"200018504"</f>
        <v>200018504</v>
      </c>
      <c r="B1476" t="str">
        <f>"1346053410"</f>
        <v>1346053410</v>
      </c>
      <c r="C1476" t="str">
        <f>"363L00000X"</f>
        <v>363L00000X</v>
      </c>
      <c r="D1476" t="str">
        <f>"SANDERSON                ALICIA                   "</f>
        <v xml:space="preserve">SANDERSON                ALICIA                   </v>
      </c>
      <c r="E1476" t="str">
        <f>"BIRMINGHAM                "</f>
        <v xml:space="preserve">BIRMINGHAM                </v>
      </c>
      <c r="F1476" t="str">
        <f t="shared" si="51"/>
        <v>AL</v>
      </c>
    </row>
    <row r="1477" spans="1:6" x14ac:dyDescent="0.25">
      <c r="A1477" t="str">
        <f>"200018568"</f>
        <v>200018568</v>
      </c>
      <c r="B1477" t="str">
        <f>"1023820347"</f>
        <v>1023820347</v>
      </c>
      <c r="C1477" t="str">
        <f>"363LA2100X"</f>
        <v>363LA2100X</v>
      </c>
      <c r="D1477" t="str">
        <f>"KEELER                   LEANNE       A           "</f>
        <v xml:space="preserve">KEELER                   LEANNE       A           </v>
      </c>
      <c r="E1477" t="str">
        <f>"MOBILE                    "</f>
        <v xml:space="preserve">MOBILE                    </v>
      </c>
      <c r="F1477" t="str">
        <f t="shared" si="51"/>
        <v>AL</v>
      </c>
    </row>
    <row r="1478" spans="1:6" x14ac:dyDescent="0.25">
      <c r="A1478" t="str">
        <f>"200018623"</f>
        <v>200018623</v>
      </c>
      <c r="B1478" t="str">
        <f>"1659349215"</f>
        <v>1659349215</v>
      </c>
      <c r="C1478" t="str">
        <f>"207L00000X"</f>
        <v>207L00000X</v>
      </c>
      <c r="D1478" t="str">
        <f>"JOSHI                    APURVE                   "</f>
        <v xml:space="preserve">JOSHI                    APURVE                   </v>
      </c>
      <c r="E1478" t="str">
        <f>"MOBILE                    "</f>
        <v xml:space="preserve">MOBILE                    </v>
      </c>
      <c r="F1478" t="str">
        <f t="shared" si="51"/>
        <v>AL</v>
      </c>
    </row>
    <row r="1479" spans="1:6" x14ac:dyDescent="0.25">
      <c r="A1479" t="str">
        <f>"200018704"</f>
        <v>200018704</v>
      </c>
      <c r="B1479" t="str">
        <f>"1669291852"</f>
        <v>1669291852</v>
      </c>
      <c r="C1479" t="str">
        <f>"363A00000X"</f>
        <v>363A00000X</v>
      </c>
      <c r="D1479" t="str">
        <f>"VANDERHILL               ALEXA        L           "</f>
        <v xml:space="preserve">VANDERHILL               ALEXA        L           </v>
      </c>
      <c r="E1479" t="str">
        <f>"BIRMINGHAM                "</f>
        <v xml:space="preserve">BIRMINGHAM                </v>
      </c>
      <c r="F1479" t="str">
        <f t="shared" ref="F1479:F1542" si="53">"AL"</f>
        <v>AL</v>
      </c>
    </row>
    <row r="1480" spans="1:6" x14ac:dyDescent="0.25">
      <c r="A1480" t="str">
        <f>"200018759"</f>
        <v>200018759</v>
      </c>
      <c r="B1480" t="str">
        <f>"1013454958"</f>
        <v>1013454958</v>
      </c>
      <c r="C1480" t="str">
        <f>"207L00000X"</f>
        <v>207L00000X</v>
      </c>
      <c r="D1480" t="str">
        <f>"JUST                     KELLY                    "</f>
        <v xml:space="preserve">JUST                     KELLY                    </v>
      </c>
      <c r="E1480" t="str">
        <f>"BIRMINGHAM                "</f>
        <v xml:space="preserve">BIRMINGHAM                </v>
      </c>
      <c r="F1480" t="str">
        <f t="shared" si="53"/>
        <v>AL</v>
      </c>
    </row>
    <row r="1481" spans="1:6" x14ac:dyDescent="0.25">
      <c r="A1481" t="str">
        <f>"200018786"</f>
        <v>200018786</v>
      </c>
      <c r="B1481" t="str">
        <f>"1558320168"</f>
        <v>1558320168</v>
      </c>
      <c r="C1481" t="str">
        <f>"207P00000X"</f>
        <v>207P00000X</v>
      </c>
      <c r="D1481" t="str">
        <f>"LUMPKINS                 BARRY                    "</f>
        <v xml:space="preserve">LUMPKINS                 BARRY                    </v>
      </c>
      <c r="E1481" t="str">
        <f>"MUSCLE SHOALS             "</f>
        <v xml:space="preserve">MUSCLE SHOALS             </v>
      </c>
      <c r="F1481" t="str">
        <f t="shared" si="53"/>
        <v>AL</v>
      </c>
    </row>
    <row r="1482" spans="1:6" x14ac:dyDescent="0.25">
      <c r="A1482" t="str">
        <f>"200018811"</f>
        <v>200018811</v>
      </c>
      <c r="B1482" t="str">
        <f>"1033115043"</f>
        <v>1033115043</v>
      </c>
      <c r="C1482" t="str">
        <f>"207P00000X"</f>
        <v>207P00000X</v>
      </c>
      <c r="D1482" t="str">
        <f>"BRITT                    ANDREW                   "</f>
        <v xml:space="preserve">BRITT                    ANDREW                   </v>
      </c>
      <c r="E1482" t="str">
        <f>"HAMILTON                  "</f>
        <v xml:space="preserve">HAMILTON                  </v>
      </c>
      <c r="F1482" t="str">
        <f t="shared" si="53"/>
        <v>AL</v>
      </c>
    </row>
    <row r="1483" spans="1:6" x14ac:dyDescent="0.25">
      <c r="A1483" t="str">
        <f>"200018846"</f>
        <v>200018846</v>
      </c>
      <c r="B1483" t="str">
        <f>"1215556063"</f>
        <v>1215556063</v>
      </c>
      <c r="C1483" t="str">
        <f>"207V00000X"</f>
        <v>207V00000X</v>
      </c>
      <c r="D1483" t="str">
        <f>"RUSSELL                  REBECCA      F           "</f>
        <v xml:space="preserve">RUSSELL                  REBECCA      F           </v>
      </c>
      <c r="E1483" t="str">
        <f>"BIRMINGHAM                "</f>
        <v xml:space="preserve">BIRMINGHAM                </v>
      </c>
      <c r="F1483" t="str">
        <f t="shared" si="53"/>
        <v>AL</v>
      </c>
    </row>
    <row r="1484" spans="1:6" x14ac:dyDescent="0.25">
      <c r="A1484" t="str">
        <f>"200018910"</f>
        <v>200018910</v>
      </c>
      <c r="B1484" t="str">
        <f>"1922327121"</f>
        <v>1922327121</v>
      </c>
      <c r="C1484" t="str">
        <f>"363LF0000X"</f>
        <v>363LF0000X</v>
      </c>
      <c r="D1484" t="str">
        <f>"BLANKENHORN              CHLOE        T           "</f>
        <v xml:space="preserve">BLANKENHORN              CHLOE        T           </v>
      </c>
      <c r="E1484" t="str">
        <f>"BIRMINGHAM                "</f>
        <v xml:space="preserve">BIRMINGHAM                </v>
      </c>
      <c r="F1484" t="str">
        <f t="shared" si="53"/>
        <v>AL</v>
      </c>
    </row>
    <row r="1485" spans="1:6" x14ac:dyDescent="0.25">
      <c r="A1485" t="str">
        <f>"200018953"</f>
        <v>200018953</v>
      </c>
      <c r="B1485" t="str">
        <f>"1942391784"</f>
        <v>1942391784</v>
      </c>
      <c r="C1485" t="str">
        <f>"207RX0202X"</f>
        <v>207RX0202X</v>
      </c>
      <c r="D1485" t="str">
        <f>"HELLERL                  BRIAN        J           "</f>
        <v xml:space="preserve">HELLERL                  BRIAN        J           </v>
      </c>
      <c r="E1485" t="str">
        <f>"MOBILE                    "</f>
        <v xml:space="preserve">MOBILE                    </v>
      </c>
      <c r="F1485" t="str">
        <f t="shared" si="53"/>
        <v>AL</v>
      </c>
    </row>
    <row r="1486" spans="1:6" x14ac:dyDescent="0.25">
      <c r="A1486" t="str">
        <f>"200018956"</f>
        <v>200018956</v>
      </c>
      <c r="B1486" t="str">
        <f>"1417268186"</f>
        <v>1417268186</v>
      </c>
      <c r="C1486" t="str">
        <f>"207P00000X"</f>
        <v>207P00000X</v>
      </c>
      <c r="D1486" t="str">
        <f>"AKALONU                  KENNETH                  "</f>
        <v xml:space="preserve">AKALONU                  KENNETH                  </v>
      </c>
      <c r="E1486" t="str">
        <f>"FAYETTE                   "</f>
        <v xml:space="preserve">FAYETTE                   </v>
      </c>
      <c r="F1486" t="str">
        <f t="shared" si="53"/>
        <v>AL</v>
      </c>
    </row>
    <row r="1487" spans="1:6" x14ac:dyDescent="0.25">
      <c r="A1487" t="str">
        <f>"200018961"</f>
        <v>200018961</v>
      </c>
      <c r="B1487" t="str">
        <f>"1396310728"</f>
        <v>1396310728</v>
      </c>
      <c r="C1487" t="str">
        <f>"207Q00000X"</f>
        <v>207Q00000X</v>
      </c>
      <c r="D1487" t="str">
        <f>"UMUT                     TUFAN                    "</f>
        <v xml:space="preserve">UMUT                     TUFAN                    </v>
      </c>
      <c r="E1487" t="str">
        <f>"FLORENCE                  "</f>
        <v xml:space="preserve">FLORENCE                  </v>
      </c>
      <c r="F1487" t="str">
        <f t="shared" si="53"/>
        <v>AL</v>
      </c>
    </row>
    <row r="1488" spans="1:6" x14ac:dyDescent="0.25">
      <c r="A1488" t="str">
        <f>"200019001"</f>
        <v>200019001</v>
      </c>
      <c r="B1488" t="str">
        <f>"1649775412"</f>
        <v>1649775412</v>
      </c>
      <c r="C1488" t="str">
        <f>"363A00000X"</f>
        <v>363A00000X</v>
      </c>
      <c r="D1488" t="str">
        <f>"DAVIS                    BELLAMY                  "</f>
        <v xml:space="preserve">DAVIS                    BELLAMY                  </v>
      </c>
      <c r="E1488" t="str">
        <f>"BIRMINGHAM                "</f>
        <v xml:space="preserve">BIRMINGHAM                </v>
      </c>
      <c r="F1488" t="str">
        <f t="shared" si="53"/>
        <v>AL</v>
      </c>
    </row>
    <row r="1489" spans="1:6" x14ac:dyDescent="0.25">
      <c r="A1489" t="str">
        <f>"200019005"</f>
        <v>200019005</v>
      </c>
      <c r="B1489" t="str">
        <f>"1992546063"</f>
        <v>1992546063</v>
      </c>
      <c r="C1489" t="str">
        <f>"363L00000X"</f>
        <v>363L00000X</v>
      </c>
      <c r="D1489" t="str">
        <f>"BIBB                     EMORY                    "</f>
        <v xml:space="preserve">BIBB                     EMORY                    </v>
      </c>
      <c r="E1489" t="str">
        <f>"BIRMINGHAM                "</f>
        <v xml:space="preserve">BIRMINGHAM                </v>
      </c>
      <c r="F1489" t="str">
        <f t="shared" si="53"/>
        <v>AL</v>
      </c>
    </row>
    <row r="1490" spans="1:6" x14ac:dyDescent="0.25">
      <c r="A1490" t="str">
        <f>"200019012"</f>
        <v>200019012</v>
      </c>
      <c r="B1490" t="str">
        <f>"1184790610"</f>
        <v>1184790610</v>
      </c>
      <c r="C1490" t="str">
        <f>"207P00000X"</f>
        <v>207P00000X</v>
      </c>
      <c r="D1490" t="str">
        <f>"MORENO-WALTON            LISA         A           "</f>
        <v xml:space="preserve">MORENO-WALTON            LISA         A           </v>
      </c>
      <c r="E1490" t="str">
        <f>"MOBILE                    "</f>
        <v xml:space="preserve">MOBILE                    </v>
      </c>
      <c r="F1490" t="str">
        <f t="shared" si="53"/>
        <v>AL</v>
      </c>
    </row>
    <row r="1491" spans="1:6" x14ac:dyDescent="0.25">
      <c r="A1491" t="str">
        <f>"200019026"</f>
        <v>200019026</v>
      </c>
      <c r="B1491" t="str">
        <f>"1366528465"</f>
        <v>1366528465</v>
      </c>
      <c r="C1491" t="str">
        <f>"363A00000X"</f>
        <v>363A00000X</v>
      </c>
      <c r="D1491" t="str">
        <f>"JOHNSON                  KIMBERLEE                "</f>
        <v xml:space="preserve">JOHNSON                  KIMBERLEE                </v>
      </c>
      <c r="E1491" t="str">
        <f>"BIRMINGHAM                "</f>
        <v xml:space="preserve">BIRMINGHAM                </v>
      </c>
      <c r="F1491" t="str">
        <f t="shared" si="53"/>
        <v>AL</v>
      </c>
    </row>
    <row r="1492" spans="1:6" x14ac:dyDescent="0.25">
      <c r="A1492" t="str">
        <f>"200019107"</f>
        <v>200019107</v>
      </c>
      <c r="B1492" t="str">
        <f>"1245861228"</f>
        <v>1245861228</v>
      </c>
      <c r="C1492" t="str">
        <f>"363LF0000X"</f>
        <v>363LF0000X</v>
      </c>
      <c r="D1492" t="str">
        <f>"BEENE                    CHASITY                  "</f>
        <v xml:space="preserve">BEENE                    CHASITY                  </v>
      </c>
      <c r="E1492" t="str">
        <f>"FLORENCE                  "</f>
        <v xml:space="preserve">FLORENCE                  </v>
      </c>
      <c r="F1492" t="str">
        <f t="shared" si="53"/>
        <v>AL</v>
      </c>
    </row>
    <row r="1493" spans="1:6" x14ac:dyDescent="0.25">
      <c r="A1493" t="str">
        <f>"200019116"</f>
        <v>200019116</v>
      </c>
      <c r="B1493" t="str">
        <f>"1669016713"</f>
        <v>1669016713</v>
      </c>
      <c r="C1493" t="str">
        <f>"363L00000X"</f>
        <v>363L00000X</v>
      </c>
      <c r="D1493" t="str">
        <f>"PICKENS TAYLOR           PAMELA                   "</f>
        <v xml:space="preserve">PICKENS TAYLOR           PAMELA                   </v>
      </c>
      <c r="E1493" t="str">
        <f>"MOBILE                    "</f>
        <v xml:space="preserve">MOBILE                    </v>
      </c>
      <c r="F1493" t="str">
        <f t="shared" si="53"/>
        <v>AL</v>
      </c>
    </row>
    <row r="1494" spans="1:6" x14ac:dyDescent="0.25">
      <c r="A1494" t="str">
        <f>"200019133"</f>
        <v>200019133</v>
      </c>
      <c r="B1494" t="str">
        <f>"1619187663"</f>
        <v>1619187663</v>
      </c>
      <c r="C1494" t="str">
        <f>"207Q00000X"</f>
        <v>207Q00000X</v>
      </c>
      <c r="D1494" t="str">
        <f>"EDWARDS                  CHRISTOPHER              "</f>
        <v xml:space="preserve">EDWARDS                  CHRISTOPHER              </v>
      </c>
      <c r="E1494" t="str">
        <f>"MUSCLE SHOALS             "</f>
        <v xml:space="preserve">MUSCLE SHOALS             </v>
      </c>
      <c r="F1494" t="str">
        <f t="shared" si="53"/>
        <v>AL</v>
      </c>
    </row>
    <row r="1495" spans="1:6" x14ac:dyDescent="0.25">
      <c r="A1495" t="str">
        <f>"200019205"</f>
        <v>200019205</v>
      </c>
      <c r="B1495" t="str">
        <f>"1881260719"</f>
        <v>1881260719</v>
      </c>
      <c r="C1495" t="str">
        <f>"363LF0000X"</f>
        <v>363LF0000X</v>
      </c>
      <c r="D1495" t="str">
        <f>"LAWLER                   KERRY                    "</f>
        <v xml:space="preserve">LAWLER                   KERRY                    </v>
      </c>
      <c r="E1495" t="str">
        <f>"FLORENCE                  "</f>
        <v xml:space="preserve">FLORENCE                  </v>
      </c>
      <c r="F1495" t="str">
        <f t="shared" si="53"/>
        <v>AL</v>
      </c>
    </row>
    <row r="1496" spans="1:6" x14ac:dyDescent="0.25">
      <c r="A1496" t="str">
        <f>"200019218"</f>
        <v>200019218</v>
      </c>
      <c r="B1496" t="str">
        <f>"1629882048"</f>
        <v>1629882048</v>
      </c>
      <c r="C1496" t="str">
        <f>"363LP0200X"</f>
        <v>363LP0200X</v>
      </c>
      <c r="D1496" t="str">
        <f>"HUDDLESTON               KAELI        M           "</f>
        <v xml:space="preserve">HUDDLESTON               KAELI        M           </v>
      </c>
      <c r="E1496" t="str">
        <f>"MOBILE                    "</f>
        <v xml:space="preserve">MOBILE                    </v>
      </c>
      <c r="F1496" t="str">
        <f t="shared" si="53"/>
        <v>AL</v>
      </c>
    </row>
    <row r="1497" spans="1:6" x14ac:dyDescent="0.25">
      <c r="A1497" t="str">
        <f>"200019226"</f>
        <v>200019226</v>
      </c>
      <c r="B1497" t="str">
        <f>"1104249861"</f>
        <v>1104249861</v>
      </c>
      <c r="C1497" t="str">
        <f>"367500000X"</f>
        <v>367500000X</v>
      </c>
      <c r="D1497" t="str">
        <f>"MCANNALLY                KARA         N           "</f>
        <v xml:space="preserve">MCANNALLY                KARA         N           </v>
      </c>
      <c r="E1497" t="str">
        <f>"BIRMINGHAM                "</f>
        <v xml:space="preserve">BIRMINGHAM                </v>
      </c>
      <c r="F1497" t="str">
        <f t="shared" si="53"/>
        <v>AL</v>
      </c>
    </row>
    <row r="1498" spans="1:6" x14ac:dyDescent="0.25">
      <c r="A1498" t="str">
        <f>"200019251"</f>
        <v>200019251</v>
      </c>
      <c r="B1498" t="str">
        <f>"1790171973"</f>
        <v>1790171973</v>
      </c>
      <c r="C1498" t="str">
        <f>"207RI0200X"</f>
        <v>207RI0200X</v>
      </c>
      <c r="D1498" t="str">
        <f>"WALKER                   JEREMEY                  "</f>
        <v xml:space="preserve">WALKER                   JEREMEY                  </v>
      </c>
      <c r="E1498" t="str">
        <f>"BIRMINGHAM                "</f>
        <v xml:space="preserve">BIRMINGHAM                </v>
      </c>
      <c r="F1498" t="str">
        <f t="shared" si="53"/>
        <v>AL</v>
      </c>
    </row>
    <row r="1499" spans="1:6" x14ac:dyDescent="0.25">
      <c r="A1499" t="str">
        <f>"200019276"</f>
        <v>200019276</v>
      </c>
      <c r="B1499" t="str">
        <f>"1043999188"</f>
        <v>1043999188</v>
      </c>
      <c r="C1499" t="str">
        <f>"363A00000X"</f>
        <v>363A00000X</v>
      </c>
      <c r="D1499" t="str">
        <f>"LATIOLAIS                CAITLYN      B           "</f>
        <v xml:space="preserve">LATIOLAIS                CAITLYN      B           </v>
      </c>
      <c r="E1499" t="str">
        <f>"MOBILE                    "</f>
        <v xml:space="preserve">MOBILE                    </v>
      </c>
      <c r="F1499" t="str">
        <f t="shared" si="53"/>
        <v>AL</v>
      </c>
    </row>
    <row r="1500" spans="1:6" x14ac:dyDescent="0.25">
      <c r="A1500" t="str">
        <f>"200019374"</f>
        <v>200019374</v>
      </c>
      <c r="B1500" t="str">
        <f>"1972243301"</f>
        <v>1972243301</v>
      </c>
      <c r="C1500" t="str">
        <f>"363L00000X"</f>
        <v>363L00000X</v>
      </c>
      <c r="D1500" t="str">
        <f>"DAVENPORT                KELSEY                   "</f>
        <v xml:space="preserve">DAVENPORT                KELSEY                   </v>
      </c>
      <c r="E1500" t="str">
        <f>"BIRMINGHAM                "</f>
        <v xml:space="preserve">BIRMINGHAM                </v>
      </c>
      <c r="F1500" t="str">
        <f t="shared" si="53"/>
        <v>AL</v>
      </c>
    </row>
    <row r="1501" spans="1:6" x14ac:dyDescent="0.25">
      <c r="A1501" t="str">
        <f>"200019402"</f>
        <v>200019402</v>
      </c>
      <c r="B1501" t="str">
        <f>"1003487521"</f>
        <v>1003487521</v>
      </c>
      <c r="C1501" t="str">
        <f>"208M00000X"</f>
        <v>208M00000X</v>
      </c>
      <c r="D1501" t="str">
        <f>"DEVARAPALLI              HIMA                     "</f>
        <v xml:space="preserve">DEVARAPALLI              HIMA                     </v>
      </c>
      <c r="E1501" t="str">
        <f>"MOBILE                    "</f>
        <v xml:space="preserve">MOBILE                    </v>
      </c>
      <c r="F1501" t="str">
        <f t="shared" si="53"/>
        <v>AL</v>
      </c>
    </row>
    <row r="1502" spans="1:6" x14ac:dyDescent="0.25">
      <c r="A1502" t="str">
        <f>"200019420"</f>
        <v>200019420</v>
      </c>
      <c r="B1502" t="str">
        <f>"1689417107"</f>
        <v>1689417107</v>
      </c>
      <c r="C1502" t="str">
        <f>"363A00000X"</f>
        <v>363A00000X</v>
      </c>
      <c r="D1502" t="str">
        <f>"WOLBART                  SARAH                    "</f>
        <v xml:space="preserve">WOLBART                  SARAH                    </v>
      </c>
      <c r="E1502" t="str">
        <f>"BIRMINGHAM                "</f>
        <v xml:space="preserve">BIRMINGHAM                </v>
      </c>
      <c r="F1502" t="str">
        <f t="shared" si="53"/>
        <v>AL</v>
      </c>
    </row>
    <row r="1503" spans="1:6" x14ac:dyDescent="0.25">
      <c r="A1503" t="str">
        <f>"200019428"</f>
        <v>200019428</v>
      </c>
      <c r="B1503" t="str">
        <f>"1730407230"</f>
        <v>1730407230</v>
      </c>
      <c r="C1503" t="str">
        <f>"2085R0202X"</f>
        <v>2085R0202X</v>
      </c>
      <c r="D1503" t="str">
        <f>"ROBINSON                 DANIEL                   "</f>
        <v xml:space="preserve">ROBINSON                 DANIEL                   </v>
      </c>
      <c r="E1503" t="str">
        <f>"SHEFFIELD                 "</f>
        <v xml:space="preserve">SHEFFIELD                 </v>
      </c>
      <c r="F1503" t="str">
        <f t="shared" si="53"/>
        <v>AL</v>
      </c>
    </row>
    <row r="1504" spans="1:6" x14ac:dyDescent="0.25">
      <c r="A1504" t="str">
        <f>"200019432"</f>
        <v>200019432</v>
      </c>
      <c r="B1504" t="str">
        <f>"1992546758"</f>
        <v>1992546758</v>
      </c>
      <c r="C1504" t="str">
        <f>"261QM1300X"</f>
        <v>261QM1300X</v>
      </c>
      <c r="D1504" t="str">
        <f>"HAMILTON HOSPITALIST                              "</f>
        <v xml:space="preserve">HAMILTON HOSPITALIST                              </v>
      </c>
      <c r="E1504" t="str">
        <f>"HAMILTON                  "</f>
        <v xml:space="preserve">HAMILTON                  </v>
      </c>
      <c r="F1504" t="str">
        <f t="shared" si="53"/>
        <v>AL</v>
      </c>
    </row>
    <row r="1505" spans="1:6" x14ac:dyDescent="0.25">
      <c r="A1505" t="str">
        <f>"200019440"</f>
        <v>200019440</v>
      </c>
      <c r="B1505" t="str">
        <f>"1124063383"</f>
        <v>1124063383</v>
      </c>
      <c r="C1505" t="str">
        <f>"207VE0102X"</f>
        <v>207VE0102X</v>
      </c>
      <c r="D1505" t="str">
        <f>"ROBINS                   JARED        C           "</f>
        <v xml:space="preserve">ROBINS                   JARED        C           </v>
      </c>
      <c r="E1505" t="str">
        <f>"BIRMINGHAM                "</f>
        <v xml:space="preserve">BIRMINGHAM                </v>
      </c>
      <c r="F1505" t="str">
        <f t="shared" si="53"/>
        <v>AL</v>
      </c>
    </row>
    <row r="1506" spans="1:6" x14ac:dyDescent="0.25">
      <c r="A1506" t="str">
        <f>"200019504"</f>
        <v>200019504</v>
      </c>
      <c r="B1506" t="str">
        <f>"1386456234"</f>
        <v>1386456234</v>
      </c>
      <c r="C1506" t="str">
        <f>"363LF0000X"</f>
        <v>363LF0000X</v>
      </c>
      <c r="D1506" t="str">
        <f>"ATKINSON                 ERICA        R           "</f>
        <v xml:space="preserve">ATKINSON                 ERICA        R           </v>
      </c>
      <c r="E1506" t="str">
        <f>"MOBILE                    "</f>
        <v xml:space="preserve">MOBILE                    </v>
      </c>
      <c r="F1506" t="str">
        <f t="shared" si="53"/>
        <v>AL</v>
      </c>
    </row>
    <row r="1507" spans="1:6" x14ac:dyDescent="0.25">
      <c r="A1507" t="str">
        <f>"200019523"</f>
        <v>200019523</v>
      </c>
      <c r="B1507" t="str">
        <f>"1881334811"</f>
        <v>1881334811</v>
      </c>
      <c r="C1507" t="str">
        <f>"207R00000X"</f>
        <v>207R00000X</v>
      </c>
      <c r="D1507" t="str">
        <f>"VICKERS                  KATHRYN                  "</f>
        <v xml:space="preserve">VICKERS                  KATHRYN                  </v>
      </c>
      <c r="E1507" t="str">
        <f>"BIRMINGHAM                "</f>
        <v xml:space="preserve">BIRMINGHAM                </v>
      </c>
      <c r="F1507" t="str">
        <f t="shared" si="53"/>
        <v>AL</v>
      </c>
    </row>
    <row r="1508" spans="1:6" x14ac:dyDescent="0.25">
      <c r="A1508" t="str">
        <f>"200019528"</f>
        <v>200019528</v>
      </c>
      <c r="B1508" t="str">
        <f>"1447668942"</f>
        <v>1447668942</v>
      </c>
      <c r="C1508" t="str">
        <f>"2080P0205X"</f>
        <v>2080P0205X</v>
      </c>
      <c r="D1508" t="str">
        <f>"LIM                      WHEI         Y           "</f>
        <v xml:space="preserve">LIM                      WHEI         Y           </v>
      </c>
      <c r="E1508" t="str">
        <f>"MOBILE                    "</f>
        <v xml:space="preserve">MOBILE                    </v>
      </c>
      <c r="F1508" t="str">
        <f t="shared" si="53"/>
        <v>AL</v>
      </c>
    </row>
    <row r="1509" spans="1:6" x14ac:dyDescent="0.25">
      <c r="A1509" t="str">
        <f>"200019535"</f>
        <v>200019535</v>
      </c>
      <c r="B1509" t="str">
        <f>"1710627336"</f>
        <v>1710627336</v>
      </c>
      <c r="C1509" t="str">
        <f>"207P00000X"</f>
        <v>207P00000X</v>
      </c>
      <c r="D1509" t="str">
        <f>"DOUGLAS                  KENDRA       M           "</f>
        <v xml:space="preserve">DOUGLAS                  KENDRA       M           </v>
      </c>
      <c r="E1509" t="str">
        <f>"BIRMINGHAM                "</f>
        <v xml:space="preserve">BIRMINGHAM                </v>
      </c>
      <c r="F1509" t="str">
        <f t="shared" si="53"/>
        <v>AL</v>
      </c>
    </row>
    <row r="1510" spans="1:6" x14ac:dyDescent="0.25">
      <c r="A1510" t="str">
        <f>"200019556"</f>
        <v>200019556</v>
      </c>
      <c r="B1510" t="str">
        <f>"1891376174"</f>
        <v>1891376174</v>
      </c>
      <c r="C1510" t="str">
        <f>"363LA2100X"</f>
        <v>363LA2100X</v>
      </c>
      <c r="D1510" t="str">
        <f>"KING                     ERICA        L           "</f>
        <v xml:space="preserve">KING                     ERICA        L           </v>
      </c>
      <c r="E1510" t="str">
        <f>"BIRMINGHAM                "</f>
        <v xml:space="preserve">BIRMINGHAM                </v>
      </c>
      <c r="F1510" t="str">
        <f t="shared" si="53"/>
        <v>AL</v>
      </c>
    </row>
    <row r="1511" spans="1:6" x14ac:dyDescent="0.25">
      <c r="A1511" t="str">
        <f>"200019569"</f>
        <v>200019569</v>
      </c>
      <c r="B1511" t="str">
        <f>"1568102481"</f>
        <v>1568102481</v>
      </c>
      <c r="C1511" t="str">
        <f>"207P00000X"</f>
        <v>207P00000X</v>
      </c>
      <c r="D1511" t="str">
        <f>"SULLIVAN                 TYLER        B           "</f>
        <v xml:space="preserve">SULLIVAN                 TYLER        B           </v>
      </c>
      <c r="E1511" t="str">
        <f>"BIRMINGHAM                "</f>
        <v xml:space="preserve">BIRMINGHAM                </v>
      </c>
      <c r="F1511" t="str">
        <f t="shared" si="53"/>
        <v>AL</v>
      </c>
    </row>
    <row r="1512" spans="1:6" x14ac:dyDescent="0.25">
      <c r="A1512" t="str">
        <f>"200019624"</f>
        <v>200019624</v>
      </c>
      <c r="B1512" t="str">
        <f>"1245640218"</f>
        <v>1245640218</v>
      </c>
      <c r="C1512" t="str">
        <f>"208600000X"</f>
        <v>208600000X</v>
      </c>
      <c r="D1512" t="str">
        <f>"ROMINE                   MATTHEW      W           "</f>
        <v xml:space="preserve">ROMINE                   MATTHEW      W           </v>
      </c>
      <c r="E1512" t="str">
        <f>"BIRMINGHAM                "</f>
        <v xml:space="preserve">BIRMINGHAM                </v>
      </c>
      <c r="F1512" t="str">
        <f t="shared" si="53"/>
        <v>AL</v>
      </c>
    </row>
    <row r="1513" spans="1:6" x14ac:dyDescent="0.25">
      <c r="A1513" t="str">
        <f>"200019672"</f>
        <v>200019672</v>
      </c>
      <c r="B1513" t="str">
        <f>"1396816658"</f>
        <v>1396816658</v>
      </c>
      <c r="C1513" t="str">
        <f>"207RN0300X"</f>
        <v>207RN0300X</v>
      </c>
      <c r="D1513" t="str">
        <f>"MEADOR                   RICHARD                  "</f>
        <v xml:space="preserve">MEADOR                   RICHARD                  </v>
      </c>
      <c r="E1513" t="str">
        <f>"MOBILE                    "</f>
        <v xml:space="preserve">MOBILE                    </v>
      </c>
      <c r="F1513" t="str">
        <f t="shared" si="53"/>
        <v>AL</v>
      </c>
    </row>
    <row r="1514" spans="1:6" x14ac:dyDescent="0.25">
      <c r="A1514" t="str">
        <f>"200019704"</f>
        <v>200019704</v>
      </c>
      <c r="B1514" t="str">
        <f>"1013709641"</f>
        <v>1013709641</v>
      </c>
      <c r="C1514" t="str">
        <f>"207L00000X"</f>
        <v>207L00000X</v>
      </c>
      <c r="D1514" t="str">
        <f>"PERKINS                  IAN                      "</f>
        <v xml:space="preserve">PERKINS                  IAN                      </v>
      </c>
      <c r="E1514" t="str">
        <f>"BIRMINGHAM                "</f>
        <v xml:space="preserve">BIRMINGHAM                </v>
      </c>
      <c r="F1514" t="str">
        <f t="shared" si="53"/>
        <v>AL</v>
      </c>
    </row>
    <row r="1515" spans="1:6" x14ac:dyDescent="0.25">
      <c r="A1515" t="str">
        <f>"200019747"</f>
        <v>200019747</v>
      </c>
      <c r="B1515" t="str">
        <f>"1356184774"</f>
        <v>1356184774</v>
      </c>
      <c r="C1515" t="str">
        <f>"363A00000X"</f>
        <v>363A00000X</v>
      </c>
      <c r="D1515" t="str">
        <f>"DUBOSE                   ASHLEIGH     M           "</f>
        <v xml:space="preserve">DUBOSE                   ASHLEIGH     M           </v>
      </c>
      <c r="E1515" t="str">
        <f>"MOBILE                    "</f>
        <v xml:space="preserve">MOBILE                    </v>
      </c>
      <c r="F1515" t="str">
        <f t="shared" si="53"/>
        <v>AL</v>
      </c>
    </row>
    <row r="1516" spans="1:6" x14ac:dyDescent="0.25">
      <c r="A1516" t="str">
        <f>"200019762"</f>
        <v>200019762</v>
      </c>
      <c r="B1516" t="str">
        <f>"1013329267"</f>
        <v>1013329267</v>
      </c>
      <c r="C1516" t="str">
        <f>"207L00000X"</f>
        <v>207L00000X</v>
      </c>
      <c r="D1516" t="str">
        <f>"LEE                      ERIC         M           "</f>
        <v xml:space="preserve">LEE                      ERIC         M           </v>
      </c>
      <c r="E1516" t="str">
        <f>"BIRMINGHAM                "</f>
        <v xml:space="preserve">BIRMINGHAM                </v>
      </c>
      <c r="F1516" t="str">
        <f t="shared" si="53"/>
        <v>AL</v>
      </c>
    </row>
    <row r="1517" spans="1:6" x14ac:dyDescent="0.25">
      <c r="A1517" t="str">
        <f>"200019792"</f>
        <v>200019792</v>
      </c>
      <c r="B1517" t="str">
        <f>"1205465523"</f>
        <v>1205465523</v>
      </c>
      <c r="C1517" t="str">
        <f>"207RR0500X"</f>
        <v>207RR0500X</v>
      </c>
      <c r="D1517" t="str">
        <f>"HUDDLESTON               EDWARD       M           "</f>
        <v xml:space="preserve">HUDDLESTON               EDWARD       M           </v>
      </c>
      <c r="E1517" t="str">
        <f>"BIRMINGHAM                "</f>
        <v xml:space="preserve">BIRMINGHAM                </v>
      </c>
      <c r="F1517" t="str">
        <f t="shared" si="53"/>
        <v>AL</v>
      </c>
    </row>
    <row r="1518" spans="1:6" x14ac:dyDescent="0.25">
      <c r="A1518" t="str">
        <f>"200019918"</f>
        <v>200019918</v>
      </c>
      <c r="B1518" t="str">
        <f>"1134610355"</f>
        <v>1134610355</v>
      </c>
      <c r="C1518" t="str">
        <f>"208M00000X"</f>
        <v>208M00000X</v>
      </c>
      <c r="D1518" t="str">
        <f>"WILBURN                  JESSE                    "</f>
        <v xml:space="preserve">WILBURN                  JESSE                    </v>
      </c>
      <c r="E1518" t="str">
        <f>"MOBILE                    "</f>
        <v xml:space="preserve">MOBILE                    </v>
      </c>
      <c r="F1518" t="str">
        <f t="shared" si="53"/>
        <v>AL</v>
      </c>
    </row>
    <row r="1519" spans="1:6" x14ac:dyDescent="0.25">
      <c r="A1519" t="str">
        <f>"200019921"</f>
        <v>200019921</v>
      </c>
      <c r="B1519" t="str">
        <f>"1093401804"</f>
        <v>1093401804</v>
      </c>
      <c r="C1519" t="str">
        <f>"363L00000X"</f>
        <v>363L00000X</v>
      </c>
      <c r="D1519" t="str">
        <f>"KELLEY                   CHELSEA                  "</f>
        <v xml:space="preserve">KELLEY                   CHELSEA                  </v>
      </c>
      <c r="E1519" t="str">
        <f>"BIRMINGHAM                "</f>
        <v xml:space="preserve">BIRMINGHAM                </v>
      </c>
      <c r="F1519" t="str">
        <f t="shared" si="53"/>
        <v>AL</v>
      </c>
    </row>
    <row r="1520" spans="1:6" x14ac:dyDescent="0.25">
      <c r="A1520" t="str">
        <f>"200019928"</f>
        <v>200019928</v>
      </c>
      <c r="B1520" t="str">
        <f>"1891324091"</f>
        <v>1891324091</v>
      </c>
      <c r="C1520" t="str">
        <f>"208M00000X"</f>
        <v>208M00000X</v>
      </c>
      <c r="D1520" t="str">
        <f>"YARN                     CHARLES                  "</f>
        <v xml:space="preserve">YARN                     CHARLES                  </v>
      </c>
      <c r="E1520" t="str">
        <f>"BIRMINGHAM                "</f>
        <v xml:space="preserve">BIRMINGHAM                </v>
      </c>
      <c r="F1520" t="str">
        <f t="shared" si="53"/>
        <v>AL</v>
      </c>
    </row>
    <row r="1521" spans="1:6" x14ac:dyDescent="0.25">
      <c r="A1521" t="str">
        <f>"200019949"</f>
        <v>200019949</v>
      </c>
      <c r="B1521" t="str">
        <f>"1306309224"</f>
        <v>1306309224</v>
      </c>
      <c r="C1521" t="str">
        <f>"207Y00000X"</f>
        <v>207Y00000X</v>
      </c>
      <c r="D1521" t="str">
        <f>"WATSON                   WAYANNE      B           "</f>
        <v xml:space="preserve">WATSON                   WAYANNE      B           </v>
      </c>
      <c r="E1521" t="str">
        <f>"BIRMINGHAM                "</f>
        <v xml:space="preserve">BIRMINGHAM                </v>
      </c>
      <c r="F1521" t="str">
        <f t="shared" si="53"/>
        <v>AL</v>
      </c>
    </row>
    <row r="1522" spans="1:6" x14ac:dyDescent="0.25">
      <c r="A1522" t="str">
        <f>"200019960"</f>
        <v>200019960</v>
      </c>
      <c r="B1522" t="str">
        <f>"1326543893"</f>
        <v>1326543893</v>
      </c>
      <c r="C1522" t="str">
        <f>"208M00000X"</f>
        <v>208M00000X</v>
      </c>
      <c r="D1522" t="str">
        <f>"CARPENTER                ARIEL        E           "</f>
        <v xml:space="preserve">CARPENTER                ARIEL        E           </v>
      </c>
      <c r="E1522" t="str">
        <f>"BIRMINGHAM                "</f>
        <v xml:space="preserve">BIRMINGHAM                </v>
      </c>
      <c r="F1522" t="str">
        <f t="shared" si="53"/>
        <v>AL</v>
      </c>
    </row>
    <row r="1523" spans="1:6" x14ac:dyDescent="0.25">
      <c r="A1523" t="str">
        <f>"200019977"</f>
        <v>200019977</v>
      </c>
      <c r="B1523" t="str">
        <f>"1396821161"</f>
        <v>1396821161</v>
      </c>
      <c r="C1523" t="str">
        <f>"207Y00000X"</f>
        <v>207Y00000X</v>
      </c>
      <c r="D1523" t="str">
        <f>"MCCAMMON                 SUSAN                    "</f>
        <v xml:space="preserve">MCCAMMON                 SUSAN                    </v>
      </c>
      <c r="E1523" t="str">
        <f>"BIRMINGHAM                "</f>
        <v xml:space="preserve">BIRMINGHAM                </v>
      </c>
      <c r="F1523" t="str">
        <f t="shared" si="53"/>
        <v>AL</v>
      </c>
    </row>
    <row r="1524" spans="1:6" x14ac:dyDescent="0.25">
      <c r="A1524" t="str">
        <f>"200019982"</f>
        <v>200019982</v>
      </c>
      <c r="B1524" t="str">
        <f>"1770344236"</f>
        <v>1770344236</v>
      </c>
      <c r="C1524" t="str">
        <f>"363LF0000X"</f>
        <v>363LF0000X</v>
      </c>
      <c r="D1524" t="str">
        <f>"THOMPSON                 SANTOSHA     M           "</f>
        <v xml:space="preserve">THOMPSON                 SANTOSHA     M           </v>
      </c>
      <c r="E1524" t="str">
        <f>"MOBILE                    "</f>
        <v xml:space="preserve">MOBILE                    </v>
      </c>
      <c r="F1524" t="str">
        <f t="shared" si="53"/>
        <v>AL</v>
      </c>
    </row>
    <row r="1525" spans="1:6" x14ac:dyDescent="0.25">
      <c r="A1525" t="str">
        <f>"200019997"</f>
        <v>200019997</v>
      </c>
      <c r="B1525" t="str">
        <f>"1669903233"</f>
        <v>1669903233</v>
      </c>
      <c r="C1525" t="str">
        <f>"207XX0005X"</f>
        <v>207XX0005X</v>
      </c>
      <c r="D1525" t="str">
        <f>"SESSUMS                  PRICE        O           "</f>
        <v xml:space="preserve">SESSUMS                  PRICE        O           </v>
      </c>
      <c r="E1525" t="str">
        <f>"MOBILE                    "</f>
        <v xml:space="preserve">MOBILE                    </v>
      </c>
      <c r="F1525" t="str">
        <f t="shared" si="53"/>
        <v>AL</v>
      </c>
    </row>
    <row r="1526" spans="1:6" x14ac:dyDescent="0.25">
      <c r="A1526" t="str">
        <f>"200020025"</f>
        <v>200020025</v>
      </c>
      <c r="B1526" t="str">
        <f>"1447043989"</f>
        <v>1447043989</v>
      </c>
      <c r="C1526" t="str">
        <f>"367500000X"</f>
        <v>367500000X</v>
      </c>
      <c r="D1526" t="str">
        <f>"MASTERS                  JAMES        T           "</f>
        <v xml:space="preserve">MASTERS                  JAMES        T           </v>
      </c>
      <c r="E1526" t="str">
        <f>"BIRMINGHAM                "</f>
        <v xml:space="preserve">BIRMINGHAM                </v>
      </c>
      <c r="F1526" t="str">
        <f t="shared" si="53"/>
        <v>AL</v>
      </c>
    </row>
    <row r="1527" spans="1:6" x14ac:dyDescent="0.25">
      <c r="A1527" t="str">
        <f>"200020074"</f>
        <v>200020074</v>
      </c>
      <c r="B1527" t="str">
        <f>"1396326203"</f>
        <v>1396326203</v>
      </c>
      <c r="C1527" t="str">
        <f>"207Q00000X"</f>
        <v>207Q00000X</v>
      </c>
      <c r="D1527" t="str">
        <f>"HANNA                    ALEX         J           "</f>
        <v xml:space="preserve">HANNA                    ALEX         J           </v>
      </c>
      <c r="E1527" t="str">
        <f>"BIRMINGHAM                "</f>
        <v xml:space="preserve">BIRMINGHAM                </v>
      </c>
      <c r="F1527" t="str">
        <f t="shared" si="53"/>
        <v>AL</v>
      </c>
    </row>
    <row r="1528" spans="1:6" x14ac:dyDescent="0.25">
      <c r="A1528" t="str">
        <f>"200020095"</f>
        <v>200020095</v>
      </c>
      <c r="B1528" t="str">
        <f>"1639503659"</f>
        <v>1639503659</v>
      </c>
      <c r="C1528" t="str">
        <f>"363LA2100X"</f>
        <v>363LA2100X</v>
      </c>
      <c r="D1528" t="str">
        <f>"FLANNERY                 RACHEL                   "</f>
        <v xml:space="preserve">FLANNERY                 RACHEL                   </v>
      </c>
      <c r="E1528" t="str">
        <f>"BIRMINGHAM                "</f>
        <v xml:space="preserve">BIRMINGHAM                </v>
      </c>
      <c r="F1528" t="str">
        <f t="shared" si="53"/>
        <v>AL</v>
      </c>
    </row>
    <row r="1529" spans="1:6" x14ac:dyDescent="0.25">
      <c r="A1529" t="str">
        <f>"200020114"</f>
        <v>200020114</v>
      </c>
      <c r="B1529" t="str">
        <f>"1275376345"</f>
        <v>1275376345</v>
      </c>
      <c r="C1529" t="str">
        <f>"363A00000X"</f>
        <v>363A00000X</v>
      </c>
      <c r="D1529" t="str">
        <f>"KARAM                    MADELINE                 "</f>
        <v xml:space="preserve">KARAM                    MADELINE                 </v>
      </c>
      <c r="E1529" t="str">
        <f>"BIRMINGHAM                "</f>
        <v xml:space="preserve">BIRMINGHAM                </v>
      </c>
      <c r="F1529" t="str">
        <f t="shared" si="53"/>
        <v>AL</v>
      </c>
    </row>
    <row r="1530" spans="1:6" x14ac:dyDescent="0.25">
      <c r="A1530" t="str">
        <f>"200020132"</f>
        <v>200020132</v>
      </c>
      <c r="B1530" t="str">
        <f>"1396815700"</f>
        <v>1396815700</v>
      </c>
      <c r="C1530" t="str">
        <f>"2085R0202X"</f>
        <v>2085R0202X</v>
      </c>
      <c r="D1530" t="str">
        <f>"VON HERRMANN             PAUL                     "</f>
        <v xml:space="preserve">VON HERRMANN             PAUL                     </v>
      </c>
      <c r="E1530" t="str">
        <f>"SHEFFIELD                 "</f>
        <v xml:space="preserve">SHEFFIELD                 </v>
      </c>
      <c r="F1530" t="str">
        <f t="shared" si="53"/>
        <v>AL</v>
      </c>
    </row>
    <row r="1531" spans="1:6" x14ac:dyDescent="0.25">
      <c r="A1531" t="str">
        <f>"200020136"</f>
        <v>200020136</v>
      </c>
      <c r="B1531" t="str">
        <f>"1407201668"</f>
        <v>1407201668</v>
      </c>
      <c r="C1531" t="str">
        <f>"207XP3100X"</f>
        <v>207XP3100X</v>
      </c>
      <c r="D1531" t="str">
        <f>"CUTCHEN                  WILLIAM      A           "</f>
        <v xml:space="preserve">CUTCHEN                  WILLIAM      A           </v>
      </c>
      <c r="E1531" t="str">
        <f>"MOBILE                    "</f>
        <v xml:space="preserve">MOBILE                    </v>
      </c>
      <c r="F1531" t="str">
        <f t="shared" si="53"/>
        <v>AL</v>
      </c>
    </row>
    <row r="1532" spans="1:6" x14ac:dyDescent="0.25">
      <c r="A1532" t="str">
        <f>"200020138"</f>
        <v>200020138</v>
      </c>
      <c r="B1532" t="str">
        <f>"1437309283"</f>
        <v>1437309283</v>
      </c>
      <c r="C1532" t="str">
        <f>"207VX0201X"</f>
        <v>207VX0201X</v>
      </c>
      <c r="D1532" t="str">
        <f>"AREND                    REBECCA                  "</f>
        <v xml:space="preserve">AREND                    REBECCA                  </v>
      </c>
      <c r="E1532" t="str">
        <f>"BIRMINGHAM                "</f>
        <v xml:space="preserve">BIRMINGHAM                </v>
      </c>
      <c r="F1532" t="str">
        <f t="shared" si="53"/>
        <v>AL</v>
      </c>
    </row>
    <row r="1533" spans="1:6" x14ac:dyDescent="0.25">
      <c r="A1533" t="str">
        <f>"200020164"</f>
        <v>200020164</v>
      </c>
      <c r="B1533" t="str">
        <f>"1972832467"</f>
        <v>1972832467</v>
      </c>
      <c r="C1533" t="str">
        <f>"207X00000X"</f>
        <v>207X00000X</v>
      </c>
      <c r="D1533" t="str">
        <f>"SHAH                     ASHISH                   "</f>
        <v xml:space="preserve">SHAH                     ASHISH                   </v>
      </c>
      <c r="E1533" t="str">
        <f>"BIRMINGHAM                "</f>
        <v xml:space="preserve">BIRMINGHAM                </v>
      </c>
      <c r="F1533" t="str">
        <f t="shared" si="53"/>
        <v>AL</v>
      </c>
    </row>
    <row r="1534" spans="1:6" x14ac:dyDescent="0.25">
      <c r="A1534" t="str">
        <f>"200020193"</f>
        <v>200020193</v>
      </c>
      <c r="B1534" t="str">
        <f>"1588125371"</f>
        <v>1588125371</v>
      </c>
      <c r="C1534" t="str">
        <f>"207RP1001X"</f>
        <v>207RP1001X</v>
      </c>
      <c r="D1534" t="str">
        <f>"EMAN                     GERARDO      E           "</f>
        <v xml:space="preserve">EMAN                     GERARDO      E           </v>
      </c>
      <c r="E1534" t="str">
        <f>"MOBILE                    "</f>
        <v xml:space="preserve">MOBILE                    </v>
      </c>
      <c r="F1534" t="str">
        <f t="shared" si="53"/>
        <v>AL</v>
      </c>
    </row>
    <row r="1535" spans="1:6" x14ac:dyDescent="0.25">
      <c r="A1535" t="str">
        <f>"200020221"</f>
        <v>200020221</v>
      </c>
      <c r="B1535" t="str">
        <f>"1255912689"</f>
        <v>1255912689</v>
      </c>
      <c r="C1535" t="str">
        <f>"207RC0000X"</f>
        <v>207RC0000X</v>
      </c>
      <c r="D1535" t="str">
        <f>"MICHAUD                  JOHN         P           "</f>
        <v xml:space="preserve">MICHAUD                  JOHN         P           </v>
      </c>
      <c r="E1535" t="str">
        <f>"BIRMINGHAM                "</f>
        <v xml:space="preserve">BIRMINGHAM                </v>
      </c>
      <c r="F1535" t="str">
        <f t="shared" si="53"/>
        <v>AL</v>
      </c>
    </row>
    <row r="1536" spans="1:6" x14ac:dyDescent="0.25">
      <c r="A1536" t="str">
        <f>"200020229"</f>
        <v>200020229</v>
      </c>
      <c r="B1536" t="str">
        <f>"1104183938"</f>
        <v>1104183938</v>
      </c>
      <c r="C1536" t="str">
        <f>"207VX0201X"</f>
        <v>207VX0201X</v>
      </c>
      <c r="D1536" t="str">
        <f>"SMITH                    HALLER                   "</f>
        <v xml:space="preserve">SMITH                    HALLER                   </v>
      </c>
      <c r="E1536" t="str">
        <f>"BIRMINGHAM                "</f>
        <v xml:space="preserve">BIRMINGHAM                </v>
      </c>
      <c r="F1536" t="str">
        <f t="shared" si="53"/>
        <v>AL</v>
      </c>
    </row>
    <row r="1537" spans="1:6" x14ac:dyDescent="0.25">
      <c r="A1537" t="str">
        <f>"200020284"</f>
        <v>200020284</v>
      </c>
      <c r="B1537" t="str">
        <f>"1578203329"</f>
        <v>1578203329</v>
      </c>
      <c r="C1537" t="str">
        <f>"208M00000X"</f>
        <v>208M00000X</v>
      </c>
      <c r="D1537" t="str">
        <f>"VOOTUKURI                PRANAYRAJ                "</f>
        <v xml:space="preserve">VOOTUKURI                PRANAYRAJ                </v>
      </c>
      <c r="E1537" t="str">
        <f>"BIRMINGHAM                "</f>
        <v xml:space="preserve">BIRMINGHAM                </v>
      </c>
      <c r="F1537" t="str">
        <f t="shared" si="53"/>
        <v>AL</v>
      </c>
    </row>
    <row r="1538" spans="1:6" x14ac:dyDescent="0.25">
      <c r="A1538" t="str">
        <f>"200020383"</f>
        <v>200020383</v>
      </c>
      <c r="B1538" t="str">
        <f>"1306460910"</f>
        <v>1306460910</v>
      </c>
      <c r="C1538" t="str">
        <f>"208M00000X"</f>
        <v>208M00000X</v>
      </c>
      <c r="D1538" t="str">
        <f>"DUNGAN                   WILLIAM                  "</f>
        <v xml:space="preserve">DUNGAN                   WILLIAM                  </v>
      </c>
      <c r="E1538" t="str">
        <f>"MOBILE                    "</f>
        <v xml:space="preserve">MOBILE                    </v>
      </c>
      <c r="F1538" t="str">
        <f t="shared" si="53"/>
        <v>AL</v>
      </c>
    </row>
    <row r="1539" spans="1:6" x14ac:dyDescent="0.25">
      <c r="A1539" t="str">
        <f>"200020389"</f>
        <v>200020389</v>
      </c>
      <c r="B1539" t="str">
        <f>"1235456039"</f>
        <v>1235456039</v>
      </c>
      <c r="C1539" t="str">
        <f>"2085R0202X"</f>
        <v>2085R0202X</v>
      </c>
      <c r="D1539" t="str">
        <f>"DYKES                    GEOFFREY                 "</f>
        <v xml:space="preserve">DYKES                    GEOFFREY                 </v>
      </c>
      <c r="E1539" t="str">
        <f>"SHEFFIELD                 "</f>
        <v xml:space="preserve">SHEFFIELD                 </v>
      </c>
      <c r="F1539" t="str">
        <f t="shared" si="53"/>
        <v>AL</v>
      </c>
    </row>
    <row r="1540" spans="1:6" x14ac:dyDescent="0.25">
      <c r="A1540" t="str">
        <f>"200020393"</f>
        <v>200020393</v>
      </c>
      <c r="B1540" t="str">
        <f>"1033869938"</f>
        <v>1033869938</v>
      </c>
      <c r="C1540" t="str">
        <f>"207R00000X"</f>
        <v>207R00000X</v>
      </c>
      <c r="D1540" t="str">
        <f>"MANAN                    HARIS                    "</f>
        <v xml:space="preserve">MANAN                    HARIS                    </v>
      </c>
      <c r="E1540" t="str">
        <f>"MOBILE                    "</f>
        <v xml:space="preserve">MOBILE                    </v>
      </c>
      <c r="F1540" t="str">
        <f t="shared" si="53"/>
        <v>AL</v>
      </c>
    </row>
    <row r="1541" spans="1:6" x14ac:dyDescent="0.25">
      <c r="A1541" t="str">
        <f>"200020497"</f>
        <v>200020497</v>
      </c>
      <c r="B1541" t="str">
        <f>"1144857426"</f>
        <v>1144857426</v>
      </c>
      <c r="C1541" t="str">
        <f>"207Y00000X"</f>
        <v>207Y00000X</v>
      </c>
      <c r="D1541" t="str">
        <f>"HARPER                   JONATHAN     L           "</f>
        <v xml:space="preserve">HARPER                   JONATHAN     L           </v>
      </c>
      <c r="E1541" t="str">
        <f>"BIRMINGHAM                "</f>
        <v xml:space="preserve">BIRMINGHAM                </v>
      </c>
      <c r="F1541" t="str">
        <f t="shared" si="53"/>
        <v>AL</v>
      </c>
    </row>
    <row r="1542" spans="1:6" x14ac:dyDescent="0.25">
      <c r="A1542" t="str">
        <f>"200020499"</f>
        <v>200020499</v>
      </c>
      <c r="B1542" t="str">
        <f>"1649761750"</f>
        <v>1649761750</v>
      </c>
      <c r="C1542" t="str">
        <f>"207ZP0102X"</f>
        <v>207ZP0102X</v>
      </c>
      <c r="D1542" t="str">
        <f>"YOUSSEF                  BAHAAELDIN   I           "</f>
        <v xml:space="preserve">YOUSSEF                  BAHAAELDIN   I           </v>
      </c>
      <c r="E1542" t="str">
        <f>"MOBILE                    "</f>
        <v xml:space="preserve">MOBILE                    </v>
      </c>
      <c r="F1542" t="str">
        <f t="shared" si="53"/>
        <v>AL</v>
      </c>
    </row>
    <row r="1543" spans="1:6" x14ac:dyDescent="0.25">
      <c r="A1543" t="str">
        <f>"200020517"</f>
        <v>200020517</v>
      </c>
      <c r="B1543" t="str">
        <f>"1639874126"</f>
        <v>1639874126</v>
      </c>
      <c r="C1543" t="str">
        <f>"363L00000X"</f>
        <v>363L00000X</v>
      </c>
      <c r="D1543" t="str">
        <f>"EMANUEL                  APRIL                    "</f>
        <v xml:space="preserve">EMANUEL                  APRIL                    </v>
      </c>
      <c r="E1543" t="str">
        <f>"BIRMINGHAM                "</f>
        <v xml:space="preserve">BIRMINGHAM                </v>
      </c>
      <c r="F1543" t="str">
        <f t="shared" ref="F1543:F1606" si="54">"AL"</f>
        <v>AL</v>
      </c>
    </row>
    <row r="1544" spans="1:6" x14ac:dyDescent="0.25">
      <c r="A1544" t="str">
        <f>"200020564"</f>
        <v>200020564</v>
      </c>
      <c r="B1544" t="str">
        <f>"1881012607"</f>
        <v>1881012607</v>
      </c>
      <c r="C1544" t="str">
        <f>"207RH0003X"</f>
        <v>207RH0003X</v>
      </c>
      <c r="D1544" t="str">
        <f>"BAIDOUN                  FIRAS                    "</f>
        <v xml:space="preserve">BAIDOUN                  FIRAS                    </v>
      </c>
      <c r="E1544" t="str">
        <f>"BIRMINGHAM                "</f>
        <v xml:space="preserve">BIRMINGHAM                </v>
      </c>
      <c r="F1544" t="str">
        <f t="shared" si="54"/>
        <v>AL</v>
      </c>
    </row>
    <row r="1545" spans="1:6" x14ac:dyDescent="0.25">
      <c r="A1545" t="str">
        <f>"200020574"</f>
        <v>200020574</v>
      </c>
      <c r="B1545" t="str">
        <f>"1134869431"</f>
        <v>1134869431</v>
      </c>
      <c r="C1545" t="str">
        <f>"207P00000X"</f>
        <v>207P00000X</v>
      </c>
      <c r="D1545" t="str">
        <f>"KIRBY                    PAUL                     "</f>
        <v xml:space="preserve">KIRBY                    PAUL                     </v>
      </c>
      <c r="E1545" t="str">
        <f>"BIRMINGHAM                "</f>
        <v xml:space="preserve">BIRMINGHAM                </v>
      </c>
      <c r="F1545" t="str">
        <f t="shared" si="54"/>
        <v>AL</v>
      </c>
    </row>
    <row r="1546" spans="1:6" x14ac:dyDescent="0.25">
      <c r="A1546" t="str">
        <f>"200020583"</f>
        <v>200020583</v>
      </c>
      <c r="B1546" t="str">
        <f>"1386262525"</f>
        <v>1386262525</v>
      </c>
      <c r="C1546" t="str">
        <f>"2080P0203X"</f>
        <v>2080P0203X</v>
      </c>
      <c r="D1546" t="str">
        <f>"SABOBEH                  MOHAMMAD     S           "</f>
        <v xml:space="preserve">SABOBEH                  MOHAMMAD     S           </v>
      </c>
      <c r="E1546" t="str">
        <f>"MOBILE                    "</f>
        <v xml:space="preserve">MOBILE                    </v>
      </c>
      <c r="F1546" t="str">
        <f t="shared" si="54"/>
        <v>AL</v>
      </c>
    </row>
    <row r="1547" spans="1:6" x14ac:dyDescent="0.25">
      <c r="A1547" t="str">
        <f>"200020596"</f>
        <v>200020596</v>
      </c>
      <c r="B1547" t="str">
        <f>"1003495607"</f>
        <v>1003495607</v>
      </c>
      <c r="C1547" t="str">
        <f>"207P00000X"</f>
        <v>207P00000X</v>
      </c>
      <c r="D1547" t="str">
        <f>"BOWIE                    REBEKAH                  "</f>
        <v xml:space="preserve">BOWIE                    REBEKAH                  </v>
      </c>
      <c r="E1547" t="str">
        <f>"BIRMINGHAM                "</f>
        <v xml:space="preserve">BIRMINGHAM                </v>
      </c>
      <c r="F1547" t="str">
        <f t="shared" si="54"/>
        <v>AL</v>
      </c>
    </row>
    <row r="1548" spans="1:6" x14ac:dyDescent="0.25">
      <c r="A1548" t="str">
        <f>"200020617"</f>
        <v>200020617</v>
      </c>
      <c r="B1548" t="str">
        <f>"1336712322"</f>
        <v>1336712322</v>
      </c>
      <c r="C1548" t="str">
        <f>"207ZP0102X"</f>
        <v>207ZP0102X</v>
      </c>
      <c r="D1548" t="str">
        <f>"KIRAN                    FNU                      "</f>
        <v xml:space="preserve">KIRAN                    FNU                      </v>
      </c>
      <c r="E1548" t="str">
        <f>"BIRMINGHAM                "</f>
        <v xml:space="preserve">BIRMINGHAM                </v>
      </c>
      <c r="F1548" t="str">
        <f t="shared" si="54"/>
        <v>AL</v>
      </c>
    </row>
    <row r="1549" spans="1:6" x14ac:dyDescent="0.25">
      <c r="A1549" t="str">
        <f>"200020633"</f>
        <v>200020633</v>
      </c>
      <c r="B1549" t="str">
        <f>"1376008755"</f>
        <v>1376008755</v>
      </c>
      <c r="C1549" t="str">
        <f>"207ZP0102X"</f>
        <v>207ZP0102X</v>
      </c>
      <c r="D1549" t="str">
        <f>"ADEYI                    OYEDELE                  "</f>
        <v xml:space="preserve">ADEYI                    OYEDELE                  </v>
      </c>
      <c r="E1549" t="str">
        <f>"BIRMINGHAM                "</f>
        <v xml:space="preserve">BIRMINGHAM                </v>
      </c>
      <c r="F1549" t="str">
        <f t="shared" si="54"/>
        <v>AL</v>
      </c>
    </row>
    <row r="1550" spans="1:6" x14ac:dyDescent="0.25">
      <c r="A1550" t="str">
        <f>"200020658"</f>
        <v>200020658</v>
      </c>
      <c r="B1550" t="str">
        <f>"1528291861"</f>
        <v>1528291861</v>
      </c>
      <c r="C1550" t="str">
        <f>"363LF0000X"</f>
        <v>363LF0000X</v>
      </c>
      <c r="D1550" t="str">
        <f>"TOMLINSON                KRISTIN                  "</f>
        <v xml:space="preserve">TOMLINSON                KRISTIN                  </v>
      </c>
      <c r="E1550" t="str">
        <f>"MOBILE                    "</f>
        <v xml:space="preserve">MOBILE                    </v>
      </c>
      <c r="F1550" t="str">
        <f t="shared" si="54"/>
        <v>AL</v>
      </c>
    </row>
    <row r="1551" spans="1:6" x14ac:dyDescent="0.25">
      <c r="A1551" t="str">
        <f>"200020718"</f>
        <v>200020718</v>
      </c>
      <c r="B1551" t="str">
        <f>"1457092595"</f>
        <v>1457092595</v>
      </c>
      <c r="C1551" t="str">
        <f>"207R00000X"</f>
        <v>207R00000X</v>
      </c>
      <c r="D1551" t="str">
        <f>"SELCH                    GRIFFIN                  "</f>
        <v xml:space="preserve">SELCH                    GRIFFIN                  </v>
      </c>
      <c r="E1551" t="str">
        <f>"BIRMINGHAM                "</f>
        <v xml:space="preserve">BIRMINGHAM                </v>
      </c>
      <c r="F1551" t="str">
        <f t="shared" si="54"/>
        <v>AL</v>
      </c>
    </row>
    <row r="1552" spans="1:6" x14ac:dyDescent="0.25">
      <c r="A1552" t="str">
        <f>"200020728"</f>
        <v>200020728</v>
      </c>
      <c r="B1552" t="str">
        <f>"1518429042"</f>
        <v>1518429042</v>
      </c>
      <c r="C1552" t="str">
        <f>"2085R0202X"</f>
        <v>2085R0202X</v>
      </c>
      <c r="D1552" t="str">
        <f>"MULLEN                   ALEXANDER                "</f>
        <v xml:space="preserve">MULLEN                   ALEXANDER                </v>
      </c>
      <c r="E1552" t="str">
        <f>"BIRMINGHAM                "</f>
        <v xml:space="preserve">BIRMINGHAM                </v>
      </c>
      <c r="F1552" t="str">
        <f t="shared" si="54"/>
        <v>AL</v>
      </c>
    </row>
    <row r="1553" spans="1:6" x14ac:dyDescent="0.25">
      <c r="A1553" t="str">
        <f>"200020736"</f>
        <v>200020736</v>
      </c>
      <c r="B1553" t="str">
        <f>"1578876439"</f>
        <v>1578876439</v>
      </c>
      <c r="C1553" t="str">
        <f>"2085R0202X"</f>
        <v>2085R0202X</v>
      </c>
      <c r="D1553" t="str">
        <f>"REISNER                  DAVID                    "</f>
        <v xml:space="preserve">REISNER                  DAVID                    </v>
      </c>
      <c r="E1553" t="str">
        <f>"BIRMINGHAM                "</f>
        <v xml:space="preserve">BIRMINGHAM                </v>
      </c>
      <c r="F1553" t="str">
        <f t="shared" si="54"/>
        <v>AL</v>
      </c>
    </row>
    <row r="1554" spans="1:6" x14ac:dyDescent="0.25">
      <c r="A1554" t="str">
        <f>"200020751"</f>
        <v>200020751</v>
      </c>
      <c r="B1554" t="str">
        <f>"1467895938"</f>
        <v>1467895938</v>
      </c>
      <c r="C1554" t="str">
        <f>"207RP1001X"</f>
        <v>207RP1001X</v>
      </c>
      <c r="D1554" t="str">
        <f>"MEHTA                    ROMA                     "</f>
        <v xml:space="preserve">MEHTA                    ROMA                     </v>
      </c>
      <c r="E1554" t="str">
        <f>"BIRMINGHAM                "</f>
        <v xml:space="preserve">BIRMINGHAM                </v>
      </c>
      <c r="F1554" t="str">
        <f t="shared" si="54"/>
        <v>AL</v>
      </c>
    </row>
    <row r="1555" spans="1:6" x14ac:dyDescent="0.25">
      <c r="A1555" t="str">
        <f>"200020769"</f>
        <v>200020769</v>
      </c>
      <c r="B1555" t="str">
        <f>"1235570375"</f>
        <v>1235570375</v>
      </c>
      <c r="C1555" t="str">
        <f>"207RP1001X"</f>
        <v>207RP1001X</v>
      </c>
      <c r="D1555" t="str">
        <f>"ODIGWE                   CHIBUZO      C           "</f>
        <v xml:space="preserve">ODIGWE                   CHIBUZO      C           </v>
      </c>
      <c r="E1555" t="str">
        <f>"MOBILE                    "</f>
        <v xml:space="preserve">MOBILE                    </v>
      </c>
      <c r="F1555" t="str">
        <f t="shared" si="54"/>
        <v>AL</v>
      </c>
    </row>
    <row r="1556" spans="1:6" x14ac:dyDescent="0.25">
      <c r="A1556" t="str">
        <f>"200020790"</f>
        <v>200020790</v>
      </c>
      <c r="B1556" t="str">
        <f>"1205444205"</f>
        <v>1205444205</v>
      </c>
      <c r="C1556" t="str">
        <f>"363A00000X"</f>
        <v>363A00000X</v>
      </c>
      <c r="D1556" t="str">
        <f>"CARNES                   JOSHUA                   "</f>
        <v xml:space="preserve">CARNES                   JOSHUA                   </v>
      </c>
      <c r="E1556" t="str">
        <f>"HAMILTON                  "</f>
        <v xml:space="preserve">HAMILTON                  </v>
      </c>
      <c r="F1556" t="str">
        <f t="shared" si="54"/>
        <v>AL</v>
      </c>
    </row>
    <row r="1557" spans="1:6" x14ac:dyDescent="0.25">
      <c r="A1557" t="str">
        <f>"200020796"</f>
        <v>200020796</v>
      </c>
      <c r="B1557" t="str">
        <f>"1376280149"</f>
        <v>1376280149</v>
      </c>
      <c r="C1557" t="str">
        <f>"367500000X"</f>
        <v>367500000X</v>
      </c>
      <c r="D1557" t="str">
        <f>"WALKER                   VIRGINIA                 "</f>
        <v xml:space="preserve">WALKER                   VIRGINIA                 </v>
      </c>
      <c r="E1557" t="str">
        <f>"BIRMINGHAM                "</f>
        <v xml:space="preserve">BIRMINGHAM                </v>
      </c>
      <c r="F1557" t="str">
        <f t="shared" si="54"/>
        <v>AL</v>
      </c>
    </row>
    <row r="1558" spans="1:6" x14ac:dyDescent="0.25">
      <c r="A1558" t="str">
        <f>"200020808"</f>
        <v>200020808</v>
      </c>
      <c r="B1558" t="str">
        <f>"1255863593"</f>
        <v>1255863593</v>
      </c>
      <c r="C1558" t="str">
        <f>"208600000X"</f>
        <v>208600000X</v>
      </c>
      <c r="D1558" t="str">
        <f>"RICKS                    WILLIAM      A           "</f>
        <v xml:space="preserve">RICKS                    WILLIAM      A           </v>
      </c>
      <c r="E1558" t="str">
        <f>"MOBILE                    "</f>
        <v xml:space="preserve">MOBILE                    </v>
      </c>
      <c r="F1558" t="str">
        <f t="shared" si="54"/>
        <v>AL</v>
      </c>
    </row>
    <row r="1559" spans="1:6" x14ac:dyDescent="0.25">
      <c r="A1559" t="str">
        <f>"200020832"</f>
        <v>200020832</v>
      </c>
      <c r="B1559" t="str">
        <f>"1437941465"</f>
        <v>1437941465</v>
      </c>
      <c r="C1559" t="str">
        <f>"367500000X"</f>
        <v>367500000X</v>
      </c>
      <c r="D1559" t="str">
        <f>"MOCK JORDAN BONEY        ANNA                     "</f>
        <v xml:space="preserve">MOCK JORDAN BONEY        ANNA                     </v>
      </c>
      <c r="E1559" t="str">
        <f>"BIRMINGHAM                "</f>
        <v xml:space="preserve">BIRMINGHAM                </v>
      </c>
      <c r="F1559" t="str">
        <f t="shared" si="54"/>
        <v>AL</v>
      </c>
    </row>
    <row r="1560" spans="1:6" x14ac:dyDescent="0.25">
      <c r="A1560" t="str">
        <f>"200020842"</f>
        <v>200020842</v>
      </c>
      <c r="B1560" t="str">
        <f>"1811525108"</f>
        <v>1811525108</v>
      </c>
      <c r="C1560" t="str">
        <f>"2085R0202X"</f>
        <v>2085R0202X</v>
      </c>
      <c r="D1560" t="str">
        <f>"FREDERICKS               THOMAS                   "</f>
        <v xml:space="preserve">FREDERICKS               THOMAS                   </v>
      </c>
      <c r="E1560" t="str">
        <f>"BIRMINGHAM                "</f>
        <v xml:space="preserve">BIRMINGHAM                </v>
      </c>
      <c r="F1560" t="str">
        <f t="shared" si="54"/>
        <v>AL</v>
      </c>
    </row>
    <row r="1561" spans="1:6" x14ac:dyDescent="0.25">
      <c r="A1561" t="str">
        <f>"200020878"</f>
        <v>200020878</v>
      </c>
      <c r="B1561" t="str">
        <f>"1033803655"</f>
        <v>1033803655</v>
      </c>
      <c r="C1561" t="str">
        <f>"367500000X"</f>
        <v>367500000X</v>
      </c>
      <c r="D1561" t="str">
        <f>"SANDERS                  ABBY                     "</f>
        <v xml:space="preserve">SANDERS                  ABBY                     </v>
      </c>
      <c r="E1561" t="str">
        <f>"BIRMINGHAM                "</f>
        <v xml:space="preserve">BIRMINGHAM                </v>
      </c>
      <c r="F1561" t="str">
        <f t="shared" si="54"/>
        <v>AL</v>
      </c>
    </row>
    <row r="1562" spans="1:6" x14ac:dyDescent="0.25">
      <c r="A1562" t="str">
        <f>"200020929"</f>
        <v>200020929</v>
      </c>
      <c r="B1562" t="str">
        <f>"1497377873"</f>
        <v>1497377873</v>
      </c>
      <c r="C1562" t="str">
        <f>"2085R0202X"</f>
        <v>2085R0202X</v>
      </c>
      <c r="D1562" t="str">
        <f>"MARQUAND                 TREVOR                   "</f>
        <v xml:space="preserve">MARQUAND                 TREVOR                   </v>
      </c>
      <c r="E1562" t="str">
        <f>"BIRMINGHAM                "</f>
        <v xml:space="preserve">BIRMINGHAM                </v>
      </c>
      <c r="F1562" t="str">
        <f t="shared" si="54"/>
        <v>AL</v>
      </c>
    </row>
    <row r="1563" spans="1:6" x14ac:dyDescent="0.25">
      <c r="A1563" t="str">
        <f>"200020949"</f>
        <v>200020949</v>
      </c>
      <c r="B1563" t="str">
        <f>"1083119499"</f>
        <v>1083119499</v>
      </c>
      <c r="C1563" t="str">
        <f>"2080P0210X"</f>
        <v>2080P0210X</v>
      </c>
      <c r="D1563" t="str">
        <f>"JACKSON                  CAROLINE     V           "</f>
        <v xml:space="preserve">JACKSON                  CAROLINE     V           </v>
      </c>
      <c r="E1563" t="str">
        <f>"BIRMINGHAM                "</f>
        <v xml:space="preserve">BIRMINGHAM                </v>
      </c>
      <c r="F1563" t="str">
        <f t="shared" si="54"/>
        <v>AL</v>
      </c>
    </row>
    <row r="1564" spans="1:6" x14ac:dyDescent="0.25">
      <c r="A1564" t="str">
        <f>"200020955"</f>
        <v>200020955</v>
      </c>
      <c r="B1564" t="str">
        <f>"1710310149"</f>
        <v>1710310149</v>
      </c>
      <c r="C1564" t="str">
        <f>"363LN0000X"</f>
        <v>363LN0000X</v>
      </c>
      <c r="D1564" t="str">
        <f>"KNIGHT                   KRISTAN      B           "</f>
        <v xml:space="preserve">KNIGHT                   KRISTAN      B           </v>
      </c>
      <c r="E1564" t="str">
        <f>"MOBILE                    "</f>
        <v xml:space="preserve">MOBILE                    </v>
      </c>
      <c r="F1564" t="str">
        <f t="shared" si="54"/>
        <v>AL</v>
      </c>
    </row>
    <row r="1565" spans="1:6" x14ac:dyDescent="0.25">
      <c r="A1565" t="str">
        <f>"200020962"</f>
        <v>200020962</v>
      </c>
      <c r="B1565" t="str">
        <f>"1568159275"</f>
        <v>1568159275</v>
      </c>
      <c r="C1565" t="str">
        <f>"363L00000X"</f>
        <v>363L00000X</v>
      </c>
      <c r="D1565" t="str">
        <f>"HUHN                     MATTHEW                  "</f>
        <v xml:space="preserve">HUHN                     MATTHEW                  </v>
      </c>
      <c r="E1565" t="str">
        <f>"BIRMINGHAM                "</f>
        <v xml:space="preserve">BIRMINGHAM                </v>
      </c>
      <c r="F1565" t="str">
        <f t="shared" si="54"/>
        <v>AL</v>
      </c>
    </row>
    <row r="1566" spans="1:6" x14ac:dyDescent="0.25">
      <c r="A1566" t="str">
        <f>"200020963"</f>
        <v>200020963</v>
      </c>
      <c r="B1566" t="str">
        <f>"1013711142"</f>
        <v>1013711142</v>
      </c>
      <c r="C1566" t="str">
        <f>"208600000X"</f>
        <v>208600000X</v>
      </c>
      <c r="D1566" t="str">
        <f>"BARNES                   BRANDON                  "</f>
        <v xml:space="preserve">BARNES                   BRANDON                  </v>
      </c>
      <c r="E1566" t="str">
        <f>"MOBILE                    "</f>
        <v xml:space="preserve">MOBILE                    </v>
      </c>
      <c r="F1566" t="str">
        <f t="shared" si="54"/>
        <v>AL</v>
      </c>
    </row>
    <row r="1567" spans="1:6" x14ac:dyDescent="0.25">
      <c r="A1567" t="str">
        <f>"200020989"</f>
        <v>200020989</v>
      </c>
      <c r="B1567" t="str">
        <f>"1912580580"</f>
        <v>1912580580</v>
      </c>
      <c r="C1567" t="str">
        <f>"207ZP0102X"</f>
        <v>207ZP0102X</v>
      </c>
      <c r="D1567" t="str">
        <f>"SALAH                    HANEEN                   "</f>
        <v xml:space="preserve">SALAH                    HANEEN                   </v>
      </c>
      <c r="E1567" t="str">
        <f>"BIRMINGHAM                "</f>
        <v xml:space="preserve">BIRMINGHAM                </v>
      </c>
      <c r="F1567" t="str">
        <f t="shared" si="54"/>
        <v>AL</v>
      </c>
    </row>
    <row r="1568" spans="1:6" x14ac:dyDescent="0.25">
      <c r="A1568" t="str">
        <f>"200020997"</f>
        <v>200020997</v>
      </c>
      <c r="B1568" t="str">
        <f>"1023645827"</f>
        <v>1023645827</v>
      </c>
      <c r="C1568" t="str">
        <f>"2086S0102X"</f>
        <v>2086S0102X</v>
      </c>
      <c r="D1568" t="str">
        <f>"BAEK                     JONGIN       J           "</f>
        <v xml:space="preserve">BAEK                     JONGIN       J           </v>
      </c>
      <c r="E1568" t="str">
        <f>"MOBILE                    "</f>
        <v xml:space="preserve">MOBILE                    </v>
      </c>
      <c r="F1568" t="str">
        <f t="shared" si="54"/>
        <v>AL</v>
      </c>
    </row>
    <row r="1569" spans="1:6" x14ac:dyDescent="0.25">
      <c r="A1569" t="str">
        <f>"200021000"</f>
        <v>200021000</v>
      </c>
      <c r="B1569" t="str">
        <f>"1285254052"</f>
        <v>1285254052</v>
      </c>
      <c r="C1569" t="str">
        <f>"2085R0202X"</f>
        <v>2085R0202X</v>
      </c>
      <c r="D1569" t="str">
        <f>"MOORE                    BONNIE                   "</f>
        <v xml:space="preserve">MOORE                    BONNIE                   </v>
      </c>
      <c r="E1569" t="str">
        <f>"BIRMINGHAM                "</f>
        <v xml:space="preserve">BIRMINGHAM                </v>
      </c>
      <c r="F1569" t="str">
        <f t="shared" si="54"/>
        <v>AL</v>
      </c>
    </row>
    <row r="1570" spans="1:6" x14ac:dyDescent="0.25">
      <c r="A1570" t="str">
        <f>"200021005"</f>
        <v>200021005</v>
      </c>
      <c r="B1570" t="str">
        <f>"1912700824"</f>
        <v>1912700824</v>
      </c>
      <c r="C1570" t="str">
        <f>"208600000X"</f>
        <v>208600000X</v>
      </c>
      <c r="D1570" t="str">
        <f>"BORJA CEBALLOS           JUAN         E           "</f>
        <v xml:space="preserve">BORJA CEBALLOS           JUAN         E           </v>
      </c>
      <c r="E1570" t="str">
        <f>"MOBILE                    "</f>
        <v xml:space="preserve">MOBILE                    </v>
      </c>
      <c r="F1570" t="str">
        <f t="shared" si="54"/>
        <v>AL</v>
      </c>
    </row>
    <row r="1571" spans="1:6" x14ac:dyDescent="0.25">
      <c r="A1571" t="str">
        <f>"200021008"</f>
        <v>200021008</v>
      </c>
      <c r="B1571" t="str">
        <f>"1013711779"</f>
        <v>1013711779</v>
      </c>
      <c r="C1571" t="str">
        <f>"208600000X"</f>
        <v>208600000X</v>
      </c>
      <c r="D1571" t="str">
        <f>"SHEARER                  KATIE                    "</f>
        <v xml:space="preserve">SHEARER                  KATIE                    </v>
      </c>
      <c r="E1571" t="str">
        <f>"MOBILE                    "</f>
        <v xml:space="preserve">MOBILE                    </v>
      </c>
      <c r="F1571" t="str">
        <f t="shared" si="54"/>
        <v>AL</v>
      </c>
    </row>
    <row r="1572" spans="1:6" x14ac:dyDescent="0.25">
      <c r="A1572" t="str">
        <f>"200021013"</f>
        <v>200021013</v>
      </c>
      <c r="B1572" t="str">
        <f>"1861013294"</f>
        <v>1861013294</v>
      </c>
      <c r="C1572" t="str">
        <f>"208800000X"</f>
        <v>208800000X</v>
      </c>
      <c r="D1572" t="str">
        <f>"JARVIS                   HANNAH                   "</f>
        <v xml:space="preserve">JARVIS                   HANNAH                   </v>
      </c>
      <c r="E1572" t="str">
        <f>"BIRMINGHAM                "</f>
        <v xml:space="preserve">BIRMINGHAM                </v>
      </c>
      <c r="F1572" t="str">
        <f t="shared" si="54"/>
        <v>AL</v>
      </c>
    </row>
    <row r="1573" spans="1:6" x14ac:dyDescent="0.25">
      <c r="A1573" t="str">
        <f>"200021016"</f>
        <v>200021016</v>
      </c>
      <c r="B1573" t="str">
        <f>"1346044963"</f>
        <v>1346044963</v>
      </c>
      <c r="C1573" t="str">
        <f>"208600000X"</f>
        <v>208600000X</v>
      </c>
      <c r="D1573" t="str">
        <f>"COLLINS                  MATTHEW      T           "</f>
        <v xml:space="preserve">COLLINS                  MATTHEW      T           </v>
      </c>
      <c r="E1573" t="str">
        <f>"MOBILE                    "</f>
        <v xml:space="preserve">MOBILE                    </v>
      </c>
      <c r="F1573" t="str">
        <f t="shared" si="54"/>
        <v>AL</v>
      </c>
    </row>
    <row r="1574" spans="1:6" x14ac:dyDescent="0.25">
      <c r="A1574" t="str">
        <f>"200021019"</f>
        <v>200021019</v>
      </c>
      <c r="B1574" t="str">
        <f>"1427469428"</f>
        <v>1427469428</v>
      </c>
      <c r="C1574" t="str">
        <f>"2085R0202X"</f>
        <v>2085R0202X</v>
      </c>
      <c r="D1574" t="str">
        <f>"MURPHY                   LILLIAN                  "</f>
        <v xml:space="preserve">MURPHY                   LILLIAN                  </v>
      </c>
      <c r="E1574" t="str">
        <f>"BIRMINGHAM                "</f>
        <v xml:space="preserve">BIRMINGHAM                </v>
      </c>
      <c r="F1574" t="str">
        <f t="shared" si="54"/>
        <v>AL</v>
      </c>
    </row>
    <row r="1575" spans="1:6" x14ac:dyDescent="0.25">
      <c r="A1575" t="str">
        <f>"200021030"</f>
        <v>200021030</v>
      </c>
      <c r="B1575" t="str">
        <f>"1558125674"</f>
        <v>1558125674</v>
      </c>
      <c r="C1575" t="str">
        <f>"208600000X"</f>
        <v>208600000X</v>
      </c>
      <c r="D1575" t="str">
        <f>"AHLRICH                  CHARLES                  "</f>
        <v xml:space="preserve">AHLRICH                  CHARLES                  </v>
      </c>
      <c r="E1575" t="str">
        <f>"MOBILE                    "</f>
        <v xml:space="preserve">MOBILE                    </v>
      </c>
      <c r="F1575" t="str">
        <f t="shared" si="54"/>
        <v>AL</v>
      </c>
    </row>
    <row r="1576" spans="1:6" x14ac:dyDescent="0.25">
      <c r="A1576" t="str">
        <f>"200021035"</f>
        <v>200021035</v>
      </c>
      <c r="B1576" t="str">
        <f>"1013223064"</f>
        <v>1013223064</v>
      </c>
      <c r="C1576" t="str">
        <f>"207RC0000X"</f>
        <v>207RC0000X</v>
      </c>
      <c r="D1576" t="str">
        <f>"GRAZETTE                 LUANDA       P           "</f>
        <v xml:space="preserve">GRAZETTE                 LUANDA       P           </v>
      </c>
      <c r="E1576" t="str">
        <f>"MOBILE                    "</f>
        <v xml:space="preserve">MOBILE                    </v>
      </c>
      <c r="F1576" t="str">
        <f t="shared" si="54"/>
        <v>AL</v>
      </c>
    </row>
    <row r="1577" spans="1:6" x14ac:dyDescent="0.25">
      <c r="A1577" t="str">
        <f>"200021057"</f>
        <v>200021057</v>
      </c>
      <c r="B1577" t="str">
        <f>"1497648927"</f>
        <v>1497648927</v>
      </c>
      <c r="C1577" t="str">
        <f>"367500000X"</f>
        <v>367500000X</v>
      </c>
      <c r="D1577" t="str">
        <f>"HARAWAY                  HAYDEN                   "</f>
        <v xml:space="preserve">HARAWAY                  HAYDEN                   </v>
      </c>
      <c r="E1577" t="str">
        <f>"BIRMINGHAM                "</f>
        <v xml:space="preserve">BIRMINGHAM                </v>
      </c>
      <c r="F1577" t="str">
        <f t="shared" si="54"/>
        <v>AL</v>
      </c>
    </row>
    <row r="1578" spans="1:6" x14ac:dyDescent="0.25">
      <c r="A1578" t="str">
        <f>"200021060"</f>
        <v>200021060</v>
      </c>
      <c r="B1578" t="str">
        <f>"1144803388"</f>
        <v>1144803388</v>
      </c>
      <c r="C1578" t="str">
        <f>"207RC0000X"</f>
        <v>207RC0000X</v>
      </c>
      <c r="D1578" t="str">
        <f>"ACHARYA                  DEEKSHA                  "</f>
        <v xml:space="preserve">ACHARYA                  DEEKSHA                  </v>
      </c>
      <c r="E1578" t="str">
        <f>"MOBILE                    "</f>
        <v xml:space="preserve">MOBILE                    </v>
      </c>
      <c r="F1578" t="str">
        <f t="shared" si="54"/>
        <v>AL</v>
      </c>
    </row>
    <row r="1579" spans="1:6" x14ac:dyDescent="0.25">
      <c r="A1579" t="str">
        <f>"200021064"</f>
        <v>200021064</v>
      </c>
      <c r="B1579" t="str">
        <f>"1538969738"</f>
        <v>1538969738</v>
      </c>
      <c r="C1579" t="str">
        <f>"363LA2100X"</f>
        <v>363LA2100X</v>
      </c>
      <c r="D1579" t="str">
        <f>"CAPLEY                   MARY         T           "</f>
        <v xml:space="preserve">CAPLEY                   MARY         T           </v>
      </c>
      <c r="E1579" t="str">
        <f>"MOBILE                    "</f>
        <v xml:space="preserve">MOBILE                    </v>
      </c>
      <c r="F1579" t="str">
        <f t="shared" si="54"/>
        <v>AL</v>
      </c>
    </row>
    <row r="1580" spans="1:6" x14ac:dyDescent="0.25">
      <c r="A1580" t="str">
        <f>"200021079"</f>
        <v>200021079</v>
      </c>
      <c r="B1580" t="str">
        <f>"1629491949"</f>
        <v>1629491949</v>
      </c>
      <c r="C1580" t="str">
        <f>"367500000X"</f>
        <v>367500000X</v>
      </c>
      <c r="D1580" t="str">
        <f>"PETRUNIC                 ASHLEY                   "</f>
        <v xml:space="preserve">PETRUNIC                 ASHLEY                   </v>
      </c>
      <c r="E1580" t="str">
        <f>"BIRMINGHAM                "</f>
        <v xml:space="preserve">BIRMINGHAM                </v>
      </c>
      <c r="F1580" t="str">
        <f t="shared" si="54"/>
        <v>AL</v>
      </c>
    </row>
    <row r="1581" spans="1:6" x14ac:dyDescent="0.25">
      <c r="A1581" t="str">
        <f>"200021082"</f>
        <v>200021082</v>
      </c>
      <c r="B1581" t="str">
        <f>"1659347078"</f>
        <v>1659347078</v>
      </c>
      <c r="C1581" t="str">
        <f>"207ZP0102X"</f>
        <v>207ZP0102X</v>
      </c>
      <c r="D1581" t="str">
        <f>"OAKS                     ANN                      "</f>
        <v xml:space="preserve">OAKS                     ANN                      </v>
      </c>
      <c r="E1581" t="str">
        <f>"BIRMINGHAM                "</f>
        <v xml:space="preserve">BIRMINGHAM                </v>
      </c>
      <c r="F1581" t="str">
        <f t="shared" si="54"/>
        <v>AL</v>
      </c>
    </row>
    <row r="1582" spans="1:6" x14ac:dyDescent="0.25">
      <c r="A1582" t="str">
        <f>"200021132"</f>
        <v>200021132</v>
      </c>
      <c r="B1582" t="str">
        <f>"1801537816"</f>
        <v>1801537816</v>
      </c>
      <c r="C1582" t="str">
        <f>"208M00000X"</f>
        <v>208M00000X</v>
      </c>
      <c r="D1582" t="str">
        <f>"VAN COURT                BLAKE        P           "</f>
        <v xml:space="preserve">VAN COURT                BLAKE        P           </v>
      </c>
      <c r="E1582" t="str">
        <f>"MOBILE                    "</f>
        <v xml:space="preserve">MOBILE                    </v>
      </c>
      <c r="F1582" t="str">
        <f t="shared" si="54"/>
        <v>AL</v>
      </c>
    </row>
    <row r="1583" spans="1:6" x14ac:dyDescent="0.25">
      <c r="A1583" t="str">
        <f>"200021138"</f>
        <v>200021138</v>
      </c>
      <c r="B1583" t="str">
        <f>"1760043152"</f>
        <v>1760043152</v>
      </c>
      <c r="C1583" t="str">
        <f>"207ZP0101X"</f>
        <v>207ZP0101X</v>
      </c>
      <c r="D1583" t="str">
        <f>"KMEID                    MICHEL                   "</f>
        <v xml:space="preserve">KMEID                    MICHEL                   </v>
      </c>
      <c r="E1583" t="str">
        <f>"BIRMINGHAM                "</f>
        <v xml:space="preserve">BIRMINGHAM                </v>
      </c>
      <c r="F1583" t="str">
        <f t="shared" si="54"/>
        <v>AL</v>
      </c>
    </row>
    <row r="1584" spans="1:6" x14ac:dyDescent="0.25">
      <c r="A1584" t="str">
        <f>"200021165"</f>
        <v>200021165</v>
      </c>
      <c r="B1584" t="str">
        <f>"1760060149"</f>
        <v>1760060149</v>
      </c>
      <c r="C1584" t="str">
        <f>"207V00000X"</f>
        <v>207V00000X</v>
      </c>
      <c r="D1584" t="str">
        <f>"ANTHONY                  KATHRYN                  "</f>
        <v xml:space="preserve">ANTHONY                  KATHRYN                  </v>
      </c>
      <c r="E1584" t="str">
        <f>"BIRMINGHAM                "</f>
        <v xml:space="preserve">BIRMINGHAM                </v>
      </c>
      <c r="F1584" t="str">
        <f t="shared" si="54"/>
        <v>AL</v>
      </c>
    </row>
    <row r="1585" spans="1:6" x14ac:dyDescent="0.25">
      <c r="A1585" t="str">
        <f>"200021170"</f>
        <v>200021170</v>
      </c>
      <c r="B1585" t="str">
        <f>"1134922438"</f>
        <v>1134922438</v>
      </c>
      <c r="C1585" t="str">
        <f>"207R00000X"</f>
        <v>207R00000X</v>
      </c>
      <c r="D1585" t="str">
        <f>"PEARMAN                  VICTORIA     B           "</f>
        <v xml:space="preserve">PEARMAN                  VICTORIA     B           </v>
      </c>
      <c r="E1585" t="str">
        <f>"MOBILE                    "</f>
        <v xml:space="preserve">MOBILE                    </v>
      </c>
      <c r="F1585" t="str">
        <f t="shared" si="54"/>
        <v>AL</v>
      </c>
    </row>
    <row r="1586" spans="1:6" x14ac:dyDescent="0.25">
      <c r="A1586" t="str">
        <f>"200021192"</f>
        <v>200021192</v>
      </c>
      <c r="B1586" t="str">
        <f>"1093391609"</f>
        <v>1093391609</v>
      </c>
      <c r="C1586" t="str">
        <f>"207VX0201X"</f>
        <v>207VX0201X</v>
      </c>
      <c r="D1586" t="str">
        <f>"LEVINE                   RACHEL                   "</f>
        <v xml:space="preserve">LEVINE                   RACHEL                   </v>
      </c>
      <c r="E1586" t="str">
        <f>"MOBILE                    "</f>
        <v xml:space="preserve">MOBILE                    </v>
      </c>
      <c r="F1586" t="str">
        <f t="shared" si="54"/>
        <v>AL</v>
      </c>
    </row>
    <row r="1587" spans="1:6" x14ac:dyDescent="0.25">
      <c r="A1587" t="str">
        <f>"200021202"</f>
        <v>200021202</v>
      </c>
      <c r="B1587" t="str">
        <f>"1417349580"</f>
        <v>1417349580</v>
      </c>
      <c r="C1587" t="str">
        <f>"207R00000X"</f>
        <v>207R00000X</v>
      </c>
      <c r="D1587" t="str">
        <f>"GAINES                   JASMINE      P           "</f>
        <v xml:space="preserve">GAINES                   JASMINE      P           </v>
      </c>
      <c r="E1587" t="str">
        <f>"BUTLER                    "</f>
        <v xml:space="preserve">BUTLER                    </v>
      </c>
      <c r="F1587" t="str">
        <f t="shared" si="54"/>
        <v>AL</v>
      </c>
    </row>
    <row r="1588" spans="1:6" x14ac:dyDescent="0.25">
      <c r="A1588" t="str">
        <f>"200021212"</f>
        <v>200021212</v>
      </c>
      <c r="B1588" t="str">
        <f>"1467263103"</f>
        <v>1467263103</v>
      </c>
      <c r="C1588" t="str">
        <f>"363LA2100X"</f>
        <v>363LA2100X</v>
      </c>
      <c r="D1588" t="str">
        <f>"MORRIS                   HANNAH       T           "</f>
        <v xml:space="preserve">MORRIS                   HANNAH       T           </v>
      </c>
      <c r="E1588" t="str">
        <f>"MOBILE                    "</f>
        <v xml:space="preserve">MOBILE                    </v>
      </c>
      <c r="F1588" t="str">
        <f t="shared" si="54"/>
        <v>AL</v>
      </c>
    </row>
    <row r="1589" spans="1:6" x14ac:dyDescent="0.25">
      <c r="A1589" t="str">
        <f>"200021215"</f>
        <v>200021215</v>
      </c>
      <c r="B1589" t="str">
        <f>"1376302711"</f>
        <v>1376302711</v>
      </c>
      <c r="C1589" t="str">
        <f>"363L00000X"</f>
        <v>363L00000X</v>
      </c>
      <c r="D1589" t="str">
        <f>"MOSLEY                   ANNA                     "</f>
        <v xml:space="preserve">MOSLEY                   ANNA                     </v>
      </c>
      <c r="E1589" t="str">
        <f>"FAIRHOPE                  "</f>
        <v xml:space="preserve">FAIRHOPE                  </v>
      </c>
      <c r="F1589" t="str">
        <f t="shared" si="54"/>
        <v>AL</v>
      </c>
    </row>
    <row r="1590" spans="1:6" x14ac:dyDescent="0.25">
      <c r="A1590" t="str">
        <f>"200021227"</f>
        <v>200021227</v>
      </c>
      <c r="B1590" t="str">
        <f>"1427843077"</f>
        <v>1427843077</v>
      </c>
      <c r="C1590" t="str">
        <f>"2084P0800X"</f>
        <v>2084P0800X</v>
      </c>
      <c r="D1590" t="str">
        <f>"SHEPHERD                 DALE                     "</f>
        <v xml:space="preserve">SHEPHERD                 DALE                     </v>
      </c>
      <c r="E1590" t="str">
        <f>"MOBILE                    "</f>
        <v xml:space="preserve">MOBILE                    </v>
      </c>
      <c r="F1590" t="str">
        <f t="shared" si="54"/>
        <v>AL</v>
      </c>
    </row>
    <row r="1591" spans="1:6" x14ac:dyDescent="0.25">
      <c r="A1591" t="str">
        <f>"200021328"</f>
        <v>200021328</v>
      </c>
      <c r="B1591" t="str">
        <f>"1568265478"</f>
        <v>1568265478</v>
      </c>
      <c r="C1591" t="str">
        <f>"207R00000X"</f>
        <v>207R00000X</v>
      </c>
      <c r="D1591" t="str">
        <f>"BAILEY                   SIDNEY                   "</f>
        <v xml:space="preserve">BAILEY                   SIDNEY                   </v>
      </c>
      <c r="E1591" t="str">
        <f>"MOBILE                    "</f>
        <v xml:space="preserve">MOBILE                    </v>
      </c>
      <c r="F1591" t="str">
        <f t="shared" si="54"/>
        <v>AL</v>
      </c>
    </row>
    <row r="1592" spans="1:6" x14ac:dyDescent="0.25">
      <c r="A1592" t="str">
        <f>"200021346"</f>
        <v>200021346</v>
      </c>
      <c r="B1592" t="str">
        <f>"1881498442"</f>
        <v>1881498442</v>
      </c>
      <c r="C1592" t="str">
        <f>"207P00000X"</f>
        <v>207P00000X</v>
      </c>
      <c r="D1592" t="str">
        <f>"BIRDSONG                 CHASEN                   "</f>
        <v xml:space="preserve">BIRDSONG                 CHASEN                   </v>
      </c>
      <c r="E1592" t="str">
        <f>"MOBILE                    "</f>
        <v xml:space="preserve">MOBILE                    </v>
      </c>
      <c r="F1592" t="str">
        <f t="shared" si="54"/>
        <v>AL</v>
      </c>
    </row>
    <row r="1593" spans="1:6" x14ac:dyDescent="0.25">
      <c r="A1593" t="str">
        <f>"200021357"</f>
        <v>200021357</v>
      </c>
      <c r="B1593" t="str">
        <f>"1225389976"</f>
        <v>1225389976</v>
      </c>
      <c r="C1593" t="str">
        <f>"363A00000X"</f>
        <v>363A00000X</v>
      </c>
      <c r="D1593" t="str">
        <f>"HARRIS                   LAURA                    "</f>
        <v xml:space="preserve">HARRIS                   LAURA                    </v>
      </c>
      <c r="E1593" t="str">
        <f>"MOBILE                    "</f>
        <v xml:space="preserve">MOBILE                    </v>
      </c>
      <c r="F1593" t="str">
        <f t="shared" si="54"/>
        <v>AL</v>
      </c>
    </row>
    <row r="1594" spans="1:6" x14ac:dyDescent="0.25">
      <c r="A1594" t="str">
        <f>"200021366"</f>
        <v>200021366</v>
      </c>
      <c r="B1594" t="str">
        <f>"1730748542"</f>
        <v>1730748542</v>
      </c>
      <c r="C1594" t="str">
        <f>"2084N0400X"</f>
        <v>2084N0400X</v>
      </c>
      <c r="D1594" t="str">
        <f>"ALZUABI                  MUAYAD                   "</f>
        <v xml:space="preserve">ALZUABI                  MUAYAD                   </v>
      </c>
      <c r="E1594" t="str">
        <f>"BIRMINGHAM                "</f>
        <v xml:space="preserve">BIRMINGHAM                </v>
      </c>
      <c r="F1594" t="str">
        <f t="shared" si="54"/>
        <v>AL</v>
      </c>
    </row>
    <row r="1595" spans="1:6" x14ac:dyDescent="0.25">
      <c r="A1595" t="str">
        <f>"200021373"</f>
        <v>200021373</v>
      </c>
      <c r="B1595" t="str">
        <f>"1427842780"</f>
        <v>1427842780</v>
      </c>
      <c r="C1595" t="str">
        <f>"207R00000X"</f>
        <v>207R00000X</v>
      </c>
      <c r="D1595" t="str">
        <f>"BOBINGER                 HANNA                    "</f>
        <v xml:space="preserve">BOBINGER                 HANNA                    </v>
      </c>
      <c r="E1595" t="str">
        <f>"MOBILE                    "</f>
        <v xml:space="preserve">MOBILE                    </v>
      </c>
      <c r="F1595" t="str">
        <f t="shared" si="54"/>
        <v>AL</v>
      </c>
    </row>
    <row r="1596" spans="1:6" x14ac:dyDescent="0.25">
      <c r="A1596" t="str">
        <f>"200021386"</f>
        <v>200021386</v>
      </c>
      <c r="B1596" t="str">
        <f>"1922741131"</f>
        <v>1922741131</v>
      </c>
      <c r="C1596" t="str">
        <f>"207P00000X"</f>
        <v>207P00000X</v>
      </c>
      <c r="D1596" t="str">
        <f>"BROOKS                   AUSTIN                   "</f>
        <v xml:space="preserve">BROOKS                   AUSTIN                   </v>
      </c>
      <c r="E1596" t="str">
        <f>"FAYETTE                   "</f>
        <v xml:space="preserve">FAYETTE                   </v>
      </c>
      <c r="F1596" t="str">
        <f t="shared" si="54"/>
        <v>AL</v>
      </c>
    </row>
    <row r="1597" spans="1:6" x14ac:dyDescent="0.25">
      <c r="A1597" t="str">
        <f>"200021388"</f>
        <v>200021388</v>
      </c>
      <c r="B1597" t="str">
        <f>"1285130252"</f>
        <v>1285130252</v>
      </c>
      <c r="C1597" t="str">
        <f>"2086S0129X"</f>
        <v>2086S0129X</v>
      </c>
      <c r="D1597" t="str">
        <f>"HARDY III                WILLIAM      J           "</f>
        <v xml:space="preserve">HARDY III                WILLIAM      J           </v>
      </c>
      <c r="E1597" t="str">
        <f>"MOBILE                    "</f>
        <v xml:space="preserve">MOBILE                    </v>
      </c>
      <c r="F1597" t="str">
        <f t="shared" si="54"/>
        <v>AL</v>
      </c>
    </row>
    <row r="1598" spans="1:6" x14ac:dyDescent="0.25">
      <c r="A1598" t="str">
        <f>"200021389"</f>
        <v>200021389</v>
      </c>
      <c r="B1598" t="str">
        <f>"1255134060"</f>
        <v>1255134060</v>
      </c>
      <c r="C1598" t="str">
        <f>"207R00000X"</f>
        <v>207R00000X</v>
      </c>
      <c r="D1598" t="str">
        <f>"ARMOUR                   AMARI                    "</f>
        <v xml:space="preserve">ARMOUR                   AMARI                    </v>
      </c>
      <c r="E1598" t="str">
        <f>"MOBILE                    "</f>
        <v xml:space="preserve">MOBILE                    </v>
      </c>
      <c r="F1598" t="str">
        <f t="shared" si="54"/>
        <v>AL</v>
      </c>
    </row>
    <row r="1599" spans="1:6" x14ac:dyDescent="0.25">
      <c r="A1599" t="str">
        <f>"200021396"</f>
        <v>200021396</v>
      </c>
      <c r="B1599" t="str">
        <f>"1609670892"</f>
        <v>1609670892</v>
      </c>
      <c r="C1599" t="str">
        <f>"207V00000X"</f>
        <v>207V00000X</v>
      </c>
      <c r="D1599" t="str">
        <f>"O'CONNOR                 KARA ANNE                "</f>
        <v xml:space="preserve">O'CONNOR                 KARA ANNE                </v>
      </c>
      <c r="E1599" t="str">
        <f>"MOBILE                    "</f>
        <v xml:space="preserve">MOBILE                    </v>
      </c>
      <c r="F1599" t="str">
        <f t="shared" si="54"/>
        <v>AL</v>
      </c>
    </row>
    <row r="1600" spans="1:6" x14ac:dyDescent="0.25">
      <c r="A1600" t="str">
        <f>"200021400"</f>
        <v>200021400</v>
      </c>
      <c r="B1600" t="str">
        <f>"1114506706"</f>
        <v>1114506706</v>
      </c>
      <c r="C1600" t="str">
        <f>"207R00000X"</f>
        <v>207R00000X</v>
      </c>
      <c r="D1600" t="str">
        <f>"FISHER                   KIONDRA                  "</f>
        <v xml:space="preserve">FISHER                   KIONDRA                  </v>
      </c>
      <c r="E1600" t="str">
        <f>"BIRMINGHAM                "</f>
        <v xml:space="preserve">BIRMINGHAM                </v>
      </c>
      <c r="F1600" t="str">
        <f t="shared" si="54"/>
        <v>AL</v>
      </c>
    </row>
    <row r="1601" spans="1:6" x14ac:dyDescent="0.25">
      <c r="A1601" t="str">
        <f>"200021402"</f>
        <v>200021402</v>
      </c>
      <c r="B1601" t="str">
        <f>"1033932736"</f>
        <v>1033932736</v>
      </c>
      <c r="C1601" t="str">
        <f>"367500000X"</f>
        <v>367500000X</v>
      </c>
      <c r="D1601" t="str">
        <f>"PERRY                    EMILY        A           "</f>
        <v xml:space="preserve">PERRY                    EMILY        A           </v>
      </c>
      <c r="E1601" t="str">
        <f>"BIRMINGHAM                "</f>
        <v xml:space="preserve">BIRMINGHAM                </v>
      </c>
      <c r="F1601" t="str">
        <f t="shared" si="54"/>
        <v>AL</v>
      </c>
    </row>
    <row r="1602" spans="1:6" x14ac:dyDescent="0.25">
      <c r="A1602" t="str">
        <f>"200021412"</f>
        <v>200021412</v>
      </c>
      <c r="B1602" t="str">
        <f>"1770073942"</f>
        <v>1770073942</v>
      </c>
      <c r="C1602" t="str">
        <f>"207ZP0102X"</f>
        <v>207ZP0102X</v>
      </c>
      <c r="D1602" t="str">
        <f>"MASOUD                   MOHAMED                  "</f>
        <v xml:space="preserve">MASOUD                   MOHAMED                  </v>
      </c>
      <c r="E1602" t="str">
        <f>"BIRMINGHAM                "</f>
        <v xml:space="preserve">BIRMINGHAM                </v>
      </c>
      <c r="F1602" t="str">
        <f t="shared" si="54"/>
        <v>AL</v>
      </c>
    </row>
    <row r="1603" spans="1:6" x14ac:dyDescent="0.25">
      <c r="A1603" t="str">
        <f>"200021419"</f>
        <v>200021419</v>
      </c>
      <c r="B1603" t="str">
        <f>"1881488138"</f>
        <v>1881488138</v>
      </c>
      <c r="C1603" t="str">
        <f>"367500000X"</f>
        <v>367500000X</v>
      </c>
      <c r="D1603" t="str">
        <f>"MACKENZIE                RACHEL                   "</f>
        <v xml:space="preserve">MACKENZIE                RACHEL                   </v>
      </c>
      <c r="E1603" t="str">
        <f>"BIRMINGHAM                "</f>
        <v xml:space="preserve">BIRMINGHAM                </v>
      </c>
      <c r="F1603" t="str">
        <f t="shared" si="54"/>
        <v>AL</v>
      </c>
    </row>
    <row r="1604" spans="1:6" x14ac:dyDescent="0.25">
      <c r="A1604" t="str">
        <f>"200021429"</f>
        <v>200021429</v>
      </c>
      <c r="B1604" t="str">
        <f>"1942695556"</f>
        <v>1942695556</v>
      </c>
      <c r="C1604" t="str">
        <f>"207VX0201X"</f>
        <v>207VX0201X</v>
      </c>
      <c r="D1604" t="str">
        <f>"KUCERA                   CALEN        W           "</f>
        <v xml:space="preserve">KUCERA                   CALEN        W           </v>
      </c>
      <c r="E1604" t="str">
        <f>"MOBILE                    "</f>
        <v xml:space="preserve">MOBILE                    </v>
      </c>
      <c r="F1604" t="str">
        <f t="shared" si="54"/>
        <v>AL</v>
      </c>
    </row>
    <row r="1605" spans="1:6" x14ac:dyDescent="0.25">
      <c r="A1605" t="str">
        <f>"200021440"</f>
        <v>200021440</v>
      </c>
      <c r="B1605" t="str">
        <f>"1386268506"</f>
        <v>1386268506</v>
      </c>
      <c r="C1605" t="str">
        <f>"207ZP0101X"</f>
        <v>207ZP0101X</v>
      </c>
      <c r="D1605" t="str">
        <f>"MUJEEB ULLAH             ATEEQA                   "</f>
        <v xml:space="preserve">MUJEEB ULLAH             ATEEQA                   </v>
      </c>
      <c r="E1605" t="str">
        <f>"MOBILE                    "</f>
        <v xml:space="preserve">MOBILE                    </v>
      </c>
      <c r="F1605" t="str">
        <f t="shared" si="54"/>
        <v>AL</v>
      </c>
    </row>
    <row r="1606" spans="1:6" x14ac:dyDescent="0.25">
      <c r="A1606" t="str">
        <f>"200021458"</f>
        <v>200021458</v>
      </c>
      <c r="B1606" t="str">
        <f>"1013570068"</f>
        <v>1013570068</v>
      </c>
      <c r="C1606" t="str">
        <f>"363LW0102X"</f>
        <v>363LW0102X</v>
      </c>
      <c r="D1606" t="str">
        <f>"VANCE                    CATHERINE                "</f>
        <v xml:space="preserve">VANCE                    CATHERINE                </v>
      </c>
      <c r="E1606" t="str">
        <f>"BIRMINGHAM                "</f>
        <v xml:space="preserve">BIRMINGHAM                </v>
      </c>
      <c r="F1606" t="str">
        <f t="shared" si="54"/>
        <v>AL</v>
      </c>
    </row>
    <row r="1607" spans="1:6" x14ac:dyDescent="0.25">
      <c r="A1607" t="str">
        <f>"200021460"</f>
        <v>200021460</v>
      </c>
      <c r="B1607" t="str">
        <f>"1629891064"</f>
        <v>1629891064</v>
      </c>
      <c r="C1607" t="str">
        <f>"367500000X"</f>
        <v>367500000X</v>
      </c>
      <c r="D1607" t="str">
        <f>"DAVIS                    TORI                     "</f>
        <v xml:space="preserve">DAVIS                    TORI                     </v>
      </c>
      <c r="E1607" t="str">
        <f>"BIRMINGHAM                "</f>
        <v xml:space="preserve">BIRMINGHAM                </v>
      </c>
      <c r="F1607" t="str">
        <f t="shared" ref="F1607:F1670" si="55">"AL"</f>
        <v>AL</v>
      </c>
    </row>
    <row r="1608" spans="1:6" x14ac:dyDescent="0.25">
      <c r="A1608" t="str">
        <f>"200021493"</f>
        <v>200021493</v>
      </c>
      <c r="B1608" t="str">
        <f>"1821880238"</f>
        <v>1821880238</v>
      </c>
      <c r="C1608" t="str">
        <f>"367500000X"</f>
        <v>367500000X</v>
      </c>
      <c r="D1608" t="str">
        <f>"THETFORD                 PEYTON                   "</f>
        <v xml:space="preserve">THETFORD                 PEYTON                   </v>
      </c>
      <c r="E1608" t="str">
        <f>"BIRMINGHAM                "</f>
        <v xml:space="preserve">BIRMINGHAM                </v>
      </c>
      <c r="F1608" t="str">
        <f t="shared" si="55"/>
        <v>AL</v>
      </c>
    </row>
    <row r="1609" spans="1:6" x14ac:dyDescent="0.25">
      <c r="A1609" t="str">
        <f>"200021532"</f>
        <v>200021532</v>
      </c>
      <c r="B1609" t="str">
        <f>"1073253548"</f>
        <v>1073253548</v>
      </c>
      <c r="C1609" t="str">
        <f>"208000000X"</f>
        <v>208000000X</v>
      </c>
      <c r="D1609" t="str">
        <f>"NG                       STEPHANIE                "</f>
        <v xml:space="preserve">NG                       STEPHANIE                </v>
      </c>
      <c r="E1609" t="str">
        <f>"MOBILE                    "</f>
        <v xml:space="preserve">MOBILE                    </v>
      </c>
      <c r="F1609" t="str">
        <f t="shared" si="55"/>
        <v>AL</v>
      </c>
    </row>
    <row r="1610" spans="1:6" x14ac:dyDescent="0.25">
      <c r="A1610" t="str">
        <f>"200021540"</f>
        <v>200021540</v>
      </c>
      <c r="B1610" t="str">
        <f>"1942094057"</f>
        <v>1942094057</v>
      </c>
      <c r="C1610" t="str">
        <f>"207R00000X"</f>
        <v>207R00000X</v>
      </c>
      <c r="D1610" t="str">
        <f>"SHIVER                   JEREMY       W           "</f>
        <v xml:space="preserve">SHIVER                   JEREMY       W           </v>
      </c>
      <c r="E1610" t="str">
        <f>"MOBILE                    "</f>
        <v xml:space="preserve">MOBILE                    </v>
      </c>
      <c r="F1610" t="str">
        <f t="shared" si="55"/>
        <v>AL</v>
      </c>
    </row>
    <row r="1611" spans="1:6" x14ac:dyDescent="0.25">
      <c r="A1611" t="str">
        <f>"200021542"</f>
        <v>200021542</v>
      </c>
      <c r="B1611" t="str">
        <f>"1104619923"</f>
        <v>1104619923</v>
      </c>
      <c r="C1611" t="str">
        <f>"367500000X"</f>
        <v>367500000X</v>
      </c>
      <c r="D1611" t="str">
        <f>"CARTER                   WILLIAM                  "</f>
        <v xml:space="preserve">CARTER                   WILLIAM                  </v>
      </c>
      <c r="E1611" t="str">
        <f>"BIRMINGHAM                "</f>
        <v xml:space="preserve">BIRMINGHAM                </v>
      </c>
      <c r="F1611" t="str">
        <f t="shared" si="55"/>
        <v>AL</v>
      </c>
    </row>
    <row r="1612" spans="1:6" x14ac:dyDescent="0.25">
      <c r="A1612" t="str">
        <f>"200021570"</f>
        <v>200021570</v>
      </c>
      <c r="B1612" t="str">
        <f>"1376012195"</f>
        <v>1376012195</v>
      </c>
      <c r="C1612" t="str">
        <f>"367500000X"</f>
        <v>367500000X</v>
      </c>
      <c r="D1612" t="str">
        <f>"TOMBLIN                  COLIN                    "</f>
        <v xml:space="preserve">TOMBLIN                  COLIN                    </v>
      </c>
      <c r="E1612" t="str">
        <f>"BIRMINGHAM                "</f>
        <v xml:space="preserve">BIRMINGHAM                </v>
      </c>
      <c r="F1612" t="str">
        <f t="shared" si="55"/>
        <v>AL</v>
      </c>
    </row>
    <row r="1613" spans="1:6" x14ac:dyDescent="0.25">
      <c r="A1613" t="str">
        <f>"200021586"</f>
        <v>200021586</v>
      </c>
      <c r="B1613" t="str">
        <f>"1295039147"</f>
        <v>1295039147</v>
      </c>
      <c r="C1613" t="str">
        <f>"367500000X"</f>
        <v>367500000X</v>
      </c>
      <c r="D1613" t="str">
        <f>"PEARSON                  ZERRIN                   "</f>
        <v xml:space="preserve">PEARSON                  ZERRIN                   </v>
      </c>
      <c r="E1613" t="str">
        <f>"BIRMINGHAM                "</f>
        <v xml:space="preserve">BIRMINGHAM                </v>
      </c>
      <c r="F1613" t="str">
        <f t="shared" si="55"/>
        <v>AL</v>
      </c>
    </row>
    <row r="1614" spans="1:6" x14ac:dyDescent="0.25">
      <c r="A1614" t="str">
        <f>"200021656"</f>
        <v>200021656</v>
      </c>
      <c r="B1614" t="str">
        <f>"1033869516"</f>
        <v>1033869516</v>
      </c>
      <c r="C1614" t="str">
        <f>"207R00000X"</f>
        <v>207R00000X</v>
      </c>
      <c r="D1614" t="str">
        <f>"ELLIS                    MISTY        L           "</f>
        <v xml:space="preserve">ELLIS                    MISTY        L           </v>
      </c>
      <c r="E1614" t="str">
        <f>"MOBILE                    "</f>
        <v xml:space="preserve">MOBILE                    </v>
      </c>
      <c r="F1614" t="str">
        <f t="shared" si="55"/>
        <v>AL</v>
      </c>
    </row>
    <row r="1615" spans="1:6" x14ac:dyDescent="0.25">
      <c r="A1615" t="str">
        <f>"200021658"</f>
        <v>200021658</v>
      </c>
      <c r="B1615" t="str">
        <f>"1952862161"</f>
        <v>1952862161</v>
      </c>
      <c r="C1615" t="str">
        <f>"2080N0001X"</f>
        <v>2080N0001X</v>
      </c>
      <c r="D1615" t="str">
        <f>"WEI                      TING                     "</f>
        <v xml:space="preserve">WEI                      TING                     </v>
      </c>
      <c r="E1615" t="str">
        <f>"MOBILE                    "</f>
        <v xml:space="preserve">MOBILE                    </v>
      </c>
      <c r="F1615" t="str">
        <f t="shared" si="55"/>
        <v>AL</v>
      </c>
    </row>
    <row r="1616" spans="1:6" x14ac:dyDescent="0.25">
      <c r="A1616" t="str">
        <f>"200021661"</f>
        <v>200021661</v>
      </c>
      <c r="B1616" t="str">
        <f>"1144727025"</f>
        <v>1144727025</v>
      </c>
      <c r="C1616" t="str">
        <f>"207RP1001X"</f>
        <v>207RP1001X</v>
      </c>
      <c r="D1616" t="str">
        <f>"MCINTOSH                 JAVARDO                  "</f>
        <v xml:space="preserve">MCINTOSH                 JAVARDO                  </v>
      </c>
      <c r="E1616" t="str">
        <f>"FLORENCE                  "</f>
        <v xml:space="preserve">FLORENCE                  </v>
      </c>
      <c r="F1616" t="str">
        <f t="shared" si="55"/>
        <v>AL</v>
      </c>
    </row>
    <row r="1617" spans="1:6" x14ac:dyDescent="0.25">
      <c r="A1617" t="str">
        <f>"200021663"</f>
        <v>200021663</v>
      </c>
      <c r="B1617" t="str">
        <f>"1356862817"</f>
        <v>1356862817</v>
      </c>
      <c r="C1617" t="str">
        <f>"2080P0214X"</f>
        <v>2080P0214X</v>
      </c>
      <c r="D1617" t="str">
        <f>"CHOUDHARY                SAROJ                    "</f>
        <v xml:space="preserve">CHOUDHARY                SAROJ                    </v>
      </c>
      <c r="E1617" t="str">
        <f>"MOBILE                    "</f>
        <v xml:space="preserve">MOBILE                    </v>
      </c>
      <c r="F1617" t="str">
        <f t="shared" si="55"/>
        <v>AL</v>
      </c>
    </row>
    <row r="1618" spans="1:6" x14ac:dyDescent="0.25">
      <c r="A1618" t="str">
        <f>"200021688"</f>
        <v>200021688</v>
      </c>
      <c r="B1618" t="str">
        <f>"1447697743"</f>
        <v>1447697743</v>
      </c>
      <c r="C1618" t="str">
        <f>"207RP1001X"</f>
        <v>207RP1001X</v>
      </c>
      <c r="D1618" t="str">
        <f>"ELLERMAN                 JUSTIN       L           "</f>
        <v xml:space="preserve">ELLERMAN                 JUSTIN       L           </v>
      </c>
      <c r="E1618" t="str">
        <f>"MOBILE                    "</f>
        <v xml:space="preserve">MOBILE                    </v>
      </c>
      <c r="F1618" t="str">
        <f t="shared" si="55"/>
        <v>AL</v>
      </c>
    </row>
    <row r="1619" spans="1:6" x14ac:dyDescent="0.25">
      <c r="A1619" t="str">
        <f>"200021701"</f>
        <v>200021701</v>
      </c>
      <c r="B1619" t="str">
        <f>"1134862519"</f>
        <v>1134862519</v>
      </c>
      <c r="C1619" t="str">
        <f>"207R00000X"</f>
        <v>207R00000X</v>
      </c>
      <c r="D1619" t="str">
        <f>"TAYLOR                   ZACHARY                  "</f>
        <v xml:space="preserve">TAYLOR                   ZACHARY                  </v>
      </c>
      <c r="E1619" t="str">
        <f t="shared" ref="E1619:E1632" si="56">"BIRMINGHAM                "</f>
        <v xml:space="preserve">BIRMINGHAM                </v>
      </c>
      <c r="F1619" t="str">
        <f t="shared" si="55"/>
        <v>AL</v>
      </c>
    </row>
    <row r="1620" spans="1:6" x14ac:dyDescent="0.25">
      <c r="A1620" t="str">
        <f>"200021705"</f>
        <v>200021705</v>
      </c>
      <c r="B1620" t="str">
        <f>"1295295244"</f>
        <v>1295295244</v>
      </c>
      <c r="C1620" t="str">
        <f>"207RN0300X"</f>
        <v>207RN0300X</v>
      </c>
      <c r="D1620" t="str">
        <f>"PATEL                    DEVANSH                  "</f>
        <v xml:space="preserve">PATEL                    DEVANSH                  </v>
      </c>
      <c r="E1620" t="str">
        <f t="shared" si="56"/>
        <v xml:space="preserve">BIRMINGHAM                </v>
      </c>
      <c r="F1620" t="str">
        <f t="shared" si="55"/>
        <v>AL</v>
      </c>
    </row>
    <row r="1621" spans="1:6" x14ac:dyDescent="0.25">
      <c r="A1621" t="str">
        <f>"200021708"</f>
        <v>200021708</v>
      </c>
      <c r="B1621" t="str">
        <f>"1831489707"</f>
        <v>1831489707</v>
      </c>
      <c r="C1621" t="str">
        <f>"363A00000X"</f>
        <v>363A00000X</v>
      </c>
      <c r="D1621" t="str">
        <f>"MARTIN                   LAURA                    "</f>
        <v xml:space="preserve">MARTIN                   LAURA                    </v>
      </c>
      <c r="E1621" t="str">
        <f t="shared" si="56"/>
        <v xml:space="preserve">BIRMINGHAM                </v>
      </c>
      <c r="F1621" t="str">
        <f t="shared" si="55"/>
        <v>AL</v>
      </c>
    </row>
    <row r="1622" spans="1:6" x14ac:dyDescent="0.25">
      <c r="A1622" t="str">
        <f>"200021717"</f>
        <v>200021717</v>
      </c>
      <c r="B1622" t="str">
        <f>"1477180586"</f>
        <v>1477180586</v>
      </c>
      <c r="C1622" t="str">
        <f>"2085R0202X"</f>
        <v>2085R0202X</v>
      </c>
      <c r="D1622" t="str">
        <f>"KASSELS                  MATTHEW                  "</f>
        <v xml:space="preserve">KASSELS                  MATTHEW                  </v>
      </c>
      <c r="E1622" t="str">
        <f t="shared" si="56"/>
        <v xml:space="preserve">BIRMINGHAM                </v>
      </c>
      <c r="F1622" t="str">
        <f t="shared" si="55"/>
        <v>AL</v>
      </c>
    </row>
    <row r="1623" spans="1:6" x14ac:dyDescent="0.25">
      <c r="A1623" t="str">
        <f>"200021722"</f>
        <v>200021722</v>
      </c>
      <c r="B1623" t="str">
        <f>"1750013967"</f>
        <v>1750013967</v>
      </c>
      <c r="C1623" t="str">
        <f>"207P00000X"</f>
        <v>207P00000X</v>
      </c>
      <c r="D1623" t="str">
        <f>"KUBENA                   ARIANE                   "</f>
        <v xml:space="preserve">KUBENA                   ARIANE                   </v>
      </c>
      <c r="E1623" t="str">
        <f t="shared" si="56"/>
        <v xml:space="preserve">BIRMINGHAM                </v>
      </c>
      <c r="F1623" t="str">
        <f t="shared" si="55"/>
        <v>AL</v>
      </c>
    </row>
    <row r="1624" spans="1:6" x14ac:dyDescent="0.25">
      <c r="A1624" t="str">
        <f>"200021728"</f>
        <v>200021728</v>
      </c>
      <c r="B1624" t="str">
        <f>"1609339266"</f>
        <v>1609339266</v>
      </c>
      <c r="C1624" t="str">
        <f>"2085R0202X"</f>
        <v>2085R0202X</v>
      </c>
      <c r="D1624" t="str">
        <f>"CUNNINGHAM               CHRISTOPHER              "</f>
        <v xml:space="preserve">CUNNINGHAM               CHRISTOPHER              </v>
      </c>
      <c r="E1624" t="str">
        <f t="shared" si="56"/>
        <v xml:space="preserve">BIRMINGHAM                </v>
      </c>
      <c r="F1624" t="str">
        <f t="shared" si="55"/>
        <v>AL</v>
      </c>
    </row>
    <row r="1625" spans="1:6" x14ac:dyDescent="0.25">
      <c r="A1625" t="str">
        <f>"200021735"</f>
        <v>200021735</v>
      </c>
      <c r="B1625" t="str">
        <f>"1972921096"</f>
        <v>1972921096</v>
      </c>
      <c r="C1625" t="str">
        <f>"207QS0010X"</f>
        <v>207QS0010X</v>
      </c>
      <c r="D1625" t="str">
        <f>"BROWN                    STEVEN                   "</f>
        <v xml:space="preserve">BROWN                    STEVEN                   </v>
      </c>
      <c r="E1625" t="str">
        <f t="shared" si="56"/>
        <v xml:space="preserve">BIRMINGHAM                </v>
      </c>
      <c r="F1625" t="str">
        <f t="shared" si="55"/>
        <v>AL</v>
      </c>
    </row>
    <row r="1626" spans="1:6" x14ac:dyDescent="0.25">
      <c r="A1626" t="str">
        <f>"200021758"</f>
        <v>200021758</v>
      </c>
      <c r="B1626" t="str">
        <f>"1396135679"</f>
        <v>1396135679</v>
      </c>
      <c r="C1626" t="str">
        <f>"367500000X"</f>
        <v>367500000X</v>
      </c>
      <c r="D1626" t="str">
        <f>"ALIFARHANI               MARY                     "</f>
        <v xml:space="preserve">ALIFARHANI               MARY                     </v>
      </c>
      <c r="E1626" t="str">
        <f t="shared" si="56"/>
        <v xml:space="preserve">BIRMINGHAM                </v>
      </c>
      <c r="F1626" t="str">
        <f t="shared" si="55"/>
        <v>AL</v>
      </c>
    </row>
    <row r="1627" spans="1:6" x14ac:dyDescent="0.25">
      <c r="A1627" t="str">
        <f>"200021774"</f>
        <v>200021774</v>
      </c>
      <c r="B1627" t="str">
        <f>"1336179639"</f>
        <v>1336179639</v>
      </c>
      <c r="C1627" t="str">
        <f>"207RC0000X"</f>
        <v>207RC0000X</v>
      </c>
      <c r="D1627" t="str">
        <f>"MILLER                   ANDREW                   "</f>
        <v xml:space="preserve">MILLER                   ANDREW                   </v>
      </c>
      <c r="E1627" t="str">
        <f t="shared" si="56"/>
        <v xml:space="preserve">BIRMINGHAM                </v>
      </c>
      <c r="F1627" t="str">
        <f t="shared" si="55"/>
        <v>AL</v>
      </c>
    </row>
    <row r="1628" spans="1:6" x14ac:dyDescent="0.25">
      <c r="A1628" t="str">
        <f>"200021783"</f>
        <v>200021783</v>
      </c>
      <c r="B1628" t="str">
        <f>"1487090536"</f>
        <v>1487090536</v>
      </c>
      <c r="C1628" t="str">
        <f>"207P00000X"</f>
        <v>207P00000X</v>
      </c>
      <c r="D1628" t="str">
        <f>"CHAMBERLAIN              TIMOTHY                  "</f>
        <v xml:space="preserve">CHAMBERLAIN              TIMOTHY                  </v>
      </c>
      <c r="E1628" t="str">
        <f t="shared" si="56"/>
        <v xml:space="preserve">BIRMINGHAM                </v>
      </c>
      <c r="F1628" t="str">
        <f t="shared" si="55"/>
        <v>AL</v>
      </c>
    </row>
    <row r="1629" spans="1:6" x14ac:dyDescent="0.25">
      <c r="A1629" t="str">
        <f>"200021793"</f>
        <v>200021793</v>
      </c>
      <c r="B1629" t="str">
        <f>"1053946202"</f>
        <v>1053946202</v>
      </c>
      <c r="C1629" t="str">
        <f>"207V00000X"</f>
        <v>207V00000X</v>
      </c>
      <c r="D1629" t="str">
        <f>"CASPER                   KAITLYN                  "</f>
        <v xml:space="preserve">CASPER                   KAITLYN                  </v>
      </c>
      <c r="E1629" t="str">
        <f t="shared" si="56"/>
        <v xml:space="preserve">BIRMINGHAM                </v>
      </c>
      <c r="F1629" t="str">
        <f t="shared" si="55"/>
        <v>AL</v>
      </c>
    </row>
    <row r="1630" spans="1:6" x14ac:dyDescent="0.25">
      <c r="A1630" t="str">
        <f>"200021794"</f>
        <v>200021794</v>
      </c>
      <c r="B1630" t="str">
        <f>"1346970456"</f>
        <v>1346970456</v>
      </c>
      <c r="C1630" t="str">
        <f>"207Q00000X"</f>
        <v>207Q00000X</v>
      </c>
      <c r="D1630" t="str">
        <f>"IAKOVLIEV                VITALII                  "</f>
        <v xml:space="preserve">IAKOVLIEV                VITALII                  </v>
      </c>
      <c r="E1630" t="str">
        <f t="shared" si="56"/>
        <v xml:space="preserve">BIRMINGHAM                </v>
      </c>
      <c r="F1630" t="str">
        <f t="shared" si="55"/>
        <v>AL</v>
      </c>
    </row>
    <row r="1631" spans="1:6" x14ac:dyDescent="0.25">
      <c r="A1631" t="str">
        <f>"200021795"</f>
        <v>200021795</v>
      </c>
      <c r="B1631" t="str">
        <f>"1508434754"</f>
        <v>1508434754</v>
      </c>
      <c r="C1631" t="str">
        <f>"207V00000X"</f>
        <v>207V00000X</v>
      </c>
      <c r="D1631" t="str">
        <f>"TURNER                   KATHERINE                "</f>
        <v xml:space="preserve">TURNER                   KATHERINE                </v>
      </c>
      <c r="E1631" t="str">
        <f t="shared" si="56"/>
        <v xml:space="preserve">BIRMINGHAM                </v>
      </c>
      <c r="F1631" t="str">
        <f t="shared" si="55"/>
        <v>AL</v>
      </c>
    </row>
    <row r="1632" spans="1:6" x14ac:dyDescent="0.25">
      <c r="A1632" t="str">
        <f>"200021834"</f>
        <v>200021834</v>
      </c>
      <c r="B1632" t="str">
        <f>"1760805386"</f>
        <v>1760805386</v>
      </c>
      <c r="C1632" t="str">
        <f>"367500000X"</f>
        <v>367500000X</v>
      </c>
      <c r="D1632" t="str">
        <f>"HARRELL                  ANDREW                   "</f>
        <v xml:space="preserve">HARRELL                  ANDREW                   </v>
      </c>
      <c r="E1632" t="str">
        <f t="shared" si="56"/>
        <v xml:space="preserve">BIRMINGHAM                </v>
      </c>
      <c r="F1632" t="str">
        <f t="shared" si="55"/>
        <v>AL</v>
      </c>
    </row>
    <row r="1633" spans="1:6" x14ac:dyDescent="0.25">
      <c r="A1633" t="str">
        <f>"200021858"</f>
        <v>200021858</v>
      </c>
      <c r="B1633" t="str">
        <f>"1942948930"</f>
        <v>1942948930</v>
      </c>
      <c r="C1633" t="str">
        <f>"208M00000X"</f>
        <v>208M00000X</v>
      </c>
      <c r="D1633" t="str">
        <f>"DAS                      RAKESH       K           "</f>
        <v xml:space="preserve">DAS                      RAKESH       K           </v>
      </c>
      <c r="E1633" t="str">
        <f>"MOBILE                    "</f>
        <v xml:space="preserve">MOBILE                    </v>
      </c>
      <c r="F1633" t="str">
        <f t="shared" si="55"/>
        <v>AL</v>
      </c>
    </row>
    <row r="1634" spans="1:6" x14ac:dyDescent="0.25">
      <c r="A1634" t="str">
        <f>"200021866"</f>
        <v>200021866</v>
      </c>
      <c r="B1634" t="str">
        <f>"1164461422"</f>
        <v>1164461422</v>
      </c>
      <c r="C1634" t="str">
        <f>"2084P0800X"</f>
        <v>2084P0800X</v>
      </c>
      <c r="D1634" t="str">
        <f>"REDWINE                  MADISON                  "</f>
        <v xml:space="preserve">REDWINE                  MADISON                  </v>
      </c>
      <c r="E1634" t="str">
        <f>"BIRMINGHAM                "</f>
        <v xml:space="preserve">BIRMINGHAM                </v>
      </c>
      <c r="F1634" t="str">
        <f t="shared" si="55"/>
        <v>AL</v>
      </c>
    </row>
    <row r="1635" spans="1:6" x14ac:dyDescent="0.25">
      <c r="A1635" t="str">
        <f>"200021867"</f>
        <v>200021867</v>
      </c>
      <c r="B1635" t="str">
        <f>"1962039982"</f>
        <v>1962039982</v>
      </c>
      <c r="C1635" t="str">
        <f>"207V00000X"</f>
        <v>207V00000X</v>
      </c>
      <c r="D1635" t="str">
        <f>"CUMMINGS                 MACKENZIE    A           "</f>
        <v xml:space="preserve">CUMMINGS                 MACKENZIE    A           </v>
      </c>
      <c r="E1635" t="str">
        <f>"MOBILE                    "</f>
        <v xml:space="preserve">MOBILE                    </v>
      </c>
      <c r="F1635" t="str">
        <f t="shared" si="55"/>
        <v>AL</v>
      </c>
    </row>
    <row r="1636" spans="1:6" x14ac:dyDescent="0.25">
      <c r="A1636" t="str">
        <f>"200021873"</f>
        <v>200021873</v>
      </c>
      <c r="B1636" t="str">
        <f>"1922505643"</f>
        <v>1922505643</v>
      </c>
      <c r="C1636" t="str">
        <f>"207Y00000X"</f>
        <v>207Y00000X</v>
      </c>
      <c r="D1636" t="str">
        <f>"DERISE                   NATALIE                  "</f>
        <v xml:space="preserve">DERISE                   NATALIE                  </v>
      </c>
      <c r="E1636" t="str">
        <f t="shared" ref="E1636:E1644" si="57">"BIRMINGHAM                "</f>
        <v xml:space="preserve">BIRMINGHAM                </v>
      </c>
      <c r="F1636" t="str">
        <f t="shared" si="55"/>
        <v>AL</v>
      </c>
    </row>
    <row r="1637" spans="1:6" x14ac:dyDescent="0.25">
      <c r="A1637" t="str">
        <f>"200021891"</f>
        <v>200021891</v>
      </c>
      <c r="B1637" t="str">
        <f>"1861134272"</f>
        <v>1861134272</v>
      </c>
      <c r="C1637" t="str">
        <f>"207R00000X"</f>
        <v>207R00000X</v>
      </c>
      <c r="D1637" t="str">
        <f>"CHAPMAN                  MALCOLM                  "</f>
        <v xml:space="preserve">CHAPMAN                  MALCOLM                  </v>
      </c>
      <c r="E1637" t="str">
        <f t="shared" si="57"/>
        <v xml:space="preserve">BIRMINGHAM                </v>
      </c>
      <c r="F1637" t="str">
        <f t="shared" si="55"/>
        <v>AL</v>
      </c>
    </row>
    <row r="1638" spans="1:6" x14ac:dyDescent="0.25">
      <c r="A1638" t="str">
        <f>"200021911"</f>
        <v>200021911</v>
      </c>
      <c r="B1638" t="str">
        <f>"1174264154"</f>
        <v>1174264154</v>
      </c>
      <c r="C1638" t="str">
        <f>"208M00000X"</f>
        <v>208M00000X</v>
      </c>
      <c r="D1638" t="str">
        <f>"MAYNARD                  DAVID                    "</f>
        <v xml:space="preserve">MAYNARD                  DAVID                    </v>
      </c>
      <c r="E1638" t="str">
        <f t="shared" si="57"/>
        <v xml:space="preserve">BIRMINGHAM                </v>
      </c>
      <c r="F1638" t="str">
        <f t="shared" si="55"/>
        <v>AL</v>
      </c>
    </row>
    <row r="1639" spans="1:6" x14ac:dyDescent="0.25">
      <c r="A1639" t="str">
        <f>"200021918"</f>
        <v>200021918</v>
      </c>
      <c r="B1639" t="str">
        <f>"1558536169"</f>
        <v>1558536169</v>
      </c>
      <c r="C1639" t="str">
        <f>"207W00000X"</f>
        <v>207W00000X</v>
      </c>
      <c r="D1639" t="str">
        <f>"CROSSON                  JASON        N           "</f>
        <v xml:space="preserve">CROSSON                  JASON        N           </v>
      </c>
      <c r="E1639" t="str">
        <f t="shared" si="57"/>
        <v xml:space="preserve">BIRMINGHAM                </v>
      </c>
      <c r="F1639" t="str">
        <f t="shared" si="55"/>
        <v>AL</v>
      </c>
    </row>
    <row r="1640" spans="1:6" x14ac:dyDescent="0.25">
      <c r="A1640" t="str">
        <f>"200021919"</f>
        <v>200021919</v>
      </c>
      <c r="B1640" t="str">
        <f>"1154095925"</f>
        <v>1154095925</v>
      </c>
      <c r="C1640" t="str">
        <f>"363L00000X"</f>
        <v>363L00000X</v>
      </c>
      <c r="D1640" t="str">
        <f>"LEMERE                   KAROL                    "</f>
        <v xml:space="preserve">LEMERE                   KAROL                    </v>
      </c>
      <c r="E1640" t="str">
        <f t="shared" si="57"/>
        <v xml:space="preserve">BIRMINGHAM                </v>
      </c>
      <c r="F1640" t="str">
        <f t="shared" si="55"/>
        <v>AL</v>
      </c>
    </row>
    <row r="1641" spans="1:6" x14ac:dyDescent="0.25">
      <c r="A1641" t="str">
        <f>"200021920"</f>
        <v>200021920</v>
      </c>
      <c r="B1641" t="str">
        <f>"1235870486"</f>
        <v>1235870486</v>
      </c>
      <c r="C1641" t="str">
        <f>"207P00000X"</f>
        <v>207P00000X</v>
      </c>
      <c r="D1641" t="str">
        <f>"WADE                     DEVON                    "</f>
        <v xml:space="preserve">WADE                     DEVON                    </v>
      </c>
      <c r="E1641" t="str">
        <f t="shared" si="57"/>
        <v xml:space="preserve">BIRMINGHAM                </v>
      </c>
      <c r="F1641" t="str">
        <f t="shared" si="55"/>
        <v>AL</v>
      </c>
    </row>
    <row r="1642" spans="1:6" x14ac:dyDescent="0.25">
      <c r="A1642" t="str">
        <f>"200021947"</f>
        <v>200021947</v>
      </c>
      <c r="B1642" t="str">
        <f>"1912403775"</f>
        <v>1912403775</v>
      </c>
      <c r="C1642" t="str">
        <f>"207RG0100X"</f>
        <v>207RG0100X</v>
      </c>
      <c r="D1642" t="str">
        <f>"KHAN                     WALID                    "</f>
        <v xml:space="preserve">KHAN                     WALID                    </v>
      </c>
      <c r="E1642" t="str">
        <f t="shared" si="57"/>
        <v xml:space="preserve">BIRMINGHAM                </v>
      </c>
      <c r="F1642" t="str">
        <f t="shared" si="55"/>
        <v>AL</v>
      </c>
    </row>
    <row r="1643" spans="1:6" x14ac:dyDescent="0.25">
      <c r="A1643" t="str">
        <f>"200021948"</f>
        <v>200021948</v>
      </c>
      <c r="B1643" t="str">
        <f>"1669001962"</f>
        <v>1669001962</v>
      </c>
      <c r="C1643" t="str">
        <f>"207RE0101X"</f>
        <v>207RE0101X</v>
      </c>
      <c r="D1643" t="str">
        <f>"CAMPBELL                 ELIZABETH                "</f>
        <v xml:space="preserve">CAMPBELL                 ELIZABETH                </v>
      </c>
      <c r="E1643" t="str">
        <f t="shared" si="57"/>
        <v xml:space="preserve">BIRMINGHAM                </v>
      </c>
      <c r="F1643" t="str">
        <f t="shared" si="55"/>
        <v>AL</v>
      </c>
    </row>
    <row r="1644" spans="1:6" x14ac:dyDescent="0.25">
      <c r="A1644" t="str">
        <f>"200021951"</f>
        <v>200021951</v>
      </c>
      <c r="B1644" t="str">
        <f>"1467941864"</f>
        <v>1467941864</v>
      </c>
      <c r="C1644" t="str">
        <f>"207RH0003X"</f>
        <v>207RH0003X</v>
      </c>
      <c r="D1644" t="str">
        <f>"SHARMA                   ADITI                    "</f>
        <v xml:space="preserve">SHARMA                   ADITI                    </v>
      </c>
      <c r="E1644" t="str">
        <f t="shared" si="57"/>
        <v xml:space="preserve">BIRMINGHAM                </v>
      </c>
      <c r="F1644" t="str">
        <f t="shared" si="55"/>
        <v>AL</v>
      </c>
    </row>
    <row r="1645" spans="1:6" x14ac:dyDescent="0.25">
      <c r="A1645" t="str">
        <f>"200021954"</f>
        <v>200021954</v>
      </c>
      <c r="B1645" t="str">
        <f>"1912906942"</f>
        <v>1912906942</v>
      </c>
      <c r="C1645" t="str">
        <f>"207V00000X"</f>
        <v>207V00000X</v>
      </c>
      <c r="D1645" t="str">
        <f>"WILLIAMS                 JUDITH       J           "</f>
        <v xml:space="preserve">WILLIAMS                 JUDITH       J           </v>
      </c>
      <c r="E1645" t="str">
        <f>"MOBILE                    "</f>
        <v xml:space="preserve">MOBILE                    </v>
      </c>
      <c r="F1645" t="str">
        <f t="shared" si="55"/>
        <v>AL</v>
      </c>
    </row>
    <row r="1646" spans="1:6" x14ac:dyDescent="0.25">
      <c r="A1646" t="str">
        <f>"200021975"</f>
        <v>200021975</v>
      </c>
      <c r="B1646" t="str">
        <f>"1073041562"</f>
        <v>1073041562</v>
      </c>
      <c r="C1646" t="str">
        <f>"207RP1001X"</f>
        <v>207RP1001X</v>
      </c>
      <c r="D1646" t="str">
        <f>"ROBINSON                 DREW                     "</f>
        <v xml:space="preserve">ROBINSON                 DREW                     </v>
      </c>
      <c r="E1646" t="str">
        <f t="shared" ref="E1646:E1651" si="58">"BIRMINGHAM                "</f>
        <v xml:space="preserve">BIRMINGHAM                </v>
      </c>
      <c r="F1646" t="str">
        <f t="shared" si="55"/>
        <v>AL</v>
      </c>
    </row>
    <row r="1647" spans="1:6" x14ac:dyDescent="0.25">
      <c r="A1647" t="str">
        <f>"200021976"</f>
        <v>200021976</v>
      </c>
      <c r="B1647" t="str">
        <f>"1992202634"</f>
        <v>1992202634</v>
      </c>
      <c r="C1647" t="str">
        <f>"1223S0112X"</f>
        <v>1223S0112X</v>
      </c>
      <c r="D1647" t="str">
        <f>"LE                       JOHN                     "</f>
        <v xml:space="preserve">LE                       JOHN                     </v>
      </c>
      <c r="E1647" t="str">
        <f t="shared" si="58"/>
        <v xml:space="preserve">BIRMINGHAM                </v>
      </c>
      <c r="F1647" t="str">
        <f t="shared" si="55"/>
        <v>AL</v>
      </c>
    </row>
    <row r="1648" spans="1:6" x14ac:dyDescent="0.25">
      <c r="A1648" t="str">
        <f>"200021979"</f>
        <v>200021979</v>
      </c>
      <c r="B1648" t="str">
        <f>"1669121877"</f>
        <v>1669121877</v>
      </c>
      <c r="C1648" t="str">
        <f>"207RC0000X"</f>
        <v>207RC0000X</v>
      </c>
      <c r="D1648" t="str">
        <f>"PRICE                    JORDAN                   "</f>
        <v xml:space="preserve">PRICE                    JORDAN                   </v>
      </c>
      <c r="E1648" t="str">
        <f t="shared" si="58"/>
        <v xml:space="preserve">BIRMINGHAM                </v>
      </c>
      <c r="F1648" t="str">
        <f t="shared" si="55"/>
        <v>AL</v>
      </c>
    </row>
    <row r="1649" spans="1:6" x14ac:dyDescent="0.25">
      <c r="A1649" t="str">
        <f>"200021990"</f>
        <v>200021990</v>
      </c>
      <c r="B1649" t="str">
        <f>"1801288253"</f>
        <v>1801288253</v>
      </c>
      <c r="C1649" t="str">
        <f>"363A00000X"</f>
        <v>363A00000X</v>
      </c>
      <c r="D1649" t="str">
        <f>"SMITH                    LAUREN                   "</f>
        <v xml:space="preserve">SMITH                    LAUREN                   </v>
      </c>
      <c r="E1649" t="str">
        <f t="shared" si="58"/>
        <v xml:space="preserve">BIRMINGHAM                </v>
      </c>
      <c r="F1649" t="str">
        <f t="shared" si="55"/>
        <v>AL</v>
      </c>
    </row>
    <row r="1650" spans="1:6" x14ac:dyDescent="0.25">
      <c r="A1650" t="str">
        <f>"200021993"</f>
        <v>200021993</v>
      </c>
      <c r="B1650" t="str">
        <f>"1073191060"</f>
        <v>1073191060</v>
      </c>
      <c r="C1650" t="str">
        <f>"207R00000X"</f>
        <v>207R00000X</v>
      </c>
      <c r="D1650" t="str">
        <f>"SPELL                    DAN                      "</f>
        <v xml:space="preserve">SPELL                    DAN                      </v>
      </c>
      <c r="E1650" t="str">
        <f t="shared" si="58"/>
        <v xml:space="preserve">BIRMINGHAM                </v>
      </c>
      <c r="F1650" t="str">
        <f t="shared" si="55"/>
        <v>AL</v>
      </c>
    </row>
    <row r="1651" spans="1:6" x14ac:dyDescent="0.25">
      <c r="A1651" t="str">
        <f>"200022009"</f>
        <v>200022009</v>
      </c>
      <c r="B1651" t="str">
        <f>"1447970181"</f>
        <v>1447970181</v>
      </c>
      <c r="C1651" t="str">
        <f>"207RC0000X"</f>
        <v>207RC0000X</v>
      </c>
      <c r="D1651" t="str">
        <f>"UPADHYAYA                ASTHA                    "</f>
        <v xml:space="preserve">UPADHYAYA                ASTHA                    </v>
      </c>
      <c r="E1651" t="str">
        <f t="shared" si="58"/>
        <v xml:space="preserve">BIRMINGHAM                </v>
      </c>
      <c r="F1651" t="str">
        <f t="shared" si="55"/>
        <v>AL</v>
      </c>
    </row>
    <row r="1652" spans="1:6" x14ac:dyDescent="0.25">
      <c r="A1652" t="str">
        <f>"200022014"</f>
        <v>200022014</v>
      </c>
      <c r="B1652" t="str">
        <f>"1639170723"</f>
        <v>1639170723</v>
      </c>
      <c r="C1652" t="str">
        <f>"363AM0700X"</f>
        <v>363AM0700X</v>
      </c>
      <c r="D1652" t="str">
        <f>"HITES                    KEVIN                    "</f>
        <v xml:space="preserve">HITES                    KEVIN                    </v>
      </c>
      <c r="E1652" t="str">
        <f>"MOBILE                    "</f>
        <v xml:space="preserve">MOBILE                    </v>
      </c>
      <c r="F1652" t="str">
        <f t="shared" si="55"/>
        <v>AL</v>
      </c>
    </row>
    <row r="1653" spans="1:6" x14ac:dyDescent="0.25">
      <c r="A1653" t="str">
        <f>"200022018"</f>
        <v>200022018</v>
      </c>
      <c r="B1653" t="str">
        <f>"1144858838"</f>
        <v>1144858838</v>
      </c>
      <c r="C1653" t="str">
        <f>"208M00000X"</f>
        <v>208M00000X</v>
      </c>
      <c r="D1653" t="str">
        <f>"COOK                     TAYLOR                   "</f>
        <v xml:space="preserve">COOK                     TAYLOR                   </v>
      </c>
      <c r="E1653" t="str">
        <f>"MOBILE                    "</f>
        <v xml:space="preserve">MOBILE                    </v>
      </c>
      <c r="F1653" t="str">
        <f t="shared" si="55"/>
        <v>AL</v>
      </c>
    </row>
    <row r="1654" spans="1:6" x14ac:dyDescent="0.25">
      <c r="A1654" t="str">
        <f>"200022021"</f>
        <v>200022021</v>
      </c>
      <c r="B1654" t="str">
        <f>"1811450158"</f>
        <v>1811450158</v>
      </c>
      <c r="C1654" t="str">
        <f>"2085R0202X"</f>
        <v>2085R0202X</v>
      </c>
      <c r="D1654" t="str">
        <f>"GUIDRY                   RUSS                     "</f>
        <v xml:space="preserve">GUIDRY                   RUSS                     </v>
      </c>
      <c r="E1654" t="str">
        <f>"BIRMINGHAM                "</f>
        <v xml:space="preserve">BIRMINGHAM                </v>
      </c>
      <c r="F1654" t="str">
        <f t="shared" si="55"/>
        <v>AL</v>
      </c>
    </row>
    <row r="1655" spans="1:6" x14ac:dyDescent="0.25">
      <c r="A1655" t="str">
        <f>"200022022"</f>
        <v>200022022</v>
      </c>
      <c r="B1655" t="str">
        <f>"1770213076"</f>
        <v>1770213076</v>
      </c>
      <c r="C1655" t="str">
        <f>"207RE0101X"</f>
        <v>207RE0101X</v>
      </c>
      <c r="D1655" t="str">
        <f>"OGBEIFUN                 OMOSEFE                  "</f>
        <v xml:space="preserve">OGBEIFUN                 OMOSEFE                  </v>
      </c>
      <c r="E1655" t="str">
        <f>"BIRMINGHAM                "</f>
        <v xml:space="preserve">BIRMINGHAM                </v>
      </c>
      <c r="F1655" t="str">
        <f t="shared" si="55"/>
        <v>AL</v>
      </c>
    </row>
    <row r="1656" spans="1:6" x14ac:dyDescent="0.25">
      <c r="A1656" t="str">
        <f>"200022026"</f>
        <v>200022026</v>
      </c>
      <c r="B1656" t="str">
        <f>"1104529395"</f>
        <v>1104529395</v>
      </c>
      <c r="C1656" t="str">
        <f>"207P00000X"</f>
        <v>207P00000X</v>
      </c>
      <c r="D1656" t="str">
        <f>"ANICH                    SAMUEL                   "</f>
        <v xml:space="preserve">ANICH                    SAMUEL                   </v>
      </c>
      <c r="E1656" t="str">
        <f>"MOBILE                    "</f>
        <v xml:space="preserve">MOBILE                    </v>
      </c>
      <c r="F1656" t="str">
        <f t="shared" si="55"/>
        <v>AL</v>
      </c>
    </row>
    <row r="1657" spans="1:6" x14ac:dyDescent="0.25">
      <c r="A1657" t="str">
        <f>"200022042"</f>
        <v>200022042</v>
      </c>
      <c r="B1657" t="str">
        <f>"1447788179"</f>
        <v>1447788179</v>
      </c>
      <c r="C1657" t="str">
        <f>"207RC0000X"</f>
        <v>207RC0000X</v>
      </c>
      <c r="D1657" t="str">
        <f>"CHEN                     WEIHAN                   "</f>
        <v xml:space="preserve">CHEN                     WEIHAN                   </v>
      </c>
      <c r="E1657" t="str">
        <f>"BIRMINGHAM                "</f>
        <v xml:space="preserve">BIRMINGHAM                </v>
      </c>
      <c r="F1657" t="str">
        <f t="shared" si="55"/>
        <v>AL</v>
      </c>
    </row>
    <row r="1658" spans="1:6" x14ac:dyDescent="0.25">
      <c r="A1658" t="str">
        <f>"200022045"</f>
        <v>200022045</v>
      </c>
      <c r="B1658" t="str">
        <f>"1760069587"</f>
        <v>1760069587</v>
      </c>
      <c r="C1658" t="str">
        <f>"207L00000X"</f>
        <v>207L00000X</v>
      </c>
      <c r="D1658" t="str">
        <f>"STREETZEL                CHARLOTTE                "</f>
        <v xml:space="preserve">STREETZEL                CHARLOTTE                </v>
      </c>
      <c r="E1658" t="str">
        <f>"BIRMINGHAM                "</f>
        <v xml:space="preserve">BIRMINGHAM                </v>
      </c>
      <c r="F1658" t="str">
        <f t="shared" si="55"/>
        <v>AL</v>
      </c>
    </row>
    <row r="1659" spans="1:6" x14ac:dyDescent="0.25">
      <c r="A1659" t="str">
        <f>"200022063"</f>
        <v>200022063</v>
      </c>
      <c r="B1659" t="str">
        <f>"1598487712"</f>
        <v>1598487712</v>
      </c>
      <c r="C1659" t="str">
        <f>"207R00000X"</f>
        <v>207R00000X</v>
      </c>
      <c r="D1659" t="str">
        <f>"RASHID                   MUHAMMAD                 "</f>
        <v xml:space="preserve">RASHID                   MUHAMMAD                 </v>
      </c>
      <c r="E1659" t="str">
        <f>"FLORENCE                  "</f>
        <v xml:space="preserve">FLORENCE                  </v>
      </c>
      <c r="F1659" t="str">
        <f t="shared" si="55"/>
        <v>AL</v>
      </c>
    </row>
    <row r="1660" spans="1:6" x14ac:dyDescent="0.25">
      <c r="A1660" t="str">
        <f>"200022068"</f>
        <v>200022068</v>
      </c>
      <c r="B1660" t="str">
        <f>"1164425310"</f>
        <v>1164425310</v>
      </c>
      <c r="C1660" t="str">
        <f>"207V00000X"</f>
        <v>207V00000X</v>
      </c>
      <c r="D1660" t="str">
        <f>"DABEZIES                 CONSTANCE    C           "</f>
        <v xml:space="preserve">DABEZIES                 CONSTANCE    C           </v>
      </c>
      <c r="E1660" t="str">
        <f>"MOBILE                    "</f>
        <v xml:space="preserve">MOBILE                    </v>
      </c>
      <c r="F1660" t="str">
        <f t="shared" si="55"/>
        <v>AL</v>
      </c>
    </row>
    <row r="1661" spans="1:6" x14ac:dyDescent="0.25">
      <c r="A1661" t="str">
        <f>"200022158"</f>
        <v>200022158</v>
      </c>
      <c r="B1661" t="str">
        <f>"1083364426"</f>
        <v>1083364426</v>
      </c>
      <c r="C1661" t="str">
        <f>"208M00000X"</f>
        <v>208M00000X</v>
      </c>
      <c r="D1661" t="str">
        <f>"SCHULER                  BRADLEY                  "</f>
        <v xml:space="preserve">SCHULER                  BRADLEY                  </v>
      </c>
      <c r="E1661" t="str">
        <f>"MOBILE                    "</f>
        <v xml:space="preserve">MOBILE                    </v>
      </c>
      <c r="F1661" t="str">
        <f t="shared" si="55"/>
        <v>AL</v>
      </c>
    </row>
    <row r="1662" spans="1:6" x14ac:dyDescent="0.25">
      <c r="A1662" t="str">
        <f>"200022161"</f>
        <v>200022161</v>
      </c>
      <c r="B1662" t="str">
        <f>"1508285636"</f>
        <v>1508285636</v>
      </c>
      <c r="C1662" t="str">
        <f>"207W00000X"</f>
        <v>207W00000X</v>
      </c>
      <c r="D1662" t="str">
        <f>"FEIST JR                 RICHARD      M           "</f>
        <v xml:space="preserve">FEIST JR                 RICHARD      M           </v>
      </c>
      <c r="E1662" t="str">
        <f>"BIRMINGHAM                "</f>
        <v xml:space="preserve">BIRMINGHAM                </v>
      </c>
      <c r="F1662" t="str">
        <f t="shared" si="55"/>
        <v>AL</v>
      </c>
    </row>
    <row r="1663" spans="1:6" x14ac:dyDescent="0.25">
      <c r="A1663" t="str">
        <f>"200022164"</f>
        <v>200022164</v>
      </c>
      <c r="B1663" t="str">
        <f>"1902546500"</f>
        <v>1902546500</v>
      </c>
      <c r="C1663" t="str">
        <f>"207P00000X"</f>
        <v>207P00000X</v>
      </c>
      <c r="D1663" t="str">
        <f>"MINTZ                    JUDITH                   "</f>
        <v xml:space="preserve">MINTZ                    JUDITH                   </v>
      </c>
      <c r="E1663" t="str">
        <f>"BIRMINGHAM                "</f>
        <v xml:space="preserve">BIRMINGHAM                </v>
      </c>
      <c r="F1663" t="str">
        <f t="shared" si="55"/>
        <v>AL</v>
      </c>
    </row>
    <row r="1664" spans="1:6" x14ac:dyDescent="0.25">
      <c r="A1664" t="str">
        <f>"200022178"</f>
        <v>200022178</v>
      </c>
      <c r="B1664" t="str">
        <f>"1063634905"</f>
        <v>1063634905</v>
      </c>
      <c r="C1664" t="str">
        <f>"207L00000X"</f>
        <v>207L00000X</v>
      </c>
      <c r="D1664" t="str">
        <f>"CHERRY                   SAMUEL                   "</f>
        <v xml:space="preserve">CHERRY                   SAMUEL                   </v>
      </c>
      <c r="E1664" t="str">
        <f>"BIRMINGHAM                "</f>
        <v xml:space="preserve">BIRMINGHAM                </v>
      </c>
      <c r="F1664" t="str">
        <f t="shared" si="55"/>
        <v>AL</v>
      </c>
    </row>
    <row r="1665" spans="1:6" x14ac:dyDescent="0.25">
      <c r="A1665" t="str">
        <f>"200022183"</f>
        <v>200022183</v>
      </c>
      <c r="B1665" t="str">
        <f>"1417111477"</f>
        <v>1417111477</v>
      </c>
      <c r="C1665" t="str">
        <f>"2085R0202X"</f>
        <v>2085R0202X</v>
      </c>
      <c r="D1665" t="str">
        <f>"RIAD                     SHAREEF                  "</f>
        <v xml:space="preserve">RIAD                     SHAREEF                  </v>
      </c>
      <c r="E1665" t="str">
        <f>"BUTLER                    "</f>
        <v xml:space="preserve">BUTLER                    </v>
      </c>
      <c r="F1665" t="str">
        <f t="shared" si="55"/>
        <v>AL</v>
      </c>
    </row>
    <row r="1666" spans="1:6" x14ac:dyDescent="0.25">
      <c r="A1666" t="str">
        <f>"200022190"</f>
        <v>200022190</v>
      </c>
      <c r="B1666" t="str">
        <f>"1295476000"</f>
        <v>1295476000</v>
      </c>
      <c r="C1666" t="str">
        <f>"208M00000X"</f>
        <v>208M00000X</v>
      </c>
      <c r="D1666" t="str">
        <f>"WILLIAMS                 EMILY                    "</f>
        <v xml:space="preserve">WILLIAMS                 EMILY                    </v>
      </c>
      <c r="E1666" t="str">
        <f>"BIRMINGHAM                "</f>
        <v xml:space="preserve">BIRMINGHAM                </v>
      </c>
      <c r="F1666" t="str">
        <f t="shared" si="55"/>
        <v>AL</v>
      </c>
    </row>
    <row r="1667" spans="1:6" x14ac:dyDescent="0.25">
      <c r="A1667" t="str">
        <f>"200022201"</f>
        <v>200022201</v>
      </c>
      <c r="B1667" t="str">
        <f>"1922637693"</f>
        <v>1922637693</v>
      </c>
      <c r="C1667" t="str">
        <f>"207QS0010X"</f>
        <v>207QS0010X</v>
      </c>
      <c r="D1667" t="str">
        <f>"AMBROZY                  AGATHA                   "</f>
        <v xml:space="preserve">AMBROZY                  AGATHA                   </v>
      </c>
      <c r="E1667" t="str">
        <f>"BIRMINGHAM                "</f>
        <v xml:space="preserve">BIRMINGHAM                </v>
      </c>
      <c r="F1667" t="str">
        <f t="shared" si="55"/>
        <v>AL</v>
      </c>
    </row>
    <row r="1668" spans="1:6" x14ac:dyDescent="0.25">
      <c r="A1668" t="str">
        <f>"200022214"</f>
        <v>200022214</v>
      </c>
      <c r="B1668" t="str">
        <f>"1013612894"</f>
        <v>1013612894</v>
      </c>
      <c r="C1668" t="str">
        <f>"207P00000X"</f>
        <v>207P00000X</v>
      </c>
      <c r="D1668" t="str">
        <f>"MONACO                   DAVID        A           "</f>
        <v xml:space="preserve">MONACO                   DAVID        A           </v>
      </c>
      <c r="E1668" t="str">
        <f>"MOBILE                    "</f>
        <v xml:space="preserve">MOBILE                    </v>
      </c>
      <c r="F1668" t="str">
        <f t="shared" si="55"/>
        <v>AL</v>
      </c>
    </row>
    <row r="1669" spans="1:6" x14ac:dyDescent="0.25">
      <c r="A1669" t="str">
        <f>"200022216"</f>
        <v>200022216</v>
      </c>
      <c r="B1669" t="str">
        <f>"1841086659"</f>
        <v>1841086659</v>
      </c>
      <c r="C1669" t="str">
        <f>"363L00000X"</f>
        <v>363L00000X</v>
      </c>
      <c r="D1669" t="str">
        <f>"PHILLIPS                 WHITNEY                  "</f>
        <v xml:space="preserve">PHILLIPS                 WHITNEY                  </v>
      </c>
      <c r="E1669" t="str">
        <f>"MOBILE                    "</f>
        <v xml:space="preserve">MOBILE                    </v>
      </c>
      <c r="F1669" t="str">
        <f t="shared" si="55"/>
        <v>AL</v>
      </c>
    </row>
    <row r="1670" spans="1:6" x14ac:dyDescent="0.25">
      <c r="A1670" t="str">
        <f>"200022232"</f>
        <v>200022232</v>
      </c>
      <c r="B1670" t="str">
        <f>"1912537903"</f>
        <v>1912537903</v>
      </c>
      <c r="C1670" t="str">
        <f>"363A00000X"</f>
        <v>363A00000X</v>
      </c>
      <c r="D1670" t="str">
        <f>"TAYLOR                   HALLIE       M           "</f>
        <v xml:space="preserve">TAYLOR                   HALLIE       M           </v>
      </c>
      <c r="E1670" t="str">
        <f>"MOBILE                    "</f>
        <v xml:space="preserve">MOBILE                    </v>
      </c>
      <c r="F1670" t="str">
        <f t="shared" si="55"/>
        <v>AL</v>
      </c>
    </row>
    <row r="1671" spans="1:6" x14ac:dyDescent="0.25">
      <c r="A1671" t="str">
        <f>"200022233"</f>
        <v>200022233</v>
      </c>
      <c r="B1671" t="str">
        <f>"1598355752"</f>
        <v>1598355752</v>
      </c>
      <c r="C1671" t="str">
        <f>"363L00000X"</f>
        <v>363L00000X</v>
      </c>
      <c r="D1671" t="str">
        <f>"JARRETT                  JACOB                    "</f>
        <v xml:space="preserve">JARRETT                  JACOB                    </v>
      </c>
      <c r="E1671" t="str">
        <f>"BIRMINGHAM                "</f>
        <v xml:space="preserve">BIRMINGHAM                </v>
      </c>
      <c r="F1671" t="str">
        <f t="shared" ref="F1671:F1734" si="59">"AL"</f>
        <v>AL</v>
      </c>
    </row>
    <row r="1672" spans="1:6" x14ac:dyDescent="0.25">
      <c r="A1672" t="str">
        <f>"200022281"</f>
        <v>200022281</v>
      </c>
      <c r="B1672" t="str">
        <f>"1851195473"</f>
        <v>1851195473</v>
      </c>
      <c r="C1672" t="str">
        <f>"207Q00000X"</f>
        <v>207Q00000X</v>
      </c>
      <c r="D1672" t="str">
        <f>"SCHINDELE                DYLAN                    "</f>
        <v xml:space="preserve">SCHINDELE                DYLAN                    </v>
      </c>
      <c r="E1672" t="str">
        <f>"MOBILE                    "</f>
        <v xml:space="preserve">MOBILE                    </v>
      </c>
      <c r="F1672" t="str">
        <f t="shared" si="59"/>
        <v>AL</v>
      </c>
    </row>
    <row r="1673" spans="1:6" x14ac:dyDescent="0.25">
      <c r="A1673" t="str">
        <f>"200022298"</f>
        <v>200022298</v>
      </c>
      <c r="B1673" t="str">
        <f>"1609519511"</f>
        <v>1609519511</v>
      </c>
      <c r="C1673" t="str">
        <f>"207RC0000X"</f>
        <v>207RC0000X</v>
      </c>
      <c r="D1673" t="str">
        <f>"GONZALEZ                 ALENA                    "</f>
        <v xml:space="preserve">GONZALEZ                 ALENA                    </v>
      </c>
      <c r="E1673" t="str">
        <f>"BIRMINGHAM                "</f>
        <v xml:space="preserve">BIRMINGHAM                </v>
      </c>
      <c r="F1673" t="str">
        <f t="shared" si="59"/>
        <v>AL</v>
      </c>
    </row>
    <row r="1674" spans="1:6" x14ac:dyDescent="0.25">
      <c r="A1674" t="str">
        <f>"200022305"</f>
        <v>200022305</v>
      </c>
      <c r="B1674" t="str">
        <f>"1609664168"</f>
        <v>1609664168</v>
      </c>
      <c r="C1674" t="str">
        <f>"363A00000X"</f>
        <v>363A00000X</v>
      </c>
      <c r="D1674" t="str">
        <f>"LYON                     JACOB                    "</f>
        <v xml:space="preserve">LYON                     JACOB                    </v>
      </c>
      <c r="E1674" t="str">
        <f>"BIRMINGHAM                "</f>
        <v xml:space="preserve">BIRMINGHAM                </v>
      </c>
      <c r="F1674" t="str">
        <f t="shared" si="59"/>
        <v>AL</v>
      </c>
    </row>
    <row r="1675" spans="1:6" x14ac:dyDescent="0.25">
      <c r="A1675" t="str">
        <f>"200022310"</f>
        <v>200022310</v>
      </c>
      <c r="B1675" t="str">
        <f>"1346917572"</f>
        <v>1346917572</v>
      </c>
      <c r="C1675" t="str">
        <f>"367500000X"</f>
        <v>367500000X</v>
      </c>
      <c r="D1675" t="str">
        <f>"ONYENZE                  NANCY                    "</f>
        <v xml:space="preserve">ONYENZE                  NANCY                    </v>
      </c>
      <c r="E1675" t="str">
        <f>"BIRMINGHAM                "</f>
        <v xml:space="preserve">BIRMINGHAM                </v>
      </c>
      <c r="F1675" t="str">
        <f t="shared" si="59"/>
        <v>AL</v>
      </c>
    </row>
    <row r="1676" spans="1:6" x14ac:dyDescent="0.25">
      <c r="A1676" t="str">
        <f>"200022318"</f>
        <v>200022318</v>
      </c>
      <c r="B1676" t="str">
        <f>"1528389517"</f>
        <v>1528389517</v>
      </c>
      <c r="C1676" t="str">
        <f>"208800000X"</f>
        <v>208800000X</v>
      </c>
      <c r="D1676" t="str">
        <f>"HYATT                    DUSTIN                   "</f>
        <v xml:space="preserve">HYATT                    DUSTIN                   </v>
      </c>
      <c r="E1676" t="str">
        <f>"BIRMINGHAM                "</f>
        <v xml:space="preserve">BIRMINGHAM                </v>
      </c>
      <c r="F1676" t="str">
        <f t="shared" si="59"/>
        <v>AL</v>
      </c>
    </row>
    <row r="1677" spans="1:6" x14ac:dyDescent="0.25">
      <c r="A1677" t="str">
        <f>"200022344"</f>
        <v>200022344</v>
      </c>
      <c r="B1677" t="str">
        <f>"1710781380"</f>
        <v>1710781380</v>
      </c>
      <c r="C1677" t="str">
        <f>"208600000X"</f>
        <v>208600000X</v>
      </c>
      <c r="D1677" t="str">
        <f>"DELGADO                  KRISTIN                  "</f>
        <v xml:space="preserve">DELGADO                  KRISTIN                  </v>
      </c>
      <c r="E1677" t="str">
        <f>"MOBILE                    "</f>
        <v xml:space="preserve">MOBILE                    </v>
      </c>
      <c r="F1677" t="str">
        <f t="shared" si="59"/>
        <v>AL</v>
      </c>
    </row>
    <row r="1678" spans="1:6" x14ac:dyDescent="0.25">
      <c r="A1678" t="str">
        <f>"200022357"</f>
        <v>200022357</v>
      </c>
      <c r="B1678" t="str">
        <f>"1407844301"</f>
        <v>1407844301</v>
      </c>
      <c r="C1678" t="str">
        <f>"2086S0120X"</f>
        <v>2086S0120X</v>
      </c>
      <c r="D1678" t="str">
        <f>"BREAUX                   CHARLES      W           "</f>
        <v xml:space="preserve">BREAUX                   CHARLES      W           </v>
      </c>
      <c r="E1678" t="str">
        <f>"MOBILE                    "</f>
        <v xml:space="preserve">MOBILE                    </v>
      </c>
      <c r="F1678" t="str">
        <f t="shared" si="59"/>
        <v>AL</v>
      </c>
    </row>
    <row r="1679" spans="1:6" x14ac:dyDescent="0.25">
      <c r="A1679" t="str">
        <f>"200022377"</f>
        <v>200022377</v>
      </c>
      <c r="B1679" t="str">
        <f>"1619546751"</f>
        <v>1619546751</v>
      </c>
      <c r="C1679" t="str">
        <f>"207SG0201X"</f>
        <v>207SG0201X</v>
      </c>
      <c r="D1679" t="str">
        <f>"LERTWILAIWITTAYA         PONGTAWAT                "</f>
        <v xml:space="preserve">LERTWILAIWITTAYA         PONGTAWAT                </v>
      </c>
      <c r="E1679" t="str">
        <f>"BIRMINGHAM                "</f>
        <v xml:space="preserve">BIRMINGHAM                </v>
      </c>
      <c r="F1679" t="str">
        <f t="shared" si="59"/>
        <v>AL</v>
      </c>
    </row>
    <row r="1680" spans="1:6" x14ac:dyDescent="0.25">
      <c r="A1680" t="str">
        <f>"200022380"</f>
        <v>200022380</v>
      </c>
      <c r="B1680" t="str">
        <f>"1265222533"</f>
        <v>1265222533</v>
      </c>
      <c r="C1680" t="str">
        <f>"363LF0000X"</f>
        <v>363LF0000X</v>
      </c>
      <c r="D1680" t="str">
        <f>"MCCLANTOC                JOSSANE                  "</f>
        <v xml:space="preserve">MCCLANTOC                JOSSANE                  </v>
      </c>
      <c r="E1680" t="str">
        <f>"MOBILE                    "</f>
        <v xml:space="preserve">MOBILE                    </v>
      </c>
      <c r="F1680" t="str">
        <f t="shared" si="59"/>
        <v>AL</v>
      </c>
    </row>
    <row r="1681" spans="1:6" x14ac:dyDescent="0.25">
      <c r="A1681" t="str">
        <f>"200022398"</f>
        <v>200022398</v>
      </c>
      <c r="B1681" t="str">
        <f>"1477344307"</f>
        <v>1477344307</v>
      </c>
      <c r="C1681" t="str">
        <f>"363LA2100X"</f>
        <v>363LA2100X</v>
      </c>
      <c r="D1681" t="str">
        <f>"ZACHARY                  DAIRN                    "</f>
        <v xml:space="preserve">ZACHARY                  DAIRN                    </v>
      </c>
      <c r="E1681" t="str">
        <f>"MOBILE                    "</f>
        <v xml:space="preserve">MOBILE                    </v>
      </c>
      <c r="F1681" t="str">
        <f t="shared" si="59"/>
        <v>AL</v>
      </c>
    </row>
    <row r="1682" spans="1:6" x14ac:dyDescent="0.25">
      <c r="A1682" t="str">
        <f>"200022404"</f>
        <v>200022404</v>
      </c>
      <c r="B1682" t="str">
        <f>"1528647989"</f>
        <v>1528647989</v>
      </c>
      <c r="C1682" t="str">
        <f>"207VX0201X"</f>
        <v>207VX0201X</v>
      </c>
      <c r="D1682" t="str">
        <f>"EDWARDS                  CARSON                   "</f>
        <v xml:space="preserve">EDWARDS                  CARSON                   </v>
      </c>
      <c r="E1682" t="str">
        <f>"BIRMINGHAM                "</f>
        <v xml:space="preserve">BIRMINGHAM                </v>
      </c>
      <c r="F1682" t="str">
        <f t="shared" si="59"/>
        <v>AL</v>
      </c>
    </row>
    <row r="1683" spans="1:6" x14ac:dyDescent="0.25">
      <c r="A1683" t="str">
        <f>"200022406"</f>
        <v>200022406</v>
      </c>
      <c r="B1683" t="str">
        <f>"1568291706"</f>
        <v>1568291706</v>
      </c>
      <c r="C1683" t="str">
        <f>"207R00000X"</f>
        <v>207R00000X</v>
      </c>
      <c r="D1683" t="str">
        <f>"STRINGFELLOW             EMILY                    "</f>
        <v xml:space="preserve">STRINGFELLOW             EMILY                    </v>
      </c>
      <c r="E1683" t="str">
        <f>"MOBILE                    "</f>
        <v xml:space="preserve">MOBILE                    </v>
      </c>
      <c r="F1683" t="str">
        <f t="shared" si="59"/>
        <v>AL</v>
      </c>
    </row>
    <row r="1684" spans="1:6" x14ac:dyDescent="0.25">
      <c r="A1684" t="str">
        <f>"200022410"</f>
        <v>200022410</v>
      </c>
      <c r="B1684" t="str">
        <f>"1700400694"</f>
        <v>1700400694</v>
      </c>
      <c r="C1684" t="str">
        <f>"207R00000X"</f>
        <v>207R00000X</v>
      </c>
      <c r="D1684" t="str">
        <f>"IMTIAZ                   HASSAN                   "</f>
        <v xml:space="preserve">IMTIAZ                   HASSAN                   </v>
      </c>
      <c r="E1684" t="str">
        <f>"FLORENCE                  "</f>
        <v xml:space="preserve">FLORENCE                  </v>
      </c>
      <c r="F1684" t="str">
        <f t="shared" si="59"/>
        <v>AL</v>
      </c>
    </row>
    <row r="1685" spans="1:6" x14ac:dyDescent="0.25">
      <c r="A1685" t="str">
        <f>"200022424"</f>
        <v>200022424</v>
      </c>
      <c r="B1685" t="str">
        <f>"1588900526"</f>
        <v>1588900526</v>
      </c>
      <c r="C1685" t="str">
        <f>"367500000X"</f>
        <v>367500000X</v>
      </c>
      <c r="D1685" t="str">
        <f>"BASS                     TOMMIE                   "</f>
        <v xml:space="preserve">BASS                     TOMMIE                   </v>
      </c>
      <c r="E1685" t="str">
        <f>"BIRMINGHAM                "</f>
        <v xml:space="preserve">BIRMINGHAM                </v>
      </c>
      <c r="F1685" t="str">
        <f t="shared" si="59"/>
        <v>AL</v>
      </c>
    </row>
    <row r="1686" spans="1:6" x14ac:dyDescent="0.25">
      <c r="A1686" t="str">
        <f>"200022435"</f>
        <v>200022435</v>
      </c>
      <c r="B1686" t="str">
        <f>"1275426058"</f>
        <v>1275426058</v>
      </c>
      <c r="C1686" t="str">
        <f>"367500000X"</f>
        <v>367500000X</v>
      </c>
      <c r="D1686" t="str">
        <f>"WRIGHT                   MARTINA                  "</f>
        <v xml:space="preserve">WRIGHT                   MARTINA                  </v>
      </c>
      <c r="E1686" t="str">
        <f>"MOBILE                    "</f>
        <v xml:space="preserve">MOBILE                    </v>
      </c>
      <c r="F1686" t="str">
        <f t="shared" si="59"/>
        <v>AL</v>
      </c>
    </row>
    <row r="1687" spans="1:6" x14ac:dyDescent="0.25">
      <c r="A1687" t="str">
        <f>"200022459"</f>
        <v>200022459</v>
      </c>
      <c r="B1687" t="str">
        <f>"1376788521"</f>
        <v>1376788521</v>
      </c>
      <c r="C1687" t="str">
        <f>"363A00000X"</f>
        <v>363A00000X</v>
      </c>
      <c r="D1687" t="str">
        <f>"MINTON                   MARK         D           "</f>
        <v xml:space="preserve">MINTON                   MARK         D           </v>
      </c>
      <c r="E1687" t="str">
        <f>"MOBILE                    "</f>
        <v xml:space="preserve">MOBILE                    </v>
      </c>
      <c r="F1687" t="str">
        <f t="shared" si="59"/>
        <v>AL</v>
      </c>
    </row>
    <row r="1688" spans="1:6" x14ac:dyDescent="0.25">
      <c r="A1688" t="str">
        <f>"200022463"</f>
        <v>200022463</v>
      </c>
      <c r="B1688" t="str">
        <f>"1700621448"</f>
        <v>1700621448</v>
      </c>
      <c r="C1688" t="str">
        <f>"367500000X"</f>
        <v>367500000X</v>
      </c>
      <c r="D1688" t="str">
        <f>"BRAZELTON                DEWEY                    "</f>
        <v xml:space="preserve">BRAZELTON                DEWEY                    </v>
      </c>
      <c r="E1688" t="str">
        <f>"BIRMINGHAM                "</f>
        <v xml:space="preserve">BIRMINGHAM                </v>
      </c>
      <c r="F1688" t="str">
        <f t="shared" si="59"/>
        <v>AL</v>
      </c>
    </row>
    <row r="1689" spans="1:6" x14ac:dyDescent="0.25">
      <c r="A1689" t="str">
        <f>"200022482"</f>
        <v>200022482</v>
      </c>
      <c r="B1689" t="str">
        <f>"1881720894"</f>
        <v>1881720894</v>
      </c>
      <c r="C1689" t="str">
        <f>"208800000X"</f>
        <v>208800000X</v>
      </c>
      <c r="D1689" t="str">
        <f>"FUNK                     JOEL                     "</f>
        <v xml:space="preserve">FUNK                     JOEL                     </v>
      </c>
      <c r="E1689" t="str">
        <f>"BIRMINGHAM                "</f>
        <v xml:space="preserve">BIRMINGHAM                </v>
      </c>
      <c r="F1689" t="str">
        <f t="shared" si="59"/>
        <v>AL</v>
      </c>
    </row>
    <row r="1690" spans="1:6" x14ac:dyDescent="0.25">
      <c r="A1690" t="str">
        <f>"200022490"</f>
        <v>200022490</v>
      </c>
      <c r="B1690" t="str">
        <f>"1346829124"</f>
        <v>1346829124</v>
      </c>
      <c r="C1690" t="str">
        <f>"363A00000X"</f>
        <v>363A00000X</v>
      </c>
      <c r="D1690" t="str">
        <f>"THOMAS                   WILLIAM                  "</f>
        <v xml:space="preserve">THOMAS                   WILLIAM                  </v>
      </c>
      <c r="E1690" t="str">
        <f>"BIRMINGHAM                "</f>
        <v xml:space="preserve">BIRMINGHAM                </v>
      </c>
      <c r="F1690" t="str">
        <f t="shared" si="59"/>
        <v>AL</v>
      </c>
    </row>
    <row r="1691" spans="1:6" x14ac:dyDescent="0.25">
      <c r="A1691" t="str">
        <f>"200022499"</f>
        <v>200022499</v>
      </c>
      <c r="B1691" t="str">
        <f>"1437737459"</f>
        <v>1437737459</v>
      </c>
      <c r="C1691" t="str">
        <f>"207V00000X"</f>
        <v>207V00000X</v>
      </c>
      <c r="D1691" t="str">
        <f>"VICKERS                  MACY         J           "</f>
        <v xml:space="preserve">VICKERS                  MACY         J           </v>
      </c>
      <c r="E1691" t="str">
        <f>"MOBILE                    "</f>
        <v xml:space="preserve">MOBILE                    </v>
      </c>
      <c r="F1691" t="str">
        <f t="shared" si="59"/>
        <v>AL</v>
      </c>
    </row>
    <row r="1692" spans="1:6" x14ac:dyDescent="0.25">
      <c r="A1692" t="str">
        <f>"200022501"</f>
        <v>200022501</v>
      </c>
      <c r="B1692" t="str">
        <f>"1417605676"</f>
        <v>1417605676</v>
      </c>
      <c r="C1692" t="str">
        <f>"367500000X"</f>
        <v>367500000X</v>
      </c>
      <c r="D1692" t="str">
        <f>"MCDONALD                 JACQUELYN                "</f>
        <v xml:space="preserve">MCDONALD                 JACQUELYN                </v>
      </c>
      <c r="E1692" t="str">
        <f>"BIRMINGHAM                "</f>
        <v xml:space="preserve">BIRMINGHAM                </v>
      </c>
      <c r="F1692" t="str">
        <f t="shared" si="59"/>
        <v>AL</v>
      </c>
    </row>
    <row r="1693" spans="1:6" x14ac:dyDescent="0.25">
      <c r="A1693" t="str">
        <f>"200022511"</f>
        <v>200022511</v>
      </c>
      <c r="B1693" t="str">
        <f>"1588225346"</f>
        <v>1588225346</v>
      </c>
      <c r="C1693" t="str">
        <f>"207L00000X"</f>
        <v>207L00000X</v>
      </c>
      <c r="D1693" t="str">
        <f>"EWING                    KRISTEN                  "</f>
        <v xml:space="preserve">EWING                    KRISTEN                  </v>
      </c>
      <c r="E1693" t="str">
        <f>"BIRMINGHAM                "</f>
        <v xml:space="preserve">BIRMINGHAM                </v>
      </c>
      <c r="F1693" t="str">
        <f t="shared" si="59"/>
        <v>AL</v>
      </c>
    </row>
    <row r="1694" spans="1:6" x14ac:dyDescent="0.25">
      <c r="A1694" t="str">
        <f>"200022517"</f>
        <v>200022517</v>
      </c>
      <c r="B1694" t="str">
        <f>"1407506744"</f>
        <v>1407506744</v>
      </c>
      <c r="C1694" t="str">
        <f>"207R00000X"</f>
        <v>207R00000X</v>
      </c>
      <c r="D1694" t="str">
        <f>"YI                       CHARLES      Y           "</f>
        <v xml:space="preserve">YI                       CHARLES      Y           </v>
      </c>
      <c r="E1694" t="str">
        <f>"MOBILE                    "</f>
        <v xml:space="preserve">MOBILE                    </v>
      </c>
      <c r="F1694" t="str">
        <f t="shared" si="59"/>
        <v>AL</v>
      </c>
    </row>
    <row r="1695" spans="1:6" x14ac:dyDescent="0.25">
      <c r="A1695" t="str">
        <f>"200022526"</f>
        <v>200022526</v>
      </c>
      <c r="B1695" t="str">
        <f>"1972980605"</f>
        <v>1972980605</v>
      </c>
      <c r="C1695" t="str">
        <f>"2085R0202X"</f>
        <v>2085R0202X</v>
      </c>
      <c r="D1695" t="str">
        <f>"DENTON                   ALEXANDER                "</f>
        <v xml:space="preserve">DENTON                   ALEXANDER                </v>
      </c>
      <c r="E1695" t="str">
        <f t="shared" ref="E1695:E1703" si="60">"BIRMINGHAM                "</f>
        <v xml:space="preserve">BIRMINGHAM                </v>
      </c>
      <c r="F1695" t="str">
        <f t="shared" si="59"/>
        <v>AL</v>
      </c>
    </row>
    <row r="1696" spans="1:6" x14ac:dyDescent="0.25">
      <c r="A1696" t="str">
        <f>"200022538"</f>
        <v>200022538</v>
      </c>
      <c r="B1696" t="str">
        <f>"1619506961"</f>
        <v>1619506961</v>
      </c>
      <c r="C1696" t="str">
        <f>"207N00000X"</f>
        <v>207N00000X</v>
      </c>
      <c r="D1696" t="str">
        <f>"FRANZETTI                MICHAEL                  "</f>
        <v xml:space="preserve">FRANZETTI                MICHAEL                  </v>
      </c>
      <c r="E1696" t="str">
        <f t="shared" si="60"/>
        <v xml:space="preserve">BIRMINGHAM                </v>
      </c>
      <c r="F1696" t="str">
        <f t="shared" si="59"/>
        <v>AL</v>
      </c>
    </row>
    <row r="1697" spans="1:6" x14ac:dyDescent="0.25">
      <c r="A1697" t="str">
        <f>"200022550"</f>
        <v>200022550</v>
      </c>
      <c r="B1697" t="str">
        <f>"1164004818"</f>
        <v>1164004818</v>
      </c>
      <c r="C1697" t="str">
        <f>"207RC0000X"</f>
        <v>207RC0000X</v>
      </c>
      <c r="D1697" t="str">
        <f>"VALAND                   HARDIK                   "</f>
        <v xml:space="preserve">VALAND                   HARDIK                   </v>
      </c>
      <c r="E1697" t="str">
        <f t="shared" si="60"/>
        <v xml:space="preserve">BIRMINGHAM                </v>
      </c>
      <c r="F1697" t="str">
        <f t="shared" si="59"/>
        <v>AL</v>
      </c>
    </row>
    <row r="1698" spans="1:6" x14ac:dyDescent="0.25">
      <c r="A1698" t="str">
        <f>"200022576"</f>
        <v>200022576</v>
      </c>
      <c r="B1698" t="str">
        <f>"1548880016"</f>
        <v>1548880016</v>
      </c>
      <c r="C1698" t="str">
        <f>"208100000X"</f>
        <v>208100000X</v>
      </c>
      <c r="D1698" t="str">
        <f>"SANTOS AGOSTO            NELSON                   "</f>
        <v xml:space="preserve">SANTOS AGOSTO            NELSON                   </v>
      </c>
      <c r="E1698" t="str">
        <f t="shared" si="60"/>
        <v xml:space="preserve">BIRMINGHAM                </v>
      </c>
      <c r="F1698" t="str">
        <f t="shared" si="59"/>
        <v>AL</v>
      </c>
    </row>
    <row r="1699" spans="1:6" x14ac:dyDescent="0.25">
      <c r="A1699" t="str">
        <f>"200022597"</f>
        <v>200022597</v>
      </c>
      <c r="B1699" t="str">
        <f>"1437892825"</f>
        <v>1437892825</v>
      </c>
      <c r="C1699" t="str">
        <f>"207P00000X"</f>
        <v>207P00000X</v>
      </c>
      <c r="D1699" t="str">
        <f>"MACDONALD                AUSTIN                   "</f>
        <v xml:space="preserve">MACDONALD                AUSTIN                   </v>
      </c>
      <c r="E1699" t="str">
        <f t="shared" si="60"/>
        <v xml:space="preserve">BIRMINGHAM                </v>
      </c>
      <c r="F1699" t="str">
        <f t="shared" si="59"/>
        <v>AL</v>
      </c>
    </row>
    <row r="1700" spans="1:6" x14ac:dyDescent="0.25">
      <c r="A1700" t="str">
        <f>"200022606"</f>
        <v>200022606</v>
      </c>
      <c r="B1700" t="str">
        <f>"1548919939"</f>
        <v>1548919939</v>
      </c>
      <c r="C1700" t="str">
        <f>"207P00000X"</f>
        <v>207P00000X</v>
      </c>
      <c r="D1700" t="str">
        <f>"ADRIAN                   GREGORY                  "</f>
        <v xml:space="preserve">ADRIAN                   GREGORY                  </v>
      </c>
      <c r="E1700" t="str">
        <f t="shared" si="60"/>
        <v xml:space="preserve">BIRMINGHAM                </v>
      </c>
      <c r="F1700" t="str">
        <f t="shared" si="59"/>
        <v>AL</v>
      </c>
    </row>
    <row r="1701" spans="1:6" x14ac:dyDescent="0.25">
      <c r="A1701" t="str">
        <f>"200022610"</f>
        <v>200022610</v>
      </c>
      <c r="B1701" t="str">
        <f>"1104566405"</f>
        <v>1104566405</v>
      </c>
      <c r="C1701" t="str">
        <f>"207P00000X"</f>
        <v>207P00000X</v>
      </c>
      <c r="D1701" t="str">
        <f>"HEGEDUS                  JOSEPH                   "</f>
        <v xml:space="preserve">HEGEDUS                  JOSEPH                   </v>
      </c>
      <c r="E1701" t="str">
        <f t="shared" si="60"/>
        <v xml:space="preserve">BIRMINGHAM                </v>
      </c>
      <c r="F1701" t="str">
        <f t="shared" si="59"/>
        <v>AL</v>
      </c>
    </row>
    <row r="1702" spans="1:6" x14ac:dyDescent="0.25">
      <c r="A1702" t="str">
        <f>"200022618"</f>
        <v>200022618</v>
      </c>
      <c r="B1702" t="str">
        <f>"1780319418"</f>
        <v>1780319418</v>
      </c>
      <c r="C1702" t="str">
        <f>"367500000X"</f>
        <v>367500000X</v>
      </c>
      <c r="D1702" t="str">
        <f>"NORRIS                   BEVERLY                  "</f>
        <v xml:space="preserve">NORRIS                   BEVERLY                  </v>
      </c>
      <c r="E1702" t="str">
        <f t="shared" si="60"/>
        <v xml:space="preserve">BIRMINGHAM                </v>
      </c>
      <c r="F1702" t="str">
        <f t="shared" si="59"/>
        <v>AL</v>
      </c>
    </row>
    <row r="1703" spans="1:6" x14ac:dyDescent="0.25">
      <c r="A1703" t="str">
        <f>"200022635"</f>
        <v>200022635</v>
      </c>
      <c r="B1703" t="str">
        <f>"1477905602"</f>
        <v>1477905602</v>
      </c>
      <c r="C1703" t="str">
        <f>"207RN0300X"</f>
        <v>207RN0300X</v>
      </c>
      <c r="D1703" t="str">
        <f>"VISWANATHAN              VIGNESH                  "</f>
        <v xml:space="preserve">VISWANATHAN              VIGNESH                  </v>
      </c>
      <c r="E1703" t="str">
        <f t="shared" si="60"/>
        <v xml:space="preserve">BIRMINGHAM                </v>
      </c>
      <c r="F1703" t="str">
        <f t="shared" si="59"/>
        <v>AL</v>
      </c>
    </row>
    <row r="1704" spans="1:6" x14ac:dyDescent="0.25">
      <c r="A1704" t="str">
        <f>"200022682"</f>
        <v>200022682</v>
      </c>
      <c r="B1704" t="str">
        <f>"1306307855"</f>
        <v>1306307855</v>
      </c>
      <c r="C1704" t="str">
        <f>"208600000X"</f>
        <v>208600000X</v>
      </c>
      <c r="D1704" t="str">
        <f>"COX                      CHARLES      C           "</f>
        <v xml:space="preserve">COX                      CHARLES      C           </v>
      </c>
      <c r="E1704" t="str">
        <f>"MOBILE                    "</f>
        <v xml:space="preserve">MOBILE                    </v>
      </c>
      <c r="F1704" t="str">
        <f t="shared" si="59"/>
        <v>AL</v>
      </c>
    </row>
    <row r="1705" spans="1:6" x14ac:dyDescent="0.25">
      <c r="A1705" t="str">
        <f>"200022700"</f>
        <v>200022700</v>
      </c>
      <c r="B1705" t="str">
        <f>"1346043429"</f>
        <v>1346043429</v>
      </c>
      <c r="C1705" t="str">
        <f>"207P00000X"</f>
        <v>207P00000X</v>
      </c>
      <c r="D1705" t="str">
        <f>"HARRIS                   GRANT                    "</f>
        <v xml:space="preserve">HARRIS                   GRANT                    </v>
      </c>
      <c r="E1705" t="str">
        <f>"MOBILE                    "</f>
        <v xml:space="preserve">MOBILE                    </v>
      </c>
      <c r="F1705" t="str">
        <f t="shared" si="59"/>
        <v>AL</v>
      </c>
    </row>
    <row r="1706" spans="1:6" x14ac:dyDescent="0.25">
      <c r="A1706" t="str">
        <f>"200022716"</f>
        <v>200022716</v>
      </c>
      <c r="B1706" t="str">
        <f>"1881216356"</f>
        <v>1881216356</v>
      </c>
      <c r="C1706" t="str">
        <f>"2085R0202X"</f>
        <v>2085R0202X</v>
      </c>
      <c r="D1706" t="str">
        <f>"JAMAL                    ASIF                     "</f>
        <v xml:space="preserve">JAMAL                    ASIF                     </v>
      </c>
      <c r="E1706" t="str">
        <f>"BIRMINGHAM                "</f>
        <v xml:space="preserve">BIRMINGHAM                </v>
      </c>
      <c r="F1706" t="str">
        <f t="shared" si="59"/>
        <v>AL</v>
      </c>
    </row>
    <row r="1707" spans="1:6" x14ac:dyDescent="0.25">
      <c r="A1707" t="str">
        <f>"200022731"</f>
        <v>200022731</v>
      </c>
      <c r="B1707" t="str">
        <f>"1588906804"</f>
        <v>1588906804</v>
      </c>
      <c r="C1707" t="str">
        <f>"2086X0206X"</f>
        <v>2086X0206X</v>
      </c>
      <c r="D1707" t="str">
        <f>"DREAM                    SOPHIE                   "</f>
        <v xml:space="preserve">DREAM                    SOPHIE                   </v>
      </c>
      <c r="E1707" t="str">
        <f>"BIRMINGHAM                "</f>
        <v xml:space="preserve">BIRMINGHAM                </v>
      </c>
      <c r="F1707" t="str">
        <f t="shared" si="59"/>
        <v>AL</v>
      </c>
    </row>
    <row r="1708" spans="1:6" x14ac:dyDescent="0.25">
      <c r="A1708" t="str">
        <f>"200022742"</f>
        <v>200022742</v>
      </c>
      <c r="B1708" t="str">
        <f>"1104064930"</f>
        <v>1104064930</v>
      </c>
      <c r="C1708" t="str">
        <f>"367500000X"</f>
        <v>367500000X</v>
      </c>
      <c r="D1708" t="str">
        <f>"WILLIAMSON               ALLYSON                  "</f>
        <v xml:space="preserve">WILLIAMSON               ALLYSON                  </v>
      </c>
      <c r="E1708" t="str">
        <f>"BIRMINGHAM                "</f>
        <v xml:space="preserve">BIRMINGHAM                </v>
      </c>
      <c r="F1708" t="str">
        <f t="shared" si="59"/>
        <v>AL</v>
      </c>
    </row>
    <row r="1709" spans="1:6" x14ac:dyDescent="0.25">
      <c r="A1709" t="str">
        <f>"200022745"</f>
        <v>200022745</v>
      </c>
      <c r="B1709" t="str">
        <f>"1194394080"</f>
        <v>1194394080</v>
      </c>
      <c r="C1709" t="str">
        <f>"367500000X"</f>
        <v>367500000X</v>
      </c>
      <c r="D1709" t="str">
        <f>"RIGGS                    MARY KATHERIN            "</f>
        <v xml:space="preserve">RIGGS                    MARY KATHERIN            </v>
      </c>
      <c r="E1709" t="str">
        <f>"BIRMINGHAM                "</f>
        <v xml:space="preserve">BIRMINGHAM                </v>
      </c>
      <c r="F1709" t="str">
        <f t="shared" si="59"/>
        <v>AL</v>
      </c>
    </row>
    <row r="1710" spans="1:6" x14ac:dyDescent="0.25">
      <c r="A1710" t="str">
        <f>"200022751"</f>
        <v>200022751</v>
      </c>
      <c r="B1710" t="str">
        <f>"1306894779"</f>
        <v>1306894779</v>
      </c>
      <c r="C1710" t="str">
        <f>"207P00000X"</f>
        <v>207P00000X</v>
      </c>
      <c r="D1710" t="str">
        <f>"CARNEY                   DAVID                    "</f>
        <v xml:space="preserve">CARNEY                   DAVID                    </v>
      </c>
      <c r="E1710" t="str">
        <f>"FAYETTE                   "</f>
        <v xml:space="preserve">FAYETTE                   </v>
      </c>
      <c r="F1710" t="str">
        <f t="shared" si="59"/>
        <v>AL</v>
      </c>
    </row>
    <row r="1711" spans="1:6" x14ac:dyDescent="0.25">
      <c r="A1711" t="str">
        <f>"200022755"</f>
        <v>200022755</v>
      </c>
      <c r="B1711" t="str">
        <f>"1316527682"</f>
        <v>1316527682</v>
      </c>
      <c r="C1711" t="str">
        <f>"363LF0000X"</f>
        <v>363LF0000X</v>
      </c>
      <c r="D1711" t="str">
        <f>"GRESHAM                  KAITLIN      P           "</f>
        <v xml:space="preserve">GRESHAM                  KAITLIN      P           </v>
      </c>
      <c r="E1711" t="str">
        <f>"RED BAY                   "</f>
        <v xml:space="preserve">RED BAY                   </v>
      </c>
      <c r="F1711" t="str">
        <f t="shared" si="59"/>
        <v>AL</v>
      </c>
    </row>
    <row r="1712" spans="1:6" x14ac:dyDescent="0.25">
      <c r="A1712" t="str">
        <f>"200022758"</f>
        <v>200022758</v>
      </c>
      <c r="B1712" t="str">
        <f>"1518594621"</f>
        <v>1518594621</v>
      </c>
      <c r="C1712" t="str">
        <f>"208M00000X"</f>
        <v>208M00000X</v>
      </c>
      <c r="D1712" t="str">
        <f>"MUELLER                  LUKE                     "</f>
        <v xml:space="preserve">MUELLER                  LUKE                     </v>
      </c>
      <c r="E1712" t="str">
        <f>"MOBILE                    "</f>
        <v xml:space="preserve">MOBILE                    </v>
      </c>
      <c r="F1712" t="str">
        <f t="shared" si="59"/>
        <v>AL</v>
      </c>
    </row>
    <row r="1713" spans="1:6" x14ac:dyDescent="0.25">
      <c r="A1713" t="str">
        <f>"200022760"</f>
        <v>200022760</v>
      </c>
      <c r="B1713" t="str">
        <f>"1891149480"</f>
        <v>1891149480</v>
      </c>
      <c r="C1713" t="str">
        <f>"207X00000X"</f>
        <v>207X00000X</v>
      </c>
      <c r="D1713" t="str">
        <f>"MANSON                   HICKS                    "</f>
        <v xml:space="preserve">MANSON                   HICKS                    </v>
      </c>
      <c r="E1713" t="str">
        <f>"BIRMINGHAM                "</f>
        <v xml:space="preserve">BIRMINGHAM                </v>
      </c>
      <c r="F1713" t="str">
        <f t="shared" si="59"/>
        <v>AL</v>
      </c>
    </row>
    <row r="1714" spans="1:6" x14ac:dyDescent="0.25">
      <c r="A1714" t="str">
        <f>"200022775"</f>
        <v>200022775</v>
      </c>
      <c r="B1714" t="str">
        <f>"1073175105"</f>
        <v>1073175105</v>
      </c>
      <c r="C1714" t="str">
        <f>"207RH0003X"</f>
        <v>207RH0003X</v>
      </c>
      <c r="D1714" t="str">
        <f>"MUHSEN                   IBRAHIM                  "</f>
        <v xml:space="preserve">MUHSEN                   IBRAHIM                  </v>
      </c>
      <c r="E1714" t="str">
        <f>"BIRMINGHAM                "</f>
        <v xml:space="preserve">BIRMINGHAM                </v>
      </c>
      <c r="F1714" t="str">
        <f t="shared" si="59"/>
        <v>AL</v>
      </c>
    </row>
    <row r="1715" spans="1:6" x14ac:dyDescent="0.25">
      <c r="A1715" t="str">
        <f>"200022777"</f>
        <v>200022777</v>
      </c>
      <c r="B1715" t="str">
        <f>"1497216287"</f>
        <v>1497216287</v>
      </c>
      <c r="C1715" t="str">
        <f>"208600000X"</f>
        <v>208600000X</v>
      </c>
      <c r="D1715" t="str">
        <f>"MOSES                    CARA                     "</f>
        <v xml:space="preserve">MOSES                    CARA                     </v>
      </c>
      <c r="E1715" t="str">
        <f>"BIRMINGHAM                "</f>
        <v xml:space="preserve">BIRMINGHAM                </v>
      </c>
      <c r="F1715" t="str">
        <f t="shared" si="59"/>
        <v>AL</v>
      </c>
    </row>
    <row r="1716" spans="1:6" x14ac:dyDescent="0.25">
      <c r="A1716" t="str">
        <f>"200022799"</f>
        <v>200022799</v>
      </c>
      <c r="B1716" t="str">
        <f>"1245726892"</f>
        <v>1245726892</v>
      </c>
      <c r="C1716" t="str">
        <f>"207RC0200X"</f>
        <v>207RC0200X</v>
      </c>
      <c r="D1716" t="str">
        <f>"UPADHYAY                 RIDDHI                   "</f>
        <v xml:space="preserve">UPADHYAY                 RIDDHI                   </v>
      </c>
      <c r="E1716" t="str">
        <f>"FLORENCE                  "</f>
        <v xml:space="preserve">FLORENCE                  </v>
      </c>
      <c r="F1716" t="str">
        <f t="shared" si="59"/>
        <v>AL</v>
      </c>
    </row>
    <row r="1717" spans="1:6" x14ac:dyDescent="0.25">
      <c r="A1717" t="str">
        <f>"200022803"</f>
        <v>200022803</v>
      </c>
      <c r="B1717" t="str">
        <f>"1932781960"</f>
        <v>1932781960</v>
      </c>
      <c r="C1717" t="str">
        <f>"207VM0101X"</f>
        <v>207VM0101X</v>
      </c>
      <c r="D1717" t="str">
        <f>"FOWLKES                  RANA                     "</f>
        <v xml:space="preserve">FOWLKES                  RANA                     </v>
      </c>
      <c r="E1717" t="str">
        <f>"BIRMINGHAM                "</f>
        <v xml:space="preserve">BIRMINGHAM                </v>
      </c>
      <c r="F1717" t="str">
        <f t="shared" si="59"/>
        <v>AL</v>
      </c>
    </row>
    <row r="1718" spans="1:6" x14ac:dyDescent="0.25">
      <c r="A1718" t="str">
        <f>"200022804"</f>
        <v>200022804</v>
      </c>
      <c r="B1718" t="str">
        <f>"1326788787"</f>
        <v>1326788787</v>
      </c>
      <c r="C1718" t="str">
        <f>"208M00000X"</f>
        <v>208M00000X</v>
      </c>
      <c r="D1718" t="str">
        <f>"BUI                      CHRISTOPHER  M           "</f>
        <v xml:space="preserve">BUI                      CHRISTOPHER  M           </v>
      </c>
      <c r="E1718" t="str">
        <f>"MOBILE                    "</f>
        <v xml:space="preserve">MOBILE                    </v>
      </c>
      <c r="F1718" t="str">
        <f t="shared" si="59"/>
        <v>AL</v>
      </c>
    </row>
    <row r="1719" spans="1:6" x14ac:dyDescent="0.25">
      <c r="A1719" t="str">
        <f>"200022807"</f>
        <v>200022807</v>
      </c>
      <c r="B1719" t="str">
        <f>"1518452663"</f>
        <v>1518452663</v>
      </c>
      <c r="C1719" t="str">
        <f>"207RI0011X"</f>
        <v>207RI0011X</v>
      </c>
      <c r="D1719" t="str">
        <f>"ELZENEINI                MOHAMMED     M           "</f>
        <v xml:space="preserve">ELZENEINI                MOHAMMED     M           </v>
      </c>
      <c r="E1719" t="str">
        <f>"MOBILE                    "</f>
        <v xml:space="preserve">MOBILE                    </v>
      </c>
      <c r="F1719" t="str">
        <f t="shared" si="59"/>
        <v>AL</v>
      </c>
    </row>
    <row r="1720" spans="1:6" x14ac:dyDescent="0.25">
      <c r="A1720" t="str">
        <f>"200022808"</f>
        <v>200022808</v>
      </c>
      <c r="B1720" t="str">
        <f>"1700761368"</f>
        <v>1700761368</v>
      </c>
      <c r="C1720" t="str">
        <f>"367500000X"</f>
        <v>367500000X</v>
      </c>
      <c r="D1720" t="str">
        <f>"NASSAR                   ASHTON                   "</f>
        <v xml:space="preserve">NASSAR                   ASHTON                   </v>
      </c>
      <c r="E1720" t="str">
        <f>"MOBILE                    "</f>
        <v xml:space="preserve">MOBILE                    </v>
      </c>
      <c r="F1720" t="str">
        <f t="shared" si="59"/>
        <v>AL</v>
      </c>
    </row>
    <row r="1721" spans="1:6" x14ac:dyDescent="0.25">
      <c r="A1721" t="str">
        <f>"200022809"</f>
        <v>200022809</v>
      </c>
      <c r="B1721" t="str">
        <f>"1215357488"</f>
        <v>1215357488</v>
      </c>
      <c r="C1721" t="str">
        <f>"207P00000X"</f>
        <v>207P00000X</v>
      </c>
      <c r="D1721" t="str">
        <f>"SAWYER                   ANDREW                   "</f>
        <v xml:space="preserve">SAWYER                   ANDREW                   </v>
      </c>
      <c r="E1721" t="str">
        <f>"BIRMINGHAM                "</f>
        <v xml:space="preserve">BIRMINGHAM                </v>
      </c>
      <c r="F1721" t="str">
        <f t="shared" si="59"/>
        <v>AL</v>
      </c>
    </row>
    <row r="1722" spans="1:6" x14ac:dyDescent="0.25">
      <c r="A1722" t="str">
        <f>"200022810"</f>
        <v>200022810</v>
      </c>
      <c r="B1722" t="str">
        <f>"1679020937"</f>
        <v>1679020937</v>
      </c>
      <c r="C1722" t="str">
        <f>"2085R0202X"</f>
        <v>2085R0202X</v>
      </c>
      <c r="D1722" t="str">
        <f>"JOBANPUTRA               KAMLESH                  "</f>
        <v xml:space="preserve">JOBANPUTRA               KAMLESH                  </v>
      </c>
      <c r="E1722" t="str">
        <f>"BIRMINGHAM                "</f>
        <v xml:space="preserve">BIRMINGHAM                </v>
      </c>
      <c r="F1722" t="str">
        <f t="shared" si="59"/>
        <v>AL</v>
      </c>
    </row>
    <row r="1723" spans="1:6" x14ac:dyDescent="0.25">
      <c r="A1723" t="str">
        <f>"200022823"</f>
        <v>200022823</v>
      </c>
      <c r="B1723" t="str">
        <f>"1245970177"</f>
        <v>1245970177</v>
      </c>
      <c r="C1723" t="str">
        <f>"207P00000X"</f>
        <v>207P00000X</v>
      </c>
      <c r="D1723" t="str">
        <f>"BRADEN                   STEPHEN                  "</f>
        <v xml:space="preserve">BRADEN                   STEPHEN                  </v>
      </c>
      <c r="E1723" t="str">
        <f>"BIRMINGHAM                "</f>
        <v xml:space="preserve">BIRMINGHAM                </v>
      </c>
      <c r="F1723" t="str">
        <f t="shared" si="59"/>
        <v>AL</v>
      </c>
    </row>
    <row r="1724" spans="1:6" x14ac:dyDescent="0.25">
      <c r="A1724" t="str">
        <f>"200022831"</f>
        <v>200022831</v>
      </c>
      <c r="B1724" t="str">
        <f>"1609369818"</f>
        <v>1609369818</v>
      </c>
      <c r="C1724" t="str">
        <f>"367500000X"</f>
        <v>367500000X</v>
      </c>
      <c r="D1724" t="str">
        <f>"HAYMAN                   BRIAN                    "</f>
        <v xml:space="preserve">HAYMAN                   BRIAN                    </v>
      </c>
      <c r="E1724" t="str">
        <f>"BIRMINGHAM                "</f>
        <v xml:space="preserve">BIRMINGHAM                </v>
      </c>
      <c r="F1724" t="str">
        <f t="shared" si="59"/>
        <v>AL</v>
      </c>
    </row>
    <row r="1725" spans="1:6" x14ac:dyDescent="0.25">
      <c r="A1725" t="str">
        <f>"200022850"</f>
        <v>200022850</v>
      </c>
      <c r="B1725" t="str">
        <f>"1962451971"</f>
        <v>1962451971</v>
      </c>
      <c r="C1725" t="str">
        <f>"208M00000X"</f>
        <v>208M00000X</v>
      </c>
      <c r="D1725" t="str">
        <f>"IQBAL                    IJAZ                     "</f>
        <v xml:space="preserve">IQBAL                    IJAZ                     </v>
      </c>
      <c r="E1725" t="str">
        <f>"MOBILE                    "</f>
        <v xml:space="preserve">MOBILE                    </v>
      </c>
      <c r="F1725" t="str">
        <f t="shared" si="59"/>
        <v>AL</v>
      </c>
    </row>
    <row r="1726" spans="1:6" x14ac:dyDescent="0.25">
      <c r="A1726" t="str">
        <f>"200022852"</f>
        <v>200022852</v>
      </c>
      <c r="B1726" t="str">
        <f>"1235812124"</f>
        <v>1235812124</v>
      </c>
      <c r="C1726" t="str">
        <f>"363L00000X"</f>
        <v>363L00000X</v>
      </c>
      <c r="D1726" t="str">
        <f>"HILL                     WARREN                   "</f>
        <v xml:space="preserve">HILL                     WARREN                   </v>
      </c>
      <c r="E1726" t="str">
        <f>"BIRMINGHAM                "</f>
        <v xml:space="preserve">BIRMINGHAM                </v>
      </c>
      <c r="F1726" t="str">
        <f t="shared" si="59"/>
        <v>AL</v>
      </c>
    </row>
    <row r="1727" spans="1:6" x14ac:dyDescent="0.25">
      <c r="A1727" t="str">
        <f>"200022856"</f>
        <v>200022856</v>
      </c>
      <c r="B1727" t="str">
        <f>"1063036192"</f>
        <v>1063036192</v>
      </c>
      <c r="C1727" t="str">
        <f>"208600000X"</f>
        <v>208600000X</v>
      </c>
      <c r="D1727" t="str">
        <f>"GUAY                     EVAN                     "</f>
        <v xml:space="preserve">GUAY                     EVAN                     </v>
      </c>
      <c r="E1727" t="str">
        <f>"BIRMINGHAM                "</f>
        <v xml:space="preserve">BIRMINGHAM                </v>
      </c>
      <c r="F1727" t="str">
        <f t="shared" si="59"/>
        <v>AL</v>
      </c>
    </row>
    <row r="1728" spans="1:6" x14ac:dyDescent="0.25">
      <c r="A1728" t="str">
        <f>"200022857"</f>
        <v>200022857</v>
      </c>
      <c r="B1728" t="str">
        <f>"1285407825"</f>
        <v>1285407825</v>
      </c>
      <c r="C1728" t="str">
        <f>"363LF0000X"</f>
        <v>363LF0000X</v>
      </c>
      <c r="D1728" t="str">
        <f>"HODGES                   KAREN                    "</f>
        <v xml:space="preserve">HODGES                   KAREN                    </v>
      </c>
      <c r="E1728" t="str">
        <f>"MOBILE                    "</f>
        <v xml:space="preserve">MOBILE                    </v>
      </c>
      <c r="F1728" t="str">
        <f t="shared" si="59"/>
        <v>AL</v>
      </c>
    </row>
    <row r="1729" spans="1:6" x14ac:dyDescent="0.25">
      <c r="A1729" t="str">
        <f>"200022859"</f>
        <v>200022859</v>
      </c>
      <c r="B1729" t="str">
        <f>"1922667252"</f>
        <v>1922667252</v>
      </c>
      <c r="C1729" t="str">
        <f>"207RH0003X"</f>
        <v>207RH0003X</v>
      </c>
      <c r="D1729" t="str">
        <f>"BRAY                     ALEXANDER                "</f>
        <v xml:space="preserve">BRAY                     ALEXANDER                </v>
      </c>
      <c r="E1729" t="str">
        <f>"BIRMINGHAM                "</f>
        <v xml:space="preserve">BIRMINGHAM                </v>
      </c>
      <c r="F1729" t="str">
        <f t="shared" si="59"/>
        <v>AL</v>
      </c>
    </row>
    <row r="1730" spans="1:6" x14ac:dyDescent="0.25">
      <c r="A1730" t="str">
        <f>"200022862"</f>
        <v>200022862</v>
      </c>
      <c r="B1730" t="str">
        <f>"1730785098"</f>
        <v>1730785098</v>
      </c>
      <c r="C1730" t="str">
        <f>"363LF0000X"</f>
        <v>363LF0000X</v>
      </c>
      <c r="D1730" t="str">
        <f>"CARROLL                  DENISE                   "</f>
        <v xml:space="preserve">CARROLL                  DENISE                   </v>
      </c>
      <c r="E1730" t="str">
        <f>"MOBILE                    "</f>
        <v xml:space="preserve">MOBILE                    </v>
      </c>
      <c r="F1730" t="str">
        <f t="shared" si="59"/>
        <v>AL</v>
      </c>
    </row>
    <row r="1731" spans="1:6" x14ac:dyDescent="0.25">
      <c r="A1731" t="str">
        <f>"200022890"</f>
        <v>200022890</v>
      </c>
      <c r="B1731" t="str">
        <f>"1912694779"</f>
        <v>1912694779</v>
      </c>
      <c r="C1731" t="str">
        <f>"363L00000X"</f>
        <v>363L00000X</v>
      </c>
      <c r="D1731" t="str">
        <f>"MANN                     BRIANA                   "</f>
        <v xml:space="preserve">MANN                     BRIANA                   </v>
      </c>
      <c r="E1731" t="str">
        <f>"BIRMINGHAM                "</f>
        <v xml:space="preserve">BIRMINGHAM                </v>
      </c>
      <c r="F1731" t="str">
        <f t="shared" si="59"/>
        <v>AL</v>
      </c>
    </row>
    <row r="1732" spans="1:6" x14ac:dyDescent="0.25">
      <c r="A1732" t="str">
        <f>"200022891"</f>
        <v>200022891</v>
      </c>
      <c r="B1732" t="str">
        <f>"1124552856"</f>
        <v>1124552856</v>
      </c>
      <c r="C1732" t="str">
        <f>"2086S0122X"</f>
        <v>2086S0122X</v>
      </c>
      <c r="D1732" t="str">
        <f>"ANTONETTI                JONATHAN                 "</f>
        <v xml:space="preserve">ANTONETTI                JONATHAN                 </v>
      </c>
      <c r="E1732" t="str">
        <f>"BIRMINGHAM                "</f>
        <v xml:space="preserve">BIRMINGHAM                </v>
      </c>
      <c r="F1732" t="str">
        <f t="shared" si="59"/>
        <v>AL</v>
      </c>
    </row>
    <row r="1733" spans="1:6" x14ac:dyDescent="0.25">
      <c r="A1733" t="str">
        <f>"200022895"</f>
        <v>200022895</v>
      </c>
      <c r="B1733" t="str">
        <f>"1053540617"</f>
        <v>1053540617</v>
      </c>
      <c r="C1733" t="str">
        <f>"207P00000X"</f>
        <v>207P00000X</v>
      </c>
      <c r="D1733" t="str">
        <f>"MCINTOSH                 NATHAN                   "</f>
        <v xml:space="preserve">MCINTOSH                 NATHAN                   </v>
      </c>
      <c r="E1733" t="str">
        <f>"FOLEY                     "</f>
        <v xml:space="preserve">FOLEY                     </v>
      </c>
      <c r="F1733" t="str">
        <f t="shared" si="59"/>
        <v>AL</v>
      </c>
    </row>
    <row r="1734" spans="1:6" x14ac:dyDescent="0.25">
      <c r="A1734" t="str">
        <f>"200022902"</f>
        <v>200022902</v>
      </c>
      <c r="B1734" t="str">
        <f>"1053930529"</f>
        <v>1053930529</v>
      </c>
      <c r="C1734" t="str">
        <f>"2085R0202X"</f>
        <v>2085R0202X</v>
      </c>
      <c r="D1734" t="str">
        <f>"COLUMBUS                 LAURA                    "</f>
        <v xml:space="preserve">COLUMBUS                 LAURA                    </v>
      </c>
      <c r="E1734" t="str">
        <f>"BIRMINGHAM                "</f>
        <v xml:space="preserve">BIRMINGHAM                </v>
      </c>
      <c r="F1734" t="str">
        <f t="shared" si="59"/>
        <v>AL</v>
      </c>
    </row>
    <row r="1735" spans="1:6" x14ac:dyDescent="0.25">
      <c r="A1735" t="str">
        <f>"200022903"</f>
        <v>200022903</v>
      </c>
      <c r="B1735" t="str">
        <f>"1023491263"</f>
        <v>1023491263</v>
      </c>
      <c r="C1735" t="str">
        <f>"2085R0202X"</f>
        <v>2085R0202X</v>
      </c>
      <c r="D1735" t="str">
        <f>"HAYRAPETIAN              ARTINEH                  "</f>
        <v xml:space="preserve">HAYRAPETIAN              ARTINEH                  </v>
      </c>
      <c r="E1735" t="str">
        <f>"MOBILE                    "</f>
        <v xml:space="preserve">MOBILE                    </v>
      </c>
      <c r="F1735" t="str">
        <f t="shared" ref="F1735:F1798" si="61">"AL"</f>
        <v>AL</v>
      </c>
    </row>
    <row r="1736" spans="1:6" x14ac:dyDescent="0.25">
      <c r="A1736" t="str">
        <f>"200022909"</f>
        <v>200022909</v>
      </c>
      <c r="B1736" t="str">
        <f>"1972786960"</f>
        <v>1972786960</v>
      </c>
      <c r="C1736" t="str">
        <f>"207Q00000X"</f>
        <v>207Q00000X</v>
      </c>
      <c r="D1736" t="str">
        <f>"MYRICK                   GREGORY                  "</f>
        <v xml:space="preserve">MYRICK                   GREGORY                  </v>
      </c>
      <c r="E1736" t="str">
        <f>"MOBILE                    "</f>
        <v xml:space="preserve">MOBILE                    </v>
      </c>
      <c r="F1736" t="str">
        <f t="shared" si="61"/>
        <v>AL</v>
      </c>
    </row>
    <row r="1737" spans="1:6" x14ac:dyDescent="0.25">
      <c r="A1737" t="str">
        <f>"200022912"</f>
        <v>200022912</v>
      </c>
      <c r="B1737" t="str">
        <f>"1699086454"</f>
        <v>1699086454</v>
      </c>
      <c r="C1737" t="str">
        <f>"207P00000X"</f>
        <v>207P00000X</v>
      </c>
      <c r="D1737" t="str">
        <f>"LINDSEY                  BRIAN                    "</f>
        <v xml:space="preserve">LINDSEY                  BRIAN                    </v>
      </c>
      <c r="E1737" t="str">
        <f>"FOLEY                     "</f>
        <v xml:space="preserve">FOLEY                     </v>
      </c>
      <c r="F1737" t="str">
        <f t="shared" si="61"/>
        <v>AL</v>
      </c>
    </row>
    <row r="1738" spans="1:6" x14ac:dyDescent="0.25">
      <c r="A1738" t="str">
        <f>"200022930"</f>
        <v>200022930</v>
      </c>
      <c r="B1738" t="str">
        <f>"1619597184"</f>
        <v>1619597184</v>
      </c>
      <c r="C1738" t="str">
        <f>"207N00000X"</f>
        <v>207N00000X</v>
      </c>
      <c r="D1738" t="str">
        <f>"SMITH                    ABIGAIL                  "</f>
        <v xml:space="preserve">SMITH                    ABIGAIL                  </v>
      </c>
      <c r="E1738" t="str">
        <f>"BIRMINGHAM                "</f>
        <v xml:space="preserve">BIRMINGHAM                </v>
      </c>
      <c r="F1738" t="str">
        <f t="shared" si="61"/>
        <v>AL</v>
      </c>
    </row>
    <row r="1739" spans="1:6" x14ac:dyDescent="0.25">
      <c r="A1739" t="str">
        <f>"200022960"</f>
        <v>200022960</v>
      </c>
      <c r="B1739" t="str">
        <f>"1386179315"</f>
        <v>1386179315</v>
      </c>
      <c r="C1739" t="str">
        <f>"363AM0700X"</f>
        <v>363AM0700X</v>
      </c>
      <c r="D1739" t="str">
        <f>"HANSON                   CALEB                    "</f>
        <v xml:space="preserve">HANSON                   CALEB                    </v>
      </c>
      <c r="E1739" t="str">
        <f>"MOBILE                    "</f>
        <v xml:space="preserve">MOBILE                    </v>
      </c>
      <c r="F1739" t="str">
        <f t="shared" si="61"/>
        <v>AL</v>
      </c>
    </row>
    <row r="1740" spans="1:6" x14ac:dyDescent="0.25">
      <c r="A1740" t="str">
        <f>"200022995"</f>
        <v>200022995</v>
      </c>
      <c r="B1740" t="str">
        <f>"1235635921"</f>
        <v>1235635921</v>
      </c>
      <c r="C1740" t="str">
        <f>"208600000X"</f>
        <v>208600000X</v>
      </c>
      <c r="D1740" t="str">
        <f>"WARD                     MARK         A           "</f>
        <v xml:space="preserve">WARD                     MARK         A           </v>
      </c>
      <c r="E1740" t="str">
        <f>"MOBILE                    "</f>
        <v xml:space="preserve">MOBILE                    </v>
      </c>
      <c r="F1740" t="str">
        <f t="shared" si="61"/>
        <v>AL</v>
      </c>
    </row>
    <row r="1741" spans="1:6" x14ac:dyDescent="0.25">
      <c r="A1741" t="str">
        <f>"200022998"</f>
        <v>200022998</v>
      </c>
      <c r="B1741" t="str">
        <f>"1992026751"</f>
        <v>1992026751</v>
      </c>
      <c r="C1741" t="str">
        <f>"208M00000X"</f>
        <v>208M00000X</v>
      </c>
      <c r="D1741" t="str">
        <f>"SUMMERS                  TERESA                   "</f>
        <v xml:space="preserve">SUMMERS                  TERESA                   </v>
      </c>
      <c r="E1741" t="str">
        <f>"MOBILE                    "</f>
        <v xml:space="preserve">MOBILE                    </v>
      </c>
      <c r="F1741" t="str">
        <f t="shared" si="61"/>
        <v>AL</v>
      </c>
    </row>
    <row r="1742" spans="1:6" x14ac:dyDescent="0.25">
      <c r="A1742" t="str">
        <f>"200023002"</f>
        <v>200023002</v>
      </c>
      <c r="B1742" t="str">
        <f>"1275899536"</f>
        <v>1275899536</v>
      </c>
      <c r="C1742" t="str">
        <f>"2084N0400X"</f>
        <v>2084N0400X</v>
      </c>
      <c r="D1742" t="str">
        <f>"MALITO                   ALISSA                   "</f>
        <v xml:space="preserve">MALITO                   ALISSA                   </v>
      </c>
      <c r="E1742" t="str">
        <f t="shared" ref="E1742:E1750" si="62">"BIRMINGHAM                "</f>
        <v xml:space="preserve">BIRMINGHAM                </v>
      </c>
      <c r="F1742" t="str">
        <f t="shared" si="61"/>
        <v>AL</v>
      </c>
    </row>
    <row r="1743" spans="1:6" x14ac:dyDescent="0.25">
      <c r="A1743" t="str">
        <f>"200023004"</f>
        <v>200023004</v>
      </c>
      <c r="B1743" t="str">
        <f>"1689028466"</f>
        <v>1689028466</v>
      </c>
      <c r="C1743" t="str">
        <f>"2086S0129X"</f>
        <v>2086S0129X</v>
      </c>
      <c r="D1743" t="str">
        <f>"GLEASON                  MICHAEL                  "</f>
        <v xml:space="preserve">GLEASON                  MICHAEL                  </v>
      </c>
      <c r="E1743" t="str">
        <f t="shared" si="62"/>
        <v xml:space="preserve">BIRMINGHAM                </v>
      </c>
      <c r="F1743" t="str">
        <f t="shared" si="61"/>
        <v>AL</v>
      </c>
    </row>
    <row r="1744" spans="1:6" x14ac:dyDescent="0.25">
      <c r="A1744" t="str">
        <f>"200023010"</f>
        <v>200023010</v>
      </c>
      <c r="B1744" t="str">
        <f>"1356920425"</f>
        <v>1356920425</v>
      </c>
      <c r="C1744" t="str">
        <f>"207VF0040X"</f>
        <v>207VF0040X</v>
      </c>
      <c r="D1744" t="str">
        <f>"KUCERA                   CELIA                    "</f>
        <v xml:space="preserve">KUCERA                   CELIA                    </v>
      </c>
      <c r="E1744" t="str">
        <f t="shared" si="62"/>
        <v xml:space="preserve">BIRMINGHAM                </v>
      </c>
      <c r="F1744" t="str">
        <f t="shared" si="61"/>
        <v>AL</v>
      </c>
    </row>
    <row r="1745" spans="1:6" x14ac:dyDescent="0.25">
      <c r="A1745" t="str">
        <f>"200023021"</f>
        <v>200023021</v>
      </c>
      <c r="B1745" t="str">
        <f>"1730620956"</f>
        <v>1730620956</v>
      </c>
      <c r="C1745" t="str">
        <f>"208800000X"</f>
        <v>208800000X</v>
      </c>
      <c r="D1745" t="str">
        <f>"GUPTA                    KARISHMA                 "</f>
        <v xml:space="preserve">GUPTA                    KARISHMA                 </v>
      </c>
      <c r="E1745" t="str">
        <f t="shared" si="62"/>
        <v xml:space="preserve">BIRMINGHAM                </v>
      </c>
      <c r="F1745" t="str">
        <f t="shared" si="61"/>
        <v>AL</v>
      </c>
    </row>
    <row r="1746" spans="1:6" x14ac:dyDescent="0.25">
      <c r="A1746" t="str">
        <f>"200023023"</f>
        <v>200023023</v>
      </c>
      <c r="B1746" t="str">
        <f>"1497288286"</f>
        <v>1497288286</v>
      </c>
      <c r="C1746" t="str">
        <f>"208600000X"</f>
        <v>208600000X</v>
      </c>
      <c r="D1746" t="str">
        <f>"HUYNH                    VICTORIA                 "</f>
        <v xml:space="preserve">HUYNH                    VICTORIA                 </v>
      </c>
      <c r="E1746" t="str">
        <f t="shared" si="62"/>
        <v xml:space="preserve">BIRMINGHAM                </v>
      </c>
      <c r="F1746" t="str">
        <f t="shared" si="61"/>
        <v>AL</v>
      </c>
    </row>
    <row r="1747" spans="1:6" x14ac:dyDescent="0.25">
      <c r="A1747" t="str">
        <f>"200023027"</f>
        <v>200023027</v>
      </c>
      <c r="B1747" t="str">
        <f>"1740858612"</f>
        <v>1740858612</v>
      </c>
      <c r="C1747" t="str">
        <f>"363LF0000X"</f>
        <v>363LF0000X</v>
      </c>
      <c r="D1747" t="str">
        <f>"ADAIR                    RACHEL                   "</f>
        <v xml:space="preserve">ADAIR                    RACHEL                   </v>
      </c>
      <c r="E1747" t="str">
        <f t="shared" si="62"/>
        <v xml:space="preserve">BIRMINGHAM                </v>
      </c>
      <c r="F1747" t="str">
        <f t="shared" si="61"/>
        <v>AL</v>
      </c>
    </row>
    <row r="1748" spans="1:6" x14ac:dyDescent="0.25">
      <c r="A1748" t="str">
        <f>"200023033"</f>
        <v>200023033</v>
      </c>
      <c r="B1748" t="str">
        <f>"1316302060"</f>
        <v>1316302060</v>
      </c>
      <c r="C1748" t="str">
        <f>"208600000X"</f>
        <v>208600000X</v>
      </c>
      <c r="D1748" t="str">
        <f>"ABRAHAM                  PETER                    "</f>
        <v xml:space="preserve">ABRAHAM                  PETER                    </v>
      </c>
      <c r="E1748" t="str">
        <f t="shared" si="62"/>
        <v xml:space="preserve">BIRMINGHAM                </v>
      </c>
      <c r="F1748" t="str">
        <f t="shared" si="61"/>
        <v>AL</v>
      </c>
    </row>
    <row r="1749" spans="1:6" x14ac:dyDescent="0.25">
      <c r="A1749" t="str">
        <f>"200023040"</f>
        <v>200023040</v>
      </c>
      <c r="B1749" t="str">
        <f>"1720883051"</f>
        <v>1720883051</v>
      </c>
      <c r="C1749" t="str">
        <f>"363L00000X"</f>
        <v>363L00000X</v>
      </c>
      <c r="D1749" t="str">
        <f>"CROOK                    JENNIFER                 "</f>
        <v xml:space="preserve">CROOK                    JENNIFER                 </v>
      </c>
      <c r="E1749" t="str">
        <f t="shared" si="62"/>
        <v xml:space="preserve">BIRMINGHAM                </v>
      </c>
      <c r="F1749" t="str">
        <f t="shared" si="61"/>
        <v>AL</v>
      </c>
    </row>
    <row r="1750" spans="1:6" x14ac:dyDescent="0.25">
      <c r="A1750" t="str">
        <f>"200023043"</f>
        <v>200023043</v>
      </c>
      <c r="B1750" t="str">
        <f>"1366106627"</f>
        <v>1366106627</v>
      </c>
      <c r="C1750" t="str">
        <f>"363A00000X"</f>
        <v>363A00000X</v>
      </c>
      <c r="D1750" t="str">
        <f>"ZICARELLI                MICHAEL                  "</f>
        <v xml:space="preserve">ZICARELLI                MICHAEL                  </v>
      </c>
      <c r="E1750" t="str">
        <f t="shared" si="62"/>
        <v xml:space="preserve">BIRMINGHAM                </v>
      </c>
      <c r="F1750" t="str">
        <f t="shared" si="61"/>
        <v>AL</v>
      </c>
    </row>
    <row r="1751" spans="1:6" x14ac:dyDescent="0.25">
      <c r="A1751" t="str">
        <f>"200023049"</f>
        <v>200023049</v>
      </c>
      <c r="B1751" t="str">
        <f>"1396109021"</f>
        <v>1396109021</v>
      </c>
      <c r="C1751" t="str">
        <f>"207RI0200X"</f>
        <v>207RI0200X</v>
      </c>
      <c r="D1751" t="str">
        <f>"ZAWADZKA                 SABINA                   "</f>
        <v xml:space="preserve">ZAWADZKA                 SABINA                   </v>
      </c>
      <c r="E1751" t="str">
        <f>"MOBILE                    "</f>
        <v xml:space="preserve">MOBILE                    </v>
      </c>
      <c r="F1751" t="str">
        <f t="shared" si="61"/>
        <v>AL</v>
      </c>
    </row>
    <row r="1752" spans="1:6" x14ac:dyDescent="0.25">
      <c r="A1752" t="str">
        <f>"200023058"</f>
        <v>200023058</v>
      </c>
      <c r="B1752" t="str">
        <f>"1386979821"</f>
        <v>1386979821</v>
      </c>
      <c r="C1752" t="str">
        <f>"363A00000X"</f>
        <v>363A00000X</v>
      </c>
      <c r="D1752" t="str">
        <f>"MERRIT                   MELLANIE                 "</f>
        <v xml:space="preserve">MERRIT                   MELLANIE                 </v>
      </c>
      <c r="E1752" t="str">
        <f>"BIRMINGHAM                "</f>
        <v xml:space="preserve">BIRMINGHAM                </v>
      </c>
      <c r="F1752" t="str">
        <f t="shared" si="61"/>
        <v>AL</v>
      </c>
    </row>
    <row r="1753" spans="1:6" x14ac:dyDescent="0.25">
      <c r="A1753" t="str">
        <f>"200023066"</f>
        <v>200023066</v>
      </c>
      <c r="B1753" t="str">
        <f>"1245034214"</f>
        <v>1245034214</v>
      </c>
      <c r="C1753" t="str">
        <f>"207R00000X"</f>
        <v>207R00000X</v>
      </c>
      <c r="D1753" t="str">
        <f>"BROADFOOT                WILLIAM                  "</f>
        <v xml:space="preserve">BROADFOOT                WILLIAM                  </v>
      </c>
      <c r="E1753" t="str">
        <f>"MOBILE                    "</f>
        <v xml:space="preserve">MOBILE                    </v>
      </c>
      <c r="F1753" t="str">
        <f t="shared" si="61"/>
        <v>AL</v>
      </c>
    </row>
    <row r="1754" spans="1:6" x14ac:dyDescent="0.25">
      <c r="A1754" t="str">
        <f>"200023072"</f>
        <v>200023072</v>
      </c>
      <c r="B1754" t="str">
        <f>"1114458205"</f>
        <v>1114458205</v>
      </c>
      <c r="C1754" t="str">
        <f>"207P00000X"</f>
        <v>207P00000X</v>
      </c>
      <c r="D1754" t="str">
        <f>"HEGDE                    PATRICK                  "</f>
        <v xml:space="preserve">HEGDE                    PATRICK                  </v>
      </c>
      <c r="E1754" t="str">
        <f>"BIRMINGHAM                "</f>
        <v xml:space="preserve">BIRMINGHAM                </v>
      </c>
      <c r="F1754" t="str">
        <f t="shared" si="61"/>
        <v>AL</v>
      </c>
    </row>
    <row r="1755" spans="1:6" x14ac:dyDescent="0.25">
      <c r="A1755" t="str">
        <f>"200023085"</f>
        <v>200023085</v>
      </c>
      <c r="B1755" t="str">
        <f>"1033965967"</f>
        <v>1033965967</v>
      </c>
      <c r="C1755" t="str">
        <f>"207P00000X"</f>
        <v>207P00000X</v>
      </c>
      <c r="D1755" t="str">
        <f>"DAVIS                    WILLIAM      C           "</f>
        <v xml:space="preserve">DAVIS                    WILLIAM      C           </v>
      </c>
      <c r="E1755" t="str">
        <f>"MOBILE                    "</f>
        <v xml:space="preserve">MOBILE                    </v>
      </c>
      <c r="F1755" t="str">
        <f t="shared" si="61"/>
        <v>AL</v>
      </c>
    </row>
    <row r="1756" spans="1:6" x14ac:dyDescent="0.25">
      <c r="A1756" t="str">
        <f>"200023092"</f>
        <v>200023092</v>
      </c>
      <c r="B1756" t="str">
        <f>"1386272136"</f>
        <v>1386272136</v>
      </c>
      <c r="C1756" t="str">
        <f>"208100000X"</f>
        <v>208100000X</v>
      </c>
      <c r="D1756" t="str">
        <f>"MCBRIDE                  DANIEL                   "</f>
        <v xml:space="preserve">MCBRIDE                  DANIEL                   </v>
      </c>
      <c r="E1756" t="str">
        <f>"BIRMINGHAM                "</f>
        <v xml:space="preserve">BIRMINGHAM                </v>
      </c>
      <c r="F1756" t="str">
        <f t="shared" si="61"/>
        <v>AL</v>
      </c>
    </row>
    <row r="1757" spans="1:6" x14ac:dyDescent="0.25">
      <c r="A1757" t="str">
        <f>"200023097"</f>
        <v>200023097</v>
      </c>
      <c r="B1757" t="str">
        <f>"1962896159"</f>
        <v>1962896159</v>
      </c>
      <c r="C1757" t="str">
        <f>"207RI0200X"</f>
        <v>207RI0200X</v>
      </c>
      <c r="D1757" t="str">
        <f>"TOMPKINS                 KATHLEEN                 "</f>
        <v xml:space="preserve">TOMPKINS                 KATHLEEN                 </v>
      </c>
      <c r="E1757" t="str">
        <f>"MOBILE                    "</f>
        <v xml:space="preserve">MOBILE                    </v>
      </c>
      <c r="F1757" t="str">
        <f t="shared" si="61"/>
        <v>AL</v>
      </c>
    </row>
    <row r="1758" spans="1:6" x14ac:dyDescent="0.25">
      <c r="A1758" t="str">
        <f>"200023098"</f>
        <v>200023098</v>
      </c>
      <c r="B1758" t="str">
        <f>"1053008219"</f>
        <v>1053008219</v>
      </c>
      <c r="C1758" t="str">
        <f>"207XS0117X"</f>
        <v>207XS0117X</v>
      </c>
      <c r="D1758" t="str">
        <f>"TOOBAIE                  ASRA                     "</f>
        <v xml:space="preserve">TOOBAIE                  ASRA                     </v>
      </c>
      <c r="E1758" t="str">
        <f>"MOBILE                    "</f>
        <v xml:space="preserve">MOBILE                    </v>
      </c>
      <c r="F1758" t="str">
        <f t="shared" si="61"/>
        <v>AL</v>
      </c>
    </row>
    <row r="1759" spans="1:6" x14ac:dyDescent="0.25">
      <c r="A1759" t="str">
        <f>"200023099"</f>
        <v>200023099</v>
      </c>
      <c r="B1759" t="str">
        <f>"1295477305"</f>
        <v>1295477305</v>
      </c>
      <c r="C1759" t="str">
        <f>"207R00000X"</f>
        <v>207R00000X</v>
      </c>
      <c r="D1759" t="str">
        <f>"MALIK                    HAZMA                    "</f>
        <v xml:space="preserve">MALIK                    HAZMA                    </v>
      </c>
      <c r="E1759" t="str">
        <f>"FLORENCE                  "</f>
        <v xml:space="preserve">FLORENCE                  </v>
      </c>
      <c r="F1759" t="str">
        <f t="shared" si="61"/>
        <v>AL</v>
      </c>
    </row>
    <row r="1760" spans="1:6" x14ac:dyDescent="0.25">
      <c r="A1760" t="str">
        <f>"200023101"</f>
        <v>200023101</v>
      </c>
      <c r="B1760" t="str">
        <f>"1528701091"</f>
        <v>1528701091</v>
      </c>
      <c r="C1760" t="str">
        <f>"207Q00000X"</f>
        <v>207Q00000X</v>
      </c>
      <c r="D1760" t="str">
        <f>"KINGSLEY                 JENNIFER                 "</f>
        <v xml:space="preserve">KINGSLEY                 JENNIFER                 </v>
      </c>
      <c r="E1760" t="str">
        <f>"BIRMINGHAM                "</f>
        <v xml:space="preserve">BIRMINGHAM                </v>
      </c>
      <c r="F1760" t="str">
        <f t="shared" si="61"/>
        <v>AL</v>
      </c>
    </row>
    <row r="1761" spans="1:6" x14ac:dyDescent="0.25">
      <c r="A1761" t="str">
        <f>"200023102"</f>
        <v>200023102</v>
      </c>
      <c r="B1761" t="str">
        <f>"1710771266"</f>
        <v>1710771266</v>
      </c>
      <c r="C1761" t="str">
        <f>"2084P0800X"</f>
        <v>2084P0800X</v>
      </c>
      <c r="D1761" t="str">
        <f>"AMIN                     RASHEEQ                  "</f>
        <v xml:space="preserve">AMIN                     RASHEEQ                  </v>
      </c>
      <c r="E1761" t="str">
        <f>"MOBILE                    "</f>
        <v xml:space="preserve">MOBILE                    </v>
      </c>
      <c r="F1761" t="str">
        <f t="shared" si="61"/>
        <v>AL</v>
      </c>
    </row>
    <row r="1762" spans="1:6" x14ac:dyDescent="0.25">
      <c r="A1762" t="str">
        <f>"200023107"</f>
        <v>200023107</v>
      </c>
      <c r="B1762" t="str">
        <f>"1396530903"</f>
        <v>1396530903</v>
      </c>
      <c r="C1762" t="str">
        <f>"2084P0800X"</f>
        <v>2084P0800X</v>
      </c>
      <c r="D1762" t="str">
        <f>"HARRINGTON               JONAH                    "</f>
        <v xml:space="preserve">HARRINGTON               JONAH                    </v>
      </c>
      <c r="E1762" t="str">
        <f>"MOBILE                    "</f>
        <v xml:space="preserve">MOBILE                    </v>
      </c>
      <c r="F1762" t="str">
        <f t="shared" si="61"/>
        <v>AL</v>
      </c>
    </row>
    <row r="1763" spans="1:6" x14ac:dyDescent="0.25">
      <c r="A1763" t="str">
        <f>"200023108"</f>
        <v>200023108</v>
      </c>
      <c r="B1763" t="str">
        <f>"1790510329"</f>
        <v>1790510329</v>
      </c>
      <c r="C1763" t="str">
        <f>"207R00000X"</f>
        <v>207R00000X</v>
      </c>
      <c r="D1763" t="str">
        <f>"AKTA                     HUMA                     "</f>
        <v xml:space="preserve">AKTA                     HUMA                     </v>
      </c>
      <c r="E1763" t="str">
        <f>"MOBILE                    "</f>
        <v xml:space="preserve">MOBILE                    </v>
      </c>
      <c r="F1763" t="str">
        <f t="shared" si="61"/>
        <v>AL</v>
      </c>
    </row>
    <row r="1764" spans="1:6" x14ac:dyDescent="0.25">
      <c r="A1764" t="str">
        <f>"200023121"</f>
        <v>200023121</v>
      </c>
      <c r="B1764" t="str">
        <f>"1316524903"</f>
        <v>1316524903</v>
      </c>
      <c r="C1764" t="str">
        <f>"207V00000X"</f>
        <v>207V00000X</v>
      </c>
      <c r="D1764" t="str">
        <f>"FITZHUGH                 CHELSEA                  "</f>
        <v xml:space="preserve">FITZHUGH                 CHELSEA                  </v>
      </c>
      <c r="E1764" t="str">
        <f>"BIRMINGHAM                "</f>
        <v xml:space="preserve">BIRMINGHAM                </v>
      </c>
      <c r="F1764" t="str">
        <f t="shared" si="61"/>
        <v>AL</v>
      </c>
    </row>
    <row r="1765" spans="1:6" x14ac:dyDescent="0.25">
      <c r="A1765" t="str">
        <f>"200023126"</f>
        <v>200023126</v>
      </c>
      <c r="B1765" t="str">
        <f>"1659109270"</f>
        <v>1659109270</v>
      </c>
      <c r="C1765" t="str">
        <f>"207R00000X"</f>
        <v>207R00000X</v>
      </c>
      <c r="D1765" t="str">
        <f>"HARWELL                  KATELYN                  "</f>
        <v xml:space="preserve">HARWELL                  KATELYN                  </v>
      </c>
      <c r="E1765" t="str">
        <f>"MOBILE                    "</f>
        <v xml:space="preserve">MOBILE                    </v>
      </c>
      <c r="F1765" t="str">
        <f t="shared" si="61"/>
        <v>AL</v>
      </c>
    </row>
    <row r="1766" spans="1:6" x14ac:dyDescent="0.25">
      <c r="A1766" t="str">
        <f>"200023135"</f>
        <v>200023135</v>
      </c>
      <c r="B1766" t="str">
        <f>"1306288014"</f>
        <v>1306288014</v>
      </c>
      <c r="C1766" t="str">
        <f>"363A00000X"</f>
        <v>363A00000X</v>
      </c>
      <c r="D1766" t="str">
        <f>"MARTIN                   MEGAN                    "</f>
        <v xml:space="preserve">MARTIN                   MEGAN                    </v>
      </c>
      <c r="E1766" t="str">
        <f>"BIRMINGHAM                "</f>
        <v xml:space="preserve">BIRMINGHAM                </v>
      </c>
      <c r="F1766" t="str">
        <f t="shared" si="61"/>
        <v>AL</v>
      </c>
    </row>
    <row r="1767" spans="1:6" x14ac:dyDescent="0.25">
      <c r="A1767" t="str">
        <f>"200023142"</f>
        <v>200023142</v>
      </c>
      <c r="B1767" t="str">
        <f>"1225071020"</f>
        <v>1225071020</v>
      </c>
      <c r="C1767" t="str">
        <f>"367500000X"</f>
        <v>367500000X</v>
      </c>
      <c r="D1767" t="str">
        <f>"LITTLE                   LARRY                    "</f>
        <v xml:space="preserve">LITTLE                   LARRY                    </v>
      </c>
      <c r="E1767" t="str">
        <f>"MOBILE                    "</f>
        <v xml:space="preserve">MOBILE                    </v>
      </c>
      <c r="F1767" t="str">
        <f t="shared" si="61"/>
        <v>AL</v>
      </c>
    </row>
    <row r="1768" spans="1:6" x14ac:dyDescent="0.25">
      <c r="A1768" t="str">
        <f>"200023146"</f>
        <v>200023146</v>
      </c>
      <c r="B1768" t="str">
        <f>"1114623808"</f>
        <v>1114623808</v>
      </c>
      <c r="C1768" t="str">
        <f>"363L00000X"</f>
        <v>363L00000X</v>
      </c>
      <c r="D1768" t="str">
        <f>"SCOGGINS                 SARAH                    "</f>
        <v xml:space="preserve">SCOGGINS                 SARAH                    </v>
      </c>
      <c r="E1768" t="str">
        <f>"BIRMINGHAM                "</f>
        <v xml:space="preserve">BIRMINGHAM                </v>
      </c>
      <c r="F1768" t="str">
        <f t="shared" si="61"/>
        <v>AL</v>
      </c>
    </row>
    <row r="1769" spans="1:6" x14ac:dyDescent="0.25">
      <c r="A1769" t="str">
        <f>"200023163"</f>
        <v>200023163</v>
      </c>
      <c r="B1769" t="str">
        <f>"1114906245"</f>
        <v>1114906245</v>
      </c>
      <c r="C1769" t="str">
        <f>"2085R0202X"</f>
        <v>2085R0202X</v>
      </c>
      <c r="D1769" t="str">
        <f>"RUBLE                    CHAD                     "</f>
        <v xml:space="preserve">RUBLE                    CHAD                     </v>
      </c>
      <c r="E1769" t="str">
        <f>"BIRMINGHAM                "</f>
        <v xml:space="preserve">BIRMINGHAM                </v>
      </c>
      <c r="F1769" t="str">
        <f t="shared" si="61"/>
        <v>AL</v>
      </c>
    </row>
    <row r="1770" spans="1:6" x14ac:dyDescent="0.25">
      <c r="A1770" t="str">
        <f>"200023167"</f>
        <v>200023167</v>
      </c>
      <c r="B1770" t="str">
        <f>"1922604677"</f>
        <v>1922604677</v>
      </c>
      <c r="C1770" t="str">
        <f>"363LF0000X"</f>
        <v>363LF0000X</v>
      </c>
      <c r="D1770" t="str">
        <f>"WHITFIELD                HILLARY                  "</f>
        <v xml:space="preserve">WHITFIELD                HILLARY                  </v>
      </c>
      <c r="E1770" t="str">
        <f>"CITRONELLE                "</f>
        <v xml:space="preserve">CITRONELLE                </v>
      </c>
      <c r="F1770" t="str">
        <f t="shared" si="61"/>
        <v>AL</v>
      </c>
    </row>
    <row r="1771" spans="1:6" x14ac:dyDescent="0.25">
      <c r="A1771" t="str">
        <f>"200023173"</f>
        <v>200023173</v>
      </c>
      <c r="B1771" t="str">
        <f>"1982408175"</f>
        <v>1982408175</v>
      </c>
      <c r="C1771" t="str">
        <f>"207X00000X"</f>
        <v>207X00000X</v>
      </c>
      <c r="D1771" t="str">
        <f>"WATTERSON                MATTHEW      C           "</f>
        <v xml:space="preserve">WATTERSON                MATTHEW      C           </v>
      </c>
      <c r="E1771" t="str">
        <f>"MOBILE                    "</f>
        <v xml:space="preserve">MOBILE                    </v>
      </c>
      <c r="F1771" t="str">
        <f t="shared" si="61"/>
        <v>AL</v>
      </c>
    </row>
    <row r="1772" spans="1:6" x14ac:dyDescent="0.25">
      <c r="A1772" t="str">
        <f>"200023175"</f>
        <v>200023175</v>
      </c>
      <c r="B1772" t="str">
        <f>"1508146796"</f>
        <v>1508146796</v>
      </c>
      <c r="C1772" t="str">
        <f>"363AM0700X"</f>
        <v>363AM0700X</v>
      </c>
      <c r="D1772" t="str">
        <f>"HUNTER                   WHITNEY      C           "</f>
        <v xml:space="preserve">HUNTER                   WHITNEY      C           </v>
      </c>
      <c r="E1772" t="str">
        <f>"MOBILE                    "</f>
        <v xml:space="preserve">MOBILE                    </v>
      </c>
      <c r="F1772" t="str">
        <f t="shared" si="61"/>
        <v>AL</v>
      </c>
    </row>
    <row r="1773" spans="1:6" x14ac:dyDescent="0.25">
      <c r="A1773" t="str">
        <f>"200023179"</f>
        <v>200023179</v>
      </c>
      <c r="B1773" t="str">
        <f>"1669405593"</f>
        <v>1669405593</v>
      </c>
      <c r="C1773" t="str">
        <f>"207Q00000X"</f>
        <v>207Q00000X</v>
      </c>
      <c r="D1773" t="str">
        <f>"LOCKARD                  THOMAS                   "</f>
        <v xml:space="preserve">LOCKARD                  THOMAS                   </v>
      </c>
      <c r="E1773" t="str">
        <f>"FOLEY                     "</f>
        <v xml:space="preserve">FOLEY                     </v>
      </c>
      <c r="F1773" t="str">
        <f t="shared" si="61"/>
        <v>AL</v>
      </c>
    </row>
    <row r="1774" spans="1:6" x14ac:dyDescent="0.25">
      <c r="A1774" t="str">
        <f>"200023181"</f>
        <v>200023181</v>
      </c>
      <c r="B1774" t="str">
        <f>"1629501044"</f>
        <v>1629501044</v>
      </c>
      <c r="C1774" t="str">
        <f>"208G00000X"</f>
        <v>208G00000X</v>
      </c>
      <c r="D1774" t="str">
        <f>"MULLEN                   PARKER       R           "</f>
        <v xml:space="preserve">MULLEN                   PARKER       R           </v>
      </c>
      <c r="E1774" t="str">
        <f>"MOBILE                    "</f>
        <v xml:space="preserve">MOBILE                    </v>
      </c>
      <c r="F1774" t="str">
        <f t="shared" si="61"/>
        <v>AL</v>
      </c>
    </row>
    <row r="1775" spans="1:6" x14ac:dyDescent="0.25">
      <c r="A1775" t="str">
        <f>"200023183"</f>
        <v>200023183</v>
      </c>
      <c r="B1775" t="str">
        <f>"1629864871"</f>
        <v>1629864871</v>
      </c>
      <c r="C1775" t="str">
        <f>"207X00000X"</f>
        <v>207X00000X</v>
      </c>
      <c r="D1775" t="str">
        <f>"GERARD                   NICHOLAS                 "</f>
        <v xml:space="preserve">GERARD                   NICHOLAS                 </v>
      </c>
      <c r="E1775" t="str">
        <f>"MOBILE                    "</f>
        <v xml:space="preserve">MOBILE                    </v>
      </c>
      <c r="F1775" t="str">
        <f t="shared" si="61"/>
        <v>AL</v>
      </c>
    </row>
    <row r="1776" spans="1:6" x14ac:dyDescent="0.25">
      <c r="A1776" t="str">
        <f>"200023185"</f>
        <v>200023185</v>
      </c>
      <c r="B1776" t="str">
        <f>"1235932047"</f>
        <v>1235932047</v>
      </c>
      <c r="C1776" t="str">
        <f>"207V00000X"</f>
        <v>207V00000X</v>
      </c>
      <c r="D1776" t="str">
        <f>"FERNANDEZ                ASHLEY                   "</f>
        <v xml:space="preserve">FERNANDEZ                ASHLEY                   </v>
      </c>
      <c r="E1776" t="str">
        <f>"MOBILE                    "</f>
        <v xml:space="preserve">MOBILE                    </v>
      </c>
      <c r="F1776" t="str">
        <f t="shared" si="61"/>
        <v>AL</v>
      </c>
    </row>
    <row r="1777" spans="1:6" x14ac:dyDescent="0.25">
      <c r="A1777" t="str">
        <f>"200023188"</f>
        <v>200023188</v>
      </c>
      <c r="B1777" t="str">
        <f>"1861981672"</f>
        <v>1861981672</v>
      </c>
      <c r="C1777" t="str">
        <f>"207L00000X"</f>
        <v>207L00000X</v>
      </c>
      <c r="D1777" t="str">
        <f>"GOUGER                   DANIEL                   "</f>
        <v xml:space="preserve">GOUGER                   DANIEL                   </v>
      </c>
      <c r="E1777" t="str">
        <f>"BIRMINGHAM                "</f>
        <v xml:space="preserve">BIRMINGHAM                </v>
      </c>
      <c r="F1777" t="str">
        <f t="shared" si="61"/>
        <v>AL</v>
      </c>
    </row>
    <row r="1778" spans="1:6" x14ac:dyDescent="0.25">
      <c r="A1778" t="str">
        <f>"200023190"</f>
        <v>200023190</v>
      </c>
      <c r="B1778" t="str">
        <f>"1215624648"</f>
        <v>1215624648</v>
      </c>
      <c r="C1778" t="str">
        <f>"363L00000X"</f>
        <v>363L00000X</v>
      </c>
      <c r="D1778" t="str">
        <f>"KILGORE                  SARAH                    "</f>
        <v xml:space="preserve">KILGORE                  SARAH                    </v>
      </c>
      <c r="E1778" t="str">
        <f>"BIRMINGHAM                "</f>
        <v xml:space="preserve">BIRMINGHAM                </v>
      </c>
      <c r="F1778" t="str">
        <f t="shared" si="61"/>
        <v>AL</v>
      </c>
    </row>
    <row r="1779" spans="1:6" x14ac:dyDescent="0.25">
      <c r="A1779" t="str">
        <f>"200023192"</f>
        <v>200023192</v>
      </c>
      <c r="B1779" t="str">
        <f>"1972700334"</f>
        <v>1972700334</v>
      </c>
      <c r="C1779" t="str">
        <f>"2085R0204X"</f>
        <v>2085R0204X</v>
      </c>
      <c r="D1779" t="str">
        <f>"CARIDI                   THERESA                  "</f>
        <v xml:space="preserve">CARIDI                   THERESA                  </v>
      </c>
      <c r="E1779" t="str">
        <f>"BIRMINGHAM                "</f>
        <v xml:space="preserve">BIRMINGHAM                </v>
      </c>
      <c r="F1779" t="str">
        <f t="shared" si="61"/>
        <v>AL</v>
      </c>
    </row>
    <row r="1780" spans="1:6" x14ac:dyDescent="0.25">
      <c r="A1780" t="str">
        <f>"200023194"</f>
        <v>200023194</v>
      </c>
      <c r="B1780" t="str">
        <f>"1407957046"</f>
        <v>1407957046</v>
      </c>
      <c r="C1780" t="str">
        <f>"207RE0101X"</f>
        <v>207RE0101X</v>
      </c>
      <c r="D1780" t="str">
        <f>"MENEFEE                  JUDSON                   "</f>
        <v xml:space="preserve">MENEFEE                  JUDSON                   </v>
      </c>
      <c r="E1780" t="str">
        <f>"FAIRHOPE                  "</f>
        <v xml:space="preserve">FAIRHOPE                  </v>
      </c>
      <c r="F1780" t="str">
        <f t="shared" si="61"/>
        <v>AL</v>
      </c>
    </row>
    <row r="1781" spans="1:6" x14ac:dyDescent="0.25">
      <c r="A1781" t="str">
        <f>"200023199"</f>
        <v>200023199</v>
      </c>
      <c r="B1781" t="str">
        <f>"1255837159"</f>
        <v>1255837159</v>
      </c>
      <c r="C1781" t="str">
        <f>"207Q00000X"</f>
        <v>207Q00000X</v>
      </c>
      <c r="D1781" t="str">
        <f>"HAMRICK                  ADAM                     "</f>
        <v xml:space="preserve">HAMRICK                  ADAM                     </v>
      </c>
      <c r="E1781" t="str">
        <f>"FOLEY                     "</f>
        <v xml:space="preserve">FOLEY                     </v>
      </c>
      <c r="F1781" t="str">
        <f t="shared" si="61"/>
        <v>AL</v>
      </c>
    </row>
    <row r="1782" spans="1:6" x14ac:dyDescent="0.25">
      <c r="A1782" t="str">
        <f>"200023205"</f>
        <v>200023205</v>
      </c>
      <c r="B1782" t="str">
        <f>"1912439225"</f>
        <v>1912439225</v>
      </c>
      <c r="C1782" t="str">
        <f>"208600000X"</f>
        <v>208600000X</v>
      </c>
      <c r="D1782" t="str">
        <f>"SACKS                    MARLA                    "</f>
        <v xml:space="preserve">SACKS                    MARLA                    </v>
      </c>
      <c r="E1782" t="str">
        <f>"BIRMINGHAM                "</f>
        <v xml:space="preserve">BIRMINGHAM                </v>
      </c>
      <c r="F1782" t="str">
        <f t="shared" si="61"/>
        <v>AL</v>
      </c>
    </row>
    <row r="1783" spans="1:6" x14ac:dyDescent="0.25">
      <c r="A1783" t="str">
        <f>"200023210"</f>
        <v>200023210</v>
      </c>
      <c r="B1783" t="str">
        <f>"1295937654"</f>
        <v>1295937654</v>
      </c>
      <c r="C1783" t="str">
        <f>"207P00000X"</f>
        <v>207P00000X</v>
      </c>
      <c r="D1783" t="str">
        <f>"MINER                    ROY                      "</f>
        <v xml:space="preserve">MINER                    ROY                      </v>
      </c>
      <c r="E1783" t="str">
        <f>"FOLEY                     "</f>
        <v xml:space="preserve">FOLEY                     </v>
      </c>
      <c r="F1783" t="str">
        <f t="shared" si="61"/>
        <v>AL</v>
      </c>
    </row>
    <row r="1784" spans="1:6" x14ac:dyDescent="0.25">
      <c r="A1784" t="str">
        <f>"200023211"</f>
        <v>200023211</v>
      </c>
      <c r="B1784" t="str">
        <f>"1851943492"</f>
        <v>1851943492</v>
      </c>
      <c r="C1784" t="str">
        <f>"207Q00000X"</f>
        <v>207Q00000X</v>
      </c>
      <c r="D1784" t="str">
        <f>"DAVIES                   ELLEN                    "</f>
        <v xml:space="preserve">DAVIES                   ELLEN                    </v>
      </c>
      <c r="E1784" t="str">
        <f>"BIRMINGHAM                "</f>
        <v xml:space="preserve">BIRMINGHAM                </v>
      </c>
      <c r="F1784" t="str">
        <f t="shared" si="61"/>
        <v>AL</v>
      </c>
    </row>
    <row r="1785" spans="1:6" x14ac:dyDescent="0.25">
      <c r="A1785" t="str">
        <f>"200023213"</f>
        <v>200023213</v>
      </c>
      <c r="B1785" t="str">
        <f>"1063914034"</f>
        <v>1063914034</v>
      </c>
      <c r="C1785" t="str">
        <f>"1223S0112X"</f>
        <v>1223S0112X</v>
      </c>
      <c r="D1785" t="str">
        <f>"BROWN                    MEAGAN                   "</f>
        <v xml:space="preserve">BROWN                    MEAGAN                   </v>
      </c>
      <c r="E1785" t="str">
        <f>"BIRMINGHAM                "</f>
        <v xml:space="preserve">BIRMINGHAM                </v>
      </c>
      <c r="F1785" t="str">
        <f t="shared" si="61"/>
        <v>AL</v>
      </c>
    </row>
    <row r="1786" spans="1:6" x14ac:dyDescent="0.25">
      <c r="A1786" t="str">
        <f>"200023231"</f>
        <v>200023231</v>
      </c>
      <c r="B1786" t="str">
        <f>"1710610951"</f>
        <v>1710610951</v>
      </c>
      <c r="C1786" t="str">
        <f>"207Q00000X"</f>
        <v>207Q00000X</v>
      </c>
      <c r="D1786" t="str">
        <f>"SANANDAJI                MORVARID                 "</f>
        <v xml:space="preserve">SANANDAJI                MORVARID                 </v>
      </c>
      <c r="E1786" t="str">
        <f>"BIRMINGHAM                "</f>
        <v xml:space="preserve">BIRMINGHAM                </v>
      </c>
      <c r="F1786" t="str">
        <f t="shared" si="61"/>
        <v>AL</v>
      </c>
    </row>
    <row r="1787" spans="1:6" x14ac:dyDescent="0.25">
      <c r="A1787" t="str">
        <f>"200023243"</f>
        <v>200023243</v>
      </c>
      <c r="B1787" t="str">
        <f>"1609670223"</f>
        <v>1609670223</v>
      </c>
      <c r="C1787" t="str">
        <f>"207P00000X"</f>
        <v>207P00000X</v>
      </c>
      <c r="D1787" t="str">
        <f>"SLUSHER                  MARK                     "</f>
        <v xml:space="preserve">SLUSHER                  MARK                     </v>
      </c>
      <c r="E1787" t="str">
        <f>"MOBILE                    "</f>
        <v xml:space="preserve">MOBILE                    </v>
      </c>
      <c r="F1787" t="str">
        <f t="shared" si="61"/>
        <v>AL</v>
      </c>
    </row>
    <row r="1788" spans="1:6" x14ac:dyDescent="0.25">
      <c r="A1788" t="str">
        <f>"200023244"</f>
        <v>200023244</v>
      </c>
      <c r="B1788" t="str">
        <f>"1316509995"</f>
        <v>1316509995</v>
      </c>
      <c r="C1788" t="str">
        <f>"207RI0200X"</f>
        <v>207RI0200X</v>
      </c>
      <c r="D1788" t="str">
        <f>"WONG                     EMILY                    "</f>
        <v xml:space="preserve">WONG                     EMILY                    </v>
      </c>
      <c r="E1788" t="str">
        <f>"BIRMINGHAM                "</f>
        <v xml:space="preserve">BIRMINGHAM                </v>
      </c>
      <c r="F1788" t="str">
        <f t="shared" si="61"/>
        <v>AL</v>
      </c>
    </row>
    <row r="1789" spans="1:6" x14ac:dyDescent="0.25">
      <c r="A1789" t="str">
        <f>"200023269"</f>
        <v>200023269</v>
      </c>
      <c r="B1789" t="str">
        <f>"1679102834"</f>
        <v>1679102834</v>
      </c>
      <c r="C1789" t="str">
        <f>"2084N0402X"</f>
        <v>2084N0402X</v>
      </c>
      <c r="D1789" t="str">
        <f>"CONSEVAGE                APRIL        P           "</f>
        <v xml:space="preserve">CONSEVAGE                APRIL        P           </v>
      </c>
      <c r="E1789" t="str">
        <f>"MOBILE                    "</f>
        <v xml:space="preserve">MOBILE                    </v>
      </c>
      <c r="F1789" t="str">
        <f t="shared" si="61"/>
        <v>AL</v>
      </c>
    </row>
    <row r="1790" spans="1:6" x14ac:dyDescent="0.25">
      <c r="A1790" t="str">
        <f>"200023281"</f>
        <v>200023281</v>
      </c>
      <c r="B1790" t="str">
        <f>"1407543135"</f>
        <v>1407543135</v>
      </c>
      <c r="C1790" t="str">
        <f>"363L00000X"</f>
        <v>363L00000X</v>
      </c>
      <c r="D1790" t="str">
        <f>"SISK                     KELSI                    "</f>
        <v xml:space="preserve">SISK                     KELSI                    </v>
      </c>
      <c r="E1790" t="str">
        <f>"BIRMINGHAM                "</f>
        <v xml:space="preserve">BIRMINGHAM                </v>
      </c>
      <c r="F1790" t="str">
        <f t="shared" si="61"/>
        <v>AL</v>
      </c>
    </row>
    <row r="1791" spans="1:6" x14ac:dyDescent="0.25">
      <c r="A1791" t="str">
        <f>"200023299"</f>
        <v>200023299</v>
      </c>
      <c r="B1791" t="str">
        <f>"1992237309"</f>
        <v>1992237309</v>
      </c>
      <c r="C1791" t="str">
        <f>"207T00000X"</f>
        <v>207T00000X</v>
      </c>
      <c r="D1791" t="str">
        <f>"ILYAS                    ADEEL                    "</f>
        <v xml:space="preserve">ILYAS                    ADEEL                    </v>
      </c>
      <c r="E1791" t="str">
        <f>"BIRMINGHAM                "</f>
        <v xml:space="preserve">BIRMINGHAM                </v>
      </c>
      <c r="F1791" t="str">
        <f t="shared" si="61"/>
        <v>AL</v>
      </c>
    </row>
    <row r="1792" spans="1:6" x14ac:dyDescent="0.25">
      <c r="A1792" t="str">
        <f>"200023304"</f>
        <v>200023304</v>
      </c>
      <c r="B1792" t="str">
        <f>"1174274997"</f>
        <v>1174274997</v>
      </c>
      <c r="C1792" t="str">
        <f>"363LF0000X"</f>
        <v>363LF0000X</v>
      </c>
      <c r="D1792" t="str">
        <f>"ANDERSON                 NIKITA       L           "</f>
        <v xml:space="preserve">ANDERSON                 NIKITA       L           </v>
      </c>
      <c r="E1792" t="str">
        <f>"MOBILE                    "</f>
        <v xml:space="preserve">MOBILE                    </v>
      </c>
      <c r="F1792" t="str">
        <f t="shared" si="61"/>
        <v>AL</v>
      </c>
    </row>
    <row r="1793" spans="1:6" x14ac:dyDescent="0.25">
      <c r="A1793" t="str">
        <f>"200023305"</f>
        <v>200023305</v>
      </c>
      <c r="B1793" t="str">
        <f>"1619770211"</f>
        <v>1619770211</v>
      </c>
      <c r="C1793" t="str">
        <f>"207V00000X"</f>
        <v>207V00000X</v>
      </c>
      <c r="D1793" t="str">
        <f>"SHAW                     REGAN                    "</f>
        <v xml:space="preserve">SHAW                     REGAN                    </v>
      </c>
      <c r="E1793" t="str">
        <f>"MOBILE                    "</f>
        <v xml:space="preserve">MOBILE                    </v>
      </c>
      <c r="F1793" t="str">
        <f t="shared" si="61"/>
        <v>AL</v>
      </c>
    </row>
    <row r="1794" spans="1:6" x14ac:dyDescent="0.25">
      <c r="A1794" t="str">
        <f>"200023313"</f>
        <v>200023313</v>
      </c>
      <c r="B1794" t="str">
        <f>"1396367132"</f>
        <v>1396367132</v>
      </c>
      <c r="C1794" t="str">
        <f>"207X00000X"</f>
        <v>207X00000X</v>
      </c>
      <c r="D1794" t="str">
        <f>"DESAI                    BHUMIT                   "</f>
        <v xml:space="preserve">DESAI                    BHUMIT                   </v>
      </c>
      <c r="E1794" t="str">
        <f>"BIRMINGHAM                "</f>
        <v xml:space="preserve">BIRMINGHAM                </v>
      </c>
      <c r="F1794" t="str">
        <f t="shared" si="61"/>
        <v>AL</v>
      </c>
    </row>
    <row r="1795" spans="1:6" x14ac:dyDescent="0.25">
      <c r="A1795" t="str">
        <f>"200023316"</f>
        <v>200023316</v>
      </c>
      <c r="B1795" t="str">
        <f>"1972306694"</f>
        <v>1972306694</v>
      </c>
      <c r="C1795" t="str">
        <f>"2084N0400X"</f>
        <v>2084N0400X</v>
      </c>
      <c r="D1795" t="str">
        <f>"STOKES                   YULONG                   "</f>
        <v xml:space="preserve">STOKES                   YULONG                   </v>
      </c>
      <c r="E1795" t="str">
        <f>"MOBILE                    "</f>
        <v xml:space="preserve">MOBILE                    </v>
      </c>
      <c r="F1795" t="str">
        <f t="shared" si="61"/>
        <v>AL</v>
      </c>
    </row>
    <row r="1796" spans="1:6" x14ac:dyDescent="0.25">
      <c r="A1796" t="str">
        <f>"200023322"</f>
        <v>200023322</v>
      </c>
      <c r="B1796" t="str">
        <f>"1003517616"</f>
        <v>1003517616</v>
      </c>
      <c r="C1796" t="str">
        <f>"363LF0000X"</f>
        <v>363LF0000X</v>
      </c>
      <c r="D1796" t="str">
        <f>"SCHULTZ                  ALLISON                  "</f>
        <v xml:space="preserve">SCHULTZ                  ALLISON                  </v>
      </c>
      <c r="E1796" t="str">
        <f>"BIRMINGHAM                "</f>
        <v xml:space="preserve">BIRMINGHAM                </v>
      </c>
      <c r="F1796" t="str">
        <f t="shared" si="61"/>
        <v>AL</v>
      </c>
    </row>
    <row r="1797" spans="1:6" x14ac:dyDescent="0.25">
      <c r="A1797" t="str">
        <f>"200023339"</f>
        <v>200023339</v>
      </c>
      <c r="B1797" t="str">
        <f>"1376302711"</f>
        <v>1376302711</v>
      </c>
      <c r="C1797" t="str">
        <f>"363LF0000X"</f>
        <v>363LF0000X</v>
      </c>
      <c r="D1797" t="str">
        <f>"MOSLEY                   ANNA         E           "</f>
        <v xml:space="preserve">MOSLEY                   ANNA         E           </v>
      </c>
      <c r="E1797" t="str">
        <f>"MOBILE                    "</f>
        <v xml:space="preserve">MOBILE                    </v>
      </c>
      <c r="F1797" t="str">
        <f t="shared" si="61"/>
        <v>AL</v>
      </c>
    </row>
    <row r="1798" spans="1:6" x14ac:dyDescent="0.25">
      <c r="A1798" t="str">
        <f>"200023361"</f>
        <v>200023361</v>
      </c>
      <c r="B1798" t="str">
        <f>"1538135918"</f>
        <v>1538135918</v>
      </c>
      <c r="C1798" t="str">
        <f>"363L00000X"</f>
        <v>363L00000X</v>
      </c>
      <c r="D1798" t="str">
        <f>"SANFORD                  VALERIE                  "</f>
        <v xml:space="preserve">SANFORD                  VALERIE                  </v>
      </c>
      <c r="E1798" t="str">
        <f>"BIRMINGHAM                "</f>
        <v xml:space="preserve">BIRMINGHAM                </v>
      </c>
      <c r="F1798" t="str">
        <f t="shared" si="61"/>
        <v>AL</v>
      </c>
    </row>
    <row r="1799" spans="1:6" x14ac:dyDescent="0.25">
      <c r="A1799" t="str">
        <f>"200023376"</f>
        <v>200023376</v>
      </c>
      <c r="B1799" t="str">
        <f>"1629531637"</f>
        <v>1629531637</v>
      </c>
      <c r="C1799" t="str">
        <f>"208600000X"</f>
        <v>208600000X</v>
      </c>
      <c r="D1799" t="str">
        <f>"SILLCOX                  RACHEL                   "</f>
        <v xml:space="preserve">SILLCOX                  RACHEL                   </v>
      </c>
      <c r="E1799" t="str">
        <f>"BIRMINGHAM                "</f>
        <v xml:space="preserve">BIRMINGHAM                </v>
      </c>
      <c r="F1799" t="str">
        <f t="shared" ref="F1799:F1862" si="63">"AL"</f>
        <v>AL</v>
      </c>
    </row>
    <row r="1800" spans="1:6" x14ac:dyDescent="0.25">
      <c r="A1800" t="str">
        <f>"200023377"</f>
        <v>200023377</v>
      </c>
      <c r="B1800" t="str">
        <f>"1952288847"</f>
        <v>1952288847</v>
      </c>
      <c r="C1800" t="str">
        <f>"367500000X"</f>
        <v>367500000X</v>
      </c>
      <c r="D1800" t="str">
        <f>"KOSTMAYER                CHRISTIAN                "</f>
        <v xml:space="preserve">KOSTMAYER                CHRISTIAN                </v>
      </c>
      <c r="E1800" t="str">
        <f>"MOBILE                    "</f>
        <v xml:space="preserve">MOBILE                    </v>
      </c>
      <c r="F1800" t="str">
        <f t="shared" si="63"/>
        <v>AL</v>
      </c>
    </row>
    <row r="1801" spans="1:6" x14ac:dyDescent="0.25">
      <c r="A1801" t="str">
        <f>"200023394"</f>
        <v>200023394</v>
      </c>
      <c r="B1801" t="str">
        <f>"1265222533"</f>
        <v>1265222533</v>
      </c>
      <c r="C1801" t="str">
        <f>"363L00000X"</f>
        <v>363L00000X</v>
      </c>
      <c r="D1801" t="str">
        <f>"MCCLANTOC                JOSSANE                  "</f>
        <v xml:space="preserve">MCCLANTOC                JOSSANE                  </v>
      </c>
      <c r="E1801" t="str">
        <f>"MOBILE                    "</f>
        <v xml:space="preserve">MOBILE                    </v>
      </c>
      <c r="F1801" t="str">
        <f t="shared" si="63"/>
        <v>AL</v>
      </c>
    </row>
    <row r="1802" spans="1:6" x14ac:dyDescent="0.25">
      <c r="A1802" t="str">
        <f>"200023398"</f>
        <v>200023398</v>
      </c>
      <c r="B1802" t="str">
        <f>"1871145938"</f>
        <v>1871145938</v>
      </c>
      <c r="C1802" t="str">
        <f>"207RP1001X"</f>
        <v>207RP1001X</v>
      </c>
      <c r="D1802" t="str">
        <f>"KUMAR                    SAGAR                    "</f>
        <v xml:space="preserve">KUMAR                    SAGAR                    </v>
      </c>
      <c r="E1802" t="str">
        <f>"MOBILE                    "</f>
        <v xml:space="preserve">MOBILE                    </v>
      </c>
      <c r="F1802" t="str">
        <f t="shared" si="63"/>
        <v>AL</v>
      </c>
    </row>
    <row r="1803" spans="1:6" x14ac:dyDescent="0.25">
      <c r="A1803" t="str">
        <f>"200023407"</f>
        <v>200023407</v>
      </c>
      <c r="B1803" t="str">
        <f>"1407352388"</f>
        <v>1407352388</v>
      </c>
      <c r="C1803" t="str">
        <f>"2086S0129X"</f>
        <v>2086S0129X</v>
      </c>
      <c r="D1803" t="str">
        <f>"BLAKESLEE-CARTER         JULIET                   "</f>
        <v xml:space="preserve">BLAKESLEE-CARTER         JULIET                   </v>
      </c>
      <c r="E1803" t="str">
        <f>"BIRMINGHAM                "</f>
        <v xml:space="preserve">BIRMINGHAM                </v>
      </c>
      <c r="F1803" t="str">
        <f t="shared" si="63"/>
        <v>AL</v>
      </c>
    </row>
    <row r="1804" spans="1:6" x14ac:dyDescent="0.25">
      <c r="A1804" t="str">
        <f>"200023409"</f>
        <v>200023409</v>
      </c>
      <c r="B1804" t="str">
        <f>"1336651694"</f>
        <v>1336651694</v>
      </c>
      <c r="C1804" t="str">
        <f>"363L00000X"</f>
        <v>363L00000X</v>
      </c>
      <c r="D1804" t="str">
        <f>"TUGGLE                   BRITTANY                 "</f>
        <v xml:space="preserve">TUGGLE                   BRITTANY                 </v>
      </c>
      <c r="E1804" t="str">
        <f>"BIRMINGHAM                "</f>
        <v xml:space="preserve">BIRMINGHAM                </v>
      </c>
      <c r="F1804" t="str">
        <f t="shared" si="63"/>
        <v>AL</v>
      </c>
    </row>
    <row r="1805" spans="1:6" x14ac:dyDescent="0.25">
      <c r="A1805" t="str">
        <f>"200023411"</f>
        <v>200023411</v>
      </c>
      <c r="B1805" t="str">
        <f>"1255123063"</f>
        <v>1255123063</v>
      </c>
      <c r="C1805" t="str">
        <f>"367500000X"</f>
        <v>367500000X</v>
      </c>
      <c r="D1805" t="str">
        <f>"MORELAND                 REBECCA                  "</f>
        <v xml:space="preserve">MORELAND                 REBECCA                  </v>
      </c>
      <c r="E1805" t="str">
        <f>"BIRMINGHAM                "</f>
        <v xml:space="preserve">BIRMINGHAM                </v>
      </c>
      <c r="F1805" t="str">
        <f t="shared" si="63"/>
        <v>AL</v>
      </c>
    </row>
    <row r="1806" spans="1:6" x14ac:dyDescent="0.25">
      <c r="A1806" t="str">
        <f>"200023420"</f>
        <v>200023420</v>
      </c>
      <c r="B1806" t="str">
        <f>"1336719442"</f>
        <v>1336719442</v>
      </c>
      <c r="C1806" t="str">
        <f>"2084P0800X"</f>
        <v>2084P0800X</v>
      </c>
      <c r="D1806" t="str">
        <f>"NGUYEN                   BILLY                    "</f>
        <v xml:space="preserve">NGUYEN                   BILLY                    </v>
      </c>
      <c r="E1806" t="str">
        <f>"MOBILE                    "</f>
        <v xml:space="preserve">MOBILE                    </v>
      </c>
      <c r="F1806" t="str">
        <f t="shared" si="63"/>
        <v>AL</v>
      </c>
    </row>
    <row r="1807" spans="1:6" x14ac:dyDescent="0.25">
      <c r="A1807" t="str">
        <f>"200023423"</f>
        <v>200023423</v>
      </c>
      <c r="B1807" t="str">
        <f>"1669413688"</f>
        <v>1669413688</v>
      </c>
      <c r="C1807" t="str">
        <f>"207RP1001X"</f>
        <v>207RP1001X</v>
      </c>
      <c r="D1807" t="str">
        <f>"PATTERSON                PATRICIA                 "</f>
        <v xml:space="preserve">PATTERSON                PATRICIA                 </v>
      </c>
      <c r="E1807" t="str">
        <f>"BIRMINGHAM                "</f>
        <v xml:space="preserve">BIRMINGHAM                </v>
      </c>
      <c r="F1807" t="str">
        <f t="shared" si="63"/>
        <v>AL</v>
      </c>
    </row>
    <row r="1808" spans="1:6" x14ac:dyDescent="0.25">
      <c r="A1808" t="str">
        <f>"200023425"</f>
        <v>200023425</v>
      </c>
      <c r="B1808" t="str">
        <f>"1407582273"</f>
        <v>1407582273</v>
      </c>
      <c r="C1808" t="str">
        <f>"207X00000X"</f>
        <v>207X00000X</v>
      </c>
      <c r="D1808" t="str">
        <f>"OZDEMIR                  ERDI                     "</f>
        <v xml:space="preserve">OZDEMIR                  ERDI                     </v>
      </c>
      <c r="E1808" t="str">
        <f>"BIRMINGHAM                "</f>
        <v xml:space="preserve">BIRMINGHAM                </v>
      </c>
      <c r="F1808" t="str">
        <f t="shared" si="63"/>
        <v>AL</v>
      </c>
    </row>
    <row r="1809" spans="1:6" x14ac:dyDescent="0.25">
      <c r="A1809" t="str">
        <f>"200023427"</f>
        <v>200023427</v>
      </c>
      <c r="B1809" t="str">
        <f>"1235681214"</f>
        <v>1235681214</v>
      </c>
      <c r="C1809" t="str">
        <f>"363L00000X"</f>
        <v>363L00000X</v>
      </c>
      <c r="D1809" t="str">
        <f>"WELDON                   MISTY                    "</f>
        <v xml:space="preserve">WELDON                   MISTY                    </v>
      </c>
      <c r="E1809" t="str">
        <f>"BIRMINGHAM                "</f>
        <v xml:space="preserve">BIRMINGHAM                </v>
      </c>
      <c r="F1809" t="str">
        <f t="shared" si="63"/>
        <v>AL</v>
      </c>
    </row>
    <row r="1810" spans="1:6" x14ac:dyDescent="0.25">
      <c r="A1810" t="str">
        <f>"200023430"</f>
        <v>200023430</v>
      </c>
      <c r="B1810" t="str">
        <f>"1700535895"</f>
        <v>1700535895</v>
      </c>
      <c r="C1810" t="str">
        <f>"207RH0003X"</f>
        <v>207RH0003X</v>
      </c>
      <c r="D1810" t="str">
        <f>"SHAVER                   LOGAN                    "</f>
        <v xml:space="preserve">SHAVER                   LOGAN                    </v>
      </c>
      <c r="E1810" t="str">
        <f>"BIRMINGHAM                "</f>
        <v xml:space="preserve">BIRMINGHAM                </v>
      </c>
      <c r="F1810" t="str">
        <f t="shared" si="63"/>
        <v>AL</v>
      </c>
    </row>
    <row r="1811" spans="1:6" x14ac:dyDescent="0.25">
      <c r="A1811" t="str">
        <f>"200023445"</f>
        <v>200023445</v>
      </c>
      <c r="B1811" t="str">
        <f>"1659531200"</f>
        <v>1659531200</v>
      </c>
      <c r="C1811" t="str">
        <f>"207R00000X"</f>
        <v>207R00000X</v>
      </c>
      <c r="D1811" t="str">
        <f>"LEE                      ANNA                     "</f>
        <v xml:space="preserve">LEE                      ANNA                     </v>
      </c>
      <c r="E1811" t="str">
        <f>"FOLEY                     "</f>
        <v xml:space="preserve">FOLEY                     </v>
      </c>
      <c r="F1811" t="str">
        <f t="shared" si="63"/>
        <v>AL</v>
      </c>
    </row>
    <row r="1812" spans="1:6" x14ac:dyDescent="0.25">
      <c r="A1812" t="str">
        <f>"200023455"</f>
        <v>200023455</v>
      </c>
      <c r="B1812" t="str">
        <f>"1497198220"</f>
        <v>1497198220</v>
      </c>
      <c r="C1812" t="str">
        <f>"2086S0120X"</f>
        <v>2086S0120X</v>
      </c>
      <c r="D1812" t="str">
        <f>"STAFMAN                  LAURA        L           "</f>
        <v xml:space="preserve">STAFMAN                  LAURA        L           </v>
      </c>
      <c r="E1812" t="str">
        <f>"MOBILE                    "</f>
        <v xml:space="preserve">MOBILE                    </v>
      </c>
      <c r="F1812" t="str">
        <f t="shared" si="63"/>
        <v>AL</v>
      </c>
    </row>
    <row r="1813" spans="1:6" x14ac:dyDescent="0.25">
      <c r="A1813" t="str">
        <f>"200023466"</f>
        <v>200023466</v>
      </c>
      <c r="B1813" t="str">
        <f>"1497334387"</f>
        <v>1497334387</v>
      </c>
      <c r="C1813" t="str">
        <f>"207RG0300X"</f>
        <v>207RG0300X</v>
      </c>
      <c r="D1813" t="str">
        <f>"OSLOCK                   AUSTIN                   "</f>
        <v xml:space="preserve">OSLOCK                   AUSTIN                   </v>
      </c>
      <c r="E1813" t="str">
        <f>"BIRMINGHAM                "</f>
        <v xml:space="preserve">BIRMINGHAM                </v>
      </c>
      <c r="F1813" t="str">
        <f t="shared" si="63"/>
        <v>AL</v>
      </c>
    </row>
    <row r="1814" spans="1:6" x14ac:dyDescent="0.25">
      <c r="A1814" t="str">
        <f>"200023472"</f>
        <v>200023472</v>
      </c>
      <c r="B1814" t="str">
        <f>"1306640339"</f>
        <v>1306640339</v>
      </c>
      <c r="C1814" t="str">
        <f>"207R00000X"</f>
        <v>207R00000X</v>
      </c>
      <c r="D1814" t="str">
        <f>"FRIEND                   NICHOLAS                 "</f>
        <v xml:space="preserve">FRIEND                   NICHOLAS                 </v>
      </c>
      <c r="E1814" t="str">
        <f>"MOBILE                    "</f>
        <v xml:space="preserve">MOBILE                    </v>
      </c>
      <c r="F1814" t="str">
        <f t="shared" si="63"/>
        <v>AL</v>
      </c>
    </row>
    <row r="1815" spans="1:6" x14ac:dyDescent="0.25">
      <c r="A1815" t="str">
        <f>"200023488"</f>
        <v>200023488</v>
      </c>
      <c r="B1815" t="str">
        <f>"1245613082"</f>
        <v>1245613082</v>
      </c>
      <c r="C1815" t="str">
        <f>"2080P0202X"</f>
        <v>2080P0202X</v>
      </c>
      <c r="D1815" t="str">
        <f>"MILLETTE                 THEODORE     J           "</f>
        <v xml:space="preserve">MILLETTE                 THEODORE     J           </v>
      </c>
      <c r="E1815" t="str">
        <f>"MOBILE                    "</f>
        <v xml:space="preserve">MOBILE                    </v>
      </c>
      <c r="F1815" t="str">
        <f t="shared" si="63"/>
        <v>AL</v>
      </c>
    </row>
    <row r="1816" spans="1:6" x14ac:dyDescent="0.25">
      <c r="A1816" t="str">
        <f>"200023503"</f>
        <v>200023503</v>
      </c>
      <c r="B1816" t="str">
        <f>"1811526692"</f>
        <v>1811526692</v>
      </c>
      <c r="C1816" t="str">
        <f>"207N00000X"</f>
        <v>207N00000X</v>
      </c>
      <c r="D1816" t="str">
        <f>"FORTUGNO                 ANDREW                   "</f>
        <v xml:space="preserve">FORTUGNO                 ANDREW                   </v>
      </c>
      <c r="E1816" t="str">
        <f>"BIRMINGHAM                "</f>
        <v xml:space="preserve">BIRMINGHAM                </v>
      </c>
      <c r="F1816" t="str">
        <f t="shared" si="63"/>
        <v>AL</v>
      </c>
    </row>
    <row r="1817" spans="1:6" x14ac:dyDescent="0.25">
      <c r="A1817" t="str">
        <f>"200023517"</f>
        <v>200023517</v>
      </c>
      <c r="B1817" t="str">
        <f>"1639829559"</f>
        <v>1639829559</v>
      </c>
      <c r="C1817" t="str">
        <f>"207P00000X"</f>
        <v>207P00000X</v>
      </c>
      <c r="D1817" t="str">
        <f>"GRAHAM                   GABRIEL                  "</f>
        <v xml:space="preserve">GRAHAM                   GABRIEL                  </v>
      </c>
      <c r="E1817" t="str">
        <f>"FLORENCE                  "</f>
        <v xml:space="preserve">FLORENCE                  </v>
      </c>
      <c r="F1817" t="str">
        <f t="shared" si="63"/>
        <v>AL</v>
      </c>
    </row>
    <row r="1818" spans="1:6" x14ac:dyDescent="0.25">
      <c r="A1818" t="str">
        <f>"200023525"</f>
        <v>200023525</v>
      </c>
      <c r="B1818" t="str">
        <f>"1306893292"</f>
        <v>1306893292</v>
      </c>
      <c r="C1818" t="str">
        <f>"207V00000X"</f>
        <v>207V00000X</v>
      </c>
      <c r="D1818" t="str">
        <f>"SAUCIER                  ERIN                     "</f>
        <v xml:space="preserve">SAUCIER                  ERIN                     </v>
      </c>
      <c r="E1818" t="str">
        <f>"MOBILE                    "</f>
        <v xml:space="preserve">MOBILE                    </v>
      </c>
      <c r="F1818" t="str">
        <f t="shared" si="63"/>
        <v>AL</v>
      </c>
    </row>
    <row r="1819" spans="1:6" x14ac:dyDescent="0.25">
      <c r="A1819" t="str">
        <f>"200023597"</f>
        <v>200023597</v>
      </c>
      <c r="B1819" t="str">
        <f>"1851620819"</f>
        <v>1851620819</v>
      </c>
      <c r="C1819" t="str">
        <f>"367500000X"</f>
        <v>367500000X</v>
      </c>
      <c r="D1819" t="str">
        <f>"MCEACHERN                MENDI                    "</f>
        <v xml:space="preserve">MCEACHERN                MENDI                    </v>
      </c>
      <c r="E1819" t="str">
        <f>"BIRMINGHAM                "</f>
        <v xml:space="preserve">BIRMINGHAM                </v>
      </c>
      <c r="F1819" t="str">
        <f t="shared" si="63"/>
        <v>AL</v>
      </c>
    </row>
    <row r="1820" spans="1:6" x14ac:dyDescent="0.25">
      <c r="A1820" t="str">
        <f>"200023600"</f>
        <v>200023600</v>
      </c>
      <c r="B1820" t="str">
        <f>"1588160642"</f>
        <v>1588160642</v>
      </c>
      <c r="C1820" t="str">
        <f>"208800000X"</f>
        <v>208800000X</v>
      </c>
      <c r="D1820" t="str">
        <f>"FANG                     ANDREW                   "</f>
        <v xml:space="preserve">FANG                     ANDREW                   </v>
      </c>
      <c r="E1820" t="str">
        <f>"BIRMINGHAM                "</f>
        <v xml:space="preserve">BIRMINGHAM                </v>
      </c>
      <c r="F1820" t="str">
        <f t="shared" si="63"/>
        <v>AL</v>
      </c>
    </row>
    <row r="1821" spans="1:6" x14ac:dyDescent="0.25">
      <c r="A1821" t="str">
        <f>"200023607"</f>
        <v>200023607</v>
      </c>
      <c r="B1821" t="str">
        <f>"1275255325"</f>
        <v>1275255325</v>
      </c>
      <c r="C1821" t="str">
        <f>"363L00000X"</f>
        <v>363L00000X</v>
      </c>
      <c r="D1821" t="str">
        <f>"SAENZ                    CAITLIN                  "</f>
        <v xml:space="preserve">SAENZ                    CAITLIN                  </v>
      </c>
      <c r="E1821" t="str">
        <f>"BIRMINGHAM                "</f>
        <v xml:space="preserve">BIRMINGHAM                </v>
      </c>
      <c r="F1821" t="str">
        <f t="shared" si="63"/>
        <v>AL</v>
      </c>
    </row>
    <row r="1822" spans="1:6" x14ac:dyDescent="0.25">
      <c r="A1822" t="str">
        <f>"200023610"</f>
        <v>200023610</v>
      </c>
      <c r="B1822" t="str">
        <f>"1801656129"</f>
        <v>1801656129</v>
      </c>
      <c r="C1822" t="str">
        <f>"363L00000X"</f>
        <v>363L00000X</v>
      </c>
      <c r="D1822" t="str">
        <f>"MARBURY BROWN            ANGELICA                 "</f>
        <v xml:space="preserve">MARBURY BROWN            ANGELICA                 </v>
      </c>
      <c r="E1822" t="str">
        <f>"BIRMINGHAM                "</f>
        <v xml:space="preserve">BIRMINGHAM                </v>
      </c>
      <c r="F1822" t="str">
        <f t="shared" si="63"/>
        <v>AL</v>
      </c>
    </row>
    <row r="1823" spans="1:6" x14ac:dyDescent="0.25">
      <c r="A1823" t="str">
        <f>"200023627"</f>
        <v>200023627</v>
      </c>
      <c r="B1823" t="str">
        <f>"1184709263"</f>
        <v>1184709263</v>
      </c>
      <c r="C1823" t="str">
        <f>"207V00000X"</f>
        <v>207V00000X</v>
      </c>
      <c r="D1823" t="str">
        <f>"MCCOY                    AMY                      "</f>
        <v xml:space="preserve">MCCOY                    AMY                      </v>
      </c>
      <c r="E1823" t="str">
        <f>"MOBILE                    "</f>
        <v xml:space="preserve">MOBILE                    </v>
      </c>
      <c r="F1823" t="str">
        <f t="shared" si="63"/>
        <v>AL</v>
      </c>
    </row>
    <row r="1824" spans="1:6" x14ac:dyDescent="0.25">
      <c r="A1824" t="str">
        <f>"200023679"</f>
        <v>200023679</v>
      </c>
      <c r="B1824" t="str">
        <f>"1417546177"</f>
        <v>1417546177</v>
      </c>
      <c r="C1824" t="str">
        <f>"363L00000X"</f>
        <v>363L00000X</v>
      </c>
      <c r="D1824" t="str">
        <f>"JURISIC                  MARISA                   "</f>
        <v xml:space="preserve">JURISIC                  MARISA                   </v>
      </c>
      <c r="E1824" t="str">
        <f>"MOBILE                    "</f>
        <v xml:space="preserve">MOBILE                    </v>
      </c>
      <c r="F1824" t="str">
        <f t="shared" si="63"/>
        <v>AL</v>
      </c>
    </row>
    <row r="1825" spans="1:6" x14ac:dyDescent="0.25">
      <c r="A1825" t="str">
        <f>"200023721"</f>
        <v>200023721</v>
      </c>
      <c r="B1825" t="str">
        <f>"1164447256"</f>
        <v>1164447256</v>
      </c>
      <c r="C1825" t="str">
        <f>"367500000X"</f>
        <v>367500000X</v>
      </c>
      <c r="D1825" t="str">
        <f>"CAMPANOTTA               CHRISTOPHER              "</f>
        <v xml:space="preserve">CAMPANOTTA               CHRISTOPHER              </v>
      </c>
      <c r="E1825" t="str">
        <f>"BIRMINGHAM                "</f>
        <v xml:space="preserve">BIRMINGHAM                </v>
      </c>
      <c r="F1825" t="str">
        <f t="shared" si="63"/>
        <v>AL</v>
      </c>
    </row>
    <row r="1826" spans="1:6" x14ac:dyDescent="0.25">
      <c r="A1826" t="str">
        <f>"200023722"</f>
        <v>200023722</v>
      </c>
      <c r="B1826" t="str">
        <f>"1871204313"</f>
        <v>1871204313</v>
      </c>
      <c r="C1826" t="str">
        <f>"363A00000X"</f>
        <v>363A00000X</v>
      </c>
      <c r="D1826" t="str">
        <f>"CARTER                   VICTORIA                 "</f>
        <v xml:space="preserve">CARTER                   VICTORIA                 </v>
      </c>
      <c r="E1826" t="str">
        <f>"BIRMINGHAM                "</f>
        <v xml:space="preserve">BIRMINGHAM                </v>
      </c>
      <c r="F1826" t="str">
        <f t="shared" si="63"/>
        <v>AL</v>
      </c>
    </row>
    <row r="1827" spans="1:6" x14ac:dyDescent="0.25">
      <c r="A1827" t="str">
        <f>"200023759"</f>
        <v>200023759</v>
      </c>
      <c r="B1827" t="str">
        <f>"1902609530"</f>
        <v>1902609530</v>
      </c>
      <c r="C1827" t="str">
        <f>"207R00000X"</f>
        <v>207R00000X</v>
      </c>
      <c r="D1827" t="str">
        <f>"PEARMAN                  RYAN         L           "</f>
        <v xml:space="preserve">PEARMAN                  RYAN         L           </v>
      </c>
      <c r="E1827" t="str">
        <f>"MOBILE                    "</f>
        <v xml:space="preserve">MOBILE                    </v>
      </c>
      <c r="F1827" t="str">
        <f t="shared" si="63"/>
        <v>AL</v>
      </c>
    </row>
    <row r="1828" spans="1:6" x14ac:dyDescent="0.25">
      <c r="A1828" t="str">
        <f>"200023809"</f>
        <v>200023809</v>
      </c>
      <c r="B1828" t="str">
        <f>"1396549267"</f>
        <v>1396549267</v>
      </c>
      <c r="C1828" t="str">
        <f>"208000000X"</f>
        <v>208000000X</v>
      </c>
      <c r="D1828" t="str">
        <f>"RAHMAN                   MOHAMMED A               "</f>
        <v xml:space="preserve">RAHMAN                   MOHAMMED A               </v>
      </c>
      <c r="E1828" t="str">
        <f>"MOBILE                    "</f>
        <v xml:space="preserve">MOBILE                    </v>
      </c>
      <c r="F1828" t="str">
        <f t="shared" si="63"/>
        <v>AL</v>
      </c>
    </row>
    <row r="1829" spans="1:6" x14ac:dyDescent="0.25">
      <c r="A1829" t="str">
        <f>"200023827"</f>
        <v>200023827</v>
      </c>
      <c r="B1829" t="str">
        <f>"1861295552"</f>
        <v>1861295552</v>
      </c>
      <c r="C1829" t="str">
        <f>"207R00000X"</f>
        <v>207R00000X</v>
      </c>
      <c r="D1829" t="str">
        <f>"NGUYEN                   ERIC         C           "</f>
        <v xml:space="preserve">NGUYEN                   ERIC         C           </v>
      </c>
      <c r="E1829" t="str">
        <f>"MOBILE                    "</f>
        <v xml:space="preserve">MOBILE                    </v>
      </c>
      <c r="F1829" t="str">
        <f t="shared" si="63"/>
        <v>AL</v>
      </c>
    </row>
    <row r="1830" spans="1:6" x14ac:dyDescent="0.25">
      <c r="A1830" t="str">
        <f>"200023845"</f>
        <v>200023845</v>
      </c>
      <c r="B1830" t="str">
        <f>"1255331708"</f>
        <v>1255331708</v>
      </c>
      <c r="C1830" t="str">
        <f>"367500000X"</f>
        <v>367500000X</v>
      </c>
      <c r="D1830" t="str">
        <f>"BOUTWELL                 GARY                     "</f>
        <v xml:space="preserve">BOUTWELL                 GARY                     </v>
      </c>
      <c r="E1830" t="str">
        <f>"BIRMINGHAM                "</f>
        <v xml:space="preserve">BIRMINGHAM                </v>
      </c>
      <c r="F1830" t="str">
        <f t="shared" si="63"/>
        <v>AL</v>
      </c>
    </row>
    <row r="1831" spans="1:6" x14ac:dyDescent="0.25">
      <c r="A1831" t="str">
        <f>"200023853"</f>
        <v>200023853</v>
      </c>
      <c r="B1831" t="str">
        <f>"1457790214"</f>
        <v>1457790214</v>
      </c>
      <c r="C1831" t="str">
        <f>"207N00000X"</f>
        <v>207N00000X</v>
      </c>
      <c r="D1831" t="str">
        <f>"FALKNER                  RACHEL                   "</f>
        <v xml:space="preserve">FALKNER                  RACHEL                   </v>
      </c>
      <c r="E1831" t="str">
        <f>"BIRMINGHAM                "</f>
        <v xml:space="preserve">BIRMINGHAM                </v>
      </c>
      <c r="F1831" t="str">
        <f t="shared" si="63"/>
        <v>AL</v>
      </c>
    </row>
    <row r="1832" spans="1:6" x14ac:dyDescent="0.25">
      <c r="A1832" t="str">
        <f>"200023876"</f>
        <v>200023876</v>
      </c>
      <c r="B1832" t="str">
        <f>"1235691064"</f>
        <v>1235691064</v>
      </c>
      <c r="C1832" t="str">
        <f>"363LA2100X"</f>
        <v>363LA2100X</v>
      </c>
      <c r="D1832" t="str">
        <f>"ZINK                     MARGARET                 "</f>
        <v xml:space="preserve">ZINK                     MARGARET                 </v>
      </c>
      <c r="E1832" t="str">
        <f>"BIRMINGHAM                "</f>
        <v xml:space="preserve">BIRMINGHAM                </v>
      </c>
      <c r="F1832" t="str">
        <f t="shared" si="63"/>
        <v>AL</v>
      </c>
    </row>
    <row r="1833" spans="1:6" x14ac:dyDescent="0.25">
      <c r="A1833" t="str">
        <f>"200023892"</f>
        <v>200023892</v>
      </c>
      <c r="B1833" t="str">
        <f>"1396455812"</f>
        <v>1396455812</v>
      </c>
      <c r="C1833" t="str">
        <f>"363LA2100X"</f>
        <v>363LA2100X</v>
      </c>
      <c r="D1833" t="str">
        <f>"TYNER                    WILLIAM                  "</f>
        <v xml:space="preserve">TYNER                    WILLIAM                  </v>
      </c>
      <c r="E1833" t="str">
        <f>"BIRMINGHAM                "</f>
        <v xml:space="preserve">BIRMINGHAM                </v>
      </c>
      <c r="F1833" t="str">
        <f t="shared" si="63"/>
        <v>AL</v>
      </c>
    </row>
    <row r="1834" spans="1:6" x14ac:dyDescent="0.25">
      <c r="A1834" t="str">
        <f>"200023931"</f>
        <v>200023931</v>
      </c>
      <c r="B1834" t="str">
        <f>"1063265130"</f>
        <v>1063265130</v>
      </c>
      <c r="C1834" t="str">
        <f>"363LF0000X"</f>
        <v>363LF0000X</v>
      </c>
      <c r="D1834" t="str">
        <f>"TUCKER                   KAYLA                    "</f>
        <v xml:space="preserve">TUCKER                   KAYLA                    </v>
      </c>
      <c r="E1834" t="str">
        <f>"BIRMINGHAM                "</f>
        <v xml:space="preserve">BIRMINGHAM                </v>
      </c>
      <c r="F1834" t="str">
        <f t="shared" si="63"/>
        <v>AL</v>
      </c>
    </row>
    <row r="1835" spans="1:6" x14ac:dyDescent="0.25">
      <c r="A1835" t="str">
        <f>"200023937"</f>
        <v>200023937</v>
      </c>
      <c r="B1835" t="str">
        <f>"1427791847"</f>
        <v>1427791847</v>
      </c>
      <c r="C1835" t="str">
        <f>"208M00000X"</f>
        <v>208M00000X</v>
      </c>
      <c r="D1835" t="str">
        <f>"NARON                    IAN                      "</f>
        <v xml:space="preserve">NARON                    IAN                      </v>
      </c>
      <c r="E1835" t="str">
        <f>"MOBILE                    "</f>
        <v xml:space="preserve">MOBILE                    </v>
      </c>
      <c r="F1835" t="str">
        <f t="shared" si="63"/>
        <v>AL</v>
      </c>
    </row>
    <row r="1836" spans="1:6" x14ac:dyDescent="0.25">
      <c r="A1836" t="str">
        <f>"200023950"</f>
        <v>200023950</v>
      </c>
      <c r="B1836" t="str">
        <f>"1245689173"</f>
        <v>1245689173</v>
      </c>
      <c r="C1836" t="str">
        <f>"207SG0201X"</f>
        <v>207SG0201X</v>
      </c>
      <c r="D1836" t="str">
        <f>"WU                       CHEN-HAN                 "</f>
        <v xml:space="preserve">WU                       CHEN-HAN                 </v>
      </c>
      <c r="E1836" t="str">
        <f>"BIRMINGHAM                "</f>
        <v xml:space="preserve">BIRMINGHAM                </v>
      </c>
      <c r="F1836" t="str">
        <f t="shared" si="63"/>
        <v>AL</v>
      </c>
    </row>
    <row r="1837" spans="1:6" x14ac:dyDescent="0.25">
      <c r="A1837" t="str">
        <f>"200023951"</f>
        <v>200023951</v>
      </c>
      <c r="B1837" t="str">
        <f>"1104310259"</f>
        <v>1104310259</v>
      </c>
      <c r="C1837" t="str">
        <f>"207R00000X"</f>
        <v>207R00000X</v>
      </c>
      <c r="D1837" t="str">
        <f>"TERRY                    ELIZABETH                "</f>
        <v xml:space="preserve">TERRY                    ELIZABETH                </v>
      </c>
      <c r="E1837" t="str">
        <f>"BIRMINGHAM                "</f>
        <v xml:space="preserve">BIRMINGHAM                </v>
      </c>
      <c r="F1837" t="str">
        <f t="shared" si="63"/>
        <v>AL</v>
      </c>
    </row>
    <row r="1838" spans="1:6" x14ac:dyDescent="0.25">
      <c r="A1838" t="str">
        <f>"200023962"</f>
        <v>200023962</v>
      </c>
      <c r="B1838" t="str">
        <f>"1083280267"</f>
        <v>1083280267</v>
      </c>
      <c r="C1838" t="str">
        <f>"207N00000X"</f>
        <v>207N00000X</v>
      </c>
      <c r="D1838" t="str">
        <f>"PETITT                   CLAIRE                   "</f>
        <v xml:space="preserve">PETITT                   CLAIRE                   </v>
      </c>
      <c r="E1838" t="str">
        <f>"BIRMINGHAM                "</f>
        <v xml:space="preserve">BIRMINGHAM                </v>
      </c>
      <c r="F1838" t="str">
        <f t="shared" si="63"/>
        <v>AL</v>
      </c>
    </row>
    <row r="1839" spans="1:6" x14ac:dyDescent="0.25">
      <c r="A1839" t="str">
        <f>"200023971"</f>
        <v>200023971</v>
      </c>
      <c r="B1839" t="str">
        <f>"1760069702"</f>
        <v>1760069702</v>
      </c>
      <c r="C1839" t="str">
        <f>"207V00000X"</f>
        <v>207V00000X</v>
      </c>
      <c r="D1839" t="str">
        <f>"MOSLEY-JOHNSON           ANGELA       S           "</f>
        <v xml:space="preserve">MOSLEY-JOHNSON           ANGELA       S           </v>
      </c>
      <c r="E1839" t="str">
        <f>"MOBILE                    "</f>
        <v xml:space="preserve">MOBILE                    </v>
      </c>
      <c r="F1839" t="str">
        <f t="shared" si="63"/>
        <v>AL</v>
      </c>
    </row>
    <row r="1840" spans="1:6" x14ac:dyDescent="0.25">
      <c r="A1840" t="str">
        <f>"200023977"</f>
        <v>200023977</v>
      </c>
      <c r="B1840" t="str">
        <f>"1598385312"</f>
        <v>1598385312</v>
      </c>
      <c r="C1840" t="str">
        <f>"363L00000X"</f>
        <v>363L00000X</v>
      </c>
      <c r="D1840" t="str">
        <f>"LOWRY                    BARBARA                  "</f>
        <v xml:space="preserve">LOWRY                    BARBARA                  </v>
      </c>
      <c r="E1840" t="str">
        <f>"BIRMINGHAM                "</f>
        <v xml:space="preserve">BIRMINGHAM                </v>
      </c>
      <c r="F1840" t="str">
        <f t="shared" si="63"/>
        <v>AL</v>
      </c>
    </row>
    <row r="1841" spans="1:6" x14ac:dyDescent="0.25">
      <c r="A1841" t="str">
        <f>"200023979"</f>
        <v>200023979</v>
      </c>
      <c r="B1841" t="str">
        <f>"1538963525"</f>
        <v>1538963525</v>
      </c>
      <c r="C1841" t="str">
        <f>"208000000X"</f>
        <v>208000000X</v>
      </c>
      <c r="D1841" t="str">
        <f>"BRIONES                  RYAN SEAN                "</f>
        <v xml:space="preserve">BRIONES                  RYAN SEAN                </v>
      </c>
      <c r="E1841" t="str">
        <f>"MOBILE                    "</f>
        <v xml:space="preserve">MOBILE                    </v>
      </c>
      <c r="F1841" t="str">
        <f t="shared" si="63"/>
        <v>AL</v>
      </c>
    </row>
    <row r="1842" spans="1:6" x14ac:dyDescent="0.25">
      <c r="A1842" t="str">
        <f>"200023981"</f>
        <v>200023981</v>
      </c>
      <c r="B1842" t="str">
        <f>"1609454461"</f>
        <v>1609454461</v>
      </c>
      <c r="C1842" t="str">
        <f>"207V00000X"</f>
        <v>207V00000X</v>
      </c>
      <c r="D1842" t="str">
        <f>"HU                       MUHAN                    "</f>
        <v xml:space="preserve">HU                       MUHAN                    </v>
      </c>
      <c r="E1842" t="str">
        <f>"BIRMINGHAM                "</f>
        <v xml:space="preserve">BIRMINGHAM                </v>
      </c>
      <c r="F1842" t="str">
        <f t="shared" si="63"/>
        <v>AL</v>
      </c>
    </row>
    <row r="1843" spans="1:6" x14ac:dyDescent="0.25">
      <c r="A1843" t="str">
        <f>"200023983"</f>
        <v>200023983</v>
      </c>
      <c r="B1843" t="str">
        <f>"1427852003"</f>
        <v>1427852003</v>
      </c>
      <c r="C1843" t="str">
        <f>"2084N0400X"</f>
        <v>2084N0400X</v>
      </c>
      <c r="D1843" t="str">
        <f>"REDDY DWARAMPUDI         SAI PRANAV               "</f>
        <v xml:space="preserve">REDDY DWARAMPUDI         SAI PRANAV               </v>
      </c>
      <c r="E1843" t="str">
        <f>"MOBILE                    "</f>
        <v xml:space="preserve">MOBILE                    </v>
      </c>
      <c r="F1843" t="str">
        <f t="shared" si="63"/>
        <v>AL</v>
      </c>
    </row>
    <row r="1844" spans="1:6" x14ac:dyDescent="0.25">
      <c r="A1844" t="str">
        <f>"200023987"</f>
        <v>200023987</v>
      </c>
      <c r="B1844" t="str">
        <f>"1013176858"</f>
        <v>1013176858</v>
      </c>
      <c r="C1844" t="str">
        <f>"2085R0202X"</f>
        <v>2085R0202X</v>
      </c>
      <c r="D1844" t="str">
        <f>"GOZANSKY                 ELLIOTT                  "</f>
        <v xml:space="preserve">GOZANSKY                 ELLIOTT                  </v>
      </c>
      <c r="E1844" t="str">
        <f>"BIRMINGHAM                "</f>
        <v xml:space="preserve">BIRMINGHAM                </v>
      </c>
      <c r="F1844" t="str">
        <f t="shared" si="63"/>
        <v>AL</v>
      </c>
    </row>
    <row r="1845" spans="1:6" x14ac:dyDescent="0.25">
      <c r="A1845" t="str">
        <f>"200023991"</f>
        <v>200023991</v>
      </c>
      <c r="B1845" t="str">
        <f>"1386302552"</f>
        <v>1386302552</v>
      </c>
      <c r="C1845" t="str">
        <f>"363LC0200X"</f>
        <v>363LC0200X</v>
      </c>
      <c r="D1845" t="str">
        <f>"BOOTH                    ASHLEY                   "</f>
        <v xml:space="preserve">BOOTH                    ASHLEY                   </v>
      </c>
      <c r="E1845" t="str">
        <f>"MOBILE                    "</f>
        <v xml:space="preserve">MOBILE                    </v>
      </c>
      <c r="F1845" t="str">
        <f t="shared" si="63"/>
        <v>AL</v>
      </c>
    </row>
    <row r="1846" spans="1:6" x14ac:dyDescent="0.25">
      <c r="A1846" t="str">
        <f>"200023999"</f>
        <v>200023999</v>
      </c>
      <c r="B1846" t="str">
        <f>"1255955605"</f>
        <v>1255955605</v>
      </c>
      <c r="C1846" t="str">
        <f>"207Q00000X"</f>
        <v>207Q00000X</v>
      </c>
      <c r="D1846" t="str">
        <f>"POTTS                    ELISABETH                "</f>
        <v xml:space="preserve">POTTS                    ELISABETH                </v>
      </c>
      <c r="E1846" t="str">
        <f>"MOBILE                    "</f>
        <v xml:space="preserve">MOBILE                    </v>
      </c>
      <c r="F1846" t="str">
        <f t="shared" si="63"/>
        <v>AL</v>
      </c>
    </row>
    <row r="1847" spans="1:6" x14ac:dyDescent="0.25">
      <c r="A1847" t="str">
        <f>"200024021"</f>
        <v>200024021</v>
      </c>
      <c r="B1847" t="str">
        <f>"1104445378"</f>
        <v>1104445378</v>
      </c>
      <c r="C1847" t="str">
        <f>"207RI0200X"</f>
        <v>207RI0200X</v>
      </c>
      <c r="D1847" t="str">
        <f>"SCHROEDER                JULIA                    "</f>
        <v xml:space="preserve">SCHROEDER                JULIA                    </v>
      </c>
      <c r="E1847" t="str">
        <f>"BIRMINGHAM                "</f>
        <v xml:space="preserve">BIRMINGHAM                </v>
      </c>
      <c r="F1847" t="str">
        <f t="shared" si="63"/>
        <v>AL</v>
      </c>
    </row>
    <row r="1848" spans="1:6" x14ac:dyDescent="0.25">
      <c r="A1848" t="str">
        <f>"200024034"</f>
        <v>200024034</v>
      </c>
      <c r="B1848" t="str">
        <f>"1902191000"</f>
        <v>1902191000</v>
      </c>
      <c r="C1848" t="str">
        <f>"207RN0300X"</f>
        <v>207RN0300X</v>
      </c>
      <c r="D1848" t="str">
        <f>"KONARI                   FATHIMA                  "</f>
        <v xml:space="preserve">KONARI                   FATHIMA                  </v>
      </c>
      <c r="E1848" t="str">
        <f>"BIRMINGHAM                "</f>
        <v xml:space="preserve">BIRMINGHAM                </v>
      </c>
      <c r="F1848" t="str">
        <f t="shared" si="63"/>
        <v>AL</v>
      </c>
    </row>
    <row r="1849" spans="1:6" x14ac:dyDescent="0.25">
      <c r="A1849" t="str">
        <f>"200024046"</f>
        <v>200024046</v>
      </c>
      <c r="B1849" t="str">
        <f>"1831584010"</f>
        <v>1831584010</v>
      </c>
      <c r="C1849" t="str">
        <f>"207RC0000X"</f>
        <v>207RC0000X</v>
      </c>
      <c r="D1849" t="str">
        <f>"LEEF                     GEORGE                   "</f>
        <v xml:space="preserve">LEEF                     GEORGE                   </v>
      </c>
      <c r="E1849" t="str">
        <f>"BIRMINGHAM                "</f>
        <v xml:space="preserve">BIRMINGHAM                </v>
      </c>
      <c r="F1849" t="str">
        <f t="shared" si="63"/>
        <v>AL</v>
      </c>
    </row>
    <row r="1850" spans="1:6" x14ac:dyDescent="0.25">
      <c r="A1850" t="str">
        <f>"200024062"</f>
        <v>200024062</v>
      </c>
      <c r="B1850" t="str">
        <f>"1720540594"</f>
        <v>1720540594</v>
      </c>
      <c r="C1850" t="str">
        <f>"207XX0801X"</f>
        <v>207XX0801X</v>
      </c>
      <c r="D1850" t="str">
        <f>"DAVIS                    WILLIAM                  "</f>
        <v xml:space="preserve">DAVIS                    WILLIAM                  </v>
      </c>
      <c r="E1850" t="str">
        <f>"BIRMINGHAM                "</f>
        <v xml:space="preserve">BIRMINGHAM                </v>
      </c>
      <c r="F1850" t="str">
        <f t="shared" si="63"/>
        <v>AL</v>
      </c>
    </row>
    <row r="1851" spans="1:6" x14ac:dyDescent="0.25">
      <c r="A1851" t="str">
        <f>"200024066"</f>
        <v>200024066</v>
      </c>
      <c r="B1851" t="str">
        <f>"1104711696"</f>
        <v>1104711696</v>
      </c>
      <c r="C1851" t="str">
        <f>"207T00000X"</f>
        <v>207T00000X</v>
      </c>
      <c r="D1851" t="str">
        <f>"KAYE                     BRANDON      Y           "</f>
        <v xml:space="preserve">KAYE                     BRANDON      Y           </v>
      </c>
      <c r="E1851" t="str">
        <f>"MOBILE                    "</f>
        <v xml:space="preserve">MOBILE                    </v>
      </c>
      <c r="F1851" t="str">
        <f t="shared" si="63"/>
        <v>AL</v>
      </c>
    </row>
    <row r="1852" spans="1:6" x14ac:dyDescent="0.25">
      <c r="A1852" t="str">
        <f>"200024074"</f>
        <v>200024074</v>
      </c>
      <c r="B1852" t="str">
        <f>"1790429678"</f>
        <v>1790429678</v>
      </c>
      <c r="C1852" t="str">
        <f>"207Q00000X"</f>
        <v>207Q00000X</v>
      </c>
      <c r="D1852" t="str">
        <f>"POWERS                   RACHEL                   "</f>
        <v xml:space="preserve">POWERS                   RACHEL                   </v>
      </c>
      <c r="E1852" t="str">
        <f t="shared" ref="E1852:E1857" si="64">"BIRMINGHAM                "</f>
        <v xml:space="preserve">BIRMINGHAM                </v>
      </c>
      <c r="F1852" t="str">
        <f t="shared" si="63"/>
        <v>AL</v>
      </c>
    </row>
    <row r="1853" spans="1:6" x14ac:dyDescent="0.25">
      <c r="A1853" t="str">
        <f>"200024080"</f>
        <v>200024080</v>
      </c>
      <c r="B1853" t="str">
        <f>"1982133963"</f>
        <v>1982133963</v>
      </c>
      <c r="C1853" t="str">
        <f>"208600000X"</f>
        <v>208600000X</v>
      </c>
      <c r="D1853" t="str">
        <f>"WHITE                    ERIN                     "</f>
        <v xml:space="preserve">WHITE                    ERIN                     </v>
      </c>
      <c r="E1853" t="str">
        <f t="shared" si="64"/>
        <v xml:space="preserve">BIRMINGHAM                </v>
      </c>
      <c r="F1853" t="str">
        <f t="shared" si="63"/>
        <v>AL</v>
      </c>
    </row>
    <row r="1854" spans="1:6" x14ac:dyDescent="0.25">
      <c r="A1854" t="str">
        <f>"200024085"</f>
        <v>200024085</v>
      </c>
      <c r="B1854" t="str">
        <f>"1386106086"</f>
        <v>1386106086</v>
      </c>
      <c r="C1854" t="str">
        <f>"207V00000X"</f>
        <v>207V00000X</v>
      </c>
      <c r="D1854" t="str">
        <f>"DAVIS                    ALLISON                  "</f>
        <v xml:space="preserve">DAVIS                    ALLISON                  </v>
      </c>
      <c r="E1854" t="str">
        <f t="shared" si="64"/>
        <v xml:space="preserve">BIRMINGHAM                </v>
      </c>
      <c r="F1854" t="str">
        <f t="shared" si="63"/>
        <v>AL</v>
      </c>
    </row>
    <row r="1855" spans="1:6" x14ac:dyDescent="0.25">
      <c r="A1855" t="str">
        <f>"200024102"</f>
        <v>200024102</v>
      </c>
      <c r="B1855" t="str">
        <f>"1578004701"</f>
        <v>1578004701</v>
      </c>
      <c r="C1855" t="str">
        <f>"2086S0120X"</f>
        <v>2086S0120X</v>
      </c>
      <c r="D1855" t="str">
        <f>"HEGDE                    BRITTANY                 "</f>
        <v xml:space="preserve">HEGDE                    BRITTANY                 </v>
      </c>
      <c r="E1855" t="str">
        <f t="shared" si="64"/>
        <v xml:space="preserve">BIRMINGHAM                </v>
      </c>
      <c r="F1855" t="str">
        <f t="shared" si="63"/>
        <v>AL</v>
      </c>
    </row>
    <row r="1856" spans="1:6" x14ac:dyDescent="0.25">
      <c r="A1856" t="str">
        <f>"200024125"</f>
        <v>200024125</v>
      </c>
      <c r="B1856" t="str">
        <f>"1326570664"</f>
        <v>1326570664</v>
      </c>
      <c r="C1856" t="str">
        <f>"207V00000X"</f>
        <v>207V00000X</v>
      </c>
      <c r="D1856" t="str">
        <f>"SHARMA                   DEEPTI                   "</f>
        <v xml:space="preserve">SHARMA                   DEEPTI                   </v>
      </c>
      <c r="E1856" t="str">
        <f t="shared" si="64"/>
        <v xml:space="preserve">BIRMINGHAM                </v>
      </c>
      <c r="F1856" t="str">
        <f t="shared" si="63"/>
        <v>AL</v>
      </c>
    </row>
    <row r="1857" spans="1:6" x14ac:dyDescent="0.25">
      <c r="A1857" t="str">
        <f>"200024151"</f>
        <v>200024151</v>
      </c>
      <c r="B1857" t="str">
        <f>"1245124965"</f>
        <v>1245124965</v>
      </c>
      <c r="C1857" t="str">
        <f>"363LA2100X"</f>
        <v>363LA2100X</v>
      </c>
      <c r="D1857" t="str">
        <f>"DILLASHAW                MAKENA                   "</f>
        <v xml:space="preserve">DILLASHAW                MAKENA                   </v>
      </c>
      <c r="E1857" t="str">
        <f t="shared" si="64"/>
        <v xml:space="preserve">BIRMINGHAM                </v>
      </c>
      <c r="F1857" t="str">
        <f t="shared" si="63"/>
        <v>AL</v>
      </c>
    </row>
    <row r="1858" spans="1:6" x14ac:dyDescent="0.25">
      <c r="A1858" t="str">
        <f>"200024175"</f>
        <v>200024175</v>
      </c>
      <c r="B1858" t="str">
        <f>"1487059143"</f>
        <v>1487059143</v>
      </c>
      <c r="C1858" t="str">
        <f>"363LF0000X"</f>
        <v>363LF0000X</v>
      </c>
      <c r="D1858" t="str">
        <f>"CROWELL                  VERONICA                 "</f>
        <v xml:space="preserve">CROWELL                  VERONICA                 </v>
      </c>
      <c r="E1858" t="str">
        <f>"FOLEY                     "</f>
        <v xml:space="preserve">FOLEY                     </v>
      </c>
      <c r="F1858" t="str">
        <f t="shared" si="63"/>
        <v>AL</v>
      </c>
    </row>
    <row r="1859" spans="1:6" x14ac:dyDescent="0.25">
      <c r="A1859" t="str">
        <f>"200024185"</f>
        <v>200024185</v>
      </c>
      <c r="B1859" t="str">
        <f>"1548057771"</f>
        <v>1548057771</v>
      </c>
      <c r="C1859" t="str">
        <f>"207R00000X"</f>
        <v>207R00000X</v>
      </c>
      <c r="D1859" t="str">
        <f>"MAHDI                    ABDUL MAJEED             "</f>
        <v xml:space="preserve">MAHDI                    ABDUL MAJEED             </v>
      </c>
      <c r="E1859" t="str">
        <f>"MOBILE                    "</f>
        <v xml:space="preserve">MOBILE                    </v>
      </c>
      <c r="F1859" t="str">
        <f t="shared" si="63"/>
        <v>AL</v>
      </c>
    </row>
    <row r="1860" spans="1:6" x14ac:dyDescent="0.25">
      <c r="A1860" t="str">
        <f>"200024204"</f>
        <v>200024204</v>
      </c>
      <c r="B1860" t="str">
        <f>"1952198137"</f>
        <v>1952198137</v>
      </c>
      <c r="C1860" t="str">
        <f>"2084N0400X"</f>
        <v>2084N0400X</v>
      </c>
      <c r="D1860" t="str">
        <f>"CHIRIBOGA                GUSTAVO      A           "</f>
        <v xml:space="preserve">CHIRIBOGA                GUSTAVO      A           </v>
      </c>
      <c r="E1860" t="str">
        <f>"MOBILE                    "</f>
        <v xml:space="preserve">MOBILE                    </v>
      </c>
      <c r="F1860" t="str">
        <f t="shared" si="63"/>
        <v>AL</v>
      </c>
    </row>
    <row r="1861" spans="1:6" x14ac:dyDescent="0.25">
      <c r="A1861" t="str">
        <f>"200024207"</f>
        <v>200024207</v>
      </c>
      <c r="B1861" t="str">
        <f>"1346410479"</f>
        <v>1346410479</v>
      </c>
      <c r="C1861" t="str">
        <f>"207P00000X"</f>
        <v>207P00000X</v>
      </c>
      <c r="D1861" t="str">
        <f>"KAMALU                   IFEOMA                   "</f>
        <v xml:space="preserve">KAMALU                   IFEOMA                   </v>
      </c>
      <c r="E1861" t="str">
        <f>"BUTLER                    "</f>
        <v xml:space="preserve">BUTLER                    </v>
      </c>
      <c r="F1861" t="str">
        <f t="shared" si="63"/>
        <v>AL</v>
      </c>
    </row>
    <row r="1862" spans="1:6" x14ac:dyDescent="0.25">
      <c r="A1862" t="str">
        <f>"200024216"</f>
        <v>200024216</v>
      </c>
      <c r="B1862" t="str">
        <f>"1659168581"</f>
        <v>1659168581</v>
      </c>
      <c r="C1862" t="str">
        <f>"207Q00000X"</f>
        <v>207Q00000X</v>
      </c>
      <c r="D1862" t="str">
        <f>"SREEKUMAR NAIR           JAI AKSHAY               "</f>
        <v xml:space="preserve">SREEKUMAR NAIR           JAI AKSHAY               </v>
      </c>
      <c r="E1862" t="str">
        <f>"MOBILE                    "</f>
        <v xml:space="preserve">MOBILE                    </v>
      </c>
      <c r="F1862" t="str">
        <f t="shared" si="63"/>
        <v>AL</v>
      </c>
    </row>
    <row r="1863" spans="1:6" x14ac:dyDescent="0.25">
      <c r="A1863" t="str">
        <f>"200024218"</f>
        <v>200024218</v>
      </c>
      <c r="B1863" t="str">
        <f>"1528856473"</f>
        <v>1528856473</v>
      </c>
      <c r="C1863" t="str">
        <f>"207R00000X"</f>
        <v>207R00000X</v>
      </c>
      <c r="D1863" t="str">
        <f>"SIMRAN                   FNU                      "</f>
        <v xml:space="preserve">SIMRAN                   FNU                      </v>
      </c>
      <c r="E1863" t="str">
        <f>"MOBILE                    "</f>
        <v xml:space="preserve">MOBILE                    </v>
      </c>
      <c r="F1863" t="str">
        <f t="shared" ref="F1863:F1926" si="65">"AL"</f>
        <v>AL</v>
      </c>
    </row>
    <row r="1864" spans="1:6" x14ac:dyDescent="0.25">
      <c r="A1864" t="str">
        <f>"200024225"</f>
        <v>200024225</v>
      </c>
      <c r="B1864" t="str">
        <f>"1811434707"</f>
        <v>1811434707</v>
      </c>
      <c r="C1864" t="str">
        <f>"363A00000X"</f>
        <v>363A00000X</v>
      </c>
      <c r="D1864" t="str">
        <f>"HUTCHINS                 CAITLIN                  "</f>
        <v xml:space="preserve">HUTCHINS                 CAITLIN                  </v>
      </c>
      <c r="E1864" t="str">
        <f>"BIRMINGHAM                "</f>
        <v xml:space="preserve">BIRMINGHAM                </v>
      </c>
      <c r="F1864" t="str">
        <f t="shared" si="65"/>
        <v>AL</v>
      </c>
    </row>
    <row r="1865" spans="1:6" x14ac:dyDescent="0.25">
      <c r="A1865" t="str">
        <f>"200024230"</f>
        <v>200024230</v>
      </c>
      <c r="B1865" t="str">
        <f>"1760909170"</f>
        <v>1760909170</v>
      </c>
      <c r="C1865" t="str">
        <f>"207X00000X"</f>
        <v>207X00000X</v>
      </c>
      <c r="D1865" t="str">
        <f>"VISWANATHAN              VIBHU                    "</f>
        <v xml:space="preserve">VISWANATHAN              VIBHU                    </v>
      </c>
      <c r="E1865" t="str">
        <f>"BIRMINGHAM                "</f>
        <v xml:space="preserve">BIRMINGHAM                </v>
      </c>
      <c r="F1865" t="str">
        <f t="shared" si="65"/>
        <v>AL</v>
      </c>
    </row>
    <row r="1866" spans="1:6" x14ac:dyDescent="0.25">
      <c r="A1866" t="str">
        <f>"200024233"</f>
        <v>200024233</v>
      </c>
      <c r="B1866" t="str">
        <f>"1306430285"</f>
        <v>1306430285</v>
      </c>
      <c r="C1866" t="str">
        <f>"363A00000X"</f>
        <v>363A00000X</v>
      </c>
      <c r="D1866" t="str">
        <f>"ROBINSON                 STEPHANIE                "</f>
        <v xml:space="preserve">ROBINSON                 STEPHANIE                </v>
      </c>
      <c r="E1866" t="str">
        <f>"BIRMINGHAM                "</f>
        <v xml:space="preserve">BIRMINGHAM                </v>
      </c>
      <c r="F1866" t="str">
        <f t="shared" si="65"/>
        <v>AL</v>
      </c>
    </row>
    <row r="1867" spans="1:6" x14ac:dyDescent="0.25">
      <c r="A1867" t="str">
        <f>"200024241"</f>
        <v>200024241</v>
      </c>
      <c r="B1867" t="str">
        <f>"1174313415"</f>
        <v>1174313415</v>
      </c>
      <c r="C1867" t="str">
        <f>"207R00000X"</f>
        <v>207R00000X</v>
      </c>
      <c r="D1867" t="str">
        <f>"MANAN                    AWAIS                    "</f>
        <v xml:space="preserve">MANAN                    AWAIS                    </v>
      </c>
      <c r="E1867" t="str">
        <f>"MOBILE                    "</f>
        <v xml:space="preserve">MOBILE                    </v>
      </c>
      <c r="F1867" t="str">
        <f t="shared" si="65"/>
        <v>AL</v>
      </c>
    </row>
    <row r="1868" spans="1:6" x14ac:dyDescent="0.25">
      <c r="A1868" t="str">
        <f>"200024244"</f>
        <v>200024244</v>
      </c>
      <c r="B1868" t="str">
        <f>"1972063824"</f>
        <v>1972063824</v>
      </c>
      <c r="C1868" t="str">
        <f>"207P00000X"</f>
        <v>207P00000X</v>
      </c>
      <c r="D1868" t="str">
        <f>"NICODEMUS                KEEGAN                   "</f>
        <v xml:space="preserve">NICODEMUS                KEEGAN                   </v>
      </c>
      <c r="E1868" t="str">
        <f>"BIRMINGHAM                "</f>
        <v xml:space="preserve">BIRMINGHAM                </v>
      </c>
      <c r="F1868" t="str">
        <f t="shared" si="65"/>
        <v>AL</v>
      </c>
    </row>
    <row r="1869" spans="1:6" x14ac:dyDescent="0.25">
      <c r="A1869" t="str">
        <f>"200024254"</f>
        <v>200024254</v>
      </c>
      <c r="B1869" t="str">
        <f>"1609541267"</f>
        <v>1609541267</v>
      </c>
      <c r="C1869" t="str">
        <f>"207R00000X"</f>
        <v>207R00000X</v>
      </c>
      <c r="D1869" t="str">
        <f>"VOHRA                    HARMINDER                "</f>
        <v xml:space="preserve">VOHRA                    HARMINDER                </v>
      </c>
      <c r="E1869" t="str">
        <f>"BIRMINGHAM                "</f>
        <v xml:space="preserve">BIRMINGHAM                </v>
      </c>
      <c r="F1869" t="str">
        <f t="shared" si="65"/>
        <v>AL</v>
      </c>
    </row>
    <row r="1870" spans="1:6" x14ac:dyDescent="0.25">
      <c r="A1870" t="str">
        <f>"200024265"</f>
        <v>200024265</v>
      </c>
      <c r="B1870" t="str">
        <f>"1508697327"</f>
        <v>1508697327</v>
      </c>
      <c r="C1870" t="str">
        <f>"2085R0202X"</f>
        <v>2085R0202X</v>
      </c>
      <c r="D1870" t="str">
        <f>"SALEH                    ALAA                     "</f>
        <v xml:space="preserve">SALEH                    ALAA                     </v>
      </c>
      <c r="E1870" t="str">
        <f>"BIRMINGHAM                "</f>
        <v xml:space="preserve">BIRMINGHAM                </v>
      </c>
      <c r="F1870" t="str">
        <f t="shared" si="65"/>
        <v>AL</v>
      </c>
    </row>
    <row r="1871" spans="1:6" x14ac:dyDescent="0.25">
      <c r="A1871" t="str">
        <f>"200024270"</f>
        <v>200024270</v>
      </c>
      <c r="B1871" t="str">
        <f>"1255388211"</f>
        <v>1255388211</v>
      </c>
      <c r="C1871" t="str">
        <f>"367500000X"</f>
        <v>367500000X</v>
      </c>
      <c r="D1871" t="str">
        <f>"SILVER                   SUSAN                    "</f>
        <v xml:space="preserve">SILVER                   SUSAN                    </v>
      </c>
      <c r="E1871" t="str">
        <f>"MOBILE                    "</f>
        <v xml:space="preserve">MOBILE                    </v>
      </c>
      <c r="F1871" t="str">
        <f t="shared" si="65"/>
        <v>AL</v>
      </c>
    </row>
    <row r="1872" spans="1:6" x14ac:dyDescent="0.25">
      <c r="A1872" t="str">
        <f>"200024274"</f>
        <v>200024274</v>
      </c>
      <c r="B1872" t="str">
        <f>"1346043155"</f>
        <v>1346043155</v>
      </c>
      <c r="C1872" t="str">
        <f>"207Q00000X"</f>
        <v>207Q00000X</v>
      </c>
      <c r="D1872" t="str">
        <f>"FARRAR                   ABIGAIL                  "</f>
        <v xml:space="preserve">FARRAR                   ABIGAIL                  </v>
      </c>
      <c r="E1872" t="str">
        <f>"MOBILE                    "</f>
        <v xml:space="preserve">MOBILE                    </v>
      </c>
      <c r="F1872" t="str">
        <f t="shared" si="65"/>
        <v>AL</v>
      </c>
    </row>
    <row r="1873" spans="1:6" x14ac:dyDescent="0.25">
      <c r="A1873" t="str">
        <f>"200024281"</f>
        <v>200024281</v>
      </c>
      <c r="B1873" t="str">
        <f>"1720877780"</f>
        <v>1720877780</v>
      </c>
      <c r="C1873" t="str">
        <f>"2084N0400X"</f>
        <v>2084N0400X</v>
      </c>
      <c r="D1873" t="str">
        <f>"SAVALIYA                 RUTVIK                   "</f>
        <v xml:space="preserve">SAVALIYA                 RUTVIK                   </v>
      </c>
      <c r="E1873" t="str">
        <f>"MOBILE                    "</f>
        <v xml:space="preserve">MOBILE                    </v>
      </c>
      <c r="F1873" t="str">
        <f t="shared" si="65"/>
        <v>AL</v>
      </c>
    </row>
    <row r="1874" spans="1:6" x14ac:dyDescent="0.25">
      <c r="A1874" t="str">
        <f>"200024284"</f>
        <v>200024284</v>
      </c>
      <c r="B1874" t="str">
        <f>"1912757352"</f>
        <v>1912757352</v>
      </c>
      <c r="C1874" t="str">
        <f>"2085R0202X"</f>
        <v>2085R0202X</v>
      </c>
      <c r="D1874" t="str">
        <f>"CHOI                     PETER                    "</f>
        <v xml:space="preserve">CHOI                     PETER                    </v>
      </c>
      <c r="E1874" t="str">
        <f>"MOBILE                    "</f>
        <v xml:space="preserve">MOBILE                    </v>
      </c>
      <c r="F1874" t="str">
        <f t="shared" si="65"/>
        <v>AL</v>
      </c>
    </row>
    <row r="1875" spans="1:6" x14ac:dyDescent="0.25">
      <c r="A1875" t="str">
        <f>"200024292"</f>
        <v>200024292</v>
      </c>
      <c r="B1875" t="str">
        <f>"1154305324"</f>
        <v>1154305324</v>
      </c>
      <c r="C1875" t="str">
        <f>"207ZP0102X"</f>
        <v>207ZP0102X</v>
      </c>
      <c r="D1875" t="str">
        <f>"LUQUETTE                 MARK                     "</f>
        <v xml:space="preserve">LUQUETTE                 MARK                     </v>
      </c>
      <c r="E1875" t="str">
        <f>"MOBILE                    "</f>
        <v xml:space="preserve">MOBILE                    </v>
      </c>
      <c r="F1875" t="str">
        <f t="shared" si="65"/>
        <v>AL</v>
      </c>
    </row>
    <row r="1876" spans="1:6" x14ac:dyDescent="0.25">
      <c r="A1876" t="str">
        <f>"200024300"</f>
        <v>200024300</v>
      </c>
      <c r="B1876" t="str">
        <f>"1992374334"</f>
        <v>1992374334</v>
      </c>
      <c r="C1876" t="str">
        <f>"207QG0300X"</f>
        <v>207QG0300X</v>
      </c>
      <c r="D1876" t="str">
        <f>"PEACH                    RYAN                     "</f>
        <v xml:space="preserve">PEACH                    RYAN                     </v>
      </c>
      <c r="E1876" t="str">
        <f>"BIRMINGHAM                "</f>
        <v xml:space="preserve">BIRMINGHAM                </v>
      </c>
      <c r="F1876" t="str">
        <f t="shared" si="65"/>
        <v>AL</v>
      </c>
    </row>
    <row r="1877" spans="1:6" x14ac:dyDescent="0.25">
      <c r="A1877" t="str">
        <f>"200024310"</f>
        <v>200024310</v>
      </c>
      <c r="B1877" t="str">
        <f>"1780363028"</f>
        <v>1780363028</v>
      </c>
      <c r="C1877" t="str">
        <f>"207R00000X"</f>
        <v>207R00000X</v>
      </c>
      <c r="D1877" t="str">
        <f>"CHAPAGAIN                ABINA                    "</f>
        <v xml:space="preserve">CHAPAGAIN                ABINA                    </v>
      </c>
      <c r="E1877" t="str">
        <f>"MOBILE                    "</f>
        <v xml:space="preserve">MOBILE                    </v>
      </c>
      <c r="F1877" t="str">
        <f t="shared" si="65"/>
        <v>AL</v>
      </c>
    </row>
    <row r="1878" spans="1:6" x14ac:dyDescent="0.25">
      <c r="A1878" t="str">
        <f>"200024320"</f>
        <v>200024320</v>
      </c>
      <c r="B1878" t="str">
        <f>"1164270468"</f>
        <v>1164270468</v>
      </c>
      <c r="C1878" t="str">
        <f>"2085R0202X"</f>
        <v>2085R0202X</v>
      </c>
      <c r="D1878" t="str">
        <f>"SAAD                     FAAIZ                    "</f>
        <v xml:space="preserve">SAAD                     FAAIZ                    </v>
      </c>
      <c r="E1878" t="str">
        <f>"MOBILE                    "</f>
        <v xml:space="preserve">MOBILE                    </v>
      </c>
      <c r="F1878" t="str">
        <f t="shared" si="65"/>
        <v>AL</v>
      </c>
    </row>
    <row r="1879" spans="1:6" x14ac:dyDescent="0.25">
      <c r="A1879" t="str">
        <f>"200024350"</f>
        <v>200024350</v>
      </c>
      <c r="B1879" t="str">
        <f>"1013703875"</f>
        <v>1013703875</v>
      </c>
      <c r="C1879" t="str">
        <f>"208000000X"</f>
        <v>208000000X</v>
      </c>
      <c r="D1879" t="str">
        <f>"MORENO LEIGUE            MARIA JOSE               "</f>
        <v xml:space="preserve">MORENO LEIGUE            MARIA JOSE               </v>
      </c>
      <c r="E1879" t="str">
        <f>"MOBILE                    "</f>
        <v xml:space="preserve">MOBILE                    </v>
      </c>
      <c r="F1879" t="str">
        <f t="shared" si="65"/>
        <v>AL</v>
      </c>
    </row>
    <row r="1880" spans="1:6" x14ac:dyDescent="0.25">
      <c r="A1880" t="str">
        <f>"200024361"</f>
        <v>200024361</v>
      </c>
      <c r="B1880" t="str">
        <f>"1750540035"</f>
        <v>1750540035</v>
      </c>
      <c r="C1880" t="str">
        <f>"207P00000X"</f>
        <v>207P00000X</v>
      </c>
      <c r="D1880" t="str">
        <f>"DUEFFER                  HEINZ                    "</f>
        <v xml:space="preserve">DUEFFER                  HEINZ                    </v>
      </c>
      <c r="E1880" t="str">
        <f>"BIRMINGHAM                "</f>
        <v xml:space="preserve">BIRMINGHAM                </v>
      </c>
      <c r="F1880" t="str">
        <f t="shared" si="65"/>
        <v>AL</v>
      </c>
    </row>
    <row r="1881" spans="1:6" x14ac:dyDescent="0.25">
      <c r="A1881" t="str">
        <f>"200024365"</f>
        <v>200024365</v>
      </c>
      <c r="B1881" t="str">
        <f>"1922802552"</f>
        <v>1922802552</v>
      </c>
      <c r="C1881" t="str">
        <f>"208000000X"</f>
        <v>208000000X</v>
      </c>
      <c r="D1881" t="str">
        <f>"SAHAI                    PARTH                    "</f>
        <v xml:space="preserve">SAHAI                    PARTH                    </v>
      </c>
      <c r="E1881" t="str">
        <f>"MOBILE                    "</f>
        <v xml:space="preserve">MOBILE                    </v>
      </c>
      <c r="F1881" t="str">
        <f t="shared" si="65"/>
        <v>AL</v>
      </c>
    </row>
    <row r="1882" spans="1:6" x14ac:dyDescent="0.25">
      <c r="A1882" t="str">
        <f>"200024371"</f>
        <v>200024371</v>
      </c>
      <c r="B1882" t="str">
        <f>"1982281705"</f>
        <v>1982281705</v>
      </c>
      <c r="C1882" t="str">
        <f>"207L00000X"</f>
        <v>207L00000X</v>
      </c>
      <c r="D1882" t="str">
        <f>"GRAHAM                   JOHN                     "</f>
        <v xml:space="preserve">GRAHAM                   JOHN                     </v>
      </c>
      <c r="E1882" t="str">
        <f>"BIRMINGHAM                "</f>
        <v xml:space="preserve">BIRMINGHAM                </v>
      </c>
      <c r="F1882" t="str">
        <f t="shared" si="65"/>
        <v>AL</v>
      </c>
    </row>
    <row r="1883" spans="1:6" x14ac:dyDescent="0.25">
      <c r="A1883" t="str">
        <f>"200024389"</f>
        <v>200024389</v>
      </c>
      <c r="B1883" t="str">
        <f>"1609663012"</f>
        <v>1609663012</v>
      </c>
      <c r="C1883" t="str">
        <f>"208000000X"</f>
        <v>208000000X</v>
      </c>
      <c r="D1883" t="str">
        <f>"MASOOD                   FATIMA                   "</f>
        <v xml:space="preserve">MASOOD                   FATIMA                   </v>
      </c>
      <c r="E1883" t="str">
        <f>"MOBILE                    "</f>
        <v xml:space="preserve">MOBILE                    </v>
      </c>
      <c r="F1883" t="str">
        <f t="shared" si="65"/>
        <v>AL</v>
      </c>
    </row>
    <row r="1884" spans="1:6" x14ac:dyDescent="0.25">
      <c r="A1884" t="str">
        <f>"200024390"</f>
        <v>200024390</v>
      </c>
      <c r="B1884" t="str">
        <f>"1609751866"</f>
        <v>1609751866</v>
      </c>
      <c r="C1884" t="str">
        <f>"208000000X"</f>
        <v>208000000X</v>
      </c>
      <c r="D1884" t="str">
        <f>"ADHIKARI                 SEEMA                    "</f>
        <v xml:space="preserve">ADHIKARI                 SEEMA                    </v>
      </c>
      <c r="E1884" t="str">
        <f>"MOBILE                    "</f>
        <v xml:space="preserve">MOBILE                    </v>
      </c>
      <c r="F1884" t="str">
        <f t="shared" si="65"/>
        <v>AL</v>
      </c>
    </row>
    <row r="1885" spans="1:6" x14ac:dyDescent="0.25">
      <c r="A1885" t="str">
        <f>"200024391"</f>
        <v>200024391</v>
      </c>
      <c r="B1885" t="str">
        <f>"1417751017"</f>
        <v>1417751017</v>
      </c>
      <c r="C1885" t="str">
        <f>"208000000X"</f>
        <v>208000000X</v>
      </c>
      <c r="D1885" t="str">
        <f>"GOFF                     SARAH                    "</f>
        <v xml:space="preserve">GOFF                     SARAH                    </v>
      </c>
      <c r="E1885" t="str">
        <f>"MOBILE                    "</f>
        <v xml:space="preserve">MOBILE                    </v>
      </c>
      <c r="F1885" t="str">
        <f t="shared" si="65"/>
        <v>AL</v>
      </c>
    </row>
    <row r="1886" spans="1:6" x14ac:dyDescent="0.25">
      <c r="A1886" t="str">
        <f>"200024433"</f>
        <v>200024433</v>
      </c>
      <c r="B1886" t="str">
        <f>"1225608763"</f>
        <v>1225608763</v>
      </c>
      <c r="C1886" t="str">
        <f>"367500000X"</f>
        <v>367500000X</v>
      </c>
      <c r="D1886" t="str">
        <f>"PADDOCK                  ASHLEY                   "</f>
        <v xml:space="preserve">PADDOCK                  ASHLEY                   </v>
      </c>
      <c r="E1886" t="str">
        <f>"BIRMINGHAM                "</f>
        <v xml:space="preserve">BIRMINGHAM                </v>
      </c>
      <c r="F1886" t="str">
        <f t="shared" si="65"/>
        <v>AL</v>
      </c>
    </row>
    <row r="1887" spans="1:6" x14ac:dyDescent="0.25">
      <c r="A1887" t="str">
        <f>"200024437"</f>
        <v>200024437</v>
      </c>
      <c r="B1887" t="str">
        <f>"1285375071"</f>
        <v>1285375071</v>
      </c>
      <c r="C1887" t="str">
        <f>"207Q00000X"</f>
        <v>207Q00000X</v>
      </c>
      <c r="D1887" t="str">
        <f>"CHRISTENSEN              BLAKE                    "</f>
        <v xml:space="preserve">CHRISTENSEN              BLAKE                    </v>
      </c>
      <c r="E1887" t="str">
        <f>"MOBILE                    "</f>
        <v xml:space="preserve">MOBILE                    </v>
      </c>
      <c r="F1887" t="str">
        <f t="shared" si="65"/>
        <v>AL</v>
      </c>
    </row>
    <row r="1888" spans="1:6" x14ac:dyDescent="0.25">
      <c r="A1888" t="str">
        <f>"200024441"</f>
        <v>200024441</v>
      </c>
      <c r="B1888" t="str">
        <f>"1689640070"</f>
        <v>1689640070</v>
      </c>
      <c r="C1888" t="str">
        <f>"2088P0231X"</f>
        <v>2088P0231X</v>
      </c>
      <c r="D1888" t="str">
        <f>"TANAKA                   STACY                    "</f>
        <v xml:space="preserve">TANAKA                   STACY                    </v>
      </c>
      <c r="E1888" t="str">
        <f>"BIRMINGHAM                "</f>
        <v xml:space="preserve">BIRMINGHAM                </v>
      </c>
      <c r="F1888" t="str">
        <f t="shared" si="65"/>
        <v>AL</v>
      </c>
    </row>
    <row r="1889" spans="1:6" x14ac:dyDescent="0.25">
      <c r="A1889" t="str">
        <f>"200024452"</f>
        <v>200024452</v>
      </c>
      <c r="B1889" t="str">
        <f>"1326492281"</f>
        <v>1326492281</v>
      </c>
      <c r="C1889" t="str">
        <f>"207V00000X"</f>
        <v>207V00000X</v>
      </c>
      <c r="D1889" t="str">
        <f>"GRETTE                   KATHERINE    V           "</f>
        <v xml:space="preserve">GRETTE                   KATHERINE    V           </v>
      </c>
      <c r="E1889" t="str">
        <f>"MOBILE                    "</f>
        <v xml:space="preserve">MOBILE                    </v>
      </c>
      <c r="F1889" t="str">
        <f t="shared" si="65"/>
        <v>AL</v>
      </c>
    </row>
    <row r="1890" spans="1:6" x14ac:dyDescent="0.25">
      <c r="A1890" t="str">
        <f>"200024467"</f>
        <v>200024467</v>
      </c>
      <c r="B1890" t="str">
        <f>"1861295461"</f>
        <v>1861295461</v>
      </c>
      <c r="C1890" t="str">
        <f>"208000000X"</f>
        <v>208000000X</v>
      </c>
      <c r="D1890" t="str">
        <f>"AUSTIN                   SHELBY                   "</f>
        <v xml:space="preserve">AUSTIN                   SHELBY                   </v>
      </c>
      <c r="E1890" t="str">
        <f>"MOBILE                    "</f>
        <v xml:space="preserve">MOBILE                    </v>
      </c>
      <c r="F1890" t="str">
        <f t="shared" si="65"/>
        <v>AL</v>
      </c>
    </row>
    <row r="1891" spans="1:6" x14ac:dyDescent="0.25">
      <c r="A1891" t="str">
        <f>"200024468"</f>
        <v>200024468</v>
      </c>
      <c r="B1891" t="str">
        <f>"1508694100"</f>
        <v>1508694100</v>
      </c>
      <c r="C1891" t="str">
        <f>"207Q00000X"</f>
        <v>207Q00000X</v>
      </c>
      <c r="D1891" t="str">
        <f>"RICE                     MEGHAN                   "</f>
        <v xml:space="preserve">RICE                     MEGHAN                   </v>
      </c>
      <c r="E1891" t="str">
        <f>"MOBILE                    "</f>
        <v xml:space="preserve">MOBILE                    </v>
      </c>
      <c r="F1891" t="str">
        <f t="shared" si="65"/>
        <v>AL</v>
      </c>
    </row>
    <row r="1892" spans="1:6" x14ac:dyDescent="0.25">
      <c r="A1892" t="str">
        <f>"200024473"</f>
        <v>200024473</v>
      </c>
      <c r="B1892" t="str">
        <f>"1528861143"</f>
        <v>1528861143</v>
      </c>
      <c r="C1892" t="str">
        <f>"207R00000X"</f>
        <v>207R00000X</v>
      </c>
      <c r="D1892" t="str">
        <f>"BOLLING                  JACOB                    "</f>
        <v xml:space="preserve">BOLLING                  JACOB                    </v>
      </c>
      <c r="E1892" t="str">
        <f>"MOBILE                    "</f>
        <v xml:space="preserve">MOBILE                    </v>
      </c>
      <c r="F1892" t="str">
        <f t="shared" si="65"/>
        <v>AL</v>
      </c>
    </row>
    <row r="1893" spans="1:6" x14ac:dyDescent="0.25">
      <c r="A1893" t="str">
        <f>"200024481"</f>
        <v>200024481</v>
      </c>
      <c r="B1893" t="str">
        <f>"1699654079"</f>
        <v>1699654079</v>
      </c>
      <c r="C1893" t="str">
        <f>"367500000X"</f>
        <v>367500000X</v>
      </c>
      <c r="D1893" t="str">
        <f>"POLK                     JAVARIS                  "</f>
        <v xml:space="preserve">POLK                     JAVARIS                  </v>
      </c>
      <c r="E1893" t="str">
        <f>"BIRMINGHAM                "</f>
        <v xml:space="preserve">BIRMINGHAM                </v>
      </c>
      <c r="F1893" t="str">
        <f t="shared" si="65"/>
        <v>AL</v>
      </c>
    </row>
    <row r="1894" spans="1:6" x14ac:dyDescent="0.25">
      <c r="A1894" t="str">
        <f>"200024515"</f>
        <v>200024515</v>
      </c>
      <c r="B1894" t="str">
        <f>"1770870990"</f>
        <v>1770870990</v>
      </c>
      <c r="C1894" t="str">
        <f>"367500000X"</f>
        <v>367500000X</v>
      </c>
      <c r="D1894" t="str">
        <f>"TRAMMELL                 EMILY                    "</f>
        <v xml:space="preserve">TRAMMELL                 EMILY                    </v>
      </c>
      <c r="E1894" t="str">
        <f>"BIRMINGHAM                "</f>
        <v xml:space="preserve">BIRMINGHAM                </v>
      </c>
      <c r="F1894" t="str">
        <f t="shared" si="65"/>
        <v>AL</v>
      </c>
    </row>
    <row r="1895" spans="1:6" x14ac:dyDescent="0.25">
      <c r="A1895" t="str">
        <f>"200024524"</f>
        <v>200024524</v>
      </c>
      <c r="B1895" t="str">
        <f>"1073317533"</f>
        <v>1073317533</v>
      </c>
      <c r="C1895" t="str">
        <f>"207T00000X"</f>
        <v>207T00000X</v>
      </c>
      <c r="D1895" t="str">
        <f>"KHALEGHI                 MEHDI                    "</f>
        <v xml:space="preserve">KHALEGHI                 MEHDI                    </v>
      </c>
      <c r="E1895" t="str">
        <f>"MOBILE                    "</f>
        <v xml:space="preserve">MOBILE                    </v>
      </c>
      <c r="F1895" t="str">
        <f t="shared" si="65"/>
        <v>AL</v>
      </c>
    </row>
    <row r="1896" spans="1:6" x14ac:dyDescent="0.25">
      <c r="A1896" t="str">
        <f>"200024530"</f>
        <v>200024530</v>
      </c>
      <c r="B1896" t="str">
        <f>"1831622208"</f>
        <v>1831622208</v>
      </c>
      <c r="C1896" t="str">
        <f>"207VM0101X"</f>
        <v>207VM0101X</v>
      </c>
      <c r="D1896" t="str">
        <f>"PALADUGU                 RAJESH                   "</f>
        <v xml:space="preserve">PALADUGU                 RAJESH                   </v>
      </c>
      <c r="E1896" t="str">
        <f>"MOBILE                    "</f>
        <v xml:space="preserve">MOBILE                    </v>
      </c>
      <c r="F1896" t="str">
        <f t="shared" si="65"/>
        <v>AL</v>
      </c>
    </row>
    <row r="1897" spans="1:6" x14ac:dyDescent="0.25">
      <c r="A1897" t="str">
        <f>"200024532"</f>
        <v>200024532</v>
      </c>
      <c r="B1897" t="str">
        <f>"1710278973"</f>
        <v>1710278973</v>
      </c>
      <c r="C1897" t="str">
        <f>"2086S0120X"</f>
        <v>2086S0120X</v>
      </c>
      <c r="D1897" t="str">
        <f>"LIM-BEUTEL               IRENE        I           "</f>
        <v xml:space="preserve">LIM-BEUTEL               IRENE        I           </v>
      </c>
      <c r="E1897" t="str">
        <f>"MOBILE                    "</f>
        <v xml:space="preserve">MOBILE                    </v>
      </c>
      <c r="F1897" t="str">
        <f t="shared" si="65"/>
        <v>AL</v>
      </c>
    </row>
    <row r="1898" spans="1:6" x14ac:dyDescent="0.25">
      <c r="A1898" t="str">
        <f>"200024541"</f>
        <v>200024541</v>
      </c>
      <c r="B1898" t="str">
        <f>"1942565551"</f>
        <v>1942565551</v>
      </c>
      <c r="C1898" t="str">
        <f>"367500000X"</f>
        <v>367500000X</v>
      </c>
      <c r="D1898" t="str">
        <f>"KENT                     HEATHER                  "</f>
        <v xml:space="preserve">KENT                     HEATHER                  </v>
      </c>
      <c r="E1898" t="str">
        <f>"BIRMINGHAM                "</f>
        <v xml:space="preserve">BIRMINGHAM                </v>
      </c>
      <c r="F1898" t="str">
        <f t="shared" si="65"/>
        <v>AL</v>
      </c>
    </row>
    <row r="1899" spans="1:6" x14ac:dyDescent="0.25">
      <c r="A1899" t="str">
        <f>"200024561"</f>
        <v>200024561</v>
      </c>
      <c r="B1899" t="str">
        <f>"1770977035"</f>
        <v>1770977035</v>
      </c>
      <c r="C1899" t="str">
        <f>"207P00000X"</f>
        <v>207P00000X</v>
      </c>
      <c r="D1899" t="str">
        <f>"FERGUSON                 BRIAN                    "</f>
        <v xml:space="preserve">FERGUSON                 BRIAN                    </v>
      </c>
      <c r="E1899" t="str">
        <f>"BIRMINGHAM                "</f>
        <v xml:space="preserve">BIRMINGHAM                </v>
      </c>
      <c r="F1899" t="str">
        <f t="shared" si="65"/>
        <v>AL</v>
      </c>
    </row>
    <row r="1900" spans="1:6" x14ac:dyDescent="0.25">
      <c r="A1900" t="str">
        <f>"200024569"</f>
        <v>200024569</v>
      </c>
      <c r="B1900" t="str">
        <f>"1891149308"</f>
        <v>1891149308</v>
      </c>
      <c r="C1900" t="str">
        <f>"367500000X"</f>
        <v>367500000X</v>
      </c>
      <c r="D1900" t="str">
        <f>"WENDLAND                 KIMBERLY                 "</f>
        <v xml:space="preserve">WENDLAND                 KIMBERLY                 </v>
      </c>
      <c r="E1900" t="str">
        <f>"BIRMINGHAM                "</f>
        <v xml:space="preserve">BIRMINGHAM                </v>
      </c>
      <c r="F1900" t="str">
        <f t="shared" si="65"/>
        <v>AL</v>
      </c>
    </row>
    <row r="1901" spans="1:6" x14ac:dyDescent="0.25">
      <c r="A1901" t="str">
        <f>"200024571"</f>
        <v>200024571</v>
      </c>
      <c r="B1901" t="str">
        <f>"1285004382"</f>
        <v>1285004382</v>
      </c>
      <c r="C1901" t="str">
        <f>"363LA2200X"</f>
        <v>363LA2200X</v>
      </c>
      <c r="D1901" t="str">
        <f>"GALBRAITH                ASHLEY                   "</f>
        <v xml:space="preserve">GALBRAITH                ASHLEY                   </v>
      </c>
      <c r="E1901" t="str">
        <f>"MOBILE                    "</f>
        <v xml:space="preserve">MOBILE                    </v>
      </c>
      <c r="F1901" t="str">
        <f t="shared" si="65"/>
        <v>AL</v>
      </c>
    </row>
    <row r="1902" spans="1:6" x14ac:dyDescent="0.25">
      <c r="A1902" t="str">
        <f>"200024574"</f>
        <v>200024574</v>
      </c>
      <c r="B1902" t="str">
        <f>"1629864707"</f>
        <v>1629864707</v>
      </c>
      <c r="C1902" t="str">
        <f>"208000000X"</f>
        <v>208000000X</v>
      </c>
      <c r="D1902" t="str">
        <f>"VO                       QUYNH CHAU               "</f>
        <v xml:space="preserve">VO                       QUYNH CHAU               </v>
      </c>
      <c r="E1902" t="str">
        <f>"MOBILE                    "</f>
        <v xml:space="preserve">MOBILE                    </v>
      </c>
      <c r="F1902" t="str">
        <f t="shared" si="65"/>
        <v>AL</v>
      </c>
    </row>
    <row r="1903" spans="1:6" x14ac:dyDescent="0.25">
      <c r="A1903" t="str">
        <f>"200024586"</f>
        <v>200024586</v>
      </c>
      <c r="B1903" t="str">
        <f>"1538629811"</f>
        <v>1538629811</v>
      </c>
      <c r="C1903" t="str">
        <f>"208800000X"</f>
        <v>208800000X</v>
      </c>
      <c r="D1903" t="str">
        <f>"SHUMAKER                 LUKE                     "</f>
        <v xml:space="preserve">SHUMAKER                 LUKE                     </v>
      </c>
      <c r="E1903" t="str">
        <f>"BIRMINGHAM                "</f>
        <v xml:space="preserve">BIRMINGHAM                </v>
      </c>
      <c r="F1903" t="str">
        <f t="shared" si="65"/>
        <v>AL</v>
      </c>
    </row>
    <row r="1904" spans="1:6" x14ac:dyDescent="0.25">
      <c r="A1904" t="str">
        <f>"200024600"</f>
        <v>200024600</v>
      </c>
      <c r="B1904" t="str">
        <f>"1730583089"</f>
        <v>1730583089</v>
      </c>
      <c r="C1904" t="str">
        <f>"207RH0003X"</f>
        <v>207RH0003X</v>
      </c>
      <c r="D1904" t="str">
        <f>"BARNES                   MARTIN                   "</f>
        <v xml:space="preserve">BARNES                   MARTIN                   </v>
      </c>
      <c r="E1904" t="str">
        <f>"FAIRHOPE                  "</f>
        <v xml:space="preserve">FAIRHOPE                  </v>
      </c>
      <c r="F1904" t="str">
        <f t="shared" si="65"/>
        <v>AL</v>
      </c>
    </row>
    <row r="1905" spans="1:6" x14ac:dyDescent="0.25">
      <c r="A1905" t="str">
        <f>"200024602"</f>
        <v>200024602</v>
      </c>
      <c r="B1905" t="str">
        <f>"1629866975"</f>
        <v>1629866975</v>
      </c>
      <c r="C1905" t="str">
        <f>"208000000X"</f>
        <v>208000000X</v>
      </c>
      <c r="D1905" t="str">
        <f>"SHARMA                   SHRISTI                  "</f>
        <v xml:space="preserve">SHARMA                   SHRISTI                  </v>
      </c>
      <c r="E1905" t="str">
        <f>"MOBILE                    "</f>
        <v xml:space="preserve">MOBILE                    </v>
      </c>
      <c r="F1905" t="str">
        <f t="shared" si="65"/>
        <v>AL</v>
      </c>
    </row>
    <row r="1906" spans="1:6" x14ac:dyDescent="0.25">
      <c r="A1906" t="str">
        <f>"200024626"</f>
        <v>200024626</v>
      </c>
      <c r="B1906" t="str">
        <f>"1154131530"</f>
        <v>1154131530</v>
      </c>
      <c r="C1906" t="str">
        <f>"363LF0000X"</f>
        <v>363LF0000X</v>
      </c>
      <c r="D1906" t="str">
        <f>"WILLIAMS                 NATALIE                  "</f>
        <v xml:space="preserve">WILLIAMS                 NATALIE                  </v>
      </c>
      <c r="E1906" t="str">
        <f>"MOBILE                    "</f>
        <v xml:space="preserve">MOBILE                    </v>
      </c>
      <c r="F1906" t="str">
        <f t="shared" si="65"/>
        <v>AL</v>
      </c>
    </row>
    <row r="1907" spans="1:6" x14ac:dyDescent="0.25">
      <c r="A1907" t="str">
        <f>"200024643"</f>
        <v>200024643</v>
      </c>
      <c r="B1907" t="str">
        <f>"1952778789"</f>
        <v>1952778789</v>
      </c>
      <c r="C1907" t="str">
        <f>"363A00000X"</f>
        <v>363A00000X</v>
      </c>
      <c r="D1907" t="str">
        <f>"LARGUE                   JASON                    "</f>
        <v xml:space="preserve">LARGUE                   JASON                    </v>
      </c>
      <c r="E1907" t="str">
        <f>"MOBILE                    "</f>
        <v xml:space="preserve">MOBILE                    </v>
      </c>
      <c r="F1907" t="str">
        <f t="shared" si="65"/>
        <v>AL</v>
      </c>
    </row>
    <row r="1908" spans="1:6" x14ac:dyDescent="0.25">
      <c r="A1908" t="str">
        <f>"200024648"</f>
        <v>200024648</v>
      </c>
      <c r="B1908" t="str">
        <f>"1336684869"</f>
        <v>1336684869</v>
      </c>
      <c r="C1908" t="str">
        <f>"367500000X"</f>
        <v>367500000X</v>
      </c>
      <c r="D1908" t="str">
        <f>"REAVES                   MORGAN                   "</f>
        <v xml:space="preserve">REAVES                   MORGAN                   </v>
      </c>
      <c r="E1908" t="str">
        <f>"BIRMINGHAM                "</f>
        <v xml:space="preserve">BIRMINGHAM                </v>
      </c>
      <c r="F1908" t="str">
        <f t="shared" si="65"/>
        <v>AL</v>
      </c>
    </row>
    <row r="1909" spans="1:6" x14ac:dyDescent="0.25">
      <c r="A1909" t="str">
        <f>"200024649"</f>
        <v>200024649</v>
      </c>
      <c r="B1909" t="str">
        <f>"1215139274"</f>
        <v>1215139274</v>
      </c>
      <c r="C1909" t="str">
        <f>"2085R0202X"</f>
        <v>2085R0202X</v>
      </c>
      <c r="D1909" t="str">
        <f>"MOSSA-BASHA              MAHMUD                   "</f>
        <v xml:space="preserve">MOSSA-BASHA              MAHMUD                   </v>
      </c>
      <c r="E1909" t="str">
        <f>"BIRMINGHAM                "</f>
        <v xml:space="preserve">BIRMINGHAM                </v>
      </c>
      <c r="F1909" t="str">
        <f t="shared" si="65"/>
        <v>AL</v>
      </c>
    </row>
    <row r="1910" spans="1:6" x14ac:dyDescent="0.25">
      <c r="A1910" t="str">
        <f>"200024659"</f>
        <v>200024659</v>
      </c>
      <c r="B1910" t="str">
        <f>"1922390426"</f>
        <v>1922390426</v>
      </c>
      <c r="C1910" t="str">
        <f>"367500000X"</f>
        <v>367500000X</v>
      </c>
      <c r="D1910" t="str">
        <f>"AUSLEY                   HOPE                     "</f>
        <v xml:space="preserve">AUSLEY                   HOPE                     </v>
      </c>
      <c r="E1910" t="str">
        <f>"BIRMINGHAM                "</f>
        <v xml:space="preserve">BIRMINGHAM                </v>
      </c>
      <c r="F1910" t="str">
        <f t="shared" si="65"/>
        <v>AL</v>
      </c>
    </row>
    <row r="1911" spans="1:6" x14ac:dyDescent="0.25">
      <c r="A1911" t="str">
        <f>"200024661"</f>
        <v>200024661</v>
      </c>
      <c r="B1911" t="str">
        <f>"1093391609"</f>
        <v>1093391609</v>
      </c>
      <c r="C1911" t="str">
        <f>"207V00000X"</f>
        <v>207V00000X</v>
      </c>
      <c r="D1911" t="str">
        <f>"LEVINE                   RACHEL       I           "</f>
        <v xml:space="preserve">LEVINE                   RACHEL       I           </v>
      </c>
      <c r="E1911" t="str">
        <f>"MOBILE                    "</f>
        <v xml:space="preserve">MOBILE                    </v>
      </c>
      <c r="F1911" t="str">
        <f t="shared" si="65"/>
        <v>AL</v>
      </c>
    </row>
    <row r="1912" spans="1:6" x14ac:dyDescent="0.25">
      <c r="A1912" t="str">
        <f>"200024667"</f>
        <v>200024667</v>
      </c>
      <c r="B1912" t="str">
        <f>"1023066404"</f>
        <v>1023066404</v>
      </c>
      <c r="C1912" t="str">
        <f>"2085R0204X"</f>
        <v>2085R0204X</v>
      </c>
      <c r="D1912" t="str">
        <f>"PUTNAM                   SAMUEL       G           "</f>
        <v xml:space="preserve">PUTNAM                   SAMUEL       G           </v>
      </c>
      <c r="E1912" t="str">
        <f>"MOBILE                    "</f>
        <v xml:space="preserve">MOBILE                    </v>
      </c>
      <c r="F1912" t="str">
        <f t="shared" si="65"/>
        <v>AL</v>
      </c>
    </row>
    <row r="1913" spans="1:6" x14ac:dyDescent="0.25">
      <c r="A1913" t="str">
        <f>"200024668"</f>
        <v>200024668</v>
      </c>
      <c r="B1913" t="str">
        <f>"1972247153"</f>
        <v>1972247153</v>
      </c>
      <c r="C1913" t="str">
        <f>"367500000X"</f>
        <v>367500000X</v>
      </c>
      <c r="D1913" t="str">
        <f>"MENKE                    JOHN                     "</f>
        <v xml:space="preserve">MENKE                    JOHN                     </v>
      </c>
      <c r="E1913" t="str">
        <f>"BIRMINGHAM                "</f>
        <v xml:space="preserve">BIRMINGHAM                </v>
      </c>
      <c r="F1913" t="str">
        <f t="shared" si="65"/>
        <v>AL</v>
      </c>
    </row>
    <row r="1914" spans="1:6" x14ac:dyDescent="0.25">
      <c r="A1914" t="str">
        <f>"200024670"</f>
        <v>200024670</v>
      </c>
      <c r="B1914" t="str">
        <f>"1811578206"</f>
        <v>1811578206</v>
      </c>
      <c r="C1914" t="str">
        <f>"2084P0805X"</f>
        <v>2084P0805X</v>
      </c>
      <c r="D1914" t="str">
        <f>"BHATIA                   GAGANDEEP                "</f>
        <v xml:space="preserve">BHATIA                   GAGANDEEP                </v>
      </c>
      <c r="E1914" t="str">
        <f>"BIRMINGHAM                "</f>
        <v xml:space="preserve">BIRMINGHAM                </v>
      </c>
      <c r="F1914" t="str">
        <f t="shared" si="65"/>
        <v>AL</v>
      </c>
    </row>
    <row r="1915" spans="1:6" x14ac:dyDescent="0.25">
      <c r="A1915" t="str">
        <f>"200024716"</f>
        <v>200024716</v>
      </c>
      <c r="B1915" t="str">
        <f>"1003795659"</f>
        <v>1003795659</v>
      </c>
      <c r="C1915" t="str">
        <f>"363L00000X"</f>
        <v>363L00000X</v>
      </c>
      <c r="D1915" t="str">
        <f>"COLEMAN                  MAKENZIE                 "</f>
        <v xml:space="preserve">COLEMAN                  MAKENZIE                 </v>
      </c>
      <c r="E1915" t="str">
        <f>"BIRMINGHAM                "</f>
        <v xml:space="preserve">BIRMINGHAM                </v>
      </c>
      <c r="F1915" t="str">
        <f t="shared" si="65"/>
        <v>AL</v>
      </c>
    </row>
    <row r="1916" spans="1:6" x14ac:dyDescent="0.25">
      <c r="A1916" t="str">
        <f>"200024720"</f>
        <v>200024720</v>
      </c>
      <c r="B1916" t="str">
        <f>"1053653386"</f>
        <v>1053653386</v>
      </c>
      <c r="C1916" t="str">
        <f>"207X00000X"</f>
        <v>207X00000X</v>
      </c>
      <c r="D1916" t="str">
        <f>"SCOTTING                 OLIVER                   "</f>
        <v xml:space="preserve">SCOTTING                 OLIVER                   </v>
      </c>
      <c r="E1916" t="str">
        <f>"BIRMINGHAM                "</f>
        <v xml:space="preserve">BIRMINGHAM                </v>
      </c>
      <c r="F1916" t="str">
        <f t="shared" si="65"/>
        <v>AL</v>
      </c>
    </row>
    <row r="1917" spans="1:6" x14ac:dyDescent="0.25">
      <c r="A1917" t="str">
        <f>"200024788"</f>
        <v>200024788</v>
      </c>
      <c r="B1917" t="str">
        <f>"1750110557"</f>
        <v>1750110557</v>
      </c>
      <c r="C1917" t="str">
        <f>"363A00000X"</f>
        <v>363A00000X</v>
      </c>
      <c r="D1917" t="str">
        <f>"WATSON                   GEORGE                   "</f>
        <v xml:space="preserve">WATSON                   GEORGE                   </v>
      </c>
      <c r="E1917" t="str">
        <f>"BIRMINGHAM                "</f>
        <v xml:space="preserve">BIRMINGHAM                </v>
      </c>
      <c r="F1917" t="str">
        <f t="shared" si="65"/>
        <v>AL</v>
      </c>
    </row>
    <row r="1918" spans="1:6" x14ac:dyDescent="0.25">
      <c r="A1918" t="str">
        <f>"200024825"</f>
        <v>200024825</v>
      </c>
      <c r="B1918" t="str">
        <f>"1942176037"</f>
        <v>1942176037</v>
      </c>
      <c r="C1918" t="str">
        <f>"363LF0000X"</f>
        <v>363LF0000X</v>
      </c>
      <c r="D1918" t="str">
        <f>"WILSON                   SAVANNAH     J           "</f>
        <v xml:space="preserve">WILSON                   SAVANNAH     J           </v>
      </c>
      <c r="E1918" t="str">
        <f>"MOBILE                    "</f>
        <v xml:space="preserve">MOBILE                    </v>
      </c>
      <c r="F1918" t="str">
        <f t="shared" si="65"/>
        <v>AL</v>
      </c>
    </row>
    <row r="1919" spans="1:6" x14ac:dyDescent="0.25">
      <c r="A1919" t="str">
        <f>"200024827"</f>
        <v>200024827</v>
      </c>
      <c r="B1919" t="str">
        <f>"1699503730"</f>
        <v>1699503730</v>
      </c>
      <c r="C1919" t="str">
        <f>"363A00000X"</f>
        <v>363A00000X</v>
      </c>
      <c r="D1919" t="str">
        <f>"VALENTINE                ELIZABETH                "</f>
        <v xml:space="preserve">VALENTINE                ELIZABETH                </v>
      </c>
      <c r="E1919" t="str">
        <f>"BIRMINGHAM                "</f>
        <v xml:space="preserve">BIRMINGHAM                </v>
      </c>
      <c r="F1919" t="str">
        <f t="shared" si="65"/>
        <v>AL</v>
      </c>
    </row>
    <row r="1920" spans="1:6" x14ac:dyDescent="0.25">
      <c r="A1920" t="str">
        <f>"200024830"</f>
        <v>200024830</v>
      </c>
      <c r="B1920" t="str">
        <f>"1932950201"</f>
        <v>1932950201</v>
      </c>
      <c r="C1920" t="str">
        <f>"2085R0202X"</f>
        <v>2085R0202X</v>
      </c>
      <c r="D1920" t="str">
        <f>"AWAN                     SAAD         M           "</f>
        <v xml:space="preserve">AWAN                     SAAD         M           </v>
      </c>
      <c r="E1920" t="str">
        <f>"MOBILE                    "</f>
        <v xml:space="preserve">MOBILE                    </v>
      </c>
      <c r="F1920" t="str">
        <f t="shared" si="65"/>
        <v>AL</v>
      </c>
    </row>
    <row r="1921" spans="1:6" x14ac:dyDescent="0.25">
      <c r="A1921" t="str">
        <f>"200024835"</f>
        <v>200024835</v>
      </c>
      <c r="B1921" t="str">
        <f>"1821737214"</f>
        <v>1821737214</v>
      </c>
      <c r="C1921" t="str">
        <f>"207RG0100X"</f>
        <v>207RG0100X</v>
      </c>
      <c r="D1921" t="str">
        <f>"CRONK                    KAITLYN                  "</f>
        <v xml:space="preserve">CRONK                    KAITLYN                  </v>
      </c>
      <c r="E1921" t="str">
        <f>"MOBILE                    "</f>
        <v xml:space="preserve">MOBILE                    </v>
      </c>
      <c r="F1921" t="str">
        <f t="shared" si="65"/>
        <v>AL</v>
      </c>
    </row>
    <row r="1922" spans="1:6" x14ac:dyDescent="0.25">
      <c r="A1922" t="str">
        <f>"200024857"</f>
        <v>200024857</v>
      </c>
      <c r="B1922" t="str">
        <f>"1841684636"</f>
        <v>1841684636</v>
      </c>
      <c r="C1922" t="str">
        <f>"363LP0200X"</f>
        <v>363LP0200X</v>
      </c>
      <c r="D1922" t="str">
        <f>"MCCOY                    MIA          P           "</f>
        <v xml:space="preserve">MCCOY                    MIA          P           </v>
      </c>
      <c r="E1922" t="str">
        <f>"MOBILE                    "</f>
        <v xml:space="preserve">MOBILE                    </v>
      </c>
      <c r="F1922" t="str">
        <f t="shared" si="65"/>
        <v>AL</v>
      </c>
    </row>
    <row r="1923" spans="1:6" x14ac:dyDescent="0.25">
      <c r="A1923" t="str">
        <f>"200024867"</f>
        <v>200024867</v>
      </c>
      <c r="B1923" t="str">
        <f>"1124816426"</f>
        <v>1124816426</v>
      </c>
      <c r="C1923" t="str">
        <f>"207R00000X"</f>
        <v>207R00000X</v>
      </c>
      <c r="D1923" t="str">
        <f>"IBRAHIM                  REEM                     "</f>
        <v xml:space="preserve">IBRAHIM                  REEM                     </v>
      </c>
      <c r="E1923" t="str">
        <f>"MOBILE                    "</f>
        <v xml:space="preserve">MOBILE                    </v>
      </c>
      <c r="F1923" t="str">
        <f t="shared" si="65"/>
        <v>AL</v>
      </c>
    </row>
    <row r="1924" spans="1:6" x14ac:dyDescent="0.25">
      <c r="A1924" t="str">
        <f>"200024879"</f>
        <v>200024879</v>
      </c>
      <c r="B1924" t="str">
        <f>"1437317849"</f>
        <v>1437317849</v>
      </c>
      <c r="C1924" t="str">
        <f>"207RI0200X"</f>
        <v>207RI0200X</v>
      </c>
      <c r="D1924" t="str">
        <f>"HUGHES                   HEATHER                  "</f>
        <v xml:space="preserve">HUGHES                   HEATHER                  </v>
      </c>
      <c r="E1924" t="str">
        <f>"MOBILE                    "</f>
        <v xml:space="preserve">MOBILE                    </v>
      </c>
      <c r="F1924" t="str">
        <f t="shared" si="65"/>
        <v>AL</v>
      </c>
    </row>
    <row r="1925" spans="1:6" x14ac:dyDescent="0.25">
      <c r="A1925" t="str">
        <f>"200024880"</f>
        <v>200024880</v>
      </c>
      <c r="B1925" t="str">
        <f>"1972130185"</f>
        <v>1972130185</v>
      </c>
      <c r="C1925" t="str">
        <f>"208600000X"</f>
        <v>208600000X</v>
      </c>
      <c r="D1925" t="str">
        <f>"GAGNE                    ELIOT                    "</f>
        <v xml:space="preserve">GAGNE                    ELIOT                    </v>
      </c>
      <c r="E1925" t="str">
        <f>"BIRMINGHAM                "</f>
        <v xml:space="preserve">BIRMINGHAM                </v>
      </c>
      <c r="F1925" t="str">
        <f t="shared" si="65"/>
        <v>AL</v>
      </c>
    </row>
    <row r="1926" spans="1:6" x14ac:dyDescent="0.25">
      <c r="A1926" t="str">
        <f>"200024890"</f>
        <v>200024890</v>
      </c>
      <c r="B1926" t="str">
        <f>"1730752361"</f>
        <v>1730752361</v>
      </c>
      <c r="C1926" t="str">
        <f>"207RN0300X"</f>
        <v>207RN0300X</v>
      </c>
      <c r="D1926" t="str">
        <f>"SINHA                    URSHITA                  "</f>
        <v xml:space="preserve">SINHA                    URSHITA                  </v>
      </c>
      <c r="E1926" t="str">
        <f>"MOBILE                    "</f>
        <v xml:space="preserve">MOBILE                    </v>
      </c>
      <c r="F1926" t="str">
        <f t="shared" si="65"/>
        <v>AL</v>
      </c>
    </row>
    <row r="1927" spans="1:6" x14ac:dyDescent="0.25">
      <c r="A1927" t="str">
        <f>"200024892"</f>
        <v>200024892</v>
      </c>
      <c r="B1927" t="str">
        <f>"1245866268"</f>
        <v>1245866268</v>
      </c>
      <c r="C1927" t="str">
        <f>"363L00000X"</f>
        <v>363L00000X</v>
      </c>
      <c r="D1927" t="str">
        <f>"MOORE                    KELSEY                   "</f>
        <v xml:space="preserve">MOORE                    KELSEY                   </v>
      </c>
      <c r="E1927" t="str">
        <f>"BIRMINGHAM                "</f>
        <v xml:space="preserve">BIRMINGHAM                </v>
      </c>
      <c r="F1927" t="str">
        <f t="shared" ref="F1927:F1990" si="66">"AL"</f>
        <v>AL</v>
      </c>
    </row>
    <row r="1928" spans="1:6" x14ac:dyDescent="0.25">
      <c r="A1928" t="str">
        <f>"200024900"</f>
        <v>200024900</v>
      </c>
      <c r="B1928" t="str">
        <f>"1952690950"</f>
        <v>1952690950</v>
      </c>
      <c r="C1928" t="str">
        <f>"207P00000X"</f>
        <v>207P00000X</v>
      </c>
      <c r="D1928" t="str">
        <f>"COOLEY                   CHRISTINA                "</f>
        <v xml:space="preserve">COOLEY                   CHRISTINA                </v>
      </c>
      <c r="E1928" t="str">
        <f>"BIRMINGHAM                "</f>
        <v xml:space="preserve">BIRMINGHAM                </v>
      </c>
      <c r="F1928" t="str">
        <f t="shared" si="66"/>
        <v>AL</v>
      </c>
    </row>
    <row r="1929" spans="1:6" x14ac:dyDescent="0.25">
      <c r="A1929" t="str">
        <f>"200024926"</f>
        <v>200024926</v>
      </c>
      <c r="B1929" t="str">
        <f>"1902124217"</f>
        <v>1902124217</v>
      </c>
      <c r="C1929" t="str">
        <f>"208600000X"</f>
        <v>208600000X</v>
      </c>
      <c r="D1929" t="str">
        <f>"TANNER                   LAUREN                   "</f>
        <v xml:space="preserve">TANNER                   LAUREN                   </v>
      </c>
      <c r="E1929" t="str">
        <f>"BIRMINGHAM                "</f>
        <v xml:space="preserve">BIRMINGHAM                </v>
      </c>
      <c r="F1929" t="str">
        <f t="shared" si="66"/>
        <v>AL</v>
      </c>
    </row>
    <row r="1930" spans="1:6" x14ac:dyDescent="0.25">
      <c r="A1930" t="str">
        <f>"200024935"</f>
        <v>200024935</v>
      </c>
      <c r="B1930" t="str">
        <f>"1235318155"</f>
        <v>1235318155</v>
      </c>
      <c r="C1930" t="str">
        <f>"363A00000X"</f>
        <v>363A00000X</v>
      </c>
      <c r="D1930" t="str">
        <f>"MINTON                   BONNIE                   "</f>
        <v xml:space="preserve">MINTON                   BONNIE                   </v>
      </c>
      <c r="E1930" t="str">
        <f>"MOBILE                    "</f>
        <v xml:space="preserve">MOBILE                    </v>
      </c>
      <c r="F1930" t="str">
        <f t="shared" si="66"/>
        <v>AL</v>
      </c>
    </row>
    <row r="1931" spans="1:6" x14ac:dyDescent="0.25">
      <c r="A1931" t="str">
        <f>"200024950"</f>
        <v>200024950</v>
      </c>
      <c r="B1931" t="str">
        <f>"1982858197"</f>
        <v>1982858197</v>
      </c>
      <c r="C1931" t="str">
        <f>"207VX0201X"</f>
        <v>207VX0201X</v>
      </c>
      <c r="D1931" t="str">
        <f>"WRIGHT                   ASHLEY                   "</f>
        <v xml:space="preserve">WRIGHT                   ASHLEY                   </v>
      </c>
      <c r="E1931" t="str">
        <f>"BIRMINGHAM                "</f>
        <v xml:space="preserve">BIRMINGHAM                </v>
      </c>
      <c r="F1931" t="str">
        <f t="shared" si="66"/>
        <v>AL</v>
      </c>
    </row>
    <row r="1932" spans="1:6" x14ac:dyDescent="0.25">
      <c r="A1932" t="str">
        <f>"200024981"</f>
        <v>200024981</v>
      </c>
      <c r="B1932" t="str">
        <f>"1780975680"</f>
        <v>1780975680</v>
      </c>
      <c r="C1932" t="str">
        <f>"363LA2100X"</f>
        <v>363LA2100X</v>
      </c>
      <c r="D1932" t="str">
        <f>"THOMAS                   ASHLEY       F           "</f>
        <v xml:space="preserve">THOMAS                   ASHLEY       F           </v>
      </c>
      <c r="E1932" t="str">
        <f>"MOBILE                    "</f>
        <v xml:space="preserve">MOBILE                    </v>
      </c>
      <c r="F1932" t="str">
        <f t="shared" si="66"/>
        <v>AL</v>
      </c>
    </row>
    <row r="1933" spans="1:6" x14ac:dyDescent="0.25">
      <c r="A1933" t="str">
        <f>"200024984"</f>
        <v>200024984</v>
      </c>
      <c r="B1933" t="str">
        <f>"1083402150"</f>
        <v>1083402150</v>
      </c>
      <c r="C1933" t="str">
        <f>"207R00000X"</f>
        <v>207R00000X</v>
      </c>
      <c r="D1933" t="str">
        <f>"SIDAHMED                 GAFFER                   "</f>
        <v xml:space="preserve">SIDAHMED                 GAFFER                   </v>
      </c>
      <c r="E1933" t="str">
        <f>"MOBILE                    "</f>
        <v xml:space="preserve">MOBILE                    </v>
      </c>
      <c r="F1933" t="str">
        <f t="shared" si="66"/>
        <v>AL</v>
      </c>
    </row>
    <row r="1934" spans="1:6" x14ac:dyDescent="0.25">
      <c r="A1934" t="str">
        <f>"200024989"</f>
        <v>200024989</v>
      </c>
      <c r="B1934" t="str">
        <f>"1497045587"</f>
        <v>1497045587</v>
      </c>
      <c r="C1934" t="str">
        <f>"208000000X"</f>
        <v>208000000X</v>
      </c>
      <c r="D1934" t="str">
        <f>"RELYEA ASHLEY            HEATHER                  "</f>
        <v xml:space="preserve">RELYEA ASHLEY            HEATHER                  </v>
      </c>
      <c r="E1934" t="str">
        <f>"BIRMINGHAM                "</f>
        <v xml:space="preserve">BIRMINGHAM                </v>
      </c>
      <c r="F1934" t="str">
        <f t="shared" si="66"/>
        <v>AL</v>
      </c>
    </row>
    <row r="1935" spans="1:6" x14ac:dyDescent="0.25">
      <c r="A1935" t="str">
        <f>"200024990"</f>
        <v>200024990</v>
      </c>
      <c r="B1935" t="str">
        <f>"1942427810"</f>
        <v>1942427810</v>
      </c>
      <c r="C1935" t="str">
        <f>"207V00000X"</f>
        <v>207V00000X</v>
      </c>
      <c r="D1935" t="str">
        <f>"LENZ                     CARA                     "</f>
        <v xml:space="preserve">LENZ                     CARA                     </v>
      </c>
      <c r="E1935" t="str">
        <f>"MOBILE                    "</f>
        <v xml:space="preserve">MOBILE                    </v>
      </c>
      <c r="F1935" t="str">
        <f t="shared" si="66"/>
        <v>AL</v>
      </c>
    </row>
    <row r="1936" spans="1:6" x14ac:dyDescent="0.25">
      <c r="A1936" t="str">
        <f>"200025012"</f>
        <v>200025012</v>
      </c>
      <c r="B1936" t="str">
        <f>"1396581120"</f>
        <v>1396581120</v>
      </c>
      <c r="C1936" t="str">
        <f>"363LF0000X"</f>
        <v>363LF0000X</v>
      </c>
      <c r="D1936" t="str">
        <f>"GOWERS                   WESLEY                   "</f>
        <v xml:space="preserve">GOWERS                   WESLEY                   </v>
      </c>
      <c r="E1936" t="str">
        <f>"MOBILE                    "</f>
        <v xml:space="preserve">MOBILE                    </v>
      </c>
      <c r="F1936" t="str">
        <f t="shared" si="66"/>
        <v>AL</v>
      </c>
    </row>
    <row r="1937" spans="1:6" x14ac:dyDescent="0.25">
      <c r="A1937" t="str">
        <f>"200025020"</f>
        <v>200025020</v>
      </c>
      <c r="B1937" t="str">
        <f>"1629216361"</f>
        <v>1629216361</v>
      </c>
      <c r="C1937" t="str">
        <f>"207VE0102X"</f>
        <v>207VE0102X</v>
      </c>
      <c r="D1937" t="str">
        <f>"LANGAN                   KELLY                    "</f>
        <v xml:space="preserve">LANGAN                   KELLY                    </v>
      </c>
      <c r="E1937" t="str">
        <f>"BIRMINGHAM                "</f>
        <v xml:space="preserve">BIRMINGHAM                </v>
      </c>
      <c r="F1937" t="str">
        <f t="shared" si="66"/>
        <v>AL</v>
      </c>
    </row>
    <row r="1938" spans="1:6" x14ac:dyDescent="0.25">
      <c r="A1938" t="str">
        <f>"200025064"</f>
        <v>200025064</v>
      </c>
      <c r="B1938" t="str">
        <f>"1356100424"</f>
        <v>1356100424</v>
      </c>
      <c r="C1938" t="str">
        <f>"207R00000X"</f>
        <v>207R00000X</v>
      </c>
      <c r="D1938" t="str">
        <f>"KASAN                    FARRAH                   "</f>
        <v xml:space="preserve">KASAN                    FARRAH                   </v>
      </c>
      <c r="E1938" t="str">
        <f>"MOBILE                    "</f>
        <v xml:space="preserve">MOBILE                    </v>
      </c>
      <c r="F1938" t="str">
        <f t="shared" si="66"/>
        <v>AL</v>
      </c>
    </row>
    <row r="1939" spans="1:6" x14ac:dyDescent="0.25">
      <c r="A1939" t="str">
        <f>"200025107"</f>
        <v>200025107</v>
      </c>
      <c r="B1939" t="str">
        <f>"1407548373"</f>
        <v>1407548373</v>
      </c>
      <c r="C1939" t="str">
        <f>"363A00000X"</f>
        <v>363A00000X</v>
      </c>
      <c r="D1939" t="str">
        <f>"DINGA                    ALEXIS                   "</f>
        <v xml:space="preserve">DINGA                    ALEXIS                   </v>
      </c>
      <c r="E1939" t="str">
        <f>"BIRMINGHAM                "</f>
        <v xml:space="preserve">BIRMINGHAM                </v>
      </c>
      <c r="F1939" t="str">
        <f t="shared" si="66"/>
        <v>AL</v>
      </c>
    </row>
    <row r="1940" spans="1:6" x14ac:dyDescent="0.25">
      <c r="A1940" t="str">
        <f>"200025122"</f>
        <v>200025122</v>
      </c>
      <c r="B1940" t="str">
        <f>"1790270627"</f>
        <v>1790270627</v>
      </c>
      <c r="C1940" t="str">
        <f>"208100000X"</f>
        <v>208100000X</v>
      </c>
      <c r="D1940" t="str">
        <f>"SHARMA                   RADHIKA                  "</f>
        <v xml:space="preserve">SHARMA                   RADHIKA                  </v>
      </c>
      <c r="E1940" t="str">
        <f>"BIRMINGHAM                "</f>
        <v xml:space="preserve">BIRMINGHAM                </v>
      </c>
      <c r="F1940" t="str">
        <f t="shared" si="66"/>
        <v>AL</v>
      </c>
    </row>
    <row r="1941" spans="1:6" x14ac:dyDescent="0.25">
      <c r="A1941" t="str">
        <f>"200025127"</f>
        <v>200025127</v>
      </c>
      <c r="B1941" t="str">
        <f>"1700345469"</f>
        <v>1700345469</v>
      </c>
      <c r="C1941" t="str">
        <f>"363A00000X"</f>
        <v>363A00000X</v>
      </c>
      <c r="D1941" t="str">
        <f>"GOODWIN                  RACHEL                   "</f>
        <v xml:space="preserve">GOODWIN                  RACHEL                   </v>
      </c>
      <c r="E1941" t="str">
        <f>"BIRMINGHAM                "</f>
        <v xml:space="preserve">BIRMINGHAM                </v>
      </c>
      <c r="F1941" t="str">
        <f t="shared" si="66"/>
        <v>AL</v>
      </c>
    </row>
    <row r="1942" spans="1:6" x14ac:dyDescent="0.25">
      <c r="A1942" t="str">
        <f>"200025128"</f>
        <v>200025128</v>
      </c>
      <c r="B1942" t="str">
        <f>"1285167288"</f>
        <v>1285167288</v>
      </c>
      <c r="C1942" t="str">
        <f>"208600000X"</f>
        <v>208600000X</v>
      </c>
      <c r="D1942" t="str">
        <f>"GLEASON                  LAUREN                   "</f>
        <v xml:space="preserve">GLEASON                  LAUREN                   </v>
      </c>
      <c r="E1942" t="str">
        <f>"BIRMINGHAM                "</f>
        <v xml:space="preserve">BIRMINGHAM                </v>
      </c>
      <c r="F1942" t="str">
        <f t="shared" si="66"/>
        <v>AL</v>
      </c>
    </row>
    <row r="1943" spans="1:6" x14ac:dyDescent="0.25">
      <c r="A1943" t="str">
        <f>"200025134"</f>
        <v>200025134</v>
      </c>
      <c r="B1943" t="str">
        <f>"1457104895"</f>
        <v>1457104895</v>
      </c>
      <c r="C1943" t="str">
        <f>"363L00000X"</f>
        <v>363L00000X</v>
      </c>
      <c r="D1943" t="str">
        <f>"SNOW                     MICHAEL                  "</f>
        <v xml:space="preserve">SNOW                     MICHAEL                  </v>
      </c>
      <c r="E1943" t="str">
        <f>"BIRMINGHAM                "</f>
        <v xml:space="preserve">BIRMINGHAM                </v>
      </c>
      <c r="F1943" t="str">
        <f t="shared" si="66"/>
        <v>AL</v>
      </c>
    </row>
    <row r="1944" spans="1:6" x14ac:dyDescent="0.25">
      <c r="A1944" t="str">
        <f>"200025135"</f>
        <v>200025135</v>
      </c>
      <c r="B1944" t="str">
        <f>"1578366381"</f>
        <v>1578366381</v>
      </c>
      <c r="C1944" t="str">
        <f>"207P00000X"</f>
        <v>207P00000X</v>
      </c>
      <c r="D1944" t="str">
        <f>"CURRY                    STEPHEN                  "</f>
        <v xml:space="preserve">CURRY                    STEPHEN                  </v>
      </c>
      <c r="E1944" t="str">
        <f>"MOBILE                    "</f>
        <v xml:space="preserve">MOBILE                    </v>
      </c>
      <c r="F1944" t="str">
        <f t="shared" si="66"/>
        <v>AL</v>
      </c>
    </row>
    <row r="1945" spans="1:6" x14ac:dyDescent="0.25">
      <c r="A1945" t="str">
        <f>"200025148"</f>
        <v>200025148</v>
      </c>
      <c r="B1945" t="str">
        <f>"1639118169"</f>
        <v>1639118169</v>
      </c>
      <c r="C1945" t="str">
        <f>"208G00000X"</f>
        <v>208G00000X</v>
      </c>
      <c r="D1945" t="str">
        <f>"HARLAN                   JOHN                     "</f>
        <v xml:space="preserve">HARLAN                   JOHN                     </v>
      </c>
      <c r="E1945" t="str">
        <f>"FLORENCE                  "</f>
        <v xml:space="preserve">FLORENCE                  </v>
      </c>
      <c r="F1945" t="str">
        <f t="shared" si="66"/>
        <v>AL</v>
      </c>
    </row>
    <row r="1946" spans="1:6" x14ac:dyDescent="0.25">
      <c r="A1946" t="str">
        <f>"200025149"</f>
        <v>200025149</v>
      </c>
      <c r="B1946" t="str">
        <f>"1730751926"</f>
        <v>1730751926</v>
      </c>
      <c r="C1946" t="str">
        <f>"363LF0000X"</f>
        <v>363LF0000X</v>
      </c>
      <c r="D1946" t="str">
        <f>"MONTGOMERY               ANDREW                   "</f>
        <v xml:space="preserve">MONTGOMERY               ANDREW                   </v>
      </c>
      <c r="E1946" t="str">
        <f>"FOLEY                     "</f>
        <v xml:space="preserve">FOLEY                     </v>
      </c>
      <c r="F1946" t="str">
        <f t="shared" si="66"/>
        <v>AL</v>
      </c>
    </row>
    <row r="1947" spans="1:6" x14ac:dyDescent="0.25">
      <c r="A1947" t="str">
        <f>"200025150"</f>
        <v>200025150</v>
      </c>
      <c r="B1947" t="str">
        <f>"1952335234"</f>
        <v>1952335234</v>
      </c>
      <c r="C1947" t="str">
        <f>"208100000X"</f>
        <v>208100000X</v>
      </c>
      <c r="D1947" t="str">
        <f>"NGUYEN                   VU                       "</f>
        <v xml:space="preserve">NGUYEN                   VU                       </v>
      </c>
      <c r="E1947" t="str">
        <f>"BIRMINGHAM                "</f>
        <v xml:space="preserve">BIRMINGHAM                </v>
      </c>
      <c r="F1947" t="str">
        <f t="shared" si="66"/>
        <v>AL</v>
      </c>
    </row>
    <row r="1948" spans="1:6" x14ac:dyDescent="0.25">
      <c r="A1948" t="str">
        <f>"200025151"</f>
        <v>200025151</v>
      </c>
      <c r="B1948" t="str">
        <f>"1679580146"</f>
        <v>1679580146</v>
      </c>
      <c r="C1948" t="str">
        <f>"208100000X"</f>
        <v>208100000X</v>
      </c>
      <c r="D1948" t="str">
        <f>"ZHOU                     XIAOHUA                  "</f>
        <v xml:space="preserve">ZHOU                     XIAOHUA                  </v>
      </c>
      <c r="E1948" t="str">
        <f>"BIRMINGHAM                "</f>
        <v xml:space="preserve">BIRMINGHAM                </v>
      </c>
      <c r="F1948" t="str">
        <f t="shared" si="66"/>
        <v>AL</v>
      </c>
    </row>
    <row r="1949" spans="1:6" x14ac:dyDescent="0.25">
      <c r="A1949" t="str">
        <f>"200025152"</f>
        <v>200025152</v>
      </c>
      <c r="B1949" t="str">
        <f>"1134169733"</f>
        <v>1134169733</v>
      </c>
      <c r="C1949" t="str">
        <f>"208100000X"</f>
        <v>208100000X</v>
      </c>
      <c r="D1949" t="str">
        <f>"BRUNNER                  ROBERT                   "</f>
        <v xml:space="preserve">BRUNNER                  ROBERT                   </v>
      </c>
      <c r="E1949" t="str">
        <f>"BIRMINGHAM                "</f>
        <v xml:space="preserve">BIRMINGHAM                </v>
      </c>
      <c r="F1949" t="str">
        <f t="shared" si="66"/>
        <v>AL</v>
      </c>
    </row>
    <row r="1950" spans="1:6" x14ac:dyDescent="0.25">
      <c r="A1950" t="str">
        <f>"200025179"</f>
        <v>200025179</v>
      </c>
      <c r="B1950" t="str">
        <f>"1538149166"</f>
        <v>1538149166</v>
      </c>
      <c r="C1950" t="str">
        <f>"363A00000X"</f>
        <v>363A00000X</v>
      </c>
      <c r="D1950" t="str">
        <f>"SIMMONS                  LEONARD                  "</f>
        <v xml:space="preserve">SIMMONS                  LEONARD                  </v>
      </c>
      <c r="E1950" t="str">
        <f>"FOLEY                     "</f>
        <v xml:space="preserve">FOLEY                     </v>
      </c>
      <c r="F1950" t="str">
        <f t="shared" si="66"/>
        <v>AL</v>
      </c>
    </row>
    <row r="1951" spans="1:6" x14ac:dyDescent="0.25">
      <c r="A1951" t="str">
        <f>"200025180"</f>
        <v>200025180</v>
      </c>
      <c r="B1951" t="str">
        <f>"1548550924"</f>
        <v>1548550924</v>
      </c>
      <c r="C1951" t="str">
        <f>"363LF0000X"</f>
        <v>363LF0000X</v>
      </c>
      <c r="D1951" t="str">
        <f>"TRAMMEL                  PAMELA                   "</f>
        <v xml:space="preserve">TRAMMEL                  PAMELA                   </v>
      </c>
      <c r="E1951" t="str">
        <f>"FOLEY                     "</f>
        <v xml:space="preserve">FOLEY                     </v>
      </c>
      <c r="F1951" t="str">
        <f t="shared" si="66"/>
        <v>AL</v>
      </c>
    </row>
    <row r="1952" spans="1:6" x14ac:dyDescent="0.25">
      <c r="A1952" t="str">
        <f>"200025186"</f>
        <v>200025186</v>
      </c>
      <c r="B1952" t="str">
        <f>"1104688209"</f>
        <v>1104688209</v>
      </c>
      <c r="C1952" t="str">
        <f>"363LF0000X"</f>
        <v>363LF0000X</v>
      </c>
      <c r="D1952" t="str">
        <f>"RATCLIFF                 AMBER                    "</f>
        <v xml:space="preserve">RATCLIFF                 AMBER                    </v>
      </c>
      <c r="E1952" t="str">
        <f>"FOLEY                     "</f>
        <v xml:space="preserve">FOLEY                     </v>
      </c>
      <c r="F1952" t="str">
        <f t="shared" si="66"/>
        <v>AL</v>
      </c>
    </row>
    <row r="1953" spans="1:6" x14ac:dyDescent="0.25">
      <c r="A1953" t="str">
        <f>"200025220"</f>
        <v>200025220</v>
      </c>
      <c r="B1953" t="str">
        <f>"1700765526"</f>
        <v>1700765526</v>
      </c>
      <c r="C1953" t="str">
        <f>"363LA2100X"</f>
        <v>363LA2100X</v>
      </c>
      <c r="D1953" t="str">
        <f>"RATLIFF                  DANIELLE                 "</f>
        <v xml:space="preserve">RATLIFF                  DANIELLE                 </v>
      </c>
      <c r="E1953" t="str">
        <f>"BIRMINGHAM                "</f>
        <v xml:space="preserve">BIRMINGHAM                </v>
      </c>
      <c r="F1953" t="str">
        <f t="shared" si="66"/>
        <v>AL</v>
      </c>
    </row>
    <row r="1954" spans="1:6" x14ac:dyDescent="0.25">
      <c r="A1954" t="str">
        <f>"200025265"</f>
        <v>200025265</v>
      </c>
      <c r="B1954" t="str">
        <f>"1912521444"</f>
        <v>1912521444</v>
      </c>
      <c r="C1954" t="str">
        <f>"363AM0700X"</f>
        <v>363AM0700X</v>
      </c>
      <c r="D1954" t="str">
        <f>"WALTERS                  CHARLES                  "</f>
        <v xml:space="preserve">WALTERS                  CHARLES                  </v>
      </c>
      <c r="E1954" t="str">
        <f>"FOLEY                     "</f>
        <v xml:space="preserve">FOLEY                     </v>
      </c>
      <c r="F1954" t="str">
        <f t="shared" si="66"/>
        <v>AL</v>
      </c>
    </row>
    <row r="1955" spans="1:6" x14ac:dyDescent="0.25">
      <c r="A1955" t="str">
        <f>"200025276"</f>
        <v>200025276</v>
      </c>
      <c r="B1955" t="str">
        <f>"1255993358"</f>
        <v>1255993358</v>
      </c>
      <c r="C1955" t="str">
        <f>"207RI0200X"</f>
        <v>207RI0200X</v>
      </c>
      <c r="D1955" t="str">
        <f>"BETANCOURTH              ADRIANA                  "</f>
        <v xml:space="preserve">BETANCOURTH              ADRIANA                  </v>
      </c>
      <c r="E1955" t="str">
        <f>"MOBILE                    "</f>
        <v xml:space="preserve">MOBILE                    </v>
      </c>
      <c r="F1955" t="str">
        <f t="shared" si="66"/>
        <v>AL</v>
      </c>
    </row>
    <row r="1956" spans="1:6" x14ac:dyDescent="0.25">
      <c r="A1956" t="str">
        <f>"200025278"</f>
        <v>200025278</v>
      </c>
      <c r="B1956" t="str">
        <f>"1306713375"</f>
        <v>1306713375</v>
      </c>
      <c r="C1956" t="str">
        <f>"363LF0000X"</f>
        <v>363LF0000X</v>
      </c>
      <c r="D1956" t="str">
        <f>"SMITH                    DANIELLE     N           "</f>
        <v xml:space="preserve">SMITH                    DANIELLE     N           </v>
      </c>
      <c r="E1956" t="str">
        <f>"MOBILE                    "</f>
        <v xml:space="preserve">MOBILE                    </v>
      </c>
      <c r="F1956" t="str">
        <f t="shared" si="66"/>
        <v>AL</v>
      </c>
    </row>
    <row r="1957" spans="1:6" x14ac:dyDescent="0.25">
      <c r="A1957" t="str">
        <f>"200025283"</f>
        <v>200025283</v>
      </c>
      <c r="B1957" t="str">
        <f>"1023846144"</f>
        <v>1023846144</v>
      </c>
      <c r="C1957" t="str">
        <f>"363A00000X"</f>
        <v>363A00000X</v>
      </c>
      <c r="D1957" t="str">
        <f>"PUGH                     KERRINGTON               "</f>
        <v xml:space="preserve">PUGH                     KERRINGTON               </v>
      </c>
      <c r="E1957" t="str">
        <f>"MOBILE                    "</f>
        <v xml:space="preserve">MOBILE                    </v>
      </c>
      <c r="F1957" t="str">
        <f t="shared" si="66"/>
        <v>AL</v>
      </c>
    </row>
    <row r="1958" spans="1:6" x14ac:dyDescent="0.25">
      <c r="A1958" t="str">
        <f>"200025313"</f>
        <v>200025313</v>
      </c>
      <c r="B1958" t="str">
        <f>"1336639491"</f>
        <v>1336639491</v>
      </c>
      <c r="C1958" t="str">
        <f>"363L00000X"</f>
        <v>363L00000X</v>
      </c>
      <c r="D1958" t="str">
        <f>"PLEASANTON               HARVEY                   "</f>
        <v xml:space="preserve">PLEASANTON               HARVEY                   </v>
      </c>
      <c r="E1958" t="str">
        <f>"BIRMINGHAM                "</f>
        <v xml:space="preserve">BIRMINGHAM                </v>
      </c>
      <c r="F1958" t="str">
        <f t="shared" si="66"/>
        <v>AL</v>
      </c>
    </row>
    <row r="1959" spans="1:6" x14ac:dyDescent="0.25">
      <c r="A1959" t="str">
        <f>"200025333"</f>
        <v>200025333</v>
      </c>
      <c r="B1959" t="str">
        <f>"1447998034"</f>
        <v>1447998034</v>
      </c>
      <c r="C1959" t="str">
        <f>"207R00000X"</f>
        <v>207R00000X</v>
      </c>
      <c r="D1959" t="str">
        <f>"ALBRARAZI                MOHIEDDIN                "</f>
        <v xml:space="preserve">ALBRARAZI                MOHIEDDIN                </v>
      </c>
      <c r="E1959" t="str">
        <f>"MUSCLE SHOALS             "</f>
        <v xml:space="preserve">MUSCLE SHOALS             </v>
      </c>
      <c r="F1959" t="str">
        <f t="shared" si="66"/>
        <v>AL</v>
      </c>
    </row>
    <row r="1960" spans="1:6" x14ac:dyDescent="0.25">
      <c r="A1960" t="str">
        <f>"200025353"</f>
        <v>200025353</v>
      </c>
      <c r="B1960" t="str">
        <f>"1124698147"</f>
        <v>1124698147</v>
      </c>
      <c r="C1960" t="str">
        <f>"367500000X"</f>
        <v>367500000X</v>
      </c>
      <c r="D1960" t="str">
        <f>"ROSALES                  DAVID                    "</f>
        <v xml:space="preserve">ROSALES                  DAVID                    </v>
      </c>
      <c r="E1960" t="str">
        <f>"BIRMINGHAM                "</f>
        <v xml:space="preserve">BIRMINGHAM                </v>
      </c>
      <c r="F1960" t="str">
        <f t="shared" si="66"/>
        <v>AL</v>
      </c>
    </row>
    <row r="1961" spans="1:6" x14ac:dyDescent="0.25">
      <c r="A1961" t="str">
        <f>"200025377"</f>
        <v>200025377</v>
      </c>
      <c r="B1961" t="str">
        <f>"1548098171"</f>
        <v>1548098171</v>
      </c>
      <c r="C1961" t="str">
        <f>"363A00000X"</f>
        <v>363A00000X</v>
      </c>
      <c r="D1961" t="str">
        <f>"COPELAND                 STEPHANIE                "</f>
        <v xml:space="preserve">COPELAND                 STEPHANIE                </v>
      </c>
      <c r="E1961" t="str">
        <f>"MOBILE                    "</f>
        <v xml:space="preserve">MOBILE                    </v>
      </c>
      <c r="F1961" t="str">
        <f t="shared" si="66"/>
        <v>AL</v>
      </c>
    </row>
    <row r="1962" spans="1:6" x14ac:dyDescent="0.25">
      <c r="A1962" t="str">
        <f>"200025393"</f>
        <v>200025393</v>
      </c>
      <c r="B1962" t="str">
        <f>"1134778004"</f>
        <v>1134778004</v>
      </c>
      <c r="C1962" t="str">
        <f>"207RC0000X"</f>
        <v>207RC0000X</v>
      </c>
      <c r="D1962" t="str">
        <f>"NWOKEOCHA                NNEKA                    "</f>
        <v xml:space="preserve">NWOKEOCHA                NNEKA                    </v>
      </c>
      <c r="E1962" t="str">
        <f>"BIRMINGHAM                "</f>
        <v xml:space="preserve">BIRMINGHAM                </v>
      </c>
      <c r="F1962" t="str">
        <f t="shared" si="66"/>
        <v>AL</v>
      </c>
    </row>
    <row r="1963" spans="1:6" x14ac:dyDescent="0.25">
      <c r="A1963" t="str">
        <f>"200025450"</f>
        <v>200025450</v>
      </c>
      <c r="B1963" t="str">
        <f>"1124461645"</f>
        <v>1124461645</v>
      </c>
      <c r="C1963" t="str">
        <f>"2085R0202X"</f>
        <v>2085R0202X</v>
      </c>
      <c r="D1963" t="str">
        <f>"GROENWALD                MATTHEW                  "</f>
        <v xml:space="preserve">GROENWALD                MATTHEW                  </v>
      </c>
      <c r="E1963" t="str">
        <f t="shared" ref="E1963:E1968" si="67">"MOBILE                    "</f>
        <v xml:space="preserve">MOBILE                    </v>
      </c>
      <c r="F1963" t="str">
        <f t="shared" si="66"/>
        <v>AL</v>
      </c>
    </row>
    <row r="1964" spans="1:6" x14ac:dyDescent="0.25">
      <c r="A1964" t="str">
        <f>"200025456"</f>
        <v>200025456</v>
      </c>
      <c r="B1964" t="str">
        <f>"1902149339"</f>
        <v>1902149339</v>
      </c>
      <c r="C1964" t="str">
        <f>"2085R0202X"</f>
        <v>2085R0202X</v>
      </c>
      <c r="D1964" t="str">
        <f>"BAHETI                   APARNA                   "</f>
        <v xml:space="preserve">BAHETI                   APARNA                   </v>
      </c>
      <c r="E1964" t="str">
        <f t="shared" si="67"/>
        <v xml:space="preserve">MOBILE                    </v>
      </c>
      <c r="F1964" t="str">
        <f t="shared" si="66"/>
        <v>AL</v>
      </c>
    </row>
    <row r="1965" spans="1:6" x14ac:dyDescent="0.25">
      <c r="A1965" t="str">
        <f>"200025500"</f>
        <v>200025500</v>
      </c>
      <c r="B1965" t="str">
        <f>"1730566654"</f>
        <v>1730566654</v>
      </c>
      <c r="C1965" t="str">
        <f>"2085R0202X"</f>
        <v>2085R0202X</v>
      </c>
      <c r="D1965" t="str">
        <f>"CHAND                    RAJAT                    "</f>
        <v xml:space="preserve">CHAND                    RAJAT                    </v>
      </c>
      <c r="E1965" t="str">
        <f t="shared" si="67"/>
        <v xml:space="preserve">MOBILE                    </v>
      </c>
      <c r="F1965" t="str">
        <f t="shared" si="66"/>
        <v>AL</v>
      </c>
    </row>
    <row r="1966" spans="1:6" x14ac:dyDescent="0.25">
      <c r="A1966" t="str">
        <f>"200025505"</f>
        <v>200025505</v>
      </c>
      <c r="B1966" t="str">
        <f>"1750425302"</f>
        <v>1750425302</v>
      </c>
      <c r="C1966" t="str">
        <f>"207L00000X"</f>
        <v>207L00000X</v>
      </c>
      <c r="D1966" t="str">
        <f>"STRONG                   WILLIAM                  "</f>
        <v xml:space="preserve">STRONG                   WILLIAM                  </v>
      </c>
      <c r="E1966" t="str">
        <f t="shared" si="67"/>
        <v xml:space="preserve">MOBILE                    </v>
      </c>
      <c r="F1966" t="str">
        <f t="shared" si="66"/>
        <v>AL</v>
      </c>
    </row>
    <row r="1967" spans="1:6" x14ac:dyDescent="0.25">
      <c r="A1967" t="str">
        <f>"200025511"</f>
        <v>200025511</v>
      </c>
      <c r="B1967" t="str">
        <f>"1770537318"</f>
        <v>1770537318</v>
      </c>
      <c r="C1967" t="str">
        <f>"2085R0202X"</f>
        <v>2085R0202X</v>
      </c>
      <c r="D1967" t="str">
        <f>"MOWRY                    MARGARET     H           "</f>
        <v xml:space="preserve">MOWRY                    MARGARET     H           </v>
      </c>
      <c r="E1967" t="str">
        <f t="shared" si="67"/>
        <v xml:space="preserve">MOBILE                    </v>
      </c>
      <c r="F1967" t="str">
        <f t="shared" si="66"/>
        <v>AL</v>
      </c>
    </row>
    <row r="1968" spans="1:6" x14ac:dyDescent="0.25">
      <c r="A1968" t="str">
        <f>"200025515"</f>
        <v>200025515</v>
      </c>
      <c r="B1968" t="str">
        <f>"1285438820"</f>
        <v>1285438820</v>
      </c>
      <c r="C1968" t="str">
        <f>"2084P0800X"</f>
        <v>2084P0800X</v>
      </c>
      <c r="D1968" t="str">
        <f>"STUTMAN                  SAMIRA                   "</f>
        <v xml:space="preserve">STUTMAN                  SAMIRA                   </v>
      </c>
      <c r="E1968" t="str">
        <f t="shared" si="67"/>
        <v xml:space="preserve">MOBILE                    </v>
      </c>
      <c r="F1968" t="str">
        <f t="shared" si="66"/>
        <v>AL</v>
      </c>
    </row>
    <row r="1969" spans="1:6" x14ac:dyDescent="0.25">
      <c r="A1969" t="str">
        <f>"200025517"</f>
        <v>200025517</v>
      </c>
      <c r="B1969" t="str">
        <f>"1831737220"</f>
        <v>1831737220</v>
      </c>
      <c r="C1969" t="str">
        <f>"367500000X"</f>
        <v>367500000X</v>
      </c>
      <c r="D1969" t="str">
        <f>"PITTS                    DAVID                    "</f>
        <v xml:space="preserve">PITTS                    DAVID                    </v>
      </c>
      <c r="E1969" t="str">
        <f>"BIRMINGHAM                "</f>
        <v xml:space="preserve">BIRMINGHAM                </v>
      </c>
      <c r="F1969" t="str">
        <f t="shared" si="66"/>
        <v>AL</v>
      </c>
    </row>
    <row r="1970" spans="1:6" x14ac:dyDescent="0.25">
      <c r="A1970" t="str">
        <f>"200025523"</f>
        <v>200025523</v>
      </c>
      <c r="B1970" t="str">
        <f>"1417998642"</f>
        <v>1417998642</v>
      </c>
      <c r="C1970" t="str">
        <f>"367500000X"</f>
        <v>367500000X</v>
      </c>
      <c r="D1970" t="str">
        <f>"CREWS                    DEBORAH                  "</f>
        <v xml:space="preserve">CREWS                    DEBORAH                  </v>
      </c>
      <c r="E1970" t="str">
        <f>"BIRMINGHAM                "</f>
        <v xml:space="preserve">BIRMINGHAM                </v>
      </c>
      <c r="F1970" t="str">
        <f t="shared" si="66"/>
        <v>AL</v>
      </c>
    </row>
    <row r="1971" spans="1:6" x14ac:dyDescent="0.25">
      <c r="A1971" t="str">
        <f>"200025532"</f>
        <v>200025532</v>
      </c>
      <c r="B1971" t="str">
        <f>"1922096262"</f>
        <v>1922096262</v>
      </c>
      <c r="C1971" t="str">
        <f>"207P00000X"</f>
        <v>207P00000X</v>
      </c>
      <c r="D1971" t="str">
        <f>"CHRISTENSEN              NIKKI                    "</f>
        <v xml:space="preserve">CHRISTENSEN              NIKKI                    </v>
      </c>
      <c r="E1971" t="str">
        <f>"FAYETTE                   "</f>
        <v xml:space="preserve">FAYETTE                   </v>
      </c>
      <c r="F1971" t="str">
        <f t="shared" si="66"/>
        <v>AL</v>
      </c>
    </row>
    <row r="1972" spans="1:6" x14ac:dyDescent="0.25">
      <c r="A1972" t="str">
        <f>"200025533"</f>
        <v>200025533</v>
      </c>
      <c r="B1972" t="str">
        <f>"1003486143"</f>
        <v>1003486143</v>
      </c>
      <c r="C1972" t="str">
        <f>"367500000X"</f>
        <v>367500000X</v>
      </c>
      <c r="D1972" t="str">
        <f>"BRISTER                  AMY                      "</f>
        <v xml:space="preserve">BRISTER                  AMY                      </v>
      </c>
      <c r="E1972" t="str">
        <f>"BIRMINGHAM                "</f>
        <v xml:space="preserve">BIRMINGHAM                </v>
      </c>
      <c r="F1972" t="str">
        <f t="shared" si="66"/>
        <v>AL</v>
      </c>
    </row>
    <row r="1973" spans="1:6" x14ac:dyDescent="0.25">
      <c r="A1973" t="str">
        <f>"200025540"</f>
        <v>200025540</v>
      </c>
      <c r="B1973" t="str">
        <f>"1912956939"</f>
        <v>1912956939</v>
      </c>
      <c r="C1973" t="str">
        <f>"367500000X"</f>
        <v>367500000X</v>
      </c>
      <c r="D1973" t="str">
        <f>"BAXLEY                   DOUGLAS                  "</f>
        <v xml:space="preserve">BAXLEY                   DOUGLAS                  </v>
      </c>
      <c r="E1973" t="str">
        <f>"MOBILE                    "</f>
        <v xml:space="preserve">MOBILE                    </v>
      </c>
      <c r="F1973" t="str">
        <f t="shared" si="66"/>
        <v>AL</v>
      </c>
    </row>
    <row r="1974" spans="1:6" x14ac:dyDescent="0.25">
      <c r="A1974" t="str">
        <f>"200025589"</f>
        <v>200025589</v>
      </c>
      <c r="B1974" t="str">
        <f>"1235924721"</f>
        <v>1235924721</v>
      </c>
      <c r="C1974" t="str">
        <f>"208000000X"</f>
        <v>208000000X</v>
      </c>
      <c r="D1974" t="str">
        <f>"HARKINS                  THOMAS                   "</f>
        <v xml:space="preserve">HARKINS                  THOMAS                   </v>
      </c>
      <c r="E1974" t="str">
        <f>"MOBILE                    "</f>
        <v xml:space="preserve">MOBILE                    </v>
      </c>
      <c r="F1974" t="str">
        <f t="shared" si="66"/>
        <v>AL</v>
      </c>
    </row>
    <row r="1975" spans="1:6" x14ac:dyDescent="0.25">
      <c r="A1975" t="str">
        <f>"200025606"</f>
        <v>200025606</v>
      </c>
      <c r="B1975" t="str">
        <f>"1184712101"</f>
        <v>1184712101</v>
      </c>
      <c r="C1975" t="str">
        <f>"208600000X"</f>
        <v>208600000X</v>
      </c>
      <c r="D1975" t="str">
        <f>"MCGOWIN, III             NORMAN                   "</f>
        <v xml:space="preserve">MCGOWIN, III             NORMAN                   </v>
      </c>
      <c r="E1975" t="str">
        <f>"CHATOM                    "</f>
        <v xml:space="preserve">CHATOM                    </v>
      </c>
      <c r="F1975" t="str">
        <f t="shared" si="66"/>
        <v>AL</v>
      </c>
    </row>
    <row r="1976" spans="1:6" x14ac:dyDescent="0.25">
      <c r="A1976" t="str">
        <f>"200025608"</f>
        <v>200025608</v>
      </c>
      <c r="B1976" t="str">
        <f>"1124698956"</f>
        <v>1124698956</v>
      </c>
      <c r="C1976" t="str">
        <f>"367500000X"</f>
        <v>367500000X</v>
      </c>
      <c r="D1976" t="str">
        <f>"BONNER                   ANTHONY                  "</f>
        <v xml:space="preserve">BONNER                   ANTHONY                  </v>
      </c>
      <c r="E1976" t="str">
        <f>"BIRMINGHAM                "</f>
        <v xml:space="preserve">BIRMINGHAM                </v>
      </c>
      <c r="F1976" t="str">
        <f t="shared" si="66"/>
        <v>AL</v>
      </c>
    </row>
    <row r="1977" spans="1:6" x14ac:dyDescent="0.25">
      <c r="A1977" t="str">
        <f>"200025614"</f>
        <v>200025614</v>
      </c>
      <c r="B1977" t="str">
        <f>"1205625290"</f>
        <v>1205625290</v>
      </c>
      <c r="C1977" t="str">
        <f>"2084N0400X"</f>
        <v>2084N0400X</v>
      </c>
      <c r="D1977" t="str">
        <f>"MARTINEZ LOZADA          PABLO SEBASTI            "</f>
        <v xml:space="preserve">MARTINEZ LOZADA          PABLO SEBASTI            </v>
      </c>
      <c r="E1977" t="str">
        <f>"MOBILE                    "</f>
        <v xml:space="preserve">MOBILE                    </v>
      </c>
      <c r="F1977" t="str">
        <f t="shared" si="66"/>
        <v>AL</v>
      </c>
    </row>
    <row r="1978" spans="1:6" x14ac:dyDescent="0.25">
      <c r="A1978" t="str">
        <f>"200025676"</f>
        <v>200025676</v>
      </c>
      <c r="B1978" t="str">
        <f>"1013160118"</f>
        <v>1013160118</v>
      </c>
      <c r="C1978" t="str">
        <f>"363L00000X"</f>
        <v>363L00000X</v>
      </c>
      <c r="D1978" t="str">
        <f>"CHAMPION                 SHEENA                   "</f>
        <v xml:space="preserve">CHAMPION                 SHEENA                   </v>
      </c>
      <c r="E1978" t="str">
        <f>"BIRMINGHAM                "</f>
        <v xml:space="preserve">BIRMINGHAM                </v>
      </c>
      <c r="F1978" t="str">
        <f t="shared" si="66"/>
        <v>AL</v>
      </c>
    </row>
    <row r="1979" spans="1:6" x14ac:dyDescent="0.25">
      <c r="A1979" t="str">
        <f>"200025679"</f>
        <v>200025679</v>
      </c>
      <c r="B1979" t="str">
        <f>"1922423425"</f>
        <v>1922423425</v>
      </c>
      <c r="C1979" t="str">
        <f>"363LF0000X"</f>
        <v>363LF0000X</v>
      </c>
      <c r="D1979" t="str">
        <f>"HORN                     VERNADETTE               "</f>
        <v xml:space="preserve">HORN                     VERNADETTE               </v>
      </c>
      <c r="E1979" t="str">
        <f>"BUTLER                    "</f>
        <v xml:space="preserve">BUTLER                    </v>
      </c>
      <c r="F1979" t="str">
        <f t="shared" si="66"/>
        <v>AL</v>
      </c>
    </row>
    <row r="1980" spans="1:6" x14ac:dyDescent="0.25">
      <c r="A1980" t="str">
        <f>"200025685"</f>
        <v>200025685</v>
      </c>
      <c r="B1980" t="str">
        <f>"1932691094"</f>
        <v>1932691094</v>
      </c>
      <c r="C1980" t="str">
        <f>"207ZP0105X"</f>
        <v>207ZP0105X</v>
      </c>
      <c r="D1980" t="str">
        <f>"DING                     YANNA                    "</f>
        <v xml:space="preserve">DING                     YANNA                    </v>
      </c>
      <c r="E1980" t="str">
        <f>"BIRMINGHAM                "</f>
        <v xml:space="preserve">BIRMINGHAM                </v>
      </c>
      <c r="F1980" t="str">
        <f t="shared" si="66"/>
        <v>AL</v>
      </c>
    </row>
    <row r="1981" spans="1:6" x14ac:dyDescent="0.25">
      <c r="A1981" t="str">
        <f>"200025688"</f>
        <v>200025688</v>
      </c>
      <c r="B1981" t="str">
        <f>"1245809060"</f>
        <v>1245809060</v>
      </c>
      <c r="C1981" t="str">
        <f>"367500000X"</f>
        <v>367500000X</v>
      </c>
      <c r="D1981" t="str">
        <f>"WALKER                   MATTHEW                  "</f>
        <v xml:space="preserve">WALKER                   MATTHEW                  </v>
      </c>
      <c r="E1981" t="str">
        <f>"BIRMINGHAM                "</f>
        <v xml:space="preserve">BIRMINGHAM                </v>
      </c>
      <c r="F1981" t="str">
        <f t="shared" si="66"/>
        <v>AL</v>
      </c>
    </row>
    <row r="1982" spans="1:6" x14ac:dyDescent="0.25">
      <c r="A1982" t="str">
        <f>"200025702"</f>
        <v>200025702</v>
      </c>
      <c r="B1982" t="str">
        <f>"1245420496"</f>
        <v>1245420496</v>
      </c>
      <c r="C1982" t="str">
        <f>"207VM0101X"</f>
        <v>207VM0101X</v>
      </c>
      <c r="D1982" t="str">
        <f>"NIRGUDKAR                PRANITA                  "</f>
        <v xml:space="preserve">NIRGUDKAR                PRANITA                  </v>
      </c>
      <c r="E1982" t="str">
        <f>"MOBILE                    "</f>
        <v xml:space="preserve">MOBILE                    </v>
      </c>
      <c r="F1982" t="str">
        <f t="shared" si="66"/>
        <v>AL</v>
      </c>
    </row>
    <row r="1983" spans="1:6" x14ac:dyDescent="0.25">
      <c r="A1983" t="str">
        <f>"200025706"</f>
        <v>200025706</v>
      </c>
      <c r="B1983" t="str">
        <f>"1700027612"</f>
        <v>1700027612</v>
      </c>
      <c r="C1983" t="str">
        <f>"207L00000X"</f>
        <v>207L00000X</v>
      </c>
      <c r="D1983" t="str">
        <f>"DOYLE                    JENNIFER                 "</f>
        <v xml:space="preserve">DOYLE                    JENNIFER                 </v>
      </c>
      <c r="E1983" t="str">
        <f>"BIRMINGHAM                "</f>
        <v xml:space="preserve">BIRMINGHAM                </v>
      </c>
      <c r="F1983" t="str">
        <f t="shared" si="66"/>
        <v>AL</v>
      </c>
    </row>
    <row r="1984" spans="1:6" x14ac:dyDescent="0.25">
      <c r="A1984" t="str">
        <f>"200025714"</f>
        <v>200025714</v>
      </c>
      <c r="B1984" t="str">
        <f>"1922186873"</f>
        <v>1922186873</v>
      </c>
      <c r="C1984" t="str">
        <f>"207V00000X"</f>
        <v>207V00000X</v>
      </c>
      <c r="D1984" t="str">
        <f>"ZIMMERMAN                CHERYL                   "</f>
        <v xml:space="preserve">ZIMMERMAN                CHERYL                   </v>
      </c>
      <c r="E1984" t="str">
        <f>"MOBILE                    "</f>
        <v xml:space="preserve">MOBILE                    </v>
      </c>
      <c r="F1984" t="str">
        <f t="shared" si="66"/>
        <v>AL</v>
      </c>
    </row>
    <row r="1985" spans="1:6" x14ac:dyDescent="0.25">
      <c r="A1985" t="str">
        <f>"200025732"</f>
        <v>200025732</v>
      </c>
      <c r="B1985" t="str">
        <f>"1003261975"</f>
        <v>1003261975</v>
      </c>
      <c r="C1985" t="str">
        <f>"207PT0002X"</f>
        <v>207PT0002X</v>
      </c>
      <c r="D1985" t="str">
        <f>"KAISER                   SASHA                    "</f>
        <v xml:space="preserve">KAISER                   SASHA                    </v>
      </c>
      <c r="E1985" t="str">
        <f>"BIRMINGHAM                "</f>
        <v xml:space="preserve">BIRMINGHAM                </v>
      </c>
      <c r="F1985" t="str">
        <f t="shared" si="66"/>
        <v>AL</v>
      </c>
    </row>
    <row r="1986" spans="1:6" x14ac:dyDescent="0.25">
      <c r="A1986" t="str">
        <f>"200025739"</f>
        <v>200025739</v>
      </c>
      <c r="B1986" t="str">
        <f>"1407106305"</f>
        <v>1407106305</v>
      </c>
      <c r="C1986" t="str">
        <f>"367500000X"</f>
        <v>367500000X</v>
      </c>
      <c r="D1986" t="str">
        <f>"LUPARI                   MICHAEL                  "</f>
        <v xml:space="preserve">LUPARI                   MICHAEL                  </v>
      </c>
      <c r="E1986" t="str">
        <f>"BIRMINGHAM                "</f>
        <v xml:space="preserve">BIRMINGHAM                </v>
      </c>
      <c r="F1986" t="str">
        <f t="shared" si="66"/>
        <v>AL</v>
      </c>
    </row>
    <row r="1987" spans="1:6" x14ac:dyDescent="0.25">
      <c r="A1987" t="str">
        <f>"200025743"</f>
        <v>200025743</v>
      </c>
      <c r="B1987" t="str">
        <f>"1013906445"</f>
        <v>1013906445</v>
      </c>
      <c r="C1987" t="str">
        <f>"207V00000X"</f>
        <v>207V00000X</v>
      </c>
      <c r="D1987" t="str">
        <f>"HOOVER                   KIMBERLY                 "</f>
        <v xml:space="preserve">HOOVER                   KIMBERLY                 </v>
      </c>
      <c r="E1987" t="str">
        <f>"BIRMINGHAM                "</f>
        <v xml:space="preserve">BIRMINGHAM                </v>
      </c>
      <c r="F1987" t="str">
        <f t="shared" si="66"/>
        <v>AL</v>
      </c>
    </row>
    <row r="1988" spans="1:6" x14ac:dyDescent="0.25">
      <c r="A1988" t="str">
        <f>"200025754"</f>
        <v>200025754</v>
      </c>
      <c r="B1988" t="str">
        <f>"1326195298"</f>
        <v>1326195298</v>
      </c>
      <c r="C1988" t="str">
        <f>"2084N0402X"</f>
        <v>2084N0402X</v>
      </c>
      <c r="D1988" t="str">
        <f>"WILLIAMSON               RANDY        C           "</f>
        <v xml:space="preserve">WILLIAMSON               RANDY        C           </v>
      </c>
      <c r="E1988" t="str">
        <f>"MOBILE                    "</f>
        <v xml:space="preserve">MOBILE                    </v>
      </c>
      <c r="F1988" t="str">
        <f t="shared" si="66"/>
        <v>AL</v>
      </c>
    </row>
    <row r="1989" spans="1:6" x14ac:dyDescent="0.25">
      <c r="A1989" t="str">
        <f>"200025756"</f>
        <v>200025756</v>
      </c>
      <c r="B1989" t="str">
        <f>"1598958605"</f>
        <v>1598958605</v>
      </c>
      <c r="C1989" t="str">
        <f>"208000000X"</f>
        <v>208000000X</v>
      </c>
      <c r="D1989" t="str">
        <f>"MCFARLAND                SHAWN                    "</f>
        <v xml:space="preserve">MCFARLAND                SHAWN                    </v>
      </c>
      <c r="E1989" t="str">
        <f>"SEMMES                    "</f>
        <v xml:space="preserve">SEMMES                    </v>
      </c>
      <c r="F1989" t="str">
        <f t="shared" si="66"/>
        <v>AL</v>
      </c>
    </row>
    <row r="1990" spans="1:6" x14ac:dyDescent="0.25">
      <c r="A1990" t="str">
        <f>"200025758"</f>
        <v>200025758</v>
      </c>
      <c r="B1990" t="str">
        <f>"1235807140"</f>
        <v>1235807140</v>
      </c>
      <c r="C1990" t="str">
        <f>"363L00000X"</f>
        <v>363L00000X</v>
      </c>
      <c r="D1990" t="str">
        <f>"PATEL                    NEHA                     "</f>
        <v xml:space="preserve">PATEL                    NEHA                     </v>
      </c>
      <c r="E1990" t="str">
        <f>"BIRMINGHAM                "</f>
        <v xml:space="preserve">BIRMINGHAM                </v>
      </c>
      <c r="F1990" t="str">
        <f t="shared" si="66"/>
        <v>AL</v>
      </c>
    </row>
    <row r="1991" spans="1:6" x14ac:dyDescent="0.25">
      <c r="A1991" t="str">
        <f>"200025771"</f>
        <v>200025771</v>
      </c>
      <c r="B1991" t="str">
        <f>"1699488999"</f>
        <v>1699488999</v>
      </c>
      <c r="C1991" t="str">
        <f>"363A00000X"</f>
        <v>363A00000X</v>
      </c>
      <c r="D1991" t="str">
        <f>"VON ZIMMERMAN            MARINA                   "</f>
        <v xml:space="preserve">VON ZIMMERMAN            MARINA                   </v>
      </c>
      <c r="E1991" t="str">
        <f>"MOBILE                    "</f>
        <v xml:space="preserve">MOBILE                    </v>
      </c>
      <c r="F1991" t="str">
        <f t="shared" ref="F1991:F2054" si="68">"AL"</f>
        <v>AL</v>
      </c>
    </row>
    <row r="1992" spans="1:6" x14ac:dyDescent="0.25">
      <c r="A1992" t="str">
        <f>"200025781"</f>
        <v>200025781</v>
      </c>
      <c r="B1992" t="str">
        <f>"1053842112"</f>
        <v>1053842112</v>
      </c>
      <c r="C1992" t="str">
        <f>"208100000X"</f>
        <v>208100000X</v>
      </c>
      <c r="D1992" t="str">
        <f>"LATORRE                  JOHAN                    "</f>
        <v xml:space="preserve">LATORRE                  JOHAN                    </v>
      </c>
      <c r="E1992" t="str">
        <f>"BIRMINGHAM                "</f>
        <v xml:space="preserve">BIRMINGHAM                </v>
      </c>
      <c r="F1992" t="str">
        <f t="shared" si="68"/>
        <v>AL</v>
      </c>
    </row>
    <row r="1993" spans="1:6" x14ac:dyDescent="0.25">
      <c r="A1993" t="str">
        <f>"200025785"</f>
        <v>200025785</v>
      </c>
      <c r="B1993" t="str">
        <f>"1770556797"</f>
        <v>1770556797</v>
      </c>
      <c r="C1993" t="str">
        <f>"207VX0201X"</f>
        <v>207VX0201X</v>
      </c>
      <c r="D1993" t="str">
        <f>"LIN                      JEFFREY                  "</f>
        <v xml:space="preserve">LIN                      JEFFREY                  </v>
      </c>
      <c r="E1993" t="str">
        <f>"MOBILE                    "</f>
        <v xml:space="preserve">MOBILE                    </v>
      </c>
      <c r="F1993" t="str">
        <f t="shared" si="68"/>
        <v>AL</v>
      </c>
    </row>
    <row r="1994" spans="1:6" x14ac:dyDescent="0.25">
      <c r="A1994" t="str">
        <f>"200025792"</f>
        <v>200025792</v>
      </c>
      <c r="B1994" t="str">
        <f>"1154957546"</f>
        <v>1154957546</v>
      </c>
      <c r="C1994" t="str">
        <f>"363A00000X"</f>
        <v>363A00000X</v>
      </c>
      <c r="D1994" t="str">
        <f>"MCGUIRE                  MARY                     "</f>
        <v xml:space="preserve">MCGUIRE                  MARY                     </v>
      </c>
      <c r="E1994" t="str">
        <f>"BIRMINGHAM                "</f>
        <v xml:space="preserve">BIRMINGHAM                </v>
      </c>
      <c r="F1994" t="str">
        <f t="shared" si="68"/>
        <v>AL</v>
      </c>
    </row>
    <row r="1995" spans="1:6" x14ac:dyDescent="0.25">
      <c r="A1995" t="str">
        <f>"200025813"</f>
        <v>200025813</v>
      </c>
      <c r="B1995" t="str">
        <f>"1720865140"</f>
        <v>1720865140</v>
      </c>
      <c r="C1995" t="str">
        <f>"363LA2100X"</f>
        <v>363LA2100X</v>
      </c>
      <c r="D1995" t="str">
        <f>"LACEY                    SCARLETT                 "</f>
        <v xml:space="preserve">LACEY                    SCARLETT                 </v>
      </c>
      <c r="E1995" t="str">
        <f>"BIRMINGHAM                "</f>
        <v xml:space="preserve">BIRMINGHAM                </v>
      </c>
      <c r="F1995" t="str">
        <f t="shared" si="68"/>
        <v>AL</v>
      </c>
    </row>
    <row r="1996" spans="1:6" x14ac:dyDescent="0.25">
      <c r="A1996" t="str">
        <f>"200025817"</f>
        <v>200025817</v>
      </c>
      <c r="B1996" t="str">
        <f>"1619754934"</f>
        <v>1619754934</v>
      </c>
      <c r="C1996" t="str">
        <f>"363LA2100X"</f>
        <v>363LA2100X</v>
      </c>
      <c r="D1996" t="str">
        <f>"MCDONALD                 CHANDLER                 "</f>
        <v xml:space="preserve">MCDONALD                 CHANDLER                 </v>
      </c>
      <c r="E1996" t="str">
        <f>"BIRMINGHAM                "</f>
        <v xml:space="preserve">BIRMINGHAM                </v>
      </c>
      <c r="F1996" t="str">
        <f t="shared" si="68"/>
        <v>AL</v>
      </c>
    </row>
    <row r="1997" spans="1:6" x14ac:dyDescent="0.25">
      <c r="A1997" t="str">
        <f>"200025826"</f>
        <v>200025826</v>
      </c>
      <c r="B1997" t="str">
        <f>"1346472933"</f>
        <v>1346472933</v>
      </c>
      <c r="C1997" t="str">
        <f>"207RI0200X"</f>
        <v>207RI0200X</v>
      </c>
      <c r="D1997" t="str">
        <f>"ZEFIROVA                 JULIA                    "</f>
        <v xml:space="preserve">ZEFIROVA                 JULIA                    </v>
      </c>
      <c r="E1997" t="str">
        <f>"MOBILE                    "</f>
        <v xml:space="preserve">MOBILE                    </v>
      </c>
      <c r="F1997" t="str">
        <f t="shared" si="68"/>
        <v>AL</v>
      </c>
    </row>
    <row r="1998" spans="1:6" x14ac:dyDescent="0.25">
      <c r="A1998" t="str">
        <f>"200025828"</f>
        <v>200025828</v>
      </c>
      <c r="B1998" t="str">
        <f>"1962455642"</f>
        <v>1962455642</v>
      </c>
      <c r="C1998" t="str">
        <f>"2086S0129X"</f>
        <v>2086S0129X</v>
      </c>
      <c r="D1998" t="str">
        <f>"ATHANASULEAS             CONSTANTINE              "</f>
        <v xml:space="preserve">ATHANASULEAS             CONSTANTINE              </v>
      </c>
      <c r="E1998" t="str">
        <f>"FLORENCE                  "</f>
        <v xml:space="preserve">FLORENCE                  </v>
      </c>
      <c r="F1998" t="str">
        <f t="shared" si="68"/>
        <v>AL</v>
      </c>
    </row>
    <row r="1999" spans="1:6" x14ac:dyDescent="0.25">
      <c r="A1999" t="str">
        <f>"200025866"</f>
        <v>200025866</v>
      </c>
      <c r="B1999" t="str">
        <f>"1114958527"</f>
        <v>1114958527</v>
      </c>
      <c r="C1999" t="str">
        <f>"207P00000X"</f>
        <v>207P00000X</v>
      </c>
      <c r="D1999" t="str">
        <f>"ELIE                     MARIE-CARMELL            "</f>
        <v xml:space="preserve">ELIE                     MARIE-CARMELL            </v>
      </c>
      <c r="E1999" t="str">
        <f>"MOBILE                    "</f>
        <v xml:space="preserve">MOBILE                    </v>
      </c>
      <c r="F1999" t="str">
        <f t="shared" si="68"/>
        <v>AL</v>
      </c>
    </row>
    <row r="2000" spans="1:6" x14ac:dyDescent="0.25">
      <c r="A2000" t="str">
        <f>"200025871"</f>
        <v>200025871</v>
      </c>
      <c r="B2000" t="str">
        <f>"1275538498"</f>
        <v>1275538498</v>
      </c>
      <c r="C2000" t="str">
        <f>"208600000X"</f>
        <v>208600000X</v>
      </c>
      <c r="D2000" t="str">
        <f>"COZART                   DAVID        T           "</f>
        <v xml:space="preserve">COZART                   DAVID        T           </v>
      </c>
      <c r="E2000" t="str">
        <f>"MUSCLE SHOALS             "</f>
        <v xml:space="preserve">MUSCLE SHOALS             </v>
      </c>
      <c r="F2000" t="str">
        <f t="shared" si="68"/>
        <v>AL</v>
      </c>
    </row>
    <row r="2001" spans="1:6" x14ac:dyDescent="0.25">
      <c r="A2001" t="str">
        <f>"200025874"</f>
        <v>200025874</v>
      </c>
      <c r="B2001" t="str">
        <f>"1790490936"</f>
        <v>1790490936</v>
      </c>
      <c r="C2001" t="str">
        <f>"367500000X"</f>
        <v>367500000X</v>
      </c>
      <c r="D2001" t="str">
        <f>"MARTINEZ                 STACI                    "</f>
        <v xml:space="preserve">MARTINEZ                 STACI                    </v>
      </c>
      <c r="E2001" t="str">
        <f>"BIRMINGHAM                "</f>
        <v xml:space="preserve">BIRMINGHAM                </v>
      </c>
      <c r="F2001" t="str">
        <f t="shared" si="68"/>
        <v>AL</v>
      </c>
    </row>
    <row r="2002" spans="1:6" x14ac:dyDescent="0.25">
      <c r="A2002" t="str">
        <f>"200025876"</f>
        <v>200025876</v>
      </c>
      <c r="B2002" t="str">
        <f>"1023654969"</f>
        <v>1023654969</v>
      </c>
      <c r="C2002" t="str">
        <f>"363L00000X"</f>
        <v>363L00000X</v>
      </c>
      <c r="D2002" t="str">
        <f>"MORRISON                 AIMEE                    "</f>
        <v xml:space="preserve">MORRISON                 AIMEE                    </v>
      </c>
      <c r="E2002" t="str">
        <f>"BIRMINGHAM                "</f>
        <v xml:space="preserve">BIRMINGHAM                </v>
      </c>
      <c r="F2002" t="str">
        <f t="shared" si="68"/>
        <v>AL</v>
      </c>
    </row>
    <row r="2003" spans="1:6" x14ac:dyDescent="0.25">
      <c r="A2003" t="str">
        <f>"200025883"</f>
        <v>200025883</v>
      </c>
      <c r="B2003" t="str">
        <f>"1568032290"</f>
        <v>1568032290</v>
      </c>
      <c r="C2003" t="str">
        <f>"367500000X"</f>
        <v>367500000X</v>
      </c>
      <c r="D2003" t="str">
        <f>"BANUELOS                 PATRICIA                 "</f>
        <v xml:space="preserve">BANUELOS                 PATRICIA                 </v>
      </c>
      <c r="E2003" t="str">
        <f>"BIRMINGHAM                "</f>
        <v xml:space="preserve">BIRMINGHAM                </v>
      </c>
      <c r="F2003" t="str">
        <f t="shared" si="68"/>
        <v>AL</v>
      </c>
    </row>
    <row r="2004" spans="1:6" x14ac:dyDescent="0.25">
      <c r="A2004" t="str">
        <f>"200025884"</f>
        <v>200025884</v>
      </c>
      <c r="B2004" t="str">
        <f>"1336583954"</f>
        <v>1336583954</v>
      </c>
      <c r="C2004" t="str">
        <f>"363L00000X"</f>
        <v>363L00000X</v>
      </c>
      <c r="D2004" t="str">
        <f>"WAITES                   KARION                   "</f>
        <v xml:space="preserve">WAITES                   KARION                   </v>
      </c>
      <c r="E2004" t="str">
        <f>"BIRMINGHAM                "</f>
        <v xml:space="preserve">BIRMINGHAM                </v>
      </c>
      <c r="F2004" t="str">
        <f t="shared" si="68"/>
        <v>AL</v>
      </c>
    </row>
    <row r="2005" spans="1:6" x14ac:dyDescent="0.25">
      <c r="A2005" t="str">
        <f>"200025889"</f>
        <v>200025889</v>
      </c>
      <c r="B2005" t="str">
        <f>"1902672702"</f>
        <v>1902672702</v>
      </c>
      <c r="C2005" t="str">
        <f>"363L00000X"</f>
        <v>363L00000X</v>
      </c>
      <c r="D2005" t="str">
        <f>"WHITEHURST               CAYLA                    "</f>
        <v xml:space="preserve">WHITEHURST               CAYLA                    </v>
      </c>
      <c r="E2005" t="str">
        <f>"BIRMINGHAM                "</f>
        <v xml:space="preserve">BIRMINGHAM                </v>
      </c>
      <c r="F2005" t="str">
        <f t="shared" si="68"/>
        <v>AL</v>
      </c>
    </row>
    <row r="2006" spans="1:6" x14ac:dyDescent="0.25">
      <c r="A2006" t="str">
        <f>"200025894"</f>
        <v>200025894</v>
      </c>
      <c r="B2006" t="str">
        <f>"1992949325"</f>
        <v>1992949325</v>
      </c>
      <c r="C2006" t="str">
        <f>"2085R0204X"</f>
        <v>2085R0204X</v>
      </c>
      <c r="D2006" t="str">
        <f>"PENNEY                   RICHARD      M           "</f>
        <v xml:space="preserve">PENNEY                   RICHARD      M           </v>
      </c>
      <c r="E2006" t="str">
        <f>"MOBILE                    "</f>
        <v xml:space="preserve">MOBILE                    </v>
      </c>
      <c r="F2006" t="str">
        <f t="shared" si="68"/>
        <v>AL</v>
      </c>
    </row>
    <row r="2007" spans="1:6" x14ac:dyDescent="0.25">
      <c r="A2007" t="str">
        <f>"200025899"</f>
        <v>200025899</v>
      </c>
      <c r="B2007" t="str">
        <f>"1265727226"</f>
        <v>1265727226</v>
      </c>
      <c r="C2007" t="str">
        <f>"367500000X"</f>
        <v>367500000X</v>
      </c>
      <c r="D2007" t="str">
        <f>"ST. JOHN JR              ROBERT                   "</f>
        <v xml:space="preserve">ST. JOHN JR              ROBERT                   </v>
      </c>
      <c r="E2007" t="str">
        <f t="shared" ref="E2007:E2013" si="69">"BIRMINGHAM                "</f>
        <v xml:space="preserve">BIRMINGHAM                </v>
      </c>
      <c r="F2007" t="str">
        <f t="shared" si="68"/>
        <v>AL</v>
      </c>
    </row>
    <row r="2008" spans="1:6" x14ac:dyDescent="0.25">
      <c r="A2008" t="str">
        <f>"200025903"</f>
        <v>200025903</v>
      </c>
      <c r="B2008" t="str">
        <f>"1033981899"</f>
        <v>1033981899</v>
      </c>
      <c r="C2008" t="str">
        <f>"363LA2100X"</f>
        <v>363LA2100X</v>
      </c>
      <c r="D2008" t="str">
        <f>"JACKSON                  JERIMESHA                "</f>
        <v xml:space="preserve">JACKSON                  JERIMESHA                </v>
      </c>
      <c r="E2008" t="str">
        <f t="shared" si="69"/>
        <v xml:space="preserve">BIRMINGHAM                </v>
      </c>
      <c r="F2008" t="str">
        <f t="shared" si="68"/>
        <v>AL</v>
      </c>
    </row>
    <row r="2009" spans="1:6" x14ac:dyDescent="0.25">
      <c r="A2009" t="str">
        <f>"200025905"</f>
        <v>200025905</v>
      </c>
      <c r="B2009" t="str">
        <f>"1225915077"</f>
        <v>1225915077</v>
      </c>
      <c r="C2009" t="str">
        <f>"363LW0102X"</f>
        <v>363LW0102X</v>
      </c>
      <c r="D2009" t="str">
        <f>"STIFFLEMIRE              KAYLA                    "</f>
        <v xml:space="preserve">STIFFLEMIRE              KAYLA                    </v>
      </c>
      <c r="E2009" t="str">
        <f t="shared" si="69"/>
        <v xml:space="preserve">BIRMINGHAM                </v>
      </c>
      <c r="F2009" t="str">
        <f t="shared" si="68"/>
        <v>AL</v>
      </c>
    </row>
    <row r="2010" spans="1:6" x14ac:dyDescent="0.25">
      <c r="A2010" t="str">
        <f>"200025906"</f>
        <v>200025906</v>
      </c>
      <c r="B2010" t="str">
        <f>"1427815448"</f>
        <v>1427815448</v>
      </c>
      <c r="C2010" t="str">
        <f>"363LA2100X"</f>
        <v>363LA2100X</v>
      </c>
      <c r="D2010" t="str">
        <f>"RODRIGUEZ                SELENA                   "</f>
        <v xml:space="preserve">RODRIGUEZ                SELENA                   </v>
      </c>
      <c r="E2010" t="str">
        <f t="shared" si="69"/>
        <v xml:space="preserve">BIRMINGHAM                </v>
      </c>
      <c r="F2010" t="str">
        <f t="shared" si="68"/>
        <v>AL</v>
      </c>
    </row>
    <row r="2011" spans="1:6" x14ac:dyDescent="0.25">
      <c r="A2011" t="str">
        <f>"200025922"</f>
        <v>200025922</v>
      </c>
      <c r="B2011" t="str">
        <f>"1629374897"</f>
        <v>1629374897</v>
      </c>
      <c r="C2011" t="str">
        <f>"367500000X"</f>
        <v>367500000X</v>
      </c>
      <c r="D2011" t="str">
        <f>"CLARKE                   CHRISTY                  "</f>
        <v xml:space="preserve">CLARKE                   CHRISTY                  </v>
      </c>
      <c r="E2011" t="str">
        <f t="shared" si="69"/>
        <v xml:space="preserve">BIRMINGHAM                </v>
      </c>
      <c r="F2011" t="str">
        <f t="shared" si="68"/>
        <v>AL</v>
      </c>
    </row>
    <row r="2012" spans="1:6" x14ac:dyDescent="0.25">
      <c r="A2012" t="str">
        <f>"200025929"</f>
        <v>200025929</v>
      </c>
      <c r="B2012" t="str">
        <f>"1972341188"</f>
        <v>1972341188</v>
      </c>
      <c r="C2012" t="str">
        <f>"363A00000X"</f>
        <v>363A00000X</v>
      </c>
      <c r="D2012" t="str">
        <f>"BROWN                    ALISSA                   "</f>
        <v xml:space="preserve">BROWN                    ALISSA                   </v>
      </c>
      <c r="E2012" t="str">
        <f t="shared" si="69"/>
        <v xml:space="preserve">BIRMINGHAM                </v>
      </c>
      <c r="F2012" t="str">
        <f t="shared" si="68"/>
        <v>AL</v>
      </c>
    </row>
    <row r="2013" spans="1:6" x14ac:dyDescent="0.25">
      <c r="A2013" t="str">
        <f>"200025938"</f>
        <v>200025938</v>
      </c>
      <c r="B2013" t="str">
        <f>"1841170628"</f>
        <v>1841170628</v>
      </c>
      <c r="C2013" t="str">
        <f>"363LA2100X"</f>
        <v>363LA2100X</v>
      </c>
      <c r="D2013" t="str">
        <f>"HATHAWAY                 SARAH                    "</f>
        <v xml:space="preserve">HATHAWAY                 SARAH                    </v>
      </c>
      <c r="E2013" t="str">
        <f t="shared" si="69"/>
        <v xml:space="preserve">BIRMINGHAM                </v>
      </c>
      <c r="F2013" t="str">
        <f t="shared" si="68"/>
        <v>AL</v>
      </c>
    </row>
    <row r="2014" spans="1:6" x14ac:dyDescent="0.25">
      <c r="A2014" t="str">
        <f>"200025941"</f>
        <v>200025941</v>
      </c>
      <c r="B2014" t="str">
        <f>"1124885454"</f>
        <v>1124885454</v>
      </c>
      <c r="C2014" t="str">
        <f>"363L00000X"</f>
        <v>363L00000X</v>
      </c>
      <c r="D2014" t="str">
        <f>"GAUCHER                  DANIELLE                 "</f>
        <v xml:space="preserve">GAUCHER                  DANIELLE                 </v>
      </c>
      <c r="E2014" t="str">
        <f>"MOBILE                    "</f>
        <v xml:space="preserve">MOBILE                    </v>
      </c>
      <c r="F2014" t="str">
        <f t="shared" si="68"/>
        <v>AL</v>
      </c>
    </row>
    <row r="2015" spans="1:6" x14ac:dyDescent="0.25">
      <c r="A2015" t="str">
        <f>"200025949"</f>
        <v>200025949</v>
      </c>
      <c r="B2015" t="str">
        <f>"1841639283"</f>
        <v>1841639283</v>
      </c>
      <c r="C2015" t="str">
        <f>"367500000X"</f>
        <v>367500000X</v>
      </c>
      <c r="D2015" t="str">
        <f>"JOHNSON                  DONALD       E           "</f>
        <v xml:space="preserve">JOHNSON                  DONALD       E           </v>
      </c>
      <c r="E2015" t="str">
        <f>"MOBILE                    "</f>
        <v xml:space="preserve">MOBILE                    </v>
      </c>
      <c r="F2015" t="str">
        <f t="shared" si="68"/>
        <v>AL</v>
      </c>
    </row>
    <row r="2016" spans="1:6" x14ac:dyDescent="0.25">
      <c r="A2016" t="str">
        <f>"200025980"</f>
        <v>200025980</v>
      </c>
      <c r="B2016" t="str">
        <f>"1437573961"</f>
        <v>1437573961</v>
      </c>
      <c r="C2016" t="str">
        <f>"367500000X"</f>
        <v>367500000X</v>
      </c>
      <c r="D2016" t="str">
        <f>"MEADOWS                  DAVID                    "</f>
        <v xml:space="preserve">MEADOWS                  DAVID                    </v>
      </c>
      <c r="E2016" t="str">
        <f t="shared" ref="E2016:E2021" si="70">"BIRMINGHAM                "</f>
        <v xml:space="preserve">BIRMINGHAM                </v>
      </c>
      <c r="F2016" t="str">
        <f t="shared" si="68"/>
        <v>AL</v>
      </c>
    </row>
    <row r="2017" spans="1:6" x14ac:dyDescent="0.25">
      <c r="A2017" t="str">
        <f>"200025997"</f>
        <v>200025997</v>
      </c>
      <c r="B2017" t="str">
        <f>"1477910040"</f>
        <v>1477910040</v>
      </c>
      <c r="C2017" t="str">
        <f>"367500000X"</f>
        <v>367500000X</v>
      </c>
      <c r="D2017" t="str">
        <f>"FEDERICO                 MARC                     "</f>
        <v xml:space="preserve">FEDERICO                 MARC                     </v>
      </c>
      <c r="E2017" t="str">
        <f t="shared" si="70"/>
        <v xml:space="preserve">BIRMINGHAM                </v>
      </c>
      <c r="F2017" t="str">
        <f t="shared" si="68"/>
        <v>AL</v>
      </c>
    </row>
    <row r="2018" spans="1:6" x14ac:dyDescent="0.25">
      <c r="A2018" t="str">
        <f>"200026003"</f>
        <v>200026003</v>
      </c>
      <c r="B2018" t="str">
        <f>"1164963377"</f>
        <v>1164963377</v>
      </c>
      <c r="C2018" t="str">
        <f>"2080N0001X"</f>
        <v>2080N0001X</v>
      </c>
      <c r="D2018" t="str">
        <f>"VALCARCE LUACES          VIVIAN                   "</f>
        <v xml:space="preserve">VALCARCE LUACES          VIVIAN                   </v>
      </c>
      <c r="E2018" t="str">
        <f t="shared" si="70"/>
        <v xml:space="preserve">BIRMINGHAM                </v>
      </c>
      <c r="F2018" t="str">
        <f t="shared" si="68"/>
        <v>AL</v>
      </c>
    </row>
    <row r="2019" spans="1:6" x14ac:dyDescent="0.25">
      <c r="A2019" t="str">
        <f>"200026005"</f>
        <v>200026005</v>
      </c>
      <c r="B2019" t="str">
        <f>"1538931043"</f>
        <v>1538931043</v>
      </c>
      <c r="C2019" t="str">
        <f>"363LA2100X"</f>
        <v>363LA2100X</v>
      </c>
      <c r="D2019" t="str">
        <f>"WHITE                    SHELBY                   "</f>
        <v xml:space="preserve">WHITE                    SHELBY                   </v>
      </c>
      <c r="E2019" t="str">
        <f t="shared" si="70"/>
        <v xml:space="preserve">BIRMINGHAM                </v>
      </c>
      <c r="F2019" t="str">
        <f t="shared" si="68"/>
        <v>AL</v>
      </c>
    </row>
    <row r="2020" spans="1:6" x14ac:dyDescent="0.25">
      <c r="A2020" t="str">
        <f>"200026010"</f>
        <v>200026010</v>
      </c>
      <c r="B2020" t="str">
        <f>"1659900801"</f>
        <v>1659900801</v>
      </c>
      <c r="C2020" t="str">
        <f>"2084P0800X"</f>
        <v>2084P0800X</v>
      </c>
      <c r="D2020" t="str">
        <f>"NIOLET                   ADAM                     "</f>
        <v xml:space="preserve">NIOLET                   ADAM                     </v>
      </c>
      <c r="E2020" t="str">
        <f t="shared" si="70"/>
        <v xml:space="preserve">BIRMINGHAM                </v>
      </c>
      <c r="F2020" t="str">
        <f t="shared" si="68"/>
        <v>AL</v>
      </c>
    </row>
    <row r="2021" spans="1:6" x14ac:dyDescent="0.25">
      <c r="A2021" t="str">
        <f>"200026017"</f>
        <v>200026017</v>
      </c>
      <c r="B2021" t="str">
        <f>"1427811405"</f>
        <v>1427811405</v>
      </c>
      <c r="C2021" t="str">
        <f>"363LA2100X"</f>
        <v>363LA2100X</v>
      </c>
      <c r="D2021" t="str">
        <f>"LEWIS                    ASHLEIGH                 "</f>
        <v xml:space="preserve">LEWIS                    ASHLEIGH                 </v>
      </c>
      <c r="E2021" t="str">
        <f t="shared" si="70"/>
        <v xml:space="preserve">BIRMINGHAM                </v>
      </c>
      <c r="F2021" t="str">
        <f t="shared" si="68"/>
        <v>AL</v>
      </c>
    </row>
    <row r="2022" spans="1:6" x14ac:dyDescent="0.25">
      <c r="A2022" t="str">
        <f>"200026019"</f>
        <v>200026019</v>
      </c>
      <c r="B2022" t="str">
        <f>"1609605369"</f>
        <v>1609605369</v>
      </c>
      <c r="C2022" t="str">
        <f>"363A00000X"</f>
        <v>363A00000X</v>
      </c>
      <c r="D2022" t="str">
        <f>"BROUILLETTE              RACHEL                   "</f>
        <v xml:space="preserve">BROUILLETTE              RACHEL                   </v>
      </c>
      <c r="E2022" t="str">
        <f>"MOBILE                    "</f>
        <v xml:space="preserve">MOBILE                    </v>
      </c>
      <c r="F2022" t="str">
        <f t="shared" si="68"/>
        <v>AL</v>
      </c>
    </row>
    <row r="2023" spans="1:6" x14ac:dyDescent="0.25">
      <c r="A2023" t="str">
        <f>"200026027"</f>
        <v>200026027</v>
      </c>
      <c r="B2023" t="str">
        <f>"1710566179"</f>
        <v>1710566179</v>
      </c>
      <c r="C2023" t="str">
        <f>"207P00000X"</f>
        <v>207P00000X</v>
      </c>
      <c r="D2023" t="str">
        <f>"CARTER                   JOSEPH                   "</f>
        <v xml:space="preserve">CARTER                   JOSEPH                   </v>
      </c>
      <c r="E2023" t="str">
        <f>"FLORENCE                  "</f>
        <v xml:space="preserve">FLORENCE                  </v>
      </c>
      <c r="F2023" t="str">
        <f t="shared" si="68"/>
        <v>AL</v>
      </c>
    </row>
    <row r="2024" spans="1:6" x14ac:dyDescent="0.25">
      <c r="A2024" t="str">
        <f>"200026033"</f>
        <v>200026033</v>
      </c>
      <c r="B2024" t="str">
        <f>"1013884964"</f>
        <v>1013884964</v>
      </c>
      <c r="C2024" t="str">
        <f>"363L00000X"</f>
        <v>363L00000X</v>
      </c>
      <c r="D2024" t="str">
        <f>"PEGUES                   SARAH                    "</f>
        <v xml:space="preserve">PEGUES                   SARAH                    </v>
      </c>
      <c r="E2024" t="str">
        <f>"BIRMINGHAM                "</f>
        <v xml:space="preserve">BIRMINGHAM                </v>
      </c>
      <c r="F2024" t="str">
        <f t="shared" si="68"/>
        <v>AL</v>
      </c>
    </row>
    <row r="2025" spans="1:6" x14ac:dyDescent="0.25">
      <c r="A2025" t="str">
        <f>"200026039"</f>
        <v>200026039</v>
      </c>
      <c r="B2025" t="str">
        <f>"1104879618"</f>
        <v>1104879618</v>
      </c>
      <c r="C2025" t="str">
        <f>"367500000X"</f>
        <v>367500000X</v>
      </c>
      <c r="D2025" t="str">
        <f>"FIKES                    PHILIP                   "</f>
        <v xml:space="preserve">FIKES                    PHILIP                   </v>
      </c>
      <c r="E2025" t="str">
        <f>"BIRMINGHAM                "</f>
        <v xml:space="preserve">BIRMINGHAM                </v>
      </c>
      <c r="F2025" t="str">
        <f t="shared" si="68"/>
        <v>AL</v>
      </c>
    </row>
    <row r="2026" spans="1:6" x14ac:dyDescent="0.25">
      <c r="A2026" t="str">
        <f>"200026051"</f>
        <v>200026051</v>
      </c>
      <c r="B2026" t="str">
        <f>"1053538736"</f>
        <v>1053538736</v>
      </c>
      <c r="C2026" t="str">
        <f>"207P00000X"</f>
        <v>207P00000X</v>
      </c>
      <c r="D2026" t="str">
        <f>"HWANGPO                  INKIL                    "</f>
        <v xml:space="preserve">HWANGPO                  INKIL                    </v>
      </c>
      <c r="E2026" t="str">
        <f>"NORTHPORT                 "</f>
        <v xml:space="preserve">NORTHPORT                 </v>
      </c>
      <c r="F2026" t="str">
        <f t="shared" si="68"/>
        <v>AL</v>
      </c>
    </row>
    <row r="2027" spans="1:6" x14ac:dyDescent="0.25">
      <c r="A2027" t="str">
        <f>"200026053"</f>
        <v>200026053</v>
      </c>
      <c r="B2027" t="str">
        <f>"1164280392"</f>
        <v>1164280392</v>
      </c>
      <c r="C2027" t="str">
        <f>"363LA2100X"</f>
        <v>363LA2100X</v>
      </c>
      <c r="D2027" t="str">
        <f>"HIXON                    JOSHUA                   "</f>
        <v xml:space="preserve">HIXON                    JOSHUA                   </v>
      </c>
      <c r="E2027" t="str">
        <f t="shared" ref="E2027:E2036" si="71">"BIRMINGHAM                "</f>
        <v xml:space="preserve">BIRMINGHAM                </v>
      </c>
      <c r="F2027" t="str">
        <f t="shared" si="68"/>
        <v>AL</v>
      </c>
    </row>
    <row r="2028" spans="1:6" x14ac:dyDescent="0.25">
      <c r="A2028" t="str">
        <f>"200026072"</f>
        <v>200026072</v>
      </c>
      <c r="B2028" t="str">
        <f>"1184941254"</f>
        <v>1184941254</v>
      </c>
      <c r="C2028" t="str">
        <f>"207RC0200X"</f>
        <v>207RC0200X</v>
      </c>
      <c r="D2028" t="str">
        <f>"PATEL                    PRIYESH                  "</f>
        <v xml:space="preserve">PATEL                    PRIYESH                  </v>
      </c>
      <c r="E2028" t="str">
        <f t="shared" si="71"/>
        <v xml:space="preserve">BIRMINGHAM                </v>
      </c>
      <c r="F2028" t="str">
        <f t="shared" si="68"/>
        <v>AL</v>
      </c>
    </row>
    <row r="2029" spans="1:6" x14ac:dyDescent="0.25">
      <c r="A2029" t="str">
        <f>"200026104"</f>
        <v>200026104</v>
      </c>
      <c r="B2029" t="str">
        <f>"1386522118"</f>
        <v>1386522118</v>
      </c>
      <c r="C2029" t="str">
        <f>"367A00000X"</f>
        <v>367A00000X</v>
      </c>
      <c r="D2029" t="str">
        <f>"HARDIN TAYLOR            CHANNING NOEL            "</f>
        <v xml:space="preserve">HARDIN TAYLOR            CHANNING NOEL            </v>
      </c>
      <c r="E2029" t="str">
        <f t="shared" si="71"/>
        <v xml:space="preserve">BIRMINGHAM                </v>
      </c>
      <c r="F2029" t="str">
        <f t="shared" si="68"/>
        <v>AL</v>
      </c>
    </row>
    <row r="2030" spans="1:6" x14ac:dyDescent="0.25">
      <c r="A2030" t="str">
        <f>"200026108"</f>
        <v>200026108</v>
      </c>
      <c r="B2030" t="str">
        <f>"1720249097"</f>
        <v>1720249097</v>
      </c>
      <c r="C2030" t="str">
        <f>"207V00000X"</f>
        <v>207V00000X</v>
      </c>
      <c r="D2030" t="str">
        <f>"FREDERICK                SARAH                    "</f>
        <v xml:space="preserve">FREDERICK                SARAH                    </v>
      </c>
      <c r="E2030" t="str">
        <f t="shared" si="71"/>
        <v xml:space="preserve">BIRMINGHAM                </v>
      </c>
      <c r="F2030" t="str">
        <f t="shared" si="68"/>
        <v>AL</v>
      </c>
    </row>
    <row r="2031" spans="1:6" x14ac:dyDescent="0.25">
      <c r="A2031" t="str">
        <f>"200026110"</f>
        <v>200026110</v>
      </c>
      <c r="B2031" t="str">
        <f>"1477597151"</f>
        <v>1477597151</v>
      </c>
      <c r="C2031" t="str">
        <f>"2084P0800X"</f>
        <v>2084P0800X</v>
      </c>
      <c r="D2031" t="str">
        <f>"FARGASON                 RACHEL                   "</f>
        <v xml:space="preserve">FARGASON                 RACHEL                   </v>
      </c>
      <c r="E2031" t="str">
        <f t="shared" si="71"/>
        <v xml:space="preserve">BIRMINGHAM                </v>
      </c>
      <c r="F2031" t="str">
        <f t="shared" si="68"/>
        <v>AL</v>
      </c>
    </row>
    <row r="2032" spans="1:6" x14ac:dyDescent="0.25">
      <c r="A2032" t="str">
        <f>"200026120"</f>
        <v>200026120</v>
      </c>
      <c r="B2032" t="str">
        <f>"1295113322"</f>
        <v>1295113322</v>
      </c>
      <c r="C2032" t="str">
        <f>"367500000X"</f>
        <v>367500000X</v>
      </c>
      <c r="D2032" t="str">
        <f>"SMITH                    BENJAMIN                 "</f>
        <v xml:space="preserve">SMITH                    BENJAMIN                 </v>
      </c>
      <c r="E2032" t="str">
        <f t="shared" si="71"/>
        <v xml:space="preserve">BIRMINGHAM                </v>
      </c>
      <c r="F2032" t="str">
        <f t="shared" si="68"/>
        <v>AL</v>
      </c>
    </row>
    <row r="2033" spans="1:6" x14ac:dyDescent="0.25">
      <c r="A2033" t="str">
        <f>"200026142"</f>
        <v>200026142</v>
      </c>
      <c r="B2033" t="str">
        <f>"1659242279"</f>
        <v>1659242279</v>
      </c>
      <c r="C2033" t="str">
        <f>"363LA2100X"</f>
        <v>363LA2100X</v>
      </c>
      <c r="D2033" t="str">
        <f>"KING                     STEPHANIE                "</f>
        <v xml:space="preserve">KING                     STEPHANIE                </v>
      </c>
      <c r="E2033" t="str">
        <f t="shared" si="71"/>
        <v xml:space="preserve">BIRMINGHAM                </v>
      </c>
      <c r="F2033" t="str">
        <f t="shared" si="68"/>
        <v>AL</v>
      </c>
    </row>
    <row r="2034" spans="1:6" x14ac:dyDescent="0.25">
      <c r="A2034" t="str">
        <f>"200026147"</f>
        <v>200026147</v>
      </c>
      <c r="B2034" t="str">
        <f>"1427191451"</f>
        <v>1427191451</v>
      </c>
      <c r="C2034" t="str">
        <f>"367500000X"</f>
        <v>367500000X</v>
      </c>
      <c r="D2034" t="str">
        <f>"FOUSHEE                  BRIAN                    "</f>
        <v xml:space="preserve">FOUSHEE                  BRIAN                    </v>
      </c>
      <c r="E2034" t="str">
        <f t="shared" si="71"/>
        <v xml:space="preserve">BIRMINGHAM                </v>
      </c>
      <c r="F2034" t="str">
        <f t="shared" si="68"/>
        <v>AL</v>
      </c>
    </row>
    <row r="2035" spans="1:6" x14ac:dyDescent="0.25">
      <c r="A2035" t="str">
        <f>"200026151"</f>
        <v>200026151</v>
      </c>
      <c r="B2035" t="str">
        <f>"1255036190"</f>
        <v>1255036190</v>
      </c>
      <c r="C2035" t="str">
        <f>"363LP0200X"</f>
        <v>363LP0200X</v>
      </c>
      <c r="D2035" t="str">
        <f>"FOY                      JADA                     "</f>
        <v xml:space="preserve">FOY                      JADA                     </v>
      </c>
      <c r="E2035" t="str">
        <f t="shared" si="71"/>
        <v xml:space="preserve">BIRMINGHAM                </v>
      </c>
      <c r="F2035" t="str">
        <f t="shared" si="68"/>
        <v>AL</v>
      </c>
    </row>
    <row r="2036" spans="1:6" x14ac:dyDescent="0.25">
      <c r="A2036" t="str">
        <f>"200026152"</f>
        <v>200026152</v>
      </c>
      <c r="B2036" t="str">
        <f>"1689382202"</f>
        <v>1689382202</v>
      </c>
      <c r="C2036" t="str">
        <f>"363L00000X"</f>
        <v>363L00000X</v>
      </c>
      <c r="D2036" t="str">
        <f>"IRBY                     MARGARET                 "</f>
        <v xml:space="preserve">IRBY                     MARGARET                 </v>
      </c>
      <c r="E2036" t="str">
        <f t="shared" si="71"/>
        <v xml:space="preserve">BIRMINGHAM                </v>
      </c>
      <c r="F2036" t="str">
        <f t="shared" si="68"/>
        <v>AL</v>
      </c>
    </row>
    <row r="2037" spans="1:6" x14ac:dyDescent="0.25">
      <c r="A2037" t="str">
        <f>"200026165"</f>
        <v>200026165</v>
      </c>
      <c r="B2037" t="str">
        <f>"1619206323"</f>
        <v>1619206323</v>
      </c>
      <c r="C2037" t="str">
        <f>"363A00000X"</f>
        <v>363A00000X</v>
      </c>
      <c r="D2037" t="str">
        <f>"HUFFSTUTLER              HANNAH       S           "</f>
        <v xml:space="preserve">HUFFSTUTLER              HANNAH       S           </v>
      </c>
      <c r="E2037" t="str">
        <f>"MOBILE                    "</f>
        <v xml:space="preserve">MOBILE                    </v>
      </c>
      <c r="F2037" t="str">
        <f t="shared" si="68"/>
        <v>AL</v>
      </c>
    </row>
    <row r="2038" spans="1:6" x14ac:dyDescent="0.25">
      <c r="A2038" t="str">
        <f>"200026166"</f>
        <v>200026166</v>
      </c>
      <c r="B2038" t="str">
        <f>"1770561144"</f>
        <v>1770561144</v>
      </c>
      <c r="C2038" t="str">
        <f>"207LP2900X"</f>
        <v>207LP2900X</v>
      </c>
      <c r="D2038" t="str">
        <f>"LANSDEN                  ROBERT                   "</f>
        <v xml:space="preserve">LANSDEN                  ROBERT                   </v>
      </c>
      <c r="E2038" t="str">
        <f>"BIRMINGHAM                "</f>
        <v xml:space="preserve">BIRMINGHAM                </v>
      </c>
      <c r="F2038" t="str">
        <f t="shared" si="68"/>
        <v>AL</v>
      </c>
    </row>
    <row r="2039" spans="1:6" x14ac:dyDescent="0.25">
      <c r="A2039" t="str">
        <f>"200026181"</f>
        <v>200026181</v>
      </c>
      <c r="B2039" t="str">
        <f>"1710717236"</f>
        <v>1710717236</v>
      </c>
      <c r="C2039" t="str">
        <f>"363A00000X"</f>
        <v>363A00000X</v>
      </c>
      <c r="D2039" t="str">
        <f>"GANUS                    LUKE                     "</f>
        <v xml:space="preserve">GANUS                    LUKE                     </v>
      </c>
      <c r="E2039" t="str">
        <f>"BIRMINGHAM                "</f>
        <v xml:space="preserve">BIRMINGHAM                </v>
      </c>
      <c r="F2039" t="str">
        <f t="shared" si="68"/>
        <v>AL</v>
      </c>
    </row>
    <row r="2040" spans="1:6" x14ac:dyDescent="0.25">
      <c r="A2040" t="str">
        <f>"200026184"</f>
        <v>200026184</v>
      </c>
      <c r="B2040" t="str">
        <f>"1871623736"</f>
        <v>1871623736</v>
      </c>
      <c r="C2040" t="str">
        <f>"122300000X"</f>
        <v>122300000X</v>
      </c>
      <c r="D2040" t="str">
        <f>"GREENLEAF III            STEPHEN      E           "</f>
        <v xml:space="preserve">GREENLEAF III            STEPHEN      E           </v>
      </c>
      <c r="E2040" t="str">
        <f>"MOBILE                    "</f>
        <v xml:space="preserve">MOBILE                    </v>
      </c>
      <c r="F2040" t="str">
        <f t="shared" si="68"/>
        <v>AL</v>
      </c>
    </row>
    <row r="2041" spans="1:6" x14ac:dyDescent="0.25">
      <c r="A2041" t="str">
        <f>"200026187"</f>
        <v>200026187</v>
      </c>
      <c r="B2041" t="str">
        <f>"1588183297"</f>
        <v>1588183297</v>
      </c>
      <c r="C2041" t="str">
        <f>"363LP0808X"</f>
        <v>363LP0808X</v>
      </c>
      <c r="D2041" t="str">
        <f>"KNIGHT                   LAKISHA                  "</f>
        <v xml:space="preserve">KNIGHT                   LAKISHA                  </v>
      </c>
      <c r="E2041" t="str">
        <f>"BIRMINGHAM                "</f>
        <v xml:space="preserve">BIRMINGHAM                </v>
      </c>
      <c r="F2041" t="str">
        <f t="shared" si="68"/>
        <v>AL</v>
      </c>
    </row>
    <row r="2042" spans="1:6" x14ac:dyDescent="0.25">
      <c r="A2042" t="str">
        <f>"200026196"</f>
        <v>200026196</v>
      </c>
      <c r="B2042" t="str">
        <f>"1699540989"</f>
        <v>1699540989</v>
      </c>
      <c r="C2042" t="str">
        <f>"363L00000X"</f>
        <v>363L00000X</v>
      </c>
      <c r="D2042" t="str">
        <f>"CHOI                     ANNA                     "</f>
        <v xml:space="preserve">CHOI                     ANNA                     </v>
      </c>
      <c r="E2042" t="str">
        <f>"BIRMINGHAM                "</f>
        <v xml:space="preserve">BIRMINGHAM                </v>
      </c>
      <c r="F2042" t="str">
        <f t="shared" si="68"/>
        <v>AL</v>
      </c>
    </row>
    <row r="2043" spans="1:6" x14ac:dyDescent="0.25">
      <c r="A2043" t="str">
        <f>"200026200"</f>
        <v>200026200</v>
      </c>
      <c r="B2043" t="str">
        <f>"1801357017"</f>
        <v>1801357017</v>
      </c>
      <c r="C2043" t="str">
        <f>"208M00000X"</f>
        <v>208M00000X</v>
      </c>
      <c r="D2043" t="str">
        <f>"WILKERSON                HUNTER                   "</f>
        <v xml:space="preserve">WILKERSON                HUNTER                   </v>
      </c>
      <c r="E2043" t="str">
        <f>"BIRMINGHAM                "</f>
        <v xml:space="preserve">BIRMINGHAM                </v>
      </c>
      <c r="F2043" t="str">
        <f t="shared" si="68"/>
        <v>AL</v>
      </c>
    </row>
    <row r="2044" spans="1:6" x14ac:dyDescent="0.25">
      <c r="A2044" t="str">
        <f>"200026234"</f>
        <v>200026234</v>
      </c>
      <c r="B2044" t="str">
        <f>"1790128429"</f>
        <v>1790128429</v>
      </c>
      <c r="C2044" t="str">
        <f>"207Q00000X"</f>
        <v>207Q00000X</v>
      </c>
      <c r="D2044" t="str">
        <f>"DAVIS                    ASHLEY                   "</f>
        <v xml:space="preserve">DAVIS                    ASHLEY                   </v>
      </c>
      <c r="E2044" t="str">
        <f>"MOBILE                    "</f>
        <v xml:space="preserve">MOBILE                    </v>
      </c>
      <c r="F2044" t="str">
        <f t="shared" si="68"/>
        <v>AL</v>
      </c>
    </row>
    <row r="2045" spans="1:6" x14ac:dyDescent="0.25">
      <c r="A2045" t="str">
        <f>"200026237"</f>
        <v>200026237</v>
      </c>
      <c r="B2045" t="str">
        <f>"1154196491"</f>
        <v>1154196491</v>
      </c>
      <c r="C2045" t="str">
        <f>"363LA2100X"</f>
        <v>363LA2100X</v>
      </c>
      <c r="D2045" t="str">
        <f>"GOODWIN                  MITCHELL                 "</f>
        <v xml:space="preserve">GOODWIN                  MITCHELL                 </v>
      </c>
      <c r="E2045" t="str">
        <f>"BIRMINGHAM                "</f>
        <v xml:space="preserve">BIRMINGHAM                </v>
      </c>
      <c r="F2045" t="str">
        <f t="shared" si="68"/>
        <v>AL</v>
      </c>
    </row>
    <row r="2046" spans="1:6" x14ac:dyDescent="0.25">
      <c r="A2046" t="str">
        <f>"200026241"</f>
        <v>200026241</v>
      </c>
      <c r="B2046" t="str">
        <f>"1598531485"</f>
        <v>1598531485</v>
      </c>
      <c r="C2046" t="str">
        <f>"363L00000X"</f>
        <v>363L00000X</v>
      </c>
      <c r="D2046" t="str">
        <f>"ANTHONY                  MORGAN                   "</f>
        <v xml:space="preserve">ANTHONY                  MORGAN                   </v>
      </c>
      <c r="E2046" t="str">
        <f>"BIRMINGHAM                "</f>
        <v xml:space="preserve">BIRMINGHAM                </v>
      </c>
      <c r="F2046" t="str">
        <f t="shared" si="68"/>
        <v>AL</v>
      </c>
    </row>
    <row r="2047" spans="1:6" x14ac:dyDescent="0.25">
      <c r="A2047" t="str">
        <f>"200026244"</f>
        <v>200026244</v>
      </c>
      <c r="B2047" t="str">
        <f>"1649324641"</f>
        <v>1649324641</v>
      </c>
      <c r="C2047" t="str">
        <f>"208600000X"</f>
        <v>208600000X</v>
      </c>
      <c r="D2047" t="str">
        <f>"GARONZIK WANG            JACQUELINE               "</f>
        <v xml:space="preserve">GARONZIK WANG            JACQUELINE               </v>
      </c>
      <c r="E2047" t="str">
        <f>"BIRMINGHAM                "</f>
        <v xml:space="preserve">BIRMINGHAM                </v>
      </c>
      <c r="F2047" t="str">
        <f t="shared" si="68"/>
        <v>AL</v>
      </c>
    </row>
    <row r="2048" spans="1:6" x14ac:dyDescent="0.25">
      <c r="A2048" t="str">
        <f>"200026247"</f>
        <v>200026247</v>
      </c>
      <c r="B2048" t="str">
        <f>"1750868683"</f>
        <v>1750868683</v>
      </c>
      <c r="C2048" t="str">
        <f>"363A00000X"</f>
        <v>363A00000X</v>
      </c>
      <c r="D2048" t="str">
        <f>"DAVID                    CHRISTEEN                "</f>
        <v xml:space="preserve">DAVID                    CHRISTEEN                </v>
      </c>
      <c r="E2048" t="str">
        <f>"BIRMINGHAM                "</f>
        <v xml:space="preserve">BIRMINGHAM                </v>
      </c>
      <c r="F2048" t="str">
        <f t="shared" si="68"/>
        <v>AL</v>
      </c>
    </row>
    <row r="2049" spans="1:6" x14ac:dyDescent="0.25">
      <c r="A2049" t="str">
        <f>"200026248"</f>
        <v>200026248</v>
      </c>
      <c r="B2049" t="str">
        <f>"1821829805"</f>
        <v>1821829805</v>
      </c>
      <c r="C2049" t="str">
        <f>"363A00000X"</f>
        <v>363A00000X</v>
      </c>
      <c r="D2049" t="str">
        <f>"MERKEL                   MATTHEW                  "</f>
        <v xml:space="preserve">MERKEL                   MATTHEW                  </v>
      </c>
      <c r="E2049" t="str">
        <f>"BIRMINGHAM                "</f>
        <v xml:space="preserve">BIRMINGHAM                </v>
      </c>
      <c r="F2049" t="str">
        <f t="shared" si="68"/>
        <v>AL</v>
      </c>
    </row>
    <row r="2050" spans="1:6" x14ac:dyDescent="0.25">
      <c r="A2050" t="str">
        <f>"200026250"</f>
        <v>200026250</v>
      </c>
      <c r="B2050" t="str">
        <f>"1811647274"</f>
        <v>1811647274</v>
      </c>
      <c r="C2050" t="str">
        <f>"208M00000X"</f>
        <v>208M00000X</v>
      </c>
      <c r="D2050" t="str">
        <f>"IJAZ                     ZOHAIB                   "</f>
        <v xml:space="preserve">IJAZ                     ZOHAIB                   </v>
      </c>
      <c r="E2050" t="str">
        <f>"MOBILE                    "</f>
        <v xml:space="preserve">MOBILE                    </v>
      </c>
      <c r="F2050" t="str">
        <f t="shared" si="68"/>
        <v>AL</v>
      </c>
    </row>
    <row r="2051" spans="1:6" x14ac:dyDescent="0.25">
      <c r="A2051" t="str">
        <f>"200026316"</f>
        <v>200026316</v>
      </c>
      <c r="B2051" t="str">
        <f>"1447939269"</f>
        <v>1447939269</v>
      </c>
      <c r="C2051" t="str">
        <f>"363A00000X"</f>
        <v>363A00000X</v>
      </c>
      <c r="D2051" t="str">
        <f>"PATE                     SAVANNAH     M           "</f>
        <v xml:space="preserve">PATE                     SAVANNAH     M           </v>
      </c>
      <c r="E2051" t="str">
        <f>"MOBILE                    "</f>
        <v xml:space="preserve">MOBILE                    </v>
      </c>
      <c r="F2051" t="str">
        <f t="shared" si="68"/>
        <v>AL</v>
      </c>
    </row>
    <row r="2052" spans="1:6" x14ac:dyDescent="0.25">
      <c r="A2052" t="str">
        <f>"200026370"</f>
        <v>200026370</v>
      </c>
      <c r="B2052" t="str">
        <f>"1083582126"</f>
        <v>1083582126</v>
      </c>
      <c r="C2052" t="str">
        <f>"363LA2100X"</f>
        <v>363LA2100X</v>
      </c>
      <c r="D2052" t="str">
        <f>"WALLER                   EMILY                    "</f>
        <v xml:space="preserve">WALLER                   EMILY                    </v>
      </c>
      <c r="E2052" t="str">
        <f>"BIRMINGHAM                "</f>
        <v xml:space="preserve">BIRMINGHAM                </v>
      </c>
      <c r="F2052" t="str">
        <f t="shared" si="68"/>
        <v>AL</v>
      </c>
    </row>
    <row r="2053" spans="1:6" x14ac:dyDescent="0.25">
      <c r="A2053" t="str">
        <f>"200026396"</f>
        <v>200026396</v>
      </c>
      <c r="B2053" t="str">
        <f>"1124461769"</f>
        <v>1124461769</v>
      </c>
      <c r="C2053" t="str">
        <f>"207RN0300X"</f>
        <v>207RN0300X</v>
      </c>
      <c r="D2053" t="str">
        <f>"PARRIS                   TYLER                    "</f>
        <v xml:space="preserve">PARRIS                   TYLER                    </v>
      </c>
      <c r="E2053" t="str">
        <f>"MOBILE                    "</f>
        <v xml:space="preserve">MOBILE                    </v>
      </c>
      <c r="F2053" t="str">
        <f t="shared" si="68"/>
        <v>AL</v>
      </c>
    </row>
    <row r="2054" spans="1:6" x14ac:dyDescent="0.25">
      <c r="A2054" t="str">
        <f>"200026408"</f>
        <v>200026408</v>
      </c>
      <c r="B2054" t="str">
        <f>"1932761814"</f>
        <v>1932761814</v>
      </c>
      <c r="C2054" t="str">
        <f>"207Q00000X"</f>
        <v>207Q00000X</v>
      </c>
      <c r="D2054" t="str">
        <f>"PHAM                     MINH                     "</f>
        <v xml:space="preserve">PHAM                     MINH                     </v>
      </c>
      <c r="E2054" t="str">
        <f>"MOBILE                    "</f>
        <v xml:space="preserve">MOBILE                    </v>
      </c>
      <c r="F2054" t="str">
        <f t="shared" si="68"/>
        <v>AL</v>
      </c>
    </row>
    <row r="2055" spans="1:6" x14ac:dyDescent="0.25">
      <c r="A2055" t="str">
        <f>"200026457"</f>
        <v>200026457</v>
      </c>
      <c r="B2055" t="str">
        <f>"1588860159"</f>
        <v>1588860159</v>
      </c>
      <c r="C2055" t="str">
        <f>"2085R0204X"</f>
        <v>2085R0204X</v>
      </c>
      <c r="D2055" t="str">
        <f>"ASANDRA                  AMY          S           "</f>
        <v xml:space="preserve">ASANDRA                  AMY          S           </v>
      </c>
      <c r="E2055" t="str">
        <f>"MOBILE                    "</f>
        <v xml:space="preserve">MOBILE                    </v>
      </c>
      <c r="F2055" t="str">
        <f t="shared" ref="F2055:F2118" si="72">"AL"</f>
        <v>AL</v>
      </c>
    </row>
    <row r="2056" spans="1:6" x14ac:dyDescent="0.25">
      <c r="A2056" t="str">
        <f>"200026463"</f>
        <v>200026463</v>
      </c>
      <c r="B2056" t="str">
        <f>"1376289025"</f>
        <v>1376289025</v>
      </c>
      <c r="C2056" t="str">
        <f>"207P00000X"</f>
        <v>207P00000X</v>
      </c>
      <c r="D2056" t="str">
        <f>"MENDES                   MARY ANNE                "</f>
        <v xml:space="preserve">MENDES                   MARY ANNE                </v>
      </c>
      <c r="E2056" t="str">
        <f>"MOBILE                    "</f>
        <v xml:space="preserve">MOBILE                    </v>
      </c>
      <c r="F2056" t="str">
        <f t="shared" si="72"/>
        <v>AL</v>
      </c>
    </row>
    <row r="2057" spans="1:6" x14ac:dyDescent="0.25">
      <c r="A2057" t="str">
        <f>"200026497"</f>
        <v>200026497</v>
      </c>
      <c r="B2057" t="str">
        <f>"1417233644"</f>
        <v>1417233644</v>
      </c>
      <c r="C2057" t="str">
        <f>"207R00000X"</f>
        <v>207R00000X</v>
      </c>
      <c r="D2057" t="str">
        <f>"SWETHA SAMJI             NAGA                     "</f>
        <v xml:space="preserve">SWETHA SAMJI             NAGA                     </v>
      </c>
      <c r="E2057" t="str">
        <f>"BIRMINGHAM                "</f>
        <v xml:space="preserve">BIRMINGHAM                </v>
      </c>
      <c r="F2057" t="str">
        <f t="shared" si="72"/>
        <v>AL</v>
      </c>
    </row>
    <row r="2058" spans="1:6" x14ac:dyDescent="0.25">
      <c r="A2058" t="str">
        <f>"200026556"</f>
        <v>200026556</v>
      </c>
      <c r="B2058" t="str">
        <f>"1255081501"</f>
        <v>1255081501</v>
      </c>
      <c r="C2058" t="str">
        <f>"208000000X"</f>
        <v>208000000X</v>
      </c>
      <c r="D2058" t="str">
        <f>"SCARBROUGH               JOHN                     "</f>
        <v xml:space="preserve">SCARBROUGH               JOHN                     </v>
      </c>
      <c r="E2058" t="str">
        <f>"MOBILE                    "</f>
        <v xml:space="preserve">MOBILE                    </v>
      </c>
      <c r="F2058" t="str">
        <f t="shared" si="72"/>
        <v>AL</v>
      </c>
    </row>
    <row r="2059" spans="1:6" x14ac:dyDescent="0.25">
      <c r="A2059" t="str">
        <f>"200026579"</f>
        <v>200026579</v>
      </c>
      <c r="B2059" t="str">
        <f>"1558931311"</f>
        <v>1558931311</v>
      </c>
      <c r="C2059" t="str">
        <f>"367500000X"</f>
        <v>367500000X</v>
      </c>
      <c r="D2059" t="str">
        <f>"LABRECHE                 CATHERINE                "</f>
        <v xml:space="preserve">LABRECHE                 CATHERINE                </v>
      </c>
      <c r="E2059" t="str">
        <f>"BIRMINGHAM                "</f>
        <v xml:space="preserve">BIRMINGHAM                </v>
      </c>
      <c r="F2059" t="str">
        <f t="shared" si="72"/>
        <v>AL</v>
      </c>
    </row>
    <row r="2060" spans="1:6" x14ac:dyDescent="0.25">
      <c r="A2060" t="str">
        <f>"200026605"</f>
        <v>200026605</v>
      </c>
      <c r="B2060" t="str">
        <f>"1407275068"</f>
        <v>1407275068</v>
      </c>
      <c r="C2060" t="str">
        <f>"207RN0300X"</f>
        <v>207RN0300X</v>
      </c>
      <c r="D2060" t="str">
        <f>"FELIS                    ANDREW                   "</f>
        <v xml:space="preserve">FELIS                    ANDREW                   </v>
      </c>
      <c r="E2060" t="str">
        <f>"MOBILE                    "</f>
        <v xml:space="preserve">MOBILE                    </v>
      </c>
      <c r="F2060" t="str">
        <f t="shared" si="72"/>
        <v>AL</v>
      </c>
    </row>
    <row r="2061" spans="1:6" x14ac:dyDescent="0.25">
      <c r="A2061" t="str">
        <f>"200026612"</f>
        <v>200026612</v>
      </c>
      <c r="B2061" t="str">
        <f>"1992325724"</f>
        <v>1992325724</v>
      </c>
      <c r="C2061" t="str">
        <f>"208800000X"</f>
        <v>208800000X</v>
      </c>
      <c r="D2061" t="str">
        <f>"CHANAMOLU                DIMPLE                   "</f>
        <v xml:space="preserve">CHANAMOLU                DIMPLE                   </v>
      </c>
      <c r="E2061" t="str">
        <f>"MOBILE                    "</f>
        <v xml:space="preserve">MOBILE                    </v>
      </c>
      <c r="F2061" t="str">
        <f t="shared" si="72"/>
        <v>AL</v>
      </c>
    </row>
    <row r="2062" spans="1:6" x14ac:dyDescent="0.25">
      <c r="A2062" t="str">
        <f>"200026614"</f>
        <v>200026614</v>
      </c>
      <c r="B2062" t="str">
        <f>"1063484335"</f>
        <v>1063484335</v>
      </c>
      <c r="C2062" t="str">
        <f>"207Q00000X"</f>
        <v>207Q00000X</v>
      </c>
      <c r="D2062" t="str">
        <f>"BRYARS                   CHARLES                  "</f>
        <v xml:space="preserve">BRYARS                   CHARLES                  </v>
      </c>
      <c r="E2062" t="str">
        <f>"MOBILE                    "</f>
        <v xml:space="preserve">MOBILE                    </v>
      </c>
      <c r="F2062" t="str">
        <f t="shared" si="72"/>
        <v>AL</v>
      </c>
    </row>
    <row r="2063" spans="1:6" x14ac:dyDescent="0.25">
      <c r="A2063" t="str">
        <f>"200026626"</f>
        <v>200026626</v>
      </c>
      <c r="B2063" t="str">
        <f>"1043085327"</f>
        <v>1043085327</v>
      </c>
      <c r="C2063" t="str">
        <f>"363LA2100X"</f>
        <v>363LA2100X</v>
      </c>
      <c r="D2063" t="str">
        <f>"STRYCKER                 MICHAEL                  "</f>
        <v xml:space="preserve">STRYCKER                 MICHAEL                  </v>
      </c>
      <c r="E2063" t="str">
        <f>"BIRMINGHAM                "</f>
        <v xml:space="preserve">BIRMINGHAM                </v>
      </c>
      <c r="F2063" t="str">
        <f t="shared" si="72"/>
        <v>AL</v>
      </c>
    </row>
    <row r="2064" spans="1:6" x14ac:dyDescent="0.25">
      <c r="A2064" t="str">
        <f>"200026637"</f>
        <v>200026637</v>
      </c>
      <c r="B2064" t="str">
        <f>"1578178943"</f>
        <v>1578178943</v>
      </c>
      <c r="C2064" t="str">
        <f>"363L00000X"</f>
        <v>363L00000X</v>
      </c>
      <c r="D2064" t="str">
        <f>"WILLYERD                 DEANNA                   "</f>
        <v xml:space="preserve">WILLYERD                 DEANNA                   </v>
      </c>
      <c r="E2064" t="str">
        <f t="shared" ref="E2064:E2069" si="73">"MOBILE                    "</f>
        <v xml:space="preserve">MOBILE                    </v>
      </c>
      <c r="F2064" t="str">
        <f t="shared" si="72"/>
        <v>AL</v>
      </c>
    </row>
    <row r="2065" spans="1:6" x14ac:dyDescent="0.25">
      <c r="A2065" t="str">
        <f>"200026642"</f>
        <v>200026642</v>
      </c>
      <c r="B2065" t="str">
        <f>"1568476588"</f>
        <v>1568476588</v>
      </c>
      <c r="C2065" t="str">
        <f>"207R00000X"</f>
        <v>207R00000X</v>
      </c>
      <c r="D2065" t="str">
        <f>"DELMAS                   JOHN                     "</f>
        <v xml:space="preserve">DELMAS                   JOHN                     </v>
      </c>
      <c r="E2065" t="str">
        <f t="shared" si="73"/>
        <v xml:space="preserve">MOBILE                    </v>
      </c>
      <c r="F2065" t="str">
        <f t="shared" si="72"/>
        <v>AL</v>
      </c>
    </row>
    <row r="2066" spans="1:6" x14ac:dyDescent="0.25">
      <c r="A2066" t="str">
        <f>"200026645"</f>
        <v>200026645</v>
      </c>
      <c r="B2066" t="str">
        <f>"1528072113"</f>
        <v>1528072113</v>
      </c>
      <c r="C2066" t="str">
        <f>"207R00000X"</f>
        <v>207R00000X</v>
      </c>
      <c r="D2066" t="str">
        <f>"DOUGLAS                  ALLISON                  "</f>
        <v xml:space="preserve">DOUGLAS                  ALLISON                  </v>
      </c>
      <c r="E2066" t="str">
        <f t="shared" si="73"/>
        <v xml:space="preserve">MOBILE                    </v>
      </c>
      <c r="F2066" t="str">
        <f t="shared" si="72"/>
        <v>AL</v>
      </c>
    </row>
    <row r="2067" spans="1:6" x14ac:dyDescent="0.25">
      <c r="A2067" t="str">
        <f>"200026654"</f>
        <v>200026654</v>
      </c>
      <c r="B2067" t="str">
        <f>"1871706978"</f>
        <v>1871706978</v>
      </c>
      <c r="C2067" t="str">
        <f>"363LA2100X"</f>
        <v>363LA2100X</v>
      </c>
      <c r="D2067" t="str">
        <f>"BALIEM                   WILMA                    "</f>
        <v xml:space="preserve">BALIEM                   WILMA                    </v>
      </c>
      <c r="E2067" t="str">
        <f t="shared" si="73"/>
        <v xml:space="preserve">MOBILE                    </v>
      </c>
      <c r="F2067" t="str">
        <f t="shared" si="72"/>
        <v>AL</v>
      </c>
    </row>
    <row r="2068" spans="1:6" x14ac:dyDescent="0.25">
      <c r="A2068" t="str">
        <f>"200026655"</f>
        <v>200026655</v>
      </c>
      <c r="B2068" t="str">
        <f>"1265993364"</f>
        <v>1265993364</v>
      </c>
      <c r="C2068" t="str">
        <f>"207RH0003X"</f>
        <v>207RH0003X</v>
      </c>
      <c r="D2068" t="str">
        <f>"TRICE                    CELESTE                  "</f>
        <v xml:space="preserve">TRICE                    CELESTE                  </v>
      </c>
      <c r="E2068" t="str">
        <f t="shared" si="73"/>
        <v xml:space="preserve">MOBILE                    </v>
      </c>
      <c r="F2068" t="str">
        <f t="shared" si="72"/>
        <v>AL</v>
      </c>
    </row>
    <row r="2069" spans="1:6" x14ac:dyDescent="0.25">
      <c r="A2069" t="str">
        <f>"200026667"</f>
        <v>200026667</v>
      </c>
      <c r="B2069" t="str">
        <f>"1306415807"</f>
        <v>1306415807</v>
      </c>
      <c r="C2069" t="str">
        <f>"207Q00000X"</f>
        <v>207Q00000X</v>
      </c>
      <c r="D2069" t="str">
        <f>"MEIER                    AMANDA                   "</f>
        <v xml:space="preserve">MEIER                    AMANDA                   </v>
      </c>
      <c r="E2069" t="str">
        <f t="shared" si="73"/>
        <v xml:space="preserve">MOBILE                    </v>
      </c>
      <c r="F2069" t="str">
        <f t="shared" si="72"/>
        <v>AL</v>
      </c>
    </row>
    <row r="2070" spans="1:6" x14ac:dyDescent="0.25">
      <c r="A2070" t="str">
        <f>"200026704"</f>
        <v>200026704</v>
      </c>
      <c r="B2070" t="str">
        <f>"1326545211"</f>
        <v>1326545211</v>
      </c>
      <c r="C2070" t="str">
        <f>"208800000X"</f>
        <v>208800000X</v>
      </c>
      <c r="D2070" t="str">
        <f>"KIRMIZ                   SAMER                    "</f>
        <v xml:space="preserve">KIRMIZ                   SAMER                    </v>
      </c>
      <c r="E2070" t="str">
        <f>"FLORENCE                  "</f>
        <v xml:space="preserve">FLORENCE                  </v>
      </c>
      <c r="F2070" t="str">
        <f t="shared" si="72"/>
        <v>AL</v>
      </c>
    </row>
    <row r="2071" spans="1:6" x14ac:dyDescent="0.25">
      <c r="A2071" t="str">
        <f>"200026752"</f>
        <v>200026752</v>
      </c>
      <c r="B2071" t="str">
        <f>"1184582272"</f>
        <v>1184582272</v>
      </c>
      <c r="C2071" t="str">
        <f>"367500000X"</f>
        <v>367500000X</v>
      </c>
      <c r="D2071" t="str">
        <f>"WALLACE                  HANNAH                   "</f>
        <v xml:space="preserve">WALLACE                  HANNAH                   </v>
      </c>
      <c r="E2071" t="str">
        <f>"MOBILE                    "</f>
        <v xml:space="preserve">MOBILE                    </v>
      </c>
      <c r="F2071" t="str">
        <f t="shared" si="72"/>
        <v>AL</v>
      </c>
    </row>
    <row r="2072" spans="1:6" x14ac:dyDescent="0.25">
      <c r="A2072" t="str">
        <f>"200026779"</f>
        <v>200026779</v>
      </c>
      <c r="B2072" t="str">
        <f>"1881432003"</f>
        <v>1881432003</v>
      </c>
      <c r="C2072" t="str">
        <f>"363A00000X"</f>
        <v>363A00000X</v>
      </c>
      <c r="D2072" t="str">
        <f>"FRYE                     CAITLYN                  "</f>
        <v xml:space="preserve">FRYE                     CAITLYN                  </v>
      </c>
      <c r="E2072" t="str">
        <f>"MOBILE                    "</f>
        <v xml:space="preserve">MOBILE                    </v>
      </c>
      <c r="F2072" t="str">
        <f t="shared" si="72"/>
        <v>AL</v>
      </c>
    </row>
    <row r="2073" spans="1:6" x14ac:dyDescent="0.25">
      <c r="A2073" t="str">
        <f>"200026787"</f>
        <v>200026787</v>
      </c>
      <c r="B2073" t="str">
        <f>"1629953609"</f>
        <v>1629953609</v>
      </c>
      <c r="C2073" t="str">
        <f>"367500000X"</f>
        <v>367500000X</v>
      </c>
      <c r="D2073" t="str">
        <f>"AMYS                     RUBY                     "</f>
        <v xml:space="preserve">AMYS                     RUBY                     </v>
      </c>
      <c r="E2073" t="str">
        <f>"MOBILE                    "</f>
        <v xml:space="preserve">MOBILE                    </v>
      </c>
      <c r="F2073" t="str">
        <f t="shared" si="72"/>
        <v>AL</v>
      </c>
    </row>
    <row r="2074" spans="1:6" x14ac:dyDescent="0.25">
      <c r="A2074" t="str">
        <f>"200026814"</f>
        <v>200026814</v>
      </c>
      <c r="B2074" t="str">
        <f>"1184694689"</f>
        <v>1184694689</v>
      </c>
      <c r="C2074" t="str">
        <f>"363A00000X"</f>
        <v>363A00000X</v>
      </c>
      <c r="D2074" t="str">
        <f>"SARAPIN                  BRIAN                    "</f>
        <v xml:space="preserve">SARAPIN                  BRIAN                    </v>
      </c>
      <c r="E2074" t="str">
        <f>"MUSCLE SHOALS             "</f>
        <v xml:space="preserve">MUSCLE SHOALS             </v>
      </c>
      <c r="F2074" t="str">
        <f t="shared" si="72"/>
        <v>AL</v>
      </c>
    </row>
    <row r="2075" spans="1:6" x14ac:dyDescent="0.25">
      <c r="A2075" t="str">
        <f>"200026893"</f>
        <v>200026893</v>
      </c>
      <c r="B2075" t="str">
        <f>"1669243846"</f>
        <v>1669243846</v>
      </c>
      <c r="C2075" t="str">
        <f>"363LA2100X"</f>
        <v>363LA2100X</v>
      </c>
      <c r="D2075" t="str">
        <f>"MACK                     ALEXA                    "</f>
        <v xml:space="preserve">MACK                     ALEXA                    </v>
      </c>
      <c r="E2075" t="str">
        <f>"BIRMINGHAM                "</f>
        <v xml:space="preserve">BIRMINGHAM                </v>
      </c>
      <c r="F2075" t="str">
        <f t="shared" si="72"/>
        <v>AL</v>
      </c>
    </row>
    <row r="2076" spans="1:6" x14ac:dyDescent="0.25">
      <c r="A2076" t="str">
        <f>"200026950"</f>
        <v>200026950</v>
      </c>
      <c r="B2076" t="str">
        <f>"1386008761"</f>
        <v>1386008761</v>
      </c>
      <c r="C2076" t="str">
        <f>"363A00000X"</f>
        <v>363A00000X</v>
      </c>
      <c r="D2076" t="str">
        <f>"CLARK                    CAITLIN      A           "</f>
        <v xml:space="preserve">CLARK                    CAITLIN      A           </v>
      </c>
      <c r="E2076" t="str">
        <f t="shared" ref="E2076:E2081" si="74">"MOBILE                    "</f>
        <v xml:space="preserve">MOBILE                    </v>
      </c>
      <c r="F2076" t="str">
        <f t="shared" si="72"/>
        <v>AL</v>
      </c>
    </row>
    <row r="2077" spans="1:6" x14ac:dyDescent="0.25">
      <c r="A2077" t="str">
        <f>"200026964"</f>
        <v>200026964</v>
      </c>
      <c r="B2077" t="str">
        <f>"1972278935"</f>
        <v>1972278935</v>
      </c>
      <c r="C2077" t="str">
        <f>"363LP0200X"</f>
        <v>363LP0200X</v>
      </c>
      <c r="D2077" t="str">
        <f>"WILLIAMS                 MARY                     "</f>
        <v xml:space="preserve">WILLIAMS                 MARY                     </v>
      </c>
      <c r="E2077" t="str">
        <f t="shared" si="74"/>
        <v xml:space="preserve">MOBILE                    </v>
      </c>
      <c r="F2077" t="str">
        <f t="shared" si="72"/>
        <v>AL</v>
      </c>
    </row>
    <row r="2078" spans="1:6" x14ac:dyDescent="0.25">
      <c r="A2078" t="str">
        <f>"200026989"</f>
        <v>200026989</v>
      </c>
      <c r="B2078" t="str">
        <f>"1679886741"</f>
        <v>1679886741</v>
      </c>
      <c r="C2078" t="str">
        <f>"207VM0101X"</f>
        <v>207VM0101X</v>
      </c>
      <c r="D2078" t="str">
        <f>"PATWARDHAN               SANJAY       C           "</f>
        <v xml:space="preserve">PATWARDHAN               SANJAY       C           </v>
      </c>
      <c r="E2078" t="str">
        <f t="shared" si="74"/>
        <v xml:space="preserve">MOBILE                    </v>
      </c>
      <c r="F2078" t="str">
        <f t="shared" si="72"/>
        <v>AL</v>
      </c>
    </row>
    <row r="2079" spans="1:6" x14ac:dyDescent="0.25">
      <c r="A2079" t="str">
        <f>"200027002"</f>
        <v>200027002</v>
      </c>
      <c r="B2079" t="str">
        <f>"1609607688"</f>
        <v>1609607688</v>
      </c>
      <c r="C2079" t="str">
        <f>"363A00000X"</f>
        <v>363A00000X</v>
      </c>
      <c r="D2079" t="str">
        <f>"KOCH                     KAYLEIGH                 "</f>
        <v xml:space="preserve">KOCH                     KAYLEIGH                 </v>
      </c>
      <c r="E2079" t="str">
        <f t="shared" si="74"/>
        <v xml:space="preserve">MOBILE                    </v>
      </c>
      <c r="F2079" t="str">
        <f t="shared" si="72"/>
        <v>AL</v>
      </c>
    </row>
    <row r="2080" spans="1:6" x14ac:dyDescent="0.25">
      <c r="A2080" t="str">
        <f>"200027028"</f>
        <v>200027028</v>
      </c>
      <c r="B2080" t="str">
        <f>"1669454948"</f>
        <v>1669454948</v>
      </c>
      <c r="C2080" t="str">
        <f>"207P00000X"</f>
        <v>207P00000X</v>
      </c>
      <c r="D2080" t="str">
        <f>"GOODWIN                  TIMOTHY      B           "</f>
        <v xml:space="preserve">GOODWIN                  TIMOTHY      B           </v>
      </c>
      <c r="E2080" t="str">
        <f t="shared" si="74"/>
        <v xml:space="preserve">MOBILE                    </v>
      </c>
      <c r="F2080" t="str">
        <f t="shared" si="72"/>
        <v>AL</v>
      </c>
    </row>
    <row r="2081" spans="1:6" x14ac:dyDescent="0.25">
      <c r="A2081" t="str">
        <f>"200027031"</f>
        <v>200027031</v>
      </c>
      <c r="B2081" t="str">
        <f>"1295780161"</f>
        <v>1295780161</v>
      </c>
      <c r="C2081" t="str">
        <f>"207Q00000X"</f>
        <v>207Q00000X</v>
      </c>
      <c r="D2081" t="str">
        <f>"MOLOKHIA                 EHAB                     "</f>
        <v xml:space="preserve">MOLOKHIA                 EHAB                     </v>
      </c>
      <c r="E2081" t="str">
        <f t="shared" si="74"/>
        <v xml:space="preserve">MOBILE                    </v>
      </c>
      <c r="F2081" t="str">
        <f t="shared" si="72"/>
        <v>AL</v>
      </c>
    </row>
    <row r="2082" spans="1:6" x14ac:dyDescent="0.25">
      <c r="A2082" t="str">
        <f>"200027035"</f>
        <v>200027035</v>
      </c>
      <c r="B2082" t="str">
        <f>"1295375186"</f>
        <v>1295375186</v>
      </c>
      <c r="C2082" t="str">
        <f>"363L00000X"</f>
        <v>363L00000X</v>
      </c>
      <c r="D2082" t="str">
        <f>"BUCK                     KIMBERLY                 "</f>
        <v xml:space="preserve">BUCK                     KIMBERLY                 </v>
      </c>
      <c r="E2082" t="str">
        <f>"NORTHPORT                 "</f>
        <v xml:space="preserve">NORTHPORT                 </v>
      </c>
      <c r="F2082" t="str">
        <f t="shared" si="72"/>
        <v>AL</v>
      </c>
    </row>
    <row r="2083" spans="1:6" x14ac:dyDescent="0.25">
      <c r="A2083" t="str">
        <f>"200027116"</f>
        <v>200027116</v>
      </c>
      <c r="B2083" t="str">
        <f>"1457324220"</f>
        <v>1457324220</v>
      </c>
      <c r="C2083" t="str">
        <f>"261QE0700X"</f>
        <v>261QE0700X</v>
      </c>
      <c r="D2083" t="str">
        <f>"FLORENCE DIALYSIS                                 "</f>
        <v xml:space="preserve">FLORENCE DIALYSIS                                 </v>
      </c>
      <c r="E2083" t="str">
        <f>"FLORENCE                  "</f>
        <v xml:space="preserve">FLORENCE                  </v>
      </c>
      <c r="F2083" t="str">
        <f t="shared" si="72"/>
        <v>AL</v>
      </c>
    </row>
    <row r="2084" spans="1:6" x14ac:dyDescent="0.25">
      <c r="A2084" t="str">
        <f>"200027153"</f>
        <v>200027153</v>
      </c>
      <c r="B2084" t="str">
        <f>"1073598058"</f>
        <v>1073598058</v>
      </c>
      <c r="C2084" t="str">
        <f>"207P00000X"</f>
        <v>207P00000X</v>
      </c>
      <c r="D2084" t="str">
        <f>"BEEZLEY                  JON                      "</f>
        <v xml:space="preserve">BEEZLEY                  JON                      </v>
      </c>
      <c r="E2084" t="str">
        <f>"FAYETTE                   "</f>
        <v xml:space="preserve">FAYETTE                   </v>
      </c>
      <c r="F2084" t="str">
        <f t="shared" si="72"/>
        <v>AL</v>
      </c>
    </row>
    <row r="2085" spans="1:6" x14ac:dyDescent="0.25">
      <c r="A2085" t="str">
        <f>"200027162"</f>
        <v>200027162</v>
      </c>
      <c r="B2085" t="str">
        <f>"1659531440"</f>
        <v>1659531440</v>
      </c>
      <c r="C2085" t="str">
        <f>"207R00000X"</f>
        <v>207R00000X</v>
      </c>
      <c r="D2085" t="str">
        <f>"REDDY LOUPE              VYSHALI                  "</f>
        <v xml:space="preserve">REDDY LOUPE              VYSHALI                  </v>
      </c>
      <c r="E2085" t="str">
        <f t="shared" ref="E2085:E2094" si="75">"MOBILE                    "</f>
        <v xml:space="preserve">MOBILE                    </v>
      </c>
      <c r="F2085" t="str">
        <f t="shared" si="72"/>
        <v>AL</v>
      </c>
    </row>
    <row r="2086" spans="1:6" x14ac:dyDescent="0.25">
      <c r="A2086" t="str">
        <f>"200027207"</f>
        <v>200027207</v>
      </c>
      <c r="B2086" t="str">
        <f>"1154215846"</f>
        <v>1154215846</v>
      </c>
      <c r="C2086" t="str">
        <f>"363LF0000X"</f>
        <v>363LF0000X</v>
      </c>
      <c r="D2086" t="str">
        <f>"PHILLIPS                 ABBY                     "</f>
        <v xml:space="preserve">PHILLIPS                 ABBY                     </v>
      </c>
      <c r="E2086" t="str">
        <f t="shared" si="75"/>
        <v xml:space="preserve">MOBILE                    </v>
      </c>
      <c r="F2086" t="str">
        <f t="shared" si="72"/>
        <v>AL</v>
      </c>
    </row>
    <row r="2087" spans="1:6" x14ac:dyDescent="0.25">
      <c r="A2087" t="str">
        <f>"200027220"</f>
        <v>200027220</v>
      </c>
      <c r="B2087" t="str">
        <f>"1710097001"</f>
        <v>1710097001</v>
      </c>
      <c r="C2087" t="str">
        <f>"2085R0202X"</f>
        <v>2085R0202X</v>
      </c>
      <c r="D2087" t="str">
        <f>"BLOOD                    DAVID        C           "</f>
        <v xml:space="preserve">BLOOD                    DAVID        C           </v>
      </c>
      <c r="E2087" t="str">
        <f t="shared" si="75"/>
        <v xml:space="preserve">MOBILE                    </v>
      </c>
      <c r="F2087" t="str">
        <f t="shared" si="72"/>
        <v>AL</v>
      </c>
    </row>
    <row r="2088" spans="1:6" x14ac:dyDescent="0.25">
      <c r="A2088" t="str">
        <f>"200027245"</f>
        <v>200027245</v>
      </c>
      <c r="B2088" t="str">
        <f>"1720041510"</f>
        <v>1720041510</v>
      </c>
      <c r="C2088" t="str">
        <f>"2085R0204X"</f>
        <v>2085R0204X</v>
      </c>
      <c r="D2088" t="str">
        <f>"NADAL                    LUIS         L           "</f>
        <v xml:space="preserve">NADAL                    LUIS         L           </v>
      </c>
      <c r="E2088" t="str">
        <f t="shared" si="75"/>
        <v xml:space="preserve">MOBILE                    </v>
      </c>
      <c r="F2088" t="str">
        <f t="shared" si="72"/>
        <v>AL</v>
      </c>
    </row>
    <row r="2089" spans="1:6" x14ac:dyDescent="0.25">
      <c r="A2089" t="str">
        <f>"200027250"</f>
        <v>200027250</v>
      </c>
      <c r="B2089" t="str">
        <f>"1396044277"</f>
        <v>1396044277</v>
      </c>
      <c r="C2089" t="str">
        <f>"208600000X"</f>
        <v>208600000X</v>
      </c>
      <c r="D2089" t="str">
        <f>"BEAKLEY                  LINDSEY                  "</f>
        <v xml:space="preserve">BEAKLEY                  LINDSEY                  </v>
      </c>
      <c r="E2089" t="str">
        <f t="shared" si="75"/>
        <v xml:space="preserve">MOBILE                    </v>
      </c>
      <c r="F2089" t="str">
        <f t="shared" si="72"/>
        <v>AL</v>
      </c>
    </row>
    <row r="2090" spans="1:6" x14ac:dyDescent="0.25">
      <c r="A2090" t="str">
        <f>"200027318"</f>
        <v>200027318</v>
      </c>
      <c r="B2090" t="str">
        <f>"1033913561"</f>
        <v>1033913561</v>
      </c>
      <c r="C2090" t="str">
        <f>"363LF0000X"</f>
        <v>363LF0000X</v>
      </c>
      <c r="D2090" t="str">
        <f>"NGUYEN                   CYNTHIA                  "</f>
        <v xml:space="preserve">NGUYEN                   CYNTHIA                  </v>
      </c>
      <c r="E2090" t="str">
        <f t="shared" si="75"/>
        <v xml:space="preserve">MOBILE                    </v>
      </c>
      <c r="F2090" t="str">
        <f t="shared" si="72"/>
        <v>AL</v>
      </c>
    </row>
    <row r="2091" spans="1:6" x14ac:dyDescent="0.25">
      <c r="A2091" t="str">
        <f>"200027321"</f>
        <v>200027321</v>
      </c>
      <c r="B2091" t="str">
        <f>"1396717211"</f>
        <v>1396717211</v>
      </c>
      <c r="C2091" t="str">
        <f>"207VM0101X"</f>
        <v>207VM0101X</v>
      </c>
      <c r="D2091" t="str">
        <f>"MAHER                    JAMES        E           "</f>
        <v xml:space="preserve">MAHER                    JAMES        E           </v>
      </c>
      <c r="E2091" t="str">
        <f t="shared" si="75"/>
        <v xml:space="preserve">MOBILE                    </v>
      </c>
      <c r="F2091" t="str">
        <f t="shared" si="72"/>
        <v>AL</v>
      </c>
    </row>
    <row r="2092" spans="1:6" x14ac:dyDescent="0.25">
      <c r="A2092" t="str">
        <f>"200027322"</f>
        <v>200027322</v>
      </c>
      <c r="B2092" t="str">
        <f>"1871780544"</f>
        <v>1871780544</v>
      </c>
      <c r="C2092" t="str">
        <f>"2086S0129X"</f>
        <v>2086S0129X</v>
      </c>
      <c r="D2092" t="str">
        <f>"MANLEY                   JUSTIN                   "</f>
        <v xml:space="preserve">MANLEY                   JUSTIN                   </v>
      </c>
      <c r="E2092" t="str">
        <f t="shared" si="75"/>
        <v xml:space="preserve">MOBILE                    </v>
      </c>
      <c r="F2092" t="str">
        <f t="shared" si="72"/>
        <v>AL</v>
      </c>
    </row>
    <row r="2093" spans="1:6" x14ac:dyDescent="0.25">
      <c r="A2093" t="str">
        <f>"200027336"</f>
        <v>200027336</v>
      </c>
      <c r="B2093" t="str">
        <f>"1740868876"</f>
        <v>1740868876</v>
      </c>
      <c r="C2093" t="str">
        <f>"207L00000X"</f>
        <v>207L00000X</v>
      </c>
      <c r="D2093" t="str">
        <f>"MARMOLEJOS               HALDON                   "</f>
        <v xml:space="preserve">MARMOLEJOS               HALDON                   </v>
      </c>
      <c r="E2093" t="str">
        <f t="shared" si="75"/>
        <v xml:space="preserve">MOBILE                    </v>
      </c>
      <c r="F2093" t="str">
        <f t="shared" si="72"/>
        <v>AL</v>
      </c>
    </row>
    <row r="2094" spans="1:6" x14ac:dyDescent="0.25">
      <c r="A2094" t="str">
        <f>"200027345"</f>
        <v>200027345</v>
      </c>
      <c r="B2094" t="str">
        <f>"1982554408"</f>
        <v>1982554408</v>
      </c>
      <c r="C2094" t="str">
        <f>"363LP0200X"</f>
        <v>363LP0200X</v>
      </c>
      <c r="D2094" t="str">
        <f>"SHIPLEY                  NATALIE      W           "</f>
        <v xml:space="preserve">SHIPLEY                  NATALIE      W           </v>
      </c>
      <c r="E2094" t="str">
        <f t="shared" si="75"/>
        <v xml:space="preserve">MOBILE                    </v>
      </c>
      <c r="F2094" t="str">
        <f t="shared" si="72"/>
        <v>AL</v>
      </c>
    </row>
    <row r="2095" spans="1:6" x14ac:dyDescent="0.25">
      <c r="A2095" t="str">
        <f>"200027360"</f>
        <v>200027360</v>
      </c>
      <c r="B2095" t="str">
        <f>"1417417734"</f>
        <v>1417417734</v>
      </c>
      <c r="C2095" t="str">
        <f>"207Q00000X"</f>
        <v>207Q00000X</v>
      </c>
      <c r="D2095" t="str">
        <f>"TURNQUEST                DANIELLE                 "</f>
        <v xml:space="preserve">TURNQUEST                DANIELLE                 </v>
      </c>
      <c r="E2095" t="str">
        <f>"MILLRY                    "</f>
        <v xml:space="preserve">MILLRY                    </v>
      </c>
      <c r="F2095" t="str">
        <f t="shared" si="72"/>
        <v>AL</v>
      </c>
    </row>
    <row r="2096" spans="1:6" x14ac:dyDescent="0.25">
      <c r="A2096" t="str">
        <f>"200027364"</f>
        <v>200027364</v>
      </c>
      <c r="B2096" t="str">
        <f>"1275798712"</f>
        <v>1275798712</v>
      </c>
      <c r="C2096" t="str">
        <f>"2086S0120X"</f>
        <v>2086S0120X</v>
      </c>
      <c r="D2096" t="str">
        <f>"SIDDIQUI                 SABINA                   "</f>
        <v xml:space="preserve">SIDDIQUI                 SABINA                   </v>
      </c>
      <c r="E2096" t="str">
        <f t="shared" ref="E2096:E2110" si="76">"MOBILE                    "</f>
        <v xml:space="preserve">MOBILE                    </v>
      </c>
      <c r="F2096" t="str">
        <f t="shared" si="72"/>
        <v>AL</v>
      </c>
    </row>
    <row r="2097" spans="1:6" x14ac:dyDescent="0.25">
      <c r="A2097" t="str">
        <f>"200027368"</f>
        <v>200027368</v>
      </c>
      <c r="B2097" t="str">
        <f>"1336128404"</f>
        <v>1336128404</v>
      </c>
      <c r="C2097" t="str">
        <f>"2085R0204X"</f>
        <v>2085R0204X</v>
      </c>
      <c r="D2097" t="str">
        <f>"LIPPERT                  JOHN         A           "</f>
        <v xml:space="preserve">LIPPERT                  JOHN         A           </v>
      </c>
      <c r="E2097" t="str">
        <f t="shared" si="76"/>
        <v xml:space="preserve">MOBILE                    </v>
      </c>
      <c r="F2097" t="str">
        <f t="shared" si="72"/>
        <v>AL</v>
      </c>
    </row>
    <row r="2098" spans="1:6" x14ac:dyDescent="0.25">
      <c r="A2098" t="str">
        <f>"200027400"</f>
        <v>200027400</v>
      </c>
      <c r="B2098" t="str">
        <f>"1487846507"</f>
        <v>1487846507</v>
      </c>
      <c r="C2098" t="str">
        <f>"207VM0101X"</f>
        <v>207VM0101X</v>
      </c>
      <c r="D2098" t="str">
        <f>"PATWARDHAN               MANASI                   "</f>
        <v xml:space="preserve">PATWARDHAN               MANASI                   </v>
      </c>
      <c r="E2098" t="str">
        <f t="shared" si="76"/>
        <v xml:space="preserve">MOBILE                    </v>
      </c>
      <c r="F2098" t="str">
        <f t="shared" si="72"/>
        <v>AL</v>
      </c>
    </row>
    <row r="2099" spans="1:6" x14ac:dyDescent="0.25">
      <c r="A2099" t="str">
        <f>"200027409"</f>
        <v>200027409</v>
      </c>
      <c r="B2099" t="str">
        <f>"1043009715"</f>
        <v>1043009715</v>
      </c>
      <c r="C2099" t="str">
        <f>"207Q00000X"</f>
        <v>207Q00000X</v>
      </c>
      <c r="D2099" t="str">
        <f>"SREENIVASAN              CHITHRA                  "</f>
        <v xml:space="preserve">SREENIVASAN              CHITHRA                  </v>
      </c>
      <c r="E2099" t="str">
        <f t="shared" si="76"/>
        <v xml:space="preserve">MOBILE                    </v>
      </c>
      <c r="F2099" t="str">
        <f t="shared" si="72"/>
        <v>AL</v>
      </c>
    </row>
    <row r="2100" spans="1:6" x14ac:dyDescent="0.25">
      <c r="A2100" t="str">
        <f>"200027423"</f>
        <v>200027423</v>
      </c>
      <c r="B2100" t="str">
        <f>"1194429837"</f>
        <v>1194429837</v>
      </c>
      <c r="C2100" t="str">
        <f>"208600000X"</f>
        <v>208600000X</v>
      </c>
      <c r="D2100" t="str">
        <f>"TOMBLIN                  CAITLYN                  "</f>
        <v xml:space="preserve">TOMBLIN                  CAITLYN                  </v>
      </c>
      <c r="E2100" t="str">
        <f t="shared" si="76"/>
        <v xml:space="preserve">MOBILE                    </v>
      </c>
      <c r="F2100" t="str">
        <f t="shared" si="72"/>
        <v>AL</v>
      </c>
    </row>
    <row r="2101" spans="1:6" x14ac:dyDescent="0.25">
      <c r="A2101" t="str">
        <f>"200027440"</f>
        <v>200027440</v>
      </c>
      <c r="B2101" t="str">
        <f>"1982685640"</f>
        <v>1982685640</v>
      </c>
      <c r="C2101" t="str">
        <f>"207RC0000X"</f>
        <v>207RC0000X</v>
      </c>
      <c r="D2101" t="str">
        <f>"BROWN                    CHRISTOPHER              "</f>
        <v xml:space="preserve">BROWN                    CHRISTOPHER              </v>
      </c>
      <c r="E2101" t="str">
        <f t="shared" si="76"/>
        <v xml:space="preserve">MOBILE                    </v>
      </c>
      <c r="F2101" t="str">
        <f t="shared" si="72"/>
        <v>AL</v>
      </c>
    </row>
    <row r="2102" spans="1:6" x14ac:dyDescent="0.25">
      <c r="A2102" t="str">
        <f>"200027441"</f>
        <v>200027441</v>
      </c>
      <c r="B2102" t="str">
        <f>"1700993821"</f>
        <v>1700993821</v>
      </c>
      <c r="C2102" t="str">
        <f>"207R00000X"</f>
        <v>207R00000X</v>
      </c>
      <c r="D2102" t="str">
        <f>"LA ROCHELLE              JEFFREY                  "</f>
        <v xml:space="preserve">LA ROCHELLE              JEFFREY                  </v>
      </c>
      <c r="E2102" t="str">
        <f t="shared" si="76"/>
        <v xml:space="preserve">MOBILE                    </v>
      </c>
      <c r="F2102" t="str">
        <f t="shared" si="72"/>
        <v>AL</v>
      </c>
    </row>
    <row r="2103" spans="1:6" x14ac:dyDescent="0.25">
      <c r="A2103" t="str">
        <f>"200027442"</f>
        <v>200027442</v>
      </c>
      <c r="B2103" t="str">
        <f>"1932897949"</f>
        <v>1932897949</v>
      </c>
      <c r="C2103" t="str">
        <f>"207P00000X"</f>
        <v>207P00000X</v>
      </c>
      <c r="D2103" t="str">
        <f>"WALKER                   ANN          M           "</f>
        <v xml:space="preserve">WALKER                   ANN          M           </v>
      </c>
      <c r="E2103" t="str">
        <f t="shared" si="76"/>
        <v xml:space="preserve">MOBILE                    </v>
      </c>
      <c r="F2103" t="str">
        <f t="shared" si="72"/>
        <v>AL</v>
      </c>
    </row>
    <row r="2104" spans="1:6" x14ac:dyDescent="0.25">
      <c r="A2104" t="str">
        <f>"200027443"</f>
        <v>200027443</v>
      </c>
      <c r="B2104" t="str">
        <f>"1912386194"</f>
        <v>1912386194</v>
      </c>
      <c r="C2104" t="str">
        <f>"207K00000X"</f>
        <v>207K00000X</v>
      </c>
      <c r="D2104" t="str">
        <f>"GREER                    ROBERT                   "</f>
        <v xml:space="preserve">GREER                    ROBERT                   </v>
      </c>
      <c r="E2104" t="str">
        <f t="shared" si="76"/>
        <v xml:space="preserve">MOBILE                    </v>
      </c>
      <c r="F2104" t="str">
        <f t="shared" si="72"/>
        <v>AL</v>
      </c>
    </row>
    <row r="2105" spans="1:6" x14ac:dyDescent="0.25">
      <c r="A2105" t="str">
        <f>"200027482"</f>
        <v>200027482</v>
      </c>
      <c r="B2105" t="str">
        <f>"1225036569"</f>
        <v>1225036569</v>
      </c>
      <c r="C2105" t="str">
        <f>"207XX0005X"</f>
        <v>207XX0005X</v>
      </c>
      <c r="D2105" t="str">
        <f>"MATTHEWS                 DANIEL       E           "</f>
        <v xml:space="preserve">MATTHEWS                 DANIEL       E           </v>
      </c>
      <c r="E2105" t="str">
        <f t="shared" si="76"/>
        <v xml:space="preserve">MOBILE                    </v>
      </c>
      <c r="F2105" t="str">
        <f t="shared" si="72"/>
        <v>AL</v>
      </c>
    </row>
    <row r="2106" spans="1:6" x14ac:dyDescent="0.25">
      <c r="A2106" t="str">
        <f>"200027500"</f>
        <v>200027500</v>
      </c>
      <c r="B2106" t="str">
        <f>"1700638988"</f>
        <v>1700638988</v>
      </c>
      <c r="C2106" t="str">
        <f>"2084P0800X"</f>
        <v>2084P0800X</v>
      </c>
      <c r="D2106" t="str">
        <f>"GRIMES                   SAMUEL                   "</f>
        <v xml:space="preserve">GRIMES                   SAMUEL                   </v>
      </c>
      <c r="E2106" t="str">
        <f t="shared" si="76"/>
        <v xml:space="preserve">MOBILE                    </v>
      </c>
      <c r="F2106" t="str">
        <f t="shared" si="72"/>
        <v>AL</v>
      </c>
    </row>
    <row r="2107" spans="1:6" x14ac:dyDescent="0.25">
      <c r="A2107" t="str">
        <f>"200027506"</f>
        <v>200027506</v>
      </c>
      <c r="B2107" t="str">
        <f>"1528726627"</f>
        <v>1528726627</v>
      </c>
      <c r="C2107" t="str">
        <f>"363LA2100X"</f>
        <v>363LA2100X</v>
      </c>
      <c r="D2107" t="str">
        <f>"HANEY                    NICOLE       C           "</f>
        <v xml:space="preserve">HANEY                    NICOLE       C           </v>
      </c>
      <c r="E2107" t="str">
        <f t="shared" si="76"/>
        <v xml:space="preserve">MOBILE                    </v>
      </c>
      <c r="F2107" t="str">
        <f t="shared" si="72"/>
        <v>AL</v>
      </c>
    </row>
    <row r="2108" spans="1:6" x14ac:dyDescent="0.25">
      <c r="A2108" t="str">
        <f>"200027516"</f>
        <v>200027516</v>
      </c>
      <c r="B2108" t="str">
        <f>"1437904521"</f>
        <v>1437904521</v>
      </c>
      <c r="C2108" t="str">
        <f>"2084N0400X"</f>
        <v>2084N0400X</v>
      </c>
      <c r="D2108" t="str">
        <f>"PURISACA NEIRA           LUIS                     "</f>
        <v xml:space="preserve">PURISACA NEIRA           LUIS                     </v>
      </c>
      <c r="E2108" t="str">
        <f t="shared" si="76"/>
        <v xml:space="preserve">MOBILE                    </v>
      </c>
      <c r="F2108" t="str">
        <f t="shared" si="72"/>
        <v>AL</v>
      </c>
    </row>
    <row r="2109" spans="1:6" x14ac:dyDescent="0.25">
      <c r="A2109" t="str">
        <f>"200027521"</f>
        <v>200027521</v>
      </c>
      <c r="B2109" t="str">
        <f>"1649328097"</f>
        <v>1649328097</v>
      </c>
      <c r="C2109" t="str">
        <f>"363AS0400X"</f>
        <v>363AS0400X</v>
      </c>
      <c r="D2109" t="str">
        <f>"PARAGONE                 CHRISTINE    M           "</f>
        <v xml:space="preserve">PARAGONE                 CHRISTINE    M           </v>
      </c>
      <c r="E2109" t="str">
        <f t="shared" si="76"/>
        <v xml:space="preserve">MOBILE                    </v>
      </c>
      <c r="F2109" t="str">
        <f t="shared" si="72"/>
        <v>AL</v>
      </c>
    </row>
    <row r="2110" spans="1:6" x14ac:dyDescent="0.25">
      <c r="A2110" t="str">
        <f>"200027523"</f>
        <v>200027523</v>
      </c>
      <c r="B2110" t="str">
        <f>"1871444299"</f>
        <v>1871444299</v>
      </c>
      <c r="C2110" t="str">
        <f>"363LN0000X"</f>
        <v>363LN0000X</v>
      </c>
      <c r="D2110" t="str">
        <f>"BRADSHAW                 KELLY                    "</f>
        <v xml:space="preserve">BRADSHAW                 KELLY                    </v>
      </c>
      <c r="E2110" t="str">
        <f t="shared" si="76"/>
        <v xml:space="preserve">MOBILE                    </v>
      </c>
      <c r="F2110" t="str">
        <f t="shared" si="72"/>
        <v>AL</v>
      </c>
    </row>
    <row r="2111" spans="1:6" x14ac:dyDescent="0.25">
      <c r="A2111" t="str">
        <f>"200027551"</f>
        <v>200027551</v>
      </c>
      <c r="B2111" t="str">
        <f>"1245606805"</f>
        <v>1245606805</v>
      </c>
      <c r="C2111" t="str">
        <f>"207RC0200X"</f>
        <v>207RC0200X</v>
      </c>
      <c r="D2111" t="str">
        <f>"BALLY                    KERRI                    "</f>
        <v xml:space="preserve">BALLY                    KERRI                    </v>
      </c>
      <c r="E2111" t="str">
        <f>"GADSDEN                   "</f>
        <v xml:space="preserve">GADSDEN                   </v>
      </c>
      <c r="F2111" t="str">
        <f t="shared" si="72"/>
        <v>AL</v>
      </c>
    </row>
    <row r="2112" spans="1:6" x14ac:dyDescent="0.25">
      <c r="A2112" t="str">
        <f>"200027562"</f>
        <v>200027562</v>
      </c>
      <c r="B2112" t="str">
        <f>"1134979958"</f>
        <v>1134979958</v>
      </c>
      <c r="C2112" t="str">
        <f>"2084P0800X"</f>
        <v>2084P0800X</v>
      </c>
      <c r="D2112" t="str">
        <f>"SHETH                    SAJAN                    "</f>
        <v xml:space="preserve">SHETH                    SAJAN                    </v>
      </c>
      <c r="E2112" t="str">
        <f>"MOBILE                    "</f>
        <v xml:space="preserve">MOBILE                    </v>
      </c>
      <c r="F2112" t="str">
        <f t="shared" si="72"/>
        <v>AL</v>
      </c>
    </row>
    <row r="2113" spans="1:6" x14ac:dyDescent="0.25">
      <c r="A2113" t="str">
        <f>"200027604"</f>
        <v>200027604</v>
      </c>
      <c r="B2113" t="str">
        <f>"1962592774"</f>
        <v>1962592774</v>
      </c>
      <c r="C2113" t="str">
        <f>"207P00000X"</f>
        <v>207P00000X</v>
      </c>
      <c r="D2113" t="str">
        <f>"WOODWARD                 ANGELIA                  "</f>
        <v xml:space="preserve">WOODWARD                 ANGELIA                  </v>
      </c>
      <c r="E2113" t="str">
        <f>"TUSCALOOSA                "</f>
        <v xml:space="preserve">TUSCALOOSA                </v>
      </c>
      <c r="F2113" t="str">
        <f t="shared" si="72"/>
        <v>AL</v>
      </c>
    </row>
    <row r="2114" spans="1:6" x14ac:dyDescent="0.25">
      <c r="A2114" t="str">
        <f>"200027616"</f>
        <v>200027616</v>
      </c>
      <c r="B2114" t="str">
        <f>"1184839250"</f>
        <v>1184839250</v>
      </c>
      <c r="C2114" t="str">
        <f>"207P00000X"</f>
        <v>207P00000X</v>
      </c>
      <c r="D2114" t="str">
        <f>"RAMSEY                   ANGELYN                  "</f>
        <v xml:space="preserve">RAMSEY                   ANGELYN                  </v>
      </c>
      <c r="E2114" t="str">
        <f>"TUSCALOOSA                "</f>
        <v xml:space="preserve">TUSCALOOSA                </v>
      </c>
      <c r="F2114" t="str">
        <f t="shared" si="72"/>
        <v>AL</v>
      </c>
    </row>
    <row r="2115" spans="1:6" x14ac:dyDescent="0.25">
      <c r="A2115" t="str">
        <f>"200027635"</f>
        <v>200027635</v>
      </c>
      <c r="B2115" t="str">
        <f>"1376393405"</f>
        <v>1376393405</v>
      </c>
      <c r="C2115" t="str">
        <f>"208000000X"</f>
        <v>208000000X</v>
      </c>
      <c r="D2115" t="str">
        <f>"JONHSON                  CAREY                    "</f>
        <v xml:space="preserve">JONHSON                  CAREY                    </v>
      </c>
      <c r="E2115" t="str">
        <f>"MOBILE                    "</f>
        <v xml:space="preserve">MOBILE                    </v>
      </c>
      <c r="F2115" t="str">
        <f t="shared" si="72"/>
        <v>AL</v>
      </c>
    </row>
    <row r="2116" spans="1:6" x14ac:dyDescent="0.25">
      <c r="A2116" t="str">
        <f>"200027639"</f>
        <v>200027639</v>
      </c>
      <c r="B2116" t="str">
        <f>"1831144666"</f>
        <v>1831144666</v>
      </c>
      <c r="C2116" t="str">
        <f>"207P00000X"</f>
        <v>207P00000X</v>
      </c>
      <c r="D2116" t="str">
        <f>"PEPPER                   JEREMY                   "</f>
        <v xml:space="preserve">PEPPER                   JEREMY                   </v>
      </c>
      <c r="E2116" t="str">
        <f>"TUSCALOOSA                "</f>
        <v xml:space="preserve">TUSCALOOSA                </v>
      </c>
      <c r="F2116" t="str">
        <f t="shared" si="72"/>
        <v>AL</v>
      </c>
    </row>
    <row r="2117" spans="1:6" x14ac:dyDescent="0.25">
      <c r="A2117" t="str">
        <f>"200027651"</f>
        <v>200027651</v>
      </c>
      <c r="B2117" t="str">
        <f>"1285472407"</f>
        <v>1285472407</v>
      </c>
      <c r="C2117" t="str">
        <f>"363A00000X"</f>
        <v>363A00000X</v>
      </c>
      <c r="D2117" t="str">
        <f>"NGUYEN                   CHRISTI                  "</f>
        <v xml:space="preserve">NGUYEN                   CHRISTI                  </v>
      </c>
      <c r="E2117" t="str">
        <f>"MOBILE                    "</f>
        <v xml:space="preserve">MOBILE                    </v>
      </c>
      <c r="F2117" t="str">
        <f t="shared" si="72"/>
        <v>AL</v>
      </c>
    </row>
    <row r="2118" spans="1:6" x14ac:dyDescent="0.25">
      <c r="A2118" t="str">
        <f>"200027660"</f>
        <v>200027660</v>
      </c>
      <c r="B2118" t="str">
        <f>"1770242489"</f>
        <v>1770242489</v>
      </c>
      <c r="C2118" t="str">
        <f>"363L00000X"</f>
        <v>363L00000X</v>
      </c>
      <c r="D2118" t="str">
        <f>"SOLEM                    RENE                     "</f>
        <v xml:space="preserve">SOLEM                    RENE                     </v>
      </c>
      <c r="E2118" t="str">
        <f>"FLORENCE                  "</f>
        <v xml:space="preserve">FLORENCE                  </v>
      </c>
      <c r="F2118" t="str">
        <f t="shared" si="72"/>
        <v>AL</v>
      </c>
    </row>
    <row r="2119" spans="1:6" x14ac:dyDescent="0.25">
      <c r="A2119" t="str">
        <f>"200027687"</f>
        <v>200027687</v>
      </c>
      <c r="B2119" t="str">
        <f>"1972015501"</f>
        <v>1972015501</v>
      </c>
      <c r="C2119" t="str">
        <f>"363L00000X"</f>
        <v>363L00000X</v>
      </c>
      <c r="D2119" t="str">
        <f>"MCGRAW                   BRANDY                   "</f>
        <v xml:space="preserve">MCGRAW                   BRANDY                   </v>
      </c>
      <c r="E2119" t="str">
        <f>"MOBILE                    "</f>
        <v xml:space="preserve">MOBILE                    </v>
      </c>
      <c r="F2119" t="str">
        <f t="shared" ref="F2119:F2182" si="77">"AL"</f>
        <v>AL</v>
      </c>
    </row>
    <row r="2120" spans="1:6" x14ac:dyDescent="0.25">
      <c r="A2120" t="str">
        <f>"200027708"</f>
        <v>200027708</v>
      </c>
      <c r="B2120" t="str">
        <f>"1629641519"</f>
        <v>1629641519</v>
      </c>
      <c r="C2120" t="str">
        <f>"363LA2100X"</f>
        <v>363LA2100X</v>
      </c>
      <c r="D2120" t="str">
        <f>"COLLUM                   MADELYN                  "</f>
        <v xml:space="preserve">COLLUM                   MADELYN                  </v>
      </c>
      <c r="E2120" t="str">
        <f>"MOBILE                    "</f>
        <v xml:space="preserve">MOBILE                    </v>
      </c>
      <c r="F2120" t="str">
        <f t="shared" si="77"/>
        <v>AL</v>
      </c>
    </row>
    <row r="2121" spans="1:6" x14ac:dyDescent="0.25">
      <c r="A2121" t="str">
        <f>"200027712"</f>
        <v>200027712</v>
      </c>
      <c r="B2121" t="str">
        <f>"1285384255"</f>
        <v>1285384255</v>
      </c>
      <c r="C2121" t="str">
        <f>"208M00000X"</f>
        <v>208M00000X</v>
      </c>
      <c r="D2121" t="str">
        <f>"TEETER                   MARCO                    "</f>
        <v xml:space="preserve">TEETER                   MARCO                    </v>
      </c>
      <c r="E2121" t="str">
        <f>"MOBILE                    "</f>
        <v xml:space="preserve">MOBILE                    </v>
      </c>
      <c r="F2121" t="str">
        <f t="shared" si="77"/>
        <v>AL</v>
      </c>
    </row>
    <row r="2122" spans="1:6" x14ac:dyDescent="0.25">
      <c r="A2122" t="str">
        <f>"200027714"</f>
        <v>200027714</v>
      </c>
      <c r="B2122" t="str">
        <f>"1780262931"</f>
        <v>1780262931</v>
      </c>
      <c r="C2122" t="str">
        <f>"208M00000X"</f>
        <v>208M00000X</v>
      </c>
      <c r="D2122" t="str">
        <f>"GARRISON                 KENDAL                   "</f>
        <v xml:space="preserve">GARRISON                 KENDAL                   </v>
      </c>
      <c r="E2122" t="str">
        <f>"MOBILE                    "</f>
        <v xml:space="preserve">MOBILE                    </v>
      </c>
      <c r="F2122" t="str">
        <f t="shared" si="77"/>
        <v>AL</v>
      </c>
    </row>
    <row r="2123" spans="1:6" x14ac:dyDescent="0.25">
      <c r="A2123" t="str">
        <f>"200027733"</f>
        <v>200027733</v>
      </c>
      <c r="B2123" t="str">
        <f>"1871344671"</f>
        <v>1871344671</v>
      </c>
      <c r="C2123" t="str">
        <f>"207Q00000X"</f>
        <v>207Q00000X</v>
      </c>
      <c r="D2123" t="str">
        <f>"TRAN                     JOHNNY                   "</f>
        <v xml:space="preserve">TRAN                     JOHNNY                   </v>
      </c>
      <c r="E2123" t="str">
        <f>"MOBILE                    "</f>
        <v xml:space="preserve">MOBILE                    </v>
      </c>
      <c r="F2123" t="str">
        <f t="shared" si="77"/>
        <v>AL</v>
      </c>
    </row>
    <row r="2124" spans="1:6" x14ac:dyDescent="0.25">
      <c r="A2124" t="str">
        <f>"200027734"</f>
        <v>200027734</v>
      </c>
      <c r="B2124" t="str">
        <f>"1518184035"</f>
        <v>1518184035</v>
      </c>
      <c r="C2124" t="str">
        <f>"2086S0122X"</f>
        <v>2086S0122X</v>
      </c>
      <c r="D2124" t="str">
        <f>"JENNINGS                 GEORGE       R           "</f>
        <v xml:space="preserve">JENNINGS                 GEORGE       R           </v>
      </c>
      <c r="E2124" t="str">
        <f>"MUSCLE SHOALS             "</f>
        <v xml:space="preserve">MUSCLE SHOALS             </v>
      </c>
      <c r="F2124" t="str">
        <f t="shared" si="77"/>
        <v>AL</v>
      </c>
    </row>
    <row r="2125" spans="1:6" x14ac:dyDescent="0.25">
      <c r="A2125" t="str">
        <f>"200027742"</f>
        <v>200027742</v>
      </c>
      <c r="B2125" t="str">
        <f>"1467147306"</f>
        <v>1467147306</v>
      </c>
      <c r="C2125" t="str">
        <f>"2084P0800X"</f>
        <v>2084P0800X</v>
      </c>
      <c r="D2125" t="str">
        <f>"OSBORNE                  ROBERT                   "</f>
        <v xml:space="preserve">OSBORNE                  ROBERT                   </v>
      </c>
      <c r="E2125" t="str">
        <f>"MOBILE                    "</f>
        <v xml:space="preserve">MOBILE                    </v>
      </c>
      <c r="F2125" t="str">
        <f t="shared" si="77"/>
        <v>AL</v>
      </c>
    </row>
    <row r="2126" spans="1:6" x14ac:dyDescent="0.25">
      <c r="A2126" t="str">
        <f>"200027743"</f>
        <v>200027743</v>
      </c>
      <c r="B2126" t="str">
        <f>"1417535840"</f>
        <v>1417535840</v>
      </c>
      <c r="C2126" t="str">
        <f>"207RH0003X"</f>
        <v>207RH0003X</v>
      </c>
      <c r="D2126" t="str">
        <f>"SHROFF                   VISHAL                   "</f>
        <v xml:space="preserve">SHROFF                   VISHAL                   </v>
      </c>
      <c r="E2126" t="str">
        <f>"MOBILE                    "</f>
        <v xml:space="preserve">MOBILE                    </v>
      </c>
      <c r="F2126" t="str">
        <f t="shared" si="77"/>
        <v>AL</v>
      </c>
    </row>
    <row r="2127" spans="1:6" x14ac:dyDescent="0.25">
      <c r="A2127" t="str">
        <f>"200027756"</f>
        <v>200027756</v>
      </c>
      <c r="B2127" t="str">
        <f>"1285338418"</f>
        <v>1285338418</v>
      </c>
      <c r="C2127" t="str">
        <f>"2085R0202X"</f>
        <v>2085R0202X</v>
      </c>
      <c r="D2127" t="str">
        <f>"JOHNSON                  CHRISTOPHER  W           "</f>
        <v xml:space="preserve">JOHNSON                  CHRISTOPHER  W           </v>
      </c>
      <c r="E2127" t="str">
        <f>"MOBILE                    "</f>
        <v xml:space="preserve">MOBILE                    </v>
      </c>
      <c r="F2127" t="str">
        <f t="shared" si="77"/>
        <v>AL</v>
      </c>
    </row>
    <row r="2128" spans="1:6" x14ac:dyDescent="0.25">
      <c r="A2128" t="str">
        <f>"200027765"</f>
        <v>200027765</v>
      </c>
      <c r="B2128" t="str">
        <f>"1346408291"</f>
        <v>1346408291</v>
      </c>
      <c r="C2128" t="str">
        <f>"207P00000X"</f>
        <v>207P00000X</v>
      </c>
      <c r="D2128" t="str">
        <f>"BARTON                   WILLIAM                  "</f>
        <v xml:space="preserve">BARTON                   WILLIAM                  </v>
      </c>
      <c r="E2128" t="str">
        <f>"TUSCALOOSA                "</f>
        <v xml:space="preserve">TUSCALOOSA                </v>
      </c>
      <c r="F2128" t="str">
        <f t="shared" si="77"/>
        <v>AL</v>
      </c>
    </row>
    <row r="2129" spans="1:6" x14ac:dyDescent="0.25">
      <c r="A2129" t="str">
        <f>"200027779"</f>
        <v>200027779</v>
      </c>
      <c r="B2129" t="str">
        <f>"1275064396"</f>
        <v>1275064396</v>
      </c>
      <c r="C2129" t="str">
        <f>"2084N0400X"</f>
        <v>2084N0400X</v>
      </c>
      <c r="D2129" t="str">
        <f>"BIRK                     HARJUS                   "</f>
        <v xml:space="preserve">BIRK                     HARJUS                   </v>
      </c>
      <c r="E2129" t="str">
        <f>"MOBILE                    "</f>
        <v xml:space="preserve">MOBILE                    </v>
      </c>
      <c r="F2129" t="str">
        <f t="shared" si="77"/>
        <v>AL</v>
      </c>
    </row>
    <row r="2130" spans="1:6" x14ac:dyDescent="0.25">
      <c r="A2130" t="str">
        <f>"200027797"</f>
        <v>200027797</v>
      </c>
      <c r="B2130" t="str">
        <f>"1821723057"</f>
        <v>1821723057</v>
      </c>
      <c r="C2130" t="str">
        <f>"363A00000X"</f>
        <v>363A00000X</v>
      </c>
      <c r="D2130" t="str">
        <f>"WARGO                    ASHLEY                   "</f>
        <v xml:space="preserve">WARGO                    ASHLEY                   </v>
      </c>
      <c r="E2130" t="str">
        <f>"FLORENCE                  "</f>
        <v xml:space="preserve">FLORENCE                  </v>
      </c>
      <c r="F2130" t="str">
        <f t="shared" si="77"/>
        <v>AL</v>
      </c>
    </row>
    <row r="2131" spans="1:6" x14ac:dyDescent="0.25">
      <c r="A2131" t="str">
        <f>"200027800"</f>
        <v>200027800</v>
      </c>
      <c r="B2131" t="str">
        <f>"1801640180"</f>
        <v>1801640180</v>
      </c>
      <c r="C2131" t="str">
        <f>"363LW0102X"</f>
        <v>363LW0102X</v>
      </c>
      <c r="D2131" t="str">
        <f>"CARPENTER                KEELYN                   "</f>
        <v xml:space="preserve">CARPENTER                KEELYN                   </v>
      </c>
      <c r="E2131" t="str">
        <f>"MOBILE                    "</f>
        <v xml:space="preserve">MOBILE                    </v>
      </c>
      <c r="F2131" t="str">
        <f t="shared" si="77"/>
        <v>AL</v>
      </c>
    </row>
    <row r="2132" spans="1:6" x14ac:dyDescent="0.25">
      <c r="A2132" t="str">
        <f>"200027805"</f>
        <v>200027805</v>
      </c>
      <c r="B2132" t="str">
        <f>"1417607482"</f>
        <v>1417607482</v>
      </c>
      <c r="C2132" t="str">
        <f>"2085R0202X"</f>
        <v>2085R0202X</v>
      </c>
      <c r="D2132" t="str">
        <f>"PATEL                    ARCHIT                   "</f>
        <v xml:space="preserve">PATEL                    ARCHIT                   </v>
      </c>
      <c r="E2132" t="str">
        <f>"MOBILE                    "</f>
        <v xml:space="preserve">MOBILE                    </v>
      </c>
      <c r="F2132" t="str">
        <f t="shared" si="77"/>
        <v>AL</v>
      </c>
    </row>
    <row r="2133" spans="1:6" x14ac:dyDescent="0.25">
      <c r="A2133" t="str">
        <f>"200027817"</f>
        <v>200027817</v>
      </c>
      <c r="B2133" t="str">
        <f>"1932072204"</f>
        <v>1932072204</v>
      </c>
      <c r="C2133" t="str">
        <f>"363LF0000X"</f>
        <v>363LF0000X</v>
      </c>
      <c r="D2133" t="str">
        <f>"ADKISON                  TERICA                   "</f>
        <v xml:space="preserve">ADKISON                  TERICA                   </v>
      </c>
      <c r="E2133" t="str">
        <f>"MOBILE                    "</f>
        <v xml:space="preserve">MOBILE                    </v>
      </c>
      <c r="F2133" t="str">
        <f t="shared" si="77"/>
        <v>AL</v>
      </c>
    </row>
    <row r="2134" spans="1:6" x14ac:dyDescent="0.25">
      <c r="A2134" t="str">
        <f>"200027836"</f>
        <v>200027836</v>
      </c>
      <c r="B2134" t="str">
        <f>"1174571285"</f>
        <v>1174571285</v>
      </c>
      <c r="C2134" t="str">
        <f>"207P00000X"</f>
        <v>207P00000X</v>
      </c>
      <c r="D2134" t="str">
        <f>"ALEXANDER                RUSSELL                  "</f>
        <v xml:space="preserve">ALEXANDER                RUSSELL                  </v>
      </c>
      <c r="E2134" t="str">
        <f>"RED BAY                   "</f>
        <v xml:space="preserve">RED BAY                   </v>
      </c>
      <c r="F2134" t="str">
        <f t="shared" si="77"/>
        <v>AL</v>
      </c>
    </row>
    <row r="2135" spans="1:6" x14ac:dyDescent="0.25">
      <c r="A2135" t="str">
        <f>"200027856"</f>
        <v>200027856</v>
      </c>
      <c r="B2135" t="str">
        <f>"1386698538"</f>
        <v>1386698538</v>
      </c>
      <c r="C2135" t="str">
        <f>"2085R0204X"</f>
        <v>2085R0204X</v>
      </c>
      <c r="D2135" t="str">
        <f>"HANDLEY JR               ROBERT       A           "</f>
        <v xml:space="preserve">HANDLEY JR               ROBERT       A           </v>
      </c>
      <c r="E2135" t="str">
        <f t="shared" ref="E2135:E2146" si="78">"MOBILE                    "</f>
        <v xml:space="preserve">MOBILE                    </v>
      </c>
      <c r="F2135" t="str">
        <f t="shared" si="77"/>
        <v>AL</v>
      </c>
    </row>
    <row r="2136" spans="1:6" x14ac:dyDescent="0.25">
      <c r="A2136" t="str">
        <f>"200027861"</f>
        <v>200027861</v>
      </c>
      <c r="B2136" t="str">
        <f>"1255160883"</f>
        <v>1255160883</v>
      </c>
      <c r="C2136" t="str">
        <f>"207R00000X"</f>
        <v>207R00000X</v>
      </c>
      <c r="D2136" t="str">
        <f>"ALSIT ALKHABBAZ          MOHAMMAD                 "</f>
        <v xml:space="preserve">ALSIT ALKHABBAZ          MOHAMMAD                 </v>
      </c>
      <c r="E2136" t="str">
        <f t="shared" si="78"/>
        <v xml:space="preserve">MOBILE                    </v>
      </c>
      <c r="F2136" t="str">
        <f t="shared" si="77"/>
        <v>AL</v>
      </c>
    </row>
    <row r="2137" spans="1:6" x14ac:dyDescent="0.25">
      <c r="A2137" t="str">
        <f>"200027864"</f>
        <v>200027864</v>
      </c>
      <c r="B2137" t="str">
        <f>"1891436820"</f>
        <v>1891436820</v>
      </c>
      <c r="C2137" t="str">
        <f>"207V00000X"</f>
        <v>207V00000X</v>
      </c>
      <c r="D2137" t="str">
        <f>"SHAH                     JUHI                     "</f>
        <v xml:space="preserve">SHAH                     JUHI                     </v>
      </c>
      <c r="E2137" t="str">
        <f t="shared" si="78"/>
        <v xml:space="preserve">MOBILE                    </v>
      </c>
      <c r="F2137" t="str">
        <f t="shared" si="77"/>
        <v>AL</v>
      </c>
    </row>
    <row r="2138" spans="1:6" x14ac:dyDescent="0.25">
      <c r="A2138" t="str">
        <f>"200027872"</f>
        <v>200027872</v>
      </c>
      <c r="B2138" t="str">
        <f>"1134979362"</f>
        <v>1134979362</v>
      </c>
      <c r="C2138" t="str">
        <f>"207R00000X"</f>
        <v>207R00000X</v>
      </c>
      <c r="D2138" t="str">
        <f>"KHAN                     SARAH                    "</f>
        <v xml:space="preserve">KHAN                     SARAH                    </v>
      </c>
      <c r="E2138" t="str">
        <f t="shared" si="78"/>
        <v xml:space="preserve">MOBILE                    </v>
      </c>
      <c r="F2138" t="str">
        <f t="shared" si="77"/>
        <v>AL</v>
      </c>
    </row>
    <row r="2139" spans="1:6" x14ac:dyDescent="0.25">
      <c r="A2139" t="str">
        <f>"200027875"</f>
        <v>200027875</v>
      </c>
      <c r="B2139" t="str">
        <f>"1093005779"</f>
        <v>1093005779</v>
      </c>
      <c r="C2139" t="str">
        <f>"207V00000X"</f>
        <v>207V00000X</v>
      </c>
      <c r="D2139" t="str">
        <f>"JONES                    JESSICA      L           "</f>
        <v xml:space="preserve">JONES                    JESSICA      L           </v>
      </c>
      <c r="E2139" t="str">
        <f t="shared" si="78"/>
        <v xml:space="preserve">MOBILE                    </v>
      </c>
      <c r="F2139" t="str">
        <f t="shared" si="77"/>
        <v>AL</v>
      </c>
    </row>
    <row r="2140" spans="1:6" x14ac:dyDescent="0.25">
      <c r="A2140" t="str">
        <f>"200027895"</f>
        <v>200027895</v>
      </c>
      <c r="B2140" t="str">
        <f>"1033985049"</f>
        <v>1033985049</v>
      </c>
      <c r="C2140" t="str">
        <f>"363LF0000X"</f>
        <v>363LF0000X</v>
      </c>
      <c r="D2140" t="str">
        <f>"CRUM                     KENDRA                   "</f>
        <v xml:space="preserve">CRUM                     KENDRA                   </v>
      </c>
      <c r="E2140" t="str">
        <f t="shared" si="78"/>
        <v xml:space="preserve">MOBILE                    </v>
      </c>
      <c r="F2140" t="str">
        <f t="shared" si="77"/>
        <v>AL</v>
      </c>
    </row>
    <row r="2141" spans="1:6" x14ac:dyDescent="0.25">
      <c r="A2141" t="str">
        <f>"200027896"</f>
        <v>200027896</v>
      </c>
      <c r="B2141" t="str">
        <f>"1467791178"</f>
        <v>1467791178</v>
      </c>
      <c r="C2141" t="str">
        <f>"2085R0202X"</f>
        <v>2085R0202X</v>
      </c>
      <c r="D2141" t="str">
        <f>"LAIL                     MATTHEW      J           "</f>
        <v xml:space="preserve">LAIL                     MATTHEW      J           </v>
      </c>
      <c r="E2141" t="str">
        <f t="shared" si="78"/>
        <v xml:space="preserve">MOBILE                    </v>
      </c>
      <c r="F2141" t="str">
        <f t="shared" si="77"/>
        <v>AL</v>
      </c>
    </row>
    <row r="2142" spans="1:6" x14ac:dyDescent="0.25">
      <c r="A2142" t="str">
        <f>"200027905"</f>
        <v>200027905</v>
      </c>
      <c r="B2142" t="str">
        <f>"1821065509"</f>
        <v>1821065509</v>
      </c>
      <c r="C2142" t="str">
        <f>"207Q00000X"</f>
        <v>207Q00000X</v>
      </c>
      <c r="D2142" t="str">
        <f>"CAMPBELL                 JONATHAN                 "</f>
        <v xml:space="preserve">CAMPBELL                 JONATHAN                 </v>
      </c>
      <c r="E2142" t="str">
        <f t="shared" si="78"/>
        <v xml:space="preserve">MOBILE                    </v>
      </c>
      <c r="F2142" t="str">
        <f t="shared" si="77"/>
        <v>AL</v>
      </c>
    </row>
    <row r="2143" spans="1:6" x14ac:dyDescent="0.25">
      <c r="A2143" t="str">
        <f>"200027937"</f>
        <v>200027937</v>
      </c>
      <c r="B2143" t="str">
        <f>"1780262931"</f>
        <v>1780262931</v>
      </c>
      <c r="C2143" t="str">
        <f>"207V00000X"</f>
        <v>207V00000X</v>
      </c>
      <c r="D2143" t="str">
        <f>"GARRISON                 KENDAL                   "</f>
        <v xml:space="preserve">GARRISON                 KENDAL                   </v>
      </c>
      <c r="E2143" t="str">
        <f t="shared" si="78"/>
        <v xml:space="preserve">MOBILE                    </v>
      </c>
      <c r="F2143" t="str">
        <f t="shared" si="77"/>
        <v>AL</v>
      </c>
    </row>
    <row r="2144" spans="1:6" x14ac:dyDescent="0.25">
      <c r="A2144" t="str">
        <f>"200027945"</f>
        <v>200027945</v>
      </c>
      <c r="B2144" t="str">
        <f>"1265936231"</f>
        <v>1265936231</v>
      </c>
      <c r="C2144" t="str">
        <f>"2085R0202X"</f>
        <v>2085R0202X</v>
      </c>
      <c r="D2144" t="str">
        <f>"BRADY                    CHAD         K           "</f>
        <v xml:space="preserve">BRADY                    CHAD         K           </v>
      </c>
      <c r="E2144" t="str">
        <f t="shared" si="78"/>
        <v xml:space="preserve">MOBILE                    </v>
      </c>
      <c r="F2144" t="str">
        <f t="shared" si="77"/>
        <v>AL</v>
      </c>
    </row>
    <row r="2145" spans="1:6" x14ac:dyDescent="0.25">
      <c r="A2145" t="str">
        <f>"200027953"</f>
        <v>200027953</v>
      </c>
      <c r="B2145" t="str">
        <f>"1366185290"</f>
        <v>1366185290</v>
      </c>
      <c r="C2145" t="str">
        <f>"208600000X"</f>
        <v>208600000X</v>
      </c>
      <c r="D2145" t="str">
        <f>"STEPHENS                 DANIELLE                 "</f>
        <v xml:space="preserve">STEPHENS                 DANIELLE                 </v>
      </c>
      <c r="E2145" t="str">
        <f t="shared" si="78"/>
        <v xml:space="preserve">MOBILE                    </v>
      </c>
      <c r="F2145" t="str">
        <f t="shared" si="77"/>
        <v>AL</v>
      </c>
    </row>
    <row r="2146" spans="1:6" x14ac:dyDescent="0.25">
      <c r="A2146" t="str">
        <f>"200027956"</f>
        <v>200027956</v>
      </c>
      <c r="B2146" t="str">
        <f>"1740975549"</f>
        <v>1740975549</v>
      </c>
      <c r="C2146" t="str">
        <f>"2085R0202X"</f>
        <v>2085R0202X</v>
      </c>
      <c r="D2146" t="str">
        <f>"CHORY                    ROBERT                   "</f>
        <v xml:space="preserve">CHORY                    ROBERT                   </v>
      </c>
      <c r="E2146" t="str">
        <f t="shared" si="78"/>
        <v xml:space="preserve">MOBILE                    </v>
      </c>
      <c r="F2146" t="str">
        <f t="shared" si="77"/>
        <v>AL</v>
      </c>
    </row>
    <row r="2147" spans="1:6" x14ac:dyDescent="0.25">
      <c r="A2147" t="str">
        <f>"200027971"</f>
        <v>200027971</v>
      </c>
      <c r="B2147" t="str">
        <f>"1457324220"</f>
        <v>1457324220</v>
      </c>
      <c r="C2147" t="str">
        <f>"261QE0700X"</f>
        <v>261QE0700X</v>
      </c>
      <c r="D2147" t="str">
        <f>"FLORENCE DIALYSIS                                 "</f>
        <v xml:space="preserve">FLORENCE DIALYSIS                                 </v>
      </c>
      <c r="E2147" t="str">
        <f>"FLORENCE                  "</f>
        <v xml:space="preserve">FLORENCE                  </v>
      </c>
      <c r="F2147" t="str">
        <f t="shared" si="77"/>
        <v>AL</v>
      </c>
    </row>
    <row r="2148" spans="1:6" x14ac:dyDescent="0.25">
      <c r="A2148" t="str">
        <f>"200027994"</f>
        <v>200027994</v>
      </c>
      <c r="B2148" t="str">
        <f>"1033538483"</f>
        <v>1033538483</v>
      </c>
      <c r="C2148" t="str">
        <f>"207V00000X"</f>
        <v>207V00000X</v>
      </c>
      <c r="D2148" t="str">
        <f>"DIMOFF                   MEGAN        B           "</f>
        <v xml:space="preserve">DIMOFF                   MEGAN        B           </v>
      </c>
      <c r="E2148" t="str">
        <f>"MOBILE                    "</f>
        <v xml:space="preserve">MOBILE                    </v>
      </c>
      <c r="F2148" t="str">
        <f t="shared" si="77"/>
        <v>AL</v>
      </c>
    </row>
    <row r="2149" spans="1:6" x14ac:dyDescent="0.25">
      <c r="A2149" t="str">
        <f>"200028001"</f>
        <v>200028001</v>
      </c>
      <c r="B2149" t="str">
        <f>"1477131530"</f>
        <v>1477131530</v>
      </c>
      <c r="C2149" t="str">
        <f>"207Q00000X"</f>
        <v>207Q00000X</v>
      </c>
      <c r="D2149" t="str">
        <f>"WILSON                   TIMBERLY                 "</f>
        <v xml:space="preserve">WILSON                   TIMBERLY                 </v>
      </c>
      <c r="E2149" t="str">
        <f>"MOBILE                    "</f>
        <v xml:space="preserve">MOBILE                    </v>
      </c>
      <c r="F2149" t="str">
        <f t="shared" si="77"/>
        <v>AL</v>
      </c>
    </row>
    <row r="2150" spans="1:6" x14ac:dyDescent="0.25">
      <c r="A2150" t="str">
        <f>"200028009"</f>
        <v>200028009</v>
      </c>
      <c r="B2150" t="str">
        <f>"1679150262"</f>
        <v>1679150262</v>
      </c>
      <c r="C2150" t="str">
        <f>"208600000X"</f>
        <v>208600000X</v>
      </c>
      <c r="D2150" t="str">
        <f>"SHEPPARD                 KYLE                     "</f>
        <v xml:space="preserve">SHEPPARD                 KYLE                     </v>
      </c>
      <c r="E2150" t="str">
        <f>"MOBILE                    "</f>
        <v xml:space="preserve">MOBILE                    </v>
      </c>
      <c r="F2150" t="str">
        <f t="shared" si="77"/>
        <v>AL</v>
      </c>
    </row>
    <row r="2151" spans="1:6" x14ac:dyDescent="0.25">
      <c r="A2151" t="str">
        <f>"200028020"</f>
        <v>200028020</v>
      </c>
      <c r="B2151" t="str">
        <f>"1447681861"</f>
        <v>1447681861</v>
      </c>
      <c r="C2151" t="str">
        <f>"122300000X"</f>
        <v>122300000X</v>
      </c>
      <c r="D2151" t="str">
        <f>"MOBILE PEDIATRIC DENTISTRY                        "</f>
        <v xml:space="preserve">MOBILE PEDIATRIC DENTISTRY                        </v>
      </c>
      <c r="E2151" t="str">
        <f>"MOBILE                    "</f>
        <v xml:space="preserve">MOBILE                    </v>
      </c>
      <c r="F2151" t="str">
        <f t="shared" si="77"/>
        <v>AL</v>
      </c>
    </row>
    <row r="2152" spans="1:6" x14ac:dyDescent="0.25">
      <c r="A2152" t="str">
        <f>"200028022"</f>
        <v>200028022</v>
      </c>
      <c r="B2152" t="str">
        <f>"1841201274"</f>
        <v>1841201274</v>
      </c>
      <c r="C2152" t="str">
        <f>"207Q00000X"</f>
        <v>207Q00000X</v>
      </c>
      <c r="D2152" t="str">
        <f>"HOUSTON                  JOHN                     "</f>
        <v xml:space="preserve">HOUSTON                  JOHN                     </v>
      </c>
      <c r="E2152" t="str">
        <f>"MOBILE                    "</f>
        <v xml:space="preserve">MOBILE                    </v>
      </c>
      <c r="F2152" t="str">
        <f t="shared" si="77"/>
        <v>AL</v>
      </c>
    </row>
    <row r="2153" spans="1:6" x14ac:dyDescent="0.25">
      <c r="A2153" t="str">
        <f>"200028037"</f>
        <v>200028037</v>
      </c>
      <c r="B2153" t="str">
        <f>"1407895261"</f>
        <v>1407895261</v>
      </c>
      <c r="C2153" t="str">
        <f>"207R00000X"</f>
        <v>207R00000X</v>
      </c>
      <c r="D2153" t="str">
        <f>"THOMAS                   GARY                     "</f>
        <v xml:space="preserve">THOMAS                   GARY                     </v>
      </c>
      <c r="E2153" t="str">
        <f>"WINFIELD                  "</f>
        <v xml:space="preserve">WINFIELD                  </v>
      </c>
      <c r="F2153" t="str">
        <f t="shared" si="77"/>
        <v>AL</v>
      </c>
    </row>
    <row r="2154" spans="1:6" x14ac:dyDescent="0.25">
      <c r="A2154" t="str">
        <f>"200028057"</f>
        <v>200028057</v>
      </c>
      <c r="B2154" t="str">
        <f>"1457221087"</f>
        <v>1457221087</v>
      </c>
      <c r="C2154" t="str">
        <f>"363A00000X"</f>
        <v>363A00000X</v>
      </c>
      <c r="D2154" t="str">
        <f>"HOLT                     KARLY        G           "</f>
        <v xml:space="preserve">HOLT                     KARLY        G           </v>
      </c>
      <c r="E2154" t="str">
        <f>"FLORENCE                  "</f>
        <v xml:space="preserve">FLORENCE                  </v>
      </c>
      <c r="F2154" t="str">
        <f t="shared" si="77"/>
        <v>AL</v>
      </c>
    </row>
    <row r="2155" spans="1:6" x14ac:dyDescent="0.25">
      <c r="A2155" t="str">
        <f>"200028059"</f>
        <v>200028059</v>
      </c>
      <c r="B2155" t="str">
        <f>"1487611950"</f>
        <v>1487611950</v>
      </c>
      <c r="C2155" t="str">
        <f>"207V00000X"</f>
        <v>207V00000X</v>
      </c>
      <c r="D2155" t="str">
        <f>"WELLS                    DYLAN                    "</f>
        <v xml:space="preserve">WELLS                    DYLAN                    </v>
      </c>
      <c r="E2155" t="str">
        <f t="shared" ref="E2155:E2169" si="79">"MOBILE                    "</f>
        <v xml:space="preserve">MOBILE                    </v>
      </c>
      <c r="F2155" t="str">
        <f t="shared" si="77"/>
        <v>AL</v>
      </c>
    </row>
    <row r="2156" spans="1:6" x14ac:dyDescent="0.25">
      <c r="A2156" t="str">
        <f>"200028078"</f>
        <v>200028078</v>
      </c>
      <c r="B2156" t="str">
        <f>"1043953698"</f>
        <v>1043953698</v>
      </c>
      <c r="C2156" t="str">
        <f>"2084P0800X"</f>
        <v>2084P0800X</v>
      </c>
      <c r="D2156" t="str">
        <f>"BURNETT                  SEBRINA                  "</f>
        <v xml:space="preserve">BURNETT                  SEBRINA                  </v>
      </c>
      <c r="E2156" t="str">
        <f t="shared" si="79"/>
        <v xml:space="preserve">MOBILE                    </v>
      </c>
      <c r="F2156" t="str">
        <f t="shared" si="77"/>
        <v>AL</v>
      </c>
    </row>
    <row r="2157" spans="1:6" x14ac:dyDescent="0.25">
      <c r="A2157" t="str">
        <f>"200028111"</f>
        <v>200028111</v>
      </c>
      <c r="B2157" t="str">
        <f>"1548791130"</f>
        <v>1548791130</v>
      </c>
      <c r="C2157" t="str">
        <f>"208M00000X"</f>
        <v>208M00000X</v>
      </c>
      <c r="D2157" t="str">
        <f>"PFLEEGER                 JENNA                    "</f>
        <v xml:space="preserve">PFLEEGER                 JENNA                    </v>
      </c>
      <c r="E2157" t="str">
        <f t="shared" si="79"/>
        <v xml:space="preserve">MOBILE                    </v>
      </c>
      <c r="F2157" t="str">
        <f t="shared" si="77"/>
        <v>AL</v>
      </c>
    </row>
    <row r="2158" spans="1:6" x14ac:dyDescent="0.25">
      <c r="A2158" t="str">
        <f>"200028114"</f>
        <v>200028114</v>
      </c>
      <c r="B2158" t="str">
        <f>"1164274957"</f>
        <v>1164274957</v>
      </c>
      <c r="C2158" t="str">
        <f>"2084P0800X"</f>
        <v>2084P0800X</v>
      </c>
      <c r="D2158" t="str">
        <f>"MCNEIL                   ALEXANDRA                "</f>
        <v xml:space="preserve">MCNEIL                   ALEXANDRA                </v>
      </c>
      <c r="E2158" t="str">
        <f t="shared" si="79"/>
        <v xml:space="preserve">MOBILE                    </v>
      </c>
      <c r="F2158" t="str">
        <f t="shared" si="77"/>
        <v>AL</v>
      </c>
    </row>
    <row r="2159" spans="1:6" x14ac:dyDescent="0.25">
      <c r="A2159" t="str">
        <f>"200028205"</f>
        <v>200028205</v>
      </c>
      <c r="B2159" t="str">
        <f>"1144923277"</f>
        <v>1144923277</v>
      </c>
      <c r="C2159" t="str">
        <f>"2084P0800X"</f>
        <v>2084P0800X</v>
      </c>
      <c r="D2159" t="str">
        <f>"TESLENKO                 ALINA                    "</f>
        <v xml:space="preserve">TESLENKO                 ALINA                    </v>
      </c>
      <c r="E2159" t="str">
        <f t="shared" si="79"/>
        <v xml:space="preserve">MOBILE                    </v>
      </c>
      <c r="F2159" t="str">
        <f t="shared" si="77"/>
        <v>AL</v>
      </c>
    </row>
    <row r="2160" spans="1:6" x14ac:dyDescent="0.25">
      <c r="A2160" t="str">
        <f>"200028211"</f>
        <v>200028211</v>
      </c>
      <c r="B2160" t="str">
        <f>"1992855886"</f>
        <v>1992855886</v>
      </c>
      <c r="C2160" t="str">
        <f>"207R00000X"</f>
        <v>207R00000X</v>
      </c>
      <c r="D2160" t="str">
        <f>"HUNDLEY                  TERRY                    "</f>
        <v xml:space="preserve">HUNDLEY                  TERRY                    </v>
      </c>
      <c r="E2160" t="str">
        <f t="shared" si="79"/>
        <v xml:space="preserve">MOBILE                    </v>
      </c>
      <c r="F2160" t="str">
        <f t="shared" si="77"/>
        <v>AL</v>
      </c>
    </row>
    <row r="2161" spans="1:6" x14ac:dyDescent="0.25">
      <c r="A2161" t="str">
        <f>"200028216"</f>
        <v>200028216</v>
      </c>
      <c r="B2161" t="str">
        <f>"1871345926"</f>
        <v>1871345926</v>
      </c>
      <c r="C2161" t="str">
        <f>"207Q00000X"</f>
        <v>207Q00000X</v>
      </c>
      <c r="D2161" t="str">
        <f>"ANDRUS                   KAITLIN                  "</f>
        <v xml:space="preserve">ANDRUS                   KAITLIN                  </v>
      </c>
      <c r="E2161" t="str">
        <f t="shared" si="79"/>
        <v xml:space="preserve">MOBILE                    </v>
      </c>
      <c r="F2161" t="str">
        <f t="shared" si="77"/>
        <v>AL</v>
      </c>
    </row>
    <row r="2162" spans="1:6" x14ac:dyDescent="0.25">
      <c r="A2162" t="str">
        <f>"200028235"</f>
        <v>200028235</v>
      </c>
      <c r="B2162" t="str">
        <f>"1124879457"</f>
        <v>1124879457</v>
      </c>
      <c r="C2162" t="str">
        <f>"207P00000X"</f>
        <v>207P00000X</v>
      </c>
      <c r="D2162" t="str">
        <f>"JACKSON                  ANTHONY                  "</f>
        <v xml:space="preserve">JACKSON                  ANTHONY                  </v>
      </c>
      <c r="E2162" t="str">
        <f t="shared" si="79"/>
        <v xml:space="preserve">MOBILE                    </v>
      </c>
      <c r="F2162" t="str">
        <f t="shared" si="77"/>
        <v>AL</v>
      </c>
    </row>
    <row r="2163" spans="1:6" x14ac:dyDescent="0.25">
      <c r="A2163" t="str">
        <f>"200028239"</f>
        <v>200028239</v>
      </c>
      <c r="B2163" t="str">
        <f>"1215684576"</f>
        <v>1215684576</v>
      </c>
      <c r="C2163" t="str">
        <f>"207P00000X"</f>
        <v>207P00000X</v>
      </c>
      <c r="D2163" t="str">
        <f>"CRAIG                    WILLIAM                  "</f>
        <v xml:space="preserve">CRAIG                    WILLIAM                  </v>
      </c>
      <c r="E2163" t="str">
        <f t="shared" si="79"/>
        <v xml:space="preserve">MOBILE                    </v>
      </c>
      <c r="F2163" t="str">
        <f t="shared" si="77"/>
        <v>AL</v>
      </c>
    </row>
    <row r="2164" spans="1:6" x14ac:dyDescent="0.25">
      <c r="A2164" t="str">
        <f>"200028271"</f>
        <v>200028271</v>
      </c>
      <c r="B2164" t="str">
        <f>"1124559505"</f>
        <v>1124559505</v>
      </c>
      <c r="C2164" t="str">
        <f>"2085R0202X"</f>
        <v>2085R0202X</v>
      </c>
      <c r="D2164" t="str">
        <f>"ELRAMAH                  MOHAMED      M           "</f>
        <v xml:space="preserve">ELRAMAH                  MOHAMED      M           </v>
      </c>
      <c r="E2164" t="str">
        <f t="shared" si="79"/>
        <v xml:space="preserve">MOBILE                    </v>
      </c>
      <c r="F2164" t="str">
        <f t="shared" si="77"/>
        <v>AL</v>
      </c>
    </row>
    <row r="2165" spans="1:6" x14ac:dyDescent="0.25">
      <c r="A2165" t="str">
        <f>"200028277"</f>
        <v>200028277</v>
      </c>
      <c r="B2165" t="str">
        <f>"1073243986"</f>
        <v>1073243986</v>
      </c>
      <c r="C2165" t="str">
        <f>"363L00000X"</f>
        <v>363L00000X</v>
      </c>
      <c r="D2165" t="str">
        <f>"CURRIER                  KATHRYN                  "</f>
        <v xml:space="preserve">CURRIER                  KATHRYN                  </v>
      </c>
      <c r="E2165" t="str">
        <f t="shared" si="79"/>
        <v xml:space="preserve">MOBILE                    </v>
      </c>
      <c r="F2165" t="str">
        <f t="shared" si="77"/>
        <v>AL</v>
      </c>
    </row>
    <row r="2166" spans="1:6" x14ac:dyDescent="0.25">
      <c r="A2166" t="str">
        <f>"200028286"</f>
        <v>200028286</v>
      </c>
      <c r="B2166" t="str">
        <f>"1588414056"</f>
        <v>1588414056</v>
      </c>
      <c r="C2166" t="str">
        <f>"207P00000X"</f>
        <v>207P00000X</v>
      </c>
      <c r="D2166" t="str">
        <f>"BAILEY                   LORA         J           "</f>
        <v xml:space="preserve">BAILEY                   LORA         J           </v>
      </c>
      <c r="E2166" t="str">
        <f t="shared" si="79"/>
        <v xml:space="preserve">MOBILE                    </v>
      </c>
      <c r="F2166" t="str">
        <f t="shared" si="77"/>
        <v>AL</v>
      </c>
    </row>
    <row r="2167" spans="1:6" x14ac:dyDescent="0.25">
      <c r="A2167" t="str">
        <f>"200028339"</f>
        <v>200028339</v>
      </c>
      <c r="B2167" t="str">
        <f>"1669505368"</f>
        <v>1669505368</v>
      </c>
      <c r="C2167" t="str">
        <f>"2085R0202X"</f>
        <v>2085R0202X</v>
      </c>
      <c r="D2167" t="str">
        <f>"ZALAMEA                  RODERICK     M           "</f>
        <v xml:space="preserve">ZALAMEA                  RODERICK     M           </v>
      </c>
      <c r="E2167" t="str">
        <f t="shared" si="79"/>
        <v xml:space="preserve">MOBILE                    </v>
      </c>
      <c r="F2167" t="str">
        <f t="shared" si="77"/>
        <v>AL</v>
      </c>
    </row>
    <row r="2168" spans="1:6" x14ac:dyDescent="0.25">
      <c r="A2168" t="str">
        <f>"200028382"</f>
        <v>200028382</v>
      </c>
      <c r="B2168" t="str">
        <f>"1063415339"</f>
        <v>1063415339</v>
      </c>
      <c r="C2168" t="str">
        <f>"2086S0129X"</f>
        <v>2086S0129X</v>
      </c>
      <c r="D2168" t="str">
        <f>"PFEIFFER                 RALPH                    "</f>
        <v xml:space="preserve">PFEIFFER                 RALPH                    </v>
      </c>
      <c r="E2168" t="str">
        <f t="shared" si="79"/>
        <v xml:space="preserve">MOBILE                    </v>
      </c>
      <c r="F2168" t="str">
        <f t="shared" si="77"/>
        <v>AL</v>
      </c>
    </row>
    <row r="2169" spans="1:6" x14ac:dyDescent="0.25">
      <c r="A2169" t="str">
        <f>"200028383"</f>
        <v>200028383</v>
      </c>
      <c r="B2169" t="str">
        <f>"1477712990"</f>
        <v>1477712990</v>
      </c>
      <c r="C2169" t="str">
        <f>"208M00000X"</f>
        <v>208M00000X</v>
      </c>
      <c r="D2169" t="str">
        <f>"WILDER                   LATONYA                  "</f>
        <v xml:space="preserve">WILDER                   LATONYA                  </v>
      </c>
      <c r="E2169" t="str">
        <f t="shared" si="79"/>
        <v xml:space="preserve">MOBILE                    </v>
      </c>
      <c r="F2169" t="str">
        <f t="shared" si="77"/>
        <v>AL</v>
      </c>
    </row>
    <row r="2170" spans="1:6" x14ac:dyDescent="0.25">
      <c r="A2170" t="str">
        <f>"200028391"</f>
        <v>200028391</v>
      </c>
      <c r="B2170" t="str">
        <f>"1538801675"</f>
        <v>1538801675</v>
      </c>
      <c r="C2170" t="str">
        <f>"208M00000X"</f>
        <v>208M00000X</v>
      </c>
      <c r="D2170" t="str">
        <f>"TADIKONDA                SIRI                     "</f>
        <v xml:space="preserve">TADIKONDA                SIRI                     </v>
      </c>
      <c r="E2170" t="str">
        <f>"FLORENCE                  "</f>
        <v xml:space="preserve">FLORENCE                  </v>
      </c>
      <c r="F2170" t="str">
        <f t="shared" si="77"/>
        <v>AL</v>
      </c>
    </row>
    <row r="2171" spans="1:6" x14ac:dyDescent="0.25">
      <c r="A2171" t="str">
        <f>"200028420"</f>
        <v>200028420</v>
      </c>
      <c r="B2171" t="str">
        <f>"1205774098"</f>
        <v>1205774098</v>
      </c>
      <c r="C2171" t="str">
        <f>"363A00000X"</f>
        <v>363A00000X</v>
      </c>
      <c r="D2171" t="str">
        <f>"BLACKBURN                JULIANNE                 "</f>
        <v xml:space="preserve">BLACKBURN                JULIANNE                 </v>
      </c>
      <c r="E2171" t="str">
        <f t="shared" ref="E2171:E2176" si="80">"MOBILE                    "</f>
        <v xml:space="preserve">MOBILE                    </v>
      </c>
      <c r="F2171" t="str">
        <f t="shared" si="77"/>
        <v>AL</v>
      </c>
    </row>
    <row r="2172" spans="1:6" x14ac:dyDescent="0.25">
      <c r="A2172" t="str">
        <f>"200028433"</f>
        <v>200028433</v>
      </c>
      <c r="B2172" t="str">
        <f>"1932393238"</f>
        <v>1932393238</v>
      </c>
      <c r="C2172" t="str">
        <f>"207P00000X"</f>
        <v>207P00000X</v>
      </c>
      <c r="D2172" t="str">
        <f>"MARTINEZ                 CARMEN       J           "</f>
        <v xml:space="preserve">MARTINEZ                 CARMEN       J           </v>
      </c>
      <c r="E2172" t="str">
        <f t="shared" si="80"/>
        <v xml:space="preserve">MOBILE                    </v>
      </c>
      <c r="F2172" t="str">
        <f t="shared" si="77"/>
        <v>AL</v>
      </c>
    </row>
    <row r="2173" spans="1:6" x14ac:dyDescent="0.25">
      <c r="A2173" t="str">
        <f>"200028441"</f>
        <v>200028441</v>
      </c>
      <c r="B2173" t="str">
        <f>"1891175881"</f>
        <v>1891175881</v>
      </c>
      <c r="C2173" t="str">
        <f>"367500000X"</f>
        <v>367500000X</v>
      </c>
      <c r="D2173" t="str">
        <f>"BEARDEN                  BRIAN                    "</f>
        <v xml:space="preserve">BEARDEN                  BRIAN                    </v>
      </c>
      <c r="E2173" t="str">
        <f t="shared" si="80"/>
        <v xml:space="preserve">MOBILE                    </v>
      </c>
      <c r="F2173" t="str">
        <f t="shared" si="77"/>
        <v>AL</v>
      </c>
    </row>
    <row r="2174" spans="1:6" x14ac:dyDescent="0.25">
      <c r="A2174" t="str">
        <f>"200028469"</f>
        <v>200028469</v>
      </c>
      <c r="B2174" t="str">
        <f>"1255735692"</f>
        <v>1255735692</v>
      </c>
      <c r="C2174" t="str">
        <f>"363LF0000X"</f>
        <v>363LF0000X</v>
      </c>
      <c r="D2174" t="str">
        <f>"HARRIS                   JANICE       D           "</f>
        <v xml:space="preserve">HARRIS                   JANICE       D           </v>
      </c>
      <c r="E2174" t="str">
        <f t="shared" si="80"/>
        <v xml:space="preserve">MOBILE                    </v>
      </c>
      <c r="F2174" t="str">
        <f t="shared" si="77"/>
        <v>AL</v>
      </c>
    </row>
    <row r="2175" spans="1:6" x14ac:dyDescent="0.25">
      <c r="A2175" t="str">
        <f>"200028482"</f>
        <v>200028482</v>
      </c>
      <c r="B2175" t="str">
        <f>"1619251568"</f>
        <v>1619251568</v>
      </c>
      <c r="C2175" t="str">
        <f>"363LW0102X"</f>
        <v>363LW0102X</v>
      </c>
      <c r="D2175" t="str">
        <f>"MATTEI                   MARY LUCY    W           "</f>
        <v xml:space="preserve">MATTEI                   MARY LUCY    W           </v>
      </c>
      <c r="E2175" t="str">
        <f t="shared" si="80"/>
        <v xml:space="preserve">MOBILE                    </v>
      </c>
      <c r="F2175" t="str">
        <f t="shared" si="77"/>
        <v>AL</v>
      </c>
    </row>
    <row r="2176" spans="1:6" x14ac:dyDescent="0.25">
      <c r="A2176" t="str">
        <f>"200028494"</f>
        <v>200028494</v>
      </c>
      <c r="B2176" t="str">
        <f>"1417489063"</f>
        <v>1417489063</v>
      </c>
      <c r="C2176" t="str">
        <f>"2085R0001X"</f>
        <v>2085R0001X</v>
      </c>
      <c r="D2176" t="str">
        <f>"JONES                    JOSEPH       A           "</f>
        <v xml:space="preserve">JONES                    JOSEPH       A           </v>
      </c>
      <c r="E2176" t="str">
        <f t="shared" si="80"/>
        <v xml:space="preserve">MOBILE                    </v>
      </c>
      <c r="F2176" t="str">
        <f t="shared" si="77"/>
        <v>AL</v>
      </c>
    </row>
    <row r="2177" spans="1:6" x14ac:dyDescent="0.25">
      <c r="A2177" t="str">
        <f>"200028515"</f>
        <v>200028515</v>
      </c>
      <c r="B2177" t="str">
        <f>"1548671662"</f>
        <v>1548671662</v>
      </c>
      <c r="C2177" t="str">
        <f>"207Q00000X"</f>
        <v>207Q00000X</v>
      </c>
      <c r="D2177" t="str">
        <f>"DEFOOR                   JEFFREY                  "</f>
        <v xml:space="preserve">DEFOOR                   JEFFREY                  </v>
      </c>
      <c r="E2177" t="str">
        <f>"MUSCLE SHOALS             "</f>
        <v xml:space="preserve">MUSCLE SHOALS             </v>
      </c>
      <c r="F2177" t="str">
        <f t="shared" si="77"/>
        <v>AL</v>
      </c>
    </row>
    <row r="2178" spans="1:6" x14ac:dyDescent="0.25">
      <c r="A2178" t="str">
        <f>"200028527"</f>
        <v>200028527</v>
      </c>
      <c r="B2178" t="str">
        <f>"1063502862"</f>
        <v>1063502862</v>
      </c>
      <c r="C2178" t="str">
        <f>"2085R0202X"</f>
        <v>2085R0202X</v>
      </c>
      <c r="D2178" t="str">
        <f>"SWEET                    NICHOLAS     N           "</f>
        <v xml:space="preserve">SWEET                    NICHOLAS     N           </v>
      </c>
      <c r="E2178" t="str">
        <f t="shared" ref="E2178:E2189" si="81">"MOBILE                    "</f>
        <v xml:space="preserve">MOBILE                    </v>
      </c>
      <c r="F2178" t="str">
        <f t="shared" si="77"/>
        <v>AL</v>
      </c>
    </row>
    <row r="2179" spans="1:6" x14ac:dyDescent="0.25">
      <c r="A2179" t="str">
        <f>"200028535"</f>
        <v>200028535</v>
      </c>
      <c r="B2179" t="str">
        <f>"1356396659"</f>
        <v>1356396659</v>
      </c>
      <c r="C2179" t="str">
        <f>"363L00000X"</f>
        <v>363L00000X</v>
      </c>
      <c r="D2179" t="str">
        <f>"REVERE                   CHERIE                   "</f>
        <v xml:space="preserve">REVERE                   CHERIE                   </v>
      </c>
      <c r="E2179" t="str">
        <f t="shared" si="81"/>
        <v xml:space="preserve">MOBILE                    </v>
      </c>
      <c r="F2179" t="str">
        <f t="shared" si="77"/>
        <v>AL</v>
      </c>
    </row>
    <row r="2180" spans="1:6" x14ac:dyDescent="0.25">
      <c r="A2180" t="str">
        <f>"200028551"</f>
        <v>200028551</v>
      </c>
      <c r="B2180" t="str">
        <f>"1477538510"</f>
        <v>1477538510</v>
      </c>
      <c r="C2180" t="str">
        <f>"208600000X"</f>
        <v>208600000X</v>
      </c>
      <c r="D2180" t="str">
        <f>"CHANG                    MICHAEL                  "</f>
        <v xml:space="preserve">CHANG                    MICHAEL                  </v>
      </c>
      <c r="E2180" t="str">
        <f t="shared" si="81"/>
        <v xml:space="preserve">MOBILE                    </v>
      </c>
      <c r="F2180" t="str">
        <f t="shared" si="77"/>
        <v>AL</v>
      </c>
    </row>
    <row r="2181" spans="1:6" x14ac:dyDescent="0.25">
      <c r="A2181" t="str">
        <f>"200028575"</f>
        <v>200028575</v>
      </c>
      <c r="B2181" t="str">
        <f>"1689038283"</f>
        <v>1689038283</v>
      </c>
      <c r="C2181" t="str">
        <f>"207RP1001X"</f>
        <v>207RP1001X</v>
      </c>
      <c r="D2181" t="str">
        <f>"YENDRAPALLI              USHA                     "</f>
        <v xml:space="preserve">YENDRAPALLI              USHA                     </v>
      </c>
      <c r="E2181" t="str">
        <f t="shared" si="81"/>
        <v xml:space="preserve">MOBILE                    </v>
      </c>
      <c r="F2181" t="str">
        <f t="shared" si="77"/>
        <v>AL</v>
      </c>
    </row>
    <row r="2182" spans="1:6" x14ac:dyDescent="0.25">
      <c r="A2182" t="str">
        <f>"200028586"</f>
        <v>200028586</v>
      </c>
      <c r="B2182" t="str">
        <f>"1477014504"</f>
        <v>1477014504</v>
      </c>
      <c r="C2182" t="str">
        <f>"208000000X"</f>
        <v>208000000X</v>
      </c>
      <c r="D2182" t="str">
        <f>"WINDHAM                  PERRIN       F           "</f>
        <v xml:space="preserve">WINDHAM                  PERRIN       F           </v>
      </c>
      <c r="E2182" t="str">
        <f t="shared" si="81"/>
        <v xml:space="preserve">MOBILE                    </v>
      </c>
      <c r="F2182" t="str">
        <f t="shared" si="77"/>
        <v>AL</v>
      </c>
    </row>
    <row r="2183" spans="1:6" x14ac:dyDescent="0.25">
      <c r="A2183" t="str">
        <f>"200028607"</f>
        <v>200028607</v>
      </c>
      <c r="B2183" t="str">
        <f>"1619548450"</f>
        <v>1619548450</v>
      </c>
      <c r="C2183" t="str">
        <f>"207RH0003X"</f>
        <v>207RH0003X</v>
      </c>
      <c r="D2183" t="str">
        <f>"ASHFAQ                   MUHAMMAD                 "</f>
        <v xml:space="preserve">ASHFAQ                   MUHAMMAD                 </v>
      </c>
      <c r="E2183" t="str">
        <f t="shared" si="81"/>
        <v xml:space="preserve">MOBILE                    </v>
      </c>
      <c r="F2183" t="str">
        <f t="shared" ref="F2183:F2228" si="82">"AL"</f>
        <v>AL</v>
      </c>
    </row>
    <row r="2184" spans="1:6" x14ac:dyDescent="0.25">
      <c r="A2184" t="str">
        <f>"200028624"</f>
        <v>200028624</v>
      </c>
      <c r="B2184" t="str">
        <f>"1720761505"</f>
        <v>1720761505</v>
      </c>
      <c r="C2184" t="str">
        <f>"363A00000X"</f>
        <v>363A00000X</v>
      </c>
      <c r="D2184" t="str">
        <f>"HARVELL                  AUBREY       B           "</f>
        <v xml:space="preserve">HARVELL                  AUBREY       B           </v>
      </c>
      <c r="E2184" t="str">
        <f t="shared" si="81"/>
        <v xml:space="preserve">MOBILE                    </v>
      </c>
      <c r="F2184" t="str">
        <f t="shared" si="82"/>
        <v>AL</v>
      </c>
    </row>
    <row r="2185" spans="1:6" x14ac:dyDescent="0.25">
      <c r="A2185" t="str">
        <f>"200028638"</f>
        <v>200028638</v>
      </c>
      <c r="B2185" t="str">
        <f>"1568033140"</f>
        <v>1568033140</v>
      </c>
      <c r="C2185" t="str">
        <f>"363LF0000X"</f>
        <v>363LF0000X</v>
      </c>
      <c r="D2185" t="str">
        <f>"NEWELL                   OLIVIA       M           "</f>
        <v xml:space="preserve">NEWELL                   OLIVIA       M           </v>
      </c>
      <c r="E2185" t="str">
        <f t="shared" si="81"/>
        <v xml:space="preserve">MOBILE                    </v>
      </c>
      <c r="F2185" t="str">
        <f t="shared" si="82"/>
        <v>AL</v>
      </c>
    </row>
    <row r="2186" spans="1:6" x14ac:dyDescent="0.25">
      <c r="A2186" t="str">
        <f>"200028641"</f>
        <v>200028641</v>
      </c>
      <c r="B2186" t="str">
        <f>"1821940248"</f>
        <v>1821940248</v>
      </c>
      <c r="C2186" t="str">
        <f>"363LN0000X"</f>
        <v>363LN0000X</v>
      </c>
      <c r="D2186" t="str">
        <f>"FOWLER                   REBECCA      M           "</f>
        <v xml:space="preserve">FOWLER                   REBECCA      M           </v>
      </c>
      <c r="E2186" t="str">
        <f t="shared" si="81"/>
        <v xml:space="preserve">MOBILE                    </v>
      </c>
      <c r="F2186" t="str">
        <f t="shared" si="82"/>
        <v>AL</v>
      </c>
    </row>
    <row r="2187" spans="1:6" x14ac:dyDescent="0.25">
      <c r="A2187" t="str">
        <f>"200028646"</f>
        <v>200028646</v>
      </c>
      <c r="B2187" t="str">
        <f>"1396339909"</f>
        <v>1396339909</v>
      </c>
      <c r="C2187" t="str">
        <f>"363LF0000X"</f>
        <v>363LF0000X</v>
      </c>
      <c r="D2187" t="str">
        <f>"MIZELL                   RACHEL       B           "</f>
        <v xml:space="preserve">MIZELL                   RACHEL       B           </v>
      </c>
      <c r="E2187" t="str">
        <f t="shared" si="81"/>
        <v xml:space="preserve">MOBILE                    </v>
      </c>
      <c r="F2187" t="str">
        <f t="shared" si="82"/>
        <v>AL</v>
      </c>
    </row>
    <row r="2188" spans="1:6" x14ac:dyDescent="0.25">
      <c r="A2188" t="str">
        <f>"200028647"</f>
        <v>200028647</v>
      </c>
      <c r="B2188" t="str">
        <f>"1962856732"</f>
        <v>1962856732</v>
      </c>
      <c r="C2188" t="str">
        <f>"207R00000X"</f>
        <v>207R00000X</v>
      </c>
      <c r="D2188" t="str">
        <f>"KENNEDY                  TIMOTHY                  "</f>
        <v xml:space="preserve">KENNEDY                  TIMOTHY                  </v>
      </c>
      <c r="E2188" t="str">
        <f t="shared" si="81"/>
        <v xml:space="preserve">MOBILE                    </v>
      </c>
      <c r="F2188" t="str">
        <f t="shared" si="82"/>
        <v>AL</v>
      </c>
    </row>
    <row r="2189" spans="1:6" x14ac:dyDescent="0.25">
      <c r="A2189" t="str">
        <f>"200028654"</f>
        <v>200028654</v>
      </c>
      <c r="B2189" t="str">
        <f>"1457004012"</f>
        <v>1457004012</v>
      </c>
      <c r="C2189" t="str">
        <f>"363A00000X"</f>
        <v>363A00000X</v>
      </c>
      <c r="D2189" t="str">
        <f>"VARTANIAN                MIKEL                    "</f>
        <v xml:space="preserve">VARTANIAN                MIKEL                    </v>
      </c>
      <c r="E2189" t="str">
        <f t="shared" si="81"/>
        <v xml:space="preserve">MOBILE                    </v>
      </c>
      <c r="F2189" t="str">
        <f t="shared" si="82"/>
        <v>AL</v>
      </c>
    </row>
    <row r="2190" spans="1:6" x14ac:dyDescent="0.25">
      <c r="A2190" t="str">
        <f>"200028662"</f>
        <v>200028662</v>
      </c>
      <c r="B2190" t="str">
        <f>"1952922759"</f>
        <v>1952922759</v>
      </c>
      <c r="C2190" t="str">
        <f>"207P00000X"</f>
        <v>207P00000X</v>
      </c>
      <c r="D2190" t="str">
        <f>"ANDERSON                 JARAD                    "</f>
        <v xml:space="preserve">ANDERSON                 JARAD                    </v>
      </c>
      <c r="E2190" t="str">
        <f>"FAYETTE                   "</f>
        <v xml:space="preserve">FAYETTE                   </v>
      </c>
      <c r="F2190" t="str">
        <f t="shared" si="82"/>
        <v>AL</v>
      </c>
    </row>
    <row r="2191" spans="1:6" x14ac:dyDescent="0.25">
      <c r="A2191" t="str">
        <f>"200028673"</f>
        <v>200028673</v>
      </c>
      <c r="B2191" t="str">
        <f>"1699092486"</f>
        <v>1699092486</v>
      </c>
      <c r="C2191" t="str">
        <f>"207P00000X"</f>
        <v>207P00000X</v>
      </c>
      <c r="D2191" t="str">
        <f>"MANN                     CHRISTOPHER              "</f>
        <v xml:space="preserve">MANN                     CHRISTOPHER              </v>
      </c>
      <c r="E2191" t="str">
        <f>"TUSCALOOSA                "</f>
        <v xml:space="preserve">TUSCALOOSA                </v>
      </c>
      <c r="F2191" t="str">
        <f t="shared" si="82"/>
        <v>AL</v>
      </c>
    </row>
    <row r="2192" spans="1:6" x14ac:dyDescent="0.25">
      <c r="A2192" t="str">
        <f>"200028678"</f>
        <v>200028678</v>
      </c>
      <c r="B2192" t="str">
        <f>"1972286367"</f>
        <v>1972286367</v>
      </c>
      <c r="C2192" t="str">
        <f>"207RN0300X"</f>
        <v>207RN0300X</v>
      </c>
      <c r="D2192" t="str">
        <f>"IKRAI                    HAMZA        Y           "</f>
        <v xml:space="preserve">IKRAI                    HAMZA        Y           </v>
      </c>
      <c r="E2192" t="str">
        <f>"MOBILE                    "</f>
        <v xml:space="preserve">MOBILE                    </v>
      </c>
      <c r="F2192" t="str">
        <f t="shared" si="82"/>
        <v>AL</v>
      </c>
    </row>
    <row r="2193" spans="1:6" x14ac:dyDescent="0.25">
      <c r="A2193" t="str">
        <f>"200028713"</f>
        <v>200028713</v>
      </c>
      <c r="B2193" t="str">
        <f>"1326854761"</f>
        <v>1326854761</v>
      </c>
      <c r="C2193" t="str">
        <f>"363LP0200X"</f>
        <v>363LP0200X</v>
      </c>
      <c r="D2193" t="str">
        <f>"WATKINS                  KAYLA                    "</f>
        <v xml:space="preserve">WATKINS                  KAYLA                    </v>
      </c>
      <c r="E2193" t="str">
        <f>"MOBILE                    "</f>
        <v xml:space="preserve">MOBILE                    </v>
      </c>
      <c r="F2193" t="str">
        <f t="shared" si="82"/>
        <v>AL</v>
      </c>
    </row>
    <row r="2194" spans="1:6" x14ac:dyDescent="0.25">
      <c r="A2194" t="str">
        <f>"200028716"</f>
        <v>200028716</v>
      </c>
      <c r="B2194" t="str">
        <f>"1760986848"</f>
        <v>1760986848</v>
      </c>
      <c r="C2194" t="str">
        <f>"207P00000X"</f>
        <v>207P00000X</v>
      </c>
      <c r="D2194" t="str">
        <f>"MARLOW                   MERIDITH                 "</f>
        <v xml:space="preserve">MARLOW                   MERIDITH                 </v>
      </c>
      <c r="E2194" t="str">
        <f>"FLORENCE                  "</f>
        <v xml:space="preserve">FLORENCE                  </v>
      </c>
      <c r="F2194" t="str">
        <f t="shared" si="82"/>
        <v>AL</v>
      </c>
    </row>
    <row r="2195" spans="1:6" x14ac:dyDescent="0.25">
      <c r="A2195" t="str">
        <f>"200028728"</f>
        <v>200028728</v>
      </c>
      <c r="B2195" t="str">
        <f>"1437724861"</f>
        <v>1437724861</v>
      </c>
      <c r="C2195" t="str">
        <f>"363LF0000X"</f>
        <v>363LF0000X</v>
      </c>
      <c r="D2195" t="str">
        <f>"KING                     LAUREN       S           "</f>
        <v xml:space="preserve">KING                     LAUREN       S           </v>
      </c>
      <c r="E2195" t="str">
        <f>"MOBILE                    "</f>
        <v xml:space="preserve">MOBILE                    </v>
      </c>
      <c r="F2195" t="str">
        <f t="shared" si="82"/>
        <v>AL</v>
      </c>
    </row>
    <row r="2196" spans="1:6" x14ac:dyDescent="0.25">
      <c r="A2196" t="str">
        <f>"200028750"</f>
        <v>200028750</v>
      </c>
      <c r="B2196" t="str">
        <f>"1760012496"</f>
        <v>1760012496</v>
      </c>
      <c r="C2196" t="str">
        <f>"367500000X"</f>
        <v>367500000X</v>
      </c>
      <c r="D2196" t="str">
        <f>"FRYFOGLE                 JOEL                     "</f>
        <v xml:space="preserve">FRYFOGLE                 JOEL                     </v>
      </c>
      <c r="E2196" t="str">
        <f>"MOBILE                    "</f>
        <v xml:space="preserve">MOBILE                    </v>
      </c>
      <c r="F2196" t="str">
        <f t="shared" si="82"/>
        <v>AL</v>
      </c>
    </row>
    <row r="2197" spans="1:6" x14ac:dyDescent="0.25">
      <c r="A2197" t="str">
        <f>"200028791"</f>
        <v>200028791</v>
      </c>
      <c r="B2197" t="str">
        <f>"1457069106"</f>
        <v>1457069106</v>
      </c>
      <c r="C2197" t="str">
        <f>"363LG0600X"</f>
        <v>363LG0600X</v>
      </c>
      <c r="D2197" t="str">
        <f>"JONES                    FLORA                    "</f>
        <v xml:space="preserve">JONES                    FLORA                    </v>
      </c>
      <c r="E2197" t="str">
        <f>"MOBILE                    "</f>
        <v xml:space="preserve">MOBILE                    </v>
      </c>
      <c r="F2197" t="str">
        <f t="shared" si="82"/>
        <v>AL</v>
      </c>
    </row>
    <row r="2198" spans="1:6" x14ac:dyDescent="0.25">
      <c r="A2198" t="str">
        <f>"200028833"</f>
        <v>200028833</v>
      </c>
      <c r="B2198" t="str">
        <f>"1619233970"</f>
        <v>1619233970</v>
      </c>
      <c r="C2198" t="str">
        <f>"363LN0005X"</f>
        <v>363LN0005X</v>
      </c>
      <c r="D2198" t="str">
        <f>"BAILEY                   LISA                     "</f>
        <v xml:space="preserve">BAILEY                   LISA                     </v>
      </c>
      <c r="E2198" t="str">
        <f>"MOBILE                    "</f>
        <v xml:space="preserve">MOBILE                    </v>
      </c>
      <c r="F2198" t="str">
        <f t="shared" si="82"/>
        <v>AL</v>
      </c>
    </row>
    <row r="2199" spans="1:6" x14ac:dyDescent="0.25">
      <c r="A2199" t="str">
        <f>"200028835"</f>
        <v>200028835</v>
      </c>
      <c r="B2199" t="str">
        <f>"1497801070"</f>
        <v>1497801070</v>
      </c>
      <c r="C2199" t="str">
        <f>"207ZP0102X"</f>
        <v>207ZP0102X</v>
      </c>
      <c r="D2199" t="str">
        <f>"BALMER                   NICOLE                   "</f>
        <v xml:space="preserve">BALMER                   NICOLE                   </v>
      </c>
      <c r="E2199" t="str">
        <f>"VESTAVIA HILLS            "</f>
        <v xml:space="preserve">VESTAVIA HILLS            </v>
      </c>
      <c r="F2199" t="str">
        <f t="shared" si="82"/>
        <v>AL</v>
      </c>
    </row>
    <row r="2200" spans="1:6" x14ac:dyDescent="0.25">
      <c r="A2200" t="str">
        <f>"200028868"</f>
        <v>200028868</v>
      </c>
      <c r="B2200" t="str">
        <f>"1740228600"</f>
        <v>1740228600</v>
      </c>
      <c r="C2200" t="str">
        <f>"363A00000X"</f>
        <v>363A00000X</v>
      </c>
      <c r="D2200" t="str">
        <f>"MILLER                   THERESA      P           "</f>
        <v xml:space="preserve">MILLER                   THERESA      P           </v>
      </c>
      <c r="E2200" t="str">
        <f t="shared" ref="E2200:E2206" si="83">"MOBILE                    "</f>
        <v xml:space="preserve">MOBILE                    </v>
      </c>
      <c r="F2200" t="str">
        <f t="shared" si="82"/>
        <v>AL</v>
      </c>
    </row>
    <row r="2201" spans="1:6" x14ac:dyDescent="0.25">
      <c r="A2201" t="str">
        <f>"200028869"</f>
        <v>200028869</v>
      </c>
      <c r="B2201" t="str">
        <f>"1245572031"</f>
        <v>1245572031</v>
      </c>
      <c r="C2201" t="str">
        <f>"207V00000X"</f>
        <v>207V00000X</v>
      </c>
      <c r="D2201" t="str">
        <f>"THIBODEAUX               VANESSA      C           "</f>
        <v xml:space="preserve">THIBODEAUX               VANESSA      C           </v>
      </c>
      <c r="E2201" t="str">
        <f t="shared" si="83"/>
        <v xml:space="preserve">MOBILE                    </v>
      </c>
      <c r="F2201" t="str">
        <f t="shared" si="82"/>
        <v>AL</v>
      </c>
    </row>
    <row r="2202" spans="1:6" x14ac:dyDescent="0.25">
      <c r="A2202" t="str">
        <f>"200028886"</f>
        <v>200028886</v>
      </c>
      <c r="B2202" t="str">
        <f>"1245253814"</f>
        <v>1245253814</v>
      </c>
      <c r="C2202" t="str">
        <f>"208000000X"</f>
        <v>208000000X</v>
      </c>
      <c r="D2202" t="str">
        <f>"MACK-WILLIAMS            MYRIA        A           "</f>
        <v xml:space="preserve">MACK-WILLIAMS            MYRIA        A           </v>
      </c>
      <c r="E2202" t="str">
        <f t="shared" si="83"/>
        <v xml:space="preserve">MOBILE                    </v>
      </c>
      <c r="F2202" t="str">
        <f t="shared" si="82"/>
        <v>AL</v>
      </c>
    </row>
    <row r="2203" spans="1:6" x14ac:dyDescent="0.25">
      <c r="A2203" t="str">
        <f>"200028907"</f>
        <v>200028907</v>
      </c>
      <c r="B2203" t="str">
        <f>"1568948990"</f>
        <v>1568948990</v>
      </c>
      <c r="C2203" t="str">
        <f>"363LF0000X"</f>
        <v>363LF0000X</v>
      </c>
      <c r="D2203" t="str">
        <f>"WOJTALA                  KATHLEEN     Q           "</f>
        <v xml:space="preserve">WOJTALA                  KATHLEEN     Q           </v>
      </c>
      <c r="E2203" t="str">
        <f t="shared" si="83"/>
        <v xml:space="preserve">MOBILE                    </v>
      </c>
      <c r="F2203" t="str">
        <f t="shared" si="82"/>
        <v>AL</v>
      </c>
    </row>
    <row r="2204" spans="1:6" x14ac:dyDescent="0.25">
      <c r="A2204" t="str">
        <f>"200028927"</f>
        <v>200028927</v>
      </c>
      <c r="B2204" t="str">
        <f>"1437608288"</f>
        <v>1437608288</v>
      </c>
      <c r="C2204" t="str">
        <f>"363LA2100X"</f>
        <v>363LA2100X</v>
      </c>
      <c r="D2204" t="str">
        <f>"CORNELIUS                EMILY                    "</f>
        <v xml:space="preserve">CORNELIUS                EMILY                    </v>
      </c>
      <c r="E2204" t="str">
        <f t="shared" si="83"/>
        <v xml:space="preserve">MOBILE                    </v>
      </c>
      <c r="F2204" t="str">
        <f t="shared" si="82"/>
        <v>AL</v>
      </c>
    </row>
    <row r="2205" spans="1:6" x14ac:dyDescent="0.25">
      <c r="A2205" t="str">
        <f>"200028930"</f>
        <v>200028930</v>
      </c>
      <c r="B2205" t="str">
        <f>"1659410249"</f>
        <v>1659410249</v>
      </c>
      <c r="C2205" t="str">
        <f>"2080N0001X"</f>
        <v>2080N0001X</v>
      </c>
      <c r="D2205" t="str">
        <f>"GODOY                    GUILLERMO                "</f>
        <v xml:space="preserve">GODOY                    GUILLERMO                </v>
      </c>
      <c r="E2205" t="str">
        <f t="shared" si="83"/>
        <v xml:space="preserve">MOBILE                    </v>
      </c>
      <c r="F2205" t="str">
        <f t="shared" si="82"/>
        <v>AL</v>
      </c>
    </row>
    <row r="2206" spans="1:6" x14ac:dyDescent="0.25">
      <c r="A2206" t="str">
        <f>"200028934"</f>
        <v>200028934</v>
      </c>
      <c r="B2206" t="str">
        <f>"1366421851"</f>
        <v>1366421851</v>
      </c>
      <c r="C2206" t="str">
        <f>"207L00000X"</f>
        <v>207L00000X</v>
      </c>
      <c r="D2206" t="str">
        <f>"BOUSKA                   GREGORY                  "</f>
        <v xml:space="preserve">BOUSKA                   GREGORY                  </v>
      </c>
      <c r="E2206" t="str">
        <f t="shared" si="83"/>
        <v xml:space="preserve">MOBILE                    </v>
      </c>
      <c r="F2206" t="str">
        <f t="shared" si="82"/>
        <v>AL</v>
      </c>
    </row>
    <row r="2207" spans="1:6" x14ac:dyDescent="0.25">
      <c r="A2207" t="str">
        <f>"200028968"</f>
        <v>200028968</v>
      </c>
      <c r="B2207" t="str">
        <f>"1043519838"</f>
        <v>1043519838</v>
      </c>
      <c r="C2207" t="str">
        <f>"207ZP0102X"</f>
        <v>207ZP0102X</v>
      </c>
      <c r="D2207" t="str">
        <f>"MCINTIRE                 HOLLY                    "</f>
        <v xml:space="preserve">MCINTIRE                 HOLLY                    </v>
      </c>
      <c r="E2207" t="str">
        <f>"VESTAVIA HILLS            "</f>
        <v xml:space="preserve">VESTAVIA HILLS            </v>
      </c>
      <c r="F2207" t="str">
        <f t="shared" si="82"/>
        <v>AL</v>
      </c>
    </row>
    <row r="2208" spans="1:6" x14ac:dyDescent="0.25">
      <c r="A2208" t="str">
        <f>"200028974"</f>
        <v>200028974</v>
      </c>
      <c r="B2208" t="str">
        <f>"1811996929"</f>
        <v>1811996929</v>
      </c>
      <c r="C2208" t="str">
        <f>"208000000X"</f>
        <v>208000000X</v>
      </c>
      <c r="D2208" t="str">
        <f>"FARQUHAR                 DONALD       S           "</f>
        <v xml:space="preserve">FARQUHAR                 DONALD       S           </v>
      </c>
      <c r="E2208" t="str">
        <f>"MOBILE                    "</f>
        <v xml:space="preserve">MOBILE                    </v>
      </c>
      <c r="F2208" t="str">
        <f t="shared" si="82"/>
        <v>AL</v>
      </c>
    </row>
    <row r="2209" spans="1:6" x14ac:dyDescent="0.25">
      <c r="A2209" t="str">
        <f>"200028975"</f>
        <v>200028975</v>
      </c>
      <c r="B2209" t="str">
        <f>"1619420528"</f>
        <v>1619420528</v>
      </c>
      <c r="C2209" t="str">
        <f>"2080N0001X"</f>
        <v>2080N0001X</v>
      </c>
      <c r="D2209" t="str">
        <f>"KASNIYA                  GANGAJAL                 "</f>
        <v xml:space="preserve">KASNIYA                  GANGAJAL                 </v>
      </c>
      <c r="E2209" t="str">
        <f>"MOBILE                    "</f>
        <v xml:space="preserve">MOBILE                    </v>
      </c>
      <c r="F2209" t="str">
        <f t="shared" si="82"/>
        <v>AL</v>
      </c>
    </row>
    <row r="2210" spans="1:6" x14ac:dyDescent="0.25">
      <c r="A2210" t="str">
        <f>"200028980"</f>
        <v>200028980</v>
      </c>
      <c r="B2210" t="str">
        <f>"1558938282"</f>
        <v>1558938282</v>
      </c>
      <c r="C2210" t="str">
        <f>"363LF0000X"</f>
        <v>363LF0000X</v>
      </c>
      <c r="D2210" t="str">
        <f>"KNIGHT                   PARATH                   "</f>
        <v xml:space="preserve">KNIGHT                   PARATH                   </v>
      </c>
      <c r="E2210" t="str">
        <f>"MOBILE                    "</f>
        <v xml:space="preserve">MOBILE                    </v>
      </c>
      <c r="F2210" t="str">
        <f t="shared" si="82"/>
        <v>AL</v>
      </c>
    </row>
    <row r="2211" spans="1:6" x14ac:dyDescent="0.25">
      <c r="A2211" t="str">
        <f>"200028994"</f>
        <v>200028994</v>
      </c>
      <c r="B2211" t="str">
        <f>"1962881557"</f>
        <v>1962881557</v>
      </c>
      <c r="C2211" t="str">
        <f>"363LA2200X"</f>
        <v>363LA2200X</v>
      </c>
      <c r="D2211" t="str">
        <f>"MILHOUSE-WILLIAMS        NAKITA                   "</f>
        <v xml:space="preserve">MILHOUSE-WILLIAMS        NAKITA                   </v>
      </c>
      <c r="E2211" t="str">
        <f>"MOBILE                    "</f>
        <v xml:space="preserve">MOBILE                    </v>
      </c>
      <c r="F2211" t="str">
        <f t="shared" si="82"/>
        <v>AL</v>
      </c>
    </row>
    <row r="2212" spans="1:6" x14ac:dyDescent="0.25">
      <c r="A2212" t="str">
        <f>"200029007"</f>
        <v>200029007</v>
      </c>
      <c r="B2212" t="str">
        <f>"1932729399"</f>
        <v>1932729399</v>
      </c>
      <c r="C2212" t="str">
        <f>"363LF0000X"</f>
        <v>363LF0000X</v>
      </c>
      <c r="D2212" t="str">
        <f>"WILLIAMSON               AMELIA       J           "</f>
        <v xml:space="preserve">WILLIAMSON               AMELIA       J           </v>
      </c>
      <c r="E2212" t="str">
        <f>"MOBILE                    "</f>
        <v xml:space="preserve">MOBILE                    </v>
      </c>
      <c r="F2212" t="str">
        <f t="shared" si="82"/>
        <v>AL</v>
      </c>
    </row>
    <row r="2213" spans="1:6" x14ac:dyDescent="0.25">
      <c r="A2213" t="str">
        <f>"200029014"</f>
        <v>200029014</v>
      </c>
      <c r="B2213" t="str">
        <f>"1336306547"</f>
        <v>1336306547</v>
      </c>
      <c r="C2213" t="str">
        <f>"207P00000X"</f>
        <v>207P00000X</v>
      </c>
      <c r="D2213" t="str">
        <f>"BONNER                   JOHNNY                   "</f>
        <v xml:space="preserve">BONNER                   JOHNNY                   </v>
      </c>
      <c r="E2213" t="str">
        <f>"FAYETTE                   "</f>
        <v xml:space="preserve">FAYETTE                   </v>
      </c>
      <c r="F2213" t="str">
        <f t="shared" si="82"/>
        <v>AL</v>
      </c>
    </row>
    <row r="2214" spans="1:6" x14ac:dyDescent="0.25">
      <c r="A2214" t="str">
        <f>"200029020"</f>
        <v>200029020</v>
      </c>
      <c r="B2214" t="str">
        <f>"1710681796"</f>
        <v>1710681796</v>
      </c>
      <c r="C2214" t="str">
        <f>"207P00000X"</f>
        <v>207P00000X</v>
      </c>
      <c r="D2214" t="str">
        <f>"MILLER                   WILLIAM                  "</f>
        <v xml:space="preserve">MILLER                   WILLIAM                  </v>
      </c>
      <c r="E2214" t="str">
        <f>"FAYETTE                   "</f>
        <v xml:space="preserve">FAYETTE                   </v>
      </c>
      <c r="F2214" t="str">
        <f t="shared" si="82"/>
        <v>AL</v>
      </c>
    </row>
    <row r="2215" spans="1:6" x14ac:dyDescent="0.25">
      <c r="A2215" t="str">
        <f>"200029025"</f>
        <v>200029025</v>
      </c>
      <c r="B2215" t="str">
        <f>"1053535708"</f>
        <v>1053535708</v>
      </c>
      <c r="C2215" t="str">
        <f>"207ZB0001X"</f>
        <v>207ZB0001X</v>
      </c>
      <c r="D2215" t="str">
        <f>"BORAL                    LEONARD      I           "</f>
        <v xml:space="preserve">BORAL                    LEONARD      I           </v>
      </c>
      <c r="E2215" t="str">
        <f>"MOBILE                    "</f>
        <v xml:space="preserve">MOBILE                    </v>
      </c>
      <c r="F2215" t="str">
        <f t="shared" si="82"/>
        <v>AL</v>
      </c>
    </row>
    <row r="2216" spans="1:6" x14ac:dyDescent="0.25">
      <c r="A2216" t="str">
        <f>"200029028"</f>
        <v>200029028</v>
      </c>
      <c r="B2216" t="str">
        <f>"1508326596"</f>
        <v>1508326596</v>
      </c>
      <c r="C2216" t="str">
        <f>"2080P0203X"</f>
        <v>2080P0203X</v>
      </c>
      <c r="D2216" t="str">
        <f>"COOTE                    JEFFREY      D           "</f>
        <v xml:space="preserve">COOTE                    JEFFREY      D           </v>
      </c>
      <c r="E2216" t="str">
        <f>"MOBILE                    "</f>
        <v xml:space="preserve">MOBILE                    </v>
      </c>
      <c r="F2216" t="str">
        <f t="shared" si="82"/>
        <v>AL</v>
      </c>
    </row>
    <row r="2217" spans="1:6" x14ac:dyDescent="0.25">
      <c r="A2217" t="str">
        <f>"200029047"</f>
        <v>200029047</v>
      </c>
      <c r="B2217" t="str">
        <f>"1043303548"</f>
        <v>1043303548</v>
      </c>
      <c r="C2217" t="str">
        <f>"2085R0202X"</f>
        <v>2085R0202X</v>
      </c>
      <c r="D2217" t="str">
        <f>"SULLIVAN, III            JOSEPH       C           "</f>
        <v xml:space="preserve">SULLIVAN, III            JOSEPH       C           </v>
      </c>
      <c r="E2217" t="str">
        <f>"FAIRHOPE                  "</f>
        <v xml:space="preserve">FAIRHOPE                  </v>
      </c>
      <c r="F2217" t="str">
        <f t="shared" si="82"/>
        <v>AL</v>
      </c>
    </row>
    <row r="2218" spans="1:6" x14ac:dyDescent="0.25">
      <c r="A2218" t="str">
        <f>"200029075"</f>
        <v>200029075</v>
      </c>
      <c r="B2218" t="str">
        <f>"1114010121"</f>
        <v>1114010121</v>
      </c>
      <c r="C2218" t="str">
        <f>"207P00000X"</f>
        <v>207P00000X</v>
      </c>
      <c r="D2218" t="str">
        <f>"TYON                     WARREN                   "</f>
        <v xml:space="preserve">TYON                     WARREN                   </v>
      </c>
      <c r="E2218" t="str">
        <f t="shared" ref="E2218:E2228" si="84">"MOBILE                    "</f>
        <v xml:space="preserve">MOBILE                    </v>
      </c>
      <c r="F2218" t="str">
        <f t="shared" si="82"/>
        <v>AL</v>
      </c>
    </row>
    <row r="2219" spans="1:6" x14ac:dyDescent="0.25">
      <c r="A2219" t="str">
        <f>"200029084"</f>
        <v>200029084</v>
      </c>
      <c r="B2219" t="str">
        <f>"1467401661"</f>
        <v>1467401661</v>
      </c>
      <c r="C2219" t="str">
        <f>"207L00000X"</f>
        <v>207L00000X</v>
      </c>
      <c r="D2219" t="str">
        <f>"HOOVER                   NANCY        G           "</f>
        <v xml:space="preserve">HOOVER                   NANCY        G           </v>
      </c>
      <c r="E2219" t="str">
        <f t="shared" si="84"/>
        <v xml:space="preserve">MOBILE                    </v>
      </c>
      <c r="F2219" t="str">
        <f t="shared" si="82"/>
        <v>AL</v>
      </c>
    </row>
    <row r="2220" spans="1:6" x14ac:dyDescent="0.25">
      <c r="A2220" t="str">
        <f>"200029102"</f>
        <v>200029102</v>
      </c>
      <c r="B2220" t="str">
        <f>"1982921979"</f>
        <v>1982921979</v>
      </c>
      <c r="C2220" t="str">
        <f>"207L00000X"</f>
        <v>207L00000X</v>
      </c>
      <c r="D2220" t="str">
        <f>"GELPI                    BRIAN        J           "</f>
        <v xml:space="preserve">GELPI                    BRIAN        J           </v>
      </c>
      <c r="E2220" t="str">
        <f t="shared" si="84"/>
        <v xml:space="preserve">MOBILE                    </v>
      </c>
      <c r="F2220" t="str">
        <f t="shared" si="82"/>
        <v>AL</v>
      </c>
    </row>
    <row r="2221" spans="1:6" x14ac:dyDescent="0.25">
      <c r="A2221" t="str">
        <f>"200029105"</f>
        <v>200029105</v>
      </c>
      <c r="B2221" t="str">
        <f>"1548233398"</f>
        <v>1548233398</v>
      </c>
      <c r="C2221" t="str">
        <f>"207L00000X"</f>
        <v>207L00000X</v>
      </c>
      <c r="D2221" t="str">
        <f>"KIRKLAND                 PILAR        L           "</f>
        <v xml:space="preserve">KIRKLAND                 PILAR        L           </v>
      </c>
      <c r="E2221" t="str">
        <f t="shared" si="84"/>
        <v xml:space="preserve">MOBILE                    </v>
      </c>
      <c r="F2221" t="str">
        <f t="shared" si="82"/>
        <v>AL</v>
      </c>
    </row>
    <row r="2222" spans="1:6" x14ac:dyDescent="0.25">
      <c r="A2222" t="str">
        <f>"200029138"</f>
        <v>200029138</v>
      </c>
      <c r="B2222" t="str">
        <f>"1689424020"</f>
        <v>1689424020</v>
      </c>
      <c r="C2222" t="str">
        <f>"207P00000X"</f>
        <v>207P00000X</v>
      </c>
      <c r="D2222" t="str">
        <f>"GRUBB                    SYDNEY                   "</f>
        <v xml:space="preserve">GRUBB                    SYDNEY                   </v>
      </c>
      <c r="E2222" t="str">
        <f t="shared" si="84"/>
        <v xml:space="preserve">MOBILE                    </v>
      </c>
      <c r="F2222" t="str">
        <f t="shared" si="82"/>
        <v>AL</v>
      </c>
    </row>
    <row r="2223" spans="1:6" x14ac:dyDescent="0.25">
      <c r="A2223" t="str">
        <f>"200029139"</f>
        <v>200029139</v>
      </c>
      <c r="B2223" t="str">
        <f>"1245731413"</f>
        <v>1245731413</v>
      </c>
      <c r="C2223" t="str">
        <f>"207L00000X"</f>
        <v>207L00000X</v>
      </c>
      <c r="D2223" t="str">
        <f>"WINEBRENNER              HANS         M           "</f>
        <v xml:space="preserve">WINEBRENNER              HANS         M           </v>
      </c>
      <c r="E2223" t="str">
        <f t="shared" si="84"/>
        <v xml:space="preserve">MOBILE                    </v>
      </c>
      <c r="F2223" t="str">
        <f t="shared" si="82"/>
        <v>AL</v>
      </c>
    </row>
    <row r="2224" spans="1:6" x14ac:dyDescent="0.25">
      <c r="A2224" t="str">
        <f>"200029177"</f>
        <v>200029177</v>
      </c>
      <c r="B2224" t="str">
        <f>"1295761336"</f>
        <v>1295761336</v>
      </c>
      <c r="C2224" t="str">
        <f>"207L00000X"</f>
        <v>207L00000X</v>
      </c>
      <c r="D2224" t="str">
        <f>"STEADMAN                 JOY          L           "</f>
        <v xml:space="preserve">STEADMAN                 JOY          L           </v>
      </c>
      <c r="E2224" t="str">
        <f t="shared" si="84"/>
        <v xml:space="preserve">MOBILE                    </v>
      </c>
      <c r="F2224" t="str">
        <f t="shared" si="82"/>
        <v>AL</v>
      </c>
    </row>
    <row r="2225" spans="1:6" x14ac:dyDescent="0.25">
      <c r="A2225" t="str">
        <f>"200029193"</f>
        <v>200029193</v>
      </c>
      <c r="B2225" t="str">
        <f>"1811565864"</f>
        <v>1811565864</v>
      </c>
      <c r="C2225" t="str">
        <f>"207RI0200X"</f>
        <v>207RI0200X</v>
      </c>
      <c r="D2225" t="str">
        <f>"FLAXMAN                  LOGAN        W           "</f>
        <v xml:space="preserve">FLAXMAN                  LOGAN        W           </v>
      </c>
      <c r="E2225" t="str">
        <f t="shared" si="84"/>
        <v xml:space="preserve">MOBILE                    </v>
      </c>
      <c r="F2225" t="str">
        <f t="shared" si="82"/>
        <v>AL</v>
      </c>
    </row>
    <row r="2226" spans="1:6" x14ac:dyDescent="0.25">
      <c r="A2226" t="str">
        <f>"200029218"</f>
        <v>200029218</v>
      </c>
      <c r="B2226" t="str">
        <f>"1922867787"</f>
        <v>1922867787</v>
      </c>
      <c r="C2226" t="str">
        <f>"363LP0200X"</f>
        <v>363LP0200X</v>
      </c>
      <c r="D2226" t="str">
        <f>"ZIELINSKI                JULIE        R           "</f>
        <v xml:space="preserve">ZIELINSKI                JULIE        R           </v>
      </c>
      <c r="E2226" t="str">
        <f t="shared" si="84"/>
        <v xml:space="preserve">MOBILE                    </v>
      </c>
      <c r="F2226" t="str">
        <f t="shared" si="82"/>
        <v>AL</v>
      </c>
    </row>
    <row r="2227" spans="1:6" x14ac:dyDescent="0.25">
      <c r="A2227" t="str">
        <f>"200029266"</f>
        <v>200029266</v>
      </c>
      <c r="B2227" t="str">
        <f>"1720164130"</f>
        <v>1720164130</v>
      </c>
      <c r="C2227" t="str">
        <f>"207RP1001X"</f>
        <v>207RP1001X</v>
      </c>
      <c r="D2227" t="str">
        <f>"DIVITTORIO               ADRIAN                   "</f>
        <v xml:space="preserve">DIVITTORIO               ADRIAN                   </v>
      </c>
      <c r="E2227" t="str">
        <f t="shared" si="84"/>
        <v xml:space="preserve">MOBILE                    </v>
      </c>
      <c r="F2227" t="str">
        <f t="shared" si="82"/>
        <v>AL</v>
      </c>
    </row>
    <row r="2228" spans="1:6" x14ac:dyDescent="0.25">
      <c r="A2228" t="str">
        <f>"200029287"</f>
        <v>200029287</v>
      </c>
      <c r="B2228" t="str">
        <f>"1730881996"</f>
        <v>1730881996</v>
      </c>
      <c r="C2228" t="str">
        <f>"207P00000X"</f>
        <v>207P00000X</v>
      </c>
      <c r="D2228" t="str">
        <f>"BINONDO                  VINCE                    "</f>
        <v xml:space="preserve">BINONDO                  VINCE                    </v>
      </c>
      <c r="E2228" t="str">
        <f t="shared" si="84"/>
        <v xml:space="preserve">MOBILE                    </v>
      </c>
      <c r="F2228" t="str">
        <f t="shared" si="82"/>
        <v>AL</v>
      </c>
    </row>
    <row r="2229" spans="1:6" x14ac:dyDescent="0.25">
      <c r="A2229" t="str">
        <f>"000120256"</f>
        <v>000120256</v>
      </c>
      <c r="B2229" t="str">
        <f>"1194815696"</f>
        <v>1194815696</v>
      </c>
      <c r="C2229" t="str">
        <f>"2080P0202X"</f>
        <v>2080P0202X</v>
      </c>
      <c r="D2229" t="str">
        <f>"FRAZIER                  ELIZABETH    A           "</f>
        <v xml:space="preserve">FRAZIER                  ELIZABETH    A           </v>
      </c>
      <c r="E2229" t="str">
        <f>"LITTLE ROCK               "</f>
        <v xml:space="preserve">LITTLE ROCK               </v>
      </c>
      <c r="F2229" t="str">
        <f t="shared" ref="F2229:F2292" si="85">"AR"</f>
        <v>AR</v>
      </c>
    </row>
    <row r="2230" spans="1:6" x14ac:dyDescent="0.25">
      <c r="A2230" t="str">
        <f>"000123170"</f>
        <v>000123170</v>
      </c>
      <c r="B2230" t="str">
        <f>"1265522759"</f>
        <v>1265522759</v>
      </c>
      <c r="C2230" t="str">
        <f>"207Y00000X"</f>
        <v>207Y00000X</v>
      </c>
      <c r="D2230" t="str">
        <f>"SUEN                     JAMES        Y           "</f>
        <v xml:space="preserve">SUEN                     JAMES        Y           </v>
      </c>
      <c r="E2230" t="str">
        <f>"LITTLE ROCK               "</f>
        <v xml:space="preserve">LITTLE ROCK               </v>
      </c>
      <c r="F2230" t="str">
        <f t="shared" si="85"/>
        <v>AR</v>
      </c>
    </row>
    <row r="2231" spans="1:6" x14ac:dyDescent="0.25">
      <c r="A2231" t="str">
        <f>"001728772"</f>
        <v>001728772</v>
      </c>
      <c r="B2231" t="str">
        <f>"1154364545"</f>
        <v>1154364545</v>
      </c>
      <c r="C2231" t="str">
        <f>"2085R0202X"</f>
        <v>2085R0202X</v>
      </c>
      <c r="D2231" t="str">
        <f>"WORKMAN                  JAMES        L           "</f>
        <v xml:space="preserve">WORKMAN                  JAMES        L           </v>
      </c>
      <c r="E2231" t="str">
        <f>"LAKE VILLAGE              "</f>
        <v xml:space="preserve">LAKE VILLAGE              </v>
      </c>
      <c r="F2231" t="str">
        <f t="shared" si="85"/>
        <v>AR</v>
      </c>
    </row>
    <row r="2232" spans="1:6" x14ac:dyDescent="0.25">
      <c r="A2232" t="str">
        <f>"003608580"</f>
        <v>003608580</v>
      </c>
      <c r="B2232" t="str">
        <f>"1194805440"</f>
        <v>1194805440</v>
      </c>
      <c r="C2232" t="str">
        <f>"208000000X"</f>
        <v>208000000X</v>
      </c>
      <c r="D2232" t="str">
        <f>"GARCIA-CASAL             XIOMARA      D           "</f>
        <v xml:space="preserve">GARCIA-CASAL             XIOMARA      D           </v>
      </c>
      <c r="E2232" t="str">
        <f>"LITTLE ROCK               "</f>
        <v xml:space="preserve">LITTLE ROCK               </v>
      </c>
      <c r="F2232" t="str">
        <f t="shared" si="85"/>
        <v>AR</v>
      </c>
    </row>
    <row r="2233" spans="1:6" x14ac:dyDescent="0.25">
      <c r="A2233" t="str">
        <f>"004009578"</f>
        <v>004009578</v>
      </c>
      <c r="B2233" t="str">
        <f>"1639390701"</f>
        <v>1639390701</v>
      </c>
      <c r="C2233" t="str">
        <f>"207ZP0101X"</f>
        <v>207ZP0101X</v>
      </c>
      <c r="D2233" t="str">
        <f>"PILLOW                   JESSICA      L           "</f>
        <v xml:space="preserve">PILLOW                   JESSICA      L           </v>
      </c>
      <c r="E2233" t="str">
        <f>"HELENA                    "</f>
        <v xml:space="preserve">HELENA                    </v>
      </c>
      <c r="F2233" t="str">
        <f t="shared" si="85"/>
        <v>AR</v>
      </c>
    </row>
    <row r="2234" spans="1:6" x14ac:dyDescent="0.25">
      <c r="A2234" t="str">
        <f>"004272073"</f>
        <v>004272073</v>
      </c>
      <c r="B2234" t="str">
        <f>"1396155719"</f>
        <v>1396155719</v>
      </c>
      <c r="C2234" t="str">
        <f>"207R00000X"</f>
        <v>207R00000X</v>
      </c>
      <c r="D2234" t="str">
        <f>"KUMAR                    RAJESH                   "</f>
        <v xml:space="preserve">KUMAR                    RAJESH                   </v>
      </c>
      <c r="E2234" t="str">
        <f>"WEST MEMPHIS              "</f>
        <v xml:space="preserve">WEST MEMPHIS              </v>
      </c>
      <c r="F2234" t="str">
        <f t="shared" si="85"/>
        <v>AR</v>
      </c>
    </row>
    <row r="2235" spans="1:6" x14ac:dyDescent="0.25">
      <c r="A2235" t="str">
        <f>"004681821"</f>
        <v>004681821</v>
      </c>
      <c r="B2235" t="str">
        <f>"1962502898"</f>
        <v>1962502898</v>
      </c>
      <c r="C2235" t="str">
        <f>"2080P0202X"</f>
        <v>2080P0202X</v>
      </c>
      <c r="D2235" t="str">
        <f>"EBLE                     BRIAN        K           "</f>
        <v xml:space="preserve">EBLE                     BRIAN        K           </v>
      </c>
      <c r="E2235" t="str">
        <f>"LITTLE ROCK               "</f>
        <v xml:space="preserve">LITTLE ROCK               </v>
      </c>
      <c r="F2235" t="str">
        <f t="shared" si="85"/>
        <v>AR</v>
      </c>
    </row>
    <row r="2236" spans="1:6" x14ac:dyDescent="0.25">
      <c r="A2236" t="str">
        <f>"005703504"</f>
        <v>005703504</v>
      </c>
      <c r="B2236" t="str">
        <f>"1598959959"</f>
        <v>1598959959</v>
      </c>
      <c r="C2236" t="str">
        <f>"208600000X"</f>
        <v>208600000X</v>
      </c>
      <c r="D2236" t="str">
        <f>"DAVIS                    BENJAMIN     L           "</f>
        <v xml:space="preserve">DAVIS                    BENJAMIN     L           </v>
      </c>
      <c r="E2236" t="str">
        <f>"LITTLE ROCK               "</f>
        <v xml:space="preserve">LITTLE ROCK               </v>
      </c>
      <c r="F2236" t="str">
        <f t="shared" si="85"/>
        <v>AR</v>
      </c>
    </row>
    <row r="2237" spans="1:6" x14ac:dyDescent="0.25">
      <c r="A2237" t="str">
        <f>"005875287"</f>
        <v>005875287</v>
      </c>
      <c r="B2237" t="str">
        <f>"1316232648"</f>
        <v>1316232648</v>
      </c>
      <c r="C2237" t="str">
        <f>"207Q00000X"</f>
        <v>207Q00000X</v>
      </c>
      <c r="D2237" t="str">
        <f>"ALBEE                    BHAVIKA                  "</f>
        <v xml:space="preserve">ALBEE                    BHAVIKA                  </v>
      </c>
      <c r="E2237" t="str">
        <f>"FORREST CITY              "</f>
        <v xml:space="preserve">FORREST CITY              </v>
      </c>
      <c r="F2237" t="str">
        <f t="shared" si="85"/>
        <v>AR</v>
      </c>
    </row>
    <row r="2238" spans="1:6" x14ac:dyDescent="0.25">
      <c r="A2238" t="str">
        <f>"006329013"</f>
        <v>006329013</v>
      </c>
      <c r="B2238" t="str">
        <f>"1790769586"</f>
        <v>1790769586</v>
      </c>
      <c r="C2238" t="str">
        <f>"2080P0202X"</f>
        <v>2080P0202X</v>
      </c>
      <c r="D2238" t="str">
        <f>"KNECHT                   KENNETH                  "</f>
        <v xml:space="preserve">KNECHT                   KENNETH                  </v>
      </c>
      <c r="E2238" t="str">
        <f>"LITTLE ROCK               "</f>
        <v xml:space="preserve">LITTLE ROCK               </v>
      </c>
      <c r="F2238" t="str">
        <f t="shared" si="85"/>
        <v>AR</v>
      </c>
    </row>
    <row r="2239" spans="1:6" x14ac:dyDescent="0.25">
      <c r="A2239" t="str">
        <f>"007024362"</f>
        <v>007024362</v>
      </c>
      <c r="B2239" t="str">
        <f>"1386697480"</f>
        <v>1386697480</v>
      </c>
      <c r="C2239" t="str">
        <f>"207P00000X"</f>
        <v>207P00000X</v>
      </c>
      <c r="D2239" t="str">
        <f>"MEYER                    BRIAN        E           "</f>
        <v xml:space="preserve">MEYER                    BRIAN        E           </v>
      </c>
      <c r="E2239" t="str">
        <f>"WEST MEMPHIS              "</f>
        <v xml:space="preserve">WEST MEMPHIS              </v>
      </c>
      <c r="F2239" t="str">
        <f t="shared" si="85"/>
        <v>AR</v>
      </c>
    </row>
    <row r="2240" spans="1:6" x14ac:dyDescent="0.25">
      <c r="A2240" t="str">
        <f>"007123550"</f>
        <v>007123550</v>
      </c>
      <c r="B2240" t="str">
        <f>"1063540615"</f>
        <v>1063540615</v>
      </c>
      <c r="C2240" t="str">
        <f>"207Q00000X"</f>
        <v>207Q00000X</v>
      </c>
      <c r="D2240" t="str">
        <f>"NATHAN                   BOOMI                    "</f>
        <v xml:space="preserve">NATHAN                   BOOMI                    </v>
      </c>
      <c r="E2240" t="str">
        <f>"FORREST CITY              "</f>
        <v xml:space="preserve">FORREST CITY              </v>
      </c>
      <c r="F2240" t="str">
        <f t="shared" si="85"/>
        <v>AR</v>
      </c>
    </row>
    <row r="2241" spans="1:6" x14ac:dyDescent="0.25">
      <c r="A2241" t="str">
        <f>"007233052"</f>
        <v>007233052</v>
      </c>
      <c r="B2241" t="str">
        <f>"1972709418"</f>
        <v>1972709418</v>
      </c>
      <c r="C2241" t="str">
        <f>"207P00000X"</f>
        <v>207P00000X</v>
      </c>
      <c r="D2241" t="str">
        <f>"ZAREEN                   NASIR                    "</f>
        <v xml:space="preserve">ZAREEN                   NASIR                    </v>
      </c>
      <c r="E2241" t="str">
        <f>"HELENA                    "</f>
        <v xml:space="preserve">HELENA                    </v>
      </c>
      <c r="F2241" t="str">
        <f t="shared" si="85"/>
        <v>AR</v>
      </c>
    </row>
    <row r="2242" spans="1:6" x14ac:dyDescent="0.25">
      <c r="A2242" t="str">
        <f>"007421512"</f>
        <v>007421512</v>
      </c>
      <c r="B2242" t="str">
        <f>"1205090156"</f>
        <v>1205090156</v>
      </c>
      <c r="C2242" t="str">
        <f>"207Q00000X"</f>
        <v>207Q00000X</v>
      </c>
      <c r="D2242" t="str">
        <f>"THOMPSON                 DEAUNTE      B           "</f>
        <v xml:space="preserve">THOMPSON                 DEAUNTE      B           </v>
      </c>
      <c r="E2242" t="str">
        <f>"WEST MEMPHIS              "</f>
        <v xml:space="preserve">WEST MEMPHIS              </v>
      </c>
      <c r="F2242" t="str">
        <f t="shared" si="85"/>
        <v>AR</v>
      </c>
    </row>
    <row r="2243" spans="1:6" x14ac:dyDescent="0.25">
      <c r="A2243" t="str">
        <f>"008603206"</f>
        <v>008603206</v>
      </c>
      <c r="B2243" t="str">
        <f>"1326381468"</f>
        <v>1326381468</v>
      </c>
      <c r="C2243" t="str">
        <f>"207Q00000X"</f>
        <v>207Q00000X</v>
      </c>
      <c r="D2243" t="str">
        <f>"KELESHIAN                HAGOP                    "</f>
        <v xml:space="preserve">KELESHIAN                HAGOP                    </v>
      </c>
      <c r="E2243" t="str">
        <f>"HELENA                    "</f>
        <v xml:space="preserve">HELENA                    </v>
      </c>
      <c r="F2243" t="str">
        <f t="shared" si="85"/>
        <v>AR</v>
      </c>
    </row>
    <row r="2244" spans="1:6" x14ac:dyDescent="0.25">
      <c r="A2244" t="str">
        <f>"100165743"</f>
        <v>100165743</v>
      </c>
      <c r="B2244" t="str">
        <f>"1194805440"</f>
        <v>1194805440</v>
      </c>
      <c r="C2244" t="str">
        <f>"2080P0202X"</f>
        <v>2080P0202X</v>
      </c>
      <c r="D2244" t="str">
        <f>"GARCIA-CASAL             XIOMARA      D           "</f>
        <v xml:space="preserve">GARCIA-CASAL             XIOMARA      D           </v>
      </c>
      <c r="E2244" t="str">
        <f>"LITTLE ROCK               "</f>
        <v xml:space="preserve">LITTLE ROCK               </v>
      </c>
      <c r="F2244" t="str">
        <f t="shared" si="85"/>
        <v>AR</v>
      </c>
    </row>
    <row r="2245" spans="1:6" x14ac:dyDescent="0.25">
      <c r="A2245" t="str">
        <f>"100166926"</f>
        <v>100166926</v>
      </c>
      <c r="B2245" t="str">
        <f>"1639390701"</f>
        <v>1639390701</v>
      </c>
      <c r="C2245" t="str">
        <f>"207N00000X"</f>
        <v>207N00000X</v>
      </c>
      <c r="D2245" t="str">
        <f>"PILLOW                   JESSICA      L           "</f>
        <v xml:space="preserve">PILLOW                   JESSICA      L           </v>
      </c>
      <c r="E2245" t="str">
        <f>"HELENA                    "</f>
        <v xml:space="preserve">HELENA                    </v>
      </c>
      <c r="F2245" t="str">
        <f t="shared" si="85"/>
        <v>AR</v>
      </c>
    </row>
    <row r="2246" spans="1:6" x14ac:dyDescent="0.25">
      <c r="A2246" t="str">
        <f>"100269916"</f>
        <v>100269916</v>
      </c>
      <c r="B2246" t="str">
        <f>"1346462561"</f>
        <v>1346462561</v>
      </c>
      <c r="C2246" t="str">
        <f>"207ZP0102X"</f>
        <v>207ZP0102X</v>
      </c>
      <c r="D2246" t="str">
        <f>"BOURNE                   THOMAS       D           "</f>
        <v xml:space="preserve">BOURNE                   THOMAS       D           </v>
      </c>
      <c r="E2246" t="str">
        <f>"LITTLE ROCK               "</f>
        <v xml:space="preserve">LITTLE ROCK               </v>
      </c>
      <c r="F2246" t="str">
        <f t="shared" si="85"/>
        <v>AR</v>
      </c>
    </row>
    <row r="2247" spans="1:6" x14ac:dyDescent="0.25">
      <c r="A2247" t="str">
        <f>"200000975"</f>
        <v>200000975</v>
      </c>
      <c r="B2247" t="str">
        <f>"1881738250"</f>
        <v>1881738250</v>
      </c>
      <c r="C2247" t="str">
        <f>"207ZP0102X"</f>
        <v>207ZP0102X</v>
      </c>
      <c r="D2247" t="str">
        <f>"HOLANDA                  DANNIELE     G           "</f>
        <v xml:space="preserve">HOLANDA                  DANNIELE     G           </v>
      </c>
      <c r="E2247" t="str">
        <f>"LITTLE ROCK               "</f>
        <v xml:space="preserve">LITTLE ROCK               </v>
      </c>
      <c r="F2247" t="str">
        <f t="shared" si="85"/>
        <v>AR</v>
      </c>
    </row>
    <row r="2248" spans="1:6" x14ac:dyDescent="0.25">
      <c r="A2248" t="str">
        <f>"200005517"</f>
        <v>200005517</v>
      </c>
      <c r="B2248" t="str">
        <f>"1629425913"</f>
        <v>1629425913</v>
      </c>
      <c r="C2248" t="str">
        <f>"207R00000X"</f>
        <v>207R00000X</v>
      </c>
      <c r="D2248" t="str">
        <f>"SIFUENTES                JOSHUA                   "</f>
        <v xml:space="preserve">SIFUENTES                JOSHUA                   </v>
      </c>
      <c r="E2248" t="str">
        <f>"FORREST CITY              "</f>
        <v xml:space="preserve">FORREST CITY              </v>
      </c>
      <c r="F2248" t="str">
        <f t="shared" si="85"/>
        <v>AR</v>
      </c>
    </row>
    <row r="2249" spans="1:6" x14ac:dyDescent="0.25">
      <c r="A2249" t="str">
        <f>"200007309"</f>
        <v>200007309</v>
      </c>
      <c r="B2249" t="str">
        <f>"1922627249"</f>
        <v>1922627249</v>
      </c>
      <c r="C2249" t="str">
        <f>"207Q00000X"</f>
        <v>207Q00000X</v>
      </c>
      <c r="D2249" t="str">
        <f>"DESAI                    VAIBHAV                  "</f>
        <v xml:space="preserve">DESAI                    VAIBHAV                  </v>
      </c>
      <c r="E2249" t="str">
        <f>"FORREST CITY              "</f>
        <v xml:space="preserve">FORREST CITY              </v>
      </c>
      <c r="F2249" t="str">
        <f t="shared" si="85"/>
        <v>AR</v>
      </c>
    </row>
    <row r="2250" spans="1:6" x14ac:dyDescent="0.25">
      <c r="A2250" t="str">
        <f>"200007449"</f>
        <v>200007449</v>
      </c>
      <c r="B2250" t="str">
        <f>"1174822522"</f>
        <v>1174822522</v>
      </c>
      <c r="C2250" t="str">
        <f>"207P00000X"</f>
        <v>207P00000X</v>
      </c>
      <c r="D2250" t="str">
        <f>"FERGUSON                 CATHERINE                "</f>
        <v xml:space="preserve">FERGUSON                 CATHERINE                </v>
      </c>
      <c r="E2250" t="str">
        <f>"WEST MEMPHIS              "</f>
        <v xml:space="preserve">WEST MEMPHIS              </v>
      </c>
      <c r="F2250" t="str">
        <f t="shared" si="85"/>
        <v>AR</v>
      </c>
    </row>
    <row r="2251" spans="1:6" x14ac:dyDescent="0.25">
      <c r="A2251" t="str">
        <f>"200009191"</f>
        <v>200009191</v>
      </c>
      <c r="B2251" t="str">
        <f>"1184088924"</f>
        <v>1184088924</v>
      </c>
      <c r="C2251" t="str">
        <f>"2080P0202X"</f>
        <v>2080P0202X</v>
      </c>
      <c r="D2251" t="str">
        <f>"FIEDOREK                 DANIEL       J           "</f>
        <v xml:space="preserve">FIEDOREK                 DANIEL       J           </v>
      </c>
      <c r="E2251" t="str">
        <f>"LITTLE ROCK               "</f>
        <v xml:space="preserve">LITTLE ROCK               </v>
      </c>
      <c r="F2251" t="str">
        <f t="shared" si="85"/>
        <v>AR</v>
      </c>
    </row>
    <row r="2252" spans="1:6" x14ac:dyDescent="0.25">
      <c r="A2252" t="str">
        <f>"200009635"</f>
        <v>200009635</v>
      </c>
      <c r="B2252" t="str">
        <f>"1013226869"</f>
        <v>1013226869</v>
      </c>
      <c r="C2252" t="str">
        <f>"2085R0202X"</f>
        <v>2085R0202X</v>
      </c>
      <c r="D2252" t="str">
        <f>"MATAPATHI                UMA MAHESH               "</f>
        <v xml:space="preserve">MATAPATHI                UMA MAHESH               </v>
      </c>
      <c r="E2252" t="str">
        <f>"LITTLE ROCK               "</f>
        <v xml:space="preserve">LITTLE ROCK               </v>
      </c>
      <c r="F2252" t="str">
        <f t="shared" si="85"/>
        <v>AR</v>
      </c>
    </row>
    <row r="2253" spans="1:6" x14ac:dyDescent="0.25">
      <c r="A2253" t="str">
        <f>"200009880"</f>
        <v>200009880</v>
      </c>
      <c r="B2253" t="str">
        <f>"1972766871"</f>
        <v>1972766871</v>
      </c>
      <c r="C2253" t="str">
        <f>"207ZP0102X"</f>
        <v>207ZP0102X</v>
      </c>
      <c r="D2253" t="str">
        <f>"GONZALEZ-KRELLWITZ       LAURA        A           "</f>
        <v xml:space="preserve">GONZALEZ-KRELLWITZ       LAURA        A           </v>
      </c>
      <c r="E2253" t="str">
        <f>"LITTLE ROCK               "</f>
        <v xml:space="preserve">LITTLE ROCK               </v>
      </c>
      <c r="F2253" t="str">
        <f t="shared" si="85"/>
        <v>AR</v>
      </c>
    </row>
    <row r="2254" spans="1:6" x14ac:dyDescent="0.25">
      <c r="A2254" t="str">
        <f>"200010085"</f>
        <v>200010085</v>
      </c>
      <c r="B2254" t="str">
        <f>"1255391389"</f>
        <v>1255391389</v>
      </c>
      <c r="C2254" t="str">
        <f>"2085R0202X"</f>
        <v>2085R0202X</v>
      </c>
      <c r="D2254" t="str">
        <f>"KERIN                    DOUGLAS                  "</f>
        <v xml:space="preserve">KERIN                    DOUGLAS                  </v>
      </c>
      <c r="E2254" t="str">
        <f>"LAKE VILLAGE              "</f>
        <v xml:space="preserve">LAKE VILLAGE              </v>
      </c>
      <c r="F2254" t="str">
        <f t="shared" si="85"/>
        <v>AR</v>
      </c>
    </row>
    <row r="2255" spans="1:6" x14ac:dyDescent="0.25">
      <c r="A2255" t="str">
        <f>"200010221"</f>
        <v>200010221</v>
      </c>
      <c r="B2255" t="str">
        <f>"1154738722"</f>
        <v>1154738722</v>
      </c>
      <c r="C2255" t="str">
        <f>"2080P0202X"</f>
        <v>2080P0202X</v>
      </c>
      <c r="D2255" t="str">
        <f>"JOSHI                    KRITTIKA     U           "</f>
        <v xml:space="preserve">JOSHI                    KRITTIKA     U           </v>
      </c>
      <c r="E2255" t="str">
        <f>"LITTLE ROCK               "</f>
        <v xml:space="preserve">LITTLE ROCK               </v>
      </c>
      <c r="F2255" t="str">
        <f t="shared" si="85"/>
        <v>AR</v>
      </c>
    </row>
    <row r="2256" spans="1:6" x14ac:dyDescent="0.25">
      <c r="A2256" t="str">
        <f>"200010247"</f>
        <v>200010247</v>
      </c>
      <c r="B2256" t="str">
        <f>"1780774281"</f>
        <v>1780774281</v>
      </c>
      <c r="C2256" t="str">
        <f>"208000000X"</f>
        <v>208000000X</v>
      </c>
      <c r="D2256" t="str">
        <f>"BERLINSKI                ARIEL                    "</f>
        <v xml:space="preserve">BERLINSKI                ARIEL                    </v>
      </c>
      <c r="E2256" t="str">
        <f>"LITTLE ROCK               "</f>
        <v xml:space="preserve">LITTLE ROCK               </v>
      </c>
      <c r="F2256" t="str">
        <f t="shared" si="85"/>
        <v>AR</v>
      </c>
    </row>
    <row r="2257" spans="1:6" x14ac:dyDescent="0.25">
      <c r="A2257" t="str">
        <f>"200010278"</f>
        <v>200010278</v>
      </c>
      <c r="B2257" t="str">
        <f>"1194161869"</f>
        <v>1194161869</v>
      </c>
      <c r="C2257" t="str">
        <f>"208000000X"</f>
        <v>208000000X</v>
      </c>
      <c r="D2257" t="str">
        <f>"PERTZBORN                MATTHWE      C           "</f>
        <v xml:space="preserve">PERTZBORN                MATTHWE      C           </v>
      </c>
      <c r="E2257" t="str">
        <f>"LITTLE ROCK               "</f>
        <v xml:space="preserve">LITTLE ROCK               </v>
      </c>
      <c r="F2257" t="str">
        <f t="shared" si="85"/>
        <v>AR</v>
      </c>
    </row>
    <row r="2258" spans="1:6" x14ac:dyDescent="0.25">
      <c r="A2258" t="str">
        <f>"200010424"</f>
        <v>200010424</v>
      </c>
      <c r="B2258" t="str">
        <f>"1295198836"</f>
        <v>1295198836</v>
      </c>
      <c r="C2258" t="str">
        <f>"2080P0202X"</f>
        <v>2080P0202X</v>
      </c>
      <c r="D2258" t="str">
        <f>"DALBY                    STEPHEN      T           "</f>
        <v xml:space="preserve">DALBY                    STEPHEN      T           </v>
      </c>
      <c r="E2258" t="str">
        <f>"LITTLE ROCK               "</f>
        <v xml:space="preserve">LITTLE ROCK               </v>
      </c>
      <c r="F2258" t="str">
        <f t="shared" si="85"/>
        <v>AR</v>
      </c>
    </row>
    <row r="2259" spans="1:6" x14ac:dyDescent="0.25">
      <c r="A2259" t="str">
        <f>"200010434"</f>
        <v>200010434</v>
      </c>
      <c r="B2259" t="str">
        <f>"1306489281"</f>
        <v>1306489281</v>
      </c>
      <c r="C2259" t="str">
        <f>"207P00000X"</f>
        <v>207P00000X</v>
      </c>
      <c r="D2259" t="str">
        <f>"BRADLEY                  LAWANA                   "</f>
        <v xml:space="preserve">BRADLEY                  LAWANA                   </v>
      </c>
      <c r="E2259" t="str">
        <f>"WEST MEMPHIS              "</f>
        <v xml:space="preserve">WEST MEMPHIS              </v>
      </c>
      <c r="F2259" t="str">
        <f t="shared" si="85"/>
        <v>AR</v>
      </c>
    </row>
    <row r="2260" spans="1:6" x14ac:dyDescent="0.25">
      <c r="A2260" t="str">
        <f>"200013045"</f>
        <v>200013045</v>
      </c>
      <c r="B2260" t="str">
        <f>"1508308131"</f>
        <v>1508308131</v>
      </c>
      <c r="C2260" t="str">
        <f>"363L00000X"</f>
        <v>363L00000X</v>
      </c>
      <c r="D2260" t="str">
        <f>"JOHNSON                  PAULETTE                 "</f>
        <v xml:space="preserve">JOHNSON                  PAULETTE                 </v>
      </c>
      <c r="E2260" t="str">
        <f>"WEST MEMPHIS              "</f>
        <v xml:space="preserve">WEST MEMPHIS              </v>
      </c>
      <c r="F2260" t="str">
        <f t="shared" si="85"/>
        <v>AR</v>
      </c>
    </row>
    <row r="2261" spans="1:6" x14ac:dyDescent="0.25">
      <c r="A2261" t="str">
        <f>"200014557"</f>
        <v>200014557</v>
      </c>
      <c r="B2261" t="str">
        <f>"1184939308"</f>
        <v>1184939308</v>
      </c>
      <c r="C2261" t="str">
        <f>"2080P0214X"</f>
        <v>2080P0214X</v>
      </c>
      <c r="D2261" t="str">
        <f>"AWAD                     SAMAH                    "</f>
        <v xml:space="preserve">AWAD                     SAMAH                    </v>
      </c>
      <c r="E2261" t="str">
        <f t="shared" ref="E2261:E2267" si="86">"LITTLE ROCK               "</f>
        <v xml:space="preserve">LITTLE ROCK               </v>
      </c>
      <c r="F2261" t="str">
        <f t="shared" si="85"/>
        <v>AR</v>
      </c>
    </row>
    <row r="2262" spans="1:6" x14ac:dyDescent="0.25">
      <c r="A2262" t="str">
        <f>"200015437"</f>
        <v>200015437</v>
      </c>
      <c r="B2262" t="str">
        <f>"1548793748"</f>
        <v>1548793748</v>
      </c>
      <c r="C2262" t="str">
        <f>"2080P0204X"</f>
        <v>2080P0204X</v>
      </c>
      <c r="D2262" t="str">
        <f>"CHACKO                   JEFFREY                  "</f>
        <v xml:space="preserve">CHACKO                   JEFFREY                  </v>
      </c>
      <c r="E2262" t="str">
        <f t="shared" si="86"/>
        <v xml:space="preserve">LITTLE ROCK               </v>
      </c>
      <c r="F2262" t="str">
        <f t="shared" si="85"/>
        <v>AR</v>
      </c>
    </row>
    <row r="2263" spans="1:6" x14ac:dyDescent="0.25">
      <c r="A2263" t="str">
        <f>"200015663"</f>
        <v>200015663</v>
      </c>
      <c r="B2263" t="str">
        <f>"1093100976"</f>
        <v>1093100976</v>
      </c>
      <c r="C2263" t="str">
        <f>"2080P0202X"</f>
        <v>2080P0202X</v>
      </c>
      <c r="D2263" t="str">
        <f>"ITTLEMAN                 BENJAMIN                 "</f>
        <v xml:space="preserve">ITTLEMAN                 BENJAMIN                 </v>
      </c>
      <c r="E2263" t="str">
        <f t="shared" si="86"/>
        <v xml:space="preserve">LITTLE ROCK               </v>
      </c>
      <c r="F2263" t="str">
        <f t="shared" si="85"/>
        <v>AR</v>
      </c>
    </row>
    <row r="2264" spans="1:6" x14ac:dyDescent="0.25">
      <c r="A2264" t="str">
        <f>"200016576"</f>
        <v>200016576</v>
      </c>
      <c r="B2264" t="str">
        <f>"1942796875"</f>
        <v>1942796875</v>
      </c>
      <c r="C2264" t="str">
        <f>"208000000X"</f>
        <v>208000000X</v>
      </c>
      <c r="D2264" t="str">
        <f>"ALMASRI                  MURAD                    "</f>
        <v xml:space="preserve">ALMASRI                  MURAD                    </v>
      </c>
      <c r="E2264" t="str">
        <f t="shared" si="86"/>
        <v xml:space="preserve">LITTLE ROCK               </v>
      </c>
      <c r="F2264" t="str">
        <f t="shared" si="85"/>
        <v>AR</v>
      </c>
    </row>
    <row r="2265" spans="1:6" x14ac:dyDescent="0.25">
      <c r="A2265" t="str">
        <f>"200016958"</f>
        <v>200016958</v>
      </c>
      <c r="B2265" t="str">
        <f>"1558817205"</f>
        <v>1558817205</v>
      </c>
      <c r="C2265" t="str">
        <f>"207PP0204X"</f>
        <v>207PP0204X</v>
      </c>
      <c r="D2265" t="str">
        <f>"ALHADDAD                 ZINA                     "</f>
        <v xml:space="preserve">ALHADDAD                 ZINA                     </v>
      </c>
      <c r="E2265" t="str">
        <f t="shared" si="86"/>
        <v xml:space="preserve">LITTLE ROCK               </v>
      </c>
      <c r="F2265" t="str">
        <f t="shared" si="85"/>
        <v>AR</v>
      </c>
    </row>
    <row r="2266" spans="1:6" x14ac:dyDescent="0.25">
      <c r="A2266" t="str">
        <f>"200019676"</f>
        <v>200019676</v>
      </c>
      <c r="B2266" t="str">
        <f>"1841395423"</f>
        <v>1841395423</v>
      </c>
      <c r="C2266" t="str">
        <f>"208100000X"</f>
        <v>208100000X</v>
      </c>
      <c r="D2266" t="str">
        <f>"STEFANS                  VIKKI                    "</f>
        <v xml:space="preserve">STEFANS                  VIKKI                    </v>
      </c>
      <c r="E2266" t="str">
        <f t="shared" si="86"/>
        <v xml:space="preserve">LITTLE ROCK               </v>
      </c>
      <c r="F2266" t="str">
        <f t="shared" si="85"/>
        <v>AR</v>
      </c>
    </row>
    <row r="2267" spans="1:6" x14ac:dyDescent="0.25">
      <c r="A2267" t="str">
        <f>"200019729"</f>
        <v>200019729</v>
      </c>
      <c r="B2267" t="str">
        <f>"1780048009"</f>
        <v>1780048009</v>
      </c>
      <c r="C2267" t="str">
        <f>"2086S0102X"</f>
        <v>2086S0102X</v>
      </c>
      <c r="D2267" t="str">
        <f>"YEAGER                   RICHARD      M           "</f>
        <v xml:space="preserve">YEAGER                   RICHARD      M           </v>
      </c>
      <c r="E2267" t="str">
        <f t="shared" si="86"/>
        <v xml:space="preserve">LITTLE ROCK               </v>
      </c>
      <c r="F2267" t="str">
        <f t="shared" si="85"/>
        <v>AR</v>
      </c>
    </row>
    <row r="2268" spans="1:6" x14ac:dyDescent="0.25">
      <c r="A2268" t="str">
        <f>"200019848"</f>
        <v>200019848</v>
      </c>
      <c r="B2268" t="str">
        <f>"1497702096"</f>
        <v>1497702096</v>
      </c>
      <c r="C2268" t="str">
        <f>"207Q00000X"</f>
        <v>207Q00000X</v>
      </c>
      <c r="D2268" t="str">
        <f>"PRUITT                   MELISSA      D           "</f>
        <v xml:space="preserve">PRUITT                   MELISSA      D           </v>
      </c>
      <c r="E2268" t="str">
        <f>"WEST MEMPHIS              "</f>
        <v xml:space="preserve">WEST MEMPHIS              </v>
      </c>
      <c r="F2268" t="str">
        <f t="shared" si="85"/>
        <v>AR</v>
      </c>
    </row>
    <row r="2269" spans="1:6" x14ac:dyDescent="0.25">
      <c r="A2269" t="str">
        <f>"200020426"</f>
        <v>200020426</v>
      </c>
      <c r="B2269" t="str">
        <f>"1215161054"</f>
        <v>1215161054</v>
      </c>
      <c r="C2269" t="str">
        <f>"207L00000X"</f>
        <v>207L00000X</v>
      </c>
      <c r="D2269" t="str">
        <f>"MITCHELL                 CAROLINE     R           "</f>
        <v xml:space="preserve">MITCHELL                 CAROLINE     R           </v>
      </c>
      <c r="E2269" t="str">
        <f t="shared" ref="E2269:E2278" si="87">"LITTLE ROCK               "</f>
        <v xml:space="preserve">LITTLE ROCK               </v>
      </c>
      <c r="F2269" t="str">
        <f t="shared" si="85"/>
        <v>AR</v>
      </c>
    </row>
    <row r="2270" spans="1:6" x14ac:dyDescent="0.25">
      <c r="A2270" t="str">
        <f>"200020829"</f>
        <v>200020829</v>
      </c>
      <c r="B2270" t="str">
        <f>"1205333200"</f>
        <v>1205333200</v>
      </c>
      <c r="C2270" t="str">
        <f>"207ZN0500X"</f>
        <v>207ZN0500X</v>
      </c>
      <c r="D2270" t="str">
        <f>"GOOLD                    ERIC                     "</f>
        <v xml:space="preserve">GOOLD                    ERIC                     </v>
      </c>
      <c r="E2270" t="str">
        <f t="shared" si="87"/>
        <v xml:space="preserve">LITTLE ROCK               </v>
      </c>
      <c r="F2270" t="str">
        <f t="shared" si="85"/>
        <v>AR</v>
      </c>
    </row>
    <row r="2271" spans="1:6" x14ac:dyDescent="0.25">
      <c r="A2271" t="str">
        <f>"200021084"</f>
        <v>200021084</v>
      </c>
      <c r="B2271" t="str">
        <f>"1528262979"</f>
        <v>1528262979</v>
      </c>
      <c r="C2271" t="str">
        <f>"207W00000X"</f>
        <v>207W00000X</v>
      </c>
      <c r="D2271" t="str">
        <f>"GRIGORIAN                FLORIN                   "</f>
        <v xml:space="preserve">GRIGORIAN                FLORIN                   </v>
      </c>
      <c r="E2271" t="str">
        <f t="shared" si="87"/>
        <v xml:space="preserve">LITTLE ROCK               </v>
      </c>
      <c r="F2271" t="str">
        <f t="shared" si="85"/>
        <v>AR</v>
      </c>
    </row>
    <row r="2272" spans="1:6" x14ac:dyDescent="0.25">
      <c r="A2272" t="str">
        <f>"200021664"</f>
        <v>200021664</v>
      </c>
      <c r="B2272" t="str">
        <f>"1780048009"</f>
        <v>1780048009</v>
      </c>
      <c r="C2272" t="str">
        <f>"208600000X"</f>
        <v>208600000X</v>
      </c>
      <c r="D2272" t="str">
        <f>"YEAGER                   RICHARD                  "</f>
        <v xml:space="preserve">YEAGER                   RICHARD                  </v>
      </c>
      <c r="E2272" t="str">
        <f t="shared" si="87"/>
        <v xml:space="preserve">LITTLE ROCK               </v>
      </c>
      <c r="F2272" t="str">
        <f t="shared" si="85"/>
        <v>AR</v>
      </c>
    </row>
    <row r="2273" spans="1:6" x14ac:dyDescent="0.25">
      <c r="A2273" t="str">
        <f>"200021759"</f>
        <v>200021759</v>
      </c>
      <c r="B2273" t="str">
        <f>"1881784452"</f>
        <v>1881784452</v>
      </c>
      <c r="C2273" t="str">
        <f>"2085P0229X"</f>
        <v>2085P0229X</v>
      </c>
      <c r="D2273" t="str">
        <f>"GLASIER                  CHARLES                  "</f>
        <v xml:space="preserve">GLASIER                  CHARLES                  </v>
      </c>
      <c r="E2273" t="str">
        <f t="shared" si="87"/>
        <v xml:space="preserve">LITTLE ROCK               </v>
      </c>
      <c r="F2273" t="str">
        <f t="shared" si="85"/>
        <v>AR</v>
      </c>
    </row>
    <row r="2274" spans="1:6" x14ac:dyDescent="0.25">
      <c r="A2274" t="str">
        <f>"200022219"</f>
        <v>200022219</v>
      </c>
      <c r="B2274" t="str">
        <f>"1932427291"</f>
        <v>1932427291</v>
      </c>
      <c r="C2274" t="str">
        <f>"208600000X"</f>
        <v>208600000X</v>
      </c>
      <c r="D2274" t="str">
        <f>"VANDEWALLE               ROBERT       J           "</f>
        <v xml:space="preserve">VANDEWALLE               ROBERT       J           </v>
      </c>
      <c r="E2274" t="str">
        <f t="shared" si="87"/>
        <v xml:space="preserve">LITTLE ROCK               </v>
      </c>
      <c r="F2274" t="str">
        <f t="shared" si="85"/>
        <v>AR</v>
      </c>
    </row>
    <row r="2275" spans="1:6" x14ac:dyDescent="0.25">
      <c r="A2275" t="str">
        <f>"200022493"</f>
        <v>200022493</v>
      </c>
      <c r="B2275" t="str">
        <f>"1104076439"</f>
        <v>1104076439</v>
      </c>
      <c r="C2275" t="str">
        <f>"208G00000X"</f>
        <v>208G00000X</v>
      </c>
      <c r="D2275" t="str">
        <f>"GREITEN                  LAWRENCE                 "</f>
        <v xml:space="preserve">GREITEN                  LAWRENCE                 </v>
      </c>
      <c r="E2275" t="str">
        <f t="shared" si="87"/>
        <v xml:space="preserve">LITTLE ROCK               </v>
      </c>
      <c r="F2275" t="str">
        <f t="shared" si="85"/>
        <v>AR</v>
      </c>
    </row>
    <row r="2276" spans="1:6" x14ac:dyDescent="0.25">
      <c r="A2276" t="str">
        <f>"200022680"</f>
        <v>200022680</v>
      </c>
      <c r="B2276" t="str">
        <f>"1003133828"</f>
        <v>1003133828</v>
      </c>
      <c r="C2276" t="str">
        <f>"2080P0204X"</f>
        <v>2080P0204X</v>
      </c>
      <c r="D2276" t="str">
        <f>"MORSE                    AMBER                    "</f>
        <v xml:space="preserve">MORSE                    AMBER                    </v>
      </c>
      <c r="E2276" t="str">
        <f t="shared" si="87"/>
        <v xml:space="preserve">LITTLE ROCK               </v>
      </c>
      <c r="F2276" t="str">
        <f t="shared" si="85"/>
        <v>AR</v>
      </c>
    </row>
    <row r="2277" spans="1:6" x14ac:dyDescent="0.25">
      <c r="A2277" t="str">
        <f>"200023172"</f>
        <v>200023172</v>
      </c>
      <c r="B2277" t="str">
        <f>"1639497241"</f>
        <v>1639497241</v>
      </c>
      <c r="C2277" t="str">
        <f>"2080P0204X"</f>
        <v>2080P0204X</v>
      </c>
      <c r="D2277" t="str">
        <f>"MONTGOMERY               JEFFREY      S           "</f>
        <v xml:space="preserve">MONTGOMERY               JEFFREY      S           </v>
      </c>
      <c r="E2277" t="str">
        <f t="shared" si="87"/>
        <v xml:space="preserve">LITTLE ROCK               </v>
      </c>
      <c r="F2277" t="str">
        <f t="shared" si="85"/>
        <v>AR</v>
      </c>
    </row>
    <row r="2278" spans="1:6" x14ac:dyDescent="0.25">
      <c r="A2278" t="str">
        <f>"200023206"</f>
        <v>200023206</v>
      </c>
      <c r="B2278" t="str">
        <f>"1740203488"</f>
        <v>1740203488</v>
      </c>
      <c r="C2278" t="str">
        <f>"207LP3000X"</f>
        <v>207LP3000X</v>
      </c>
      <c r="D2278" t="str">
        <f>"GUERRERO                 JORGE                    "</f>
        <v xml:space="preserve">GUERRERO                 JORGE                    </v>
      </c>
      <c r="E2278" t="str">
        <f t="shared" si="87"/>
        <v xml:space="preserve">LITTLE ROCK               </v>
      </c>
      <c r="F2278" t="str">
        <f t="shared" si="85"/>
        <v>AR</v>
      </c>
    </row>
    <row r="2279" spans="1:6" x14ac:dyDescent="0.25">
      <c r="A2279" t="str">
        <f>"200023280"</f>
        <v>200023280</v>
      </c>
      <c r="B2279" t="str">
        <f>"1548213903"</f>
        <v>1548213903</v>
      </c>
      <c r="C2279" t="str">
        <f>"2085P0229X"</f>
        <v>2085P0229X</v>
      </c>
      <c r="D2279" t="str">
        <f>"MURPHY                   JANICE       W           "</f>
        <v xml:space="preserve">MURPHY                   JANICE       W           </v>
      </c>
      <c r="E2279" t="str">
        <f>"SPRINGDALE                "</f>
        <v xml:space="preserve">SPRINGDALE                </v>
      </c>
      <c r="F2279" t="str">
        <f t="shared" si="85"/>
        <v>AR</v>
      </c>
    </row>
    <row r="2280" spans="1:6" x14ac:dyDescent="0.25">
      <c r="A2280" t="str">
        <f>"200023405"</f>
        <v>200023405</v>
      </c>
      <c r="B2280" t="str">
        <f>"1629432745"</f>
        <v>1629432745</v>
      </c>
      <c r="C2280" t="str">
        <f>"208000000X"</f>
        <v>208000000X</v>
      </c>
      <c r="D2280" t="str">
        <f>"GILLETT                  ETHAN                    "</f>
        <v xml:space="preserve">GILLETT                  ETHAN                    </v>
      </c>
      <c r="E2280" t="str">
        <f t="shared" ref="E2280:E2285" si="88">"LITTLE ROCK               "</f>
        <v xml:space="preserve">LITTLE ROCK               </v>
      </c>
      <c r="F2280" t="str">
        <f t="shared" si="85"/>
        <v>AR</v>
      </c>
    </row>
    <row r="2281" spans="1:6" x14ac:dyDescent="0.25">
      <c r="A2281" t="str">
        <f>"200023413"</f>
        <v>200023413</v>
      </c>
      <c r="B2281" t="str">
        <f>"1104387190"</f>
        <v>1104387190</v>
      </c>
      <c r="C2281" t="str">
        <f>"2085P0229X"</f>
        <v>2085P0229X</v>
      </c>
      <c r="D2281" t="str">
        <f>"MANSFIELD                KORI         K           "</f>
        <v xml:space="preserve">MANSFIELD                KORI         K           </v>
      </c>
      <c r="E2281" t="str">
        <f t="shared" si="88"/>
        <v xml:space="preserve">LITTLE ROCK               </v>
      </c>
      <c r="F2281" t="str">
        <f t="shared" si="85"/>
        <v>AR</v>
      </c>
    </row>
    <row r="2282" spans="1:6" x14ac:dyDescent="0.25">
      <c r="A2282" t="str">
        <f>"200023415"</f>
        <v>200023415</v>
      </c>
      <c r="B2282" t="str">
        <f>"1144310715"</f>
        <v>1144310715</v>
      </c>
      <c r="C2282" t="str">
        <f>"2085R0202X"</f>
        <v>2085R0202X</v>
      </c>
      <c r="D2282" t="str">
        <f>"LILE                     SCOTT                    "</f>
        <v xml:space="preserve">LILE                     SCOTT                    </v>
      </c>
      <c r="E2282" t="str">
        <f t="shared" si="88"/>
        <v xml:space="preserve">LITTLE ROCK               </v>
      </c>
      <c r="F2282" t="str">
        <f t="shared" si="85"/>
        <v>AR</v>
      </c>
    </row>
    <row r="2283" spans="1:6" x14ac:dyDescent="0.25">
      <c r="A2283" t="str">
        <f>"200023429"</f>
        <v>200023429</v>
      </c>
      <c r="B2283" t="str">
        <f>"1083001382"</f>
        <v>1083001382</v>
      </c>
      <c r="C2283" t="str">
        <f>"2080P0202X"</f>
        <v>2080P0202X</v>
      </c>
      <c r="D2283" t="str">
        <f>"BHAMARE                  TANMAY                   "</f>
        <v xml:space="preserve">BHAMARE                  TANMAY                   </v>
      </c>
      <c r="E2283" t="str">
        <f t="shared" si="88"/>
        <v xml:space="preserve">LITTLE ROCK               </v>
      </c>
      <c r="F2283" t="str">
        <f t="shared" si="85"/>
        <v>AR</v>
      </c>
    </row>
    <row r="2284" spans="1:6" x14ac:dyDescent="0.25">
      <c r="A2284" t="str">
        <f>"200023434"</f>
        <v>200023434</v>
      </c>
      <c r="B2284" t="str">
        <f>"1063905602"</f>
        <v>1063905602</v>
      </c>
      <c r="C2284" t="str">
        <f>"2080P0202X"</f>
        <v>2080P0202X</v>
      </c>
      <c r="D2284" t="str">
        <f>"CHILDRESS                MEGAN                    "</f>
        <v xml:space="preserve">CHILDRESS                MEGAN                    </v>
      </c>
      <c r="E2284" t="str">
        <f t="shared" si="88"/>
        <v xml:space="preserve">LITTLE ROCK               </v>
      </c>
      <c r="F2284" t="str">
        <f t="shared" si="85"/>
        <v>AR</v>
      </c>
    </row>
    <row r="2285" spans="1:6" x14ac:dyDescent="0.25">
      <c r="A2285" t="str">
        <f>"200023512"</f>
        <v>200023512</v>
      </c>
      <c r="B2285" t="str">
        <f>"1780655548"</f>
        <v>1780655548</v>
      </c>
      <c r="C2285" t="str">
        <f>"2085R0202X"</f>
        <v>2085R0202X</v>
      </c>
      <c r="D2285" t="str">
        <f>"IQBAL                    VASEEM                   "</f>
        <v xml:space="preserve">IQBAL                    VASEEM                   </v>
      </c>
      <c r="E2285" t="str">
        <f t="shared" si="88"/>
        <v xml:space="preserve">LITTLE ROCK               </v>
      </c>
      <c r="F2285" t="str">
        <f t="shared" si="85"/>
        <v>AR</v>
      </c>
    </row>
    <row r="2286" spans="1:6" x14ac:dyDescent="0.25">
      <c r="A2286" t="str">
        <f>"200023684"</f>
        <v>200023684</v>
      </c>
      <c r="B2286" t="str">
        <f>"1619404563"</f>
        <v>1619404563</v>
      </c>
      <c r="C2286" t="str">
        <f>"2080P0204X"</f>
        <v>2080P0204X</v>
      </c>
      <c r="D2286" t="str">
        <f>"GRUENBERG                BLAKE                    "</f>
        <v xml:space="preserve">GRUENBERG                BLAKE                    </v>
      </c>
      <c r="E2286" t="str">
        <f>"SPRINGDALE                "</f>
        <v xml:space="preserve">SPRINGDALE                </v>
      </c>
      <c r="F2286" t="str">
        <f t="shared" si="85"/>
        <v>AR</v>
      </c>
    </row>
    <row r="2287" spans="1:6" x14ac:dyDescent="0.25">
      <c r="A2287" t="str">
        <f>"200023726"</f>
        <v>200023726</v>
      </c>
      <c r="B2287" t="str">
        <f>"1497011415"</f>
        <v>1497011415</v>
      </c>
      <c r="C2287" t="str">
        <f>"2080P0207X"</f>
        <v>2080P0207X</v>
      </c>
      <c r="D2287" t="str">
        <f>"MACK                     JOANA        M           "</f>
        <v xml:space="preserve">MACK                     JOANA        M           </v>
      </c>
      <c r="E2287" t="str">
        <f t="shared" ref="E2287:E2309" si="89">"LITTLE ROCK               "</f>
        <v xml:space="preserve">LITTLE ROCK               </v>
      </c>
      <c r="F2287" t="str">
        <f t="shared" si="85"/>
        <v>AR</v>
      </c>
    </row>
    <row r="2288" spans="1:6" x14ac:dyDescent="0.25">
      <c r="A2288" t="str">
        <f>"200023731"</f>
        <v>200023731</v>
      </c>
      <c r="B2288" t="str">
        <f>"1366785016"</f>
        <v>1366785016</v>
      </c>
      <c r="C2288" t="str">
        <f>"2084N0402X"</f>
        <v>2084N0402X</v>
      </c>
      <c r="D2288" t="str">
        <f>"COBB                     SARAH                    "</f>
        <v xml:space="preserve">COBB                     SARAH                    </v>
      </c>
      <c r="E2288" t="str">
        <f t="shared" si="89"/>
        <v xml:space="preserve">LITTLE ROCK               </v>
      </c>
      <c r="F2288" t="str">
        <f t="shared" si="85"/>
        <v>AR</v>
      </c>
    </row>
    <row r="2289" spans="1:6" x14ac:dyDescent="0.25">
      <c r="A2289" t="str">
        <f>"200023798"</f>
        <v>200023798</v>
      </c>
      <c r="B2289" t="str">
        <f>"1114480217"</f>
        <v>1114480217</v>
      </c>
      <c r="C2289" t="str">
        <f>"2080P0202X"</f>
        <v>2080P0202X</v>
      </c>
      <c r="D2289" t="str">
        <f>"NISSEN                   TIMOTHY      E           "</f>
        <v xml:space="preserve">NISSEN                   TIMOTHY      E           </v>
      </c>
      <c r="E2289" t="str">
        <f t="shared" si="89"/>
        <v xml:space="preserve">LITTLE ROCK               </v>
      </c>
      <c r="F2289" t="str">
        <f t="shared" si="85"/>
        <v>AR</v>
      </c>
    </row>
    <row r="2290" spans="1:6" x14ac:dyDescent="0.25">
      <c r="A2290" t="str">
        <f>"200023818"</f>
        <v>200023818</v>
      </c>
      <c r="B2290" t="str">
        <f>"1104916600"</f>
        <v>1104916600</v>
      </c>
      <c r="C2290" t="str">
        <f>"2080P0202X"</f>
        <v>2080P0202X</v>
      </c>
      <c r="D2290" t="str">
        <f>"BORNEMEIER               RENEE                    "</f>
        <v xml:space="preserve">BORNEMEIER               RENEE                    </v>
      </c>
      <c r="E2290" t="str">
        <f t="shared" si="89"/>
        <v xml:space="preserve">LITTLE ROCK               </v>
      </c>
      <c r="F2290" t="str">
        <f t="shared" si="85"/>
        <v>AR</v>
      </c>
    </row>
    <row r="2291" spans="1:6" x14ac:dyDescent="0.25">
      <c r="A2291" t="str">
        <f>"200023889"</f>
        <v>200023889</v>
      </c>
      <c r="B2291" t="str">
        <f>"1770089773"</f>
        <v>1770089773</v>
      </c>
      <c r="C2291" t="str">
        <f>"208000000X"</f>
        <v>208000000X</v>
      </c>
      <c r="D2291" t="str">
        <f>"MCCARSSON                KRYSTLE      L           "</f>
        <v xml:space="preserve">MCCARSSON                KRYSTLE      L           </v>
      </c>
      <c r="E2291" t="str">
        <f t="shared" si="89"/>
        <v xml:space="preserve">LITTLE ROCK               </v>
      </c>
      <c r="F2291" t="str">
        <f t="shared" si="85"/>
        <v>AR</v>
      </c>
    </row>
    <row r="2292" spans="1:6" x14ac:dyDescent="0.25">
      <c r="A2292" t="str">
        <f>"200023897"</f>
        <v>200023897</v>
      </c>
      <c r="B2292" t="str">
        <f>"1902015852"</f>
        <v>1902015852</v>
      </c>
      <c r="C2292" t="str">
        <f>"2080P0208X"</f>
        <v>2080P0208X</v>
      </c>
      <c r="D2292" t="str">
        <f>"GARCIA FERNANDEZ         MARIA                    "</f>
        <v xml:space="preserve">GARCIA FERNANDEZ         MARIA                    </v>
      </c>
      <c r="E2292" t="str">
        <f t="shared" si="89"/>
        <v xml:space="preserve">LITTLE ROCK               </v>
      </c>
      <c r="F2292" t="str">
        <f t="shared" si="85"/>
        <v>AR</v>
      </c>
    </row>
    <row r="2293" spans="1:6" x14ac:dyDescent="0.25">
      <c r="A2293" t="str">
        <f>"200023943"</f>
        <v>200023943</v>
      </c>
      <c r="B2293" t="str">
        <f>"1558564922"</f>
        <v>1558564922</v>
      </c>
      <c r="C2293" t="str">
        <f>"207ZP0102X"</f>
        <v>207ZP0102X</v>
      </c>
      <c r="D2293" t="str">
        <f>"BOYANTON, JR             BOBBY                    "</f>
        <v xml:space="preserve">BOYANTON, JR             BOBBY                    </v>
      </c>
      <c r="E2293" t="str">
        <f t="shared" si="89"/>
        <v xml:space="preserve">LITTLE ROCK               </v>
      </c>
      <c r="F2293" t="str">
        <f t="shared" ref="F2293:F2356" si="90">"AR"</f>
        <v>AR</v>
      </c>
    </row>
    <row r="2294" spans="1:6" x14ac:dyDescent="0.25">
      <c r="A2294" t="str">
        <f>"200023974"</f>
        <v>200023974</v>
      </c>
      <c r="B2294" t="str">
        <f>"1700142486"</f>
        <v>1700142486</v>
      </c>
      <c r="C2294" t="str">
        <f>"2080P0214X"</f>
        <v>2080P0214X</v>
      </c>
      <c r="D2294" t="str">
        <f>"ARARAT                   ERHAN                    "</f>
        <v xml:space="preserve">ARARAT                   ERHAN                    </v>
      </c>
      <c r="E2294" t="str">
        <f t="shared" si="89"/>
        <v xml:space="preserve">LITTLE ROCK               </v>
      </c>
      <c r="F2294" t="str">
        <f t="shared" si="90"/>
        <v>AR</v>
      </c>
    </row>
    <row r="2295" spans="1:6" x14ac:dyDescent="0.25">
      <c r="A2295" t="str">
        <f>"200023980"</f>
        <v>200023980</v>
      </c>
      <c r="B2295" t="str">
        <f>"1023650900"</f>
        <v>1023650900</v>
      </c>
      <c r="C2295" t="str">
        <f>"363LP0222X"</f>
        <v>363LP0222X</v>
      </c>
      <c r="D2295" t="str">
        <f>"GOODHART                 SARAH                    "</f>
        <v xml:space="preserve">GOODHART                 SARAH                    </v>
      </c>
      <c r="E2295" t="str">
        <f t="shared" si="89"/>
        <v xml:space="preserve">LITTLE ROCK               </v>
      </c>
      <c r="F2295" t="str">
        <f t="shared" si="90"/>
        <v>AR</v>
      </c>
    </row>
    <row r="2296" spans="1:6" x14ac:dyDescent="0.25">
      <c r="A2296" t="str">
        <f>"200024039"</f>
        <v>200024039</v>
      </c>
      <c r="B2296" t="str">
        <f>"1578653077"</f>
        <v>1578653077</v>
      </c>
      <c r="C2296" t="str">
        <f>"2080P0202X"</f>
        <v>2080P0202X</v>
      </c>
      <c r="D2296" t="str">
        <f>"ANGTUACO                 SYLVIA                   "</f>
        <v xml:space="preserve">ANGTUACO                 SYLVIA                   </v>
      </c>
      <c r="E2296" t="str">
        <f t="shared" si="89"/>
        <v xml:space="preserve">LITTLE ROCK               </v>
      </c>
      <c r="F2296" t="str">
        <f t="shared" si="90"/>
        <v>AR</v>
      </c>
    </row>
    <row r="2297" spans="1:6" x14ac:dyDescent="0.25">
      <c r="A2297" t="str">
        <f>"200024048"</f>
        <v>200024048</v>
      </c>
      <c r="B2297" t="str">
        <f>"1609260785"</f>
        <v>1609260785</v>
      </c>
      <c r="C2297" t="str">
        <f>"208000000X"</f>
        <v>208000000X</v>
      </c>
      <c r="D2297" t="str">
        <f>"CUNNINGHAM               CAITLIN                  "</f>
        <v xml:space="preserve">CUNNINGHAM               CAITLIN                  </v>
      </c>
      <c r="E2297" t="str">
        <f t="shared" si="89"/>
        <v xml:space="preserve">LITTLE ROCK               </v>
      </c>
      <c r="F2297" t="str">
        <f t="shared" si="90"/>
        <v>AR</v>
      </c>
    </row>
    <row r="2298" spans="1:6" x14ac:dyDescent="0.25">
      <c r="A2298" t="str">
        <f>"200024081"</f>
        <v>200024081</v>
      </c>
      <c r="B2298" t="str">
        <f>"1700020872"</f>
        <v>1700020872</v>
      </c>
      <c r="C2298" t="str">
        <f>"2080P0202X"</f>
        <v>2080P0202X</v>
      </c>
      <c r="D2298" t="str">
        <f>"DOSSEY                   AMY                      "</f>
        <v xml:space="preserve">DOSSEY                   AMY                      </v>
      </c>
      <c r="E2298" t="str">
        <f t="shared" si="89"/>
        <v xml:space="preserve">LITTLE ROCK               </v>
      </c>
      <c r="F2298" t="str">
        <f t="shared" si="90"/>
        <v>AR</v>
      </c>
    </row>
    <row r="2299" spans="1:6" x14ac:dyDescent="0.25">
      <c r="A2299" t="str">
        <f>"200024095"</f>
        <v>200024095</v>
      </c>
      <c r="B2299" t="str">
        <f>"1194805440"</f>
        <v>1194805440</v>
      </c>
      <c r="C2299" t="str">
        <f>"2080P0203X"</f>
        <v>2080P0203X</v>
      </c>
      <c r="D2299" t="str">
        <f>"GARCIA-CASAL             XIOMARA                  "</f>
        <v xml:space="preserve">GARCIA-CASAL             XIOMARA                  </v>
      </c>
      <c r="E2299" t="str">
        <f t="shared" si="89"/>
        <v xml:space="preserve">LITTLE ROCK               </v>
      </c>
      <c r="F2299" t="str">
        <f t="shared" si="90"/>
        <v>AR</v>
      </c>
    </row>
    <row r="2300" spans="1:6" x14ac:dyDescent="0.25">
      <c r="A2300" t="str">
        <f>"200024150"</f>
        <v>200024150</v>
      </c>
      <c r="B2300" t="str">
        <f>"1538319884"</f>
        <v>1538319884</v>
      </c>
      <c r="C2300" t="str">
        <f>"2084N0400X"</f>
        <v>2084N0400X</v>
      </c>
      <c r="D2300" t="str">
        <f>"ARYA                     KAPIL                    "</f>
        <v xml:space="preserve">ARYA                     KAPIL                    </v>
      </c>
      <c r="E2300" t="str">
        <f t="shared" si="89"/>
        <v xml:space="preserve">LITTLE ROCK               </v>
      </c>
      <c r="F2300" t="str">
        <f t="shared" si="90"/>
        <v>AR</v>
      </c>
    </row>
    <row r="2301" spans="1:6" x14ac:dyDescent="0.25">
      <c r="A2301" t="str">
        <f>"200024237"</f>
        <v>200024237</v>
      </c>
      <c r="B2301" t="str">
        <f>"1043531114"</f>
        <v>1043531114</v>
      </c>
      <c r="C2301" t="str">
        <f>"207Y00000X"</f>
        <v>207Y00000X</v>
      </c>
      <c r="D2301" t="str">
        <f>"JOHNSON                  ADAM                     "</f>
        <v xml:space="preserve">JOHNSON                  ADAM                     </v>
      </c>
      <c r="E2301" t="str">
        <f t="shared" si="89"/>
        <v xml:space="preserve">LITTLE ROCK               </v>
      </c>
      <c r="F2301" t="str">
        <f t="shared" si="90"/>
        <v>AR</v>
      </c>
    </row>
    <row r="2302" spans="1:6" x14ac:dyDescent="0.25">
      <c r="A2302" t="str">
        <f>"200024531"</f>
        <v>200024531</v>
      </c>
      <c r="B2302" t="str">
        <f>"1306320890"</f>
        <v>1306320890</v>
      </c>
      <c r="C2302" t="str">
        <f>"2085P0229X"</f>
        <v>2085P0229X</v>
      </c>
      <c r="D2302" t="str">
        <f>"SHASHI                   KUMAR                    "</f>
        <v xml:space="preserve">SHASHI                   KUMAR                    </v>
      </c>
      <c r="E2302" t="str">
        <f t="shared" si="89"/>
        <v xml:space="preserve">LITTLE ROCK               </v>
      </c>
      <c r="F2302" t="str">
        <f t="shared" si="90"/>
        <v>AR</v>
      </c>
    </row>
    <row r="2303" spans="1:6" x14ac:dyDescent="0.25">
      <c r="A2303" t="str">
        <f>"200024652"</f>
        <v>200024652</v>
      </c>
      <c r="B2303" t="str">
        <f>"1689893919"</f>
        <v>1689893919</v>
      </c>
      <c r="C2303" t="str">
        <f>"2080P0202X"</f>
        <v>2080P0202X</v>
      </c>
      <c r="D2303" t="str">
        <f>"GATLIN                   SCOTT                    "</f>
        <v xml:space="preserve">GATLIN                   SCOTT                    </v>
      </c>
      <c r="E2303" t="str">
        <f t="shared" si="89"/>
        <v xml:space="preserve">LITTLE ROCK               </v>
      </c>
      <c r="F2303" t="str">
        <f t="shared" si="90"/>
        <v>AR</v>
      </c>
    </row>
    <row r="2304" spans="1:6" x14ac:dyDescent="0.25">
      <c r="A2304" t="str">
        <f>"200024669"</f>
        <v>200024669</v>
      </c>
      <c r="B2304" t="str">
        <f>"1093805657"</f>
        <v>1093805657</v>
      </c>
      <c r="C2304" t="str">
        <f>"2080P0202X"</f>
        <v>2080P0202X</v>
      </c>
      <c r="D2304" t="str">
        <f>"SEIB                     PAUL                     "</f>
        <v xml:space="preserve">SEIB                     PAUL                     </v>
      </c>
      <c r="E2304" t="str">
        <f t="shared" si="89"/>
        <v xml:space="preserve">LITTLE ROCK               </v>
      </c>
      <c r="F2304" t="str">
        <f t="shared" si="90"/>
        <v>AR</v>
      </c>
    </row>
    <row r="2305" spans="1:6" x14ac:dyDescent="0.25">
      <c r="A2305" t="str">
        <f>"200024909"</f>
        <v>200024909</v>
      </c>
      <c r="B2305" t="str">
        <f>"1386734887"</f>
        <v>1386734887</v>
      </c>
      <c r="C2305" t="str">
        <f>"2080P0202X"</f>
        <v>2080P0202X</v>
      </c>
      <c r="D2305" t="str">
        <f>"FONTENOT                 EUDICE                   "</f>
        <v xml:space="preserve">FONTENOT                 EUDICE                   </v>
      </c>
      <c r="E2305" t="str">
        <f t="shared" si="89"/>
        <v xml:space="preserve">LITTLE ROCK               </v>
      </c>
      <c r="F2305" t="str">
        <f t="shared" si="90"/>
        <v>AR</v>
      </c>
    </row>
    <row r="2306" spans="1:6" x14ac:dyDescent="0.25">
      <c r="A2306" t="str">
        <f>"200024958"</f>
        <v>200024958</v>
      </c>
      <c r="B2306" t="str">
        <f>"1720361835"</f>
        <v>1720361835</v>
      </c>
      <c r="C2306" t="str">
        <f>"2085P0229X"</f>
        <v>2085P0229X</v>
      </c>
      <c r="D2306" t="str">
        <f>"DAWOUD                   MALIK                    "</f>
        <v xml:space="preserve">DAWOUD                   MALIK                    </v>
      </c>
      <c r="E2306" t="str">
        <f t="shared" si="89"/>
        <v xml:space="preserve">LITTLE ROCK               </v>
      </c>
      <c r="F2306" t="str">
        <f t="shared" si="90"/>
        <v>AR</v>
      </c>
    </row>
    <row r="2307" spans="1:6" x14ac:dyDescent="0.25">
      <c r="A2307" t="str">
        <f>"200025272"</f>
        <v>200025272</v>
      </c>
      <c r="B2307" t="str">
        <f>"1538574975"</f>
        <v>1538574975</v>
      </c>
      <c r="C2307" t="str">
        <f>"2080P0203X"</f>
        <v>2080P0203X</v>
      </c>
      <c r="D2307" t="str">
        <f>"CUNNINGHAN               TYLER                    "</f>
        <v xml:space="preserve">CUNNINGHAN               TYLER                    </v>
      </c>
      <c r="E2307" t="str">
        <f t="shared" si="89"/>
        <v xml:space="preserve">LITTLE ROCK               </v>
      </c>
      <c r="F2307" t="str">
        <f t="shared" si="90"/>
        <v>AR</v>
      </c>
    </row>
    <row r="2308" spans="1:6" x14ac:dyDescent="0.25">
      <c r="A2308" t="str">
        <f>"200025367"</f>
        <v>200025367</v>
      </c>
      <c r="B2308" t="str">
        <f>"1427400928"</f>
        <v>1427400928</v>
      </c>
      <c r="C2308" t="str">
        <f>"152W00000X"</f>
        <v>152W00000X</v>
      </c>
      <c r="D2308" t="str">
        <f>"HOLTORF                  HANNAH                   "</f>
        <v xml:space="preserve">HOLTORF                  HANNAH                   </v>
      </c>
      <c r="E2308" t="str">
        <f t="shared" si="89"/>
        <v xml:space="preserve">LITTLE ROCK               </v>
      </c>
      <c r="F2308" t="str">
        <f t="shared" si="90"/>
        <v>AR</v>
      </c>
    </row>
    <row r="2309" spans="1:6" x14ac:dyDescent="0.25">
      <c r="A2309" t="str">
        <f>"200025433"</f>
        <v>200025433</v>
      </c>
      <c r="B2309" t="str">
        <f>"1548788557"</f>
        <v>1548788557</v>
      </c>
      <c r="C2309" t="str">
        <f>"363LA2100X"</f>
        <v>363LA2100X</v>
      </c>
      <c r="D2309" t="str">
        <f>"OGLESBY                  LAUREN                   "</f>
        <v xml:space="preserve">OGLESBY                  LAUREN                   </v>
      </c>
      <c r="E2309" t="str">
        <f t="shared" si="89"/>
        <v xml:space="preserve">LITTLE ROCK               </v>
      </c>
      <c r="F2309" t="str">
        <f t="shared" si="90"/>
        <v>AR</v>
      </c>
    </row>
    <row r="2310" spans="1:6" x14ac:dyDescent="0.25">
      <c r="A2310" t="str">
        <f>"200025459"</f>
        <v>200025459</v>
      </c>
      <c r="B2310" t="str">
        <f>"1457813933"</f>
        <v>1457813933</v>
      </c>
      <c r="C2310" t="str">
        <f>"207PP0204X"</f>
        <v>207PP0204X</v>
      </c>
      <c r="D2310" t="str">
        <f>"WADDELL                  RYAN                     "</f>
        <v xml:space="preserve">WADDELL                  RYAN                     </v>
      </c>
      <c r="E2310" t="str">
        <f>"SPRINGDALE                "</f>
        <v xml:space="preserve">SPRINGDALE                </v>
      </c>
      <c r="F2310" t="str">
        <f t="shared" si="90"/>
        <v>AR</v>
      </c>
    </row>
    <row r="2311" spans="1:6" x14ac:dyDescent="0.25">
      <c r="A2311" t="str">
        <f>"200025669"</f>
        <v>200025669</v>
      </c>
      <c r="B2311" t="str">
        <f>"1083957641"</f>
        <v>1083957641</v>
      </c>
      <c r="C2311" t="str">
        <f>"207P00000X"</f>
        <v>207P00000X</v>
      </c>
      <c r="D2311" t="str">
        <f>"FOWLER                   CHRISTOPHER  W           "</f>
        <v xml:space="preserve">FOWLER                   CHRISTOPHER  W           </v>
      </c>
      <c r="E2311" t="str">
        <f>"LITTLE ROCK               "</f>
        <v xml:space="preserve">LITTLE ROCK               </v>
      </c>
      <c r="F2311" t="str">
        <f t="shared" si="90"/>
        <v>AR</v>
      </c>
    </row>
    <row r="2312" spans="1:6" x14ac:dyDescent="0.25">
      <c r="A2312" t="str">
        <f>"200025684"</f>
        <v>200025684</v>
      </c>
      <c r="B2312" t="str">
        <f>"1871684746"</f>
        <v>1871684746</v>
      </c>
      <c r="C2312" t="str">
        <f>"2085P0229X"</f>
        <v>2085P0229X</v>
      </c>
      <c r="D2312" t="str">
        <f>"JAMES                    CHARLES                  "</f>
        <v xml:space="preserve">JAMES                    CHARLES                  </v>
      </c>
      <c r="E2312" t="str">
        <f>"LITTLE ROCK               "</f>
        <v xml:space="preserve">LITTLE ROCK               </v>
      </c>
      <c r="F2312" t="str">
        <f t="shared" si="90"/>
        <v>AR</v>
      </c>
    </row>
    <row r="2313" spans="1:6" x14ac:dyDescent="0.25">
      <c r="A2313" t="str">
        <f>"200025787"</f>
        <v>200025787</v>
      </c>
      <c r="B2313" t="str">
        <f>"1255515037"</f>
        <v>1255515037</v>
      </c>
      <c r="C2313" t="str">
        <f>"2080P0202X"</f>
        <v>2080P0202X</v>
      </c>
      <c r="D2313" t="str">
        <f>"ANGTUACO                 MICHAEL                  "</f>
        <v xml:space="preserve">ANGTUACO                 MICHAEL                  </v>
      </c>
      <c r="E2313" t="str">
        <f>"LITTLE ROCK               "</f>
        <v xml:space="preserve">LITTLE ROCK               </v>
      </c>
      <c r="F2313" t="str">
        <f t="shared" si="90"/>
        <v>AR</v>
      </c>
    </row>
    <row r="2314" spans="1:6" x14ac:dyDescent="0.25">
      <c r="A2314" t="str">
        <f>"200025794"</f>
        <v>200025794</v>
      </c>
      <c r="B2314" t="str">
        <f>"1336693597"</f>
        <v>1336693597</v>
      </c>
      <c r="C2314" t="str">
        <f>"2085R0202X"</f>
        <v>2085R0202X</v>
      </c>
      <c r="D2314" t="str">
        <f>"JOSE                     JOE                      "</f>
        <v xml:space="preserve">JOSE                     JOE                      </v>
      </c>
      <c r="E2314" t="str">
        <f>"LITTLE ROCK               "</f>
        <v xml:space="preserve">LITTLE ROCK               </v>
      </c>
      <c r="F2314" t="str">
        <f t="shared" si="90"/>
        <v>AR</v>
      </c>
    </row>
    <row r="2315" spans="1:6" x14ac:dyDescent="0.25">
      <c r="A2315" t="str">
        <f>"200025803"</f>
        <v>200025803</v>
      </c>
      <c r="B2315" t="str">
        <f>"1871547828"</f>
        <v>1871547828</v>
      </c>
      <c r="C2315" t="str">
        <f>"207RC0001X"</f>
        <v>207RC0001X</v>
      </c>
      <c r="D2315" t="str">
        <f>"PAYDAK                   HAKAN                    "</f>
        <v xml:space="preserve">PAYDAK                   HAKAN                    </v>
      </c>
      <c r="E2315" t="str">
        <f>"LITTLE ROCK               "</f>
        <v xml:space="preserve">LITTLE ROCK               </v>
      </c>
      <c r="F2315" t="str">
        <f t="shared" si="90"/>
        <v>AR</v>
      </c>
    </row>
    <row r="2316" spans="1:6" x14ac:dyDescent="0.25">
      <c r="A2316" t="str">
        <f>"200025824"</f>
        <v>200025824</v>
      </c>
      <c r="B2316" t="str">
        <f>"1437530169"</f>
        <v>1437530169</v>
      </c>
      <c r="C2316" t="str">
        <f>"207P00000X"</f>
        <v>207P00000X</v>
      </c>
      <c r="D2316" t="str">
        <f>"WATLINGTON               AMANDA                   "</f>
        <v xml:space="preserve">WATLINGTON               AMANDA                   </v>
      </c>
      <c r="E2316" t="str">
        <f>"WEST MEMPHIS              "</f>
        <v xml:space="preserve">WEST MEMPHIS              </v>
      </c>
      <c r="F2316" t="str">
        <f t="shared" si="90"/>
        <v>AR</v>
      </c>
    </row>
    <row r="2317" spans="1:6" x14ac:dyDescent="0.25">
      <c r="A2317" t="str">
        <f>"200025841"</f>
        <v>200025841</v>
      </c>
      <c r="B2317" t="str">
        <f>"1265164396"</f>
        <v>1265164396</v>
      </c>
      <c r="C2317" t="str">
        <f>"207P00000X"</f>
        <v>207P00000X</v>
      </c>
      <c r="D2317" t="str">
        <f>"DIMANCHE                 REBECCA                  "</f>
        <v xml:space="preserve">DIMANCHE                 REBECCA                  </v>
      </c>
      <c r="E2317" t="str">
        <f>"WEST MEMPHIS              "</f>
        <v xml:space="preserve">WEST MEMPHIS              </v>
      </c>
      <c r="F2317" t="str">
        <f t="shared" si="90"/>
        <v>AR</v>
      </c>
    </row>
    <row r="2318" spans="1:6" x14ac:dyDescent="0.25">
      <c r="A2318" t="str">
        <f>"200025873"</f>
        <v>200025873</v>
      </c>
      <c r="B2318" t="str">
        <f>"1316574049"</f>
        <v>1316574049</v>
      </c>
      <c r="C2318" t="str">
        <f>"208000000X"</f>
        <v>208000000X</v>
      </c>
      <c r="D2318" t="str">
        <f>"MIKKILINENI              SATVIKA                  "</f>
        <v xml:space="preserve">MIKKILINENI              SATVIKA                  </v>
      </c>
      <c r="E2318" t="str">
        <f>"LITTLE ROCK               "</f>
        <v xml:space="preserve">LITTLE ROCK               </v>
      </c>
      <c r="F2318" t="str">
        <f t="shared" si="90"/>
        <v>AR</v>
      </c>
    </row>
    <row r="2319" spans="1:6" x14ac:dyDescent="0.25">
      <c r="A2319" t="str">
        <f>"200025916"</f>
        <v>200025916</v>
      </c>
      <c r="B2319" t="str">
        <f>"1942512199"</f>
        <v>1942512199</v>
      </c>
      <c r="C2319" t="str">
        <f>"207R00000X"</f>
        <v>207R00000X</v>
      </c>
      <c r="D2319" t="str">
        <f>"HORWITZ                  DAVID                    "</f>
        <v xml:space="preserve">HORWITZ                  DAVID                    </v>
      </c>
      <c r="E2319" t="str">
        <f>"WEST MEMPHIS              "</f>
        <v xml:space="preserve">WEST MEMPHIS              </v>
      </c>
      <c r="F2319" t="str">
        <f t="shared" si="90"/>
        <v>AR</v>
      </c>
    </row>
    <row r="2320" spans="1:6" x14ac:dyDescent="0.25">
      <c r="A2320" t="str">
        <f>"200026143"</f>
        <v>200026143</v>
      </c>
      <c r="B2320" t="str">
        <f>"1245761196"</f>
        <v>1245761196</v>
      </c>
      <c r="C2320" t="str">
        <f>"2084N0402X"</f>
        <v>2084N0402X</v>
      </c>
      <c r="D2320" t="str">
        <f>"NATH                     MANAN                    "</f>
        <v xml:space="preserve">NATH                     MANAN                    </v>
      </c>
      <c r="E2320" t="str">
        <f>"LITTLE ROCK               "</f>
        <v xml:space="preserve">LITTLE ROCK               </v>
      </c>
      <c r="F2320" t="str">
        <f t="shared" si="90"/>
        <v>AR</v>
      </c>
    </row>
    <row r="2321" spans="1:6" x14ac:dyDescent="0.25">
      <c r="A2321" t="str">
        <f>"200026158"</f>
        <v>200026158</v>
      </c>
      <c r="B2321" t="str">
        <f>"1548605256"</f>
        <v>1548605256</v>
      </c>
      <c r="C2321" t="str">
        <f>"207R00000X"</f>
        <v>207R00000X</v>
      </c>
      <c r="D2321" t="str">
        <f>"MCKEE                    STEVEN       G           "</f>
        <v xml:space="preserve">MCKEE                    STEVEN       G           </v>
      </c>
      <c r="E2321" t="str">
        <f>"LITTLE ROCK               "</f>
        <v xml:space="preserve">LITTLE ROCK               </v>
      </c>
      <c r="F2321" t="str">
        <f t="shared" si="90"/>
        <v>AR</v>
      </c>
    </row>
    <row r="2322" spans="1:6" x14ac:dyDescent="0.25">
      <c r="A2322" t="str">
        <f>"200026203"</f>
        <v>200026203</v>
      </c>
      <c r="B2322" t="str">
        <f>"1508397498"</f>
        <v>1508397498</v>
      </c>
      <c r="C2322" t="str">
        <f>"208M00000X"</f>
        <v>208M00000X</v>
      </c>
      <c r="D2322" t="str">
        <f>"TANG                     KATHERINE                "</f>
        <v xml:space="preserve">TANG                     KATHERINE                </v>
      </c>
      <c r="E2322" t="str">
        <f>"LITTLE ROCK               "</f>
        <v xml:space="preserve">LITTLE ROCK               </v>
      </c>
      <c r="F2322" t="str">
        <f t="shared" si="90"/>
        <v>AR</v>
      </c>
    </row>
    <row r="2323" spans="1:6" x14ac:dyDescent="0.25">
      <c r="A2323" t="str">
        <f>"200026206"</f>
        <v>200026206</v>
      </c>
      <c r="B2323" t="str">
        <f>"1881809184"</f>
        <v>1881809184</v>
      </c>
      <c r="C2323" t="str">
        <f>"2080P0204X"</f>
        <v>2080P0204X</v>
      </c>
      <c r="D2323" t="str">
        <f>"HOLLINGSWORTH            AMANDA                   "</f>
        <v xml:space="preserve">HOLLINGSWORTH            AMANDA                   </v>
      </c>
      <c r="E2323" t="str">
        <f>"SPRINGDALE                "</f>
        <v xml:space="preserve">SPRINGDALE                </v>
      </c>
      <c r="F2323" t="str">
        <f t="shared" si="90"/>
        <v>AR</v>
      </c>
    </row>
    <row r="2324" spans="1:6" x14ac:dyDescent="0.25">
      <c r="A2324" t="str">
        <f>"200026209"</f>
        <v>200026209</v>
      </c>
      <c r="B2324" t="str">
        <f>"1689800872"</f>
        <v>1689800872</v>
      </c>
      <c r="C2324" t="str">
        <f>"208G00000X"</f>
        <v>208G00000X</v>
      </c>
      <c r="D2324" t="str">
        <f>"RAJAB                    TAUFIEK                  "</f>
        <v xml:space="preserve">RAJAB                    TAUFIEK                  </v>
      </c>
      <c r="E2324" t="str">
        <f t="shared" ref="E2324:E2333" si="91">"LITTLE ROCK               "</f>
        <v xml:space="preserve">LITTLE ROCK               </v>
      </c>
      <c r="F2324" t="str">
        <f t="shared" si="90"/>
        <v>AR</v>
      </c>
    </row>
    <row r="2325" spans="1:6" x14ac:dyDescent="0.25">
      <c r="A2325" t="str">
        <f>"200026236"</f>
        <v>200026236</v>
      </c>
      <c r="B2325" t="str">
        <f>"1679865935"</f>
        <v>1679865935</v>
      </c>
      <c r="C2325" t="str">
        <f>"208600000X"</f>
        <v>208600000X</v>
      </c>
      <c r="D2325" t="str">
        <f>"KOLLISCH-SINGULE         MICHAELA                 "</f>
        <v xml:space="preserve">KOLLISCH-SINGULE         MICHAELA                 </v>
      </c>
      <c r="E2325" t="str">
        <f t="shared" si="91"/>
        <v xml:space="preserve">LITTLE ROCK               </v>
      </c>
      <c r="F2325" t="str">
        <f t="shared" si="90"/>
        <v>AR</v>
      </c>
    </row>
    <row r="2326" spans="1:6" x14ac:dyDescent="0.25">
      <c r="A2326" t="str">
        <f>"200026246"</f>
        <v>200026246</v>
      </c>
      <c r="B2326" t="str">
        <f>"1033642228"</f>
        <v>1033642228</v>
      </c>
      <c r="C2326" t="str">
        <f>"2084N0402X"</f>
        <v>2084N0402X</v>
      </c>
      <c r="D2326" t="str">
        <f>"DRAKE                    PAUL                     "</f>
        <v xml:space="preserve">DRAKE                    PAUL                     </v>
      </c>
      <c r="E2326" t="str">
        <f t="shared" si="91"/>
        <v xml:space="preserve">LITTLE ROCK               </v>
      </c>
      <c r="F2326" t="str">
        <f t="shared" si="90"/>
        <v>AR</v>
      </c>
    </row>
    <row r="2327" spans="1:6" x14ac:dyDescent="0.25">
      <c r="A2327" t="str">
        <f>"200026455"</f>
        <v>200026455</v>
      </c>
      <c r="B2327" t="str">
        <f>"1093876419"</f>
        <v>1093876419</v>
      </c>
      <c r="C2327" t="str">
        <f>"207LP3000X"</f>
        <v>207LP3000X</v>
      </c>
      <c r="D2327" t="str">
        <f>"CHAU                     DESTINY                  "</f>
        <v xml:space="preserve">CHAU                     DESTINY                  </v>
      </c>
      <c r="E2327" t="str">
        <f t="shared" si="91"/>
        <v xml:space="preserve">LITTLE ROCK               </v>
      </c>
      <c r="F2327" t="str">
        <f t="shared" si="90"/>
        <v>AR</v>
      </c>
    </row>
    <row r="2328" spans="1:6" x14ac:dyDescent="0.25">
      <c r="A2328" t="str">
        <f>"200026536"</f>
        <v>200026536</v>
      </c>
      <c r="B2328" t="str">
        <f>"1265529317"</f>
        <v>1265529317</v>
      </c>
      <c r="C2328" t="str">
        <f>"207PP0204X"</f>
        <v>207PP0204X</v>
      </c>
      <c r="D2328" t="str">
        <f>"LIGGIN                   REBECCA                  "</f>
        <v xml:space="preserve">LIGGIN                   REBECCA                  </v>
      </c>
      <c r="E2328" t="str">
        <f t="shared" si="91"/>
        <v xml:space="preserve">LITTLE ROCK               </v>
      </c>
      <c r="F2328" t="str">
        <f t="shared" si="90"/>
        <v>AR</v>
      </c>
    </row>
    <row r="2329" spans="1:6" x14ac:dyDescent="0.25">
      <c r="A2329" t="str">
        <f>"200026892"</f>
        <v>200026892</v>
      </c>
      <c r="B2329" t="str">
        <f>"1093858581"</f>
        <v>1093858581</v>
      </c>
      <c r="C2329" t="str">
        <f>"207YP0228X"</f>
        <v>207YP0228X</v>
      </c>
      <c r="D2329" t="str">
        <f>"RICHTER                  GRESHAM                  "</f>
        <v xml:space="preserve">RICHTER                  GRESHAM                  </v>
      </c>
      <c r="E2329" t="str">
        <f t="shared" si="91"/>
        <v xml:space="preserve">LITTLE ROCK               </v>
      </c>
      <c r="F2329" t="str">
        <f t="shared" si="90"/>
        <v>AR</v>
      </c>
    </row>
    <row r="2330" spans="1:6" x14ac:dyDescent="0.25">
      <c r="A2330" t="str">
        <f>"200026946"</f>
        <v>200026946</v>
      </c>
      <c r="B2330" t="str">
        <f>"1508956160"</f>
        <v>1508956160</v>
      </c>
      <c r="C2330" t="str">
        <f>"208000000X"</f>
        <v>208000000X</v>
      </c>
      <c r="D2330" t="str">
        <f>"ILYAS                    MOHAMMAD                 "</f>
        <v xml:space="preserve">ILYAS                    MOHAMMAD                 </v>
      </c>
      <c r="E2330" t="str">
        <f t="shared" si="91"/>
        <v xml:space="preserve">LITTLE ROCK               </v>
      </c>
      <c r="F2330" t="str">
        <f t="shared" si="90"/>
        <v>AR</v>
      </c>
    </row>
    <row r="2331" spans="1:6" x14ac:dyDescent="0.25">
      <c r="A2331" t="str">
        <f>"200026978"</f>
        <v>200026978</v>
      </c>
      <c r="B2331" t="str">
        <f>"1508394941"</f>
        <v>1508394941</v>
      </c>
      <c r="C2331" t="str">
        <f>"2085R0202X"</f>
        <v>2085R0202X</v>
      </c>
      <c r="D2331" t="str">
        <f>"EFENDIZADE               ASLAN                    "</f>
        <v xml:space="preserve">EFENDIZADE               ASLAN                    </v>
      </c>
      <c r="E2331" t="str">
        <f t="shared" si="91"/>
        <v xml:space="preserve">LITTLE ROCK               </v>
      </c>
      <c r="F2331" t="str">
        <f t="shared" si="90"/>
        <v>AR</v>
      </c>
    </row>
    <row r="2332" spans="1:6" x14ac:dyDescent="0.25">
      <c r="A2332" t="str">
        <f>"200026986"</f>
        <v>200026986</v>
      </c>
      <c r="B2332" t="str">
        <f>"1962613158"</f>
        <v>1962613158</v>
      </c>
      <c r="C2332" t="str">
        <f>"2086S0120X"</f>
        <v>2086S0120X</v>
      </c>
      <c r="D2332" t="str">
        <f>"BURFORD                  JEFFREY                  "</f>
        <v xml:space="preserve">BURFORD                  JEFFREY                  </v>
      </c>
      <c r="E2332" t="str">
        <f t="shared" si="91"/>
        <v xml:space="preserve">LITTLE ROCK               </v>
      </c>
      <c r="F2332" t="str">
        <f t="shared" si="90"/>
        <v>AR</v>
      </c>
    </row>
    <row r="2333" spans="1:6" x14ac:dyDescent="0.25">
      <c r="A2333" t="str">
        <f>"200026987"</f>
        <v>200026987</v>
      </c>
      <c r="B2333" t="str">
        <f>"1740644293"</f>
        <v>1740644293</v>
      </c>
      <c r="C2333" t="str">
        <f>"207P00000X"</f>
        <v>207P00000X</v>
      </c>
      <c r="D2333" t="str">
        <f>"ELLIS                    JOSHUA       C           "</f>
        <v xml:space="preserve">ELLIS                    JOSHUA       C           </v>
      </c>
      <c r="E2333" t="str">
        <f t="shared" si="91"/>
        <v xml:space="preserve">LITTLE ROCK               </v>
      </c>
      <c r="F2333" t="str">
        <f t="shared" si="90"/>
        <v>AR</v>
      </c>
    </row>
    <row r="2334" spans="1:6" x14ac:dyDescent="0.25">
      <c r="A2334" t="str">
        <f>"200027016"</f>
        <v>200027016</v>
      </c>
      <c r="B2334" t="str">
        <f>"1043300528"</f>
        <v>1043300528</v>
      </c>
      <c r="C2334" t="str">
        <f>"207T00000X"</f>
        <v>207T00000X</v>
      </c>
      <c r="D2334" t="str">
        <f>"KRISHT                   ALI                      "</f>
        <v xml:space="preserve">KRISHT                   ALI                      </v>
      </c>
      <c r="E2334" t="str">
        <f>"SHERWOOD                  "</f>
        <v xml:space="preserve">SHERWOOD                  </v>
      </c>
      <c r="F2334" t="str">
        <f t="shared" si="90"/>
        <v>AR</v>
      </c>
    </row>
    <row r="2335" spans="1:6" x14ac:dyDescent="0.25">
      <c r="A2335" t="str">
        <f>"200027064"</f>
        <v>200027064</v>
      </c>
      <c r="B2335" t="str">
        <f>"1881076248"</f>
        <v>1881076248</v>
      </c>
      <c r="C2335" t="str">
        <f>"208000000X"</f>
        <v>208000000X</v>
      </c>
      <c r="D2335" t="str">
        <f>"GONZALEZ-GARCIA          AIXA                     "</f>
        <v xml:space="preserve">GONZALEZ-GARCIA          AIXA                     </v>
      </c>
      <c r="E2335" t="str">
        <f>"LITTLE ROCK               "</f>
        <v xml:space="preserve">LITTLE ROCK               </v>
      </c>
      <c r="F2335" t="str">
        <f t="shared" si="90"/>
        <v>AR</v>
      </c>
    </row>
    <row r="2336" spans="1:6" x14ac:dyDescent="0.25">
      <c r="A2336" t="str">
        <f>"200027143"</f>
        <v>200027143</v>
      </c>
      <c r="B2336" t="str">
        <f>"1194024208"</f>
        <v>1194024208</v>
      </c>
      <c r="C2336" t="str">
        <f>"207ZP0102X"</f>
        <v>207ZP0102X</v>
      </c>
      <c r="D2336" t="str">
        <f>"HENRICH LOBO             RODOLFO                  "</f>
        <v xml:space="preserve">HENRICH LOBO             RODOLFO                  </v>
      </c>
      <c r="E2336" t="str">
        <f>"LITTLE ROCK               "</f>
        <v xml:space="preserve">LITTLE ROCK               </v>
      </c>
      <c r="F2336" t="str">
        <f t="shared" si="90"/>
        <v>AR</v>
      </c>
    </row>
    <row r="2337" spans="1:6" x14ac:dyDescent="0.25">
      <c r="A2337" t="str">
        <f>"200027179"</f>
        <v>200027179</v>
      </c>
      <c r="B2337" t="str">
        <f>"1295154789"</f>
        <v>1295154789</v>
      </c>
      <c r="C2337" t="str">
        <f>"208600000X"</f>
        <v>208600000X</v>
      </c>
      <c r="D2337" t="str">
        <f>"BRUCE                    NOLAN        R           "</f>
        <v xml:space="preserve">BRUCE                    NOLAN        R           </v>
      </c>
      <c r="E2337" t="str">
        <f>"LITTLE ROCK               "</f>
        <v xml:space="preserve">LITTLE ROCK               </v>
      </c>
      <c r="F2337" t="str">
        <f t="shared" si="90"/>
        <v>AR</v>
      </c>
    </row>
    <row r="2338" spans="1:6" x14ac:dyDescent="0.25">
      <c r="A2338" t="str">
        <f>"200027213"</f>
        <v>200027213</v>
      </c>
      <c r="B2338" t="str">
        <f>"1588300958"</f>
        <v>1588300958</v>
      </c>
      <c r="C2338" t="str">
        <f>"207Q00000X"</f>
        <v>207Q00000X</v>
      </c>
      <c r="D2338" t="str">
        <f>"KWON                     GREGORY                  "</f>
        <v xml:space="preserve">KWON                     GREGORY                  </v>
      </c>
      <c r="E2338" t="str">
        <f>"LAKE VILLAGE              "</f>
        <v xml:space="preserve">LAKE VILLAGE              </v>
      </c>
      <c r="F2338" t="str">
        <f t="shared" si="90"/>
        <v>AR</v>
      </c>
    </row>
    <row r="2339" spans="1:6" x14ac:dyDescent="0.25">
      <c r="A2339" t="str">
        <f>"200027238"</f>
        <v>200027238</v>
      </c>
      <c r="B2339" t="str">
        <f>"1346252681"</f>
        <v>1346252681</v>
      </c>
      <c r="C2339" t="str">
        <f>"207P00000X"</f>
        <v>207P00000X</v>
      </c>
      <c r="D2339" t="str">
        <f>"GREGORY                  JOANNE                   "</f>
        <v xml:space="preserve">GREGORY                  JOANNE                   </v>
      </c>
      <c r="E2339" t="str">
        <f>"LAKE VILLAGE              "</f>
        <v xml:space="preserve">LAKE VILLAGE              </v>
      </c>
      <c r="F2339" t="str">
        <f t="shared" si="90"/>
        <v>AR</v>
      </c>
    </row>
    <row r="2340" spans="1:6" x14ac:dyDescent="0.25">
      <c r="A2340" t="str">
        <f>"200027258"</f>
        <v>200027258</v>
      </c>
      <c r="B2340" t="str">
        <f>"1104419241"</f>
        <v>1104419241</v>
      </c>
      <c r="C2340" t="str">
        <f>"363LF0000X"</f>
        <v>363LF0000X</v>
      </c>
      <c r="D2340" t="str">
        <f>"PITTS                    GULNAR                   "</f>
        <v xml:space="preserve">PITTS                    GULNAR                   </v>
      </c>
      <c r="E2340" t="str">
        <f>"LITTLE ROCK               "</f>
        <v xml:space="preserve">LITTLE ROCK               </v>
      </c>
      <c r="F2340" t="str">
        <f t="shared" si="90"/>
        <v>AR</v>
      </c>
    </row>
    <row r="2341" spans="1:6" x14ac:dyDescent="0.25">
      <c r="A2341" t="str">
        <f>"200027282"</f>
        <v>200027282</v>
      </c>
      <c r="B2341" t="str">
        <f>"1952894776"</f>
        <v>1952894776</v>
      </c>
      <c r="C2341" t="str">
        <f>"2085R0202X"</f>
        <v>2085R0202X</v>
      </c>
      <c r="D2341" t="str">
        <f>"BUDDHA                   SURYAKALA                "</f>
        <v xml:space="preserve">BUDDHA                   SURYAKALA                </v>
      </c>
      <c r="E2341" t="str">
        <f>"LITTLE ROCK               "</f>
        <v xml:space="preserve">LITTLE ROCK               </v>
      </c>
      <c r="F2341" t="str">
        <f t="shared" si="90"/>
        <v>AR</v>
      </c>
    </row>
    <row r="2342" spans="1:6" x14ac:dyDescent="0.25">
      <c r="A2342" t="str">
        <f>"200027300"</f>
        <v>200027300</v>
      </c>
      <c r="B2342" t="str">
        <f>"1477086916"</f>
        <v>1477086916</v>
      </c>
      <c r="C2342" t="str">
        <f>"207P00000X"</f>
        <v>207P00000X</v>
      </c>
      <c r="D2342" t="str">
        <f>"RUBY                     BETHANY                  "</f>
        <v xml:space="preserve">RUBY                     BETHANY                  </v>
      </c>
      <c r="E2342" t="str">
        <f>"HOT SPRINGS               "</f>
        <v xml:space="preserve">HOT SPRINGS               </v>
      </c>
      <c r="F2342" t="str">
        <f t="shared" si="90"/>
        <v>AR</v>
      </c>
    </row>
    <row r="2343" spans="1:6" x14ac:dyDescent="0.25">
      <c r="A2343" t="str">
        <f>"200027326"</f>
        <v>200027326</v>
      </c>
      <c r="B2343" t="str">
        <f>"1588656730"</f>
        <v>1588656730</v>
      </c>
      <c r="C2343" t="str">
        <f>"207Q00000X"</f>
        <v>207Q00000X</v>
      </c>
      <c r="D2343" t="str">
        <f>"ANDERSON                 TOBY                     "</f>
        <v xml:space="preserve">ANDERSON                 TOBY                     </v>
      </c>
      <c r="E2343" t="str">
        <f>"WEST MEMPHIS              "</f>
        <v xml:space="preserve">WEST MEMPHIS              </v>
      </c>
      <c r="F2343" t="str">
        <f t="shared" si="90"/>
        <v>AR</v>
      </c>
    </row>
    <row r="2344" spans="1:6" x14ac:dyDescent="0.25">
      <c r="A2344" t="str">
        <f>"200027357"</f>
        <v>200027357</v>
      </c>
      <c r="B2344" t="str">
        <f>"1801374905"</f>
        <v>1801374905</v>
      </c>
      <c r="C2344" t="str">
        <f>"207L00000X"</f>
        <v>207L00000X</v>
      </c>
      <c r="D2344" t="str">
        <f>"ABDALRAHMAN              AKRM                     "</f>
        <v xml:space="preserve">ABDALRAHMAN              AKRM                     </v>
      </c>
      <c r="E2344" t="str">
        <f>"LITTLE ROCK               "</f>
        <v xml:space="preserve">LITTLE ROCK               </v>
      </c>
      <c r="F2344" t="str">
        <f t="shared" si="90"/>
        <v>AR</v>
      </c>
    </row>
    <row r="2345" spans="1:6" x14ac:dyDescent="0.25">
      <c r="A2345" t="str">
        <f>"200027476"</f>
        <v>200027476</v>
      </c>
      <c r="B2345" t="str">
        <f>"1881658094"</f>
        <v>1881658094</v>
      </c>
      <c r="C2345" t="str">
        <f>"207P00000X"</f>
        <v>207P00000X</v>
      </c>
      <c r="D2345" t="str">
        <f>"HARDIN                   JOEL                     "</f>
        <v xml:space="preserve">HARDIN                   JOEL                     </v>
      </c>
      <c r="E2345" t="str">
        <f>"HOT SPRINGS               "</f>
        <v xml:space="preserve">HOT SPRINGS               </v>
      </c>
      <c r="F2345" t="str">
        <f t="shared" si="90"/>
        <v>AR</v>
      </c>
    </row>
    <row r="2346" spans="1:6" x14ac:dyDescent="0.25">
      <c r="A2346" t="str">
        <f>"200027511"</f>
        <v>200027511</v>
      </c>
      <c r="B2346" t="str">
        <f>"1720519085"</f>
        <v>1720519085</v>
      </c>
      <c r="C2346" t="str">
        <f>"2084P0800X"</f>
        <v>2084P0800X</v>
      </c>
      <c r="D2346" t="str">
        <f>"RICHISON                 ABIGAIL      B           "</f>
        <v xml:space="preserve">RICHISON                 ABIGAIL      B           </v>
      </c>
      <c r="E2346" t="str">
        <f>"LITTLE ROCK               "</f>
        <v xml:space="preserve">LITTLE ROCK               </v>
      </c>
      <c r="F2346" t="str">
        <f t="shared" si="90"/>
        <v>AR</v>
      </c>
    </row>
    <row r="2347" spans="1:6" x14ac:dyDescent="0.25">
      <c r="A2347" t="str">
        <f>"200027525"</f>
        <v>200027525</v>
      </c>
      <c r="B2347" t="str">
        <f>"1851657274"</f>
        <v>1851657274</v>
      </c>
      <c r="C2347" t="str">
        <f>"207L00000X"</f>
        <v>207L00000X</v>
      </c>
      <c r="D2347" t="str">
        <f>"WEILER                   LUKE                     "</f>
        <v xml:space="preserve">WEILER                   LUKE                     </v>
      </c>
      <c r="E2347" t="str">
        <f>"SHERWOOD                  "</f>
        <v xml:space="preserve">SHERWOOD                  </v>
      </c>
      <c r="F2347" t="str">
        <f t="shared" si="90"/>
        <v>AR</v>
      </c>
    </row>
    <row r="2348" spans="1:6" x14ac:dyDescent="0.25">
      <c r="A2348" t="str">
        <f>"200027530"</f>
        <v>200027530</v>
      </c>
      <c r="B2348" t="str">
        <f>"1942862586"</f>
        <v>1942862586</v>
      </c>
      <c r="C2348" t="str">
        <f>"208600000X"</f>
        <v>208600000X</v>
      </c>
      <c r="D2348" t="str">
        <f>"MARGOLICK                JOSEPH       F           "</f>
        <v xml:space="preserve">MARGOLICK                JOSEPH       F           </v>
      </c>
      <c r="E2348" t="str">
        <f t="shared" ref="E2348:E2353" si="92">"LITTLE ROCK               "</f>
        <v xml:space="preserve">LITTLE ROCK               </v>
      </c>
      <c r="F2348" t="str">
        <f t="shared" si="90"/>
        <v>AR</v>
      </c>
    </row>
    <row r="2349" spans="1:6" x14ac:dyDescent="0.25">
      <c r="A2349" t="str">
        <f>"200027541"</f>
        <v>200027541</v>
      </c>
      <c r="B2349" t="str">
        <f>"1790137818"</f>
        <v>1790137818</v>
      </c>
      <c r="C2349" t="str">
        <f>"2085R0202X"</f>
        <v>2085R0202X</v>
      </c>
      <c r="D2349" t="str">
        <f>"ESHGHI                   NAGHMEH                  "</f>
        <v xml:space="preserve">ESHGHI                   NAGHMEH                  </v>
      </c>
      <c r="E2349" t="str">
        <f t="shared" si="92"/>
        <v xml:space="preserve">LITTLE ROCK               </v>
      </c>
      <c r="F2349" t="str">
        <f t="shared" si="90"/>
        <v>AR</v>
      </c>
    </row>
    <row r="2350" spans="1:6" x14ac:dyDescent="0.25">
      <c r="A2350" t="str">
        <f>"200027564"</f>
        <v>200027564</v>
      </c>
      <c r="B2350" t="str">
        <f>"1558817205"</f>
        <v>1558817205</v>
      </c>
      <c r="C2350" t="str">
        <f>"2080P0204X"</f>
        <v>2080P0204X</v>
      </c>
      <c r="D2350" t="str">
        <f>"ALHADDAD                 ZINA                     "</f>
        <v xml:space="preserve">ALHADDAD                 ZINA                     </v>
      </c>
      <c r="E2350" t="str">
        <f t="shared" si="92"/>
        <v xml:space="preserve">LITTLE ROCK               </v>
      </c>
      <c r="F2350" t="str">
        <f t="shared" si="90"/>
        <v>AR</v>
      </c>
    </row>
    <row r="2351" spans="1:6" x14ac:dyDescent="0.25">
      <c r="A2351" t="str">
        <f>"200027568"</f>
        <v>200027568</v>
      </c>
      <c r="B2351" t="str">
        <f>"1891427779"</f>
        <v>1891427779</v>
      </c>
      <c r="C2351" t="str">
        <f>"2085R0202X"</f>
        <v>2085R0202X</v>
      </c>
      <c r="D2351" t="str">
        <f>"KRISHNAN                 VENKATRAM                "</f>
        <v xml:space="preserve">KRISHNAN                 VENKATRAM                </v>
      </c>
      <c r="E2351" t="str">
        <f t="shared" si="92"/>
        <v xml:space="preserve">LITTLE ROCK               </v>
      </c>
      <c r="F2351" t="str">
        <f t="shared" si="90"/>
        <v>AR</v>
      </c>
    </row>
    <row r="2352" spans="1:6" x14ac:dyDescent="0.25">
      <c r="A2352" t="str">
        <f>"200027574"</f>
        <v>200027574</v>
      </c>
      <c r="B2352" t="str">
        <f>"1487744983"</f>
        <v>1487744983</v>
      </c>
      <c r="C2352" t="str">
        <f>"2080P0202X"</f>
        <v>2080P0202X</v>
      </c>
      <c r="D2352" t="str">
        <f>"BEST                     THOMAS                   "</f>
        <v xml:space="preserve">BEST                     THOMAS                   </v>
      </c>
      <c r="E2352" t="str">
        <f t="shared" si="92"/>
        <v xml:space="preserve">LITTLE ROCK               </v>
      </c>
      <c r="F2352" t="str">
        <f t="shared" si="90"/>
        <v>AR</v>
      </c>
    </row>
    <row r="2353" spans="1:6" x14ac:dyDescent="0.25">
      <c r="A2353" t="str">
        <f>"200027612"</f>
        <v>200027612</v>
      </c>
      <c r="B2353" t="str">
        <f>"1275981987"</f>
        <v>1275981987</v>
      </c>
      <c r="C2353" t="str">
        <f>"2086S0129X"</f>
        <v>2086S0129X</v>
      </c>
      <c r="D2353" t="str">
        <f>"NEGMADJANOV              ULUGBEK                  "</f>
        <v xml:space="preserve">NEGMADJANOV              ULUGBEK                  </v>
      </c>
      <c r="E2353" t="str">
        <f t="shared" si="92"/>
        <v xml:space="preserve">LITTLE ROCK               </v>
      </c>
      <c r="F2353" t="str">
        <f t="shared" si="90"/>
        <v>AR</v>
      </c>
    </row>
    <row r="2354" spans="1:6" x14ac:dyDescent="0.25">
      <c r="A2354" t="str">
        <f>"200027625"</f>
        <v>200027625</v>
      </c>
      <c r="B2354" t="str">
        <f>"1568753903"</f>
        <v>1568753903</v>
      </c>
      <c r="C2354" t="str">
        <f>"208000000X"</f>
        <v>208000000X</v>
      </c>
      <c r="D2354" t="str">
        <f>"WASHER                   LYDIA                    "</f>
        <v xml:space="preserve">WASHER                   LYDIA                    </v>
      </c>
      <c r="E2354" t="str">
        <f>"SPRINGDALE                "</f>
        <v xml:space="preserve">SPRINGDALE                </v>
      </c>
      <c r="F2354" t="str">
        <f t="shared" si="90"/>
        <v>AR</v>
      </c>
    </row>
    <row r="2355" spans="1:6" x14ac:dyDescent="0.25">
      <c r="A2355" t="str">
        <f>"200027657"</f>
        <v>200027657</v>
      </c>
      <c r="B2355" t="str">
        <f>"1063498699"</f>
        <v>1063498699</v>
      </c>
      <c r="C2355" t="str">
        <f>"207L00000X"</f>
        <v>207L00000X</v>
      </c>
      <c r="D2355" t="str">
        <f>"CRONE                    ROBERT       A           "</f>
        <v xml:space="preserve">CRONE                    ROBERT       A           </v>
      </c>
      <c r="E2355" t="str">
        <f>"LITTLE ROCK               "</f>
        <v xml:space="preserve">LITTLE ROCK               </v>
      </c>
      <c r="F2355" t="str">
        <f t="shared" si="90"/>
        <v>AR</v>
      </c>
    </row>
    <row r="2356" spans="1:6" x14ac:dyDescent="0.25">
      <c r="A2356" t="str">
        <f>"200027676"</f>
        <v>200027676</v>
      </c>
      <c r="B2356" t="str">
        <f>"1528528809"</f>
        <v>1528528809</v>
      </c>
      <c r="C2356" t="str">
        <f>"207Q00000X"</f>
        <v>207Q00000X</v>
      </c>
      <c r="D2356" t="str">
        <f>"SAYANI                   SANIA                    "</f>
        <v xml:space="preserve">SAYANI                   SANIA                    </v>
      </c>
      <c r="E2356" t="str">
        <f>"HELENA                    "</f>
        <v xml:space="preserve">HELENA                    </v>
      </c>
      <c r="F2356" t="str">
        <f t="shared" si="90"/>
        <v>AR</v>
      </c>
    </row>
    <row r="2357" spans="1:6" x14ac:dyDescent="0.25">
      <c r="A2357" t="str">
        <f>"200027724"</f>
        <v>200027724</v>
      </c>
      <c r="B2357" t="str">
        <f>"1508198201"</f>
        <v>1508198201</v>
      </c>
      <c r="C2357" t="str">
        <f>"208D00000X"</f>
        <v>208D00000X</v>
      </c>
      <c r="D2357" t="str">
        <f>"MASON                    ROGER                    "</f>
        <v xml:space="preserve">MASON                    ROGER                    </v>
      </c>
      <c r="E2357" t="str">
        <f>"HELENA                    "</f>
        <v xml:space="preserve">HELENA                    </v>
      </c>
      <c r="F2357" t="str">
        <f t="shared" ref="F2357:F2407" si="93">"AR"</f>
        <v>AR</v>
      </c>
    </row>
    <row r="2358" spans="1:6" x14ac:dyDescent="0.25">
      <c r="A2358" t="str">
        <f>"200027751"</f>
        <v>200027751</v>
      </c>
      <c r="B2358" t="str">
        <f>"1770531766"</f>
        <v>1770531766</v>
      </c>
      <c r="C2358" t="str">
        <f>"207Q00000X"</f>
        <v>207Q00000X</v>
      </c>
      <c r="D2358" t="str">
        <f>"FLIPPIN                  DANE                     "</f>
        <v xml:space="preserve">FLIPPIN                  DANE                     </v>
      </c>
      <c r="E2358" t="str">
        <f>"HELENA                    "</f>
        <v xml:space="preserve">HELENA                    </v>
      </c>
      <c r="F2358" t="str">
        <f t="shared" si="93"/>
        <v>AR</v>
      </c>
    </row>
    <row r="2359" spans="1:6" x14ac:dyDescent="0.25">
      <c r="A2359" t="str">
        <f>"200027752"</f>
        <v>200027752</v>
      </c>
      <c r="B2359" t="str">
        <f>"1033370499"</f>
        <v>1033370499</v>
      </c>
      <c r="C2359" t="str">
        <f>"2080P0206X"</f>
        <v>2080P0206X</v>
      </c>
      <c r="D2359" t="str">
        <f>"DOTSON                   JENNIFER                 "</f>
        <v xml:space="preserve">DOTSON                   JENNIFER                 </v>
      </c>
      <c r="E2359" t="str">
        <f>"LITTLE ROCK               "</f>
        <v xml:space="preserve">LITTLE ROCK               </v>
      </c>
      <c r="F2359" t="str">
        <f t="shared" si="93"/>
        <v>AR</v>
      </c>
    </row>
    <row r="2360" spans="1:6" x14ac:dyDescent="0.25">
      <c r="A2360" t="str">
        <f>"200027770"</f>
        <v>200027770</v>
      </c>
      <c r="B2360" t="str">
        <f>"1114458585"</f>
        <v>1114458585</v>
      </c>
      <c r="C2360" t="str">
        <f>"207L00000X"</f>
        <v>207L00000X</v>
      </c>
      <c r="D2360" t="str">
        <f>"BINGHAM                  DANIEL       M           "</f>
        <v xml:space="preserve">BINGHAM                  DANIEL       M           </v>
      </c>
      <c r="E2360" t="str">
        <f>"LITTLE ROCK               "</f>
        <v xml:space="preserve">LITTLE ROCK               </v>
      </c>
      <c r="F2360" t="str">
        <f t="shared" si="93"/>
        <v>AR</v>
      </c>
    </row>
    <row r="2361" spans="1:6" x14ac:dyDescent="0.25">
      <c r="A2361" t="str">
        <f>"200027792"</f>
        <v>200027792</v>
      </c>
      <c r="B2361" t="str">
        <f>"1184714743"</f>
        <v>1184714743</v>
      </c>
      <c r="C2361" t="str">
        <f>"2080P0203X"</f>
        <v>2080P0203X</v>
      </c>
      <c r="D2361" t="str">
        <f>"PRODHAN                  PARTHAK                  "</f>
        <v xml:space="preserve">PRODHAN                  PARTHAK                  </v>
      </c>
      <c r="E2361" t="str">
        <f>"LITTLE ROCK               "</f>
        <v xml:space="preserve">LITTLE ROCK               </v>
      </c>
      <c r="F2361" t="str">
        <f t="shared" si="93"/>
        <v>AR</v>
      </c>
    </row>
    <row r="2362" spans="1:6" x14ac:dyDescent="0.25">
      <c r="A2362" t="str">
        <f>"200027843"</f>
        <v>200027843</v>
      </c>
      <c r="B2362" t="str">
        <f>"1033640693"</f>
        <v>1033640693</v>
      </c>
      <c r="C2362" t="str">
        <f>"208600000X"</f>
        <v>208600000X</v>
      </c>
      <c r="D2362" t="str">
        <f>"GREER                    JORDAN       W           "</f>
        <v xml:space="preserve">GREER                    JORDAN       W           </v>
      </c>
      <c r="E2362" t="str">
        <f>"LITTLE ROCK               "</f>
        <v xml:space="preserve">LITTLE ROCK               </v>
      </c>
      <c r="F2362" t="str">
        <f t="shared" si="93"/>
        <v>AR</v>
      </c>
    </row>
    <row r="2363" spans="1:6" x14ac:dyDescent="0.25">
      <c r="A2363" t="str">
        <f>"200027846"</f>
        <v>200027846</v>
      </c>
      <c r="B2363" t="str">
        <f>"1417376203"</f>
        <v>1417376203</v>
      </c>
      <c r="C2363" t="str">
        <f>"207P00000X"</f>
        <v>207P00000X</v>
      </c>
      <c r="D2363" t="str">
        <f>"LEWIS                    ZACHARY      B           "</f>
        <v xml:space="preserve">LEWIS                    ZACHARY      B           </v>
      </c>
      <c r="E2363" t="str">
        <f>"LITTLE ROCK               "</f>
        <v xml:space="preserve">LITTLE ROCK               </v>
      </c>
      <c r="F2363" t="str">
        <f t="shared" si="93"/>
        <v>AR</v>
      </c>
    </row>
    <row r="2364" spans="1:6" x14ac:dyDescent="0.25">
      <c r="A2364" t="str">
        <f>"200027901"</f>
        <v>200027901</v>
      </c>
      <c r="B2364" t="str">
        <f>"1972308906"</f>
        <v>1972308906</v>
      </c>
      <c r="C2364" t="str">
        <f>"363AS0400X"</f>
        <v>363AS0400X</v>
      </c>
      <c r="D2364" t="str">
        <f>"ALMALEM                  YANAY                    "</f>
        <v xml:space="preserve">ALMALEM                  YANAY                    </v>
      </c>
      <c r="E2364" t="str">
        <f>"WEST MEMPHIS              "</f>
        <v xml:space="preserve">WEST MEMPHIS              </v>
      </c>
      <c r="F2364" t="str">
        <f t="shared" si="93"/>
        <v>AR</v>
      </c>
    </row>
    <row r="2365" spans="1:6" x14ac:dyDescent="0.25">
      <c r="A2365" t="str">
        <f>"200027938"</f>
        <v>200027938</v>
      </c>
      <c r="B2365" t="str">
        <f>"1871073874"</f>
        <v>1871073874</v>
      </c>
      <c r="C2365" t="str">
        <f>"2085R0202X"</f>
        <v>2085R0202X</v>
      </c>
      <c r="D2365" t="str">
        <f>"SHAH                     SUMIT                    "</f>
        <v xml:space="preserve">SHAH                     SUMIT                    </v>
      </c>
      <c r="E2365" t="str">
        <f>"LITTLE ROCK               "</f>
        <v xml:space="preserve">LITTLE ROCK               </v>
      </c>
      <c r="F2365" t="str">
        <f t="shared" si="93"/>
        <v>AR</v>
      </c>
    </row>
    <row r="2366" spans="1:6" x14ac:dyDescent="0.25">
      <c r="A2366" t="str">
        <f>"200028010"</f>
        <v>200028010</v>
      </c>
      <c r="B2366" t="str">
        <f>"1891324216"</f>
        <v>1891324216</v>
      </c>
      <c r="C2366" t="str">
        <f>"363LA2100X"</f>
        <v>363LA2100X</v>
      </c>
      <c r="D2366" t="str">
        <f>"GARRETT                  TAIRA                    "</f>
        <v xml:space="preserve">GARRETT                  TAIRA                    </v>
      </c>
      <c r="E2366" t="str">
        <f>"SPRINGDALE                "</f>
        <v xml:space="preserve">SPRINGDALE                </v>
      </c>
      <c r="F2366" t="str">
        <f t="shared" si="93"/>
        <v>AR</v>
      </c>
    </row>
    <row r="2367" spans="1:6" x14ac:dyDescent="0.25">
      <c r="A2367" t="str">
        <f>"200028045"</f>
        <v>200028045</v>
      </c>
      <c r="B2367" t="str">
        <f>"1770674640"</f>
        <v>1770674640</v>
      </c>
      <c r="C2367" t="str">
        <f>"2085P0229X"</f>
        <v>2085P0229X</v>
      </c>
      <c r="D2367" t="str">
        <f>"MOORE                    MARY         B           "</f>
        <v xml:space="preserve">MOORE                    MARY         B           </v>
      </c>
      <c r="E2367" t="str">
        <f>"LITTLE ROCK               "</f>
        <v xml:space="preserve">LITTLE ROCK               </v>
      </c>
      <c r="F2367" t="str">
        <f t="shared" si="93"/>
        <v>AR</v>
      </c>
    </row>
    <row r="2368" spans="1:6" x14ac:dyDescent="0.25">
      <c r="A2368" t="str">
        <f>"200028052"</f>
        <v>200028052</v>
      </c>
      <c r="B2368" t="str">
        <f>"1427011030"</f>
        <v>1427011030</v>
      </c>
      <c r="C2368" t="str">
        <f>"208000000X"</f>
        <v>208000000X</v>
      </c>
      <c r="D2368" t="str">
        <f>"BROWN                    CARRIE                   "</f>
        <v xml:space="preserve">BROWN                    CARRIE                   </v>
      </c>
      <c r="E2368" t="str">
        <f>"LITTLE ROCK               "</f>
        <v xml:space="preserve">LITTLE ROCK               </v>
      </c>
      <c r="F2368" t="str">
        <f t="shared" si="93"/>
        <v>AR</v>
      </c>
    </row>
    <row r="2369" spans="1:6" x14ac:dyDescent="0.25">
      <c r="A2369" t="str">
        <f>"200028082"</f>
        <v>200028082</v>
      </c>
      <c r="B2369" t="str">
        <f>"1013958909"</f>
        <v>1013958909</v>
      </c>
      <c r="C2369" t="str">
        <f>"207R00000X"</f>
        <v>207R00000X</v>
      </c>
      <c r="D2369" t="str">
        <f>"HASHMI                   SHAKEB                   "</f>
        <v xml:space="preserve">HASHMI                   SHAKEB                   </v>
      </c>
      <c r="E2369" t="str">
        <f>"HELENA                    "</f>
        <v xml:space="preserve">HELENA                    </v>
      </c>
      <c r="F2369" t="str">
        <f t="shared" si="93"/>
        <v>AR</v>
      </c>
    </row>
    <row r="2370" spans="1:6" x14ac:dyDescent="0.25">
      <c r="A2370" t="str">
        <f>"200028194"</f>
        <v>200028194</v>
      </c>
      <c r="B2370" t="str">
        <f>"1851094858"</f>
        <v>1851094858</v>
      </c>
      <c r="C2370" t="str">
        <f>"207Q00000X"</f>
        <v>207Q00000X</v>
      </c>
      <c r="D2370" t="str">
        <f>"ATASSI                   OMAR                     "</f>
        <v xml:space="preserve">ATASSI                   OMAR                     </v>
      </c>
      <c r="E2370" t="str">
        <f>"LAKE VILLAGE              "</f>
        <v xml:space="preserve">LAKE VILLAGE              </v>
      </c>
      <c r="F2370" t="str">
        <f t="shared" si="93"/>
        <v>AR</v>
      </c>
    </row>
    <row r="2371" spans="1:6" x14ac:dyDescent="0.25">
      <c r="A2371" t="str">
        <f>"200028282"</f>
        <v>200028282</v>
      </c>
      <c r="B2371" t="str">
        <f>"1649700337"</f>
        <v>1649700337</v>
      </c>
      <c r="C2371" t="str">
        <f>"207Q00000X"</f>
        <v>207Q00000X</v>
      </c>
      <c r="D2371" t="str">
        <f>"RIVERA CRUZ              RAQUEL                   "</f>
        <v xml:space="preserve">RIVERA CRUZ              RAQUEL                   </v>
      </c>
      <c r="E2371" t="str">
        <f>"HELENA                    "</f>
        <v xml:space="preserve">HELENA                    </v>
      </c>
      <c r="F2371" t="str">
        <f t="shared" si="93"/>
        <v>AR</v>
      </c>
    </row>
    <row r="2372" spans="1:6" x14ac:dyDescent="0.25">
      <c r="A2372" t="str">
        <f>"200028283"</f>
        <v>200028283</v>
      </c>
      <c r="B2372" t="str">
        <f>"1982101952"</f>
        <v>1982101952</v>
      </c>
      <c r="C2372" t="str">
        <f>"2080P0204X"</f>
        <v>2080P0204X</v>
      </c>
      <c r="D2372" t="str">
        <f>"HOWARD                   LAUREN                   "</f>
        <v xml:space="preserve">HOWARD                   LAUREN                   </v>
      </c>
      <c r="E2372" t="str">
        <f>"LITTLE ROCK               "</f>
        <v xml:space="preserve">LITTLE ROCK               </v>
      </c>
      <c r="F2372" t="str">
        <f t="shared" si="93"/>
        <v>AR</v>
      </c>
    </row>
    <row r="2373" spans="1:6" x14ac:dyDescent="0.25">
      <c r="A2373" t="str">
        <f>"200028416"</f>
        <v>200028416</v>
      </c>
      <c r="B2373" t="str">
        <f>"1861721839"</f>
        <v>1861721839</v>
      </c>
      <c r="C2373" t="str">
        <f>"261QM1300X"</f>
        <v>261QM1300X</v>
      </c>
      <c r="D2373" t="str">
        <f>"NEA BAPTIST CLINIC CANCER CENTER                  "</f>
        <v xml:space="preserve">NEA BAPTIST CLINIC CANCER CENTER                  </v>
      </c>
      <c r="E2373" t="str">
        <f>"JONESBORO                 "</f>
        <v xml:space="preserve">JONESBORO                 </v>
      </c>
      <c r="F2373" t="str">
        <f t="shared" si="93"/>
        <v>AR</v>
      </c>
    </row>
    <row r="2374" spans="1:6" x14ac:dyDescent="0.25">
      <c r="A2374" t="str">
        <f>"200028432"</f>
        <v>200028432</v>
      </c>
      <c r="B2374" t="str">
        <f>"1861721839"</f>
        <v>1861721839</v>
      </c>
      <c r="C2374" t="str">
        <f>"261QM1300X"</f>
        <v>261QM1300X</v>
      </c>
      <c r="D2374" t="str">
        <f>"NEA BAPTIST CLINIC WINDOVER                       "</f>
        <v xml:space="preserve">NEA BAPTIST CLINIC WINDOVER                       </v>
      </c>
      <c r="E2374" t="str">
        <f>"JONESBORO                 "</f>
        <v xml:space="preserve">JONESBORO                 </v>
      </c>
      <c r="F2374" t="str">
        <f t="shared" si="93"/>
        <v>AR</v>
      </c>
    </row>
    <row r="2375" spans="1:6" x14ac:dyDescent="0.25">
      <c r="A2375" t="str">
        <f>"200028454"</f>
        <v>200028454</v>
      </c>
      <c r="B2375" t="str">
        <f>"1114131083"</f>
        <v>1114131083</v>
      </c>
      <c r="C2375" t="str">
        <f>"2080P0204X"</f>
        <v>2080P0204X</v>
      </c>
      <c r="D2375" t="str">
        <f>"WESTON                   SARAH                    "</f>
        <v xml:space="preserve">WESTON                   SARAH                    </v>
      </c>
      <c r="E2375" t="str">
        <f>"SPRINGDALE                "</f>
        <v xml:space="preserve">SPRINGDALE                </v>
      </c>
      <c r="F2375" t="str">
        <f t="shared" si="93"/>
        <v>AR</v>
      </c>
    </row>
    <row r="2376" spans="1:6" x14ac:dyDescent="0.25">
      <c r="A2376" t="str">
        <f>"200028471"</f>
        <v>200028471</v>
      </c>
      <c r="B2376" t="str">
        <f>"1972921153"</f>
        <v>1972921153</v>
      </c>
      <c r="C2376" t="str">
        <f>"208000000X"</f>
        <v>208000000X</v>
      </c>
      <c r="D2376" t="str">
        <f>"LONG                     KRISTEN      E           "</f>
        <v xml:space="preserve">LONG                     KRISTEN      E           </v>
      </c>
      <c r="E2376" t="str">
        <f>"LITTLE ROCK               "</f>
        <v xml:space="preserve">LITTLE ROCK               </v>
      </c>
      <c r="F2376" t="str">
        <f t="shared" si="93"/>
        <v>AR</v>
      </c>
    </row>
    <row r="2377" spans="1:6" x14ac:dyDescent="0.25">
      <c r="A2377" t="str">
        <f>"200028479"</f>
        <v>200028479</v>
      </c>
      <c r="B2377" t="str">
        <f>"1861721839"</f>
        <v>1861721839</v>
      </c>
      <c r="C2377" t="str">
        <f>"261QM1300X"</f>
        <v>261QM1300X</v>
      </c>
      <c r="D2377" t="str">
        <f>"NEA BAPTIST CLINIC WOODSPRINGS                    "</f>
        <v xml:space="preserve">NEA BAPTIST CLINIC WOODSPRINGS                    </v>
      </c>
      <c r="E2377" t="str">
        <f>"JONESBORO                 "</f>
        <v xml:space="preserve">JONESBORO                 </v>
      </c>
      <c r="F2377" t="str">
        <f t="shared" si="93"/>
        <v>AR</v>
      </c>
    </row>
    <row r="2378" spans="1:6" x14ac:dyDescent="0.25">
      <c r="A2378" t="str">
        <f>"200028483"</f>
        <v>200028483</v>
      </c>
      <c r="B2378" t="str">
        <f>"1801153358"</f>
        <v>1801153358</v>
      </c>
      <c r="C2378" t="str">
        <f>"2080P0203X"</f>
        <v>2080P0203X</v>
      </c>
      <c r="D2378" t="str">
        <f>"BENNETT                  ERIN                     "</f>
        <v xml:space="preserve">BENNETT                  ERIN                     </v>
      </c>
      <c r="E2378" t="str">
        <f>"LITTLE ROCK               "</f>
        <v xml:space="preserve">LITTLE ROCK               </v>
      </c>
      <c r="F2378" t="str">
        <f t="shared" si="93"/>
        <v>AR</v>
      </c>
    </row>
    <row r="2379" spans="1:6" x14ac:dyDescent="0.25">
      <c r="A2379" t="str">
        <f>"200028502"</f>
        <v>200028502</v>
      </c>
      <c r="B2379" t="str">
        <f>"1437798063"</f>
        <v>1437798063</v>
      </c>
      <c r="C2379" t="str">
        <f>"207LP3000X"</f>
        <v>207LP3000X</v>
      </c>
      <c r="D2379" t="str">
        <f>"GHIMIRE                  ANURANJAN                "</f>
        <v xml:space="preserve">GHIMIRE                  ANURANJAN                </v>
      </c>
      <c r="E2379" t="str">
        <f>"LITTLE ROCK               "</f>
        <v xml:space="preserve">LITTLE ROCK               </v>
      </c>
      <c r="F2379" t="str">
        <f t="shared" si="93"/>
        <v>AR</v>
      </c>
    </row>
    <row r="2380" spans="1:6" x14ac:dyDescent="0.25">
      <c r="A2380" t="str">
        <f>"200028528"</f>
        <v>200028528</v>
      </c>
      <c r="B2380" t="str">
        <f>"1265520589"</f>
        <v>1265520589</v>
      </c>
      <c r="C2380" t="str">
        <f>"207X00000X"</f>
        <v>207X00000X</v>
      </c>
      <c r="D2380" t="str">
        <f>"BLASIER                  ROBERT                   "</f>
        <v xml:space="preserve">BLASIER                  ROBERT                   </v>
      </c>
      <c r="E2380" t="str">
        <f>"LITTLE ROCK               "</f>
        <v xml:space="preserve">LITTLE ROCK               </v>
      </c>
      <c r="F2380" t="str">
        <f t="shared" si="93"/>
        <v>AR</v>
      </c>
    </row>
    <row r="2381" spans="1:6" x14ac:dyDescent="0.25">
      <c r="A2381" t="str">
        <f>"200028553"</f>
        <v>200028553</v>
      </c>
      <c r="B2381" t="str">
        <f>"1861721839"</f>
        <v>1861721839</v>
      </c>
      <c r="C2381" t="str">
        <f>"261QM1300X"</f>
        <v>261QM1300X</v>
      </c>
      <c r="D2381" t="str">
        <f>"NEA BAPTIST CLINIC BROOKLAND                      "</f>
        <v xml:space="preserve">NEA BAPTIST CLINIC BROOKLAND                      </v>
      </c>
      <c r="E2381" t="str">
        <f>"BROOKLAND                 "</f>
        <v xml:space="preserve">BROOKLAND                 </v>
      </c>
      <c r="F2381" t="str">
        <f t="shared" si="93"/>
        <v>AR</v>
      </c>
    </row>
    <row r="2382" spans="1:6" x14ac:dyDescent="0.25">
      <c r="A2382" t="str">
        <f>"200028562"</f>
        <v>200028562</v>
      </c>
      <c r="B2382" t="str">
        <f>"1518499888"</f>
        <v>1518499888</v>
      </c>
      <c r="C2382" t="str">
        <f>"208000000X"</f>
        <v>208000000X</v>
      </c>
      <c r="D2382" t="str">
        <f>"AYERS                    PATRICK                  "</f>
        <v xml:space="preserve">AYERS                    PATRICK                  </v>
      </c>
      <c r="E2382" t="str">
        <f>"LITTLE ROCK               "</f>
        <v xml:space="preserve">LITTLE ROCK               </v>
      </c>
      <c r="F2382" t="str">
        <f t="shared" si="93"/>
        <v>AR</v>
      </c>
    </row>
    <row r="2383" spans="1:6" x14ac:dyDescent="0.25">
      <c r="A2383" t="str">
        <f>"200028570"</f>
        <v>200028570</v>
      </c>
      <c r="B2383" t="str">
        <f>"1578242285"</f>
        <v>1578242285</v>
      </c>
      <c r="C2383" t="str">
        <f>"363LP0200X"</f>
        <v>363LP0200X</v>
      </c>
      <c r="D2383" t="str">
        <f>"BEACH                    TORI                     "</f>
        <v xml:space="preserve">BEACH                    TORI                     </v>
      </c>
      <c r="E2383" t="str">
        <f>"LITTLE ROCK               "</f>
        <v xml:space="preserve">LITTLE ROCK               </v>
      </c>
      <c r="F2383" t="str">
        <f t="shared" si="93"/>
        <v>AR</v>
      </c>
    </row>
    <row r="2384" spans="1:6" x14ac:dyDescent="0.25">
      <c r="A2384" t="str">
        <f>"200028584"</f>
        <v>200028584</v>
      </c>
      <c r="B2384" t="str">
        <f>"1467192039"</f>
        <v>1467192039</v>
      </c>
      <c r="C2384" t="str">
        <f>"207Q00000X"</f>
        <v>207Q00000X</v>
      </c>
      <c r="D2384" t="str">
        <f>"LONGE                    OMOLOLU                  "</f>
        <v xml:space="preserve">LONGE                    OMOLOLU                  </v>
      </c>
      <c r="E2384" t="str">
        <f>"LAKE VILLAGE              "</f>
        <v xml:space="preserve">LAKE VILLAGE              </v>
      </c>
      <c r="F2384" t="str">
        <f t="shared" si="93"/>
        <v>AR</v>
      </c>
    </row>
    <row r="2385" spans="1:6" x14ac:dyDescent="0.25">
      <c r="A2385" t="str">
        <f>"200028609"</f>
        <v>200028609</v>
      </c>
      <c r="B2385" t="str">
        <f>"1861721839"</f>
        <v>1861721839</v>
      </c>
      <c r="C2385" t="str">
        <f>"261QM1300X"</f>
        <v>261QM1300X</v>
      </c>
      <c r="D2385" t="str">
        <f>"NEA BAPTIST CLINIC TRUMANN                        "</f>
        <v xml:space="preserve">NEA BAPTIST CLINIC TRUMANN                        </v>
      </c>
      <c r="E2385" t="str">
        <f>"TRUMANN                   "</f>
        <v xml:space="preserve">TRUMANN                   </v>
      </c>
      <c r="F2385" t="str">
        <f t="shared" si="93"/>
        <v>AR</v>
      </c>
    </row>
    <row r="2386" spans="1:6" x14ac:dyDescent="0.25">
      <c r="A2386" t="str">
        <f>"200028618"</f>
        <v>200028618</v>
      </c>
      <c r="B2386" t="str">
        <f>"1881948529"</f>
        <v>1881948529</v>
      </c>
      <c r="C2386" t="str">
        <f>"363LP0200X"</f>
        <v>363LP0200X</v>
      </c>
      <c r="D2386" t="str">
        <f>"MILLS                    PEYTON       E           "</f>
        <v xml:space="preserve">MILLS                    PEYTON       E           </v>
      </c>
      <c r="E2386" t="str">
        <f>"LITTLE ROCK               "</f>
        <v xml:space="preserve">LITTLE ROCK               </v>
      </c>
      <c r="F2386" t="str">
        <f t="shared" si="93"/>
        <v>AR</v>
      </c>
    </row>
    <row r="2387" spans="1:6" x14ac:dyDescent="0.25">
      <c r="A2387" t="str">
        <f>"200028643"</f>
        <v>200028643</v>
      </c>
      <c r="B2387" t="str">
        <f>"1861721839"</f>
        <v>1861721839</v>
      </c>
      <c r="C2387" t="str">
        <f>"261QM1300X"</f>
        <v>261QM1300X</v>
      </c>
      <c r="D2387" t="str">
        <f>"NEA BAPTIST CLINIC MEDICAL RESERVES PAIN MGMT     "</f>
        <v xml:space="preserve">NEA BAPTIST CLINIC MEDICAL RESERVES PAIN MGMT     </v>
      </c>
      <c r="E2387" t="str">
        <f>"JONESBORO                 "</f>
        <v xml:space="preserve">JONESBORO                 </v>
      </c>
      <c r="F2387" t="str">
        <f t="shared" si="93"/>
        <v>AR</v>
      </c>
    </row>
    <row r="2388" spans="1:6" x14ac:dyDescent="0.25">
      <c r="A2388" t="str">
        <f>"200028645"</f>
        <v>200028645</v>
      </c>
      <c r="B2388" t="str">
        <f>"1861721839"</f>
        <v>1861721839</v>
      </c>
      <c r="C2388" t="str">
        <f>"261QM1300X"</f>
        <v>261QM1300X</v>
      </c>
      <c r="D2388" t="str">
        <f>"NEA BAPTIST CLINIC NEWPORT                        "</f>
        <v xml:space="preserve">NEA BAPTIST CLINIC NEWPORT                        </v>
      </c>
      <c r="E2388" t="str">
        <f>"NEWPORT                   "</f>
        <v xml:space="preserve">NEWPORT                   </v>
      </c>
      <c r="F2388" t="str">
        <f t="shared" si="93"/>
        <v>AR</v>
      </c>
    </row>
    <row r="2389" spans="1:6" x14ac:dyDescent="0.25">
      <c r="A2389" t="str">
        <f>"200028660"</f>
        <v>200028660</v>
      </c>
      <c r="B2389" t="str">
        <f>"1275271744"</f>
        <v>1275271744</v>
      </c>
      <c r="C2389" t="str">
        <f>"207Q00000X"</f>
        <v>207Q00000X</v>
      </c>
      <c r="D2389" t="str">
        <f>"MONROE                   CHRISTINA                "</f>
        <v xml:space="preserve">MONROE                   CHRISTINA                </v>
      </c>
      <c r="E2389" t="str">
        <f>"LAKE VILLAGE              "</f>
        <v xml:space="preserve">LAKE VILLAGE              </v>
      </c>
      <c r="F2389" t="str">
        <f t="shared" si="93"/>
        <v>AR</v>
      </c>
    </row>
    <row r="2390" spans="1:6" x14ac:dyDescent="0.25">
      <c r="A2390" t="str">
        <f>"200028670"</f>
        <v>200028670</v>
      </c>
      <c r="B2390" t="str">
        <f>"1396448783"</f>
        <v>1396448783</v>
      </c>
      <c r="C2390" t="str">
        <f>"207R00000X"</f>
        <v>207R00000X</v>
      </c>
      <c r="D2390" t="str">
        <f>"RAMOS                    ALEX                     "</f>
        <v xml:space="preserve">RAMOS                    ALEX                     </v>
      </c>
      <c r="E2390" t="str">
        <f>"LAKE VILLAGE              "</f>
        <v xml:space="preserve">LAKE VILLAGE              </v>
      </c>
      <c r="F2390" t="str">
        <f t="shared" si="93"/>
        <v>AR</v>
      </c>
    </row>
    <row r="2391" spans="1:6" x14ac:dyDescent="0.25">
      <c r="A2391" t="str">
        <f>"200028725"</f>
        <v>200028725</v>
      </c>
      <c r="B2391" t="str">
        <f>"1134824659"</f>
        <v>1134824659</v>
      </c>
      <c r="C2391" t="str">
        <f>"207Q00000X"</f>
        <v>207Q00000X</v>
      </c>
      <c r="D2391" t="str">
        <f>"ROGERS                   SYLVETTE                 "</f>
        <v xml:space="preserve">ROGERS                   SYLVETTE                 </v>
      </c>
      <c r="E2391" t="str">
        <f>"LAKE VILLAGE              "</f>
        <v xml:space="preserve">LAKE VILLAGE              </v>
      </c>
      <c r="F2391" t="str">
        <f t="shared" si="93"/>
        <v>AR</v>
      </c>
    </row>
    <row r="2392" spans="1:6" x14ac:dyDescent="0.25">
      <c r="A2392" t="str">
        <f>"200028788"</f>
        <v>200028788</v>
      </c>
      <c r="B2392" t="str">
        <f>"1639290604"</f>
        <v>1639290604</v>
      </c>
      <c r="C2392" t="str">
        <f>"207YP0228X"</f>
        <v>207YP0228X</v>
      </c>
      <c r="D2392" t="str">
        <f>"NOLDER                   ABBY                     "</f>
        <v xml:space="preserve">NOLDER                   ABBY                     </v>
      </c>
      <c r="E2392" t="str">
        <f>"LITTLE ROCK               "</f>
        <v xml:space="preserve">LITTLE ROCK               </v>
      </c>
      <c r="F2392" t="str">
        <f t="shared" si="93"/>
        <v>AR</v>
      </c>
    </row>
    <row r="2393" spans="1:6" x14ac:dyDescent="0.25">
      <c r="A2393" t="str">
        <f>"200028812"</f>
        <v>200028812</v>
      </c>
      <c r="B2393" t="str">
        <f>"1861721839"</f>
        <v>1861721839</v>
      </c>
      <c r="C2393" t="str">
        <f>"261QM1300X"</f>
        <v>261QM1300X</v>
      </c>
      <c r="D2393" t="str">
        <f>"NEA BAPTIST CLINIC RED WOLF                       "</f>
        <v xml:space="preserve">NEA BAPTIST CLINIC RED WOLF                       </v>
      </c>
      <c r="E2393" t="str">
        <f>"JONESBORO                 "</f>
        <v xml:space="preserve">JONESBORO                 </v>
      </c>
      <c r="F2393" t="str">
        <f t="shared" si="93"/>
        <v>AR</v>
      </c>
    </row>
    <row r="2394" spans="1:6" x14ac:dyDescent="0.25">
      <c r="A2394" t="str">
        <f>"200028844"</f>
        <v>200028844</v>
      </c>
      <c r="B2394" t="str">
        <f>"1861721839"</f>
        <v>1861721839</v>
      </c>
      <c r="C2394" t="str">
        <f>"261QM1300X"</f>
        <v>261QM1300X</v>
      </c>
      <c r="D2394" t="str">
        <f>"NEA BAPTIST CLINIC HOSPITALIST GROOUP             "</f>
        <v xml:space="preserve">NEA BAPTIST CLINIC HOSPITALIST GROOUP             </v>
      </c>
      <c r="E2394" t="str">
        <f>"JONESBORO                 "</f>
        <v xml:space="preserve">JONESBORO                 </v>
      </c>
      <c r="F2394" t="str">
        <f t="shared" si="93"/>
        <v>AR</v>
      </c>
    </row>
    <row r="2395" spans="1:6" x14ac:dyDescent="0.25">
      <c r="A2395" t="str">
        <f>"200028855"</f>
        <v>200028855</v>
      </c>
      <c r="B2395" t="str">
        <f>"1861721839"</f>
        <v>1861721839</v>
      </c>
      <c r="C2395" t="str">
        <f>"261QM1300X"</f>
        <v>261QM1300X</v>
      </c>
      <c r="D2395" t="str">
        <f>"NEA BAPTIST CLINIC ENTERPRISE                     "</f>
        <v xml:space="preserve">NEA BAPTIST CLINIC ENTERPRISE                     </v>
      </c>
      <c r="E2395" t="str">
        <f>"JONESBORO                 "</f>
        <v xml:space="preserve">JONESBORO                 </v>
      </c>
      <c r="F2395" t="str">
        <f t="shared" si="93"/>
        <v>AR</v>
      </c>
    </row>
    <row r="2396" spans="1:6" x14ac:dyDescent="0.25">
      <c r="A2396" t="str">
        <f>"200028906"</f>
        <v>200028906</v>
      </c>
      <c r="B2396" t="str">
        <f>"1861721839"</f>
        <v>1861721839</v>
      </c>
      <c r="C2396" t="str">
        <f>"261QM1300X"</f>
        <v>261QM1300X</v>
      </c>
      <c r="D2396" t="str">
        <f>"NEA BAPTIST CLINIC CHEROKEE VILLAGE               "</f>
        <v xml:space="preserve">NEA BAPTIST CLINIC CHEROKEE VILLAGE               </v>
      </c>
      <c r="E2396" t="str">
        <f>"CHEROKEE VILLAGE          "</f>
        <v xml:space="preserve">CHEROKEE VILLAGE          </v>
      </c>
      <c r="F2396" t="str">
        <f t="shared" si="93"/>
        <v>AR</v>
      </c>
    </row>
    <row r="2397" spans="1:6" x14ac:dyDescent="0.25">
      <c r="A2397" t="str">
        <f>"200028987"</f>
        <v>200028987</v>
      </c>
      <c r="B2397" t="str">
        <f>"1033366463"</f>
        <v>1033366463</v>
      </c>
      <c r="C2397" t="str">
        <f>"2085P0229X"</f>
        <v>2085P0229X</v>
      </c>
      <c r="D2397" t="str">
        <f>"PATEL                    MITTUN       C           "</f>
        <v xml:space="preserve">PATEL                    MITTUN       C           </v>
      </c>
      <c r="E2397" t="str">
        <f>"LITTLE ROCK               "</f>
        <v xml:space="preserve">LITTLE ROCK               </v>
      </c>
      <c r="F2397" t="str">
        <f t="shared" si="93"/>
        <v>AR</v>
      </c>
    </row>
    <row r="2398" spans="1:6" x14ac:dyDescent="0.25">
      <c r="A2398" t="str">
        <f>"200029000"</f>
        <v>200029000</v>
      </c>
      <c r="B2398" t="str">
        <f>"1861721839"</f>
        <v>1861721839</v>
      </c>
      <c r="C2398" t="str">
        <f>"261QM1300X"</f>
        <v>261QM1300X</v>
      </c>
      <c r="D2398" t="str">
        <f>"NEA BAPTIST CLINIC OSCEOLA                        "</f>
        <v xml:space="preserve">NEA BAPTIST CLINIC OSCEOLA                        </v>
      </c>
      <c r="E2398" t="str">
        <f>"OSCEOLA                   "</f>
        <v xml:space="preserve">OSCEOLA                   </v>
      </c>
      <c r="F2398" t="str">
        <f t="shared" si="93"/>
        <v>AR</v>
      </c>
    </row>
    <row r="2399" spans="1:6" x14ac:dyDescent="0.25">
      <c r="A2399" t="str">
        <f>"200029027"</f>
        <v>200029027</v>
      </c>
      <c r="B2399" t="str">
        <f>"1881160240"</f>
        <v>1881160240</v>
      </c>
      <c r="C2399" t="str">
        <f>"363A00000X"</f>
        <v>363A00000X</v>
      </c>
      <c r="D2399" t="str">
        <f>"EVERETT                  LESLEE                   "</f>
        <v xml:space="preserve">EVERETT                  LESLEE                   </v>
      </c>
      <c r="E2399" t="str">
        <f>"JONESBORO                 "</f>
        <v xml:space="preserve">JONESBORO                 </v>
      </c>
      <c r="F2399" t="str">
        <f t="shared" si="93"/>
        <v>AR</v>
      </c>
    </row>
    <row r="2400" spans="1:6" x14ac:dyDescent="0.25">
      <c r="A2400" t="str">
        <f>"200029163"</f>
        <v>200029163</v>
      </c>
      <c r="B2400" t="str">
        <f>"1285283432"</f>
        <v>1285283432</v>
      </c>
      <c r="C2400" t="str">
        <f>"261QA1903X"</f>
        <v>261QA1903X</v>
      </c>
      <c r="D2400" t="str">
        <f>"JONESBORO AMBULATORY SURGERY CENTER LLC           "</f>
        <v xml:space="preserve">JONESBORO AMBULATORY SURGERY CENTER LLC           </v>
      </c>
      <c r="E2400" t="str">
        <f>"JONESBORO                 "</f>
        <v xml:space="preserve">JONESBORO                 </v>
      </c>
      <c r="F2400" t="str">
        <f t="shared" si="93"/>
        <v>AR</v>
      </c>
    </row>
    <row r="2401" spans="1:6" x14ac:dyDescent="0.25">
      <c r="A2401" t="str">
        <f>"200029215"</f>
        <v>200029215</v>
      </c>
      <c r="B2401" t="str">
        <f>"1942977301"</f>
        <v>1942977301</v>
      </c>
      <c r="C2401" t="str">
        <f>"363LF0000X"</f>
        <v>363LF0000X</v>
      </c>
      <c r="D2401" t="str">
        <f>"CARLSON                  LEAH                     "</f>
        <v xml:space="preserve">CARLSON                  LEAH                     </v>
      </c>
      <c r="E2401" t="str">
        <f>"WEST MEMPHIS              "</f>
        <v xml:space="preserve">WEST MEMPHIS              </v>
      </c>
      <c r="F2401" t="str">
        <f t="shared" si="93"/>
        <v>AR</v>
      </c>
    </row>
    <row r="2402" spans="1:6" x14ac:dyDescent="0.25">
      <c r="A2402" t="str">
        <f>"200029231"</f>
        <v>200029231</v>
      </c>
      <c r="B2402" t="str">
        <f>"1417082710"</f>
        <v>1417082710</v>
      </c>
      <c r="C2402" t="str">
        <f>"2084P0804X"</f>
        <v>2084P0804X</v>
      </c>
      <c r="D2402" t="str">
        <f>"HIATT                    ROGER                    "</f>
        <v xml:space="preserve">HIATT                    ROGER                    </v>
      </c>
      <c r="E2402" t="str">
        <f>"WEST MEMPHIS              "</f>
        <v xml:space="preserve">WEST MEMPHIS              </v>
      </c>
      <c r="F2402" t="str">
        <f t="shared" si="93"/>
        <v>AR</v>
      </c>
    </row>
    <row r="2403" spans="1:6" x14ac:dyDescent="0.25">
      <c r="A2403" t="str">
        <f>"200029270"</f>
        <v>200029270</v>
      </c>
      <c r="B2403" t="str">
        <f>"1255727756"</f>
        <v>1255727756</v>
      </c>
      <c r="C2403" t="str">
        <f>"2080P0203X"</f>
        <v>2080P0203X</v>
      </c>
      <c r="D2403" t="str">
        <f>"EPPS                     STEPHEN                  "</f>
        <v xml:space="preserve">EPPS                     STEPHEN                  </v>
      </c>
      <c r="E2403" t="str">
        <f>"LITTLE ROCK               "</f>
        <v xml:space="preserve">LITTLE ROCK               </v>
      </c>
      <c r="F2403" t="str">
        <f t="shared" si="93"/>
        <v>AR</v>
      </c>
    </row>
    <row r="2404" spans="1:6" x14ac:dyDescent="0.25">
      <c r="A2404" t="str">
        <f>"200029278"</f>
        <v>200029278</v>
      </c>
      <c r="B2404" t="str">
        <f>"1144596412"</f>
        <v>1144596412</v>
      </c>
      <c r="C2404" t="str">
        <f>"2084N0402X"</f>
        <v>2084N0402X</v>
      </c>
      <c r="D2404" t="str">
        <f>"VEERAPANDIYAN            ARAVINDHAN               "</f>
        <v xml:space="preserve">VEERAPANDIYAN            ARAVINDHAN               </v>
      </c>
      <c r="E2404" t="str">
        <f>"LITTLE ROCK               "</f>
        <v xml:space="preserve">LITTLE ROCK               </v>
      </c>
      <c r="F2404" t="str">
        <f t="shared" si="93"/>
        <v>AR</v>
      </c>
    </row>
    <row r="2405" spans="1:6" x14ac:dyDescent="0.25">
      <c r="A2405" t="str">
        <f>"200029291"</f>
        <v>200029291</v>
      </c>
      <c r="B2405" t="str">
        <f>"1346582590"</f>
        <v>1346582590</v>
      </c>
      <c r="C2405" t="str">
        <f>"2080P0202X"</f>
        <v>2080P0202X</v>
      </c>
      <c r="D2405" t="str">
        <f>"MERVES                   SHAE         A           "</f>
        <v xml:space="preserve">MERVES                   SHAE         A           </v>
      </c>
      <c r="E2405" t="str">
        <f>"LITTLE ROCK               "</f>
        <v xml:space="preserve">LITTLE ROCK               </v>
      </c>
      <c r="F2405" t="str">
        <f t="shared" si="93"/>
        <v>AR</v>
      </c>
    </row>
    <row r="2406" spans="1:6" x14ac:dyDescent="0.25">
      <c r="A2406" t="str">
        <f>"200029295"</f>
        <v>200029295</v>
      </c>
      <c r="B2406" t="str">
        <f>"1063172013"</f>
        <v>1063172013</v>
      </c>
      <c r="C2406" t="str">
        <f>"207R00000X"</f>
        <v>207R00000X</v>
      </c>
      <c r="D2406" t="str">
        <f>"ETTIENNE                 GAIL                     "</f>
        <v xml:space="preserve">ETTIENNE                 GAIL                     </v>
      </c>
      <c r="E2406" t="str">
        <f>"LAKE VILLAGE              "</f>
        <v xml:space="preserve">LAKE VILLAGE              </v>
      </c>
      <c r="F2406" t="str">
        <f t="shared" si="93"/>
        <v>AR</v>
      </c>
    </row>
    <row r="2407" spans="1:6" x14ac:dyDescent="0.25">
      <c r="A2407" t="str">
        <f>"200029303"</f>
        <v>200029303</v>
      </c>
      <c r="B2407" t="str">
        <f>"1316527500"</f>
        <v>1316527500</v>
      </c>
      <c r="C2407" t="str">
        <f>"208000000X"</f>
        <v>208000000X</v>
      </c>
      <c r="D2407" t="str">
        <f>"BLOCK                    JOHN                     "</f>
        <v xml:space="preserve">BLOCK                    JOHN                     </v>
      </c>
      <c r="E2407" t="str">
        <f>"LITTLE ROCK               "</f>
        <v xml:space="preserve">LITTLE ROCK               </v>
      </c>
      <c r="F2407" t="str">
        <f t="shared" si="93"/>
        <v>AR</v>
      </c>
    </row>
    <row r="2408" spans="1:6" x14ac:dyDescent="0.25">
      <c r="A2408" t="str">
        <f>"002076825"</f>
        <v>002076825</v>
      </c>
      <c r="B2408" t="str">
        <f>"1851349500"</f>
        <v>1851349500</v>
      </c>
      <c r="C2408" t="str">
        <f>"2085R0202X"</f>
        <v>2085R0202X</v>
      </c>
      <c r="D2408" t="str">
        <f>"KLEIN                    JEROME       B           "</f>
        <v xml:space="preserve">KLEIN                    JEROME       B           </v>
      </c>
      <c r="E2408" t="str">
        <f>"TEMPE                     "</f>
        <v xml:space="preserve">TEMPE                     </v>
      </c>
      <c r="F2408" t="str">
        <f t="shared" ref="F2408:F2413" si="94">"AZ"</f>
        <v>AZ</v>
      </c>
    </row>
    <row r="2409" spans="1:6" x14ac:dyDescent="0.25">
      <c r="A2409" t="str">
        <f>"003076767"</f>
        <v>003076767</v>
      </c>
      <c r="B2409" t="str">
        <f>"1548231541"</f>
        <v>1548231541</v>
      </c>
      <c r="C2409" t="str">
        <f>"2085R0202X"</f>
        <v>2085R0202X</v>
      </c>
      <c r="D2409" t="str">
        <f>"CROMWELL                 BRIAN        G           "</f>
        <v xml:space="preserve">CROMWELL                 BRIAN        G           </v>
      </c>
      <c r="E2409" t="str">
        <f>"PEORIA                    "</f>
        <v xml:space="preserve">PEORIA                    </v>
      </c>
      <c r="F2409" t="str">
        <f t="shared" si="94"/>
        <v>AZ</v>
      </c>
    </row>
    <row r="2410" spans="1:6" x14ac:dyDescent="0.25">
      <c r="A2410" t="str">
        <f>"200013548"</f>
        <v>200013548</v>
      </c>
      <c r="B2410" t="str">
        <f>"1679511356"</f>
        <v>1679511356</v>
      </c>
      <c r="C2410" t="str">
        <f>"2085R0202X"</f>
        <v>2085R0202X</v>
      </c>
      <c r="D2410" t="str">
        <f>"CALDEMEYER               KAREN                    "</f>
        <v xml:space="preserve">CALDEMEYER               KAREN                    </v>
      </c>
      <c r="E2410" t="str">
        <f>"PRESCOTT                  "</f>
        <v xml:space="preserve">PRESCOTT                  </v>
      </c>
      <c r="F2410" t="str">
        <f t="shared" si="94"/>
        <v>AZ</v>
      </c>
    </row>
    <row r="2411" spans="1:6" x14ac:dyDescent="0.25">
      <c r="A2411" t="str">
        <f>"200016590"</f>
        <v>200016590</v>
      </c>
      <c r="B2411" t="str">
        <f>"1376689778"</f>
        <v>1376689778</v>
      </c>
      <c r="C2411" t="str">
        <f>"2085R0202X"</f>
        <v>2085R0202X</v>
      </c>
      <c r="D2411" t="str">
        <f>"ADAMS                    STEPHEN                  "</f>
        <v xml:space="preserve">ADAMS                    STEPHEN                  </v>
      </c>
      <c r="E2411" t="str">
        <f>"GILBERT                   "</f>
        <v xml:space="preserve">GILBERT                   </v>
      </c>
      <c r="F2411" t="str">
        <f t="shared" si="94"/>
        <v>AZ</v>
      </c>
    </row>
    <row r="2412" spans="1:6" x14ac:dyDescent="0.25">
      <c r="A2412" t="str">
        <f>"200019511"</f>
        <v>200019511</v>
      </c>
      <c r="B2412" t="str">
        <f>"1881186773"</f>
        <v>1881186773</v>
      </c>
      <c r="C2412" t="str">
        <f>"207Q00000X"</f>
        <v>207Q00000X</v>
      </c>
      <c r="D2412" t="str">
        <f>"KRUSE                    TODD                     "</f>
        <v xml:space="preserve">KRUSE                    TODD                     </v>
      </c>
      <c r="E2412" t="str">
        <f>"TUCSON                    "</f>
        <v xml:space="preserve">TUCSON                    </v>
      </c>
      <c r="F2412" t="str">
        <f t="shared" si="94"/>
        <v>AZ</v>
      </c>
    </row>
    <row r="2413" spans="1:6" x14ac:dyDescent="0.25">
      <c r="A2413" t="str">
        <f>"200021246"</f>
        <v>200021246</v>
      </c>
      <c r="B2413" t="str">
        <f>"1417343062"</f>
        <v>1417343062</v>
      </c>
      <c r="C2413" t="str">
        <f>"2080P0204X"</f>
        <v>2080P0204X</v>
      </c>
      <c r="D2413" t="str">
        <f>"FLETCHER                 ASHLEY                   "</f>
        <v xml:space="preserve">FLETCHER                 ASHLEY                   </v>
      </c>
      <c r="E2413" t="str">
        <f>"PHOENIX                   "</f>
        <v xml:space="preserve">PHOENIX                   </v>
      </c>
      <c r="F2413" t="str">
        <f t="shared" si="94"/>
        <v>AZ</v>
      </c>
    </row>
    <row r="2414" spans="1:6" x14ac:dyDescent="0.25">
      <c r="A2414" t="str">
        <f>"000826251"</f>
        <v>000826251</v>
      </c>
      <c r="B2414" t="str">
        <f>"1851786453"</f>
        <v>1851786453</v>
      </c>
      <c r="C2414" t="str">
        <f t="shared" ref="C2414:C2421" si="95">"2085R0202X"</f>
        <v>2085R0202X</v>
      </c>
      <c r="D2414" t="str">
        <f>"HELLFELD                 MEGAN        W           "</f>
        <v xml:space="preserve">HELLFELD                 MEGAN        W           </v>
      </c>
      <c r="E2414" t="str">
        <f>"POWAY                     "</f>
        <v xml:space="preserve">POWAY                     </v>
      </c>
      <c r="F2414" t="str">
        <f t="shared" ref="F2414:F2425" si="96">"CA"</f>
        <v>CA</v>
      </c>
    </row>
    <row r="2415" spans="1:6" x14ac:dyDescent="0.25">
      <c r="A2415" t="str">
        <f>"003980273"</f>
        <v>003980273</v>
      </c>
      <c r="B2415" t="str">
        <f>"1477531564"</f>
        <v>1477531564</v>
      </c>
      <c r="C2415" t="str">
        <f t="shared" si="95"/>
        <v>2085R0202X</v>
      </c>
      <c r="D2415" t="str">
        <f>"ZUEHLKE                  PETER        D           "</f>
        <v xml:space="preserve">ZUEHLKE                  PETER        D           </v>
      </c>
      <c r="E2415" t="str">
        <f>"CORONA                    "</f>
        <v xml:space="preserve">CORONA                    </v>
      </c>
      <c r="F2415" t="str">
        <f t="shared" si="96"/>
        <v>CA</v>
      </c>
    </row>
    <row r="2416" spans="1:6" x14ac:dyDescent="0.25">
      <c r="A2416" t="str">
        <f>"004281896"</f>
        <v>004281896</v>
      </c>
      <c r="B2416" t="str">
        <f>"1235337072"</f>
        <v>1235337072</v>
      </c>
      <c r="C2416" t="str">
        <f t="shared" si="95"/>
        <v>2085R0202X</v>
      </c>
      <c r="D2416" t="str">
        <f>"SANI                     FARHAD       W           "</f>
        <v xml:space="preserve">SANI                     FARHAD       W           </v>
      </c>
      <c r="E2416" t="str">
        <f>"SAN LUIS OBISPO           "</f>
        <v xml:space="preserve">SAN LUIS OBISPO           </v>
      </c>
      <c r="F2416" t="str">
        <f t="shared" si="96"/>
        <v>CA</v>
      </c>
    </row>
    <row r="2417" spans="1:6" x14ac:dyDescent="0.25">
      <c r="A2417" t="str">
        <f>"006020076"</f>
        <v>006020076</v>
      </c>
      <c r="B2417" t="str">
        <f>"1669674651"</f>
        <v>1669674651</v>
      </c>
      <c r="C2417" t="str">
        <f t="shared" si="95"/>
        <v>2085R0202X</v>
      </c>
      <c r="D2417" t="str">
        <f>"MORAIS                   JOSHUA       D           "</f>
        <v xml:space="preserve">MORAIS                   JOSHUA       D           </v>
      </c>
      <c r="E2417" t="str">
        <f>"LADERA RANCH              "</f>
        <v xml:space="preserve">LADERA RANCH              </v>
      </c>
      <c r="F2417" t="str">
        <f t="shared" si="96"/>
        <v>CA</v>
      </c>
    </row>
    <row r="2418" spans="1:6" x14ac:dyDescent="0.25">
      <c r="A2418" t="str">
        <f>"006507016"</f>
        <v>006507016</v>
      </c>
      <c r="B2418" t="str">
        <f>"1770763484"</f>
        <v>1770763484</v>
      </c>
      <c r="C2418" t="str">
        <f t="shared" si="95"/>
        <v>2085R0202X</v>
      </c>
      <c r="D2418" t="str">
        <f>"MONTASER                 ANOOSH                   "</f>
        <v xml:space="preserve">MONTASER                 ANOOSH                   </v>
      </c>
      <c r="E2418" t="str">
        <f>"COSTA MESA                "</f>
        <v xml:space="preserve">COSTA MESA                </v>
      </c>
      <c r="F2418" t="str">
        <f t="shared" si="96"/>
        <v>CA</v>
      </c>
    </row>
    <row r="2419" spans="1:6" x14ac:dyDescent="0.25">
      <c r="A2419" t="str">
        <f>"007705808"</f>
        <v>007705808</v>
      </c>
      <c r="B2419" t="str">
        <f>"1396057576"</f>
        <v>1396057576</v>
      </c>
      <c r="C2419" t="str">
        <f t="shared" si="95"/>
        <v>2085R0202X</v>
      </c>
      <c r="D2419" t="str">
        <f>"WONG                     WAIKEONG     P           "</f>
        <v xml:space="preserve">WONG                     WAIKEONG     P           </v>
      </c>
      <c r="E2419" t="str">
        <f>"IRVINE                    "</f>
        <v xml:space="preserve">IRVINE                    </v>
      </c>
      <c r="F2419" t="str">
        <f t="shared" si="96"/>
        <v>CA</v>
      </c>
    </row>
    <row r="2420" spans="1:6" x14ac:dyDescent="0.25">
      <c r="A2420" t="str">
        <f>"008006782"</f>
        <v>008006782</v>
      </c>
      <c r="B2420" t="str">
        <f>"1104155258"</f>
        <v>1104155258</v>
      </c>
      <c r="C2420" t="str">
        <f t="shared" si="95"/>
        <v>2085R0202X</v>
      </c>
      <c r="D2420" t="str">
        <f>"ALBREKTSON               JOSHUA       R           "</f>
        <v xml:space="preserve">ALBREKTSON               JOSHUA       R           </v>
      </c>
      <c r="E2420" t="str">
        <f>"SOUTH PASADENA            "</f>
        <v xml:space="preserve">SOUTH PASADENA            </v>
      </c>
      <c r="F2420" t="str">
        <f t="shared" si="96"/>
        <v>CA</v>
      </c>
    </row>
    <row r="2421" spans="1:6" x14ac:dyDescent="0.25">
      <c r="A2421" t="str">
        <f>"200013323"</f>
        <v>200013323</v>
      </c>
      <c r="B2421" t="str">
        <f>"1750366498"</f>
        <v>1750366498</v>
      </c>
      <c r="C2421" t="str">
        <f t="shared" si="95"/>
        <v>2085R0202X</v>
      </c>
      <c r="D2421" t="str">
        <f>"ZORN                     JEFFREY                  "</f>
        <v xml:space="preserve">ZORN                     JEFFREY                  </v>
      </c>
      <c r="E2421" t="str">
        <f>"FALLBROOK                 "</f>
        <v xml:space="preserve">FALLBROOK                 </v>
      </c>
      <c r="F2421" t="str">
        <f t="shared" si="96"/>
        <v>CA</v>
      </c>
    </row>
    <row r="2422" spans="1:6" x14ac:dyDescent="0.25">
      <c r="A2422" t="str">
        <f>"200024414"</f>
        <v>200024414</v>
      </c>
      <c r="B2422" t="str">
        <f>"1134445158"</f>
        <v>1134445158</v>
      </c>
      <c r="C2422" t="str">
        <f>"208G00000X"</f>
        <v>208G00000X</v>
      </c>
      <c r="D2422" t="str">
        <f>"MA                       MICHAEL                  "</f>
        <v xml:space="preserve">MA                       MICHAEL                  </v>
      </c>
      <c r="E2422" t="str">
        <f>"PALO ALTO                 "</f>
        <v xml:space="preserve">PALO ALTO                 </v>
      </c>
      <c r="F2422" t="str">
        <f t="shared" si="96"/>
        <v>CA</v>
      </c>
    </row>
    <row r="2423" spans="1:6" x14ac:dyDescent="0.25">
      <c r="A2423" t="str">
        <f>"200024906"</f>
        <v>200024906</v>
      </c>
      <c r="B2423" t="str">
        <f>"1942595624"</f>
        <v>1942595624</v>
      </c>
      <c r="C2423" t="str">
        <f>"207Q00000X"</f>
        <v>207Q00000X</v>
      </c>
      <c r="D2423" t="str">
        <f>"LANE                     LESLIE                   "</f>
        <v xml:space="preserve">LANE                     LESLIE                   </v>
      </c>
      <c r="E2423" t="str">
        <f>"SAN FRANCISCO             "</f>
        <v xml:space="preserve">SAN FRANCISCO             </v>
      </c>
      <c r="F2423" t="str">
        <f t="shared" si="96"/>
        <v>CA</v>
      </c>
    </row>
    <row r="2424" spans="1:6" x14ac:dyDescent="0.25">
      <c r="A2424" t="str">
        <f>"200025968"</f>
        <v>200025968</v>
      </c>
      <c r="B2424" t="str">
        <f>"1922687623"</f>
        <v>1922687623</v>
      </c>
      <c r="C2424" t="str">
        <f>"207P00000X"</f>
        <v>207P00000X</v>
      </c>
      <c r="D2424" t="str">
        <f>"LANCASTER                LIAN                     "</f>
        <v xml:space="preserve">LANCASTER                LIAN                     </v>
      </c>
      <c r="E2424" t="str">
        <f>"REDDING                   "</f>
        <v xml:space="preserve">REDDING                   </v>
      </c>
      <c r="F2424" t="str">
        <f t="shared" si="96"/>
        <v>CA</v>
      </c>
    </row>
    <row r="2425" spans="1:6" x14ac:dyDescent="0.25">
      <c r="A2425" t="str">
        <f>"200029244"</f>
        <v>200029244</v>
      </c>
      <c r="B2425" t="str">
        <f>"1942208699"</f>
        <v>1942208699</v>
      </c>
      <c r="C2425" t="str">
        <f>"2085R0202X"</f>
        <v>2085R0202X</v>
      </c>
      <c r="D2425" t="str">
        <f>"BRESLAU                  JONATHAN                 "</f>
        <v xml:space="preserve">BRESLAU                  JONATHAN                 </v>
      </c>
      <c r="E2425" t="str">
        <f>"SACRAMENTO                "</f>
        <v xml:space="preserve">SACRAMENTO                </v>
      </c>
      <c r="F2425" t="str">
        <f t="shared" si="96"/>
        <v>CA</v>
      </c>
    </row>
    <row r="2426" spans="1:6" x14ac:dyDescent="0.25">
      <c r="A2426" t="str">
        <f>"005020211"</f>
        <v>005020211</v>
      </c>
      <c r="B2426" t="str">
        <f>"1346297462"</f>
        <v>1346297462</v>
      </c>
      <c r="C2426" t="str">
        <f>"2085R0202X"</f>
        <v>2085R0202X</v>
      </c>
      <c r="D2426" t="str">
        <f>"LOZANO                   KAY          D           "</f>
        <v xml:space="preserve">LOZANO                   KAY          D           </v>
      </c>
      <c r="E2426" t="str">
        <f>"CENTENNIAL                "</f>
        <v xml:space="preserve">CENTENNIAL                </v>
      </c>
      <c r="F2426" t="str">
        <f t="shared" ref="F2426:F2452" si="97">"CO"</f>
        <v>CO</v>
      </c>
    </row>
    <row r="2427" spans="1:6" x14ac:dyDescent="0.25">
      <c r="A2427" t="str">
        <f>"006207572"</f>
        <v>006207572</v>
      </c>
      <c r="B2427" t="str">
        <f>"1790760064"</f>
        <v>1790760064</v>
      </c>
      <c r="C2427" t="str">
        <f>"2085R0202X"</f>
        <v>2085R0202X</v>
      </c>
      <c r="D2427" t="str">
        <f>"TURNER                   JAMES        H           "</f>
        <v xml:space="preserve">TURNER                   JAMES        H           </v>
      </c>
      <c r="E2427" t="str">
        <f>"ENGLEWOOD                 "</f>
        <v xml:space="preserve">ENGLEWOOD                 </v>
      </c>
      <c r="F2427" t="str">
        <f t="shared" si="97"/>
        <v>CO</v>
      </c>
    </row>
    <row r="2428" spans="1:6" x14ac:dyDescent="0.25">
      <c r="A2428" t="str">
        <f>"200005214"</f>
        <v>200005214</v>
      </c>
      <c r="B2428" t="str">
        <f>"1306108428"</f>
        <v>1306108428</v>
      </c>
      <c r="C2428" t="str">
        <f>"207P00000X"</f>
        <v>207P00000X</v>
      </c>
      <c r="D2428" t="str">
        <f>"KELLEY                   DOUGLAS                  "</f>
        <v xml:space="preserve">KELLEY                   DOUGLAS                  </v>
      </c>
      <c r="E2428" t="str">
        <f t="shared" ref="E2428:E2444" si="98">"DENVER                    "</f>
        <v xml:space="preserve">DENVER                    </v>
      </c>
      <c r="F2428" t="str">
        <f t="shared" si="97"/>
        <v>CO</v>
      </c>
    </row>
    <row r="2429" spans="1:6" x14ac:dyDescent="0.25">
      <c r="A2429" t="str">
        <f>"200005229"</f>
        <v>200005229</v>
      </c>
      <c r="B2429" t="str">
        <f>"1659408607"</f>
        <v>1659408607</v>
      </c>
      <c r="C2429" t="str">
        <f>"207Q00000X"</f>
        <v>207Q00000X</v>
      </c>
      <c r="D2429" t="str">
        <f>"RYAN                     CHRISTINE                "</f>
        <v xml:space="preserve">RYAN                     CHRISTINE                </v>
      </c>
      <c r="E2429" t="str">
        <f t="shared" si="98"/>
        <v xml:space="preserve">DENVER                    </v>
      </c>
      <c r="F2429" t="str">
        <f t="shared" si="97"/>
        <v>CO</v>
      </c>
    </row>
    <row r="2430" spans="1:6" x14ac:dyDescent="0.25">
      <c r="A2430" t="str">
        <f>"200005249"</f>
        <v>200005249</v>
      </c>
      <c r="B2430" t="str">
        <f>"1457363889"</f>
        <v>1457363889</v>
      </c>
      <c r="C2430" t="str">
        <f>"207P00000X"</f>
        <v>207P00000X</v>
      </c>
      <c r="D2430" t="str">
        <f>"OLIARO                   JERRY                    "</f>
        <v xml:space="preserve">OLIARO                   JERRY                    </v>
      </c>
      <c r="E2430" t="str">
        <f t="shared" si="98"/>
        <v xml:space="preserve">DENVER                    </v>
      </c>
      <c r="F2430" t="str">
        <f t="shared" si="97"/>
        <v>CO</v>
      </c>
    </row>
    <row r="2431" spans="1:6" x14ac:dyDescent="0.25">
      <c r="A2431" t="str">
        <f>"200005267"</f>
        <v>200005267</v>
      </c>
      <c r="B2431" t="str">
        <f>"1336103027"</f>
        <v>1336103027</v>
      </c>
      <c r="C2431" t="str">
        <f>"207P00000X"</f>
        <v>207P00000X</v>
      </c>
      <c r="D2431" t="str">
        <f>"SCHNABEL                 JOHN                     "</f>
        <v xml:space="preserve">SCHNABEL                 JOHN                     </v>
      </c>
      <c r="E2431" t="str">
        <f t="shared" si="98"/>
        <v xml:space="preserve">DENVER                    </v>
      </c>
      <c r="F2431" t="str">
        <f t="shared" si="97"/>
        <v>CO</v>
      </c>
    </row>
    <row r="2432" spans="1:6" x14ac:dyDescent="0.25">
      <c r="A2432" t="str">
        <f>"200005272"</f>
        <v>200005272</v>
      </c>
      <c r="B2432" t="str">
        <f>"1528487295"</f>
        <v>1528487295</v>
      </c>
      <c r="C2432" t="str">
        <f>"207P00000X"</f>
        <v>207P00000X</v>
      </c>
      <c r="D2432" t="str">
        <f>"LUCAS                    JARED                    "</f>
        <v xml:space="preserve">LUCAS                    JARED                    </v>
      </c>
      <c r="E2432" t="str">
        <f t="shared" si="98"/>
        <v xml:space="preserve">DENVER                    </v>
      </c>
      <c r="F2432" t="str">
        <f t="shared" si="97"/>
        <v>CO</v>
      </c>
    </row>
    <row r="2433" spans="1:6" x14ac:dyDescent="0.25">
      <c r="A2433" t="str">
        <f>"200005401"</f>
        <v>200005401</v>
      </c>
      <c r="B2433" t="str">
        <f>"1629152103"</f>
        <v>1629152103</v>
      </c>
      <c r="C2433" t="str">
        <f>"207Q00000X"</f>
        <v>207Q00000X</v>
      </c>
      <c r="D2433" t="str">
        <f>"HERSTAD                  SARA                     "</f>
        <v xml:space="preserve">HERSTAD                  SARA                     </v>
      </c>
      <c r="E2433" t="str">
        <f t="shared" si="98"/>
        <v xml:space="preserve">DENVER                    </v>
      </c>
      <c r="F2433" t="str">
        <f t="shared" si="97"/>
        <v>CO</v>
      </c>
    </row>
    <row r="2434" spans="1:6" x14ac:dyDescent="0.25">
      <c r="A2434" t="str">
        <f>"200005453"</f>
        <v>200005453</v>
      </c>
      <c r="B2434" t="str">
        <f>"1851552442"</f>
        <v>1851552442</v>
      </c>
      <c r="C2434" t="str">
        <f>"207Q00000X"</f>
        <v>207Q00000X</v>
      </c>
      <c r="D2434" t="str">
        <f>"SAMALI                   SAUGHAR                  "</f>
        <v xml:space="preserve">SAMALI                   SAUGHAR                  </v>
      </c>
      <c r="E2434" t="str">
        <f t="shared" si="98"/>
        <v xml:space="preserve">DENVER                    </v>
      </c>
      <c r="F2434" t="str">
        <f t="shared" si="97"/>
        <v>CO</v>
      </c>
    </row>
    <row r="2435" spans="1:6" x14ac:dyDescent="0.25">
      <c r="A2435" t="str">
        <f>"200005541"</f>
        <v>200005541</v>
      </c>
      <c r="B2435" t="str">
        <f>"1467433177"</f>
        <v>1467433177</v>
      </c>
      <c r="C2435" t="str">
        <f>"207Q00000X"</f>
        <v>207Q00000X</v>
      </c>
      <c r="D2435" t="str">
        <f>"DIETZGEN                 PATRICIA                 "</f>
        <v xml:space="preserve">DIETZGEN                 PATRICIA                 </v>
      </c>
      <c r="E2435" t="str">
        <f t="shared" si="98"/>
        <v xml:space="preserve">DENVER                    </v>
      </c>
      <c r="F2435" t="str">
        <f t="shared" si="97"/>
        <v>CO</v>
      </c>
    </row>
    <row r="2436" spans="1:6" x14ac:dyDescent="0.25">
      <c r="A2436" t="str">
        <f>"200005597"</f>
        <v>200005597</v>
      </c>
      <c r="B2436" t="str">
        <f>"1134359102"</f>
        <v>1134359102</v>
      </c>
      <c r="C2436" t="str">
        <f>"207P00000X"</f>
        <v>207P00000X</v>
      </c>
      <c r="D2436" t="str">
        <f>"ERRECART                 KEITH                    "</f>
        <v xml:space="preserve">ERRECART                 KEITH                    </v>
      </c>
      <c r="E2436" t="str">
        <f t="shared" si="98"/>
        <v xml:space="preserve">DENVER                    </v>
      </c>
      <c r="F2436" t="str">
        <f t="shared" si="97"/>
        <v>CO</v>
      </c>
    </row>
    <row r="2437" spans="1:6" x14ac:dyDescent="0.25">
      <c r="A2437" t="str">
        <f>"200005910"</f>
        <v>200005910</v>
      </c>
      <c r="B2437" t="str">
        <f>"1386793826"</f>
        <v>1386793826</v>
      </c>
      <c r="C2437" t="str">
        <f>"207P00000X"</f>
        <v>207P00000X</v>
      </c>
      <c r="D2437" t="str">
        <f>"ZACHARIAS                ERIC                     "</f>
        <v xml:space="preserve">ZACHARIAS                ERIC                     </v>
      </c>
      <c r="E2437" t="str">
        <f t="shared" si="98"/>
        <v xml:space="preserve">DENVER                    </v>
      </c>
      <c r="F2437" t="str">
        <f t="shared" si="97"/>
        <v>CO</v>
      </c>
    </row>
    <row r="2438" spans="1:6" x14ac:dyDescent="0.25">
      <c r="A2438" t="str">
        <f>"200006096"</f>
        <v>200006096</v>
      </c>
      <c r="B2438" t="str">
        <f>"1982622387"</f>
        <v>1982622387</v>
      </c>
      <c r="C2438" t="str">
        <f>"207R00000X"</f>
        <v>207R00000X</v>
      </c>
      <c r="D2438" t="str">
        <f>"HARNACK                  STEVEN                   "</f>
        <v xml:space="preserve">HARNACK                  STEVEN                   </v>
      </c>
      <c r="E2438" t="str">
        <f t="shared" si="98"/>
        <v xml:space="preserve">DENVER                    </v>
      </c>
      <c r="F2438" t="str">
        <f t="shared" si="97"/>
        <v>CO</v>
      </c>
    </row>
    <row r="2439" spans="1:6" x14ac:dyDescent="0.25">
      <c r="A2439" t="str">
        <f>"200006371"</f>
        <v>200006371</v>
      </c>
      <c r="B2439" t="str">
        <f>"1194852137"</f>
        <v>1194852137</v>
      </c>
      <c r="C2439" t="str">
        <f>"207Q00000X"</f>
        <v>207Q00000X</v>
      </c>
      <c r="D2439" t="str">
        <f>"REDFIELD                 JUANITA                  "</f>
        <v xml:space="preserve">REDFIELD                 JUANITA                  </v>
      </c>
      <c r="E2439" t="str">
        <f t="shared" si="98"/>
        <v xml:space="preserve">DENVER                    </v>
      </c>
      <c r="F2439" t="str">
        <f t="shared" si="97"/>
        <v>CO</v>
      </c>
    </row>
    <row r="2440" spans="1:6" x14ac:dyDescent="0.25">
      <c r="A2440" t="str">
        <f>"200006861"</f>
        <v>200006861</v>
      </c>
      <c r="B2440" t="str">
        <f>"1215166293"</f>
        <v>1215166293</v>
      </c>
      <c r="C2440" t="str">
        <f>"207P00000X"</f>
        <v>207P00000X</v>
      </c>
      <c r="D2440" t="str">
        <f>"LONG                     KAYLA                    "</f>
        <v xml:space="preserve">LONG                     KAYLA                    </v>
      </c>
      <c r="E2440" t="str">
        <f t="shared" si="98"/>
        <v xml:space="preserve">DENVER                    </v>
      </c>
      <c r="F2440" t="str">
        <f t="shared" si="97"/>
        <v>CO</v>
      </c>
    </row>
    <row r="2441" spans="1:6" x14ac:dyDescent="0.25">
      <c r="A2441" t="str">
        <f>"200012314"</f>
        <v>200012314</v>
      </c>
      <c r="B2441" t="str">
        <f>"1538167572"</f>
        <v>1538167572</v>
      </c>
      <c r="C2441" t="str">
        <f>"208000000X"</f>
        <v>208000000X</v>
      </c>
      <c r="D2441" t="str">
        <f>"NICHOLSON                JONATHON                 "</f>
        <v xml:space="preserve">NICHOLSON                JONATHON                 </v>
      </c>
      <c r="E2441" t="str">
        <f t="shared" si="98"/>
        <v xml:space="preserve">DENVER                    </v>
      </c>
      <c r="F2441" t="str">
        <f t="shared" si="97"/>
        <v>CO</v>
      </c>
    </row>
    <row r="2442" spans="1:6" x14ac:dyDescent="0.25">
      <c r="A2442" t="str">
        <f>"200012480"</f>
        <v>200012480</v>
      </c>
      <c r="B2442" t="str">
        <f>"1962449553"</f>
        <v>1962449553</v>
      </c>
      <c r="C2442" t="str">
        <f>"207P00000X"</f>
        <v>207P00000X</v>
      </c>
      <c r="D2442" t="str">
        <f>"CASALETTO                JENNIFER                 "</f>
        <v xml:space="preserve">CASALETTO                JENNIFER                 </v>
      </c>
      <c r="E2442" t="str">
        <f t="shared" si="98"/>
        <v xml:space="preserve">DENVER                    </v>
      </c>
      <c r="F2442" t="str">
        <f t="shared" si="97"/>
        <v>CO</v>
      </c>
    </row>
    <row r="2443" spans="1:6" x14ac:dyDescent="0.25">
      <c r="A2443" t="str">
        <f>"200015701"</f>
        <v>200015701</v>
      </c>
      <c r="B2443" t="str">
        <f>"1659442176"</f>
        <v>1659442176</v>
      </c>
      <c r="C2443" t="str">
        <f>"207Q00000X"</f>
        <v>207Q00000X</v>
      </c>
      <c r="D2443" t="str">
        <f>"XIONG                    YER                      "</f>
        <v xml:space="preserve">XIONG                    YER                      </v>
      </c>
      <c r="E2443" t="str">
        <f t="shared" si="98"/>
        <v xml:space="preserve">DENVER                    </v>
      </c>
      <c r="F2443" t="str">
        <f t="shared" si="97"/>
        <v>CO</v>
      </c>
    </row>
    <row r="2444" spans="1:6" x14ac:dyDescent="0.25">
      <c r="A2444" t="str">
        <f>"200017103"</f>
        <v>200017103</v>
      </c>
      <c r="B2444" t="str">
        <f>"1548223001"</f>
        <v>1548223001</v>
      </c>
      <c r="C2444" t="str">
        <f>"2085R0202X"</f>
        <v>2085R0202X</v>
      </c>
      <c r="D2444" t="str">
        <f>"BLIVEN                   CHRISTINE                "</f>
        <v xml:space="preserve">BLIVEN                   CHRISTINE                </v>
      </c>
      <c r="E2444" t="str">
        <f t="shared" si="98"/>
        <v xml:space="preserve">DENVER                    </v>
      </c>
      <c r="F2444" t="str">
        <f t="shared" si="97"/>
        <v>CO</v>
      </c>
    </row>
    <row r="2445" spans="1:6" x14ac:dyDescent="0.25">
      <c r="A2445" t="str">
        <f>"200022207"</f>
        <v>200022207</v>
      </c>
      <c r="B2445" t="str">
        <f>"1275578593"</f>
        <v>1275578593</v>
      </c>
      <c r="C2445" t="str">
        <f>"2085R0202X"</f>
        <v>2085R0202X</v>
      </c>
      <c r="D2445" t="str">
        <f>"LAMOUREUX                CHRISTINE                "</f>
        <v xml:space="preserve">LAMOUREUX                CHRISTINE                </v>
      </c>
      <c r="E2445" t="str">
        <f>"LONGMONT                  "</f>
        <v xml:space="preserve">LONGMONT                  </v>
      </c>
      <c r="F2445" t="str">
        <f t="shared" si="97"/>
        <v>CO</v>
      </c>
    </row>
    <row r="2446" spans="1:6" x14ac:dyDescent="0.25">
      <c r="A2446" t="str">
        <f>"200023178"</f>
        <v>200023178</v>
      </c>
      <c r="B2446" t="str">
        <f>"1740495654"</f>
        <v>1740495654</v>
      </c>
      <c r="C2446" t="str">
        <f>"2085R0202X"</f>
        <v>2085R0202X</v>
      </c>
      <c r="D2446" t="str">
        <f>"BEESON                   DONN                     "</f>
        <v xml:space="preserve">BEESON                   DONN                     </v>
      </c>
      <c r="E2446" t="str">
        <f>"CASTLE PINES              "</f>
        <v xml:space="preserve">CASTLE PINES              </v>
      </c>
      <c r="F2446" t="str">
        <f t="shared" si="97"/>
        <v>CO</v>
      </c>
    </row>
    <row r="2447" spans="1:6" x14ac:dyDescent="0.25">
      <c r="A2447" t="str">
        <f>"200023923"</f>
        <v>200023923</v>
      </c>
      <c r="B2447" t="str">
        <f>"1922494723"</f>
        <v>1922494723</v>
      </c>
      <c r="C2447" t="str">
        <f>"207V00000X"</f>
        <v>207V00000X</v>
      </c>
      <c r="D2447" t="str">
        <f>"ROSEN                    EMILY        R           "</f>
        <v xml:space="preserve">ROSEN                    EMILY        R           </v>
      </c>
      <c r="E2447" t="str">
        <f>"AURORA                    "</f>
        <v xml:space="preserve">AURORA                    </v>
      </c>
      <c r="F2447" t="str">
        <f t="shared" si="97"/>
        <v>CO</v>
      </c>
    </row>
    <row r="2448" spans="1:6" x14ac:dyDescent="0.25">
      <c r="A2448" t="str">
        <f>"200023925"</f>
        <v>200023925</v>
      </c>
      <c r="B2448" t="str">
        <f>"1669661062"</f>
        <v>1669661062</v>
      </c>
      <c r="C2448" t="str">
        <f>"208M00000X"</f>
        <v>208M00000X</v>
      </c>
      <c r="D2448" t="str">
        <f>"TEW                      BEVERLY      E           "</f>
        <v xml:space="preserve">TEW                      BEVERLY      E           </v>
      </c>
      <c r="E2448" t="str">
        <f>"AURORA                    "</f>
        <v xml:space="preserve">AURORA                    </v>
      </c>
      <c r="F2448" t="str">
        <f t="shared" si="97"/>
        <v>CO</v>
      </c>
    </row>
    <row r="2449" spans="1:6" x14ac:dyDescent="0.25">
      <c r="A2449" t="str">
        <f>"200024083"</f>
        <v>200024083</v>
      </c>
      <c r="B2449" t="str">
        <f>"1649664681"</f>
        <v>1649664681</v>
      </c>
      <c r="C2449" t="str">
        <f>"207V00000X"</f>
        <v>207V00000X</v>
      </c>
      <c r="D2449" t="str">
        <f>"MCKENNEY                 KATHRYN      M           "</f>
        <v xml:space="preserve">MCKENNEY                 KATHRYN      M           </v>
      </c>
      <c r="E2449" t="str">
        <f>"AURORA                    "</f>
        <v xml:space="preserve">AURORA                    </v>
      </c>
      <c r="F2449" t="str">
        <f t="shared" si="97"/>
        <v>CO</v>
      </c>
    </row>
    <row r="2450" spans="1:6" x14ac:dyDescent="0.25">
      <c r="A2450" t="str">
        <f>"200024096"</f>
        <v>200024096</v>
      </c>
      <c r="B2450" t="str">
        <f>"1033437751"</f>
        <v>1033437751</v>
      </c>
      <c r="C2450" t="str">
        <f>"207V00000X"</f>
        <v>207V00000X</v>
      </c>
      <c r="D2450" t="str">
        <f>"COHEN                    REBECCA      H           "</f>
        <v xml:space="preserve">COHEN                    REBECCA      H           </v>
      </c>
      <c r="E2450" t="str">
        <f>"AURORA                    "</f>
        <v xml:space="preserve">AURORA                    </v>
      </c>
      <c r="F2450" t="str">
        <f t="shared" si="97"/>
        <v>CO</v>
      </c>
    </row>
    <row r="2451" spans="1:6" x14ac:dyDescent="0.25">
      <c r="A2451" t="str">
        <f>"200024200"</f>
        <v>200024200</v>
      </c>
      <c r="B2451" t="str">
        <f>"1861421489"</f>
        <v>1861421489</v>
      </c>
      <c r="C2451" t="str">
        <f>"2085R0202X"</f>
        <v>2085R0202X</v>
      </c>
      <c r="D2451" t="str">
        <f>"RAZIANO                  RANDALL                  "</f>
        <v xml:space="preserve">RAZIANO                  RANDALL                  </v>
      </c>
      <c r="E2451" t="str">
        <f>"MONTROSE                  "</f>
        <v xml:space="preserve">MONTROSE                  </v>
      </c>
      <c r="F2451" t="str">
        <f t="shared" si="97"/>
        <v>CO</v>
      </c>
    </row>
    <row r="2452" spans="1:6" x14ac:dyDescent="0.25">
      <c r="A2452" t="str">
        <f>"200029285"</f>
        <v>200029285</v>
      </c>
      <c r="B2452" t="str">
        <f>"1790744324"</f>
        <v>1790744324</v>
      </c>
      <c r="C2452" t="str">
        <f>"2085R0202X"</f>
        <v>2085R0202X</v>
      </c>
      <c r="D2452" t="str">
        <f>"LEONI                    CHRISTOPHER              "</f>
        <v xml:space="preserve">LEONI                    CHRISTOPHER              </v>
      </c>
      <c r="E2452" t="str">
        <f>"CARBONDALE                "</f>
        <v xml:space="preserve">CARBONDALE                </v>
      </c>
      <c r="F2452" t="str">
        <f t="shared" si="97"/>
        <v>CO</v>
      </c>
    </row>
    <row r="2453" spans="1:6" x14ac:dyDescent="0.25">
      <c r="A2453" t="str">
        <f>"005921591"</f>
        <v>005921591</v>
      </c>
      <c r="B2453" t="str">
        <f>"1154458545"</f>
        <v>1154458545</v>
      </c>
      <c r="C2453" t="str">
        <f>"2085R0202X"</f>
        <v>2085R0202X</v>
      </c>
      <c r="D2453" t="str">
        <f>"ZELINKA                  PETER        B           "</f>
        <v xml:space="preserve">ZELINKA                  PETER        B           </v>
      </c>
      <c r="E2453" t="str">
        <f>"KILLINGWORTH              "</f>
        <v xml:space="preserve">KILLINGWORTH              </v>
      </c>
      <c r="F2453" t="str">
        <f t="shared" ref="F2453:F2464" si="99">"CT"</f>
        <v>CT</v>
      </c>
    </row>
    <row r="2454" spans="1:6" x14ac:dyDescent="0.25">
      <c r="A2454" t="str">
        <f>"200020885"</f>
        <v>200020885</v>
      </c>
      <c r="B2454" t="str">
        <f>"1154397289"</f>
        <v>1154397289</v>
      </c>
      <c r="C2454" t="str">
        <f>"2084P0800X"</f>
        <v>2084P0800X</v>
      </c>
      <c r="D2454" t="str">
        <f>"KEEFE                    BRIAN                    "</f>
        <v xml:space="preserve">KEEFE                    BRIAN                    </v>
      </c>
      <c r="E2454" t="str">
        <f t="shared" ref="E2454:E2464" si="100">"MIDDLETOWN                "</f>
        <v xml:space="preserve">MIDDLETOWN                </v>
      </c>
      <c r="F2454" t="str">
        <f t="shared" si="99"/>
        <v>CT</v>
      </c>
    </row>
    <row r="2455" spans="1:6" x14ac:dyDescent="0.25">
      <c r="A2455" t="str">
        <f>"200024500"</f>
        <v>200024500</v>
      </c>
      <c r="B2455" t="str">
        <f>"1851375489"</f>
        <v>1851375489</v>
      </c>
      <c r="C2455" t="str">
        <f>"207RI0200X"</f>
        <v>207RI0200X</v>
      </c>
      <c r="D2455" t="str">
        <f>"RIKABI                   KHALED                   "</f>
        <v xml:space="preserve">RIKABI                   KHALED                   </v>
      </c>
      <c r="E2455" t="str">
        <f t="shared" si="100"/>
        <v xml:space="preserve">MIDDLETOWN                </v>
      </c>
      <c r="F2455" t="str">
        <f t="shared" si="99"/>
        <v>CT</v>
      </c>
    </row>
    <row r="2456" spans="1:6" x14ac:dyDescent="0.25">
      <c r="A2456" t="str">
        <f>"200024604"</f>
        <v>200024604</v>
      </c>
      <c r="B2456" t="str">
        <f>"1144343146"</f>
        <v>1144343146</v>
      </c>
      <c r="C2456" t="str">
        <f>"207K00000X"</f>
        <v>207K00000X</v>
      </c>
      <c r="D2456" t="str">
        <f>"DAVIDSON                 JOSHUA                   "</f>
        <v xml:space="preserve">DAVIDSON                 JOSHUA                   </v>
      </c>
      <c r="E2456" t="str">
        <f t="shared" si="100"/>
        <v xml:space="preserve">MIDDLETOWN                </v>
      </c>
      <c r="F2456" t="str">
        <f t="shared" si="99"/>
        <v>CT</v>
      </c>
    </row>
    <row r="2457" spans="1:6" x14ac:dyDescent="0.25">
      <c r="A2457" t="str">
        <f>"200024875"</f>
        <v>200024875</v>
      </c>
      <c r="B2457" t="str">
        <f>"1821435876"</f>
        <v>1821435876</v>
      </c>
      <c r="C2457" t="str">
        <f>"207R00000X"</f>
        <v>207R00000X</v>
      </c>
      <c r="D2457" t="str">
        <f>"PATEL                    NISHI                    "</f>
        <v xml:space="preserve">PATEL                    NISHI                    </v>
      </c>
      <c r="E2457" t="str">
        <f t="shared" si="100"/>
        <v xml:space="preserve">MIDDLETOWN                </v>
      </c>
      <c r="F2457" t="str">
        <f t="shared" si="99"/>
        <v>CT</v>
      </c>
    </row>
    <row r="2458" spans="1:6" x14ac:dyDescent="0.25">
      <c r="A2458" t="str">
        <f>"200026971"</f>
        <v>200026971</v>
      </c>
      <c r="B2458" t="str">
        <f>"1164633533"</f>
        <v>1164633533</v>
      </c>
      <c r="C2458" t="str">
        <f>"207RE0101X"</f>
        <v>207RE0101X</v>
      </c>
      <c r="D2458" t="str">
        <f>"SINGH                    NEELINA                  "</f>
        <v xml:space="preserve">SINGH                    NEELINA                  </v>
      </c>
      <c r="E2458" t="str">
        <f t="shared" si="100"/>
        <v xml:space="preserve">MIDDLETOWN                </v>
      </c>
      <c r="F2458" t="str">
        <f t="shared" si="99"/>
        <v>CT</v>
      </c>
    </row>
    <row r="2459" spans="1:6" x14ac:dyDescent="0.25">
      <c r="A2459" t="str">
        <f>"200027871"</f>
        <v>200027871</v>
      </c>
      <c r="B2459" t="str">
        <f>"1043269970"</f>
        <v>1043269970</v>
      </c>
      <c r="C2459" t="str">
        <f>"208800000X"</f>
        <v>208800000X</v>
      </c>
      <c r="D2459" t="str">
        <f>"FUSIA                    TOD                      "</f>
        <v xml:space="preserve">FUSIA                    TOD                      </v>
      </c>
      <c r="E2459" t="str">
        <f t="shared" si="100"/>
        <v xml:space="preserve">MIDDLETOWN                </v>
      </c>
      <c r="F2459" t="str">
        <f t="shared" si="99"/>
        <v>CT</v>
      </c>
    </row>
    <row r="2460" spans="1:6" x14ac:dyDescent="0.25">
      <c r="A2460" t="str">
        <f>"200027915"</f>
        <v>200027915</v>
      </c>
      <c r="B2460" t="str">
        <f>"1073950689"</f>
        <v>1073950689</v>
      </c>
      <c r="C2460" t="str">
        <f>"207N00000X"</f>
        <v>207N00000X</v>
      </c>
      <c r="D2460" t="str">
        <f>"CHACON                   ANNA         H           "</f>
        <v xml:space="preserve">CHACON                   ANNA         H           </v>
      </c>
      <c r="E2460" t="str">
        <f t="shared" si="100"/>
        <v xml:space="preserve">MIDDLETOWN                </v>
      </c>
      <c r="F2460" t="str">
        <f t="shared" si="99"/>
        <v>CT</v>
      </c>
    </row>
    <row r="2461" spans="1:6" x14ac:dyDescent="0.25">
      <c r="A2461" t="str">
        <f>"200028101"</f>
        <v>200028101</v>
      </c>
      <c r="B2461" t="str">
        <f>"1871856922"</f>
        <v>1871856922</v>
      </c>
      <c r="C2461" t="str">
        <f>"207RC0000X"</f>
        <v>207RC0000X</v>
      </c>
      <c r="D2461" t="str">
        <f>"BROWN                    SHERRY ANN               "</f>
        <v xml:space="preserve">BROWN                    SHERRY ANN               </v>
      </c>
      <c r="E2461" t="str">
        <f t="shared" si="100"/>
        <v xml:space="preserve">MIDDLETOWN                </v>
      </c>
      <c r="F2461" t="str">
        <f t="shared" si="99"/>
        <v>CT</v>
      </c>
    </row>
    <row r="2462" spans="1:6" x14ac:dyDescent="0.25">
      <c r="A2462" t="str">
        <f>"200028284"</f>
        <v>200028284</v>
      </c>
      <c r="B2462" t="str">
        <f>"1053588376"</f>
        <v>1053588376</v>
      </c>
      <c r="C2462" t="str">
        <f>"2084N0400X"</f>
        <v>2084N0400X</v>
      </c>
      <c r="D2462" t="str">
        <f>"GUTHRIE                  JOSEPH       C           "</f>
        <v xml:space="preserve">GUTHRIE                  JOSEPH       C           </v>
      </c>
      <c r="E2462" t="str">
        <f t="shared" si="100"/>
        <v xml:space="preserve">MIDDLETOWN                </v>
      </c>
      <c r="F2462" t="str">
        <f t="shared" si="99"/>
        <v>CT</v>
      </c>
    </row>
    <row r="2463" spans="1:6" x14ac:dyDescent="0.25">
      <c r="A2463" t="str">
        <f>"200028344"</f>
        <v>200028344</v>
      </c>
      <c r="B2463" t="str">
        <f>"1235226960"</f>
        <v>1235226960</v>
      </c>
      <c r="C2463" t="str">
        <f>"207RC0000X"</f>
        <v>207RC0000X</v>
      </c>
      <c r="D2463" t="str">
        <f>"PARK                     HYEUN                    "</f>
        <v xml:space="preserve">PARK                     HYEUN                    </v>
      </c>
      <c r="E2463" t="str">
        <f t="shared" si="100"/>
        <v xml:space="preserve">MIDDLETOWN                </v>
      </c>
      <c r="F2463" t="str">
        <f t="shared" si="99"/>
        <v>CT</v>
      </c>
    </row>
    <row r="2464" spans="1:6" x14ac:dyDescent="0.25">
      <c r="A2464" t="str">
        <f>"200028759"</f>
        <v>200028759</v>
      </c>
      <c r="B2464" t="str">
        <f>"1467665703"</f>
        <v>1467665703</v>
      </c>
      <c r="C2464" t="str">
        <f>"2084P0800X"</f>
        <v>2084P0800X</v>
      </c>
      <c r="D2464" t="str">
        <f>"BREUER                   TUVIA                    "</f>
        <v xml:space="preserve">BREUER                   TUVIA                    </v>
      </c>
      <c r="E2464" t="str">
        <f t="shared" si="100"/>
        <v xml:space="preserve">MIDDLETOWN                </v>
      </c>
      <c r="F2464" t="str">
        <f t="shared" si="99"/>
        <v>CT</v>
      </c>
    </row>
    <row r="2465" spans="1:6" x14ac:dyDescent="0.25">
      <c r="A2465" t="str">
        <f>"002726208"</f>
        <v>002726208</v>
      </c>
      <c r="B2465" t="str">
        <f>"1104356880"</f>
        <v>1104356880</v>
      </c>
      <c r="C2465" t="str">
        <f>"207P00000X"</f>
        <v>207P00000X</v>
      </c>
      <c r="D2465" t="str">
        <f>"EDGAR                    MATTHEW      D           "</f>
        <v xml:space="preserve">EDGAR                    MATTHEW      D           </v>
      </c>
      <c r="E2465" t="str">
        <f>"PENSACOLA                 "</f>
        <v xml:space="preserve">PENSACOLA                 </v>
      </c>
      <c r="F2465" t="str">
        <f t="shared" ref="F2465:F2492" si="101">"FL"</f>
        <v>FL</v>
      </c>
    </row>
    <row r="2466" spans="1:6" x14ac:dyDescent="0.25">
      <c r="A2466" t="str">
        <f>"003170088"</f>
        <v>003170088</v>
      </c>
      <c r="B2466" t="str">
        <f>"1417928060"</f>
        <v>1417928060</v>
      </c>
      <c r="C2466" t="str">
        <f t="shared" ref="C2466:C2471" si="102">"2085R0202X"</f>
        <v>2085R0202X</v>
      </c>
      <c r="D2466" t="str">
        <f>"SUSSMAN                  ARLENE                   "</f>
        <v xml:space="preserve">SUSSMAN                  ARLENE                   </v>
      </c>
      <c r="E2466" t="str">
        <f>"DELRAY BEACH              "</f>
        <v xml:space="preserve">DELRAY BEACH              </v>
      </c>
      <c r="F2466" t="str">
        <f t="shared" si="101"/>
        <v>FL</v>
      </c>
    </row>
    <row r="2467" spans="1:6" x14ac:dyDescent="0.25">
      <c r="A2467" t="str">
        <f>"003322789"</f>
        <v>003322789</v>
      </c>
      <c r="B2467" t="str">
        <f>"1134562101"</f>
        <v>1134562101</v>
      </c>
      <c r="C2467" t="str">
        <f t="shared" si="102"/>
        <v>2085R0202X</v>
      </c>
      <c r="D2467" t="str">
        <f>"BUCHANAN COOKE           KRYSTAL                  "</f>
        <v xml:space="preserve">BUCHANAN COOKE           KRYSTAL                  </v>
      </c>
      <c r="E2467" t="str">
        <f>"WINDERMERE                "</f>
        <v xml:space="preserve">WINDERMERE                </v>
      </c>
      <c r="F2467" t="str">
        <f t="shared" si="101"/>
        <v>FL</v>
      </c>
    </row>
    <row r="2468" spans="1:6" x14ac:dyDescent="0.25">
      <c r="A2468" t="str">
        <f>"003951077"</f>
        <v>003951077</v>
      </c>
      <c r="B2468" t="str">
        <f>"1689679631"</f>
        <v>1689679631</v>
      </c>
      <c r="C2468" t="str">
        <f t="shared" si="102"/>
        <v>2085R0202X</v>
      </c>
      <c r="D2468" t="str">
        <f>"NICELL                   DONALD       T           "</f>
        <v xml:space="preserve">NICELL                   DONALD       T           </v>
      </c>
      <c r="E2468" t="str">
        <f>"LAKEWOOD RANCH            "</f>
        <v xml:space="preserve">LAKEWOOD RANCH            </v>
      </c>
      <c r="F2468" t="str">
        <f t="shared" si="101"/>
        <v>FL</v>
      </c>
    </row>
    <row r="2469" spans="1:6" x14ac:dyDescent="0.25">
      <c r="A2469" t="str">
        <f>"004024056"</f>
        <v>004024056</v>
      </c>
      <c r="B2469" t="str">
        <f>"1679521686"</f>
        <v>1679521686</v>
      </c>
      <c r="C2469" t="str">
        <f t="shared" si="102"/>
        <v>2085R0202X</v>
      </c>
      <c r="D2469" t="str">
        <f>"ENCARNACION              CARLOS       E           "</f>
        <v xml:space="preserve">ENCARNACION              CARLOS       E           </v>
      </c>
      <c r="E2469" t="str">
        <f>"FORT LAUDERDALE           "</f>
        <v xml:space="preserve">FORT LAUDERDALE           </v>
      </c>
      <c r="F2469" t="str">
        <f t="shared" si="101"/>
        <v>FL</v>
      </c>
    </row>
    <row r="2470" spans="1:6" x14ac:dyDescent="0.25">
      <c r="A2470" t="str">
        <f>"004887761"</f>
        <v>004887761</v>
      </c>
      <c r="B2470" t="str">
        <f>"1730323213"</f>
        <v>1730323213</v>
      </c>
      <c r="C2470" t="str">
        <f t="shared" si="102"/>
        <v>2085R0202X</v>
      </c>
      <c r="D2470" t="str">
        <f>"SEARCEY                  BRETT        K           "</f>
        <v xml:space="preserve">SEARCEY                  BRETT        K           </v>
      </c>
      <c r="E2470" t="str">
        <f>"PENSACOLA                 "</f>
        <v xml:space="preserve">PENSACOLA                 </v>
      </c>
      <c r="F2470" t="str">
        <f t="shared" si="101"/>
        <v>FL</v>
      </c>
    </row>
    <row r="2471" spans="1:6" x14ac:dyDescent="0.25">
      <c r="A2471" t="str">
        <f>"005157783"</f>
        <v>005157783</v>
      </c>
      <c r="B2471" t="str">
        <f>"1821049420"</f>
        <v>1821049420</v>
      </c>
      <c r="C2471" t="str">
        <f t="shared" si="102"/>
        <v>2085R0202X</v>
      </c>
      <c r="D2471" t="str">
        <f>"YUTZY                    GERALD       G           "</f>
        <v xml:space="preserve">YUTZY                    GERALD       G           </v>
      </c>
      <c r="E2471" t="str">
        <f>"BONITA SPRINGS            "</f>
        <v xml:space="preserve">BONITA SPRINGS            </v>
      </c>
      <c r="F2471" t="str">
        <f t="shared" si="101"/>
        <v>FL</v>
      </c>
    </row>
    <row r="2472" spans="1:6" x14ac:dyDescent="0.25">
      <c r="A2472" t="str">
        <f>"005731211"</f>
        <v>005731211</v>
      </c>
      <c r="B2472" t="str">
        <f>"1407835184"</f>
        <v>1407835184</v>
      </c>
      <c r="C2472" t="str">
        <f>"207N00000X"</f>
        <v>207N00000X</v>
      </c>
      <c r="D2472" t="str">
        <f>"MORGAN                   MICHAEL      B           "</f>
        <v xml:space="preserve">MORGAN                   MICHAEL      B           </v>
      </c>
      <c r="E2472" t="str">
        <f>"PANAMA CITY               "</f>
        <v xml:space="preserve">PANAMA CITY               </v>
      </c>
      <c r="F2472" t="str">
        <f t="shared" si="101"/>
        <v>FL</v>
      </c>
    </row>
    <row r="2473" spans="1:6" x14ac:dyDescent="0.25">
      <c r="A2473" t="str">
        <f>"008054790"</f>
        <v>008054790</v>
      </c>
      <c r="B2473" t="str">
        <f>"1457359630"</f>
        <v>1457359630</v>
      </c>
      <c r="C2473" t="str">
        <f t="shared" ref="C2473:C2478" si="103">"2085R0202X"</f>
        <v>2085R0202X</v>
      </c>
      <c r="D2473" t="str">
        <f>"SONKEN                   RONALD       S           "</f>
        <v xml:space="preserve">SONKEN                   RONALD       S           </v>
      </c>
      <c r="E2473" t="str">
        <f>"ORLANDO                   "</f>
        <v xml:space="preserve">ORLANDO                   </v>
      </c>
      <c r="F2473" t="str">
        <f t="shared" si="101"/>
        <v>FL</v>
      </c>
    </row>
    <row r="2474" spans="1:6" x14ac:dyDescent="0.25">
      <c r="A2474" t="str">
        <f>"008056857"</f>
        <v>008056857</v>
      </c>
      <c r="B2474" t="str">
        <f>"1578548533"</f>
        <v>1578548533</v>
      </c>
      <c r="C2474" t="str">
        <f t="shared" si="103"/>
        <v>2085R0202X</v>
      </c>
      <c r="D2474" t="str">
        <f>"MCDONNELL                KEVIN        M           "</f>
        <v xml:space="preserve">MCDONNELL                KEVIN        M           </v>
      </c>
      <c r="E2474" t="str">
        <f>"MIAMI                     "</f>
        <v xml:space="preserve">MIAMI                     </v>
      </c>
      <c r="F2474" t="str">
        <f t="shared" si="101"/>
        <v>FL</v>
      </c>
    </row>
    <row r="2475" spans="1:6" x14ac:dyDescent="0.25">
      <c r="A2475" t="str">
        <f>"008254395"</f>
        <v>008254395</v>
      </c>
      <c r="B2475" t="str">
        <f>"1932170131"</f>
        <v>1932170131</v>
      </c>
      <c r="C2475" t="str">
        <f t="shared" si="103"/>
        <v>2085R0202X</v>
      </c>
      <c r="D2475" t="str">
        <f>"COBB                     MICHAEL      L           "</f>
        <v xml:space="preserve">COBB                     MICHAEL      L           </v>
      </c>
      <c r="E2475" t="str">
        <f>"FERNANDINA BEACH          "</f>
        <v xml:space="preserve">FERNANDINA BEACH          </v>
      </c>
      <c r="F2475" t="str">
        <f t="shared" si="101"/>
        <v>FL</v>
      </c>
    </row>
    <row r="2476" spans="1:6" x14ac:dyDescent="0.25">
      <c r="A2476" t="str">
        <f>"008422074"</f>
        <v>008422074</v>
      </c>
      <c r="B2476" t="str">
        <f>"1104849827"</f>
        <v>1104849827</v>
      </c>
      <c r="C2476" t="str">
        <f t="shared" si="103"/>
        <v>2085R0202X</v>
      </c>
      <c r="D2476" t="str">
        <f>"FLETCHER                 JAMES        D           "</f>
        <v xml:space="preserve">FLETCHER                 JAMES        D           </v>
      </c>
      <c r="E2476" t="str">
        <f>"HYPOLUXO                  "</f>
        <v xml:space="preserve">HYPOLUXO                  </v>
      </c>
      <c r="F2476" t="str">
        <f t="shared" si="101"/>
        <v>FL</v>
      </c>
    </row>
    <row r="2477" spans="1:6" x14ac:dyDescent="0.25">
      <c r="A2477" t="str">
        <f>"008785007"</f>
        <v>008785007</v>
      </c>
      <c r="B2477" t="str">
        <f>"1336127687"</f>
        <v>1336127687</v>
      </c>
      <c r="C2477" t="str">
        <f t="shared" si="103"/>
        <v>2085R0202X</v>
      </c>
      <c r="D2477" t="str">
        <f>"IVES                     DAVID        C           "</f>
        <v xml:space="preserve">IVES                     DAVID        C           </v>
      </c>
      <c r="E2477" t="str">
        <f>"NICEVILLE                 "</f>
        <v xml:space="preserve">NICEVILLE                 </v>
      </c>
      <c r="F2477" t="str">
        <f t="shared" si="101"/>
        <v>FL</v>
      </c>
    </row>
    <row r="2478" spans="1:6" x14ac:dyDescent="0.25">
      <c r="A2478" t="str">
        <f>"200003425"</f>
        <v>200003425</v>
      </c>
      <c r="B2478" t="str">
        <f>"1154570984"</f>
        <v>1154570984</v>
      </c>
      <c r="C2478" t="str">
        <f t="shared" si="103"/>
        <v>2085R0202X</v>
      </c>
      <c r="D2478" t="str">
        <f>"JIMENEZ                  GUILLERMO    R           "</f>
        <v xml:space="preserve">JIMENEZ                  GUILLERMO    R           </v>
      </c>
      <c r="E2478" t="str">
        <f>"WINTER SPRINGS            "</f>
        <v xml:space="preserve">WINTER SPRINGS            </v>
      </c>
      <c r="F2478" t="str">
        <f t="shared" si="101"/>
        <v>FL</v>
      </c>
    </row>
    <row r="2479" spans="1:6" x14ac:dyDescent="0.25">
      <c r="A2479" t="str">
        <f>"200008093"</f>
        <v>200008093</v>
      </c>
      <c r="B2479" t="str">
        <f>"1861495426"</f>
        <v>1861495426</v>
      </c>
      <c r="C2479" t="str">
        <f>"207N00000X"</f>
        <v>207N00000X</v>
      </c>
      <c r="D2479" t="str">
        <f>"GEHRIS                   ROBIN        P           "</f>
        <v xml:space="preserve">GEHRIS                   ROBIN        P           </v>
      </c>
      <c r="E2479" t="str">
        <f>"MIRAMAR                   "</f>
        <v xml:space="preserve">MIRAMAR                   </v>
      </c>
      <c r="F2479" t="str">
        <f t="shared" si="101"/>
        <v>FL</v>
      </c>
    </row>
    <row r="2480" spans="1:6" x14ac:dyDescent="0.25">
      <c r="A2480" t="str">
        <f>"200010192"</f>
        <v>200010192</v>
      </c>
      <c r="B2480" t="str">
        <f>"1508122946"</f>
        <v>1508122946</v>
      </c>
      <c r="C2480" t="str">
        <f>"207ZP0102X"</f>
        <v>207ZP0102X</v>
      </c>
      <c r="D2480" t="str">
        <f>"BARKER                   HEATHER                  "</f>
        <v xml:space="preserve">BARKER                   HEATHER                  </v>
      </c>
      <c r="E2480" t="str">
        <f>"PANAMA CITY               "</f>
        <v xml:space="preserve">PANAMA CITY               </v>
      </c>
      <c r="F2480" t="str">
        <f t="shared" si="101"/>
        <v>FL</v>
      </c>
    </row>
    <row r="2481" spans="1:6" x14ac:dyDescent="0.25">
      <c r="A2481" t="str">
        <f>"200012015"</f>
        <v>200012015</v>
      </c>
      <c r="B2481" t="str">
        <f>"1710272661"</f>
        <v>1710272661</v>
      </c>
      <c r="C2481" t="str">
        <f>"2085R0202X"</f>
        <v>2085R0202X</v>
      </c>
      <c r="D2481" t="str">
        <f>"GARVIN                   DANIEL                   "</f>
        <v xml:space="preserve">GARVIN                   DANIEL                   </v>
      </c>
      <c r="E2481" t="str">
        <f>"MILTON                    "</f>
        <v xml:space="preserve">MILTON                    </v>
      </c>
      <c r="F2481" t="str">
        <f t="shared" si="101"/>
        <v>FL</v>
      </c>
    </row>
    <row r="2482" spans="1:6" x14ac:dyDescent="0.25">
      <c r="A2482" t="str">
        <f>"200016991"</f>
        <v>200016991</v>
      </c>
      <c r="B2482" t="str">
        <f>"1598108557"</f>
        <v>1598108557</v>
      </c>
      <c r="C2482" t="str">
        <f>"207P00000X"</f>
        <v>207P00000X</v>
      </c>
      <c r="D2482" t="str">
        <f>"PATEL                    RAVI         J           "</f>
        <v xml:space="preserve">PATEL                    RAVI         J           </v>
      </c>
      <c r="E2482" t="str">
        <f>"GAINESVILLE               "</f>
        <v xml:space="preserve">GAINESVILLE               </v>
      </c>
      <c r="F2482" t="str">
        <f t="shared" si="101"/>
        <v>FL</v>
      </c>
    </row>
    <row r="2483" spans="1:6" x14ac:dyDescent="0.25">
      <c r="A2483" t="str">
        <f>"200019094"</f>
        <v>200019094</v>
      </c>
      <c r="B2483" t="str">
        <f>"1881220846"</f>
        <v>1881220846</v>
      </c>
      <c r="C2483" t="str">
        <f>"207Q00000X"</f>
        <v>207Q00000X</v>
      </c>
      <c r="D2483" t="str">
        <f>"MOHAMED                  ESLAM                    "</f>
        <v xml:space="preserve">MOHAMED                  ESLAM                    </v>
      </c>
      <c r="E2483" t="str">
        <f>"BRANDON                   "</f>
        <v xml:space="preserve">BRANDON                   </v>
      </c>
      <c r="F2483" t="str">
        <f t="shared" si="101"/>
        <v>FL</v>
      </c>
    </row>
    <row r="2484" spans="1:6" x14ac:dyDescent="0.25">
      <c r="A2484" t="str">
        <f>"200019891"</f>
        <v>200019891</v>
      </c>
      <c r="B2484" t="str">
        <f>"1922493196"</f>
        <v>1922493196</v>
      </c>
      <c r="C2484" t="str">
        <f>"2083X0100X"</f>
        <v>2083X0100X</v>
      </c>
      <c r="D2484" t="str">
        <f>"MEHTA                    RITESH                   "</f>
        <v xml:space="preserve">MEHTA                    RITESH                   </v>
      </c>
      <c r="E2484" t="str">
        <f>"MIAMI                     "</f>
        <v xml:space="preserve">MIAMI                     </v>
      </c>
      <c r="F2484" t="str">
        <f t="shared" si="101"/>
        <v>FL</v>
      </c>
    </row>
    <row r="2485" spans="1:6" x14ac:dyDescent="0.25">
      <c r="A2485" t="str">
        <f>"200025830"</f>
        <v>200025830</v>
      </c>
      <c r="B2485" t="str">
        <f>"1235176439"</f>
        <v>1235176439</v>
      </c>
      <c r="C2485" t="str">
        <f>"2086S0120X"</f>
        <v>2086S0120X</v>
      </c>
      <c r="D2485" t="str">
        <f>"SMITHERS                 CHARLES                  "</f>
        <v xml:space="preserve">SMITHERS                 CHARLES                  </v>
      </c>
      <c r="E2485" t="str">
        <f>"ST PETERSBURG             "</f>
        <v xml:space="preserve">ST PETERSBURG             </v>
      </c>
      <c r="F2485" t="str">
        <f t="shared" si="101"/>
        <v>FL</v>
      </c>
    </row>
    <row r="2486" spans="1:6" x14ac:dyDescent="0.25">
      <c r="A2486" t="str">
        <f>"200026555"</f>
        <v>200026555</v>
      </c>
      <c r="B2486" t="str">
        <f>"1528333887"</f>
        <v>1528333887</v>
      </c>
      <c r="C2486" t="str">
        <f>"2085R0202X"</f>
        <v>2085R0202X</v>
      </c>
      <c r="D2486" t="str">
        <f>"MAWN                     JOHN                     "</f>
        <v xml:space="preserve">MAWN                     JOHN                     </v>
      </c>
      <c r="E2486" t="str">
        <f>"DESTIN                    "</f>
        <v xml:space="preserve">DESTIN                    </v>
      </c>
      <c r="F2486" t="str">
        <f t="shared" si="101"/>
        <v>FL</v>
      </c>
    </row>
    <row r="2487" spans="1:6" x14ac:dyDescent="0.25">
      <c r="A2487" t="str">
        <f>"200028186"</f>
        <v>200028186</v>
      </c>
      <c r="B2487" t="str">
        <f>"1457766065"</f>
        <v>1457766065</v>
      </c>
      <c r="C2487" t="str">
        <f>"2084P0800X"</f>
        <v>2084P0800X</v>
      </c>
      <c r="D2487" t="str">
        <f>"ACOSTA                   JADIYER      O           "</f>
        <v xml:space="preserve">ACOSTA                   JADIYER      O           </v>
      </c>
      <c r="E2487" t="str">
        <f>"MIAMI                     "</f>
        <v xml:space="preserve">MIAMI                     </v>
      </c>
      <c r="F2487" t="str">
        <f t="shared" si="101"/>
        <v>FL</v>
      </c>
    </row>
    <row r="2488" spans="1:6" x14ac:dyDescent="0.25">
      <c r="A2488" t="str">
        <f>"200028506"</f>
        <v>200028506</v>
      </c>
      <c r="B2488" t="str">
        <f>"1760973051"</f>
        <v>1760973051</v>
      </c>
      <c r="C2488" t="str">
        <f>"2084P0800X"</f>
        <v>2084P0800X</v>
      </c>
      <c r="D2488" t="str">
        <f>"RODRIGUEZ                MARIBEL                  "</f>
        <v xml:space="preserve">RODRIGUEZ                MARIBEL                  </v>
      </c>
      <c r="E2488" t="str">
        <f>"MIAMI                     "</f>
        <v xml:space="preserve">MIAMI                     </v>
      </c>
      <c r="F2488" t="str">
        <f t="shared" si="101"/>
        <v>FL</v>
      </c>
    </row>
    <row r="2489" spans="1:6" x14ac:dyDescent="0.25">
      <c r="A2489" t="str">
        <f>"200028730"</f>
        <v>200028730</v>
      </c>
      <c r="B2489" t="str">
        <f>"1053794917"</f>
        <v>1053794917</v>
      </c>
      <c r="C2489" t="str">
        <f>"207P00000X"</f>
        <v>207P00000X</v>
      </c>
      <c r="D2489" t="str">
        <f>"WARREN                   NICOLE       L           "</f>
        <v xml:space="preserve">WARREN                   NICOLE       L           </v>
      </c>
      <c r="E2489" t="str">
        <f>"MIAMI                     "</f>
        <v xml:space="preserve">MIAMI                     </v>
      </c>
      <c r="F2489" t="str">
        <f t="shared" si="101"/>
        <v>FL</v>
      </c>
    </row>
    <row r="2490" spans="1:6" x14ac:dyDescent="0.25">
      <c r="A2490" t="str">
        <f>"200029078"</f>
        <v>200029078</v>
      </c>
      <c r="B2490" t="str">
        <f>"1457309478"</f>
        <v>1457309478</v>
      </c>
      <c r="C2490" t="str">
        <f>"2085R0202X"</f>
        <v>2085R0202X</v>
      </c>
      <c r="D2490" t="str">
        <f>"WRIGHT                   AARON                    "</f>
        <v xml:space="preserve">WRIGHT                   AARON                    </v>
      </c>
      <c r="E2490" t="str">
        <f>"ESTERO                    "</f>
        <v xml:space="preserve">ESTERO                    </v>
      </c>
      <c r="F2490" t="str">
        <f t="shared" si="101"/>
        <v>FL</v>
      </c>
    </row>
    <row r="2491" spans="1:6" x14ac:dyDescent="0.25">
      <c r="A2491" t="str">
        <f>"200029085"</f>
        <v>200029085</v>
      </c>
      <c r="B2491" t="str">
        <f>"1093700957"</f>
        <v>1093700957</v>
      </c>
      <c r="C2491" t="str">
        <f>"2085R0202X"</f>
        <v>2085R0202X</v>
      </c>
      <c r="D2491" t="str">
        <f>"GUNDLACH                 RONNIE                   "</f>
        <v xml:space="preserve">GUNDLACH                 RONNIE                   </v>
      </c>
      <c r="E2491" t="str">
        <f>"PALM CITY                 "</f>
        <v xml:space="preserve">PALM CITY                 </v>
      </c>
      <c r="F2491" t="str">
        <f t="shared" si="101"/>
        <v>FL</v>
      </c>
    </row>
    <row r="2492" spans="1:6" x14ac:dyDescent="0.25">
      <c r="A2492" t="str">
        <f>"200029225"</f>
        <v>200029225</v>
      </c>
      <c r="B2492" t="str">
        <f>"1366419384"</f>
        <v>1366419384</v>
      </c>
      <c r="C2492" t="str">
        <f>"2085R0202X"</f>
        <v>2085R0202X</v>
      </c>
      <c r="D2492" t="str">
        <f>"BRESLAW                  BRIAN                    "</f>
        <v xml:space="preserve">BRESLAW                  BRIAN                    </v>
      </c>
      <c r="E2492" t="str">
        <f>"PORT SAINT LUCIE          "</f>
        <v xml:space="preserve">PORT SAINT LUCIE          </v>
      </c>
      <c r="F2492" t="str">
        <f t="shared" si="101"/>
        <v>FL</v>
      </c>
    </row>
    <row r="2493" spans="1:6" x14ac:dyDescent="0.25">
      <c r="A2493" t="str">
        <f>"001981759"</f>
        <v>001981759</v>
      </c>
      <c r="B2493" t="str">
        <f>"1144297466"</f>
        <v>1144297466</v>
      </c>
      <c r="C2493" t="str">
        <f>"2086S0122X"</f>
        <v>2086S0122X</v>
      </c>
      <c r="D2493" t="str">
        <f>"HASSAN                   ZAHEED                   "</f>
        <v xml:space="preserve">HASSAN                   ZAHEED                   </v>
      </c>
      <c r="E2493" t="str">
        <f>"AUGUSTA                   "</f>
        <v xml:space="preserve">AUGUSTA                   </v>
      </c>
      <c r="F2493" t="str">
        <f t="shared" ref="F2493:F2500" si="104">"GA"</f>
        <v>GA</v>
      </c>
    </row>
    <row r="2494" spans="1:6" x14ac:dyDescent="0.25">
      <c r="A2494" t="str">
        <f>"006787502"</f>
        <v>006787502</v>
      </c>
      <c r="B2494" t="str">
        <f>"1023094737"</f>
        <v>1023094737</v>
      </c>
      <c r="C2494" t="str">
        <f>"2085R0202X"</f>
        <v>2085R0202X</v>
      </c>
      <c r="D2494" t="str">
        <f>"FOX II                   STEPHEN      G           "</f>
        <v xml:space="preserve">FOX II                   STEPHEN      G           </v>
      </c>
      <c r="E2494" t="str">
        <f>"CUMMING                   "</f>
        <v xml:space="preserve">CUMMING                   </v>
      </c>
      <c r="F2494" t="str">
        <f t="shared" si="104"/>
        <v>GA</v>
      </c>
    </row>
    <row r="2495" spans="1:6" x14ac:dyDescent="0.25">
      <c r="A2495" t="str">
        <f>"007206268"</f>
        <v>007206268</v>
      </c>
      <c r="B2495" t="str">
        <f>"1750351326"</f>
        <v>1750351326</v>
      </c>
      <c r="C2495" t="str">
        <f>"208000000X"</f>
        <v>208000000X</v>
      </c>
      <c r="D2495" t="str">
        <f>"CARTIE                   RICHARD      J           "</f>
        <v xml:space="preserve">CARTIE                   RICHARD      J           </v>
      </c>
      <c r="E2495" t="str">
        <f>"AUGUSTA                   "</f>
        <v xml:space="preserve">AUGUSTA                   </v>
      </c>
      <c r="F2495" t="str">
        <f t="shared" si="104"/>
        <v>GA</v>
      </c>
    </row>
    <row r="2496" spans="1:6" x14ac:dyDescent="0.25">
      <c r="A2496" t="str">
        <f>"200005872"</f>
        <v>200005872</v>
      </c>
      <c r="B2496" t="str">
        <f>"1245469576"</f>
        <v>1245469576</v>
      </c>
      <c r="C2496" t="str">
        <f>"2085R0202X"</f>
        <v>2085R0202X</v>
      </c>
      <c r="D2496" t="str">
        <f>"JOHNSON                  WILLIAM      R           "</f>
        <v xml:space="preserve">JOHNSON                  WILLIAM      R           </v>
      </c>
      <c r="E2496" t="str">
        <f>"ATLANTA                   "</f>
        <v xml:space="preserve">ATLANTA                   </v>
      </c>
      <c r="F2496" t="str">
        <f t="shared" si="104"/>
        <v>GA</v>
      </c>
    </row>
    <row r="2497" spans="1:6" x14ac:dyDescent="0.25">
      <c r="A2497" t="str">
        <f>"200016430"</f>
        <v>200016430</v>
      </c>
      <c r="B2497" t="str">
        <f>"1023471547"</f>
        <v>1023471547</v>
      </c>
      <c r="C2497" t="str">
        <f>"207P00000X"</f>
        <v>207P00000X</v>
      </c>
      <c r="D2497" t="str">
        <f>"FUNSCH                   DANIEL                   "</f>
        <v xml:space="preserve">FUNSCH                   DANIEL                   </v>
      </c>
      <c r="E2497" t="str">
        <f>"PEACHTREE CORNERS         "</f>
        <v xml:space="preserve">PEACHTREE CORNERS         </v>
      </c>
      <c r="F2497" t="str">
        <f t="shared" si="104"/>
        <v>GA</v>
      </c>
    </row>
    <row r="2498" spans="1:6" x14ac:dyDescent="0.25">
      <c r="A2498" t="str">
        <f>"200016678"</f>
        <v>200016678</v>
      </c>
      <c r="B2498" t="str">
        <f>"1497374565"</f>
        <v>1497374565</v>
      </c>
      <c r="C2498" t="str">
        <f>"207P00000X"</f>
        <v>207P00000X</v>
      </c>
      <c r="D2498" t="str">
        <f>"INFANZON                 JAMES        W           "</f>
        <v xml:space="preserve">INFANZON                 JAMES        W           </v>
      </c>
      <c r="E2498" t="str">
        <f>"MARIETTA                  "</f>
        <v xml:space="preserve">MARIETTA                  </v>
      </c>
      <c r="F2498" t="str">
        <f t="shared" si="104"/>
        <v>GA</v>
      </c>
    </row>
    <row r="2499" spans="1:6" x14ac:dyDescent="0.25">
      <c r="A2499" t="str">
        <f>"200016862"</f>
        <v>200016862</v>
      </c>
      <c r="B2499" t="str">
        <f>"1184010613"</f>
        <v>1184010613</v>
      </c>
      <c r="C2499" t="str">
        <f>"207P00000X"</f>
        <v>207P00000X</v>
      </c>
      <c r="D2499" t="str">
        <f>"KHAN                     ADNAN                    "</f>
        <v xml:space="preserve">KHAN                     ADNAN                    </v>
      </c>
      <c r="E2499" t="str">
        <f>"PEACHTREE CORNERS         "</f>
        <v xml:space="preserve">PEACHTREE CORNERS         </v>
      </c>
      <c r="F2499" t="str">
        <f t="shared" si="104"/>
        <v>GA</v>
      </c>
    </row>
    <row r="2500" spans="1:6" x14ac:dyDescent="0.25">
      <c r="A2500" t="str">
        <f>"200020473"</f>
        <v>200020473</v>
      </c>
      <c r="B2500" t="str">
        <f>"1902187479"</f>
        <v>1902187479</v>
      </c>
      <c r="C2500" t="str">
        <f>"2085R0202X"</f>
        <v>2085R0202X</v>
      </c>
      <c r="D2500" t="str">
        <f>"CAIL                     KENNETH III              "</f>
        <v xml:space="preserve">CAIL                     KENNETH III              </v>
      </c>
      <c r="E2500" t="str">
        <f>"SAVANNAH                  "</f>
        <v xml:space="preserve">SAVANNAH                  </v>
      </c>
      <c r="F2500" t="str">
        <f t="shared" si="104"/>
        <v>GA</v>
      </c>
    </row>
    <row r="2501" spans="1:6" x14ac:dyDescent="0.25">
      <c r="A2501" t="str">
        <f>"005432508"</f>
        <v>005432508</v>
      </c>
      <c r="B2501" t="str">
        <f>"1447613005"</f>
        <v>1447613005</v>
      </c>
      <c r="C2501" t="str">
        <f>"2085R0202X"</f>
        <v>2085R0202X</v>
      </c>
      <c r="D2501" t="str">
        <f>"MSZYCO                   STEVEN       M           "</f>
        <v xml:space="preserve">MSZYCO                   STEVEN       M           </v>
      </c>
      <c r="E2501" t="str">
        <f>"KAPOLEI                   "</f>
        <v xml:space="preserve">KAPOLEI                   </v>
      </c>
      <c r="F2501" t="str">
        <f>"HI"</f>
        <v>HI</v>
      </c>
    </row>
    <row r="2502" spans="1:6" x14ac:dyDescent="0.25">
      <c r="A2502" t="str">
        <f>"008259502"</f>
        <v>008259502</v>
      </c>
      <c r="B2502" t="str">
        <f>"1720063852"</f>
        <v>1720063852</v>
      </c>
      <c r="C2502" t="str">
        <f>"2085R0202X"</f>
        <v>2085R0202X</v>
      </c>
      <c r="D2502" t="str">
        <f>"CHANG                    JOHN         K           "</f>
        <v xml:space="preserve">CHANG                    JOHN         K           </v>
      </c>
      <c r="E2502" t="str">
        <f>"HONOLULU                  "</f>
        <v xml:space="preserve">HONOLULU                  </v>
      </c>
      <c r="F2502" t="str">
        <f>"HI"</f>
        <v>HI</v>
      </c>
    </row>
    <row r="2503" spans="1:6" x14ac:dyDescent="0.25">
      <c r="A2503" t="str">
        <f>"005579715"</f>
        <v>005579715</v>
      </c>
      <c r="B2503" t="str">
        <f>"1376536524"</f>
        <v>1376536524</v>
      </c>
      <c r="C2503" t="str">
        <f>"2085R0202X"</f>
        <v>2085R0202X</v>
      </c>
      <c r="D2503" t="str">
        <f>"HUGHES                   JASON        D           "</f>
        <v xml:space="preserve">HUGHES                   JASON        D           </v>
      </c>
      <c r="E2503" t="str">
        <f>"DUBUQUE                   "</f>
        <v xml:space="preserve">DUBUQUE                   </v>
      </c>
      <c r="F2503" t="str">
        <f t="shared" ref="F2503:F2514" si="105">"IA"</f>
        <v>IA</v>
      </c>
    </row>
    <row r="2504" spans="1:6" x14ac:dyDescent="0.25">
      <c r="A2504" t="str">
        <f>"200018422"</f>
        <v>200018422</v>
      </c>
      <c r="B2504" t="str">
        <f>"1477761328"</f>
        <v>1477761328</v>
      </c>
      <c r="C2504" t="str">
        <f>"207SG0201X"</f>
        <v>207SG0201X</v>
      </c>
      <c r="D2504" t="str">
        <f>"CALHOUN                  AMY                      "</f>
        <v xml:space="preserve">CALHOUN                  AMY                      </v>
      </c>
      <c r="E2504" t="str">
        <f>"IOWA CITY                 "</f>
        <v xml:space="preserve">IOWA CITY                 </v>
      </c>
      <c r="F2504" t="str">
        <f t="shared" si="105"/>
        <v>IA</v>
      </c>
    </row>
    <row r="2505" spans="1:6" x14ac:dyDescent="0.25">
      <c r="A2505" t="str">
        <f>"200020644"</f>
        <v>200020644</v>
      </c>
      <c r="B2505" t="str">
        <f>"1447213723"</f>
        <v>1447213723</v>
      </c>
      <c r="C2505" t="str">
        <f>"2085R0202X"</f>
        <v>2085R0202X</v>
      </c>
      <c r="D2505" t="str">
        <f>"MCDONALD                 JOSHUA                   "</f>
        <v xml:space="preserve">MCDONALD                 JOSHUA                   </v>
      </c>
      <c r="E2505" t="str">
        <f>"NORTH LIBERTY             "</f>
        <v xml:space="preserve">NORTH LIBERTY             </v>
      </c>
      <c r="F2505" t="str">
        <f t="shared" si="105"/>
        <v>IA</v>
      </c>
    </row>
    <row r="2506" spans="1:6" x14ac:dyDescent="0.25">
      <c r="A2506" t="str">
        <f>"200021796"</f>
        <v>200021796</v>
      </c>
      <c r="B2506" t="str">
        <f>"1992790273"</f>
        <v>1992790273</v>
      </c>
      <c r="C2506" t="str">
        <f>"207P00000X"</f>
        <v>207P00000X</v>
      </c>
      <c r="D2506" t="str">
        <f>"SHOUKIH                  TAMEEM                   "</f>
        <v xml:space="preserve">SHOUKIH                  TAMEEM                   </v>
      </c>
      <c r="E2506" t="str">
        <f t="shared" ref="E2506:E2514" si="106">"IOWA CITY                 "</f>
        <v xml:space="preserve">IOWA CITY                 </v>
      </c>
      <c r="F2506" t="str">
        <f t="shared" si="105"/>
        <v>IA</v>
      </c>
    </row>
    <row r="2507" spans="1:6" x14ac:dyDescent="0.25">
      <c r="A2507" t="str">
        <f>"200022897"</f>
        <v>200022897</v>
      </c>
      <c r="B2507" t="str">
        <f>"1548496839"</f>
        <v>1548496839</v>
      </c>
      <c r="C2507" t="str">
        <f>"207P00000X"</f>
        <v>207P00000X</v>
      </c>
      <c r="D2507" t="str">
        <f>"EASTIN                   CARLY                    "</f>
        <v xml:space="preserve">EASTIN                   CARLY                    </v>
      </c>
      <c r="E2507" t="str">
        <f t="shared" si="106"/>
        <v xml:space="preserve">IOWA CITY                 </v>
      </c>
      <c r="F2507" t="str">
        <f t="shared" si="105"/>
        <v>IA</v>
      </c>
    </row>
    <row r="2508" spans="1:6" x14ac:dyDescent="0.25">
      <c r="A2508" t="str">
        <f>"200026551"</f>
        <v>200026551</v>
      </c>
      <c r="B2508" t="str">
        <f>"1326780826"</f>
        <v>1326780826</v>
      </c>
      <c r="C2508" t="str">
        <f>"2085R0202X"</f>
        <v>2085R0202X</v>
      </c>
      <c r="D2508" t="str">
        <f>"MOREIRA BELLO            RODRIGO                  "</f>
        <v xml:space="preserve">MOREIRA BELLO            RODRIGO                  </v>
      </c>
      <c r="E2508" t="str">
        <f t="shared" si="106"/>
        <v xml:space="preserve">IOWA CITY                 </v>
      </c>
      <c r="F2508" t="str">
        <f t="shared" si="105"/>
        <v>IA</v>
      </c>
    </row>
    <row r="2509" spans="1:6" x14ac:dyDescent="0.25">
      <c r="A2509" t="str">
        <f>"200026933"</f>
        <v>200026933</v>
      </c>
      <c r="B2509" t="str">
        <f>"1154167799"</f>
        <v>1154167799</v>
      </c>
      <c r="C2509" t="str">
        <f>"2085R0202X"</f>
        <v>2085R0202X</v>
      </c>
      <c r="D2509" t="str">
        <f>"VIDAL LEAO SANFORD       RENATA                   "</f>
        <v xml:space="preserve">VIDAL LEAO SANFORD       RENATA                   </v>
      </c>
      <c r="E2509" t="str">
        <f t="shared" si="106"/>
        <v xml:space="preserve">IOWA CITY                 </v>
      </c>
      <c r="F2509" t="str">
        <f t="shared" si="105"/>
        <v>IA</v>
      </c>
    </row>
    <row r="2510" spans="1:6" x14ac:dyDescent="0.25">
      <c r="A2510" t="str">
        <f>"200027489"</f>
        <v>200027489</v>
      </c>
      <c r="B2510" t="str">
        <f>"1770591539"</f>
        <v>1770591539</v>
      </c>
      <c r="C2510" t="str">
        <f>"207R00000X"</f>
        <v>207R00000X</v>
      </c>
      <c r="D2510" t="str">
        <f>"YODER                    SCOTT                    "</f>
        <v xml:space="preserve">YODER                    SCOTT                    </v>
      </c>
      <c r="E2510" t="str">
        <f t="shared" si="106"/>
        <v xml:space="preserve">IOWA CITY                 </v>
      </c>
      <c r="F2510" t="str">
        <f t="shared" si="105"/>
        <v>IA</v>
      </c>
    </row>
    <row r="2511" spans="1:6" x14ac:dyDescent="0.25">
      <c r="A2511" t="str">
        <f>"200027698"</f>
        <v>200027698</v>
      </c>
      <c r="B2511" t="str">
        <f>"1285709899"</f>
        <v>1285709899</v>
      </c>
      <c r="C2511" t="str">
        <f>"207R00000X"</f>
        <v>207R00000X</v>
      </c>
      <c r="D2511" t="str">
        <f>"ZINGMAN                  LEONID                   "</f>
        <v xml:space="preserve">ZINGMAN                  LEONID                   </v>
      </c>
      <c r="E2511" t="str">
        <f t="shared" si="106"/>
        <v xml:space="preserve">IOWA CITY                 </v>
      </c>
      <c r="F2511" t="str">
        <f t="shared" si="105"/>
        <v>IA</v>
      </c>
    </row>
    <row r="2512" spans="1:6" x14ac:dyDescent="0.25">
      <c r="A2512" t="str">
        <f>"200027910"</f>
        <v>200027910</v>
      </c>
      <c r="B2512" t="str">
        <f>"1215162110"</f>
        <v>1215162110</v>
      </c>
      <c r="C2512" t="str">
        <f>"207RI0200X"</f>
        <v>207RI0200X</v>
      </c>
      <c r="D2512" t="str">
        <f>"HODGES                   JACOB                    "</f>
        <v xml:space="preserve">HODGES                   JACOB                    </v>
      </c>
      <c r="E2512" t="str">
        <f t="shared" si="106"/>
        <v xml:space="preserve">IOWA CITY                 </v>
      </c>
      <c r="F2512" t="str">
        <f t="shared" si="105"/>
        <v>IA</v>
      </c>
    </row>
    <row r="2513" spans="1:6" x14ac:dyDescent="0.25">
      <c r="A2513" t="str">
        <f>"200027918"</f>
        <v>200027918</v>
      </c>
      <c r="B2513" t="str">
        <f>"1245551555"</f>
        <v>1245551555</v>
      </c>
      <c r="C2513" t="str">
        <f>"207L00000X"</f>
        <v>207L00000X</v>
      </c>
      <c r="D2513" t="str">
        <f>"FEIDER                   ANDREW                   "</f>
        <v xml:space="preserve">FEIDER                   ANDREW                   </v>
      </c>
      <c r="E2513" t="str">
        <f t="shared" si="106"/>
        <v xml:space="preserve">IOWA CITY                 </v>
      </c>
      <c r="F2513" t="str">
        <f t="shared" si="105"/>
        <v>IA</v>
      </c>
    </row>
    <row r="2514" spans="1:6" x14ac:dyDescent="0.25">
      <c r="A2514" t="str">
        <f>"200028960"</f>
        <v>200028960</v>
      </c>
      <c r="B2514" t="str">
        <f>"1720255409"</f>
        <v>1720255409</v>
      </c>
      <c r="C2514" t="str">
        <f>"207P00000X"</f>
        <v>207P00000X</v>
      </c>
      <c r="D2514" t="str">
        <f>"WITTROCK                 CORY                     "</f>
        <v xml:space="preserve">WITTROCK                 CORY                     </v>
      </c>
      <c r="E2514" t="str">
        <f t="shared" si="106"/>
        <v xml:space="preserve">IOWA CITY                 </v>
      </c>
      <c r="F2514" t="str">
        <f t="shared" si="105"/>
        <v>IA</v>
      </c>
    </row>
    <row r="2515" spans="1:6" x14ac:dyDescent="0.25">
      <c r="A2515" t="str">
        <f>"002959844"</f>
        <v>002959844</v>
      </c>
      <c r="B2515" t="str">
        <f>"1235278268"</f>
        <v>1235278268</v>
      </c>
      <c r="C2515" t="str">
        <f>"2085R0202X"</f>
        <v>2085R0202X</v>
      </c>
      <c r="D2515" t="str">
        <f>"FRAME                    KEVIN        C           "</f>
        <v xml:space="preserve">FRAME                    KEVIN        C           </v>
      </c>
      <c r="E2515" t="str">
        <f>"CHICAGO                   "</f>
        <v xml:space="preserve">CHICAGO                   </v>
      </c>
      <c r="F2515" t="str">
        <f>"IL"</f>
        <v>IL</v>
      </c>
    </row>
    <row r="2516" spans="1:6" x14ac:dyDescent="0.25">
      <c r="A2516" t="str">
        <f>"006052835"</f>
        <v>006052835</v>
      </c>
      <c r="B2516" t="str">
        <f>"1063496800"</f>
        <v>1063496800</v>
      </c>
      <c r="C2516" t="str">
        <f>"2085R0202X"</f>
        <v>2085R0202X</v>
      </c>
      <c r="D2516" t="str">
        <f>"SEGEL                    KENNETH      H           "</f>
        <v xml:space="preserve">SEGEL                    KENNETH      H           </v>
      </c>
      <c r="E2516" t="str">
        <f>"HINSDALE                  "</f>
        <v xml:space="preserve">HINSDALE                  </v>
      </c>
      <c r="F2516" t="str">
        <f>"IL"</f>
        <v>IL</v>
      </c>
    </row>
    <row r="2517" spans="1:6" x14ac:dyDescent="0.25">
      <c r="A2517" t="str">
        <f>"200021125"</f>
        <v>200021125</v>
      </c>
      <c r="B2517" t="str">
        <f>"1316971153"</f>
        <v>1316971153</v>
      </c>
      <c r="C2517" t="str">
        <f>"2084N0400X"</f>
        <v>2084N0400X</v>
      </c>
      <c r="D2517" t="str">
        <f>"ARONSON                  KENNETH      S           "</f>
        <v xml:space="preserve">ARONSON                  KENNETH      S           </v>
      </c>
      <c r="E2517" t="str">
        <f>"URBANA                    "</f>
        <v xml:space="preserve">URBANA                    </v>
      </c>
      <c r="F2517" t="str">
        <f>"IL"</f>
        <v>IL</v>
      </c>
    </row>
    <row r="2518" spans="1:6" x14ac:dyDescent="0.25">
      <c r="A2518" t="str">
        <f>"200021628"</f>
        <v>200021628</v>
      </c>
      <c r="B2518" t="str">
        <f>"1851603716"</f>
        <v>1851603716</v>
      </c>
      <c r="C2518" t="str">
        <f>"207P00000X"</f>
        <v>207P00000X</v>
      </c>
      <c r="D2518" t="str">
        <f>"MCMINNIS                 JONATHAN     T           "</f>
        <v xml:space="preserve">MCMINNIS                 JONATHAN     T           </v>
      </c>
      <c r="E2518" t="str">
        <f>"URBANA                    "</f>
        <v xml:space="preserve">URBANA                    </v>
      </c>
      <c r="F2518" t="str">
        <f>"IL"</f>
        <v>IL</v>
      </c>
    </row>
    <row r="2519" spans="1:6" x14ac:dyDescent="0.25">
      <c r="A2519" t="str">
        <f>"200024965"</f>
        <v>200024965</v>
      </c>
      <c r="B2519" t="str">
        <f>"1396006607"</f>
        <v>1396006607</v>
      </c>
      <c r="C2519" t="str">
        <f>"207R00000X"</f>
        <v>207R00000X</v>
      </c>
      <c r="D2519" t="str">
        <f>"TRAVNIK                  LYDIA                    "</f>
        <v xml:space="preserve">TRAVNIK                  LYDIA                    </v>
      </c>
      <c r="E2519" t="str">
        <f>"CHICAGO                   "</f>
        <v xml:space="preserve">CHICAGO                   </v>
      </c>
      <c r="F2519" t="str">
        <f>"IL"</f>
        <v>IL</v>
      </c>
    </row>
    <row r="2520" spans="1:6" x14ac:dyDescent="0.25">
      <c r="A2520" t="str">
        <f>"006580595"</f>
        <v>006580595</v>
      </c>
      <c r="B2520" t="str">
        <f>"1407827439"</f>
        <v>1407827439</v>
      </c>
      <c r="C2520" t="str">
        <f>"2085R0202X"</f>
        <v>2085R0202X</v>
      </c>
      <c r="D2520" t="str">
        <f>"BARTEL                   MELISSA      M           "</f>
        <v xml:space="preserve">BARTEL                   MELISSA      M           </v>
      </c>
      <c r="E2520" t="str">
        <f>"AUGUSTA                   "</f>
        <v xml:space="preserve">AUGUSTA                   </v>
      </c>
      <c r="F2520" t="str">
        <f>"KS"</f>
        <v>KS</v>
      </c>
    </row>
    <row r="2521" spans="1:6" x14ac:dyDescent="0.25">
      <c r="A2521" t="str">
        <f>"200029108"</f>
        <v>200029108</v>
      </c>
      <c r="B2521" t="str">
        <f>"1104916857"</f>
        <v>1104916857</v>
      </c>
      <c r="C2521" t="str">
        <f>"2085R0202X"</f>
        <v>2085R0202X</v>
      </c>
      <c r="D2521" t="str">
        <f>"GAZAWAY                  RONA                     "</f>
        <v xml:space="preserve">GAZAWAY                  RONA                     </v>
      </c>
      <c r="E2521" t="str">
        <f>"HUTCHINSON                "</f>
        <v xml:space="preserve">HUTCHINSON                </v>
      </c>
      <c r="F2521" t="str">
        <f>"KS"</f>
        <v>KS</v>
      </c>
    </row>
    <row r="2522" spans="1:6" x14ac:dyDescent="0.25">
      <c r="A2522" t="str">
        <f>"200012286"</f>
        <v>200012286</v>
      </c>
      <c r="B2522" t="str">
        <f>"1265819791"</f>
        <v>1265819791</v>
      </c>
      <c r="C2522" t="str">
        <f>"2085R0202X"</f>
        <v>2085R0202X</v>
      </c>
      <c r="D2522" t="str">
        <f>"MCQUEEN                  TERESA                   "</f>
        <v xml:space="preserve">MCQUEEN                  TERESA                   </v>
      </c>
      <c r="E2522" t="str">
        <f>"LOUISVILLE                "</f>
        <v xml:space="preserve">LOUISVILLE                </v>
      </c>
      <c r="F2522" t="str">
        <f>"KY"</f>
        <v>KY</v>
      </c>
    </row>
    <row r="2523" spans="1:6" x14ac:dyDescent="0.25">
      <c r="A2523" t="str">
        <f>"000008797"</f>
        <v>000008797</v>
      </c>
      <c r="B2523" t="str">
        <f>"1750629432"</f>
        <v>1750629432</v>
      </c>
      <c r="C2523" t="str">
        <f>"363L00000X"</f>
        <v>363L00000X</v>
      </c>
      <c r="D2523" t="str">
        <f>"MCGINNIS                 ASHLEY       W           "</f>
        <v xml:space="preserve">MCGINNIS                 ASHLEY       W           </v>
      </c>
      <c r="E2523" t="str">
        <f>"SLIDELL                   "</f>
        <v xml:space="preserve">SLIDELL                   </v>
      </c>
      <c r="F2523" t="str">
        <f t="shared" ref="F2523:F2586" si="107">"LA"</f>
        <v>LA</v>
      </c>
    </row>
    <row r="2524" spans="1:6" x14ac:dyDescent="0.25">
      <c r="A2524" t="str">
        <f>"000011464"</f>
        <v>000011464</v>
      </c>
      <c r="B2524" t="str">
        <f>"1336195684"</f>
        <v>1336195684</v>
      </c>
      <c r="C2524" t="str">
        <f>"207RR0500X"</f>
        <v>207RR0500X</v>
      </c>
      <c r="D2524" t="str">
        <f>"QUINET                   ROBERT       J           "</f>
        <v xml:space="preserve">QUINET                   ROBERT       J           </v>
      </c>
      <c r="E2524" t="str">
        <f t="shared" ref="E2524:E2532" si="108">"NEW ORLEANS               "</f>
        <v xml:space="preserve">NEW ORLEANS               </v>
      </c>
      <c r="F2524" t="str">
        <f t="shared" si="107"/>
        <v>LA</v>
      </c>
    </row>
    <row r="2525" spans="1:6" x14ac:dyDescent="0.25">
      <c r="A2525" t="str">
        <f>"000011811"</f>
        <v>000011811</v>
      </c>
      <c r="B2525" t="str">
        <f>"1225042492"</f>
        <v>1225042492</v>
      </c>
      <c r="C2525" t="str">
        <f>"208600000X"</f>
        <v>208600000X</v>
      </c>
      <c r="D2525" t="str">
        <f>"HAGMANN                  MICHAEL      A           "</f>
        <v xml:space="preserve">HAGMANN                  MICHAEL      A           </v>
      </c>
      <c r="E2525" t="str">
        <f t="shared" si="108"/>
        <v xml:space="preserve">NEW ORLEANS               </v>
      </c>
      <c r="F2525" t="str">
        <f t="shared" si="107"/>
        <v>LA</v>
      </c>
    </row>
    <row r="2526" spans="1:6" x14ac:dyDescent="0.25">
      <c r="A2526" t="str">
        <f>"000012030"</f>
        <v>000012030</v>
      </c>
      <c r="B2526" t="str">
        <f>"1790711760"</f>
        <v>1790711760</v>
      </c>
      <c r="C2526" t="str">
        <f>"2085R0202X"</f>
        <v>2085R0202X</v>
      </c>
      <c r="D2526" t="str">
        <f>"SULLIVAN                 MICHAEL      A           "</f>
        <v xml:space="preserve">SULLIVAN                 MICHAEL      A           </v>
      </c>
      <c r="E2526" t="str">
        <f t="shared" si="108"/>
        <v xml:space="preserve">NEW ORLEANS               </v>
      </c>
      <c r="F2526" t="str">
        <f t="shared" si="107"/>
        <v>LA</v>
      </c>
    </row>
    <row r="2527" spans="1:6" x14ac:dyDescent="0.25">
      <c r="A2527" t="str">
        <f>"000012200"</f>
        <v>000012200</v>
      </c>
      <c r="B2527" t="str">
        <f>"1376501627"</f>
        <v>1376501627</v>
      </c>
      <c r="C2527" t="str">
        <f>"2085R0202X"</f>
        <v>2085R0202X</v>
      </c>
      <c r="D2527" t="str">
        <f>"EICK                     JOHN         J           "</f>
        <v xml:space="preserve">EICK                     JOHN         J           </v>
      </c>
      <c r="E2527" t="str">
        <f t="shared" si="108"/>
        <v xml:space="preserve">NEW ORLEANS               </v>
      </c>
      <c r="F2527" t="str">
        <f t="shared" si="107"/>
        <v>LA</v>
      </c>
    </row>
    <row r="2528" spans="1:6" x14ac:dyDescent="0.25">
      <c r="A2528" t="str">
        <f>"000013047"</f>
        <v>000013047</v>
      </c>
      <c r="B2528" t="str">
        <f>"1508988775"</f>
        <v>1508988775</v>
      </c>
      <c r="C2528" t="str">
        <f>"2085R0202X"</f>
        <v>2085R0202X</v>
      </c>
      <c r="D2528" t="str">
        <f>"KUEBLER                  RICHARD      S           "</f>
        <v xml:space="preserve">KUEBLER                  RICHARD      S           </v>
      </c>
      <c r="E2528" t="str">
        <f t="shared" si="108"/>
        <v xml:space="preserve">NEW ORLEANS               </v>
      </c>
      <c r="F2528" t="str">
        <f t="shared" si="107"/>
        <v>LA</v>
      </c>
    </row>
    <row r="2529" spans="1:6" x14ac:dyDescent="0.25">
      <c r="A2529" t="str">
        <f>"000014732"</f>
        <v>000014732</v>
      </c>
      <c r="B2529" t="str">
        <f>"1750484887"</f>
        <v>1750484887</v>
      </c>
      <c r="C2529" t="str">
        <f>"207V00000X"</f>
        <v>207V00000X</v>
      </c>
      <c r="D2529" t="str">
        <f>"HEBERT                   DAVID        B           "</f>
        <v xml:space="preserve">HEBERT                   DAVID        B           </v>
      </c>
      <c r="E2529" t="str">
        <f t="shared" si="108"/>
        <v xml:space="preserve">NEW ORLEANS               </v>
      </c>
      <c r="F2529" t="str">
        <f t="shared" si="107"/>
        <v>LA</v>
      </c>
    </row>
    <row r="2530" spans="1:6" x14ac:dyDescent="0.25">
      <c r="A2530" t="str">
        <f>"000015281"</f>
        <v>000015281</v>
      </c>
      <c r="B2530" t="str">
        <f>"1760405609"</f>
        <v>1760405609</v>
      </c>
      <c r="C2530" t="str">
        <f>"208000000X"</f>
        <v>208000000X</v>
      </c>
      <c r="D2530" t="str">
        <f>"HENDERSON-TILTON         ANN          C           "</f>
        <v xml:space="preserve">HENDERSON-TILTON         ANN          C           </v>
      </c>
      <c r="E2530" t="str">
        <f t="shared" si="108"/>
        <v xml:space="preserve">NEW ORLEANS               </v>
      </c>
      <c r="F2530" t="str">
        <f t="shared" si="107"/>
        <v>LA</v>
      </c>
    </row>
    <row r="2531" spans="1:6" x14ac:dyDescent="0.25">
      <c r="A2531" t="str">
        <f>"000016563"</f>
        <v>000016563</v>
      </c>
      <c r="B2531" t="str">
        <f>"1619925229"</f>
        <v>1619925229</v>
      </c>
      <c r="C2531" t="str">
        <f>"2085R0202X"</f>
        <v>2085R0202X</v>
      </c>
      <c r="D2531" t="str">
        <f>"KALMAR                   JOHN         A           "</f>
        <v xml:space="preserve">KALMAR                   JOHN         A           </v>
      </c>
      <c r="E2531" t="str">
        <f t="shared" si="108"/>
        <v xml:space="preserve">NEW ORLEANS               </v>
      </c>
      <c r="F2531" t="str">
        <f t="shared" si="107"/>
        <v>LA</v>
      </c>
    </row>
    <row r="2532" spans="1:6" x14ac:dyDescent="0.25">
      <c r="A2532" t="str">
        <f>"000016676"</f>
        <v>000016676</v>
      </c>
      <c r="B2532" t="str">
        <f>"1225095896"</f>
        <v>1225095896</v>
      </c>
      <c r="C2532" t="str">
        <f>"207ZP0102X"</f>
        <v>207ZP0102X</v>
      </c>
      <c r="D2532" t="str">
        <f>"BECKMAN                  EDWIN        N           "</f>
        <v xml:space="preserve">BECKMAN                  EDWIN        N           </v>
      </c>
      <c r="E2532" t="str">
        <f t="shared" si="108"/>
        <v xml:space="preserve">NEW ORLEANS               </v>
      </c>
      <c r="F2532" t="str">
        <f t="shared" si="107"/>
        <v>LA</v>
      </c>
    </row>
    <row r="2533" spans="1:6" x14ac:dyDescent="0.25">
      <c r="A2533" t="str">
        <f>"000017835"</f>
        <v>000017835</v>
      </c>
      <c r="B2533" t="str">
        <f>"1649249491"</f>
        <v>1649249491</v>
      </c>
      <c r="C2533" t="str">
        <f>"2080P0202X"</f>
        <v>2080P0202X</v>
      </c>
      <c r="D2533" t="str">
        <f>"KING                     TERRY        D           "</f>
        <v xml:space="preserve">KING                     TERRY        D           </v>
      </c>
      <c r="E2533" t="str">
        <f>"WEST MONROE               "</f>
        <v xml:space="preserve">WEST MONROE               </v>
      </c>
      <c r="F2533" t="str">
        <f t="shared" si="107"/>
        <v>LA</v>
      </c>
    </row>
    <row r="2534" spans="1:6" x14ac:dyDescent="0.25">
      <c r="A2534" t="str">
        <f>"000019078"</f>
        <v>000019078</v>
      </c>
      <c r="B2534" t="str">
        <f>"1518960962"</f>
        <v>1518960962</v>
      </c>
      <c r="C2534" t="str">
        <f>"207RC0000X"</f>
        <v>207RC0000X</v>
      </c>
      <c r="D2534" t="str">
        <f>"ECHENIQUE                VICTOR       M           "</f>
        <v xml:space="preserve">ECHENIQUE                VICTOR       M           </v>
      </c>
      <c r="E2534" t="str">
        <f>"SLIDELL                   "</f>
        <v xml:space="preserve">SLIDELL                   </v>
      </c>
      <c r="F2534" t="str">
        <f t="shared" si="107"/>
        <v>LA</v>
      </c>
    </row>
    <row r="2535" spans="1:6" x14ac:dyDescent="0.25">
      <c r="A2535" t="str">
        <f>"000019506"</f>
        <v>000019506</v>
      </c>
      <c r="B2535" t="str">
        <f>"1598762536"</f>
        <v>1598762536</v>
      </c>
      <c r="C2535" t="str">
        <f>"207RC0000X"</f>
        <v>207RC0000X</v>
      </c>
      <c r="D2535" t="str">
        <f>"LAM                      JAMES        B           "</f>
        <v xml:space="preserve">LAM                      JAMES        B           </v>
      </c>
      <c r="E2535" t="str">
        <f>"SLIDELL                   "</f>
        <v xml:space="preserve">SLIDELL                   </v>
      </c>
      <c r="F2535" t="str">
        <f t="shared" si="107"/>
        <v>LA</v>
      </c>
    </row>
    <row r="2536" spans="1:6" x14ac:dyDescent="0.25">
      <c r="A2536" t="str">
        <f>"000021586"</f>
        <v>000021586</v>
      </c>
      <c r="B2536" t="str">
        <f>"1841565157"</f>
        <v>1841565157</v>
      </c>
      <c r="C2536" t="str">
        <f>"208600000X"</f>
        <v>208600000X</v>
      </c>
      <c r="D2536" t="str">
        <f>"BOLTON                   NATHAN       M           "</f>
        <v xml:space="preserve">BOLTON                   NATHAN       M           </v>
      </c>
      <c r="E2536" t="str">
        <f>"NEW ORLEANS               "</f>
        <v xml:space="preserve">NEW ORLEANS               </v>
      </c>
      <c r="F2536" t="str">
        <f t="shared" si="107"/>
        <v>LA</v>
      </c>
    </row>
    <row r="2537" spans="1:6" x14ac:dyDescent="0.25">
      <c r="A2537" t="str">
        <f>"000030989"</f>
        <v>000030989</v>
      </c>
      <c r="B2537" t="str">
        <f>"1598178782"</f>
        <v>1598178782</v>
      </c>
      <c r="C2537" t="str">
        <f>"208000000X"</f>
        <v>208000000X</v>
      </c>
      <c r="D2537" t="str">
        <f>"DANIELS                  ZACHARY      S           "</f>
        <v xml:space="preserve">DANIELS                  ZACHARY      S           </v>
      </c>
      <c r="E2537" t="str">
        <f>"NEW ORLEANS               "</f>
        <v xml:space="preserve">NEW ORLEANS               </v>
      </c>
      <c r="F2537" t="str">
        <f t="shared" si="107"/>
        <v>LA</v>
      </c>
    </row>
    <row r="2538" spans="1:6" x14ac:dyDescent="0.25">
      <c r="A2538" t="str">
        <f>"000035733"</f>
        <v>000035733</v>
      </c>
      <c r="B2538" t="str">
        <f>"1376701243"</f>
        <v>1376701243</v>
      </c>
      <c r="C2538" t="str">
        <f>"207P00000X"</f>
        <v>207P00000X</v>
      </c>
      <c r="D2538" t="str">
        <f>"EILERS                   PARRISH      T           "</f>
        <v xml:space="preserve">EILERS                   PARRISH      T           </v>
      </c>
      <c r="E2538" t="str">
        <f>"NEW ORLEANS               "</f>
        <v xml:space="preserve">NEW ORLEANS               </v>
      </c>
      <c r="F2538" t="str">
        <f t="shared" si="107"/>
        <v>LA</v>
      </c>
    </row>
    <row r="2539" spans="1:6" x14ac:dyDescent="0.25">
      <c r="A2539" t="str">
        <f>"000074777"</f>
        <v>000074777</v>
      </c>
      <c r="B2539" t="str">
        <f>"1710376611"</f>
        <v>1710376611</v>
      </c>
      <c r="C2539" t="str">
        <f>"363L00000X"</f>
        <v>363L00000X</v>
      </c>
      <c r="D2539" t="str">
        <f>"WANGLER                  SHANEN       R           "</f>
        <v xml:space="preserve">WANGLER                  SHANEN       R           </v>
      </c>
      <c r="E2539" t="str">
        <f>"SLIDELL                   "</f>
        <v xml:space="preserve">SLIDELL                   </v>
      </c>
      <c r="F2539" t="str">
        <f t="shared" si="107"/>
        <v>LA</v>
      </c>
    </row>
    <row r="2540" spans="1:6" x14ac:dyDescent="0.25">
      <c r="A2540" t="str">
        <f>"000074827"</f>
        <v>000074827</v>
      </c>
      <c r="B2540" t="str">
        <f>"1316049422"</f>
        <v>1316049422</v>
      </c>
      <c r="C2540" t="str">
        <f>"2085P0229X"</f>
        <v>2085P0229X</v>
      </c>
      <c r="D2540" t="str">
        <f>"CONGENI                  JANE         D           "</f>
        <v xml:space="preserve">CONGENI                  JANE         D           </v>
      </c>
      <c r="E2540" t="str">
        <f>"NEW ORLEANS               "</f>
        <v xml:space="preserve">NEW ORLEANS               </v>
      </c>
      <c r="F2540" t="str">
        <f t="shared" si="107"/>
        <v>LA</v>
      </c>
    </row>
    <row r="2541" spans="1:6" x14ac:dyDescent="0.25">
      <c r="A2541" t="str">
        <f>"000102392"</f>
        <v>000102392</v>
      </c>
      <c r="B2541" t="str">
        <f>"1851323786"</f>
        <v>1851323786</v>
      </c>
      <c r="C2541" t="str">
        <f>"207P00000X"</f>
        <v>207P00000X</v>
      </c>
      <c r="D2541" t="str">
        <f>"COFFIN                   DAVID        T           "</f>
        <v xml:space="preserve">COFFIN                   DAVID        T           </v>
      </c>
      <c r="E2541" t="str">
        <f>"NEW ORLEANS               "</f>
        <v xml:space="preserve">NEW ORLEANS               </v>
      </c>
      <c r="F2541" t="str">
        <f t="shared" si="107"/>
        <v>LA</v>
      </c>
    </row>
    <row r="2542" spans="1:6" x14ac:dyDescent="0.25">
      <c r="A2542" t="str">
        <f>"000102858"</f>
        <v>000102858</v>
      </c>
      <c r="B2542" t="str">
        <f>"1336701069"</f>
        <v>1336701069</v>
      </c>
      <c r="C2542" t="str">
        <f>"363L00000X"</f>
        <v>363L00000X</v>
      </c>
      <c r="D2542" t="str">
        <f>"DAIGREPONT               TORI                     "</f>
        <v xml:space="preserve">DAIGREPONT               TORI                     </v>
      </c>
      <c r="E2542" t="str">
        <f>"SLIDELL                   "</f>
        <v xml:space="preserve">SLIDELL                   </v>
      </c>
      <c r="F2542" t="str">
        <f t="shared" si="107"/>
        <v>LA</v>
      </c>
    </row>
    <row r="2543" spans="1:6" x14ac:dyDescent="0.25">
      <c r="A2543" t="str">
        <f>"000110931"</f>
        <v>000110931</v>
      </c>
      <c r="B2543" t="str">
        <f>"1417906710"</f>
        <v>1417906710</v>
      </c>
      <c r="C2543" t="str">
        <f>"2085R0202X"</f>
        <v>2085R0202X</v>
      </c>
      <c r="D2543" t="str">
        <f>"KAY                      DENNIS                   "</f>
        <v xml:space="preserve">KAY                      DENNIS                   </v>
      </c>
      <c r="E2543" t="str">
        <f>"NEW ORLEANS               "</f>
        <v xml:space="preserve">NEW ORLEANS               </v>
      </c>
      <c r="F2543" t="str">
        <f t="shared" si="107"/>
        <v>LA</v>
      </c>
    </row>
    <row r="2544" spans="1:6" x14ac:dyDescent="0.25">
      <c r="A2544" t="str">
        <f>"000110942"</f>
        <v>000110942</v>
      </c>
      <c r="B2544" t="str">
        <f>"1093769812"</f>
        <v>1093769812</v>
      </c>
      <c r="C2544" t="str">
        <f>"207Y00000X"</f>
        <v>207Y00000X</v>
      </c>
      <c r="D2544" t="str">
        <f>"MOLONY                   TIMOTHY      B           "</f>
        <v xml:space="preserve">MOLONY                   TIMOTHY      B           </v>
      </c>
      <c r="E2544" t="str">
        <f>"NEW ORLEANS               "</f>
        <v xml:space="preserve">NEW ORLEANS               </v>
      </c>
      <c r="F2544" t="str">
        <f t="shared" si="107"/>
        <v>LA</v>
      </c>
    </row>
    <row r="2545" spans="1:6" x14ac:dyDescent="0.25">
      <c r="A2545" t="str">
        <f>"000111047"</f>
        <v>000111047</v>
      </c>
      <c r="B2545" t="str">
        <f>"1841242013"</f>
        <v>1841242013</v>
      </c>
      <c r="C2545" t="str">
        <f>"2086S0129X"</f>
        <v>2086S0129X</v>
      </c>
      <c r="D2545" t="str">
        <f>"MONEY                    SAMUEL       R           "</f>
        <v xml:space="preserve">MONEY                    SAMUEL       R           </v>
      </c>
      <c r="E2545" t="str">
        <f>"NEW ORLEANS               "</f>
        <v xml:space="preserve">NEW ORLEANS               </v>
      </c>
      <c r="F2545" t="str">
        <f t="shared" si="107"/>
        <v>LA</v>
      </c>
    </row>
    <row r="2546" spans="1:6" x14ac:dyDescent="0.25">
      <c r="A2546" t="str">
        <f>"000111983"</f>
        <v>000111983</v>
      </c>
      <c r="B2546" t="str">
        <f>"1861499154"</f>
        <v>1861499154</v>
      </c>
      <c r="C2546" t="str">
        <f>"207RN0300X"</f>
        <v>207RN0300X</v>
      </c>
      <c r="D2546" t="str">
        <f>"HEBERT                   MITCHELL     J           "</f>
        <v xml:space="preserve">HEBERT                   MITCHELL     J           </v>
      </c>
      <c r="E2546" t="str">
        <f>"BATON ROUGE               "</f>
        <v xml:space="preserve">BATON ROUGE               </v>
      </c>
      <c r="F2546" t="str">
        <f t="shared" si="107"/>
        <v>LA</v>
      </c>
    </row>
    <row r="2547" spans="1:6" x14ac:dyDescent="0.25">
      <c r="A2547" t="str">
        <f>"000112202"</f>
        <v>000112202</v>
      </c>
      <c r="B2547" t="str">
        <f>"1962502591"</f>
        <v>1962502591</v>
      </c>
      <c r="C2547" t="str">
        <f>"2085R0202X"</f>
        <v>2085R0202X</v>
      </c>
      <c r="D2547" t="str">
        <f>"DONALDSON, JR            DAVID        J           "</f>
        <v xml:space="preserve">DONALDSON, JR            DAVID        J           </v>
      </c>
      <c r="E2547" t="str">
        <f>"SLIDELL                   "</f>
        <v xml:space="preserve">SLIDELL                   </v>
      </c>
      <c r="F2547" t="str">
        <f t="shared" si="107"/>
        <v>LA</v>
      </c>
    </row>
    <row r="2548" spans="1:6" x14ac:dyDescent="0.25">
      <c r="A2548" t="str">
        <f>"000112499"</f>
        <v>000112499</v>
      </c>
      <c r="B2548" t="str">
        <f>"1801882634"</f>
        <v>1801882634</v>
      </c>
      <c r="C2548" t="str">
        <f>"207Y00000X"</f>
        <v>207Y00000X</v>
      </c>
      <c r="D2548" t="str">
        <f>"WHITE                    JOHN         A           "</f>
        <v xml:space="preserve">WHITE                    JOHN         A           </v>
      </c>
      <c r="E2548" t="str">
        <f>"VIDALIA                   "</f>
        <v xml:space="preserve">VIDALIA                   </v>
      </c>
      <c r="F2548" t="str">
        <f t="shared" si="107"/>
        <v>LA</v>
      </c>
    </row>
    <row r="2549" spans="1:6" x14ac:dyDescent="0.25">
      <c r="A2549" t="str">
        <f>"000112656"</f>
        <v>000112656</v>
      </c>
      <c r="B2549" t="str">
        <f>"1750429502"</f>
        <v>1750429502</v>
      </c>
      <c r="C2549" t="str">
        <f>"2084P0800X"</f>
        <v>2084P0800X</v>
      </c>
      <c r="D2549" t="str">
        <f>"COLEMAN                  CHARLES      C           "</f>
        <v xml:space="preserve">COLEMAN                  CHARLES      C           </v>
      </c>
      <c r="E2549" t="str">
        <f>"NEW ORLEANS               "</f>
        <v xml:space="preserve">NEW ORLEANS               </v>
      </c>
      <c r="F2549" t="str">
        <f t="shared" si="107"/>
        <v>LA</v>
      </c>
    </row>
    <row r="2550" spans="1:6" x14ac:dyDescent="0.25">
      <c r="A2550" t="str">
        <f>"000113753"</f>
        <v>000113753</v>
      </c>
      <c r="B2550" t="str">
        <f>"1326099888"</f>
        <v>1326099888</v>
      </c>
      <c r="C2550" t="str">
        <f>"207W00000X"</f>
        <v>207W00000X</v>
      </c>
      <c r="D2550" t="str">
        <f>"LOFTFIELD                KATHERINE    M           "</f>
        <v xml:space="preserve">LOFTFIELD                KATHERINE    M           </v>
      </c>
      <c r="E2550" t="str">
        <f>"NEW ORLEANS               "</f>
        <v xml:space="preserve">NEW ORLEANS               </v>
      </c>
      <c r="F2550" t="str">
        <f t="shared" si="107"/>
        <v>LA</v>
      </c>
    </row>
    <row r="2551" spans="1:6" x14ac:dyDescent="0.25">
      <c r="A2551" t="str">
        <f>"000113756"</f>
        <v>000113756</v>
      </c>
      <c r="B2551" t="str">
        <f>"1093763336"</f>
        <v>1093763336</v>
      </c>
      <c r="C2551" t="str">
        <f>"2084P0800X"</f>
        <v>2084P0800X</v>
      </c>
      <c r="D2551" t="str">
        <f>"HICKMAN                  DEAN         A           "</f>
        <v xml:space="preserve">HICKMAN                  DEAN         A           </v>
      </c>
      <c r="E2551" t="str">
        <f>"NEW ORLEANS               "</f>
        <v xml:space="preserve">NEW ORLEANS               </v>
      </c>
      <c r="F2551" t="str">
        <f t="shared" si="107"/>
        <v>LA</v>
      </c>
    </row>
    <row r="2552" spans="1:6" x14ac:dyDescent="0.25">
      <c r="A2552" t="str">
        <f>"000114870"</f>
        <v>000114870</v>
      </c>
      <c r="B2552" t="str">
        <f>"1023031952"</f>
        <v>1023031952</v>
      </c>
      <c r="C2552" t="str">
        <f>"208600000X"</f>
        <v>208600000X</v>
      </c>
      <c r="D2552" t="str">
        <f>"MCNEIL                   JAMES        W           "</f>
        <v xml:space="preserve">MCNEIL                   JAMES        W           </v>
      </c>
      <c r="E2552" t="str">
        <f>"BATON ROUGE               "</f>
        <v xml:space="preserve">BATON ROUGE               </v>
      </c>
      <c r="F2552" t="str">
        <f t="shared" si="107"/>
        <v>LA</v>
      </c>
    </row>
    <row r="2553" spans="1:6" x14ac:dyDescent="0.25">
      <c r="A2553" t="str">
        <f>"000114964"</f>
        <v>000114964</v>
      </c>
      <c r="B2553" t="str">
        <f>"1851321996"</f>
        <v>1851321996</v>
      </c>
      <c r="C2553" t="str">
        <f>"207RC0000X"</f>
        <v>207RC0000X</v>
      </c>
      <c r="D2553" t="str">
        <f>"JENKINS                  JAMES        S           "</f>
        <v xml:space="preserve">JENKINS                  JAMES        S           </v>
      </c>
      <c r="E2553" t="str">
        <f>"NEW ORLEANS               "</f>
        <v xml:space="preserve">NEW ORLEANS               </v>
      </c>
      <c r="F2553" t="str">
        <f t="shared" si="107"/>
        <v>LA</v>
      </c>
    </row>
    <row r="2554" spans="1:6" x14ac:dyDescent="0.25">
      <c r="A2554" t="str">
        <f>"000115089"</f>
        <v>000115089</v>
      </c>
      <c r="B2554" t="str">
        <f>"1093816696"</f>
        <v>1093816696</v>
      </c>
      <c r="C2554" t="str">
        <f>"207RC0000X"</f>
        <v>207RC0000X</v>
      </c>
      <c r="D2554" t="str">
        <f>"PEDONE                   JOSEPH       A           "</f>
        <v xml:space="preserve">PEDONE                   JOSEPH       A           </v>
      </c>
      <c r="E2554" t="str">
        <f>"SLIDELL                   "</f>
        <v xml:space="preserve">SLIDELL                   </v>
      </c>
      <c r="F2554" t="str">
        <f t="shared" si="107"/>
        <v>LA</v>
      </c>
    </row>
    <row r="2555" spans="1:6" x14ac:dyDescent="0.25">
      <c r="A2555" t="str">
        <f>"000115585"</f>
        <v>000115585</v>
      </c>
      <c r="B2555" t="str">
        <f>"1053309732"</f>
        <v>1053309732</v>
      </c>
      <c r="C2555" t="str">
        <f>"207RG0100X"</f>
        <v>207RG0100X</v>
      </c>
      <c r="D2555" t="str">
        <f>"TILLMAN                  CLIFFORD     R           "</f>
        <v xml:space="preserve">TILLMAN                  CLIFFORD     R           </v>
      </c>
      <c r="E2555" t="str">
        <f>"VIDALIA                   "</f>
        <v xml:space="preserve">VIDALIA                   </v>
      </c>
      <c r="F2555" t="str">
        <f t="shared" si="107"/>
        <v>LA</v>
      </c>
    </row>
    <row r="2556" spans="1:6" x14ac:dyDescent="0.25">
      <c r="A2556" t="str">
        <f>"000116828"</f>
        <v>000116828</v>
      </c>
      <c r="B2556" t="str">
        <f>"1942357900"</f>
        <v>1942357900</v>
      </c>
      <c r="C2556" t="str">
        <f>"208800000X"</f>
        <v>208800000X</v>
      </c>
      <c r="D2556" t="str">
        <f>"NEITZSCHMAN III          HAROLD       R           "</f>
        <v xml:space="preserve">NEITZSCHMAN III          HAROLD       R           </v>
      </c>
      <c r="E2556" t="str">
        <f>"SLIDELL                   "</f>
        <v xml:space="preserve">SLIDELL                   </v>
      </c>
      <c r="F2556" t="str">
        <f t="shared" si="107"/>
        <v>LA</v>
      </c>
    </row>
    <row r="2557" spans="1:6" x14ac:dyDescent="0.25">
      <c r="A2557" t="str">
        <f>"000116978"</f>
        <v>000116978</v>
      </c>
      <c r="B2557" t="str">
        <f>"1174543433"</f>
        <v>1174543433</v>
      </c>
      <c r="C2557" t="str">
        <f>"207P00000X"</f>
        <v>207P00000X</v>
      </c>
      <c r="D2557" t="str">
        <f>"STAFFORD                 URSIN                    "</f>
        <v xml:space="preserve">STAFFORD                 URSIN                    </v>
      </c>
      <c r="E2557" t="str">
        <f>"SLIDELL                   "</f>
        <v xml:space="preserve">SLIDELL                   </v>
      </c>
      <c r="F2557" t="str">
        <f t="shared" si="107"/>
        <v>LA</v>
      </c>
    </row>
    <row r="2558" spans="1:6" x14ac:dyDescent="0.25">
      <c r="A2558" t="str">
        <f>"000117172"</f>
        <v>000117172</v>
      </c>
      <c r="B2558" t="str">
        <f>"1265505903"</f>
        <v>1265505903</v>
      </c>
      <c r="C2558" t="str">
        <f>"2085R0202X"</f>
        <v>2085R0202X</v>
      </c>
      <c r="D2558" t="str">
        <f>"MORIN                    MICHAEL      J           "</f>
        <v xml:space="preserve">MORIN                    MICHAEL      J           </v>
      </c>
      <c r="E2558" t="str">
        <f t="shared" ref="E2558:E2563" si="109">"NEW ORLEANS               "</f>
        <v xml:space="preserve">NEW ORLEANS               </v>
      </c>
      <c r="F2558" t="str">
        <f t="shared" si="107"/>
        <v>LA</v>
      </c>
    </row>
    <row r="2559" spans="1:6" x14ac:dyDescent="0.25">
      <c r="A2559" t="str">
        <f>"000117811"</f>
        <v>000117811</v>
      </c>
      <c r="B2559" t="str">
        <f>"1194774166"</f>
        <v>1194774166</v>
      </c>
      <c r="C2559" t="str">
        <f>"2085R0204X"</f>
        <v>2085R0204X</v>
      </c>
      <c r="D2559" t="str">
        <f>"FERRAL                   HECTOR                   "</f>
        <v xml:space="preserve">FERRAL                   HECTOR                   </v>
      </c>
      <c r="E2559" t="str">
        <f t="shared" si="109"/>
        <v xml:space="preserve">NEW ORLEANS               </v>
      </c>
      <c r="F2559" t="str">
        <f t="shared" si="107"/>
        <v>LA</v>
      </c>
    </row>
    <row r="2560" spans="1:6" x14ac:dyDescent="0.25">
      <c r="A2560" t="str">
        <f>"000118151"</f>
        <v>000118151</v>
      </c>
      <c r="B2560" t="str">
        <f>"1306869268"</f>
        <v>1306869268</v>
      </c>
      <c r="C2560" t="str">
        <f>"208000000X"</f>
        <v>208000000X</v>
      </c>
      <c r="D2560" t="str">
        <f>"VELEZ YANGUAS            MARIA        C           "</f>
        <v xml:space="preserve">VELEZ YANGUAS            MARIA        C           </v>
      </c>
      <c r="E2560" t="str">
        <f t="shared" si="109"/>
        <v xml:space="preserve">NEW ORLEANS               </v>
      </c>
      <c r="F2560" t="str">
        <f t="shared" si="107"/>
        <v>LA</v>
      </c>
    </row>
    <row r="2561" spans="1:6" x14ac:dyDescent="0.25">
      <c r="A2561" t="str">
        <f>"000118361"</f>
        <v>000118361</v>
      </c>
      <c r="B2561" t="str">
        <f>"1336244029"</f>
        <v>1336244029</v>
      </c>
      <c r="C2561" t="str">
        <f>"207Y00000X"</f>
        <v>207Y00000X</v>
      </c>
      <c r="D2561" t="str">
        <f>"GUARISCO                 JOHN         L           "</f>
        <v xml:space="preserve">GUARISCO                 JOHN         L           </v>
      </c>
      <c r="E2561" t="str">
        <f t="shared" si="109"/>
        <v xml:space="preserve">NEW ORLEANS               </v>
      </c>
      <c r="F2561" t="str">
        <f t="shared" si="107"/>
        <v>LA</v>
      </c>
    </row>
    <row r="2562" spans="1:6" x14ac:dyDescent="0.25">
      <c r="A2562" t="str">
        <f>"000118507"</f>
        <v>000118507</v>
      </c>
      <c r="B2562" t="str">
        <f>"1346262128"</f>
        <v>1346262128</v>
      </c>
      <c r="C2562" t="str">
        <f>"208000000X"</f>
        <v>208000000X</v>
      </c>
      <c r="D2562" t="str">
        <f>"WONG                     JOAQUIN                  "</f>
        <v xml:space="preserve">WONG                     JOAQUIN                  </v>
      </c>
      <c r="E2562" t="str">
        <f t="shared" si="109"/>
        <v xml:space="preserve">NEW ORLEANS               </v>
      </c>
      <c r="F2562" t="str">
        <f t="shared" si="107"/>
        <v>LA</v>
      </c>
    </row>
    <row r="2563" spans="1:6" x14ac:dyDescent="0.25">
      <c r="A2563" t="str">
        <f>"000118855"</f>
        <v>000118855</v>
      </c>
      <c r="B2563" t="str">
        <f>"1265450308"</f>
        <v>1265450308</v>
      </c>
      <c r="C2563" t="str">
        <f>"2080P0202X"</f>
        <v>2080P0202X</v>
      </c>
      <c r="D2563" t="str">
        <f>"WHITE                    MICHAEL      G           "</f>
        <v xml:space="preserve">WHITE                    MICHAEL      G           </v>
      </c>
      <c r="E2563" t="str">
        <f t="shared" si="109"/>
        <v xml:space="preserve">NEW ORLEANS               </v>
      </c>
      <c r="F2563" t="str">
        <f t="shared" si="107"/>
        <v>LA</v>
      </c>
    </row>
    <row r="2564" spans="1:6" x14ac:dyDescent="0.25">
      <c r="A2564" t="str">
        <f>"000118934"</f>
        <v>000118934</v>
      </c>
      <c r="B2564" t="str">
        <f>"1881696086"</f>
        <v>1881696086</v>
      </c>
      <c r="C2564" t="str">
        <f>"207RC0000X"</f>
        <v>207RC0000X</v>
      </c>
      <c r="D2564" t="str">
        <f>"AMKIEH                   ALI          M           "</f>
        <v xml:space="preserve">AMKIEH                   ALI          M           </v>
      </c>
      <c r="E2564" t="str">
        <f>"COVINGTON                 "</f>
        <v xml:space="preserve">COVINGTON                 </v>
      </c>
      <c r="F2564" t="str">
        <f t="shared" si="107"/>
        <v>LA</v>
      </c>
    </row>
    <row r="2565" spans="1:6" x14ac:dyDescent="0.25">
      <c r="A2565" t="str">
        <f>"000119142"</f>
        <v>000119142</v>
      </c>
      <c r="B2565" t="str">
        <f>"1669491288"</f>
        <v>1669491288</v>
      </c>
      <c r="C2565" t="str">
        <f>"207X00000X"</f>
        <v>207X00000X</v>
      </c>
      <c r="D2565" t="str">
        <f>"FAIRBANKS, JR.           JOHN         H           "</f>
        <v xml:space="preserve">FAIRBANKS, JR.           JOHN         H           </v>
      </c>
      <c r="E2565" t="str">
        <f>"VIDALIA                   "</f>
        <v xml:space="preserve">VIDALIA                   </v>
      </c>
      <c r="F2565" t="str">
        <f t="shared" si="107"/>
        <v>LA</v>
      </c>
    </row>
    <row r="2566" spans="1:6" x14ac:dyDescent="0.25">
      <c r="A2566" t="str">
        <f>"000119176"</f>
        <v>000119176</v>
      </c>
      <c r="B2566" t="str">
        <f>"1700922069"</f>
        <v>1700922069</v>
      </c>
      <c r="C2566" t="str">
        <f>"207R00000X"</f>
        <v>207R00000X</v>
      </c>
      <c r="D2566" t="str">
        <f>"SEKI                     IBRAHIM                  "</f>
        <v xml:space="preserve">SEKI                     IBRAHIM                  </v>
      </c>
      <c r="E2566" t="str">
        <f>"VIDALIA                   "</f>
        <v xml:space="preserve">VIDALIA                   </v>
      </c>
      <c r="F2566" t="str">
        <f t="shared" si="107"/>
        <v>LA</v>
      </c>
    </row>
    <row r="2567" spans="1:6" x14ac:dyDescent="0.25">
      <c r="A2567" t="str">
        <f>"000119194"</f>
        <v>000119194</v>
      </c>
      <c r="B2567" t="str">
        <f>"1609824234"</f>
        <v>1609824234</v>
      </c>
      <c r="C2567" t="str">
        <f>"207Q00000X"</f>
        <v>207Q00000X</v>
      </c>
      <c r="D2567" t="str">
        <f>"MORRIS                   MICHAEL                  "</f>
        <v xml:space="preserve">MORRIS                   MICHAEL                  </v>
      </c>
      <c r="E2567" t="str">
        <f>"BOGALUSA                  "</f>
        <v xml:space="preserve">BOGALUSA                  </v>
      </c>
      <c r="F2567" t="str">
        <f t="shared" si="107"/>
        <v>LA</v>
      </c>
    </row>
    <row r="2568" spans="1:6" x14ac:dyDescent="0.25">
      <c r="A2568" t="str">
        <f>"000119378"</f>
        <v>000119378</v>
      </c>
      <c r="B2568" t="str">
        <f>"1548201742"</f>
        <v>1548201742</v>
      </c>
      <c r="C2568" t="str">
        <f>"207P00000X"</f>
        <v>207P00000X</v>
      </c>
      <c r="D2568" t="str">
        <f>"SEYMOUR                  MARY         L           "</f>
        <v xml:space="preserve">SEYMOUR                  MARY         L           </v>
      </c>
      <c r="E2568" t="str">
        <f>"SLIDELL                   "</f>
        <v xml:space="preserve">SLIDELL                   </v>
      </c>
      <c r="F2568" t="str">
        <f t="shared" si="107"/>
        <v>LA</v>
      </c>
    </row>
    <row r="2569" spans="1:6" x14ac:dyDescent="0.25">
      <c r="A2569" t="str">
        <f>"000119556"</f>
        <v>000119556</v>
      </c>
      <c r="B2569" t="str">
        <f>"1033140850"</f>
        <v>1033140850</v>
      </c>
      <c r="C2569" t="str">
        <f>"208800000X"</f>
        <v>208800000X</v>
      </c>
      <c r="D2569" t="str">
        <f>"WOO                      HOWARD       H           "</f>
        <v xml:space="preserve">WOO                      HOWARD       H           </v>
      </c>
      <c r="E2569" t="str">
        <f>"NEW ORLEANS               "</f>
        <v xml:space="preserve">NEW ORLEANS               </v>
      </c>
      <c r="F2569" t="str">
        <f t="shared" si="107"/>
        <v>LA</v>
      </c>
    </row>
    <row r="2570" spans="1:6" x14ac:dyDescent="0.25">
      <c r="A2570" t="str">
        <f>"000119626"</f>
        <v>000119626</v>
      </c>
      <c r="B2570" t="str">
        <f>"1811064439"</f>
        <v>1811064439</v>
      </c>
      <c r="C2570" t="str">
        <f>"207L00000X"</f>
        <v>207L00000X</v>
      </c>
      <c r="D2570" t="str">
        <f>"WEST                     THOMAS       T           "</f>
        <v xml:space="preserve">WEST                     THOMAS       T           </v>
      </c>
      <c r="E2570" t="str">
        <f>"SLIDELL                   "</f>
        <v xml:space="preserve">SLIDELL                   </v>
      </c>
      <c r="F2570" t="str">
        <f t="shared" si="107"/>
        <v>LA</v>
      </c>
    </row>
    <row r="2571" spans="1:6" x14ac:dyDescent="0.25">
      <c r="A2571" t="str">
        <f>"000119942"</f>
        <v>000119942</v>
      </c>
      <c r="B2571" t="str">
        <f>"1558384594"</f>
        <v>1558384594</v>
      </c>
      <c r="C2571" t="str">
        <f>"208000000X"</f>
        <v>208000000X</v>
      </c>
      <c r="D2571" t="str">
        <f>"CHALEW                   STUART       A           "</f>
        <v xml:space="preserve">CHALEW                   STUART       A           </v>
      </c>
      <c r="E2571" t="str">
        <f>"NEW ORLEANS               "</f>
        <v xml:space="preserve">NEW ORLEANS               </v>
      </c>
      <c r="F2571" t="str">
        <f t="shared" si="107"/>
        <v>LA</v>
      </c>
    </row>
    <row r="2572" spans="1:6" x14ac:dyDescent="0.25">
      <c r="A2572" t="str">
        <f>"000120327"</f>
        <v>000120327</v>
      </c>
      <c r="B2572" t="str">
        <f>"1164451514"</f>
        <v>1164451514</v>
      </c>
      <c r="C2572" t="str">
        <f>"208000000X"</f>
        <v>208000000X</v>
      </c>
      <c r="D2572" t="str">
        <f>"THOMPSON                 ROXANNE      C           "</f>
        <v xml:space="preserve">THOMPSON                 ROXANNE      C           </v>
      </c>
      <c r="E2572" t="str">
        <f>"NEW ORLEANS               "</f>
        <v xml:space="preserve">NEW ORLEANS               </v>
      </c>
      <c r="F2572" t="str">
        <f t="shared" si="107"/>
        <v>LA</v>
      </c>
    </row>
    <row r="2573" spans="1:6" x14ac:dyDescent="0.25">
      <c r="A2573" t="str">
        <f>"000120513"</f>
        <v>000120513</v>
      </c>
      <c r="B2573" t="str">
        <f>"1699795815"</f>
        <v>1699795815</v>
      </c>
      <c r="C2573" t="str">
        <f>"207Q00000X"</f>
        <v>207Q00000X</v>
      </c>
      <c r="D2573" t="str">
        <f>"MONTGOMERY               LARRY        L           "</f>
        <v xml:space="preserve">MONTGOMERY               LARRY        L           </v>
      </c>
      <c r="E2573" t="str">
        <f>"BATON ROUGE               "</f>
        <v xml:space="preserve">BATON ROUGE               </v>
      </c>
      <c r="F2573" t="str">
        <f t="shared" si="107"/>
        <v>LA</v>
      </c>
    </row>
    <row r="2574" spans="1:6" x14ac:dyDescent="0.25">
      <c r="A2574" t="str">
        <f>"000120658"</f>
        <v>000120658</v>
      </c>
      <c r="B2574" t="str">
        <f>"1356358485"</f>
        <v>1356358485</v>
      </c>
      <c r="C2574" t="str">
        <f>"207R00000X"</f>
        <v>207R00000X</v>
      </c>
      <c r="D2574" t="str">
        <f>"LANDERS                  JOSEPH       D           "</f>
        <v xml:space="preserve">LANDERS                  JOSEPH       D           </v>
      </c>
      <c r="E2574" t="str">
        <f>"COVINGTON                 "</f>
        <v xml:space="preserve">COVINGTON                 </v>
      </c>
      <c r="F2574" t="str">
        <f t="shared" si="107"/>
        <v>LA</v>
      </c>
    </row>
    <row r="2575" spans="1:6" x14ac:dyDescent="0.25">
      <c r="A2575" t="str">
        <f>"000120839"</f>
        <v>000120839</v>
      </c>
      <c r="B2575" t="str">
        <f>"1619903168"</f>
        <v>1619903168</v>
      </c>
      <c r="C2575" t="str">
        <f>"207P00000X"</f>
        <v>207P00000X</v>
      </c>
      <c r="D2575" t="str">
        <f>"SUNDELL                  ERIK         T           "</f>
        <v xml:space="preserve">SUNDELL                  ERIK         T           </v>
      </c>
      <c r="E2575" t="str">
        <f t="shared" ref="E2575:E2587" si="110">"NEW ORLEANS               "</f>
        <v xml:space="preserve">NEW ORLEANS               </v>
      </c>
      <c r="F2575" t="str">
        <f t="shared" si="107"/>
        <v>LA</v>
      </c>
    </row>
    <row r="2576" spans="1:6" x14ac:dyDescent="0.25">
      <c r="A2576" t="str">
        <f>"000121049"</f>
        <v>000121049</v>
      </c>
      <c r="B2576" t="str">
        <f>"1053362962"</f>
        <v>1053362962</v>
      </c>
      <c r="C2576" t="str">
        <f>"208000000X"</f>
        <v>208000000X</v>
      </c>
      <c r="D2576" t="str">
        <f>"LUCAS                    VICTOR       W           "</f>
        <v xml:space="preserve">LUCAS                    VICTOR       W           </v>
      </c>
      <c r="E2576" t="str">
        <f t="shared" si="110"/>
        <v xml:space="preserve">NEW ORLEANS               </v>
      </c>
      <c r="F2576" t="str">
        <f t="shared" si="107"/>
        <v>LA</v>
      </c>
    </row>
    <row r="2577" spans="1:6" x14ac:dyDescent="0.25">
      <c r="A2577" t="str">
        <f>"000121386"</f>
        <v>000121386</v>
      </c>
      <c r="B2577" t="str">
        <f>"1144322421"</f>
        <v>1144322421</v>
      </c>
      <c r="C2577" t="str">
        <f>"208G00000X"</f>
        <v>208G00000X</v>
      </c>
      <c r="D2577" t="str">
        <f>"PETTITT                  TIMOTHY                  "</f>
        <v xml:space="preserve">PETTITT                  TIMOTHY                  </v>
      </c>
      <c r="E2577" t="str">
        <f t="shared" si="110"/>
        <v xml:space="preserve">NEW ORLEANS               </v>
      </c>
      <c r="F2577" t="str">
        <f t="shared" si="107"/>
        <v>LA</v>
      </c>
    </row>
    <row r="2578" spans="1:6" x14ac:dyDescent="0.25">
      <c r="A2578" t="str">
        <f>"000121522"</f>
        <v>000121522</v>
      </c>
      <c r="B2578" t="str">
        <f>"1396799177"</f>
        <v>1396799177</v>
      </c>
      <c r="C2578" t="str">
        <f>"208800000X"</f>
        <v>208800000X</v>
      </c>
      <c r="D2578" t="str">
        <f>"ORTENBERG                JOSEPH                   "</f>
        <v xml:space="preserve">ORTENBERG                JOSEPH                   </v>
      </c>
      <c r="E2578" t="str">
        <f t="shared" si="110"/>
        <v xml:space="preserve">NEW ORLEANS               </v>
      </c>
      <c r="F2578" t="str">
        <f t="shared" si="107"/>
        <v>LA</v>
      </c>
    </row>
    <row r="2579" spans="1:6" x14ac:dyDescent="0.25">
      <c r="A2579" t="str">
        <f>"000121617"</f>
        <v>000121617</v>
      </c>
      <c r="B2579" t="str">
        <f>"1578514808"</f>
        <v>1578514808</v>
      </c>
      <c r="C2579" t="str">
        <f>"207N00000X"</f>
        <v>207N00000X</v>
      </c>
      <c r="D2579" t="str">
        <f>"MERMILLIOD               JULIE                    "</f>
        <v xml:space="preserve">MERMILLIOD               JULIE                    </v>
      </c>
      <c r="E2579" t="str">
        <f t="shared" si="110"/>
        <v xml:space="preserve">NEW ORLEANS               </v>
      </c>
      <c r="F2579" t="str">
        <f t="shared" si="107"/>
        <v>LA</v>
      </c>
    </row>
    <row r="2580" spans="1:6" x14ac:dyDescent="0.25">
      <c r="A2580" t="str">
        <f>"000121989"</f>
        <v>000121989</v>
      </c>
      <c r="B2580" t="str">
        <f>"1003858523"</f>
        <v>1003858523</v>
      </c>
      <c r="C2580" t="str">
        <f>"2080N0001X"</f>
        <v>2080N0001X</v>
      </c>
      <c r="D2580" t="str">
        <f>"BARKEMEYER               BRIAN        M           "</f>
        <v xml:space="preserve">BARKEMEYER               BRIAN        M           </v>
      </c>
      <c r="E2580" t="str">
        <f t="shared" si="110"/>
        <v xml:space="preserve">NEW ORLEANS               </v>
      </c>
      <c r="F2580" t="str">
        <f t="shared" si="107"/>
        <v>LA</v>
      </c>
    </row>
    <row r="2581" spans="1:6" x14ac:dyDescent="0.25">
      <c r="A2581" t="str">
        <f>"000122178"</f>
        <v>000122178</v>
      </c>
      <c r="B2581" t="str">
        <f>"1992779581"</f>
        <v>1992779581</v>
      </c>
      <c r="C2581" t="str">
        <f>"207RI0200X"</f>
        <v>207RI0200X</v>
      </c>
      <c r="D2581" t="str">
        <f>"EHRENSING                ERIC         R           "</f>
        <v xml:space="preserve">EHRENSING                ERIC         R           </v>
      </c>
      <c r="E2581" t="str">
        <f t="shared" si="110"/>
        <v xml:space="preserve">NEW ORLEANS               </v>
      </c>
      <c r="F2581" t="str">
        <f t="shared" si="107"/>
        <v>LA</v>
      </c>
    </row>
    <row r="2582" spans="1:6" x14ac:dyDescent="0.25">
      <c r="A2582" t="str">
        <f>"000122197"</f>
        <v>000122197</v>
      </c>
      <c r="B2582" t="str">
        <f>"1790887792"</f>
        <v>1790887792</v>
      </c>
      <c r="C2582" t="str">
        <f>"2085R0202X"</f>
        <v>2085R0202X</v>
      </c>
      <c r="D2582" t="str">
        <f>"ARCEMENT                 CHRISTOPHER  M           "</f>
        <v xml:space="preserve">ARCEMENT                 CHRISTOPHER  M           </v>
      </c>
      <c r="E2582" t="str">
        <f t="shared" si="110"/>
        <v xml:space="preserve">NEW ORLEANS               </v>
      </c>
      <c r="F2582" t="str">
        <f t="shared" si="107"/>
        <v>LA</v>
      </c>
    </row>
    <row r="2583" spans="1:6" x14ac:dyDescent="0.25">
      <c r="A2583" t="str">
        <f>"000122248"</f>
        <v>000122248</v>
      </c>
      <c r="B2583" t="str">
        <f>"1538182548"</f>
        <v>1538182548</v>
      </c>
      <c r="C2583" t="str">
        <f>"208000000X"</f>
        <v>208000000X</v>
      </c>
      <c r="D2583" t="str">
        <f>"AVILES                   DIEGO        H           "</f>
        <v xml:space="preserve">AVILES                   DIEGO        H           </v>
      </c>
      <c r="E2583" t="str">
        <f t="shared" si="110"/>
        <v xml:space="preserve">NEW ORLEANS               </v>
      </c>
      <c r="F2583" t="str">
        <f t="shared" si="107"/>
        <v>LA</v>
      </c>
    </row>
    <row r="2584" spans="1:6" x14ac:dyDescent="0.25">
      <c r="A2584" t="str">
        <f>"000122302"</f>
        <v>000122302</v>
      </c>
      <c r="B2584" t="str">
        <f>"1982630810"</f>
        <v>1982630810</v>
      </c>
      <c r="C2584" t="str">
        <f>"207R00000X"</f>
        <v>207R00000X</v>
      </c>
      <c r="D2584" t="str">
        <f>"STOLL                    JAMES        D           "</f>
        <v xml:space="preserve">STOLL                    JAMES        D           </v>
      </c>
      <c r="E2584" t="str">
        <f t="shared" si="110"/>
        <v xml:space="preserve">NEW ORLEANS               </v>
      </c>
      <c r="F2584" t="str">
        <f t="shared" si="107"/>
        <v>LA</v>
      </c>
    </row>
    <row r="2585" spans="1:6" x14ac:dyDescent="0.25">
      <c r="A2585" t="str">
        <f>"000122532"</f>
        <v>000122532</v>
      </c>
      <c r="B2585" t="str">
        <f>"1972569168"</f>
        <v>1972569168</v>
      </c>
      <c r="C2585" t="str">
        <f>"207R00000X"</f>
        <v>207R00000X</v>
      </c>
      <c r="D2585" t="str">
        <f>"BAUMGARTEN               KATHERINE    L           "</f>
        <v xml:space="preserve">BAUMGARTEN               KATHERINE    L           </v>
      </c>
      <c r="E2585" t="str">
        <f t="shared" si="110"/>
        <v xml:space="preserve">NEW ORLEANS               </v>
      </c>
      <c r="F2585" t="str">
        <f t="shared" si="107"/>
        <v>LA</v>
      </c>
    </row>
    <row r="2586" spans="1:6" x14ac:dyDescent="0.25">
      <c r="A2586" t="str">
        <f>"000122552"</f>
        <v>000122552</v>
      </c>
      <c r="B2586" t="str">
        <f>"1386689347"</f>
        <v>1386689347</v>
      </c>
      <c r="C2586" t="str">
        <f>"207ZC0500X"</f>
        <v>207ZC0500X</v>
      </c>
      <c r="D2586" t="str">
        <f>"SMILARI                  THOM         F           "</f>
        <v xml:space="preserve">SMILARI                  THOM         F           </v>
      </c>
      <c r="E2586" t="str">
        <f t="shared" si="110"/>
        <v xml:space="preserve">NEW ORLEANS               </v>
      </c>
      <c r="F2586" t="str">
        <f t="shared" si="107"/>
        <v>LA</v>
      </c>
    </row>
    <row r="2587" spans="1:6" x14ac:dyDescent="0.25">
      <c r="A2587" t="str">
        <f>"000122778"</f>
        <v>000122778</v>
      </c>
      <c r="B2587" t="str">
        <f>"1720016207"</f>
        <v>1720016207</v>
      </c>
      <c r="C2587" t="str">
        <f>"207R00000X"</f>
        <v>207R00000X</v>
      </c>
      <c r="D2587" t="str">
        <f>"TAYLOR                   DAVID        E           "</f>
        <v xml:space="preserve">TAYLOR                   DAVID        E           </v>
      </c>
      <c r="E2587" t="str">
        <f t="shared" si="110"/>
        <v xml:space="preserve">NEW ORLEANS               </v>
      </c>
      <c r="F2587" t="str">
        <f t="shared" ref="F2587:F2650" si="111">"LA"</f>
        <v>LA</v>
      </c>
    </row>
    <row r="2588" spans="1:6" x14ac:dyDescent="0.25">
      <c r="A2588" t="str">
        <f>"000123080"</f>
        <v>000123080</v>
      </c>
      <c r="B2588" t="str">
        <f>"1164465704"</f>
        <v>1164465704</v>
      </c>
      <c r="C2588" t="str">
        <f>"207P00000X"</f>
        <v>207P00000X</v>
      </c>
      <c r="D2588" t="str">
        <f>"HANSEN III               ERNEST       C           "</f>
        <v xml:space="preserve">HANSEN III               ERNEST       C           </v>
      </c>
      <c r="E2588" t="str">
        <f>"SLIDELL                   "</f>
        <v xml:space="preserve">SLIDELL                   </v>
      </c>
      <c r="F2588" t="str">
        <f t="shared" si="111"/>
        <v>LA</v>
      </c>
    </row>
    <row r="2589" spans="1:6" x14ac:dyDescent="0.25">
      <c r="A2589" t="str">
        <f>"000123428"</f>
        <v>000123428</v>
      </c>
      <c r="B2589" t="str">
        <f>"1396764643"</f>
        <v>1396764643</v>
      </c>
      <c r="C2589" t="str">
        <f>"207RR0500X"</f>
        <v>207RR0500X</v>
      </c>
      <c r="D2589" t="str">
        <f>"ZAKEM                    JERALD       M           "</f>
        <v xml:space="preserve">ZAKEM                    JERALD       M           </v>
      </c>
      <c r="E2589" t="str">
        <f>"NEW ORLEANS               "</f>
        <v xml:space="preserve">NEW ORLEANS               </v>
      </c>
      <c r="F2589" t="str">
        <f t="shared" si="111"/>
        <v>LA</v>
      </c>
    </row>
    <row r="2590" spans="1:6" x14ac:dyDescent="0.25">
      <c r="A2590" t="str">
        <f>"000123462"</f>
        <v>000123462</v>
      </c>
      <c r="B2590" t="str">
        <f>"1962451518"</f>
        <v>1962451518</v>
      </c>
      <c r="C2590" t="str">
        <f>"207Q00000X"</f>
        <v>207Q00000X</v>
      </c>
      <c r="D2590" t="str">
        <f>"SMITH                    MARY         K           "</f>
        <v xml:space="preserve">SMITH                    MARY         K           </v>
      </c>
      <c r="E2590" t="str">
        <f>"COVINGTON                 "</f>
        <v xml:space="preserve">COVINGTON                 </v>
      </c>
      <c r="F2590" t="str">
        <f t="shared" si="111"/>
        <v>LA</v>
      </c>
    </row>
    <row r="2591" spans="1:6" x14ac:dyDescent="0.25">
      <c r="A2591" t="str">
        <f>"000123552"</f>
        <v>000123552</v>
      </c>
      <c r="B2591" t="str">
        <f>"1114925534"</f>
        <v>1114925534</v>
      </c>
      <c r="C2591" t="str">
        <f>"2085R0202X"</f>
        <v>2085R0202X</v>
      </c>
      <c r="D2591" t="str">
        <f>"DOZIER                   TIMOTHY      J           "</f>
        <v xml:space="preserve">DOZIER                   TIMOTHY      J           </v>
      </c>
      <c r="E2591" t="str">
        <f t="shared" ref="E2591:E2600" si="112">"NEW ORLEANS               "</f>
        <v xml:space="preserve">NEW ORLEANS               </v>
      </c>
      <c r="F2591" t="str">
        <f t="shared" si="111"/>
        <v>LA</v>
      </c>
    </row>
    <row r="2592" spans="1:6" x14ac:dyDescent="0.25">
      <c r="A2592" t="str">
        <f>"000123561"</f>
        <v>000123561</v>
      </c>
      <c r="B2592" t="str">
        <f>"1720030182"</f>
        <v>1720030182</v>
      </c>
      <c r="C2592" t="str">
        <f>"2085R0202X"</f>
        <v>2085R0202X</v>
      </c>
      <c r="D2592" t="str">
        <f>"MILBURN                  JAMES        M           "</f>
        <v xml:space="preserve">MILBURN                  JAMES        M           </v>
      </c>
      <c r="E2592" t="str">
        <f t="shared" si="112"/>
        <v xml:space="preserve">NEW ORLEANS               </v>
      </c>
      <c r="F2592" t="str">
        <f t="shared" si="111"/>
        <v>LA</v>
      </c>
    </row>
    <row r="2593" spans="1:6" x14ac:dyDescent="0.25">
      <c r="A2593" t="str">
        <f>"000123576"</f>
        <v>000123576</v>
      </c>
      <c r="B2593" t="str">
        <f>"1174547699"</f>
        <v>1174547699</v>
      </c>
      <c r="C2593" t="str">
        <f>"207ZP0102X"</f>
        <v>207ZP0102X</v>
      </c>
      <c r="D2593" t="str">
        <f>"WANG                     ALUN         R           "</f>
        <v xml:space="preserve">WANG                     ALUN         R           </v>
      </c>
      <c r="E2593" t="str">
        <f t="shared" si="112"/>
        <v xml:space="preserve">NEW ORLEANS               </v>
      </c>
      <c r="F2593" t="str">
        <f t="shared" si="111"/>
        <v>LA</v>
      </c>
    </row>
    <row r="2594" spans="1:6" x14ac:dyDescent="0.25">
      <c r="A2594" t="str">
        <f>"000123915"</f>
        <v>000123915</v>
      </c>
      <c r="B2594" t="str">
        <f>"1659394518"</f>
        <v>1659394518</v>
      </c>
      <c r="C2594" t="str">
        <f>"208D00000X"</f>
        <v>208D00000X</v>
      </c>
      <c r="D2594" t="str">
        <f>"WEIMER                   MARIA        B           "</f>
        <v xml:space="preserve">WEIMER                   MARIA        B           </v>
      </c>
      <c r="E2594" t="str">
        <f t="shared" si="112"/>
        <v xml:space="preserve">NEW ORLEANS               </v>
      </c>
      <c r="F2594" t="str">
        <f t="shared" si="111"/>
        <v>LA</v>
      </c>
    </row>
    <row r="2595" spans="1:6" x14ac:dyDescent="0.25">
      <c r="A2595" t="str">
        <f>"000124082"</f>
        <v>000124082</v>
      </c>
      <c r="B2595" t="str">
        <f>"1972591741"</f>
        <v>1972591741</v>
      </c>
      <c r="C2595" t="str">
        <f>"208000000X"</f>
        <v>208000000X</v>
      </c>
      <c r="D2595" t="str">
        <f>"MORGAN                   WILLIAM      L           "</f>
        <v xml:space="preserve">MORGAN                   WILLIAM      L           </v>
      </c>
      <c r="E2595" t="str">
        <f t="shared" si="112"/>
        <v xml:space="preserve">NEW ORLEANS               </v>
      </c>
      <c r="F2595" t="str">
        <f t="shared" si="111"/>
        <v>LA</v>
      </c>
    </row>
    <row r="2596" spans="1:6" x14ac:dyDescent="0.25">
      <c r="A2596" t="str">
        <f>"000124240"</f>
        <v>000124240</v>
      </c>
      <c r="B2596" t="str">
        <f>"1013973080"</f>
        <v>1013973080</v>
      </c>
      <c r="C2596" t="str">
        <f>"367500000X"</f>
        <v>367500000X</v>
      </c>
      <c r="D2596" t="str">
        <f>"BATTLEY                  LISA         A           "</f>
        <v xml:space="preserve">BATTLEY                  LISA         A           </v>
      </c>
      <c r="E2596" t="str">
        <f t="shared" si="112"/>
        <v xml:space="preserve">NEW ORLEANS               </v>
      </c>
      <c r="F2596" t="str">
        <f t="shared" si="111"/>
        <v>LA</v>
      </c>
    </row>
    <row r="2597" spans="1:6" x14ac:dyDescent="0.25">
      <c r="A2597" t="str">
        <f>"000124256"</f>
        <v>000124256</v>
      </c>
      <c r="B2597" t="str">
        <f>"1730131277"</f>
        <v>1730131277</v>
      </c>
      <c r="C2597" t="str">
        <f>"208000000X"</f>
        <v>208000000X</v>
      </c>
      <c r="D2597" t="str">
        <f>"MONIER                   RICHELLE     M           "</f>
        <v xml:space="preserve">MONIER                   RICHELLE     M           </v>
      </c>
      <c r="E2597" t="str">
        <f t="shared" si="112"/>
        <v xml:space="preserve">NEW ORLEANS               </v>
      </c>
      <c r="F2597" t="str">
        <f t="shared" si="111"/>
        <v>LA</v>
      </c>
    </row>
    <row r="2598" spans="1:6" x14ac:dyDescent="0.25">
      <c r="A2598" t="str">
        <f>"000124395"</f>
        <v>000124395</v>
      </c>
      <c r="B2598" t="str">
        <f>"1629025069"</f>
        <v>1629025069</v>
      </c>
      <c r="C2598" t="str">
        <f>"207Q00000X"</f>
        <v>207Q00000X</v>
      </c>
      <c r="D2598" t="str">
        <f>"SEOANE                   LEONARDO                 "</f>
        <v xml:space="preserve">SEOANE                   LEONARDO                 </v>
      </c>
      <c r="E2598" t="str">
        <f t="shared" si="112"/>
        <v xml:space="preserve">NEW ORLEANS               </v>
      </c>
      <c r="F2598" t="str">
        <f t="shared" si="111"/>
        <v>LA</v>
      </c>
    </row>
    <row r="2599" spans="1:6" x14ac:dyDescent="0.25">
      <c r="A2599" t="str">
        <f>"000124673"</f>
        <v>000124673</v>
      </c>
      <c r="B2599" t="str">
        <f>"1477509107"</f>
        <v>1477509107</v>
      </c>
      <c r="C2599" t="str">
        <f>"207RN0300X"</f>
        <v>207RN0300X</v>
      </c>
      <c r="D2599" t="str">
        <f>"ALPER                    ARNOLD       B           "</f>
        <v xml:space="preserve">ALPER                    ARNOLD       B           </v>
      </c>
      <c r="E2599" t="str">
        <f t="shared" si="112"/>
        <v xml:space="preserve">NEW ORLEANS               </v>
      </c>
      <c r="F2599" t="str">
        <f t="shared" si="111"/>
        <v>LA</v>
      </c>
    </row>
    <row r="2600" spans="1:6" x14ac:dyDescent="0.25">
      <c r="A2600" t="str">
        <f>"000124828"</f>
        <v>000124828</v>
      </c>
      <c r="B2600" t="str">
        <f>"1750336632"</f>
        <v>1750336632</v>
      </c>
      <c r="C2600" t="str">
        <f>"207L00000X"</f>
        <v>207L00000X</v>
      </c>
      <c r="D2600" t="str">
        <f>"KOVELESKIE               JOSEPH       R           "</f>
        <v xml:space="preserve">KOVELESKIE               JOSEPH       R           </v>
      </c>
      <c r="E2600" t="str">
        <f t="shared" si="112"/>
        <v xml:space="preserve">NEW ORLEANS               </v>
      </c>
      <c r="F2600" t="str">
        <f t="shared" si="111"/>
        <v>LA</v>
      </c>
    </row>
    <row r="2601" spans="1:6" x14ac:dyDescent="0.25">
      <c r="A2601" t="str">
        <f>"000124876"</f>
        <v>000124876</v>
      </c>
      <c r="B2601" t="str">
        <f>"1194741355"</f>
        <v>1194741355</v>
      </c>
      <c r="C2601" t="str">
        <f>"208000000X"</f>
        <v>208000000X</v>
      </c>
      <c r="D2601" t="str">
        <f>"POUW                     I. VICTOR    V           "</f>
        <v xml:space="preserve">POUW                     I. VICTOR    V           </v>
      </c>
      <c r="E2601" t="str">
        <f>"SLIDELL                   "</f>
        <v xml:space="preserve">SLIDELL                   </v>
      </c>
      <c r="F2601" t="str">
        <f t="shared" si="111"/>
        <v>LA</v>
      </c>
    </row>
    <row r="2602" spans="1:6" x14ac:dyDescent="0.25">
      <c r="A2602" t="str">
        <f>"000124880"</f>
        <v>000124880</v>
      </c>
      <c r="B2602" t="str">
        <f>"1760625503"</f>
        <v>1760625503</v>
      </c>
      <c r="C2602" t="str">
        <f>"208000000X"</f>
        <v>208000000X</v>
      </c>
      <c r="D2602" t="str">
        <f>"PATRICK-ESTEVE           JESSICA      L           "</f>
        <v xml:space="preserve">PATRICK-ESTEVE           JESSICA      L           </v>
      </c>
      <c r="E2602" t="str">
        <f>"NEW ORLEANS               "</f>
        <v xml:space="preserve">NEW ORLEANS               </v>
      </c>
      <c r="F2602" t="str">
        <f t="shared" si="111"/>
        <v>LA</v>
      </c>
    </row>
    <row r="2603" spans="1:6" x14ac:dyDescent="0.25">
      <c r="A2603" t="str">
        <f>"000124923"</f>
        <v>000124923</v>
      </c>
      <c r="B2603" t="str">
        <f>"1376567628"</f>
        <v>1376567628</v>
      </c>
      <c r="C2603" t="str">
        <f>"207P00000X"</f>
        <v>207P00000X</v>
      </c>
      <c r="D2603" t="str">
        <f>"KNIGHT                   FREDRO       C           "</f>
        <v xml:space="preserve">KNIGHT                   FREDRO       C           </v>
      </c>
      <c r="E2603" t="str">
        <f>"LACOMBE                   "</f>
        <v xml:space="preserve">LACOMBE                   </v>
      </c>
      <c r="F2603" t="str">
        <f t="shared" si="111"/>
        <v>LA</v>
      </c>
    </row>
    <row r="2604" spans="1:6" x14ac:dyDescent="0.25">
      <c r="A2604" t="str">
        <f>"000124928"</f>
        <v>000124928</v>
      </c>
      <c r="B2604" t="str">
        <f>"1548444904"</f>
        <v>1548444904</v>
      </c>
      <c r="C2604" t="str">
        <f>"207X00000X"</f>
        <v>207X00000X</v>
      </c>
      <c r="D2604" t="str">
        <f>"FINGER                   SIMON                    "</f>
        <v xml:space="preserve">FINGER                   SIMON                    </v>
      </c>
      <c r="E2604" t="str">
        <f>"SLIDELL                   "</f>
        <v xml:space="preserve">SLIDELL                   </v>
      </c>
      <c r="F2604" t="str">
        <f t="shared" si="111"/>
        <v>LA</v>
      </c>
    </row>
    <row r="2605" spans="1:6" x14ac:dyDescent="0.25">
      <c r="A2605" t="str">
        <f>"000125017"</f>
        <v>000125017</v>
      </c>
      <c r="B2605" t="str">
        <f>"1528083409"</f>
        <v>1528083409</v>
      </c>
      <c r="C2605" t="str">
        <f>"207RN0300X"</f>
        <v>207RN0300X</v>
      </c>
      <c r="D2605" t="str">
        <f>"YOSYPIV                  IHOR         V           "</f>
        <v xml:space="preserve">YOSYPIV                  IHOR         V           </v>
      </c>
      <c r="E2605" t="str">
        <f t="shared" ref="E2605:E2610" si="113">"NEW ORLEANS               "</f>
        <v xml:space="preserve">NEW ORLEANS               </v>
      </c>
      <c r="F2605" t="str">
        <f t="shared" si="111"/>
        <v>LA</v>
      </c>
    </row>
    <row r="2606" spans="1:6" x14ac:dyDescent="0.25">
      <c r="A2606" t="str">
        <f>"000125420"</f>
        <v>000125420</v>
      </c>
      <c r="B2606" t="str">
        <f>"1346327822"</f>
        <v>1346327822</v>
      </c>
      <c r="C2606" t="str">
        <f>"207RG0100X"</f>
        <v>207RG0100X</v>
      </c>
      <c r="D2606" t="str">
        <f>"JOSHI                    SHOBHA       N           "</f>
        <v xml:space="preserve">JOSHI                    SHOBHA       N           </v>
      </c>
      <c r="E2606" t="str">
        <f t="shared" si="113"/>
        <v xml:space="preserve">NEW ORLEANS               </v>
      </c>
      <c r="F2606" t="str">
        <f t="shared" si="111"/>
        <v>LA</v>
      </c>
    </row>
    <row r="2607" spans="1:6" x14ac:dyDescent="0.25">
      <c r="A2607" t="str">
        <f>"000125452"</f>
        <v>000125452</v>
      </c>
      <c r="B2607" t="str">
        <f>"1194747600"</f>
        <v>1194747600</v>
      </c>
      <c r="C2607" t="str">
        <f>"208000000X"</f>
        <v>208000000X</v>
      </c>
      <c r="D2607" t="str">
        <f>"ENGLISH                  MARCIA       R           "</f>
        <v xml:space="preserve">ENGLISH                  MARCIA       R           </v>
      </c>
      <c r="E2607" t="str">
        <f t="shared" si="113"/>
        <v xml:space="preserve">NEW ORLEANS               </v>
      </c>
      <c r="F2607" t="str">
        <f t="shared" si="111"/>
        <v>LA</v>
      </c>
    </row>
    <row r="2608" spans="1:6" x14ac:dyDescent="0.25">
      <c r="A2608" t="str">
        <f>"000125468"</f>
        <v>000125468</v>
      </c>
      <c r="B2608" t="str">
        <f>"1063452340"</f>
        <v>1063452340</v>
      </c>
      <c r="C2608" t="str">
        <f>"207V00000X"</f>
        <v>207V00000X</v>
      </c>
      <c r="D2608" t="str">
        <f>"SARGENT                  WILLIAM      T           "</f>
        <v xml:space="preserve">SARGENT                  WILLIAM      T           </v>
      </c>
      <c r="E2608" t="str">
        <f t="shared" si="113"/>
        <v xml:space="preserve">NEW ORLEANS               </v>
      </c>
      <c r="F2608" t="str">
        <f t="shared" si="111"/>
        <v>LA</v>
      </c>
    </row>
    <row r="2609" spans="1:6" x14ac:dyDescent="0.25">
      <c r="A2609" t="str">
        <f>"000125765"</f>
        <v>000125765</v>
      </c>
      <c r="B2609" t="str">
        <f>"1144286436"</f>
        <v>1144286436</v>
      </c>
      <c r="C2609" t="str">
        <f>"208600000X"</f>
        <v>208600000X</v>
      </c>
      <c r="D2609" t="str">
        <f>"COHEN                    ARI          J           "</f>
        <v xml:space="preserve">COHEN                    ARI          J           </v>
      </c>
      <c r="E2609" t="str">
        <f t="shared" si="113"/>
        <v xml:space="preserve">NEW ORLEANS               </v>
      </c>
      <c r="F2609" t="str">
        <f t="shared" si="111"/>
        <v>LA</v>
      </c>
    </row>
    <row r="2610" spans="1:6" x14ac:dyDescent="0.25">
      <c r="A2610" t="str">
        <f>"000126091"</f>
        <v>000126091</v>
      </c>
      <c r="B2610" t="str">
        <f>"1629099536"</f>
        <v>1629099536</v>
      </c>
      <c r="C2610" t="str">
        <f>"207X00000X"</f>
        <v>207X00000X</v>
      </c>
      <c r="D2610" t="str">
        <f>"ACCOUSTI                 WILLIAM      K           "</f>
        <v xml:space="preserve">ACCOUSTI                 WILLIAM      K           </v>
      </c>
      <c r="E2610" t="str">
        <f t="shared" si="113"/>
        <v xml:space="preserve">NEW ORLEANS               </v>
      </c>
      <c r="F2610" t="str">
        <f t="shared" si="111"/>
        <v>LA</v>
      </c>
    </row>
    <row r="2611" spans="1:6" x14ac:dyDescent="0.25">
      <c r="A2611" t="str">
        <f>"000126145"</f>
        <v>000126145</v>
      </c>
      <c r="B2611" t="str">
        <f>"1346243862"</f>
        <v>1346243862</v>
      </c>
      <c r="C2611" t="str">
        <f>"367500000X"</f>
        <v>367500000X</v>
      </c>
      <c r="D2611" t="str">
        <f>"STUART JR.               FRANK        W           "</f>
        <v xml:space="preserve">STUART JR.               FRANK        W           </v>
      </c>
      <c r="E2611" t="str">
        <f>"COVINGTON                 "</f>
        <v xml:space="preserve">COVINGTON                 </v>
      </c>
      <c r="F2611" t="str">
        <f t="shared" si="111"/>
        <v>LA</v>
      </c>
    </row>
    <row r="2612" spans="1:6" x14ac:dyDescent="0.25">
      <c r="A2612" t="str">
        <f>"000126232"</f>
        <v>000126232</v>
      </c>
      <c r="B2612" t="str">
        <f>"1316928260"</f>
        <v>1316928260</v>
      </c>
      <c r="C2612" t="str">
        <f>"207RC0000X"</f>
        <v>207RC0000X</v>
      </c>
      <c r="D2612" t="str">
        <f>"VOELKER                  FRANK                    "</f>
        <v xml:space="preserve">VOELKER                  FRANK                    </v>
      </c>
      <c r="E2612" t="str">
        <f>"SLIDELL                   "</f>
        <v xml:space="preserve">SLIDELL                   </v>
      </c>
      <c r="F2612" t="str">
        <f t="shared" si="111"/>
        <v>LA</v>
      </c>
    </row>
    <row r="2613" spans="1:6" x14ac:dyDescent="0.25">
      <c r="A2613" t="str">
        <f>"000126598"</f>
        <v>000126598</v>
      </c>
      <c r="B2613" t="str">
        <f>"1427182534"</f>
        <v>1427182534</v>
      </c>
      <c r="C2613" t="str">
        <f>"363L00000X"</f>
        <v>363L00000X</v>
      </c>
      <c r="D2613" t="str">
        <f>"FORET                    CHRISTINA    H           "</f>
        <v xml:space="preserve">FORET                    CHRISTINA    H           </v>
      </c>
      <c r="E2613" t="str">
        <f>"SLIDELL                   "</f>
        <v xml:space="preserve">SLIDELL                   </v>
      </c>
      <c r="F2613" t="str">
        <f t="shared" si="111"/>
        <v>LA</v>
      </c>
    </row>
    <row r="2614" spans="1:6" x14ac:dyDescent="0.25">
      <c r="A2614" t="str">
        <f>"000126604"</f>
        <v>000126604</v>
      </c>
      <c r="B2614" t="str">
        <f>"1285794693"</f>
        <v>1285794693</v>
      </c>
      <c r="C2614" t="str">
        <f>"207X00000X"</f>
        <v>207X00000X</v>
      </c>
      <c r="D2614" t="str">
        <f>"MOUKARZEL                ROBERT       N           "</f>
        <v xml:space="preserve">MOUKARZEL                ROBERT       N           </v>
      </c>
      <c r="E2614" t="str">
        <f>"BATON ROUGE               "</f>
        <v xml:space="preserve">BATON ROUGE               </v>
      </c>
      <c r="F2614" t="str">
        <f t="shared" si="111"/>
        <v>LA</v>
      </c>
    </row>
    <row r="2615" spans="1:6" x14ac:dyDescent="0.25">
      <c r="A2615" t="str">
        <f>"000126702"</f>
        <v>000126702</v>
      </c>
      <c r="B2615" t="str">
        <f>"1427006287"</f>
        <v>1427006287</v>
      </c>
      <c r="C2615" t="str">
        <f>"2080P0207X"</f>
        <v>2080P0207X</v>
      </c>
      <c r="D2615" t="str">
        <f>"HEMENWAY                 CHARLES      S           "</f>
        <v xml:space="preserve">HEMENWAY                 CHARLES      S           </v>
      </c>
      <c r="E2615" t="str">
        <f>"NEW ORLEANS               "</f>
        <v xml:space="preserve">NEW ORLEANS               </v>
      </c>
      <c r="F2615" t="str">
        <f t="shared" si="111"/>
        <v>LA</v>
      </c>
    </row>
    <row r="2616" spans="1:6" x14ac:dyDescent="0.25">
      <c r="A2616" t="str">
        <f>"000126732"</f>
        <v>000126732</v>
      </c>
      <c r="B2616" t="str">
        <f>"1538168646"</f>
        <v>1538168646</v>
      </c>
      <c r="C2616" t="str">
        <f>"2080N0001X"</f>
        <v>2080N0001X</v>
      </c>
      <c r="D2616" t="str">
        <f>"SPEDALE                  STEVEN       B           "</f>
        <v xml:space="preserve">SPEDALE                  STEVEN       B           </v>
      </c>
      <c r="E2616" t="str">
        <f>"BATON ROUGE               "</f>
        <v xml:space="preserve">BATON ROUGE               </v>
      </c>
      <c r="F2616" t="str">
        <f t="shared" si="111"/>
        <v>LA</v>
      </c>
    </row>
    <row r="2617" spans="1:6" x14ac:dyDescent="0.25">
      <c r="A2617" t="str">
        <f>"000127036"</f>
        <v>000127036</v>
      </c>
      <c r="B2617" t="str">
        <f>"1609879121"</f>
        <v>1609879121</v>
      </c>
      <c r="C2617" t="str">
        <f>"207L00000X"</f>
        <v>207L00000X</v>
      </c>
      <c r="D2617" t="str">
        <f>"SPALITTA JR              JOSEPH       T           "</f>
        <v xml:space="preserve">SPALITTA JR              JOSEPH       T           </v>
      </c>
      <c r="E2617" t="str">
        <f>"COVINGTON                 "</f>
        <v xml:space="preserve">COVINGTON                 </v>
      </c>
      <c r="F2617" t="str">
        <f t="shared" si="111"/>
        <v>LA</v>
      </c>
    </row>
    <row r="2618" spans="1:6" x14ac:dyDescent="0.25">
      <c r="A2618" t="str">
        <f>"000127069"</f>
        <v>000127069</v>
      </c>
      <c r="B2618" t="str">
        <f>"1245239250"</f>
        <v>1245239250</v>
      </c>
      <c r="C2618" t="str">
        <f>"2080N0001X"</f>
        <v>2080N0001X</v>
      </c>
      <c r="D2618" t="str">
        <f>"STEWART                  KIMBERLY     M           "</f>
        <v xml:space="preserve">STEWART                  KIMBERLY     M           </v>
      </c>
      <c r="E2618" t="str">
        <f>"BATON ROUGE               "</f>
        <v xml:space="preserve">BATON ROUGE               </v>
      </c>
      <c r="F2618" t="str">
        <f t="shared" si="111"/>
        <v>LA</v>
      </c>
    </row>
    <row r="2619" spans="1:6" x14ac:dyDescent="0.25">
      <c r="A2619" t="str">
        <f>"000130309"</f>
        <v>000130309</v>
      </c>
      <c r="B2619" t="str">
        <f>"1346430790"</f>
        <v>1346430790</v>
      </c>
      <c r="C2619" t="str">
        <f>"207L00000X"</f>
        <v>207L00000X</v>
      </c>
      <c r="D2619" t="str">
        <f>"MATTE                    MELISSA      C           "</f>
        <v xml:space="preserve">MATTE                    MELISSA      C           </v>
      </c>
      <c r="E2619" t="str">
        <f>"NEW ORLEANS               "</f>
        <v xml:space="preserve">NEW ORLEANS               </v>
      </c>
      <c r="F2619" t="str">
        <f t="shared" si="111"/>
        <v>LA</v>
      </c>
    </row>
    <row r="2620" spans="1:6" x14ac:dyDescent="0.25">
      <c r="A2620" t="str">
        <f>"000132058"</f>
        <v>000132058</v>
      </c>
      <c r="B2620" t="str">
        <f>"1245490432"</f>
        <v>1245490432</v>
      </c>
      <c r="C2620" t="str">
        <f>"207RC0200X"</f>
        <v>207RC0200X</v>
      </c>
      <c r="D2620" t="str">
        <f>"VARGHESE                 JOYCE        M           "</f>
        <v xml:space="preserve">VARGHESE                 JOYCE        M           </v>
      </c>
      <c r="E2620" t="str">
        <f>"NEW ORLEANS               "</f>
        <v xml:space="preserve">NEW ORLEANS               </v>
      </c>
      <c r="F2620" t="str">
        <f t="shared" si="111"/>
        <v>LA</v>
      </c>
    </row>
    <row r="2621" spans="1:6" x14ac:dyDescent="0.25">
      <c r="A2621" t="str">
        <f>"000136868"</f>
        <v>000136868</v>
      </c>
      <c r="B2621" t="str">
        <f>"1275951170"</f>
        <v>1275951170</v>
      </c>
      <c r="C2621" t="str">
        <f>"208000000X"</f>
        <v>208000000X</v>
      </c>
      <c r="D2621" t="str">
        <f>"PALOMBO                  SHANNON      B           "</f>
        <v xml:space="preserve">PALOMBO                  SHANNON      B           </v>
      </c>
      <c r="E2621" t="str">
        <f>"NEW ORLEANS               "</f>
        <v xml:space="preserve">NEW ORLEANS               </v>
      </c>
      <c r="F2621" t="str">
        <f t="shared" si="111"/>
        <v>LA</v>
      </c>
    </row>
    <row r="2622" spans="1:6" x14ac:dyDescent="0.25">
      <c r="A2622" t="str">
        <f>"000138067"</f>
        <v>000138067</v>
      </c>
      <c r="B2622" t="str">
        <f>"1861633836"</f>
        <v>1861633836</v>
      </c>
      <c r="C2622" t="str">
        <f>"207L00000X"</f>
        <v>207L00000X</v>
      </c>
      <c r="D2622" t="str">
        <f>"HOGAN                    MEREDITH     L           "</f>
        <v xml:space="preserve">HOGAN                    MEREDITH     L           </v>
      </c>
      <c r="E2622" t="str">
        <f>"NEW ORLEANS               "</f>
        <v xml:space="preserve">NEW ORLEANS               </v>
      </c>
      <c r="F2622" t="str">
        <f t="shared" si="111"/>
        <v>LA</v>
      </c>
    </row>
    <row r="2623" spans="1:6" x14ac:dyDescent="0.25">
      <c r="A2623" t="str">
        <f>"000150035"</f>
        <v>000150035</v>
      </c>
      <c r="B2623" t="str">
        <f>"1326673575"</f>
        <v>1326673575</v>
      </c>
      <c r="C2623" t="str">
        <f>"363L00000X"</f>
        <v>363L00000X</v>
      </c>
      <c r="D2623" t="str">
        <f>"MIKNAITIS                LORI                     "</f>
        <v xml:space="preserve">MIKNAITIS                LORI                     </v>
      </c>
      <c r="E2623" t="str">
        <f>"COVINGTON                 "</f>
        <v xml:space="preserve">COVINGTON                 </v>
      </c>
      <c r="F2623" t="str">
        <f t="shared" si="111"/>
        <v>LA</v>
      </c>
    </row>
    <row r="2624" spans="1:6" x14ac:dyDescent="0.25">
      <c r="A2624" t="str">
        <f>"000157521"</f>
        <v>000157521</v>
      </c>
      <c r="B2624" t="str">
        <f>"1902424906"</f>
        <v>1902424906</v>
      </c>
      <c r="C2624" t="str">
        <f>"363A00000X"</f>
        <v>363A00000X</v>
      </c>
      <c r="D2624" t="str">
        <f>"ARTHUR                   TERRY        R           "</f>
        <v xml:space="preserve">ARTHUR                   TERRY        R           </v>
      </c>
      <c r="E2624" t="str">
        <f>"COVINGTON                 "</f>
        <v xml:space="preserve">COVINGTON                 </v>
      </c>
      <c r="F2624" t="str">
        <f t="shared" si="111"/>
        <v>LA</v>
      </c>
    </row>
    <row r="2625" spans="1:6" x14ac:dyDescent="0.25">
      <c r="A2625" t="str">
        <f>"000159832"</f>
        <v>000159832</v>
      </c>
      <c r="B2625" t="str">
        <f>"1003225905"</f>
        <v>1003225905</v>
      </c>
      <c r="C2625" t="str">
        <f>"152W00000X"</f>
        <v>152W00000X</v>
      </c>
      <c r="D2625" t="str">
        <f>"NINH                     HA           K           "</f>
        <v xml:space="preserve">NINH                     HA           K           </v>
      </c>
      <c r="E2625" t="str">
        <f>"SLIDELL                   "</f>
        <v xml:space="preserve">SLIDELL                   </v>
      </c>
      <c r="F2625" t="str">
        <f t="shared" si="111"/>
        <v>LA</v>
      </c>
    </row>
    <row r="2626" spans="1:6" x14ac:dyDescent="0.25">
      <c r="A2626" t="str">
        <f>"000176739"</f>
        <v>000176739</v>
      </c>
      <c r="B2626" t="str">
        <f>"1548427768"</f>
        <v>1548427768</v>
      </c>
      <c r="C2626" t="str">
        <f>"208100000X"</f>
        <v>208100000X</v>
      </c>
      <c r="D2626" t="str">
        <f>"SETLIFF                  MARTIN       R           "</f>
        <v xml:space="preserve">SETLIFF                  MARTIN       R           </v>
      </c>
      <c r="E2626" t="str">
        <f>"BATON ROUGE               "</f>
        <v xml:space="preserve">BATON ROUGE               </v>
      </c>
      <c r="F2626" t="str">
        <f t="shared" si="111"/>
        <v>LA</v>
      </c>
    </row>
    <row r="2627" spans="1:6" x14ac:dyDescent="0.25">
      <c r="A2627" t="str">
        <f>"000180850"</f>
        <v>000180850</v>
      </c>
      <c r="B2627" t="str">
        <f>"1992701288"</f>
        <v>1992701288</v>
      </c>
      <c r="C2627" t="str">
        <f>"122300000X"</f>
        <v>122300000X</v>
      </c>
      <c r="D2627" t="str">
        <f>"DUGAS                    PAUL         E           "</f>
        <v xml:space="preserve">DUGAS                    PAUL         E           </v>
      </c>
      <c r="E2627" t="str">
        <f>"SLIDELL                   "</f>
        <v xml:space="preserve">SLIDELL                   </v>
      </c>
      <c r="F2627" t="str">
        <f t="shared" si="111"/>
        <v>LA</v>
      </c>
    </row>
    <row r="2628" spans="1:6" x14ac:dyDescent="0.25">
      <c r="A2628" t="str">
        <f>"000182862"</f>
        <v>000182862</v>
      </c>
      <c r="B2628" t="str">
        <f>"1992062004"</f>
        <v>1992062004</v>
      </c>
      <c r="C2628" t="str">
        <f>"208C00000X"</f>
        <v>208C00000X</v>
      </c>
      <c r="D2628" t="str">
        <f>"GIGLIA                   MATTHEW      D           "</f>
        <v xml:space="preserve">GIGLIA                   MATTHEW      D           </v>
      </c>
      <c r="E2628" t="str">
        <f>"BATON ROUGE               "</f>
        <v xml:space="preserve">BATON ROUGE               </v>
      </c>
      <c r="F2628" t="str">
        <f t="shared" si="111"/>
        <v>LA</v>
      </c>
    </row>
    <row r="2629" spans="1:6" x14ac:dyDescent="0.25">
      <c r="A2629" t="str">
        <f>"000186794"</f>
        <v>000186794</v>
      </c>
      <c r="B2629" t="str">
        <f>"1134484504"</f>
        <v>1134484504</v>
      </c>
      <c r="C2629" t="str">
        <f>"367500000X"</f>
        <v>367500000X</v>
      </c>
      <c r="D2629" t="str">
        <f>"BUNDICK                  ROBIN        A           "</f>
        <v xml:space="preserve">BUNDICK                  ROBIN        A           </v>
      </c>
      <c r="E2629" t="str">
        <f>"NEW ORLEANS               "</f>
        <v xml:space="preserve">NEW ORLEANS               </v>
      </c>
      <c r="F2629" t="str">
        <f t="shared" si="111"/>
        <v>LA</v>
      </c>
    </row>
    <row r="2630" spans="1:6" x14ac:dyDescent="0.25">
      <c r="A2630" t="str">
        <f>"000189351"</f>
        <v>000189351</v>
      </c>
      <c r="B2630" t="str">
        <f>"1003173568"</f>
        <v>1003173568</v>
      </c>
      <c r="C2630" t="str">
        <f>"207RC0000X"</f>
        <v>207RC0000X</v>
      </c>
      <c r="D2630" t="str">
        <f>"HILTBOLD                 AIMEE        E           "</f>
        <v xml:space="preserve">HILTBOLD                 AIMEE        E           </v>
      </c>
      <c r="E2630" t="str">
        <f>"NEW ORLEANS               "</f>
        <v xml:space="preserve">NEW ORLEANS               </v>
      </c>
      <c r="F2630" t="str">
        <f t="shared" si="111"/>
        <v>LA</v>
      </c>
    </row>
    <row r="2631" spans="1:6" x14ac:dyDescent="0.25">
      <c r="A2631" t="str">
        <f>"000220061"</f>
        <v>000220061</v>
      </c>
      <c r="B2631" t="str">
        <f>"1124130828"</f>
        <v>1124130828</v>
      </c>
      <c r="C2631" t="str">
        <f>"261QE0700X"</f>
        <v>261QE0700X</v>
      </c>
      <c r="D2631" t="str">
        <f>"RENEX DIALYSIS DELTA                              "</f>
        <v xml:space="preserve">RENEX DIALYSIS DELTA                              </v>
      </c>
      <c r="E2631" t="str">
        <f>"DELTA                     "</f>
        <v xml:space="preserve">DELTA                     </v>
      </c>
      <c r="F2631" t="str">
        <f t="shared" si="111"/>
        <v>LA</v>
      </c>
    </row>
    <row r="2632" spans="1:6" x14ac:dyDescent="0.25">
      <c r="A2632" t="str">
        <f>"000220825"</f>
        <v>000220825</v>
      </c>
      <c r="B2632" t="str">
        <f>"1760441836"</f>
        <v>1760441836</v>
      </c>
      <c r="C2632" t="str">
        <f>"261QE0700X"</f>
        <v>261QE0700X</v>
      </c>
      <c r="D2632" t="str">
        <f>"SLIDELL KIDNEY CARE                               "</f>
        <v xml:space="preserve">SLIDELL KIDNEY CARE                               </v>
      </c>
      <c r="E2632" t="str">
        <f>"SLIDELL                   "</f>
        <v xml:space="preserve">SLIDELL                   </v>
      </c>
      <c r="F2632" t="str">
        <f t="shared" si="111"/>
        <v>LA</v>
      </c>
    </row>
    <row r="2633" spans="1:6" x14ac:dyDescent="0.25">
      <c r="A2633" t="str">
        <f>"000223064"</f>
        <v>000223064</v>
      </c>
      <c r="B2633" t="str">
        <f>"1134164551"</f>
        <v>1134164551</v>
      </c>
      <c r="C2633" t="str">
        <f>"207V00000X"</f>
        <v>207V00000X</v>
      </c>
      <c r="D2633" t="str">
        <f>"PAINE                    ARCHANA      R           "</f>
        <v xml:space="preserve">PAINE                    ARCHANA      R           </v>
      </c>
      <c r="E2633" t="str">
        <f>"NEW ORLEANS               "</f>
        <v xml:space="preserve">NEW ORLEANS               </v>
      </c>
      <c r="F2633" t="str">
        <f t="shared" si="111"/>
        <v>LA</v>
      </c>
    </row>
    <row r="2634" spans="1:6" x14ac:dyDescent="0.25">
      <c r="A2634" t="str">
        <f>"000223824"</f>
        <v>000223824</v>
      </c>
      <c r="B2634" t="str">
        <f>"1609369537"</f>
        <v>1609369537</v>
      </c>
      <c r="C2634" t="str">
        <f>"367500000X"</f>
        <v>367500000X</v>
      </c>
      <c r="D2634" t="str">
        <f>"LEBLANC                  REBECCA      L           "</f>
        <v xml:space="preserve">LEBLANC                  REBECCA      L           </v>
      </c>
      <c r="E2634" t="str">
        <f>"NEW ORLEANS               "</f>
        <v xml:space="preserve">NEW ORLEANS               </v>
      </c>
      <c r="F2634" t="str">
        <f t="shared" si="111"/>
        <v>LA</v>
      </c>
    </row>
    <row r="2635" spans="1:6" x14ac:dyDescent="0.25">
      <c r="A2635" t="str">
        <f>"000226875"</f>
        <v>000226875</v>
      </c>
      <c r="B2635" t="str">
        <f>"1124186226"</f>
        <v>1124186226</v>
      </c>
      <c r="C2635" t="str">
        <f>"122300000X"</f>
        <v>122300000X</v>
      </c>
      <c r="D2635" t="str">
        <f>"DONALDSON                JILL         M           "</f>
        <v xml:space="preserve">DONALDSON                JILL         M           </v>
      </c>
      <c r="E2635" t="str">
        <f>"SLIDELL                   "</f>
        <v xml:space="preserve">SLIDELL                   </v>
      </c>
      <c r="F2635" t="str">
        <f t="shared" si="111"/>
        <v>LA</v>
      </c>
    </row>
    <row r="2636" spans="1:6" x14ac:dyDescent="0.25">
      <c r="A2636" t="str">
        <f>"000236301"</f>
        <v>000236301</v>
      </c>
      <c r="B2636" t="str">
        <f>"1285834234"</f>
        <v>1285834234</v>
      </c>
      <c r="C2636" t="str">
        <f>"208800000X"</f>
        <v>208800000X</v>
      </c>
      <c r="D2636" t="str">
        <f>"SLEEPER                  JOSHUA       P           "</f>
        <v xml:space="preserve">SLEEPER                  JOSHUA       P           </v>
      </c>
      <c r="E2636" t="str">
        <f>"COVINGTON                 "</f>
        <v xml:space="preserve">COVINGTON                 </v>
      </c>
      <c r="F2636" t="str">
        <f t="shared" si="111"/>
        <v>LA</v>
      </c>
    </row>
    <row r="2637" spans="1:6" x14ac:dyDescent="0.25">
      <c r="A2637" t="str">
        <f>"000239346"</f>
        <v>000239346</v>
      </c>
      <c r="B2637" t="str">
        <f>"1275275190"</f>
        <v>1275275190</v>
      </c>
      <c r="C2637" t="str">
        <f>"363A00000X"</f>
        <v>363A00000X</v>
      </c>
      <c r="D2637" t="str">
        <f>"CALLENDER                LINDSEY      K           "</f>
        <v xml:space="preserve">CALLENDER                LINDSEY      K           </v>
      </c>
      <c r="E2637" t="str">
        <f>"NEW ORLEANS               "</f>
        <v xml:space="preserve">NEW ORLEANS               </v>
      </c>
      <c r="F2637" t="str">
        <f t="shared" si="111"/>
        <v>LA</v>
      </c>
    </row>
    <row r="2638" spans="1:6" x14ac:dyDescent="0.25">
      <c r="A2638" t="str">
        <f>"000252560"</f>
        <v>000252560</v>
      </c>
      <c r="B2638" t="str">
        <f>"1487862926"</f>
        <v>1487862926</v>
      </c>
      <c r="C2638" t="str">
        <f>"207T00000X"</f>
        <v>207T00000X</v>
      </c>
      <c r="D2638" t="str">
        <f>"OBERLANDER               ERIC         K           "</f>
        <v xml:space="preserve">OBERLANDER               ERIC         K           </v>
      </c>
      <c r="E2638" t="str">
        <f>"BATON ROUGE               "</f>
        <v xml:space="preserve">BATON ROUGE               </v>
      </c>
      <c r="F2638" t="str">
        <f t="shared" si="111"/>
        <v>LA</v>
      </c>
    </row>
    <row r="2639" spans="1:6" x14ac:dyDescent="0.25">
      <c r="A2639" t="str">
        <f>"000281771"</f>
        <v>000281771</v>
      </c>
      <c r="B2639" t="str">
        <f>"1548535883"</f>
        <v>1548535883</v>
      </c>
      <c r="C2639" t="str">
        <f>"207RH0000X"</f>
        <v>207RH0000X</v>
      </c>
      <c r="D2639" t="str">
        <f>"KHOOBEHI                 AURASH                   "</f>
        <v xml:space="preserve">KHOOBEHI                 AURASH                   </v>
      </c>
      <c r="E2639" t="str">
        <f>"SLIDELL                   "</f>
        <v xml:space="preserve">SLIDELL                   </v>
      </c>
      <c r="F2639" t="str">
        <f t="shared" si="111"/>
        <v>LA</v>
      </c>
    </row>
    <row r="2640" spans="1:6" x14ac:dyDescent="0.25">
      <c r="A2640" t="str">
        <f>"000284091"</f>
        <v>000284091</v>
      </c>
      <c r="B2640" t="str">
        <f>"1346483708"</f>
        <v>1346483708</v>
      </c>
      <c r="C2640" t="str">
        <f>"207Q00000X"</f>
        <v>207Q00000X</v>
      </c>
      <c r="D2640" t="str">
        <f>"BAIG                     MIRZA        K           "</f>
        <v xml:space="preserve">BAIG                     MIRZA        K           </v>
      </c>
      <c r="E2640" t="str">
        <f>"KENNER                    "</f>
        <v xml:space="preserve">KENNER                    </v>
      </c>
      <c r="F2640" t="str">
        <f t="shared" si="111"/>
        <v>LA</v>
      </c>
    </row>
    <row r="2641" spans="1:6" x14ac:dyDescent="0.25">
      <c r="A2641" t="str">
        <f>"000285565"</f>
        <v>000285565</v>
      </c>
      <c r="B2641" t="str">
        <f>"1952839888"</f>
        <v>1952839888</v>
      </c>
      <c r="C2641" t="str">
        <f>"207L00000X"</f>
        <v>207L00000X</v>
      </c>
      <c r="D2641" t="str">
        <f>"ALLAIN III               ALEXANDER    D           "</f>
        <v xml:space="preserve">ALLAIN III               ALEXANDER    D           </v>
      </c>
      <c r="E2641" t="str">
        <f>"NEW ORLEANS               "</f>
        <v xml:space="preserve">NEW ORLEANS               </v>
      </c>
      <c r="F2641" t="str">
        <f t="shared" si="111"/>
        <v>LA</v>
      </c>
    </row>
    <row r="2642" spans="1:6" x14ac:dyDescent="0.25">
      <c r="A2642" t="str">
        <f>"000286044"</f>
        <v>000286044</v>
      </c>
      <c r="B2642" t="str">
        <f>"1104858406"</f>
        <v>1104858406</v>
      </c>
      <c r="C2642" t="str">
        <f>"208800000X"</f>
        <v>208800000X</v>
      </c>
      <c r="D2642" t="str">
        <f>"MARTIN                   AARON        D           "</f>
        <v xml:space="preserve">MARTIN                   AARON        D           </v>
      </c>
      <c r="E2642" t="str">
        <f>"NEW ORLEANS               "</f>
        <v xml:space="preserve">NEW ORLEANS               </v>
      </c>
      <c r="F2642" t="str">
        <f t="shared" si="111"/>
        <v>LA</v>
      </c>
    </row>
    <row r="2643" spans="1:6" x14ac:dyDescent="0.25">
      <c r="A2643" t="str">
        <f>"000320371"</f>
        <v>000320371</v>
      </c>
      <c r="B2643" t="str">
        <f>"1508050857"</f>
        <v>1508050857</v>
      </c>
      <c r="C2643" t="str">
        <f>"2084N0400X"</f>
        <v>2084N0400X</v>
      </c>
      <c r="D2643" t="str">
        <f>"GLYNN                    PATRICK      J           "</f>
        <v xml:space="preserve">GLYNN                    PATRICK      J           </v>
      </c>
      <c r="E2643" t="str">
        <f>"LACOMBE                   "</f>
        <v xml:space="preserve">LACOMBE                   </v>
      </c>
      <c r="F2643" t="str">
        <f t="shared" si="111"/>
        <v>LA</v>
      </c>
    </row>
    <row r="2644" spans="1:6" x14ac:dyDescent="0.25">
      <c r="A2644" t="str">
        <f>"000324209"</f>
        <v>000324209</v>
      </c>
      <c r="B2644" t="str">
        <f>"1215080510"</f>
        <v>1215080510</v>
      </c>
      <c r="C2644" t="str">
        <f>"367A00000X"</f>
        <v>367A00000X</v>
      </c>
      <c r="D2644" t="str">
        <f>"BYARS                    MARY         E           "</f>
        <v xml:space="preserve">BYARS                    MARY         E           </v>
      </c>
      <c r="E2644" t="str">
        <f>"NEW ORLEANS               "</f>
        <v xml:space="preserve">NEW ORLEANS               </v>
      </c>
      <c r="F2644" t="str">
        <f t="shared" si="111"/>
        <v>LA</v>
      </c>
    </row>
    <row r="2645" spans="1:6" x14ac:dyDescent="0.25">
      <c r="A2645" t="str">
        <f>"000350063"</f>
        <v>000350063</v>
      </c>
      <c r="B2645" t="str">
        <f>"1508285545"</f>
        <v>1508285545</v>
      </c>
      <c r="C2645" t="str">
        <f>"207Y00000X"</f>
        <v>207Y00000X</v>
      </c>
      <c r="D2645" t="str">
        <f>"CARRATOLA                MARIA        C           "</f>
        <v xml:space="preserve">CARRATOLA                MARIA        C           </v>
      </c>
      <c r="E2645" t="str">
        <f>"BATON ROUGE               "</f>
        <v xml:space="preserve">BATON ROUGE               </v>
      </c>
      <c r="F2645" t="str">
        <f t="shared" si="111"/>
        <v>LA</v>
      </c>
    </row>
    <row r="2646" spans="1:6" x14ac:dyDescent="0.25">
      <c r="A2646" t="str">
        <f>"000351204"</f>
        <v>000351204</v>
      </c>
      <c r="B2646" t="str">
        <f>"1972980993"</f>
        <v>1972980993</v>
      </c>
      <c r="C2646" t="str">
        <f>"2086S0127X"</f>
        <v>2086S0127X</v>
      </c>
      <c r="D2646" t="str">
        <f>"BAUMGARTEN               LAUREN                   "</f>
        <v xml:space="preserve">BAUMGARTEN               LAUREN                   </v>
      </c>
      <c r="E2646" t="str">
        <f>"HAMMOND                   "</f>
        <v xml:space="preserve">HAMMOND                   </v>
      </c>
      <c r="F2646" t="str">
        <f t="shared" si="111"/>
        <v>LA</v>
      </c>
    </row>
    <row r="2647" spans="1:6" x14ac:dyDescent="0.25">
      <c r="A2647" t="str">
        <f>"000351571"</f>
        <v>000351571</v>
      </c>
      <c r="B2647" t="str">
        <f>"1740749936"</f>
        <v>1740749936</v>
      </c>
      <c r="C2647" t="str">
        <f>"208000000X"</f>
        <v>208000000X</v>
      </c>
      <c r="D2647" t="str">
        <f>"VEGH                     NICOLE       B           "</f>
        <v xml:space="preserve">VEGH                     NICOLE       B           </v>
      </c>
      <c r="E2647" t="str">
        <f>"NEW ORLEANS               "</f>
        <v xml:space="preserve">NEW ORLEANS               </v>
      </c>
      <c r="F2647" t="str">
        <f t="shared" si="111"/>
        <v>LA</v>
      </c>
    </row>
    <row r="2648" spans="1:6" x14ac:dyDescent="0.25">
      <c r="A2648" t="str">
        <f>"000354376"</f>
        <v>000354376</v>
      </c>
      <c r="B2648" t="str">
        <f>"1033538061"</f>
        <v>1033538061</v>
      </c>
      <c r="C2648" t="str">
        <f>"207Y00000X"</f>
        <v>207Y00000X</v>
      </c>
      <c r="D2648" t="str">
        <f>"BARTON                   BLAIR        M           "</f>
        <v xml:space="preserve">BARTON                   BLAIR        M           </v>
      </c>
      <c r="E2648" t="str">
        <f>"NEW ORLEANS               "</f>
        <v xml:space="preserve">NEW ORLEANS               </v>
      </c>
      <c r="F2648" t="str">
        <f t="shared" si="111"/>
        <v>LA</v>
      </c>
    </row>
    <row r="2649" spans="1:6" x14ac:dyDescent="0.25">
      <c r="A2649" t="str">
        <f>"000356772"</f>
        <v>000356772</v>
      </c>
      <c r="B2649" t="str">
        <f>"1790751030"</f>
        <v>1790751030</v>
      </c>
      <c r="C2649" t="str">
        <f>"207X00000X"</f>
        <v>207X00000X</v>
      </c>
      <c r="D2649" t="str">
        <f>"TEXADA                   RICHARD      P           "</f>
        <v xml:space="preserve">TEXADA                   RICHARD      P           </v>
      </c>
      <c r="E2649" t="str">
        <f>"SLIDELL                   "</f>
        <v xml:space="preserve">SLIDELL                   </v>
      </c>
      <c r="F2649" t="str">
        <f t="shared" si="111"/>
        <v>LA</v>
      </c>
    </row>
    <row r="2650" spans="1:6" x14ac:dyDescent="0.25">
      <c r="A2650" t="str">
        <f>"000386507"</f>
        <v>000386507</v>
      </c>
      <c r="B2650" t="str">
        <f>"1043699002"</f>
        <v>1043699002</v>
      </c>
      <c r="C2650" t="str">
        <f>"207X00000X"</f>
        <v>207X00000X</v>
      </c>
      <c r="D2650" t="str">
        <f>"SKALAK                   TIMOTHY      J           "</f>
        <v xml:space="preserve">SKALAK                   TIMOTHY      J           </v>
      </c>
      <c r="E2650" t="str">
        <f>"NEW ORLEANS               "</f>
        <v xml:space="preserve">NEW ORLEANS               </v>
      </c>
      <c r="F2650" t="str">
        <f t="shared" si="111"/>
        <v>LA</v>
      </c>
    </row>
    <row r="2651" spans="1:6" x14ac:dyDescent="0.25">
      <c r="A2651" t="str">
        <f>"000387356"</f>
        <v>000387356</v>
      </c>
      <c r="B2651" t="str">
        <f>"1841639143"</f>
        <v>1841639143</v>
      </c>
      <c r="C2651" t="str">
        <f>"207R00000X"</f>
        <v>207R00000X</v>
      </c>
      <c r="D2651" t="str">
        <f>"DICKERT                  HULEY DRU    S           "</f>
        <v xml:space="preserve">DICKERT                  HULEY DRU    S           </v>
      </c>
      <c r="E2651" t="str">
        <f>"TERRYTOWN                 "</f>
        <v xml:space="preserve">TERRYTOWN                 </v>
      </c>
      <c r="F2651" t="str">
        <f t="shared" ref="F2651:F2714" si="114">"LA"</f>
        <v>LA</v>
      </c>
    </row>
    <row r="2652" spans="1:6" x14ac:dyDescent="0.25">
      <c r="A2652" t="str">
        <f>"000402512"</f>
        <v>000402512</v>
      </c>
      <c r="B2652" t="str">
        <f>"1952044182"</f>
        <v>1952044182</v>
      </c>
      <c r="C2652" t="str">
        <f>"363L00000X"</f>
        <v>363L00000X</v>
      </c>
      <c r="D2652" t="str">
        <f>"MULE'                    ALLISON      M           "</f>
        <v xml:space="preserve">MULE'                    ALLISON      M           </v>
      </c>
      <c r="E2652" t="str">
        <f>"NEW ORLEANS               "</f>
        <v xml:space="preserve">NEW ORLEANS               </v>
      </c>
      <c r="F2652" t="str">
        <f t="shared" si="114"/>
        <v>LA</v>
      </c>
    </row>
    <row r="2653" spans="1:6" x14ac:dyDescent="0.25">
      <c r="A2653" t="str">
        <f>"000405250"</f>
        <v>000405250</v>
      </c>
      <c r="B2653" t="str">
        <f>"1487111548"</f>
        <v>1487111548</v>
      </c>
      <c r="C2653" t="str">
        <f>"363L00000X"</f>
        <v>363L00000X</v>
      </c>
      <c r="D2653" t="str">
        <f>"NEELY                    SHEIRA       R           "</f>
        <v xml:space="preserve">NEELY                    SHEIRA       R           </v>
      </c>
      <c r="E2653" t="str">
        <f>"NEW ORLEANS               "</f>
        <v xml:space="preserve">NEW ORLEANS               </v>
      </c>
      <c r="F2653" t="str">
        <f t="shared" si="114"/>
        <v>LA</v>
      </c>
    </row>
    <row r="2654" spans="1:6" x14ac:dyDescent="0.25">
      <c r="A2654" t="str">
        <f>"000421047"</f>
        <v>000421047</v>
      </c>
      <c r="B2654" t="str">
        <f>"1144370941"</f>
        <v>1144370941</v>
      </c>
      <c r="C2654" t="str">
        <f>"2080P0202X"</f>
        <v>2080P0202X</v>
      </c>
      <c r="D2654" t="str">
        <f>"MOULEDOUX                JESSICA      H           "</f>
        <v xml:space="preserve">MOULEDOUX                JESSICA      H           </v>
      </c>
      <c r="E2654" t="str">
        <f>"NEW ORLEANS               "</f>
        <v xml:space="preserve">NEW ORLEANS               </v>
      </c>
      <c r="F2654" t="str">
        <f t="shared" si="114"/>
        <v>LA</v>
      </c>
    </row>
    <row r="2655" spans="1:6" x14ac:dyDescent="0.25">
      <c r="A2655" t="str">
        <f>"000424701"</f>
        <v>000424701</v>
      </c>
      <c r="B2655" t="str">
        <f>"1710245691"</f>
        <v>1710245691</v>
      </c>
      <c r="C2655" t="str">
        <f>"363L00000X"</f>
        <v>363L00000X</v>
      </c>
      <c r="D2655" t="str">
        <f>"WYNNE                    AMY          S           "</f>
        <v xml:space="preserve">WYNNE                    AMY          S           </v>
      </c>
      <c r="E2655" t="str">
        <f>"HAMMOND                   "</f>
        <v xml:space="preserve">HAMMOND                   </v>
      </c>
      <c r="F2655" t="str">
        <f t="shared" si="114"/>
        <v>LA</v>
      </c>
    </row>
    <row r="2656" spans="1:6" x14ac:dyDescent="0.25">
      <c r="A2656" t="str">
        <f>"000424771"</f>
        <v>000424771</v>
      </c>
      <c r="B2656" t="str">
        <f>"1235699638"</f>
        <v>1235699638</v>
      </c>
      <c r="C2656" t="str">
        <f>"363L00000X"</f>
        <v>363L00000X</v>
      </c>
      <c r="D2656" t="str">
        <f>"CORNWELL                 OLIVIA       K           "</f>
        <v xml:space="preserve">CORNWELL                 OLIVIA       K           </v>
      </c>
      <c r="E2656" t="str">
        <f>"NEW ORLEANS               "</f>
        <v xml:space="preserve">NEW ORLEANS               </v>
      </c>
      <c r="F2656" t="str">
        <f t="shared" si="114"/>
        <v>LA</v>
      </c>
    </row>
    <row r="2657" spans="1:6" x14ac:dyDescent="0.25">
      <c r="A2657" t="str">
        <f>"000433884"</f>
        <v>000433884</v>
      </c>
      <c r="B2657" t="str">
        <f>"1245233774"</f>
        <v>1245233774</v>
      </c>
      <c r="C2657" t="str">
        <f>"207L00000X"</f>
        <v>207L00000X</v>
      </c>
      <c r="D2657" t="str">
        <f>"MILLER                   MATTHEW      K           "</f>
        <v xml:space="preserve">MILLER                   MATTHEW      K           </v>
      </c>
      <c r="E2657" t="str">
        <f>"SLIDELL                   "</f>
        <v xml:space="preserve">SLIDELL                   </v>
      </c>
      <c r="F2657" t="str">
        <f t="shared" si="114"/>
        <v>LA</v>
      </c>
    </row>
    <row r="2658" spans="1:6" x14ac:dyDescent="0.25">
      <c r="A2658" t="str">
        <f>"000434365"</f>
        <v>000434365</v>
      </c>
      <c r="B2658" t="str">
        <f>"1639258726"</f>
        <v>1639258726</v>
      </c>
      <c r="C2658" t="str">
        <f>"152W00000X"</f>
        <v>152W00000X</v>
      </c>
      <c r="D2658" t="str">
        <f>"WILLIAMSON ALLEMOND REGIONAL EYE CE               "</f>
        <v xml:space="preserve">WILLIAMSON ALLEMOND REGIONAL EYE CE               </v>
      </c>
      <c r="E2658" t="str">
        <f>"ZACHARY                   "</f>
        <v xml:space="preserve">ZACHARY                   </v>
      </c>
      <c r="F2658" t="str">
        <f t="shared" si="114"/>
        <v>LA</v>
      </c>
    </row>
    <row r="2659" spans="1:6" x14ac:dyDescent="0.25">
      <c r="A2659" t="str">
        <f>"000435700"</f>
        <v>000435700</v>
      </c>
      <c r="B2659" t="str">
        <f>"1316042641"</f>
        <v>1316042641</v>
      </c>
      <c r="C2659" t="str">
        <f>"363L00000X"</f>
        <v>363L00000X</v>
      </c>
      <c r="D2659" t="str">
        <f>"RICHARD                  ANITA        J           "</f>
        <v xml:space="preserve">RICHARD                  ANITA        J           </v>
      </c>
      <c r="E2659" t="str">
        <f>"COVINGTON                 "</f>
        <v xml:space="preserve">COVINGTON                 </v>
      </c>
      <c r="F2659" t="str">
        <f t="shared" si="114"/>
        <v>LA</v>
      </c>
    </row>
    <row r="2660" spans="1:6" x14ac:dyDescent="0.25">
      <c r="A2660" t="str">
        <f>"000453821"</f>
        <v>000453821</v>
      </c>
      <c r="B2660" t="str">
        <f>"1104211903"</f>
        <v>1104211903</v>
      </c>
      <c r="C2660" t="str">
        <f>"2084N0400X"</f>
        <v>2084N0400X</v>
      </c>
      <c r="D2660" t="str">
        <f>"RINI                     JAMES        F           "</f>
        <v xml:space="preserve">RINI                     JAMES        F           </v>
      </c>
      <c r="E2660" t="str">
        <f>"NEW ORLEANS               "</f>
        <v xml:space="preserve">NEW ORLEANS               </v>
      </c>
      <c r="F2660" t="str">
        <f t="shared" si="114"/>
        <v>LA</v>
      </c>
    </row>
    <row r="2661" spans="1:6" x14ac:dyDescent="0.25">
      <c r="A2661" t="str">
        <f>"000458059"</f>
        <v>000458059</v>
      </c>
      <c r="B2661" t="str">
        <f>"1780927129"</f>
        <v>1780927129</v>
      </c>
      <c r="C2661" t="str">
        <f>"363L00000X"</f>
        <v>363L00000X</v>
      </c>
      <c r="D2661" t="str">
        <f>"SCHOTTELKOTTE            JESSIKA      N           "</f>
        <v xml:space="preserve">SCHOTTELKOTTE            JESSIKA      N           </v>
      </c>
      <c r="E2661" t="str">
        <f>"KENNER                    "</f>
        <v xml:space="preserve">KENNER                    </v>
      </c>
      <c r="F2661" t="str">
        <f t="shared" si="114"/>
        <v>LA</v>
      </c>
    </row>
    <row r="2662" spans="1:6" x14ac:dyDescent="0.25">
      <c r="A2662" t="str">
        <f>"000471517"</f>
        <v>000471517</v>
      </c>
      <c r="B2662" t="str">
        <f>"1790782068"</f>
        <v>1790782068</v>
      </c>
      <c r="C2662" t="str">
        <f>"207RN0300X"</f>
        <v>207RN0300X</v>
      </c>
      <c r="D2662" t="str">
        <f>"CORONA                   RAYNOLD      J           "</f>
        <v xml:space="preserve">CORONA                   RAYNOLD      J           </v>
      </c>
      <c r="E2662" t="str">
        <f>"BATON ROUGE               "</f>
        <v xml:space="preserve">BATON ROUGE               </v>
      </c>
      <c r="F2662" t="str">
        <f t="shared" si="114"/>
        <v>LA</v>
      </c>
    </row>
    <row r="2663" spans="1:6" x14ac:dyDescent="0.25">
      <c r="A2663" t="str">
        <f>"000472231"</f>
        <v>000472231</v>
      </c>
      <c r="B2663" t="str">
        <f>"1699162065"</f>
        <v>1699162065</v>
      </c>
      <c r="C2663" t="str">
        <f>"207R00000X"</f>
        <v>207R00000X</v>
      </c>
      <c r="D2663" t="str">
        <f>"MUNSHI                   DIPTI        G           "</f>
        <v xml:space="preserve">MUNSHI                   DIPTI        G           </v>
      </c>
      <c r="E2663" t="str">
        <f>"NEW ORLEANS               "</f>
        <v xml:space="preserve">NEW ORLEANS               </v>
      </c>
      <c r="F2663" t="str">
        <f t="shared" si="114"/>
        <v>LA</v>
      </c>
    </row>
    <row r="2664" spans="1:6" x14ac:dyDescent="0.25">
      <c r="A2664" t="str">
        <f>"000473009"</f>
        <v>000473009</v>
      </c>
      <c r="B2664" t="str">
        <f>"1801854203"</f>
        <v>1801854203</v>
      </c>
      <c r="C2664" t="str">
        <f>"207R00000X"</f>
        <v>207R00000X</v>
      </c>
      <c r="D2664" t="str">
        <f>"CONRAD                   KEVIN        M           "</f>
        <v xml:space="preserve">CONRAD                   KEVIN        M           </v>
      </c>
      <c r="E2664" t="str">
        <f>"NEW ORLEANS               "</f>
        <v xml:space="preserve">NEW ORLEANS               </v>
      </c>
      <c r="F2664" t="str">
        <f t="shared" si="114"/>
        <v>LA</v>
      </c>
    </row>
    <row r="2665" spans="1:6" x14ac:dyDescent="0.25">
      <c r="A2665" t="str">
        <f>"000483746"</f>
        <v>000483746</v>
      </c>
      <c r="B2665" t="str">
        <f>"1770975815"</f>
        <v>1770975815</v>
      </c>
      <c r="C2665" t="str">
        <f>"363L00000X"</f>
        <v>363L00000X</v>
      </c>
      <c r="D2665" t="str">
        <f>"LAFRANCE                 ELISA                    "</f>
        <v xml:space="preserve">LAFRANCE                 ELISA                    </v>
      </c>
      <c r="E2665" t="str">
        <f>"SLIDELL                   "</f>
        <v xml:space="preserve">SLIDELL                   </v>
      </c>
      <c r="F2665" t="str">
        <f t="shared" si="114"/>
        <v>LA</v>
      </c>
    </row>
    <row r="2666" spans="1:6" x14ac:dyDescent="0.25">
      <c r="A2666" t="str">
        <f>"000501041"</f>
        <v>000501041</v>
      </c>
      <c r="B2666" t="str">
        <f>"1699846717"</f>
        <v>1699846717</v>
      </c>
      <c r="C2666" t="str">
        <f>"2084P0800X"</f>
        <v>2084P0800X</v>
      </c>
      <c r="D2666" t="str">
        <f>"SALEH                    ELAINE       M           "</f>
        <v xml:space="preserve">SALEH                    ELAINE       M           </v>
      </c>
      <c r="E2666" t="str">
        <f>"JEFFERSON                 "</f>
        <v xml:space="preserve">JEFFERSON                 </v>
      </c>
      <c r="F2666" t="str">
        <f t="shared" si="114"/>
        <v>LA</v>
      </c>
    </row>
    <row r="2667" spans="1:6" x14ac:dyDescent="0.25">
      <c r="A2667" t="str">
        <f>"000501566"</f>
        <v>000501566</v>
      </c>
      <c r="B2667" t="str">
        <f>"1447645155"</f>
        <v>1447645155</v>
      </c>
      <c r="C2667" t="str">
        <f>"208000000X"</f>
        <v>208000000X</v>
      </c>
      <c r="D2667" t="str">
        <f>"JOHNSON                  MARY         G           "</f>
        <v xml:space="preserve">JOHNSON                  MARY         G           </v>
      </c>
      <c r="E2667" t="str">
        <f>"NEW ORLEANS               "</f>
        <v xml:space="preserve">NEW ORLEANS               </v>
      </c>
      <c r="F2667" t="str">
        <f t="shared" si="114"/>
        <v>LA</v>
      </c>
    </row>
    <row r="2668" spans="1:6" x14ac:dyDescent="0.25">
      <c r="A2668" t="str">
        <f>"000502013"</f>
        <v>000502013</v>
      </c>
      <c r="B2668" t="str">
        <f>"1144489691"</f>
        <v>1144489691</v>
      </c>
      <c r="C2668" t="str">
        <f>"207V00000X"</f>
        <v>207V00000X</v>
      </c>
      <c r="D2668" t="str">
        <f>"NGUYEN                   IAN          H           "</f>
        <v xml:space="preserve">NGUYEN                   IAN          H           </v>
      </c>
      <c r="E2668" t="str">
        <f>"GRETNA                    "</f>
        <v xml:space="preserve">GRETNA                    </v>
      </c>
      <c r="F2668" t="str">
        <f t="shared" si="114"/>
        <v>LA</v>
      </c>
    </row>
    <row r="2669" spans="1:6" x14ac:dyDescent="0.25">
      <c r="A2669" t="str">
        <f>"000507819"</f>
        <v>000507819</v>
      </c>
      <c r="B2669" t="str">
        <f>"1639226442"</f>
        <v>1639226442</v>
      </c>
      <c r="C2669" t="str">
        <f>"2080P0206X"</f>
        <v>2080P0206X</v>
      </c>
      <c r="D2669" t="str">
        <f>"MCDONOUGH                ELIZABETH    M           "</f>
        <v xml:space="preserve">MCDONOUGH                ELIZABETH    M           </v>
      </c>
      <c r="E2669" t="str">
        <f t="shared" ref="E2669:E2676" si="115">"NEW ORLEANS               "</f>
        <v xml:space="preserve">NEW ORLEANS               </v>
      </c>
      <c r="F2669" t="str">
        <f t="shared" si="114"/>
        <v>LA</v>
      </c>
    </row>
    <row r="2670" spans="1:6" x14ac:dyDescent="0.25">
      <c r="A2670" t="str">
        <f>"000520820"</f>
        <v>000520820</v>
      </c>
      <c r="B2670" t="str">
        <f>"1104245265"</f>
        <v>1104245265</v>
      </c>
      <c r="C2670" t="str">
        <f>"207P00000X"</f>
        <v>207P00000X</v>
      </c>
      <c r="D2670" t="str">
        <f>"HAMPTON                  WHITNEY      A           "</f>
        <v xml:space="preserve">HAMPTON                  WHITNEY      A           </v>
      </c>
      <c r="E2670" t="str">
        <f t="shared" si="115"/>
        <v xml:space="preserve">NEW ORLEANS               </v>
      </c>
      <c r="F2670" t="str">
        <f t="shared" si="114"/>
        <v>LA</v>
      </c>
    </row>
    <row r="2671" spans="1:6" x14ac:dyDescent="0.25">
      <c r="A2671" t="str">
        <f>"000552941"</f>
        <v>000552941</v>
      </c>
      <c r="B2671" t="str">
        <f>"1942493564"</f>
        <v>1942493564</v>
      </c>
      <c r="C2671" t="str">
        <f>"207P00000X"</f>
        <v>207P00000X</v>
      </c>
      <c r="D2671" t="str">
        <f>"SUAU                     SALVADOR     J           "</f>
        <v xml:space="preserve">SUAU                     SALVADOR     J           </v>
      </c>
      <c r="E2671" t="str">
        <f t="shared" si="115"/>
        <v xml:space="preserve">NEW ORLEANS               </v>
      </c>
      <c r="F2671" t="str">
        <f t="shared" si="114"/>
        <v>LA</v>
      </c>
    </row>
    <row r="2672" spans="1:6" x14ac:dyDescent="0.25">
      <c r="A2672" t="str">
        <f>"000556281"</f>
        <v>000556281</v>
      </c>
      <c r="B2672" t="str">
        <f>"1255658464"</f>
        <v>1255658464</v>
      </c>
      <c r="C2672" t="str">
        <f>"2085R0202X"</f>
        <v>2085R0202X</v>
      </c>
      <c r="D2672" t="str">
        <f>"FAIRCHILD                ALEXANDRA    H           "</f>
        <v xml:space="preserve">FAIRCHILD                ALEXANDRA    H           </v>
      </c>
      <c r="E2672" t="str">
        <f t="shared" si="115"/>
        <v xml:space="preserve">NEW ORLEANS               </v>
      </c>
      <c r="F2672" t="str">
        <f t="shared" si="114"/>
        <v>LA</v>
      </c>
    </row>
    <row r="2673" spans="1:6" x14ac:dyDescent="0.25">
      <c r="A2673" t="str">
        <f>"000573213"</f>
        <v>000573213</v>
      </c>
      <c r="B2673" t="str">
        <f>"1134755499"</f>
        <v>1134755499</v>
      </c>
      <c r="C2673" t="str">
        <f>"367500000X"</f>
        <v>367500000X</v>
      </c>
      <c r="D2673" t="str">
        <f>"FURR                     CASEY        A           "</f>
        <v xml:space="preserve">FURR                     CASEY        A           </v>
      </c>
      <c r="E2673" t="str">
        <f t="shared" si="115"/>
        <v xml:space="preserve">NEW ORLEANS               </v>
      </c>
      <c r="F2673" t="str">
        <f t="shared" si="114"/>
        <v>LA</v>
      </c>
    </row>
    <row r="2674" spans="1:6" x14ac:dyDescent="0.25">
      <c r="A2674" t="str">
        <f>"000578862"</f>
        <v>000578862</v>
      </c>
      <c r="B2674" t="str">
        <f>"1033403944"</f>
        <v>1033403944</v>
      </c>
      <c r="C2674" t="str">
        <f>"207RP1001X"</f>
        <v>207RP1001X</v>
      </c>
      <c r="D2674" t="str">
        <f>"SHAPPLEY                 COURTNEY     L           "</f>
        <v xml:space="preserve">SHAPPLEY                 COURTNEY     L           </v>
      </c>
      <c r="E2674" t="str">
        <f t="shared" si="115"/>
        <v xml:space="preserve">NEW ORLEANS               </v>
      </c>
      <c r="F2674" t="str">
        <f t="shared" si="114"/>
        <v>LA</v>
      </c>
    </row>
    <row r="2675" spans="1:6" x14ac:dyDescent="0.25">
      <c r="A2675" t="str">
        <f>"000580824"</f>
        <v>000580824</v>
      </c>
      <c r="B2675" t="str">
        <f>"1497160857"</f>
        <v>1497160857</v>
      </c>
      <c r="C2675" t="str">
        <f>"207RP1001X"</f>
        <v>207RP1001X</v>
      </c>
      <c r="D2675" t="str">
        <f>"KEEN                     RYAN         J           "</f>
        <v xml:space="preserve">KEEN                     RYAN         J           </v>
      </c>
      <c r="E2675" t="str">
        <f t="shared" si="115"/>
        <v xml:space="preserve">NEW ORLEANS               </v>
      </c>
      <c r="F2675" t="str">
        <f t="shared" si="114"/>
        <v>LA</v>
      </c>
    </row>
    <row r="2676" spans="1:6" x14ac:dyDescent="0.25">
      <c r="A2676" t="str">
        <f>"000623369"</f>
        <v>000623369</v>
      </c>
      <c r="B2676" t="str">
        <f>"1811296718"</f>
        <v>1811296718</v>
      </c>
      <c r="C2676" t="str">
        <f>"207ZP0102X"</f>
        <v>207ZP0102X</v>
      </c>
      <c r="D2676" t="str">
        <f>"YANG                     TONG                     "</f>
        <v xml:space="preserve">YANG                     TONG                     </v>
      </c>
      <c r="E2676" t="str">
        <f t="shared" si="115"/>
        <v xml:space="preserve">NEW ORLEANS               </v>
      </c>
      <c r="F2676" t="str">
        <f t="shared" si="114"/>
        <v>LA</v>
      </c>
    </row>
    <row r="2677" spans="1:6" x14ac:dyDescent="0.25">
      <c r="A2677" t="str">
        <f>"000628803"</f>
        <v>000628803</v>
      </c>
      <c r="B2677" t="str">
        <f>"1255799664"</f>
        <v>1255799664</v>
      </c>
      <c r="C2677" t="str">
        <f>"363L00000X"</f>
        <v>363L00000X</v>
      </c>
      <c r="D2677" t="str">
        <f>"HOWARD                   KATHY-ANN                "</f>
        <v xml:space="preserve">HOWARD                   KATHY-ANN                </v>
      </c>
      <c r="E2677" t="str">
        <f>"COVINGTON                 "</f>
        <v xml:space="preserve">COVINGTON                 </v>
      </c>
      <c r="F2677" t="str">
        <f t="shared" si="114"/>
        <v>LA</v>
      </c>
    </row>
    <row r="2678" spans="1:6" x14ac:dyDescent="0.25">
      <c r="A2678" t="str">
        <f>"000635324"</f>
        <v>000635324</v>
      </c>
      <c r="B2678" t="str">
        <f>"1700178720"</f>
        <v>1700178720</v>
      </c>
      <c r="C2678" t="str">
        <f>"207Q00000X"</f>
        <v>207Q00000X</v>
      </c>
      <c r="D2678" t="str">
        <f>"ROBINSON                 AKAYLA       D           "</f>
        <v xml:space="preserve">ROBINSON                 AKAYLA       D           </v>
      </c>
      <c r="E2678" t="str">
        <f>"JEFFERSON                 "</f>
        <v xml:space="preserve">JEFFERSON                 </v>
      </c>
      <c r="F2678" t="str">
        <f t="shared" si="114"/>
        <v>LA</v>
      </c>
    </row>
    <row r="2679" spans="1:6" x14ac:dyDescent="0.25">
      <c r="A2679" t="str">
        <f>"000637794"</f>
        <v>000637794</v>
      </c>
      <c r="B2679" t="str">
        <f>"1326472713"</f>
        <v>1326472713</v>
      </c>
      <c r="C2679" t="str">
        <f>"367500000X"</f>
        <v>367500000X</v>
      </c>
      <c r="D2679" t="str">
        <f>"BLASINI                  BETTINA      M           "</f>
        <v xml:space="preserve">BLASINI                  BETTINA      M           </v>
      </c>
      <c r="E2679" t="str">
        <f>"SLIDELL                   "</f>
        <v xml:space="preserve">SLIDELL                   </v>
      </c>
      <c r="F2679" t="str">
        <f t="shared" si="114"/>
        <v>LA</v>
      </c>
    </row>
    <row r="2680" spans="1:6" x14ac:dyDescent="0.25">
      <c r="A2680" t="str">
        <f>"000656095"</f>
        <v>000656095</v>
      </c>
      <c r="B2680" t="str">
        <f>"1508217696"</f>
        <v>1508217696</v>
      </c>
      <c r="C2680" t="str">
        <f>"363L00000X"</f>
        <v>363L00000X</v>
      </c>
      <c r="D2680" t="str">
        <f>"GARDNER                  ALLISON      M           "</f>
        <v xml:space="preserve">GARDNER                  ALLISON      M           </v>
      </c>
      <c r="E2680" t="str">
        <f>"COVINGTON                 "</f>
        <v xml:space="preserve">COVINGTON                 </v>
      </c>
      <c r="F2680" t="str">
        <f t="shared" si="114"/>
        <v>LA</v>
      </c>
    </row>
    <row r="2681" spans="1:6" x14ac:dyDescent="0.25">
      <c r="A2681" t="str">
        <f>"000689372"</f>
        <v>000689372</v>
      </c>
      <c r="B2681" t="str">
        <f>"1225482102"</f>
        <v>1225482102</v>
      </c>
      <c r="C2681" t="str">
        <f>"363A00000X"</f>
        <v>363A00000X</v>
      </c>
      <c r="D2681" t="str">
        <f>"FINE                     LAUREN       L           "</f>
        <v xml:space="preserve">FINE                     LAUREN       L           </v>
      </c>
      <c r="E2681" t="str">
        <f>"NEW ORLEANS               "</f>
        <v xml:space="preserve">NEW ORLEANS               </v>
      </c>
      <c r="F2681" t="str">
        <f t="shared" si="114"/>
        <v>LA</v>
      </c>
    </row>
    <row r="2682" spans="1:6" x14ac:dyDescent="0.25">
      <c r="A2682" t="str">
        <f>"000703214"</f>
        <v>000703214</v>
      </c>
      <c r="B2682" t="str">
        <f>"1922028752"</f>
        <v>1922028752</v>
      </c>
      <c r="C2682" t="str">
        <f>"208000000X"</f>
        <v>208000000X</v>
      </c>
      <c r="D2682" t="str">
        <f>"DEENEY                   TARA         T           "</f>
        <v xml:space="preserve">DEENEY                   TARA         T           </v>
      </c>
      <c r="E2682" t="str">
        <f>"SLIDELL                   "</f>
        <v xml:space="preserve">SLIDELL                   </v>
      </c>
      <c r="F2682" t="str">
        <f t="shared" si="114"/>
        <v>LA</v>
      </c>
    </row>
    <row r="2683" spans="1:6" x14ac:dyDescent="0.25">
      <c r="A2683" t="str">
        <f>"000706222"</f>
        <v>000706222</v>
      </c>
      <c r="B2683" t="str">
        <f>"1467943910"</f>
        <v>1467943910</v>
      </c>
      <c r="C2683" t="str">
        <f>"122300000X"</f>
        <v>122300000X</v>
      </c>
      <c r="D2683" t="str">
        <f>"FROEBA CASERTA           KATE         J           "</f>
        <v xml:space="preserve">FROEBA CASERTA           KATE         J           </v>
      </c>
      <c r="E2683" t="str">
        <f>"SLIDELL                   "</f>
        <v xml:space="preserve">SLIDELL                   </v>
      </c>
      <c r="F2683" t="str">
        <f t="shared" si="114"/>
        <v>LA</v>
      </c>
    </row>
    <row r="2684" spans="1:6" x14ac:dyDescent="0.25">
      <c r="A2684" t="str">
        <f>"000726800"</f>
        <v>000726800</v>
      </c>
      <c r="B2684" t="str">
        <f>"1699336990"</f>
        <v>1699336990</v>
      </c>
      <c r="C2684" t="str">
        <f>"367500000X"</f>
        <v>367500000X</v>
      </c>
      <c r="D2684" t="str">
        <f>"PENA                     BRIAN        K           "</f>
        <v xml:space="preserve">PENA                     BRIAN        K           </v>
      </c>
      <c r="E2684" t="str">
        <f t="shared" ref="E2684:E2689" si="116">"NEW ORLEANS               "</f>
        <v xml:space="preserve">NEW ORLEANS               </v>
      </c>
      <c r="F2684" t="str">
        <f t="shared" si="114"/>
        <v>LA</v>
      </c>
    </row>
    <row r="2685" spans="1:6" x14ac:dyDescent="0.25">
      <c r="A2685" t="str">
        <f>"000732018"</f>
        <v>000732018</v>
      </c>
      <c r="B2685" t="str">
        <f>"1457850992"</f>
        <v>1457850992</v>
      </c>
      <c r="C2685" t="str">
        <f>"363L00000X"</f>
        <v>363L00000X</v>
      </c>
      <c r="D2685" t="str">
        <f>"TURNIPSEED               SALLY        F           "</f>
        <v xml:space="preserve">TURNIPSEED               SALLY        F           </v>
      </c>
      <c r="E2685" t="str">
        <f t="shared" si="116"/>
        <v xml:space="preserve">NEW ORLEANS               </v>
      </c>
      <c r="F2685" t="str">
        <f t="shared" si="114"/>
        <v>LA</v>
      </c>
    </row>
    <row r="2686" spans="1:6" x14ac:dyDescent="0.25">
      <c r="A2686" t="str">
        <f>"000736251"</f>
        <v>000736251</v>
      </c>
      <c r="B2686" t="str">
        <f>"1881791051"</f>
        <v>1881791051</v>
      </c>
      <c r="C2686" t="str">
        <f>"207P00000X"</f>
        <v>207P00000X</v>
      </c>
      <c r="D2686" t="str">
        <f>"ZLATKISS                 IAN          H           "</f>
        <v xml:space="preserve">ZLATKISS                 IAN          H           </v>
      </c>
      <c r="E2686" t="str">
        <f t="shared" si="116"/>
        <v xml:space="preserve">NEW ORLEANS               </v>
      </c>
      <c r="F2686" t="str">
        <f t="shared" si="114"/>
        <v>LA</v>
      </c>
    </row>
    <row r="2687" spans="1:6" x14ac:dyDescent="0.25">
      <c r="A2687" t="str">
        <f>"000752362"</f>
        <v>000752362</v>
      </c>
      <c r="B2687" t="str">
        <f>"1417504887"</f>
        <v>1417504887</v>
      </c>
      <c r="C2687" t="str">
        <f>"363L00000X"</f>
        <v>363L00000X</v>
      </c>
      <c r="D2687" t="str">
        <f>"LADOUCEUR                MATTHEW      R           "</f>
        <v xml:space="preserve">LADOUCEUR                MATTHEW      R           </v>
      </c>
      <c r="E2687" t="str">
        <f t="shared" si="116"/>
        <v xml:space="preserve">NEW ORLEANS               </v>
      </c>
      <c r="F2687" t="str">
        <f t="shared" si="114"/>
        <v>LA</v>
      </c>
    </row>
    <row r="2688" spans="1:6" x14ac:dyDescent="0.25">
      <c r="A2688" t="str">
        <f>"000757260"</f>
        <v>000757260</v>
      </c>
      <c r="B2688" t="str">
        <f>"1154491819"</f>
        <v>1154491819</v>
      </c>
      <c r="C2688" t="str">
        <f>"207RC0000X"</f>
        <v>207RC0000X</v>
      </c>
      <c r="D2688" t="str">
        <f>"KHATIB                   SAMMY                    "</f>
        <v xml:space="preserve">KHATIB                   SAMMY                    </v>
      </c>
      <c r="E2688" t="str">
        <f t="shared" si="116"/>
        <v xml:space="preserve">NEW ORLEANS               </v>
      </c>
      <c r="F2688" t="str">
        <f t="shared" si="114"/>
        <v>LA</v>
      </c>
    </row>
    <row r="2689" spans="1:6" x14ac:dyDescent="0.25">
      <c r="A2689" t="str">
        <f>"000771024"</f>
        <v>000771024</v>
      </c>
      <c r="B2689" t="str">
        <f>"1952930224"</f>
        <v>1952930224</v>
      </c>
      <c r="C2689" t="str">
        <f>"367500000X"</f>
        <v>367500000X</v>
      </c>
      <c r="D2689" t="str">
        <f>"DUFRENE                  BROOKE       M           "</f>
        <v xml:space="preserve">DUFRENE                  BROOKE       M           </v>
      </c>
      <c r="E2689" t="str">
        <f t="shared" si="116"/>
        <v xml:space="preserve">NEW ORLEANS               </v>
      </c>
      <c r="F2689" t="str">
        <f t="shared" si="114"/>
        <v>LA</v>
      </c>
    </row>
    <row r="2690" spans="1:6" x14ac:dyDescent="0.25">
      <c r="A2690" t="str">
        <f>"000774016"</f>
        <v>000774016</v>
      </c>
      <c r="B2690" t="str">
        <f>"1700098324"</f>
        <v>1700098324</v>
      </c>
      <c r="C2690" t="str">
        <f>"207RN0300X"</f>
        <v>207RN0300X</v>
      </c>
      <c r="D2690" t="str">
        <f>"SMITH                    KENNETH      G           "</f>
        <v xml:space="preserve">SMITH                    KENNETH      G           </v>
      </c>
      <c r="E2690" t="str">
        <f>"BATON ROUGE               "</f>
        <v xml:space="preserve">BATON ROUGE               </v>
      </c>
      <c r="F2690" t="str">
        <f t="shared" si="114"/>
        <v>LA</v>
      </c>
    </row>
    <row r="2691" spans="1:6" x14ac:dyDescent="0.25">
      <c r="A2691" t="str">
        <f>"000780574"</f>
        <v>000780574</v>
      </c>
      <c r="B2691" t="str">
        <f>"1760414106"</f>
        <v>1760414106</v>
      </c>
      <c r="C2691" t="str">
        <f>"207L00000X"</f>
        <v>207L00000X</v>
      </c>
      <c r="D2691" t="str">
        <f>"BROUSSARD                DAVID        M           "</f>
        <v xml:space="preserve">BROUSSARD                DAVID        M           </v>
      </c>
      <c r="E2691" t="str">
        <f>"NEW ORLEANS               "</f>
        <v xml:space="preserve">NEW ORLEANS               </v>
      </c>
      <c r="F2691" t="str">
        <f t="shared" si="114"/>
        <v>LA</v>
      </c>
    </row>
    <row r="2692" spans="1:6" x14ac:dyDescent="0.25">
      <c r="A2692" t="str">
        <f>"000783004"</f>
        <v>000783004</v>
      </c>
      <c r="B2692" t="str">
        <f>"1588161392"</f>
        <v>1588161392</v>
      </c>
      <c r="C2692" t="str">
        <f>"207Q00000X"</f>
        <v>207Q00000X</v>
      </c>
      <c r="D2692" t="str">
        <f>"CHAMPAGNE                SARAH        A           "</f>
        <v xml:space="preserve">CHAMPAGNE                SARAH        A           </v>
      </c>
      <c r="E2692" t="str">
        <f>"DESTREHAN                 "</f>
        <v xml:space="preserve">DESTREHAN                 </v>
      </c>
      <c r="F2692" t="str">
        <f t="shared" si="114"/>
        <v>LA</v>
      </c>
    </row>
    <row r="2693" spans="1:6" x14ac:dyDescent="0.25">
      <c r="A2693" t="str">
        <f>"000785799"</f>
        <v>000785799</v>
      </c>
      <c r="B2693" t="str">
        <f>"1578820213"</f>
        <v>1578820213</v>
      </c>
      <c r="C2693" t="str">
        <f>"207ZP0105X"</f>
        <v>207ZP0105X</v>
      </c>
      <c r="D2693" t="str">
        <f>"CHUNG                    BETTY        M           "</f>
        <v xml:space="preserve">CHUNG                    BETTY        M           </v>
      </c>
      <c r="E2693" t="str">
        <f>"NEW ORLEANS               "</f>
        <v xml:space="preserve">NEW ORLEANS               </v>
      </c>
      <c r="F2693" t="str">
        <f t="shared" si="114"/>
        <v>LA</v>
      </c>
    </row>
    <row r="2694" spans="1:6" x14ac:dyDescent="0.25">
      <c r="A2694" t="str">
        <f>"000786565"</f>
        <v>000786565</v>
      </c>
      <c r="B2694" t="str">
        <f>"1831326610"</f>
        <v>1831326610</v>
      </c>
      <c r="C2694" t="str">
        <f>"2085R0202X"</f>
        <v>2085R0202X</v>
      </c>
      <c r="D2694" t="str">
        <f>"PROCTOR                  MATTHEW      S           "</f>
        <v xml:space="preserve">PROCTOR                  MATTHEW      S           </v>
      </c>
      <c r="E2694" t="str">
        <f>"SLIDELL                   "</f>
        <v xml:space="preserve">SLIDELL                   </v>
      </c>
      <c r="F2694" t="str">
        <f t="shared" si="114"/>
        <v>LA</v>
      </c>
    </row>
    <row r="2695" spans="1:6" x14ac:dyDescent="0.25">
      <c r="A2695" t="str">
        <f>"000787003"</f>
        <v>000787003</v>
      </c>
      <c r="B2695" t="str">
        <f>"1598005522"</f>
        <v>1598005522</v>
      </c>
      <c r="C2695" t="str">
        <f>"363L00000X"</f>
        <v>363L00000X</v>
      </c>
      <c r="D2695" t="str">
        <f>"PONSTEIN                 LINDSAY      M           "</f>
        <v xml:space="preserve">PONSTEIN                 LINDSAY      M           </v>
      </c>
      <c r="E2695" t="str">
        <f>"SLIDELL                   "</f>
        <v xml:space="preserve">SLIDELL                   </v>
      </c>
      <c r="F2695" t="str">
        <f t="shared" si="114"/>
        <v>LA</v>
      </c>
    </row>
    <row r="2696" spans="1:6" x14ac:dyDescent="0.25">
      <c r="A2696" t="str">
        <f>"000827385"</f>
        <v>000827385</v>
      </c>
      <c r="B2696" t="str">
        <f>"1124244389"</f>
        <v>1124244389</v>
      </c>
      <c r="C2696" t="str">
        <f>"207RP1001X"</f>
        <v>207RP1001X</v>
      </c>
      <c r="D2696" t="str">
        <f>"MULAMULA                 ALEXANDER    K           "</f>
        <v xml:space="preserve">MULAMULA                 ALEXANDER    K           </v>
      </c>
      <c r="E2696" t="str">
        <f>"BATON ROUGE               "</f>
        <v xml:space="preserve">BATON ROUGE               </v>
      </c>
      <c r="F2696" t="str">
        <f t="shared" si="114"/>
        <v>LA</v>
      </c>
    </row>
    <row r="2697" spans="1:6" x14ac:dyDescent="0.25">
      <c r="A2697" t="str">
        <f>"000829387"</f>
        <v>000829387</v>
      </c>
      <c r="B2697" t="str">
        <f>"1013354570"</f>
        <v>1013354570</v>
      </c>
      <c r="C2697" t="str">
        <f>"207L00000X"</f>
        <v>207L00000X</v>
      </c>
      <c r="D2697" t="str">
        <f>"RICHARD PHILLIPS         ALYCE        M           "</f>
        <v xml:space="preserve">RICHARD PHILLIPS         ALYCE        M           </v>
      </c>
      <c r="E2697" t="str">
        <f>"NEW ORLEANS               "</f>
        <v xml:space="preserve">NEW ORLEANS               </v>
      </c>
      <c r="F2697" t="str">
        <f t="shared" si="114"/>
        <v>LA</v>
      </c>
    </row>
    <row r="2698" spans="1:6" x14ac:dyDescent="0.25">
      <c r="A2698" t="str">
        <f>"000882284"</f>
        <v>000882284</v>
      </c>
      <c r="B2698" t="str">
        <f>"1346825114"</f>
        <v>1346825114</v>
      </c>
      <c r="C2698" t="str">
        <f>"363L00000X"</f>
        <v>363L00000X</v>
      </c>
      <c r="D2698" t="str">
        <f>"MARTIN                   ALLISON      P           "</f>
        <v xml:space="preserve">MARTIN                   ALLISON      P           </v>
      </c>
      <c r="E2698" t="str">
        <f>"SLIDELL                   "</f>
        <v xml:space="preserve">SLIDELL                   </v>
      </c>
      <c r="F2698" t="str">
        <f t="shared" si="114"/>
        <v>LA</v>
      </c>
    </row>
    <row r="2699" spans="1:6" x14ac:dyDescent="0.25">
      <c r="A2699" t="str">
        <f>"000882898"</f>
        <v>000882898</v>
      </c>
      <c r="B2699" t="str">
        <f>"1811351851"</f>
        <v>1811351851</v>
      </c>
      <c r="C2699" t="str">
        <f>"208000000X"</f>
        <v>208000000X</v>
      </c>
      <c r="D2699" t="str">
        <f>"DESAI                    SUCHITA      H           "</f>
        <v xml:space="preserve">DESAI                    SUCHITA      H           </v>
      </c>
      <c r="E2699" t="str">
        <f>"SLIDELL                   "</f>
        <v xml:space="preserve">SLIDELL                   </v>
      </c>
      <c r="F2699" t="str">
        <f t="shared" si="114"/>
        <v>LA</v>
      </c>
    </row>
    <row r="2700" spans="1:6" x14ac:dyDescent="0.25">
      <c r="A2700" t="str">
        <f>"000885032"</f>
        <v>000885032</v>
      </c>
      <c r="B2700" t="str">
        <f>"1386235828"</f>
        <v>1386235828</v>
      </c>
      <c r="C2700" t="str">
        <f>"367A00000X"</f>
        <v>367A00000X</v>
      </c>
      <c r="D2700" t="str">
        <f>"HILLEBRANDT              ALLISON      D           "</f>
        <v xml:space="preserve">HILLEBRANDT              ALLISON      D           </v>
      </c>
      <c r="E2700" t="str">
        <f>"BATON ROUGE               "</f>
        <v xml:space="preserve">BATON ROUGE               </v>
      </c>
      <c r="F2700" t="str">
        <f t="shared" si="114"/>
        <v>LA</v>
      </c>
    </row>
    <row r="2701" spans="1:6" x14ac:dyDescent="0.25">
      <c r="A2701" t="str">
        <f>"000885308"</f>
        <v>000885308</v>
      </c>
      <c r="B2701" t="str">
        <f>"1851536619"</f>
        <v>1851536619</v>
      </c>
      <c r="C2701" t="str">
        <f>"207P00000X"</f>
        <v>207P00000X</v>
      </c>
      <c r="D2701" t="str">
        <f>"ALLEN                    BRENT        L           "</f>
        <v xml:space="preserve">ALLEN                    BRENT        L           </v>
      </c>
      <c r="E2701" t="str">
        <f>"NEW ORLEANS               "</f>
        <v xml:space="preserve">NEW ORLEANS               </v>
      </c>
      <c r="F2701" t="str">
        <f t="shared" si="114"/>
        <v>LA</v>
      </c>
    </row>
    <row r="2702" spans="1:6" x14ac:dyDescent="0.25">
      <c r="A2702" t="str">
        <f>"000888037"</f>
        <v>000888037</v>
      </c>
      <c r="B2702" t="str">
        <f>"1053653824"</f>
        <v>1053653824</v>
      </c>
      <c r="C2702" t="str">
        <f>"2084P0800X"</f>
        <v>2084P0800X</v>
      </c>
      <c r="D2702" t="str">
        <f>"DAVIS                    MAEGHAN      A           "</f>
        <v xml:space="preserve">DAVIS                    MAEGHAN      A           </v>
      </c>
      <c r="E2702" t="str">
        <f>"JEFFERSON                 "</f>
        <v xml:space="preserve">JEFFERSON                 </v>
      </c>
      <c r="F2702" t="str">
        <f t="shared" si="114"/>
        <v>LA</v>
      </c>
    </row>
    <row r="2703" spans="1:6" x14ac:dyDescent="0.25">
      <c r="A2703" t="str">
        <f>"000888255"</f>
        <v>000888255</v>
      </c>
      <c r="B2703" t="str">
        <f>"1073528386"</f>
        <v>1073528386</v>
      </c>
      <c r="C2703" t="str">
        <f>"2085R0202X"</f>
        <v>2085R0202X</v>
      </c>
      <c r="D2703" t="str">
        <f>"WEAVER                   TOMMY        L           "</f>
        <v xml:space="preserve">WEAVER                   TOMMY        L           </v>
      </c>
      <c r="E2703" t="str">
        <f>"NEW ORLEANS               "</f>
        <v xml:space="preserve">NEW ORLEANS               </v>
      </c>
      <c r="F2703" t="str">
        <f t="shared" si="114"/>
        <v>LA</v>
      </c>
    </row>
    <row r="2704" spans="1:6" x14ac:dyDescent="0.25">
      <c r="A2704" t="str">
        <f>"000921701"</f>
        <v>000921701</v>
      </c>
      <c r="B2704" t="str">
        <f>"1386764132"</f>
        <v>1386764132</v>
      </c>
      <c r="C2704" t="str">
        <f>"207T00000X"</f>
        <v>207T00000X</v>
      </c>
      <c r="D2704" t="str">
        <f>"HALL                     BRADLEY      T           "</f>
        <v xml:space="preserve">HALL                     BRADLEY      T           </v>
      </c>
      <c r="E2704" t="str">
        <f>"SLIDELL                   "</f>
        <v xml:space="preserve">SLIDELL                   </v>
      </c>
      <c r="F2704" t="str">
        <f t="shared" si="114"/>
        <v>LA</v>
      </c>
    </row>
    <row r="2705" spans="1:6" x14ac:dyDescent="0.25">
      <c r="A2705" t="str">
        <f>"000953551"</f>
        <v>000953551</v>
      </c>
      <c r="B2705" t="str">
        <f>"1225419211"</f>
        <v>1225419211</v>
      </c>
      <c r="C2705" t="str">
        <f>"207P00000X"</f>
        <v>207P00000X</v>
      </c>
      <c r="D2705" t="str">
        <f>"DOMANGUE                 BRANT        P           "</f>
        <v xml:space="preserve">DOMANGUE                 BRANT        P           </v>
      </c>
      <c r="E2705" t="str">
        <f>"SLIDELL                   "</f>
        <v xml:space="preserve">SLIDELL                   </v>
      </c>
      <c r="F2705" t="str">
        <f t="shared" si="114"/>
        <v>LA</v>
      </c>
    </row>
    <row r="2706" spans="1:6" x14ac:dyDescent="0.25">
      <c r="A2706" t="str">
        <f>"000959521"</f>
        <v>000959521</v>
      </c>
      <c r="B2706" t="str">
        <f>"1255712782"</f>
        <v>1255712782</v>
      </c>
      <c r="C2706" t="str">
        <f>"2084N0400X"</f>
        <v>2084N0400X</v>
      </c>
      <c r="D2706" t="str">
        <f>"KIMBROUGH                TARA         A           "</f>
        <v xml:space="preserve">KIMBROUGH                TARA         A           </v>
      </c>
      <c r="E2706" t="str">
        <f>"NEW ORLEANS               "</f>
        <v xml:space="preserve">NEW ORLEANS               </v>
      </c>
      <c r="F2706" t="str">
        <f t="shared" si="114"/>
        <v>LA</v>
      </c>
    </row>
    <row r="2707" spans="1:6" x14ac:dyDescent="0.25">
      <c r="A2707" t="str">
        <f>"000977829"</f>
        <v>000977829</v>
      </c>
      <c r="B2707" t="str">
        <f>"1922323450"</f>
        <v>1922323450</v>
      </c>
      <c r="C2707" t="str">
        <f>"207P00000X"</f>
        <v>207P00000X</v>
      </c>
      <c r="D2707" t="str">
        <f>"SUNG                     ALEXANDER    W           "</f>
        <v xml:space="preserve">SUNG                     ALEXANDER    W           </v>
      </c>
      <c r="E2707" t="str">
        <f>"SLIDELL                   "</f>
        <v xml:space="preserve">SLIDELL                   </v>
      </c>
      <c r="F2707" t="str">
        <f t="shared" si="114"/>
        <v>LA</v>
      </c>
    </row>
    <row r="2708" spans="1:6" x14ac:dyDescent="0.25">
      <c r="A2708" t="str">
        <f>"000988357"</f>
        <v>000988357</v>
      </c>
      <c r="B2708" t="str">
        <f>"1164841706"</f>
        <v>1164841706</v>
      </c>
      <c r="C2708" t="str">
        <f>"2086S0127X"</f>
        <v>2086S0127X</v>
      </c>
      <c r="D2708" t="str">
        <f>"SMITH                    ALISON       A           "</f>
        <v xml:space="preserve">SMITH                    ALISON       A           </v>
      </c>
      <c r="E2708" t="str">
        <f>"NEW ORLEANS               "</f>
        <v xml:space="preserve">NEW ORLEANS               </v>
      </c>
      <c r="F2708" t="str">
        <f t="shared" si="114"/>
        <v>LA</v>
      </c>
    </row>
    <row r="2709" spans="1:6" x14ac:dyDescent="0.25">
      <c r="A2709" t="str">
        <f>"000988776"</f>
        <v>000988776</v>
      </c>
      <c r="B2709" t="str">
        <f>"1134449333"</f>
        <v>1134449333</v>
      </c>
      <c r="C2709" t="str">
        <f>"122300000X"</f>
        <v>122300000X</v>
      </c>
      <c r="D2709" t="str">
        <f>"PAYER                    ANN                      "</f>
        <v xml:space="preserve">PAYER                    ANN                      </v>
      </c>
      <c r="E2709" t="str">
        <f>"SLIDELL                   "</f>
        <v xml:space="preserve">SLIDELL                   </v>
      </c>
      <c r="F2709" t="str">
        <f t="shared" si="114"/>
        <v>LA</v>
      </c>
    </row>
    <row r="2710" spans="1:6" x14ac:dyDescent="0.25">
      <c r="A2710" t="str">
        <f>"001000371"</f>
        <v>001000371</v>
      </c>
      <c r="B2710" t="str">
        <f>"1104017250"</f>
        <v>1104017250</v>
      </c>
      <c r="C2710" t="str">
        <f>"2085R0202X"</f>
        <v>2085R0202X</v>
      </c>
      <c r="D2710" t="str">
        <f>"STEVEN                   ANDREW       J           "</f>
        <v xml:space="preserve">STEVEN                   ANDREW       J           </v>
      </c>
      <c r="E2710" t="str">
        <f t="shared" ref="E2710:E2715" si="117">"NEW ORLEANS               "</f>
        <v xml:space="preserve">NEW ORLEANS               </v>
      </c>
      <c r="F2710" t="str">
        <f t="shared" si="114"/>
        <v>LA</v>
      </c>
    </row>
    <row r="2711" spans="1:6" x14ac:dyDescent="0.25">
      <c r="A2711" t="str">
        <f>"001023805"</f>
        <v>001023805</v>
      </c>
      <c r="B2711" t="str">
        <f>"1154061448"</f>
        <v>1154061448</v>
      </c>
      <c r="C2711" t="str">
        <f>"363A00000X"</f>
        <v>363A00000X</v>
      </c>
      <c r="D2711" t="str">
        <f>"WEBER                    AUTUMN       R           "</f>
        <v xml:space="preserve">WEBER                    AUTUMN       R           </v>
      </c>
      <c r="E2711" t="str">
        <f t="shared" si="117"/>
        <v xml:space="preserve">NEW ORLEANS               </v>
      </c>
      <c r="F2711" t="str">
        <f t="shared" si="114"/>
        <v>LA</v>
      </c>
    </row>
    <row r="2712" spans="1:6" x14ac:dyDescent="0.25">
      <c r="A2712" t="str">
        <f>"001034231"</f>
        <v>001034231</v>
      </c>
      <c r="B2712" t="str">
        <f>"1255306783"</f>
        <v>1255306783</v>
      </c>
      <c r="C2712" t="str">
        <f>"2086S0129X"</f>
        <v>2086S0129X</v>
      </c>
      <c r="D2712" t="str">
        <f>"PETTIFORD                BRIAN        L           "</f>
        <v xml:space="preserve">PETTIFORD                BRIAN        L           </v>
      </c>
      <c r="E2712" t="str">
        <f t="shared" si="117"/>
        <v xml:space="preserve">NEW ORLEANS               </v>
      </c>
      <c r="F2712" t="str">
        <f t="shared" si="114"/>
        <v>LA</v>
      </c>
    </row>
    <row r="2713" spans="1:6" x14ac:dyDescent="0.25">
      <c r="A2713" t="str">
        <f>"001037085"</f>
        <v>001037085</v>
      </c>
      <c r="B2713" t="str">
        <f>"1619311016"</f>
        <v>1619311016</v>
      </c>
      <c r="C2713" t="str">
        <f>"207V00000X"</f>
        <v>207V00000X</v>
      </c>
      <c r="D2713" t="str">
        <f>"WILLIAMS III             FRANK        B           "</f>
        <v xml:space="preserve">WILLIAMS III             FRANK        B           </v>
      </c>
      <c r="E2713" t="str">
        <f t="shared" si="117"/>
        <v xml:space="preserve">NEW ORLEANS               </v>
      </c>
      <c r="F2713" t="str">
        <f t="shared" si="114"/>
        <v>LA</v>
      </c>
    </row>
    <row r="2714" spans="1:6" x14ac:dyDescent="0.25">
      <c r="A2714" t="str">
        <f>"001059220"</f>
        <v>001059220</v>
      </c>
      <c r="B2714" t="str">
        <f>"1114118619"</f>
        <v>1114118619</v>
      </c>
      <c r="C2714" t="str">
        <f>"2080N0001X"</f>
        <v>2080N0001X</v>
      </c>
      <c r="D2714" t="str">
        <f>"SURCOUF                  JEFFREY      W           "</f>
        <v xml:space="preserve">SURCOUF                  JEFFREY      W           </v>
      </c>
      <c r="E2714" t="str">
        <f t="shared" si="117"/>
        <v xml:space="preserve">NEW ORLEANS               </v>
      </c>
      <c r="F2714" t="str">
        <f t="shared" si="114"/>
        <v>LA</v>
      </c>
    </row>
    <row r="2715" spans="1:6" x14ac:dyDescent="0.25">
      <c r="A2715" t="str">
        <f>"001070756"</f>
        <v>001070756</v>
      </c>
      <c r="B2715" t="str">
        <f>"1700805066"</f>
        <v>1700805066</v>
      </c>
      <c r="C2715" t="str">
        <f>"2080P0202X"</f>
        <v>2080P0202X</v>
      </c>
      <c r="D2715" t="str">
        <f>"YOUNG                    THOMAS       W           "</f>
        <v xml:space="preserve">YOUNG                    THOMAS       W           </v>
      </c>
      <c r="E2715" t="str">
        <f t="shared" si="117"/>
        <v xml:space="preserve">NEW ORLEANS               </v>
      </c>
      <c r="F2715" t="str">
        <f t="shared" ref="F2715:F2778" si="118">"LA"</f>
        <v>LA</v>
      </c>
    </row>
    <row r="2716" spans="1:6" x14ac:dyDescent="0.25">
      <c r="A2716" t="str">
        <f>"001081322"</f>
        <v>001081322</v>
      </c>
      <c r="B2716" t="str">
        <f>"1326362351"</f>
        <v>1326362351</v>
      </c>
      <c r="C2716" t="str">
        <f>"207R00000X"</f>
        <v>207R00000X</v>
      </c>
      <c r="D2716" t="str">
        <f>"KEMP                     SILSBEE      N           "</f>
        <v xml:space="preserve">KEMP                     SILSBEE      N           </v>
      </c>
      <c r="E2716" t="str">
        <f>"SLIDELL                   "</f>
        <v xml:space="preserve">SLIDELL                   </v>
      </c>
      <c r="F2716" t="str">
        <f t="shared" si="118"/>
        <v>LA</v>
      </c>
    </row>
    <row r="2717" spans="1:6" x14ac:dyDescent="0.25">
      <c r="A2717" t="str">
        <f>"001086564"</f>
        <v>001086564</v>
      </c>
      <c r="B2717" t="str">
        <f>"1598768749"</f>
        <v>1598768749</v>
      </c>
      <c r="C2717" t="str">
        <f>"207V00000X"</f>
        <v>207V00000X</v>
      </c>
      <c r="D2717" t="str">
        <f>"DOMINIQUE                COLETTE      M           "</f>
        <v xml:space="preserve">DOMINIQUE                COLETTE      M           </v>
      </c>
      <c r="E2717" t="str">
        <f>"NEW ORLEANS               "</f>
        <v xml:space="preserve">NEW ORLEANS               </v>
      </c>
      <c r="F2717" t="str">
        <f t="shared" si="118"/>
        <v>LA</v>
      </c>
    </row>
    <row r="2718" spans="1:6" x14ac:dyDescent="0.25">
      <c r="A2718" t="str">
        <f>"001087504"</f>
        <v>001087504</v>
      </c>
      <c r="B2718" t="str">
        <f>"1790293710"</f>
        <v>1790293710</v>
      </c>
      <c r="C2718" t="str">
        <f>"367500000X"</f>
        <v>367500000X</v>
      </c>
      <c r="D2718" t="str">
        <f>"KROBERT                  REBECCA      J           "</f>
        <v xml:space="preserve">KROBERT                  REBECCA      J           </v>
      </c>
      <c r="E2718" t="str">
        <f>"NEW ORLEANS               "</f>
        <v xml:space="preserve">NEW ORLEANS               </v>
      </c>
      <c r="F2718" t="str">
        <f t="shared" si="118"/>
        <v>LA</v>
      </c>
    </row>
    <row r="2719" spans="1:6" x14ac:dyDescent="0.25">
      <c r="A2719" t="str">
        <f>"001088737"</f>
        <v>001088737</v>
      </c>
      <c r="B2719" t="str">
        <f>"1083842579"</f>
        <v>1083842579</v>
      </c>
      <c r="C2719" t="str">
        <f>"207ZC0500X"</f>
        <v>207ZC0500X</v>
      </c>
      <c r="D2719" t="str">
        <f>"GOOCH                    GRETCHEN     E           "</f>
        <v xml:space="preserve">GOOCH                    GRETCHEN     E           </v>
      </c>
      <c r="E2719" t="str">
        <f>"NEW ORLEANS               "</f>
        <v xml:space="preserve">NEW ORLEANS               </v>
      </c>
      <c r="F2719" t="str">
        <f t="shared" si="118"/>
        <v>LA</v>
      </c>
    </row>
    <row r="2720" spans="1:6" x14ac:dyDescent="0.25">
      <c r="A2720" t="str">
        <f>"001089391"</f>
        <v>001089391</v>
      </c>
      <c r="B2720" t="str">
        <f>"1013548296"</f>
        <v>1013548296</v>
      </c>
      <c r="C2720" t="str">
        <f>"363L00000X"</f>
        <v>363L00000X</v>
      </c>
      <c r="D2720" t="str">
        <f>"TEEL                     COLLEEN                  "</f>
        <v xml:space="preserve">TEEL                     COLLEEN                  </v>
      </c>
      <c r="E2720" t="str">
        <f>"COVINGTON                 "</f>
        <v xml:space="preserve">COVINGTON                 </v>
      </c>
      <c r="F2720" t="str">
        <f t="shared" si="118"/>
        <v>LA</v>
      </c>
    </row>
    <row r="2721" spans="1:6" x14ac:dyDescent="0.25">
      <c r="A2721" t="str">
        <f>"001106005"</f>
        <v>001106005</v>
      </c>
      <c r="B2721" t="str">
        <f>"1205222387"</f>
        <v>1205222387</v>
      </c>
      <c r="C2721" t="str">
        <f>"2084P0800X"</f>
        <v>2084P0800X</v>
      </c>
      <c r="D2721" t="str">
        <f>"WEAR                     CHRISTOPHER  R           "</f>
        <v xml:space="preserve">WEAR                     CHRISTOPHER  R           </v>
      </c>
      <c r="E2721" t="str">
        <f>"BATON ROUGE               "</f>
        <v xml:space="preserve">BATON ROUGE               </v>
      </c>
      <c r="F2721" t="str">
        <f t="shared" si="118"/>
        <v>LA</v>
      </c>
    </row>
    <row r="2722" spans="1:6" x14ac:dyDescent="0.25">
      <c r="A2722" t="str">
        <f>"001108235"</f>
        <v>001108235</v>
      </c>
      <c r="B2722" t="str">
        <f>"1619296613"</f>
        <v>1619296613</v>
      </c>
      <c r="C2722" t="str">
        <f>"207V00000X"</f>
        <v>207V00000X</v>
      </c>
      <c r="D2722" t="str">
        <f>"BAND                     ALEXANDRA    W           "</f>
        <v xml:space="preserve">BAND                     ALEXANDRA    W           </v>
      </c>
      <c r="E2722" t="str">
        <f>"NEW ORLEANS               "</f>
        <v xml:space="preserve">NEW ORLEANS               </v>
      </c>
      <c r="F2722" t="str">
        <f t="shared" si="118"/>
        <v>LA</v>
      </c>
    </row>
    <row r="2723" spans="1:6" x14ac:dyDescent="0.25">
      <c r="A2723" t="str">
        <f>"001126310"</f>
        <v>001126310</v>
      </c>
      <c r="B2723" t="str">
        <f>"1013089424"</f>
        <v>1013089424</v>
      </c>
      <c r="C2723" t="str">
        <f>"207V00000X"</f>
        <v>207V00000X</v>
      </c>
      <c r="D2723" t="str">
        <f>"BERAULT                  GREGORY      L           "</f>
        <v xml:space="preserve">BERAULT                  GREGORY      L           </v>
      </c>
      <c r="E2723" t="str">
        <f>"SLIDELL                   "</f>
        <v xml:space="preserve">SLIDELL                   </v>
      </c>
      <c r="F2723" t="str">
        <f t="shared" si="118"/>
        <v>LA</v>
      </c>
    </row>
    <row r="2724" spans="1:6" x14ac:dyDescent="0.25">
      <c r="A2724" t="str">
        <f>"001127386"</f>
        <v>001127386</v>
      </c>
      <c r="B2724" t="str">
        <f>"1568667038"</f>
        <v>1568667038</v>
      </c>
      <c r="C2724" t="str">
        <f>"207RG0100X"</f>
        <v>207RG0100X</v>
      </c>
      <c r="D2724" t="str">
        <f>"GIRGRAH                  NIGEL                    "</f>
        <v xml:space="preserve">GIRGRAH                  NIGEL                    </v>
      </c>
      <c r="E2724" t="str">
        <f>"NEW ORLEANS               "</f>
        <v xml:space="preserve">NEW ORLEANS               </v>
      </c>
      <c r="F2724" t="str">
        <f t="shared" si="118"/>
        <v>LA</v>
      </c>
    </row>
    <row r="2725" spans="1:6" x14ac:dyDescent="0.25">
      <c r="A2725" t="str">
        <f>"001135874"</f>
        <v>001135874</v>
      </c>
      <c r="B2725" t="str">
        <f>"1164425682"</f>
        <v>1164425682</v>
      </c>
      <c r="C2725" t="str">
        <f>"207L00000X"</f>
        <v>207L00000X</v>
      </c>
      <c r="D2725" t="str">
        <f>"CLAROS-OLIVA             MARIO        S           "</f>
        <v xml:space="preserve">CLAROS-OLIVA             MARIO        S           </v>
      </c>
      <c r="E2725" t="str">
        <f>"COVINGTON                 "</f>
        <v xml:space="preserve">COVINGTON                 </v>
      </c>
      <c r="F2725" t="str">
        <f t="shared" si="118"/>
        <v>LA</v>
      </c>
    </row>
    <row r="2726" spans="1:6" x14ac:dyDescent="0.25">
      <c r="A2726" t="str">
        <f>"001139562"</f>
        <v>001139562</v>
      </c>
      <c r="B2726" t="str">
        <f>"1285805499"</f>
        <v>1285805499</v>
      </c>
      <c r="C2726" t="str">
        <f>"363A00000X"</f>
        <v>363A00000X</v>
      </c>
      <c r="D2726" t="str">
        <f>"SMILEY                   KATHRYN      B           "</f>
        <v xml:space="preserve">SMILEY                   KATHRYN      B           </v>
      </c>
      <c r="E2726" t="str">
        <f>"NEW ORLEANS               "</f>
        <v xml:space="preserve">NEW ORLEANS               </v>
      </c>
      <c r="F2726" t="str">
        <f t="shared" si="118"/>
        <v>LA</v>
      </c>
    </row>
    <row r="2727" spans="1:6" x14ac:dyDescent="0.25">
      <c r="A2727" t="str">
        <f>"001150707"</f>
        <v>001150707</v>
      </c>
      <c r="B2727" t="str">
        <f>"1043258510"</f>
        <v>1043258510</v>
      </c>
      <c r="C2727" t="str">
        <f>"207P00000X"</f>
        <v>207P00000X</v>
      </c>
      <c r="D2727" t="str">
        <f>"PIAZZA                   VANESSA      M           "</f>
        <v xml:space="preserve">PIAZZA                   VANESSA      M           </v>
      </c>
      <c r="E2727" t="str">
        <f>"KENNER                    "</f>
        <v xml:space="preserve">KENNER                    </v>
      </c>
      <c r="F2727" t="str">
        <f t="shared" si="118"/>
        <v>LA</v>
      </c>
    </row>
    <row r="2728" spans="1:6" x14ac:dyDescent="0.25">
      <c r="A2728" t="str">
        <f>"001151775"</f>
        <v>001151775</v>
      </c>
      <c r="B2728" t="str">
        <f>"1700855962"</f>
        <v>1700855962</v>
      </c>
      <c r="C2728" t="str">
        <f>"207V00000X"</f>
        <v>207V00000X</v>
      </c>
      <c r="D2728" t="str">
        <f>"SWIGER                   JOHNNY       W           "</f>
        <v xml:space="preserve">SWIGER                   JOHNNY       W           </v>
      </c>
      <c r="E2728" t="str">
        <f>"COVINGTON                 "</f>
        <v xml:space="preserve">COVINGTON                 </v>
      </c>
      <c r="F2728" t="str">
        <f t="shared" si="118"/>
        <v>LA</v>
      </c>
    </row>
    <row r="2729" spans="1:6" x14ac:dyDescent="0.25">
      <c r="A2729" t="str">
        <f>"001173800"</f>
        <v>001173800</v>
      </c>
      <c r="B2729" t="str">
        <f>"1649287913"</f>
        <v>1649287913</v>
      </c>
      <c r="C2729" t="str">
        <f>"152W00000X"</f>
        <v>152W00000X</v>
      </c>
      <c r="D2729" t="str">
        <f>"LAFLEUR                  DONAVON      N           "</f>
        <v xml:space="preserve">LAFLEUR                  DONAVON      N           </v>
      </c>
      <c r="E2729" t="str">
        <f>"BATON ROUGE               "</f>
        <v xml:space="preserve">BATON ROUGE               </v>
      </c>
      <c r="F2729" t="str">
        <f t="shared" si="118"/>
        <v>LA</v>
      </c>
    </row>
    <row r="2730" spans="1:6" x14ac:dyDescent="0.25">
      <c r="A2730" t="str">
        <f>"001184531"</f>
        <v>001184531</v>
      </c>
      <c r="B2730" t="str">
        <f>"1316118474"</f>
        <v>1316118474</v>
      </c>
      <c r="C2730" t="str">
        <f>"367500000X"</f>
        <v>367500000X</v>
      </c>
      <c r="D2730" t="str">
        <f>"LOPEZ                    RODRIGO      A           "</f>
        <v xml:space="preserve">LOPEZ                    RODRIGO      A           </v>
      </c>
      <c r="E2730" t="str">
        <f>"COVINGTON                 "</f>
        <v xml:space="preserve">COVINGTON                 </v>
      </c>
      <c r="F2730" t="str">
        <f t="shared" si="118"/>
        <v>LA</v>
      </c>
    </row>
    <row r="2731" spans="1:6" x14ac:dyDescent="0.25">
      <c r="A2731" t="str">
        <f>"001187356"</f>
        <v>001187356</v>
      </c>
      <c r="B2731" t="str">
        <f>"1184828873"</f>
        <v>1184828873</v>
      </c>
      <c r="C2731" t="str">
        <f>"207RC0000X"</f>
        <v>207RC0000X</v>
      </c>
      <c r="D2731" t="str">
        <f>"JONES                    BRIAN        P           "</f>
        <v xml:space="preserve">JONES                    BRIAN        P           </v>
      </c>
      <c r="E2731" t="str">
        <f>"BATON ROUGE               "</f>
        <v xml:space="preserve">BATON ROUGE               </v>
      </c>
      <c r="F2731" t="str">
        <f t="shared" si="118"/>
        <v>LA</v>
      </c>
    </row>
    <row r="2732" spans="1:6" x14ac:dyDescent="0.25">
      <c r="A2732" t="str">
        <f>"001207002"</f>
        <v>001207002</v>
      </c>
      <c r="B2732" t="str">
        <f>"1477964054"</f>
        <v>1477964054</v>
      </c>
      <c r="C2732" t="str">
        <f>"261QE0700X"</f>
        <v>261QE0700X</v>
      </c>
      <c r="D2732" t="str">
        <f>"FREMAUX DIALYSIS                                  "</f>
        <v xml:space="preserve">FREMAUX DIALYSIS                                  </v>
      </c>
      <c r="E2732" t="str">
        <f>"SLIDELL                   "</f>
        <v xml:space="preserve">SLIDELL                   </v>
      </c>
      <c r="F2732" t="str">
        <f t="shared" si="118"/>
        <v>LA</v>
      </c>
    </row>
    <row r="2733" spans="1:6" x14ac:dyDescent="0.25">
      <c r="A2733" t="str">
        <f>"001224590"</f>
        <v>001224590</v>
      </c>
      <c r="B2733" t="str">
        <f>"1366767329"</f>
        <v>1366767329</v>
      </c>
      <c r="C2733" t="str">
        <f>"207RH0000X"</f>
        <v>207RH0000X</v>
      </c>
      <c r="D2733" t="str">
        <f>"SHEEN                    MELANIE      A           "</f>
        <v xml:space="preserve">SHEEN                    MELANIE      A           </v>
      </c>
      <c r="E2733" t="str">
        <f>"NEW ORLEANS               "</f>
        <v xml:space="preserve">NEW ORLEANS               </v>
      </c>
      <c r="F2733" t="str">
        <f t="shared" si="118"/>
        <v>LA</v>
      </c>
    </row>
    <row r="2734" spans="1:6" x14ac:dyDescent="0.25">
      <c r="A2734" t="str">
        <f>"001230391"</f>
        <v>001230391</v>
      </c>
      <c r="B2734" t="str">
        <f>"1679551824"</f>
        <v>1679551824</v>
      </c>
      <c r="C2734" t="str">
        <f>"207P00000X"</f>
        <v>207P00000X</v>
      </c>
      <c r="D2734" t="str">
        <f>"LEHRMANN                 JILL         F           "</f>
        <v xml:space="preserve">LEHRMANN                 JILL         F           </v>
      </c>
      <c r="E2734" t="str">
        <f>"NEW ORLEANS               "</f>
        <v xml:space="preserve">NEW ORLEANS               </v>
      </c>
      <c r="F2734" t="str">
        <f t="shared" si="118"/>
        <v>LA</v>
      </c>
    </row>
    <row r="2735" spans="1:6" x14ac:dyDescent="0.25">
      <c r="A2735" t="str">
        <f>"001232019"</f>
        <v>001232019</v>
      </c>
      <c r="B2735" t="str">
        <f>"1801152244"</f>
        <v>1801152244</v>
      </c>
      <c r="C2735" t="str">
        <f>"207T00000X"</f>
        <v>207T00000X</v>
      </c>
      <c r="D2735" t="str">
        <f>"FENNELL                  VERNARD      S           "</f>
        <v xml:space="preserve">FENNELL                  VERNARD      S           </v>
      </c>
      <c r="E2735" t="str">
        <f>"NEW ORLEANS               "</f>
        <v xml:space="preserve">NEW ORLEANS               </v>
      </c>
      <c r="F2735" t="str">
        <f t="shared" si="118"/>
        <v>LA</v>
      </c>
    </row>
    <row r="2736" spans="1:6" x14ac:dyDescent="0.25">
      <c r="A2736" t="str">
        <f>"001233313"</f>
        <v>001233313</v>
      </c>
      <c r="B2736" t="str">
        <f>"1619966819"</f>
        <v>1619966819</v>
      </c>
      <c r="C2736" t="str">
        <f>"2084N0400X"</f>
        <v>2084N0400X</v>
      </c>
      <c r="D2736" t="str">
        <f>"OLSON                    JON          D           "</f>
        <v xml:space="preserve">OLSON                    JON          D           </v>
      </c>
      <c r="E2736" t="str">
        <f>"BATON ROUGE               "</f>
        <v xml:space="preserve">BATON ROUGE               </v>
      </c>
      <c r="F2736" t="str">
        <f t="shared" si="118"/>
        <v>LA</v>
      </c>
    </row>
    <row r="2737" spans="1:6" x14ac:dyDescent="0.25">
      <c r="A2737" t="str">
        <f>"001235001"</f>
        <v>001235001</v>
      </c>
      <c r="B2737" t="str">
        <f>"1376989723"</f>
        <v>1376989723</v>
      </c>
      <c r="C2737" t="str">
        <f>"207L00000X"</f>
        <v>207L00000X</v>
      </c>
      <c r="D2737" t="str">
        <f>"RUDISON                  DIONNE       M           "</f>
        <v xml:space="preserve">RUDISON                  DIONNE       M           </v>
      </c>
      <c r="E2737" t="str">
        <f>"NEW ORLEANS               "</f>
        <v xml:space="preserve">NEW ORLEANS               </v>
      </c>
      <c r="F2737" t="str">
        <f t="shared" si="118"/>
        <v>LA</v>
      </c>
    </row>
    <row r="2738" spans="1:6" x14ac:dyDescent="0.25">
      <c r="A2738" t="str">
        <f>"001239857"</f>
        <v>001239857</v>
      </c>
      <c r="B2738" t="str">
        <f>"1205816436"</f>
        <v>1205816436</v>
      </c>
      <c r="C2738" t="str">
        <f>"208000000X"</f>
        <v>208000000X</v>
      </c>
      <c r="D2738" t="str">
        <f>"PLACE                    LAURA        L           "</f>
        <v xml:space="preserve">PLACE                    LAURA        L           </v>
      </c>
      <c r="E2738" t="str">
        <f>"MANDEVILLE                "</f>
        <v xml:space="preserve">MANDEVILLE                </v>
      </c>
      <c r="F2738" t="str">
        <f t="shared" si="118"/>
        <v>LA</v>
      </c>
    </row>
    <row r="2739" spans="1:6" x14ac:dyDescent="0.25">
      <c r="A2739" t="str">
        <f>"001252229"</f>
        <v>001252229</v>
      </c>
      <c r="B2739" t="str">
        <f>"1962441352"</f>
        <v>1962441352</v>
      </c>
      <c r="C2739" t="str">
        <f>"208D00000X"</f>
        <v>208D00000X</v>
      </c>
      <c r="D2739" t="str">
        <f>"HABER                    LAWRENCE     L           "</f>
        <v xml:space="preserve">HABER                    LAWRENCE     L           </v>
      </c>
      <c r="E2739" t="str">
        <f t="shared" ref="E2739:E2744" si="119">"NEW ORLEANS               "</f>
        <v xml:space="preserve">NEW ORLEANS               </v>
      </c>
      <c r="F2739" t="str">
        <f t="shared" si="118"/>
        <v>LA</v>
      </c>
    </row>
    <row r="2740" spans="1:6" x14ac:dyDescent="0.25">
      <c r="A2740" t="str">
        <f>"001252711"</f>
        <v>001252711</v>
      </c>
      <c r="B2740" t="str">
        <f>"1659340883"</f>
        <v>1659340883</v>
      </c>
      <c r="C2740" t="str">
        <f>"207V00000X"</f>
        <v>207V00000X</v>
      </c>
      <c r="D2740" t="str">
        <f>"MORRIS, IV               GEORGE       B           "</f>
        <v xml:space="preserve">MORRIS, IV               GEORGE       B           </v>
      </c>
      <c r="E2740" t="str">
        <f t="shared" si="119"/>
        <v xml:space="preserve">NEW ORLEANS               </v>
      </c>
      <c r="F2740" t="str">
        <f t="shared" si="118"/>
        <v>LA</v>
      </c>
    </row>
    <row r="2741" spans="1:6" x14ac:dyDescent="0.25">
      <c r="A2741" t="str">
        <f>"001256079"</f>
        <v>001256079</v>
      </c>
      <c r="B2741" t="str">
        <f>"1588868061"</f>
        <v>1588868061</v>
      </c>
      <c r="C2741" t="str">
        <f>"208000000X"</f>
        <v>208000000X</v>
      </c>
      <c r="D2741" t="str">
        <f>"BRADFORD                 TAMARA       T           "</f>
        <v xml:space="preserve">BRADFORD                 TAMARA       T           </v>
      </c>
      <c r="E2741" t="str">
        <f t="shared" si="119"/>
        <v xml:space="preserve">NEW ORLEANS               </v>
      </c>
      <c r="F2741" t="str">
        <f t="shared" si="118"/>
        <v>LA</v>
      </c>
    </row>
    <row r="2742" spans="1:6" x14ac:dyDescent="0.25">
      <c r="A2742" t="str">
        <f>"001258311"</f>
        <v>001258311</v>
      </c>
      <c r="B2742" t="str">
        <f>"1639465180"</f>
        <v>1639465180</v>
      </c>
      <c r="C2742" t="str">
        <f>"207R00000X"</f>
        <v>207R00000X</v>
      </c>
      <c r="D2742" t="str">
        <f>"CROWDER                  MELISSA      D           "</f>
        <v xml:space="preserve">CROWDER                  MELISSA      D           </v>
      </c>
      <c r="E2742" t="str">
        <f t="shared" si="119"/>
        <v xml:space="preserve">NEW ORLEANS               </v>
      </c>
      <c r="F2742" t="str">
        <f t="shared" si="118"/>
        <v>LA</v>
      </c>
    </row>
    <row r="2743" spans="1:6" x14ac:dyDescent="0.25">
      <c r="A2743" t="str">
        <f>"001258552"</f>
        <v>001258552</v>
      </c>
      <c r="B2743" t="str">
        <f>"1740471598"</f>
        <v>1740471598</v>
      </c>
      <c r="C2743" t="str">
        <f>"207V00000X"</f>
        <v>207V00000X</v>
      </c>
      <c r="D2743" t="str">
        <f>"TANNER                   LANASHA                  "</f>
        <v xml:space="preserve">TANNER                   LANASHA                  </v>
      </c>
      <c r="E2743" t="str">
        <f t="shared" si="119"/>
        <v xml:space="preserve">NEW ORLEANS               </v>
      </c>
      <c r="F2743" t="str">
        <f t="shared" si="118"/>
        <v>LA</v>
      </c>
    </row>
    <row r="2744" spans="1:6" x14ac:dyDescent="0.25">
      <c r="A2744" t="str">
        <f>"001259001"</f>
        <v>001259001</v>
      </c>
      <c r="B2744" t="str">
        <f>"1467816876"</f>
        <v>1467816876</v>
      </c>
      <c r="C2744" t="str">
        <f>"207R00000X"</f>
        <v>207R00000X</v>
      </c>
      <c r="D2744" t="str">
        <f>"PAVLOV                   NEAL         A           "</f>
        <v xml:space="preserve">PAVLOV                   NEAL         A           </v>
      </c>
      <c r="E2744" t="str">
        <f t="shared" si="119"/>
        <v xml:space="preserve">NEW ORLEANS               </v>
      </c>
      <c r="F2744" t="str">
        <f t="shared" si="118"/>
        <v>LA</v>
      </c>
    </row>
    <row r="2745" spans="1:6" x14ac:dyDescent="0.25">
      <c r="A2745" t="str">
        <f>"001272001"</f>
        <v>001272001</v>
      </c>
      <c r="B2745" t="str">
        <f>"1689017113"</f>
        <v>1689017113</v>
      </c>
      <c r="C2745" t="str">
        <f>"363L00000X"</f>
        <v>363L00000X</v>
      </c>
      <c r="D2745" t="str">
        <f>"MORSE                    JANET        P           "</f>
        <v xml:space="preserve">MORSE                    JANET        P           </v>
      </c>
      <c r="E2745" t="str">
        <f>"HAMMOND                   "</f>
        <v xml:space="preserve">HAMMOND                   </v>
      </c>
      <c r="F2745" t="str">
        <f t="shared" si="118"/>
        <v>LA</v>
      </c>
    </row>
    <row r="2746" spans="1:6" x14ac:dyDescent="0.25">
      <c r="A2746" t="str">
        <f>"001273306"</f>
        <v>001273306</v>
      </c>
      <c r="B2746" t="str">
        <f>"1396759833"</f>
        <v>1396759833</v>
      </c>
      <c r="C2746" t="str">
        <f>"367500000X"</f>
        <v>367500000X</v>
      </c>
      <c r="D2746" t="str">
        <f>"PERRET                   CHRISTOPHER              "</f>
        <v xml:space="preserve">PERRET                   CHRISTOPHER              </v>
      </c>
      <c r="E2746" t="str">
        <f>"COVINGTON                 "</f>
        <v xml:space="preserve">COVINGTON                 </v>
      </c>
      <c r="F2746" t="str">
        <f t="shared" si="118"/>
        <v>LA</v>
      </c>
    </row>
    <row r="2747" spans="1:6" x14ac:dyDescent="0.25">
      <c r="A2747" t="str">
        <f>"001276726"</f>
        <v>001276726</v>
      </c>
      <c r="B2747" t="str">
        <f>"1578630232"</f>
        <v>1578630232</v>
      </c>
      <c r="C2747" t="str">
        <f>"207R00000X"</f>
        <v>207R00000X</v>
      </c>
      <c r="D2747" t="str">
        <f>"LANDRENEAU               STEPHEN      W           "</f>
        <v xml:space="preserve">LANDRENEAU               STEPHEN      W           </v>
      </c>
      <c r="E2747" t="str">
        <f>"NEW ORLEANS               "</f>
        <v xml:space="preserve">NEW ORLEANS               </v>
      </c>
      <c r="F2747" t="str">
        <f t="shared" si="118"/>
        <v>LA</v>
      </c>
    </row>
    <row r="2748" spans="1:6" x14ac:dyDescent="0.25">
      <c r="A2748" t="str">
        <f>"001281066"</f>
        <v>001281066</v>
      </c>
      <c r="B2748" t="str">
        <f>"1013259258"</f>
        <v>1013259258</v>
      </c>
      <c r="C2748" t="str">
        <f>"207P00000X"</f>
        <v>207P00000X</v>
      </c>
      <c r="D2748" t="str">
        <f>"LEWING                   NICHOLAS                 "</f>
        <v xml:space="preserve">LEWING                   NICHOLAS                 </v>
      </c>
      <c r="E2748" t="str">
        <f>"NEW ORLEANS               "</f>
        <v xml:space="preserve">NEW ORLEANS               </v>
      </c>
      <c r="F2748" t="str">
        <f t="shared" si="118"/>
        <v>LA</v>
      </c>
    </row>
    <row r="2749" spans="1:6" x14ac:dyDescent="0.25">
      <c r="A2749" t="str">
        <f>"001288254"</f>
        <v>001288254</v>
      </c>
      <c r="B2749" t="str">
        <f>"1689049991"</f>
        <v>1689049991</v>
      </c>
      <c r="C2749" t="str">
        <f>"367500000X"</f>
        <v>367500000X</v>
      </c>
      <c r="D2749" t="str">
        <f>"PAYNE                    RICHARD      L           "</f>
        <v xml:space="preserve">PAYNE                    RICHARD      L           </v>
      </c>
      <c r="E2749" t="str">
        <f>"NEW ORLEANS               "</f>
        <v xml:space="preserve">NEW ORLEANS               </v>
      </c>
      <c r="F2749" t="str">
        <f t="shared" si="118"/>
        <v>LA</v>
      </c>
    </row>
    <row r="2750" spans="1:6" x14ac:dyDescent="0.25">
      <c r="A2750" t="str">
        <f>"001289098"</f>
        <v>001289098</v>
      </c>
      <c r="B2750" t="str">
        <f>"1427070937"</f>
        <v>1427070937</v>
      </c>
      <c r="C2750" t="str">
        <f>"208600000X"</f>
        <v>208600000X</v>
      </c>
      <c r="D2750" t="str">
        <f>"THIAGARAJAN              RAMCHARAN                "</f>
        <v xml:space="preserve">THIAGARAJAN              RAMCHARAN                </v>
      </c>
      <c r="E2750" t="str">
        <f>"KENNER                    "</f>
        <v xml:space="preserve">KENNER                    </v>
      </c>
      <c r="F2750" t="str">
        <f t="shared" si="118"/>
        <v>LA</v>
      </c>
    </row>
    <row r="2751" spans="1:6" x14ac:dyDescent="0.25">
      <c r="A2751" t="str">
        <f>"001300228"</f>
        <v>001300228</v>
      </c>
      <c r="B2751" t="str">
        <f>"1093738148"</f>
        <v>1093738148</v>
      </c>
      <c r="C2751" t="str">
        <f>"2084N0400X"</f>
        <v>2084N0400X</v>
      </c>
      <c r="D2751" t="str">
        <f>"WILSON                   MARIA CARMEN B           "</f>
        <v xml:space="preserve">WILSON                   MARIA CARMEN B           </v>
      </c>
      <c r="E2751" t="str">
        <f>"COVINGTON                 "</f>
        <v xml:space="preserve">COVINGTON                 </v>
      </c>
      <c r="F2751" t="str">
        <f t="shared" si="118"/>
        <v>LA</v>
      </c>
    </row>
    <row r="2752" spans="1:6" x14ac:dyDescent="0.25">
      <c r="A2752" t="str">
        <f>"001301720"</f>
        <v>001301720</v>
      </c>
      <c r="B2752" t="str">
        <f>"1912142761"</f>
        <v>1912142761</v>
      </c>
      <c r="C2752" t="str">
        <f>"207RP1001X"</f>
        <v>207RP1001X</v>
      </c>
      <c r="D2752" t="str">
        <f>"ABDALLAH                 TAREK        M           "</f>
        <v xml:space="preserve">ABDALLAH                 TAREK        M           </v>
      </c>
      <c r="E2752" t="str">
        <f>"BATON ROUGE               "</f>
        <v xml:space="preserve">BATON ROUGE               </v>
      </c>
      <c r="F2752" t="str">
        <f t="shared" si="118"/>
        <v>LA</v>
      </c>
    </row>
    <row r="2753" spans="1:6" x14ac:dyDescent="0.25">
      <c r="A2753" t="str">
        <f>"001303299"</f>
        <v>001303299</v>
      </c>
      <c r="B2753" t="str">
        <f>"1689103772"</f>
        <v>1689103772</v>
      </c>
      <c r="C2753" t="str">
        <f>"207R00000X"</f>
        <v>207R00000X</v>
      </c>
      <c r="D2753" t="str">
        <f>"NACCARI JR               CRAIG        P           "</f>
        <v xml:space="preserve">NACCARI JR               CRAIG        P           </v>
      </c>
      <c r="E2753" t="str">
        <f>"SLIDELL                   "</f>
        <v xml:space="preserve">SLIDELL                   </v>
      </c>
      <c r="F2753" t="str">
        <f t="shared" si="118"/>
        <v>LA</v>
      </c>
    </row>
    <row r="2754" spans="1:6" x14ac:dyDescent="0.25">
      <c r="A2754" t="str">
        <f>"001305750"</f>
        <v>001305750</v>
      </c>
      <c r="B2754" t="str">
        <f>"1679743728"</f>
        <v>1679743728</v>
      </c>
      <c r="C2754" t="str">
        <f>"207R00000X"</f>
        <v>207R00000X</v>
      </c>
      <c r="D2754" t="str">
        <f>"MORRISON                 CORI                     "</f>
        <v xml:space="preserve">MORRISON                 CORI                     </v>
      </c>
      <c r="E2754" t="str">
        <f>"NEW ORLEANS               "</f>
        <v xml:space="preserve">NEW ORLEANS               </v>
      </c>
      <c r="F2754" t="str">
        <f t="shared" si="118"/>
        <v>LA</v>
      </c>
    </row>
    <row r="2755" spans="1:6" x14ac:dyDescent="0.25">
      <c r="A2755" t="str">
        <f>"001328787"</f>
        <v>001328787</v>
      </c>
      <c r="B2755" t="str">
        <f>"1912999046"</f>
        <v>1912999046</v>
      </c>
      <c r="C2755" t="str">
        <f>"207RC0000X"</f>
        <v>207RC0000X</v>
      </c>
      <c r="D2755" t="str">
        <f>"BHANSALI                 SIDDHARTH    K           "</f>
        <v xml:space="preserve">BHANSALI                 SIDDHARTH    K           </v>
      </c>
      <c r="E2755" t="str">
        <f>"NEW ORLEANS               "</f>
        <v xml:space="preserve">NEW ORLEANS               </v>
      </c>
      <c r="F2755" t="str">
        <f t="shared" si="118"/>
        <v>LA</v>
      </c>
    </row>
    <row r="2756" spans="1:6" x14ac:dyDescent="0.25">
      <c r="A2756" t="str">
        <f>"001406795"</f>
        <v>001406795</v>
      </c>
      <c r="B2756" t="str">
        <f>"1831483668"</f>
        <v>1831483668</v>
      </c>
      <c r="C2756" t="str">
        <f>"2084N0402X"</f>
        <v>2084N0402X</v>
      </c>
      <c r="D2756" t="str">
        <f>"MILLER                   DANIELLA                 "</f>
        <v xml:space="preserve">MILLER                   DANIELLA                 </v>
      </c>
      <c r="E2756" t="str">
        <f>"NEW ORLEANS               "</f>
        <v xml:space="preserve">NEW ORLEANS               </v>
      </c>
      <c r="F2756" t="str">
        <f t="shared" si="118"/>
        <v>LA</v>
      </c>
    </row>
    <row r="2757" spans="1:6" x14ac:dyDescent="0.25">
      <c r="A2757" t="str">
        <f>"001426720"</f>
        <v>001426720</v>
      </c>
      <c r="B2757" t="str">
        <f>"1245868033"</f>
        <v>1245868033</v>
      </c>
      <c r="C2757" t="str">
        <f>"367500000X"</f>
        <v>367500000X</v>
      </c>
      <c r="D2757" t="str">
        <f>"MATA                     MICHELLE     H           "</f>
        <v xml:space="preserve">MATA                     MICHELLE     H           </v>
      </c>
      <c r="E2757" t="str">
        <f>"NEW ORLEANS               "</f>
        <v xml:space="preserve">NEW ORLEANS               </v>
      </c>
      <c r="F2757" t="str">
        <f t="shared" si="118"/>
        <v>LA</v>
      </c>
    </row>
    <row r="2758" spans="1:6" x14ac:dyDescent="0.25">
      <c r="A2758" t="str">
        <f>"001429392"</f>
        <v>001429392</v>
      </c>
      <c r="B2758" t="str">
        <f>"1669415485"</f>
        <v>1669415485</v>
      </c>
      <c r="C2758" t="str">
        <f>"207P00000X"</f>
        <v>207P00000X</v>
      </c>
      <c r="D2758" t="str">
        <f>"LEBLANC                  ROLAND       A           "</f>
        <v xml:space="preserve">LEBLANC                  ROLAND       A           </v>
      </c>
      <c r="E2758" t="str">
        <f>"KENNER                    "</f>
        <v xml:space="preserve">KENNER                    </v>
      </c>
      <c r="F2758" t="str">
        <f t="shared" si="118"/>
        <v>LA</v>
      </c>
    </row>
    <row r="2759" spans="1:6" x14ac:dyDescent="0.25">
      <c r="A2759" t="str">
        <f>"001474278"</f>
        <v>001474278</v>
      </c>
      <c r="B2759" t="str">
        <f>"1750574992"</f>
        <v>1750574992</v>
      </c>
      <c r="C2759" t="str">
        <f>"207T00000X"</f>
        <v>207T00000X</v>
      </c>
      <c r="D2759" t="str">
        <f>"BUI                      CUONG                    "</f>
        <v xml:space="preserve">BUI                      CUONG                    </v>
      </c>
      <c r="E2759" t="str">
        <f>"NEW ORLEANS               "</f>
        <v xml:space="preserve">NEW ORLEANS               </v>
      </c>
      <c r="F2759" t="str">
        <f t="shared" si="118"/>
        <v>LA</v>
      </c>
    </row>
    <row r="2760" spans="1:6" x14ac:dyDescent="0.25">
      <c r="A2760" t="str">
        <f>"001479084"</f>
        <v>001479084</v>
      </c>
      <c r="B2760" t="str">
        <f>"1801091962"</f>
        <v>1801091962</v>
      </c>
      <c r="C2760" t="str">
        <f>"207ZP0102X"</f>
        <v>207ZP0102X</v>
      </c>
      <c r="D2760" t="str">
        <f>"OCCHIPINTI               ELISE        A           "</f>
        <v xml:space="preserve">OCCHIPINTI               ELISE        A           </v>
      </c>
      <c r="E2760" t="str">
        <f>"NEW ORLEANS               "</f>
        <v xml:space="preserve">NEW ORLEANS               </v>
      </c>
      <c r="F2760" t="str">
        <f t="shared" si="118"/>
        <v>LA</v>
      </c>
    </row>
    <row r="2761" spans="1:6" x14ac:dyDescent="0.25">
      <c r="A2761" t="str">
        <f>"001481511"</f>
        <v>001481511</v>
      </c>
      <c r="B2761" t="str">
        <f>"1609317999"</f>
        <v>1609317999</v>
      </c>
      <c r="C2761" t="str">
        <f>"207Q00000X"</f>
        <v>207Q00000X</v>
      </c>
      <c r="D2761" t="str">
        <f>"LAMBERT                  STEPHEN      L           "</f>
        <v xml:space="preserve">LAMBERT                  STEPHEN      L           </v>
      </c>
      <c r="E2761" t="str">
        <f>"SLIDELL                   "</f>
        <v xml:space="preserve">SLIDELL                   </v>
      </c>
      <c r="F2761" t="str">
        <f t="shared" si="118"/>
        <v>LA</v>
      </c>
    </row>
    <row r="2762" spans="1:6" x14ac:dyDescent="0.25">
      <c r="A2762" t="str">
        <f>"001489831"</f>
        <v>001489831</v>
      </c>
      <c r="B2762" t="str">
        <f>"1366475360"</f>
        <v>1366475360</v>
      </c>
      <c r="C2762" t="str">
        <f>"208800000X"</f>
        <v>208800000X</v>
      </c>
      <c r="D2762" t="str">
        <f>"TOGAMI                   JOANNA       M           "</f>
        <v xml:space="preserve">TOGAMI                   JOANNA       M           </v>
      </c>
      <c r="E2762" t="str">
        <f>"NEW ORLEANS               "</f>
        <v xml:space="preserve">NEW ORLEANS               </v>
      </c>
      <c r="F2762" t="str">
        <f t="shared" si="118"/>
        <v>LA</v>
      </c>
    </row>
    <row r="2763" spans="1:6" x14ac:dyDescent="0.25">
      <c r="A2763" t="str">
        <f>"001553014"</f>
        <v>001553014</v>
      </c>
      <c r="B2763" t="str">
        <f>"1912665985"</f>
        <v>1912665985</v>
      </c>
      <c r="C2763" t="str">
        <f>"363LP0808X"</f>
        <v>363LP0808X</v>
      </c>
      <c r="D2763" t="str">
        <f>"WOODS                    HEATHER                  "</f>
        <v xml:space="preserve">WOODS                    HEATHER                  </v>
      </c>
      <c r="E2763" t="str">
        <f>"KENTWOOD                  "</f>
        <v xml:space="preserve">KENTWOOD                  </v>
      </c>
      <c r="F2763" t="str">
        <f t="shared" si="118"/>
        <v>LA</v>
      </c>
    </row>
    <row r="2764" spans="1:6" x14ac:dyDescent="0.25">
      <c r="A2764" t="str">
        <f>"001555860"</f>
        <v>001555860</v>
      </c>
      <c r="B2764" t="str">
        <f>"1215347315"</f>
        <v>1215347315</v>
      </c>
      <c r="C2764" t="str">
        <f>"207Q00000X"</f>
        <v>207Q00000X</v>
      </c>
      <c r="D2764" t="str">
        <f>"WILKINSON                JAMES                    "</f>
        <v xml:space="preserve">WILKINSON                JAMES                    </v>
      </c>
      <c r="E2764" t="str">
        <f>"HAMMOND                   "</f>
        <v xml:space="preserve">HAMMOND                   </v>
      </c>
      <c r="F2764" t="str">
        <f t="shared" si="118"/>
        <v>LA</v>
      </c>
    </row>
    <row r="2765" spans="1:6" x14ac:dyDescent="0.25">
      <c r="A2765" t="str">
        <f>"001558284"</f>
        <v>001558284</v>
      </c>
      <c r="B2765" t="str">
        <f>"1194468017"</f>
        <v>1194468017</v>
      </c>
      <c r="C2765" t="str">
        <f>"363A00000X"</f>
        <v>363A00000X</v>
      </c>
      <c r="D2765" t="str">
        <f>"EARLS                    MADELEINE    S           "</f>
        <v xml:space="preserve">EARLS                    MADELEINE    S           </v>
      </c>
      <c r="E2765" t="str">
        <f>"NEW ORLEANS               "</f>
        <v xml:space="preserve">NEW ORLEANS               </v>
      </c>
      <c r="F2765" t="str">
        <f t="shared" si="118"/>
        <v>LA</v>
      </c>
    </row>
    <row r="2766" spans="1:6" x14ac:dyDescent="0.25">
      <c r="A2766" t="str">
        <f>"001572801"</f>
        <v>001572801</v>
      </c>
      <c r="B2766" t="str">
        <f>"1881973956"</f>
        <v>1881973956</v>
      </c>
      <c r="C2766" t="str">
        <f>"207LP2900X"</f>
        <v>207LP2900X</v>
      </c>
      <c r="D2766" t="str">
        <f>"MYERS                    THOMAS       J           "</f>
        <v xml:space="preserve">MYERS                    THOMAS       J           </v>
      </c>
      <c r="E2766" t="str">
        <f>"LACOMBE                   "</f>
        <v xml:space="preserve">LACOMBE                   </v>
      </c>
      <c r="F2766" t="str">
        <f t="shared" si="118"/>
        <v>LA</v>
      </c>
    </row>
    <row r="2767" spans="1:6" x14ac:dyDescent="0.25">
      <c r="A2767" t="str">
        <f>"001577704"</f>
        <v>001577704</v>
      </c>
      <c r="B2767" t="str">
        <f>"1356526917"</f>
        <v>1356526917</v>
      </c>
      <c r="C2767" t="str">
        <f>"207LP2900X"</f>
        <v>207LP2900X</v>
      </c>
      <c r="D2767" t="str">
        <f>"PATEL                    SAMIR        K           "</f>
        <v xml:space="preserve">PATEL                    SAMIR        K           </v>
      </c>
      <c r="E2767" t="str">
        <f>"BATON ROUGE               "</f>
        <v xml:space="preserve">BATON ROUGE               </v>
      </c>
      <c r="F2767" t="str">
        <f t="shared" si="118"/>
        <v>LA</v>
      </c>
    </row>
    <row r="2768" spans="1:6" x14ac:dyDescent="0.25">
      <c r="A2768" t="str">
        <f>"001585792"</f>
        <v>001585792</v>
      </c>
      <c r="B2768" t="str">
        <f>"1639420441"</f>
        <v>1639420441</v>
      </c>
      <c r="C2768" t="str">
        <f>"207RN0300X"</f>
        <v>207RN0300X</v>
      </c>
      <c r="D2768" t="str">
        <f>"MOHAMED                  MUNER        M           "</f>
        <v xml:space="preserve">MOHAMED                  MUNER        M           </v>
      </c>
      <c r="E2768" t="str">
        <f t="shared" ref="E2768:E2773" si="120">"NEW ORLEANS               "</f>
        <v xml:space="preserve">NEW ORLEANS               </v>
      </c>
      <c r="F2768" t="str">
        <f t="shared" si="118"/>
        <v>LA</v>
      </c>
    </row>
    <row r="2769" spans="1:6" x14ac:dyDescent="0.25">
      <c r="A2769" t="str">
        <f>"001589244"</f>
        <v>001589244</v>
      </c>
      <c r="B2769" t="str">
        <f>"1649461062"</f>
        <v>1649461062</v>
      </c>
      <c r="C2769" t="str">
        <f>"208000000X"</f>
        <v>208000000X</v>
      </c>
      <c r="D2769" t="str">
        <f>"MUMPHREY                 CHRISTY      G           "</f>
        <v xml:space="preserve">MUMPHREY                 CHRISTY      G           </v>
      </c>
      <c r="E2769" t="str">
        <f t="shared" si="120"/>
        <v xml:space="preserve">NEW ORLEANS               </v>
      </c>
      <c r="F2769" t="str">
        <f t="shared" si="118"/>
        <v>LA</v>
      </c>
    </row>
    <row r="2770" spans="1:6" x14ac:dyDescent="0.25">
      <c r="A2770" t="str">
        <f>"001602714"</f>
        <v>001602714</v>
      </c>
      <c r="B2770" t="str">
        <f>"1407951759"</f>
        <v>1407951759</v>
      </c>
      <c r="C2770" t="str">
        <f>"363L00000X"</f>
        <v>363L00000X</v>
      </c>
      <c r="D2770" t="str">
        <f>"STORY                    COLLEEN      M           "</f>
        <v xml:space="preserve">STORY                    COLLEEN      M           </v>
      </c>
      <c r="E2770" t="str">
        <f t="shared" si="120"/>
        <v xml:space="preserve">NEW ORLEANS               </v>
      </c>
      <c r="F2770" t="str">
        <f t="shared" si="118"/>
        <v>LA</v>
      </c>
    </row>
    <row r="2771" spans="1:6" x14ac:dyDescent="0.25">
      <c r="A2771" t="str">
        <f>"001604327"</f>
        <v>001604327</v>
      </c>
      <c r="B2771" t="str">
        <f>"1477519478"</f>
        <v>1477519478</v>
      </c>
      <c r="C2771" t="str">
        <f>"367500000X"</f>
        <v>367500000X</v>
      </c>
      <c r="D2771" t="str">
        <f>"BROWN                    MATTHEW      D           "</f>
        <v xml:space="preserve">BROWN                    MATTHEW      D           </v>
      </c>
      <c r="E2771" t="str">
        <f t="shared" si="120"/>
        <v xml:space="preserve">NEW ORLEANS               </v>
      </c>
      <c r="F2771" t="str">
        <f t="shared" si="118"/>
        <v>LA</v>
      </c>
    </row>
    <row r="2772" spans="1:6" x14ac:dyDescent="0.25">
      <c r="A2772" t="str">
        <f>"001624800"</f>
        <v>001624800</v>
      </c>
      <c r="B2772" t="str">
        <f>"1457627325"</f>
        <v>1457627325</v>
      </c>
      <c r="C2772" t="str">
        <f>"207R00000X"</f>
        <v>207R00000X</v>
      </c>
      <c r="D2772" t="str">
        <f>"FIELD                    HALLE        E           "</f>
        <v xml:space="preserve">FIELD                    HALLE        E           </v>
      </c>
      <c r="E2772" t="str">
        <f t="shared" si="120"/>
        <v xml:space="preserve">NEW ORLEANS               </v>
      </c>
      <c r="F2772" t="str">
        <f t="shared" si="118"/>
        <v>LA</v>
      </c>
    </row>
    <row r="2773" spans="1:6" x14ac:dyDescent="0.25">
      <c r="A2773" t="str">
        <f>"001653761"</f>
        <v>001653761</v>
      </c>
      <c r="B2773" t="str">
        <f>"1588108070"</f>
        <v>1588108070</v>
      </c>
      <c r="C2773" t="str">
        <f>"363L00000X"</f>
        <v>363L00000X</v>
      </c>
      <c r="D2773" t="str">
        <f>"FAUST                    JONATHAN     M           "</f>
        <v xml:space="preserve">FAUST                    JONATHAN     M           </v>
      </c>
      <c r="E2773" t="str">
        <f t="shared" si="120"/>
        <v xml:space="preserve">NEW ORLEANS               </v>
      </c>
      <c r="F2773" t="str">
        <f t="shared" si="118"/>
        <v>LA</v>
      </c>
    </row>
    <row r="2774" spans="1:6" x14ac:dyDescent="0.25">
      <c r="A2774" t="str">
        <f>"001681302"</f>
        <v>001681302</v>
      </c>
      <c r="B2774" t="str">
        <f>"1245604966"</f>
        <v>1245604966</v>
      </c>
      <c r="C2774" t="str">
        <f>"363L00000X"</f>
        <v>363L00000X</v>
      </c>
      <c r="D2774" t="str">
        <f>"SCHMITT                  AMY          B           "</f>
        <v xml:space="preserve">SCHMITT                  AMY          B           </v>
      </c>
      <c r="E2774" t="str">
        <f>"SLIDELL                   "</f>
        <v xml:space="preserve">SLIDELL                   </v>
      </c>
      <c r="F2774" t="str">
        <f t="shared" si="118"/>
        <v>LA</v>
      </c>
    </row>
    <row r="2775" spans="1:6" x14ac:dyDescent="0.25">
      <c r="A2775" t="str">
        <f>"001700592"</f>
        <v>001700592</v>
      </c>
      <c r="B2775" t="str">
        <f>"1972023596"</f>
        <v>1972023596</v>
      </c>
      <c r="C2775" t="str">
        <f>"367500000X"</f>
        <v>367500000X</v>
      </c>
      <c r="D2775" t="str">
        <f>"LYONS                    LAUREN                   "</f>
        <v xml:space="preserve">LYONS                    LAUREN                   </v>
      </c>
      <c r="E2775" t="str">
        <f>"NEW ORLEANS               "</f>
        <v xml:space="preserve">NEW ORLEANS               </v>
      </c>
      <c r="F2775" t="str">
        <f t="shared" si="118"/>
        <v>LA</v>
      </c>
    </row>
    <row r="2776" spans="1:6" x14ac:dyDescent="0.25">
      <c r="A2776" t="str">
        <f>"001700716"</f>
        <v>001700716</v>
      </c>
      <c r="B2776" t="str">
        <f>"1376078022"</f>
        <v>1376078022</v>
      </c>
      <c r="C2776" t="str">
        <f>"363A00000X"</f>
        <v>363A00000X</v>
      </c>
      <c r="D2776" t="str">
        <f>"AMMON                    BRIAN        G           "</f>
        <v xml:space="preserve">AMMON                    BRIAN        G           </v>
      </c>
      <c r="E2776" t="str">
        <f>"NEW ORLEANS               "</f>
        <v xml:space="preserve">NEW ORLEANS               </v>
      </c>
      <c r="F2776" t="str">
        <f t="shared" si="118"/>
        <v>LA</v>
      </c>
    </row>
    <row r="2777" spans="1:6" x14ac:dyDescent="0.25">
      <c r="A2777" t="str">
        <f>"001704031"</f>
        <v>001704031</v>
      </c>
      <c r="B2777" t="str">
        <f>"1346209806"</f>
        <v>1346209806</v>
      </c>
      <c r="C2777" t="str">
        <f>"207V00000X"</f>
        <v>207V00000X</v>
      </c>
      <c r="D2777" t="str">
        <f>"MOKRY                    DANIEL                   "</f>
        <v xml:space="preserve">MOKRY                    DANIEL                   </v>
      </c>
      <c r="E2777" t="str">
        <f>"COVINGTON                 "</f>
        <v xml:space="preserve">COVINGTON                 </v>
      </c>
      <c r="F2777" t="str">
        <f t="shared" si="118"/>
        <v>LA</v>
      </c>
    </row>
    <row r="2778" spans="1:6" x14ac:dyDescent="0.25">
      <c r="A2778" t="str">
        <f>"001708753"</f>
        <v>001708753</v>
      </c>
      <c r="B2778" t="str">
        <f>"1669050985"</f>
        <v>1669050985</v>
      </c>
      <c r="C2778" t="str">
        <f>"363A00000X"</f>
        <v>363A00000X</v>
      </c>
      <c r="D2778" t="str">
        <f>"WILLIAMS                 JAMARIUS     E           "</f>
        <v xml:space="preserve">WILLIAMS                 JAMARIUS     E           </v>
      </c>
      <c r="E2778" t="str">
        <f>"NEW ORLEANS               "</f>
        <v xml:space="preserve">NEW ORLEANS               </v>
      </c>
      <c r="F2778" t="str">
        <f t="shared" si="118"/>
        <v>LA</v>
      </c>
    </row>
    <row r="2779" spans="1:6" x14ac:dyDescent="0.25">
      <c r="A2779" t="str">
        <f>"001729542"</f>
        <v>001729542</v>
      </c>
      <c r="B2779" t="str">
        <f>"1578896122"</f>
        <v>1578896122</v>
      </c>
      <c r="C2779" t="str">
        <f>"363L00000X"</f>
        <v>363L00000X</v>
      </c>
      <c r="D2779" t="str">
        <f>"BATSON                   JERRY        W           "</f>
        <v xml:space="preserve">BATSON                   JERRY        W           </v>
      </c>
      <c r="E2779" t="str">
        <f>"WEST MONROE               "</f>
        <v xml:space="preserve">WEST MONROE               </v>
      </c>
      <c r="F2779" t="str">
        <f t="shared" ref="F2779:F2842" si="121">"LA"</f>
        <v>LA</v>
      </c>
    </row>
    <row r="2780" spans="1:6" x14ac:dyDescent="0.25">
      <c r="A2780" t="str">
        <f>"001731307"</f>
        <v>001731307</v>
      </c>
      <c r="B2780" t="str">
        <f>"1760666556"</f>
        <v>1760666556</v>
      </c>
      <c r="C2780" t="str">
        <f>"2084P0800X"</f>
        <v>2084P0800X</v>
      </c>
      <c r="D2780" t="str">
        <f>"GAUTREAUX                JESSICA      R           "</f>
        <v xml:space="preserve">GAUTREAUX                JESSICA      R           </v>
      </c>
      <c r="E2780" t="str">
        <f>"NEW ORLEANS               "</f>
        <v xml:space="preserve">NEW ORLEANS               </v>
      </c>
      <c r="F2780" t="str">
        <f t="shared" si="121"/>
        <v>LA</v>
      </c>
    </row>
    <row r="2781" spans="1:6" x14ac:dyDescent="0.25">
      <c r="A2781" t="str">
        <f>"001735031"</f>
        <v>001735031</v>
      </c>
      <c r="B2781" t="str">
        <f>"1659581601"</f>
        <v>1659581601</v>
      </c>
      <c r="C2781" t="str">
        <f>"207T00000X"</f>
        <v>207T00000X</v>
      </c>
      <c r="D2781" t="str">
        <f>"STANGER                  RICHARD                  "</f>
        <v xml:space="preserve">STANGER                  RICHARD                  </v>
      </c>
      <c r="E2781" t="str">
        <f>"BATON ROUGE               "</f>
        <v xml:space="preserve">BATON ROUGE               </v>
      </c>
      <c r="F2781" t="str">
        <f t="shared" si="121"/>
        <v>LA</v>
      </c>
    </row>
    <row r="2782" spans="1:6" x14ac:dyDescent="0.25">
      <c r="A2782" t="str">
        <f>"001735092"</f>
        <v>001735092</v>
      </c>
      <c r="B2782" t="str">
        <f>"1124499678"</f>
        <v>1124499678</v>
      </c>
      <c r="C2782" t="str">
        <f>"363L00000X"</f>
        <v>363L00000X</v>
      </c>
      <c r="D2782" t="str">
        <f>"JENKINS                  MALLORY                  "</f>
        <v xml:space="preserve">JENKINS                  MALLORY                  </v>
      </c>
      <c r="E2782" t="str">
        <f>"HAMMOND                   "</f>
        <v xml:space="preserve">HAMMOND                   </v>
      </c>
      <c r="F2782" t="str">
        <f t="shared" si="121"/>
        <v>LA</v>
      </c>
    </row>
    <row r="2783" spans="1:6" x14ac:dyDescent="0.25">
      <c r="A2783" t="str">
        <f>"001771211"</f>
        <v>001771211</v>
      </c>
      <c r="B2783" t="str">
        <f>"1619364759"</f>
        <v>1619364759</v>
      </c>
      <c r="C2783" t="str">
        <f>"207R00000X"</f>
        <v>207R00000X</v>
      </c>
      <c r="D2783" t="str">
        <f>"THEPPOTE                 AMANDA       S           "</f>
        <v xml:space="preserve">THEPPOTE                 AMANDA       S           </v>
      </c>
      <c r="E2783" t="str">
        <f t="shared" ref="E2783:E2789" si="122">"NEW ORLEANS               "</f>
        <v xml:space="preserve">NEW ORLEANS               </v>
      </c>
      <c r="F2783" t="str">
        <f t="shared" si="121"/>
        <v>LA</v>
      </c>
    </row>
    <row r="2784" spans="1:6" x14ac:dyDescent="0.25">
      <c r="A2784" t="str">
        <f>"001784791"</f>
        <v>001784791</v>
      </c>
      <c r="B2784" t="str">
        <f>"1245593797"</f>
        <v>1245593797</v>
      </c>
      <c r="C2784" t="str">
        <f>"207R00000X"</f>
        <v>207R00000X</v>
      </c>
      <c r="D2784" t="str">
        <f>"SCHULT                   GENEVIEVE    C           "</f>
        <v xml:space="preserve">SCHULT                   GENEVIEVE    C           </v>
      </c>
      <c r="E2784" t="str">
        <f t="shared" si="122"/>
        <v xml:space="preserve">NEW ORLEANS               </v>
      </c>
      <c r="F2784" t="str">
        <f t="shared" si="121"/>
        <v>LA</v>
      </c>
    </row>
    <row r="2785" spans="1:6" x14ac:dyDescent="0.25">
      <c r="A2785" t="str">
        <f>"001784821"</f>
        <v>001784821</v>
      </c>
      <c r="B2785" t="str">
        <f>"1740443522"</f>
        <v>1740443522</v>
      </c>
      <c r="C2785" t="str">
        <f>"207W00000X"</f>
        <v>207W00000X</v>
      </c>
      <c r="D2785" t="str">
        <f>"MAZZULLA                 DONALD       A           "</f>
        <v xml:space="preserve">MAZZULLA                 DONALD       A           </v>
      </c>
      <c r="E2785" t="str">
        <f t="shared" si="122"/>
        <v xml:space="preserve">NEW ORLEANS               </v>
      </c>
      <c r="F2785" t="str">
        <f t="shared" si="121"/>
        <v>LA</v>
      </c>
    </row>
    <row r="2786" spans="1:6" x14ac:dyDescent="0.25">
      <c r="A2786" t="str">
        <f>"001787016"</f>
        <v>001787016</v>
      </c>
      <c r="B2786" t="str">
        <f>"1689812091"</f>
        <v>1689812091</v>
      </c>
      <c r="C2786" t="str">
        <f>"2085R0202X"</f>
        <v>2085R0202X</v>
      </c>
      <c r="D2786" t="str">
        <f>"USTUNSOZ                 BAHRI                    "</f>
        <v xml:space="preserve">USTUNSOZ                 BAHRI                    </v>
      </c>
      <c r="E2786" t="str">
        <f t="shared" si="122"/>
        <v xml:space="preserve">NEW ORLEANS               </v>
      </c>
      <c r="F2786" t="str">
        <f t="shared" si="121"/>
        <v>LA</v>
      </c>
    </row>
    <row r="2787" spans="1:6" x14ac:dyDescent="0.25">
      <c r="A2787" t="str">
        <f>"001802093"</f>
        <v>001802093</v>
      </c>
      <c r="B2787" t="str">
        <f>"1134358096"</f>
        <v>1134358096</v>
      </c>
      <c r="C2787" t="str">
        <f>"2085R0202X"</f>
        <v>2085R0202X</v>
      </c>
      <c r="D2787" t="str">
        <f>"HAMMERSLEY               JILL         A           "</f>
        <v xml:space="preserve">HAMMERSLEY               JILL         A           </v>
      </c>
      <c r="E2787" t="str">
        <f t="shared" si="122"/>
        <v xml:space="preserve">NEW ORLEANS               </v>
      </c>
      <c r="F2787" t="str">
        <f t="shared" si="121"/>
        <v>LA</v>
      </c>
    </row>
    <row r="2788" spans="1:6" x14ac:dyDescent="0.25">
      <c r="A2788" t="str">
        <f>"001806253"</f>
        <v>001806253</v>
      </c>
      <c r="B2788" t="str">
        <f>"1497787741"</f>
        <v>1497787741</v>
      </c>
      <c r="C2788" t="str">
        <f>"2084N0400X"</f>
        <v>2084N0400X</v>
      </c>
      <c r="D2788" t="str">
        <f>"NELSON JR                STEPHEN      L           "</f>
        <v xml:space="preserve">NELSON JR                STEPHEN      L           </v>
      </c>
      <c r="E2788" t="str">
        <f t="shared" si="122"/>
        <v xml:space="preserve">NEW ORLEANS               </v>
      </c>
      <c r="F2788" t="str">
        <f t="shared" si="121"/>
        <v>LA</v>
      </c>
    </row>
    <row r="2789" spans="1:6" x14ac:dyDescent="0.25">
      <c r="A2789" t="str">
        <f>"001852267"</f>
        <v>001852267</v>
      </c>
      <c r="B2789" t="str">
        <f>"1356421739"</f>
        <v>1356421739</v>
      </c>
      <c r="C2789" t="str">
        <f>"2080P0202X"</f>
        <v>2080P0202X</v>
      </c>
      <c r="D2789" t="str">
        <f>"GAJEWSKI                 KELLY        K           "</f>
        <v xml:space="preserve">GAJEWSKI                 KELLY        K           </v>
      </c>
      <c r="E2789" t="str">
        <f t="shared" si="122"/>
        <v xml:space="preserve">NEW ORLEANS               </v>
      </c>
      <c r="F2789" t="str">
        <f t="shared" si="121"/>
        <v>LA</v>
      </c>
    </row>
    <row r="2790" spans="1:6" x14ac:dyDescent="0.25">
      <c r="A2790" t="str">
        <f>"001857235"</f>
        <v>001857235</v>
      </c>
      <c r="B2790" t="str">
        <f>"1114118932"</f>
        <v>1114118932</v>
      </c>
      <c r="C2790" t="str">
        <f>"207V00000X"</f>
        <v>207V00000X</v>
      </c>
      <c r="D2790" t="str">
        <f>"SMITH                    MELISSA      W           "</f>
        <v xml:space="preserve">SMITH                    MELISSA      W           </v>
      </c>
      <c r="E2790" t="str">
        <f>"SLIDELL                   "</f>
        <v xml:space="preserve">SLIDELL                   </v>
      </c>
      <c r="F2790" t="str">
        <f t="shared" si="121"/>
        <v>LA</v>
      </c>
    </row>
    <row r="2791" spans="1:6" x14ac:dyDescent="0.25">
      <c r="A2791" t="str">
        <f>"001857397"</f>
        <v>001857397</v>
      </c>
      <c r="B2791" t="str">
        <f>"1871749770"</f>
        <v>1871749770</v>
      </c>
      <c r="C2791" t="str">
        <f>"363A00000X"</f>
        <v>363A00000X</v>
      </c>
      <c r="D2791" t="str">
        <f>"LEWIS                    RAVEN        R           "</f>
        <v xml:space="preserve">LEWIS                    RAVEN        R           </v>
      </c>
      <c r="E2791" t="str">
        <f>"NEW ORLEANS               "</f>
        <v xml:space="preserve">NEW ORLEANS               </v>
      </c>
      <c r="F2791" t="str">
        <f t="shared" si="121"/>
        <v>LA</v>
      </c>
    </row>
    <row r="2792" spans="1:6" x14ac:dyDescent="0.25">
      <c r="A2792" t="str">
        <f>"001859367"</f>
        <v>001859367</v>
      </c>
      <c r="B2792" t="str">
        <f>"1568766749"</f>
        <v>1568766749</v>
      </c>
      <c r="C2792" t="str">
        <f>"208000000X"</f>
        <v>208000000X</v>
      </c>
      <c r="D2792" t="str">
        <f>"MARAYNES                 MEGAN        E           "</f>
        <v xml:space="preserve">MARAYNES                 MEGAN        E           </v>
      </c>
      <c r="E2792" t="str">
        <f>"METAIRIE                  "</f>
        <v xml:space="preserve">METAIRIE                  </v>
      </c>
      <c r="F2792" t="str">
        <f t="shared" si="121"/>
        <v>LA</v>
      </c>
    </row>
    <row r="2793" spans="1:6" x14ac:dyDescent="0.25">
      <c r="A2793" t="str">
        <f>"001870255"</f>
        <v>001870255</v>
      </c>
      <c r="B2793" t="str">
        <f>"1700058310"</f>
        <v>1700058310</v>
      </c>
      <c r="C2793" t="str">
        <f>"208000000X"</f>
        <v>208000000X</v>
      </c>
      <c r="D2793" t="str">
        <f>"CARLSON                  JOHN                     "</f>
        <v xml:space="preserve">CARLSON                  JOHN                     </v>
      </c>
      <c r="E2793" t="str">
        <f>"NEW ORLEANS               "</f>
        <v xml:space="preserve">NEW ORLEANS               </v>
      </c>
      <c r="F2793" t="str">
        <f t="shared" si="121"/>
        <v>LA</v>
      </c>
    </row>
    <row r="2794" spans="1:6" x14ac:dyDescent="0.25">
      <c r="A2794" t="str">
        <f>"001873263"</f>
        <v>001873263</v>
      </c>
      <c r="B2794" t="str">
        <f>"1861652570"</f>
        <v>1861652570</v>
      </c>
      <c r="C2794" t="str">
        <f>"207V00000X"</f>
        <v>207V00000X</v>
      </c>
      <c r="D2794" t="str">
        <f>"DESROSIERS               LAUREPHILE               "</f>
        <v xml:space="preserve">DESROSIERS               LAUREPHILE               </v>
      </c>
      <c r="E2794" t="str">
        <f>"NEW ORLEANS               "</f>
        <v xml:space="preserve">NEW ORLEANS               </v>
      </c>
      <c r="F2794" t="str">
        <f t="shared" si="121"/>
        <v>LA</v>
      </c>
    </row>
    <row r="2795" spans="1:6" x14ac:dyDescent="0.25">
      <c r="A2795" t="str">
        <f>"001873707"</f>
        <v>001873707</v>
      </c>
      <c r="B2795" t="str">
        <f>"1750791117"</f>
        <v>1750791117</v>
      </c>
      <c r="C2795" t="str">
        <f>"208000000X"</f>
        <v>208000000X</v>
      </c>
      <c r="D2795" t="str">
        <f>"JOHNSON FUSCO            IREAL                    "</f>
        <v xml:space="preserve">JOHNSON FUSCO            IREAL                    </v>
      </c>
      <c r="E2795" t="str">
        <f>"NEW ORLEANS               "</f>
        <v xml:space="preserve">NEW ORLEANS               </v>
      </c>
      <c r="F2795" t="str">
        <f t="shared" si="121"/>
        <v>LA</v>
      </c>
    </row>
    <row r="2796" spans="1:6" x14ac:dyDescent="0.25">
      <c r="A2796" t="str">
        <f>"001900083"</f>
        <v>001900083</v>
      </c>
      <c r="B2796" t="str">
        <f>"1568983468"</f>
        <v>1568983468</v>
      </c>
      <c r="C2796" t="str">
        <f>"363L00000X"</f>
        <v>363L00000X</v>
      </c>
      <c r="D2796" t="str">
        <f>"RAYES                    JILL         L           "</f>
        <v xml:space="preserve">RAYES                    JILL         L           </v>
      </c>
      <c r="E2796" t="str">
        <f>"SLIDELL                   "</f>
        <v xml:space="preserve">SLIDELL                   </v>
      </c>
      <c r="F2796" t="str">
        <f t="shared" si="121"/>
        <v>LA</v>
      </c>
    </row>
    <row r="2797" spans="1:6" x14ac:dyDescent="0.25">
      <c r="A2797" t="str">
        <f>"001902027"</f>
        <v>001902027</v>
      </c>
      <c r="B2797" t="str">
        <f>"1790342681"</f>
        <v>1790342681</v>
      </c>
      <c r="C2797" t="str">
        <f>"363A00000X"</f>
        <v>363A00000X</v>
      </c>
      <c r="D2797" t="str">
        <f>"MILLS                    JACQUELINE   M           "</f>
        <v xml:space="preserve">MILLS                    JACQUELINE   M           </v>
      </c>
      <c r="E2797" t="str">
        <f t="shared" ref="E2797:E2820" si="123">"NEW ORLEANS               "</f>
        <v xml:space="preserve">NEW ORLEANS               </v>
      </c>
      <c r="F2797" t="str">
        <f t="shared" si="121"/>
        <v>LA</v>
      </c>
    </row>
    <row r="2798" spans="1:6" x14ac:dyDescent="0.25">
      <c r="A2798" t="str">
        <f>"001923340"</f>
        <v>001923340</v>
      </c>
      <c r="B2798" t="str">
        <f>"1154739522"</f>
        <v>1154739522</v>
      </c>
      <c r="C2798" t="str">
        <f>"367500000X"</f>
        <v>367500000X</v>
      </c>
      <c r="D2798" t="str">
        <f>"HARRIS                   CATHERINE    H           "</f>
        <v xml:space="preserve">HARRIS                   CATHERINE    H           </v>
      </c>
      <c r="E2798" t="str">
        <f t="shared" si="123"/>
        <v xml:space="preserve">NEW ORLEANS               </v>
      </c>
      <c r="F2798" t="str">
        <f t="shared" si="121"/>
        <v>LA</v>
      </c>
    </row>
    <row r="2799" spans="1:6" x14ac:dyDescent="0.25">
      <c r="A2799" t="str">
        <f>"001933089"</f>
        <v>001933089</v>
      </c>
      <c r="B2799" t="str">
        <f>"1104019645"</f>
        <v>1104019645</v>
      </c>
      <c r="C2799" t="str">
        <f>"207W00000X"</f>
        <v>207W00000X</v>
      </c>
      <c r="D2799" t="str">
        <f>"LEON                     ALEJANDRO                "</f>
        <v xml:space="preserve">LEON                     ALEJANDRO                </v>
      </c>
      <c r="E2799" t="str">
        <f t="shared" si="123"/>
        <v xml:space="preserve">NEW ORLEANS               </v>
      </c>
      <c r="F2799" t="str">
        <f t="shared" si="121"/>
        <v>LA</v>
      </c>
    </row>
    <row r="2800" spans="1:6" x14ac:dyDescent="0.25">
      <c r="A2800" t="str">
        <f>"001956758"</f>
        <v>001956758</v>
      </c>
      <c r="B2800" t="str">
        <f>"1851581763"</f>
        <v>1851581763</v>
      </c>
      <c r="C2800" t="str">
        <f>"208600000X"</f>
        <v>208600000X</v>
      </c>
      <c r="D2800" t="str">
        <f>"BROWN                    RUSSELL      E           "</f>
        <v xml:space="preserve">BROWN                    RUSSELL      E           </v>
      </c>
      <c r="E2800" t="str">
        <f t="shared" si="123"/>
        <v xml:space="preserve">NEW ORLEANS               </v>
      </c>
      <c r="F2800" t="str">
        <f t="shared" si="121"/>
        <v>LA</v>
      </c>
    </row>
    <row r="2801" spans="1:6" x14ac:dyDescent="0.25">
      <c r="A2801" t="str">
        <f>"001982096"</f>
        <v>001982096</v>
      </c>
      <c r="B2801" t="str">
        <f>"1184060618"</f>
        <v>1184060618</v>
      </c>
      <c r="C2801" t="str">
        <f>"207R00000X"</f>
        <v>207R00000X</v>
      </c>
      <c r="D2801" t="str">
        <f>"MARKWELL                 POPPY                    "</f>
        <v xml:space="preserve">MARKWELL                 POPPY                    </v>
      </c>
      <c r="E2801" t="str">
        <f t="shared" si="123"/>
        <v xml:space="preserve">NEW ORLEANS               </v>
      </c>
      <c r="F2801" t="str">
        <f t="shared" si="121"/>
        <v>LA</v>
      </c>
    </row>
    <row r="2802" spans="1:6" x14ac:dyDescent="0.25">
      <c r="A2802" t="str">
        <f>"001982223"</f>
        <v>001982223</v>
      </c>
      <c r="B2802" t="str">
        <f>"1215569058"</f>
        <v>1215569058</v>
      </c>
      <c r="C2802" t="str">
        <f>"367500000X"</f>
        <v>367500000X</v>
      </c>
      <c r="D2802" t="str">
        <f>"BIELSTEIN                LANE         H           "</f>
        <v xml:space="preserve">BIELSTEIN                LANE         H           </v>
      </c>
      <c r="E2802" t="str">
        <f t="shared" si="123"/>
        <v xml:space="preserve">NEW ORLEANS               </v>
      </c>
      <c r="F2802" t="str">
        <f t="shared" si="121"/>
        <v>LA</v>
      </c>
    </row>
    <row r="2803" spans="1:6" x14ac:dyDescent="0.25">
      <c r="A2803" t="str">
        <f>"001988200"</f>
        <v>001988200</v>
      </c>
      <c r="B2803" t="str">
        <f>"1508049438"</f>
        <v>1508049438</v>
      </c>
      <c r="C2803" t="str">
        <f>"207ZP0105X"</f>
        <v>207ZP0105X</v>
      </c>
      <c r="D2803" t="str">
        <f>"VINCENT                  BETHANEY     J           "</f>
        <v xml:space="preserve">VINCENT                  BETHANEY     J           </v>
      </c>
      <c r="E2803" t="str">
        <f t="shared" si="123"/>
        <v xml:space="preserve">NEW ORLEANS               </v>
      </c>
      <c r="F2803" t="str">
        <f t="shared" si="121"/>
        <v>LA</v>
      </c>
    </row>
    <row r="2804" spans="1:6" x14ac:dyDescent="0.25">
      <c r="A2804" t="str">
        <f>"002004382"</f>
        <v>002004382</v>
      </c>
      <c r="B2804" t="str">
        <f>"1346508256"</f>
        <v>1346508256</v>
      </c>
      <c r="C2804" t="str">
        <f>"207R00000X"</f>
        <v>207R00000X</v>
      </c>
      <c r="D2804" t="str">
        <f>"SPERA                    MELISSA      A           "</f>
        <v xml:space="preserve">SPERA                    MELISSA      A           </v>
      </c>
      <c r="E2804" t="str">
        <f t="shared" si="123"/>
        <v xml:space="preserve">NEW ORLEANS               </v>
      </c>
      <c r="F2804" t="str">
        <f t="shared" si="121"/>
        <v>LA</v>
      </c>
    </row>
    <row r="2805" spans="1:6" x14ac:dyDescent="0.25">
      <c r="A2805" t="str">
        <f>"002006274"</f>
        <v>002006274</v>
      </c>
      <c r="B2805" t="str">
        <f>"1689939332"</f>
        <v>1689939332</v>
      </c>
      <c r="C2805" t="str">
        <f>"363L00000X"</f>
        <v>363L00000X</v>
      </c>
      <c r="D2805" t="str">
        <f>"WHITE                    JANET        L           "</f>
        <v xml:space="preserve">WHITE                    JANET        L           </v>
      </c>
      <c r="E2805" t="str">
        <f t="shared" si="123"/>
        <v xml:space="preserve">NEW ORLEANS               </v>
      </c>
      <c r="F2805" t="str">
        <f t="shared" si="121"/>
        <v>LA</v>
      </c>
    </row>
    <row r="2806" spans="1:6" x14ac:dyDescent="0.25">
      <c r="A2806" t="str">
        <f>"002009391"</f>
        <v>002009391</v>
      </c>
      <c r="B2806" t="str">
        <f>"1598081879"</f>
        <v>1598081879</v>
      </c>
      <c r="C2806" t="str">
        <f>"2084P0800X"</f>
        <v>2084P0800X</v>
      </c>
      <c r="D2806" t="str">
        <f>"CREEDON                  JENNIFER     C           "</f>
        <v xml:space="preserve">CREEDON                  JENNIFER     C           </v>
      </c>
      <c r="E2806" t="str">
        <f t="shared" si="123"/>
        <v xml:space="preserve">NEW ORLEANS               </v>
      </c>
      <c r="F2806" t="str">
        <f t="shared" si="121"/>
        <v>LA</v>
      </c>
    </row>
    <row r="2807" spans="1:6" x14ac:dyDescent="0.25">
      <c r="A2807" t="str">
        <f>"002031015"</f>
        <v>002031015</v>
      </c>
      <c r="B2807" t="str">
        <f>"1336246107"</f>
        <v>1336246107</v>
      </c>
      <c r="C2807" t="str">
        <f>"2084N0400X"</f>
        <v>2084N0400X</v>
      </c>
      <c r="D2807" t="str">
        <f>"LOVERA                   JESUS        F           "</f>
        <v xml:space="preserve">LOVERA                   JESUS        F           </v>
      </c>
      <c r="E2807" t="str">
        <f t="shared" si="123"/>
        <v xml:space="preserve">NEW ORLEANS               </v>
      </c>
      <c r="F2807" t="str">
        <f t="shared" si="121"/>
        <v>LA</v>
      </c>
    </row>
    <row r="2808" spans="1:6" x14ac:dyDescent="0.25">
      <c r="A2808" t="str">
        <f>"002058555"</f>
        <v>002058555</v>
      </c>
      <c r="B2808" t="str">
        <f>"1922451947"</f>
        <v>1922451947</v>
      </c>
      <c r="C2808" t="str">
        <f>"363L00000X"</f>
        <v>363L00000X</v>
      </c>
      <c r="D2808" t="str">
        <f>"GUTIERREZ                AMANDA       B           "</f>
        <v xml:space="preserve">GUTIERREZ                AMANDA       B           </v>
      </c>
      <c r="E2808" t="str">
        <f t="shared" si="123"/>
        <v xml:space="preserve">NEW ORLEANS               </v>
      </c>
      <c r="F2808" t="str">
        <f t="shared" si="121"/>
        <v>LA</v>
      </c>
    </row>
    <row r="2809" spans="1:6" x14ac:dyDescent="0.25">
      <c r="A2809" t="str">
        <f>"002083356"</f>
        <v>002083356</v>
      </c>
      <c r="B2809" t="str">
        <f>"1962675967"</f>
        <v>1962675967</v>
      </c>
      <c r="C2809" t="str">
        <f>"207RN0300X"</f>
        <v>207RN0300X</v>
      </c>
      <c r="D2809" t="str">
        <f>"LUKITSCH                 IVO                      "</f>
        <v xml:space="preserve">LUKITSCH                 IVO                      </v>
      </c>
      <c r="E2809" t="str">
        <f t="shared" si="123"/>
        <v xml:space="preserve">NEW ORLEANS               </v>
      </c>
      <c r="F2809" t="str">
        <f t="shared" si="121"/>
        <v>LA</v>
      </c>
    </row>
    <row r="2810" spans="1:6" x14ac:dyDescent="0.25">
      <c r="A2810" t="str">
        <f>"002083564"</f>
        <v>002083564</v>
      </c>
      <c r="B2810" t="str">
        <f>"1194952119"</f>
        <v>1194952119</v>
      </c>
      <c r="C2810" t="str">
        <f>"207R00000X"</f>
        <v>207R00000X</v>
      </c>
      <c r="D2810" t="str">
        <f>"FARES                    CHARITRAHEEN A           "</f>
        <v xml:space="preserve">FARES                    CHARITRAHEEN A           </v>
      </c>
      <c r="E2810" t="str">
        <f t="shared" si="123"/>
        <v xml:space="preserve">NEW ORLEANS               </v>
      </c>
      <c r="F2810" t="str">
        <f t="shared" si="121"/>
        <v>LA</v>
      </c>
    </row>
    <row r="2811" spans="1:6" x14ac:dyDescent="0.25">
      <c r="A2811" t="str">
        <f>"002100758"</f>
        <v>002100758</v>
      </c>
      <c r="B2811" t="str">
        <f>"1982071353"</f>
        <v>1982071353</v>
      </c>
      <c r="C2811" t="str">
        <f>"363L00000X"</f>
        <v>363L00000X</v>
      </c>
      <c r="D2811" t="str">
        <f>"BURKE                    AMANDA       L           "</f>
        <v xml:space="preserve">BURKE                    AMANDA       L           </v>
      </c>
      <c r="E2811" t="str">
        <f t="shared" si="123"/>
        <v xml:space="preserve">NEW ORLEANS               </v>
      </c>
      <c r="F2811" t="str">
        <f t="shared" si="121"/>
        <v>LA</v>
      </c>
    </row>
    <row r="2812" spans="1:6" x14ac:dyDescent="0.25">
      <c r="A2812" t="str">
        <f>"002105864"</f>
        <v>002105864</v>
      </c>
      <c r="B2812" t="str">
        <f>"1497862841"</f>
        <v>1497862841</v>
      </c>
      <c r="C2812" t="str">
        <f>"363L00000X"</f>
        <v>363L00000X</v>
      </c>
      <c r="D2812" t="str">
        <f>"KNOOP                    COLLEEN      D           "</f>
        <v xml:space="preserve">KNOOP                    COLLEEN      D           </v>
      </c>
      <c r="E2812" t="str">
        <f t="shared" si="123"/>
        <v xml:space="preserve">NEW ORLEANS               </v>
      </c>
      <c r="F2812" t="str">
        <f t="shared" si="121"/>
        <v>LA</v>
      </c>
    </row>
    <row r="2813" spans="1:6" x14ac:dyDescent="0.25">
      <c r="A2813" t="str">
        <f>"002107814"</f>
        <v>002107814</v>
      </c>
      <c r="B2813" t="str">
        <f>"1437693751"</f>
        <v>1437693751</v>
      </c>
      <c r="C2813" t="str">
        <f>"363L00000X"</f>
        <v>363L00000X</v>
      </c>
      <c r="D2813" t="str">
        <f>"STINSON                  KORTNEY      K           "</f>
        <v xml:space="preserve">STINSON                  KORTNEY      K           </v>
      </c>
      <c r="E2813" t="str">
        <f t="shared" si="123"/>
        <v xml:space="preserve">NEW ORLEANS               </v>
      </c>
      <c r="F2813" t="str">
        <f t="shared" si="121"/>
        <v>LA</v>
      </c>
    </row>
    <row r="2814" spans="1:6" x14ac:dyDescent="0.25">
      <c r="A2814" t="str">
        <f>"002121834"</f>
        <v>002121834</v>
      </c>
      <c r="B2814" t="str">
        <f>"1972920866"</f>
        <v>1972920866</v>
      </c>
      <c r="C2814" t="str">
        <f>"207R00000X"</f>
        <v>207R00000X</v>
      </c>
      <c r="D2814" t="str">
        <f>"KAHN                     HEATHER      P           "</f>
        <v xml:space="preserve">KAHN                     HEATHER      P           </v>
      </c>
      <c r="E2814" t="str">
        <f t="shared" si="123"/>
        <v xml:space="preserve">NEW ORLEANS               </v>
      </c>
      <c r="F2814" t="str">
        <f t="shared" si="121"/>
        <v>LA</v>
      </c>
    </row>
    <row r="2815" spans="1:6" x14ac:dyDescent="0.25">
      <c r="A2815" t="str">
        <f>"002157571"</f>
        <v>002157571</v>
      </c>
      <c r="B2815" t="str">
        <f>"1912273244"</f>
        <v>1912273244</v>
      </c>
      <c r="C2815" t="str">
        <f>"208000000X"</f>
        <v>208000000X</v>
      </c>
      <c r="D2815" t="str">
        <f>"BLUETT-MILLS             GABRIELLA    M           "</f>
        <v xml:space="preserve">BLUETT-MILLS             GABRIELLA    M           </v>
      </c>
      <c r="E2815" t="str">
        <f t="shared" si="123"/>
        <v xml:space="preserve">NEW ORLEANS               </v>
      </c>
      <c r="F2815" t="str">
        <f t="shared" si="121"/>
        <v>LA</v>
      </c>
    </row>
    <row r="2816" spans="1:6" x14ac:dyDescent="0.25">
      <c r="A2816" t="str">
        <f>"002174700"</f>
        <v>002174700</v>
      </c>
      <c r="B2816" t="str">
        <f>"1518996842"</f>
        <v>1518996842</v>
      </c>
      <c r="C2816" t="str">
        <f>"2085R0202X"</f>
        <v>2085R0202X</v>
      </c>
      <c r="D2816" t="str">
        <f>"CLAYTON                  M JANE                   "</f>
        <v xml:space="preserve">CLAYTON                  M JANE                   </v>
      </c>
      <c r="E2816" t="str">
        <f t="shared" si="123"/>
        <v xml:space="preserve">NEW ORLEANS               </v>
      </c>
      <c r="F2816" t="str">
        <f t="shared" si="121"/>
        <v>LA</v>
      </c>
    </row>
    <row r="2817" spans="1:6" x14ac:dyDescent="0.25">
      <c r="A2817" t="str">
        <f>"002178390"</f>
        <v>002178390</v>
      </c>
      <c r="B2817" t="str">
        <f>"1902065758"</f>
        <v>1902065758</v>
      </c>
      <c r="C2817" t="str">
        <f>"207T00000X"</f>
        <v>207T00000X</v>
      </c>
      <c r="D2817" t="str">
        <f>"BIRO                     ERIN         E           "</f>
        <v xml:space="preserve">BIRO                     ERIN         E           </v>
      </c>
      <c r="E2817" t="str">
        <f t="shared" si="123"/>
        <v xml:space="preserve">NEW ORLEANS               </v>
      </c>
      <c r="F2817" t="str">
        <f t="shared" si="121"/>
        <v>LA</v>
      </c>
    </row>
    <row r="2818" spans="1:6" x14ac:dyDescent="0.25">
      <c r="A2818" t="str">
        <f>"002178519"</f>
        <v>002178519</v>
      </c>
      <c r="B2818" t="str">
        <f>"1710253620"</f>
        <v>1710253620</v>
      </c>
      <c r="C2818" t="str">
        <f>"207V00000X"</f>
        <v>207V00000X</v>
      </c>
      <c r="D2818" t="str">
        <f>"THOMAS                   AMANDA       N           "</f>
        <v xml:space="preserve">THOMAS                   AMANDA       N           </v>
      </c>
      <c r="E2818" t="str">
        <f t="shared" si="123"/>
        <v xml:space="preserve">NEW ORLEANS               </v>
      </c>
      <c r="F2818" t="str">
        <f t="shared" si="121"/>
        <v>LA</v>
      </c>
    </row>
    <row r="2819" spans="1:6" x14ac:dyDescent="0.25">
      <c r="A2819" t="str">
        <f>"002180839"</f>
        <v>002180839</v>
      </c>
      <c r="B2819" t="str">
        <f>"1407801517"</f>
        <v>1407801517</v>
      </c>
      <c r="C2819" t="str">
        <f>"207W00000X"</f>
        <v>207W00000X</v>
      </c>
      <c r="D2819" t="str">
        <f>"NUSSDORF                 JONATHAN     D           "</f>
        <v xml:space="preserve">NUSSDORF                 JONATHAN     D           </v>
      </c>
      <c r="E2819" t="str">
        <f t="shared" si="123"/>
        <v xml:space="preserve">NEW ORLEANS               </v>
      </c>
      <c r="F2819" t="str">
        <f t="shared" si="121"/>
        <v>LA</v>
      </c>
    </row>
    <row r="2820" spans="1:6" x14ac:dyDescent="0.25">
      <c r="A2820" t="str">
        <f>"002185597"</f>
        <v>002185597</v>
      </c>
      <c r="B2820" t="str">
        <f>"1134581556"</f>
        <v>1134581556</v>
      </c>
      <c r="C2820" t="str">
        <f>"2084P0800X"</f>
        <v>2084P0800X</v>
      </c>
      <c r="D2820" t="str">
        <f>"SHALBY                   RAMZI        A           "</f>
        <v xml:space="preserve">SHALBY                   RAMZI        A           </v>
      </c>
      <c r="E2820" t="str">
        <f t="shared" si="123"/>
        <v xml:space="preserve">NEW ORLEANS               </v>
      </c>
      <c r="F2820" t="str">
        <f t="shared" si="121"/>
        <v>LA</v>
      </c>
    </row>
    <row r="2821" spans="1:6" x14ac:dyDescent="0.25">
      <c r="A2821" t="str">
        <f>"002186309"</f>
        <v>002186309</v>
      </c>
      <c r="B2821" t="str">
        <f>"1053925487"</f>
        <v>1053925487</v>
      </c>
      <c r="C2821" t="str">
        <f>"363L00000X"</f>
        <v>363L00000X</v>
      </c>
      <c r="D2821" t="str">
        <f>"DURACHER JR              AARON        D           "</f>
        <v xml:space="preserve">DURACHER JR              AARON        D           </v>
      </c>
      <c r="E2821" t="str">
        <f>"SLIDELL                   "</f>
        <v xml:space="preserve">SLIDELL                   </v>
      </c>
      <c r="F2821" t="str">
        <f t="shared" si="121"/>
        <v>LA</v>
      </c>
    </row>
    <row r="2822" spans="1:6" x14ac:dyDescent="0.25">
      <c r="A2822" t="str">
        <f>"002220098"</f>
        <v>002220098</v>
      </c>
      <c r="B2822" t="str">
        <f>"1154318970"</f>
        <v>1154318970</v>
      </c>
      <c r="C2822" t="str">
        <f>"208000000X"</f>
        <v>208000000X</v>
      </c>
      <c r="D2822" t="str">
        <f>"STARR                    BARRY        M           "</f>
        <v xml:space="preserve">STARR                    BARRY        M           </v>
      </c>
      <c r="E2822" t="str">
        <f>"NEW ORLEANS               "</f>
        <v xml:space="preserve">NEW ORLEANS               </v>
      </c>
      <c r="F2822" t="str">
        <f t="shared" si="121"/>
        <v>LA</v>
      </c>
    </row>
    <row r="2823" spans="1:6" x14ac:dyDescent="0.25">
      <c r="A2823" t="str">
        <f>"002238358"</f>
        <v>002238358</v>
      </c>
      <c r="B2823" t="str">
        <f>"1205121910"</f>
        <v>1205121910</v>
      </c>
      <c r="C2823" t="str">
        <f>"207L00000X"</f>
        <v>207L00000X</v>
      </c>
      <c r="D2823" t="str">
        <f>"MCLENDON                 RONEISHA     A           "</f>
        <v xml:space="preserve">MCLENDON                 RONEISHA     A           </v>
      </c>
      <c r="E2823" t="str">
        <f>"TERRYTOWN                 "</f>
        <v xml:space="preserve">TERRYTOWN                 </v>
      </c>
      <c r="F2823" t="str">
        <f t="shared" si="121"/>
        <v>LA</v>
      </c>
    </row>
    <row r="2824" spans="1:6" x14ac:dyDescent="0.25">
      <c r="A2824" t="str">
        <f>"002254319"</f>
        <v>002254319</v>
      </c>
      <c r="B2824" t="str">
        <f>"1497164222"</f>
        <v>1497164222</v>
      </c>
      <c r="C2824" t="str">
        <f>"207R00000X"</f>
        <v>207R00000X</v>
      </c>
      <c r="D2824" t="str">
        <f>"DIAZ NARVAEZ             ERIKA        L           "</f>
        <v xml:space="preserve">DIAZ NARVAEZ             ERIKA        L           </v>
      </c>
      <c r="E2824" t="str">
        <f>"NEW ORLEANS               "</f>
        <v xml:space="preserve">NEW ORLEANS               </v>
      </c>
      <c r="F2824" t="str">
        <f t="shared" si="121"/>
        <v>LA</v>
      </c>
    </row>
    <row r="2825" spans="1:6" x14ac:dyDescent="0.25">
      <c r="A2825" t="str">
        <f>"002255742"</f>
        <v>002255742</v>
      </c>
      <c r="B2825" t="str">
        <f>"1780028613"</f>
        <v>1780028613</v>
      </c>
      <c r="C2825" t="str">
        <f>"2084P0804X"</f>
        <v>2084P0804X</v>
      </c>
      <c r="D2825" t="str">
        <f>"SCOTT                    HANNAH       K           "</f>
        <v xml:space="preserve">SCOTT                    HANNAH       K           </v>
      </c>
      <c r="E2825" t="str">
        <f>"NEW ORLEANS               "</f>
        <v xml:space="preserve">NEW ORLEANS               </v>
      </c>
      <c r="F2825" t="str">
        <f t="shared" si="121"/>
        <v>LA</v>
      </c>
    </row>
    <row r="2826" spans="1:6" x14ac:dyDescent="0.25">
      <c r="A2826" t="str">
        <f>"002278707"</f>
        <v>002278707</v>
      </c>
      <c r="B2826" t="str">
        <f>"1801204680"</f>
        <v>1801204680</v>
      </c>
      <c r="C2826" t="str">
        <f>"363L00000X"</f>
        <v>363L00000X</v>
      </c>
      <c r="D2826" t="str">
        <f>"OBRIEN                   MICHELLE                 "</f>
        <v xml:space="preserve">OBRIEN                   MICHELLE                 </v>
      </c>
      <c r="E2826" t="str">
        <f>"NEW ORLEANS               "</f>
        <v xml:space="preserve">NEW ORLEANS               </v>
      </c>
      <c r="F2826" t="str">
        <f t="shared" si="121"/>
        <v>LA</v>
      </c>
    </row>
    <row r="2827" spans="1:6" x14ac:dyDescent="0.25">
      <c r="A2827" t="str">
        <f>"002279234"</f>
        <v>002279234</v>
      </c>
      <c r="B2827" t="str">
        <f>"1518912864"</f>
        <v>1518912864</v>
      </c>
      <c r="C2827" t="str">
        <f>"208000000X"</f>
        <v>208000000X</v>
      </c>
      <c r="D2827" t="str">
        <f>"MCDAVID                  ANTHONY      E           "</f>
        <v xml:space="preserve">MCDAVID                  ANTHONY      E           </v>
      </c>
      <c r="E2827" t="str">
        <f>"COVINGTON                 "</f>
        <v xml:space="preserve">COVINGTON                 </v>
      </c>
      <c r="F2827" t="str">
        <f t="shared" si="121"/>
        <v>LA</v>
      </c>
    </row>
    <row r="2828" spans="1:6" x14ac:dyDescent="0.25">
      <c r="A2828" t="str">
        <f>"002283715"</f>
        <v>002283715</v>
      </c>
      <c r="B2828" t="str">
        <f>"1245231612"</f>
        <v>1245231612</v>
      </c>
      <c r="C2828" t="str">
        <f>"2086S0122X"</f>
        <v>2086S0122X</v>
      </c>
      <c r="D2828" t="str">
        <f>"BORASKI                  JONATHAN     C           "</f>
        <v xml:space="preserve">BORASKI                  JONATHAN     C           </v>
      </c>
      <c r="E2828" t="str">
        <f>"GRETNA                    "</f>
        <v xml:space="preserve">GRETNA                    </v>
      </c>
      <c r="F2828" t="str">
        <f t="shared" si="121"/>
        <v>LA</v>
      </c>
    </row>
    <row r="2829" spans="1:6" x14ac:dyDescent="0.25">
      <c r="A2829" t="str">
        <f>"002303209"</f>
        <v>002303209</v>
      </c>
      <c r="B2829" t="str">
        <f>"1679573760"</f>
        <v>1679573760</v>
      </c>
      <c r="C2829" t="str">
        <f>"207RC0000X"</f>
        <v>207RC0000X</v>
      </c>
      <c r="D2829" t="str">
        <f>"NGUYEN                   THANH        M           "</f>
        <v xml:space="preserve">NGUYEN                   THANH        M           </v>
      </c>
      <c r="E2829" t="str">
        <f t="shared" ref="E2829:E2838" si="124">"NEW ORLEANS               "</f>
        <v xml:space="preserve">NEW ORLEANS               </v>
      </c>
      <c r="F2829" t="str">
        <f t="shared" si="121"/>
        <v>LA</v>
      </c>
    </row>
    <row r="2830" spans="1:6" x14ac:dyDescent="0.25">
      <c r="A2830" t="str">
        <f>"002304273"</f>
        <v>002304273</v>
      </c>
      <c r="B2830" t="str">
        <f>"1740302710"</f>
        <v>1740302710</v>
      </c>
      <c r="C2830" t="str">
        <f>"207RG0100X"</f>
        <v>207RG0100X</v>
      </c>
      <c r="D2830" t="str">
        <f>"SHAH                     SHAMITA      B           "</f>
        <v xml:space="preserve">SHAH                     SHAMITA      B           </v>
      </c>
      <c r="E2830" t="str">
        <f t="shared" si="124"/>
        <v xml:space="preserve">NEW ORLEANS               </v>
      </c>
      <c r="F2830" t="str">
        <f t="shared" si="121"/>
        <v>LA</v>
      </c>
    </row>
    <row r="2831" spans="1:6" x14ac:dyDescent="0.25">
      <c r="A2831" t="str">
        <f>"002308357"</f>
        <v>002308357</v>
      </c>
      <c r="B2831" t="str">
        <f>"1043573207"</f>
        <v>1043573207</v>
      </c>
      <c r="C2831" t="str">
        <f>"207P00000X"</f>
        <v>207P00000X</v>
      </c>
      <c r="D2831" t="str">
        <f>"THAMES JR                SCOTT        F           "</f>
        <v xml:space="preserve">THAMES JR                SCOTT        F           </v>
      </c>
      <c r="E2831" t="str">
        <f t="shared" si="124"/>
        <v xml:space="preserve">NEW ORLEANS               </v>
      </c>
      <c r="F2831" t="str">
        <f t="shared" si="121"/>
        <v>LA</v>
      </c>
    </row>
    <row r="2832" spans="1:6" x14ac:dyDescent="0.25">
      <c r="A2832" t="str">
        <f>"002323593"</f>
        <v>002323593</v>
      </c>
      <c r="B2832" t="str">
        <f>"1629273867"</f>
        <v>1629273867</v>
      </c>
      <c r="C2832" t="str">
        <f>"207X00000X"</f>
        <v>207X00000X</v>
      </c>
      <c r="D2832" t="str">
        <f>"RIVERA                   JESSICA      C           "</f>
        <v xml:space="preserve">RIVERA                   JESSICA      C           </v>
      </c>
      <c r="E2832" t="str">
        <f t="shared" si="124"/>
        <v xml:space="preserve">NEW ORLEANS               </v>
      </c>
      <c r="F2832" t="str">
        <f t="shared" si="121"/>
        <v>LA</v>
      </c>
    </row>
    <row r="2833" spans="1:6" x14ac:dyDescent="0.25">
      <c r="A2833" t="str">
        <f>"002333094"</f>
        <v>002333094</v>
      </c>
      <c r="B2833" t="str">
        <f>"1760717391"</f>
        <v>1760717391</v>
      </c>
      <c r="C2833" t="str">
        <f>"367500000X"</f>
        <v>367500000X</v>
      </c>
      <c r="D2833" t="str">
        <f>"NOSACKA                  NINA                     "</f>
        <v xml:space="preserve">NOSACKA                  NINA                     </v>
      </c>
      <c r="E2833" t="str">
        <f t="shared" si="124"/>
        <v xml:space="preserve">NEW ORLEANS               </v>
      </c>
      <c r="F2833" t="str">
        <f t="shared" si="121"/>
        <v>LA</v>
      </c>
    </row>
    <row r="2834" spans="1:6" x14ac:dyDescent="0.25">
      <c r="A2834" t="str">
        <f>"002338060"</f>
        <v>002338060</v>
      </c>
      <c r="B2834" t="str">
        <f>"1376510198"</f>
        <v>1376510198</v>
      </c>
      <c r="C2834" t="str">
        <f>"207P00000X"</f>
        <v>207P00000X</v>
      </c>
      <c r="D2834" t="str">
        <f>"MORSE III                GRANVILLE    A           "</f>
        <v xml:space="preserve">MORSE III                GRANVILLE    A           </v>
      </c>
      <c r="E2834" t="str">
        <f t="shared" si="124"/>
        <v xml:space="preserve">NEW ORLEANS               </v>
      </c>
      <c r="F2834" t="str">
        <f t="shared" si="121"/>
        <v>LA</v>
      </c>
    </row>
    <row r="2835" spans="1:6" x14ac:dyDescent="0.25">
      <c r="A2835" t="str">
        <f>"002338538"</f>
        <v>002338538</v>
      </c>
      <c r="B2835" t="str">
        <f>"1689622797"</f>
        <v>1689622797</v>
      </c>
      <c r="C2835" t="str">
        <f>"207L00000X"</f>
        <v>207L00000X</v>
      </c>
      <c r="D2835" t="str">
        <f>"GANIER                   DONALD       R           "</f>
        <v xml:space="preserve">GANIER                   DONALD       R           </v>
      </c>
      <c r="E2835" t="str">
        <f t="shared" si="124"/>
        <v xml:space="preserve">NEW ORLEANS               </v>
      </c>
      <c r="F2835" t="str">
        <f t="shared" si="121"/>
        <v>LA</v>
      </c>
    </row>
    <row r="2836" spans="1:6" x14ac:dyDescent="0.25">
      <c r="A2836" t="str">
        <f>"002338737"</f>
        <v>002338737</v>
      </c>
      <c r="B2836" t="str">
        <f>"1548589534"</f>
        <v>1548589534</v>
      </c>
      <c r="C2836" t="str">
        <f>"207L00000X"</f>
        <v>207L00000X</v>
      </c>
      <c r="D2836" t="str">
        <f>"MARTEL                   COLLEEN      G           "</f>
        <v xml:space="preserve">MARTEL                   COLLEEN      G           </v>
      </c>
      <c r="E2836" t="str">
        <f t="shared" si="124"/>
        <v xml:space="preserve">NEW ORLEANS               </v>
      </c>
      <c r="F2836" t="str">
        <f t="shared" si="121"/>
        <v>LA</v>
      </c>
    </row>
    <row r="2837" spans="1:6" x14ac:dyDescent="0.25">
      <c r="A2837" t="str">
        <f>"002353387"</f>
        <v>002353387</v>
      </c>
      <c r="B2837" t="str">
        <f>"1760010755"</f>
        <v>1760010755</v>
      </c>
      <c r="C2837" t="str">
        <f>"363L00000X"</f>
        <v>363L00000X</v>
      </c>
      <c r="D2837" t="str">
        <f>"WALKER                   ABBY         G           "</f>
        <v xml:space="preserve">WALKER                   ABBY         G           </v>
      </c>
      <c r="E2837" t="str">
        <f t="shared" si="124"/>
        <v xml:space="preserve">NEW ORLEANS               </v>
      </c>
      <c r="F2837" t="str">
        <f t="shared" si="121"/>
        <v>LA</v>
      </c>
    </row>
    <row r="2838" spans="1:6" x14ac:dyDescent="0.25">
      <c r="A2838" t="str">
        <f>"002353393"</f>
        <v>002353393</v>
      </c>
      <c r="B2838" t="str">
        <f>"1619363652"</f>
        <v>1619363652</v>
      </c>
      <c r="C2838" t="str">
        <f>"207RP1001X"</f>
        <v>207RP1001X</v>
      </c>
      <c r="D2838" t="str">
        <f>"OLTMANN                  ERIK         M           "</f>
        <v xml:space="preserve">OLTMANN                  ERIK         M           </v>
      </c>
      <c r="E2838" t="str">
        <f t="shared" si="124"/>
        <v xml:space="preserve">NEW ORLEANS               </v>
      </c>
      <c r="F2838" t="str">
        <f t="shared" si="121"/>
        <v>LA</v>
      </c>
    </row>
    <row r="2839" spans="1:6" x14ac:dyDescent="0.25">
      <c r="A2839" t="str">
        <f>"002355851"</f>
        <v>002355851</v>
      </c>
      <c r="B2839" t="str">
        <f>"1194232330"</f>
        <v>1194232330</v>
      </c>
      <c r="C2839" t="str">
        <f>"363L00000X"</f>
        <v>363L00000X</v>
      </c>
      <c r="D2839" t="str">
        <f>"FAUCHEUX                 AUNJEL       M           "</f>
        <v xml:space="preserve">FAUCHEUX                 AUNJEL       M           </v>
      </c>
      <c r="E2839" t="str">
        <f>"SLIDELL                   "</f>
        <v xml:space="preserve">SLIDELL                   </v>
      </c>
      <c r="F2839" t="str">
        <f t="shared" si="121"/>
        <v>LA</v>
      </c>
    </row>
    <row r="2840" spans="1:6" x14ac:dyDescent="0.25">
      <c r="A2840" t="str">
        <f>"002372812"</f>
        <v>002372812</v>
      </c>
      <c r="B2840" t="str">
        <f>"1841634177"</f>
        <v>1841634177</v>
      </c>
      <c r="C2840" t="str">
        <f>"208000000X"</f>
        <v>208000000X</v>
      </c>
      <c r="D2840" t="str">
        <f>"BASHKIHARATEE            CURTIS       P           "</f>
        <v xml:space="preserve">BASHKIHARATEE            CURTIS       P           </v>
      </c>
      <c r="E2840" t="str">
        <f>"NEW ORLEANS               "</f>
        <v xml:space="preserve">NEW ORLEANS               </v>
      </c>
      <c r="F2840" t="str">
        <f t="shared" si="121"/>
        <v>LA</v>
      </c>
    </row>
    <row r="2841" spans="1:6" x14ac:dyDescent="0.25">
      <c r="A2841" t="str">
        <f>"002374567"</f>
        <v>002374567</v>
      </c>
      <c r="B2841" t="str">
        <f>"1760836746"</f>
        <v>1760836746</v>
      </c>
      <c r="C2841" t="str">
        <f>"2084P0800X"</f>
        <v>2084P0800X</v>
      </c>
      <c r="D2841" t="str">
        <f>"WATSON                   BRENNEN      S           "</f>
        <v xml:space="preserve">WATSON                   BRENNEN      S           </v>
      </c>
      <c r="E2841" t="str">
        <f>"LA PLACE                  "</f>
        <v xml:space="preserve">LA PLACE                  </v>
      </c>
      <c r="F2841" t="str">
        <f t="shared" si="121"/>
        <v>LA</v>
      </c>
    </row>
    <row r="2842" spans="1:6" x14ac:dyDescent="0.25">
      <c r="A2842" t="str">
        <f>"002375752"</f>
        <v>002375752</v>
      </c>
      <c r="B2842" t="str">
        <f>"1093754939"</f>
        <v>1093754939</v>
      </c>
      <c r="C2842" t="str">
        <f>"207Q00000X"</f>
        <v>207Q00000X</v>
      </c>
      <c r="D2842" t="str">
        <f>"TRUXILLO                 RYAN         M           "</f>
        <v xml:space="preserve">TRUXILLO                 RYAN         M           </v>
      </c>
      <c r="E2842" t="str">
        <f>"CHALMETTE                 "</f>
        <v xml:space="preserve">CHALMETTE                 </v>
      </c>
      <c r="F2842" t="str">
        <f t="shared" si="121"/>
        <v>LA</v>
      </c>
    </row>
    <row r="2843" spans="1:6" x14ac:dyDescent="0.25">
      <c r="A2843" t="str">
        <f>"002384076"</f>
        <v>002384076</v>
      </c>
      <c r="B2843" t="str">
        <f>"1841256955"</f>
        <v>1841256955</v>
      </c>
      <c r="C2843" t="str">
        <f>"207RC0000X"</f>
        <v>207RC0000X</v>
      </c>
      <c r="D2843" t="str">
        <f>"FERRIS                   SAMUEL       J           "</f>
        <v xml:space="preserve">FERRIS                   SAMUEL       J           </v>
      </c>
      <c r="E2843" t="str">
        <f>"GRETNA                    "</f>
        <v xml:space="preserve">GRETNA                    </v>
      </c>
      <c r="F2843" t="str">
        <f t="shared" ref="F2843:F2906" si="125">"LA"</f>
        <v>LA</v>
      </c>
    </row>
    <row r="2844" spans="1:6" x14ac:dyDescent="0.25">
      <c r="A2844" t="str">
        <f>"002404384"</f>
        <v>002404384</v>
      </c>
      <c r="B2844" t="str">
        <f>"1245763358"</f>
        <v>1245763358</v>
      </c>
      <c r="C2844" t="str">
        <f>"2084N0400X"</f>
        <v>2084N0400X</v>
      </c>
      <c r="D2844" t="str">
        <f>"LEE                      KIM          M           "</f>
        <v xml:space="preserve">LEE                      KIM          M           </v>
      </c>
      <c r="E2844" t="str">
        <f>"NEW ORLEANS               "</f>
        <v xml:space="preserve">NEW ORLEANS               </v>
      </c>
      <c r="F2844" t="str">
        <f t="shared" si="125"/>
        <v>LA</v>
      </c>
    </row>
    <row r="2845" spans="1:6" x14ac:dyDescent="0.25">
      <c r="A2845" t="str">
        <f>"002406260"</f>
        <v>002406260</v>
      </c>
      <c r="B2845" t="str">
        <f>"1902829898"</f>
        <v>1902829898</v>
      </c>
      <c r="C2845" t="str">
        <f>"2084N0400X"</f>
        <v>2084N0400X</v>
      </c>
      <c r="D2845" t="str">
        <f>"CAMILO                   OSVALDO      A           "</f>
        <v xml:space="preserve">CAMILO                   OSVALDO      A           </v>
      </c>
      <c r="E2845" t="str">
        <f>"NEW ORLEANS               "</f>
        <v xml:space="preserve">NEW ORLEANS               </v>
      </c>
      <c r="F2845" t="str">
        <f t="shared" si="125"/>
        <v>LA</v>
      </c>
    </row>
    <row r="2846" spans="1:6" x14ac:dyDescent="0.25">
      <c r="A2846" t="str">
        <f>"002406857"</f>
        <v>002406857</v>
      </c>
      <c r="B2846" t="str">
        <f>"1760999429"</f>
        <v>1760999429</v>
      </c>
      <c r="C2846" t="str">
        <f>"207Q00000X"</f>
        <v>207Q00000X</v>
      </c>
      <c r="D2846" t="str">
        <f>"DIMITRI                  ASHLEY       G           "</f>
        <v xml:space="preserve">DIMITRI                  ASHLEY       G           </v>
      </c>
      <c r="E2846" t="str">
        <f>"NEW ORLEANS               "</f>
        <v xml:space="preserve">NEW ORLEANS               </v>
      </c>
      <c r="F2846" t="str">
        <f t="shared" si="125"/>
        <v>LA</v>
      </c>
    </row>
    <row r="2847" spans="1:6" x14ac:dyDescent="0.25">
      <c r="A2847" t="str">
        <f>"002424756"</f>
        <v>002424756</v>
      </c>
      <c r="B2847" t="str">
        <f>"1821401779"</f>
        <v>1821401779</v>
      </c>
      <c r="C2847" t="str">
        <f>"363A00000X"</f>
        <v>363A00000X</v>
      </c>
      <c r="D2847" t="str">
        <f>"NEGROTTO GUNTER          MARY         K           "</f>
        <v xml:space="preserve">NEGROTTO GUNTER          MARY         K           </v>
      </c>
      <c r="E2847" t="str">
        <f>"SLIDELL                   "</f>
        <v xml:space="preserve">SLIDELL                   </v>
      </c>
      <c r="F2847" t="str">
        <f t="shared" si="125"/>
        <v>LA</v>
      </c>
    </row>
    <row r="2848" spans="1:6" x14ac:dyDescent="0.25">
      <c r="A2848" t="str">
        <f>"002428222"</f>
        <v>002428222</v>
      </c>
      <c r="B2848" t="str">
        <f>"1306818018"</f>
        <v>1306818018</v>
      </c>
      <c r="C2848" t="str">
        <f>"2085R0202X"</f>
        <v>2085R0202X</v>
      </c>
      <c r="D2848" t="str">
        <f>"WILLIAMS                 RUSSELL      S           "</f>
        <v xml:space="preserve">WILLIAMS                 RUSSELL      S           </v>
      </c>
      <c r="E2848" t="str">
        <f>"BATON ROUGE               "</f>
        <v xml:space="preserve">BATON ROUGE               </v>
      </c>
      <c r="F2848" t="str">
        <f t="shared" si="125"/>
        <v>LA</v>
      </c>
    </row>
    <row r="2849" spans="1:6" x14ac:dyDescent="0.25">
      <c r="A2849" t="str">
        <f>"002429213"</f>
        <v>002429213</v>
      </c>
      <c r="B2849" t="str">
        <f>"1497714729"</f>
        <v>1497714729</v>
      </c>
      <c r="C2849" t="str">
        <f>"207Q00000X"</f>
        <v>207Q00000X</v>
      </c>
      <c r="D2849" t="str">
        <f>"WILLIAMS                 CHEQUITA     S           "</f>
        <v xml:space="preserve">WILLIAMS                 CHEQUITA     S           </v>
      </c>
      <c r="E2849" t="str">
        <f>"SLIDELL                   "</f>
        <v xml:space="preserve">SLIDELL                   </v>
      </c>
      <c r="F2849" t="str">
        <f t="shared" si="125"/>
        <v>LA</v>
      </c>
    </row>
    <row r="2850" spans="1:6" x14ac:dyDescent="0.25">
      <c r="A2850" t="str">
        <f>"002434888"</f>
        <v>002434888</v>
      </c>
      <c r="B2850" t="str">
        <f>"1043576960"</f>
        <v>1043576960</v>
      </c>
      <c r="C2850" t="str">
        <f>"363L00000X"</f>
        <v>363L00000X</v>
      </c>
      <c r="D2850" t="str">
        <f>"MAYERS                   LORI         H           "</f>
        <v xml:space="preserve">MAYERS                   LORI         H           </v>
      </c>
      <c r="E2850" t="str">
        <f>"HAMMOND                   "</f>
        <v xml:space="preserve">HAMMOND                   </v>
      </c>
      <c r="F2850" t="str">
        <f t="shared" si="125"/>
        <v>LA</v>
      </c>
    </row>
    <row r="2851" spans="1:6" x14ac:dyDescent="0.25">
      <c r="A2851" t="str">
        <f>"002435751"</f>
        <v>002435751</v>
      </c>
      <c r="B2851" t="str">
        <f>"1043467368"</f>
        <v>1043467368</v>
      </c>
      <c r="C2851" t="str">
        <f>"208100000X"</f>
        <v>208100000X</v>
      </c>
      <c r="D2851" t="str">
        <f>"SCHULTZ                  SCOTT        C           "</f>
        <v xml:space="preserve">SCHULTZ                  SCOTT        C           </v>
      </c>
      <c r="E2851" t="str">
        <f>"NEW ORLEANS               "</f>
        <v xml:space="preserve">NEW ORLEANS               </v>
      </c>
      <c r="F2851" t="str">
        <f t="shared" si="125"/>
        <v>LA</v>
      </c>
    </row>
    <row r="2852" spans="1:6" x14ac:dyDescent="0.25">
      <c r="A2852" t="str">
        <f>"002438088"</f>
        <v>002438088</v>
      </c>
      <c r="B2852" t="str">
        <f>"1801177985"</f>
        <v>1801177985</v>
      </c>
      <c r="C2852" t="str">
        <f>"363L00000X"</f>
        <v>363L00000X</v>
      </c>
      <c r="D2852" t="str">
        <f>"GUERINGER III            LLOYD        J           "</f>
        <v xml:space="preserve">GUERINGER III            LLOYD        J           </v>
      </c>
      <c r="E2852" t="str">
        <f>"SLIDELL                   "</f>
        <v xml:space="preserve">SLIDELL                   </v>
      </c>
      <c r="F2852" t="str">
        <f t="shared" si="125"/>
        <v>LA</v>
      </c>
    </row>
    <row r="2853" spans="1:6" x14ac:dyDescent="0.25">
      <c r="A2853" t="str">
        <f>"002451776"</f>
        <v>002451776</v>
      </c>
      <c r="B2853" t="str">
        <f>"1285990747"</f>
        <v>1285990747</v>
      </c>
      <c r="C2853" t="str">
        <f>"367500000X"</f>
        <v>367500000X</v>
      </c>
      <c r="D2853" t="str">
        <f>"RUCKER                   BARBARA      R           "</f>
        <v xml:space="preserve">RUCKER                   BARBARA      R           </v>
      </c>
      <c r="E2853" t="str">
        <f>"NEW ORLEANS               "</f>
        <v xml:space="preserve">NEW ORLEANS               </v>
      </c>
      <c r="F2853" t="str">
        <f t="shared" si="125"/>
        <v>LA</v>
      </c>
    </row>
    <row r="2854" spans="1:6" x14ac:dyDescent="0.25">
      <c r="A2854" t="str">
        <f>"002457711"</f>
        <v>002457711</v>
      </c>
      <c r="B2854" t="str">
        <f>"1083972715"</f>
        <v>1083972715</v>
      </c>
      <c r="C2854" t="str">
        <f>"208000000X"</f>
        <v>208000000X</v>
      </c>
      <c r="D2854" t="str">
        <f>"PRUDHOMME                AMY          V           "</f>
        <v xml:space="preserve">PRUDHOMME                AMY          V           </v>
      </c>
      <c r="E2854" t="str">
        <f>"NEW ORLEANS               "</f>
        <v xml:space="preserve">NEW ORLEANS               </v>
      </c>
      <c r="F2854" t="str">
        <f t="shared" si="125"/>
        <v>LA</v>
      </c>
    </row>
    <row r="2855" spans="1:6" x14ac:dyDescent="0.25">
      <c r="A2855" t="str">
        <f>"002458835"</f>
        <v>002458835</v>
      </c>
      <c r="B2855" t="str">
        <f>"1003059890"</f>
        <v>1003059890</v>
      </c>
      <c r="C2855" t="str">
        <f>"2080P0202X"</f>
        <v>2080P0202X</v>
      </c>
      <c r="D2855" t="str">
        <f>"HOYT JR                  WALTER       J           "</f>
        <v xml:space="preserve">HOYT JR                  WALTER       J           </v>
      </c>
      <c r="E2855" t="str">
        <f>"NEW ORLEANS               "</f>
        <v xml:space="preserve">NEW ORLEANS               </v>
      </c>
      <c r="F2855" t="str">
        <f t="shared" si="125"/>
        <v>LA</v>
      </c>
    </row>
    <row r="2856" spans="1:6" x14ac:dyDescent="0.25">
      <c r="A2856" t="str">
        <f>"002483772"</f>
        <v>002483772</v>
      </c>
      <c r="B2856" t="str">
        <f>"1770118374"</f>
        <v>1770118374</v>
      </c>
      <c r="C2856" t="str">
        <f>"363L00000X"</f>
        <v>363L00000X</v>
      </c>
      <c r="D2856" t="str">
        <f>"PELLEGRINI               JOURDAN      S           "</f>
        <v xml:space="preserve">PELLEGRINI               JOURDAN      S           </v>
      </c>
      <c r="E2856" t="str">
        <f>"HAMMOND                   "</f>
        <v xml:space="preserve">HAMMOND                   </v>
      </c>
      <c r="F2856" t="str">
        <f t="shared" si="125"/>
        <v>LA</v>
      </c>
    </row>
    <row r="2857" spans="1:6" x14ac:dyDescent="0.25">
      <c r="A2857" t="str">
        <f>"002502372"</f>
        <v>002502372</v>
      </c>
      <c r="B2857" t="str">
        <f>"1710240775"</f>
        <v>1710240775</v>
      </c>
      <c r="C2857" t="str">
        <f>"2085R0202X"</f>
        <v>2085R0202X</v>
      </c>
      <c r="D2857" t="str">
        <f>"BONNAIG                  JEAN-VICTOR  K           "</f>
        <v xml:space="preserve">BONNAIG                  JEAN-VICTOR  K           </v>
      </c>
      <c r="E2857" t="str">
        <f>"HAMMOND                   "</f>
        <v xml:space="preserve">HAMMOND                   </v>
      </c>
      <c r="F2857" t="str">
        <f t="shared" si="125"/>
        <v>LA</v>
      </c>
    </row>
    <row r="2858" spans="1:6" x14ac:dyDescent="0.25">
      <c r="A2858" t="str">
        <f>"002520028"</f>
        <v>002520028</v>
      </c>
      <c r="B2858" t="str">
        <f>"1467866905"</f>
        <v>1467866905</v>
      </c>
      <c r="C2858" t="str">
        <f>"207RH0000X"</f>
        <v>207RH0000X</v>
      </c>
      <c r="D2858" t="str">
        <f>"MIZRAHI                  JONATHAN     D           "</f>
        <v xml:space="preserve">MIZRAHI                  JONATHAN     D           </v>
      </c>
      <c r="E2858" t="str">
        <f>"NEW ORLEANS               "</f>
        <v xml:space="preserve">NEW ORLEANS               </v>
      </c>
      <c r="F2858" t="str">
        <f t="shared" si="125"/>
        <v>LA</v>
      </c>
    </row>
    <row r="2859" spans="1:6" x14ac:dyDescent="0.25">
      <c r="A2859" t="str">
        <f>"002525397"</f>
        <v>002525397</v>
      </c>
      <c r="B2859" t="str">
        <f>"1891135794"</f>
        <v>1891135794</v>
      </c>
      <c r="C2859" t="str">
        <f>"207RC0000X"</f>
        <v>207RC0000X</v>
      </c>
      <c r="D2859" t="str">
        <f>"GARG                     ABHISHEK                 "</f>
        <v xml:space="preserve">GARG                     ABHISHEK                 </v>
      </c>
      <c r="E2859" t="str">
        <f>"SLIDELL                   "</f>
        <v xml:space="preserve">SLIDELL                   </v>
      </c>
      <c r="F2859" t="str">
        <f t="shared" si="125"/>
        <v>LA</v>
      </c>
    </row>
    <row r="2860" spans="1:6" x14ac:dyDescent="0.25">
      <c r="A2860" t="str">
        <f>"002550870"</f>
        <v>002550870</v>
      </c>
      <c r="B2860" t="str">
        <f>"1669463915"</f>
        <v>1669463915</v>
      </c>
      <c r="C2860" t="str">
        <f>"207V00000X"</f>
        <v>207V00000X</v>
      </c>
      <c r="D2860" t="str">
        <f>"CLAVIN                   DIANA                    "</f>
        <v xml:space="preserve">CLAVIN                   DIANA                    </v>
      </c>
      <c r="E2860" t="str">
        <f>"SLIDELL                   "</f>
        <v xml:space="preserve">SLIDELL                   </v>
      </c>
      <c r="F2860" t="str">
        <f t="shared" si="125"/>
        <v>LA</v>
      </c>
    </row>
    <row r="2861" spans="1:6" x14ac:dyDescent="0.25">
      <c r="A2861" t="str">
        <f>"002559262"</f>
        <v>002559262</v>
      </c>
      <c r="B2861" t="str">
        <f>"1750691812"</f>
        <v>1750691812</v>
      </c>
      <c r="C2861" t="str">
        <f>"363L00000X"</f>
        <v>363L00000X</v>
      </c>
      <c r="D2861" t="str">
        <f>"THERIOT                  AMANDA                   "</f>
        <v xml:space="preserve">THERIOT                  AMANDA                   </v>
      </c>
      <c r="E2861" t="str">
        <f>"KENNER                    "</f>
        <v xml:space="preserve">KENNER                    </v>
      </c>
      <c r="F2861" t="str">
        <f t="shared" si="125"/>
        <v>LA</v>
      </c>
    </row>
    <row r="2862" spans="1:6" x14ac:dyDescent="0.25">
      <c r="A2862" t="str">
        <f>"002575509"</f>
        <v>002575509</v>
      </c>
      <c r="B2862" t="str">
        <f>"1396284014"</f>
        <v>1396284014</v>
      </c>
      <c r="C2862" t="str">
        <f>"363L00000X"</f>
        <v>363L00000X</v>
      </c>
      <c r="D2862" t="str">
        <f>"MICELI                   KAYLIE       M           "</f>
        <v xml:space="preserve">MICELI                   KAYLIE       M           </v>
      </c>
      <c r="E2862" t="str">
        <f>"NEW ORLEANS               "</f>
        <v xml:space="preserve">NEW ORLEANS               </v>
      </c>
      <c r="F2862" t="str">
        <f t="shared" si="125"/>
        <v>LA</v>
      </c>
    </row>
    <row r="2863" spans="1:6" x14ac:dyDescent="0.25">
      <c r="A2863" t="str">
        <f>"002624811"</f>
        <v>002624811</v>
      </c>
      <c r="B2863" t="str">
        <f>"1225521008"</f>
        <v>1225521008</v>
      </c>
      <c r="C2863" t="str">
        <f>"207Q00000X"</f>
        <v>207Q00000X</v>
      </c>
      <c r="D2863" t="str">
        <f>"REHMANNY                 SULTAN       M           "</f>
        <v xml:space="preserve">REHMANNY                 SULTAN       M           </v>
      </c>
      <c r="E2863" t="str">
        <f>"HAMMOND                   "</f>
        <v xml:space="preserve">HAMMOND                   </v>
      </c>
      <c r="F2863" t="str">
        <f t="shared" si="125"/>
        <v>LA</v>
      </c>
    </row>
    <row r="2864" spans="1:6" x14ac:dyDescent="0.25">
      <c r="A2864" t="str">
        <f>"002627779"</f>
        <v>002627779</v>
      </c>
      <c r="B2864" t="str">
        <f>"1194091728"</f>
        <v>1194091728</v>
      </c>
      <c r="C2864" t="str">
        <f>"207P00000X"</f>
        <v>207P00000X</v>
      </c>
      <c r="D2864" t="str">
        <f>"AZAN                     BENJAMIN     M           "</f>
        <v xml:space="preserve">AZAN                     BENJAMIN     M           </v>
      </c>
      <c r="E2864" t="str">
        <f>"NEW ORLEANS               "</f>
        <v xml:space="preserve">NEW ORLEANS               </v>
      </c>
      <c r="F2864" t="str">
        <f t="shared" si="125"/>
        <v>LA</v>
      </c>
    </row>
    <row r="2865" spans="1:6" x14ac:dyDescent="0.25">
      <c r="A2865" t="str">
        <f>"002628897"</f>
        <v>002628897</v>
      </c>
      <c r="B2865" t="str">
        <f>"1891016929"</f>
        <v>1891016929</v>
      </c>
      <c r="C2865" t="str">
        <f>"208000000X"</f>
        <v>208000000X</v>
      </c>
      <c r="D2865" t="str">
        <f>"HILL                     JASON        B           "</f>
        <v xml:space="preserve">HILL                     JASON        B           </v>
      </c>
      <c r="E2865" t="str">
        <f>"KENNER                    "</f>
        <v xml:space="preserve">KENNER                    </v>
      </c>
      <c r="F2865" t="str">
        <f t="shared" si="125"/>
        <v>LA</v>
      </c>
    </row>
    <row r="2866" spans="1:6" x14ac:dyDescent="0.25">
      <c r="A2866" t="str">
        <f>"002635391"</f>
        <v>002635391</v>
      </c>
      <c r="B2866" t="str">
        <f>"1164427753"</f>
        <v>1164427753</v>
      </c>
      <c r="C2866" t="str">
        <f>"2085R0202X"</f>
        <v>2085R0202X</v>
      </c>
      <c r="D2866" t="str">
        <f>"LOBRANO                  MARY         E           "</f>
        <v xml:space="preserve">LOBRANO                  MARY         E           </v>
      </c>
      <c r="E2866" t="str">
        <f>"SLIDELL                   "</f>
        <v xml:space="preserve">SLIDELL                   </v>
      </c>
      <c r="F2866" t="str">
        <f t="shared" si="125"/>
        <v>LA</v>
      </c>
    </row>
    <row r="2867" spans="1:6" x14ac:dyDescent="0.25">
      <c r="A2867" t="str">
        <f>"002671035"</f>
        <v>002671035</v>
      </c>
      <c r="B2867" t="str">
        <f>"1336324227"</f>
        <v>1336324227</v>
      </c>
      <c r="C2867" t="str">
        <f>"207R00000X"</f>
        <v>207R00000X</v>
      </c>
      <c r="D2867" t="str">
        <f>"KOELBEL                  KLAUS        F           "</f>
        <v xml:space="preserve">KOELBEL                  KLAUS        F           </v>
      </c>
      <c r="E2867" t="str">
        <f>"TERRYTOWN                 "</f>
        <v xml:space="preserve">TERRYTOWN                 </v>
      </c>
      <c r="F2867" t="str">
        <f t="shared" si="125"/>
        <v>LA</v>
      </c>
    </row>
    <row r="2868" spans="1:6" x14ac:dyDescent="0.25">
      <c r="A2868" t="str">
        <f>"002672211"</f>
        <v>002672211</v>
      </c>
      <c r="B2868" t="str">
        <f>"1255592788"</f>
        <v>1255592788</v>
      </c>
      <c r="C2868" t="str">
        <f>"207P00000X"</f>
        <v>207P00000X</v>
      </c>
      <c r="D2868" t="str">
        <f>"SEYMOUR                  JOHN         B           "</f>
        <v xml:space="preserve">SEYMOUR                  JOHN         B           </v>
      </c>
      <c r="E2868" t="str">
        <f>"SLIDELL                   "</f>
        <v xml:space="preserve">SLIDELL                   </v>
      </c>
      <c r="F2868" t="str">
        <f t="shared" si="125"/>
        <v>LA</v>
      </c>
    </row>
    <row r="2869" spans="1:6" x14ac:dyDescent="0.25">
      <c r="A2869" t="str">
        <f>"002673503"</f>
        <v>002673503</v>
      </c>
      <c r="B2869" t="str">
        <f>"1518913045"</f>
        <v>1518913045</v>
      </c>
      <c r="C2869" t="str">
        <f>"207P00000X"</f>
        <v>207P00000X</v>
      </c>
      <c r="D2869" t="str">
        <f>"LOZES                    ANN          N           "</f>
        <v xml:space="preserve">LOZES                    ANN          N           </v>
      </c>
      <c r="E2869" t="str">
        <f>"BOGALUSA                  "</f>
        <v xml:space="preserve">BOGALUSA                  </v>
      </c>
      <c r="F2869" t="str">
        <f t="shared" si="125"/>
        <v>LA</v>
      </c>
    </row>
    <row r="2870" spans="1:6" x14ac:dyDescent="0.25">
      <c r="A2870" t="str">
        <f>"002674356"</f>
        <v>002674356</v>
      </c>
      <c r="B2870" t="str">
        <f>"1295266419"</f>
        <v>1295266419</v>
      </c>
      <c r="C2870" t="str">
        <f>"363A00000X"</f>
        <v>363A00000X</v>
      </c>
      <c r="D2870" t="str">
        <f>"JUNEAU                   ANDREA                   "</f>
        <v xml:space="preserve">JUNEAU                   ANDREA                   </v>
      </c>
      <c r="E2870" t="str">
        <f>"SLIDELL                   "</f>
        <v xml:space="preserve">SLIDELL                   </v>
      </c>
      <c r="F2870" t="str">
        <f t="shared" si="125"/>
        <v>LA</v>
      </c>
    </row>
    <row r="2871" spans="1:6" x14ac:dyDescent="0.25">
      <c r="A2871" t="str">
        <f>"002724095"</f>
        <v>002724095</v>
      </c>
      <c r="B2871" t="str">
        <f>"1174766273"</f>
        <v>1174766273</v>
      </c>
      <c r="C2871" t="str">
        <f>"207Q00000X"</f>
        <v>207Q00000X</v>
      </c>
      <c r="D2871" t="str">
        <f>"ELDER                    LAUREN       S           "</f>
        <v xml:space="preserve">ELDER                    LAUREN       S           </v>
      </c>
      <c r="E2871" t="str">
        <f>"MANDEVILLE                "</f>
        <v xml:space="preserve">MANDEVILLE                </v>
      </c>
      <c r="F2871" t="str">
        <f t="shared" si="125"/>
        <v>LA</v>
      </c>
    </row>
    <row r="2872" spans="1:6" x14ac:dyDescent="0.25">
      <c r="A2872" t="str">
        <f>"002726762"</f>
        <v>002726762</v>
      </c>
      <c r="B2872" t="str">
        <f>"1093840944"</f>
        <v>1093840944</v>
      </c>
      <c r="C2872" t="str">
        <f>"207W00000X"</f>
        <v>207W00000X</v>
      </c>
      <c r="D2872" t="str">
        <f>"BENEVENTO                JOSEPH                   "</f>
        <v xml:space="preserve">BENEVENTO                JOSEPH                   </v>
      </c>
      <c r="E2872" t="str">
        <f>"NEW ORLEANS               "</f>
        <v xml:space="preserve">NEW ORLEANS               </v>
      </c>
      <c r="F2872" t="str">
        <f t="shared" si="125"/>
        <v>LA</v>
      </c>
    </row>
    <row r="2873" spans="1:6" x14ac:dyDescent="0.25">
      <c r="A2873" t="str">
        <f>"002726832"</f>
        <v>002726832</v>
      </c>
      <c r="B2873" t="str">
        <f>"1619320520"</f>
        <v>1619320520</v>
      </c>
      <c r="C2873" t="str">
        <f>"363L00000X"</f>
        <v>363L00000X</v>
      </c>
      <c r="D2873" t="str">
        <f>"MATRANA                  LAURA        M           "</f>
        <v xml:space="preserve">MATRANA                  LAURA        M           </v>
      </c>
      <c r="E2873" t="str">
        <f>"CHALMETTE                 "</f>
        <v xml:space="preserve">CHALMETTE                 </v>
      </c>
      <c r="F2873" t="str">
        <f t="shared" si="125"/>
        <v>LA</v>
      </c>
    </row>
    <row r="2874" spans="1:6" x14ac:dyDescent="0.25">
      <c r="A2874" t="str">
        <f>"002732806"</f>
        <v>002732806</v>
      </c>
      <c r="B2874" t="str">
        <f>"1750572087"</f>
        <v>1750572087</v>
      </c>
      <c r="C2874" t="str">
        <f>"207RC0000X"</f>
        <v>207RC0000X</v>
      </c>
      <c r="D2874" t="str">
        <f>"PEARL                    RICHARD      W           "</f>
        <v xml:space="preserve">PEARL                    RICHARD      W           </v>
      </c>
      <c r="E2874" t="str">
        <f>"GRETNA                    "</f>
        <v xml:space="preserve">GRETNA                    </v>
      </c>
      <c r="F2874" t="str">
        <f t="shared" si="125"/>
        <v>LA</v>
      </c>
    </row>
    <row r="2875" spans="1:6" x14ac:dyDescent="0.25">
      <c r="A2875" t="str">
        <f>"002734098"</f>
        <v>002734098</v>
      </c>
      <c r="B2875" t="str">
        <f>"1154806586"</f>
        <v>1154806586</v>
      </c>
      <c r="C2875" t="str">
        <f>"363L00000X"</f>
        <v>363L00000X</v>
      </c>
      <c r="D2875" t="str">
        <f>"BILLIOT                  TIFFANY                  "</f>
        <v xml:space="preserve">BILLIOT                  TIFFANY                  </v>
      </c>
      <c r="E2875" t="str">
        <f>"HAMMOND                   "</f>
        <v xml:space="preserve">HAMMOND                   </v>
      </c>
      <c r="F2875" t="str">
        <f t="shared" si="125"/>
        <v>LA</v>
      </c>
    </row>
    <row r="2876" spans="1:6" x14ac:dyDescent="0.25">
      <c r="A2876" t="str">
        <f>"002757245"</f>
        <v>002757245</v>
      </c>
      <c r="B2876" t="str">
        <f>"1932775764"</f>
        <v>1932775764</v>
      </c>
      <c r="C2876" t="str">
        <f>"363A00000X"</f>
        <v>363A00000X</v>
      </c>
      <c r="D2876" t="str">
        <f>"CALI                     CASSIDY      G           "</f>
        <v xml:space="preserve">CALI                     CASSIDY      G           </v>
      </c>
      <c r="E2876" t="str">
        <f>"NEW ORLEANS               "</f>
        <v xml:space="preserve">NEW ORLEANS               </v>
      </c>
      <c r="F2876" t="str">
        <f t="shared" si="125"/>
        <v>LA</v>
      </c>
    </row>
    <row r="2877" spans="1:6" x14ac:dyDescent="0.25">
      <c r="A2877" t="str">
        <f>"002770394"</f>
        <v>002770394</v>
      </c>
      <c r="B2877" t="str">
        <f>"1851616536"</f>
        <v>1851616536</v>
      </c>
      <c r="C2877" t="str">
        <f>"208000000X"</f>
        <v>208000000X</v>
      </c>
      <c r="D2877" t="str">
        <f>"HOUSER                   MARCELLA     R           "</f>
        <v xml:space="preserve">HOUSER                   MARCELLA     R           </v>
      </c>
      <c r="E2877" t="str">
        <f>"NEW ORLEANS               "</f>
        <v xml:space="preserve">NEW ORLEANS               </v>
      </c>
      <c r="F2877" t="str">
        <f t="shared" si="125"/>
        <v>LA</v>
      </c>
    </row>
    <row r="2878" spans="1:6" x14ac:dyDescent="0.25">
      <c r="A2878" t="str">
        <f>"002770858"</f>
        <v>002770858</v>
      </c>
      <c r="B2878" t="str">
        <f>"1841450780"</f>
        <v>1841450780</v>
      </c>
      <c r="C2878" t="str">
        <f>"207L00000X"</f>
        <v>207L00000X</v>
      </c>
      <c r="D2878" t="str">
        <f>"VU                       JOHN         F           "</f>
        <v xml:space="preserve">VU                       JOHN         F           </v>
      </c>
      <c r="E2878" t="str">
        <f>"SLIDELL                   "</f>
        <v xml:space="preserve">SLIDELL                   </v>
      </c>
      <c r="F2878" t="str">
        <f t="shared" si="125"/>
        <v>LA</v>
      </c>
    </row>
    <row r="2879" spans="1:6" x14ac:dyDescent="0.25">
      <c r="A2879" t="str">
        <f>"002776891"</f>
        <v>002776891</v>
      </c>
      <c r="B2879" t="str">
        <f>"1376961912"</f>
        <v>1376961912</v>
      </c>
      <c r="C2879" t="str">
        <f>"207R00000X"</f>
        <v>207R00000X</v>
      </c>
      <c r="D2879" t="str">
        <f>"MARSHALL                 MARILYN      K           "</f>
        <v xml:space="preserve">MARSHALL                 MARILYN      K           </v>
      </c>
      <c r="E2879" t="str">
        <f>"NEW ORLEANS               "</f>
        <v xml:space="preserve">NEW ORLEANS               </v>
      </c>
      <c r="F2879" t="str">
        <f t="shared" si="125"/>
        <v>LA</v>
      </c>
    </row>
    <row r="2880" spans="1:6" x14ac:dyDescent="0.25">
      <c r="A2880" t="str">
        <f>"002782002"</f>
        <v>002782002</v>
      </c>
      <c r="B2880" t="str">
        <f>"1013167170"</f>
        <v>1013167170</v>
      </c>
      <c r="C2880" t="str">
        <f>"2084P0800X"</f>
        <v>2084P0800X</v>
      </c>
      <c r="D2880" t="str">
        <f>"JOSEPH                   LOUIS        T           "</f>
        <v xml:space="preserve">JOSEPH                   LOUIS        T           </v>
      </c>
      <c r="E2880" t="str">
        <f>"JEFFERSON                 "</f>
        <v xml:space="preserve">JEFFERSON                 </v>
      </c>
      <c r="F2880" t="str">
        <f t="shared" si="125"/>
        <v>LA</v>
      </c>
    </row>
    <row r="2881" spans="1:6" x14ac:dyDescent="0.25">
      <c r="A2881" t="str">
        <f>"002789541"</f>
        <v>002789541</v>
      </c>
      <c r="B2881" t="str">
        <f>"1245434612"</f>
        <v>1245434612</v>
      </c>
      <c r="C2881" t="str">
        <f>"207R00000X"</f>
        <v>207R00000X</v>
      </c>
      <c r="D2881" t="str">
        <f>"NEWSOM                   JEREMIAH     H           "</f>
        <v xml:space="preserve">NEWSOM                   JEREMIAH     H           </v>
      </c>
      <c r="E2881" t="str">
        <f>"NEW ORLEANS               "</f>
        <v xml:space="preserve">NEW ORLEANS               </v>
      </c>
      <c r="F2881" t="str">
        <f t="shared" si="125"/>
        <v>LA</v>
      </c>
    </row>
    <row r="2882" spans="1:6" x14ac:dyDescent="0.25">
      <c r="A2882" t="str">
        <f>"002801772"</f>
        <v>002801772</v>
      </c>
      <c r="B2882" t="str">
        <f>"1194111385"</f>
        <v>1194111385</v>
      </c>
      <c r="C2882" t="str">
        <f>"2084P0800X"</f>
        <v>2084P0800X</v>
      </c>
      <c r="D2882" t="str">
        <f>"HOLCOMB                  ELIZABETH    N           "</f>
        <v xml:space="preserve">HOLCOMB                  ELIZABETH    N           </v>
      </c>
      <c r="E2882" t="str">
        <f>"JEFFERSON                 "</f>
        <v xml:space="preserve">JEFFERSON                 </v>
      </c>
      <c r="F2882" t="str">
        <f t="shared" si="125"/>
        <v>LA</v>
      </c>
    </row>
    <row r="2883" spans="1:6" x14ac:dyDescent="0.25">
      <c r="A2883" t="str">
        <f>"002803506"</f>
        <v>002803506</v>
      </c>
      <c r="B2883" t="str">
        <f>"1750777223"</f>
        <v>1750777223</v>
      </c>
      <c r="C2883" t="str">
        <f>"207ZP0105X"</f>
        <v>207ZP0105X</v>
      </c>
      <c r="D2883" t="str">
        <f>"KADI                     ABIDA                    "</f>
        <v xml:space="preserve">KADI                     ABIDA                    </v>
      </c>
      <c r="E2883" t="str">
        <f>"NEW ORLEANS               "</f>
        <v xml:space="preserve">NEW ORLEANS               </v>
      </c>
      <c r="F2883" t="str">
        <f t="shared" si="125"/>
        <v>LA</v>
      </c>
    </row>
    <row r="2884" spans="1:6" x14ac:dyDescent="0.25">
      <c r="A2884" t="str">
        <f>"002806386"</f>
        <v>002806386</v>
      </c>
      <c r="B2884" t="str">
        <f>"1922155720"</f>
        <v>1922155720</v>
      </c>
      <c r="C2884" t="str">
        <f>"207RG0100X"</f>
        <v>207RG0100X</v>
      </c>
      <c r="D2884" t="str">
        <f>"RAY                      ARNAB                    "</f>
        <v xml:space="preserve">RAY                      ARNAB                    </v>
      </c>
      <c r="E2884" t="str">
        <f>"NEW ORLEANS               "</f>
        <v xml:space="preserve">NEW ORLEANS               </v>
      </c>
      <c r="F2884" t="str">
        <f t="shared" si="125"/>
        <v>LA</v>
      </c>
    </row>
    <row r="2885" spans="1:6" x14ac:dyDescent="0.25">
      <c r="A2885" t="str">
        <f>"002807531"</f>
        <v>002807531</v>
      </c>
      <c r="B2885" t="str">
        <f>"1134186208"</f>
        <v>1134186208</v>
      </c>
      <c r="C2885" t="str">
        <f>"367500000X"</f>
        <v>367500000X</v>
      </c>
      <c r="D2885" t="str">
        <f>"DOUGLASS                 STEPHANIE    B           "</f>
        <v xml:space="preserve">DOUGLASS                 STEPHANIE    B           </v>
      </c>
      <c r="E2885" t="str">
        <f>"NEW ORLEANS               "</f>
        <v xml:space="preserve">NEW ORLEANS               </v>
      </c>
      <c r="F2885" t="str">
        <f t="shared" si="125"/>
        <v>LA</v>
      </c>
    </row>
    <row r="2886" spans="1:6" x14ac:dyDescent="0.25">
      <c r="A2886" t="str">
        <f>"002809596"</f>
        <v>002809596</v>
      </c>
      <c r="B2886" t="str">
        <f>"1861569527"</f>
        <v>1861569527</v>
      </c>
      <c r="C2886" t="str">
        <f>"207L00000X"</f>
        <v>207L00000X</v>
      </c>
      <c r="D2886" t="str">
        <f>"BRONAUGH                 DAVID        S           "</f>
        <v xml:space="preserve">BRONAUGH                 DAVID        S           </v>
      </c>
      <c r="E2886" t="str">
        <f>"SLIDELL                   "</f>
        <v xml:space="preserve">SLIDELL                   </v>
      </c>
      <c r="F2886" t="str">
        <f t="shared" si="125"/>
        <v>LA</v>
      </c>
    </row>
    <row r="2887" spans="1:6" x14ac:dyDescent="0.25">
      <c r="A2887" t="str">
        <f>"002821771"</f>
        <v>002821771</v>
      </c>
      <c r="B2887" t="str">
        <f>"1245558766"</f>
        <v>1245558766</v>
      </c>
      <c r="C2887" t="str">
        <f>"207T00000X"</f>
        <v>207T00000X</v>
      </c>
      <c r="D2887" t="str">
        <f>"CARALOPOULOS             ILIAS        N           "</f>
        <v xml:space="preserve">CARALOPOULOS             ILIAS        N           </v>
      </c>
      <c r="E2887" t="str">
        <f>"COVINGTON                 "</f>
        <v xml:space="preserve">COVINGTON                 </v>
      </c>
      <c r="F2887" t="str">
        <f t="shared" si="125"/>
        <v>LA</v>
      </c>
    </row>
    <row r="2888" spans="1:6" x14ac:dyDescent="0.25">
      <c r="A2888" t="str">
        <f>"002826534"</f>
        <v>002826534</v>
      </c>
      <c r="B2888" t="str">
        <f>"1164668968"</f>
        <v>1164668968</v>
      </c>
      <c r="C2888" t="str">
        <f>"122300000X"</f>
        <v>122300000X</v>
      </c>
      <c r="D2888" t="str">
        <f>"KIDS DENTAL ZONE SLIDELL                          "</f>
        <v xml:space="preserve">KIDS DENTAL ZONE SLIDELL                          </v>
      </c>
      <c r="E2888" t="str">
        <f>"SLIDELL                   "</f>
        <v xml:space="preserve">SLIDELL                   </v>
      </c>
      <c r="F2888" t="str">
        <f t="shared" si="125"/>
        <v>LA</v>
      </c>
    </row>
    <row r="2889" spans="1:6" x14ac:dyDescent="0.25">
      <c r="A2889" t="str">
        <f>"002828803"</f>
        <v>002828803</v>
      </c>
      <c r="B2889" t="str">
        <f>"1730406349"</f>
        <v>1730406349</v>
      </c>
      <c r="C2889" t="str">
        <f>"208000000X"</f>
        <v>208000000X</v>
      </c>
      <c r="D2889" t="str">
        <f>"RYAN                     PATRICK      M           "</f>
        <v xml:space="preserve">RYAN                     PATRICK      M           </v>
      </c>
      <c r="E2889" t="str">
        <f>"NEW ORLEANS               "</f>
        <v xml:space="preserve">NEW ORLEANS               </v>
      </c>
      <c r="F2889" t="str">
        <f t="shared" si="125"/>
        <v>LA</v>
      </c>
    </row>
    <row r="2890" spans="1:6" x14ac:dyDescent="0.25">
      <c r="A2890" t="str">
        <f>"002830721"</f>
        <v>002830721</v>
      </c>
      <c r="B2890" t="str">
        <f>"1538566062"</f>
        <v>1538566062</v>
      </c>
      <c r="C2890" t="str">
        <f>"207RR0500X"</f>
        <v>207RR0500X</v>
      </c>
      <c r="D2890" t="str">
        <f>"POSAS-MENDOZA            THERESE      F           "</f>
        <v xml:space="preserve">POSAS-MENDOZA            THERESE      F           </v>
      </c>
      <c r="E2890" t="str">
        <f>"COVINGTON                 "</f>
        <v xml:space="preserve">COVINGTON                 </v>
      </c>
      <c r="F2890" t="str">
        <f t="shared" si="125"/>
        <v>LA</v>
      </c>
    </row>
    <row r="2891" spans="1:6" x14ac:dyDescent="0.25">
      <c r="A2891" t="str">
        <f>"002831305"</f>
        <v>002831305</v>
      </c>
      <c r="B2891" t="str">
        <f>"1316478753"</f>
        <v>1316478753</v>
      </c>
      <c r="C2891" t="str">
        <f>"2084N0400X"</f>
        <v>2084N0400X</v>
      </c>
      <c r="D2891" t="str">
        <f>"PENCE                    KAYLA        L           "</f>
        <v xml:space="preserve">PENCE                    KAYLA        L           </v>
      </c>
      <c r="E2891" t="str">
        <f>"NEW ORLEANS               "</f>
        <v xml:space="preserve">NEW ORLEANS               </v>
      </c>
      <c r="F2891" t="str">
        <f t="shared" si="125"/>
        <v>LA</v>
      </c>
    </row>
    <row r="2892" spans="1:6" x14ac:dyDescent="0.25">
      <c r="A2892" t="str">
        <f>"002850365"</f>
        <v>002850365</v>
      </c>
      <c r="B2892" t="str">
        <f>"1114305745"</f>
        <v>1114305745</v>
      </c>
      <c r="C2892" t="str">
        <f>"207P00000X"</f>
        <v>207P00000X</v>
      </c>
      <c r="D2892" t="str">
        <f>"CLAIR                    ELIZABETH                "</f>
        <v xml:space="preserve">CLAIR                    ELIZABETH                </v>
      </c>
      <c r="E2892" t="str">
        <f>"HAMMOND                   "</f>
        <v xml:space="preserve">HAMMOND                   </v>
      </c>
      <c r="F2892" t="str">
        <f t="shared" si="125"/>
        <v>LA</v>
      </c>
    </row>
    <row r="2893" spans="1:6" x14ac:dyDescent="0.25">
      <c r="A2893" t="str">
        <f>"002871856"</f>
        <v>002871856</v>
      </c>
      <c r="B2893" t="str">
        <f>"1669404232"</f>
        <v>1669404232</v>
      </c>
      <c r="C2893" t="str">
        <f>"2080P0206X"</f>
        <v>2080P0206X</v>
      </c>
      <c r="D2893" t="str">
        <f>"MORRIS                   BRIAN        G           "</f>
        <v xml:space="preserve">MORRIS                   BRIAN        G           </v>
      </c>
      <c r="E2893" t="str">
        <f>"NEW ORLEANS               "</f>
        <v xml:space="preserve">NEW ORLEANS               </v>
      </c>
      <c r="F2893" t="str">
        <f t="shared" si="125"/>
        <v>LA</v>
      </c>
    </row>
    <row r="2894" spans="1:6" x14ac:dyDescent="0.25">
      <c r="A2894" t="str">
        <f>"002873519"</f>
        <v>002873519</v>
      </c>
      <c r="B2894" t="str">
        <f>"1932544962"</f>
        <v>1932544962</v>
      </c>
      <c r="C2894" t="str">
        <f>"2084P0800X"</f>
        <v>2084P0800X</v>
      </c>
      <c r="D2894" t="str">
        <f>"CAMPBELL                 MEGAN        E           "</f>
        <v xml:space="preserve">CAMPBELL                 MEGAN        E           </v>
      </c>
      <c r="E2894" t="str">
        <f>"NEW ORLEANS               "</f>
        <v xml:space="preserve">NEW ORLEANS               </v>
      </c>
      <c r="F2894" t="str">
        <f t="shared" si="125"/>
        <v>LA</v>
      </c>
    </row>
    <row r="2895" spans="1:6" x14ac:dyDescent="0.25">
      <c r="A2895" t="str">
        <f>"002884233"</f>
        <v>002884233</v>
      </c>
      <c r="B2895" t="str">
        <f>"1851852362"</f>
        <v>1851852362</v>
      </c>
      <c r="C2895" t="str">
        <f>"363L00000X"</f>
        <v>363L00000X</v>
      </c>
      <c r="D2895" t="str">
        <f>"IDOYAGA                  MONICA                   "</f>
        <v xml:space="preserve">IDOYAGA                  MONICA                   </v>
      </c>
      <c r="E2895" t="str">
        <f>"NEW ORLEANS               "</f>
        <v xml:space="preserve">NEW ORLEANS               </v>
      </c>
      <c r="F2895" t="str">
        <f t="shared" si="125"/>
        <v>LA</v>
      </c>
    </row>
    <row r="2896" spans="1:6" x14ac:dyDescent="0.25">
      <c r="A2896" t="str">
        <f>"002888352"</f>
        <v>002888352</v>
      </c>
      <c r="B2896" t="str">
        <f>"1336197565"</f>
        <v>1336197565</v>
      </c>
      <c r="C2896" t="str">
        <f>"208000000X"</f>
        <v>208000000X</v>
      </c>
      <c r="D2896" t="str">
        <f>"FIELKOW                  SUSAN                    "</f>
        <v xml:space="preserve">FIELKOW                  SUSAN                    </v>
      </c>
      <c r="E2896" t="str">
        <f>"NEW ORLEANS               "</f>
        <v xml:space="preserve">NEW ORLEANS               </v>
      </c>
      <c r="F2896" t="str">
        <f t="shared" si="125"/>
        <v>LA</v>
      </c>
    </row>
    <row r="2897" spans="1:6" x14ac:dyDescent="0.25">
      <c r="A2897" t="str">
        <f>"002907034"</f>
        <v>002907034</v>
      </c>
      <c r="B2897" t="str">
        <f>"1366682700"</f>
        <v>1366682700</v>
      </c>
      <c r="C2897" t="str">
        <f>"363L00000X"</f>
        <v>363L00000X</v>
      </c>
      <c r="D2897" t="str">
        <f>"ROSEBOOM                 MARJORIE     S           "</f>
        <v xml:space="preserve">ROSEBOOM                 MARJORIE     S           </v>
      </c>
      <c r="E2897" t="str">
        <f>"SLIDELL                   "</f>
        <v xml:space="preserve">SLIDELL                   </v>
      </c>
      <c r="F2897" t="str">
        <f t="shared" si="125"/>
        <v>LA</v>
      </c>
    </row>
    <row r="2898" spans="1:6" x14ac:dyDescent="0.25">
      <c r="A2898" t="str">
        <f>"002958751"</f>
        <v>002958751</v>
      </c>
      <c r="B2898" t="str">
        <f>"1861960882"</f>
        <v>1861960882</v>
      </c>
      <c r="C2898" t="str">
        <f>"363L00000X"</f>
        <v>363L00000X</v>
      </c>
      <c r="D2898" t="str">
        <f>"SANVI                    LESLIE       A           "</f>
        <v xml:space="preserve">SANVI                    LESLIE       A           </v>
      </c>
      <c r="E2898" t="str">
        <f>"NEW ORLEANS               "</f>
        <v xml:space="preserve">NEW ORLEANS               </v>
      </c>
      <c r="F2898" t="str">
        <f t="shared" si="125"/>
        <v>LA</v>
      </c>
    </row>
    <row r="2899" spans="1:6" x14ac:dyDescent="0.25">
      <c r="A2899" t="str">
        <f>"002972557"</f>
        <v>002972557</v>
      </c>
      <c r="B2899" t="str">
        <f>"1841554839"</f>
        <v>1841554839</v>
      </c>
      <c r="C2899" t="str">
        <f>"363A00000X"</f>
        <v>363A00000X</v>
      </c>
      <c r="D2899" t="str">
        <f>"MCGUIRE                  MARGARET     E           "</f>
        <v xml:space="preserve">MCGUIRE                  MARGARET     E           </v>
      </c>
      <c r="E2899" t="str">
        <f>"NEW ORLEANS               "</f>
        <v xml:space="preserve">NEW ORLEANS               </v>
      </c>
      <c r="F2899" t="str">
        <f t="shared" si="125"/>
        <v>LA</v>
      </c>
    </row>
    <row r="2900" spans="1:6" x14ac:dyDescent="0.25">
      <c r="A2900" t="str">
        <f>"002973040"</f>
        <v>002973040</v>
      </c>
      <c r="B2900" t="str">
        <f>"1093099715"</f>
        <v>1093099715</v>
      </c>
      <c r="C2900" t="str">
        <f>"207RG0100X"</f>
        <v>207RG0100X</v>
      </c>
      <c r="D2900" t="str">
        <f>"THERAPONDOS              GEORGE       P           "</f>
        <v xml:space="preserve">THERAPONDOS              GEORGE       P           </v>
      </c>
      <c r="E2900" t="str">
        <f>"NEW ORLEANS               "</f>
        <v xml:space="preserve">NEW ORLEANS               </v>
      </c>
      <c r="F2900" t="str">
        <f t="shared" si="125"/>
        <v>LA</v>
      </c>
    </row>
    <row r="2901" spans="1:6" x14ac:dyDescent="0.25">
      <c r="A2901" t="str">
        <f>"002985024"</f>
        <v>002985024</v>
      </c>
      <c r="B2901" t="str">
        <f>"1851541312"</f>
        <v>1851541312</v>
      </c>
      <c r="C2901" t="str">
        <f>"207P00000X"</f>
        <v>207P00000X</v>
      </c>
      <c r="D2901" t="str">
        <f>"NICHOLS                  EMILY        M           "</f>
        <v xml:space="preserve">NICHOLS                  EMILY        M           </v>
      </c>
      <c r="E2901" t="str">
        <f>"NEW ORLEANS               "</f>
        <v xml:space="preserve">NEW ORLEANS               </v>
      </c>
      <c r="F2901" t="str">
        <f t="shared" si="125"/>
        <v>LA</v>
      </c>
    </row>
    <row r="2902" spans="1:6" x14ac:dyDescent="0.25">
      <c r="A2902" t="str">
        <f>"003001746"</f>
        <v>003001746</v>
      </c>
      <c r="B2902" t="str">
        <f>"1679570709"</f>
        <v>1679570709</v>
      </c>
      <c r="C2902" t="str">
        <f>"207RN0300X"</f>
        <v>207RN0300X</v>
      </c>
      <c r="D2902" t="str">
        <f>"ROBERTS                  SEAN         M           "</f>
        <v xml:space="preserve">ROBERTS                  SEAN         M           </v>
      </c>
      <c r="E2902" t="str">
        <f>"COVINGTON                 "</f>
        <v xml:space="preserve">COVINGTON                 </v>
      </c>
      <c r="F2902" t="str">
        <f t="shared" si="125"/>
        <v>LA</v>
      </c>
    </row>
    <row r="2903" spans="1:6" x14ac:dyDescent="0.25">
      <c r="A2903" t="str">
        <f>"003003311"</f>
        <v>003003311</v>
      </c>
      <c r="B2903" t="str">
        <f>"1194920462"</f>
        <v>1194920462</v>
      </c>
      <c r="C2903" t="str">
        <f>"208800000X"</f>
        <v>208800000X</v>
      </c>
      <c r="D2903" t="str">
        <f>"ROTH                     CHRISTOPHER  C           "</f>
        <v xml:space="preserve">ROTH                     CHRISTOPHER  C           </v>
      </c>
      <c r="E2903" t="str">
        <f>"NEW ORLEANS               "</f>
        <v xml:space="preserve">NEW ORLEANS               </v>
      </c>
      <c r="F2903" t="str">
        <f t="shared" si="125"/>
        <v>LA</v>
      </c>
    </row>
    <row r="2904" spans="1:6" x14ac:dyDescent="0.25">
      <c r="A2904" t="str">
        <f>"003006861"</f>
        <v>003006861</v>
      </c>
      <c r="B2904" t="str">
        <f>"1083017271"</f>
        <v>1083017271</v>
      </c>
      <c r="C2904" t="str">
        <f>"363A00000X"</f>
        <v>363A00000X</v>
      </c>
      <c r="D2904" t="str">
        <f>"MADISON                  BANEE        M           "</f>
        <v xml:space="preserve">MADISON                  BANEE        M           </v>
      </c>
      <c r="E2904" t="str">
        <f>"HOUMA                     "</f>
        <v xml:space="preserve">HOUMA                     </v>
      </c>
      <c r="F2904" t="str">
        <f t="shared" si="125"/>
        <v>LA</v>
      </c>
    </row>
    <row r="2905" spans="1:6" x14ac:dyDescent="0.25">
      <c r="A2905" t="str">
        <f>"003008015"</f>
        <v>003008015</v>
      </c>
      <c r="B2905" t="str">
        <f>"1184635609"</f>
        <v>1184635609</v>
      </c>
      <c r="C2905" t="str">
        <f>"2086S0127X"</f>
        <v>2086S0127X</v>
      </c>
      <c r="D2905" t="str">
        <f>"HUNT III                 JOHN         P           "</f>
        <v xml:space="preserve">HUNT III                 JOHN         P           </v>
      </c>
      <c r="E2905" t="str">
        <f>"NEW ORLEANS               "</f>
        <v xml:space="preserve">NEW ORLEANS               </v>
      </c>
      <c r="F2905" t="str">
        <f t="shared" si="125"/>
        <v>LA</v>
      </c>
    </row>
    <row r="2906" spans="1:6" x14ac:dyDescent="0.25">
      <c r="A2906" t="str">
        <f>"003024596"</f>
        <v>003024596</v>
      </c>
      <c r="B2906" t="str">
        <f>"1194220426"</f>
        <v>1194220426</v>
      </c>
      <c r="C2906" t="str">
        <f>"207P00000X"</f>
        <v>207P00000X</v>
      </c>
      <c r="D2906" t="str">
        <f>"CRANFORD                 CLIFFORD     A           "</f>
        <v xml:space="preserve">CRANFORD                 CLIFFORD     A           </v>
      </c>
      <c r="E2906" t="str">
        <f>"KENNER                    "</f>
        <v xml:space="preserve">KENNER                    </v>
      </c>
      <c r="F2906" t="str">
        <f t="shared" si="125"/>
        <v>LA</v>
      </c>
    </row>
    <row r="2907" spans="1:6" x14ac:dyDescent="0.25">
      <c r="A2907" t="str">
        <f>"003027576"</f>
        <v>003027576</v>
      </c>
      <c r="B2907" t="str">
        <f>"1144216847"</f>
        <v>1144216847</v>
      </c>
      <c r="C2907" t="str">
        <f>"261QA1903X"</f>
        <v>261QA1903X</v>
      </c>
      <c r="D2907" t="str">
        <f>"RIVERPARK AMBULATORY SURGERY CENTER               "</f>
        <v xml:space="preserve">RIVERPARK AMBULATORY SURGERY CENTER               </v>
      </c>
      <c r="E2907" t="str">
        <f>"VIDALIA                   "</f>
        <v xml:space="preserve">VIDALIA                   </v>
      </c>
      <c r="F2907" t="str">
        <f t="shared" ref="F2907:F2970" si="126">"LA"</f>
        <v>LA</v>
      </c>
    </row>
    <row r="2908" spans="1:6" x14ac:dyDescent="0.25">
      <c r="A2908" t="str">
        <f>"003029590"</f>
        <v>003029590</v>
      </c>
      <c r="B2908" t="str">
        <f>"1629183157"</f>
        <v>1629183157</v>
      </c>
      <c r="C2908" t="str">
        <f>"2080P0201X"</f>
        <v>2080P0201X</v>
      </c>
      <c r="D2908" t="str">
        <f>"PARIS                    KENNETH                  "</f>
        <v xml:space="preserve">PARIS                    KENNETH                  </v>
      </c>
      <c r="E2908" t="str">
        <f>"NEW ORLEANS               "</f>
        <v xml:space="preserve">NEW ORLEANS               </v>
      </c>
      <c r="F2908" t="str">
        <f t="shared" si="126"/>
        <v>LA</v>
      </c>
    </row>
    <row r="2909" spans="1:6" x14ac:dyDescent="0.25">
      <c r="A2909" t="str">
        <f>"003038311"</f>
        <v>003038311</v>
      </c>
      <c r="B2909" t="str">
        <f>"1093071250"</f>
        <v>1093071250</v>
      </c>
      <c r="C2909" t="str">
        <f>"2080P0202X"</f>
        <v>2080P0202X</v>
      </c>
      <c r="D2909" t="str">
        <f>"POWELL                   SHANNON      K           "</f>
        <v xml:space="preserve">POWELL                   SHANNON      K           </v>
      </c>
      <c r="E2909" t="str">
        <f>"NEW ORLEANS               "</f>
        <v xml:space="preserve">NEW ORLEANS               </v>
      </c>
      <c r="F2909" t="str">
        <f t="shared" si="126"/>
        <v>LA</v>
      </c>
    </row>
    <row r="2910" spans="1:6" x14ac:dyDescent="0.25">
      <c r="A2910" t="str">
        <f>"003071001"</f>
        <v>003071001</v>
      </c>
      <c r="B2910" t="str">
        <f>"1619963204"</f>
        <v>1619963204</v>
      </c>
      <c r="C2910" t="str">
        <f>"2085R0202X"</f>
        <v>2085R0202X</v>
      </c>
      <c r="D2910" t="str">
        <f>"MORALES                  ROBERT       E           "</f>
        <v xml:space="preserve">MORALES                  ROBERT       E           </v>
      </c>
      <c r="E2910" t="str">
        <f>"NEW ORLEANS               "</f>
        <v xml:space="preserve">NEW ORLEANS               </v>
      </c>
      <c r="F2910" t="str">
        <f t="shared" si="126"/>
        <v>LA</v>
      </c>
    </row>
    <row r="2911" spans="1:6" x14ac:dyDescent="0.25">
      <c r="A2911" t="str">
        <f>"003075014"</f>
        <v>003075014</v>
      </c>
      <c r="B2911" t="str">
        <f>"1902125834"</f>
        <v>1902125834</v>
      </c>
      <c r="C2911" t="str">
        <f>"207RP1001X"</f>
        <v>207RP1001X</v>
      </c>
      <c r="D2911" t="str">
        <f>"CREEK                    GRADY        P           "</f>
        <v xml:space="preserve">CREEK                    GRADY        P           </v>
      </c>
      <c r="E2911" t="str">
        <f>"NEW ORLEANS               "</f>
        <v xml:space="preserve">NEW ORLEANS               </v>
      </c>
      <c r="F2911" t="str">
        <f t="shared" si="126"/>
        <v>LA</v>
      </c>
    </row>
    <row r="2912" spans="1:6" x14ac:dyDescent="0.25">
      <c r="A2912" t="str">
        <f>"003076556"</f>
        <v>003076556</v>
      </c>
      <c r="B2912" t="str">
        <f>"1639379209"</f>
        <v>1639379209</v>
      </c>
      <c r="C2912" t="str">
        <f>"2085R0202X"</f>
        <v>2085R0202X</v>
      </c>
      <c r="D2912" t="str">
        <f>"MANKINEN                 RICHARD      W           "</f>
        <v xml:space="preserve">MANKINEN                 RICHARD      W           </v>
      </c>
      <c r="E2912" t="str">
        <f>"SLIDELL                   "</f>
        <v xml:space="preserve">SLIDELL                   </v>
      </c>
      <c r="F2912" t="str">
        <f t="shared" si="126"/>
        <v>LA</v>
      </c>
    </row>
    <row r="2913" spans="1:6" x14ac:dyDescent="0.25">
      <c r="A2913" t="str">
        <f>"003088749"</f>
        <v>003088749</v>
      </c>
      <c r="B2913" t="str">
        <f>"1346792660"</f>
        <v>1346792660</v>
      </c>
      <c r="C2913" t="str">
        <f>"363L00000X"</f>
        <v>363L00000X</v>
      </c>
      <c r="D2913" t="str">
        <f>"GILL                     ERIN         E           "</f>
        <v xml:space="preserve">GILL                     ERIN         E           </v>
      </c>
      <c r="E2913" t="str">
        <f>"COVINGTON                 "</f>
        <v xml:space="preserve">COVINGTON                 </v>
      </c>
      <c r="F2913" t="str">
        <f t="shared" si="126"/>
        <v>LA</v>
      </c>
    </row>
    <row r="2914" spans="1:6" x14ac:dyDescent="0.25">
      <c r="A2914" t="str">
        <f>"003101509"</f>
        <v>003101509</v>
      </c>
      <c r="B2914" t="str">
        <f>"1376939793"</f>
        <v>1376939793</v>
      </c>
      <c r="C2914" t="str">
        <f>"207Q00000X"</f>
        <v>207Q00000X</v>
      </c>
      <c r="D2914" t="str">
        <f>"WALKER                   QUINTISHA    M           "</f>
        <v xml:space="preserve">WALKER                   QUINTISHA    M           </v>
      </c>
      <c r="E2914" t="str">
        <f>"JEFFERSON                 "</f>
        <v xml:space="preserve">JEFFERSON                 </v>
      </c>
      <c r="F2914" t="str">
        <f t="shared" si="126"/>
        <v>LA</v>
      </c>
    </row>
    <row r="2915" spans="1:6" x14ac:dyDescent="0.25">
      <c r="A2915" t="str">
        <f>"003104325"</f>
        <v>003104325</v>
      </c>
      <c r="B2915" t="str">
        <f>"1386273357"</f>
        <v>1386273357</v>
      </c>
      <c r="C2915" t="str">
        <f>"367500000X"</f>
        <v>367500000X</v>
      </c>
      <c r="D2915" t="str">
        <f>"CURLIN                   BRITTNEY     R           "</f>
        <v xml:space="preserve">CURLIN                   BRITTNEY     R           </v>
      </c>
      <c r="E2915" t="str">
        <f>"NEW ORLEANS               "</f>
        <v xml:space="preserve">NEW ORLEANS               </v>
      </c>
      <c r="F2915" t="str">
        <f t="shared" si="126"/>
        <v>LA</v>
      </c>
    </row>
    <row r="2916" spans="1:6" x14ac:dyDescent="0.25">
      <c r="A2916" t="str">
        <f>"003104797"</f>
        <v>003104797</v>
      </c>
      <c r="B2916" t="str">
        <f>"1184824633"</f>
        <v>1184824633</v>
      </c>
      <c r="C2916" t="str">
        <f>"207Q00000X"</f>
        <v>207Q00000X</v>
      </c>
      <c r="D2916" t="str">
        <f>"ITUAH                    IJEOMA                   "</f>
        <v xml:space="preserve">ITUAH                    IJEOMA                   </v>
      </c>
      <c r="E2916" t="str">
        <f>"KENNER                    "</f>
        <v xml:space="preserve">KENNER                    </v>
      </c>
      <c r="F2916" t="str">
        <f t="shared" si="126"/>
        <v>LA</v>
      </c>
    </row>
    <row r="2917" spans="1:6" x14ac:dyDescent="0.25">
      <c r="A2917" t="str">
        <f>"003134568"</f>
        <v>003134568</v>
      </c>
      <c r="B2917" t="str">
        <f>"1376097758"</f>
        <v>1376097758</v>
      </c>
      <c r="C2917" t="str">
        <f>"207P00000X"</f>
        <v>207P00000X</v>
      </c>
      <c r="D2917" t="str">
        <f>"PASTORE                  ASHLEY       N           "</f>
        <v xml:space="preserve">PASTORE                  ASHLEY       N           </v>
      </c>
      <c r="E2917" t="str">
        <f>"NEW ORLEANS               "</f>
        <v xml:space="preserve">NEW ORLEANS               </v>
      </c>
      <c r="F2917" t="str">
        <f t="shared" si="126"/>
        <v>LA</v>
      </c>
    </row>
    <row r="2918" spans="1:6" x14ac:dyDescent="0.25">
      <c r="A2918" t="str">
        <f>"003155337"</f>
        <v>003155337</v>
      </c>
      <c r="B2918" t="str">
        <f>"1285079582"</f>
        <v>1285079582</v>
      </c>
      <c r="C2918" t="str">
        <f>"2084P0800X"</f>
        <v>2084P0800X</v>
      </c>
      <c r="D2918" t="str">
        <f>"WALDMAN                  DANIEL       I           "</f>
        <v xml:space="preserve">WALDMAN                  DANIEL       I           </v>
      </c>
      <c r="E2918" t="str">
        <f>"LULING                    "</f>
        <v xml:space="preserve">LULING                    </v>
      </c>
      <c r="F2918" t="str">
        <f t="shared" si="126"/>
        <v>LA</v>
      </c>
    </row>
    <row r="2919" spans="1:6" x14ac:dyDescent="0.25">
      <c r="A2919" t="str">
        <f>"003170221"</f>
        <v>003170221</v>
      </c>
      <c r="B2919" t="str">
        <f>"1144413840"</f>
        <v>1144413840</v>
      </c>
      <c r="C2919" t="str">
        <f>"207ZP0105X"</f>
        <v>207ZP0105X</v>
      </c>
      <c r="D2919" t="str">
        <f>"GARIB GURREA             GEORGE                   "</f>
        <v xml:space="preserve">GARIB GURREA             GEORGE                   </v>
      </c>
      <c r="E2919" t="str">
        <f>"NEW ORLEANS               "</f>
        <v xml:space="preserve">NEW ORLEANS               </v>
      </c>
      <c r="F2919" t="str">
        <f t="shared" si="126"/>
        <v>LA</v>
      </c>
    </row>
    <row r="2920" spans="1:6" x14ac:dyDescent="0.25">
      <c r="A2920" t="str">
        <f>"003200320"</f>
        <v>003200320</v>
      </c>
      <c r="B2920" t="str">
        <f>"1013283456"</f>
        <v>1013283456</v>
      </c>
      <c r="C2920" t="str">
        <f>"208000000X"</f>
        <v>208000000X</v>
      </c>
      <c r="D2920" t="str">
        <f>"RAISINGANI               MANISH       G           "</f>
        <v xml:space="preserve">RAISINGANI               MANISH       G           </v>
      </c>
      <c r="E2920" t="str">
        <f>"BATON ROUGE               "</f>
        <v xml:space="preserve">BATON ROUGE               </v>
      </c>
      <c r="F2920" t="str">
        <f t="shared" si="126"/>
        <v>LA</v>
      </c>
    </row>
    <row r="2921" spans="1:6" x14ac:dyDescent="0.25">
      <c r="A2921" t="str">
        <f>"003223364"</f>
        <v>003223364</v>
      </c>
      <c r="B2921" t="str">
        <f>"1548298029"</f>
        <v>1548298029</v>
      </c>
      <c r="C2921" t="str">
        <f>"207R00000X"</f>
        <v>207R00000X</v>
      </c>
      <c r="D2921" t="str">
        <f>"THOMAS                   AUSTIN       C           "</f>
        <v xml:space="preserve">THOMAS                   AUSTIN       C           </v>
      </c>
      <c r="E2921" t="str">
        <f>"NEW ORLEANS               "</f>
        <v xml:space="preserve">NEW ORLEANS               </v>
      </c>
      <c r="F2921" t="str">
        <f t="shared" si="126"/>
        <v>LA</v>
      </c>
    </row>
    <row r="2922" spans="1:6" x14ac:dyDescent="0.25">
      <c r="A2922" t="str">
        <f>"003231725"</f>
        <v>003231725</v>
      </c>
      <c r="B2922" t="str">
        <f>"1407983216"</f>
        <v>1407983216</v>
      </c>
      <c r="C2922" t="str">
        <f>"2085R0202X"</f>
        <v>2085R0202X</v>
      </c>
      <c r="D2922" t="str">
        <f>"OGDEN                    BRIAN                    "</f>
        <v xml:space="preserve">OGDEN                    BRIAN                    </v>
      </c>
      <c r="E2922" t="str">
        <f>"NEW ORLEANS               "</f>
        <v xml:space="preserve">NEW ORLEANS               </v>
      </c>
      <c r="F2922" t="str">
        <f t="shared" si="126"/>
        <v>LA</v>
      </c>
    </row>
    <row r="2923" spans="1:6" x14ac:dyDescent="0.25">
      <c r="A2923" t="str">
        <f>"003232234"</f>
        <v>003232234</v>
      </c>
      <c r="B2923" t="str">
        <f>"1326261355"</f>
        <v>1326261355</v>
      </c>
      <c r="C2923" t="str">
        <f>"367500000X"</f>
        <v>367500000X</v>
      </c>
      <c r="D2923" t="str">
        <f>"CARTER                   BENJAMIN     M           "</f>
        <v xml:space="preserve">CARTER                   BENJAMIN     M           </v>
      </c>
      <c r="E2923" t="str">
        <f>"HAMMOND                   "</f>
        <v xml:space="preserve">HAMMOND                   </v>
      </c>
      <c r="F2923" t="str">
        <f t="shared" si="126"/>
        <v>LA</v>
      </c>
    </row>
    <row r="2924" spans="1:6" x14ac:dyDescent="0.25">
      <c r="A2924" t="str">
        <f>"003239088"</f>
        <v>003239088</v>
      </c>
      <c r="B2924" t="str">
        <f>"1780842484"</f>
        <v>1780842484</v>
      </c>
      <c r="C2924" t="str">
        <f>"207P00000X"</f>
        <v>207P00000X</v>
      </c>
      <c r="D2924" t="str">
        <f>"PIZZA                    ANDREW       J           "</f>
        <v xml:space="preserve">PIZZA                    ANDREW       J           </v>
      </c>
      <c r="E2924" t="str">
        <f>"SLIDELL                   "</f>
        <v xml:space="preserve">SLIDELL                   </v>
      </c>
      <c r="F2924" t="str">
        <f t="shared" si="126"/>
        <v>LA</v>
      </c>
    </row>
    <row r="2925" spans="1:6" x14ac:dyDescent="0.25">
      <c r="A2925" t="str">
        <f>"003257575"</f>
        <v>003257575</v>
      </c>
      <c r="B2925" t="str">
        <f>"1679537336"</f>
        <v>1679537336</v>
      </c>
      <c r="C2925" t="str">
        <f>"208000000X"</f>
        <v>208000000X</v>
      </c>
      <c r="D2925" t="str">
        <f>"LEBRETON                 ALICE        P           "</f>
        <v xml:space="preserve">LEBRETON                 ALICE        P           </v>
      </c>
      <c r="E2925" t="str">
        <f>"SLIDELL                   "</f>
        <v xml:space="preserve">SLIDELL                   </v>
      </c>
      <c r="F2925" t="str">
        <f t="shared" si="126"/>
        <v>LA</v>
      </c>
    </row>
    <row r="2926" spans="1:6" x14ac:dyDescent="0.25">
      <c r="A2926" t="str">
        <f>"003258892"</f>
        <v>003258892</v>
      </c>
      <c r="B2926" t="str">
        <f>"1881124873"</f>
        <v>1881124873</v>
      </c>
      <c r="C2926" t="str">
        <f>"363L00000X"</f>
        <v>363L00000X</v>
      </c>
      <c r="D2926" t="str">
        <f>"WILD                     BRITTANI     M           "</f>
        <v xml:space="preserve">WILD                     BRITTANI     M           </v>
      </c>
      <c r="E2926" t="str">
        <f>"NEW ORLEANS               "</f>
        <v xml:space="preserve">NEW ORLEANS               </v>
      </c>
      <c r="F2926" t="str">
        <f t="shared" si="126"/>
        <v>LA</v>
      </c>
    </row>
    <row r="2927" spans="1:6" x14ac:dyDescent="0.25">
      <c r="A2927" t="str">
        <f>"003281701"</f>
        <v>003281701</v>
      </c>
      <c r="B2927" t="str">
        <f>"1427280726"</f>
        <v>1427280726</v>
      </c>
      <c r="C2927" t="str">
        <f>"363L00000X"</f>
        <v>363L00000X</v>
      </c>
      <c r="D2927" t="str">
        <f>"SULLIVAN                 BETH         C           "</f>
        <v xml:space="preserve">SULLIVAN                 BETH         C           </v>
      </c>
      <c r="E2927" t="str">
        <f>"METAIRIE                  "</f>
        <v xml:space="preserve">METAIRIE                  </v>
      </c>
      <c r="F2927" t="str">
        <f t="shared" si="126"/>
        <v>LA</v>
      </c>
    </row>
    <row r="2928" spans="1:6" x14ac:dyDescent="0.25">
      <c r="A2928" t="str">
        <f>"003301871"</f>
        <v>003301871</v>
      </c>
      <c r="B2928" t="str">
        <f>"1144737917"</f>
        <v>1144737917</v>
      </c>
      <c r="C2928" t="str">
        <f>"367500000X"</f>
        <v>367500000X</v>
      </c>
      <c r="D2928" t="str">
        <f>"HICKMAN                  CLINT                    "</f>
        <v xml:space="preserve">HICKMAN                  CLINT                    </v>
      </c>
      <c r="E2928" t="str">
        <f>"COVINGTON                 "</f>
        <v xml:space="preserve">COVINGTON                 </v>
      </c>
      <c r="F2928" t="str">
        <f t="shared" si="126"/>
        <v>LA</v>
      </c>
    </row>
    <row r="2929" spans="1:6" x14ac:dyDescent="0.25">
      <c r="A2929" t="str">
        <f>"003306709"</f>
        <v>003306709</v>
      </c>
      <c r="B2929" t="str">
        <f>"1740821933"</f>
        <v>1740821933</v>
      </c>
      <c r="C2929" t="str">
        <f>"363L00000X"</f>
        <v>363L00000X</v>
      </c>
      <c r="D2929" t="str">
        <f>"BATEMAN                  SHELBY       R           "</f>
        <v xml:space="preserve">BATEMAN                  SHELBY       R           </v>
      </c>
      <c r="E2929" t="str">
        <f>"SLIDELL                   "</f>
        <v xml:space="preserve">SLIDELL                   </v>
      </c>
      <c r="F2929" t="str">
        <f t="shared" si="126"/>
        <v>LA</v>
      </c>
    </row>
    <row r="2930" spans="1:6" x14ac:dyDescent="0.25">
      <c r="A2930" t="str">
        <f>"003309819"</f>
        <v>003309819</v>
      </c>
      <c r="B2930" t="str">
        <f>"1972846426"</f>
        <v>1972846426</v>
      </c>
      <c r="C2930" t="str">
        <f>"207R00000X"</f>
        <v>207R00000X</v>
      </c>
      <c r="D2930" t="str">
        <f>"SHIH                     LOWELL       B           "</f>
        <v xml:space="preserve">SHIH                     LOWELL       B           </v>
      </c>
      <c r="E2930" t="str">
        <f>"COVINGTON                 "</f>
        <v xml:space="preserve">COVINGTON                 </v>
      </c>
      <c r="F2930" t="str">
        <f t="shared" si="126"/>
        <v>LA</v>
      </c>
    </row>
    <row r="2931" spans="1:6" x14ac:dyDescent="0.25">
      <c r="A2931" t="str">
        <f>"003351575"</f>
        <v>003351575</v>
      </c>
      <c r="B2931" t="str">
        <f>"1508388737"</f>
        <v>1508388737</v>
      </c>
      <c r="C2931" t="str">
        <f>"367500000X"</f>
        <v>367500000X</v>
      </c>
      <c r="D2931" t="str">
        <f>"HALL                     JAMES        C           "</f>
        <v xml:space="preserve">HALL                     JAMES        C           </v>
      </c>
      <c r="E2931" t="str">
        <f>"COVINGTON                 "</f>
        <v xml:space="preserve">COVINGTON                 </v>
      </c>
      <c r="F2931" t="str">
        <f t="shared" si="126"/>
        <v>LA</v>
      </c>
    </row>
    <row r="2932" spans="1:6" x14ac:dyDescent="0.25">
      <c r="A2932" t="str">
        <f>"003353341"</f>
        <v>003353341</v>
      </c>
      <c r="B2932" t="str">
        <f>"1639134356"</f>
        <v>1639134356</v>
      </c>
      <c r="C2932" t="str">
        <f>"2085R0202X"</f>
        <v>2085R0202X</v>
      </c>
      <c r="D2932" t="str">
        <f>"BROWN                    JASON        A           "</f>
        <v xml:space="preserve">BROWN                    JASON        A           </v>
      </c>
      <c r="E2932" t="str">
        <f>"BATON ROUGE               "</f>
        <v xml:space="preserve">BATON ROUGE               </v>
      </c>
      <c r="F2932" t="str">
        <f t="shared" si="126"/>
        <v>LA</v>
      </c>
    </row>
    <row r="2933" spans="1:6" x14ac:dyDescent="0.25">
      <c r="A2933" t="str">
        <f>"003353568"</f>
        <v>003353568</v>
      </c>
      <c r="B2933" t="str">
        <f>"1154533438"</f>
        <v>1154533438</v>
      </c>
      <c r="C2933" t="str">
        <f>"207R00000X"</f>
        <v>207R00000X</v>
      </c>
      <c r="D2933" t="str">
        <f>"O'NEAL                   JEREMY                   "</f>
        <v xml:space="preserve">O'NEAL                   JEREMY                   </v>
      </c>
      <c r="E2933" t="str">
        <f>"BATON ROUGE               "</f>
        <v xml:space="preserve">BATON ROUGE               </v>
      </c>
      <c r="F2933" t="str">
        <f t="shared" si="126"/>
        <v>LA</v>
      </c>
    </row>
    <row r="2934" spans="1:6" x14ac:dyDescent="0.25">
      <c r="A2934" t="str">
        <f>"003379578"</f>
        <v>003379578</v>
      </c>
      <c r="B2934" t="str">
        <f>"1154639839"</f>
        <v>1154639839</v>
      </c>
      <c r="C2934" t="str">
        <f>"207RR0500X"</f>
        <v>207RR0500X</v>
      </c>
      <c r="D2934" t="str">
        <f>"THIAGARAJAN              SARAVANAN                "</f>
        <v xml:space="preserve">THIAGARAJAN              SARAVANAN                </v>
      </c>
      <c r="E2934" t="str">
        <f>"BATON ROUGE               "</f>
        <v xml:space="preserve">BATON ROUGE               </v>
      </c>
      <c r="F2934" t="str">
        <f t="shared" si="126"/>
        <v>LA</v>
      </c>
    </row>
    <row r="2935" spans="1:6" x14ac:dyDescent="0.25">
      <c r="A2935" t="str">
        <f>"003400891"</f>
        <v>003400891</v>
      </c>
      <c r="B2935" t="str">
        <f>"1225228133"</f>
        <v>1225228133</v>
      </c>
      <c r="C2935" t="str">
        <f>"207L00000X"</f>
        <v>207L00000X</v>
      </c>
      <c r="D2935" t="str">
        <f>"CAROLLO                  DOMINIC      J           "</f>
        <v xml:space="preserve">CAROLLO                  DOMINIC      J           </v>
      </c>
      <c r="E2935" t="str">
        <f t="shared" ref="E2935:E2940" si="127">"NEW ORLEANS               "</f>
        <v xml:space="preserve">NEW ORLEANS               </v>
      </c>
      <c r="F2935" t="str">
        <f t="shared" si="126"/>
        <v>LA</v>
      </c>
    </row>
    <row r="2936" spans="1:6" x14ac:dyDescent="0.25">
      <c r="A2936" t="str">
        <f>"003401764"</f>
        <v>003401764</v>
      </c>
      <c r="B2936" t="str">
        <f>"1750863338"</f>
        <v>1750863338</v>
      </c>
      <c r="C2936" t="str">
        <f>"363A00000X"</f>
        <v>363A00000X</v>
      </c>
      <c r="D2936" t="str">
        <f>"MESSONNIER               ALLISON      N           "</f>
        <v xml:space="preserve">MESSONNIER               ALLISON      N           </v>
      </c>
      <c r="E2936" t="str">
        <f t="shared" si="127"/>
        <v xml:space="preserve">NEW ORLEANS               </v>
      </c>
      <c r="F2936" t="str">
        <f t="shared" si="126"/>
        <v>LA</v>
      </c>
    </row>
    <row r="2937" spans="1:6" x14ac:dyDescent="0.25">
      <c r="A2937" t="str">
        <f>"003402555"</f>
        <v>003402555</v>
      </c>
      <c r="B2937" t="str">
        <f>"1962829846"</f>
        <v>1962829846</v>
      </c>
      <c r="C2937" t="str">
        <f>"207R00000X"</f>
        <v>207R00000X</v>
      </c>
      <c r="D2937" t="str">
        <f>"LEONARD                  ALLISON      E           "</f>
        <v xml:space="preserve">LEONARD                  ALLISON      E           </v>
      </c>
      <c r="E2937" t="str">
        <f t="shared" si="127"/>
        <v xml:space="preserve">NEW ORLEANS               </v>
      </c>
      <c r="F2937" t="str">
        <f t="shared" si="126"/>
        <v>LA</v>
      </c>
    </row>
    <row r="2938" spans="1:6" x14ac:dyDescent="0.25">
      <c r="A2938" t="str">
        <f>"003402734"</f>
        <v>003402734</v>
      </c>
      <c r="B2938" t="str">
        <f>"1821478918"</f>
        <v>1821478918</v>
      </c>
      <c r="C2938" t="str">
        <f>"2085R0202X"</f>
        <v>2085R0202X</v>
      </c>
      <c r="D2938" t="str">
        <f>"AUDIN                    CRAIG        R           "</f>
        <v xml:space="preserve">AUDIN                    CRAIG        R           </v>
      </c>
      <c r="E2938" t="str">
        <f t="shared" si="127"/>
        <v xml:space="preserve">NEW ORLEANS               </v>
      </c>
      <c r="F2938" t="str">
        <f t="shared" si="126"/>
        <v>LA</v>
      </c>
    </row>
    <row r="2939" spans="1:6" x14ac:dyDescent="0.25">
      <c r="A2939" t="str">
        <f>"003403513"</f>
        <v>003403513</v>
      </c>
      <c r="B2939" t="str">
        <f>"1477994648"</f>
        <v>1477994648</v>
      </c>
      <c r="C2939" t="str">
        <f>"367500000X"</f>
        <v>367500000X</v>
      </c>
      <c r="D2939" t="str">
        <f>"ADAMS                    ASHLEY       L           "</f>
        <v xml:space="preserve">ADAMS                    ASHLEY       L           </v>
      </c>
      <c r="E2939" t="str">
        <f t="shared" si="127"/>
        <v xml:space="preserve">NEW ORLEANS               </v>
      </c>
      <c r="F2939" t="str">
        <f t="shared" si="126"/>
        <v>LA</v>
      </c>
    </row>
    <row r="2940" spans="1:6" x14ac:dyDescent="0.25">
      <c r="A2940" t="str">
        <f>"003406247"</f>
        <v>003406247</v>
      </c>
      <c r="B2940" t="str">
        <f>"1598290009"</f>
        <v>1598290009</v>
      </c>
      <c r="C2940" t="str">
        <f>"363A00000X"</f>
        <v>363A00000X</v>
      </c>
      <c r="D2940" t="str">
        <f>"BRADBURN                 MARKHAM      D           "</f>
        <v xml:space="preserve">BRADBURN                 MARKHAM      D           </v>
      </c>
      <c r="E2940" t="str">
        <f t="shared" si="127"/>
        <v xml:space="preserve">NEW ORLEANS               </v>
      </c>
      <c r="F2940" t="str">
        <f t="shared" si="126"/>
        <v>LA</v>
      </c>
    </row>
    <row r="2941" spans="1:6" x14ac:dyDescent="0.25">
      <c r="A2941" t="str">
        <f>"003434738"</f>
        <v>003434738</v>
      </c>
      <c r="B2941" t="str">
        <f>"1083879175"</f>
        <v>1083879175</v>
      </c>
      <c r="C2941" t="str">
        <f>"207RC0000X"</f>
        <v>207RC0000X</v>
      </c>
      <c r="D2941" t="str">
        <f>"ZHENG                    ZHE                      "</f>
        <v xml:space="preserve">ZHENG                    ZHE                      </v>
      </c>
      <c r="E2941" t="str">
        <f>"BATON ROUGE               "</f>
        <v xml:space="preserve">BATON ROUGE               </v>
      </c>
      <c r="F2941" t="str">
        <f t="shared" si="126"/>
        <v>LA</v>
      </c>
    </row>
    <row r="2942" spans="1:6" x14ac:dyDescent="0.25">
      <c r="A2942" t="str">
        <f>"003451055"</f>
        <v>003451055</v>
      </c>
      <c r="B2942" t="str">
        <f>"1245675834"</f>
        <v>1245675834</v>
      </c>
      <c r="C2942" t="str">
        <f>"207N00000X"</f>
        <v>207N00000X</v>
      </c>
      <c r="D2942" t="str">
        <f>"HILL                     INDIA        M           "</f>
        <v xml:space="preserve">HILL                     INDIA        M           </v>
      </c>
      <c r="E2942" t="str">
        <f>"NEW ORLEANS               "</f>
        <v xml:space="preserve">NEW ORLEANS               </v>
      </c>
      <c r="F2942" t="str">
        <f t="shared" si="126"/>
        <v>LA</v>
      </c>
    </row>
    <row r="2943" spans="1:6" x14ac:dyDescent="0.25">
      <c r="A2943" t="str">
        <f>"003456736"</f>
        <v>003456736</v>
      </c>
      <c r="B2943" t="str">
        <f>"1669541231"</f>
        <v>1669541231</v>
      </c>
      <c r="C2943" t="str">
        <f>"122300000X"</f>
        <v>122300000X</v>
      </c>
      <c r="D2943" t="str">
        <f>"KING                     BRETT                    "</f>
        <v xml:space="preserve">KING                     BRETT                    </v>
      </c>
      <c r="E2943" t="str">
        <f>"NEW ORLEANS               "</f>
        <v xml:space="preserve">NEW ORLEANS               </v>
      </c>
      <c r="F2943" t="str">
        <f t="shared" si="126"/>
        <v>LA</v>
      </c>
    </row>
    <row r="2944" spans="1:6" x14ac:dyDescent="0.25">
      <c r="A2944" t="str">
        <f>"003474520"</f>
        <v>003474520</v>
      </c>
      <c r="B2944" t="str">
        <f>"1366655169"</f>
        <v>1366655169</v>
      </c>
      <c r="C2944" t="str">
        <f>"207K00000X"</f>
        <v>207K00000X</v>
      </c>
      <c r="D2944" t="str">
        <f>"MONTELIBANO              LAWRENCE     E           "</f>
        <v xml:space="preserve">MONTELIBANO              LAWRENCE     E           </v>
      </c>
      <c r="E2944" t="str">
        <f>"NEW ORLEANS               "</f>
        <v xml:space="preserve">NEW ORLEANS               </v>
      </c>
      <c r="F2944" t="str">
        <f t="shared" si="126"/>
        <v>LA</v>
      </c>
    </row>
    <row r="2945" spans="1:6" x14ac:dyDescent="0.25">
      <c r="A2945" t="str">
        <f>"003500001"</f>
        <v>003500001</v>
      </c>
      <c r="B2945" t="str">
        <f>"1679797385"</f>
        <v>1679797385</v>
      </c>
      <c r="C2945" t="str">
        <f>"207X00000X"</f>
        <v>207X00000X</v>
      </c>
      <c r="D2945" t="str">
        <f>"GUEVARA                  BENJAMIN     G           "</f>
        <v xml:space="preserve">GUEVARA                  BENJAMIN     G           </v>
      </c>
      <c r="E2945" t="str">
        <f>"SLIDELL                   "</f>
        <v xml:space="preserve">SLIDELL                   </v>
      </c>
      <c r="F2945" t="str">
        <f t="shared" si="126"/>
        <v>LA</v>
      </c>
    </row>
    <row r="2946" spans="1:6" x14ac:dyDescent="0.25">
      <c r="A2946" t="str">
        <f>"003504835"</f>
        <v>003504835</v>
      </c>
      <c r="B2946" t="str">
        <f>"1659574739"</f>
        <v>1659574739</v>
      </c>
      <c r="C2946" t="str">
        <f>"207SG0201X"</f>
        <v>207SG0201X</v>
      </c>
      <c r="D2946" t="str">
        <f>"ZAMBRANO                 REGINA       M           "</f>
        <v xml:space="preserve">ZAMBRANO                 REGINA       M           </v>
      </c>
      <c r="E2946" t="str">
        <f t="shared" ref="E2946:E2951" si="128">"NEW ORLEANS               "</f>
        <v xml:space="preserve">NEW ORLEANS               </v>
      </c>
      <c r="F2946" t="str">
        <f t="shared" si="126"/>
        <v>LA</v>
      </c>
    </row>
    <row r="2947" spans="1:6" x14ac:dyDescent="0.25">
      <c r="A2947" t="str">
        <f>"003533776"</f>
        <v>003533776</v>
      </c>
      <c r="B2947" t="str">
        <f>"1285855973"</f>
        <v>1285855973</v>
      </c>
      <c r="C2947" t="str">
        <f>"2084N0400X"</f>
        <v>2084N0400X</v>
      </c>
      <c r="D2947" t="str">
        <f>"DARIN                    MICHAEL      E           "</f>
        <v xml:space="preserve">DARIN                    MICHAEL      E           </v>
      </c>
      <c r="E2947" t="str">
        <f t="shared" si="128"/>
        <v xml:space="preserve">NEW ORLEANS               </v>
      </c>
      <c r="F2947" t="str">
        <f t="shared" si="126"/>
        <v>LA</v>
      </c>
    </row>
    <row r="2948" spans="1:6" x14ac:dyDescent="0.25">
      <c r="A2948" t="str">
        <f>"003538275"</f>
        <v>003538275</v>
      </c>
      <c r="B2948" t="str">
        <f>"1962469890"</f>
        <v>1962469890</v>
      </c>
      <c r="C2948" t="str">
        <f>"363L00000X"</f>
        <v>363L00000X</v>
      </c>
      <c r="D2948" t="str">
        <f>"ALEXANDER                PEGGY        A           "</f>
        <v xml:space="preserve">ALEXANDER                PEGGY        A           </v>
      </c>
      <c r="E2948" t="str">
        <f t="shared" si="128"/>
        <v xml:space="preserve">NEW ORLEANS               </v>
      </c>
      <c r="F2948" t="str">
        <f t="shared" si="126"/>
        <v>LA</v>
      </c>
    </row>
    <row r="2949" spans="1:6" x14ac:dyDescent="0.25">
      <c r="A2949" t="str">
        <f>"003554881"</f>
        <v>003554881</v>
      </c>
      <c r="B2949" t="str">
        <f>"1346565827"</f>
        <v>1346565827</v>
      </c>
      <c r="C2949" t="str">
        <f>"208000000X"</f>
        <v>208000000X</v>
      </c>
      <c r="D2949" t="str">
        <f>"BLANCANEAUX              MICHAEL      C           "</f>
        <v xml:space="preserve">BLANCANEAUX              MICHAEL      C           </v>
      </c>
      <c r="E2949" t="str">
        <f t="shared" si="128"/>
        <v xml:space="preserve">NEW ORLEANS               </v>
      </c>
      <c r="F2949" t="str">
        <f t="shared" si="126"/>
        <v>LA</v>
      </c>
    </row>
    <row r="2950" spans="1:6" x14ac:dyDescent="0.25">
      <c r="A2950" t="str">
        <f>"003572245"</f>
        <v>003572245</v>
      </c>
      <c r="B2950" t="str">
        <f>"1033123021"</f>
        <v>1033123021</v>
      </c>
      <c r="C2950" t="str">
        <f>"367500000X"</f>
        <v>367500000X</v>
      </c>
      <c r="D2950" t="str">
        <f>"JURISICH                 JULIA                    "</f>
        <v xml:space="preserve">JURISICH                 JULIA                    </v>
      </c>
      <c r="E2950" t="str">
        <f t="shared" si="128"/>
        <v xml:space="preserve">NEW ORLEANS               </v>
      </c>
      <c r="F2950" t="str">
        <f t="shared" si="126"/>
        <v>LA</v>
      </c>
    </row>
    <row r="2951" spans="1:6" x14ac:dyDescent="0.25">
      <c r="A2951" t="str">
        <f>"003574275"</f>
        <v>003574275</v>
      </c>
      <c r="B2951" t="str">
        <f>"1326013194"</f>
        <v>1326013194</v>
      </c>
      <c r="C2951" t="str">
        <f>"207L00000X"</f>
        <v>207L00000X</v>
      </c>
      <c r="D2951" t="str">
        <f>"SALCEDO                  LUIS         F           "</f>
        <v xml:space="preserve">SALCEDO                  LUIS         F           </v>
      </c>
      <c r="E2951" t="str">
        <f t="shared" si="128"/>
        <v xml:space="preserve">NEW ORLEANS               </v>
      </c>
      <c r="F2951" t="str">
        <f t="shared" si="126"/>
        <v>LA</v>
      </c>
    </row>
    <row r="2952" spans="1:6" x14ac:dyDescent="0.25">
      <c r="A2952" t="str">
        <f>"003577056"</f>
        <v>003577056</v>
      </c>
      <c r="B2952" t="str">
        <f>"1285639211"</f>
        <v>1285639211</v>
      </c>
      <c r="C2952" t="str">
        <f>"363L00000X"</f>
        <v>363L00000X</v>
      </c>
      <c r="D2952" t="str">
        <f>"SHAFFETT                 TODD         P           "</f>
        <v xml:space="preserve">SHAFFETT                 TODD         P           </v>
      </c>
      <c r="E2952" t="str">
        <f>"BATON ROUGE               "</f>
        <v xml:space="preserve">BATON ROUGE               </v>
      </c>
      <c r="F2952" t="str">
        <f t="shared" si="126"/>
        <v>LA</v>
      </c>
    </row>
    <row r="2953" spans="1:6" x14ac:dyDescent="0.25">
      <c r="A2953" t="str">
        <f>"003578729"</f>
        <v>003578729</v>
      </c>
      <c r="B2953" t="str">
        <f>"1588082226"</f>
        <v>1588082226</v>
      </c>
      <c r="C2953" t="str">
        <f>"207R00000X"</f>
        <v>207R00000X</v>
      </c>
      <c r="D2953" t="str">
        <f>"WHITEHEAD                ALEXANDER    S           "</f>
        <v xml:space="preserve">WHITEHEAD                ALEXANDER    S           </v>
      </c>
      <c r="E2953" t="str">
        <f>"NEW ORLEANS               "</f>
        <v xml:space="preserve">NEW ORLEANS               </v>
      </c>
      <c r="F2953" t="str">
        <f t="shared" si="126"/>
        <v>LA</v>
      </c>
    </row>
    <row r="2954" spans="1:6" x14ac:dyDescent="0.25">
      <c r="A2954" t="str">
        <f>"003580020"</f>
        <v>003580020</v>
      </c>
      <c r="B2954" t="str">
        <f>"1952680423"</f>
        <v>1952680423</v>
      </c>
      <c r="C2954" t="str">
        <f>"207Q00000X"</f>
        <v>207Q00000X</v>
      </c>
      <c r="D2954" t="str">
        <f>"CALHOUN                  ROBERT       W           "</f>
        <v xml:space="preserve">CALHOUN                  ROBERT       W           </v>
      </c>
      <c r="E2954" t="str">
        <f>"TALLULAH                  "</f>
        <v xml:space="preserve">TALLULAH                  </v>
      </c>
      <c r="F2954" t="str">
        <f t="shared" si="126"/>
        <v>LA</v>
      </c>
    </row>
    <row r="2955" spans="1:6" x14ac:dyDescent="0.25">
      <c r="A2955" t="str">
        <f>"003585311"</f>
        <v>003585311</v>
      </c>
      <c r="B2955" t="str">
        <f>"1104034248"</f>
        <v>1104034248</v>
      </c>
      <c r="C2955" t="str">
        <f>"208000000X"</f>
        <v>208000000X</v>
      </c>
      <c r="D2955" t="str">
        <f>"MITCHELL                 TARA         E           "</f>
        <v xml:space="preserve">MITCHELL                 TARA         E           </v>
      </c>
      <c r="E2955" t="str">
        <f>"SLIDELL                   "</f>
        <v xml:space="preserve">SLIDELL                   </v>
      </c>
      <c r="F2955" t="str">
        <f t="shared" si="126"/>
        <v>LA</v>
      </c>
    </row>
    <row r="2956" spans="1:6" x14ac:dyDescent="0.25">
      <c r="A2956" t="str">
        <f>"003589292"</f>
        <v>003589292</v>
      </c>
      <c r="B2956" t="str">
        <f>"1649225418"</f>
        <v>1649225418</v>
      </c>
      <c r="C2956" t="str">
        <f>"208600000X"</f>
        <v>208600000X</v>
      </c>
      <c r="D2956" t="str">
        <f>"PARRINO                  PATRICK      E           "</f>
        <v xml:space="preserve">PARRINO                  PATRICK      E           </v>
      </c>
      <c r="E2956" t="str">
        <f>"NEW ORLEANS               "</f>
        <v xml:space="preserve">NEW ORLEANS               </v>
      </c>
      <c r="F2956" t="str">
        <f t="shared" si="126"/>
        <v>LA</v>
      </c>
    </row>
    <row r="2957" spans="1:6" x14ac:dyDescent="0.25">
      <c r="A2957" t="str">
        <f>"003602767"</f>
        <v>003602767</v>
      </c>
      <c r="B2957" t="str">
        <f>"1164445888"</f>
        <v>1164445888</v>
      </c>
      <c r="C2957" t="str">
        <f>"2085R0202X"</f>
        <v>2085R0202X</v>
      </c>
      <c r="D2957" t="str">
        <f>"SPARKS                   JOHN         D           "</f>
        <v xml:space="preserve">SPARKS                   JOHN         D           </v>
      </c>
      <c r="E2957" t="str">
        <f>"BATON ROUGE               "</f>
        <v xml:space="preserve">BATON ROUGE               </v>
      </c>
      <c r="F2957" t="str">
        <f t="shared" si="126"/>
        <v>LA</v>
      </c>
    </row>
    <row r="2958" spans="1:6" x14ac:dyDescent="0.25">
      <c r="A2958" t="str">
        <f>"003603593"</f>
        <v>003603593</v>
      </c>
      <c r="B2958" t="str">
        <f>"1033101159"</f>
        <v>1033101159</v>
      </c>
      <c r="C2958" t="str">
        <f>"207RC0000X"</f>
        <v>207RC0000X</v>
      </c>
      <c r="D2958" t="str">
        <f>"KJELLGREN                OLLE                     "</f>
        <v xml:space="preserve">KJELLGREN                OLLE                     </v>
      </c>
      <c r="E2958" t="str">
        <f>"NEW ORLEANS               "</f>
        <v xml:space="preserve">NEW ORLEANS               </v>
      </c>
      <c r="F2958" t="str">
        <f t="shared" si="126"/>
        <v>LA</v>
      </c>
    </row>
    <row r="2959" spans="1:6" x14ac:dyDescent="0.25">
      <c r="A2959" t="str">
        <f>"003603741"</f>
        <v>003603741</v>
      </c>
      <c r="B2959" t="str">
        <f>"1821452624"</f>
        <v>1821452624</v>
      </c>
      <c r="C2959" t="str">
        <f>"207P00000X"</f>
        <v>207P00000X</v>
      </c>
      <c r="D2959" t="str">
        <f>"MONG                     BRANDON      J           "</f>
        <v xml:space="preserve">MONG                     BRANDON      J           </v>
      </c>
      <c r="E2959" t="str">
        <f>"COVINGTON                 "</f>
        <v xml:space="preserve">COVINGTON                 </v>
      </c>
      <c r="F2959" t="str">
        <f t="shared" si="126"/>
        <v>LA</v>
      </c>
    </row>
    <row r="2960" spans="1:6" x14ac:dyDescent="0.25">
      <c r="A2960" t="str">
        <f>"003622083"</f>
        <v>003622083</v>
      </c>
      <c r="B2960" t="str">
        <f>"1659710697"</f>
        <v>1659710697</v>
      </c>
      <c r="C2960" t="str">
        <f>"367500000X"</f>
        <v>367500000X</v>
      </c>
      <c r="D2960" t="str">
        <f>"KROBERT                  DAVID        B           "</f>
        <v xml:space="preserve">KROBERT                  DAVID        B           </v>
      </c>
      <c r="E2960" t="str">
        <f>"NEW ORLEANS               "</f>
        <v xml:space="preserve">NEW ORLEANS               </v>
      </c>
      <c r="F2960" t="str">
        <f t="shared" si="126"/>
        <v>LA</v>
      </c>
    </row>
    <row r="2961" spans="1:6" x14ac:dyDescent="0.25">
      <c r="A2961" t="str">
        <f>"003625501"</f>
        <v>003625501</v>
      </c>
      <c r="B2961" t="str">
        <f>"1952967507"</f>
        <v>1952967507</v>
      </c>
      <c r="C2961" t="str">
        <f>"363L00000X"</f>
        <v>363L00000X</v>
      </c>
      <c r="D2961" t="str">
        <f>"PERCLE                   MELISSA      G           "</f>
        <v xml:space="preserve">PERCLE                   MELISSA      G           </v>
      </c>
      <c r="E2961" t="str">
        <f>"CHALMETTE                 "</f>
        <v xml:space="preserve">CHALMETTE                 </v>
      </c>
      <c r="F2961" t="str">
        <f t="shared" si="126"/>
        <v>LA</v>
      </c>
    </row>
    <row r="2962" spans="1:6" x14ac:dyDescent="0.25">
      <c r="A2962" t="str">
        <f>"003632715"</f>
        <v>003632715</v>
      </c>
      <c r="B2962" t="str">
        <f>"1417486812"</f>
        <v>1417486812</v>
      </c>
      <c r="C2962" t="str">
        <f>"207Q00000X"</f>
        <v>207Q00000X</v>
      </c>
      <c r="D2962" t="str">
        <f>"NGUYEN                   VAN          K           "</f>
        <v xml:space="preserve">NGUYEN                   VAN          K           </v>
      </c>
      <c r="E2962" t="str">
        <f>"CHALMETTE                 "</f>
        <v xml:space="preserve">CHALMETTE                 </v>
      </c>
      <c r="F2962" t="str">
        <f t="shared" si="126"/>
        <v>LA</v>
      </c>
    </row>
    <row r="2963" spans="1:6" x14ac:dyDescent="0.25">
      <c r="A2963" t="str">
        <f>"003650514"</f>
        <v>003650514</v>
      </c>
      <c r="B2963" t="str">
        <f>"1760876718"</f>
        <v>1760876718</v>
      </c>
      <c r="C2963" t="str">
        <f>"2084P0800X"</f>
        <v>2084P0800X</v>
      </c>
      <c r="D2963" t="str">
        <f>"HAMMER                   RACHEL       R           "</f>
        <v xml:space="preserve">HAMMER                   RACHEL       R           </v>
      </c>
      <c r="E2963" t="str">
        <f>"JEFFERSON                 "</f>
        <v xml:space="preserve">JEFFERSON                 </v>
      </c>
      <c r="F2963" t="str">
        <f t="shared" si="126"/>
        <v>LA</v>
      </c>
    </row>
    <row r="2964" spans="1:6" x14ac:dyDescent="0.25">
      <c r="A2964" t="str">
        <f>"003653786"</f>
        <v>003653786</v>
      </c>
      <c r="B2964" t="str">
        <f>"1265487789"</f>
        <v>1265487789</v>
      </c>
      <c r="C2964" t="str">
        <f>"207Q00000X"</f>
        <v>207Q00000X</v>
      </c>
      <c r="D2964" t="str">
        <f>"NIKOLIC                  AJSA         A           "</f>
        <v xml:space="preserve">NIKOLIC                  AJSA         A           </v>
      </c>
      <c r="E2964" t="str">
        <f>"NEW ORLEANS               "</f>
        <v xml:space="preserve">NEW ORLEANS               </v>
      </c>
      <c r="F2964" t="str">
        <f t="shared" si="126"/>
        <v>LA</v>
      </c>
    </row>
    <row r="2965" spans="1:6" x14ac:dyDescent="0.25">
      <c r="A2965" t="str">
        <f>"003654542"</f>
        <v>003654542</v>
      </c>
      <c r="B2965" t="str">
        <f>"1477846913"</f>
        <v>1477846913</v>
      </c>
      <c r="C2965" t="str">
        <f>"2085R0001X"</f>
        <v>2085R0001X</v>
      </c>
      <c r="D2965" t="str">
        <f>"MANNINA JR               EDWARD       M           "</f>
        <v xml:space="preserve">MANNINA JR               EDWARD       M           </v>
      </c>
      <c r="E2965" t="str">
        <f>"SLIDELL                   "</f>
        <v xml:space="preserve">SLIDELL                   </v>
      </c>
      <c r="F2965" t="str">
        <f t="shared" si="126"/>
        <v>LA</v>
      </c>
    </row>
    <row r="2966" spans="1:6" x14ac:dyDescent="0.25">
      <c r="A2966" t="str">
        <f>"003659349"</f>
        <v>003659349</v>
      </c>
      <c r="B2966" t="str">
        <f>"1124433974"</f>
        <v>1124433974</v>
      </c>
      <c r="C2966" t="str">
        <f>"2085R0202X"</f>
        <v>2085R0202X</v>
      </c>
      <c r="D2966" t="str">
        <f>"TAYLOR                   PHILIP       K           "</f>
        <v xml:space="preserve">TAYLOR                   PHILIP       K           </v>
      </c>
      <c r="E2966" t="str">
        <f>"NEW ORLEANS               "</f>
        <v xml:space="preserve">NEW ORLEANS               </v>
      </c>
      <c r="F2966" t="str">
        <f t="shared" si="126"/>
        <v>LA</v>
      </c>
    </row>
    <row r="2967" spans="1:6" x14ac:dyDescent="0.25">
      <c r="A2967" t="str">
        <f>"003659802"</f>
        <v>003659802</v>
      </c>
      <c r="B2967" t="str">
        <f>"1558569764"</f>
        <v>1558569764</v>
      </c>
      <c r="C2967" t="str">
        <f>"2080P0206X"</f>
        <v>2080P0206X</v>
      </c>
      <c r="D2967" t="str">
        <f>"TYSON                    PATRICE      J           "</f>
        <v xml:space="preserve">TYSON                    PATRICE      J           </v>
      </c>
      <c r="E2967" t="str">
        <f>"BATON ROUGE               "</f>
        <v xml:space="preserve">BATON ROUGE               </v>
      </c>
      <c r="F2967" t="str">
        <f t="shared" si="126"/>
        <v>LA</v>
      </c>
    </row>
    <row r="2968" spans="1:6" x14ac:dyDescent="0.25">
      <c r="A2968" t="str">
        <f>"003670246"</f>
        <v>003670246</v>
      </c>
      <c r="B2968" t="str">
        <f>"1437561925"</f>
        <v>1437561925</v>
      </c>
      <c r="C2968" t="str">
        <f>"207L00000X"</f>
        <v>207L00000X</v>
      </c>
      <c r="D2968" t="str">
        <f>"TORRES                   PATRICK      A           "</f>
        <v xml:space="preserve">TORRES                   PATRICK      A           </v>
      </c>
      <c r="E2968" t="str">
        <f>"NEW ORLEANS               "</f>
        <v xml:space="preserve">NEW ORLEANS               </v>
      </c>
      <c r="F2968" t="str">
        <f t="shared" si="126"/>
        <v>LA</v>
      </c>
    </row>
    <row r="2969" spans="1:6" x14ac:dyDescent="0.25">
      <c r="A2969" t="str">
        <f>"003704501"</f>
        <v>003704501</v>
      </c>
      <c r="B2969" t="str">
        <f>"1982087755"</f>
        <v>1982087755</v>
      </c>
      <c r="C2969" t="str">
        <f>"207R00000X"</f>
        <v>207R00000X</v>
      </c>
      <c r="D2969" t="str">
        <f>"SAMANT                   HRISHIKESH   V           "</f>
        <v xml:space="preserve">SAMANT                   HRISHIKESH   V           </v>
      </c>
      <c r="E2969" t="str">
        <f>"NEW ORLEANS               "</f>
        <v xml:space="preserve">NEW ORLEANS               </v>
      </c>
      <c r="F2969" t="str">
        <f t="shared" si="126"/>
        <v>LA</v>
      </c>
    </row>
    <row r="2970" spans="1:6" x14ac:dyDescent="0.25">
      <c r="A2970" t="str">
        <f>"003706525"</f>
        <v>003706525</v>
      </c>
      <c r="B2970" t="str">
        <f>"1235453242"</f>
        <v>1235453242</v>
      </c>
      <c r="C2970" t="str">
        <f>"207RG0100X"</f>
        <v>207RG0100X</v>
      </c>
      <c r="D2970" t="str">
        <f>"CARONA                   ADRIENNE     A           "</f>
        <v xml:space="preserve">CARONA                   ADRIENNE     A           </v>
      </c>
      <c r="E2970" t="str">
        <f>"SLIDELL                   "</f>
        <v xml:space="preserve">SLIDELL                   </v>
      </c>
      <c r="F2970" t="str">
        <f t="shared" si="126"/>
        <v>LA</v>
      </c>
    </row>
    <row r="2971" spans="1:6" x14ac:dyDescent="0.25">
      <c r="A2971" t="str">
        <f>"003722317"</f>
        <v>003722317</v>
      </c>
      <c r="B2971" t="str">
        <f>"1043568991"</f>
        <v>1043568991</v>
      </c>
      <c r="C2971" t="str">
        <f>"2085R0202X"</f>
        <v>2085R0202X</v>
      </c>
      <c r="D2971" t="str">
        <f>"BOURGEOIS III            DANIEL       J           "</f>
        <v xml:space="preserve">BOURGEOIS III            DANIEL       J           </v>
      </c>
      <c r="E2971" t="str">
        <f>"SLIDELL                   "</f>
        <v xml:space="preserve">SLIDELL                   </v>
      </c>
      <c r="F2971" t="str">
        <f t="shared" ref="F2971:F3034" si="129">"LA"</f>
        <v>LA</v>
      </c>
    </row>
    <row r="2972" spans="1:6" x14ac:dyDescent="0.25">
      <c r="A2972" t="str">
        <f>"003722898"</f>
        <v>003722898</v>
      </c>
      <c r="B2972" t="str">
        <f>"1962769141"</f>
        <v>1962769141</v>
      </c>
      <c r="C2972" t="str">
        <f>"207RI0200X"</f>
        <v>207RI0200X</v>
      </c>
      <c r="D2972" t="str">
        <f>"HARTMANN                 CARLOS       A           "</f>
        <v xml:space="preserve">HARTMANN                 CARLOS       A           </v>
      </c>
      <c r="E2972" t="str">
        <f>"COVINGTON                 "</f>
        <v xml:space="preserve">COVINGTON                 </v>
      </c>
      <c r="F2972" t="str">
        <f t="shared" si="129"/>
        <v>LA</v>
      </c>
    </row>
    <row r="2973" spans="1:6" x14ac:dyDescent="0.25">
      <c r="A2973" t="str">
        <f>"003737090"</f>
        <v>003737090</v>
      </c>
      <c r="B2973" t="str">
        <f>"1356680896"</f>
        <v>1356680896</v>
      </c>
      <c r="C2973" t="str">
        <f>"363L00000X"</f>
        <v>363L00000X</v>
      </c>
      <c r="D2973" t="str">
        <f>"NEAL                     JACOB                    "</f>
        <v xml:space="preserve">NEAL                     JACOB                    </v>
      </c>
      <c r="E2973" t="str">
        <f>"HAMMOND                   "</f>
        <v xml:space="preserve">HAMMOND                   </v>
      </c>
      <c r="F2973" t="str">
        <f t="shared" si="129"/>
        <v>LA</v>
      </c>
    </row>
    <row r="2974" spans="1:6" x14ac:dyDescent="0.25">
      <c r="A2974" t="str">
        <f>"003737500"</f>
        <v>003737500</v>
      </c>
      <c r="B2974" t="str">
        <f>"1295913564"</f>
        <v>1295913564</v>
      </c>
      <c r="C2974" t="str">
        <f>"2085R0202X"</f>
        <v>2085R0202X</v>
      </c>
      <c r="D2974" t="str">
        <f>"YODZIS                   SHIRLEY                  "</f>
        <v xml:space="preserve">YODZIS                   SHIRLEY                  </v>
      </c>
      <c r="E2974" t="str">
        <f>"NEW ORLEANS               "</f>
        <v xml:space="preserve">NEW ORLEANS               </v>
      </c>
      <c r="F2974" t="str">
        <f t="shared" si="129"/>
        <v>LA</v>
      </c>
    </row>
    <row r="2975" spans="1:6" x14ac:dyDescent="0.25">
      <c r="A2975" t="str">
        <f>"003755332"</f>
        <v>003755332</v>
      </c>
      <c r="B2975" t="str">
        <f>"1467688523"</f>
        <v>1467688523</v>
      </c>
      <c r="C2975" t="str">
        <f>"207R00000X"</f>
        <v>207R00000X</v>
      </c>
      <c r="D2975" t="str">
        <f>"KOTHAPALLI               VIKAS                    "</f>
        <v xml:space="preserve">KOTHAPALLI               VIKAS                    </v>
      </c>
      <c r="E2975" t="str">
        <f>"NEW ORLEANS               "</f>
        <v xml:space="preserve">NEW ORLEANS               </v>
      </c>
      <c r="F2975" t="str">
        <f t="shared" si="129"/>
        <v>LA</v>
      </c>
    </row>
    <row r="2976" spans="1:6" x14ac:dyDescent="0.25">
      <c r="A2976" t="str">
        <f>"003770768"</f>
        <v>003770768</v>
      </c>
      <c r="B2976" t="str">
        <f>"1255511887"</f>
        <v>1255511887</v>
      </c>
      <c r="C2976" t="str">
        <f>"207RC0000X"</f>
        <v>207RC0000X</v>
      </c>
      <c r="D2976" t="str">
        <f>"CASH                     MICHAEL      E           "</f>
        <v xml:space="preserve">CASH                     MICHAEL      E           </v>
      </c>
      <c r="E2976" t="str">
        <f>"NEW ORLEANS               "</f>
        <v xml:space="preserve">NEW ORLEANS               </v>
      </c>
      <c r="F2976" t="str">
        <f t="shared" si="129"/>
        <v>LA</v>
      </c>
    </row>
    <row r="2977" spans="1:6" x14ac:dyDescent="0.25">
      <c r="A2977" t="str">
        <f>"003779892"</f>
        <v>003779892</v>
      </c>
      <c r="B2977" t="str">
        <f>"1538187471"</f>
        <v>1538187471</v>
      </c>
      <c r="C2977" t="str">
        <f>"2085R0202X"</f>
        <v>2085R0202X</v>
      </c>
      <c r="D2977" t="str">
        <f>"LIOKIS                   EVANGELOS    A           "</f>
        <v xml:space="preserve">LIOKIS                   EVANGELOS    A           </v>
      </c>
      <c r="E2977" t="str">
        <f>"COVINGTON                 "</f>
        <v xml:space="preserve">COVINGTON                 </v>
      </c>
      <c r="F2977" t="str">
        <f t="shared" si="129"/>
        <v>LA</v>
      </c>
    </row>
    <row r="2978" spans="1:6" x14ac:dyDescent="0.25">
      <c r="A2978" t="str">
        <f>"003789810"</f>
        <v>003789810</v>
      </c>
      <c r="B2978" t="str">
        <f>"1780212605"</f>
        <v>1780212605</v>
      </c>
      <c r="C2978" t="str">
        <f>"363A00000X"</f>
        <v>363A00000X</v>
      </c>
      <c r="D2978" t="str">
        <f>"RHINEHART                RACHEL       B           "</f>
        <v xml:space="preserve">RHINEHART                RACHEL       B           </v>
      </c>
      <c r="E2978" t="str">
        <f>"NEW ORLEANS               "</f>
        <v xml:space="preserve">NEW ORLEANS               </v>
      </c>
      <c r="F2978" t="str">
        <f t="shared" si="129"/>
        <v>LA</v>
      </c>
    </row>
    <row r="2979" spans="1:6" x14ac:dyDescent="0.25">
      <c r="A2979" t="str">
        <f>"003808245"</f>
        <v>003808245</v>
      </c>
      <c r="B2979" t="str">
        <f>"1588233019"</f>
        <v>1588233019</v>
      </c>
      <c r="C2979" t="str">
        <f>"363A00000X"</f>
        <v>363A00000X</v>
      </c>
      <c r="D2979" t="str">
        <f>"ABEL                     JOSEPH       M           "</f>
        <v xml:space="preserve">ABEL                     JOSEPH       M           </v>
      </c>
      <c r="E2979" t="str">
        <f>"COVINGTON                 "</f>
        <v xml:space="preserve">COVINGTON                 </v>
      </c>
      <c r="F2979" t="str">
        <f t="shared" si="129"/>
        <v>LA</v>
      </c>
    </row>
    <row r="2980" spans="1:6" x14ac:dyDescent="0.25">
      <c r="A2980" t="str">
        <f>"003824026"</f>
        <v>003824026</v>
      </c>
      <c r="B2980" t="str">
        <f>"1700985694"</f>
        <v>1700985694</v>
      </c>
      <c r="C2980" t="str">
        <f>"208000000X"</f>
        <v>208000000X</v>
      </c>
      <c r="D2980" t="str">
        <f>"BEGUE                    CARMEN       R           "</f>
        <v xml:space="preserve">BEGUE                    CARMEN       R           </v>
      </c>
      <c r="E2980" t="str">
        <f>"BATON ROUGE               "</f>
        <v xml:space="preserve">BATON ROUGE               </v>
      </c>
      <c r="F2980" t="str">
        <f t="shared" si="129"/>
        <v>LA</v>
      </c>
    </row>
    <row r="2981" spans="1:6" x14ac:dyDescent="0.25">
      <c r="A2981" t="str">
        <f>"003827796"</f>
        <v>003827796</v>
      </c>
      <c r="B2981" t="str">
        <f>"1750671814"</f>
        <v>1750671814</v>
      </c>
      <c r="C2981" t="str">
        <f>"207Y00000X"</f>
        <v>207Y00000X</v>
      </c>
      <c r="D2981" t="str">
        <f>"D'SOUZA                  JILL         N           "</f>
        <v xml:space="preserve">D'SOUZA                  JILL         N           </v>
      </c>
      <c r="E2981" t="str">
        <f>"NEW ORLEANS               "</f>
        <v xml:space="preserve">NEW ORLEANS               </v>
      </c>
      <c r="F2981" t="str">
        <f t="shared" si="129"/>
        <v>LA</v>
      </c>
    </row>
    <row r="2982" spans="1:6" x14ac:dyDescent="0.25">
      <c r="A2982" t="str">
        <f>"003827891"</f>
        <v>003827891</v>
      </c>
      <c r="B2982" t="str">
        <f>"1346582954"</f>
        <v>1346582954</v>
      </c>
      <c r="C2982" t="str">
        <f>"207P00000X"</f>
        <v>207P00000X</v>
      </c>
      <c r="D2982" t="str">
        <f>"LANGBERG                 SAM          S           "</f>
        <v xml:space="preserve">LANGBERG                 SAM          S           </v>
      </c>
      <c r="E2982" t="str">
        <f>"NEW ORLEANS               "</f>
        <v xml:space="preserve">NEW ORLEANS               </v>
      </c>
      <c r="F2982" t="str">
        <f t="shared" si="129"/>
        <v>LA</v>
      </c>
    </row>
    <row r="2983" spans="1:6" x14ac:dyDescent="0.25">
      <c r="A2983" t="str">
        <f>"003829081"</f>
        <v>003829081</v>
      </c>
      <c r="B2983" t="str">
        <f>"1447574470"</f>
        <v>1447574470</v>
      </c>
      <c r="C2983" t="str">
        <f>"207Y00000X"</f>
        <v>207Y00000X</v>
      </c>
      <c r="D2983" t="str">
        <f>"GARY                     CELESTE      C           "</f>
        <v xml:space="preserve">GARY                     CELESTE      C           </v>
      </c>
      <c r="E2983" t="str">
        <f>"NEW ORLEANS               "</f>
        <v xml:space="preserve">NEW ORLEANS               </v>
      </c>
      <c r="F2983" t="str">
        <f t="shared" si="129"/>
        <v>LA</v>
      </c>
    </row>
    <row r="2984" spans="1:6" x14ac:dyDescent="0.25">
      <c r="A2984" t="str">
        <f>"003835535"</f>
        <v>003835535</v>
      </c>
      <c r="B2984" t="str">
        <f>"1811504657"</f>
        <v>1811504657</v>
      </c>
      <c r="C2984" t="str">
        <f>"363L00000X"</f>
        <v>363L00000X</v>
      </c>
      <c r="D2984" t="str">
        <f>"RASMUSSEN                WILLIAM      L           "</f>
        <v xml:space="preserve">RASMUSSEN                WILLIAM      L           </v>
      </c>
      <c r="E2984" t="str">
        <f>"NEW ORLEANS               "</f>
        <v xml:space="preserve">NEW ORLEANS               </v>
      </c>
      <c r="F2984" t="str">
        <f t="shared" si="129"/>
        <v>LA</v>
      </c>
    </row>
    <row r="2985" spans="1:6" x14ac:dyDescent="0.25">
      <c r="A2985" t="str">
        <f>"003837392"</f>
        <v>003837392</v>
      </c>
      <c r="B2985" t="str">
        <f>"1871857730"</f>
        <v>1871857730</v>
      </c>
      <c r="C2985" t="str">
        <f>"2080N0001X"</f>
        <v>2080N0001X</v>
      </c>
      <c r="D2985" t="str">
        <f>"MASOUMY                  EMILY        P           "</f>
        <v xml:space="preserve">MASOUMY                  EMILY        P           </v>
      </c>
      <c r="E2985" t="str">
        <f>"NEW ORLEANS               "</f>
        <v xml:space="preserve">NEW ORLEANS               </v>
      </c>
      <c r="F2985" t="str">
        <f t="shared" si="129"/>
        <v>LA</v>
      </c>
    </row>
    <row r="2986" spans="1:6" x14ac:dyDescent="0.25">
      <c r="A2986" t="str">
        <f>"003854745"</f>
        <v>003854745</v>
      </c>
      <c r="B2986" t="str">
        <f>"1861447310"</f>
        <v>1861447310</v>
      </c>
      <c r="C2986" t="str">
        <f>"207K00000X"</f>
        <v>207K00000X</v>
      </c>
      <c r="D2986" t="str">
        <f>"REED                     JO           S           "</f>
        <v xml:space="preserve">REED                     JO           S           </v>
      </c>
      <c r="E2986" t="str">
        <f>"BATON ROUGE               "</f>
        <v xml:space="preserve">BATON ROUGE               </v>
      </c>
      <c r="F2986" t="str">
        <f t="shared" si="129"/>
        <v>LA</v>
      </c>
    </row>
    <row r="2987" spans="1:6" x14ac:dyDescent="0.25">
      <c r="A2987" t="str">
        <f>"003873378"</f>
        <v>003873378</v>
      </c>
      <c r="B2987" t="str">
        <f>"1790450773"</f>
        <v>1790450773</v>
      </c>
      <c r="C2987" t="str">
        <f>"363L00000X"</f>
        <v>363L00000X</v>
      </c>
      <c r="D2987" t="str">
        <f>"CAGLE                    KIMBERLY     D           "</f>
        <v xml:space="preserve">CAGLE                    KIMBERLY     D           </v>
      </c>
      <c r="E2987" t="str">
        <f>"FRANKLINTON               "</f>
        <v xml:space="preserve">FRANKLINTON               </v>
      </c>
      <c r="F2987" t="str">
        <f t="shared" si="129"/>
        <v>LA</v>
      </c>
    </row>
    <row r="2988" spans="1:6" x14ac:dyDescent="0.25">
      <c r="A2988" t="str">
        <f>"003889501"</f>
        <v>003889501</v>
      </c>
      <c r="B2988" t="str">
        <f>"1265094262"</f>
        <v>1265094262</v>
      </c>
      <c r="C2988" t="str">
        <f>"367500000X"</f>
        <v>367500000X</v>
      </c>
      <c r="D2988" t="str">
        <f>"WHEATLEY                 ALEXANDER    M           "</f>
        <v xml:space="preserve">WHEATLEY                 ALEXANDER    M           </v>
      </c>
      <c r="E2988" t="str">
        <f>"NEW ORLEANS               "</f>
        <v xml:space="preserve">NEW ORLEANS               </v>
      </c>
      <c r="F2988" t="str">
        <f t="shared" si="129"/>
        <v>LA</v>
      </c>
    </row>
    <row r="2989" spans="1:6" x14ac:dyDescent="0.25">
      <c r="A2989" t="str">
        <f>"003906399"</f>
        <v>003906399</v>
      </c>
      <c r="B2989" t="str">
        <f>"1639468721"</f>
        <v>1639468721</v>
      </c>
      <c r="C2989" t="str">
        <f>"207R00000X"</f>
        <v>207R00000X</v>
      </c>
      <c r="D2989" t="str">
        <f>"DAVIES                   LOGAN        L           "</f>
        <v xml:space="preserve">DAVIES                   LOGAN        L           </v>
      </c>
      <c r="E2989" t="str">
        <f>"NEW ORLEANS               "</f>
        <v xml:space="preserve">NEW ORLEANS               </v>
      </c>
      <c r="F2989" t="str">
        <f t="shared" si="129"/>
        <v>LA</v>
      </c>
    </row>
    <row r="2990" spans="1:6" x14ac:dyDescent="0.25">
      <c r="A2990" t="str">
        <f>"003906836"</f>
        <v>003906836</v>
      </c>
      <c r="B2990" t="str">
        <f>"1356840268"</f>
        <v>1356840268</v>
      </c>
      <c r="C2990" t="str">
        <f>"363L00000X"</f>
        <v>363L00000X</v>
      </c>
      <c r="D2990" t="str">
        <f>"PALMISANO                NICHOLE                  "</f>
        <v xml:space="preserve">PALMISANO                NICHOLE                  </v>
      </c>
      <c r="E2990" t="str">
        <f>"NEW ORLEANS               "</f>
        <v xml:space="preserve">NEW ORLEANS               </v>
      </c>
      <c r="F2990" t="str">
        <f t="shared" si="129"/>
        <v>LA</v>
      </c>
    </row>
    <row r="2991" spans="1:6" x14ac:dyDescent="0.25">
      <c r="A2991" t="str">
        <f>"003920807"</f>
        <v>003920807</v>
      </c>
      <c r="B2991" t="str">
        <f>"1245659549"</f>
        <v>1245659549</v>
      </c>
      <c r="C2991" t="str">
        <f>"2086S0129X"</f>
        <v>2086S0129X</v>
      </c>
      <c r="D2991" t="str">
        <f>"PARKERSON II             GODFREY      R           "</f>
        <v xml:space="preserve">PARKERSON II             GODFREY      R           </v>
      </c>
      <c r="E2991" t="str">
        <f>"NEW ORLEANS               "</f>
        <v xml:space="preserve">NEW ORLEANS               </v>
      </c>
      <c r="F2991" t="str">
        <f t="shared" si="129"/>
        <v>LA</v>
      </c>
    </row>
    <row r="2992" spans="1:6" x14ac:dyDescent="0.25">
      <c r="A2992" t="str">
        <f>"003928269"</f>
        <v>003928269</v>
      </c>
      <c r="B2992" t="str">
        <f>"1861854473"</f>
        <v>1861854473</v>
      </c>
      <c r="C2992" t="str">
        <f>"208000000X"</f>
        <v>208000000X</v>
      </c>
      <c r="D2992" t="str">
        <f>"JOHNSON                  PAIGE        K           "</f>
        <v xml:space="preserve">JOHNSON                  PAIGE        K           </v>
      </c>
      <c r="E2992" t="str">
        <f>"NEW ORLEANS               "</f>
        <v xml:space="preserve">NEW ORLEANS               </v>
      </c>
      <c r="F2992" t="str">
        <f t="shared" si="129"/>
        <v>LA</v>
      </c>
    </row>
    <row r="2993" spans="1:6" x14ac:dyDescent="0.25">
      <c r="A2993" t="str">
        <f>"003939312"</f>
        <v>003939312</v>
      </c>
      <c r="B2993" t="str">
        <f>"1679886592"</f>
        <v>1679886592</v>
      </c>
      <c r="C2993" t="str">
        <f>"367500000X"</f>
        <v>367500000X</v>
      </c>
      <c r="D2993" t="str">
        <f>"VEKIC                    TINO         K           "</f>
        <v xml:space="preserve">VEKIC                    TINO         K           </v>
      </c>
      <c r="E2993" t="str">
        <f>"COVINGTON                 "</f>
        <v xml:space="preserve">COVINGTON                 </v>
      </c>
      <c r="F2993" t="str">
        <f t="shared" si="129"/>
        <v>LA</v>
      </c>
    </row>
    <row r="2994" spans="1:6" x14ac:dyDescent="0.25">
      <c r="A2994" t="str">
        <f>"003955004"</f>
        <v>003955004</v>
      </c>
      <c r="B2994" t="str">
        <f>"1922325612"</f>
        <v>1922325612</v>
      </c>
      <c r="C2994" t="str">
        <f>"208D00000X"</f>
        <v>208D00000X</v>
      </c>
      <c r="D2994" t="str">
        <f>"REILLY                   LESLIE       K           "</f>
        <v xml:space="preserve">REILLY                   LESLIE       K           </v>
      </c>
      <c r="E2994" t="str">
        <f>"NEW ORLEANS               "</f>
        <v xml:space="preserve">NEW ORLEANS               </v>
      </c>
      <c r="F2994" t="str">
        <f t="shared" si="129"/>
        <v>LA</v>
      </c>
    </row>
    <row r="2995" spans="1:6" x14ac:dyDescent="0.25">
      <c r="A2995" t="str">
        <f>"003956266"</f>
        <v>003956266</v>
      </c>
      <c r="B2995" t="str">
        <f>"1598889388"</f>
        <v>1598889388</v>
      </c>
      <c r="C2995" t="str">
        <f>"207RC0000X"</f>
        <v>207RC0000X</v>
      </c>
      <c r="D2995" t="str">
        <f>"CASTINE                  MICHAEL      R           "</f>
        <v xml:space="preserve">CASTINE                  MICHAEL      R           </v>
      </c>
      <c r="E2995" t="str">
        <f>"GRETNA                    "</f>
        <v xml:space="preserve">GRETNA                    </v>
      </c>
      <c r="F2995" t="str">
        <f t="shared" si="129"/>
        <v>LA</v>
      </c>
    </row>
    <row r="2996" spans="1:6" x14ac:dyDescent="0.25">
      <c r="A2996" t="str">
        <f>"003971341"</f>
        <v>003971341</v>
      </c>
      <c r="B2996" t="str">
        <f>"1265669295"</f>
        <v>1265669295</v>
      </c>
      <c r="C2996" t="str">
        <f>"208800000X"</f>
        <v>208800000X</v>
      </c>
      <c r="D2996" t="str">
        <f>"CHAMBERLAIN              JENNIFER     C           "</f>
        <v xml:space="preserve">CHAMBERLAIN              JENNIFER     C           </v>
      </c>
      <c r="E2996" t="str">
        <f>"SLIDELL                   "</f>
        <v xml:space="preserve">SLIDELL                   </v>
      </c>
      <c r="F2996" t="str">
        <f t="shared" si="129"/>
        <v>LA</v>
      </c>
    </row>
    <row r="2997" spans="1:6" x14ac:dyDescent="0.25">
      <c r="A2997" t="str">
        <f>"003985888"</f>
        <v>003985888</v>
      </c>
      <c r="B2997" t="str">
        <f>"1487134235"</f>
        <v>1487134235</v>
      </c>
      <c r="C2997" t="str">
        <f>"363L00000X"</f>
        <v>363L00000X</v>
      </c>
      <c r="D2997" t="str">
        <f>"SCHAFF                   ELAINA       G           "</f>
        <v xml:space="preserve">SCHAFF                   ELAINA       G           </v>
      </c>
      <c r="E2997" t="str">
        <f>"NEW ORLEANS               "</f>
        <v xml:space="preserve">NEW ORLEANS               </v>
      </c>
      <c r="F2997" t="str">
        <f t="shared" si="129"/>
        <v>LA</v>
      </c>
    </row>
    <row r="2998" spans="1:6" x14ac:dyDescent="0.25">
      <c r="A2998" t="str">
        <f>"004027317"</f>
        <v>004027317</v>
      </c>
      <c r="B2998" t="str">
        <f>"1841677028"</f>
        <v>1841677028</v>
      </c>
      <c r="C2998" t="str">
        <f>"207R00000X"</f>
        <v>207R00000X</v>
      </c>
      <c r="D2998" t="str">
        <f>"LILLIS                   SARAH        M           "</f>
        <v xml:space="preserve">LILLIS                   SARAH        M           </v>
      </c>
      <c r="E2998" t="str">
        <f>"SLIDELL                   "</f>
        <v xml:space="preserve">SLIDELL                   </v>
      </c>
      <c r="F2998" t="str">
        <f t="shared" si="129"/>
        <v>LA</v>
      </c>
    </row>
    <row r="2999" spans="1:6" x14ac:dyDescent="0.25">
      <c r="A2999" t="str">
        <f>"004029336"</f>
        <v>004029336</v>
      </c>
      <c r="B2999" t="str">
        <f>"1053308791"</f>
        <v>1053308791</v>
      </c>
      <c r="C2999" t="str">
        <f>"207P00000X"</f>
        <v>207P00000X</v>
      </c>
      <c r="D2999" t="str">
        <f>"HANLEY III               JAMES        R           "</f>
        <v xml:space="preserve">HANLEY III               JAMES        R           </v>
      </c>
      <c r="E2999" t="str">
        <f>"NEW ORLEANS               "</f>
        <v xml:space="preserve">NEW ORLEANS               </v>
      </c>
      <c r="F2999" t="str">
        <f t="shared" si="129"/>
        <v>LA</v>
      </c>
    </row>
    <row r="3000" spans="1:6" x14ac:dyDescent="0.25">
      <c r="A3000" t="str">
        <f>"004030371"</f>
        <v>004030371</v>
      </c>
      <c r="B3000" t="str">
        <f>"1841297124"</f>
        <v>1841297124</v>
      </c>
      <c r="C3000" t="str">
        <f>"207RN0300X"</f>
        <v>207RN0300X</v>
      </c>
      <c r="D3000" t="str">
        <f>"LANDRY                   ROBERT                   "</f>
        <v xml:space="preserve">LANDRY                   ROBERT                   </v>
      </c>
      <c r="E3000" t="str">
        <f>"BATON ROUGE               "</f>
        <v xml:space="preserve">BATON ROUGE               </v>
      </c>
      <c r="F3000" t="str">
        <f t="shared" si="129"/>
        <v>LA</v>
      </c>
    </row>
    <row r="3001" spans="1:6" x14ac:dyDescent="0.25">
      <c r="A3001" t="str">
        <f>"004039546"</f>
        <v>004039546</v>
      </c>
      <c r="B3001" t="str">
        <f>"1164666723"</f>
        <v>1164666723</v>
      </c>
      <c r="C3001" t="str">
        <f>"208000000X"</f>
        <v>208000000X</v>
      </c>
      <c r="D3001" t="str">
        <f>"LEBLANC                  DANA         M           "</f>
        <v xml:space="preserve">LEBLANC                  DANA         M           </v>
      </c>
      <c r="E3001" t="str">
        <f>"NEW ORLEANS               "</f>
        <v xml:space="preserve">NEW ORLEANS               </v>
      </c>
      <c r="F3001" t="str">
        <f t="shared" si="129"/>
        <v>LA</v>
      </c>
    </row>
    <row r="3002" spans="1:6" x14ac:dyDescent="0.25">
      <c r="A3002" t="str">
        <f>"004056841"</f>
        <v>004056841</v>
      </c>
      <c r="B3002" t="str">
        <f>"1790987071"</f>
        <v>1790987071</v>
      </c>
      <c r="C3002" t="str">
        <f>"2085R0202X"</f>
        <v>2085R0202X</v>
      </c>
      <c r="D3002" t="str">
        <f>"SMITH                    DAVID        L           "</f>
        <v xml:space="preserve">SMITH                    DAVID        L           </v>
      </c>
      <c r="E3002" t="str">
        <f>"NEW ORLEANS               "</f>
        <v xml:space="preserve">NEW ORLEANS               </v>
      </c>
      <c r="F3002" t="str">
        <f t="shared" si="129"/>
        <v>LA</v>
      </c>
    </row>
    <row r="3003" spans="1:6" x14ac:dyDescent="0.25">
      <c r="A3003" t="str">
        <f>"004077551"</f>
        <v>004077551</v>
      </c>
      <c r="B3003" t="str">
        <f>"1619276516"</f>
        <v>1619276516</v>
      </c>
      <c r="C3003" t="str">
        <f>"207R00000X"</f>
        <v>207R00000X</v>
      </c>
      <c r="D3003" t="str">
        <f>"GRIFFIN                  RYAN         P           "</f>
        <v xml:space="preserve">GRIFFIN                  RYAN         P           </v>
      </c>
      <c r="E3003" t="str">
        <f>"NEW ORLEANS               "</f>
        <v xml:space="preserve">NEW ORLEANS               </v>
      </c>
      <c r="F3003" t="str">
        <f t="shared" si="129"/>
        <v>LA</v>
      </c>
    </row>
    <row r="3004" spans="1:6" x14ac:dyDescent="0.25">
      <c r="A3004" t="str">
        <f>"004079754"</f>
        <v>004079754</v>
      </c>
      <c r="B3004" t="str">
        <f>"1164798484"</f>
        <v>1164798484</v>
      </c>
      <c r="C3004" t="str">
        <f>"207L00000X"</f>
        <v>207L00000X</v>
      </c>
      <c r="D3004" t="str">
        <f>"YOCKELSON                SHAUN        R           "</f>
        <v xml:space="preserve">YOCKELSON                SHAUN        R           </v>
      </c>
      <c r="E3004" t="str">
        <f>"NEW ORLEANS               "</f>
        <v xml:space="preserve">NEW ORLEANS               </v>
      </c>
      <c r="F3004" t="str">
        <f t="shared" si="129"/>
        <v>LA</v>
      </c>
    </row>
    <row r="3005" spans="1:6" x14ac:dyDescent="0.25">
      <c r="A3005" t="str">
        <f>"004080275"</f>
        <v>004080275</v>
      </c>
      <c r="B3005" t="str">
        <f>"1093881732"</f>
        <v>1093881732</v>
      </c>
      <c r="C3005" t="str">
        <f>"122300000X"</f>
        <v>122300000X</v>
      </c>
      <c r="D3005" t="str">
        <f>"SMITH                    TESSA                    "</f>
        <v xml:space="preserve">SMITH                    TESSA                    </v>
      </c>
      <c r="E3005" t="str">
        <f>"SLIDELL                   "</f>
        <v xml:space="preserve">SLIDELL                   </v>
      </c>
      <c r="F3005" t="str">
        <f t="shared" si="129"/>
        <v>LA</v>
      </c>
    </row>
    <row r="3006" spans="1:6" x14ac:dyDescent="0.25">
      <c r="A3006" t="str">
        <f>"004080365"</f>
        <v>004080365</v>
      </c>
      <c r="B3006" t="str">
        <f>"1922493832"</f>
        <v>1922493832</v>
      </c>
      <c r="C3006" t="str">
        <f>"207R00000X"</f>
        <v>207R00000X</v>
      </c>
      <c r="D3006" t="str">
        <f>"ROGERS                   KRISTEN      D           "</f>
        <v xml:space="preserve">ROGERS                   KRISTEN      D           </v>
      </c>
      <c r="E3006" t="str">
        <f t="shared" ref="E3006:E3015" si="130">"NEW ORLEANS               "</f>
        <v xml:space="preserve">NEW ORLEANS               </v>
      </c>
      <c r="F3006" t="str">
        <f t="shared" si="129"/>
        <v>LA</v>
      </c>
    </row>
    <row r="3007" spans="1:6" x14ac:dyDescent="0.25">
      <c r="A3007" t="str">
        <f>"004107216"</f>
        <v>004107216</v>
      </c>
      <c r="B3007" t="str">
        <f>"1710129986"</f>
        <v>1710129986</v>
      </c>
      <c r="C3007" t="str">
        <f>"207LP2900X"</f>
        <v>207LP2900X</v>
      </c>
      <c r="D3007" t="str">
        <f>"ESHRAGHI                 YASHAR                   "</f>
        <v xml:space="preserve">ESHRAGHI                 YASHAR                   </v>
      </c>
      <c r="E3007" t="str">
        <f t="shared" si="130"/>
        <v xml:space="preserve">NEW ORLEANS               </v>
      </c>
      <c r="F3007" t="str">
        <f t="shared" si="129"/>
        <v>LA</v>
      </c>
    </row>
    <row r="3008" spans="1:6" x14ac:dyDescent="0.25">
      <c r="A3008" t="str">
        <f>"004107218"</f>
        <v>004107218</v>
      </c>
      <c r="B3008" t="str">
        <f>"1962693184"</f>
        <v>1962693184</v>
      </c>
      <c r="C3008" t="str">
        <f>"208800000X"</f>
        <v>208800000X</v>
      </c>
      <c r="D3008" t="str">
        <f>"CONRAVEY                 ALLISON      H           "</f>
        <v xml:space="preserve">CONRAVEY                 ALLISON      H           </v>
      </c>
      <c r="E3008" t="str">
        <f t="shared" si="130"/>
        <v xml:space="preserve">NEW ORLEANS               </v>
      </c>
      <c r="F3008" t="str">
        <f t="shared" si="129"/>
        <v>LA</v>
      </c>
    </row>
    <row r="3009" spans="1:6" x14ac:dyDescent="0.25">
      <c r="A3009" t="str">
        <f>"004108544"</f>
        <v>004108544</v>
      </c>
      <c r="B3009" t="str">
        <f>"1871739722"</f>
        <v>1871739722</v>
      </c>
      <c r="C3009" t="str">
        <f>"207R00000X"</f>
        <v>207R00000X</v>
      </c>
      <c r="D3009" t="str">
        <f>"ONYENEKWU                NKEIRUKA     N           "</f>
        <v xml:space="preserve">ONYENEKWU                NKEIRUKA     N           </v>
      </c>
      <c r="E3009" t="str">
        <f t="shared" si="130"/>
        <v xml:space="preserve">NEW ORLEANS               </v>
      </c>
      <c r="F3009" t="str">
        <f t="shared" si="129"/>
        <v>LA</v>
      </c>
    </row>
    <row r="3010" spans="1:6" x14ac:dyDescent="0.25">
      <c r="A3010" t="str">
        <f>"004128738"</f>
        <v>004128738</v>
      </c>
      <c r="B3010" t="str">
        <f>"1316231558"</f>
        <v>1316231558</v>
      </c>
      <c r="C3010" t="str">
        <f>"367500000X"</f>
        <v>367500000X</v>
      </c>
      <c r="D3010" t="str">
        <f>"BERGERON                 CALLIE       S           "</f>
        <v xml:space="preserve">BERGERON                 CALLIE       S           </v>
      </c>
      <c r="E3010" t="str">
        <f t="shared" si="130"/>
        <v xml:space="preserve">NEW ORLEANS               </v>
      </c>
      <c r="F3010" t="str">
        <f t="shared" si="129"/>
        <v>LA</v>
      </c>
    </row>
    <row r="3011" spans="1:6" x14ac:dyDescent="0.25">
      <c r="A3011" t="str">
        <f>"004135326"</f>
        <v>004135326</v>
      </c>
      <c r="B3011" t="str">
        <f>"1689721573"</f>
        <v>1689721573</v>
      </c>
      <c r="C3011" t="str">
        <f>"207RG0100X"</f>
        <v>207RG0100X</v>
      </c>
      <c r="D3011" t="str">
        <f>"FORTGANG                 ILANA        S           "</f>
        <v xml:space="preserve">FORTGANG                 ILANA        S           </v>
      </c>
      <c r="E3011" t="str">
        <f t="shared" si="130"/>
        <v xml:space="preserve">NEW ORLEANS               </v>
      </c>
      <c r="F3011" t="str">
        <f t="shared" si="129"/>
        <v>LA</v>
      </c>
    </row>
    <row r="3012" spans="1:6" x14ac:dyDescent="0.25">
      <c r="A3012" t="str">
        <f>"004138078"</f>
        <v>004138078</v>
      </c>
      <c r="B3012" t="str">
        <f>"1295052272"</f>
        <v>1295052272</v>
      </c>
      <c r="C3012" t="str">
        <f>"208000000X"</f>
        <v>208000000X</v>
      </c>
      <c r="D3012" t="str">
        <f>"GODIWALA                 NIHAL                    "</f>
        <v xml:space="preserve">GODIWALA                 NIHAL                    </v>
      </c>
      <c r="E3012" t="str">
        <f t="shared" si="130"/>
        <v xml:space="preserve">NEW ORLEANS               </v>
      </c>
      <c r="F3012" t="str">
        <f t="shared" si="129"/>
        <v>LA</v>
      </c>
    </row>
    <row r="3013" spans="1:6" x14ac:dyDescent="0.25">
      <c r="A3013" t="str">
        <f>"004174721"</f>
        <v>004174721</v>
      </c>
      <c r="B3013" t="str">
        <f>"1467793307"</f>
        <v>1467793307</v>
      </c>
      <c r="C3013" t="str">
        <f>"363A00000X"</f>
        <v>363A00000X</v>
      </c>
      <c r="D3013" t="str">
        <f>"MIDDLEBROOK LOVETT       MANDY                    "</f>
        <v xml:space="preserve">MIDDLEBROOK LOVETT       MANDY                    </v>
      </c>
      <c r="E3013" t="str">
        <f t="shared" si="130"/>
        <v xml:space="preserve">NEW ORLEANS               </v>
      </c>
      <c r="F3013" t="str">
        <f t="shared" si="129"/>
        <v>LA</v>
      </c>
    </row>
    <row r="3014" spans="1:6" x14ac:dyDescent="0.25">
      <c r="A3014" t="str">
        <f>"004181897"</f>
        <v>004181897</v>
      </c>
      <c r="B3014" t="str">
        <f>"1134507197"</f>
        <v>1134507197</v>
      </c>
      <c r="C3014" t="str">
        <f>"207P00000X"</f>
        <v>207P00000X</v>
      </c>
      <c r="D3014" t="str">
        <f>"NELSON JR                RONALD       W           "</f>
        <v xml:space="preserve">NELSON JR                RONALD       W           </v>
      </c>
      <c r="E3014" t="str">
        <f t="shared" si="130"/>
        <v xml:space="preserve">NEW ORLEANS               </v>
      </c>
      <c r="F3014" t="str">
        <f t="shared" si="129"/>
        <v>LA</v>
      </c>
    </row>
    <row r="3015" spans="1:6" x14ac:dyDescent="0.25">
      <c r="A3015" t="str">
        <f>"004189892"</f>
        <v>004189892</v>
      </c>
      <c r="B3015" t="str">
        <f>"1891189130"</f>
        <v>1891189130</v>
      </c>
      <c r="C3015" t="str">
        <f>"207X00000X"</f>
        <v>207X00000X</v>
      </c>
      <c r="D3015" t="str">
        <f>"YU                       CHARLES      C           "</f>
        <v xml:space="preserve">YU                       CHARLES      C           </v>
      </c>
      <c r="E3015" t="str">
        <f t="shared" si="130"/>
        <v xml:space="preserve">NEW ORLEANS               </v>
      </c>
      <c r="F3015" t="str">
        <f t="shared" si="129"/>
        <v>LA</v>
      </c>
    </row>
    <row r="3016" spans="1:6" x14ac:dyDescent="0.25">
      <c r="A3016" t="str">
        <f>"004203358"</f>
        <v>004203358</v>
      </c>
      <c r="B3016" t="str">
        <f>"1639501307"</f>
        <v>1639501307</v>
      </c>
      <c r="C3016" t="str">
        <f>"363L00000X"</f>
        <v>363L00000X</v>
      </c>
      <c r="D3016" t="str">
        <f>"JARROTT                  AINSLEY      N           "</f>
        <v xml:space="preserve">JARROTT                  AINSLEY      N           </v>
      </c>
      <c r="E3016" t="str">
        <f>"COVINGTON                 "</f>
        <v xml:space="preserve">COVINGTON                 </v>
      </c>
      <c r="F3016" t="str">
        <f t="shared" si="129"/>
        <v>LA</v>
      </c>
    </row>
    <row r="3017" spans="1:6" x14ac:dyDescent="0.25">
      <c r="A3017" t="str">
        <f>"004205743"</f>
        <v>004205743</v>
      </c>
      <c r="B3017" t="str">
        <f>"1427080985"</f>
        <v>1427080985</v>
      </c>
      <c r="C3017" t="str">
        <f>"208600000X"</f>
        <v>208600000X</v>
      </c>
      <c r="D3017" t="str">
        <f>"GOLIGTHTLY               GEORGE                   "</f>
        <v xml:space="preserve">GOLIGTHTLY               GEORGE                   </v>
      </c>
      <c r="E3017" t="str">
        <f>"BATON ROUGE               "</f>
        <v xml:space="preserve">BATON ROUGE               </v>
      </c>
      <c r="F3017" t="str">
        <f t="shared" si="129"/>
        <v>LA</v>
      </c>
    </row>
    <row r="3018" spans="1:6" x14ac:dyDescent="0.25">
      <c r="A3018" t="str">
        <f>"004227565"</f>
        <v>004227565</v>
      </c>
      <c r="B3018" t="str">
        <f>"1710962816"</f>
        <v>1710962816</v>
      </c>
      <c r="C3018" t="str">
        <f>"207V00000X"</f>
        <v>207V00000X</v>
      </c>
      <c r="D3018" t="str">
        <f>"LOBELLO                  ANN          R           "</f>
        <v xml:space="preserve">LOBELLO                  ANN          R           </v>
      </c>
      <c r="E3018" t="str">
        <f>"SLIDELL                   "</f>
        <v xml:space="preserve">SLIDELL                   </v>
      </c>
      <c r="F3018" t="str">
        <f t="shared" si="129"/>
        <v>LA</v>
      </c>
    </row>
    <row r="3019" spans="1:6" x14ac:dyDescent="0.25">
      <c r="A3019" t="str">
        <f>"004227599"</f>
        <v>004227599</v>
      </c>
      <c r="B3019" t="str">
        <f>"1558408062"</f>
        <v>1558408062</v>
      </c>
      <c r="C3019" t="str">
        <f>"208000000X"</f>
        <v>208000000X</v>
      </c>
      <c r="D3019" t="str">
        <f>"MARAIA                   JENNIFER     H           "</f>
        <v xml:space="preserve">MARAIA                   JENNIFER     H           </v>
      </c>
      <c r="E3019" t="str">
        <f>"SLIDELL                   "</f>
        <v xml:space="preserve">SLIDELL                   </v>
      </c>
      <c r="F3019" t="str">
        <f t="shared" si="129"/>
        <v>LA</v>
      </c>
    </row>
    <row r="3020" spans="1:6" x14ac:dyDescent="0.25">
      <c r="A3020" t="str">
        <f>"004231509"</f>
        <v>004231509</v>
      </c>
      <c r="B3020" t="str">
        <f>"1922616085"</f>
        <v>1922616085</v>
      </c>
      <c r="C3020" t="str">
        <f>"363L00000X"</f>
        <v>363L00000X</v>
      </c>
      <c r="D3020" t="str">
        <f>"KNATT                    ANTHONY      F           "</f>
        <v xml:space="preserve">KNATT                    ANTHONY      F           </v>
      </c>
      <c r="E3020" t="str">
        <f>"NEW ORLEANS               "</f>
        <v xml:space="preserve">NEW ORLEANS               </v>
      </c>
      <c r="F3020" t="str">
        <f t="shared" si="129"/>
        <v>LA</v>
      </c>
    </row>
    <row r="3021" spans="1:6" x14ac:dyDescent="0.25">
      <c r="A3021" t="str">
        <f>"004235056"</f>
        <v>004235056</v>
      </c>
      <c r="B3021" t="str">
        <f>"1043213069"</f>
        <v>1043213069</v>
      </c>
      <c r="C3021" t="str">
        <f>"208600000X"</f>
        <v>208600000X</v>
      </c>
      <c r="D3021" t="str">
        <f>"BRUCE                    DAVID        S           "</f>
        <v xml:space="preserve">BRUCE                    DAVID        S           </v>
      </c>
      <c r="E3021" t="str">
        <f>"NEW ORLEANS               "</f>
        <v xml:space="preserve">NEW ORLEANS               </v>
      </c>
      <c r="F3021" t="str">
        <f t="shared" si="129"/>
        <v>LA</v>
      </c>
    </row>
    <row r="3022" spans="1:6" x14ac:dyDescent="0.25">
      <c r="A3022" t="str">
        <f>"004258806"</f>
        <v>004258806</v>
      </c>
      <c r="B3022" t="str">
        <f>"1477538726"</f>
        <v>1477538726</v>
      </c>
      <c r="C3022" t="str">
        <f>"2086S0129X"</f>
        <v>2086S0129X</v>
      </c>
      <c r="D3022" t="str">
        <f>"EISWIRTH, JR             CLEMENT      C           "</f>
        <v xml:space="preserve">EISWIRTH, JR             CLEMENT      C           </v>
      </c>
      <c r="E3022" t="str">
        <f>"NEW ORLEANS               "</f>
        <v xml:space="preserve">NEW ORLEANS               </v>
      </c>
      <c r="F3022" t="str">
        <f t="shared" si="129"/>
        <v>LA</v>
      </c>
    </row>
    <row r="3023" spans="1:6" x14ac:dyDescent="0.25">
      <c r="A3023" t="str">
        <f>"004275561"</f>
        <v>004275561</v>
      </c>
      <c r="B3023" t="str">
        <f>"1629644851"</f>
        <v>1629644851</v>
      </c>
      <c r="C3023" t="str">
        <f>"363A00000X"</f>
        <v>363A00000X</v>
      </c>
      <c r="D3023" t="str">
        <f>"SPENCER                  KAITLYN      M           "</f>
        <v xml:space="preserve">SPENCER                  KAITLYN      M           </v>
      </c>
      <c r="E3023" t="str">
        <f>"NEW ORLEANS               "</f>
        <v xml:space="preserve">NEW ORLEANS               </v>
      </c>
      <c r="F3023" t="str">
        <f t="shared" si="129"/>
        <v>LA</v>
      </c>
    </row>
    <row r="3024" spans="1:6" x14ac:dyDescent="0.25">
      <c r="A3024" t="str">
        <f>"004276510"</f>
        <v>004276510</v>
      </c>
      <c r="B3024" t="str">
        <f>"1700175130"</f>
        <v>1700175130</v>
      </c>
      <c r="C3024" t="str">
        <f>"208000000X"</f>
        <v>208000000X</v>
      </c>
      <c r="D3024" t="str">
        <f>"MIRONOVICI               CARMEN       D           "</f>
        <v xml:space="preserve">MIRONOVICI               CARMEN       D           </v>
      </c>
      <c r="E3024" t="str">
        <f>"NEW ORLEANS               "</f>
        <v xml:space="preserve">NEW ORLEANS               </v>
      </c>
      <c r="F3024" t="str">
        <f t="shared" si="129"/>
        <v>LA</v>
      </c>
    </row>
    <row r="3025" spans="1:6" x14ac:dyDescent="0.25">
      <c r="A3025" t="str">
        <f>"004278065"</f>
        <v>004278065</v>
      </c>
      <c r="B3025" t="str">
        <f>"1346430816"</f>
        <v>1346430816</v>
      </c>
      <c r="C3025" t="str">
        <f>"207Y00000X"</f>
        <v>207Y00000X</v>
      </c>
      <c r="D3025" t="str">
        <f>"HANBY                    DUNCAN       F           "</f>
        <v xml:space="preserve">HANBY                    DUNCAN       F           </v>
      </c>
      <c r="E3025" t="str">
        <f>"BATON ROUGE               "</f>
        <v xml:space="preserve">BATON ROUGE               </v>
      </c>
      <c r="F3025" t="str">
        <f t="shared" si="129"/>
        <v>LA</v>
      </c>
    </row>
    <row r="3026" spans="1:6" x14ac:dyDescent="0.25">
      <c r="A3026" t="str">
        <f>"004287863"</f>
        <v>004287863</v>
      </c>
      <c r="B3026" t="str">
        <f>"1053635060"</f>
        <v>1053635060</v>
      </c>
      <c r="C3026" t="str">
        <f>"2085R0202X"</f>
        <v>2085R0202X</v>
      </c>
      <c r="D3026" t="str">
        <f>"HABETZ                   VANDON       J           "</f>
        <v xml:space="preserve">HABETZ                   VANDON       J           </v>
      </c>
      <c r="E3026" t="str">
        <f t="shared" ref="E3026:E3032" si="131">"NEW ORLEANS               "</f>
        <v xml:space="preserve">NEW ORLEANS               </v>
      </c>
      <c r="F3026" t="str">
        <f t="shared" si="129"/>
        <v>LA</v>
      </c>
    </row>
    <row r="3027" spans="1:6" x14ac:dyDescent="0.25">
      <c r="A3027" t="str">
        <f>"004301722"</f>
        <v>004301722</v>
      </c>
      <c r="B3027" t="str">
        <f>"1093767725"</f>
        <v>1093767725</v>
      </c>
      <c r="C3027" t="str">
        <f>"2085R0202X"</f>
        <v>2085R0202X</v>
      </c>
      <c r="D3027" t="str">
        <f>"DANRAD                   RAMAN                    "</f>
        <v xml:space="preserve">DANRAD                   RAMAN                    </v>
      </c>
      <c r="E3027" t="str">
        <f t="shared" si="131"/>
        <v xml:space="preserve">NEW ORLEANS               </v>
      </c>
      <c r="F3027" t="str">
        <f t="shared" si="129"/>
        <v>LA</v>
      </c>
    </row>
    <row r="3028" spans="1:6" x14ac:dyDescent="0.25">
      <c r="A3028" t="str">
        <f>"004309354"</f>
        <v>004309354</v>
      </c>
      <c r="B3028" t="str">
        <f>"1245262674"</f>
        <v>1245262674</v>
      </c>
      <c r="C3028" t="str">
        <f>"2085R0202X"</f>
        <v>2085R0202X</v>
      </c>
      <c r="D3028" t="str">
        <f>"SOSSAMAN                 JULIE        G           "</f>
        <v xml:space="preserve">SOSSAMAN                 JULIE        G           </v>
      </c>
      <c r="E3028" t="str">
        <f t="shared" si="131"/>
        <v xml:space="preserve">NEW ORLEANS               </v>
      </c>
      <c r="F3028" t="str">
        <f t="shared" si="129"/>
        <v>LA</v>
      </c>
    </row>
    <row r="3029" spans="1:6" x14ac:dyDescent="0.25">
      <c r="A3029" t="str">
        <f>"004325701"</f>
        <v>004325701</v>
      </c>
      <c r="B3029" t="str">
        <f>"1770078909"</f>
        <v>1770078909</v>
      </c>
      <c r="C3029" t="str">
        <f>"363A00000X"</f>
        <v>363A00000X</v>
      </c>
      <c r="D3029" t="str">
        <f>"WHITTINGTON              HALEIGH      E           "</f>
        <v xml:space="preserve">WHITTINGTON              HALEIGH      E           </v>
      </c>
      <c r="E3029" t="str">
        <f t="shared" si="131"/>
        <v xml:space="preserve">NEW ORLEANS               </v>
      </c>
      <c r="F3029" t="str">
        <f t="shared" si="129"/>
        <v>LA</v>
      </c>
    </row>
    <row r="3030" spans="1:6" x14ac:dyDescent="0.25">
      <c r="A3030" t="str">
        <f>"004330816"</f>
        <v>004330816</v>
      </c>
      <c r="B3030" t="str">
        <f>"1457551343"</f>
        <v>1457551343</v>
      </c>
      <c r="C3030" t="str">
        <f>"2085R0202X"</f>
        <v>2085R0202X</v>
      </c>
      <c r="D3030" t="str">
        <f>"LEMOINE                  NICHOLAS     S           "</f>
        <v xml:space="preserve">LEMOINE                  NICHOLAS     S           </v>
      </c>
      <c r="E3030" t="str">
        <f t="shared" si="131"/>
        <v xml:space="preserve">NEW ORLEANS               </v>
      </c>
      <c r="F3030" t="str">
        <f t="shared" si="129"/>
        <v>LA</v>
      </c>
    </row>
    <row r="3031" spans="1:6" x14ac:dyDescent="0.25">
      <c r="A3031" t="str">
        <f>"004331801"</f>
        <v>004331801</v>
      </c>
      <c r="B3031" t="str">
        <f>"1881694594"</f>
        <v>1881694594</v>
      </c>
      <c r="C3031" t="str">
        <f>"207RC0000X"</f>
        <v>207RC0000X</v>
      </c>
      <c r="D3031" t="str">
        <f>"YOUNT JR                 ROYCE        D           "</f>
        <v xml:space="preserve">YOUNT JR                 ROYCE        D           </v>
      </c>
      <c r="E3031" t="str">
        <f t="shared" si="131"/>
        <v xml:space="preserve">NEW ORLEANS               </v>
      </c>
      <c r="F3031" t="str">
        <f t="shared" si="129"/>
        <v>LA</v>
      </c>
    </row>
    <row r="3032" spans="1:6" x14ac:dyDescent="0.25">
      <c r="A3032" t="str">
        <f>"004338808"</f>
        <v>004338808</v>
      </c>
      <c r="B3032" t="str">
        <f>"1922186188"</f>
        <v>1922186188</v>
      </c>
      <c r="C3032" t="str">
        <f>"207RP1001X"</f>
        <v>207RP1001X</v>
      </c>
      <c r="D3032" t="str">
        <f>"VAN HOOK                 KRISTIN      N           "</f>
        <v xml:space="preserve">VAN HOOK                 KRISTIN      N           </v>
      </c>
      <c r="E3032" t="str">
        <f t="shared" si="131"/>
        <v xml:space="preserve">NEW ORLEANS               </v>
      </c>
      <c r="F3032" t="str">
        <f t="shared" si="129"/>
        <v>LA</v>
      </c>
    </row>
    <row r="3033" spans="1:6" x14ac:dyDescent="0.25">
      <c r="A3033" t="str">
        <f>"004353308"</f>
        <v>004353308</v>
      </c>
      <c r="B3033" t="str">
        <f>"1427312362"</f>
        <v>1427312362</v>
      </c>
      <c r="C3033" t="str">
        <f>"2084P0800X"</f>
        <v>2084P0800X</v>
      </c>
      <c r="D3033" t="str">
        <f>"JONES                    AMY          L           "</f>
        <v xml:space="preserve">JONES                    AMY          L           </v>
      </c>
      <c r="E3033" t="str">
        <f>"COVINGTON                 "</f>
        <v xml:space="preserve">COVINGTON                 </v>
      </c>
      <c r="F3033" t="str">
        <f t="shared" si="129"/>
        <v>LA</v>
      </c>
    </row>
    <row r="3034" spans="1:6" x14ac:dyDescent="0.25">
      <c r="A3034" t="str">
        <f>"004358037"</f>
        <v>004358037</v>
      </c>
      <c r="B3034" t="str">
        <f>"1962424697"</f>
        <v>1962424697</v>
      </c>
      <c r="C3034" t="str">
        <f>"2085R0202X"</f>
        <v>2085R0202X</v>
      </c>
      <c r="D3034" t="str">
        <f>"BEECH                    SCOTT                    "</f>
        <v xml:space="preserve">BEECH                    SCOTT                    </v>
      </c>
      <c r="E3034" t="str">
        <f>"NEW ORLEANS               "</f>
        <v xml:space="preserve">NEW ORLEANS               </v>
      </c>
      <c r="F3034" t="str">
        <f t="shared" si="129"/>
        <v>LA</v>
      </c>
    </row>
    <row r="3035" spans="1:6" x14ac:dyDescent="0.25">
      <c r="A3035" t="str">
        <f>"004380013"</f>
        <v>004380013</v>
      </c>
      <c r="B3035" t="str">
        <f>"1952542912"</f>
        <v>1952542912</v>
      </c>
      <c r="C3035" t="str">
        <f>"208000000X"</f>
        <v>208000000X</v>
      </c>
      <c r="D3035" t="str">
        <f>"SANDLIN                  CHELSEY      T           "</f>
        <v xml:space="preserve">SANDLIN                  CHELSEY      T           </v>
      </c>
      <c r="E3035" t="str">
        <f>"NEW ORLEANS               "</f>
        <v xml:space="preserve">NEW ORLEANS               </v>
      </c>
      <c r="F3035" t="str">
        <f t="shared" ref="F3035:F3098" si="132">"LA"</f>
        <v>LA</v>
      </c>
    </row>
    <row r="3036" spans="1:6" x14ac:dyDescent="0.25">
      <c r="A3036" t="str">
        <f>"004389337"</f>
        <v>004389337</v>
      </c>
      <c r="B3036" t="str">
        <f>"1356549547"</f>
        <v>1356549547</v>
      </c>
      <c r="C3036" t="str">
        <f>"363A00000X"</f>
        <v>363A00000X</v>
      </c>
      <c r="D3036" t="str">
        <f>"STANGA                   DARYL        F           "</f>
        <v xml:space="preserve">STANGA                   DARYL        F           </v>
      </c>
      <c r="E3036" t="str">
        <f>"NEW ORLEANS               "</f>
        <v xml:space="preserve">NEW ORLEANS               </v>
      </c>
      <c r="F3036" t="str">
        <f t="shared" si="132"/>
        <v>LA</v>
      </c>
    </row>
    <row r="3037" spans="1:6" x14ac:dyDescent="0.25">
      <c r="A3037" t="str">
        <f>"004401851"</f>
        <v>004401851</v>
      </c>
      <c r="B3037" t="str">
        <f>"1144989641"</f>
        <v>1144989641</v>
      </c>
      <c r="C3037" t="str">
        <f>"363A00000X"</f>
        <v>363A00000X</v>
      </c>
      <c r="D3037" t="str">
        <f>"COOK                     MASON        P           "</f>
        <v xml:space="preserve">COOK                     MASON        P           </v>
      </c>
      <c r="E3037" t="str">
        <f>"SLIDELL                   "</f>
        <v xml:space="preserve">SLIDELL                   </v>
      </c>
      <c r="F3037" t="str">
        <f t="shared" si="132"/>
        <v>LA</v>
      </c>
    </row>
    <row r="3038" spans="1:6" x14ac:dyDescent="0.25">
      <c r="A3038" t="str">
        <f>"004402370"</f>
        <v>004402370</v>
      </c>
      <c r="B3038" t="str">
        <f>"1780216655"</f>
        <v>1780216655</v>
      </c>
      <c r="C3038" t="str">
        <f>"363L00000X"</f>
        <v>363L00000X</v>
      </c>
      <c r="D3038" t="str">
        <f>"MULLER                   COURTNEY     L           "</f>
        <v xml:space="preserve">MULLER                   COURTNEY     L           </v>
      </c>
      <c r="E3038" t="str">
        <f>"HAMMOND                   "</f>
        <v xml:space="preserve">HAMMOND                   </v>
      </c>
      <c r="F3038" t="str">
        <f t="shared" si="132"/>
        <v>LA</v>
      </c>
    </row>
    <row r="3039" spans="1:6" x14ac:dyDescent="0.25">
      <c r="A3039" t="str">
        <f>"004420701"</f>
        <v>004420701</v>
      </c>
      <c r="B3039" t="str">
        <f>"1508470600"</f>
        <v>1508470600</v>
      </c>
      <c r="C3039" t="str">
        <f>"363L00000X"</f>
        <v>363L00000X</v>
      </c>
      <c r="D3039" t="str">
        <f>"REESE                    JULIE        P           "</f>
        <v xml:space="preserve">REESE                    JULIE        P           </v>
      </c>
      <c r="E3039" t="str">
        <f>"SLIDELL                   "</f>
        <v xml:space="preserve">SLIDELL                   </v>
      </c>
      <c r="F3039" t="str">
        <f t="shared" si="132"/>
        <v>LA</v>
      </c>
    </row>
    <row r="3040" spans="1:6" x14ac:dyDescent="0.25">
      <c r="A3040" t="str">
        <f>"004424251"</f>
        <v>004424251</v>
      </c>
      <c r="B3040" t="str">
        <f>"1942404454"</f>
        <v>1942404454</v>
      </c>
      <c r="C3040" t="str">
        <f>"207R00000X"</f>
        <v>207R00000X</v>
      </c>
      <c r="D3040" t="str">
        <f>"CARTER                   WILLIAM      J           "</f>
        <v xml:space="preserve">CARTER                   WILLIAM      J           </v>
      </c>
      <c r="E3040" t="str">
        <f>"NEW ORLEANS               "</f>
        <v xml:space="preserve">NEW ORLEANS               </v>
      </c>
      <c r="F3040" t="str">
        <f t="shared" si="132"/>
        <v>LA</v>
      </c>
    </row>
    <row r="3041" spans="1:6" x14ac:dyDescent="0.25">
      <c r="A3041" t="str">
        <f>"004425769"</f>
        <v>004425769</v>
      </c>
      <c r="B3041" t="str">
        <f>"1063823805"</f>
        <v>1063823805</v>
      </c>
      <c r="C3041" t="str">
        <f>"207ZP0102X"</f>
        <v>207ZP0102X</v>
      </c>
      <c r="D3041" t="str">
        <f>"OLOFSON                  ANDREA       M           "</f>
        <v xml:space="preserve">OLOFSON                  ANDREA       M           </v>
      </c>
      <c r="E3041" t="str">
        <f>"NEW ORLEANS               "</f>
        <v xml:space="preserve">NEW ORLEANS               </v>
      </c>
      <c r="F3041" t="str">
        <f t="shared" si="132"/>
        <v>LA</v>
      </c>
    </row>
    <row r="3042" spans="1:6" x14ac:dyDescent="0.25">
      <c r="A3042" t="str">
        <f>"004433343"</f>
        <v>004433343</v>
      </c>
      <c r="B3042" t="str">
        <f>"1013101138"</f>
        <v>1013101138</v>
      </c>
      <c r="C3042" t="str">
        <f>"261QE0700X"</f>
        <v>261QE0700X</v>
      </c>
      <c r="D3042" t="str">
        <f>"FRESENIUS MEDICAL CARE SLIDELL                    "</f>
        <v xml:space="preserve">FRESENIUS MEDICAL CARE SLIDELL                    </v>
      </c>
      <c r="E3042" t="str">
        <f>"SLIDELL                   "</f>
        <v xml:space="preserve">SLIDELL                   </v>
      </c>
      <c r="F3042" t="str">
        <f t="shared" si="132"/>
        <v>LA</v>
      </c>
    </row>
    <row r="3043" spans="1:6" x14ac:dyDescent="0.25">
      <c r="A3043" t="str">
        <f>"004438381"</f>
        <v>004438381</v>
      </c>
      <c r="B3043" t="str">
        <f>"1770993891"</f>
        <v>1770993891</v>
      </c>
      <c r="C3043" t="str">
        <f>"207P00000X"</f>
        <v>207P00000X</v>
      </c>
      <c r="D3043" t="str">
        <f>"HATTIER                  TIMOTHY                  "</f>
        <v xml:space="preserve">HATTIER                  TIMOTHY                  </v>
      </c>
      <c r="E3043" t="str">
        <f>"HAMMOND                   "</f>
        <v xml:space="preserve">HAMMOND                   </v>
      </c>
      <c r="F3043" t="str">
        <f t="shared" si="132"/>
        <v>LA</v>
      </c>
    </row>
    <row r="3044" spans="1:6" x14ac:dyDescent="0.25">
      <c r="A3044" t="str">
        <f>"004455091"</f>
        <v>004455091</v>
      </c>
      <c r="B3044" t="str">
        <f>"1144511650"</f>
        <v>1144511650</v>
      </c>
      <c r="C3044" t="str">
        <f>"208100000X"</f>
        <v>208100000X</v>
      </c>
      <c r="D3044" t="str">
        <f>"ELLIOTT                  LINDSAY                  "</f>
        <v xml:space="preserve">ELLIOTT                  LINDSAY                  </v>
      </c>
      <c r="E3044" t="str">
        <f>"NEW ORLEANS               "</f>
        <v xml:space="preserve">NEW ORLEANS               </v>
      </c>
      <c r="F3044" t="str">
        <f t="shared" si="132"/>
        <v>LA</v>
      </c>
    </row>
    <row r="3045" spans="1:6" x14ac:dyDescent="0.25">
      <c r="A3045" t="str">
        <f>"004472582"</f>
        <v>004472582</v>
      </c>
      <c r="B3045" t="str">
        <f>"1811471451"</f>
        <v>1811471451</v>
      </c>
      <c r="C3045" t="str">
        <f>"363L00000X"</f>
        <v>363L00000X</v>
      </c>
      <c r="D3045" t="str">
        <f>"REZZA                    HEATHER      L           "</f>
        <v xml:space="preserve">REZZA                    HEATHER      L           </v>
      </c>
      <c r="E3045" t="str">
        <f>"SLIDELL                   "</f>
        <v xml:space="preserve">SLIDELL                   </v>
      </c>
      <c r="F3045" t="str">
        <f t="shared" si="132"/>
        <v>LA</v>
      </c>
    </row>
    <row r="3046" spans="1:6" x14ac:dyDescent="0.25">
      <c r="A3046" t="str">
        <f>"004481533"</f>
        <v>004481533</v>
      </c>
      <c r="B3046" t="str">
        <f>"1548271067"</f>
        <v>1548271067</v>
      </c>
      <c r="C3046" t="str">
        <f>"2086S0102X"</f>
        <v>2086S0102X</v>
      </c>
      <c r="D3046" t="str">
        <f>"VALERIE                  EVANS                    "</f>
        <v xml:space="preserve">VALERIE                  EVANS                    </v>
      </c>
      <c r="E3046" t="str">
        <f>"NEW ORLEANS               "</f>
        <v xml:space="preserve">NEW ORLEANS               </v>
      </c>
      <c r="F3046" t="str">
        <f t="shared" si="132"/>
        <v>LA</v>
      </c>
    </row>
    <row r="3047" spans="1:6" x14ac:dyDescent="0.25">
      <c r="A3047" t="str">
        <f>"004482758"</f>
        <v>004482758</v>
      </c>
      <c r="B3047" t="str">
        <f>"1629044391"</f>
        <v>1629044391</v>
      </c>
      <c r="C3047" t="str">
        <f>"2080P0204X"</f>
        <v>2080P0204X</v>
      </c>
      <c r="D3047" t="str">
        <f>"MEADOWS                  MARY         K           "</f>
        <v xml:space="preserve">MEADOWS                  MARY         K           </v>
      </c>
      <c r="E3047" t="str">
        <f>"BATON ROUGE               "</f>
        <v xml:space="preserve">BATON ROUGE               </v>
      </c>
      <c r="F3047" t="str">
        <f t="shared" si="132"/>
        <v>LA</v>
      </c>
    </row>
    <row r="3048" spans="1:6" x14ac:dyDescent="0.25">
      <c r="A3048" t="str">
        <f>"004488090"</f>
        <v>004488090</v>
      </c>
      <c r="B3048" t="str">
        <f>"1609295260"</f>
        <v>1609295260</v>
      </c>
      <c r="C3048" t="str">
        <f>"207P00000X"</f>
        <v>207P00000X</v>
      </c>
      <c r="D3048" t="str">
        <f>"SULIK JR                 SCOTT        R           "</f>
        <v xml:space="preserve">SULIK JR                 SCOTT        R           </v>
      </c>
      <c r="E3048" t="str">
        <f>"KENNER                    "</f>
        <v xml:space="preserve">KENNER                    </v>
      </c>
      <c r="F3048" t="str">
        <f t="shared" si="132"/>
        <v>LA</v>
      </c>
    </row>
    <row r="3049" spans="1:6" x14ac:dyDescent="0.25">
      <c r="A3049" t="str">
        <f>"004500381"</f>
        <v>004500381</v>
      </c>
      <c r="B3049" t="str">
        <f>"1730706748"</f>
        <v>1730706748</v>
      </c>
      <c r="C3049" t="str">
        <f>"363L00000X"</f>
        <v>363L00000X</v>
      </c>
      <c r="D3049" t="str">
        <f>"CHRISTMAN                RENE'E       H           "</f>
        <v xml:space="preserve">CHRISTMAN                RENE'E       H           </v>
      </c>
      <c r="E3049" t="str">
        <f>"COVINGTON                 "</f>
        <v xml:space="preserve">COVINGTON                 </v>
      </c>
      <c r="F3049" t="str">
        <f t="shared" si="132"/>
        <v>LA</v>
      </c>
    </row>
    <row r="3050" spans="1:6" x14ac:dyDescent="0.25">
      <c r="A3050" t="str">
        <f>"004506266"</f>
        <v>004506266</v>
      </c>
      <c r="B3050" t="str">
        <f>"1538460720"</f>
        <v>1538460720</v>
      </c>
      <c r="C3050" t="str">
        <f>"122300000X"</f>
        <v>122300000X</v>
      </c>
      <c r="D3050" t="str">
        <f>"DOLS                     KATHERINE    M           "</f>
        <v xml:space="preserve">DOLS                     KATHERINE    M           </v>
      </c>
      <c r="E3050" t="str">
        <f>"SLIDELL                   "</f>
        <v xml:space="preserve">SLIDELL                   </v>
      </c>
      <c r="F3050" t="str">
        <f t="shared" si="132"/>
        <v>LA</v>
      </c>
    </row>
    <row r="3051" spans="1:6" x14ac:dyDescent="0.25">
      <c r="A3051" t="str">
        <f>"004507297"</f>
        <v>004507297</v>
      </c>
      <c r="B3051" t="str">
        <f>"1053773903"</f>
        <v>1053773903</v>
      </c>
      <c r="C3051" t="str">
        <f>"208000000X"</f>
        <v>208000000X</v>
      </c>
      <c r="D3051" t="str">
        <f>"GLINKY                   AMANDA       M           "</f>
        <v xml:space="preserve">GLINKY                   AMANDA       M           </v>
      </c>
      <c r="E3051" t="str">
        <f>"NEW ORLEANS               "</f>
        <v xml:space="preserve">NEW ORLEANS               </v>
      </c>
      <c r="F3051" t="str">
        <f t="shared" si="132"/>
        <v>LA</v>
      </c>
    </row>
    <row r="3052" spans="1:6" x14ac:dyDescent="0.25">
      <c r="A3052" t="str">
        <f>"004508362"</f>
        <v>004508362</v>
      </c>
      <c r="B3052" t="str">
        <f>"1497956403"</f>
        <v>1497956403</v>
      </c>
      <c r="C3052" t="str">
        <f>"207T00000X"</f>
        <v>207T00000X</v>
      </c>
      <c r="D3052" t="str">
        <f>"BOWIE                    CHARLES      R           "</f>
        <v xml:space="preserve">BOWIE                    CHARLES      R           </v>
      </c>
      <c r="E3052" t="str">
        <f>"BATON ROUGE               "</f>
        <v xml:space="preserve">BATON ROUGE               </v>
      </c>
      <c r="F3052" t="str">
        <f t="shared" si="132"/>
        <v>LA</v>
      </c>
    </row>
    <row r="3053" spans="1:6" x14ac:dyDescent="0.25">
      <c r="A3053" t="str">
        <f>"004524598"</f>
        <v>004524598</v>
      </c>
      <c r="B3053" t="str">
        <f>"1801996442"</f>
        <v>1801996442</v>
      </c>
      <c r="C3053" t="str">
        <f>"207T00000X"</f>
        <v>207T00000X</v>
      </c>
      <c r="D3053" t="str">
        <f>"WARE                     MARCUS       L           "</f>
        <v xml:space="preserve">WARE                     MARCUS       L           </v>
      </c>
      <c r="E3053" t="str">
        <f>"NEW ORLEANS               "</f>
        <v xml:space="preserve">NEW ORLEANS               </v>
      </c>
      <c r="F3053" t="str">
        <f t="shared" si="132"/>
        <v>LA</v>
      </c>
    </row>
    <row r="3054" spans="1:6" x14ac:dyDescent="0.25">
      <c r="A3054" t="str">
        <f>"004536878"</f>
        <v>004536878</v>
      </c>
      <c r="B3054" t="str">
        <f>"1699315622"</f>
        <v>1699315622</v>
      </c>
      <c r="C3054" t="str">
        <f>"363L00000X"</f>
        <v>363L00000X</v>
      </c>
      <c r="D3054" t="str">
        <f>"HAYDEN                   MICKI        L           "</f>
        <v xml:space="preserve">HAYDEN                   MICKI        L           </v>
      </c>
      <c r="E3054" t="str">
        <f>"SLIDELL                   "</f>
        <v xml:space="preserve">SLIDELL                   </v>
      </c>
      <c r="F3054" t="str">
        <f t="shared" si="132"/>
        <v>LA</v>
      </c>
    </row>
    <row r="3055" spans="1:6" x14ac:dyDescent="0.25">
      <c r="A3055" t="str">
        <f>"004538868"</f>
        <v>004538868</v>
      </c>
      <c r="B3055" t="str">
        <f>"1538546833"</f>
        <v>1538546833</v>
      </c>
      <c r="C3055" t="str">
        <f>"207P00000X"</f>
        <v>207P00000X</v>
      </c>
      <c r="D3055" t="str">
        <f>"HODGDON                  KATHRYN      E           "</f>
        <v xml:space="preserve">HODGDON                  KATHRYN      E           </v>
      </c>
      <c r="E3055" t="str">
        <f>"METAIRIE                  "</f>
        <v xml:space="preserve">METAIRIE                  </v>
      </c>
      <c r="F3055" t="str">
        <f t="shared" si="132"/>
        <v>LA</v>
      </c>
    </row>
    <row r="3056" spans="1:6" x14ac:dyDescent="0.25">
      <c r="A3056" t="str">
        <f>"004554099"</f>
        <v>004554099</v>
      </c>
      <c r="B3056" t="str">
        <f>"1538509401"</f>
        <v>1538509401</v>
      </c>
      <c r="C3056" t="str">
        <f>"261QE0700X"</f>
        <v>261QE0700X</v>
      </c>
      <c r="D3056" t="str">
        <f>"FMC DIALYSIS SERVICES FELICIANAS                  "</f>
        <v xml:space="preserve">FMC DIALYSIS SERVICES FELICIANAS                  </v>
      </c>
      <c r="E3056" t="str">
        <f>"JACKSON                   "</f>
        <v xml:space="preserve">JACKSON                   </v>
      </c>
      <c r="F3056" t="str">
        <f t="shared" si="132"/>
        <v>LA</v>
      </c>
    </row>
    <row r="3057" spans="1:6" x14ac:dyDescent="0.25">
      <c r="A3057" t="str">
        <f>"004579066"</f>
        <v>004579066</v>
      </c>
      <c r="B3057" t="str">
        <f>"1326076233"</f>
        <v>1326076233</v>
      </c>
      <c r="C3057" t="str">
        <f>"207RG0100X"</f>
        <v>207RG0100X</v>
      </c>
      <c r="D3057" t="str">
        <f>"EVANS                    JOHN         A           "</f>
        <v xml:space="preserve">EVANS                    JOHN         A           </v>
      </c>
      <c r="E3057" t="str">
        <f>"KENNER                    "</f>
        <v xml:space="preserve">KENNER                    </v>
      </c>
      <c r="F3057" t="str">
        <f t="shared" si="132"/>
        <v>LA</v>
      </c>
    </row>
    <row r="3058" spans="1:6" x14ac:dyDescent="0.25">
      <c r="A3058" t="str">
        <f>"004589523"</f>
        <v>004589523</v>
      </c>
      <c r="B3058" t="str">
        <f>"1013147719"</f>
        <v>1013147719</v>
      </c>
      <c r="C3058" t="str">
        <f>"2085R0202X"</f>
        <v>2085R0202X</v>
      </c>
      <c r="D3058" t="str">
        <f>"QUINET                   STEPHEN      A           "</f>
        <v xml:space="preserve">QUINET                   STEPHEN      A           </v>
      </c>
      <c r="E3058" t="str">
        <f>"NEW ORLEANS               "</f>
        <v xml:space="preserve">NEW ORLEANS               </v>
      </c>
      <c r="F3058" t="str">
        <f t="shared" si="132"/>
        <v>LA</v>
      </c>
    </row>
    <row r="3059" spans="1:6" x14ac:dyDescent="0.25">
      <c r="A3059" t="str">
        <f>"004601070"</f>
        <v>004601070</v>
      </c>
      <c r="B3059" t="str">
        <f>"1194862300"</f>
        <v>1194862300</v>
      </c>
      <c r="C3059" t="str">
        <f>"2080P0207X"</f>
        <v>2080P0207X</v>
      </c>
      <c r="D3059" t="str">
        <f>"LOTTERMAN                CRAIG        D           "</f>
        <v xml:space="preserve">LOTTERMAN                CRAIG        D           </v>
      </c>
      <c r="E3059" t="str">
        <f>"NEW ORLEANS               "</f>
        <v xml:space="preserve">NEW ORLEANS               </v>
      </c>
      <c r="F3059" t="str">
        <f t="shared" si="132"/>
        <v>LA</v>
      </c>
    </row>
    <row r="3060" spans="1:6" x14ac:dyDescent="0.25">
      <c r="A3060" t="str">
        <f>"004622238"</f>
        <v>004622238</v>
      </c>
      <c r="B3060" t="str">
        <f>"1598260895"</f>
        <v>1598260895</v>
      </c>
      <c r="C3060" t="str">
        <f>"207Q00000X"</f>
        <v>207Q00000X</v>
      </c>
      <c r="D3060" t="str">
        <f>"ROYAL                    COURTNEY     B           "</f>
        <v xml:space="preserve">ROYAL                    COURTNEY     B           </v>
      </c>
      <c r="E3060" t="str">
        <f>"HAMMOND                   "</f>
        <v xml:space="preserve">HAMMOND                   </v>
      </c>
      <c r="F3060" t="str">
        <f t="shared" si="132"/>
        <v>LA</v>
      </c>
    </row>
    <row r="3061" spans="1:6" x14ac:dyDescent="0.25">
      <c r="A3061" t="str">
        <f>"004624261"</f>
        <v>004624261</v>
      </c>
      <c r="B3061" t="str">
        <f>"1851364566"</f>
        <v>1851364566</v>
      </c>
      <c r="C3061" t="str">
        <f>"207Y00000X"</f>
        <v>207Y00000X</v>
      </c>
      <c r="D3061" t="str">
        <f>"RODRIGUEZ                KIMSEY       H           "</f>
        <v xml:space="preserve">RODRIGUEZ                KIMSEY       H           </v>
      </c>
      <c r="E3061" t="str">
        <f>"NEW ORLEANS               "</f>
        <v xml:space="preserve">NEW ORLEANS               </v>
      </c>
      <c r="F3061" t="str">
        <f t="shared" si="132"/>
        <v>LA</v>
      </c>
    </row>
    <row r="3062" spans="1:6" x14ac:dyDescent="0.25">
      <c r="A3062" t="str">
        <f>"004633305"</f>
        <v>004633305</v>
      </c>
      <c r="B3062" t="str">
        <f>"1992350581"</f>
        <v>1992350581</v>
      </c>
      <c r="C3062" t="str">
        <f>"363L00000X"</f>
        <v>363L00000X</v>
      </c>
      <c r="D3062" t="str">
        <f>"WILSON                   SHARLANA     M           "</f>
        <v xml:space="preserve">WILSON                   SHARLANA     M           </v>
      </c>
      <c r="E3062" t="str">
        <f>"NEW ORLEANS               "</f>
        <v xml:space="preserve">NEW ORLEANS               </v>
      </c>
      <c r="F3062" t="str">
        <f t="shared" si="132"/>
        <v>LA</v>
      </c>
    </row>
    <row r="3063" spans="1:6" x14ac:dyDescent="0.25">
      <c r="A3063" t="str">
        <f>"004633764"</f>
        <v>004633764</v>
      </c>
      <c r="B3063" t="str">
        <f>"1972751477"</f>
        <v>1972751477</v>
      </c>
      <c r="C3063" t="str">
        <f>"367500000X"</f>
        <v>367500000X</v>
      </c>
      <c r="D3063" t="str">
        <f>"DELLIHOUE LOCKHART       MELANIE                  "</f>
        <v xml:space="preserve">DELLIHOUE LOCKHART       MELANIE                  </v>
      </c>
      <c r="E3063" t="str">
        <f>"NEW ORLEANS               "</f>
        <v xml:space="preserve">NEW ORLEANS               </v>
      </c>
      <c r="F3063" t="str">
        <f t="shared" si="132"/>
        <v>LA</v>
      </c>
    </row>
    <row r="3064" spans="1:6" x14ac:dyDescent="0.25">
      <c r="A3064" t="str">
        <f>"004636757"</f>
        <v>004636757</v>
      </c>
      <c r="B3064" t="str">
        <f>"1518224427"</f>
        <v>1518224427</v>
      </c>
      <c r="C3064" t="str">
        <f>"208600000X"</f>
        <v>208600000X</v>
      </c>
      <c r="D3064" t="str">
        <f>"MELARA                   JORGE        D           "</f>
        <v xml:space="preserve">MELARA                   JORGE        D           </v>
      </c>
      <c r="E3064" t="str">
        <f>"SLIDELL                   "</f>
        <v xml:space="preserve">SLIDELL                   </v>
      </c>
      <c r="F3064" t="str">
        <f t="shared" si="132"/>
        <v>LA</v>
      </c>
    </row>
    <row r="3065" spans="1:6" x14ac:dyDescent="0.25">
      <c r="A3065" t="str">
        <f>"004637823"</f>
        <v>004637823</v>
      </c>
      <c r="B3065" t="str">
        <f>"1508216144"</f>
        <v>1508216144</v>
      </c>
      <c r="C3065" t="str">
        <f>"363L00000X"</f>
        <v>363L00000X</v>
      </c>
      <c r="D3065" t="str">
        <f>"SUIT                     JESSICA      M           "</f>
        <v xml:space="preserve">SUIT                     JESSICA      M           </v>
      </c>
      <c r="E3065" t="str">
        <f>"SLIDELL                   "</f>
        <v xml:space="preserve">SLIDELL                   </v>
      </c>
      <c r="F3065" t="str">
        <f t="shared" si="132"/>
        <v>LA</v>
      </c>
    </row>
    <row r="3066" spans="1:6" x14ac:dyDescent="0.25">
      <c r="A3066" t="str">
        <f>"004651502"</f>
        <v>004651502</v>
      </c>
      <c r="B3066" t="str">
        <f>"1659963882"</f>
        <v>1659963882</v>
      </c>
      <c r="C3066" t="str">
        <f>"363L00000X"</f>
        <v>363L00000X</v>
      </c>
      <c r="D3066" t="str">
        <f>"CAGLE                    JONATHAN                 "</f>
        <v xml:space="preserve">CAGLE                    JONATHAN                 </v>
      </c>
      <c r="E3066" t="str">
        <f>"SLIDELL                   "</f>
        <v xml:space="preserve">SLIDELL                   </v>
      </c>
      <c r="F3066" t="str">
        <f t="shared" si="132"/>
        <v>LA</v>
      </c>
    </row>
    <row r="3067" spans="1:6" x14ac:dyDescent="0.25">
      <c r="A3067" t="str">
        <f>"004654520"</f>
        <v>004654520</v>
      </c>
      <c r="B3067" t="str">
        <f>"1568090991"</f>
        <v>1568090991</v>
      </c>
      <c r="C3067" t="str">
        <f>"367500000X"</f>
        <v>367500000X</v>
      </c>
      <c r="D3067" t="str">
        <f>"JORDAN                   PHILLIP      C           "</f>
        <v xml:space="preserve">JORDAN                   PHILLIP      C           </v>
      </c>
      <c r="E3067" t="str">
        <f>"NEW ORLEANS               "</f>
        <v xml:space="preserve">NEW ORLEANS               </v>
      </c>
      <c r="F3067" t="str">
        <f t="shared" si="132"/>
        <v>LA</v>
      </c>
    </row>
    <row r="3068" spans="1:6" x14ac:dyDescent="0.25">
      <c r="A3068" t="str">
        <f>"004726274"</f>
        <v>004726274</v>
      </c>
      <c r="B3068" t="str">
        <f>"1598243982"</f>
        <v>1598243982</v>
      </c>
      <c r="C3068" t="str">
        <f>"363A00000X"</f>
        <v>363A00000X</v>
      </c>
      <c r="D3068" t="str">
        <f>"UPCHURCH                 MARY         L           "</f>
        <v xml:space="preserve">UPCHURCH                 MARY         L           </v>
      </c>
      <c r="E3068" t="str">
        <f>"NEW ORLEANS               "</f>
        <v xml:space="preserve">NEW ORLEANS               </v>
      </c>
      <c r="F3068" t="str">
        <f t="shared" si="132"/>
        <v>LA</v>
      </c>
    </row>
    <row r="3069" spans="1:6" x14ac:dyDescent="0.25">
      <c r="A3069" t="str">
        <f>"004789221"</f>
        <v>004789221</v>
      </c>
      <c r="B3069" t="str">
        <f>"1205074374"</f>
        <v>1205074374</v>
      </c>
      <c r="C3069" t="str">
        <f>"363L00000X"</f>
        <v>363L00000X</v>
      </c>
      <c r="D3069" t="str">
        <f>"BURTCH                   JENNIFER     A           "</f>
        <v xml:space="preserve">BURTCH                   JENNIFER     A           </v>
      </c>
      <c r="E3069" t="str">
        <f>"SLIDELL                   "</f>
        <v xml:space="preserve">SLIDELL                   </v>
      </c>
      <c r="F3069" t="str">
        <f t="shared" si="132"/>
        <v>LA</v>
      </c>
    </row>
    <row r="3070" spans="1:6" x14ac:dyDescent="0.25">
      <c r="A3070" t="str">
        <f>"004822279"</f>
        <v>004822279</v>
      </c>
      <c r="B3070" t="str">
        <f>"1740238385"</f>
        <v>1740238385</v>
      </c>
      <c r="C3070" t="str">
        <f>"2085R0202X"</f>
        <v>2085R0202X</v>
      </c>
      <c r="D3070" t="str">
        <f>"ALLINE                   MICHAEL      J           "</f>
        <v xml:space="preserve">ALLINE                   MICHAEL      J           </v>
      </c>
      <c r="E3070" t="str">
        <f>"MARRERO                   "</f>
        <v xml:space="preserve">MARRERO                   </v>
      </c>
      <c r="F3070" t="str">
        <f t="shared" si="132"/>
        <v>LA</v>
      </c>
    </row>
    <row r="3071" spans="1:6" x14ac:dyDescent="0.25">
      <c r="A3071" t="str">
        <f>"004823214"</f>
        <v>004823214</v>
      </c>
      <c r="B3071" t="str">
        <f>"1821132192"</f>
        <v>1821132192</v>
      </c>
      <c r="C3071" t="str">
        <f>"207RE0101X"</f>
        <v>207RE0101X</v>
      </c>
      <c r="D3071" t="str">
        <f>"PANUNTI                  BRANDY       A           "</f>
        <v xml:space="preserve">PANUNTI                  BRANDY       A           </v>
      </c>
      <c r="E3071" t="str">
        <f>"NEW ORLEANS               "</f>
        <v xml:space="preserve">NEW ORLEANS               </v>
      </c>
      <c r="F3071" t="str">
        <f t="shared" si="132"/>
        <v>LA</v>
      </c>
    </row>
    <row r="3072" spans="1:6" x14ac:dyDescent="0.25">
      <c r="A3072" t="str">
        <f>"004827513"</f>
        <v>004827513</v>
      </c>
      <c r="B3072" t="str">
        <f>"1487659496"</f>
        <v>1487659496</v>
      </c>
      <c r="C3072" t="str">
        <f>"2085R0202X"</f>
        <v>2085R0202X</v>
      </c>
      <c r="D3072" t="str">
        <f>"TUPLER                   RICHARD      H           "</f>
        <v xml:space="preserve">TUPLER                   RICHARD      H           </v>
      </c>
      <c r="E3072" t="str">
        <f>"NEW ORLEANS               "</f>
        <v xml:space="preserve">NEW ORLEANS               </v>
      </c>
      <c r="F3072" t="str">
        <f t="shared" si="132"/>
        <v>LA</v>
      </c>
    </row>
    <row r="3073" spans="1:6" x14ac:dyDescent="0.25">
      <c r="A3073" t="str">
        <f>"004832872"</f>
        <v>004832872</v>
      </c>
      <c r="B3073" t="str">
        <f>"1497048037"</f>
        <v>1497048037</v>
      </c>
      <c r="C3073" t="str">
        <f>"363L00000X"</f>
        <v>363L00000X</v>
      </c>
      <c r="D3073" t="str">
        <f>"RIVE'                    KATHRYN      P           "</f>
        <v xml:space="preserve">RIVE'                    KATHRYN      P           </v>
      </c>
      <c r="E3073" t="str">
        <f>"NEW ORLEANS               "</f>
        <v xml:space="preserve">NEW ORLEANS               </v>
      </c>
      <c r="F3073" t="str">
        <f t="shared" si="132"/>
        <v>LA</v>
      </c>
    </row>
    <row r="3074" spans="1:6" x14ac:dyDescent="0.25">
      <c r="A3074" t="str">
        <f>"004833780"</f>
        <v>004833780</v>
      </c>
      <c r="B3074" t="str">
        <f>"1093031114"</f>
        <v>1093031114</v>
      </c>
      <c r="C3074" t="str">
        <f>"208000000X"</f>
        <v>208000000X</v>
      </c>
      <c r="D3074" t="str">
        <f>"MORATAYA MEJIA           JAIME        R           "</f>
        <v xml:space="preserve">MORATAYA MEJIA           JAIME        R           </v>
      </c>
      <c r="E3074" t="str">
        <f>"NEW ORLEANS               "</f>
        <v xml:space="preserve">NEW ORLEANS               </v>
      </c>
      <c r="F3074" t="str">
        <f t="shared" si="132"/>
        <v>LA</v>
      </c>
    </row>
    <row r="3075" spans="1:6" x14ac:dyDescent="0.25">
      <c r="A3075" t="str">
        <f>"004835854"</f>
        <v>004835854</v>
      </c>
      <c r="B3075" t="str">
        <f>"1831427806"</f>
        <v>1831427806</v>
      </c>
      <c r="C3075" t="str">
        <f>"208600000X"</f>
        <v>208600000X</v>
      </c>
      <c r="D3075" t="str">
        <f>"SEAL                     JOHN         B           "</f>
        <v xml:space="preserve">SEAL                     JOHN         B           </v>
      </c>
      <c r="E3075" t="str">
        <f>"NEW ORLEANS               "</f>
        <v xml:space="preserve">NEW ORLEANS               </v>
      </c>
      <c r="F3075" t="str">
        <f t="shared" si="132"/>
        <v>LA</v>
      </c>
    </row>
    <row r="3076" spans="1:6" x14ac:dyDescent="0.25">
      <c r="A3076" t="str">
        <f>"004839747"</f>
        <v>004839747</v>
      </c>
      <c r="B3076" t="str">
        <f>"1568778066"</f>
        <v>1568778066</v>
      </c>
      <c r="C3076" t="str">
        <f>"363A00000X"</f>
        <v>363A00000X</v>
      </c>
      <c r="D3076" t="str">
        <f>"PANCOAST                 BRIDGET      H           "</f>
        <v xml:space="preserve">PANCOAST                 BRIDGET      H           </v>
      </c>
      <c r="E3076" t="str">
        <f>"LA PLACE                  "</f>
        <v xml:space="preserve">LA PLACE                  </v>
      </c>
      <c r="F3076" t="str">
        <f t="shared" si="132"/>
        <v>LA</v>
      </c>
    </row>
    <row r="3077" spans="1:6" x14ac:dyDescent="0.25">
      <c r="A3077" t="str">
        <f>"004850656"</f>
        <v>004850656</v>
      </c>
      <c r="B3077" t="str">
        <f>"1972132686"</f>
        <v>1972132686</v>
      </c>
      <c r="C3077" t="str">
        <f>"367500000X"</f>
        <v>367500000X</v>
      </c>
      <c r="D3077" t="str">
        <f>"GUIDRY                   LORI         A           "</f>
        <v xml:space="preserve">GUIDRY                   LORI         A           </v>
      </c>
      <c r="E3077" t="str">
        <f>"NEW ORLEANS               "</f>
        <v xml:space="preserve">NEW ORLEANS               </v>
      </c>
      <c r="F3077" t="str">
        <f t="shared" si="132"/>
        <v>LA</v>
      </c>
    </row>
    <row r="3078" spans="1:6" x14ac:dyDescent="0.25">
      <c r="A3078" t="str">
        <f>"004853233"</f>
        <v>004853233</v>
      </c>
      <c r="B3078" t="str">
        <f>"1902240542"</f>
        <v>1902240542</v>
      </c>
      <c r="C3078" t="str">
        <f>"207L00000X"</f>
        <v>207L00000X</v>
      </c>
      <c r="D3078" t="str">
        <f>"BEVINETTO                CARA         M           "</f>
        <v xml:space="preserve">BEVINETTO                CARA         M           </v>
      </c>
      <c r="E3078" t="str">
        <f>"NEW ORLEANS               "</f>
        <v xml:space="preserve">NEW ORLEANS               </v>
      </c>
      <c r="F3078" t="str">
        <f t="shared" si="132"/>
        <v>LA</v>
      </c>
    </row>
    <row r="3079" spans="1:6" x14ac:dyDescent="0.25">
      <c r="A3079" t="str">
        <f>"004855223"</f>
        <v>004855223</v>
      </c>
      <c r="B3079" t="str">
        <f>"1699797191"</f>
        <v>1699797191</v>
      </c>
      <c r="C3079" t="str">
        <f>"208000000X"</f>
        <v>208000000X</v>
      </c>
      <c r="D3079" t="str">
        <f>"GOMEZ                    RICARDO                  "</f>
        <v xml:space="preserve">GOMEZ                    RICARDO                  </v>
      </c>
      <c r="E3079" t="str">
        <f>"NEW ORLEANS               "</f>
        <v xml:space="preserve">NEW ORLEANS               </v>
      </c>
      <c r="F3079" t="str">
        <f t="shared" si="132"/>
        <v>LA</v>
      </c>
    </row>
    <row r="3080" spans="1:6" x14ac:dyDescent="0.25">
      <c r="A3080" t="str">
        <f>"004856044"</f>
        <v>004856044</v>
      </c>
      <c r="B3080" t="str">
        <f>"1053377457"</f>
        <v>1053377457</v>
      </c>
      <c r="C3080" t="str">
        <f>"207Y00000X"</f>
        <v>207Y00000X</v>
      </c>
      <c r="D3080" t="str">
        <f>"SCHNEIDER                TIMOTHY      J           "</f>
        <v xml:space="preserve">SCHNEIDER                TIMOTHY      J           </v>
      </c>
      <c r="E3080" t="str">
        <f>"SLIDELL                   "</f>
        <v xml:space="preserve">SLIDELL                   </v>
      </c>
      <c r="F3080" t="str">
        <f t="shared" si="132"/>
        <v>LA</v>
      </c>
    </row>
    <row r="3081" spans="1:6" x14ac:dyDescent="0.25">
      <c r="A3081" t="str">
        <f>"004900525"</f>
        <v>004900525</v>
      </c>
      <c r="B3081" t="str">
        <f>"1912369976"</f>
        <v>1912369976</v>
      </c>
      <c r="C3081" t="str">
        <f>"207Q00000X"</f>
        <v>207Q00000X</v>
      </c>
      <c r="D3081" t="str">
        <f>"SOSIC                    DRAZEN                   "</f>
        <v xml:space="preserve">SOSIC                    DRAZEN                   </v>
      </c>
      <c r="E3081" t="str">
        <f>"HAMMOND                   "</f>
        <v xml:space="preserve">HAMMOND                   </v>
      </c>
      <c r="F3081" t="str">
        <f t="shared" si="132"/>
        <v>LA</v>
      </c>
    </row>
    <row r="3082" spans="1:6" x14ac:dyDescent="0.25">
      <c r="A3082" t="str">
        <f>"004900999"</f>
        <v>004900999</v>
      </c>
      <c r="B3082" t="str">
        <f>"1912431768"</f>
        <v>1912431768</v>
      </c>
      <c r="C3082" t="str">
        <f>"207L00000X"</f>
        <v>207L00000X</v>
      </c>
      <c r="D3082" t="str">
        <f>"JHITA                    PREYA        K           "</f>
        <v xml:space="preserve">JHITA                    PREYA        K           </v>
      </c>
      <c r="E3082" t="str">
        <f>"NEW ORLEANS               "</f>
        <v xml:space="preserve">NEW ORLEANS               </v>
      </c>
      <c r="F3082" t="str">
        <f t="shared" si="132"/>
        <v>LA</v>
      </c>
    </row>
    <row r="3083" spans="1:6" x14ac:dyDescent="0.25">
      <c r="A3083" t="str">
        <f>"004902578"</f>
        <v>004902578</v>
      </c>
      <c r="B3083" t="str">
        <f>"1053761866"</f>
        <v>1053761866</v>
      </c>
      <c r="C3083" t="str">
        <f>"363A00000X"</f>
        <v>363A00000X</v>
      </c>
      <c r="D3083" t="str">
        <f>"DAIGLE STEWART           AMANDA       M           "</f>
        <v xml:space="preserve">DAIGLE STEWART           AMANDA       M           </v>
      </c>
      <c r="E3083" t="str">
        <f>"NEW ORLEANS               "</f>
        <v xml:space="preserve">NEW ORLEANS               </v>
      </c>
      <c r="F3083" t="str">
        <f t="shared" si="132"/>
        <v>LA</v>
      </c>
    </row>
    <row r="3084" spans="1:6" x14ac:dyDescent="0.25">
      <c r="A3084" t="str">
        <f>"004903578"</f>
        <v>004903578</v>
      </c>
      <c r="B3084" t="str">
        <f>"1336451723"</f>
        <v>1336451723</v>
      </c>
      <c r="C3084" t="str">
        <f>"2085R0202X"</f>
        <v>2085R0202X</v>
      </c>
      <c r="D3084" t="str">
        <f>"OBENG                    KWAKU        A           "</f>
        <v xml:space="preserve">OBENG                    KWAKU        A           </v>
      </c>
      <c r="E3084" t="str">
        <f>"NEW ORLEANS               "</f>
        <v xml:space="preserve">NEW ORLEANS               </v>
      </c>
      <c r="F3084" t="str">
        <f t="shared" si="132"/>
        <v>LA</v>
      </c>
    </row>
    <row r="3085" spans="1:6" x14ac:dyDescent="0.25">
      <c r="A3085" t="str">
        <f>"004930469"</f>
        <v>004930469</v>
      </c>
      <c r="B3085" t="str">
        <f>"1396977617"</f>
        <v>1396977617</v>
      </c>
      <c r="C3085" t="str">
        <f>"363L00000X"</f>
        <v>363L00000X</v>
      </c>
      <c r="D3085" t="str">
        <f>"LANGSTON                 SHERRY                   "</f>
        <v xml:space="preserve">LANGSTON                 SHERRY                   </v>
      </c>
      <c r="E3085" t="str">
        <f>"NEW ORLEANS               "</f>
        <v xml:space="preserve">NEW ORLEANS               </v>
      </c>
      <c r="F3085" t="str">
        <f t="shared" si="132"/>
        <v>LA</v>
      </c>
    </row>
    <row r="3086" spans="1:6" x14ac:dyDescent="0.25">
      <c r="A3086" t="str">
        <f>"004938867"</f>
        <v>004938867</v>
      </c>
      <c r="B3086" t="str">
        <f>"1730149329"</f>
        <v>1730149329</v>
      </c>
      <c r="C3086" t="str">
        <f>"207Q00000X"</f>
        <v>207Q00000X</v>
      </c>
      <c r="D3086" t="str">
        <f>"DUFFOUR                  RORY         J           "</f>
        <v xml:space="preserve">DUFFOUR                  RORY         J           </v>
      </c>
      <c r="E3086" t="str">
        <f>"SLIDELL                   "</f>
        <v xml:space="preserve">SLIDELL                   </v>
      </c>
      <c r="F3086" t="str">
        <f t="shared" si="132"/>
        <v>LA</v>
      </c>
    </row>
    <row r="3087" spans="1:6" x14ac:dyDescent="0.25">
      <c r="A3087" t="str">
        <f>"004950274"</f>
        <v>004950274</v>
      </c>
      <c r="B3087" t="str">
        <f>"1952323727"</f>
        <v>1952323727</v>
      </c>
      <c r="C3087" t="str">
        <f>"2080P0206X"</f>
        <v>2080P0206X</v>
      </c>
      <c r="D3087" t="str">
        <f>"ALONSO RUBIANO           ELIZABETH                "</f>
        <v xml:space="preserve">ALONSO RUBIANO           ELIZABETH                </v>
      </c>
      <c r="E3087" t="str">
        <f>"NEW ORLEANS               "</f>
        <v xml:space="preserve">NEW ORLEANS               </v>
      </c>
      <c r="F3087" t="str">
        <f t="shared" si="132"/>
        <v>LA</v>
      </c>
    </row>
    <row r="3088" spans="1:6" x14ac:dyDescent="0.25">
      <c r="A3088" t="str">
        <f>"004958278"</f>
        <v>004958278</v>
      </c>
      <c r="B3088" t="str">
        <f>"1053766014"</f>
        <v>1053766014</v>
      </c>
      <c r="C3088" t="str">
        <f>"207R00000X"</f>
        <v>207R00000X</v>
      </c>
      <c r="D3088" t="str">
        <f>"ROSENBLATT               ETHAN        A           "</f>
        <v xml:space="preserve">ROSENBLATT               ETHAN        A           </v>
      </c>
      <c r="E3088" t="str">
        <f>"NEW ORLEANS               "</f>
        <v xml:space="preserve">NEW ORLEANS               </v>
      </c>
      <c r="F3088" t="str">
        <f t="shared" si="132"/>
        <v>LA</v>
      </c>
    </row>
    <row r="3089" spans="1:6" x14ac:dyDescent="0.25">
      <c r="A3089" t="str">
        <f>"004984727"</f>
        <v>004984727</v>
      </c>
      <c r="B3089" t="str">
        <f>"1093906166"</f>
        <v>1093906166</v>
      </c>
      <c r="C3089" t="str">
        <f>"207X00000X"</f>
        <v>207X00000X</v>
      </c>
      <c r="D3089" t="str">
        <f>"LADNER                   BRIAN        J           "</f>
        <v xml:space="preserve">LADNER                   BRIAN        J           </v>
      </c>
      <c r="E3089" t="str">
        <f>"COVINGTON                 "</f>
        <v xml:space="preserve">COVINGTON                 </v>
      </c>
      <c r="F3089" t="str">
        <f t="shared" si="132"/>
        <v>LA</v>
      </c>
    </row>
    <row r="3090" spans="1:6" x14ac:dyDescent="0.25">
      <c r="A3090" t="str">
        <f>"004986303"</f>
        <v>004986303</v>
      </c>
      <c r="B3090" t="str">
        <f>"1053519512"</f>
        <v>1053519512</v>
      </c>
      <c r="C3090" t="str">
        <f>"207K00000X"</f>
        <v>207K00000X</v>
      </c>
      <c r="D3090" t="str">
        <f>"HASSETT                  CATHRYN      C           "</f>
        <v xml:space="preserve">HASSETT                  CATHRYN      C           </v>
      </c>
      <c r="E3090" t="str">
        <f>"NEW ORLEANS               "</f>
        <v xml:space="preserve">NEW ORLEANS               </v>
      </c>
      <c r="F3090" t="str">
        <f t="shared" si="132"/>
        <v>LA</v>
      </c>
    </row>
    <row r="3091" spans="1:6" x14ac:dyDescent="0.25">
      <c r="A3091" t="str">
        <f>"004987521"</f>
        <v>004987521</v>
      </c>
      <c r="B3091" t="str">
        <f>"1891054094"</f>
        <v>1891054094</v>
      </c>
      <c r="C3091" t="str">
        <f>"207V00000X"</f>
        <v>207V00000X</v>
      </c>
      <c r="D3091" t="str">
        <f>"CALIX                    ROBERTO      X           "</f>
        <v xml:space="preserve">CALIX                    ROBERTO      X           </v>
      </c>
      <c r="E3091" t="str">
        <f>"NEW ORLEANS               "</f>
        <v xml:space="preserve">NEW ORLEANS               </v>
      </c>
      <c r="F3091" t="str">
        <f t="shared" si="132"/>
        <v>LA</v>
      </c>
    </row>
    <row r="3092" spans="1:6" x14ac:dyDescent="0.25">
      <c r="A3092" t="str">
        <f>"005001092"</f>
        <v>005001092</v>
      </c>
      <c r="B3092" t="str">
        <f>"1972735819"</f>
        <v>1972735819</v>
      </c>
      <c r="C3092" t="str">
        <f>"363A00000X"</f>
        <v>363A00000X</v>
      </c>
      <c r="D3092" t="str">
        <f>"SCHNEIDER                HANNAH       S           "</f>
        <v xml:space="preserve">SCHNEIDER                HANNAH       S           </v>
      </c>
      <c r="E3092" t="str">
        <f>"SLIDELL                   "</f>
        <v xml:space="preserve">SLIDELL                   </v>
      </c>
      <c r="F3092" t="str">
        <f t="shared" si="132"/>
        <v>LA</v>
      </c>
    </row>
    <row r="3093" spans="1:6" x14ac:dyDescent="0.25">
      <c r="A3093" t="str">
        <f>"005006309"</f>
        <v>005006309</v>
      </c>
      <c r="B3093" t="str">
        <f>"1326332388"</f>
        <v>1326332388</v>
      </c>
      <c r="C3093" t="str">
        <f>"207T00000X"</f>
        <v>207T00000X</v>
      </c>
      <c r="D3093" t="str">
        <f>"KAHN                     LORA         W           "</f>
        <v xml:space="preserve">KAHN                     LORA         W           </v>
      </c>
      <c r="E3093" t="str">
        <f>"NEW ORLEANS               "</f>
        <v xml:space="preserve">NEW ORLEANS               </v>
      </c>
      <c r="F3093" t="str">
        <f t="shared" si="132"/>
        <v>LA</v>
      </c>
    </row>
    <row r="3094" spans="1:6" x14ac:dyDescent="0.25">
      <c r="A3094" t="str">
        <f>"005021865"</f>
        <v>005021865</v>
      </c>
      <c r="B3094" t="str">
        <f>"1194109280"</f>
        <v>1194109280</v>
      </c>
      <c r="C3094" t="str">
        <f>"363L00000X"</f>
        <v>363L00000X</v>
      </c>
      <c r="D3094" t="str">
        <f>"NARANJO                  BROOKE       Q           "</f>
        <v xml:space="preserve">NARANJO                  BROOKE       Q           </v>
      </c>
      <c r="E3094" t="str">
        <f>"NEW ORLEANS               "</f>
        <v xml:space="preserve">NEW ORLEANS               </v>
      </c>
      <c r="F3094" t="str">
        <f t="shared" si="132"/>
        <v>LA</v>
      </c>
    </row>
    <row r="3095" spans="1:6" x14ac:dyDescent="0.25">
      <c r="A3095" t="str">
        <f>"005024244"</f>
        <v>005024244</v>
      </c>
      <c r="B3095" t="str">
        <f>"1972845030"</f>
        <v>1972845030</v>
      </c>
      <c r="C3095" t="str">
        <f>"208000000X"</f>
        <v>208000000X</v>
      </c>
      <c r="D3095" t="str">
        <f>"FULTON                   GREGORY      K           "</f>
        <v xml:space="preserve">FULTON                   GREGORY      K           </v>
      </c>
      <c r="E3095" t="str">
        <f>"NEW ORLEANS               "</f>
        <v xml:space="preserve">NEW ORLEANS               </v>
      </c>
      <c r="F3095" t="str">
        <f t="shared" si="132"/>
        <v>LA</v>
      </c>
    </row>
    <row r="3096" spans="1:6" x14ac:dyDescent="0.25">
      <c r="A3096" t="str">
        <f>"005038327"</f>
        <v>005038327</v>
      </c>
      <c r="B3096" t="str">
        <f>"1619434826"</f>
        <v>1619434826</v>
      </c>
      <c r="C3096" t="str">
        <f>"363L00000X"</f>
        <v>363L00000X</v>
      </c>
      <c r="D3096" t="str">
        <f>"SEXTON                   MARY         E           "</f>
        <v xml:space="preserve">SEXTON                   MARY         E           </v>
      </c>
      <c r="E3096" t="str">
        <f>"NEW ORLEANS               "</f>
        <v xml:space="preserve">NEW ORLEANS               </v>
      </c>
      <c r="F3096" t="str">
        <f t="shared" si="132"/>
        <v>LA</v>
      </c>
    </row>
    <row r="3097" spans="1:6" x14ac:dyDescent="0.25">
      <c r="A3097" t="str">
        <f>"005038718"</f>
        <v>005038718</v>
      </c>
      <c r="B3097" t="str">
        <f>"1134245582"</f>
        <v>1134245582</v>
      </c>
      <c r="C3097" t="str">
        <f>"363L00000X"</f>
        <v>363L00000X</v>
      </c>
      <c r="D3097" t="str">
        <f>"POWELL                   JODI         T           "</f>
        <v xml:space="preserve">POWELL                   JODI         T           </v>
      </c>
      <c r="E3097" t="str">
        <f>"SLIDELL                   "</f>
        <v xml:space="preserve">SLIDELL                   </v>
      </c>
      <c r="F3097" t="str">
        <f t="shared" si="132"/>
        <v>LA</v>
      </c>
    </row>
    <row r="3098" spans="1:6" x14ac:dyDescent="0.25">
      <c r="A3098" t="str">
        <f>"005052856"</f>
        <v>005052856</v>
      </c>
      <c r="B3098" t="str">
        <f>"1184980138"</f>
        <v>1184980138</v>
      </c>
      <c r="C3098" t="str">
        <f>"2080N0001X"</f>
        <v>2080N0001X</v>
      </c>
      <c r="D3098" t="str">
        <f>"KNECHT                   MICHELLE                 "</f>
        <v xml:space="preserve">KNECHT                   MICHELLE                 </v>
      </c>
      <c r="E3098" t="str">
        <f>"NEW ORLEANS               "</f>
        <v xml:space="preserve">NEW ORLEANS               </v>
      </c>
      <c r="F3098" t="str">
        <f t="shared" si="132"/>
        <v>LA</v>
      </c>
    </row>
    <row r="3099" spans="1:6" x14ac:dyDescent="0.25">
      <c r="A3099" t="str">
        <f>"005076293"</f>
        <v>005076293</v>
      </c>
      <c r="B3099" t="str">
        <f>"1619024593"</f>
        <v>1619024593</v>
      </c>
      <c r="C3099" t="str">
        <f>"2085R0202X"</f>
        <v>2085R0202X</v>
      </c>
      <c r="D3099" t="str">
        <f>"MALKERNEKER              DEE                      "</f>
        <v xml:space="preserve">MALKERNEKER              DEE                      </v>
      </c>
      <c r="E3099" t="str">
        <f>"SLIDELL                   "</f>
        <v xml:space="preserve">SLIDELL                   </v>
      </c>
      <c r="F3099" t="str">
        <f t="shared" ref="F3099:F3162" si="133">"LA"</f>
        <v>LA</v>
      </c>
    </row>
    <row r="3100" spans="1:6" x14ac:dyDescent="0.25">
      <c r="A3100" t="str">
        <f>"005107742"</f>
        <v>005107742</v>
      </c>
      <c r="B3100" t="str">
        <f>"1508809153"</f>
        <v>1508809153</v>
      </c>
      <c r="C3100" t="str">
        <f>"363L00000X"</f>
        <v>363L00000X</v>
      </c>
      <c r="D3100" t="str">
        <f>"PEYROUX                  MICHELLE     H           "</f>
        <v xml:space="preserve">PEYROUX                  MICHELLE     H           </v>
      </c>
      <c r="E3100" t="str">
        <f>"SLIDELL                   "</f>
        <v xml:space="preserve">SLIDELL                   </v>
      </c>
      <c r="F3100" t="str">
        <f t="shared" si="133"/>
        <v>LA</v>
      </c>
    </row>
    <row r="3101" spans="1:6" x14ac:dyDescent="0.25">
      <c r="A3101" t="str">
        <f>"005108551"</f>
        <v>005108551</v>
      </c>
      <c r="B3101" t="str">
        <f>"1205027489"</f>
        <v>1205027489</v>
      </c>
      <c r="C3101" t="str">
        <f>"207Q00000X"</f>
        <v>207Q00000X</v>
      </c>
      <c r="D3101" t="str">
        <f>"DARG-QUINONES            RUTH         G           "</f>
        <v xml:space="preserve">DARG-QUINONES            RUTH         G           </v>
      </c>
      <c r="E3101" t="str">
        <f>"COVINGTON                 "</f>
        <v xml:space="preserve">COVINGTON                 </v>
      </c>
      <c r="F3101" t="str">
        <f t="shared" si="133"/>
        <v>LA</v>
      </c>
    </row>
    <row r="3102" spans="1:6" x14ac:dyDescent="0.25">
      <c r="A3102" t="str">
        <f>"005122819"</f>
        <v>005122819</v>
      </c>
      <c r="B3102" t="str">
        <f>"1023549227"</f>
        <v>1023549227</v>
      </c>
      <c r="C3102" t="str">
        <f>"207R00000X"</f>
        <v>207R00000X</v>
      </c>
      <c r="D3102" t="str">
        <f>"KISSEE                   RYAN         S           "</f>
        <v xml:space="preserve">KISSEE                   RYAN         S           </v>
      </c>
      <c r="E3102" t="str">
        <f>"SLIDELL                   "</f>
        <v xml:space="preserve">SLIDELL                   </v>
      </c>
      <c r="F3102" t="str">
        <f t="shared" si="133"/>
        <v>LA</v>
      </c>
    </row>
    <row r="3103" spans="1:6" x14ac:dyDescent="0.25">
      <c r="A3103" t="str">
        <f>"005130947"</f>
        <v>005130947</v>
      </c>
      <c r="B3103" t="str">
        <f>"1194119289"</f>
        <v>1194119289</v>
      </c>
      <c r="C3103" t="str">
        <f>"207P00000X"</f>
        <v>207P00000X</v>
      </c>
      <c r="D3103" t="str">
        <f>"JUPITER                  RYAN                     "</f>
        <v xml:space="preserve">JUPITER                  RYAN                     </v>
      </c>
      <c r="E3103" t="str">
        <f>"SLIDELL                   "</f>
        <v xml:space="preserve">SLIDELL                   </v>
      </c>
      <c r="F3103" t="str">
        <f t="shared" si="133"/>
        <v>LA</v>
      </c>
    </row>
    <row r="3104" spans="1:6" x14ac:dyDescent="0.25">
      <c r="A3104" t="str">
        <f>"005153016"</f>
        <v>005153016</v>
      </c>
      <c r="B3104" t="str">
        <f>"1780133710"</f>
        <v>1780133710</v>
      </c>
      <c r="C3104" t="str">
        <f>"363A00000X"</f>
        <v>363A00000X</v>
      </c>
      <c r="D3104" t="str">
        <f>"RODRIGUEZ                MELANIE      M           "</f>
        <v xml:space="preserve">RODRIGUEZ                MELANIE      M           </v>
      </c>
      <c r="E3104" t="str">
        <f>"NEW ORLEANS               "</f>
        <v xml:space="preserve">NEW ORLEANS               </v>
      </c>
      <c r="F3104" t="str">
        <f t="shared" si="133"/>
        <v>LA</v>
      </c>
    </row>
    <row r="3105" spans="1:6" x14ac:dyDescent="0.25">
      <c r="A3105" t="str">
        <f>"005153206"</f>
        <v>005153206</v>
      </c>
      <c r="B3105" t="str">
        <f>"1477505071"</f>
        <v>1477505071</v>
      </c>
      <c r="C3105" t="str">
        <f>"208600000X"</f>
        <v>208600000X</v>
      </c>
      <c r="D3105" t="str">
        <f>"MALUCCIO                 MARY         A           "</f>
        <v xml:space="preserve">MALUCCIO                 MARY         A           </v>
      </c>
      <c r="E3105" t="str">
        <f>"KENNER                    "</f>
        <v xml:space="preserve">KENNER                    </v>
      </c>
      <c r="F3105" t="str">
        <f t="shared" si="133"/>
        <v>LA</v>
      </c>
    </row>
    <row r="3106" spans="1:6" x14ac:dyDescent="0.25">
      <c r="A3106" t="str">
        <f>"005156525"</f>
        <v>005156525</v>
      </c>
      <c r="B3106" t="str">
        <f>"1174918619"</f>
        <v>1174918619</v>
      </c>
      <c r="C3106" t="str">
        <f>"207ZP0102X"</f>
        <v>207ZP0102X</v>
      </c>
      <c r="D3106" t="str">
        <f>"RUBINO                   ANTHONY      J           "</f>
        <v xml:space="preserve">RUBINO                   ANTHONY      J           </v>
      </c>
      <c r="E3106" t="str">
        <f t="shared" ref="E3106:E3112" si="134">"NEW ORLEANS               "</f>
        <v xml:space="preserve">NEW ORLEANS               </v>
      </c>
      <c r="F3106" t="str">
        <f t="shared" si="133"/>
        <v>LA</v>
      </c>
    </row>
    <row r="3107" spans="1:6" x14ac:dyDescent="0.25">
      <c r="A3107" t="str">
        <f>"005174061"</f>
        <v>005174061</v>
      </c>
      <c r="B3107" t="str">
        <f>"1366686727"</f>
        <v>1366686727</v>
      </c>
      <c r="C3107" t="str">
        <f>"207W00000X"</f>
        <v>207W00000X</v>
      </c>
      <c r="D3107" t="str">
        <f>"SAHU                     PRIYA        D           "</f>
        <v xml:space="preserve">SAHU                     PRIYA        D           </v>
      </c>
      <c r="E3107" t="str">
        <f t="shared" si="134"/>
        <v xml:space="preserve">NEW ORLEANS               </v>
      </c>
      <c r="F3107" t="str">
        <f t="shared" si="133"/>
        <v>LA</v>
      </c>
    </row>
    <row r="3108" spans="1:6" x14ac:dyDescent="0.25">
      <c r="A3108" t="str">
        <f>"005202764"</f>
        <v>005202764</v>
      </c>
      <c r="B3108" t="str">
        <f>"1205248770"</f>
        <v>1205248770</v>
      </c>
      <c r="C3108" t="str">
        <f>"2085R0202X"</f>
        <v>2085R0202X</v>
      </c>
      <c r="D3108" t="str">
        <f>"FROOM II                 MARK         R           "</f>
        <v xml:space="preserve">FROOM II                 MARK         R           </v>
      </c>
      <c r="E3108" t="str">
        <f t="shared" si="134"/>
        <v xml:space="preserve">NEW ORLEANS               </v>
      </c>
      <c r="F3108" t="str">
        <f t="shared" si="133"/>
        <v>LA</v>
      </c>
    </row>
    <row r="3109" spans="1:6" x14ac:dyDescent="0.25">
      <c r="A3109" t="str">
        <f>"005204390"</f>
        <v>005204390</v>
      </c>
      <c r="B3109" t="str">
        <f>"1497141923"</f>
        <v>1497141923</v>
      </c>
      <c r="C3109" t="str">
        <f>"208600000X"</f>
        <v>208600000X</v>
      </c>
      <c r="D3109" t="str">
        <f>"COOGAN                   CONOR                    "</f>
        <v xml:space="preserve">COOGAN                   CONOR                    </v>
      </c>
      <c r="E3109" t="str">
        <f t="shared" si="134"/>
        <v xml:space="preserve">NEW ORLEANS               </v>
      </c>
      <c r="F3109" t="str">
        <f t="shared" si="133"/>
        <v>LA</v>
      </c>
    </row>
    <row r="3110" spans="1:6" x14ac:dyDescent="0.25">
      <c r="A3110" t="str">
        <f>"005223352"</f>
        <v>005223352</v>
      </c>
      <c r="B3110" t="str">
        <f>"1861663924"</f>
        <v>1861663924</v>
      </c>
      <c r="C3110" t="str">
        <f>"2085R0202X"</f>
        <v>2085R0202X</v>
      </c>
      <c r="D3110" t="str">
        <f>"MORRELL                  MIGNONNE     B           "</f>
        <v xml:space="preserve">MORRELL                  MIGNONNE     B           </v>
      </c>
      <c r="E3110" t="str">
        <f t="shared" si="134"/>
        <v xml:space="preserve">NEW ORLEANS               </v>
      </c>
      <c r="F3110" t="str">
        <f t="shared" si="133"/>
        <v>LA</v>
      </c>
    </row>
    <row r="3111" spans="1:6" x14ac:dyDescent="0.25">
      <c r="A3111" t="str">
        <f>"005235009"</f>
        <v>005235009</v>
      </c>
      <c r="B3111" t="str">
        <f>"1366572729"</f>
        <v>1366572729</v>
      </c>
      <c r="C3111" t="str">
        <f>"2080N0001X"</f>
        <v>2080N0001X</v>
      </c>
      <c r="D3111" t="str">
        <f>"UWAIFO                   OMOTOLA      O           "</f>
        <v xml:space="preserve">UWAIFO                   OMOTOLA      O           </v>
      </c>
      <c r="E3111" t="str">
        <f t="shared" si="134"/>
        <v xml:space="preserve">NEW ORLEANS               </v>
      </c>
      <c r="F3111" t="str">
        <f t="shared" si="133"/>
        <v>LA</v>
      </c>
    </row>
    <row r="3112" spans="1:6" x14ac:dyDescent="0.25">
      <c r="A3112" t="str">
        <f>"005237805"</f>
        <v>005237805</v>
      </c>
      <c r="B3112" t="str">
        <f>"1699733808"</f>
        <v>1699733808</v>
      </c>
      <c r="C3112" t="str">
        <f>"207V00000X"</f>
        <v>207V00000X</v>
      </c>
      <c r="D3112" t="str">
        <f>"HAMILTON                 CHAD         A           "</f>
        <v xml:space="preserve">HAMILTON                 CHAD         A           </v>
      </c>
      <c r="E3112" t="str">
        <f t="shared" si="134"/>
        <v xml:space="preserve">NEW ORLEANS               </v>
      </c>
      <c r="F3112" t="str">
        <f t="shared" si="133"/>
        <v>LA</v>
      </c>
    </row>
    <row r="3113" spans="1:6" x14ac:dyDescent="0.25">
      <c r="A3113" t="str">
        <f>"005273005"</f>
        <v>005273005</v>
      </c>
      <c r="B3113" t="str">
        <f>"1023197142"</f>
        <v>1023197142</v>
      </c>
      <c r="C3113" t="str">
        <f>"207P00000X"</f>
        <v>207P00000X</v>
      </c>
      <c r="D3113" t="str">
        <f>"MEKA                     UJWAL                    "</f>
        <v xml:space="preserve">MEKA                     UJWAL                    </v>
      </c>
      <c r="E3113" t="str">
        <f>"SLIDELL                   "</f>
        <v xml:space="preserve">SLIDELL                   </v>
      </c>
      <c r="F3113" t="str">
        <f t="shared" si="133"/>
        <v>LA</v>
      </c>
    </row>
    <row r="3114" spans="1:6" x14ac:dyDescent="0.25">
      <c r="A3114" t="str">
        <f>"005274392"</f>
        <v>005274392</v>
      </c>
      <c r="B3114" t="str">
        <f>"1942385703"</f>
        <v>1942385703</v>
      </c>
      <c r="C3114" t="str">
        <f>"207T00000X"</f>
        <v>207T00000X</v>
      </c>
      <c r="D3114" t="str">
        <f>"FAUTHEREE                GREGORY      L           "</f>
        <v xml:space="preserve">FAUTHEREE                GREGORY      L           </v>
      </c>
      <c r="E3114" t="str">
        <f>"BATON ROUGE               "</f>
        <v xml:space="preserve">BATON ROUGE               </v>
      </c>
      <c r="F3114" t="str">
        <f t="shared" si="133"/>
        <v>LA</v>
      </c>
    </row>
    <row r="3115" spans="1:6" x14ac:dyDescent="0.25">
      <c r="A3115" t="str">
        <f>"005274581"</f>
        <v>005274581</v>
      </c>
      <c r="B3115" t="str">
        <f>"1104878990"</f>
        <v>1104878990</v>
      </c>
      <c r="C3115" t="str">
        <f>"2080P0202X"</f>
        <v>2080P0202X</v>
      </c>
      <c r="D3115" t="str">
        <f>"KIMBALL                  THOMAS       R           "</f>
        <v xml:space="preserve">KIMBALL                  THOMAS       R           </v>
      </c>
      <c r="E3115" t="str">
        <f>"NEW ORLEANS               "</f>
        <v xml:space="preserve">NEW ORLEANS               </v>
      </c>
      <c r="F3115" t="str">
        <f t="shared" si="133"/>
        <v>LA</v>
      </c>
    </row>
    <row r="3116" spans="1:6" x14ac:dyDescent="0.25">
      <c r="A3116" t="str">
        <f>"005304891"</f>
        <v>005304891</v>
      </c>
      <c r="B3116" t="str">
        <f>"1568645703"</f>
        <v>1568645703</v>
      </c>
      <c r="C3116" t="str">
        <f>"2086S0127X"</f>
        <v>2086S0127X</v>
      </c>
      <c r="D3116" t="str">
        <f>"CARTER                   JEFFREY      E           "</f>
        <v xml:space="preserve">CARTER                   JEFFREY      E           </v>
      </c>
      <c r="E3116" t="str">
        <f>"NEW ORLEANS               "</f>
        <v xml:space="preserve">NEW ORLEANS               </v>
      </c>
      <c r="F3116" t="str">
        <f t="shared" si="133"/>
        <v>LA</v>
      </c>
    </row>
    <row r="3117" spans="1:6" x14ac:dyDescent="0.25">
      <c r="A3117" t="str">
        <f>"005305228"</f>
        <v>005305228</v>
      </c>
      <c r="B3117" t="str">
        <f>"1609296649"</f>
        <v>1609296649</v>
      </c>
      <c r="C3117" t="str">
        <f>"208800000X"</f>
        <v>208800000X</v>
      </c>
      <c r="D3117" t="str">
        <f>"ROURKE                   ELIZABETH    A           "</f>
        <v xml:space="preserve">ROURKE                   ELIZABETH    A           </v>
      </c>
      <c r="E3117" t="str">
        <f>"METAIRIE                  "</f>
        <v xml:space="preserve">METAIRIE                  </v>
      </c>
      <c r="F3117" t="str">
        <f t="shared" si="133"/>
        <v>LA</v>
      </c>
    </row>
    <row r="3118" spans="1:6" x14ac:dyDescent="0.25">
      <c r="A3118" t="str">
        <f>"005307095"</f>
        <v>005307095</v>
      </c>
      <c r="B3118" t="str">
        <f>"1093338006"</f>
        <v>1093338006</v>
      </c>
      <c r="C3118" t="str">
        <f>"363L00000X"</f>
        <v>363L00000X</v>
      </c>
      <c r="D3118" t="str">
        <f>"THOMAS                   PAULA                    "</f>
        <v xml:space="preserve">THOMAS                   PAULA                    </v>
      </c>
      <c r="E3118" t="str">
        <f>"COVINGTON                 "</f>
        <v xml:space="preserve">COVINGTON                 </v>
      </c>
      <c r="F3118" t="str">
        <f t="shared" si="133"/>
        <v>LA</v>
      </c>
    </row>
    <row r="3119" spans="1:6" x14ac:dyDescent="0.25">
      <c r="A3119" t="str">
        <f>"005338854"</f>
        <v>005338854</v>
      </c>
      <c r="B3119" t="str">
        <f>"1700346558"</f>
        <v>1700346558</v>
      </c>
      <c r="C3119" t="str">
        <f>"363L00000X"</f>
        <v>363L00000X</v>
      </c>
      <c r="D3119" t="str">
        <f>"MARTINEZ                 OLGA         M           "</f>
        <v xml:space="preserve">MARTINEZ                 OLGA         M           </v>
      </c>
      <c r="E3119" t="str">
        <f>"NEW ORLEANS               "</f>
        <v xml:space="preserve">NEW ORLEANS               </v>
      </c>
      <c r="F3119" t="str">
        <f t="shared" si="133"/>
        <v>LA</v>
      </c>
    </row>
    <row r="3120" spans="1:6" x14ac:dyDescent="0.25">
      <c r="A3120" t="str">
        <f>"005339374"</f>
        <v>005339374</v>
      </c>
      <c r="B3120" t="str">
        <f>"1952496150"</f>
        <v>1952496150</v>
      </c>
      <c r="C3120" t="str">
        <f>"207R00000X"</f>
        <v>207R00000X</v>
      </c>
      <c r="D3120" t="str">
        <f>"PRICE-HAYWOOD            EBONI        G           "</f>
        <v xml:space="preserve">PRICE-HAYWOOD            EBONI        G           </v>
      </c>
      <c r="E3120" t="str">
        <f>"NEW ORLEANS               "</f>
        <v xml:space="preserve">NEW ORLEANS               </v>
      </c>
      <c r="F3120" t="str">
        <f t="shared" si="133"/>
        <v>LA</v>
      </c>
    </row>
    <row r="3121" spans="1:6" x14ac:dyDescent="0.25">
      <c r="A3121" t="str">
        <f>"005352884"</f>
        <v>005352884</v>
      </c>
      <c r="B3121" t="str">
        <f>"1952651523"</f>
        <v>1952651523</v>
      </c>
      <c r="C3121" t="str">
        <f>"152W00000X"</f>
        <v>152W00000X</v>
      </c>
      <c r="D3121" t="str">
        <f>"MISS-LOU EYE CARE                                 "</f>
        <v xml:space="preserve">MISS-LOU EYE CARE                                 </v>
      </c>
      <c r="E3121" t="str">
        <f>"VIDALIA                   "</f>
        <v xml:space="preserve">VIDALIA                   </v>
      </c>
      <c r="F3121" t="str">
        <f t="shared" si="133"/>
        <v>LA</v>
      </c>
    </row>
    <row r="3122" spans="1:6" x14ac:dyDescent="0.25">
      <c r="A3122" t="str">
        <f>"005376217"</f>
        <v>005376217</v>
      </c>
      <c r="B3122" t="str">
        <f>"1851583132"</f>
        <v>1851583132</v>
      </c>
      <c r="C3122" t="str">
        <f>"207R00000X"</f>
        <v>207R00000X</v>
      </c>
      <c r="D3122" t="str">
        <f>"RAVIPATI                 LAKSHMI                  "</f>
        <v xml:space="preserve">RAVIPATI                 LAKSHMI                  </v>
      </c>
      <c r="E3122" t="str">
        <f>"NEW ORLEANS               "</f>
        <v xml:space="preserve">NEW ORLEANS               </v>
      </c>
      <c r="F3122" t="str">
        <f t="shared" si="133"/>
        <v>LA</v>
      </c>
    </row>
    <row r="3123" spans="1:6" x14ac:dyDescent="0.25">
      <c r="A3123" t="str">
        <f>"005379297"</f>
        <v>005379297</v>
      </c>
      <c r="B3123" t="str">
        <f>"1811381775"</f>
        <v>1811381775</v>
      </c>
      <c r="C3123" t="str">
        <f>"207R00000X"</f>
        <v>207R00000X</v>
      </c>
      <c r="D3123" t="str">
        <f>"STEEN                    CASEY        R           "</f>
        <v xml:space="preserve">STEEN                    CASEY        R           </v>
      </c>
      <c r="E3123" t="str">
        <f>"HAMMOND                   "</f>
        <v xml:space="preserve">HAMMOND                   </v>
      </c>
      <c r="F3123" t="str">
        <f t="shared" si="133"/>
        <v>LA</v>
      </c>
    </row>
    <row r="3124" spans="1:6" x14ac:dyDescent="0.25">
      <c r="A3124" t="str">
        <f>"005382571"</f>
        <v>005382571</v>
      </c>
      <c r="B3124" t="str">
        <f>"1548935539"</f>
        <v>1548935539</v>
      </c>
      <c r="C3124" t="str">
        <f>"363L00000X"</f>
        <v>363L00000X</v>
      </c>
      <c r="D3124" t="str">
        <f>"SCHLINE                  JENNIFER     L           "</f>
        <v xml:space="preserve">SCHLINE                  JENNIFER     L           </v>
      </c>
      <c r="E3124" t="str">
        <f>"SLIDELL                   "</f>
        <v xml:space="preserve">SLIDELL                   </v>
      </c>
      <c r="F3124" t="str">
        <f t="shared" si="133"/>
        <v>LA</v>
      </c>
    </row>
    <row r="3125" spans="1:6" x14ac:dyDescent="0.25">
      <c r="A3125" t="str">
        <f>"005403261"</f>
        <v>005403261</v>
      </c>
      <c r="B3125" t="str">
        <f>"1033700570"</f>
        <v>1033700570</v>
      </c>
      <c r="C3125" t="str">
        <f>"363L00000X"</f>
        <v>363L00000X</v>
      </c>
      <c r="D3125" t="str">
        <f>"MAJESTE                  ANDREW       C           "</f>
        <v xml:space="preserve">MAJESTE                  ANDREW       C           </v>
      </c>
      <c r="E3125" t="str">
        <f t="shared" ref="E3125:E3132" si="135">"NEW ORLEANS               "</f>
        <v xml:space="preserve">NEW ORLEANS               </v>
      </c>
      <c r="F3125" t="str">
        <f t="shared" si="133"/>
        <v>LA</v>
      </c>
    </row>
    <row r="3126" spans="1:6" x14ac:dyDescent="0.25">
      <c r="A3126" t="str">
        <f>"005420207"</f>
        <v>005420207</v>
      </c>
      <c r="B3126" t="str">
        <f>"1053773929"</f>
        <v>1053773929</v>
      </c>
      <c r="C3126" t="str">
        <f>"208000000X"</f>
        <v>208000000X</v>
      </c>
      <c r="D3126" t="str">
        <f>"MARTIN                   ANNE         N           "</f>
        <v xml:space="preserve">MARTIN                   ANNE         N           </v>
      </c>
      <c r="E3126" t="str">
        <f t="shared" si="135"/>
        <v xml:space="preserve">NEW ORLEANS               </v>
      </c>
      <c r="F3126" t="str">
        <f t="shared" si="133"/>
        <v>LA</v>
      </c>
    </row>
    <row r="3127" spans="1:6" x14ac:dyDescent="0.25">
      <c r="A3127" t="str">
        <f>"005423715"</f>
        <v>005423715</v>
      </c>
      <c r="B3127" t="str">
        <f>"1063441442"</f>
        <v>1063441442</v>
      </c>
      <c r="C3127" t="str">
        <f>"367500000X"</f>
        <v>367500000X</v>
      </c>
      <c r="D3127" t="str">
        <f>"BOUDREAUX                ALICE        S           "</f>
        <v xml:space="preserve">BOUDREAUX                ALICE        S           </v>
      </c>
      <c r="E3127" t="str">
        <f t="shared" si="135"/>
        <v xml:space="preserve">NEW ORLEANS               </v>
      </c>
      <c r="F3127" t="str">
        <f t="shared" si="133"/>
        <v>LA</v>
      </c>
    </row>
    <row r="3128" spans="1:6" x14ac:dyDescent="0.25">
      <c r="A3128" t="str">
        <f>"005437031"</f>
        <v>005437031</v>
      </c>
      <c r="B3128" t="str">
        <f>"1871714204"</f>
        <v>1871714204</v>
      </c>
      <c r="C3128" t="str">
        <f>"208000000X"</f>
        <v>208000000X</v>
      </c>
      <c r="D3128" t="str">
        <f>"GUPTA                    RAEGAN       W           "</f>
        <v xml:space="preserve">GUPTA                    RAEGAN       W           </v>
      </c>
      <c r="E3128" t="str">
        <f t="shared" si="135"/>
        <v xml:space="preserve">NEW ORLEANS               </v>
      </c>
      <c r="F3128" t="str">
        <f t="shared" si="133"/>
        <v>LA</v>
      </c>
    </row>
    <row r="3129" spans="1:6" x14ac:dyDescent="0.25">
      <c r="A3129" t="str">
        <f>"005456061"</f>
        <v>005456061</v>
      </c>
      <c r="B3129" t="str">
        <f>"1093742975"</f>
        <v>1093742975</v>
      </c>
      <c r="C3129" t="str">
        <f>"207V00000X"</f>
        <v>207V00000X</v>
      </c>
      <c r="D3129" t="str">
        <f>"WINFIELD JR              FELTON       L           "</f>
        <v xml:space="preserve">WINFIELD JR              FELTON       L           </v>
      </c>
      <c r="E3129" t="str">
        <f t="shared" si="135"/>
        <v xml:space="preserve">NEW ORLEANS               </v>
      </c>
      <c r="F3129" t="str">
        <f t="shared" si="133"/>
        <v>LA</v>
      </c>
    </row>
    <row r="3130" spans="1:6" x14ac:dyDescent="0.25">
      <c r="A3130" t="str">
        <f>"005472584"</f>
        <v>005472584</v>
      </c>
      <c r="B3130" t="str">
        <f>"1245279736"</f>
        <v>1245279736</v>
      </c>
      <c r="C3130" t="str">
        <f>"208600000X"</f>
        <v>208600000X</v>
      </c>
      <c r="D3130" t="str">
        <f>"RICHARDSON               WILLIAM                  "</f>
        <v xml:space="preserve">RICHARDSON               WILLIAM                  </v>
      </c>
      <c r="E3130" t="str">
        <f t="shared" si="135"/>
        <v xml:space="preserve">NEW ORLEANS               </v>
      </c>
      <c r="F3130" t="str">
        <f t="shared" si="133"/>
        <v>LA</v>
      </c>
    </row>
    <row r="3131" spans="1:6" x14ac:dyDescent="0.25">
      <c r="A3131" t="str">
        <f>"005474096"</f>
        <v>005474096</v>
      </c>
      <c r="B3131" t="str">
        <f>"1407146418"</f>
        <v>1407146418</v>
      </c>
      <c r="C3131" t="str">
        <f>"207RH0000X"</f>
        <v>207RH0000X</v>
      </c>
      <c r="D3131" t="str">
        <f>"DAVIS                    CARTER       T           "</f>
        <v xml:space="preserve">DAVIS                    CARTER       T           </v>
      </c>
      <c r="E3131" t="str">
        <f t="shared" si="135"/>
        <v xml:space="preserve">NEW ORLEANS               </v>
      </c>
      <c r="F3131" t="str">
        <f t="shared" si="133"/>
        <v>LA</v>
      </c>
    </row>
    <row r="3132" spans="1:6" x14ac:dyDescent="0.25">
      <c r="A3132" t="str">
        <f>"005482565"</f>
        <v>005482565</v>
      </c>
      <c r="B3132" t="str">
        <f>"1124115183"</f>
        <v>1124115183</v>
      </c>
      <c r="C3132" t="str">
        <f>"208000000X"</f>
        <v>208000000X</v>
      </c>
      <c r="D3132" t="str">
        <f>"HORSMAN                  CHRISTINA    C           "</f>
        <v xml:space="preserve">HORSMAN                  CHRISTINA    C           </v>
      </c>
      <c r="E3132" t="str">
        <f t="shared" si="135"/>
        <v xml:space="preserve">NEW ORLEANS               </v>
      </c>
      <c r="F3132" t="str">
        <f t="shared" si="133"/>
        <v>LA</v>
      </c>
    </row>
    <row r="3133" spans="1:6" x14ac:dyDescent="0.25">
      <c r="A3133" t="str">
        <f>"005482578"</f>
        <v>005482578</v>
      </c>
      <c r="B3133" t="str">
        <f>"1073634861"</f>
        <v>1073634861</v>
      </c>
      <c r="C3133" t="str">
        <f>"208800000X"</f>
        <v>208800000X</v>
      </c>
      <c r="D3133" t="str">
        <f>"CAZAYOUX                 WALTER       R           "</f>
        <v xml:space="preserve">CAZAYOUX                 WALTER       R           </v>
      </c>
      <c r="E3133" t="str">
        <f>"COVINGTON                 "</f>
        <v xml:space="preserve">COVINGTON                 </v>
      </c>
      <c r="F3133" t="str">
        <f t="shared" si="133"/>
        <v>LA</v>
      </c>
    </row>
    <row r="3134" spans="1:6" x14ac:dyDescent="0.25">
      <c r="A3134" t="str">
        <f>"005504704"</f>
        <v>005504704</v>
      </c>
      <c r="B3134" t="str">
        <f>"1003234642"</f>
        <v>1003234642</v>
      </c>
      <c r="C3134" t="str">
        <f>"207R00000X"</f>
        <v>207R00000X</v>
      </c>
      <c r="D3134" t="str">
        <f>"VAN GERWAN               DIANE        M           "</f>
        <v xml:space="preserve">VAN GERWAN               DIANE        M           </v>
      </c>
      <c r="E3134" t="str">
        <f>"NEW ORLEANS               "</f>
        <v xml:space="preserve">NEW ORLEANS               </v>
      </c>
      <c r="F3134" t="str">
        <f t="shared" si="133"/>
        <v>LA</v>
      </c>
    </row>
    <row r="3135" spans="1:6" x14ac:dyDescent="0.25">
      <c r="A3135" t="str">
        <f>"005526019"</f>
        <v>005526019</v>
      </c>
      <c r="B3135" t="str">
        <f>"1851610844"</f>
        <v>1851610844</v>
      </c>
      <c r="C3135" t="str">
        <f>"207RE0101X"</f>
        <v>207RE0101X</v>
      </c>
      <c r="D3135" t="str">
        <f>"DENDY                    JARED        A           "</f>
        <v xml:space="preserve">DENDY                    JARED        A           </v>
      </c>
      <c r="E3135" t="str">
        <f>"NEW ORLEANS               "</f>
        <v xml:space="preserve">NEW ORLEANS               </v>
      </c>
      <c r="F3135" t="str">
        <f t="shared" si="133"/>
        <v>LA</v>
      </c>
    </row>
    <row r="3136" spans="1:6" x14ac:dyDescent="0.25">
      <c r="A3136" t="str">
        <f>"005529883"</f>
        <v>005529883</v>
      </c>
      <c r="B3136" t="str">
        <f>"1740470657"</f>
        <v>1740470657</v>
      </c>
      <c r="C3136" t="str">
        <f>"207V00000X"</f>
        <v>207V00000X</v>
      </c>
      <c r="D3136" t="str">
        <f>"BRUNET                   JENNIFER     L           "</f>
        <v xml:space="preserve">BRUNET                   JENNIFER     L           </v>
      </c>
      <c r="E3136" t="str">
        <f>"NEW ORLEANS               "</f>
        <v xml:space="preserve">NEW ORLEANS               </v>
      </c>
      <c r="F3136" t="str">
        <f t="shared" si="133"/>
        <v>LA</v>
      </c>
    </row>
    <row r="3137" spans="1:6" x14ac:dyDescent="0.25">
      <c r="A3137" t="str">
        <f>"005531013"</f>
        <v>005531013</v>
      </c>
      <c r="B3137" t="str">
        <f>"1073013702"</f>
        <v>1073013702</v>
      </c>
      <c r="C3137" t="str">
        <f>"363L00000X"</f>
        <v>363L00000X</v>
      </c>
      <c r="D3137" t="str">
        <f>"LEONHARD                 HOLLY        H           "</f>
        <v xml:space="preserve">LEONHARD                 HOLLY        H           </v>
      </c>
      <c r="E3137" t="str">
        <f>"COVINGTON                 "</f>
        <v xml:space="preserve">COVINGTON                 </v>
      </c>
      <c r="F3137" t="str">
        <f t="shared" si="133"/>
        <v>LA</v>
      </c>
    </row>
    <row r="3138" spans="1:6" x14ac:dyDescent="0.25">
      <c r="A3138" t="str">
        <f>"005535276"</f>
        <v>005535276</v>
      </c>
      <c r="B3138" t="str">
        <f>"1548424179"</f>
        <v>1548424179</v>
      </c>
      <c r="C3138" t="str">
        <f>"1223P0221X"</f>
        <v>1223P0221X</v>
      </c>
      <c r="D3138" t="str">
        <f>"FOURNIER                 SUZANNE                  "</f>
        <v xml:space="preserve">FOURNIER                 SUZANNE                  </v>
      </c>
      <c r="E3138" t="str">
        <f>"NEW ORLEANS               "</f>
        <v xml:space="preserve">NEW ORLEANS               </v>
      </c>
      <c r="F3138" t="str">
        <f t="shared" si="133"/>
        <v>LA</v>
      </c>
    </row>
    <row r="3139" spans="1:6" x14ac:dyDescent="0.25">
      <c r="A3139" t="str">
        <f>"005551740"</f>
        <v>005551740</v>
      </c>
      <c r="B3139" t="str">
        <f>"1184678997"</f>
        <v>1184678997</v>
      </c>
      <c r="C3139" t="str">
        <f>"207P00000X"</f>
        <v>207P00000X</v>
      </c>
      <c r="D3139" t="str">
        <f>"ST CYR                   MARK                     "</f>
        <v xml:space="preserve">ST CYR                   MARK                     </v>
      </c>
      <c r="E3139" t="str">
        <f>"MARKSVILLE                "</f>
        <v xml:space="preserve">MARKSVILLE                </v>
      </c>
      <c r="F3139" t="str">
        <f t="shared" si="133"/>
        <v>LA</v>
      </c>
    </row>
    <row r="3140" spans="1:6" x14ac:dyDescent="0.25">
      <c r="A3140" t="str">
        <f>"005555765"</f>
        <v>005555765</v>
      </c>
      <c r="B3140" t="str">
        <f>"1316258262"</f>
        <v>1316258262</v>
      </c>
      <c r="C3140" t="str">
        <f>"363A00000X"</f>
        <v>363A00000X</v>
      </c>
      <c r="D3140" t="str">
        <f>"JACKLER                  SIDNEY       M           "</f>
        <v xml:space="preserve">JACKLER                  SIDNEY       M           </v>
      </c>
      <c r="E3140" t="str">
        <f>"COVINGTON                 "</f>
        <v xml:space="preserve">COVINGTON                 </v>
      </c>
      <c r="F3140" t="str">
        <f t="shared" si="133"/>
        <v>LA</v>
      </c>
    </row>
    <row r="3141" spans="1:6" x14ac:dyDescent="0.25">
      <c r="A3141" t="str">
        <f>"005558260"</f>
        <v>005558260</v>
      </c>
      <c r="B3141" t="str">
        <f>"1033320452"</f>
        <v>1033320452</v>
      </c>
      <c r="C3141" t="str">
        <f>"208600000X"</f>
        <v>208600000X</v>
      </c>
      <c r="D3141" t="str">
        <f>"PETITTO III              FRANCIS      J           "</f>
        <v xml:space="preserve">PETITTO III              FRANCIS      J           </v>
      </c>
      <c r="E3141" t="str">
        <f>"SLIDELL                   "</f>
        <v xml:space="preserve">SLIDELL                   </v>
      </c>
      <c r="F3141" t="str">
        <f t="shared" si="133"/>
        <v>LA</v>
      </c>
    </row>
    <row r="3142" spans="1:6" x14ac:dyDescent="0.25">
      <c r="A3142" t="str">
        <f>"005579897"</f>
        <v>005579897</v>
      </c>
      <c r="B3142" t="str">
        <f>"1770505786"</f>
        <v>1770505786</v>
      </c>
      <c r="C3142" t="str">
        <f>"208100000X"</f>
        <v>208100000X</v>
      </c>
      <c r="D3142" t="str">
        <f>"SARMINI                  MAHMOUD      M           "</f>
        <v xml:space="preserve">SARMINI                  MAHMOUD      M           </v>
      </c>
      <c r="E3142" t="str">
        <f>"NEW ORLEANS               "</f>
        <v xml:space="preserve">NEW ORLEANS               </v>
      </c>
      <c r="F3142" t="str">
        <f t="shared" si="133"/>
        <v>LA</v>
      </c>
    </row>
    <row r="3143" spans="1:6" x14ac:dyDescent="0.25">
      <c r="A3143" t="str">
        <f>"005583232"</f>
        <v>005583232</v>
      </c>
      <c r="B3143" t="str">
        <f>"1083174817"</f>
        <v>1083174817</v>
      </c>
      <c r="C3143" t="str">
        <f>"207P00000X"</f>
        <v>207P00000X</v>
      </c>
      <c r="D3143" t="str">
        <f>"MARCUS                   TIMOTHY      D           "</f>
        <v xml:space="preserve">MARCUS                   TIMOTHY      D           </v>
      </c>
      <c r="E3143" t="str">
        <f>"HAMMOND                   "</f>
        <v xml:space="preserve">HAMMOND                   </v>
      </c>
      <c r="F3143" t="str">
        <f t="shared" si="133"/>
        <v>LA</v>
      </c>
    </row>
    <row r="3144" spans="1:6" x14ac:dyDescent="0.25">
      <c r="A3144" t="str">
        <f>"005583899"</f>
        <v>005583899</v>
      </c>
      <c r="B3144" t="str">
        <f>"1952541534"</f>
        <v>1952541534</v>
      </c>
      <c r="C3144" t="str">
        <f>"363A00000X"</f>
        <v>363A00000X</v>
      </c>
      <c r="D3144" t="str">
        <f>"LEWIS                    EMILY        H           "</f>
        <v xml:space="preserve">LEWIS                    EMILY        H           </v>
      </c>
      <c r="E3144" t="str">
        <f>"VIDALIA                   "</f>
        <v xml:space="preserve">VIDALIA                   </v>
      </c>
      <c r="F3144" t="str">
        <f t="shared" si="133"/>
        <v>LA</v>
      </c>
    </row>
    <row r="3145" spans="1:6" x14ac:dyDescent="0.25">
      <c r="A3145" t="str">
        <f>"005587571"</f>
        <v>005587571</v>
      </c>
      <c r="B3145" t="str">
        <f>"1811187693"</f>
        <v>1811187693</v>
      </c>
      <c r="C3145" t="str">
        <f>"207L00000X"</f>
        <v>207L00000X</v>
      </c>
      <c r="D3145" t="str">
        <f>"FISH                     BRIAN        J           "</f>
        <v xml:space="preserve">FISH                     BRIAN        J           </v>
      </c>
      <c r="E3145" t="str">
        <f>"NEW ORLEANS               "</f>
        <v xml:space="preserve">NEW ORLEANS               </v>
      </c>
      <c r="F3145" t="str">
        <f t="shared" si="133"/>
        <v>LA</v>
      </c>
    </row>
    <row r="3146" spans="1:6" x14ac:dyDescent="0.25">
      <c r="A3146" t="str">
        <f>"005604216"</f>
        <v>005604216</v>
      </c>
      <c r="B3146" t="str">
        <f>"1528170370"</f>
        <v>1528170370</v>
      </c>
      <c r="C3146" t="str">
        <f>"261QE0700X"</f>
        <v>261QE0700X</v>
      </c>
      <c r="D3146" t="str">
        <f>"FRESENIUS MEDICAL CARE FERRIDAY                   "</f>
        <v xml:space="preserve">FRESENIUS MEDICAL CARE FERRIDAY                   </v>
      </c>
      <c r="E3146" t="str">
        <f>"VIDALIA                   "</f>
        <v xml:space="preserve">VIDALIA                   </v>
      </c>
      <c r="F3146" t="str">
        <f t="shared" si="133"/>
        <v>LA</v>
      </c>
    </row>
    <row r="3147" spans="1:6" x14ac:dyDescent="0.25">
      <c r="A3147" t="str">
        <f>"005620885"</f>
        <v>005620885</v>
      </c>
      <c r="B3147" t="str">
        <f>"1932853454"</f>
        <v>1932853454</v>
      </c>
      <c r="C3147" t="str">
        <f>"363L00000X"</f>
        <v>363L00000X</v>
      </c>
      <c r="D3147" t="str">
        <f>"FITZMORRIS               JULIA        B           "</f>
        <v xml:space="preserve">FITZMORRIS               JULIA        B           </v>
      </c>
      <c r="E3147" t="str">
        <f>"NEW ORLEANS               "</f>
        <v xml:space="preserve">NEW ORLEANS               </v>
      </c>
      <c r="F3147" t="str">
        <f t="shared" si="133"/>
        <v>LA</v>
      </c>
    </row>
    <row r="3148" spans="1:6" x14ac:dyDescent="0.25">
      <c r="A3148" t="str">
        <f>"005622542"</f>
        <v>005622542</v>
      </c>
      <c r="B3148" t="str">
        <f>"1295283893"</f>
        <v>1295283893</v>
      </c>
      <c r="C3148" t="str">
        <f>"363L00000X"</f>
        <v>363L00000X</v>
      </c>
      <c r="D3148" t="str">
        <f>"EASTERLY                 NATALIE      K           "</f>
        <v xml:space="preserve">EASTERLY                 NATALIE      K           </v>
      </c>
      <c r="E3148" t="str">
        <f>"HAMMOND                   "</f>
        <v xml:space="preserve">HAMMOND                   </v>
      </c>
      <c r="F3148" t="str">
        <f t="shared" si="133"/>
        <v>LA</v>
      </c>
    </row>
    <row r="3149" spans="1:6" x14ac:dyDescent="0.25">
      <c r="A3149" t="str">
        <f>"005624098"</f>
        <v>005624098</v>
      </c>
      <c r="B3149" t="str">
        <f>"1003846015"</f>
        <v>1003846015</v>
      </c>
      <c r="C3149" t="str">
        <f>"363L00000X"</f>
        <v>363L00000X</v>
      </c>
      <c r="D3149" t="str">
        <f>"NAVARRO                  KATHRYN      L           "</f>
        <v xml:space="preserve">NAVARRO                  KATHRYN      L           </v>
      </c>
      <c r="E3149" t="str">
        <f>"SLIDELL                   "</f>
        <v xml:space="preserve">SLIDELL                   </v>
      </c>
      <c r="F3149" t="str">
        <f t="shared" si="133"/>
        <v>LA</v>
      </c>
    </row>
    <row r="3150" spans="1:6" x14ac:dyDescent="0.25">
      <c r="A3150" t="str">
        <f>"005629746"</f>
        <v>005629746</v>
      </c>
      <c r="B3150" t="str">
        <f>"1629239991"</f>
        <v>1629239991</v>
      </c>
      <c r="C3150" t="str">
        <f>"207X00000X"</f>
        <v>207X00000X</v>
      </c>
      <c r="D3150" t="str">
        <f>"MOORE III                WILLARD      A           "</f>
        <v xml:space="preserve">MOORE III                WILLARD      A           </v>
      </c>
      <c r="E3150" t="str">
        <f>"NEW ORLEANS               "</f>
        <v xml:space="preserve">NEW ORLEANS               </v>
      </c>
      <c r="F3150" t="str">
        <f t="shared" si="133"/>
        <v>LA</v>
      </c>
    </row>
    <row r="3151" spans="1:6" x14ac:dyDescent="0.25">
      <c r="A3151" t="str">
        <f>"005631399"</f>
        <v>005631399</v>
      </c>
      <c r="B3151" t="str">
        <f>"1457841025"</f>
        <v>1457841025</v>
      </c>
      <c r="C3151" t="str">
        <f>"363A00000X"</f>
        <v>363A00000X</v>
      </c>
      <c r="D3151" t="str">
        <f>"SINGLETON                KODY         E           "</f>
        <v xml:space="preserve">SINGLETON                KODY         E           </v>
      </c>
      <c r="E3151" t="str">
        <f>"KENNER                    "</f>
        <v xml:space="preserve">KENNER                    </v>
      </c>
      <c r="F3151" t="str">
        <f t="shared" si="133"/>
        <v>LA</v>
      </c>
    </row>
    <row r="3152" spans="1:6" x14ac:dyDescent="0.25">
      <c r="A3152" t="str">
        <f>"005632307"</f>
        <v>005632307</v>
      </c>
      <c r="B3152" t="str">
        <f>"1699373613"</f>
        <v>1699373613</v>
      </c>
      <c r="C3152" t="str">
        <f>"363L00000X"</f>
        <v>363L00000X</v>
      </c>
      <c r="D3152" t="str">
        <f>"VARNADO                  REBECCA      H           "</f>
        <v xml:space="preserve">VARNADO                  REBECCA      H           </v>
      </c>
      <c r="E3152" t="str">
        <f>"SLIDELL                   "</f>
        <v xml:space="preserve">SLIDELL                   </v>
      </c>
      <c r="F3152" t="str">
        <f t="shared" si="133"/>
        <v>LA</v>
      </c>
    </row>
    <row r="3153" spans="1:6" x14ac:dyDescent="0.25">
      <c r="A3153" t="str">
        <f>"005633267"</f>
        <v>005633267</v>
      </c>
      <c r="B3153" t="str">
        <f>"1336203587"</f>
        <v>1336203587</v>
      </c>
      <c r="C3153" t="str">
        <f>"2084N0400X"</f>
        <v>2084N0400X</v>
      </c>
      <c r="D3153" t="str">
        <f>"MCGRADE                  HAROLD       C           "</f>
        <v xml:space="preserve">MCGRADE                  HAROLD       C           </v>
      </c>
      <c r="E3153" t="str">
        <f>"NEW ORLEANS               "</f>
        <v xml:space="preserve">NEW ORLEANS               </v>
      </c>
      <c r="F3153" t="str">
        <f t="shared" si="133"/>
        <v>LA</v>
      </c>
    </row>
    <row r="3154" spans="1:6" x14ac:dyDescent="0.25">
      <c r="A3154" t="str">
        <f>"005638357"</f>
        <v>005638357</v>
      </c>
      <c r="B3154" t="str">
        <f>"1336175348"</f>
        <v>1336175348</v>
      </c>
      <c r="C3154" t="str">
        <f>"367500000X"</f>
        <v>367500000X</v>
      </c>
      <c r="D3154" t="str">
        <f>"DOWDEN                   ELIZABETH    T           "</f>
        <v xml:space="preserve">DOWDEN                   ELIZABETH    T           </v>
      </c>
      <c r="E3154" t="str">
        <f>"NEW ORLEANS               "</f>
        <v xml:space="preserve">NEW ORLEANS               </v>
      </c>
      <c r="F3154" t="str">
        <f t="shared" si="133"/>
        <v>LA</v>
      </c>
    </row>
    <row r="3155" spans="1:6" x14ac:dyDescent="0.25">
      <c r="A3155" t="str">
        <f>"005651212"</f>
        <v>005651212</v>
      </c>
      <c r="B3155" t="str">
        <f>"1588180376"</f>
        <v>1588180376</v>
      </c>
      <c r="C3155" t="str">
        <f>"363L00000X"</f>
        <v>363L00000X</v>
      </c>
      <c r="D3155" t="str">
        <f>"OWENS                    ERIN         A           "</f>
        <v xml:space="preserve">OWENS                    ERIN         A           </v>
      </c>
      <c r="E3155" t="str">
        <f>"SLIDELL                   "</f>
        <v xml:space="preserve">SLIDELL                   </v>
      </c>
      <c r="F3155" t="str">
        <f t="shared" si="133"/>
        <v>LA</v>
      </c>
    </row>
    <row r="3156" spans="1:6" x14ac:dyDescent="0.25">
      <c r="A3156" t="str">
        <f>"005657743"</f>
        <v>005657743</v>
      </c>
      <c r="B3156" t="str">
        <f>"1336370899"</f>
        <v>1336370899</v>
      </c>
      <c r="C3156" t="str">
        <f>"207R00000X"</f>
        <v>207R00000X</v>
      </c>
      <c r="D3156" t="str">
        <f>"DAVULURI                 SURYA        K           "</f>
        <v xml:space="preserve">DAVULURI                 SURYA        K           </v>
      </c>
      <c r="E3156" t="str">
        <f>"NEW ORLEANS               "</f>
        <v xml:space="preserve">NEW ORLEANS               </v>
      </c>
      <c r="F3156" t="str">
        <f t="shared" si="133"/>
        <v>LA</v>
      </c>
    </row>
    <row r="3157" spans="1:6" x14ac:dyDescent="0.25">
      <c r="A3157" t="str">
        <f>"005659502"</f>
        <v>005659502</v>
      </c>
      <c r="B3157" t="str">
        <f>"1700091543"</f>
        <v>1700091543</v>
      </c>
      <c r="C3157" t="str">
        <f>"2084N0400X"</f>
        <v>2084N0400X</v>
      </c>
      <c r="D3157" t="str">
        <f>"JOHNSON                  KRISTIN      M           "</f>
        <v xml:space="preserve">JOHNSON                  KRISTIN      M           </v>
      </c>
      <c r="E3157" t="str">
        <f>"COVINGTON                 "</f>
        <v xml:space="preserve">COVINGTON                 </v>
      </c>
      <c r="F3157" t="str">
        <f t="shared" si="133"/>
        <v>LA</v>
      </c>
    </row>
    <row r="3158" spans="1:6" x14ac:dyDescent="0.25">
      <c r="A3158" t="str">
        <f>"005671261"</f>
        <v>005671261</v>
      </c>
      <c r="B3158" t="str">
        <f>"1073284535"</f>
        <v>1073284535</v>
      </c>
      <c r="C3158" t="str">
        <f>"363A00000X"</f>
        <v>363A00000X</v>
      </c>
      <c r="D3158" t="str">
        <f>"PETERS                   NAOMI        H           "</f>
        <v xml:space="preserve">PETERS                   NAOMI        H           </v>
      </c>
      <c r="E3158" t="str">
        <f>"SLIDELL                   "</f>
        <v xml:space="preserve">SLIDELL                   </v>
      </c>
      <c r="F3158" t="str">
        <f t="shared" si="133"/>
        <v>LA</v>
      </c>
    </row>
    <row r="3159" spans="1:6" x14ac:dyDescent="0.25">
      <c r="A3159" t="str">
        <f>"005674009"</f>
        <v>005674009</v>
      </c>
      <c r="B3159" t="str">
        <f>"1124044243"</f>
        <v>1124044243</v>
      </c>
      <c r="C3159" t="str">
        <f>"2085R0202X"</f>
        <v>2085R0202X</v>
      </c>
      <c r="D3159" t="str">
        <f>"FERREYRO                 ROQUE        H           "</f>
        <v xml:space="preserve">FERREYRO                 ROQUE        H           </v>
      </c>
      <c r="E3159" t="str">
        <f t="shared" ref="E3159:E3164" si="136">"NEW ORLEANS               "</f>
        <v xml:space="preserve">NEW ORLEANS               </v>
      </c>
      <c r="F3159" t="str">
        <f t="shared" si="133"/>
        <v>LA</v>
      </c>
    </row>
    <row r="3160" spans="1:6" x14ac:dyDescent="0.25">
      <c r="A3160" t="str">
        <f>"005678308"</f>
        <v>005678308</v>
      </c>
      <c r="B3160" t="str">
        <f>"1366563678"</f>
        <v>1366563678</v>
      </c>
      <c r="C3160" t="str">
        <f>"208600000X"</f>
        <v>208600000X</v>
      </c>
      <c r="D3160" t="str">
        <f>"COOK                     MICHAEL      W           "</f>
        <v xml:space="preserve">COOK                     MICHAEL      W           </v>
      </c>
      <c r="E3160" t="str">
        <f t="shared" si="136"/>
        <v xml:space="preserve">NEW ORLEANS               </v>
      </c>
      <c r="F3160" t="str">
        <f t="shared" si="133"/>
        <v>LA</v>
      </c>
    </row>
    <row r="3161" spans="1:6" x14ac:dyDescent="0.25">
      <c r="A3161" t="str">
        <f>"005687591"</f>
        <v>005687591</v>
      </c>
      <c r="B3161" t="str">
        <f>"1821401845"</f>
        <v>1821401845</v>
      </c>
      <c r="C3161" t="str">
        <f>"2084N0400X"</f>
        <v>2084N0400X</v>
      </c>
      <c r="D3161" t="str">
        <f>"FENG                     JENNY        J           "</f>
        <v xml:space="preserve">FENG                     JENNY        J           </v>
      </c>
      <c r="E3161" t="str">
        <f t="shared" si="136"/>
        <v xml:space="preserve">NEW ORLEANS               </v>
      </c>
      <c r="F3161" t="str">
        <f t="shared" si="133"/>
        <v>LA</v>
      </c>
    </row>
    <row r="3162" spans="1:6" x14ac:dyDescent="0.25">
      <c r="A3162" t="str">
        <f>"005705894"</f>
        <v>005705894</v>
      </c>
      <c r="B3162" t="str">
        <f>"1316094295"</f>
        <v>1316094295</v>
      </c>
      <c r="C3162" t="str">
        <f>"207V00000X"</f>
        <v>207V00000X</v>
      </c>
      <c r="D3162" t="str">
        <f>"KNOEPP                   LEISE        R           "</f>
        <v xml:space="preserve">KNOEPP                   LEISE        R           </v>
      </c>
      <c r="E3162" t="str">
        <f t="shared" si="136"/>
        <v xml:space="preserve">NEW ORLEANS               </v>
      </c>
      <c r="F3162" t="str">
        <f t="shared" si="133"/>
        <v>LA</v>
      </c>
    </row>
    <row r="3163" spans="1:6" x14ac:dyDescent="0.25">
      <c r="A3163" t="str">
        <f>"005733746"</f>
        <v>005733746</v>
      </c>
      <c r="B3163" t="str">
        <f>"1598928418"</f>
        <v>1598928418</v>
      </c>
      <c r="C3163" t="str">
        <f>"207RC0000X"</f>
        <v>207RC0000X</v>
      </c>
      <c r="D3163" t="str">
        <f>"POLIN                    GLENN        M           "</f>
        <v xml:space="preserve">POLIN                    GLENN        M           </v>
      </c>
      <c r="E3163" t="str">
        <f t="shared" si="136"/>
        <v xml:space="preserve">NEW ORLEANS               </v>
      </c>
      <c r="F3163" t="str">
        <f t="shared" ref="F3163:F3226" si="137">"LA"</f>
        <v>LA</v>
      </c>
    </row>
    <row r="3164" spans="1:6" x14ac:dyDescent="0.25">
      <c r="A3164" t="str">
        <f>"005735251"</f>
        <v>005735251</v>
      </c>
      <c r="B3164" t="str">
        <f>"1942477583"</f>
        <v>1942477583</v>
      </c>
      <c r="C3164" t="str">
        <f>"207R00000X"</f>
        <v>207R00000X</v>
      </c>
      <c r="D3164" t="str">
        <f>"MARKER                   JOHN         D           "</f>
        <v xml:space="preserve">MARKER                   JOHN         D           </v>
      </c>
      <c r="E3164" t="str">
        <f t="shared" si="136"/>
        <v xml:space="preserve">NEW ORLEANS               </v>
      </c>
      <c r="F3164" t="str">
        <f t="shared" si="137"/>
        <v>LA</v>
      </c>
    </row>
    <row r="3165" spans="1:6" x14ac:dyDescent="0.25">
      <c r="A3165" t="str">
        <f>"005751049"</f>
        <v>005751049</v>
      </c>
      <c r="B3165" t="str">
        <f>"1215966387"</f>
        <v>1215966387</v>
      </c>
      <c r="C3165" t="str">
        <f>"367500000X"</f>
        <v>367500000X</v>
      </c>
      <c r="D3165" t="str">
        <f>"DOMINGUE                 JODY         N           "</f>
        <v xml:space="preserve">DOMINGUE                 JODY         N           </v>
      </c>
      <c r="E3165" t="str">
        <f>"HAMMOND                   "</f>
        <v xml:space="preserve">HAMMOND                   </v>
      </c>
      <c r="F3165" t="str">
        <f t="shared" si="137"/>
        <v>LA</v>
      </c>
    </row>
    <row r="3166" spans="1:6" x14ac:dyDescent="0.25">
      <c r="A3166" t="str">
        <f>"005773821"</f>
        <v>005773821</v>
      </c>
      <c r="B3166" t="str">
        <f>"1013254093"</f>
        <v>1013254093</v>
      </c>
      <c r="C3166" t="str">
        <f>"367500000X"</f>
        <v>367500000X</v>
      </c>
      <c r="D3166" t="str">
        <f>"SMITH                    JONAH        S           "</f>
        <v xml:space="preserve">SMITH                    JONAH        S           </v>
      </c>
      <c r="E3166" t="str">
        <f>"COVINGTON                 "</f>
        <v xml:space="preserve">COVINGTON                 </v>
      </c>
      <c r="F3166" t="str">
        <f t="shared" si="137"/>
        <v>LA</v>
      </c>
    </row>
    <row r="3167" spans="1:6" x14ac:dyDescent="0.25">
      <c r="A3167" t="str">
        <f>"005801532"</f>
        <v>005801532</v>
      </c>
      <c r="B3167" t="str">
        <f>"1124124292"</f>
        <v>1124124292</v>
      </c>
      <c r="C3167" t="str">
        <f>"367500000X"</f>
        <v>367500000X</v>
      </c>
      <c r="D3167" t="str">
        <f>"GUITART                  LESLIE       R           "</f>
        <v xml:space="preserve">GUITART                  LESLIE       R           </v>
      </c>
      <c r="E3167" t="str">
        <f>"NEW ORLEANS               "</f>
        <v xml:space="preserve">NEW ORLEANS               </v>
      </c>
      <c r="F3167" t="str">
        <f t="shared" si="137"/>
        <v>LA</v>
      </c>
    </row>
    <row r="3168" spans="1:6" x14ac:dyDescent="0.25">
      <c r="A3168" t="str">
        <f>"005832706"</f>
        <v>005832706</v>
      </c>
      <c r="B3168" t="str">
        <f>"1679886071"</f>
        <v>1679886071</v>
      </c>
      <c r="C3168" t="str">
        <f>"208100000X"</f>
        <v>208100000X</v>
      </c>
      <c r="D3168" t="str">
        <f>"WATKINS                  JEFFREY      N           "</f>
        <v xml:space="preserve">WATKINS                  JEFFREY      N           </v>
      </c>
      <c r="E3168" t="str">
        <f>"JEFFERSON                 "</f>
        <v xml:space="preserve">JEFFERSON                 </v>
      </c>
      <c r="F3168" t="str">
        <f t="shared" si="137"/>
        <v>LA</v>
      </c>
    </row>
    <row r="3169" spans="1:6" x14ac:dyDescent="0.25">
      <c r="A3169" t="str">
        <f>"005836502"</f>
        <v>005836502</v>
      </c>
      <c r="B3169" t="str">
        <f>"1427114685"</f>
        <v>1427114685</v>
      </c>
      <c r="C3169" t="str">
        <f>"2085R0202X"</f>
        <v>2085R0202X</v>
      </c>
      <c r="D3169" t="str">
        <f>"ST GERMAIN JR            DAVID        J           "</f>
        <v xml:space="preserve">ST GERMAIN JR            DAVID        J           </v>
      </c>
      <c r="E3169" t="str">
        <f>"NEW ORLEANS               "</f>
        <v xml:space="preserve">NEW ORLEANS               </v>
      </c>
      <c r="F3169" t="str">
        <f t="shared" si="137"/>
        <v>LA</v>
      </c>
    </row>
    <row r="3170" spans="1:6" x14ac:dyDescent="0.25">
      <c r="A3170" t="str">
        <f>"005836577"</f>
        <v>005836577</v>
      </c>
      <c r="B3170" t="str">
        <f>"1780826453"</f>
        <v>1780826453</v>
      </c>
      <c r="C3170" t="str">
        <f>"2085R0202X"</f>
        <v>2085R0202X</v>
      </c>
      <c r="D3170" t="str">
        <f>"REDDY                    SUMANTH      K           "</f>
        <v xml:space="preserve">REDDY                    SUMANTH      K           </v>
      </c>
      <c r="E3170" t="str">
        <f>"BATON ROUGE               "</f>
        <v xml:space="preserve">BATON ROUGE               </v>
      </c>
      <c r="F3170" t="str">
        <f t="shared" si="137"/>
        <v>LA</v>
      </c>
    </row>
    <row r="3171" spans="1:6" x14ac:dyDescent="0.25">
      <c r="A3171" t="str">
        <f>"005873546"</f>
        <v>005873546</v>
      </c>
      <c r="B3171" t="str">
        <f>"1841519832"</f>
        <v>1841519832</v>
      </c>
      <c r="C3171" t="str">
        <f>"2085R0202X"</f>
        <v>2085R0202X</v>
      </c>
      <c r="D3171" t="str">
        <f>"GILBERT                  PATRICK      J           "</f>
        <v xml:space="preserve">GILBERT                  PATRICK      J           </v>
      </c>
      <c r="E3171" t="str">
        <f>"NEW ORLEANS               "</f>
        <v xml:space="preserve">NEW ORLEANS               </v>
      </c>
      <c r="F3171" t="str">
        <f t="shared" si="137"/>
        <v>LA</v>
      </c>
    </row>
    <row r="3172" spans="1:6" x14ac:dyDescent="0.25">
      <c r="A3172" t="str">
        <f>"005875279"</f>
        <v>005875279</v>
      </c>
      <c r="B3172" t="str">
        <f>"1427341213"</f>
        <v>1427341213</v>
      </c>
      <c r="C3172" t="str">
        <f>"367500000X"</f>
        <v>367500000X</v>
      </c>
      <c r="D3172" t="str">
        <f>"NUNEZ                    RYAN         W           "</f>
        <v xml:space="preserve">NUNEZ                    RYAN         W           </v>
      </c>
      <c r="E3172" t="str">
        <f>"COVINGTON                 "</f>
        <v xml:space="preserve">COVINGTON                 </v>
      </c>
      <c r="F3172" t="str">
        <f t="shared" si="137"/>
        <v>LA</v>
      </c>
    </row>
    <row r="3173" spans="1:6" x14ac:dyDescent="0.25">
      <c r="A3173" t="str">
        <f>"005876509"</f>
        <v>005876509</v>
      </c>
      <c r="B3173" t="str">
        <f>"1962768127"</f>
        <v>1962768127</v>
      </c>
      <c r="C3173" t="str">
        <f>"2085R0202X"</f>
        <v>2085R0202X</v>
      </c>
      <c r="D3173" t="str">
        <f>"MASON                    KATIE        S           "</f>
        <v xml:space="preserve">MASON                    KATIE        S           </v>
      </c>
      <c r="E3173" t="str">
        <f>"NEW ORLEANS               "</f>
        <v xml:space="preserve">NEW ORLEANS               </v>
      </c>
      <c r="F3173" t="str">
        <f t="shared" si="137"/>
        <v>LA</v>
      </c>
    </row>
    <row r="3174" spans="1:6" x14ac:dyDescent="0.25">
      <c r="A3174" t="str">
        <f>"005880237"</f>
        <v>005880237</v>
      </c>
      <c r="B3174" t="str">
        <f>"1518991975"</f>
        <v>1518991975</v>
      </c>
      <c r="C3174" t="str">
        <f>"207RX0202X"</f>
        <v>207RX0202X</v>
      </c>
      <c r="D3174" t="str">
        <f>"BROOKS                   BURKE        J           "</f>
        <v xml:space="preserve">BROOKS                   BURKE        J           </v>
      </c>
      <c r="E3174" t="str">
        <f>"BATON ROUGE               "</f>
        <v xml:space="preserve">BATON ROUGE               </v>
      </c>
      <c r="F3174" t="str">
        <f t="shared" si="137"/>
        <v>LA</v>
      </c>
    </row>
    <row r="3175" spans="1:6" x14ac:dyDescent="0.25">
      <c r="A3175" t="str">
        <f>"005881806"</f>
        <v>005881806</v>
      </c>
      <c r="B3175" t="str">
        <f>"1891953741"</f>
        <v>1891953741</v>
      </c>
      <c r="C3175" t="str">
        <f>"2080P0202X"</f>
        <v>2080P0202X</v>
      </c>
      <c r="D3175" t="str">
        <f>"LARA                     DIEGO        A           "</f>
        <v xml:space="preserve">LARA                     DIEGO        A           </v>
      </c>
      <c r="E3175" t="str">
        <f>"NEW ORLEANS               "</f>
        <v xml:space="preserve">NEW ORLEANS               </v>
      </c>
      <c r="F3175" t="str">
        <f t="shared" si="137"/>
        <v>LA</v>
      </c>
    </row>
    <row r="3176" spans="1:6" x14ac:dyDescent="0.25">
      <c r="A3176" t="str">
        <f>"005901800"</f>
        <v>005901800</v>
      </c>
      <c r="B3176" t="str">
        <f>"1326304338"</f>
        <v>1326304338</v>
      </c>
      <c r="C3176" t="str">
        <f>"208000000X"</f>
        <v>208000000X</v>
      </c>
      <c r="D3176" t="str">
        <f>"BAUER                    HANNAH       K           "</f>
        <v xml:space="preserve">BAUER                    HANNAH       K           </v>
      </c>
      <c r="E3176" t="str">
        <f>"NEW ORLEANS               "</f>
        <v xml:space="preserve">NEW ORLEANS               </v>
      </c>
      <c r="F3176" t="str">
        <f t="shared" si="137"/>
        <v>LA</v>
      </c>
    </row>
    <row r="3177" spans="1:6" x14ac:dyDescent="0.25">
      <c r="A3177" t="str">
        <f>"005903075"</f>
        <v>005903075</v>
      </c>
      <c r="B3177" t="str">
        <f>"1316103146"</f>
        <v>1316103146</v>
      </c>
      <c r="C3177" t="str">
        <f>"207R00000X"</f>
        <v>207R00000X</v>
      </c>
      <c r="D3177" t="str">
        <f>"RAMEE                    EMILY        J           "</f>
        <v xml:space="preserve">RAMEE                    EMILY        J           </v>
      </c>
      <c r="E3177" t="str">
        <f>"NEW ORLEANS               "</f>
        <v xml:space="preserve">NEW ORLEANS               </v>
      </c>
      <c r="F3177" t="str">
        <f t="shared" si="137"/>
        <v>LA</v>
      </c>
    </row>
    <row r="3178" spans="1:6" x14ac:dyDescent="0.25">
      <c r="A3178" t="str">
        <f>"005905549"</f>
        <v>005905549</v>
      </c>
      <c r="B3178" t="str">
        <f>"1285716753"</f>
        <v>1285716753</v>
      </c>
      <c r="C3178" t="str">
        <f>"208000000X"</f>
        <v>208000000X</v>
      </c>
      <c r="D3178" t="str">
        <f>"HORSMAN                  THOMAS       A           "</f>
        <v xml:space="preserve">HORSMAN                  THOMAS       A           </v>
      </c>
      <c r="E3178" t="str">
        <f>"BATON ROUGE               "</f>
        <v xml:space="preserve">BATON ROUGE               </v>
      </c>
      <c r="F3178" t="str">
        <f t="shared" si="137"/>
        <v>LA</v>
      </c>
    </row>
    <row r="3179" spans="1:6" x14ac:dyDescent="0.25">
      <c r="A3179" t="str">
        <f>"005909899"</f>
        <v>005909899</v>
      </c>
      <c r="B3179" t="str">
        <f>"1689617805"</f>
        <v>1689617805</v>
      </c>
      <c r="C3179" t="str">
        <f>"207RC0000X"</f>
        <v>207RC0000X</v>
      </c>
      <c r="D3179" t="str">
        <f>"POLIN                    NICHOLE      M           "</f>
        <v xml:space="preserve">POLIN                    NICHOLE      M           </v>
      </c>
      <c r="E3179" t="str">
        <f>"NEW ORLEANS               "</f>
        <v xml:space="preserve">NEW ORLEANS               </v>
      </c>
      <c r="F3179" t="str">
        <f t="shared" si="137"/>
        <v>LA</v>
      </c>
    </row>
    <row r="3180" spans="1:6" x14ac:dyDescent="0.25">
      <c r="A3180" t="str">
        <f>"005921351"</f>
        <v>005921351</v>
      </c>
      <c r="B3180" t="str">
        <f>"1700079274"</f>
        <v>1700079274</v>
      </c>
      <c r="C3180" t="str">
        <f>"2084P0800X"</f>
        <v>2084P0800X</v>
      </c>
      <c r="D3180" t="str">
        <f>"KIM                      HYON         S           "</f>
        <v xml:space="preserve">KIM                      HYON         S           </v>
      </c>
      <c r="E3180" t="str">
        <f>"HAMMOND                   "</f>
        <v xml:space="preserve">HAMMOND                   </v>
      </c>
      <c r="F3180" t="str">
        <f t="shared" si="137"/>
        <v>LA</v>
      </c>
    </row>
    <row r="3181" spans="1:6" x14ac:dyDescent="0.25">
      <c r="A3181" t="str">
        <f>"005927851"</f>
        <v>005927851</v>
      </c>
      <c r="B3181" t="str">
        <f>"1235113770"</f>
        <v>1235113770</v>
      </c>
      <c r="C3181" t="str">
        <f>"207V00000X"</f>
        <v>207V00000X</v>
      </c>
      <c r="D3181" t="str">
        <f>"ROSKOS                   INGRID       K           "</f>
        <v xml:space="preserve">ROSKOS                   INGRID       K           </v>
      </c>
      <c r="E3181" t="str">
        <f>"SLIDELL                   "</f>
        <v xml:space="preserve">SLIDELL                   </v>
      </c>
      <c r="F3181" t="str">
        <f t="shared" si="137"/>
        <v>LA</v>
      </c>
    </row>
    <row r="3182" spans="1:6" x14ac:dyDescent="0.25">
      <c r="A3182" t="str">
        <f>"005935806"</f>
        <v>005935806</v>
      </c>
      <c r="B3182" t="str">
        <f>"1518252220"</f>
        <v>1518252220</v>
      </c>
      <c r="C3182" t="str">
        <f>"207R00000X"</f>
        <v>207R00000X</v>
      </c>
      <c r="D3182" t="str">
        <f>"ABADCO                   DUSTIN       A           "</f>
        <v xml:space="preserve">ABADCO                   DUSTIN       A           </v>
      </c>
      <c r="E3182" t="str">
        <f>"NEW ORLEANS               "</f>
        <v xml:space="preserve">NEW ORLEANS               </v>
      </c>
      <c r="F3182" t="str">
        <f t="shared" si="137"/>
        <v>LA</v>
      </c>
    </row>
    <row r="3183" spans="1:6" x14ac:dyDescent="0.25">
      <c r="A3183" t="str">
        <f>"005936096"</f>
        <v>005936096</v>
      </c>
      <c r="B3183" t="str">
        <f>"1386960896"</f>
        <v>1386960896</v>
      </c>
      <c r="C3183" t="str">
        <f>"207T00000X"</f>
        <v>207T00000X</v>
      </c>
      <c r="D3183" t="str">
        <f>"KEEN                     JOSEPH       R           "</f>
        <v xml:space="preserve">KEEN                     JOSEPH       R           </v>
      </c>
      <c r="E3183" t="str">
        <f>"GRETNA                    "</f>
        <v xml:space="preserve">GRETNA                    </v>
      </c>
      <c r="F3183" t="str">
        <f t="shared" si="137"/>
        <v>LA</v>
      </c>
    </row>
    <row r="3184" spans="1:6" x14ac:dyDescent="0.25">
      <c r="A3184" t="str">
        <f>"005971790"</f>
        <v>005971790</v>
      </c>
      <c r="B3184" t="str">
        <f>"1376799692"</f>
        <v>1376799692</v>
      </c>
      <c r="C3184" t="str">
        <f>"122300000X"</f>
        <v>122300000X</v>
      </c>
      <c r="D3184" t="str">
        <f>"PARIDON                  HEIDI                    "</f>
        <v xml:space="preserve">PARIDON                  HEIDI                    </v>
      </c>
      <c r="E3184" t="str">
        <f>"SLIDELL                   "</f>
        <v xml:space="preserve">SLIDELL                   </v>
      </c>
      <c r="F3184" t="str">
        <f t="shared" si="137"/>
        <v>LA</v>
      </c>
    </row>
    <row r="3185" spans="1:6" x14ac:dyDescent="0.25">
      <c r="A3185" t="str">
        <f>"005984721"</f>
        <v>005984721</v>
      </c>
      <c r="B3185" t="str">
        <f>"1659432318"</f>
        <v>1659432318</v>
      </c>
      <c r="C3185" t="str">
        <f>"207Q00000X"</f>
        <v>207Q00000X</v>
      </c>
      <c r="D3185" t="str">
        <f>"ARNOLD                   RYAN         D           "</f>
        <v xml:space="preserve">ARNOLD                   RYAN         D           </v>
      </c>
      <c r="E3185" t="str">
        <f>"SLIDELL                   "</f>
        <v xml:space="preserve">SLIDELL                   </v>
      </c>
      <c r="F3185" t="str">
        <f t="shared" si="137"/>
        <v>LA</v>
      </c>
    </row>
    <row r="3186" spans="1:6" x14ac:dyDescent="0.25">
      <c r="A3186" t="str">
        <f>"006039584"</f>
        <v>006039584</v>
      </c>
      <c r="B3186" t="str">
        <f>"1467763920"</f>
        <v>1467763920</v>
      </c>
      <c r="C3186" t="str">
        <f>"363A00000X"</f>
        <v>363A00000X</v>
      </c>
      <c r="D3186" t="str">
        <f>"REDA                     ASHLEY       N           "</f>
        <v xml:space="preserve">REDA                     ASHLEY       N           </v>
      </c>
      <c r="E3186" t="str">
        <f>"SLIDELL                   "</f>
        <v xml:space="preserve">SLIDELL                   </v>
      </c>
      <c r="F3186" t="str">
        <f t="shared" si="137"/>
        <v>LA</v>
      </c>
    </row>
    <row r="3187" spans="1:6" x14ac:dyDescent="0.25">
      <c r="A3187" t="str">
        <f>"006050770"</f>
        <v>006050770</v>
      </c>
      <c r="B3187" t="str">
        <f>"1578512364"</f>
        <v>1578512364</v>
      </c>
      <c r="C3187" t="str">
        <f>"207R00000X"</f>
        <v>207R00000X</v>
      </c>
      <c r="D3187" t="str">
        <f>"KANTROW                  STEPHEN      P           "</f>
        <v xml:space="preserve">KANTROW                  STEPHEN      P           </v>
      </c>
      <c r="E3187" t="str">
        <f>"NEW ORLEANS               "</f>
        <v xml:space="preserve">NEW ORLEANS               </v>
      </c>
      <c r="F3187" t="str">
        <f t="shared" si="137"/>
        <v>LA</v>
      </c>
    </row>
    <row r="3188" spans="1:6" x14ac:dyDescent="0.25">
      <c r="A3188" t="str">
        <f>"006071281"</f>
        <v>006071281</v>
      </c>
      <c r="B3188" t="str">
        <f>"1831116722"</f>
        <v>1831116722</v>
      </c>
      <c r="C3188" t="str">
        <f>"207R00000X"</f>
        <v>207R00000X</v>
      </c>
      <c r="D3188" t="str">
        <f>"BZOWEJ                   NATALIE      H           "</f>
        <v xml:space="preserve">BZOWEJ                   NATALIE      H           </v>
      </c>
      <c r="E3188" t="str">
        <f>"NEW ORLEANS               "</f>
        <v xml:space="preserve">NEW ORLEANS               </v>
      </c>
      <c r="F3188" t="str">
        <f t="shared" si="137"/>
        <v>LA</v>
      </c>
    </row>
    <row r="3189" spans="1:6" x14ac:dyDescent="0.25">
      <c r="A3189" t="str">
        <f>"006076244"</f>
        <v>006076244</v>
      </c>
      <c r="B3189" t="str">
        <f>"1669530028"</f>
        <v>1669530028</v>
      </c>
      <c r="C3189" t="str">
        <f>"207R00000X"</f>
        <v>207R00000X</v>
      </c>
      <c r="D3189" t="str">
        <f>"RAINA                    SANJAY                   "</f>
        <v xml:space="preserve">RAINA                    SANJAY                   </v>
      </c>
      <c r="E3189" t="str">
        <f>"SLIDELL                   "</f>
        <v xml:space="preserve">SLIDELL                   </v>
      </c>
      <c r="F3189" t="str">
        <f t="shared" si="137"/>
        <v>LA</v>
      </c>
    </row>
    <row r="3190" spans="1:6" x14ac:dyDescent="0.25">
      <c r="A3190" t="str">
        <f>"006078055"</f>
        <v>006078055</v>
      </c>
      <c r="B3190" t="str">
        <f>"1003318007"</f>
        <v>1003318007</v>
      </c>
      <c r="C3190" t="str">
        <f>"363L00000X"</f>
        <v>363L00000X</v>
      </c>
      <c r="D3190" t="str">
        <f>"PICHON                   LAURA                    "</f>
        <v xml:space="preserve">PICHON                   LAURA                    </v>
      </c>
      <c r="E3190" t="str">
        <f>"SLIDELL                   "</f>
        <v xml:space="preserve">SLIDELL                   </v>
      </c>
      <c r="F3190" t="str">
        <f t="shared" si="137"/>
        <v>LA</v>
      </c>
    </row>
    <row r="3191" spans="1:6" x14ac:dyDescent="0.25">
      <c r="A3191" t="str">
        <f>"006081706"</f>
        <v>006081706</v>
      </c>
      <c r="B3191" t="str">
        <f>"1871561241"</f>
        <v>1871561241</v>
      </c>
      <c r="C3191" t="str">
        <f>"208000000X"</f>
        <v>208000000X</v>
      </c>
      <c r="D3191" t="str">
        <f>"SAVANT                   ADRIENNE                 "</f>
        <v xml:space="preserve">SAVANT                   ADRIENNE                 </v>
      </c>
      <c r="E3191" t="str">
        <f>"METAIRIE                  "</f>
        <v xml:space="preserve">METAIRIE                  </v>
      </c>
      <c r="F3191" t="str">
        <f t="shared" si="137"/>
        <v>LA</v>
      </c>
    </row>
    <row r="3192" spans="1:6" x14ac:dyDescent="0.25">
      <c r="A3192" t="str">
        <f>"006083348"</f>
        <v>006083348</v>
      </c>
      <c r="B3192" t="str">
        <f>"1831484153"</f>
        <v>1831484153</v>
      </c>
      <c r="C3192" t="str">
        <f>"2084N0400X"</f>
        <v>2084N0400X</v>
      </c>
      <c r="D3192" t="str">
        <f>"VAN HOOK                 COLIN        N           "</f>
        <v xml:space="preserve">VAN HOOK                 COLIN        N           </v>
      </c>
      <c r="E3192" t="str">
        <f>"NEW ORLEANS               "</f>
        <v xml:space="preserve">NEW ORLEANS               </v>
      </c>
      <c r="F3192" t="str">
        <f t="shared" si="137"/>
        <v>LA</v>
      </c>
    </row>
    <row r="3193" spans="1:6" x14ac:dyDescent="0.25">
      <c r="A3193" t="str">
        <f>"006103209"</f>
        <v>006103209</v>
      </c>
      <c r="B3193" t="str">
        <f>"1497418370"</f>
        <v>1497418370</v>
      </c>
      <c r="C3193" t="str">
        <f>"363L00000X"</f>
        <v>363L00000X</v>
      </c>
      <c r="D3193" t="str">
        <f>"DUNBAR                   PHAON        A           "</f>
        <v xml:space="preserve">DUNBAR                   PHAON        A           </v>
      </c>
      <c r="E3193" t="str">
        <f>"BATON ROUGE               "</f>
        <v xml:space="preserve">BATON ROUGE               </v>
      </c>
      <c r="F3193" t="str">
        <f t="shared" si="137"/>
        <v>LA</v>
      </c>
    </row>
    <row r="3194" spans="1:6" x14ac:dyDescent="0.25">
      <c r="A3194" t="str">
        <f>"006133791"</f>
        <v>006133791</v>
      </c>
      <c r="B3194" t="str">
        <f>"1306054903"</f>
        <v>1306054903</v>
      </c>
      <c r="C3194" t="str">
        <f>"2085R0202X"</f>
        <v>2085R0202X</v>
      </c>
      <c r="D3194" t="str">
        <f>"TOSHAV                   ARAN         M           "</f>
        <v xml:space="preserve">TOSHAV                   ARAN         M           </v>
      </c>
      <c r="E3194" t="str">
        <f>"NEW ORLEANS               "</f>
        <v xml:space="preserve">NEW ORLEANS               </v>
      </c>
      <c r="F3194" t="str">
        <f t="shared" si="137"/>
        <v>LA</v>
      </c>
    </row>
    <row r="3195" spans="1:6" x14ac:dyDescent="0.25">
      <c r="A3195" t="str">
        <f>"006137262"</f>
        <v>006137262</v>
      </c>
      <c r="B3195" t="str">
        <f>"1336310481"</f>
        <v>1336310481</v>
      </c>
      <c r="C3195" t="str">
        <f>"2084N0400X"</f>
        <v>2084N0400X</v>
      </c>
      <c r="D3195" t="str">
        <f>"JUARBE                   RUBEN                    "</f>
        <v xml:space="preserve">JUARBE                   RUBEN                    </v>
      </c>
      <c r="E3195" t="str">
        <f>"GRETNA                    "</f>
        <v xml:space="preserve">GRETNA                    </v>
      </c>
      <c r="F3195" t="str">
        <f t="shared" si="137"/>
        <v>LA</v>
      </c>
    </row>
    <row r="3196" spans="1:6" x14ac:dyDescent="0.25">
      <c r="A3196" t="str">
        <f>"006138008"</f>
        <v>006138008</v>
      </c>
      <c r="B3196" t="str">
        <f>"1114347671"</f>
        <v>1114347671</v>
      </c>
      <c r="C3196" t="str">
        <f>"207ZC0500X"</f>
        <v>207ZC0500X</v>
      </c>
      <c r="D3196" t="str">
        <f>"CONYERS                  JEFFREY      A           "</f>
        <v xml:space="preserve">CONYERS                  JEFFREY      A           </v>
      </c>
      <c r="E3196" t="str">
        <f>"NEW ORLEANS               "</f>
        <v xml:space="preserve">NEW ORLEANS               </v>
      </c>
      <c r="F3196" t="str">
        <f t="shared" si="137"/>
        <v>LA</v>
      </c>
    </row>
    <row r="3197" spans="1:6" x14ac:dyDescent="0.25">
      <c r="A3197" t="str">
        <f>"006153844"</f>
        <v>006153844</v>
      </c>
      <c r="B3197" t="str">
        <f>"1265722037"</f>
        <v>1265722037</v>
      </c>
      <c r="C3197" t="str">
        <f>"2084N0400X"</f>
        <v>2084N0400X</v>
      </c>
      <c r="D3197" t="str">
        <f>"DAVIS                    ROBIN        C           "</f>
        <v xml:space="preserve">DAVIS                    ROBIN        C           </v>
      </c>
      <c r="E3197" t="str">
        <f>"KENNER                    "</f>
        <v xml:space="preserve">KENNER                    </v>
      </c>
      <c r="F3197" t="str">
        <f t="shared" si="137"/>
        <v>LA</v>
      </c>
    </row>
    <row r="3198" spans="1:6" x14ac:dyDescent="0.25">
      <c r="A3198" t="str">
        <f>"006180317"</f>
        <v>006180317</v>
      </c>
      <c r="B3198" t="str">
        <f>"1548451420"</f>
        <v>1548451420</v>
      </c>
      <c r="C3198" t="str">
        <f>"2085R0202X"</f>
        <v>2085R0202X</v>
      </c>
      <c r="D3198" t="str">
        <f>"WELLS                    ADAM         C           "</f>
        <v xml:space="preserve">WELLS                    ADAM         C           </v>
      </c>
      <c r="E3198" t="str">
        <f>"NEW ORLEANS               "</f>
        <v xml:space="preserve">NEW ORLEANS               </v>
      </c>
      <c r="F3198" t="str">
        <f t="shared" si="137"/>
        <v>LA</v>
      </c>
    </row>
    <row r="3199" spans="1:6" x14ac:dyDescent="0.25">
      <c r="A3199" t="str">
        <f>"006182000"</f>
        <v>006182000</v>
      </c>
      <c r="B3199" t="str">
        <f>"1265698195"</f>
        <v>1265698195</v>
      </c>
      <c r="C3199" t="str">
        <f>"208600000X"</f>
        <v>208600000X</v>
      </c>
      <c r="D3199" t="str">
        <f>"FRIEL                    MICHAEL      T           "</f>
        <v xml:space="preserve">FRIEL                    MICHAEL      T           </v>
      </c>
      <c r="E3199" t="str">
        <f>"NEW ORLEANS               "</f>
        <v xml:space="preserve">NEW ORLEANS               </v>
      </c>
      <c r="F3199" t="str">
        <f t="shared" si="137"/>
        <v>LA</v>
      </c>
    </row>
    <row r="3200" spans="1:6" x14ac:dyDescent="0.25">
      <c r="A3200" t="str">
        <f>"006184391"</f>
        <v>006184391</v>
      </c>
      <c r="B3200" t="str">
        <f>"1417306952"</f>
        <v>1417306952</v>
      </c>
      <c r="C3200" t="str">
        <f>"207P00000X"</f>
        <v>207P00000X</v>
      </c>
      <c r="D3200" t="str">
        <f>"BULLOCK                  BENJAMIN     L           "</f>
        <v xml:space="preserve">BULLOCK                  BENJAMIN     L           </v>
      </c>
      <c r="E3200" t="str">
        <f>"NEW ORLEANS               "</f>
        <v xml:space="preserve">NEW ORLEANS               </v>
      </c>
      <c r="F3200" t="str">
        <f t="shared" si="137"/>
        <v>LA</v>
      </c>
    </row>
    <row r="3201" spans="1:6" x14ac:dyDescent="0.25">
      <c r="A3201" t="str">
        <f>"006186837"</f>
        <v>006186837</v>
      </c>
      <c r="B3201" t="str">
        <f>"1477133676"</f>
        <v>1477133676</v>
      </c>
      <c r="C3201" t="str">
        <f>"363A00000X"</f>
        <v>363A00000X</v>
      </c>
      <c r="D3201" t="str">
        <f>"NICAUD                   ALLISON      S           "</f>
        <v xml:space="preserve">NICAUD                   ALLISON      S           </v>
      </c>
      <c r="E3201" t="str">
        <f>"NEW ORLEANS               "</f>
        <v xml:space="preserve">NEW ORLEANS               </v>
      </c>
      <c r="F3201" t="str">
        <f t="shared" si="137"/>
        <v>LA</v>
      </c>
    </row>
    <row r="3202" spans="1:6" x14ac:dyDescent="0.25">
      <c r="A3202" t="str">
        <f>"006187542"</f>
        <v>006187542</v>
      </c>
      <c r="B3202" t="str">
        <f>"1104180512"</f>
        <v>1104180512</v>
      </c>
      <c r="C3202" t="str">
        <f>"207RC0000X"</f>
        <v>207RC0000X</v>
      </c>
      <c r="D3202" t="str">
        <f>"YOUSEF                   GEORGE       M           "</f>
        <v xml:space="preserve">YOUSEF                   GEORGE       M           </v>
      </c>
      <c r="E3202" t="str">
        <f>"KENNER                    "</f>
        <v xml:space="preserve">KENNER                    </v>
      </c>
      <c r="F3202" t="str">
        <f t="shared" si="137"/>
        <v>LA</v>
      </c>
    </row>
    <row r="3203" spans="1:6" x14ac:dyDescent="0.25">
      <c r="A3203" t="str">
        <f>"006207765"</f>
        <v>006207765</v>
      </c>
      <c r="B3203" t="str">
        <f>"1124445242"</f>
        <v>1124445242</v>
      </c>
      <c r="C3203" t="str">
        <f>"207P00000X"</f>
        <v>207P00000X</v>
      </c>
      <c r="D3203" t="str">
        <f>"MICKMAN                  CARL         T           "</f>
        <v xml:space="preserve">MICKMAN                  CARL         T           </v>
      </c>
      <c r="E3203" t="str">
        <f>"KENNER                    "</f>
        <v xml:space="preserve">KENNER                    </v>
      </c>
      <c r="F3203" t="str">
        <f t="shared" si="137"/>
        <v>LA</v>
      </c>
    </row>
    <row r="3204" spans="1:6" x14ac:dyDescent="0.25">
      <c r="A3204" t="str">
        <f>"006209207"</f>
        <v>006209207</v>
      </c>
      <c r="B3204" t="str">
        <f>"1013449503"</f>
        <v>1013449503</v>
      </c>
      <c r="C3204" t="str">
        <f>"207R00000X"</f>
        <v>207R00000X</v>
      </c>
      <c r="D3204" t="str">
        <f>"HARRISS                  PATRICK      B           "</f>
        <v xml:space="preserve">HARRISS                  PATRICK      B           </v>
      </c>
      <c r="E3204" t="str">
        <f>"NEW ORLEANS               "</f>
        <v xml:space="preserve">NEW ORLEANS               </v>
      </c>
      <c r="F3204" t="str">
        <f t="shared" si="137"/>
        <v>LA</v>
      </c>
    </row>
    <row r="3205" spans="1:6" x14ac:dyDescent="0.25">
      <c r="A3205" t="str">
        <f>"006222342"</f>
        <v>006222342</v>
      </c>
      <c r="B3205" t="str">
        <f>"1851659486"</f>
        <v>1851659486</v>
      </c>
      <c r="C3205" t="str">
        <f>"207V00000X"</f>
        <v>207V00000X</v>
      </c>
      <c r="D3205" t="str">
        <f>"SANDOW                   MARGUERITE   D           "</f>
        <v xml:space="preserve">SANDOW                   MARGUERITE   D           </v>
      </c>
      <c r="E3205" t="str">
        <f>"NEW ORLEANS               "</f>
        <v xml:space="preserve">NEW ORLEANS               </v>
      </c>
      <c r="F3205" t="str">
        <f t="shared" si="137"/>
        <v>LA</v>
      </c>
    </row>
    <row r="3206" spans="1:6" x14ac:dyDescent="0.25">
      <c r="A3206" t="str">
        <f>"006230062"</f>
        <v>006230062</v>
      </c>
      <c r="B3206" t="str">
        <f>"1841450707"</f>
        <v>1841450707</v>
      </c>
      <c r="C3206" t="str">
        <f>"2084P0800X"</f>
        <v>2084P0800X</v>
      </c>
      <c r="D3206" t="str">
        <f>"CSAKI                    RACHEL       B           "</f>
        <v xml:space="preserve">CSAKI                    RACHEL       B           </v>
      </c>
      <c r="E3206" t="str">
        <f>"SLIDELL                   "</f>
        <v xml:space="preserve">SLIDELL                   </v>
      </c>
      <c r="F3206" t="str">
        <f t="shared" si="137"/>
        <v>LA</v>
      </c>
    </row>
    <row r="3207" spans="1:6" x14ac:dyDescent="0.25">
      <c r="A3207" t="str">
        <f>"006255050"</f>
        <v>006255050</v>
      </c>
      <c r="B3207" t="str">
        <f>"1992140065"</f>
        <v>1992140065</v>
      </c>
      <c r="C3207" t="str">
        <f>"207R00000X"</f>
        <v>207R00000X</v>
      </c>
      <c r="D3207" t="str">
        <f>"HODNETTE                 CHRISTOPHER  M           "</f>
        <v xml:space="preserve">HODNETTE                 CHRISTOPHER  M           </v>
      </c>
      <c r="E3207" t="str">
        <f>"KENNER                    "</f>
        <v xml:space="preserve">KENNER                    </v>
      </c>
      <c r="F3207" t="str">
        <f t="shared" si="137"/>
        <v>LA</v>
      </c>
    </row>
    <row r="3208" spans="1:6" x14ac:dyDescent="0.25">
      <c r="A3208" t="str">
        <f>"006255565"</f>
        <v>006255565</v>
      </c>
      <c r="B3208" t="str">
        <f>"1083983555"</f>
        <v>1083983555</v>
      </c>
      <c r="C3208" t="str">
        <f>"363A00000X"</f>
        <v>363A00000X</v>
      </c>
      <c r="D3208" t="str">
        <f>"CHAVA                    CINDY        L           "</f>
        <v xml:space="preserve">CHAVA                    CINDY        L           </v>
      </c>
      <c r="E3208" t="str">
        <f>"KENNER                    "</f>
        <v xml:space="preserve">KENNER                    </v>
      </c>
      <c r="F3208" t="str">
        <f t="shared" si="137"/>
        <v>LA</v>
      </c>
    </row>
    <row r="3209" spans="1:6" x14ac:dyDescent="0.25">
      <c r="A3209" t="str">
        <f>"006258020"</f>
        <v>006258020</v>
      </c>
      <c r="B3209" t="str">
        <f>"1568819712"</f>
        <v>1568819712</v>
      </c>
      <c r="C3209" t="str">
        <f>"208100000X"</f>
        <v>208100000X</v>
      </c>
      <c r="D3209" t="str">
        <f>"TORTORICH                JOHN-PAUL                "</f>
        <v xml:space="preserve">TORTORICH                JOHN-PAUL                </v>
      </c>
      <c r="E3209" t="str">
        <f>"BATON ROUGE               "</f>
        <v xml:space="preserve">BATON ROUGE               </v>
      </c>
      <c r="F3209" t="str">
        <f t="shared" si="137"/>
        <v>LA</v>
      </c>
    </row>
    <row r="3210" spans="1:6" x14ac:dyDescent="0.25">
      <c r="A3210" t="str">
        <f>"006280513"</f>
        <v>006280513</v>
      </c>
      <c r="B3210" t="str">
        <f>"1487815445"</f>
        <v>1487815445</v>
      </c>
      <c r="C3210" t="str">
        <f>"207X00000X"</f>
        <v>207X00000X</v>
      </c>
      <c r="D3210" t="str">
        <f>"SUGALSKI                 CHRISTOPHER  B           "</f>
        <v xml:space="preserve">SUGALSKI                 CHRISTOPHER  B           </v>
      </c>
      <c r="E3210" t="str">
        <f>"NEW ORLEANS               "</f>
        <v xml:space="preserve">NEW ORLEANS               </v>
      </c>
      <c r="F3210" t="str">
        <f t="shared" si="137"/>
        <v>LA</v>
      </c>
    </row>
    <row r="3211" spans="1:6" x14ac:dyDescent="0.25">
      <c r="A3211" t="str">
        <f>"006302556"</f>
        <v>006302556</v>
      </c>
      <c r="B3211" t="str">
        <f>"1720441389"</f>
        <v>1720441389</v>
      </c>
      <c r="C3211" t="str">
        <f>"207R00000X"</f>
        <v>207R00000X</v>
      </c>
      <c r="D3211" t="str">
        <f>"HAND                     ZACHARY      C           "</f>
        <v xml:space="preserve">HAND                     ZACHARY      C           </v>
      </c>
      <c r="E3211" t="str">
        <f>"TERRYTOWN                 "</f>
        <v xml:space="preserve">TERRYTOWN                 </v>
      </c>
      <c r="F3211" t="str">
        <f t="shared" si="137"/>
        <v>LA</v>
      </c>
    </row>
    <row r="3212" spans="1:6" x14ac:dyDescent="0.25">
      <c r="A3212" t="str">
        <f>"006321848"</f>
        <v>006321848</v>
      </c>
      <c r="B3212" t="str">
        <f>"1841565173"</f>
        <v>1841565173</v>
      </c>
      <c r="C3212" t="str">
        <f>"207RH0000X"</f>
        <v>207RH0000X</v>
      </c>
      <c r="D3212" t="str">
        <f>"JOHNSON                  DANIEL       H           "</f>
        <v xml:space="preserve">JOHNSON                  DANIEL       H           </v>
      </c>
      <c r="E3212" t="str">
        <f>"NEW ORLEANS               "</f>
        <v xml:space="preserve">NEW ORLEANS               </v>
      </c>
      <c r="F3212" t="str">
        <f t="shared" si="137"/>
        <v>LA</v>
      </c>
    </row>
    <row r="3213" spans="1:6" x14ac:dyDescent="0.25">
      <c r="A3213" t="str">
        <f>"006327314"</f>
        <v>006327314</v>
      </c>
      <c r="B3213" t="str">
        <f>"1912902941"</f>
        <v>1912902941</v>
      </c>
      <c r="C3213" t="str">
        <f>"207Y00000X"</f>
        <v>207Y00000X</v>
      </c>
      <c r="D3213" t="str">
        <f>"ARRIAGA                  MOISES       A           "</f>
        <v xml:space="preserve">ARRIAGA                  MOISES       A           </v>
      </c>
      <c r="E3213" t="str">
        <f>"NEW ORLEANS               "</f>
        <v xml:space="preserve">NEW ORLEANS               </v>
      </c>
      <c r="F3213" t="str">
        <f t="shared" si="137"/>
        <v>LA</v>
      </c>
    </row>
    <row r="3214" spans="1:6" x14ac:dyDescent="0.25">
      <c r="A3214" t="str">
        <f>"006327508"</f>
        <v>006327508</v>
      </c>
      <c r="B3214" t="str">
        <f>"1225784770"</f>
        <v>1225784770</v>
      </c>
      <c r="C3214" t="str">
        <f>"363L00000X"</f>
        <v>363L00000X</v>
      </c>
      <c r="D3214" t="str">
        <f>"BUTTNER                  GINA         M           "</f>
        <v xml:space="preserve">BUTTNER                  GINA         M           </v>
      </c>
      <c r="E3214" t="str">
        <f>"SLIDELL                   "</f>
        <v xml:space="preserve">SLIDELL                   </v>
      </c>
      <c r="F3214" t="str">
        <f t="shared" si="137"/>
        <v>LA</v>
      </c>
    </row>
    <row r="3215" spans="1:6" x14ac:dyDescent="0.25">
      <c r="A3215" t="str">
        <f>"006331067"</f>
        <v>006331067</v>
      </c>
      <c r="B3215" t="str">
        <f>"1801080452"</f>
        <v>1801080452</v>
      </c>
      <c r="C3215" t="str">
        <f>"207RN0300X"</f>
        <v>207RN0300X</v>
      </c>
      <c r="D3215" t="str">
        <f>"SOLTANI                  ZOHREH       S           "</f>
        <v xml:space="preserve">SOLTANI                  ZOHREH       S           </v>
      </c>
      <c r="E3215" t="str">
        <f>"NEW ORLEANS               "</f>
        <v xml:space="preserve">NEW ORLEANS               </v>
      </c>
      <c r="F3215" t="str">
        <f t="shared" si="137"/>
        <v>LA</v>
      </c>
    </row>
    <row r="3216" spans="1:6" x14ac:dyDescent="0.25">
      <c r="A3216" t="str">
        <f>"006354248"</f>
        <v>006354248</v>
      </c>
      <c r="B3216" t="str">
        <f>"1922402924"</f>
        <v>1922402924</v>
      </c>
      <c r="C3216" t="str">
        <f>"363A00000X"</f>
        <v>363A00000X</v>
      </c>
      <c r="D3216" t="str">
        <f>"MURRAY                   CLAIRE       L           "</f>
        <v xml:space="preserve">MURRAY                   CLAIRE       L           </v>
      </c>
      <c r="E3216" t="str">
        <f>"NEW ORLEANS               "</f>
        <v xml:space="preserve">NEW ORLEANS               </v>
      </c>
      <c r="F3216" t="str">
        <f t="shared" si="137"/>
        <v>LA</v>
      </c>
    </row>
    <row r="3217" spans="1:6" x14ac:dyDescent="0.25">
      <c r="A3217" t="str">
        <f>"006354594"</f>
        <v>006354594</v>
      </c>
      <c r="B3217" t="str">
        <f>"1780685453"</f>
        <v>1780685453</v>
      </c>
      <c r="C3217" t="str">
        <f>"207RP1001X"</f>
        <v>207RP1001X</v>
      </c>
      <c r="D3217" t="str">
        <f>"DALE                     DENNIS       M           "</f>
        <v xml:space="preserve">DALE                     DENNIS       M           </v>
      </c>
      <c r="E3217" t="str">
        <f>"SLIDELL                   "</f>
        <v xml:space="preserve">SLIDELL                   </v>
      </c>
      <c r="F3217" t="str">
        <f t="shared" si="137"/>
        <v>LA</v>
      </c>
    </row>
    <row r="3218" spans="1:6" x14ac:dyDescent="0.25">
      <c r="A3218" t="str">
        <f>"006356561"</f>
        <v>006356561</v>
      </c>
      <c r="B3218" t="str">
        <f>"1891985362"</f>
        <v>1891985362</v>
      </c>
      <c r="C3218" t="str">
        <f>"207V00000X"</f>
        <v>207V00000X</v>
      </c>
      <c r="D3218" t="str">
        <f>"BAUR                     JENNIFER     P           "</f>
        <v xml:space="preserve">BAUR                     JENNIFER     P           </v>
      </c>
      <c r="E3218" t="str">
        <f>"DESTREHAN                 "</f>
        <v xml:space="preserve">DESTREHAN                 </v>
      </c>
      <c r="F3218" t="str">
        <f t="shared" si="137"/>
        <v>LA</v>
      </c>
    </row>
    <row r="3219" spans="1:6" x14ac:dyDescent="0.25">
      <c r="A3219" t="str">
        <f>"006357567"</f>
        <v>006357567</v>
      </c>
      <c r="B3219" t="str">
        <f>"1851751218"</f>
        <v>1851751218</v>
      </c>
      <c r="C3219" t="str">
        <f>"363L00000X"</f>
        <v>363L00000X</v>
      </c>
      <c r="D3219" t="str">
        <f>"CARUSO                   ELIZABETH    M           "</f>
        <v xml:space="preserve">CARUSO                   ELIZABETH    M           </v>
      </c>
      <c r="E3219" t="str">
        <f>"NEW ORLEANS               "</f>
        <v xml:space="preserve">NEW ORLEANS               </v>
      </c>
      <c r="F3219" t="str">
        <f t="shared" si="137"/>
        <v>LA</v>
      </c>
    </row>
    <row r="3220" spans="1:6" x14ac:dyDescent="0.25">
      <c r="A3220" t="str">
        <f>"006373798"</f>
        <v>006373798</v>
      </c>
      <c r="B3220" t="str">
        <f>"1609804772"</f>
        <v>1609804772</v>
      </c>
      <c r="C3220" t="str">
        <f>"207P00000X"</f>
        <v>207P00000X</v>
      </c>
      <c r="D3220" t="str">
        <f>"HEVIA III                ARMANDO                  "</f>
        <v xml:space="preserve">HEVIA III                ARMANDO                  </v>
      </c>
      <c r="E3220" t="str">
        <f>"NEW ORLEANS               "</f>
        <v xml:space="preserve">NEW ORLEANS               </v>
      </c>
      <c r="F3220" t="str">
        <f t="shared" si="137"/>
        <v>LA</v>
      </c>
    </row>
    <row r="3221" spans="1:6" x14ac:dyDescent="0.25">
      <c r="A3221" t="str">
        <f>"006376523"</f>
        <v>006376523</v>
      </c>
      <c r="B3221" t="str">
        <f>"1063061950"</f>
        <v>1063061950</v>
      </c>
      <c r="C3221" t="str">
        <f>"363L00000X"</f>
        <v>363L00000X</v>
      </c>
      <c r="D3221" t="str">
        <f>"HARRISON                 JODIE        D           "</f>
        <v xml:space="preserve">HARRISON                 JODIE        D           </v>
      </c>
      <c r="E3221" t="str">
        <f>"SLIDELL                   "</f>
        <v xml:space="preserve">SLIDELL                   </v>
      </c>
      <c r="F3221" t="str">
        <f t="shared" si="137"/>
        <v>LA</v>
      </c>
    </row>
    <row r="3222" spans="1:6" x14ac:dyDescent="0.25">
      <c r="A3222" t="str">
        <f>"006378091"</f>
        <v>006378091</v>
      </c>
      <c r="B3222" t="str">
        <f>"1972659506"</f>
        <v>1972659506</v>
      </c>
      <c r="C3222" t="str">
        <f>"207T00000X"</f>
        <v>207T00000X</v>
      </c>
      <c r="D3222" t="str">
        <f>"ROBERTS                  ORITSEJOLOMI A           "</f>
        <v xml:space="preserve">ROBERTS                  ORITSEJOLOMI A           </v>
      </c>
      <c r="E3222" t="str">
        <f>"NEW ORLEANS               "</f>
        <v xml:space="preserve">NEW ORLEANS               </v>
      </c>
      <c r="F3222" t="str">
        <f t="shared" si="137"/>
        <v>LA</v>
      </c>
    </row>
    <row r="3223" spans="1:6" x14ac:dyDescent="0.25">
      <c r="A3223" t="str">
        <f>"006381352"</f>
        <v>006381352</v>
      </c>
      <c r="B3223" t="str">
        <f>"1255592374"</f>
        <v>1255592374</v>
      </c>
      <c r="C3223" t="str">
        <f>"2080P0207X"</f>
        <v>2080P0207X</v>
      </c>
      <c r="D3223" t="str">
        <f>"VASQUEZ                  ROBERT       J           "</f>
        <v xml:space="preserve">VASQUEZ                  ROBERT       J           </v>
      </c>
      <c r="E3223" t="str">
        <f>"NEW ORLEANS               "</f>
        <v xml:space="preserve">NEW ORLEANS               </v>
      </c>
      <c r="F3223" t="str">
        <f t="shared" si="137"/>
        <v>LA</v>
      </c>
    </row>
    <row r="3224" spans="1:6" x14ac:dyDescent="0.25">
      <c r="A3224" t="str">
        <f>"006382237"</f>
        <v>006382237</v>
      </c>
      <c r="B3224" t="str">
        <f>"1538362496"</f>
        <v>1538362496</v>
      </c>
      <c r="C3224" t="str">
        <f>"2085R0202X"</f>
        <v>2085R0202X</v>
      </c>
      <c r="D3224" t="str">
        <f>"KNOX IV                  WILLIAM      J           "</f>
        <v xml:space="preserve">KNOX IV                  WILLIAM      J           </v>
      </c>
      <c r="E3224" t="str">
        <f>"COVINGTON                 "</f>
        <v xml:space="preserve">COVINGTON                 </v>
      </c>
      <c r="F3224" t="str">
        <f t="shared" si="137"/>
        <v>LA</v>
      </c>
    </row>
    <row r="3225" spans="1:6" x14ac:dyDescent="0.25">
      <c r="A3225" t="str">
        <f>"006385081"</f>
        <v>006385081</v>
      </c>
      <c r="B3225" t="str">
        <f>"1154679405"</f>
        <v>1154679405</v>
      </c>
      <c r="C3225" t="str">
        <f>"363L00000X"</f>
        <v>363L00000X</v>
      </c>
      <c r="D3225" t="str">
        <f>"WILLIAMS                 JASON                    "</f>
        <v xml:space="preserve">WILLIAMS                 JASON                    </v>
      </c>
      <c r="E3225" t="str">
        <f>"NEW ORLEANS               "</f>
        <v xml:space="preserve">NEW ORLEANS               </v>
      </c>
      <c r="F3225" t="str">
        <f t="shared" si="137"/>
        <v>LA</v>
      </c>
    </row>
    <row r="3226" spans="1:6" x14ac:dyDescent="0.25">
      <c r="A3226" t="str">
        <f>"006425099"</f>
        <v>006425099</v>
      </c>
      <c r="B3226" t="str">
        <f>"1740634153"</f>
        <v>1740634153</v>
      </c>
      <c r="C3226" t="str">
        <f>"207R00000X"</f>
        <v>207R00000X</v>
      </c>
      <c r="D3226" t="str">
        <f>"GUTHRIE                  ANDREW       J           "</f>
        <v xml:space="preserve">GUTHRIE                  ANDREW       J           </v>
      </c>
      <c r="E3226" t="str">
        <f>"NEW ORLEANS               "</f>
        <v xml:space="preserve">NEW ORLEANS               </v>
      </c>
      <c r="F3226" t="str">
        <f t="shared" si="137"/>
        <v>LA</v>
      </c>
    </row>
    <row r="3227" spans="1:6" x14ac:dyDescent="0.25">
      <c r="A3227" t="str">
        <f>"006434870"</f>
        <v>006434870</v>
      </c>
      <c r="B3227" t="str">
        <f>"1417488826"</f>
        <v>1417488826</v>
      </c>
      <c r="C3227" t="str">
        <f>"207Q00000X"</f>
        <v>207Q00000X</v>
      </c>
      <c r="D3227" t="str">
        <f>"BASQUEZ                  RYAN         L           "</f>
        <v xml:space="preserve">BASQUEZ                  RYAN         L           </v>
      </c>
      <c r="E3227" t="str">
        <f>"BATON ROUGE               "</f>
        <v xml:space="preserve">BATON ROUGE               </v>
      </c>
      <c r="F3227" t="str">
        <f t="shared" ref="F3227:F3290" si="138">"LA"</f>
        <v>LA</v>
      </c>
    </row>
    <row r="3228" spans="1:6" x14ac:dyDescent="0.25">
      <c r="A3228" t="str">
        <f>"006436552"</f>
        <v>006436552</v>
      </c>
      <c r="B3228" t="str">
        <f>"1760915631"</f>
        <v>1760915631</v>
      </c>
      <c r="C3228" t="str">
        <f>"207R00000X"</f>
        <v>207R00000X</v>
      </c>
      <c r="D3228" t="str">
        <f>"BURKE                    ANDREW                   "</f>
        <v xml:space="preserve">BURKE                    ANDREW                   </v>
      </c>
      <c r="E3228" t="str">
        <f>"SLIDELL                   "</f>
        <v xml:space="preserve">SLIDELL                   </v>
      </c>
      <c r="F3228" t="str">
        <f t="shared" si="138"/>
        <v>LA</v>
      </c>
    </row>
    <row r="3229" spans="1:6" x14ac:dyDescent="0.25">
      <c r="A3229" t="str">
        <f>"006472521"</f>
        <v>006472521</v>
      </c>
      <c r="B3229" t="str">
        <f>"1356823603"</f>
        <v>1356823603</v>
      </c>
      <c r="C3229" t="str">
        <f>"363L00000X"</f>
        <v>363L00000X</v>
      </c>
      <c r="D3229" t="str">
        <f>"FACIANE                  STEPHANIE    A           "</f>
        <v xml:space="preserve">FACIANE                  STEPHANIE    A           </v>
      </c>
      <c r="E3229" t="str">
        <f>"NEW ORLEANS               "</f>
        <v xml:space="preserve">NEW ORLEANS               </v>
      </c>
      <c r="F3229" t="str">
        <f t="shared" si="138"/>
        <v>LA</v>
      </c>
    </row>
    <row r="3230" spans="1:6" x14ac:dyDescent="0.25">
      <c r="A3230" t="str">
        <f>"006473881"</f>
        <v>006473881</v>
      </c>
      <c r="B3230" t="str">
        <f>"1669827911"</f>
        <v>1669827911</v>
      </c>
      <c r="C3230" t="str">
        <f>"363L00000X"</f>
        <v>363L00000X</v>
      </c>
      <c r="D3230" t="str">
        <f>"KIM                      EUNJIN                   "</f>
        <v xml:space="preserve">KIM                      EUNJIN                   </v>
      </c>
      <c r="E3230" t="str">
        <f>"SLIDELL                   "</f>
        <v xml:space="preserve">SLIDELL                   </v>
      </c>
      <c r="F3230" t="str">
        <f t="shared" si="138"/>
        <v>LA</v>
      </c>
    </row>
    <row r="3231" spans="1:6" x14ac:dyDescent="0.25">
      <c r="A3231" t="str">
        <f>"006474574"</f>
        <v>006474574</v>
      </c>
      <c r="B3231" t="str">
        <f>"1053581710"</f>
        <v>1053581710</v>
      </c>
      <c r="C3231" t="str">
        <f>"207X00000X"</f>
        <v>207X00000X</v>
      </c>
      <c r="D3231" t="str">
        <f>"SISCO                    LESLIE       E           "</f>
        <v xml:space="preserve">SISCO                    LESLIE       E           </v>
      </c>
      <c r="E3231" t="str">
        <f>"NEW ORLEANS               "</f>
        <v xml:space="preserve">NEW ORLEANS               </v>
      </c>
      <c r="F3231" t="str">
        <f t="shared" si="138"/>
        <v>LA</v>
      </c>
    </row>
    <row r="3232" spans="1:6" x14ac:dyDescent="0.25">
      <c r="A3232" t="str">
        <f>"006477036"</f>
        <v>006477036</v>
      </c>
      <c r="B3232" t="str">
        <f>"1518235977"</f>
        <v>1518235977</v>
      </c>
      <c r="C3232" t="str">
        <f>"363L00000X"</f>
        <v>363L00000X</v>
      </c>
      <c r="D3232" t="str">
        <f>"O'QUIN                   MELISSA      R           "</f>
        <v xml:space="preserve">O'QUIN                   MELISSA      R           </v>
      </c>
      <c r="E3232" t="str">
        <f>"SLIDELL                   "</f>
        <v xml:space="preserve">SLIDELL                   </v>
      </c>
      <c r="F3232" t="str">
        <f t="shared" si="138"/>
        <v>LA</v>
      </c>
    </row>
    <row r="3233" spans="1:6" x14ac:dyDescent="0.25">
      <c r="A3233" t="str">
        <f>"006484349"</f>
        <v>006484349</v>
      </c>
      <c r="B3233" t="str">
        <f>"1982712840"</f>
        <v>1982712840</v>
      </c>
      <c r="C3233" t="str">
        <f>"207RN0300X"</f>
        <v>207RN0300X</v>
      </c>
      <c r="D3233" t="str">
        <f>"VELEZ                    JUAN         C           "</f>
        <v xml:space="preserve">VELEZ                    JUAN         C           </v>
      </c>
      <c r="E3233" t="str">
        <f>"NEW ORLEANS               "</f>
        <v xml:space="preserve">NEW ORLEANS               </v>
      </c>
      <c r="F3233" t="str">
        <f t="shared" si="138"/>
        <v>LA</v>
      </c>
    </row>
    <row r="3234" spans="1:6" x14ac:dyDescent="0.25">
      <c r="A3234" t="str">
        <f>"006485386"</f>
        <v>006485386</v>
      </c>
      <c r="B3234" t="str">
        <f>"1376575670"</f>
        <v>1376575670</v>
      </c>
      <c r="C3234" t="str">
        <f>"207RG0100X"</f>
        <v>207RG0100X</v>
      </c>
      <c r="D3234" t="str">
        <f>"NUSLOCH                  ANGELA       G           "</f>
        <v xml:space="preserve">NUSLOCH                  ANGELA       G           </v>
      </c>
      <c r="E3234" t="str">
        <f>"BATON ROUGE               "</f>
        <v xml:space="preserve">BATON ROUGE               </v>
      </c>
      <c r="F3234" t="str">
        <f t="shared" si="138"/>
        <v>LA</v>
      </c>
    </row>
    <row r="3235" spans="1:6" x14ac:dyDescent="0.25">
      <c r="A3235" t="str">
        <f>"006488000"</f>
        <v>006488000</v>
      </c>
      <c r="B3235" t="str">
        <f>"1942652482"</f>
        <v>1942652482</v>
      </c>
      <c r="C3235" t="str">
        <f>"207RE0101X"</f>
        <v>207RE0101X</v>
      </c>
      <c r="D3235" t="str">
        <f>"SARMIENTO-RAMON          JUAN         C           "</f>
        <v xml:space="preserve">SARMIENTO-RAMON          JUAN         C           </v>
      </c>
      <c r="E3235" t="str">
        <f>"RACELAND                  "</f>
        <v xml:space="preserve">RACELAND                  </v>
      </c>
      <c r="F3235" t="str">
        <f t="shared" si="138"/>
        <v>LA</v>
      </c>
    </row>
    <row r="3236" spans="1:6" x14ac:dyDescent="0.25">
      <c r="A3236" t="str">
        <f>"006489320"</f>
        <v>006489320</v>
      </c>
      <c r="B3236" t="str">
        <f>"1326364993"</f>
        <v>1326364993</v>
      </c>
      <c r="C3236" t="str">
        <f>"2084N0402X"</f>
        <v>2084N0402X</v>
      </c>
      <c r="D3236" t="str">
        <f>"RAO                      RASHMI       R           "</f>
        <v xml:space="preserve">RAO                      RASHMI       R           </v>
      </c>
      <c r="E3236" t="str">
        <f>"NEW ORLEANS               "</f>
        <v xml:space="preserve">NEW ORLEANS               </v>
      </c>
      <c r="F3236" t="str">
        <f t="shared" si="138"/>
        <v>LA</v>
      </c>
    </row>
    <row r="3237" spans="1:6" x14ac:dyDescent="0.25">
      <c r="A3237" t="str">
        <f>"006500828"</f>
        <v>006500828</v>
      </c>
      <c r="B3237" t="str">
        <f>"1538823570"</f>
        <v>1538823570</v>
      </c>
      <c r="C3237" t="str">
        <f>"363A00000X"</f>
        <v>363A00000X</v>
      </c>
      <c r="D3237" t="str">
        <f>"TRAINA                   LAUREN       M           "</f>
        <v xml:space="preserve">TRAINA                   LAUREN       M           </v>
      </c>
      <c r="E3237" t="str">
        <f>"NEW ORLEANS               "</f>
        <v xml:space="preserve">NEW ORLEANS               </v>
      </c>
      <c r="F3237" t="str">
        <f t="shared" si="138"/>
        <v>LA</v>
      </c>
    </row>
    <row r="3238" spans="1:6" x14ac:dyDescent="0.25">
      <c r="A3238" t="str">
        <f>"006504061"</f>
        <v>006504061</v>
      </c>
      <c r="B3238" t="str">
        <f>"1417987371"</f>
        <v>1417987371</v>
      </c>
      <c r="C3238" t="str">
        <f>"2084P0800X"</f>
        <v>2084P0800X</v>
      </c>
      <c r="D3238" t="str">
        <f>"GALARNEAU                DAVID        W           "</f>
        <v xml:space="preserve">GALARNEAU                DAVID        W           </v>
      </c>
      <c r="E3238" t="str">
        <f>"NEW ORLEANS               "</f>
        <v xml:space="preserve">NEW ORLEANS               </v>
      </c>
      <c r="F3238" t="str">
        <f t="shared" si="138"/>
        <v>LA</v>
      </c>
    </row>
    <row r="3239" spans="1:6" x14ac:dyDescent="0.25">
      <c r="A3239" t="str">
        <f>"006523742"</f>
        <v>006523742</v>
      </c>
      <c r="B3239" t="str">
        <f>"1558755702"</f>
        <v>1558755702</v>
      </c>
      <c r="C3239" t="str">
        <f>"2080N0001X"</f>
        <v>2080N0001X</v>
      </c>
      <c r="D3239" t="str">
        <f>"JOSLYN                   PETER        W           "</f>
        <v xml:space="preserve">JOSLYN                   PETER        W           </v>
      </c>
      <c r="E3239" t="str">
        <f>"NEW ORLEANS               "</f>
        <v xml:space="preserve">NEW ORLEANS               </v>
      </c>
      <c r="F3239" t="str">
        <f t="shared" si="138"/>
        <v>LA</v>
      </c>
    </row>
    <row r="3240" spans="1:6" x14ac:dyDescent="0.25">
      <c r="A3240" t="str">
        <f>"006525826"</f>
        <v>006525826</v>
      </c>
      <c r="B3240" t="str">
        <f>"1932362910"</f>
        <v>1932362910</v>
      </c>
      <c r="C3240" t="str">
        <f>"207P00000X"</f>
        <v>207P00000X</v>
      </c>
      <c r="D3240" t="str">
        <f>"SESSIONS                 DANIEL       J           "</f>
        <v xml:space="preserve">SESSIONS                 DANIEL       J           </v>
      </c>
      <c r="E3240" t="str">
        <f>"NEW ORLEANS               "</f>
        <v xml:space="preserve">NEW ORLEANS               </v>
      </c>
      <c r="F3240" t="str">
        <f t="shared" si="138"/>
        <v>LA</v>
      </c>
    </row>
    <row r="3241" spans="1:6" x14ac:dyDescent="0.25">
      <c r="A3241" t="str">
        <f>"006558088"</f>
        <v>006558088</v>
      </c>
      <c r="B3241" t="str">
        <f>"1922252576"</f>
        <v>1922252576</v>
      </c>
      <c r="C3241" t="str">
        <f>"207ZP0102X"</f>
        <v>207ZP0102X</v>
      </c>
      <c r="D3241" t="str">
        <f>"DONTHAMSETTY             SUPRIYA      R           "</f>
        <v xml:space="preserve">DONTHAMSETTY             SUPRIYA      R           </v>
      </c>
      <c r="E3241" t="str">
        <f>"HOUMA                     "</f>
        <v xml:space="preserve">HOUMA                     </v>
      </c>
      <c r="F3241" t="str">
        <f t="shared" si="138"/>
        <v>LA</v>
      </c>
    </row>
    <row r="3242" spans="1:6" x14ac:dyDescent="0.25">
      <c r="A3242" t="str">
        <f>"006571891"</f>
        <v>006571891</v>
      </c>
      <c r="B3242" t="str">
        <f>"1043795339"</f>
        <v>1043795339</v>
      </c>
      <c r="C3242" t="str">
        <f>"363L00000X"</f>
        <v>363L00000X</v>
      </c>
      <c r="D3242" t="str">
        <f>"EASTERLY                 JOHN                     "</f>
        <v xml:space="preserve">EASTERLY                 JOHN                     </v>
      </c>
      <c r="E3242" t="str">
        <f>"HAMMOND                   "</f>
        <v xml:space="preserve">HAMMOND                   </v>
      </c>
      <c r="F3242" t="str">
        <f t="shared" si="138"/>
        <v>LA</v>
      </c>
    </row>
    <row r="3243" spans="1:6" x14ac:dyDescent="0.25">
      <c r="A3243" t="str">
        <f>"006573052"</f>
        <v>006573052</v>
      </c>
      <c r="B3243" t="str">
        <f>"1740544287"</f>
        <v>1740544287</v>
      </c>
      <c r="C3243" t="str">
        <f>"363L00000X"</f>
        <v>363L00000X</v>
      </c>
      <c r="D3243" t="str">
        <f>"RICARD                   JEANIE       M           "</f>
        <v xml:space="preserve">RICARD                   JEANIE       M           </v>
      </c>
      <c r="E3243" t="str">
        <f>"METAIRIE                  "</f>
        <v xml:space="preserve">METAIRIE                  </v>
      </c>
      <c r="F3243" t="str">
        <f t="shared" si="138"/>
        <v>LA</v>
      </c>
    </row>
    <row r="3244" spans="1:6" x14ac:dyDescent="0.25">
      <c r="A3244" t="str">
        <f>"006575850"</f>
        <v>006575850</v>
      </c>
      <c r="B3244" t="str">
        <f>"1821451071"</f>
        <v>1821451071</v>
      </c>
      <c r="C3244" t="str">
        <f>"207V00000X"</f>
        <v>207V00000X</v>
      </c>
      <c r="D3244" t="str">
        <f>"MCHENRY                  VICTORIA     K           "</f>
        <v xml:space="preserve">MCHENRY                  VICTORIA     K           </v>
      </c>
      <c r="E3244" t="str">
        <f>"NEW ORLEANS               "</f>
        <v xml:space="preserve">NEW ORLEANS               </v>
      </c>
      <c r="F3244" t="str">
        <f t="shared" si="138"/>
        <v>LA</v>
      </c>
    </row>
    <row r="3245" spans="1:6" x14ac:dyDescent="0.25">
      <c r="A3245" t="str">
        <f>"006588588"</f>
        <v>006588588</v>
      </c>
      <c r="B3245" t="str">
        <f>"1043585326"</f>
        <v>1043585326</v>
      </c>
      <c r="C3245" t="str">
        <f>"207RH0000X"</f>
        <v>207RH0000X</v>
      </c>
      <c r="D3245" t="str">
        <f>"WADGE                    GORDON       F           "</f>
        <v xml:space="preserve">WADGE                    GORDON       F           </v>
      </c>
      <c r="E3245" t="str">
        <f>"GRETNA                    "</f>
        <v xml:space="preserve">GRETNA                    </v>
      </c>
      <c r="F3245" t="str">
        <f t="shared" si="138"/>
        <v>LA</v>
      </c>
    </row>
    <row r="3246" spans="1:6" x14ac:dyDescent="0.25">
      <c r="A3246" t="str">
        <f>"006600028"</f>
        <v>006600028</v>
      </c>
      <c r="B3246" t="str">
        <f>"1033477138"</f>
        <v>1033477138</v>
      </c>
      <c r="C3246" t="str">
        <f>"207P00000X"</f>
        <v>207P00000X</v>
      </c>
      <c r="D3246" t="str">
        <f>"PLOCKI                   ALEXANDER    D           "</f>
        <v xml:space="preserve">PLOCKI                   ALEXANDER    D           </v>
      </c>
      <c r="E3246" t="str">
        <f>"LULING                    "</f>
        <v xml:space="preserve">LULING                    </v>
      </c>
      <c r="F3246" t="str">
        <f t="shared" si="138"/>
        <v>LA</v>
      </c>
    </row>
    <row r="3247" spans="1:6" x14ac:dyDescent="0.25">
      <c r="A3247" t="str">
        <f>"006602372"</f>
        <v>006602372</v>
      </c>
      <c r="B3247" t="str">
        <f>"1780144642"</f>
        <v>1780144642</v>
      </c>
      <c r="C3247" t="str">
        <f>"207R00000X"</f>
        <v>207R00000X</v>
      </c>
      <c r="D3247" t="str">
        <f>"GHEBERMICAEL             DEGIAN                   "</f>
        <v xml:space="preserve">GHEBERMICAEL             DEGIAN                   </v>
      </c>
      <c r="E3247" t="str">
        <f>"BOGALUSA                  "</f>
        <v xml:space="preserve">BOGALUSA                  </v>
      </c>
      <c r="F3247" t="str">
        <f t="shared" si="138"/>
        <v>LA</v>
      </c>
    </row>
    <row r="3248" spans="1:6" x14ac:dyDescent="0.25">
      <c r="A3248" t="str">
        <f>"006624822"</f>
        <v>006624822</v>
      </c>
      <c r="B3248" t="str">
        <f>"1700073640"</f>
        <v>1700073640</v>
      </c>
      <c r="C3248" t="str">
        <f>"2085R0202X"</f>
        <v>2085R0202X</v>
      </c>
      <c r="D3248" t="str">
        <f>"RUDMAN                   ERNEST                   "</f>
        <v xml:space="preserve">RUDMAN                   ERNEST                   </v>
      </c>
      <c r="E3248" t="str">
        <f t="shared" ref="E3248:E3256" si="139">"NEW ORLEANS               "</f>
        <v xml:space="preserve">NEW ORLEANS               </v>
      </c>
      <c r="F3248" t="str">
        <f t="shared" si="138"/>
        <v>LA</v>
      </c>
    </row>
    <row r="3249" spans="1:6" x14ac:dyDescent="0.25">
      <c r="A3249" t="str">
        <f>"006632772"</f>
        <v>006632772</v>
      </c>
      <c r="B3249" t="str">
        <f>"1114123627"</f>
        <v>1114123627</v>
      </c>
      <c r="C3249" t="str">
        <f>"207L00000X"</f>
        <v>207L00000X</v>
      </c>
      <c r="D3249" t="str">
        <f>"RAY                      ADRIENNE     P           "</f>
        <v xml:space="preserve">RAY                      ADRIENNE     P           </v>
      </c>
      <c r="E3249" t="str">
        <f t="shared" si="139"/>
        <v xml:space="preserve">NEW ORLEANS               </v>
      </c>
      <c r="F3249" t="str">
        <f t="shared" si="138"/>
        <v>LA</v>
      </c>
    </row>
    <row r="3250" spans="1:6" x14ac:dyDescent="0.25">
      <c r="A3250" t="str">
        <f>"006635784"</f>
        <v>006635784</v>
      </c>
      <c r="B3250" t="str">
        <f>"1144411133"</f>
        <v>1144411133</v>
      </c>
      <c r="C3250" t="str">
        <f>"208000000X"</f>
        <v>208000000X</v>
      </c>
      <c r="D3250" t="str">
        <f>"STRAATMANN               CAROLINE     E           "</f>
        <v xml:space="preserve">STRAATMANN               CAROLINE     E           </v>
      </c>
      <c r="E3250" t="str">
        <f t="shared" si="139"/>
        <v xml:space="preserve">NEW ORLEANS               </v>
      </c>
      <c r="F3250" t="str">
        <f t="shared" si="138"/>
        <v>LA</v>
      </c>
    </row>
    <row r="3251" spans="1:6" x14ac:dyDescent="0.25">
      <c r="A3251" t="str">
        <f>"006655354"</f>
        <v>006655354</v>
      </c>
      <c r="B3251" t="str">
        <f>"1447698147"</f>
        <v>1447698147</v>
      </c>
      <c r="C3251" t="str">
        <f>"207RG0100X"</f>
        <v>207RG0100X</v>
      </c>
      <c r="D3251" t="str">
        <f>"VEERISETTY               SAI          S           "</f>
        <v xml:space="preserve">VEERISETTY               SAI          S           </v>
      </c>
      <c r="E3251" t="str">
        <f t="shared" si="139"/>
        <v xml:space="preserve">NEW ORLEANS               </v>
      </c>
      <c r="F3251" t="str">
        <f t="shared" si="138"/>
        <v>LA</v>
      </c>
    </row>
    <row r="3252" spans="1:6" x14ac:dyDescent="0.25">
      <c r="A3252" t="str">
        <f>"006657263"</f>
        <v>006657263</v>
      </c>
      <c r="B3252" t="str">
        <f>"1518283027"</f>
        <v>1518283027</v>
      </c>
      <c r="C3252" t="str">
        <f>"208000000X"</f>
        <v>208000000X</v>
      </c>
      <c r="D3252" t="str">
        <f>"SANGISETTY               ELIZABETH    A           "</f>
        <v xml:space="preserve">SANGISETTY               ELIZABETH    A           </v>
      </c>
      <c r="E3252" t="str">
        <f t="shared" si="139"/>
        <v xml:space="preserve">NEW ORLEANS               </v>
      </c>
      <c r="F3252" t="str">
        <f t="shared" si="138"/>
        <v>LA</v>
      </c>
    </row>
    <row r="3253" spans="1:6" x14ac:dyDescent="0.25">
      <c r="A3253" t="str">
        <f>"006724261"</f>
        <v>006724261</v>
      </c>
      <c r="B3253" t="str">
        <f>"1235196106"</f>
        <v>1235196106</v>
      </c>
      <c r="C3253" t="str">
        <f>"207RC0000X"</f>
        <v>207RC0000X</v>
      </c>
      <c r="D3253" t="str">
        <f>"BREAUX                   PATRICK      C           "</f>
        <v xml:space="preserve">BREAUX                   PATRICK      C           </v>
      </c>
      <c r="E3253" t="str">
        <f t="shared" si="139"/>
        <v xml:space="preserve">NEW ORLEANS               </v>
      </c>
      <c r="F3253" t="str">
        <f t="shared" si="138"/>
        <v>LA</v>
      </c>
    </row>
    <row r="3254" spans="1:6" x14ac:dyDescent="0.25">
      <c r="A3254" t="str">
        <f>"006736560"</f>
        <v>006736560</v>
      </c>
      <c r="B3254" t="str">
        <f>"1245471218"</f>
        <v>1245471218</v>
      </c>
      <c r="C3254" t="str">
        <f>"207RP1001X"</f>
        <v>207RP1001X</v>
      </c>
      <c r="D3254" t="str">
        <f>"VONDERHAAR               DEREK        J           "</f>
        <v xml:space="preserve">VONDERHAAR               DEREK        J           </v>
      </c>
      <c r="E3254" t="str">
        <f t="shared" si="139"/>
        <v xml:space="preserve">NEW ORLEANS               </v>
      </c>
      <c r="F3254" t="str">
        <f t="shared" si="138"/>
        <v>LA</v>
      </c>
    </row>
    <row r="3255" spans="1:6" x14ac:dyDescent="0.25">
      <c r="A3255" t="str">
        <f>"006738500"</f>
        <v>006738500</v>
      </c>
      <c r="B3255" t="str">
        <f>"1801115720"</f>
        <v>1801115720</v>
      </c>
      <c r="C3255" t="str">
        <f>"207P00000X"</f>
        <v>207P00000X</v>
      </c>
      <c r="D3255" t="str">
        <f>"MUTTER                   LAUREN       M           "</f>
        <v xml:space="preserve">MUTTER                   LAUREN       M           </v>
      </c>
      <c r="E3255" t="str">
        <f t="shared" si="139"/>
        <v xml:space="preserve">NEW ORLEANS               </v>
      </c>
      <c r="F3255" t="str">
        <f t="shared" si="138"/>
        <v>LA</v>
      </c>
    </row>
    <row r="3256" spans="1:6" x14ac:dyDescent="0.25">
      <c r="A3256" t="str">
        <f>"006739251"</f>
        <v>006739251</v>
      </c>
      <c r="B3256" t="str">
        <f>"1255805453"</f>
        <v>1255805453</v>
      </c>
      <c r="C3256" t="str">
        <f>"363L00000X"</f>
        <v>363L00000X</v>
      </c>
      <c r="D3256" t="str">
        <f>"FRANTZ                   ALICIA       C           "</f>
        <v xml:space="preserve">FRANTZ                   ALICIA       C           </v>
      </c>
      <c r="E3256" t="str">
        <f t="shared" si="139"/>
        <v xml:space="preserve">NEW ORLEANS               </v>
      </c>
      <c r="F3256" t="str">
        <f t="shared" si="138"/>
        <v>LA</v>
      </c>
    </row>
    <row r="3257" spans="1:6" x14ac:dyDescent="0.25">
      <c r="A3257" t="str">
        <f>"006773338"</f>
        <v>006773338</v>
      </c>
      <c r="B3257" t="str">
        <f>"1629496500"</f>
        <v>1629496500</v>
      </c>
      <c r="C3257" t="str">
        <f>"207L00000X"</f>
        <v>207L00000X</v>
      </c>
      <c r="D3257" t="str">
        <f>"ROBERTS                  CORY         A           "</f>
        <v xml:space="preserve">ROBERTS                  CORY         A           </v>
      </c>
      <c r="E3257" t="str">
        <f>"SLIDELL                   "</f>
        <v xml:space="preserve">SLIDELL                   </v>
      </c>
      <c r="F3257" t="str">
        <f t="shared" si="138"/>
        <v>LA</v>
      </c>
    </row>
    <row r="3258" spans="1:6" x14ac:dyDescent="0.25">
      <c r="A3258" t="str">
        <f>"006774073"</f>
        <v>006774073</v>
      </c>
      <c r="B3258" t="str">
        <f>"1609261288"</f>
        <v>1609261288</v>
      </c>
      <c r="C3258" t="str">
        <f>"207X00000X"</f>
        <v>207X00000X</v>
      </c>
      <c r="D3258" t="str">
        <f>"GODSHAW                  BRIAN        M           "</f>
        <v xml:space="preserve">GODSHAW                  BRIAN        M           </v>
      </c>
      <c r="E3258" t="str">
        <f>"JEFFERSON                 "</f>
        <v xml:space="preserve">JEFFERSON                 </v>
      </c>
      <c r="F3258" t="str">
        <f t="shared" si="138"/>
        <v>LA</v>
      </c>
    </row>
    <row r="3259" spans="1:6" x14ac:dyDescent="0.25">
      <c r="A3259" t="str">
        <f>"006783822"</f>
        <v>006783822</v>
      </c>
      <c r="B3259" t="str">
        <f>"1114304433"</f>
        <v>1114304433</v>
      </c>
      <c r="C3259" t="str">
        <f>"208000000X"</f>
        <v>208000000X</v>
      </c>
      <c r="D3259" t="str">
        <f>"PHELPS                   KAYLA        B           "</f>
        <v xml:space="preserve">PHELPS                   KAYLA        B           </v>
      </c>
      <c r="E3259" t="str">
        <f>"NEW ORLEANS               "</f>
        <v xml:space="preserve">NEW ORLEANS               </v>
      </c>
      <c r="F3259" t="str">
        <f t="shared" si="138"/>
        <v>LA</v>
      </c>
    </row>
    <row r="3260" spans="1:6" x14ac:dyDescent="0.25">
      <c r="A3260" t="str">
        <f>"006801287"</f>
        <v>006801287</v>
      </c>
      <c r="B3260" t="str">
        <f>"1265788442"</f>
        <v>1265788442</v>
      </c>
      <c r="C3260" t="str">
        <f>"207R00000X"</f>
        <v>207R00000X</v>
      </c>
      <c r="D3260" t="str">
        <f>"YOUNES                   HUSSEIN                  "</f>
        <v xml:space="preserve">YOUNES                   HUSSEIN                  </v>
      </c>
      <c r="E3260" t="str">
        <f>"HAMMOND                   "</f>
        <v xml:space="preserve">HAMMOND                   </v>
      </c>
      <c r="F3260" t="str">
        <f t="shared" si="138"/>
        <v>LA</v>
      </c>
    </row>
    <row r="3261" spans="1:6" x14ac:dyDescent="0.25">
      <c r="A3261" t="str">
        <f>"006803031"</f>
        <v>006803031</v>
      </c>
      <c r="B3261" t="str">
        <f>"1174787295"</f>
        <v>1174787295</v>
      </c>
      <c r="C3261" t="str">
        <f>"367500000X"</f>
        <v>367500000X</v>
      </c>
      <c r="D3261" t="str">
        <f>"JOHNSON                  MELANIE      S           "</f>
        <v xml:space="preserve">JOHNSON                  MELANIE      S           </v>
      </c>
      <c r="E3261" t="str">
        <f>"HAMMOND                   "</f>
        <v xml:space="preserve">HAMMOND                   </v>
      </c>
      <c r="F3261" t="str">
        <f t="shared" si="138"/>
        <v>LA</v>
      </c>
    </row>
    <row r="3262" spans="1:6" x14ac:dyDescent="0.25">
      <c r="A3262" t="str">
        <f>"006820054"</f>
        <v>006820054</v>
      </c>
      <c r="B3262" t="str">
        <f>"1932127552"</f>
        <v>1932127552</v>
      </c>
      <c r="C3262" t="str">
        <f>"207L00000X"</f>
        <v>207L00000X</v>
      </c>
      <c r="D3262" t="str">
        <f>"FALTERMAN                JASON        B           "</f>
        <v xml:space="preserve">FALTERMAN                JASON        B           </v>
      </c>
      <c r="E3262" t="str">
        <f>"NEW ORLEANS               "</f>
        <v xml:space="preserve">NEW ORLEANS               </v>
      </c>
      <c r="F3262" t="str">
        <f t="shared" si="138"/>
        <v>LA</v>
      </c>
    </row>
    <row r="3263" spans="1:6" x14ac:dyDescent="0.25">
      <c r="A3263" t="str">
        <f>"006822701"</f>
        <v>006822701</v>
      </c>
      <c r="B3263" t="str">
        <f>"1952417875"</f>
        <v>1952417875</v>
      </c>
      <c r="C3263" t="str">
        <f>"207V00000X"</f>
        <v>207V00000X</v>
      </c>
      <c r="D3263" t="str">
        <f>"ALLEYN                   JAIME        J           "</f>
        <v xml:space="preserve">ALLEYN                   JAIME        J           </v>
      </c>
      <c r="E3263" t="str">
        <f>"NEW ORLEANS               "</f>
        <v xml:space="preserve">NEW ORLEANS               </v>
      </c>
      <c r="F3263" t="str">
        <f t="shared" si="138"/>
        <v>LA</v>
      </c>
    </row>
    <row r="3264" spans="1:6" x14ac:dyDescent="0.25">
      <c r="A3264" t="str">
        <f>"006822721"</f>
        <v>006822721</v>
      </c>
      <c r="B3264" t="str">
        <f>"1679984140"</f>
        <v>1679984140</v>
      </c>
      <c r="C3264" t="str">
        <f>"2085R0202X"</f>
        <v>2085R0202X</v>
      </c>
      <c r="D3264" t="str">
        <f>"TRAMEL                   RICHARD      J           "</f>
        <v xml:space="preserve">TRAMEL                   RICHARD      J           </v>
      </c>
      <c r="E3264" t="str">
        <f>"NEW ORLEANS               "</f>
        <v xml:space="preserve">NEW ORLEANS               </v>
      </c>
      <c r="F3264" t="str">
        <f t="shared" si="138"/>
        <v>LA</v>
      </c>
    </row>
    <row r="3265" spans="1:6" x14ac:dyDescent="0.25">
      <c r="A3265" t="str">
        <f>"006827310"</f>
        <v>006827310</v>
      </c>
      <c r="B3265" t="str">
        <f>"1104068980"</f>
        <v>1104068980</v>
      </c>
      <c r="C3265" t="str">
        <f>"207T00000X"</f>
        <v>207T00000X</v>
      </c>
      <c r="D3265" t="str">
        <f>"GAYNOR                   BRANDON      G           "</f>
        <v xml:space="preserve">GAYNOR                   BRANDON      G           </v>
      </c>
      <c r="E3265" t="str">
        <f>"BATON ROUGE               "</f>
        <v xml:space="preserve">BATON ROUGE               </v>
      </c>
      <c r="F3265" t="str">
        <f t="shared" si="138"/>
        <v>LA</v>
      </c>
    </row>
    <row r="3266" spans="1:6" x14ac:dyDescent="0.25">
      <c r="A3266" t="str">
        <f>"006834781"</f>
        <v>006834781</v>
      </c>
      <c r="B3266" t="str">
        <f>"1427349448"</f>
        <v>1427349448</v>
      </c>
      <c r="C3266" t="str">
        <f>"207ZP0102X"</f>
        <v>207ZP0102X</v>
      </c>
      <c r="D3266" t="str">
        <f>"MAYHALL JR               KIM          G           "</f>
        <v xml:space="preserve">MAYHALL JR               KIM          G           </v>
      </c>
      <c r="E3266" t="str">
        <f>"NEW ORLEANS               "</f>
        <v xml:space="preserve">NEW ORLEANS               </v>
      </c>
      <c r="F3266" t="str">
        <f t="shared" si="138"/>
        <v>LA</v>
      </c>
    </row>
    <row r="3267" spans="1:6" x14ac:dyDescent="0.25">
      <c r="A3267" t="str">
        <f>"006835521"</f>
        <v>006835521</v>
      </c>
      <c r="B3267" t="str">
        <f>"1760973887"</f>
        <v>1760973887</v>
      </c>
      <c r="C3267" t="str">
        <f>"207Q00000X"</f>
        <v>207Q00000X</v>
      </c>
      <c r="D3267" t="str">
        <f>"DUNBAR                   MARIAH       A           "</f>
        <v xml:space="preserve">DUNBAR                   MARIAH       A           </v>
      </c>
      <c r="E3267" t="str">
        <f>"NEW ORLEANS               "</f>
        <v xml:space="preserve">NEW ORLEANS               </v>
      </c>
      <c r="F3267" t="str">
        <f t="shared" si="138"/>
        <v>LA</v>
      </c>
    </row>
    <row r="3268" spans="1:6" x14ac:dyDescent="0.25">
      <c r="A3268" t="str">
        <f>"006852518"</f>
        <v>006852518</v>
      </c>
      <c r="B3268" t="str">
        <f>"1619168804"</f>
        <v>1619168804</v>
      </c>
      <c r="C3268" t="str">
        <f>"2085R0202X"</f>
        <v>2085R0202X</v>
      </c>
      <c r="D3268" t="str">
        <f>"LEBOEUF                  JENNY        L           "</f>
        <v xml:space="preserve">LEBOEUF                  JENNY        L           </v>
      </c>
      <c r="E3268" t="str">
        <f>"NEW ORLEANS               "</f>
        <v xml:space="preserve">NEW ORLEANS               </v>
      </c>
      <c r="F3268" t="str">
        <f t="shared" si="138"/>
        <v>LA</v>
      </c>
    </row>
    <row r="3269" spans="1:6" x14ac:dyDescent="0.25">
      <c r="A3269" t="str">
        <f>"006878231"</f>
        <v>006878231</v>
      </c>
      <c r="B3269" t="str">
        <f>"1124207873"</f>
        <v>1124207873</v>
      </c>
      <c r="C3269" t="str">
        <f>"208000000X"</f>
        <v>208000000X</v>
      </c>
      <c r="D3269" t="str">
        <f>"WALL                     LUKE         A           "</f>
        <v xml:space="preserve">WALL                     LUKE         A           </v>
      </c>
      <c r="E3269" t="str">
        <f>"NEW ORLEANS               "</f>
        <v xml:space="preserve">NEW ORLEANS               </v>
      </c>
      <c r="F3269" t="str">
        <f t="shared" si="138"/>
        <v>LA</v>
      </c>
    </row>
    <row r="3270" spans="1:6" x14ac:dyDescent="0.25">
      <c r="A3270" t="str">
        <f>"006879021"</f>
        <v>006879021</v>
      </c>
      <c r="B3270" t="str">
        <f>"1669714440"</f>
        <v>1669714440</v>
      </c>
      <c r="C3270" t="str">
        <f>"208D00000X"</f>
        <v>208D00000X</v>
      </c>
      <c r="D3270" t="str">
        <f>"GRUEZKE                  ANDREW       A           "</f>
        <v xml:space="preserve">GRUEZKE                  ANDREW       A           </v>
      </c>
      <c r="E3270" t="str">
        <f>"BOGALUSA                  "</f>
        <v xml:space="preserve">BOGALUSA                  </v>
      </c>
      <c r="F3270" t="str">
        <f t="shared" si="138"/>
        <v>LA</v>
      </c>
    </row>
    <row r="3271" spans="1:6" x14ac:dyDescent="0.25">
      <c r="A3271" t="str">
        <f>"006889857"</f>
        <v>006889857</v>
      </c>
      <c r="B3271" t="str">
        <f>"1912969452"</f>
        <v>1912969452</v>
      </c>
      <c r="C3271" t="str">
        <f>"207RH0000X"</f>
        <v>207RH0000X</v>
      </c>
      <c r="D3271" t="str">
        <f>"HUANG                    LI                       "</f>
        <v xml:space="preserve">HUANG                    LI                       </v>
      </c>
      <c r="E3271" t="str">
        <f>"NEW ORLEANS               "</f>
        <v xml:space="preserve">NEW ORLEANS               </v>
      </c>
      <c r="F3271" t="str">
        <f t="shared" si="138"/>
        <v>LA</v>
      </c>
    </row>
    <row r="3272" spans="1:6" x14ac:dyDescent="0.25">
      <c r="A3272" t="str">
        <f>"006925322"</f>
        <v>006925322</v>
      </c>
      <c r="B3272" t="str">
        <f>"1902859671"</f>
        <v>1902859671</v>
      </c>
      <c r="C3272" t="str">
        <f>"207V00000X"</f>
        <v>207V00000X</v>
      </c>
      <c r="D3272" t="str">
        <f>"TRUITT                   AMY          E           "</f>
        <v xml:space="preserve">TRUITT                   AMY          E           </v>
      </c>
      <c r="E3272" t="str">
        <f>"KENNER                    "</f>
        <v xml:space="preserve">KENNER                    </v>
      </c>
      <c r="F3272" t="str">
        <f t="shared" si="138"/>
        <v>LA</v>
      </c>
    </row>
    <row r="3273" spans="1:6" x14ac:dyDescent="0.25">
      <c r="A3273" t="str">
        <f>"006934749"</f>
        <v>006934749</v>
      </c>
      <c r="B3273" t="str">
        <f>"1780875039"</f>
        <v>1780875039</v>
      </c>
      <c r="C3273" t="str">
        <f>"207Q00000X"</f>
        <v>207Q00000X</v>
      </c>
      <c r="D3273" t="str">
        <f>"HAGENS                   DANYEL       A           "</f>
        <v xml:space="preserve">HAGENS                   DANYEL       A           </v>
      </c>
      <c r="E3273" t="str">
        <f>"BOGALUSA                  "</f>
        <v xml:space="preserve">BOGALUSA                  </v>
      </c>
      <c r="F3273" t="str">
        <f t="shared" si="138"/>
        <v>LA</v>
      </c>
    </row>
    <row r="3274" spans="1:6" x14ac:dyDescent="0.25">
      <c r="A3274" t="str">
        <f>"006936758"</f>
        <v>006936758</v>
      </c>
      <c r="B3274" t="str">
        <f>"1033554738"</f>
        <v>1033554738</v>
      </c>
      <c r="C3274" t="str">
        <f>"207V00000X"</f>
        <v>207V00000X</v>
      </c>
      <c r="D3274" t="str">
        <f>"JORDAN                   MELISSA      F           "</f>
        <v xml:space="preserve">JORDAN                   MELISSA      F           </v>
      </c>
      <c r="E3274" t="str">
        <f>"NEW ORLEANS               "</f>
        <v xml:space="preserve">NEW ORLEANS               </v>
      </c>
      <c r="F3274" t="str">
        <f t="shared" si="138"/>
        <v>LA</v>
      </c>
    </row>
    <row r="3275" spans="1:6" x14ac:dyDescent="0.25">
      <c r="A3275" t="str">
        <f>"006939259"</f>
        <v>006939259</v>
      </c>
      <c r="B3275" t="str">
        <f>"1326679093"</f>
        <v>1326679093</v>
      </c>
      <c r="C3275" t="str">
        <f>"363A00000X"</f>
        <v>363A00000X</v>
      </c>
      <c r="D3275" t="str">
        <f>"JEUNG                    HAE          K           "</f>
        <v xml:space="preserve">JEUNG                    HAE          K           </v>
      </c>
      <c r="E3275" t="str">
        <f>"NEW ORLEANS               "</f>
        <v xml:space="preserve">NEW ORLEANS               </v>
      </c>
      <c r="F3275" t="str">
        <f t="shared" si="138"/>
        <v>LA</v>
      </c>
    </row>
    <row r="3276" spans="1:6" x14ac:dyDescent="0.25">
      <c r="A3276" t="str">
        <f>"006939301"</f>
        <v>006939301</v>
      </c>
      <c r="B3276" t="str">
        <f>"1558525642"</f>
        <v>1558525642</v>
      </c>
      <c r="C3276" t="str">
        <f>"207R00000X"</f>
        <v>207R00000X</v>
      </c>
      <c r="D3276" t="str">
        <f>"NATH                     ARUP         K           "</f>
        <v xml:space="preserve">NATH                     ARUP         K           </v>
      </c>
      <c r="E3276" t="str">
        <f>"NEW ORLEANS               "</f>
        <v xml:space="preserve">NEW ORLEANS               </v>
      </c>
      <c r="F3276" t="str">
        <f t="shared" si="138"/>
        <v>LA</v>
      </c>
    </row>
    <row r="3277" spans="1:6" x14ac:dyDescent="0.25">
      <c r="A3277" t="str">
        <f>"006950787"</f>
        <v>006950787</v>
      </c>
      <c r="B3277" t="str">
        <f>"1144630369"</f>
        <v>1144630369</v>
      </c>
      <c r="C3277" t="str">
        <f>"207R00000X"</f>
        <v>207R00000X</v>
      </c>
      <c r="D3277" t="str">
        <f>"AYMOND                   JOSHUA       D           "</f>
        <v xml:space="preserve">AYMOND                   JOSHUA       D           </v>
      </c>
      <c r="E3277" t="str">
        <f>"SLIDELL                   "</f>
        <v xml:space="preserve">SLIDELL                   </v>
      </c>
      <c r="F3277" t="str">
        <f t="shared" si="138"/>
        <v>LA</v>
      </c>
    </row>
    <row r="3278" spans="1:6" x14ac:dyDescent="0.25">
      <c r="A3278" t="str">
        <f>"006952731"</f>
        <v>006952731</v>
      </c>
      <c r="B3278" t="str">
        <f>"1649599630"</f>
        <v>1649599630</v>
      </c>
      <c r="C3278" t="str">
        <f>"2085R0202X"</f>
        <v>2085R0202X</v>
      </c>
      <c r="D3278" t="str">
        <f>"IRWINE                   MATTHEW      R           "</f>
        <v xml:space="preserve">IRWINE                   MATTHEW      R           </v>
      </c>
      <c r="E3278" t="str">
        <f>"NEW ORLEANS               "</f>
        <v xml:space="preserve">NEW ORLEANS               </v>
      </c>
      <c r="F3278" t="str">
        <f t="shared" si="138"/>
        <v>LA</v>
      </c>
    </row>
    <row r="3279" spans="1:6" x14ac:dyDescent="0.25">
      <c r="A3279" t="str">
        <f>"006954516"</f>
        <v>006954516</v>
      </c>
      <c r="B3279" t="str">
        <f>"1902433998"</f>
        <v>1902433998</v>
      </c>
      <c r="C3279" t="str">
        <f>"363A00000X"</f>
        <v>363A00000X</v>
      </c>
      <c r="D3279" t="str">
        <f>"ZERINGUE                 KASSIDY      A           "</f>
        <v xml:space="preserve">ZERINGUE                 KASSIDY      A           </v>
      </c>
      <c r="E3279" t="str">
        <f>"NEW ORLEANS               "</f>
        <v xml:space="preserve">NEW ORLEANS               </v>
      </c>
      <c r="F3279" t="str">
        <f t="shared" si="138"/>
        <v>LA</v>
      </c>
    </row>
    <row r="3280" spans="1:6" x14ac:dyDescent="0.25">
      <c r="A3280" t="str">
        <f>"006973052"</f>
        <v>006973052</v>
      </c>
      <c r="B3280" t="str">
        <f>"1285834481"</f>
        <v>1285834481</v>
      </c>
      <c r="C3280" t="str">
        <f>"207Q00000X"</f>
        <v>207Q00000X</v>
      </c>
      <c r="D3280" t="str">
        <f>"SMITH                    NICHOLAS                 "</f>
        <v xml:space="preserve">SMITH                    NICHOLAS                 </v>
      </c>
      <c r="E3280" t="str">
        <f>"BOGALUSA                  "</f>
        <v xml:space="preserve">BOGALUSA                  </v>
      </c>
      <c r="F3280" t="str">
        <f t="shared" si="138"/>
        <v>LA</v>
      </c>
    </row>
    <row r="3281" spans="1:6" x14ac:dyDescent="0.25">
      <c r="A3281" t="str">
        <f>"006983341"</f>
        <v>006983341</v>
      </c>
      <c r="B3281" t="str">
        <f>"1467687723"</f>
        <v>1467687723</v>
      </c>
      <c r="C3281" t="str">
        <f>"207P00000X"</f>
        <v>207P00000X</v>
      </c>
      <c r="D3281" t="str">
        <f>"ARENS                    ANN          M           "</f>
        <v xml:space="preserve">ARENS                    ANN          M           </v>
      </c>
      <c r="E3281" t="str">
        <f>"NEW ORLEANS               "</f>
        <v xml:space="preserve">NEW ORLEANS               </v>
      </c>
      <c r="F3281" t="str">
        <f t="shared" si="138"/>
        <v>LA</v>
      </c>
    </row>
    <row r="3282" spans="1:6" x14ac:dyDescent="0.25">
      <c r="A3282" t="str">
        <f>"007001576"</f>
        <v>007001576</v>
      </c>
      <c r="B3282" t="str">
        <f>"1780892679"</f>
        <v>1780892679</v>
      </c>
      <c r="C3282" t="str">
        <f>"207P00000X"</f>
        <v>207P00000X</v>
      </c>
      <c r="D3282" t="str">
        <f>"SHREVES                  ASHLEY       E           "</f>
        <v xml:space="preserve">SHREVES                  ASHLEY       E           </v>
      </c>
      <c r="E3282" t="str">
        <f>"NEW ORLEANS               "</f>
        <v xml:space="preserve">NEW ORLEANS               </v>
      </c>
      <c r="F3282" t="str">
        <f t="shared" si="138"/>
        <v>LA</v>
      </c>
    </row>
    <row r="3283" spans="1:6" x14ac:dyDescent="0.25">
      <c r="A3283" t="str">
        <f>"007021520"</f>
        <v>007021520</v>
      </c>
      <c r="B3283" t="str">
        <f>"1477780765"</f>
        <v>1477780765</v>
      </c>
      <c r="C3283" t="str">
        <f>"207P00000X"</f>
        <v>207P00000X</v>
      </c>
      <c r="D3283" t="str">
        <f>"DUPUY                    CHRISTOPHER  B           "</f>
        <v xml:space="preserve">DUPUY                    CHRISTOPHER  B           </v>
      </c>
      <c r="E3283" t="str">
        <f>"KENNER                    "</f>
        <v xml:space="preserve">KENNER                    </v>
      </c>
      <c r="F3283" t="str">
        <f t="shared" si="138"/>
        <v>LA</v>
      </c>
    </row>
    <row r="3284" spans="1:6" x14ac:dyDescent="0.25">
      <c r="A3284" t="str">
        <f>"007029023"</f>
        <v>007029023</v>
      </c>
      <c r="B3284" t="str">
        <f>"1902975543"</f>
        <v>1902975543</v>
      </c>
      <c r="C3284" t="str">
        <f>"207RC0000X"</f>
        <v>207RC0000X</v>
      </c>
      <c r="D3284" t="str">
        <f>"PEELER                   BENJAMIN     B           "</f>
        <v xml:space="preserve">PEELER                   BENJAMIN     B           </v>
      </c>
      <c r="E3284" t="str">
        <f>"NEW ORLEANS               "</f>
        <v xml:space="preserve">NEW ORLEANS               </v>
      </c>
      <c r="F3284" t="str">
        <f t="shared" si="138"/>
        <v>LA</v>
      </c>
    </row>
    <row r="3285" spans="1:6" x14ac:dyDescent="0.25">
      <c r="A3285" t="str">
        <f>"007030893"</f>
        <v>007030893</v>
      </c>
      <c r="B3285" t="str">
        <f>"1386173086"</f>
        <v>1386173086</v>
      </c>
      <c r="C3285" t="str">
        <f>"122300000X"</f>
        <v>122300000X</v>
      </c>
      <c r="D3285" t="str">
        <f>"ATTAWAY                  ASHLEIGH                 "</f>
        <v xml:space="preserve">ATTAWAY                  ASHLEIGH                 </v>
      </c>
      <c r="E3285" t="str">
        <f>"SLIDELL                   "</f>
        <v xml:space="preserve">SLIDELL                   </v>
      </c>
      <c r="F3285" t="str">
        <f t="shared" si="138"/>
        <v>LA</v>
      </c>
    </row>
    <row r="3286" spans="1:6" x14ac:dyDescent="0.25">
      <c r="A3286" t="str">
        <f>"007037395"</f>
        <v>007037395</v>
      </c>
      <c r="B3286" t="str">
        <f>"1083844591"</f>
        <v>1083844591</v>
      </c>
      <c r="C3286" t="str">
        <f>"363L00000X"</f>
        <v>363L00000X</v>
      </c>
      <c r="D3286" t="str">
        <f>"MILLER                   WARD         S           "</f>
        <v xml:space="preserve">MILLER                   WARD         S           </v>
      </c>
      <c r="E3286" t="str">
        <f>"NEW ORLEANS               "</f>
        <v xml:space="preserve">NEW ORLEANS               </v>
      </c>
      <c r="F3286" t="str">
        <f t="shared" si="138"/>
        <v>LA</v>
      </c>
    </row>
    <row r="3287" spans="1:6" x14ac:dyDescent="0.25">
      <c r="A3287" t="str">
        <f>"007055041"</f>
        <v>007055041</v>
      </c>
      <c r="B3287" t="str">
        <f>"1275973216"</f>
        <v>1275973216</v>
      </c>
      <c r="C3287" t="str">
        <f>"122300000X"</f>
        <v>122300000X</v>
      </c>
      <c r="D3287" t="str">
        <f>"RIVERA                   CAROLINA                 "</f>
        <v xml:space="preserve">RIVERA                   CAROLINA                 </v>
      </c>
      <c r="E3287" t="str">
        <f>"SLIDELL                   "</f>
        <v xml:space="preserve">SLIDELL                   </v>
      </c>
      <c r="F3287" t="str">
        <f t="shared" si="138"/>
        <v>LA</v>
      </c>
    </row>
    <row r="3288" spans="1:6" x14ac:dyDescent="0.25">
      <c r="A3288" t="str">
        <f>"007078781"</f>
        <v>007078781</v>
      </c>
      <c r="B3288" t="str">
        <f>"1386123479"</f>
        <v>1386123479</v>
      </c>
      <c r="C3288" t="str">
        <f>"363A00000X"</f>
        <v>363A00000X</v>
      </c>
      <c r="D3288" t="str">
        <f>"MORPHY                   MALLORY      E           "</f>
        <v xml:space="preserve">MORPHY                   MALLORY      E           </v>
      </c>
      <c r="E3288" t="str">
        <f>"NEW ORLEANS               "</f>
        <v xml:space="preserve">NEW ORLEANS               </v>
      </c>
      <c r="F3288" t="str">
        <f t="shared" si="138"/>
        <v>LA</v>
      </c>
    </row>
    <row r="3289" spans="1:6" x14ac:dyDescent="0.25">
      <c r="A3289" t="str">
        <f>"007087511"</f>
        <v>007087511</v>
      </c>
      <c r="B3289" t="str">
        <f>"1568991420"</f>
        <v>1568991420</v>
      </c>
      <c r="C3289" t="str">
        <f>"363L00000X"</f>
        <v>363L00000X</v>
      </c>
      <c r="D3289" t="str">
        <f>"ANDERSON                 VALERIE      B           "</f>
        <v xml:space="preserve">ANDERSON                 VALERIE      B           </v>
      </c>
      <c r="E3289" t="str">
        <f>"NEW ORLEANS               "</f>
        <v xml:space="preserve">NEW ORLEANS               </v>
      </c>
      <c r="F3289" t="str">
        <f t="shared" si="138"/>
        <v>LA</v>
      </c>
    </row>
    <row r="3290" spans="1:6" x14ac:dyDescent="0.25">
      <c r="A3290" t="str">
        <f>"007088886"</f>
        <v>007088886</v>
      </c>
      <c r="B3290" t="str">
        <f>"1083970834"</f>
        <v>1083970834</v>
      </c>
      <c r="C3290" t="str">
        <f>"208600000X"</f>
        <v>208600000X</v>
      </c>
      <c r="D3290" t="str">
        <f>"KETHMAN                  WILLIAM      C           "</f>
        <v xml:space="preserve">KETHMAN                  WILLIAM      C           </v>
      </c>
      <c r="E3290" t="str">
        <f>"NEW ORLEANS               "</f>
        <v xml:space="preserve">NEW ORLEANS               </v>
      </c>
      <c r="F3290" t="str">
        <f t="shared" si="138"/>
        <v>LA</v>
      </c>
    </row>
    <row r="3291" spans="1:6" x14ac:dyDescent="0.25">
      <c r="A3291" t="str">
        <f>"007102052"</f>
        <v>007102052</v>
      </c>
      <c r="B3291" t="str">
        <f>"1568663698"</f>
        <v>1568663698</v>
      </c>
      <c r="C3291" t="str">
        <f>"207P00000X"</f>
        <v>207P00000X</v>
      </c>
      <c r="D3291" t="str">
        <f>"FORREST                  EDWIN        C           "</f>
        <v xml:space="preserve">FORREST                  EDWIN        C           </v>
      </c>
      <c r="E3291" t="str">
        <f>"SLIDELL                   "</f>
        <v xml:space="preserve">SLIDELL                   </v>
      </c>
      <c r="F3291" t="str">
        <f t="shared" ref="F3291:F3354" si="140">"LA"</f>
        <v>LA</v>
      </c>
    </row>
    <row r="3292" spans="1:6" x14ac:dyDescent="0.25">
      <c r="A3292" t="str">
        <f>"007125796"</f>
        <v>007125796</v>
      </c>
      <c r="B3292" t="str">
        <f>"1740600394"</f>
        <v>1740600394</v>
      </c>
      <c r="C3292" t="str">
        <f>"2084N0402X"</f>
        <v>2084N0402X</v>
      </c>
      <c r="D3292" t="str">
        <f>"RAHMAN                   ASHIFUR                  "</f>
        <v xml:space="preserve">RAHMAN                   ASHIFUR                  </v>
      </c>
      <c r="E3292" t="str">
        <f>"NEW ORLEANS               "</f>
        <v xml:space="preserve">NEW ORLEANS               </v>
      </c>
      <c r="F3292" t="str">
        <f t="shared" si="140"/>
        <v>LA</v>
      </c>
    </row>
    <row r="3293" spans="1:6" x14ac:dyDescent="0.25">
      <c r="A3293" t="str">
        <f>"007126296"</f>
        <v>007126296</v>
      </c>
      <c r="B3293" t="str">
        <f>"1811376585"</f>
        <v>1811376585</v>
      </c>
      <c r="C3293" t="str">
        <f>"207W00000X"</f>
        <v>207W00000X</v>
      </c>
      <c r="D3293" t="str">
        <f>"CALIX                    RACHEL       A           "</f>
        <v xml:space="preserve">CALIX                    RACHEL       A           </v>
      </c>
      <c r="E3293" t="str">
        <f>"NEW ORLEANS               "</f>
        <v xml:space="preserve">NEW ORLEANS               </v>
      </c>
      <c r="F3293" t="str">
        <f t="shared" si="140"/>
        <v>LA</v>
      </c>
    </row>
    <row r="3294" spans="1:6" x14ac:dyDescent="0.25">
      <c r="A3294" t="str">
        <f>"007129011"</f>
        <v>007129011</v>
      </c>
      <c r="B3294" t="str">
        <f>"1336146422"</f>
        <v>1336146422</v>
      </c>
      <c r="C3294" t="str">
        <f>"2084P0800X"</f>
        <v>2084P0800X</v>
      </c>
      <c r="D3294" t="str">
        <f>"GIBSON                   STEVEN       G           "</f>
        <v xml:space="preserve">GIBSON                   STEVEN       G           </v>
      </c>
      <c r="E3294" t="str">
        <f>"LA PLACE                  "</f>
        <v xml:space="preserve">LA PLACE                  </v>
      </c>
      <c r="F3294" t="str">
        <f t="shared" si="140"/>
        <v>LA</v>
      </c>
    </row>
    <row r="3295" spans="1:6" x14ac:dyDescent="0.25">
      <c r="A3295" t="str">
        <f>"007156869"</f>
        <v>007156869</v>
      </c>
      <c r="B3295" t="str">
        <f>"1023288792"</f>
        <v>1023288792</v>
      </c>
      <c r="C3295" t="str">
        <f>"207R00000X"</f>
        <v>207R00000X</v>
      </c>
      <c r="D3295" t="str">
        <f>"BENNETT                  WILLIAM      L           "</f>
        <v xml:space="preserve">BENNETT                  WILLIAM      L           </v>
      </c>
      <c r="E3295" t="str">
        <f>"SLIDELL                   "</f>
        <v xml:space="preserve">SLIDELL                   </v>
      </c>
      <c r="F3295" t="str">
        <f t="shared" si="140"/>
        <v>LA</v>
      </c>
    </row>
    <row r="3296" spans="1:6" x14ac:dyDescent="0.25">
      <c r="A3296" t="str">
        <f>"007171895"</f>
        <v>007171895</v>
      </c>
      <c r="B3296" t="str">
        <f>"1679689434"</f>
        <v>1679689434</v>
      </c>
      <c r="C3296" t="str">
        <f>"207P00000X"</f>
        <v>207P00000X</v>
      </c>
      <c r="D3296" t="str">
        <f>"MERCADEL                 ROBERT       C           "</f>
        <v xml:space="preserve">MERCADEL                 ROBERT       C           </v>
      </c>
      <c r="E3296" t="str">
        <f>"SLIDELL                   "</f>
        <v xml:space="preserve">SLIDELL                   </v>
      </c>
      <c r="F3296" t="str">
        <f t="shared" si="140"/>
        <v>LA</v>
      </c>
    </row>
    <row r="3297" spans="1:6" x14ac:dyDescent="0.25">
      <c r="A3297" t="str">
        <f>"007173279"</f>
        <v>007173279</v>
      </c>
      <c r="B3297" t="str">
        <f>"1639793714"</f>
        <v>1639793714</v>
      </c>
      <c r="C3297" t="str">
        <f>"363A00000X"</f>
        <v>363A00000X</v>
      </c>
      <c r="D3297" t="str">
        <f>"MADIN                    LILLIAN      W           "</f>
        <v xml:space="preserve">MADIN                    LILLIAN      W           </v>
      </c>
      <c r="E3297" t="str">
        <f t="shared" ref="E3297:E3303" si="141">"NEW ORLEANS               "</f>
        <v xml:space="preserve">NEW ORLEANS               </v>
      </c>
      <c r="F3297" t="str">
        <f t="shared" si="140"/>
        <v>LA</v>
      </c>
    </row>
    <row r="3298" spans="1:6" x14ac:dyDescent="0.25">
      <c r="A3298" t="str">
        <f>"007176297"</f>
        <v>007176297</v>
      </c>
      <c r="B3298" t="str">
        <f>"1487912762"</f>
        <v>1487912762</v>
      </c>
      <c r="C3298" t="str">
        <f>"207L00000X"</f>
        <v>207L00000X</v>
      </c>
      <c r="D3298" t="str">
        <f>"LESSING                  JACOB        A           "</f>
        <v xml:space="preserve">LESSING                  JACOB        A           </v>
      </c>
      <c r="E3298" t="str">
        <f t="shared" si="141"/>
        <v xml:space="preserve">NEW ORLEANS               </v>
      </c>
      <c r="F3298" t="str">
        <f t="shared" si="140"/>
        <v>LA</v>
      </c>
    </row>
    <row r="3299" spans="1:6" x14ac:dyDescent="0.25">
      <c r="A3299" t="str">
        <f>"007181551"</f>
        <v>007181551</v>
      </c>
      <c r="B3299" t="str">
        <f>"1033176169"</f>
        <v>1033176169</v>
      </c>
      <c r="C3299" t="str">
        <f>"207R00000X"</f>
        <v>207R00000X</v>
      </c>
      <c r="D3299" t="str">
        <f>"DIGGS                    ERICA        A           "</f>
        <v xml:space="preserve">DIGGS                    ERICA        A           </v>
      </c>
      <c r="E3299" t="str">
        <f t="shared" si="141"/>
        <v xml:space="preserve">NEW ORLEANS               </v>
      </c>
      <c r="F3299" t="str">
        <f t="shared" si="140"/>
        <v>LA</v>
      </c>
    </row>
    <row r="3300" spans="1:6" x14ac:dyDescent="0.25">
      <c r="A3300" t="str">
        <f>"007185247"</f>
        <v>007185247</v>
      </c>
      <c r="B3300" t="str">
        <f>"1386888634"</f>
        <v>1386888634</v>
      </c>
      <c r="C3300" t="str">
        <f>"208000000X"</f>
        <v>208000000X</v>
      </c>
      <c r="D3300" t="str">
        <f>"LEBLANC                  ZACHARY      L           "</f>
        <v xml:space="preserve">LEBLANC                  ZACHARY      L           </v>
      </c>
      <c r="E3300" t="str">
        <f t="shared" si="141"/>
        <v xml:space="preserve">NEW ORLEANS               </v>
      </c>
      <c r="F3300" t="str">
        <f t="shared" si="140"/>
        <v>LA</v>
      </c>
    </row>
    <row r="3301" spans="1:6" x14ac:dyDescent="0.25">
      <c r="A3301" t="str">
        <f>"007186593"</f>
        <v>007186593</v>
      </c>
      <c r="B3301" t="str">
        <f>"1447518246"</f>
        <v>1447518246</v>
      </c>
      <c r="C3301" t="str">
        <f>"2080P0201X"</f>
        <v>2080P0201X</v>
      </c>
      <c r="D3301" t="str">
        <f>"ABREO                    ANDREW       M           "</f>
        <v xml:space="preserve">ABREO                    ANDREW       M           </v>
      </c>
      <c r="E3301" t="str">
        <f t="shared" si="141"/>
        <v xml:space="preserve">NEW ORLEANS               </v>
      </c>
      <c r="F3301" t="str">
        <f t="shared" si="140"/>
        <v>LA</v>
      </c>
    </row>
    <row r="3302" spans="1:6" x14ac:dyDescent="0.25">
      <c r="A3302" t="str">
        <f>"007209551"</f>
        <v>007209551</v>
      </c>
      <c r="B3302" t="str">
        <f>"1629289319"</f>
        <v>1629289319</v>
      </c>
      <c r="C3302" t="str">
        <f>"2084N0400X"</f>
        <v>2084N0400X</v>
      </c>
      <c r="D3302" t="str">
        <f>"MENON                    UMA                      "</f>
        <v xml:space="preserve">MENON                    UMA                      </v>
      </c>
      <c r="E3302" t="str">
        <f t="shared" si="141"/>
        <v xml:space="preserve">NEW ORLEANS               </v>
      </c>
      <c r="F3302" t="str">
        <f t="shared" si="140"/>
        <v>LA</v>
      </c>
    </row>
    <row r="3303" spans="1:6" x14ac:dyDescent="0.25">
      <c r="A3303" t="str">
        <f>"007222322"</f>
        <v>007222322</v>
      </c>
      <c r="B3303" t="str">
        <f>"1679919971"</f>
        <v>1679919971</v>
      </c>
      <c r="C3303" t="str">
        <f>"207R00000X"</f>
        <v>207R00000X</v>
      </c>
      <c r="D3303" t="str">
        <f>"BECNEL                   PRISCILLA    M           "</f>
        <v xml:space="preserve">BECNEL                   PRISCILLA    M           </v>
      </c>
      <c r="E3303" t="str">
        <f t="shared" si="141"/>
        <v xml:space="preserve">NEW ORLEANS               </v>
      </c>
      <c r="F3303" t="str">
        <f t="shared" si="140"/>
        <v>LA</v>
      </c>
    </row>
    <row r="3304" spans="1:6" x14ac:dyDescent="0.25">
      <c r="A3304" t="str">
        <f>"007222842"</f>
        <v>007222842</v>
      </c>
      <c r="B3304" t="str">
        <f>"1841533437"</f>
        <v>1841533437</v>
      </c>
      <c r="C3304" t="str">
        <f>"2085R0202X"</f>
        <v>2085R0202X</v>
      </c>
      <c r="D3304" t="str">
        <f>"HEBERT                   RYAN         L           "</f>
        <v xml:space="preserve">HEBERT                   RYAN         L           </v>
      </c>
      <c r="E3304" t="str">
        <f>"COVINGTON                 "</f>
        <v xml:space="preserve">COVINGTON                 </v>
      </c>
      <c r="F3304" t="str">
        <f t="shared" si="140"/>
        <v>LA</v>
      </c>
    </row>
    <row r="3305" spans="1:6" x14ac:dyDescent="0.25">
      <c r="A3305" t="str">
        <f>"007229037"</f>
        <v>007229037</v>
      </c>
      <c r="B3305" t="str">
        <f>"1386902393"</f>
        <v>1386902393</v>
      </c>
      <c r="C3305" t="str">
        <f>"207P00000X"</f>
        <v>207P00000X</v>
      </c>
      <c r="D3305" t="str">
        <f>"MEHRTENS                 GIA          M           "</f>
        <v xml:space="preserve">MEHRTENS                 GIA          M           </v>
      </c>
      <c r="E3305" t="str">
        <f t="shared" ref="E3305:E3312" si="142">"NEW ORLEANS               "</f>
        <v xml:space="preserve">NEW ORLEANS               </v>
      </c>
      <c r="F3305" t="str">
        <f t="shared" si="140"/>
        <v>LA</v>
      </c>
    </row>
    <row r="3306" spans="1:6" x14ac:dyDescent="0.25">
      <c r="A3306" t="str">
        <f>"007230344"</f>
        <v>007230344</v>
      </c>
      <c r="B3306" t="str">
        <f>"1053670414"</f>
        <v>1053670414</v>
      </c>
      <c r="C3306" t="str">
        <f>"2084N0400X"</f>
        <v>2084N0400X</v>
      </c>
      <c r="D3306" t="str">
        <f>"KHAN                     MUHAMMAD     T           "</f>
        <v xml:space="preserve">KHAN                     MUHAMMAD     T           </v>
      </c>
      <c r="E3306" t="str">
        <f t="shared" si="142"/>
        <v xml:space="preserve">NEW ORLEANS               </v>
      </c>
      <c r="F3306" t="str">
        <f t="shared" si="140"/>
        <v>LA</v>
      </c>
    </row>
    <row r="3307" spans="1:6" x14ac:dyDescent="0.25">
      <c r="A3307" t="str">
        <f>"007238370"</f>
        <v>007238370</v>
      </c>
      <c r="B3307" t="str">
        <f>"1740470335"</f>
        <v>1740470335</v>
      </c>
      <c r="C3307" t="str">
        <f>"2085R0202X"</f>
        <v>2085R0202X</v>
      </c>
      <c r="D3307" t="str">
        <f>"GALANDAK                 JESSICA      A           "</f>
        <v xml:space="preserve">GALANDAK                 JESSICA      A           </v>
      </c>
      <c r="E3307" t="str">
        <f t="shared" si="142"/>
        <v xml:space="preserve">NEW ORLEANS               </v>
      </c>
      <c r="F3307" t="str">
        <f t="shared" si="140"/>
        <v>LA</v>
      </c>
    </row>
    <row r="3308" spans="1:6" x14ac:dyDescent="0.25">
      <c r="A3308" t="str">
        <f>"007238561"</f>
        <v>007238561</v>
      </c>
      <c r="B3308" t="str">
        <f>"1194973446"</f>
        <v>1194973446</v>
      </c>
      <c r="C3308" t="str">
        <f>"207L00000X"</f>
        <v>207L00000X</v>
      </c>
      <c r="D3308" t="str">
        <f>"YURATICH                 DANE         M           "</f>
        <v xml:space="preserve">YURATICH                 DANE         M           </v>
      </c>
      <c r="E3308" t="str">
        <f t="shared" si="142"/>
        <v xml:space="preserve">NEW ORLEANS               </v>
      </c>
      <c r="F3308" t="str">
        <f t="shared" si="140"/>
        <v>LA</v>
      </c>
    </row>
    <row r="3309" spans="1:6" x14ac:dyDescent="0.25">
      <c r="A3309" t="str">
        <f>"007239742"</f>
        <v>007239742</v>
      </c>
      <c r="B3309" t="str">
        <f>"1871938084"</f>
        <v>1871938084</v>
      </c>
      <c r="C3309" t="str">
        <f>"207R00000X"</f>
        <v>207R00000X</v>
      </c>
      <c r="D3309" t="str">
        <f>"KARAM                    SUSAN        L           "</f>
        <v xml:space="preserve">KARAM                    SUSAN        L           </v>
      </c>
      <c r="E3309" t="str">
        <f t="shared" si="142"/>
        <v xml:space="preserve">NEW ORLEANS               </v>
      </c>
      <c r="F3309" t="str">
        <f t="shared" si="140"/>
        <v>LA</v>
      </c>
    </row>
    <row r="3310" spans="1:6" x14ac:dyDescent="0.25">
      <c r="A3310" t="str">
        <f>"007239831"</f>
        <v>007239831</v>
      </c>
      <c r="B3310" t="str">
        <f>"1609323476"</f>
        <v>1609323476</v>
      </c>
      <c r="C3310" t="str">
        <f>"363L00000X"</f>
        <v>363L00000X</v>
      </c>
      <c r="D3310" t="str">
        <f>"SOILEAU                  SARAH        L           "</f>
        <v xml:space="preserve">SOILEAU                  SARAH        L           </v>
      </c>
      <c r="E3310" t="str">
        <f t="shared" si="142"/>
        <v xml:space="preserve">NEW ORLEANS               </v>
      </c>
      <c r="F3310" t="str">
        <f t="shared" si="140"/>
        <v>LA</v>
      </c>
    </row>
    <row r="3311" spans="1:6" x14ac:dyDescent="0.25">
      <c r="A3311" t="str">
        <f>"007252023"</f>
        <v>007252023</v>
      </c>
      <c r="B3311" t="str">
        <f>"1013187301"</f>
        <v>1013187301</v>
      </c>
      <c r="C3311" t="str">
        <f>"363A00000X"</f>
        <v>363A00000X</v>
      </c>
      <c r="D3311" t="str">
        <f>"BROOKS                   NAKIA        L           "</f>
        <v xml:space="preserve">BROOKS                   NAKIA        L           </v>
      </c>
      <c r="E3311" t="str">
        <f t="shared" si="142"/>
        <v xml:space="preserve">NEW ORLEANS               </v>
      </c>
      <c r="F3311" t="str">
        <f t="shared" si="140"/>
        <v>LA</v>
      </c>
    </row>
    <row r="3312" spans="1:6" x14ac:dyDescent="0.25">
      <c r="A3312" t="str">
        <f>"007282705"</f>
        <v>007282705</v>
      </c>
      <c r="B3312" t="str">
        <f>"1841210127"</f>
        <v>1841210127</v>
      </c>
      <c r="C3312" t="str">
        <f>"2085R0202X"</f>
        <v>2085R0202X</v>
      </c>
      <c r="D3312" t="str">
        <f>"MARISTANY                MICHAEL      L           "</f>
        <v xml:space="preserve">MARISTANY                MICHAEL      L           </v>
      </c>
      <c r="E3312" t="str">
        <f t="shared" si="142"/>
        <v xml:space="preserve">NEW ORLEANS               </v>
      </c>
      <c r="F3312" t="str">
        <f t="shared" si="140"/>
        <v>LA</v>
      </c>
    </row>
    <row r="3313" spans="1:6" x14ac:dyDescent="0.25">
      <c r="A3313" t="str">
        <f>"007303370"</f>
        <v>007303370</v>
      </c>
      <c r="B3313" t="str">
        <f>"1720048226"</f>
        <v>1720048226</v>
      </c>
      <c r="C3313" t="str">
        <f>"207P00000X"</f>
        <v>207P00000X</v>
      </c>
      <c r="D3313" t="str">
        <f>"BROUSSARD                GERARD       J           "</f>
        <v xml:space="preserve">BROUSSARD                GERARD       J           </v>
      </c>
      <c r="E3313" t="str">
        <f>"FERRIDAY                  "</f>
        <v xml:space="preserve">FERRIDAY                  </v>
      </c>
      <c r="F3313" t="str">
        <f t="shared" si="140"/>
        <v>LA</v>
      </c>
    </row>
    <row r="3314" spans="1:6" x14ac:dyDescent="0.25">
      <c r="A3314" t="str">
        <f>"007320945"</f>
        <v>007320945</v>
      </c>
      <c r="B3314" t="str">
        <f>"1326420605"</f>
        <v>1326420605</v>
      </c>
      <c r="C3314" t="str">
        <f>"2080P0206X"</f>
        <v>2080P0206X</v>
      </c>
      <c r="D3314" t="str">
        <f>"BERNARD                  RACHEL       R           "</f>
        <v xml:space="preserve">BERNARD                  RACHEL       R           </v>
      </c>
      <c r="E3314" t="str">
        <f>"BATON ROUGE               "</f>
        <v xml:space="preserve">BATON ROUGE               </v>
      </c>
      <c r="F3314" t="str">
        <f t="shared" si="140"/>
        <v>LA</v>
      </c>
    </row>
    <row r="3315" spans="1:6" x14ac:dyDescent="0.25">
      <c r="A3315" t="str">
        <f>"007336068"</f>
        <v>007336068</v>
      </c>
      <c r="B3315" t="str">
        <f>"1114345915"</f>
        <v>1114345915</v>
      </c>
      <c r="C3315" t="str">
        <f>"207V00000X"</f>
        <v>207V00000X</v>
      </c>
      <c r="D3315" t="str">
        <f>"HENNE                    AMANDA       C           "</f>
        <v xml:space="preserve">HENNE                    AMANDA       C           </v>
      </c>
      <c r="E3315" t="str">
        <f>"NEW ORLEANS               "</f>
        <v xml:space="preserve">NEW ORLEANS               </v>
      </c>
      <c r="F3315" t="str">
        <f t="shared" si="140"/>
        <v>LA</v>
      </c>
    </row>
    <row r="3316" spans="1:6" x14ac:dyDescent="0.25">
      <c r="A3316" t="str">
        <f>"007353266"</f>
        <v>007353266</v>
      </c>
      <c r="B3316" t="str">
        <f>"1043655798"</f>
        <v>1043655798</v>
      </c>
      <c r="C3316" t="str">
        <f>"207RI0200X"</f>
        <v>207RI0200X</v>
      </c>
      <c r="D3316" t="str">
        <f>"RIVERA RIVERA            KARLA        B           "</f>
        <v xml:space="preserve">RIVERA RIVERA            KARLA        B           </v>
      </c>
      <c r="E3316" t="str">
        <f>"NEW ORLEANS               "</f>
        <v xml:space="preserve">NEW ORLEANS               </v>
      </c>
      <c r="F3316" t="str">
        <f t="shared" si="140"/>
        <v>LA</v>
      </c>
    </row>
    <row r="3317" spans="1:6" x14ac:dyDescent="0.25">
      <c r="A3317" t="str">
        <f>"007354313"</f>
        <v>007354313</v>
      </c>
      <c r="B3317" t="str">
        <f>"1316968332"</f>
        <v>1316968332</v>
      </c>
      <c r="C3317" t="str">
        <f>"208000000X"</f>
        <v>208000000X</v>
      </c>
      <c r="D3317" t="str">
        <f>"HESCOCK JR               GEORGE       C           "</f>
        <v xml:space="preserve">HESCOCK JR               GEORGE       C           </v>
      </c>
      <c r="E3317" t="str">
        <f>"NEW ORLEANS               "</f>
        <v xml:space="preserve">NEW ORLEANS               </v>
      </c>
      <c r="F3317" t="str">
        <f t="shared" si="140"/>
        <v>LA</v>
      </c>
    </row>
    <row r="3318" spans="1:6" x14ac:dyDescent="0.25">
      <c r="A3318" t="str">
        <f>"007370356"</f>
        <v>007370356</v>
      </c>
      <c r="B3318" t="str">
        <f>"1740548411"</f>
        <v>1740548411</v>
      </c>
      <c r="C3318" t="str">
        <f>"208000000X"</f>
        <v>208000000X</v>
      </c>
      <c r="D3318" t="str">
        <f>"LEBLANC                  COLLEEN      C           "</f>
        <v xml:space="preserve">LEBLANC                  COLLEEN      C           </v>
      </c>
      <c r="E3318" t="str">
        <f>"NEW ORLEANS               "</f>
        <v xml:space="preserve">NEW ORLEANS               </v>
      </c>
      <c r="F3318" t="str">
        <f t="shared" si="140"/>
        <v>LA</v>
      </c>
    </row>
    <row r="3319" spans="1:6" x14ac:dyDescent="0.25">
      <c r="A3319" t="str">
        <f>"007372262"</f>
        <v>007372262</v>
      </c>
      <c r="B3319" t="str">
        <f>"1477950434"</f>
        <v>1477950434</v>
      </c>
      <c r="C3319" t="str">
        <f>"363L00000X"</f>
        <v>363L00000X</v>
      </c>
      <c r="D3319" t="str">
        <f>"ROBINSON                 WENDELL      P           "</f>
        <v xml:space="preserve">ROBINSON                 WENDELL      P           </v>
      </c>
      <c r="E3319" t="str">
        <f>"SLIDELL                   "</f>
        <v xml:space="preserve">SLIDELL                   </v>
      </c>
      <c r="F3319" t="str">
        <f t="shared" si="140"/>
        <v>LA</v>
      </c>
    </row>
    <row r="3320" spans="1:6" x14ac:dyDescent="0.25">
      <c r="A3320" t="str">
        <f>"007381300"</f>
        <v>007381300</v>
      </c>
      <c r="B3320" t="str">
        <f>"1356601645"</f>
        <v>1356601645</v>
      </c>
      <c r="C3320" t="str">
        <f>"208600000X"</f>
        <v>208600000X</v>
      </c>
      <c r="D3320" t="str">
        <f>"POINTER JR               DAVID        T           "</f>
        <v xml:space="preserve">POINTER JR               DAVID        T           </v>
      </c>
      <c r="E3320" t="str">
        <f>"NEW ORLEANS               "</f>
        <v xml:space="preserve">NEW ORLEANS               </v>
      </c>
      <c r="F3320" t="str">
        <f t="shared" si="140"/>
        <v>LA</v>
      </c>
    </row>
    <row r="3321" spans="1:6" x14ac:dyDescent="0.25">
      <c r="A3321" t="str">
        <f>"007385891"</f>
        <v>007385891</v>
      </c>
      <c r="B3321" t="str">
        <f>"1710220108"</f>
        <v>1710220108</v>
      </c>
      <c r="C3321" t="str">
        <f>"208000000X"</f>
        <v>208000000X</v>
      </c>
      <c r="D3321" t="str">
        <f>"DAVIS                    LAUREN       G           "</f>
        <v xml:space="preserve">DAVIS                    LAUREN       G           </v>
      </c>
      <c r="E3321" t="str">
        <f>"NEW ORLEANS               "</f>
        <v xml:space="preserve">NEW ORLEANS               </v>
      </c>
      <c r="F3321" t="str">
        <f t="shared" si="140"/>
        <v>LA</v>
      </c>
    </row>
    <row r="3322" spans="1:6" x14ac:dyDescent="0.25">
      <c r="A3322" t="str">
        <f>"007389745"</f>
        <v>007389745</v>
      </c>
      <c r="B3322" t="str">
        <f>"1669651196"</f>
        <v>1669651196</v>
      </c>
      <c r="C3322" t="str">
        <f>"363L00000X"</f>
        <v>363L00000X</v>
      </c>
      <c r="D3322" t="str">
        <f>"NORMAN                   JOANN                    "</f>
        <v xml:space="preserve">NORMAN                   JOANN                    </v>
      </c>
      <c r="E3322" t="str">
        <f>"SLIDELL                   "</f>
        <v xml:space="preserve">SLIDELL                   </v>
      </c>
      <c r="F3322" t="str">
        <f t="shared" si="140"/>
        <v>LA</v>
      </c>
    </row>
    <row r="3323" spans="1:6" x14ac:dyDescent="0.25">
      <c r="A3323" t="str">
        <f>"007401811"</f>
        <v>007401811</v>
      </c>
      <c r="B3323" t="str">
        <f>"1770802761"</f>
        <v>1770802761</v>
      </c>
      <c r="C3323" t="str">
        <f>"207P00000X"</f>
        <v>207P00000X</v>
      </c>
      <c r="D3323" t="str">
        <f>"CHAUHAN                  RAVI         R           "</f>
        <v xml:space="preserve">CHAUHAN                  RAVI         R           </v>
      </c>
      <c r="E3323" t="str">
        <f>"NEW ORLEANS               "</f>
        <v xml:space="preserve">NEW ORLEANS               </v>
      </c>
      <c r="F3323" t="str">
        <f t="shared" si="140"/>
        <v>LA</v>
      </c>
    </row>
    <row r="3324" spans="1:6" x14ac:dyDescent="0.25">
      <c r="A3324" t="str">
        <f>"007404291"</f>
        <v>007404291</v>
      </c>
      <c r="B3324" t="str">
        <f>"1891138491"</f>
        <v>1891138491</v>
      </c>
      <c r="C3324" t="str">
        <f>"207P00000X"</f>
        <v>207P00000X</v>
      </c>
      <c r="D3324" t="str">
        <f>"DAVEZAC                  LAUREN       N           "</f>
        <v xml:space="preserve">DAVEZAC                  LAUREN       N           </v>
      </c>
      <c r="E3324" t="str">
        <f>"KENNER                    "</f>
        <v xml:space="preserve">KENNER                    </v>
      </c>
      <c r="F3324" t="str">
        <f t="shared" si="140"/>
        <v>LA</v>
      </c>
    </row>
    <row r="3325" spans="1:6" x14ac:dyDescent="0.25">
      <c r="A3325" t="str">
        <f>"007406899"</f>
        <v>007406899</v>
      </c>
      <c r="B3325" t="str">
        <f>"1124380647"</f>
        <v>1124380647</v>
      </c>
      <c r="C3325" t="str">
        <f>"2084N0400X"</f>
        <v>2084N0400X</v>
      </c>
      <c r="D3325" t="str">
        <f>"EL KHOURY                RAMY                     "</f>
        <v xml:space="preserve">EL KHOURY                RAMY                     </v>
      </c>
      <c r="E3325" t="str">
        <f>"COVINGTON                 "</f>
        <v xml:space="preserve">COVINGTON                 </v>
      </c>
      <c r="F3325" t="str">
        <f t="shared" si="140"/>
        <v>LA</v>
      </c>
    </row>
    <row r="3326" spans="1:6" x14ac:dyDescent="0.25">
      <c r="A3326" t="str">
        <f>"007424378"</f>
        <v>007424378</v>
      </c>
      <c r="B3326" t="str">
        <f>"1912018920"</f>
        <v>1912018920</v>
      </c>
      <c r="C3326" t="str">
        <f>"207L00000X"</f>
        <v>207L00000X</v>
      </c>
      <c r="D3326" t="str">
        <f>"TRUXILLO                 TERRENCE     M           "</f>
        <v xml:space="preserve">TRUXILLO                 TERRENCE     M           </v>
      </c>
      <c r="E3326" t="str">
        <f>"NEW ORLEANS               "</f>
        <v xml:space="preserve">NEW ORLEANS               </v>
      </c>
      <c r="F3326" t="str">
        <f t="shared" si="140"/>
        <v>LA</v>
      </c>
    </row>
    <row r="3327" spans="1:6" x14ac:dyDescent="0.25">
      <c r="A3327" t="str">
        <f>"007428017"</f>
        <v>007428017</v>
      </c>
      <c r="B3327" t="str">
        <f>"1053792432"</f>
        <v>1053792432</v>
      </c>
      <c r="C3327" t="str">
        <f>"207P00000X"</f>
        <v>207P00000X</v>
      </c>
      <c r="D3327" t="str">
        <f>"BLOME                    ANDREA       L           "</f>
        <v xml:space="preserve">BLOME                    ANDREA       L           </v>
      </c>
      <c r="E3327" t="str">
        <f>"NEW ORLEANS               "</f>
        <v xml:space="preserve">NEW ORLEANS               </v>
      </c>
      <c r="F3327" t="str">
        <f t="shared" si="140"/>
        <v>LA</v>
      </c>
    </row>
    <row r="3328" spans="1:6" x14ac:dyDescent="0.25">
      <c r="A3328" t="str">
        <f>"007439835"</f>
        <v>007439835</v>
      </c>
      <c r="B3328" t="str">
        <f>"1942837794"</f>
        <v>1942837794</v>
      </c>
      <c r="C3328" t="str">
        <f>"367500000X"</f>
        <v>367500000X</v>
      </c>
      <c r="D3328" t="str">
        <f>"BUNCH                    MEGAN        W           "</f>
        <v xml:space="preserve">BUNCH                    MEGAN        W           </v>
      </c>
      <c r="E3328" t="str">
        <f>"NEW ORLEANS               "</f>
        <v xml:space="preserve">NEW ORLEANS               </v>
      </c>
      <c r="F3328" t="str">
        <f t="shared" si="140"/>
        <v>LA</v>
      </c>
    </row>
    <row r="3329" spans="1:6" x14ac:dyDescent="0.25">
      <c r="A3329" t="str">
        <f>"007454081"</f>
        <v>007454081</v>
      </c>
      <c r="B3329" t="str">
        <f>"1467871616"</f>
        <v>1467871616</v>
      </c>
      <c r="C3329" t="str">
        <f>"207ZP0102X"</f>
        <v>207ZP0102X</v>
      </c>
      <c r="D3329" t="str">
        <f>"DUREAU                   ZACHARY      J           "</f>
        <v xml:space="preserve">DUREAU                   ZACHARY      J           </v>
      </c>
      <c r="E3329" t="str">
        <f>"NEW ORLEANS               "</f>
        <v xml:space="preserve">NEW ORLEANS               </v>
      </c>
      <c r="F3329" t="str">
        <f t="shared" si="140"/>
        <v>LA</v>
      </c>
    </row>
    <row r="3330" spans="1:6" x14ac:dyDescent="0.25">
      <c r="A3330" t="str">
        <f>"007472279"</f>
        <v>007472279</v>
      </c>
      <c r="B3330" t="str">
        <f>"1487823506"</f>
        <v>1487823506</v>
      </c>
      <c r="C3330" t="str">
        <f>"207Q00000X"</f>
        <v>207Q00000X</v>
      </c>
      <c r="D3330" t="str">
        <f>"TREANOR                  LEONARD      C           "</f>
        <v xml:space="preserve">TREANOR                  LEONARD      C           </v>
      </c>
      <c r="E3330" t="str">
        <f>"SLIDELL                   "</f>
        <v xml:space="preserve">SLIDELL                   </v>
      </c>
      <c r="F3330" t="str">
        <f t="shared" si="140"/>
        <v>LA</v>
      </c>
    </row>
    <row r="3331" spans="1:6" x14ac:dyDescent="0.25">
      <c r="A3331" t="str">
        <f>"007500883"</f>
        <v>007500883</v>
      </c>
      <c r="B3331" t="str">
        <f>"1053739631"</f>
        <v>1053739631</v>
      </c>
      <c r="C3331" t="str">
        <f>"207P00000X"</f>
        <v>207P00000X</v>
      </c>
      <c r="D3331" t="str">
        <f>"CVITANOVIC               LUKE                     "</f>
        <v xml:space="preserve">CVITANOVIC               LUKE                     </v>
      </c>
      <c r="E3331" t="str">
        <f>"KENNER                    "</f>
        <v xml:space="preserve">KENNER                    </v>
      </c>
      <c r="F3331" t="str">
        <f t="shared" si="140"/>
        <v>LA</v>
      </c>
    </row>
    <row r="3332" spans="1:6" x14ac:dyDescent="0.25">
      <c r="A3332" t="str">
        <f>"007508779"</f>
        <v>007508779</v>
      </c>
      <c r="B3332" t="str">
        <f>"1932425311"</f>
        <v>1932425311</v>
      </c>
      <c r="C3332" t="str">
        <f>"207Y00000X"</f>
        <v>207Y00000X</v>
      </c>
      <c r="D3332" t="str">
        <f>"CARTER                   JOHN         M           "</f>
        <v xml:space="preserve">CARTER                   JOHN         M           </v>
      </c>
      <c r="E3332" t="str">
        <f t="shared" ref="E3332:E3338" si="143">"NEW ORLEANS               "</f>
        <v xml:space="preserve">NEW ORLEANS               </v>
      </c>
      <c r="F3332" t="str">
        <f t="shared" si="140"/>
        <v>LA</v>
      </c>
    </row>
    <row r="3333" spans="1:6" x14ac:dyDescent="0.25">
      <c r="A3333" t="str">
        <f>"007520792"</f>
        <v>007520792</v>
      </c>
      <c r="B3333" t="str">
        <f>"1073706339"</f>
        <v>1073706339</v>
      </c>
      <c r="C3333" t="str">
        <f>"208000000X"</f>
        <v>208000000X</v>
      </c>
      <c r="D3333" t="str">
        <f>"SOROS DUPRE              ARLETTE      A           "</f>
        <v xml:space="preserve">SOROS DUPRE              ARLETTE      A           </v>
      </c>
      <c r="E3333" t="str">
        <f t="shared" si="143"/>
        <v xml:space="preserve">NEW ORLEANS               </v>
      </c>
      <c r="F3333" t="str">
        <f t="shared" si="140"/>
        <v>LA</v>
      </c>
    </row>
    <row r="3334" spans="1:6" x14ac:dyDescent="0.25">
      <c r="A3334" t="str">
        <f>"007524868"</f>
        <v>007524868</v>
      </c>
      <c r="B3334" t="str">
        <f>"1578710448"</f>
        <v>1578710448</v>
      </c>
      <c r="C3334" t="str">
        <f>"363L00000X"</f>
        <v>363L00000X</v>
      </c>
      <c r="D3334" t="str">
        <f>"BRANFORD                 SHANNON      B           "</f>
        <v xml:space="preserve">BRANFORD                 SHANNON      B           </v>
      </c>
      <c r="E3334" t="str">
        <f t="shared" si="143"/>
        <v xml:space="preserve">NEW ORLEANS               </v>
      </c>
      <c r="F3334" t="str">
        <f t="shared" si="140"/>
        <v>LA</v>
      </c>
    </row>
    <row r="3335" spans="1:6" x14ac:dyDescent="0.25">
      <c r="A3335" t="str">
        <f>"007539061"</f>
        <v>007539061</v>
      </c>
      <c r="B3335" t="str">
        <f>"1598285363"</f>
        <v>1598285363</v>
      </c>
      <c r="C3335" t="str">
        <f>"367500000X"</f>
        <v>367500000X</v>
      </c>
      <c r="D3335" t="str">
        <f>"KUSHNER                  MEGAN        L           "</f>
        <v xml:space="preserve">KUSHNER                  MEGAN        L           </v>
      </c>
      <c r="E3335" t="str">
        <f t="shared" si="143"/>
        <v xml:space="preserve">NEW ORLEANS               </v>
      </c>
      <c r="F3335" t="str">
        <f t="shared" si="140"/>
        <v>LA</v>
      </c>
    </row>
    <row r="3336" spans="1:6" x14ac:dyDescent="0.25">
      <c r="A3336" t="str">
        <f>"007559594"</f>
        <v>007559594</v>
      </c>
      <c r="B3336" t="str">
        <f>"1437792728"</f>
        <v>1437792728</v>
      </c>
      <c r="C3336" t="str">
        <f>"363L00000X"</f>
        <v>363L00000X</v>
      </c>
      <c r="D3336" t="str">
        <f>"WHEELER                  KATHRYN      A           "</f>
        <v xml:space="preserve">WHEELER                  KATHRYN      A           </v>
      </c>
      <c r="E3336" t="str">
        <f t="shared" si="143"/>
        <v xml:space="preserve">NEW ORLEANS               </v>
      </c>
      <c r="F3336" t="str">
        <f t="shared" si="140"/>
        <v>LA</v>
      </c>
    </row>
    <row r="3337" spans="1:6" x14ac:dyDescent="0.25">
      <c r="A3337" t="str">
        <f>"007571325"</f>
        <v>007571325</v>
      </c>
      <c r="B3337" t="str">
        <f>"1639127103"</f>
        <v>1639127103</v>
      </c>
      <c r="C3337" t="str">
        <f>"207L00000X"</f>
        <v>207L00000X</v>
      </c>
      <c r="D3337" t="str">
        <f>"HART                     STUART       R           "</f>
        <v xml:space="preserve">HART                     STUART       R           </v>
      </c>
      <c r="E3337" t="str">
        <f t="shared" si="143"/>
        <v xml:space="preserve">NEW ORLEANS               </v>
      </c>
      <c r="F3337" t="str">
        <f t="shared" si="140"/>
        <v>LA</v>
      </c>
    </row>
    <row r="3338" spans="1:6" x14ac:dyDescent="0.25">
      <c r="A3338" t="str">
        <f>"007584764"</f>
        <v>007584764</v>
      </c>
      <c r="B3338" t="str">
        <f>"1083938997"</f>
        <v>1083938997</v>
      </c>
      <c r="C3338" t="str">
        <f>"207RI0200X"</f>
        <v>207RI0200X</v>
      </c>
      <c r="D3338" t="str">
        <f>"HAND                     JONATHAN     M           "</f>
        <v xml:space="preserve">HAND                     JONATHAN     M           </v>
      </c>
      <c r="E3338" t="str">
        <f t="shared" si="143"/>
        <v xml:space="preserve">NEW ORLEANS               </v>
      </c>
      <c r="F3338" t="str">
        <f t="shared" si="140"/>
        <v>LA</v>
      </c>
    </row>
    <row r="3339" spans="1:6" x14ac:dyDescent="0.25">
      <c r="A3339" t="str">
        <f>"007589822"</f>
        <v>007589822</v>
      </c>
      <c r="B3339" t="str">
        <f>"1811199102"</f>
        <v>1811199102</v>
      </c>
      <c r="C3339" t="str">
        <f>"207V00000X"</f>
        <v>207V00000X</v>
      </c>
      <c r="D3339" t="str">
        <f>"WEEKS                    LESLIE       L           "</f>
        <v xml:space="preserve">WEEKS                    LESLIE       L           </v>
      </c>
      <c r="E3339" t="str">
        <f>"SLIDELL                   "</f>
        <v xml:space="preserve">SLIDELL                   </v>
      </c>
      <c r="F3339" t="str">
        <f t="shared" si="140"/>
        <v>LA</v>
      </c>
    </row>
    <row r="3340" spans="1:6" x14ac:dyDescent="0.25">
      <c r="A3340" t="str">
        <f>"007604788"</f>
        <v>007604788</v>
      </c>
      <c r="B3340" t="str">
        <f>"1255898011"</f>
        <v>1255898011</v>
      </c>
      <c r="C3340" t="str">
        <f>"363L00000X"</f>
        <v>363L00000X</v>
      </c>
      <c r="D3340" t="str">
        <f>"RATHOR                   QURRATULAIN              "</f>
        <v xml:space="preserve">RATHOR                   QURRATULAIN              </v>
      </c>
      <c r="E3340" t="str">
        <f>"NEW ORLEANS               "</f>
        <v xml:space="preserve">NEW ORLEANS               </v>
      </c>
      <c r="F3340" t="str">
        <f t="shared" si="140"/>
        <v>LA</v>
      </c>
    </row>
    <row r="3341" spans="1:6" x14ac:dyDescent="0.25">
      <c r="A3341" t="str">
        <f>"007634228"</f>
        <v>007634228</v>
      </c>
      <c r="B3341" t="str">
        <f>"1124331129"</f>
        <v>1124331129</v>
      </c>
      <c r="C3341" t="str">
        <f>"207ZP0102X"</f>
        <v>207ZP0102X</v>
      </c>
      <c r="D3341" t="str">
        <f>"ALIZADEH                 LAYLA                    "</f>
        <v xml:space="preserve">ALIZADEH                 LAYLA                    </v>
      </c>
      <c r="E3341" t="str">
        <f>"JEFFERSON                 "</f>
        <v xml:space="preserve">JEFFERSON                 </v>
      </c>
      <c r="F3341" t="str">
        <f t="shared" si="140"/>
        <v>LA</v>
      </c>
    </row>
    <row r="3342" spans="1:6" x14ac:dyDescent="0.25">
      <c r="A3342" t="str">
        <f>"007652099"</f>
        <v>007652099</v>
      </c>
      <c r="B3342" t="str">
        <f>"1013090174"</f>
        <v>1013090174</v>
      </c>
      <c r="C3342" t="str">
        <f>"208600000X"</f>
        <v>208600000X</v>
      </c>
      <c r="D3342" t="str">
        <f>"MORRISON, JR.            JOHN         E           "</f>
        <v xml:space="preserve">MORRISON, JR.            JOHN         E           </v>
      </c>
      <c r="E3342" t="str">
        <f t="shared" ref="E3342:E3347" si="144">"NEW ORLEANS               "</f>
        <v xml:space="preserve">NEW ORLEANS               </v>
      </c>
      <c r="F3342" t="str">
        <f t="shared" si="140"/>
        <v>LA</v>
      </c>
    </row>
    <row r="3343" spans="1:6" x14ac:dyDescent="0.25">
      <c r="A3343" t="str">
        <f>"007652859"</f>
        <v>007652859</v>
      </c>
      <c r="B3343" t="str">
        <f>"1386943579"</f>
        <v>1386943579</v>
      </c>
      <c r="C3343" t="str">
        <f>"208600000X"</f>
        <v>208600000X</v>
      </c>
      <c r="D3343" t="str">
        <f>"ZAGORY                   JESSICA      A           "</f>
        <v xml:space="preserve">ZAGORY                   JESSICA      A           </v>
      </c>
      <c r="E3343" t="str">
        <f t="shared" si="144"/>
        <v xml:space="preserve">NEW ORLEANS               </v>
      </c>
      <c r="F3343" t="str">
        <f t="shared" si="140"/>
        <v>LA</v>
      </c>
    </row>
    <row r="3344" spans="1:6" x14ac:dyDescent="0.25">
      <c r="A3344" t="str">
        <f>"007653211"</f>
        <v>007653211</v>
      </c>
      <c r="B3344" t="str">
        <f>"1831530088"</f>
        <v>1831530088</v>
      </c>
      <c r="C3344" t="str">
        <f>"367500000X"</f>
        <v>367500000X</v>
      </c>
      <c r="D3344" t="str">
        <f>"BATTAGLIA                ASHLEY       D           "</f>
        <v xml:space="preserve">BATTAGLIA                ASHLEY       D           </v>
      </c>
      <c r="E3344" t="str">
        <f t="shared" si="144"/>
        <v xml:space="preserve">NEW ORLEANS               </v>
      </c>
      <c r="F3344" t="str">
        <f t="shared" si="140"/>
        <v>LA</v>
      </c>
    </row>
    <row r="3345" spans="1:6" x14ac:dyDescent="0.25">
      <c r="A3345" t="str">
        <f>"007685066"</f>
        <v>007685066</v>
      </c>
      <c r="B3345" t="str">
        <f>"1376926097"</f>
        <v>1376926097</v>
      </c>
      <c r="C3345" t="str">
        <f>"363A00000X"</f>
        <v>363A00000X</v>
      </c>
      <c r="D3345" t="str">
        <f>"WARD                     KATHERINE    E           "</f>
        <v xml:space="preserve">WARD                     KATHERINE    E           </v>
      </c>
      <c r="E3345" t="str">
        <f t="shared" si="144"/>
        <v xml:space="preserve">NEW ORLEANS               </v>
      </c>
      <c r="F3345" t="str">
        <f t="shared" si="140"/>
        <v>LA</v>
      </c>
    </row>
    <row r="3346" spans="1:6" x14ac:dyDescent="0.25">
      <c r="A3346" t="str">
        <f>"007685836"</f>
        <v>007685836</v>
      </c>
      <c r="B3346" t="str">
        <f>"1598735334"</f>
        <v>1598735334</v>
      </c>
      <c r="C3346" t="str">
        <f>"207P00000X"</f>
        <v>207P00000X</v>
      </c>
      <c r="D3346" t="str">
        <f>"AGUILERA                 MIGUEL       A           "</f>
        <v xml:space="preserve">AGUILERA                 MIGUEL       A           </v>
      </c>
      <c r="E3346" t="str">
        <f t="shared" si="144"/>
        <v xml:space="preserve">NEW ORLEANS               </v>
      </c>
      <c r="F3346" t="str">
        <f t="shared" si="140"/>
        <v>LA</v>
      </c>
    </row>
    <row r="3347" spans="1:6" x14ac:dyDescent="0.25">
      <c r="A3347" t="str">
        <f>"007709033"</f>
        <v>007709033</v>
      </c>
      <c r="B3347" t="str">
        <f>"1467770214"</f>
        <v>1467770214</v>
      </c>
      <c r="C3347" t="str">
        <f>"207ZP0102X"</f>
        <v>207ZP0102X</v>
      </c>
      <c r="D3347" t="str">
        <f>"HANNA                    COURTNEY     A           "</f>
        <v xml:space="preserve">HANNA                    COURTNEY     A           </v>
      </c>
      <c r="E3347" t="str">
        <f t="shared" si="144"/>
        <v xml:space="preserve">NEW ORLEANS               </v>
      </c>
      <c r="F3347" t="str">
        <f t="shared" si="140"/>
        <v>LA</v>
      </c>
    </row>
    <row r="3348" spans="1:6" x14ac:dyDescent="0.25">
      <c r="A3348" t="str">
        <f>"007731809"</f>
        <v>007731809</v>
      </c>
      <c r="B3348" t="str">
        <f>"1902815939"</f>
        <v>1902815939</v>
      </c>
      <c r="C3348" t="str">
        <f>"207V00000X"</f>
        <v>207V00000X</v>
      </c>
      <c r="D3348" t="str">
        <f>"VARGAS                   JUAN         C           "</f>
        <v xml:space="preserve">VARGAS                   JUAN         C           </v>
      </c>
      <c r="E3348" t="str">
        <f>"BATON ROUGE               "</f>
        <v xml:space="preserve">BATON ROUGE               </v>
      </c>
      <c r="F3348" t="str">
        <f t="shared" si="140"/>
        <v>LA</v>
      </c>
    </row>
    <row r="3349" spans="1:6" x14ac:dyDescent="0.25">
      <c r="A3349" t="str">
        <f>"007751056"</f>
        <v>007751056</v>
      </c>
      <c r="B3349" t="str">
        <f>"1699978122"</f>
        <v>1699978122</v>
      </c>
      <c r="C3349" t="str">
        <f>"2084N0400X"</f>
        <v>2084N0400X</v>
      </c>
      <c r="D3349" t="str">
        <f>"KHAN                     FAWAD        A           "</f>
        <v xml:space="preserve">KHAN                     FAWAD        A           </v>
      </c>
      <c r="E3349" t="str">
        <f t="shared" ref="E3349:E3355" si="145">"NEW ORLEANS               "</f>
        <v xml:space="preserve">NEW ORLEANS               </v>
      </c>
      <c r="F3349" t="str">
        <f t="shared" si="140"/>
        <v>LA</v>
      </c>
    </row>
    <row r="3350" spans="1:6" x14ac:dyDescent="0.25">
      <c r="A3350" t="str">
        <f>"007759318"</f>
        <v>007759318</v>
      </c>
      <c r="B3350" t="str">
        <f>"1578199832"</f>
        <v>1578199832</v>
      </c>
      <c r="C3350" t="str">
        <f>"363L00000X"</f>
        <v>363L00000X</v>
      </c>
      <c r="D3350" t="str">
        <f>"TORRES                   BROOKE                   "</f>
        <v xml:space="preserve">TORRES                   BROOKE                   </v>
      </c>
      <c r="E3350" t="str">
        <f t="shared" si="145"/>
        <v xml:space="preserve">NEW ORLEANS               </v>
      </c>
      <c r="F3350" t="str">
        <f t="shared" si="140"/>
        <v>LA</v>
      </c>
    </row>
    <row r="3351" spans="1:6" x14ac:dyDescent="0.25">
      <c r="A3351" t="str">
        <f>"007778269"</f>
        <v>007778269</v>
      </c>
      <c r="B3351" t="str">
        <f>"1396240909"</f>
        <v>1396240909</v>
      </c>
      <c r="C3351" t="str">
        <f>"207R00000X"</f>
        <v>207R00000X</v>
      </c>
      <c r="D3351" t="str">
        <f>"BAHD                     JASMINE      K           "</f>
        <v xml:space="preserve">BAHD                     JASMINE      K           </v>
      </c>
      <c r="E3351" t="str">
        <f t="shared" si="145"/>
        <v xml:space="preserve">NEW ORLEANS               </v>
      </c>
      <c r="F3351" t="str">
        <f t="shared" si="140"/>
        <v>LA</v>
      </c>
    </row>
    <row r="3352" spans="1:6" x14ac:dyDescent="0.25">
      <c r="A3352" t="str">
        <f>"007784377"</f>
        <v>007784377</v>
      </c>
      <c r="B3352" t="str">
        <f>"1477949451"</f>
        <v>1477949451</v>
      </c>
      <c r="C3352" t="str">
        <f>"208000000X"</f>
        <v>208000000X</v>
      </c>
      <c r="D3352" t="str">
        <f>"MARTIN                   HOLLY        V           "</f>
        <v xml:space="preserve">MARTIN                   HOLLY        V           </v>
      </c>
      <c r="E3352" t="str">
        <f t="shared" si="145"/>
        <v xml:space="preserve">NEW ORLEANS               </v>
      </c>
      <c r="F3352" t="str">
        <f t="shared" si="140"/>
        <v>LA</v>
      </c>
    </row>
    <row r="3353" spans="1:6" x14ac:dyDescent="0.25">
      <c r="A3353" t="str">
        <f>"007789311"</f>
        <v>007789311</v>
      </c>
      <c r="B3353" t="str">
        <f>"1619315678"</f>
        <v>1619315678</v>
      </c>
      <c r="C3353" t="str">
        <f>"2084P0800X"</f>
        <v>2084P0800X</v>
      </c>
      <c r="D3353" t="str">
        <f>"MAHER                    MEGAN        C           "</f>
        <v xml:space="preserve">MAHER                    MEGAN        C           </v>
      </c>
      <c r="E3353" t="str">
        <f t="shared" si="145"/>
        <v xml:space="preserve">NEW ORLEANS               </v>
      </c>
      <c r="F3353" t="str">
        <f t="shared" si="140"/>
        <v>LA</v>
      </c>
    </row>
    <row r="3354" spans="1:6" x14ac:dyDescent="0.25">
      <c r="A3354" t="str">
        <f>"007789516"</f>
        <v>007789516</v>
      </c>
      <c r="B3354" t="str">
        <f>"1912346693"</f>
        <v>1912346693</v>
      </c>
      <c r="C3354" t="str">
        <f>"207RH0000X"</f>
        <v>207RH0000X</v>
      </c>
      <c r="D3354" t="str">
        <f>"ALSFELD                  LEONARD      C           "</f>
        <v xml:space="preserve">ALSFELD                  LEONARD      C           </v>
      </c>
      <c r="E3354" t="str">
        <f t="shared" si="145"/>
        <v xml:space="preserve">NEW ORLEANS               </v>
      </c>
      <c r="F3354" t="str">
        <f t="shared" si="140"/>
        <v>LA</v>
      </c>
    </row>
    <row r="3355" spans="1:6" x14ac:dyDescent="0.25">
      <c r="A3355" t="str">
        <f>"007803701"</f>
        <v>007803701</v>
      </c>
      <c r="B3355" t="str">
        <f>"1225052319"</f>
        <v>1225052319</v>
      </c>
      <c r="C3355" t="str">
        <f>"207RG0100X"</f>
        <v>207RG0100X</v>
      </c>
      <c r="D3355" t="str">
        <f>"SHAH                     JANAK        N           "</f>
        <v xml:space="preserve">SHAH                     JANAK        N           </v>
      </c>
      <c r="E3355" t="str">
        <f t="shared" si="145"/>
        <v xml:space="preserve">NEW ORLEANS               </v>
      </c>
      <c r="F3355" t="str">
        <f t="shared" ref="F3355:F3418" si="146">"LA"</f>
        <v>LA</v>
      </c>
    </row>
    <row r="3356" spans="1:6" x14ac:dyDescent="0.25">
      <c r="A3356" t="str">
        <f>"007804815"</f>
        <v>007804815</v>
      </c>
      <c r="B3356" t="str">
        <f>"1417334731"</f>
        <v>1417334731</v>
      </c>
      <c r="C3356" t="str">
        <f>"208600000X"</f>
        <v>208600000X</v>
      </c>
      <c r="D3356" t="str">
        <f>"INGRAM                   KYLE         R           "</f>
        <v xml:space="preserve">INGRAM                   KYLE         R           </v>
      </c>
      <c r="E3356" t="str">
        <f>"SLIDELL                   "</f>
        <v xml:space="preserve">SLIDELL                   </v>
      </c>
      <c r="F3356" t="str">
        <f t="shared" si="146"/>
        <v>LA</v>
      </c>
    </row>
    <row r="3357" spans="1:6" x14ac:dyDescent="0.25">
      <c r="A3357" t="str">
        <f>"007827058"</f>
        <v>007827058</v>
      </c>
      <c r="B3357" t="str">
        <f>"1821446907"</f>
        <v>1821446907</v>
      </c>
      <c r="C3357" t="str">
        <f>"363A00000X"</f>
        <v>363A00000X</v>
      </c>
      <c r="D3357" t="str">
        <f>"LE                       CATHERINE    T           "</f>
        <v xml:space="preserve">LE                       CATHERINE    T           </v>
      </c>
      <c r="E3357" t="str">
        <f>"NEW ORLEANS               "</f>
        <v xml:space="preserve">NEW ORLEANS               </v>
      </c>
      <c r="F3357" t="str">
        <f t="shared" si="146"/>
        <v>LA</v>
      </c>
    </row>
    <row r="3358" spans="1:6" x14ac:dyDescent="0.25">
      <c r="A3358" t="str">
        <f>"007828361"</f>
        <v>007828361</v>
      </c>
      <c r="B3358" t="str">
        <f>"1295749851"</f>
        <v>1295749851</v>
      </c>
      <c r="C3358" t="str">
        <f>"2085R0202X"</f>
        <v>2085R0202X</v>
      </c>
      <c r="D3358" t="str">
        <f>"MODICA                   ANTHONY      L           "</f>
        <v xml:space="preserve">MODICA                   ANTHONY      L           </v>
      </c>
      <c r="E3358" t="str">
        <f>"NEW ORLEANS               "</f>
        <v xml:space="preserve">NEW ORLEANS               </v>
      </c>
      <c r="F3358" t="str">
        <f t="shared" si="146"/>
        <v>LA</v>
      </c>
    </row>
    <row r="3359" spans="1:6" x14ac:dyDescent="0.25">
      <c r="A3359" t="str">
        <f>"007830879"</f>
        <v>007830879</v>
      </c>
      <c r="B3359" t="str">
        <f>"1144893793"</f>
        <v>1144893793</v>
      </c>
      <c r="C3359" t="str">
        <f>"363A00000X"</f>
        <v>363A00000X</v>
      </c>
      <c r="D3359" t="str">
        <f>"PORTER                   JESSICA      H           "</f>
        <v xml:space="preserve">PORTER                   JESSICA      H           </v>
      </c>
      <c r="E3359" t="str">
        <f>"BATON ROUGE               "</f>
        <v xml:space="preserve">BATON ROUGE               </v>
      </c>
      <c r="F3359" t="str">
        <f t="shared" si="146"/>
        <v>LA</v>
      </c>
    </row>
    <row r="3360" spans="1:6" x14ac:dyDescent="0.25">
      <c r="A3360" t="str">
        <f>"007831353"</f>
        <v>007831353</v>
      </c>
      <c r="B3360" t="str">
        <f>"1427263375"</f>
        <v>1427263375</v>
      </c>
      <c r="C3360" t="str">
        <f>"2085R0202X"</f>
        <v>2085R0202X</v>
      </c>
      <c r="D3360" t="str">
        <f>"LAWTON, III              JAMES        S           "</f>
        <v xml:space="preserve">LAWTON, III              JAMES        S           </v>
      </c>
      <c r="E3360" t="str">
        <f>"BATON ROUGE               "</f>
        <v xml:space="preserve">BATON ROUGE               </v>
      </c>
      <c r="F3360" t="str">
        <f t="shared" si="146"/>
        <v>LA</v>
      </c>
    </row>
    <row r="3361" spans="1:6" x14ac:dyDescent="0.25">
      <c r="A3361" t="str">
        <f>"007839302"</f>
        <v>007839302</v>
      </c>
      <c r="B3361" t="str">
        <f>"1225522626"</f>
        <v>1225522626</v>
      </c>
      <c r="C3361" t="str">
        <f>"363L00000X"</f>
        <v>363L00000X</v>
      </c>
      <c r="D3361" t="str">
        <f>"KENNEY-CROWELL           LAUREN       E           "</f>
        <v xml:space="preserve">KENNEY-CROWELL           LAUREN       E           </v>
      </c>
      <c r="E3361" t="str">
        <f>"NEW ORLEANS               "</f>
        <v xml:space="preserve">NEW ORLEANS               </v>
      </c>
      <c r="F3361" t="str">
        <f t="shared" si="146"/>
        <v>LA</v>
      </c>
    </row>
    <row r="3362" spans="1:6" x14ac:dyDescent="0.25">
      <c r="A3362" t="str">
        <f>"007854226"</f>
        <v>007854226</v>
      </c>
      <c r="B3362" t="str">
        <f>"1174577902"</f>
        <v>1174577902</v>
      </c>
      <c r="C3362" t="str">
        <f>"207R00000X"</f>
        <v>207R00000X</v>
      </c>
      <c r="D3362" t="str">
        <f>"RITTER                   CHRISTOPHER              "</f>
        <v xml:space="preserve">RITTER                   CHRISTOPHER              </v>
      </c>
      <c r="E3362" t="str">
        <f>"MARKSVILLE                "</f>
        <v xml:space="preserve">MARKSVILLE                </v>
      </c>
      <c r="F3362" t="str">
        <f t="shared" si="146"/>
        <v>LA</v>
      </c>
    </row>
    <row r="3363" spans="1:6" x14ac:dyDescent="0.25">
      <c r="A3363" t="str">
        <f>"007858241"</f>
        <v>007858241</v>
      </c>
      <c r="B3363" t="str">
        <f>"1588831952"</f>
        <v>1588831952</v>
      </c>
      <c r="C3363" t="str">
        <f>"207R00000X"</f>
        <v>207R00000X</v>
      </c>
      <c r="D3363" t="str">
        <f>"JACKSON                  COURTNEY     C           "</f>
        <v xml:space="preserve">JACKSON                  COURTNEY     C           </v>
      </c>
      <c r="E3363" t="str">
        <f>"NEW ORLEANS               "</f>
        <v xml:space="preserve">NEW ORLEANS               </v>
      </c>
      <c r="F3363" t="str">
        <f t="shared" si="146"/>
        <v>LA</v>
      </c>
    </row>
    <row r="3364" spans="1:6" x14ac:dyDescent="0.25">
      <c r="A3364" t="str">
        <f>"007883064"</f>
        <v>007883064</v>
      </c>
      <c r="B3364" t="str">
        <f>"1366861023"</f>
        <v>1366861023</v>
      </c>
      <c r="C3364" t="str">
        <f>"207ZP0102X"</f>
        <v>207ZP0102X</v>
      </c>
      <c r="D3364" t="str">
        <f>"TRIVEDI                  DARSHAN      P           "</f>
        <v xml:space="preserve">TRIVEDI                  DARSHAN      P           </v>
      </c>
      <c r="E3364" t="str">
        <f>"NEW ORLEANS               "</f>
        <v xml:space="preserve">NEW ORLEANS               </v>
      </c>
      <c r="F3364" t="str">
        <f t="shared" si="146"/>
        <v>LA</v>
      </c>
    </row>
    <row r="3365" spans="1:6" x14ac:dyDescent="0.25">
      <c r="A3365" t="str">
        <f>"007886746"</f>
        <v>007886746</v>
      </c>
      <c r="B3365" t="str">
        <f>"1972644391"</f>
        <v>1972644391</v>
      </c>
      <c r="C3365" t="str">
        <f>"2084N0400X"</f>
        <v>2084N0400X</v>
      </c>
      <c r="D3365" t="str">
        <f>"AZAR                     NABIL                    "</f>
        <v xml:space="preserve">AZAR                     NABIL                    </v>
      </c>
      <c r="E3365" t="str">
        <f>"COVINGTON                 "</f>
        <v xml:space="preserve">COVINGTON                 </v>
      </c>
      <c r="F3365" t="str">
        <f t="shared" si="146"/>
        <v>LA</v>
      </c>
    </row>
    <row r="3366" spans="1:6" x14ac:dyDescent="0.25">
      <c r="A3366" t="str">
        <f>"007901354"</f>
        <v>007901354</v>
      </c>
      <c r="B3366" t="str">
        <f>"1376526392"</f>
        <v>1376526392</v>
      </c>
      <c r="C3366" t="str">
        <f>"208000000X"</f>
        <v>208000000X</v>
      </c>
      <c r="D3366" t="str">
        <f>"PUZDRAKIEWICZ            MICHELLE     G           "</f>
        <v xml:space="preserve">PUZDRAKIEWICZ            MICHELLE     G           </v>
      </c>
      <c r="E3366" t="str">
        <f>"NEW ORLEANS               "</f>
        <v xml:space="preserve">NEW ORLEANS               </v>
      </c>
      <c r="F3366" t="str">
        <f t="shared" si="146"/>
        <v>LA</v>
      </c>
    </row>
    <row r="3367" spans="1:6" x14ac:dyDescent="0.25">
      <c r="A3367" t="str">
        <f>"007902200"</f>
        <v>007902200</v>
      </c>
      <c r="B3367" t="str">
        <f>"1871788216"</f>
        <v>1871788216</v>
      </c>
      <c r="C3367" t="str">
        <f>"2084N0400X"</f>
        <v>2084N0400X</v>
      </c>
      <c r="D3367" t="str">
        <f>"VIDAL                    GABRIEL      A           "</f>
        <v xml:space="preserve">VIDAL                    GABRIEL      A           </v>
      </c>
      <c r="E3367" t="str">
        <f>"NEW ORLEANS               "</f>
        <v xml:space="preserve">NEW ORLEANS               </v>
      </c>
      <c r="F3367" t="str">
        <f t="shared" si="146"/>
        <v>LA</v>
      </c>
    </row>
    <row r="3368" spans="1:6" x14ac:dyDescent="0.25">
      <c r="A3368" t="str">
        <f>"007907522"</f>
        <v>007907522</v>
      </c>
      <c r="B3368" t="str">
        <f>"1831530229"</f>
        <v>1831530229</v>
      </c>
      <c r="C3368" t="str">
        <f>"363L00000X"</f>
        <v>363L00000X</v>
      </c>
      <c r="D3368" t="str">
        <f>"GUIDRY                   KIM          A           "</f>
        <v xml:space="preserve">GUIDRY                   KIM          A           </v>
      </c>
      <c r="E3368" t="str">
        <f>"NEW ORLEANS               "</f>
        <v xml:space="preserve">NEW ORLEANS               </v>
      </c>
      <c r="F3368" t="str">
        <f t="shared" si="146"/>
        <v>LA</v>
      </c>
    </row>
    <row r="3369" spans="1:6" x14ac:dyDescent="0.25">
      <c r="A3369" t="str">
        <f>"007928373"</f>
        <v>007928373</v>
      </c>
      <c r="B3369" t="str">
        <f>"1114587235"</f>
        <v>1114587235</v>
      </c>
      <c r="C3369" t="str">
        <f>"367500000X"</f>
        <v>367500000X</v>
      </c>
      <c r="D3369" t="str">
        <f>"DUBOS                    JASON        N           "</f>
        <v xml:space="preserve">DUBOS                    JASON        N           </v>
      </c>
      <c r="E3369" t="str">
        <f>"NEW ORLEANS               "</f>
        <v xml:space="preserve">NEW ORLEANS               </v>
      </c>
      <c r="F3369" t="str">
        <f t="shared" si="146"/>
        <v>LA</v>
      </c>
    </row>
    <row r="3370" spans="1:6" x14ac:dyDescent="0.25">
      <c r="A3370" t="str">
        <f>"007936894"</f>
        <v>007936894</v>
      </c>
      <c r="B3370" t="str">
        <f>"1861682791"</f>
        <v>1861682791</v>
      </c>
      <c r="C3370" t="str">
        <f>"207X00000X"</f>
        <v>207X00000X</v>
      </c>
      <c r="D3370" t="str">
        <f>"CHOATE                   WALTER       S           "</f>
        <v xml:space="preserve">CHOATE                   WALTER       S           </v>
      </c>
      <c r="E3370" t="str">
        <f>"JEFFERSON                 "</f>
        <v xml:space="preserve">JEFFERSON                 </v>
      </c>
      <c r="F3370" t="str">
        <f t="shared" si="146"/>
        <v>LA</v>
      </c>
    </row>
    <row r="3371" spans="1:6" x14ac:dyDescent="0.25">
      <c r="A3371" t="str">
        <f>"007938871"</f>
        <v>007938871</v>
      </c>
      <c r="B3371" t="str">
        <f>"1215036629"</f>
        <v>1215036629</v>
      </c>
      <c r="C3371" t="str">
        <f>"2085R0202X"</f>
        <v>2085R0202X</v>
      </c>
      <c r="D3371" t="str">
        <f>"SILVESTRI                BEATA        C           "</f>
        <v xml:space="preserve">SILVESTRI                BEATA        C           </v>
      </c>
      <c r="E3371" t="str">
        <f>"NEW ORLEANS               "</f>
        <v xml:space="preserve">NEW ORLEANS               </v>
      </c>
      <c r="F3371" t="str">
        <f t="shared" si="146"/>
        <v>LA</v>
      </c>
    </row>
    <row r="3372" spans="1:6" x14ac:dyDescent="0.25">
      <c r="A3372" t="str">
        <f>"007951222"</f>
        <v>007951222</v>
      </c>
      <c r="B3372" t="str">
        <f>"1336556885"</f>
        <v>1336556885</v>
      </c>
      <c r="C3372" t="str">
        <f>"363L00000X"</f>
        <v>363L00000X</v>
      </c>
      <c r="D3372" t="str">
        <f>"SCROGGS                  AIMEE        L           "</f>
        <v xml:space="preserve">SCROGGS                  AIMEE        L           </v>
      </c>
      <c r="E3372" t="str">
        <f>"NEW ORLEANS               "</f>
        <v xml:space="preserve">NEW ORLEANS               </v>
      </c>
      <c r="F3372" t="str">
        <f t="shared" si="146"/>
        <v>LA</v>
      </c>
    </row>
    <row r="3373" spans="1:6" x14ac:dyDescent="0.25">
      <c r="A3373" t="str">
        <f>"007951570"</f>
        <v>007951570</v>
      </c>
      <c r="B3373" t="str">
        <f>"1649512435"</f>
        <v>1649512435</v>
      </c>
      <c r="C3373" t="str">
        <f>"2084N0400X"</f>
        <v>2084N0400X</v>
      </c>
      <c r="D3373" t="str">
        <f>"EADY                     TIFFANY      N           "</f>
        <v xml:space="preserve">EADY                     TIFFANY      N           </v>
      </c>
      <c r="E3373" t="str">
        <f>"NEW ORLEANS               "</f>
        <v xml:space="preserve">NEW ORLEANS               </v>
      </c>
      <c r="F3373" t="str">
        <f t="shared" si="146"/>
        <v>LA</v>
      </c>
    </row>
    <row r="3374" spans="1:6" x14ac:dyDescent="0.25">
      <c r="A3374" t="str">
        <f>"007953546"</f>
        <v>007953546</v>
      </c>
      <c r="B3374" t="str">
        <f>"1992002307"</f>
        <v>1992002307</v>
      </c>
      <c r="C3374" t="str">
        <f>"367500000X"</f>
        <v>367500000X</v>
      </c>
      <c r="D3374" t="str">
        <f>"HYMEL                    NICOLE       M           "</f>
        <v xml:space="preserve">HYMEL                    NICOLE       M           </v>
      </c>
      <c r="E3374" t="str">
        <f>"COVINGTON                 "</f>
        <v xml:space="preserve">COVINGTON                 </v>
      </c>
      <c r="F3374" t="str">
        <f t="shared" si="146"/>
        <v>LA</v>
      </c>
    </row>
    <row r="3375" spans="1:6" x14ac:dyDescent="0.25">
      <c r="A3375" t="str">
        <f>"007954044"</f>
        <v>007954044</v>
      </c>
      <c r="B3375" t="str">
        <f>"1023469913"</f>
        <v>1023469913</v>
      </c>
      <c r="C3375" t="str">
        <f>"363L00000X"</f>
        <v>363L00000X</v>
      </c>
      <c r="D3375" t="str">
        <f>"COOK                     DANIELLE     V           "</f>
        <v xml:space="preserve">COOK                     DANIELLE     V           </v>
      </c>
      <c r="E3375" t="str">
        <f>"NEW ORLEANS               "</f>
        <v xml:space="preserve">NEW ORLEANS               </v>
      </c>
      <c r="F3375" t="str">
        <f t="shared" si="146"/>
        <v>LA</v>
      </c>
    </row>
    <row r="3376" spans="1:6" x14ac:dyDescent="0.25">
      <c r="A3376" t="str">
        <f>"007972396"</f>
        <v>007972396</v>
      </c>
      <c r="B3376" t="str">
        <f>"1164613949"</f>
        <v>1164613949</v>
      </c>
      <c r="C3376" t="str">
        <f>"207L00000X"</f>
        <v>207L00000X</v>
      </c>
      <c r="D3376" t="str">
        <f>"DHEMECOURT JR            JOHN         P           "</f>
        <v xml:space="preserve">DHEMECOURT JR            JOHN         P           </v>
      </c>
      <c r="E3376" t="str">
        <f>"COVINGTON                 "</f>
        <v xml:space="preserve">COVINGTON                 </v>
      </c>
      <c r="F3376" t="str">
        <f t="shared" si="146"/>
        <v>LA</v>
      </c>
    </row>
    <row r="3377" spans="1:6" x14ac:dyDescent="0.25">
      <c r="A3377" t="str">
        <f>"007987095"</f>
        <v>007987095</v>
      </c>
      <c r="B3377" t="str">
        <f>"1952529695"</f>
        <v>1952529695</v>
      </c>
      <c r="C3377" t="str">
        <f>"2085R0202X"</f>
        <v>2085R0202X</v>
      </c>
      <c r="D3377" t="str">
        <f>"BELLEVILLE               FRANCINE                 "</f>
        <v xml:space="preserve">BELLEVILLE               FRANCINE                 </v>
      </c>
      <c r="E3377" t="str">
        <f>"NEW ORLEANS               "</f>
        <v xml:space="preserve">NEW ORLEANS               </v>
      </c>
      <c r="F3377" t="str">
        <f t="shared" si="146"/>
        <v>LA</v>
      </c>
    </row>
    <row r="3378" spans="1:6" x14ac:dyDescent="0.25">
      <c r="A3378" t="str">
        <f>"008004367"</f>
        <v>008004367</v>
      </c>
      <c r="B3378" t="str">
        <f>"1811378748"</f>
        <v>1811378748</v>
      </c>
      <c r="C3378" t="str">
        <f>"208C00000X"</f>
        <v>208C00000X</v>
      </c>
      <c r="D3378" t="str">
        <f>"KAY                      DANIELLE     I           "</f>
        <v xml:space="preserve">KAY                      DANIELLE     I           </v>
      </c>
      <c r="E3378" t="str">
        <f>"NEW ORLEANS               "</f>
        <v xml:space="preserve">NEW ORLEANS               </v>
      </c>
      <c r="F3378" t="str">
        <f t="shared" si="146"/>
        <v>LA</v>
      </c>
    </row>
    <row r="3379" spans="1:6" x14ac:dyDescent="0.25">
      <c r="A3379" t="str">
        <f>"008020273"</f>
        <v>008020273</v>
      </c>
      <c r="B3379" t="str">
        <f>"1114450541"</f>
        <v>1114450541</v>
      </c>
      <c r="C3379" t="str">
        <f>"207R00000X"</f>
        <v>207R00000X</v>
      </c>
      <c r="D3379" t="str">
        <f>"SMITH                    JANET        R           "</f>
        <v xml:space="preserve">SMITH                    JANET        R           </v>
      </c>
      <c r="E3379" t="str">
        <f>"BOGALUSA                  "</f>
        <v xml:space="preserve">BOGALUSA                  </v>
      </c>
      <c r="F3379" t="str">
        <f t="shared" si="146"/>
        <v>LA</v>
      </c>
    </row>
    <row r="3380" spans="1:6" x14ac:dyDescent="0.25">
      <c r="A3380" t="str">
        <f>"008028557"</f>
        <v>008028557</v>
      </c>
      <c r="B3380" t="str">
        <f>"1720247364"</f>
        <v>1720247364</v>
      </c>
      <c r="C3380" t="str">
        <f>"2086S0120X"</f>
        <v>2086S0120X</v>
      </c>
      <c r="D3380" t="str">
        <f>"GRAY                     FABIENNE     L           "</f>
        <v xml:space="preserve">GRAY                     FABIENNE     L           </v>
      </c>
      <c r="E3380" t="str">
        <f>"NEW ORLEANS               "</f>
        <v xml:space="preserve">NEW ORLEANS               </v>
      </c>
      <c r="F3380" t="str">
        <f t="shared" si="146"/>
        <v>LA</v>
      </c>
    </row>
    <row r="3381" spans="1:6" x14ac:dyDescent="0.25">
      <c r="A3381" t="str">
        <f>"008037883"</f>
        <v>008037883</v>
      </c>
      <c r="B3381" t="str">
        <f>"1710979075"</f>
        <v>1710979075</v>
      </c>
      <c r="C3381" t="str">
        <f>"207K00000X"</f>
        <v>207K00000X</v>
      </c>
      <c r="D3381" t="str">
        <f>"BORRESON                 ANN          E           "</f>
        <v xml:space="preserve">BORRESON                 ANN          E           </v>
      </c>
      <c r="E3381" t="str">
        <f>"MARRERO                   "</f>
        <v xml:space="preserve">MARRERO                   </v>
      </c>
      <c r="F3381" t="str">
        <f t="shared" si="146"/>
        <v>LA</v>
      </c>
    </row>
    <row r="3382" spans="1:6" x14ac:dyDescent="0.25">
      <c r="A3382" t="str">
        <f>"008052257"</f>
        <v>008052257</v>
      </c>
      <c r="B3382" t="str">
        <f>"1144647298"</f>
        <v>1144647298</v>
      </c>
      <c r="C3382" t="str">
        <f>"207R00000X"</f>
        <v>207R00000X</v>
      </c>
      <c r="D3382" t="str">
        <f>"CHAU                     HEATHER      H           "</f>
        <v xml:space="preserve">CHAU                     HEATHER      H           </v>
      </c>
      <c r="E3382" t="str">
        <f>"NEW ORLEANS               "</f>
        <v xml:space="preserve">NEW ORLEANS               </v>
      </c>
      <c r="F3382" t="str">
        <f t="shared" si="146"/>
        <v>LA</v>
      </c>
    </row>
    <row r="3383" spans="1:6" x14ac:dyDescent="0.25">
      <c r="A3383" t="str">
        <f>"008055344"</f>
        <v>008055344</v>
      </c>
      <c r="B3383" t="str">
        <f>"1306879960"</f>
        <v>1306879960</v>
      </c>
      <c r="C3383" t="str">
        <f>"207RN0300X"</f>
        <v>207RN0300X</v>
      </c>
      <c r="D3383" t="str">
        <f>"KAMYAR                   AMIN                     "</f>
        <v xml:space="preserve">KAMYAR                   AMIN                     </v>
      </c>
      <c r="E3383" t="str">
        <f>"BATON ROUGE               "</f>
        <v xml:space="preserve">BATON ROUGE               </v>
      </c>
      <c r="F3383" t="str">
        <f t="shared" si="146"/>
        <v>LA</v>
      </c>
    </row>
    <row r="3384" spans="1:6" x14ac:dyDescent="0.25">
      <c r="A3384" t="str">
        <f>"008056508"</f>
        <v>008056508</v>
      </c>
      <c r="B3384" t="str">
        <f>"1255660338"</f>
        <v>1255660338</v>
      </c>
      <c r="C3384" t="str">
        <f>"207RE0101X"</f>
        <v>207RE0101X</v>
      </c>
      <c r="D3384" t="str">
        <f>"ALLEYN                   CIELO        R           "</f>
        <v xml:space="preserve">ALLEYN                   CIELO        R           </v>
      </c>
      <c r="E3384" t="str">
        <f>"NEW ORLEANS               "</f>
        <v xml:space="preserve">NEW ORLEANS               </v>
      </c>
      <c r="F3384" t="str">
        <f t="shared" si="146"/>
        <v>LA</v>
      </c>
    </row>
    <row r="3385" spans="1:6" x14ac:dyDescent="0.25">
      <c r="A3385" t="str">
        <f>"008072764"</f>
        <v>008072764</v>
      </c>
      <c r="B3385" t="str">
        <f>"1750636809"</f>
        <v>1750636809</v>
      </c>
      <c r="C3385" t="str">
        <f>"207Y00000X"</f>
        <v>207Y00000X</v>
      </c>
      <c r="D3385" t="str">
        <f>"MCMULLEN                 KYLE         P           "</f>
        <v xml:space="preserve">MCMULLEN                 KYLE         P           </v>
      </c>
      <c r="E3385" t="str">
        <f>"COVINGTON                 "</f>
        <v xml:space="preserve">COVINGTON                 </v>
      </c>
      <c r="F3385" t="str">
        <f t="shared" si="146"/>
        <v>LA</v>
      </c>
    </row>
    <row r="3386" spans="1:6" x14ac:dyDescent="0.25">
      <c r="A3386" t="str">
        <f>"008075751"</f>
        <v>008075751</v>
      </c>
      <c r="B3386" t="str">
        <f>"1861608010"</f>
        <v>1861608010</v>
      </c>
      <c r="C3386" t="str">
        <f>"207V00000X"</f>
        <v>207V00000X</v>
      </c>
      <c r="D3386" t="str">
        <f>"FREEHILL                 NICOLE       E           "</f>
        <v xml:space="preserve">FREEHILL                 NICOLE       E           </v>
      </c>
      <c r="E3386" t="str">
        <f>"NEW ORLEANS               "</f>
        <v xml:space="preserve">NEW ORLEANS               </v>
      </c>
      <c r="F3386" t="str">
        <f t="shared" si="146"/>
        <v>LA</v>
      </c>
    </row>
    <row r="3387" spans="1:6" x14ac:dyDescent="0.25">
      <c r="A3387" t="str">
        <f>"008077299"</f>
        <v>008077299</v>
      </c>
      <c r="B3387" t="str">
        <f>"1255990396"</f>
        <v>1255990396</v>
      </c>
      <c r="C3387" t="str">
        <f>"363A00000X"</f>
        <v>363A00000X</v>
      </c>
      <c r="D3387" t="str">
        <f>"BLOISE                   ALEXANDRIA   L           "</f>
        <v xml:space="preserve">BLOISE                   ALEXANDRIA   L           </v>
      </c>
      <c r="E3387" t="str">
        <f>"NEW ORLEANS               "</f>
        <v xml:space="preserve">NEW ORLEANS               </v>
      </c>
      <c r="F3387" t="str">
        <f t="shared" si="146"/>
        <v>LA</v>
      </c>
    </row>
    <row r="3388" spans="1:6" x14ac:dyDescent="0.25">
      <c r="A3388" t="str">
        <f>"008078306"</f>
        <v>008078306</v>
      </c>
      <c r="B3388" t="str">
        <f>"1184814659"</f>
        <v>1184814659</v>
      </c>
      <c r="C3388" t="str">
        <f>"208000000X"</f>
        <v>208000000X</v>
      </c>
      <c r="D3388" t="str">
        <f>"FELIPE RAMIREZ           DANIA        L           "</f>
        <v xml:space="preserve">FELIPE RAMIREZ           DANIA        L           </v>
      </c>
      <c r="E3388" t="str">
        <f>"NEW ORLEANS               "</f>
        <v xml:space="preserve">NEW ORLEANS               </v>
      </c>
      <c r="F3388" t="str">
        <f t="shared" si="146"/>
        <v>LA</v>
      </c>
    </row>
    <row r="3389" spans="1:6" x14ac:dyDescent="0.25">
      <c r="A3389" t="str">
        <f>"008087373"</f>
        <v>008087373</v>
      </c>
      <c r="B3389" t="str">
        <f>"1528217627"</f>
        <v>1528217627</v>
      </c>
      <c r="C3389" t="str">
        <f>"207X00000X"</f>
        <v>207X00000X</v>
      </c>
      <c r="D3389" t="str">
        <f>"GARGIULO                 DOMINIC      J           "</f>
        <v xml:space="preserve">GARGIULO                 DOMINIC      J           </v>
      </c>
      <c r="E3389" t="str">
        <f>"NEW ORLEANS               "</f>
        <v xml:space="preserve">NEW ORLEANS               </v>
      </c>
      <c r="F3389" t="str">
        <f t="shared" si="146"/>
        <v>LA</v>
      </c>
    </row>
    <row r="3390" spans="1:6" x14ac:dyDescent="0.25">
      <c r="A3390" t="str">
        <f>"008108511"</f>
        <v>008108511</v>
      </c>
      <c r="B3390" t="str">
        <f>"1336501089"</f>
        <v>1336501089</v>
      </c>
      <c r="C3390" t="str">
        <f>"2084P0800X"</f>
        <v>2084P0800X</v>
      </c>
      <c r="D3390" t="str">
        <f>"GREENE                   SARA         L           "</f>
        <v xml:space="preserve">GREENE                   SARA         L           </v>
      </c>
      <c r="E3390" t="str">
        <f>"JEFFERSON                 "</f>
        <v xml:space="preserve">JEFFERSON                 </v>
      </c>
      <c r="F3390" t="str">
        <f t="shared" si="146"/>
        <v>LA</v>
      </c>
    </row>
    <row r="3391" spans="1:6" x14ac:dyDescent="0.25">
      <c r="A3391" t="str">
        <f>"008127218"</f>
        <v>008127218</v>
      </c>
      <c r="B3391" t="str">
        <f>"1932586617"</f>
        <v>1932586617</v>
      </c>
      <c r="C3391" t="str">
        <f>"208100000X"</f>
        <v>208100000X</v>
      </c>
      <c r="D3391" t="str">
        <f>"HANYU-DEUTMEYER          AARON        A           "</f>
        <v xml:space="preserve">HANYU-DEUTMEYER          AARON        A           </v>
      </c>
      <c r="E3391" t="str">
        <f>"NEW ORLEANS               "</f>
        <v xml:space="preserve">NEW ORLEANS               </v>
      </c>
      <c r="F3391" t="str">
        <f t="shared" si="146"/>
        <v>LA</v>
      </c>
    </row>
    <row r="3392" spans="1:6" x14ac:dyDescent="0.25">
      <c r="A3392" t="str">
        <f>"008129779"</f>
        <v>008129779</v>
      </c>
      <c r="B3392" t="str">
        <f>"1205239316"</f>
        <v>1205239316</v>
      </c>
      <c r="C3392" t="str">
        <f>"363L00000X"</f>
        <v>363L00000X</v>
      </c>
      <c r="D3392" t="str">
        <f>"HUDGENS                  JENNIFER     L           "</f>
        <v xml:space="preserve">HUDGENS                  JENNIFER     L           </v>
      </c>
      <c r="E3392" t="str">
        <f>"TERRYTOWN                 "</f>
        <v xml:space="preserve">TERRYTOWN                 </v>
      </c>
      <c r="F3392" t="str">
        <f t="shared" si="146"/>
        <v>LA</v>
      </c>
    </row>
    <row r="3393" spans="1:6" x14ac:dyDescent="0.25">
      <c r="A3393" t="str">
        <f>"008154048"</f>
        <v>008154048</v>
      </c>
      <c r="B3393" t="str">
        <f>"1093903726"</f>
        <v>1093903726</v>
      </c>
      <c r="C3393" t="str">
        <f>"207RC0000X"</f>
        <v>207RC0000X</v>
      </c>
      <c r="D3393" t="str">
        <f>"POTHINENI                KOTESWARA    R           "</f>
        <v xml:space="preserve">POTHINENI                KOTESWARA    R           </v>
      </c>
      <c r="E3393" t="str">
        <f>"BATON ROUGE               "</f>
        <v xml:space="preserve">BATON ROUGE               </v>
      </c>
      <c r="F3393" t="str">
        <f t="shared" si="146"/>
        <v>LA</v>
      </c>
    </row>
    <row r="3394" spans="1:6" x14ac:dyDescent="0.25">
      <c r="A3394" t="str">
        <f>"008173853"</f>
        <v>008173853</v>
      </c>
      <c r="B3394" t="str">
        <f>"1225122781"</f>
        <v>1225122781</v>
      </c>
      <c r="C3394" t="str">
        <f>"367500000X"</f>
        <v>367500000X</v>
      </c>
      <c r="D3394" t="str">
        <f>"MYSING                   JUDITH                   "</f>
        <v xml:space="preserve">MYSING                   JUDITH                   </v>
      </c>
      <c r="E3394" t="str">
        <f>"NEW ORLEANS               "</f>
        <v xml:space="preserve">NEW ORLEANS               </v>
      </c>
      <c r="F3394" t="str">
        <f t="shared" si="146"/>
        <v>LA</v>
      </c>
    </row>
    <row r="3395" spans="1:6" x14ac:dyDescent="0.25">
      <c r="A3395" t="str">
        <f>"008178082"</f>
        <v>008178082</v>
      </c>
      <c r="B3395" t="str">
        <f>"1104280825"</f>
        <v>1104280825</v>
      </c>
      <c r="C3395" t="str">
        <f>"2084P0800X"</f>
        <v>2084P0800X</v>
      </c>
      <c r="D3395" t="str">
        <f>"MITCHELL                 JERRELL      L           "</f>
        <v xml:space="preserve">MITCHELL                 JERRELL      L           </v>
      </c>
      <c r="E3395" t="str">
        <f>"JEFFERSON                 "</f>
        <v xml:space="preserve">JEFFERSON                 </v>
      </c>
      <c r="F3395" t="str">
        <f t="shared" si="146"/>
        <v>LA</v>
      </c>
    </row>
    <row r="3396" spans="1:6" x14ac:dyDescent="0.25">
      <c r="A3396" t="str">
        <f>"008182333"</f>
        <v>008182333</v>
      </c>
      <c r="B3396" t="str">
        <f>"1508212036"</f>
        <v>1508212036</v>
      </c>
      <c r="C3396" t="str">
        <f>"2085R0202X"</f>
        <v>2085R0202X</v>
      </c>
      <c r="D3396" t="str">
        <f>"FOTO JR                  NICHOLAS     J           "</f>
        <v xml:space="preserve">FOTO JR                  NICHOLAS     J           </v>
      </c>
      <c r="E3396" t="str">
        <f>"NEW ORLEANS               "</f>
        <v xml:space="preserve">NEW ORLEANS               </v>
      </c>
      <c r="F3396" t="str">
        <f t="shared" si="146"/>
        <v>LA</v>
      </c>
    </row>
    <row r="3397" spans="1:6" x14ac:dyDescent="0.25">
      <c r="A3397" t="str">
        <f>"008183559"</f>
        <v>008183559</v>
      </c>
      <c r="B3397" t="str">
        <f>"1558324640"</f>
        <v>1558324640</v>
      </c>
      <c r="C3397" t="str">
        <f>"208000000X"</f>
        <v>208000000X</v>
      </c>
      <c r="D3397" t="str">
        <f>"DREWEK                   RUPALI                   "</f>
        <v xml:space="preserve">DREWEK                   RUPALI                   </v>
      </c>
      <c r="E3397" t="str">
        <f>"NEW ORLEANS               "</f>
        <v xml:space="preserve">NEW ORLEANS               </v>
      </c>
      <c r="F3397" t="str">
        <f t="shared" si="146"/>
        <v>LA</v>
      </c>
    </row>
    <row r="3398" spans="1:6" x14ac:dyDescent="0.25">
      <c r="A3398" t="str">
        <f>"008185352"</f>
        <v>008185352</v>
      </c>
      <c r="B3398" t="str">
        <f>"1346625175"</f>
        <v>1346625175</v>
      </c>
      <c r="C3398" t="str">
        <f>"363L00000X"</f>
        <v>363L00000X</v>
      </c>
      <c r="D3398" t="str">
        <f>"KOON                     JESSICA      R           "</f>
        <v xml:space="preserve">KOON                     JESSICA      R           </v>
      </c>
      <c r="E3398" t="str">
        <f>"SLIDELL                   "</f>
        <v xml:space="preserve">SLIDELL                   </v>
      </c>
      <c r="F3398" t="str">
        <f t="shared" si="146"/>
        <v>LA</v>
      </c>
    </row>
    <row r="3399" spans="1:6" x14ac:dyDescent="0.25">
      <c r="A3399" t="str">
        <f>"008201300"</f>
        <v>008201300</v>
      </c>
      <c r="B3399" t="str">
        <f>"1285164152"</f>
        <v>1285164152</v>
      </c>
      <c r="C3399" t="str">
        <f>"363L00000X"</f>
        <v>363L00000X</v>
      </c>
      <c r="D3399" t="str">
        <f>"STEVENS                  KRISTIN      G           "</f>
        <v xml:space="preserve">STEVENS                  KRISTIN      G           </v>
      </c>
      <c r="E3399" t="str">
        <f>"NEW ORLEANS               "</f>
        <v xml:space="preserve">NEW ORLEANS               </v>
      </c>
      <c r="F3399" t="str">
        <f t="shared" si="146"/>
        <v>LA</v>
      </c>
    </row>
    <row r="3400" spans="1:6" x14ac:dyDescent="0.25">
      <c r="A3400" t="str">
        <f>"008202306"</f>
        <v>008202306</v>
      </c>
      <c r="B3400" t="str">
        <f>"1902035637"</f>
        <v>1902035637</v>
      </c>
      <c r="C3400" t="str">
        <f>"208000000X"</f>
        <v>208000000X</v>
      </c>
      <c r="D3400" t="str">
        <f>"MARTIN                   JAMES        F           "</f>
        <v xml:space="preserve">MARTIN                   JAMES        F           </v>
      </c>
      <c r="E3400" t="str">
        <f>"NEW ORLEANS               "</f>
        <v xml:space="preserve">NEW ORLEANS               </v>
      </c>
      <c r="F3400" t="str">
        <f t="shared" si="146"/>
        <v>LA</v>
      </c>
    </row>
    <row r="3401" spans="1:6" x14ac:dyDescent="0.25">
      <c r="A3401" t="str">
        <f>"008203893"</f>
        <v>008203893</v>
      </c>
      <c r="B3401" t="str">
        <f>"1417300898"</f>
        <v>1417300898</v>
      </c>
      <c r="C3401" t="str">
        <f>"363L00000X"</f>
        <v>363L00000X</v>
      </c>
      <c r="D3401" t="str">
        <f>"BOEHM                    BRIDGITTE    M           "</f>
        <v xml:space="preserve">BOEHM                    BRIDGITTE    M           </v>
      </c>
      <c r="E3401" t="str">
        <f>"NEW ORLEANS               "</f>
        <v xml:space="preserve">NEW ORLEANS               </v>
      </c>
      <c r="F3401" t="str">
        <f t="shared" si="146"/>
        <v>LA</v>
      </c>
    </row>
    <row r="3402" spans="1:6" x14ac:dyDescent="0.25">
      <c r="A3402" t="str">
        <f>"008205520"</f>
        <v>008205520</v>
      </c>
      <c r="B3402" t="str">
        <f>"1508855198"</f>
        <v>1508855198</v>
      </c>
      <c r="C3402" t="str">
        <f>"207Q00000X"</f>
        <v>207Q00000X</v>
      </c>
      <c r="D3402" t="str">
        <f>"SHARP III                CLINTON      H           "</f>
        <v xml:space="preserve">SHARP III                CLINTON      H           </v>
      </c>
      <c r="E3402" t="str">
        <f>"SLIDELL                   "</f>
        <v xml:space="preserve">SLIDELL                   </v>
      </c>
      <c r="F3402" t="str">
        <f t="shared" si="146"/>
        <v>LA</v>
      </c>
    </row>
    <row r="3403" spans="1:6" x14ac:dyDescent="0.25">
      <c r="A3403" t="str">
        <f>"008221805"</f>
        <v>008221805</v>
      </c>
      <c r="B3403" t="str">
        <f>"1528202876"</f>
        <v>1528202876</v>
      </c>
      <c r="C3403" t="str">
        <f>"2080P0206X"</f>
        <v>2080P0206X</v>
      </c>
      <c r="D3403" t="str">
        <f>"SMITH                    ERIKA        V           "</f>
        <v xml:space="preserve">SMITH                    ERIKA        V           </v>
      </c>
      <c r="E3403" t="str">
        <f>"NEW ORLEANS               "</f>
        <v xml:space="preserve">NEW ORLEANS               </v>
      </c>
      <c r="F3403" t="str">
        <f t="shared" si="146"/>
        <v>LA</v>
      </c>
    </row>
    <row r="3404" spans="1:6" x14ac:dyDescent="0.25">
      <c r="A3404" t="str">
        <f>"008233208"</f>
        <v>008233208</v>
      </c>
      <c r="B3404" t="str">
        <f>"1447472196"</f>
        <v>1447472196</v>
      </c>
      <c r="C3404" t="str">
        <f>"208600000X"</f>
        <v>208600000X</v>
      </c>
      <c r="D3404" t="str">
        <f>"WOOD                     JAMES        H           "</f>
        <v xml:space="preserve">WOOD                     JAMES        H           </v>
      </c>
      <c r="E3404" t="str">
        <f>"BATON ROUGE               "</f>
        <v xml:space="preserve">BATON ROUGE               </v>
      </c>
      <c r="F3404" t="str">
        <f t="shared" si="146"/>
        <v>LA</v>
      </c>
    </row>
    <row r="3405" spans="1:6" x14ac:dyDescent="0.25">
      <c r="A3405" t="str">
        <f>"008236376"</f>
        <v>008236376</v>
      </c>
      <c r="B3405" t="str">
        <f>"1750756367"</f>
        <v>1750756367</v>
      </c>
      <c r="C3405" t="str">
        <f>"363L00000X"</f>
        <v>363L00000X</v>
      </c>
      <c r="D3405" t="str">
        <f>"BOYTE                    MARY         C           "</f>
        <v xml:space="preserve">BOYTE                    MARY         C           </v>
      </c>
      <c r="E3405" t="str">
        <f>"SLIDELL                   "</f>
        <v xml:space="preserve">SLIDELL                   </v>
      </c>
      <c r="F3405" t="str">
        <f t="shared" si="146"/>
        <v>LA</v>
      </c>
    </row>
    <row r="3406" spans="1:6" x14ac:dyDescent="0.25">
      <c r="A3406" t="str">
        <f>"008238544"</f>
        <v>008238544</v>
      </c>
      <c r="B3406" t="str">
        <f>"1821317819"</f>
        <v>1821317819</v>
      </c>
      <c r="C3406" t="str">
        <f>"2085R0202X"</f>
        <v>2085R0202X</v>
      </c>
      <c r="D3406" t="str">
        <f>"IRWINE                   CARA         R           "</f>
        <v xml:space="preserve">IRWINE                   CARA         R           </v>
      </c>
      <c r="E3406" t="str">
        <f>"NEW ORLEANS               "</f>
        <v xml:space="preserve">NEW ORLEANS               </v>
      </c>
      <c r="F3406" t="str">
        <f t="shared" si="146"/>
        <v>LA</v>
      </c>
    </row>
    <row r="3407" spans="1:6" x14ac:dyDescent="0.25">
      <c r="A3407" t="str">
        <f>"008239873"</f>
        <v>008239873</v>
      </c>
      <c r="B3407" t="str">
        <f>"1922016757"</f>
        <v>1922016757</v>
      </c>
      <c r="C3407" t="str">
        <f>"363A00000X"</f>
        <v>363A00000X</v>
      </c>
      <c r="D3407" t="str">
        <f>"SCHEUERMANN              JENNIFER     B           "</f>
        <v xml:space="preserve">SCHEUERMANN              JENNIFER     B           </v>
      </c>
      <c r="E3407" t="str">
        <f>"NEW ORLEANS               "</f>
        <v xml:space="preserve">NEW ORLEANS               </v>
      </c>
      <c r="F3407" t="str">
        <f t="shared" si="146"/>
        <v>LA</v>
      </c>
    </row>
    <row r="3408" spans="1:6" x14ac:dyDescent="0.25">
      <c r="A3408" t="str">
        <f>"008253729"</f>
        <v>008253729</v>
      </c>
      <c r="B3408" t="str">
        <f>"1972844769"</f>
        <v>1972844769</v>
      </c>
      <c r="C3408" t="str">
        <f>"363L00000X"</f>
        <v>363L00000X</v>
      </c>
      <c r="D3408" t="str">
        <f>"PETERS                   GLORIA       V           "</f>
        <v xml:space="preserve">PETERS                   GLORIA       V           </v>
      </c>
      <c r="E3408" t="str">
        <f>"SLIDELL                   "</f>
        <v xml:space="preserve">SLIDELL                   </v>
      </c>
      <c r="F3408" t="str">
        <f t="shared" si="146"/>
        <v>LA</v>
      </c>
    </row>
    <row r="3409" spans="1:6" x14ac:dyDescent="0.25">
      <c r="A3409" t="str">
        <f>"008258753"</f>
        <v>008258753</v>
      </c>
      <c r="B3409" t="str">
        <f>"1174697627"</f>
        <v>1174697627</v>
      </c>
      <c r="C3409" t="str">
        <f>"208100000X"</f>
        <v>208100000X</v>
      </c>
      <c r="D3409" t="str">
        <f>"PUROHIT                  NIDHI                    "</f>
        <v xml:space="preserve">PUROHIT                  NIDHI                    </v>
      </c>
      <c r="E3409" t="str">
        <f>"COVINGTON                 "</f>
        <v xml:space="preserve">COVINGTON                 </v>
      </c>
      <c r="F3409" t="str">
        <f t="shared" si="146"/>
        <v>LA</v>
      </c>
    </row>
    <row r="3410" spans="1:6" x14ac:dyDescent="0.25">
      <c r="A3410" t="str">
        <f>"008259215"</f>
        <v>008259215</v>
      </c>
      <c r="B3410" t="str">
        <f>"1356734446"</f>
        <v>1356734446</v>
      </c>
      <c r="C3410" t="str">
        <f>"2084N0402X"</f>
        <v>2084N0402X</v>
      </c>
      <c r="D3410" t="str">
        <f>"MOLINERO ROSALES         ISAAC        A           "</f>
        <v xml:space="preserve">MOLINERO ROSALES         ISAAC        A           </v>
      </c>
      <c r="E3410" t="str">
        <f>"NEW ORLEANS               "</f>
        <v xml:space="preserve">NEW ORLEANS               </v>
      </c>
      <c r="F3410" t="str">
        <f t="shared" si="146"/>
        <v>LA</v>
      </c>
    </row>
    <row r="3411" spans="1:6" x14ac:dyDescent="0.25">
      <c r="A3411" t="str">
        <f>"008270830"</f>
        <v>008270830</v>
      </c>
      <c r="B3411" t="str">
        <f>"1003202128"</f>
        <v>1003202128</v>
      </c>
      <c r="C3411" t="str">
        <f>"207Q00000X"</f>
        <v>207Q00000X</v>
      </c>
      <c r="D3411" t="str">
        <f>"NGUYEN                   MICHAEL      N           "</f>
        <v xml:space="preserve">NGUYEN                   MICHAEL      N           </v>
      </c>
      <c r="E3411" t="str">
        <f>"NEW ORLEANS               "</f>
        <v xml:space="preserve">NEW ORLEANS               </v>
      </c>
      <c r="F3411" t="str">
        <f t="shared" si="146"/>
        <v>LA</v>
      </c>
    </row>
    <row r="3412" spans="1:6" x14ac:dyDescent="0.25">
      <c r="A3412" t="str">
        <f>"008272352"</f>
        <v>008272352</v>
      </c>
      <c r="B3412" t="str">
        <f>"1245445915"</f>
        <v>1245445915</v>
      </c>
      <c r="C3412" t="str">
        <f>"122300000X"</f>
        <v>122300000X</v>
      </c>
      <c r="D3412" t="str">
        <f>"BIPPOS PLACE FOR SMILES                           "</f>
        <v xml:space="preserve">BIPPOS PLACE FOR SMILES                           </v>
      </c>
      <c r="E3412" t="str">
        <f>"SLIDELL                   "</f>
        <v xml:space="preserve">SLIDELL                   </v>
      </c>
      <c r="F3412" t="str">
        <f t="shared" si="146"/>
        <v>LA</v>
      </c>
    </row>
    <row r="3413" spans="1:6" x14ac:dyDescent="0.25">
      <c r="A3413" t="str">
        <f>"008286704"</f>
        <v>008286704</v>
      </c>
      <c r="B3413" t="str">
        <f>"1366100752"</f>
        <v>1366100752</v>
      </c>
      <c r="C3413" t="str">
        <f>"363A00000X"</f>
        <v>363A00000X</v>
      </c>
      <c r="D3413" t="str">
        <f>"ZERINGUE                 KIM-HUE      T           "</f>
        <v xml:space="preserve">ZERINGUE                 KIM-HUE      T           </v>
      </c>
      <c r="E3413" t="str">
        <f>"NEW ORLEANS               "</f>
        <v xml:space="preserve">NEW ORLEANS               </v>
      </c>
      <c r="F3413" t="str">
        <f t="shared" si="146"/>
        <v>LA</v>
      </c>
    </row>
    <row r="3414" spans="1:6" x14ac:dyDescent="0.25">
      <c r="A3414" t="str">
        <f>"008304091"</f>
        <v>008304091</v>
      </c>
      <c r="B3414" t="str">
        <f>"1942352224"</f>
        <v>1942352224</v>
      </c>
      <c r="C3414" t="str">
        <f>"2084N0400X"</f>
        <v>2084N0400X</v>
      </c>
      <c r="D3414" t="str">
        <f>"HOUGHTON                 DAVID        J           "</f>
        <v xml:space="preserve">HOUGHTON                 DAVID        J           </v>
      </c>
      <c r="E3414" t="str">
        <f>"NEW ORLEANS               "</f>
        <v xml:space="preserve">NEW ORLEANS               </v>
      </c>
      <c r="F3414" t="str">
        <f t="shared" si="146"/>
        <v>LA</v>
      </c>
    </row>
    <row r="3415" spans="1:6" x14ac:dyDescent="0.25">
      <c r="A3415" t="str">
        <f>"008307805"</f>
        <v>008307805</v>
      </c>
      <c r="B3415" t="str">
        <f>"1407523376"</f>
        <v>1407523376</v>
      </c>
      <c r="C3415" t="str">
        <f>"363L00000X"</f>
        <v>363L00000X</v>
      </c>
      <c r="D3415" t="str">
        <f>"WITHERELL                CHRISTIE     M           "</f>
        <v xml:space="preserve">WITHERELL                CHRISTIE     M           </v>
      </c>
      <c r="E3415" t="str">
        <f>"NEW ORLEANS               "</f>
        <v xml:space="preserve">NEW ORLEANS               </v>
      </c>
      <c r="F3415" t="str">
        <f t="shared" si="146"/>
        <v>LA</v>
      </c>
    </row>
    <row r="3416" spans="1:6" x14ac:dyDescent="0.25">
      <c r="A3416" t="str">
        <f>"008321095"</f>
        <v>008321095</v>
      </c>
      <c r="B3416" t="str">
        <f>"1174534960"</f>
        <v>1174534960</v>
      </c>
      <c r="C3416" t="str">
        <f>"207W00000X"</f>
        <v>207W00000X</v>
      </c>
      <c r="D3416" t="str">
        <f>"REDDY                    SATYA        V           "</f>
        <v xml:space="preserve">REDDY                    SATYA        V           </v>
      </c>
      <c r="E3416" t="str">
        <f>"SLIDELL                   "</f>
        <v xml:space="preserve">SLIDELL                   </v>
      </c>
      <c r="F3416" t="str">
        <f t="shared" si="146"/>
        <v>LA</v>
      </c>
    </row>
    <row r="3417" spans="1:6" x14ac:dyDescent="0.25">
      <c r="A3417" t="str">
        <f>"008327226"</f>
        <v>008327226</v>
      </c>
      <c r="B3417" t="str">
        <f>"1659781862"</f>
        <v>1659781862</v>
      </c>
      <c r="C3417" t="str">
        <f>"367500000X"</f>
        <v>367500000X</v>
      </c>
      <c r="D3417" t="str">
        <f>"POCHE JR                 JAMES        P           "</f>
        <v xml:space="preserve">POCHE JR                 JAMES        P           </v>
      </c>
      <c r="E3417" t="str">
        <f>"NEW ORLEANS               "</f>
        <v xml:space="preserve">NEW ORLEANS               </v>
      </c>
      <c r="F3417" t="str">
        <f t="shared" si="146"/>
        <v>LA</v>
      </c>
    </row>
    <row r="3418" spans="1:6" x14ac:dyDescent="0.25">
      <c r="A3418" t="str">
        <f>"008327248"</f>
        <v>008327248</v>
      </c>
      <c r="B3418" t="str">
        <f>"1083885875"</f>
        <v>1083885875</v>
      </c>
      <c r="C3418" t="str">
        <f>"2080P0202X"</f>
        <v>2080P0202X</v>
      </c>
      <c r="D3418" t="str">
        <f>"DEL TORO                 KAMILL       R           "</f>
        <v xml:space="preserve">DEL TORO                 KAMILL       R           </v>
      </c>
      <c r="E3418" t="str">
        <f>"NEW ORLEANS               "</f>
        <v xml:space="preserve">NEW ORLEANS               </v>
      </c>
      <c r="F3418" t="str">
        <f t="shared" si="146"/>
        <v>LA</v>
      </c>
    </row>
    <row r="3419" spans="1:6" x14ac:dyDescent="0.25">
      <c r="A3419" t="str">
        <f>"008339775"</f>
        <v>008339775</v>
      </c>
      <c r="B3419" t="str">
        <f>"1306131867"</f>
        <v>1306131867</v>
      </c>
      <c r="C3419" t="str">
        <f>"207RC0000X"</f>
        <v>207RC0000X</v>
      </c>
      <c r="D3419" t="str">
        <f>"MALUR                    PAVAN                    "</f>
        <v xml:space="preserve">MALUR                    PAVAN                    </v>
      </c>
      <c r="E3419" t="str">
        <f>"BATON ROUGE               "</f>
        <v xml:space="preserve">BATON ROUGE               </v>
      </c>
      <c r="F3419" t="str">
        <f t="shared" ref="F3419:F3482" si="147">"LA"</f>
        <v>LA</v>
      </c>
    </row>
    <row r="3420" spans="1:6" x14ac:dyDescent="0.25">
      <c r="A3420" t="str">
        <f>"008353360"</f>
        <v>008353360</v>
      </c>
      <c r="B3420" t="str">
        <f>"1124413141"</f>
        <v>1124413141</v>
      </c>
      <c r="C3420" t="str">
        <f>"207N00000X"</f>
        <v>207N00000X</v>
      </c>
      <c r="D3420" t="str">
        <f>"LEE                      CAROLINE     E           "</f>
        <v xml:space="preserve">LEE                      CAROLINE     E           </v>
      </c>
      <c r="E3420" t="str">
        <f>"SLIDELL                   "</f>
        <v xml:space="preserve">SLIDELL                   </v>
      </c>
      <c r="F3420" t="str">
        <f t="shared" si="147"/>
        <v>LA</v>
      </c>
    </row>
    <row r="3421" spans="1:6" x14ac:dyDescent="0.25">
      <c r="A3421" t="str">
        <f>"008357591"</f>
        <v>008357591</v>
      </c>
      <c r="B3421" t="str">
        <f>"1194157933"</f>
        <v>1194157933</v>
      </c>
      <c r="C3421" t="str">
        <f>"363L00000X"</f>
        <v>363L00000X</v>
      </c>
      <c r="D3421" t="str">
        <f>"DAIGLE                   LISA         A           "</f>
        <v xml:space="preserve">DAIGLE                   LISA         A           </v>
      </c>
      <c r="E3421" t="str">
        <f>"NEW ORLEANS               "</f>
        <v xml:space="preserve">NEW ORLEANS               </v>
      </c>
      <c r="F3421" t="str">
        <f t="shared" si="147"/>
        <v>LA</v>
      </c>
    </row>
    <row r="3422" spans="1:6" x14ac:dyDescent="0.25">
      <c r="A3422" t="str">
        <f>"008375280"</f>
        <v>008375280</v>
      </c>
      <c r="B3422" t="str">
        <f>"1003901539"</f>
        <v>1003901539</v>
      </c>
      <c r="C3422" t="str">
        <f>"207X00000X"</f>
        <v>207X00000X</v>
      </c>
      <c r="D3422" t="str">
        <f>"GONZALES                 JOSEPH                   "</f>
        <v xml:space="preserve">GONZALES                 JOSEPH                   </v>
      </c>
      <c r="E3422" t="str">
        <f>"NEW ORLEANS               "</f>
        <v xml:space="preserve">NEW ORLEANS               </v>
      </c>
      <c r="F3422" t="str">
        <f t="shared" si="147"/>
        <v>LA</v>
      </c>
    </row>
    <row r="3423" spans="1:6" x14ac:dyDescent="0.25">
      <c r="A3423" t="str">
        <f>"008376592"</f>
        <v>008376592</v>
      </c>
      <c r="B3423" t="str">
        <f>"1598946337"</f>
        <v>1598946337</v>
      </c>
      <c r="C3423" t="str">
        <f>"122300000X"</f>
        <v>122300000X</v>
      </c>
      <c r="D3423" t="str">
        <f>"BURNS                    MOLLY        D           "</f>
        <v xml:space="preserve">BURNS                    MOLLY        D           </v>
      </c>
      <c r="E3423" t="str">
        <f>"SLIDELL                   "</f>
        <v xml:space="preserve">SLIDELL                   </v>
      </c>
      <c r="F3423" t="str">
        <f t="shared" si="147"/>
        <v>LA</v>
      </c>
    </row>
    <row r="3424" spans="1:6" x14ac:dyDescent="0.25">
      <c r="A3424" t="str">
        <f>"008381377"</f>
        <v>008381377</v>
      </c>
      <c r="B3424" t="str">
        <f>"1134581267"</f>
        <v>1134581267</v>
      </c>
      <c r="C3424" t="str">
        <f>"208000000X"</f>
        <v>208000000X</v>
      </c>
      <c r="D3424" t="str">
        <f>"TUFTON                   ANNE         E           "</f>
        <v xml:space="preserve">TUFTON                   ANNE         E           </v>
      </c>
      <c r="E3424" t="str">
        <f>"NEW ORLEANS               "</f>
        <v xml:space="preserve">NEW ORLEANS               </v>
      </c>
      <c r="F3424" t="str">
        <f t="shared" si="147"/>
        <v>LA</v>
      </c>
    </row>
    <row r="3425" spans="1:6" x14ac:dyDescent="0.25">
      <c r="A3425" t="str">
        <f>"008386575"</f>
        <v>008386575</v>
      </c>
      <c r="B3425" t="str">
        <f>"1356534168"</f>
        <v>1356534168</v>
      </c>
      <c r="C3425" t="str">
        <f>"207R00000X"</f>
        <v>207R00000X</v>
      </c>
      <c r="D3425" t="str">
        <f>"NNEDU                    OBINNA       N           "</f>
        <v xml:space="preserve">NNEDU                    OBINNA       N           </v>
      </c>
      <c r="E3425" t="str">
        <f>"NEW ORLEANS               "</f>
        <v xml:space="preserve">NEW ORLEANS               </v>
      </c>
      <c r="F3425" t="str">
        <f t="shared" si="147"/>
        <v>LA</v>
      </c>
    </row>
    <row r="3426" spans="1:6" x14ac:dyDescent="0.25">
      <c r="A3426" t="str">
        <f>"008400842"</f>
        <v>008400842</v>
      </c>
      <c r="B3426" t="str">
        <f>"1639248669"</f>
        <v>1639248669</v>
      </c>
      <c r="C3426" t="str">
        <f>"208000000X"</f>
        <v>208000000X</v>
      </c>
      <c r="D3426" t="str">
        <f>"OUBRE                    KATHRYN      R           "</f>
        <v xml:space="preserve">OUBRE                    KATHRYN      R           </v>
      </c>
      <c r="E3426" t="str">
        <f>"MANDEVILLE                "</f>
        <v xml:space="preserve">MANDEVILLE                </v>
      </c>
      <c r="F3426" t="str">
        <f t="shared" si="147"/>
        <v>LA</v>
      </c>
    </row>
    <row r="3427" spans="1:6" x14ac:dyDescent="0.25">
      <c r="A3427" t="str">
        <f>"008407724"</f>
        <v>008407724</v>
      </c>
      <c r="B3427" t="str">
        <f>"1043562598"</f>
        <v>1043562598</v>
      </c>
      <c r="C3427" t="str">
        <f>"363A00000X"</f>
        <v>363A00000X</v>
      </c>
      <c r="D3427" t="str">
        <f>"TRAYLOR                  LAUREN       R           "</f>
        <v xml:space="preserve">TRAYLOR                  LAUREN       R           </v>
      </c>
      <c r="E3427" t="str">
        <f>"BATON ROUGE               "</f>
        <v xml:space="preserve">BATON ROUGE               </v>
      </c>
      <c r="F3427" t="str">
        <f t="shared" si="147"/>
        <v>LA</v>
      </c>
    </row>
    <row r="3428" spans="1:6" x14ac:dyDescent="0.25">
      <c r="A3428" t="str">
        <f>"008429244"</f>
        <v>008429244</v>
      </c>
      <c r="B3428" t="str">
        <f>"1417249418"</f>
        <v>1417249418</v>
      </c>
      <c r="C3428" t="str">
        <f>"207RX0202X"</f>
        <v>207RX0202X</v>
      </c>
      <c r="D3428" t="str">
        <f>"SMITH                    CLAYTON      A           "</f>
        <v xml:space="preserve">SMITH                    CLAYTON      A           </v>
      </c>
      <c r="E3428" t="str">
        <f>"NEW ORLEANS               "</f>
        <v xml:space="preserve">NEW ORLEANS               </v>
      </c>
      <c r="F3428" t="str">
        <f t="shared" si="147"/>
        <v>LA</v>
      </c>
    </row>
    <row r="3429" spans="1:6" x14ac:dyDescent="0.25">
      <c r="A3429" t="str">
        <f>"008429314"</f>
        <v>008429314</v>
      </c>
      <c r="B3429" t="str">
        <f>"1164018537"</f>
        <v>1164018537</v>
      </c>
      <c r="C3429" t="str">
        <f>"363A00000X"</f>
        <v>363A00000X</v>
      </c>
      <c r="D3429" t="str">
        <f>"KING                     EVAN         A           "</f>
        <v xml:space="preserve">KING                     EVAN         A           </v>
      </c>
      <c r="E3429" t="str">
        <f>"NEW ORLEANS               "</f>
        <v xml:space="preserve">NEW ORLEANS               </v>
      </c>
      <c r="F3429" t="str">
        <f t="shared" si="147"/>
        <v>LA</v>
      </c>
    </row>
    <row r="3430" spans="1:6" x14ac:dyDescent="0.25">
      <c r="A3430" t="str">
        <f>"008431790"</f>
        <v>008431790</v>
      </c>
      <c r="B3430" t="str">
        <f>"1063568525"</f>
        <v>1063568525</v>
      </c>
      <c r="C3430" t="str">
        <f>"207RN0300X"</f>
        <v>207RN0300X</v>
      </c>
      <c r="D3430" t="str">
        <f>"LARROQUE                 MICHELE      L           "</f>
        <v xml:space="preserve">LARROQUE                 MICHELE      L           </v>
      </c>
      <c r="E3430" t="str">
        <f>"HAMMOND                   "</f>
        <v xml:space="preserve">HAMMOND                   </v>
      </c>
      <c r="F3430" t="str">
        <f t="shared" si="147"/>
        <v>LA</v>
      </c>
    </row>
    <row r="3431" spans="1:6" x14ac:dyDescent="0.25">
      <c r="A3431" t="str">
        <f>"008433313"</f>
        <v>008433313</v>
      </c>
      <c r="B3431" t="str">
        <f>"1861655169"</f>
        <v>1861655169</v>
      </c>
      <c r="C3431" t="str">
        <f>"207R00000X"</f>
        <v>207R00000X</v>
      </c>
      <c r="D3431" t="str">
        <f>"BROOKS                   MEGAN        E           "</f>
        <v xml:space="preserve">BROOKS                   MEGAN        E           </v>
      </c>
      <c r="E3431" t="str">
        <f>"NEW ORLEANS               "</f>
        <v xml:space="preserve">NEW ORLEANS               </v>
      </c>
      <c r="F3431" t="str">
        <f t="shared" si="147"/>
        <v>LA</v>
      </c>
    </row>
    <row r="3432" spans="1:6" x14ac:dyDescent="0.25">
      <c r="A3432" t="str">
        <f>"008436348"</f>
        <v>008436348</v>
      </c>
      <c r="B3432" t="str">
        <f>"1063467165"</f>
        <v>1063467165</v>
      </c>
      <c r="C3432" t="str">
        <f>"2084P0800X"</f>
        <v>2084P0800X</v>
      </c>
      <c r="D3432" t="str">
        <f>"SCHEXNAYDER              LALANIA      K           "</f>
        <v xml:space="preserve">SCHEXNAYDER              LALANIA      K           </v>
      </c>
      <c r="E3432" t="str">
        <f>"BATON ROUGE               "</f>
        <v xml:space="preserve">BATON ROUGE               </v>
      </c>
      <c r="F3432" t="str">
        <f t="shared" si="147"/>
        <v>LA</v>
      </c>
    </row>
    <row r="3433" spans="1:6" x14ac:dyDescent="0.25">
      <c r="A3433" t="str">
        <f>"008438846"</f>
        <v>008438846</v>
      </c>
      <c r="B3433" t="str">
        <f>"1619141108"</f>
        <v>1619141108</v>
      </c>
      <c r="C3433" t="str">
        <f>"207RR0500X"</f>
        <v>207RR0500X</v>
      </c>
      <c r="D3433" t="str">
        <f>"TORIBIO                  KAREN        A           "</f>
        <v xml:space="preserve">TORIBIO                  KAREN        A           </v>
      </c>
      <c r="E3433" t="str">
        <f>"NEW ORLEANS               "</f>
        <v xml:space="preserve">NEW ORLEANS               </v>
      </c>
      <c r="F3433" t="str">
        <f t="shared" si="147"/>
        <v>LA</v>
      </c>
    </row>
    <row r="3434" spans="1:6" x14ac:dyDescent="0.25">
      <c r="A3434" t="str">
        <f>"008450813"</f>
        <v>008450813</v>
      </c>
      <c r="B3434" t="str">
        <f>"1205333622"</f>
        <v>1205333622</v>
      </c>
      <c r="C3434" t="str">
        <f>"363L00000X"</f>
        <v>363L00000X</v>
      </c>
      <c r="D3434" t="str">
        <f>"EZELL                    REBECCA      B           "</f>
        <v xml:space="preserve">EZELL                    REBECCA      B           </v>
      </c>
      <c r="E3434" t="str">
        <f>"SLIDELL                   "</f>
        <v xml:space="preserve">SLIDELL                   </v>
      </c>
      <c r="F3434" t="str">
        <f t="shared" si="147"/>
        <v>LA</v>
      </c>
    </row>
    <row r="3435" spans="1:6" x14ac:dyDescent="0.25">
      <c r="A3435" t="str">
        <f>"008455362"</f>
        <v>008455362</v>
      </c>
      <c r="B3435" t="str">
        <f>"1861683906"</f>
        <v>1861683906</v>
      </c>
      <c r="C3435" t="str">
        <f>"207R00000X"</f>
        <v>207R00000X</v>
      </c>
      <c r="D3435" t="str">
        <f>"SATTI                    SUMA         P           "</f>
        <v xml:space="preserve">SATTI                    SUMA         P           </v>
      </c>
      <c r="E3435" t="str">
        <f>"NEW ORLEANS               "</f>
        <v xml:space="preserve">NEW ORLEANS               </v>
      </c>
      <c r="F3435" t="str">
        <f t="shared" si="147"/>
        <v>LA</v>
      </c>
    </row>
    <row r="3436" spans="1:6" x14ac:dyDescent="0.25">
      <c r="A3436" t="str">
        <f>"008458762"</f>
        <v>008458762</v>
      </c>
      <c r="B3436" t="str">
        <f>"1639431802"</f>
        <v>1639431802</v>
      </c>
      <c r="C3436" t="str">
        <f>"208000000X"</f>
        <v>208000000X</v>
      </c>
      <c r="D3436" t="str">
        <f>"CLEMENT III              RUTLEDGE     C           "</f>
        <v xml:space="preserve">CLEMENT III              RUTLEDGE     C           </v>
      </c>
      <c r="E3436" t="str">
        <f>"NEW ORLEANS               "</f>
        <v xml:space="preserve">NEW ORLEANS               </v>
      </c>
      <c r="F3436" t="str">
        <f t="shared" si="147"/>
        <v>LA</v>
      </c>
    </row>
    <row r="3437" spans="1:6" x14ac:dyDescent="0.25">
      <c r="A3437" t="str">
        <f>"008470063"</f>
        <v>008470063</v>
      </c>
      <c r="B3437" t="str">
        <f>"1154696458"</f>
        <v>1154696458</v>
      </c>
      <c r="C3437" t="str">
        <f>"207L00000X"</f>
        <v>207L00000X</v>
      </c>
      <c r="D3437" t="str">
        <f>"VOLPI-ABADIE             JACQUELINE   M           "</f>
        <v xml:space="preserve">VOLPI-ABADIE             JACQUELINE   M           </v>
      </c>
      <c r="E3437" t="str">
        <f>"COVINGTON                 "</f>
        <v xml:space="preserve">COVINGTON                 </v>
      </c>
      <c r="F3437" t="str">
        <f t="shared" si="147"/>
        <v>LA</v>
      </c>
    </row>
    <row r="3438" spans="1:6" x14ac:dyDescent="0.25">
      <c r="A3438" t="str">
        <f>"008470584"</f>
        <v>008470584</v>
      </c>
      <c r="B3438" t="str">
        <f>"1407371669"</f>
        <v>1407371669</v>
      </c>
      <c r="C3438" t="str">
        <f>"363L00000X"</f>
        <v>363L00000X</v>
      </c>
      <c r="D3438" t="str">
        <f>"ZEEVI                    RACHEL                   "</f>
        <v xml:space="preserve">ZEEVI                    RACHEL                   </v>
      </c>
      <c r="E3438" t="str">
        <f>"RIVER RIDGE               "</f>
        <v xml:space="preserve">RIVER RIDGE               </v>
      </c>
      <c r="F3438" t="str">
        <f t="shared" si="147"/>
        <v>LA</v>
      </c>
    </row>
    <row r="3439" spans="1:6" x14ac:dyDescent="0.25">
      <c r="A3439" t="str">
        <f>"008482569"</f>
        <v>008482569</v>
      </c>
      <c r="B3439" t="str">
        <f>"1457617367"</f>
        <v>1457617367</v>
      </c>
      <c r="C3439" t="str">
        <f>"207L00000X"</f>
        <v>207L00000X</v>
      </c>
      <c r="D3439" t="str">
        <f>"OWEN                     CHRISTOPHER  P           "</f>
        <v xml:space="preserve">OWEN                     CHRISTOPHER  P           </v>
      </c>
      <c r="E3439" t="str">
        <f>"NEW ORLEANS               "</f>
        <v xml:space="preserve">NEW ORLEANS               </v>
      </c>
      <c r="F3439" t="str">
        <f t="shared" si="147"/>
        <v>LA</v>
      </c>
    </row>
    <row r="3440" spans="1:6" x14ac:dyDescent="0.25">
      <c r="A3440" t="str">
        <f>"008482709"</f>
        <v>008482709</v>
      </c>
      <c r="B3440" t="str">
        <f>"1316965114"</f>
        <v>1316965114</v>
      </c>
      <c r="C3440" t="str">
        <f>"2085R0202X"</f>
        <v>2085R0202X</v>
      </c>
      <c r="D3440" t="str">
        <f>"ANDERSON                 CARMEN       L           "</f>
        <v xml:space="preserve">ANDERSON                 CARMEN       L           </v>
      </c>
      <c r="E3440" t="str">
        <f>"NEW ORLEANS               "</f>
        <v xml:space="preserve">NEW ORLEANS               </v>
      </c>
      <c r="F3440" t="str">
        <f t="shared" si="147"/>
        <v>LA</v>
      </c>
    </row>
    <row r="3441" spans="1:6" x14ac:dyDescent="0.25">
      <c r="A3441" t="str">
        <f>"008486720"</f>
        <v>008486720</v>
      </c>
      <c r="B3441" t="str">
        <f>"1902195662"</f>
        <v>1902195662</v>
      </c>
      <c r="C3441" t="str">
        <f>"207P00000X"</f>
        <v>207P00000X</v>
      </c>
      <c r="D3441" t="str">
        <f>"HURLEY                   BRUCE        V           "</f>
        <v xml:space="preserve">HURLEY                   BRUCE        V           </v>
      </c>
      <c r="E3441" t="str">
        <f>"SLIDELL                   "</f>
        <v xml:space="preserve">SLIDELL                   </v>
      </c>
      <c r="F3441" t="str">
        <f t="shared" si="147"/>
        <v>LA</v>
      </c>
    </row>
    <row r="3442" spans="1:6" x14ac:dyDescent="0.25">
      <c r="A3442" t="str">
        <f>"008503208"</f>
        <v>008503208</v>
      </c>
      <c r="B3442" t="str">
        <f>"1710096615"</f>
        <v>1710096615</v>
      </c>
      <c r="C3442" t="str">
        <f>"207Q00000X"</f>
        <v>207Q00000X</v>
      </c>
      <c r="D3442" t="str">
        <f>"ESUABANA                 ASUQUO                   "</f>
        <v xml:space="preserve">ESUABANA                 ASUQUO                   </v>
      </c>
      <c r="E3442" t="str">
        <f>"MARKSVILLE                "</f>
        <v xml:space="preserve">MARKSVILLE                </v>
      </c>
      <c r="F3442" t="str">
        <f t="shared" si="147"/>
        <v>LA</v>
      </c>
    </row>
    <row r="3443" spans="1:6" x14ac:dyDescent="0.25">
      <c r="A3443" t="str">
        <f>"008524352"</f>
        <v>008524352</v>
      </c>
      <c r="B3443" t="str">
        <f>"1356890503"</f>
        <v>1356890503</v>
      </c>
      <c r="C3443" t="str">
        <f>"363L00000X"</f>
        <v>363L00000X</v>
      </c>
      <c r="D3443" t="str">
        <f>"FRANCIS                  JENNIFER     F           "</f>
        <v xml:space="preserve">FRANCIS                  JENNIFER     F           </v>
      </c>
      <c r="E3443" t="str">
        <f>"NEW ORLEANS               "</f>
        <v xml:space="preserve">NEW ORLEANS               </v>
      </c>
      <c r="F3443" t="str">
        <f t="shared" si="147"/>
        <v>LA</v>
      </c>
    </row>
    <row r="3444" spans="1:6" x14ac:dyDescent="0.25">
      <c r="A3444" t="str">
        <f>"008531892"</f>
        <v>008531892</v>
      </c>
      <c r="B3444" t="str">
        <f>"1568900868"</f>
        <v>1568900868</v>
      </c>
      <c r="C3444" t="str">
        <f>"363L00000X"</f>
        <v>363L00000X</v>
      </c>
      <c r="D3444" t="str">
        <f>"GROVER                   SHANEDOLYN               "</f>
        <v xml:space="preserve">GROVER                   SHANEDOLYN               </v>
      </c>
      <c r="E3444" t="str">
        <f>"DESTREHAN                 "</f>
        <v xml:space="preserve">DESTREHAN                 </v>
      </c>
      <c r="F3444" t="str">
        <f t="shared" si="147"/>
        <v>LA</v>
      </c>
    </row>
    <row r="3445" spans="1:6" x14ac:dyDescent="0.25">
      <c r="A3445" t="str">
        <f>"008532519"</f>
        <v>008532519</v>
      </c>
      <c r="B3445" t="str">
        <f>"1831510023"</f>
        <v>1831510023</v>
      </c>
      <c r="C3445" t="str">
        <f>"363A00000X"</f>
        <v>363A00000X</v>
      </c>
      <c r="D3445" t="str">
        <f>"POYADOU                  JASON        T           "</f>
        <v xml:space="preserve">POYADOU                  JASON        T           </v>
      </c>
      <c r="E3445" t="str">
        <f>"NEW ORLEANS               "</f>
        <v xml:space="preserve">NEW ORLEANS               </v>
      </c>
      <c r="F3445" t="str">
        <f t="shared" si="147"/>
        <v>LA</v>
      </c>
    </row>
    <row r="3446" spans="1:6" x14ac:dyDescent="0.25">
      <c r="A3446" t="str">
        <f>"008551000"</f>
        <v>008551000</v>
      </c>
      <c r="B3446" t="str">
        <f>"1285866947"</f>
        <v>1285866947</v>
      </c>
      <c r="C3446" t="str">
        <f>"2080P0202X"</f>
        <v>2080P0202X</v>
      </c>
      <c r="D3446" t="str">
        <f>"KRULISKY                 JAMES        S           "</f>
        <v xml:space="preserve">KRULISKY                 JAMES        S           </v>
      </c>
      <c r="E3446" t="str">
        <f>"NEW ORLEANS               "</f>
        <v xml:space="preserve">NEW ORLEANS               </v>
      </c>
      <c r="F3446" t="str">
        <f t="shared" si="147"/>
        <v>LA</v>
      </c>
    </row>
    <row r="3447" spans="1:6" x14ac:dyDescent="0.25">
      <c r="A3447" t="str">
        <f>"008574754"</f>
        <v>008574754</v>
      </c>
      <c r="B3447" t="str">
        <f>"1194144345"</f>
        <v>1194144345</v>
      </c>
      <c r="C3447" t="str">
        <f>"208100000X"</f>
        <v>208100000X</v>
      </c>
      <c r="D3447" t="str">
        <f>"CARIMI                   ALEXIS                   "</f>
        <v xml:space="preserve">CARIMI                   ALEXIS                   </v>
      </c>
      <c r="E3447" t="str">
        <f>"COVINGTON                 "</f>
        <v xml:space="preserve">COVINGTON                 </v>
      </c>
      <c r="F3447" t="str">
        <f t="shared" si="147"/>
        <v>LA</v>
      </c>
    </row>
    <row r="3448" spans="1:6" x14ac:dyDescent="0.25">
      <c r="A3448" t="str">
        <f>"008574896"</f>
        <v>008574896</v>
      </c>
      <c r="B3448" t="str">
        <f>"1346621513"</f>
        <v>1346621513</v>
      </c>
      <c r="C3448" t="str">
        <f>"207P00000X"</f>
        <v>207P00000X</v>
      </c>
      <c r="D3448" t="str">
        <f>"KRAJEWSKI                THOMAS       F           "</f>
        <v xml:space="preserve">KRAJEWSKI                THOMAS       F           </v>
      </c>
      <c r="E3448" t="str">
        <f>"NEW ORLEANS               "</f>
        <v xml:space="preserve">NEW ORLEANS               </v>
      </c>
      <c r="F3448" t="str">
        <f t="shared" si="147"/>
        <v>LA</v>
      </c>
    </row>
    <row r="3449" spans="1:6" x14ac:dyDescent="0.25">
      <c r="A3449" t="str">
        <f>"008606863"</f>
        <v>008606863</v>
      </c>
      <c r="B3449" t="str">
        <f>"1952620940"</f>
        <v>1952620940</v>
      </c>
      <c r="C3449" t="str">
        <f>"207L00000X"</f>
        <v>207L00000X</v>
      </c>
      <c r="D3449" t="str">
        <f>"CARRILLO                 CAROL        O           "</f>
        <v xml:space="preserve">CARRILLO                 CAROL        O           </v>
      </c>
      <c r="E3449" t="str">
        <f>"NEW ORLEANS               "</f>
        <v xml:space="preserve">NEW ORLEANS               </v>
      </c>
      <c r="F3449" t="str">
        <f t="shared" si="147"/>
        <v>LA</v>
      </c>
    </row>
    <row r="3450" spans="1:6" x14ac:dyDescent="0.25">
      <c r="A3450" t="str">
        <f>"008625534"</f>
        <v>008625534</v>
      </c>
      <c r="B3450" t="str">
        <f>"1437341146"</f>
        <v>1437341146</v>
      </c>
      <c r="C3450" t="str">
        <f>"2085R0202X"</f>
        <v>2085R0202X</v>
      </c>
      <c r="D3450" t="str">
        <f>"BROUSSARD                ERICA        M           "</f>
        <v xml:space="preserve">BROUSSARD                ERICA        M           </v>
      </c>
      <c r="E3450" t="str">
        <f>"NEW ORLEANS               "</f>
        <v xml:space="preserve">NEW ORLEANS               </v>
      </c>
      <c r="F3450" t="str">
        <f t="shared" si="147"/>
        <v>LA</v>
      </c>
    </row>
    <row r="3451" spans="1:6" x14ac:dyDescent="0.25">
      <c r="A3451" t="str">
        <f>"008629250"</f>
        <v>008629250</v>
      </c>
      <c r="B3451" t="str">
        <f>"1679924963"</f>
        <v>1679924963</v>
      </c>
      <c r="C3451" t="str">
        <f>"363L00000X"</f>
        <v>363L00000X</v>
      </c>
      <c r="D3451" t="str">
        <f>"FLEMING                  ADAM         P           "</f>
        <v xml:space="preserve">FLEMING                  ADAM         P           </v>
      </c>
      <c r="E3451" t="str">
        <f>"TERRYTOWN                 "</f>
        <v xml:space="preserve">TERRYTOWN                 </v>
      </c>
      <c r="F3451" t="str">
        <f t="shared" si="147"/>
        <v>LA</v>
      </c>
    </row>
    <row r="3452" spans="1:6" x14ac:dyDescent="0.25">
      <c r="A3452" t="str">
        <f>"008637079"</f>
        <v>008637079</v>
      </c>
      <c r="B3452" t="str">
        <f>"1669581609"</f>
        <v>1669581609</v>
      </c>
      <c r="C3452" t="str">
        <f>"363L00000X"</f>
        <v>363L00000X</v>
      </c>
      <c r="D3452" t="str">
        <f>"G'SELL                   AIMEE        F           "</f>
        <v xml:space="preserve">G'SELL                   AIMEE        F           </v>
      </c>
      <c r="E3452" t="str">
        <f>"NEW ORLEANS               "</f>
        <v xml:space="preserve">NEW ORLEANS               </v>
      </c>
      <c r="F3452" t="str">
        <f t="shared" si="147"/>
        <v>LA</v>
      </c>
    </row>
    <row r="3453" spans="1:6" x14ac:dyDescent="0.25">
      <c r="A3453" t="str">
        <f>"008637571"</f>
        <v>008637571</v>
      </c>
      <c r="B3453" t="str">
        <f>"1366602450"</f>
        <v>1366602450</v>
      </c>
      <c r="C3453" t="str">
        <f>"208000000X"</f>
        <v>208000000X</v>
      </c>
      <c r="D3453" t="str">
        <f>"TOLER                    JEREMY       M           "</f>
        <v xml:space="preserve">TOLER                    JEREMY       M           </v>
      </c>
      <c r="E3453" t="str">
        <f>"NEW ORLEANS               "</f>
        <v xml:space="preserve">NEW ORLEANS               </v>
      </c>
      <c r="F3453" t="str">
        <f t="shared" si="147"/>
        <v>LA</v>
      </c>
    </row>
    <row r="3454" spans="1:6" x14ac:dyDescent="0.25">
      <c r="A3454" t="str">
        <f>"008650067"</f>
        <v>008650067</v>
      </c>
      <c r="B3454" t="str">
        <f>"1487177390"</f>
        <v>1487177390</v>
      </c>
      <c r="C3454" t="str">
        <f>"363L00000X"</f>
        <v>363L00000X</v>
      </c>
      <c r="D3454" t="str">
        <f>"MIINEA                   IOANA                    "</f>
        <v xml:space="preserve">MIINEA                   IOANA                    </v>
      </c>
      <c r="E3454" t="str">
        <f>"NEW ORLEANS               "</f>
        <v xml:space="preserve">NEW ORLEANS               </v>
      </c>
      <c r="F3454" t="str">
        <f t="shared" si="147"/>
        <v>LA</v>
      </c>
    </row>
    <row r="3455" spans="1:6" x14ac:dyDescent="0.25">
      <c r="A3455" t="str">
        <f>"008656232"</f>
        <v>008656232</v>
      </c>
      <c r="B3455" t="str">
        <f>"1457316283"</f>
        <v>1457316283</v>
      </c>
      <c r="C3455" t="str">
        <f>"207RX0202X"</f>
        <v>207RX0202X</v>
      </c>
      <c r="D3455" t="str">
        <f>"BRALY                    PATRICIA     S           "</f>
        <v xml:space="preserve">BRALY                    PATRICIA     S           </v>
      </c>
      <c r="E3455" t="str">
        <f>"COVINGTON                 "</f>
        <v xml:space="preserve">COVINGTON                 </v>
      </c>
      <c r="F3455" t="str">
        <f t="shared" si="147"/>
        <v>LA</v>
      </c>
    </row>
    <row r="3456" spans="1:6" x14ac:dyDescent="0.25">
      <c r="A3456" t="str">
        <f>"008658853"</f>
        <v>008658853</v>
      </c>
      <c r="B3456" t="str">
        <f>"1407879455"</f>
        <v>1407879455</v>
      </c>
      <c r="C3456" t="str">
        <f>"2086S0102X"</f>
        <v>2086S0102X</v>
      </c>
      <c r="D3456" t="str">
        <f>"BOUDREAUX                JOHN         P           "</f>
        <v xml:space="preserve">BOUDREAUX                JOHN         P           </v>
      </c>
      <c r="E3456" t="str">
        <f>"KENNER                    "</f>
        <v xml:space="preserve">KENNER                    </v>
      </c>
      <c r="F3456" t="str">
        <f t="shared" si="147"/>
        <v>LA</v>
      </c>
    </row>
    <row r="3457" spans="1:6" x14ac:dyDescent="0.25">
      <c r="A3457" t="str">
        <f>"008659861"</f>
        <v>008659861</v>
      </c>
      <c r="B3457" t="str">
        <f>"1144251182"</f>
        <v>1144251182</v>
      </c>
      <c r="C3457" t="str">
        <f>"207P00000X"</f>
        <v>207P00000X</v>
      </c>
      <c r="D3457" t="str">
        <f>"VOIGT                    CHRISTOPHER  M           "</f>
        <v xml:space="preserve">VOIGT                    CHRISTOPHER  M           </v>
      </c>
      <c r="E3457" t="str">
        <f>"NEW ORLEANS               "</f>
        <v xml:space="preserve">NEW ORLEANS               </v>
      </c>
      <c r="F3457" t="str">
        <f t="shared" si="147"/>
        <v>LA</v>
      </c>
    </row>
    <row r="3458" spans="1:6" x14ac:dyDescent="0.25">
      <c r="A3458" t="str">
        <f>"008672221"</f>
        <v>008672221</v>
      </c>
      <c r="B3458" t="str">
        <f>"1053803551"</f>
        <v>1053803551</v>
      </c>
      <c r="C3458" t="str">
        <f>"363L00000X"</f>
        <v>363L00000X</v>
      </c>
      <c r="D3458" t="str">
        <f>"DILLON JACKSON           PLESHETTA    D           "</f>
        <v xml:space="preserve">DILLON JACKSON           PLESHETTA    D           </v>
      </c>
      <c r="E3458" t="str">
        <f>"SLIDELL                   "</f>
        <v xml:space="preserve">SLIDELL                   </v>
      </c>
      <c r="F3458" t="str">
        <f t="shared" si="147"/>
        <v>LA</v>
      </c>
    </row>
    <row r="3459" spans="1:6" x14ac:dyDescent="0.25">
      <c r="A3459" t="str">
        <f>"008679361"</f>
        <v>008679361</v>
      </c>
      <c r="B3459" t="str">
        <f>"1619292356"</f>
        <v>1619292356</v>
      </c>
      <c r="C3459" t="str">
        <f>"2084N0400X"</f>
        <v>2084N0400X</v>
      </c>
      <c r="D3459" t="str">
        <f>"TARSIA                   JOSEPH                   "</f>
        <v xml:space="preserve">TARSIA                   JOSEPH                   </v>
      </c>
      <c r="E3459" t="str">
        <f>"NEW ORLEANS               "</f>
        <v xml:space="preserve">NEW ORLEANS               </v>
      </c>
      <c r="F3459" t="str">
        <f t="shared" si="147"/>
        <v>LA</v>
      </c>
    </row>
    <row r="3460" spans="1:6" x14ac:dyDescent="0.25">
      <c r="A3460" t="str">
        <f>"008681786"</f>
        <v>008681786</v>
      </c>
      <c r="B3460" t="str">
        <f>"1508385386"</f>
        <v>1508385386</v>
      </c>
      <c r="C3460" t="str">
        <f>"363A00000X"</f>
        <v>363A00000X</v>
      </c>
      <c r="D3460" t="str">
        <f>"SHEEHAN                  KIMBERLY                 "</f>
        <v xml:space="preserve">SHEEHAN                  KIMBERLY                 </v>
      </c>
      <c r="E3460" t="str">
        <f>"NEW ORLEANS               "</f>
        <v xml:space="preserve">NEW ORLEANS               </v>
      </c>
      <c r="F3460" t="str">
        <f t="shared" si="147"/>
        <v>LA</v>
      </c>
    </row>
    <row r="3461" spans="1:6" x14ac:dyDescent="0.25">
      <c r="A3461" t="str">
        <f>"008683255"</f>
        <v>008683255</v>
      </c>
      <c r="B3461" t="str">
        <f>"1801240783"</f>
        <v>1801240783</v>
      </c>
      <c r="C3461" t="str">
        <f>"2085R0001X"</f>
        <v>2085R0001X</v>
      </c>
      <c r="D3461" t="str">
        <f>"MULLER JR                DONALD       A           "</f>
        <v xml:space="preserve">MULLER JR                DONALD       A           </v>
      </c>
      <c r="E3461" t="str">
        <f>"NEW ORLEANS               "</f>
        <v xml:space="preserve">NEW ORLEANS               </v>
      </c>
      <c r="F3461" t="str">
        <f t="shared" si="147"/>
        <v>LA</v>
      </c>
    </row>
    <row r="3462" spans="1:6" x14ac:dyDescent="0.25">
      <c r="A3462" t="str">
        <f>"008708291"</f>
        <v>008708291</v>
      </c>
      <c r="B3462" t="str">
        <f>"1518344423"</f>
        <v>1518344423</v>
      </c>
      <c r="C3462" t="str">
        <f>"207Q00000X"</f>
        <v>207Q00000X</v>
      </c>
      <c r="D3462" t="str">
        <f>"OSCHWALD                 JOSEPH       C           "</f>
        <v xml:space="preserve">OSCHWALD                 JOSEPH       C           </v>
      </c>
      <c r="E3462" t="str">
        <f>"SLIDELL                   "</f>
        <v xml:space="preserve">SLIDELL                   </v>
      </c>
      <c r="F3462" t="str">
        <f t="shared" si="147"/>
        <v>LA</v>
      </c>
    </row>
    <row r="3463" spans="1:6" x14ac:dyDescent="0.25">
      <c r="A3463" t="str">
        <f>"008721711"</f>
        <v>008721711</v>
      </c>
      <c r="B3463" t="str">
        <f>"1598908253"</f>
        <v>1598908253</v>
      </c>
      <c r="C3463" t="str">
        <f>"208C00000X"</f>
        <v>208C00000X</v>
      </c>
      <c r="D3463" t="str">
        <f>"JOHNSTON                 WILLIAM      F           "</f>
        <v xml:space="preserve">JOHNSTON                 WILLIAM      F           </v>
      </c>
      <c r="E3463" t="str">
        <f>"NEW ORLEANS               "</f>
        <v xml:space="preserve">NEW ORLEANS               </v>
      </c>
      <c r="F3463" t="str">
        <f t="shared" si="147"/>
        <v>LA</v>
      </c>
    </row>
    <row r="3464" spans="1:6" x14ac:dyDescent="0.25">
      <c r="A3464" t="str">
        <f>"008728815"</f>
        <v>008728815</v>
      </c>
      <c r="B3464" t="str">
        <f>"1164631149"</f>
        <v>1164631149</v>
      </c>
      <c r="C3464" t="str">
        <f>"208800000X"</f>
        <v>208800000X</v>
      </c>
      <c r="D3464" t="str">
        <f>"GOUDELOCKE               COLIN        M           "</f>
        <v xml:space="preserve">GOUDELOCKE               COLIN        M           </v>
      </c>
      <c r="E3464" t="str">
        <f>"NEW ORLEANS               "</f>
        <v xml:space="preserve">NEW ORLEANS               </v>
      </c>
      <c r="F3464" t="str">
        <f t="shared" si="147"/>
        <v>LA</v>
      </c>
    </row>
    <row r="3465" spans="1:6" x14ac:dyDescent="0.25">
      <c r="A3465" t="str">
        <f>"008729861"</f>
        <v>008729861</v>
      </c>
      <c r="B3465" t="str">
        <f>"1376977413"</f>
        <v>1376977413</v>
      </c>
      <c r="C3465" t="str">
        <f>"363L00000X"</f>
        <v>363L00000X</v>
      </c>
      <c r="D3465" t="str">
        <f>"KEMPTON-JEREZ            TARA         L           "</f>
        <v xml:space="preserve">KEMPTON-JEREZ            TARA         L           </v>
      </c>
      <c r="E3465" t="str">
        <f>"NEW ORLEANS               "</f>
        <v xml:space="preserve">NEW ORLEANS               </v>
      </c>
      <c r="F3465" t="str">
        <f t="shared" si="147"/>
        <v>LA</v>
      </c>
    </row>
    <row r="3466" spans="1:6" x14ac:dyDescent="0.25">
      <c r="A3466" t="str">
        <f>"008735255"</f>
        <v>008735255</v>
      </c>
      <c r="B3466" t="str">
        <f>"1417487323"</f>
        <v>1417487323</v>
      </c>
      <c r="C3466" t="str">
        <f>"207R00000X"</f>
        <v>207R00000X</v>
      </c>
      <c r="D3466" t="str">
        <f>"SAGHIR                   NABEEL       S           "</f>
        <v xml:space="preserve">SAGHIR                   NABEEL       S           </v>
      </c>
      <c r="E3466" t="str">
        <f>"NEW ORLEANS               "</f>
        <v xml:space="preserve">NEW ORLEANS               </v>
      </c>
      <c r="F3466" t="str">
        <f t="shared" si="147"/>
        <v>LA</v>
      </c>
    </row>
    <row r="3467" spans="1:6" x14ac:dyDescent="0.25">
      <c r="A3467" t="str">
        <f>"008754067"</f>
        <v>008754067</v>
      </c>
      <c r="B3467" t="str">
        <f>"1760882872"</f>
        <v>1760882872</v>
      </c>
      <c r="C3467" t="str">
        <f>"363L00000X"</f>
        <v>363L00000X</v>
      </c>
      <c r="D3467" t="str">
        <f>"KENT                     THERESA      A           "</f>
        <v xml:space="preserve">KENT                     THERESA      A           </v>
      </c>
      <c r="E3467" t="str">
        <f>"TERRYTOWN                 "</f>
        <v xml:space="preserve">TERRYTOWN                 </v>
      </c>
      <c r="F3467" t="str">
        <f t="shared" si="147"/>
        <v>LA</v>
      </c>
    </row>
    <row r="3468" spans="1:6" x14ac:dyDescent="0.25">
      <c r="A3468" t="str">
        <f>"008755559"</f>
        <v>008755559</v>
      </c>
      <c r="B3468" t="str">
        <f>"1801115803"</f>
        <v>1801115803</v>
      </c>
      <c r="C3468" t="str">
        <f>"208600000X"</f>
        <v>208600000X</v>
      </c>
      <c r="D3468" t="str">
        <f>"RIVERE                   AMY          E           "</f>
        <v xml:space="preserve">RIVERE                   AMY          E           </v>
      </c>
      <c r="E3468" t="str">
        <f>"NEW ORLEANS               "</f>
        <v xml:space="preserve">NEW ORLEANS               </v>
      </c>
      <c r="F3468" t="str">
        <f t="shared" si="147"/>
        <v>LA</v>
      </c>
    </row>
    <row r="3469" spans="1:6" x14ac:dyDescent="0.25">
      <c r="A3469" t="str">
        <f>"008772538"</f>
        <v>008772538</v>
      </c>
      <c r="B3469" t="str">
        <f>"1578887527"</f>
        <v>1578887527</v>
      </c>
      <c r="C3469" t="str">
        <f>"363L00000X"</f>
        <v>363L00000X</v>
      </c>
      <c r="D3469" t="str">
        <f>"BRANDT                   VICTORIA     L           "</f>
        <v xml:space="preserve">BRANDT                   VICTORIA     L           </v>
      </c>
      <c r="E3469" t="str">
        <f>"NEW ORLEANS               "</f>
        <v xml:space="preserve">NEW ORLEANS               </v>
      </c>
      <c r="F3469" t="str">
        <f t="shared" si="147"/>
        <v>LA</v>
      </c>
    </row>
    <row r="3470" spans="1:6" x14ac:dyDescent="0.25">
      <c r="A3470" t="str">
        <f>"008831018"</f>
        <v>008831018</v>
      </c>
      <c r="B3470" t="str">
        <f>"1447410485"</f>
        <v>1447410485</v>
      </c>
      <c r="C3470" t="str">
        <f>"207R00000X"</f>
        <v>207R00000X</v>
      </c>
      <c r="D3470" t="str">
        <f>"KHAN                     ABDUL        M           "</f>
        <v xml:space="preserve">KHAN                     ABDUL        M           </v>
      </c>
      <c r="E3470" t="str">
        <f>"NEW ORLEANS               "</f>
        <v xml:space="preserve">NEW ORLEANS               </v>
      </c>
      <c r="F3470" t="str">
        <f t="shared" si="147"/>
        <v>LA</v>
      </c>
    </row>
    <row r="3471" spans="1:6" x14ac:dyDescent="0.25">
      <c r="A3471" t="str">
        <f>"008872538"</f>
        <v>008872538</v>
      </c>
      <c r="B3471" t="str">
        <f>"1528080322"</f>
        <v>1528080322</v>
      </c>
      <c r="C3471" t="str">
        <f>"363L00000X"</f>
        <v>363L00000X</v>
      </c>
      <c r="D3471" t="str">
        <f>"MARCHAND                 KRISTINA     M           "</f>
        <v xml:space="preserve">MARCHAND                 KRISTINA     M           </v>
      </c>
      <c r="E3471" t="str">
        <f>"NEW ORLEANS               "</f>
        <v xml:space="preserve">NEW ORLEANS               </v>
      </c>
      <c r="F3471" t="str">
        <f t="shared" si="147"/>
        <v>LA</v>
      </c>
    </row>
    <row r="3472" spans="1:6" x14ac:dyDescent="0.25">
      <c r="A3472" t="str">
        <f>"008877794"</f>
        <v>008877794</v>
      </c>
      <c r="B3472" t="str">
        <f>"1063726206"</f>
        <v>1063726206</v>
      </c>
      <c r="C3472" t="str">
        <f>"207RX0202X"</f>
        <v>207RX0202X</v>
      </c>
      <c r="D3472" t="str">
        <f>"XIAO                     SHAUN                    "</f>
        <v xml:space="preserve">XIAO                     SHAUN                    </v>
      </c>
      <c r="E3472" t="str">
        <f>"COVINGTON                 "</f>
        <v xml:space="preserve">COVINGTON                 </v>
      </c>
      <c r="F3472" t="str">
        <f t="shared" si="147"/>
        <v>LA</v>
      </c>
    </row>
    <row r="3473" spans="1:6" x14ac:dyDescent="0.25">
      <c r="A3473" t="str">
        <f>"008880722"</f>
        <v>008880722</v>
      </c>
      <c r="B3473" t="str">
        <f>"1164765285"</f>
        <v>1164765285</v>
      </c>
      <c r="C3473" t="str">
        <f>"207Q00000X"</f>
        <v>207Q00000X</v>
      </c>
      <c r="D3473" t="str">
        <f>"NGUYEN                   MADELEINE    T           "</f>
        <v xml:space="preserve">NGUYEN                   MADELEINE    T           </v>
      </c>
      <c r="E3473" t="str">
        <f>"BATON ROUGE               "</f>
        <v xml:space="preserve">BATON ROUGE               </v>
      </c>
      <c r="F3473" t="str">
        <f t="shared" si="147"/>
        <v>LA</v>
      </c>
    </row>
    <row r="3474" spans="1:6" x14ac:dyDescent="0.25">
      <c r="A3474" t="str">
        <f>"008880810"</f>
        <v>008880810</v>
      </c>
      <c r="B3474" t="str">
        <f>"1316372808"</f>
        <v>1316372808</v>
      </c>
      <c r="C3474" t="str">
        <f>"363A00000X"</f>
        <v>363A00000X</v>
      </c>
      <c r="D3474" t="str">
        <f>"HAMBLIN                  MEGAN        P           "</f>
        <v xml:space="preserve">HAMBLIN                  MEGAN        P           </v>
      </c>
      <c r="E3474" t="str">
        <f>"NEW ORLEANS               "</f>
        <v xml:space="preserve">NEW ORLEANS               </v>
      </c>
      <c r="F3474" t="str">
        <f t="shared" si="147"/>
        <v>LA</v>
      </c>
    </row>
    <row r="3475" spans="1:6" x14ac:dyDescent="0.25">
      <c r="A3475" t="str">
        <f>"008882250"</f>
        <v>008882250</v>
      </c>
      <c r="B3475" t="str">
        <f>"1912394925"</f>
        <v>1912394925</v>
      </c>
      <c r="C3475" t="str">
        <f>"208000000X"</f>
        <v>208000000X</v>
      </c>
      <c r="D3475" t="str">
        <f>"ALLAIN                   MEREDITH     W           "</f>
        <v xml:space="preserve">ALLAIN                   MEREDITH     W           </v>
      </c>
      <c r="E3475" t="str">
        <f>"NEW ORLEANS               "</f>
        <v xml:space="preserve">NEW ORLEANS               </v>
      </c>
      <c r="F3475" t="str">
        <f t="shared" si="147"/>
        <v>LA</v>
      </c>
    </row>
    <row r="3476" spans="1:6" x14ac:dyDescent="0.25">
      <c r="A3476" t="str">
        <f>"008883205"</f>
        <v>008883205</v>
      </c>
      <c r="B3476" t="str">
        <f>"1407134737"</f>
        <v>1407134737</v>
      </c>
      <c r="C3476" t="str">
        <f>"207R00000X"</f>
        <v>207R00000X</v>
      </c>
      <c r="D3476" t="str">
        <f>"KITCHELL                 DAVID        H           "</f>
        <v xml:space="preserve">KITCHELL                 DAVID        H           </v>
      </c>
      <c r="E3476" t="str">
        <f>"NEW ORLEANS               "</f>
        <v xml:space="preserve">NEW ORLEANS               </v>
      </c>
      <c r="F3476" t="str">
        <f t="shared" si="147"/>
        <v>LA</v>
      </c>
    </row>
    <row r="3477" spans="1:6" x14ac:dyDescent="0.25">
      <c r="A3477" t="str">
        <f>"008883823"</f>
        <v>008883823</v>
      </c>
      <c r="B3477" t="str">
        <f>"1972163822"</f>
        <v>1972163822</v>
      </c>
      <c r="C3477" t="str">
        <f>"367500000X"</f>
        <v>367500000X</v>
      </c>
      <c r="D3477" t="str">
        <f>"GOLLEHON                 RACHEL       A           "</f>
        <v xml:space="preserve">GOLLEHON                 RACHEL       A           </v>
      </c>
      <c r="E3477" t="str">
        <f>"NEW ORLEANS               "</f>
        <v xml:space="preserve">NEW ORLEANS               </v>
      </c>
      <c r="F3477" t="str">
        <f t="shared" si="147"/>
        <v>LA</v>
      </c>
    </row>
    <row r="3478" spans="1:6" x14ac:dyDescent="0.25">
      <c r="A3478" t="str">
        <f>"008885013"</f>
        <v>008885013</v>
      </c>
      <c r="B3478" t="str">
        <f>"1063603538"</f>
        <v>1063603538</v>
      </c>
      <c r="C3478" t="str">
        <f>"207P00000X"</f>
        <v>207P00000X</v>
      </c>
      <c r="D3478" t="str">
        <f>"ZORUB                    TANIA        I           "</f>
        <v xml:space="preserve">ZORUB                    TANIA        I           </v>
      </c>
      <c r="E3478" t="str">
        <f>"SLIDELL                   "</f>
        <v xml:space="preserve">SLIDELL                   </v>
      </c>
      <c r="F3478" t="str">
        <f t="shared" si="147"/>
        <v>LA</v>
      </c>
    </row>
    <row r="3479" spans="1:6" x14ac:dyDescent="0.25">
      <c r="A3479" t="str">
        <f>"008885046"</f>
        <v>008885046</v>
      </c>
      <c r="B3479" t="str">
        <f>"1770872830"</f>
        <v>1770872830</v>
      </c>
      <c r="C3479" t="str">
        <f>"207R00000X"</f>
        <v>207R00000X</v>
      </c>
      <c r="D3479" t="str">
        <f>"MCINTYRE                 CALEY        D           "</f>
        <v xml:space="preserve">MCINTYRE                 CALEY        D           </v>
      </c>
      <c r="E3479" t="str">
        <f>"NEW ORLEANS               "</f>
        <v xml:space="preserve">NEW ORLEANS               </v>
      </c>
      <c r="F3479" t="str">
        <f t="shared" si="147"/>
        <v>LA</v>
      </c>
    </row>
    <row r="3480" spans="1:6" x14ac:dyDescent="0.25">
      <c r="A3480" t="str">
        <f>"008885358"</f>
        <v>008885358</v>
      </c>
      <c r="B3480" t="str">
        <f>"1801143599"</f>
        <v>1801143599</v>
      </c>
      <c r="C3480" t="str">
        <f>"363A00000X"</f>
        <v>363A00000X</v>
      </c>
      <c r="D3480" t="str">
        <f>"HAAR                     LAURA        M           "</f>
        <v xml:space="preserve">HAAR                     LAURA        M           </v>
      </c>
      <c r="E3480" t="str">
        <f>"COVINGTON                 "</f>
        <v xml:space="preserve">COVINGTON                 </v>
      </c>
      <c r="F3480" t="str">
        <f t="shared" si="147"/>
        <v>LA</v>
      </c>
    </row>
    <row r="3481" spans="1:6" x14ac:dyDescent="0.25">
      <c r="A3481" t="str">
        <f>"008904366"</f>
        <v>008904366</v>
      </c>
      <c r="B3481" t="str">
        <f>"1578753034"</f>
        <v>1578753034</v>
      </c>
      <c r="C3481" t="str">
        <f>"207T00000X"</f>
        <v>207T00000X</v>
      </c>
      <c r="D3481" t="str">
        <f>"VOLK III                 JEROME       M           "</f>
        <v xml:space="preserve">VOLK III                 JEROME       M           </v>
      </c>
      <c r="E3481" t="str">
        <f>"NEW ORLEANS               "</f>
        <v xml:space="preserve">NEW ORLEANS               </v>
      </c>
      <c r="F3481" t="str">
        <f t="shared" si="147"/>
        <v>LA</v>
      </c>
    </row>
    <row r="3482" spans="1:6" x14ac:dyDescent="0.25">
      <c r="A3482" t="str">
        <f>"008920091"</f>
        <v>008920091</v>
      </c>
      <c r="B3482" t="str">
        <f>"1356656144"</f>
        <v>1356656144</v>
      </c>
      <c r="C3482" t="str">
        <f>"122300000X"</f>
        <v>122300000X</v>
      </c>
      <c r="D3482" t="str">
        <f>"GUIDRY                   LAURA        R           "</f>
        <v xml:space="preserve">GUIDRY                   LAURA        R           </v>
      </c>
      <c r="E3482" t="str">
        <f>"SLIDELL                   "</f>
        <v xml:space="preserve">SLIDELL                   </v>
      </c>
      <c r="F3482" t="str">
        <f t="shared" si="147"/>
        <v>LA</v>
      </c>
    </row>
    <row r="3483" spans="1:6" x14ac:dyDescent="0.25">
      <c r="A3483" t="str">
        <f>"008924818"</f>
        <v>008924818</v>
      </c>
      <c r="B3483" t="str">
        <f>"1437238656"</f>
        <v>1437238656</v>
      </c>
      <c r="C3483" t="str">
        <f>"207X00000X"</f>
        <v>207X00000X</v>
      </c>
      <c r="D3483" t="str">
        <f>"SURI                     MISTY                    "</f>
        <v xml:space="preserve">SURI                     MISTY                    </v>
      </c>
      <c r="E3483" t="str">
        <f>"NEW ORLEANS               "</f>
        <v xml:space="preserve">NEW ORLEANS               </v>
      </c>
      <c r="F3483" t="str">
        <f t="shared" ref="F3483:F3546" si="148">"LA"</f>
        <v>LA</v>
      </c>
    </row>
    <row r="3484" spans="1:6" x14ac:dyDescent="0.25">
      <c r="A3484" t="str">
        <f>"008925881"</f>
        <v>008925881</v>
      </c>
      <c r="B3484" t="str">
        <f>"1134377187"</f>
        <v>1134377187</v>
      </c>
      <c r="C3484" t="str">
        <f>"363L00000X"</f>
        <v>363L00000X</v>
      </c>
      <c r="D3484" t="str">
        <f>"FRANCESKI                BARBARA      D           "</f>
        <v xml:space="preserve">FRANCESKI                BARBARA      D           </v>
      </c>
      <c r="E3484" t="str">
        <f>"SLIDELL                   "</f>
        <v xml:space="preserve">SLIDELL                   </v>
      </c>
      <c r="F3484" t="str">
        <f t="shared" si="148"/>
        <v>LA</v>
      </c>
    </row>
    <row r="3485" spans="1:6" x14ac:dyDescent="0.25">
      <c r="A3485" t="str">
        <f>"008927266"</f>
        <v>008927266</v>
      </c>
      <c r="B3485" t="str">
        <f>"1912177742"</f>
        <v>1912177742</v>
      </c>
      <c r="C3485" t="str">
        <f>"208000000X"</f>
        <v>208000000X</v>
      </c>
      <c r="D3485" t="str">
        <f>"TURNER                   JASON        P           "</f>
        <v xml:space="preserve">TURNER                   JASON        P           </v>
      </c>
      <c r="E3485" t="str">
        <f>"NEW ORLEANS               "</f>
        <v xml:space="preserve">NEW ORLEANS               </v>
      </c>
      <c r="F3485" t="str">
        <f t="shared" si="148"/>
        <v>LA</v>
      </c>
    </row>
    <row r="3486" spans="1:6" x14ac:dyDescent="0.25">
      <c r="A3486" t="str">
        <f>"008931754"</f>
        <v>008931754</v>
      </c>
      <c r="B3486" t="str">
        <f>"1215336631"</f>
        <v>1215336631</v>
      </c>
      <c r="C3486" t="str">
        <f>"363L00000X"</f>
        <v>363L00000X</v>
      </c>
      <c r="D3486" t="str">
        <f>"DARDAR                   DEANNA       A           "</f>
        <v xml:space="preserve">DARDAR                   DEANNA       A           </v>
      </c>
      <c r="E3486" t="str">
        <f>"SLIDELL                   "</f>
        <v xml:space="preserve">SLIDELL                   </v>
      </c>
      <c r="F3486" t="str">
        <f t="shared" si="148"/>
        <v>LA</v>
      </c>
    </row>
    <row r="3487" spans="1:6" x14ac:dyDescent="0.25">
      <c r="A3487" t="str">
        <f>"008933090"</f>
        <v>008933090</v>
      </c>
      <c r="B3487" t="str">
        <f>"1710413596"</f>
        <v>1710413596</v>
      </c>
      <c r="C3487" t="str">
        <f>"363L00000X"</f>
        <v>363L00000X</v>
      </c>
      <c r="D3487" t="str">
        <f>"HARRIGAN                 SHELBY       F           "</f>
        <v xml:space="preserve">HARRIGAN                 SHELBY       F           </v>
      </c>
      <c r="E3487" t="str">
        <f>"NEW ORLEANS               "</f>
        <v xml:space="preserve">NEW ORLEANS               </v>
      </c>
      <c r="F3487" t="str">
        <f t="shared" si="148"/>
        <v>LA</v>
      </c>
    </row>
    <row r="3488" spans="1:6" x14ac:dyDescent="0.25">
      <c r="A3488" t="str">
        <f>"008934250"</f>
        <v>008934250</v>
      </c>
      <c r="B3488" t="str">
        <f>"1154663227"</f>
        <v>1154663227</v>
      </c>
      <c r="C3488" t="str">
        <f>"207P00000X"</f>
        <v>207P00000X</v>
      </c>
      <c r="D3488" t="str">
        <f>"SHAMITKO                 GREGORY      A           "</f>
        <v xml:space="preserve">SHAMITKO                 GREGORY      A           </v>
      </c>
      <c r="E3488" t="str">
        <f>"TERRYTOWN                 "</f>
        <v xml:space="preserve">TERRYTOWN                 </v>
      </c>
      <c r="F3488" t="str">
        <f t="shared" si="148"/>
        <v>LA</v>
      </c>
    </row>
    <row r="3489" spans="1:6" x14ac:dyDescent="0.25">
      <c r="A3489" t="str">
        <f>"008934372"</f>
        <v>008934372</v>
      </c>
      <c r="B3489" t="str">
        <f>"1013169549"</f>
        <v>1013169549</v>
      </c>
      <c r="C3489" t="str">
        <f>"207LP2900X"</f>
        <v>207LP2900X</v>
      </c>
      <c r="D3489" t="str">
        <f>"GUIRGUIS                 MAGED        N           "</f>
        <v xml:space="preserve">GUIRGUIS                 MAGED        N           </v>
      </c>
      <c r="E3489" t="str">
        <f>"NEW ORLEANS               "</f>
        <v xml:space="preserve">NEW ORLEANS               </v>
      </c>
      <c r="F3489" t="str">
        <f t="shared" si="148"/>
        <v>LA</v>
      </c>
    </row>
    <row r="3490" spans="1:6" x14ac:dyDescent="0.25">
      <c r="A3490" t="str">
        <f>"008972391"</f>
        <v>008972391</v>
      </c>
      <c r="B3490" t="str">
        <f>"1952507519"</f>
        <v>1952507519</v>
      </c>
      <c r="C3490" t="str">
        <f>"207R00000X"</f>
        <v>207R00000X</v>
      </c>
      <c r="D3490" t="str">
        <f>"CHEUK                    JOAN         W           "</f>
        <v xml:space="preserve">CHEUK                    JOAN         W           </v>
      </c>
      <c r="E3490" t="str">
        <f>"NEW ORLEANS               "</f>
        <v xml:space="preserve">NEW ORLEANS               </v>
      </c>
      <c r="F3490" t="str">
        <f t="shared" si="148"/>
        <v>LA</v>
      </c>
    </row>
    <row r="3491" spans="1:6" x14ac:dyDescent="0.25">
      <c r="A3491" t="str">
        <f>"008972832"</f>
        <v>008972832</v>
      </c>
      <c r="B3491" t="str">
        <f>"1013023803"</f>
        <v>1013023803</v>
      </c>
      <c r="C3491" t="str">
        <f>"207P00000X"</f>
        <v>207P00000X</v>
      </c>
      <c r="D3491" t="str">
        <f>"TATFORD III              ARCHIE       C           "</f>
        <v xml:space="preserve">TATFORD III              ARCHIE       C           </v>
      </c>
      <c r="E3491" t="str">
        <f>"SLIDELL                   "</f>
        <v xml:space="preserve">SLIDELL                   </v>
      </c>
      <c r="F3491" t="str">
        <f t="shared" si="148"/>
        <v>LA</v>
      </c>
    </row>
    <row r="3492" spans="1:6" x14ac:dyDescent="0.25">
      <c r="A3492" t="str">
        <f>"008975703"</f>
        <v>008975703</v>
      </c>
      <c r="B3492" t="str">
        <f>"1588026470"</f>
        <v>1588026470</v>
      </c>
      <c r="C3492" t="str">
        <f>"207R00000X"</f>
        <v>207R00000X</v>
      </c>
      <c r="D3492" t="str">
        <f>"SMITH                    DEREK        M           "</f>
        <v xml:space="preserve">SMITH                    DEREK        M           </v>
      </c>
      <c r="E3492" t="str">
        <f>"NEW ORLEANS               "</f>
        <v xml:space="preserve">NEW ORLEANS               </v>
      </c>
      <c r="F3492" t="str">
        <f t="shared" si="148"/>
        <v>LA</v>
      </c>
    </row>
    <row r="3493" spans="1:6" x14ac:dyDescent="0.25">
      <c r="A3493" t="str">
        <f>"008979873"</f>
        <v>008979873</v>
      </c>
      <c r="B3493" t="str">
        <f>"1598010605"</f>
        <v>1598010605</v>
      </c>
      <c r="C3493" t="str">
        <f>"363L00000X"</f>
        <v>363L00000X</v>
      </c>
      <c r="D3493" t="str">
        <f>"MCCLOSKEY                MICHELLE     A           "</f>
        <v xml:space="preserve">MCCLOSKEY                MICHELLE     A           </v>
      </c>
      <c r="E3493" t="str">
        <f>"NEW ORLEANS               "</f>
        <v xml:space="preserve">NEW ORLEANS               </v>
      </c>
      <c r="F3493" t="str">
        <f t="shared" si="148"/>
        <v>LA</v>
      </c>
    </row>
    <row r="3494" spans="1:6" x14ac:dyDescent="0.25">
      <c r="A3494" t="str">
        <f>"008981728"</f>
        <v>008981728</v>
      </c>
      <c r="B3494" t="str">
        <f>"1285050799"</f>
        <v>1285050799</v>
      </c>
      <c r="C3494" t="str">
        <f>"207RC0000X"</f>
        <v>207RC0000X</v>
      </c>
      <c r="D3494" t="str">
        <f>"ABDALLAH                 MOKHTAR                  "</f>
        <v xml:space="preserve">ABDALLAH                 MOKHTAR                  </v>
      </c>
      <c r="E3494" t="str">
        <f>"BATON ROUGE               "</f>
        <v xml:space="preserve">BATON ROUGE               </v>
      </c>
      <c r="F3494" t="str">
        <f t="shared" si="148"/>
        <v>LA</v>
      </c>
    </row>
    <row r="3495" spans="1:6" x14ac:dyDescent="0.25">
      <c r="A3495" t="str">
        <f>"009003033"</f>
        <v>009003033</v>
      </c>
      <c r="B3495" t="str">
        <f>"1396837845"</f>
        <v>1396837845</v>
      </c>
      <c r="C3495" t="str">
        <f>"207RR0500X"</f>
        <v>207RR0500X</v>
      </c>
      <c r="D3495" t="str">
        <f>"EL-DAHR                  JANE         M           "</f>
        <v xml:space="preserve">EL-DAHR                  JANE         M           </v>
      </c>
      <c r="E3495" t="str">
        <f t="shared" ref="E3495:E3503" si="149">"NEW ORLEANS               "</f>
        <v xml:space="preserve">NEW ORLEANS               </v>
      </c>
      <c r="F3495" t="str">
        <f t="shared" si="148"/>
        <v>LA</v>
      </c>
    </row>
    <row r="3496" spans="1:6" x14ac:dyDescent="0.25">
      <c r="A3496" t="str">
        <f>"009026296"</f>
        <v>009026296</v>
      </c>
      <c r="B3496" t="str">
        <f>"1538335500"</f>
        <v>1538335500</v>
      </c>
      <c r="C3496" t="str">
        <f>"207R00000X"</f>
        <v>207R00000X</v>
      </c>
      <c r="D3496" t="str">
        <f>"DESAI                    SAPNA        V           "</f>
        <v xml:space="preserve">DESAI                    SAPNA        V           </v>
      </c>
      <c r="E3496" t="str">
        <f t="shared" si="149"/>
        <v xml:space="preserve">NEW ORLEANS               </v>
      </c>
      <c r="F3496" t="str">
        <f t="shared" si="148"/>
        <v>LA</v>
      </c>
    </row>
    <row r="3497" spans="1:6" x14ac:dyDescent="0.25">
      <c r="A3497" t="str">
        <f>"009027238"</f>
        <v>009027238</v>
      </c>
      <c r="B3497" t="str">
        <f>"1013108174"</f>
        <v>1013108174</v>
      </c>
      <c r="C3497" t="str">
        <f>"2086S0127X"</f>
        <v>2086S0127X</v>
      </c>
      <c r="D3497" t="str">
        <f>"GREIFFENSTEIN            PATRICK                  "</f>
        <v xml:space="preserve">GREIFFENSTEIN            PATRICK                  </v>
      </c>
      <c r="E3497" t="str">
        <f t="shared" si="149"/>
        <v xml:space="preserve">NEW ORLEANS               </v>
      </c>
      <c r="F3497" t="str">
        <f t="shared" si="148"/>
        <v>LA</v>
      </c>
    </row>
    <row r="3498" spans="1:6" x14ac:dyDescent="0.25">
      <c r="A3498" t="str">
        <f>"009027262"</f>
        <v>009027262</v>
      </c>
      <c r="B3498" t="str">
        <f>"1801231873"</f>
        <v>1801231873</v>
      </c>
      <c r="C3498" t="str">
        <f>"207V00000X"</f>
        <v>207V00000X</v>
      </c>
      <c r="D3498" t="str">
        <f>"MARTIN                   JANE         K           "</f>
        <v xml:space="preserve">MARTIN                   JANE         K           </v>
      </c>
      <c r="E3498" t="str">
        <f t="shared" si="149"/>
        <v xml:space="preserve">NEW ORLEANS               </v>
      </c>
      <c r="F3498" t="str">
        <f t="shared" si="148"/>
        <v>LA</v>
      </c>
    </row>
    <row r="3499" spans="1:6" x14ac:dyDescent="0.25">
      <c r="A3499" t="str">
        <f>"009029046"</f>
        <v>009029046</v>
      </c>
      <c r="B3499" t="str">
        <f>"1386996619"</f>
        <v>1386996619</v>
      </c>
      <c r="C3499" t="str">
        <f>"152W00000X"</f>
        <v>152W00000X</v>
      </c>
      <c r="D3499" t="str">
        <f>"MCGHEE                   BREANNE      B           "</f>
        <v xml:space="preserve">MCGHEE                   BREANNE      B           </v>
      </c>
      <c r="E3499" t="str">
        <f t="shared" si="149"/>
        <v xml:space="preserve">NEW ORLEANS               </v>
      </c>
      <c r="F3499" t="str">
        <f t="shared" si="148"/>
        <v>LA</v>
      </c>
    </row>
    <row r="3500" spans="1:6" x14ac:dyDescent="0.25">
      <c r="A3500" t="str">
        <f>"009034016"</f>
        <v>009034016</v>
      </c>
      <c r="B3500" t="str">
        <f>"1932693728"</f>
        <v>1932693728</v>
      </c>
      <c r="C3500" t="str">
        <f>"367500000X"</f>
        <v>367500000X</v>
      </c>
      <c r="D3500" t="str">
        <f>"WILSON                   TRACEY       K           "</f>
        <v xml:space="preserve">WILSON                   TRACEY       K           </v>
      </c>
      <c r="E3500" t="str">
        <f t="shared" si="149"/>
        <v xml:space="preserve">NEW ORLEANS               </v>
      </c>
      <c r="F3500" t="str">
        <f t="shared" si="148"/>
        <v>LA</v>
      </c>
    </row>
    <row r="3501" spans="1:6" x14ac:dyDescent="0.25">
      <c r="A3501" t="str">
        <f>"009051054"</f>
        <v>009051054</v>
      </c>
      <c r="B3501" t="str">
        <f>"1750767927"</f>
        <v>1750767927</v>
      </c>
      <c r="C3501" t="str">
        <f>"363A00000X"</f>
        <v>363A00000X</v>
      </c>
      <c r="D3501" t="str">
        <f>"HYMEL                    MINDY                    "</f>
        <v xml:space="preserve">HYMEL                    MINDY                    </v>
      </c>
      <c r="E3501" t="str">
        <f t="shared" si="149"/>
        <v xml:space="preserve">NEW ORLEANS               </v>
      </c>
      <c r="F3501" t="str">
        <f t="shared" si="148"/>
        <v>LA</v>
      </c>
    </row>
    <row r="3502" spans="1:6" x14ac:dyDescent="0.25">
      <c r="A3502" t="str">
        <f>"009057007"</f>
        <v>009057007</v>
      </c>
      <c r="B3502" t="str">
        <f>"1912051624"</f>
        <v>1912051624</v>
      </c>
      <c r="C3502" t="str">
        <f>"363A00000X"</f>
        <v>363A00000X</v>
      </c>
      <c r="D3502" t="str">
        <f>"LAGO                     THERESA      K           "</f>
        <v xml:space="preserve">LAGO                     THERESA      K           </v>
      </c>
      <c r="E3502" t="str">
        <f t="shared" si="149"/>
        <v xml:space="preserve">NEW ORLEANS               </v>
      </c>
      <c r="F3502" t="str">
        <f t="shared" si="148"/>
        <v>LA</v>
      </c>
    </row>
    <row r="3503" spans="1:6" x14ac:dyDescent="0.25">
      <c r="A3503" t="str">
        <f>"009070594"</f>
        <v>009070594</v>
      </c>
      <c r="B3503" t="str">
        <f>"1144739202"</f>
        <v>1144739202</v>
      </c>
      <c r="C3503" t="str">
        <f>"363L00000X"</f>
        <v>363L00000X</v>
      </c>
      <c r="D3503" t="str">
        <f>"DODD                     JUDITH                   "</f>
        <v xml:space="preserve">DODD                     JUDITH                   </v>
      </c>
      <c r="E3503" t="str">
        <f t="shared" si="149"/>
        <v xml:space="preserve">NEW ORLEANS               </v>
      </c>
      <c r="F3503" t="str">
        <f t="shared" si="148"/>
        <v>LA</v>
      </c>
    </row>
    <row r="3504" spans="1:6" x14ac:dyDescent="0.25">
      <c r="A3504" t="str">
        <f>"009076001"</f>
        <v>009076001</v>
      </c>
      <c r="B3504" t="str">
        <f>"1407894710"</f>
        <v>1407894710</v>
      </c>
      <c r="C3504" t="str">
        <f>"207RN0300X"</f>
        <v>207RN0300X</v>
      </c>
      <c r="D3504" t="str">
        <f>"GABBARD                  WILLIAM      A           "</f>
        <v xml:space="preserve">GABBARD                  WILLIAM      A           </v>
      </c>
      <c r="E3504" t="str">
        <f>"BATON ROUGE               "</f>
        <v xml:space="preserve">BATON ROUGE               </v>
      </c>
      <c r="F3504" t="str">
        <f t="shared" si="148"/>
        <v>LA</v>
      </c>
    </row>
    <row r="3505" spans="1:6" x14ac:dyDescent="0.25">
      <c r="A3505" t="str">
        <f>"009083063"</f>
        <v>009083063</v>
      </c>
      <c r="B3505" t="str">
        <f>"1073284899"</f>
        <v>1073284899</v>
      </c>
      <c r="C3505" t="str">
        <f>"363A00000X"</f>
        <v>363A00000X</v>
      </c>
      <c r="D3505" t="str">
        <f>"ORTEGO                   ANNA         C           "</f>
        <v xml:space="preserve">ORTEGO                   ANNA         C           </v>
      </c>
      <c r="E3505" t="str">
        <f>"SLIDELL                   "</f>
        <v xml:space="preserve">SLIDELL                   </v>
      </c>
      <c r="F3505" t="str">
        <f t="shared" si="148"/>
        <v>LA</v>
      </c>
    </row>
    <row r="3506" spans="1:6" x14ac:dyDescent="0.25">
      <c r="A3506" t="str">
        <f>"009086350"</f>
        <v>009086350</v>
      </c>
      <c r="B3506" t="str">
        <f>"1477812675"</f>
        <v>1477812675</v>
      </c>
      <c r="C3506" t="str">
        <f>"207P00000X"</f>
        <v>207P00000X</v>
      </c>
      <c r="D3506" t="str">
        <f>"BLASIAR                  BRADLEY      J           "</f>
        <v xml:space="preserve">BLASIAR                  BRADLEY      J           </v>
      </c>
      <c r="E3506" t="str">
        <f>"KENNER                    "</f>
        <v xml:space="preserve">KENNER                    </v>
      </c>
      <c r="F3506" t="str">
        <f t="shared" si="148"/>
        <v>LA</v>
      </c>
    </row>
    <row r="3507" spans="1:6" x14ac:dyDescent="0.25">
      <c r="A3507" t="str">
        <f>"009089731"</f>
        <v>009089731</v>
      </c>
      <c r="B3507" t="str">
        <f>"1891751301"</f>
        <v>1891751301</v>
      </c>
      <c r="C3507" t="str">
        <f>"207RN0300X"</f>
        <v>207RN0300X</v>
      </c>
      <c r="D3507" t="str">
        <f>"RAB                      SYED         T           "</f>
        <v xml:space="preserve">RAB                      SYED         T           </v>
      </c>
      <c r="E3507" t="str">
        <f>"AMITE                     "</f>
        <v xml:space="preserve">AMITE                     </v>
      </c>
      <c r="F3507" t="str">
        <f t="shared" si="148"/>
        <v>LA</v>
      </c>
    </row>
    <row r="3508" spans="1:6" x14ac:dyDescent="0.25">
      <c r="A3508" t="str">
        <f>"009107383"</f>
        <v>009107383</v>
      </c>
      <c r="B3508" t="str">
        <f>"1144600032"</f>
        <v>1144600032</v>
      </c>
      <c r="C3508" t="str">
        <f>"207V00000X"</f>
        <v>207V00000X</v>
      </c>
      <c r="D3508" t="str">
        <f>"RANGER                   CAITLYN      L           "</f>
        <v xml:space="preserve">RANGER                   CAITLYN      L           </v>
      </c>
      <c r="E3508" t="str">
        <f t="shared" ref="E3508:E3513" si="150">"NEW ORLEANS               "</f>
        <v xml:space="preserve">NEW ORLEANS               </v>
      </c>
      <c r="F3508" t="str">
        <f t="shared" si="148"/>
        <v>LA</v>
      </c>
    </row>
    <row r="3509" spans="1:6" x14ac:dyDescent="0.25">
      <c r="A3509" t="str">
        <f>"009170035"</f>
        <v>009170035</v>
      </c>
      <c r="B3509" t="str">
        <f>"1669132551"</f>
        <v>1669132551</v>
      </c>
      <c r="C3509" t="str">
        <f>"363L00000X"</f>
        <v>363L00000X</v>
      </c>
      <c r="D3509" t="str">
        <f>"TREXLER-BRAKKE           LINDSEY      J           "</f>
        <v xml:space="preserve">TREXLER-BRAKKE           LINDSEY      J           </v>
      </c>
      <c r="E3509" t="str">
        <f t="shared" si="150"/>
        <v xml:space="preserve">NEW ORLEANS               </v>
      </c>
      <c r="F3509" t="str">
        <f t="shared" si="148"/>
        <v>LA</v>
      </c>
    </row>
    <row r="3510" spans="1:6" x14ac:dyDescent="0.25">
      <c r="A3510" t="str">
        <f>"009172003"</f>
        <v>009172003</v>
      </c>
      <c r="B3510" t="str">
        <f>"1619066172"</f>
        <v>1619066172</v>
      </c>
      <c r="C3510" t="str">
        <f>"2085R0202X"</f>
        <v>2085R0202X</v>
      </c>
      <c r="D3510" t="str">
        <f>"BISSET                   GEORGE       S           "</f>
        <v xml:space="preserve">BISSET                   GEORGE       S           </v>
      </c>
      <c r="E3510" t="str">
        <f t="shared" si="150"/>
        <v xml:space="preserve">NEW ORLEANS               </v>
      </c>
      <c r="F3510" t="str">
        <f t="shared" si="148"/>
        <v>LA</v>
      </c>
    </row>
    <row r="3511" spans="1:6" x14ac:dyDescent="0.25">
      <c r="A3511" t="str">
        <f>"009173210"</f>
        <v>009173210</v>
      </c>
      <c r="B3511" t="str">
        <f>"1659393668"</f>
        <v>1659393668</v>
      </c>
      <c r="C3511" t="str">
        <f>"2080N0001X"</f>
        <v>2080N0001X</v>
      </c>
      <c r="D3511" t="str">
        <f>"OLISTER                  STACI        M           "</f>
        <v xml:space="preserve">OLISTER                  STACI        M           </v>
      </c>
      <c r="E3511" t="str">
        <f t="shared" si="150"/>
        <v xml:space="preserve">NEW ORLEANS               </v>
      </c>
      <c r="F3511" t="str">
        <f t="shared" si="148"/>
        <v>LA</v>
      </c>
    </row>
    <row r="3512" spans="1:6" x14ac:dyDescent="0.25">
      <c r="A3512" t="str">
        <f>"009175801"</f>
        <v>009175801</v>
      </c>
      <c r="B3512" t="str">
        <f>"1942521026"</f>
        <v>1942521026</v>
      </c>
      <c r="C3512" t="str">
        <f>"207P00000X"</f>
        <v>207P00000X</v>
      </c>
      <c r="D3512" t="str">
        <f>"GORHAM                   NICHOLAS     P           "</f>
        <v xml:space="preserve">GORHAM                   NICHOLAS     P           </v>
      </c>
      <c r="E3512" t="str">
        <f t="shared" si="150"/>
        <v xml:space="preserve">NEW ORLEANS               </v>
      </c>
      <c r="F3512" t="str">
        <f t="shared" si="148"/>
        <v>LA</v>
      </c>
    </row>
    <row r="3513" spans="1:6" x14ac:dyDescent="0.25">
      <c r="A3513" t="str">
        <f>"009186861"</f>
        <v>009186861</v>
      </c>
      <c r="B3513" t="str">
        <f>"1437104668"</f>
        <v>1437104668</v>
      </c>
      <c r="C3513" t="str">
        <f>"207V00000X"</f>
        <v>207V00000X</v>
      </c>
      <c r="D3513" t="str">
        <f>"BIGGIO                   JOSEPH       R           "</f>
        <v xml:space="preserve">BIGGIO                   JOSEPH       R           </v>
      </c>
      <c r="E3513" t="str">
        <f t="shared" si="150"/>
        <v xml:space="preserve">NEW ORLEANS               </v>
      </c>
      <c r="F3513" t="str">
        <f t="shared" si="148"/>
        <v>LA</v>
      </c>
    </row>
    <row r="3514" spans="1:6" x14ac:dyDescent="0.25">
      <c r="A3514" t="str">
        <f>"009202849"</f>
        <v>009202849</v>
      </c>
      <c r="B3514" t="str">
        <f>"1700082682"</f>
        <v>1700082682</v>
      </c>
      <c r="C3514" t="str">
        <f>"2085R0202X"</f>
        <v>2085R0202X</v>
      </c>
      <c r="D3514" t="str">
        <f>"TRAVIS                   BRETT        R           "</f>
        <v xml:space="preserve">TRAVIS                   BRETT        R           </v>
      </c>
      <c r="E3514" t="str">
        <f>"HAMMOND                   "</f>
        <v xml:space="preserve">HAMMOND                   </v>
      </c>
      <c r="F3514" t="str">
        <f t="shared" si="148"/>
        <v>LA</v>
      </c>
    </row>
    <row r="3515" spans="1:6" x14ac:dyDescent="0.25">
      <c r="A3515" t="str">
        <f>"009203899"</f>
        <v>009203899</v>
      </c>
      <c r="B3515" t="str">
        <f>"1336296128"</f>
        <v>1336296128</v>
      </c>
      <c r="C3515" t="str">
        <f>"208000000X"</f>
        <v>208000000X</v>
      </c>
      <c r="D3515" t="str">
        <f>"PRASAD                   PINKI                    "</f>
        <v xml:space="preserve">PRASAD                   PINKI                    </v>
      </c>
      <c r="E3515" t="str">
        <f>"NEW ORLEANS               "</f>
        <v xml:space="preserve">NEW ORLEANS               </v>
      </c>
      <c r="F3515" t="str">
        <f t="shared" si="148"/>
        <v>LA</v>
      </c>
    </row>
    <row r="3516" spans="1:6" x14ac:dyDescent="0.25">
      <c r="A3516" t="str">
        <f>"009206378"</f>
        <v>009206378</v>
      </c>
      <c r="B3516" t="str">
        <f>"1891038790"</f>
        <v>1891038790</v>
      </c>
      <c r="C3516" t="str">
        <f>"2084N0400X"</f>
        <v>2084N0400X</v>
      </c>
      <c r="D3516" t="str">
        <f>"CANNIZZARO               LOUIS        A           "</f>
        <v xml:space="preserve">CANNIZZARO               LOUIS        A           </v>
      </c>
      <c r="E3516" t="str">
        <f>"NEW ORLEANS               "</f>
        <v xml:space="preserve">NEW ORLEANS               </v>
      </c>
      <c r="F3516" t="str">
        <f t="shared" si="148"/>
        <v>LA</v>
      </c>
    </row>
    <row r="3517" spans="1:6" x14ac:dyDescent="0.25">
      <c r="A3517" t="str">
        <f>"009208291"</f>
        <v>009208291</v>
      </c>
      <c r="B3517" t="str">
        <f>"1346739901"</f>
        <v>1346739901</v>
      </c>
      <c r="C3517" t="str">
        <f>"207R00000X"</f>
        <v>207R00000X</v>
      </c>
      <c r="D3517" t="str">
        <f>"PICARIELLO               ALEXANDER    F           "</f>
        <v xml:space="preserve">PICARIELLO               ALEXANDER    F           </v>
      </c>
      <c r="E3517" t="str">
        <f>"NEW ORLEANS               "</f>
        <v xml:space="preserve">NEW ORLEANS               </v>
      </c>
      <c r="F3517" t="str">
        <f t="shared" si="148"/>
        <v>LA</v>
      </c>
    </row>
    <row r="3518" spans="1:6" x14ac:dyDescent="0.25">
      <c r="A3518" t="str">
        <f>"009223739"</f>
        <v>009223739</v>
      </c>
      <c r="B3518" t="str">
        <f>"1972514784"</f>
        <v>1972514784</v>
      </c>
      <c r="C3518" t="str">
        <f>"2085R0202X"</f>
        <v>2085R0202X</v>
      </c>
      <c r="D3518" t="str">
        <f>"LAJAUNIE                 MICHELE      M           "</f>
        <v xml:space="preserve">LAJAUNIE                 MICHELE      M           </v>
      </c>
      <c r="E3518" t="str">
        <f>"COVINGTON                 "</f>
        <v xml:space="preserve">COVINGTON                 </v>
      </c>
      <c r="F3518" t="str">
        <f t="shared" si="148"/>
        <v>LA</v>
      </c>
    </row>
    <row r="3519" spans="1:6" x14ac:dyDescent="0.25">
      <c r="A3519" t="str">
        <f>"009225735"</f>
        <v>009225735</v>
      </c>
      <c r="B3519" t="str">
        <f>"1699939520"</f>
        <v>1699939520</v>
      </c>
      <c r="C3519" t="str">
        <f>"2085R0202X"</f>
        <v>2085R0202X</v>
      </c>
      <c r="D3519" t="str">
        <f>"CONSTANTINO              KRISTIN      M           "</f>
        <v xml:space="preserve">CONSTANTINO              KRISTIN      M           </v>
      </c>
      <c r="E3519" t="str">
        <f t="shared" ref="E3519:E3525" si="151">"NEW ORLEANS               "</f>
        <v xml:space="preserve">NEW ORLEANS               </v>
      </c>
      <c r="F3519" t="str">
        <f t="shared" si="148"/>
        <v>LA</v>
      </c>
    </row>
    <row r="3520" spans="1:6" x14ac:dyDescent="0.25">
      <c r="A3520" t="str">
        <f>"009235370"</f>
        <v>009235370</v>
      </c>
      <c r="B3520" t="str">
        <f>"1629036405"</f>
        <v>1629036405</v>
      </c>
      <c r="C3520" t="str">
        <f>"207L00000X"</f>
        <v>207L00000X</v>
      </c>
      <c r="D3520" t="str">
        <f>"BUSCH                    ERIC         H           "</f>
        <v xml:space="preserve">BUSCH                    ERIC         H           </v>
      </c>
      <c r="E3520" t="str">
        <f t="shared" si="151"/>
        <v xml:space="preserve">NEW ORLEANS               </v>
      </c>
      <c r="F3520" t="str">
        <f t="shared" si="148"/>
        <v>LA</v>
      </c>
    </row>
    <row r="3521" spans="1:6" x14ac:dyDescent="0.25">
      <c r="A3521" t="str">
        <f>"009235576"</f>
        <v>009235576</v>
      </c>
      <c r="B3521" t="str">
        <f>"1295721959"</f>
        <v>1295721959</v>
      </c>
      <c r="C3521" t="str">
        <f>"208000000X"</f>
        <v>208000000X</v>
      </c>
      <c r="D3521" t="str">
        <f>"RUBIN                    MITCHELL     I           "</f>
        <v xml:space="preserve">RUBIN                    MITCHELL     I           </v>
      </c>
      <c r="E3521" t="str">
        <f t="shared" si="151"/>
        <v xml:space="preserve">NEW ORLEANS               </v>
      </c>
      <c r="F3521" t="str">
        <f t="shared" si="148"/>
        <v>LA</v>
      </c>
    </row>
    <row r="3522" spans="1:6" x14ac:dyDescent="0.25">
      <c r="A3522" t="str">
        <f>"009250318"</f>
        <v>009250318</v>
      </c>
      <c r="B3522" t="str">
        <f>"1982882874"</f>
        <v>1982882874</v>
      </c>
      <c r="C3522" t="str">
        <f>"207RG0100X"</f>
        <v>207RG0100X</v>
      </c>
      <c r="D3522" t="str">
        <f>"GASPARD                  GREGORY      P           "</f>
        <v xml:space="preserve">GASPARD                  GREGORY      P           </v>
      </c>
      <c r="E3522" t="str">
        <f t="shared" si="151"/>
        <v xml:space="preserve">NEW ORLEANS               </v>
      </c>
      <c r="F3522" t="str">
        <f t="shared" si="148"/>
        <v>LA</v>
      </c>
    </row>
    <row r="3523" spans="1:6" x14ac:dyDescent="0.25">
      <c r="A3523" t="str">
        <f>"009253365"</f>
        <v>009253365</v>
      </c>
      <c r="B3523" t="str">
        <f>"1740556299"</f>
        <v>1740556299</v>
      </c>
      <c r="C3523" t="str">
        <f>"208000000X"</f>
        <v>208000000X</v>
      </c>
      <c r="D3523" t="str">
        <f>"SARKAR                   SHUBHO                   "</f>
        <v xml:space="preserve">SARKAR                   SHUBHO                   </v>
      </c>
      <c r="E3523" t="str">
        <f t="shared" si="151"/>
        <v xml:space="preserve">NEW ORLEANS               </v>
      </c>
      <c r="F3523" t="str">
        <f t="shared" si="148"/>
        <v>LA</v>
      </c>
    </row>
    <row r="3524" spans="1:6" x14ac:dyDescent="0.25">
      <c r="A3524" t="str">
        <f>"009256322"</f>
        <v>009256322</v>
      </c>
      <c r="B3524" t="str">
        <f>"1083906960"</f>
        <v>1083906960</v>
      </c>
      <c r="C3524" t="str">
        <f>"2085R0202X"</f>
        <v>2085R0202X</v>
      </c>
      <c r="D3524" t="str">
        <f>"MAYHALL                  GEORGE       A           "</f>
        <v xml:space="preserve">MAYHALL                  GEORGE       A           </v>
      </c>
      <c r="E3524" t="str">
        <f t="shared" si="151"/>
        <v xml:space="preserve">NEW ORLEANS               </v>
      </c>
      <c r="F3524" t="str">
        <f t="shared" si="148"/>
        <v>LA</v>
      </c>
    </row>
    <row r="3525" spans="1:6" x14ac:dyDescent="0.25">
      <c r="A3525" t="str">
        <f>"009270068"</f>
        <v>009270068</v>
      </c>
      <c r="B3525" t="str">
        <f>"1306006325"</f>
        <v>1306006325</v>
      </c>
      <c r="C3525" t="str">
        <f>"2085R0202X"</f>
        <v>2085R0202X</v>
      </c>
      <c r="D3525" t="str">
        <f>"GIMENEZ                  JUAN         M           "</f>
        <v xml:space="preserve">GIMENEZ                  JUAN         M           </v>
      </c>
      <c r="E3525" t="str">
        <f t="shared" si="151"/>
        <v xml:space="preserve">NEW ORLEANS               </v>
      </c>
      <c r="F3525" t="str">
        <f t="shared" si="148"/>
        <v>LA</v>
      </c>
    </row>
    <row r="3526" spans="1:6" x14ac:dyDescent="0.25">
      <c r="A3526" t="str">
        <f>"009271085"</f>
        <v>009271085</v>
      </c>
      <c r="B3526" t="str">
        <f>"1841267598"</f>
        <v>1841267598</v>
      </c>
      <c r="C3526" t="str">
        <f>"207R00000X"</f>
        <v>207R00000X</v>
      </c>
      <c r="D3526" t="str">
        <f>"SULTAN                   AQIB                     "</f>
        <v xml:space="preserve">SULTAN                   AQIB                     </v>
      </c>
      <c r="E3526" t="str">
        <f>"SLIDELL                   "</f>
        <v xml:space="preserve">SLIDELL                   </v>
      </c>
      <c r="F3526" t="str">
        <f t="shared" si="148"/>
        <v>LA</v>
      </c>
    </row>
    <row r="3527" spans="1:6" x14ac:dyDescent="0.25">
      <c r="A3527" t="str">
        <f>"009273022"</f>
        <v>009273022</v>
      </c>
      <c r="B3527" t="str">
        <f>"1174889588"</f>
        <v>1174889588</v>
      </c>
      <c r="C3527" t="str">
        <f>"2080N0001X"</f>
        <v>2080N0001X</v>
      </c>
      <c r="D3527" t="str">
        <f>"GALLOIS                  JULIE        B           "</f>
        <v xml:space="preserve">GALLOIS                  JULIE        B           </v>
      </c>
      <c r="E3527" t="str">
        <f>"NEW ORLEANS               "</f>
        <v xml:space="preserve">NEW ORLEANS               </v>
      </c>
      <c r="F3527" t="str">
        <f t="shared" si="148"/>
        <v>LA</v>
      </c>
    </row>
    <row r="3528" spans="1:6" x14ac:dyDescent="0.25">
      <c r="A3528" t="str">
        <f>"009275057"</f>
        <v>009275057</v>
      </c>
      <c r="B3528" t="str">
        <f>"1629498787"</f>
        <v>1629498787</v>
      </c>
      <c r="C3528" t="str">
        <f>"207RG0100X"</f>
        <v>207RG0100X</v>
      </c>
      <c r="D3528" t="str">
        <f>"YOUNG                    STEVEN       R           "</f>
        <v xml:space="preserve">YOUNG                    STEVEN       R           </v>
      </c>
      <c r="E3528" t="str">
        <f>"NEW ORLEANS               "</f>
        <v xml:space="preserve">NEW ORLEANS               </v>
      </c>
      <c r="F3528" t="str">
        <f t="shared" si="148"/>
        <v>LA</v>
      </c>
    </row>
    <row r="3529" spans="1:6" x14ac:dyDescent="0.25">
      <c r="A3529" t="str">
        <f>"009275205"</f>
        <v>009275205</v>
      </c>
      <c r="B3529" t="str">
        <f>"1447599675"</f>
        <v>1447599675</v>
      </c>
      <c r="C3529" t="str">
        <f>"207Q00000X"</f>
        <v>207Q00000X</v>
      </c>
      <c r="D3529" t="str">
        <f>"LAVESPERE                RANDY        L           "</f>
        <v xml:space="preserve">LAVESPERE                RANDY        L           </v>
      </c>
      <c r="E3529" t="str">
        <f>"BOGALUSA                  "</f>
        <v xml:space="preserve">BOGALUSA                  </v>
      </c>
      <c r="F3529" t="str">
        <f t="shared" si="148"/>
        <v>LA</v>
      </c>
    </row>
    <row r="3530" spans="1:6" x14ac:dyDescent="0.25">
      <c r="A3530" t="str">
        <f>"009280289"</f>
        <v>009280289</v>
      </c>
      <c r="B3530" t="str">
        <f>"1659581536"</f>
        <v>1659581536</v>
      </c>
      <c r="C3530" t="str">
        <f>"207RC0000X"</f>
        <v>207RC0000X</v>
      </c>
      <c r="D3530" t="str">
        <f>"QAMRUDDIN                SALIMA                   "</f>
        <v xml:space="preserve">QAMRUDDIN                SALIMA                   </v>
      </c>
      <c r="E3530" t="str">
        <f>"NEW ORLEANS               "</f>
        <v xml:space="preserve">NEW ORLEANS               </v>
      </c>
      <c r="F3530" t="str">
        <f t="shared" si="148"/>
        <v>LA</v>
      </c>
    </row>
    <row r="3531" spans="1:6" x14ac:dyDescent="0.25">
      <c r="A3531" t="str">
        <f>"009281851"</f>
        <v>009281851</v>
      </c>
      <c r="B3531" t="str">
        <f>"1205026143"</f>
        <v>1205026143</v>
      </c>
      <c r="C3531" t="str">
        <f>"207R00000X"</f>
        <v>207R00000X</v>
      </c>
      <c r="D3531" t="str">
        <f>"COLLINS                  JARED        F           "</f>
        <v xml:space="preserve">COLLINS                  JARED        F           </v>
      </c>
      <c r="E3531" t="str">
        <f>"NEW ORLEANS               "</f>
        <v xml:space="preserve">NEW ORLEANS               </v>
      </c>
      <c r="F3531" t="str">
        <f t="shared" si="148"/>
        <v>LA</v>
      </c>
    </row>
    <row r="3532" spans="1:6" x14ac:dyDescent="0.25">
      <c r="A3532" t="str">
        <f>"009282877"</f>
        <v>009282877</v>
      </c>
      <c r="B3532" t="str">
        <f>"1750303525"</f>
        <v>1750303525</v>
      </c>
      <c r="C3532" t="str">
        <f>"207RC0200X"</f>
        <v>207RC0200X</v>
      </c>
      <c r="D3532" t="str">
        <f>"DUHON                    GARY         L           "</f>
        <v xml:space="preserve">DUHON                    GARY         L           </v>
      </c>
      <c r="E3532" t="str">
        <f>"NEW ORLEANS               "</f>
        <v xml:space="preserve">NEW ORLEANS               </v>
      </c>
      <c r="F3532" t="str">
        <f t="shared" si="148"/>
        <v>LA</v>
      </c>
    </row>
    <row r="3533" spans="1:6" x14ac:dyDescent="0.25">
      <c r="A3533" t="str">
        <f>"009305086"</f>
        <v>009305086</v>
      </c>
      <c r="B3533" t="str">
        <f>"1003151945"</f>
        <v>1003151945</v>
      </c>
      <c r="C3533" t="str">
        <f>"363L00000X"</f>
        <v>363L00000X</v>
      </c>
      <c r="D3533" t="str">
        <f>"COOPER                   RICHARD      T           "</f>
        <v xml:space="preserve">COOPER                   RICHARD      T           </v>
      </c>
      <c r="E3533" t="str">
        <f>"SLIDELL                   "</f>
        <v xml:space="preserve">SLIDELL                   </v>
      </c>
      <c r="F3533" t="str">
        <f t="shared" si="148"/>
        <v>LA</v>
      </c>
    </row>
    <row r="3534" spans="1:6" x14ac:dyDescent="0.25">
      <c r="A3534" t="str">
        <f>"009306824"</f>
        <v>009306824</v>
      </c>
      <c r="B3534" t="str">
        <f>"1235370230"</f>
        <v>1235370230</v>
      </c>
      <c r="C3534" t="str">
        <f>"207L00000X"</f>
        <v>207L00000X</v>
      </c>
      <c r="D3534" t="str">
        <f>"BLAND                    KIM          S           "</f>
        <v xml:space="preserve">BLAND                    KIM          S           </v>
      </c>
      <c r="E3534" t="str">
        <f>"NEW ORLEANS               "</f>
        <v xml:space="preserve">NEW ORLEANS               </v>
      </c>
      <c r="F3534" t="str">
        <f t="shared" si="148"/>
        <v>LA</v>
      </c>
    </row>
    <row r="3535" spans="1:6" x14ac:dyDescent="0.25">
      <c r="A3535" t="str">
        <f>"009306859"</f>
        <v>009306859</v>
      </c>
      <c r="B3535" t="str">
        <f>"1417584772"</f>
        <v>1417584772</v>
      </c>
      <c r="C3535" t="str">
        <f>"367500000X"</f>
        <v>367500000X</v>
      </c>
      <c r="D3535" t="str">
        <f>"GOLLEHON                 ERIN         C           "</f>
        <v xml:space="preserve">GOLLEHON                 ERIN         C           </v>
      </c>
      <c r="E3535" t="str">
        <f>"NEW ORLEANS               "</f>
        <v xml:space="preserve">NEW ORLEANS               </v>
      </c>
      <c r="F3535" t="str">
        <f t="shared" si="148"/>
        <v>LA</v>
      </c>
    </row>
    <row r="3536" spans="1:6" x14ac:dyDescent="0.25">
      <c r="A3536" t="str">
        <f>"009307285"</f>
        <v>009307285</v>
      </c>
      <c r="B3536" t="str">
        <f>"1790831477"</f>
        <v>1790831477</v>
      </c>
      <c r="C3536" t="str">
        <f>"207W00000X"</f>
        <v>207W00000X</v>
      </c>
      <c r="D3536" t="str">
        <f>"KULLMAN                  GINNY        L           "</f>
        <v xml:space="preserve">KULLMAN                  GINNY        L           </v>
      </c>
      <c r="E3536" t="str">
        <f>"NEW ORLEANS               "</f>
        <v xml:space="preserve">NEW ORLEANS               </v>
      </c>
      <c r="F3536" t="str">
        <f t="shared" si="148"/>
        <v>LA</v>
      </c>
    </row>
    <row r="3537" spans="1:6" x14ac:dyDescent="0.25">
      <c r="A3537" t="str">
        <f>"009322505"</f>
        <v>009322505</v>
      </c>
      <c r="B3537" t="str">
        <f>"1700077351"</f>
        <v>1700077351</v>
      </c>
      <c r="C3537" t="str">
        <f>"367500000X"</f>
        <v>367500000X</v>
      </c>
      <c r="D3537" t="str">
        <f>"ST GERMAIN               GINA         M           "</f>
        <v xml:space="preserve">ST GERMAIN               GINA         M           </v>
      </c>
      <c r="E3537" t="str">
        <f>"NEW ORLEANS               "</f>
        <v xml:space="preserve">NEW ORLEANS               </v>
      </c>
      <c r="F3537" t="str">
        <f t="shared" si="148"/>
        <v>LA</v>
      </c>
    </row>
    <row r="3538" spans="1:6" x14ac:dyDescent="0.25">
      <c r="A3538" t="str">
        <f>"009334866"</f>
        <v>009334866</v>
      </c>
      <c r="B3538" t="str">
        <f>"1699950899"</f>
        <v>1699950899</v>
      </c>
      <c r="C3538" t="str">
        <f>"207SG0201X"</f>
        <v>207SG0201X</v>
      </c>
      <c r="D3538" t="str">
        <f>"NIYAZOU                  DMITRIY      M           "</f>
        <v xml:space="preserve">NIYAZOU                  DMITRIY      M           </v>
      </c>
      <c r="E3538" t="str">
        <f>"NEW ORLEANS               "</f>
        <v xml:space="preserve">NEW ORLEANS               </v>
      </c>
      <c r="F3538" t="str">
        <f t="shared" si="148"/>
        <v>LA</v>
      </c>
    </row>
    <row r="3539" spans="1:6" x14ac:dyDescent="0.25">
      <c r="A3539" t="str">
        <f>"009370760"</f>
        <v>009370760</v>
      </c>
      <c r="B3539" t="str">
        <f>"1588600894"</f>
        <v>1588600894</v>
      </c>
      <c r="C3539" t="str">
        <f>"208D00000X"</f>
        <v>208D00000X</v>
      </c>
      <c r="D3539" t="str">
        <f>"ITELD                    BRUCE        J           "</f>
        <v xml:space="preserve">ITELD                    BRUCE        J           </v>
      </c>
      <c r="E3539" t="str">
        <f>"SLIDELL                   "</f>
        <v xml:space="preserve">SLIDELL                   </v>
      </c>
      <c r="F3539" t="str">
        <f t="shared" si="148"/>
        <v>LA</v>
      </c>
    </row>
    <row r="3540" spans="1:6" x14ac:dyDescent="0.25">
      <c r="A3540" t="str">
        <f>"009380831"</f>
        <v>009380831</v>
      </c>
      <c r="B3540" t="str">
        <f>"1730390634"</f>
        <v>1730390634</v>
      </c>
      <c r="C3540" t="str">
        <f>"207ZC0500X"</f>
        <v>207ZC0500X</v>
      </c>
      <c r="D3540" t="str">
        <f>"BANSAL                   MONA                     "</f>
        <v xml:space="preserve">BANSAL                   MONA                     </v>
      </c>
      <c r="E3540" t="str">
        <f>"NEW ORLEANS               "</f>
        <v xml:space="preserve">NEW ORLEANS               </v>
      </c>
      <c r="F3540" t="str">
        <f t="shared" si="148"/>
        <v>LA</v>
      </c>
    </row>
    <row r="3541" spans="1:6" x14ac:dyDescent="0.25">
      <c r="A3541" t="str">
        <f>"009385221"</f>
        <v>009385221</v>
      </c>
      <c r="B3541" t="str">
        <f>"1649259789"</f>
        <v>1649259789</v>
      </c>
      <c r="C3541" t="str">
        <f>"207RR0500X"</f>
        <v>207RR0500X</v>
      </c>
      <c r="D3541" t="str">
        <f>"SPADY                    MALIK        C           "</f>
        <v xml:space="preserve">SPADY                    MALIK        C           </v>
      </c>
      <c r="E3541" t="str">
        <f>"COVINGTON                 "</f>
        <v xml:space="preserve">COVINGTON                 </v>
      </c>
      <c r="F3541" t="str">
        <f t="shared" si="148"/>
        <v>LA</v>
      </c>
    </row>
    <row r="3542" spans="1:6" x14ac:dyDescent="0.25">
      <c r="A3542" t="str">
        <f>"009405320"</f>
        <v>009405320</v>
      </c>
      <c r="B3542" t="str">
        <f>"1932519956"</f>
        <v>1932519956</v>
      </c>
      <c r="C3542" t="str">
        <f>"207P00000X"</f>
        <v>207P00000X</v>
      </c>
      <c r="D3542" t="str">
        <f>"SHIH                     CAROL        W           "</f>
        <v xml:space="preserve">SHIH                     CAROL        W           </v>
      </c>
      <c r="E3542" t="str">
        <f>"KENNER                    "</f>
        <v xml:space="preserve">KENNER                    </v>
      </c>
      <c r="F3542" t="str">
        <f t="shared" si="148"/>
        <v>LA</v>
      </c>
    </row>
    <row r="3543" spans="1:6" x14ac:dyDescent="0.25">
      <c r="A3543" t="str">
        <f>"009405852"</f>
        <v>009405852</v>
      </c>
      <c r="B3543" t="str">
        <f>"1376047118"</f>
        <v>1376047118</v>
      </c>
      <c r="C3543" t="str">
        <f>"207R00000X"</f>
        <v>207R00000X</v>
      </c>
      <c r="D3543" t="str">
        <f>"ROBIN                    DILLON       H           "</f>
        <v xml:space="preserve">ROBIN                    DILLON       H           </v>
      </c>
      <c r="E3543" t="str">
        <f>"BATON ROUGE               "</f>
        <v xml:space="preserve">BATON ROUGE               </v>
      </c>
      <c r="F3543" t="str">
        <f t="shared" si="148"/>
        <v>LA</v>
      </c>
    </row>
    <row r="3544" spans="1:6" x14ac:dyDescent="0.25">
      <c r="A3544" t="str">
        <f>"009408065"</f>
        <v>009408065</v>
      </c>
      <c r="B3544" t="str">
        <f>"1114246105"</f>
        <v>1114246105</v>
      </c>
      <c r="C3544" t="str">
        <f>"207R00000X"</f>
        <v>207R00000X</v>
      </c>
      <c r="D3544" t="str">
        <f>"FARES                    HASSAN       A           "</f>
        <v xml:space="preserve">FARES                    HASSAN       A           </v>
      </c>
      <c r="E3544" t="str">
        <f>"NEW ORLEANS               "</f>
        <v xml:space="preserve">NEW ORLEANS               </v>
      </c>
      <c r="F3544" t="str">
        <f t="shared" si="148"/>
        <v>LA</v>
      </c>
    </row>
    <row r="3545" spans="1:6" x14ac:dyDescent="0.25">
      <c r="A3545" t="str">
        <f>"009408503"</f>
        <v>009408503</v>
      </c>
      <c r="B3545" t="str">
        <f>"1780932863"</f>
        <v>1780932863</v>
      </c>
      <c r="C3545" t="str">
        <f>"363L00000X"</f>
        <v>363L00000X</v>
      </c>
      <c r="D3545" t="str">
        <f>"SABRIER                  ASHLEY                   "</f>
        <v xml:space="preserve">SABRIER                  ASHLEY                   </v>
      </c>
      <c r="E3545" t="str">
        <f>"COVINGTON                 "</f>
        <v xml:space="preserve">COVINGTON                 </v>
      </c>
      <c r="F3545" t="str">
        <f t="shared" si="148"/>
        <v>LA</v>
      </c>
    </row>
    <row r="3546" spans="1:6" x14ac:dyDescent="0.25">
      <c r="A3546" t="str">
        <f>"009421779"</f>
        <v>009421779</v>
      </c>
      <c r="B3546" t="str">
        <f>"1295783769"</f>
        <v>1295783769</v>
      </c>
      <c r="C3546" t="str">
        <f>"208100000X"</f>
        <v>208100000X</v>
      </c>
      <c r="D3546" t="str">
        <f>"KARLIN                   AARON        M           "</f>
        <v xml:space="preserve">KARLIN                   AARON        M           </v>
      </c>
      <c r="E3546" t="str">
        <f>"COVINGTON                 "</f>
        <v xml:space="preserve">COVINGTON                 </v>
      </c>
      <c r="F3546" t="str">
        <f t="shared" si="148"/>
        <v>LA</v>
      </c>
    </row>
    <row r="3547" spans="1:6" x14ac:dyDescent="0.25">
      <c r="A3547" t="str">
        <f>"009424002"</f>
        <v>009424002</v>
      </c>
      <c r="B3547" t="str">
        <f>"1215139431"</f>
        <v>1215139431</v>
      </c>
      <c r="C3547" t="str">
        <f>"207X00000X"</f>
        <v>207X00000X</v>
      </c>
      <c r="D3547" t="str">
        <f>"DASA                     VINOD                    "</f>
        <v xml:space="preserve">DASA                     VINOD                    </v>
      </c>
      <c r="E3547" t="str">
        <f>"KENNER                    "</f>
        <v xml:space="preserve">KENNER                    </v>
      </c>
      <c r="F3547" t="str">
        <f t="shared" ref="F3547:F3610" si="152">"LA"</f>
        <v>LA</v>
      </c>
    </row>
    <row r="3548" spans="1:6" x14ac:dyDescent="0.25">
      <c r="A3548" t="str">
        <f>"009424859"</f>
        <v>009424859</v>
      </c>
      <c r="B3548" t="str">
        <f>"1962899633"</f>
        <v>1962899633</v>
      </c>
      <c r="C3548" t="str">
        <f>"208800000X"</f>
        <v>208800000X</v>
      </c>
      <c r="D3548" t="str">
        <f>"GURTNER                  KRISTEN      E           "</f>
        <v xml:space="preserve">GURTNER                  KRISTEN      E           </v>
      </c>
      <c r="E3548" t="str">
        <f>"SLIDELL                   "</f>
        <v xml:space="preserve">SLIDELL                   </v>
      </c>
      <c r="F3548" t="str">
        <f t="shared" si="152"/>
        <v>LA</v>
      </c>
    </row>
    <row r="3549" spans="1:6" x14ac:dyDescent="0.25">
      <c r="A3549" t="str">
        <f>"009439898"</f>
        <v>009439898</v>
      </c>
      <c r="B3549" t="str">
        <f>"1225250251"</f>
        <v>1225250251</v>
      </c>
      <c r="C3549" t="str">
        <f>"207L00000X"</f>
        <v>207L00000X</v>
      </c>
      <c r="D3549" t="str">
        <f>"COLON                    JIMMIE       E           "</f>
        <v xml:space="preserve">COLON                    JIMMIE       E           </v>
      </c>
      <c r="E3549" t="str">
        <f>"NEW ORLEANS               "</f>
        <v xml:space="preserve">NEW ORLEANS               </v>
      </c>
      <c r="F3549" t="str">
        <f t="shared" si="152"/>
        <v>LA</v>
      </c>
    </row>
    <row r="3550" spans="1:6" x14ac:dyDescent="0.25">
      <c r="A3550" t="str">
        <f>"009472242"</f>
        <v>009472242</v>
      </c>
      <c r="B3550" t="str">
        <f>"1477656015"</f>
        <v>1477656015</v>
      </c>
      <c r="C3550" t="str">
        <f>"122300000X"</f>
        <v>122300000X</v>
      </c>
      <c r="D3550" t="str">
        <f>"BERTETTI                 RICHARD                  "</f>
        <v xml:space="preserve">BERTETTI                 RICHARD                  </v>
      </c>
      <c r="E3550" t="str">
        <f>"SLIDELL                   "</f>
        <v xml:space="preserve">SLIDELL                   </v>
      </c>
      <c r="F3550" t="str">
        <f t="shared" si="152"/>
        <v>LA</v>
      </c>
    </row>
    <row r="3551" spans="1:6" x14ac:dyDescent="0.25">
      <c r="A3551" t="str">
        <f>"009472560"</f>
        <v>009472560</v>
      </c>
      <c r="B3551" t="str">
        <f>"1811316268"</f>
        <v>1811316268</v>
      </c>
      <c r="C3551" t="str">
        <f>"208000000X"</f>
        <v>208000000X</v>
      </c>
      <c r="D3551" t="str">
        <f>"SWETLAND                 DAVID        V           "</f>
        <v xml:space="preserve">SWETLAND                 DAVID        V           </v>
      </c>
      <c r="E3551" t="str">
        <f>"NEW ORLEANS               "</f>
        <v xml:space="preserve">NEW ORLEANS               </v>
      </c>
      <c r="F3551" t="str">
        <f t="shared" si="152"/>
        <v>LA</v>
      </c>
    </row>
    <row r="3552" spans="1:6" x14ac:dyDescent="0.25">
      <c r="A3552" t="str">
        <f>"009478238"</f>
        <v>009478238</v>
      </c>
      <c r="B3552" t="str">
        <f>"1952742496"</f>
        <v>1952742496</v>
      </c>
      <c r="C3552" t="str">
        <f>"367500000X"</f>
        <v>367500000X</v>
      </c>
      <c r="D3552" t="str">
        <f>"NUNNERY                  JODY         P           "</f>
        <v xml:space="preserve">NUNNERY                  JODY         P           </v>
      </c>
      <c r="E3552" t="str">
        <f>"COVINGTON                 "</f>
        <v xml:space="preserve">COVINGTON                 </v>
      </c>
      <c r="F3552" t="str">
        <f t="shared" si="152"/>
        <v>LA</v>
      </c>
    </row>
    <row r="3553" spans="1:6" x14ac:dyDescent="0.25">
      <c r="A3553" t="str">
        <f>"009478866"</f>
        <v>009478866</v>
      </c>
      <c r="B3553" t="str">
        <f>"1639542087"</f>
        <v>1639542087</v>
      </c>
      <c r="C3553" t="str">
        <f>"363A00000X"</f>
        <v>363A00000X</v>
      </c>
      <c r="D3553" t="str">
        <f>"WHITE                    JENNA        M           "</f>
        <v xml:space="preserve">WHITE                    JENNA        M           </v>
      </c>
      <c r="E3553" t="str">
        <f>"NEW ORLEANS               "</f>
        <v xml:space="preserve">NEW ORLEANS               </v>
      </c>
      <c r="F3553" t="str">
        <f t="shared" si="152"/>
        <v>LA</v>
      </c>
    </row>
    <row r="3554" spans="1:6" x14ac:dyDescent="0.25">
      <c r="A3554" t="str">
        <f>"009484322"</f>
        <v>009484322</v>
      </c>
      <c r="B3554" t="str">
        <f>"1144689399"</f>
        <v>1144689399</v>
      </c>
      <c r="C3554" t="str">
        <f>"363L00000X"</f>
        <v>363L00000X</v>
      </c>
      <c r="D3554" t="str">
        <f>"SANDERS                  RACHELLE     M           "</f>
        <v xml:space="preserve">SANDERS                  RACHELLE     M           </v>
      </c>
      <c r="E3554" t="str">
        <f>"BATON ROUGE               "</f>
        <v xml:space="preserve">BATON ROUGE               </v>
      </c>
      <c r="F3554" t="str">
        <f t="shared" si="152"/>
        <v>LA</v>
      </c>
    </row>
    <row r="3555" spans="1:6" x14ac:dyDescent="0.25">
      <c r="A3555" t="str">
        <f>"009509291"</f>
        <v>009509291</v>
      </c>
      <c r="B3555" t="str">
        <f>"1922067172"</f>
        <v>1922067172</v>
      </c>
      <c r="C3555" t="str">
        <f>"207Q00000X"</f>
        <v>207Q00000X</v>
      </c>
      <c r="D3555" t="str">
        <f>"NEWCOMB                  JAMES        H           "</f>
        <v xml:space="preserve">NEWCOMB                  JAMES        H           </v>
      </c>
      <c r="E3555" t="str">
        <f>"SLIDELL                   "</f>
        <v xml:space="preserve">SLIDELL                   </v>
      </c>
      <c r="F3555" t="str">
        <f t="shared" si="152"/>
        <v>LA</v>
      </c>
    </row>
    <row r="3556" spans="1:6" x14ac:dyDescent="0.25">
      <c r="A3556" t="str">
        <f>"009524004"</f>
        <v>009524004</v>
      </c>
      <c r="B3556" t="str">
        <f>"1831148923"</f>
        <v>1831148923</v>
      </c>
      <c r="C3556" t="str">
        <f>"2085R0202X"</f>
        <v>2085R0202X</v>
      </c>
      <c r="D3556" t="str">
        <f>"TIEMANN                  WILLIAM      E           "</f>
        <v xml:space="preserve">TIEMANN                  WILLIAM      E           </v>
      </c>
      <c r="E3556" t="str">
        <f>"NEW ORLEANS               "</f>
        <v xml:space="preserve">NEW ORLEANS               </v>
      </c>
      <c r="F3556" t="str">
        <f t="shared" si="152"/>
        <v>LA</v>
      </c>
    </row>
    <row r="3557" spans="1:6" x14ac:dyDescent="0.25">
      <c r="A3557" t="str">
        <f>"009524290"</f>
        <v>009524290</v>
      </c>
      <c r="B3557" t="str">
        <f>"1760707970"</f>
        <v>1760707970</v>
      </c>
      <c r="C3557" t="str">
        <f>"207R00000X"</f>
        <v>207R00000X</v>
      </c>
      <c r="D3557" t="str">
        <f>"QUEVEDO                  REINALDO     J           "</f>
        <v xml:space="preserve">QUEVEDO                  REINALDO     J           </v>
      </c>
      <c r="E3557" t="str">
        <f>"NEW ORLEANS               "</f>
        <v xml:space="preserve">NEW ORLEANS               </v>
      </c>
      <c r="F3557" t="str">
        <f t="shared" si="152"/>
        <v>LA</v>
      </c>
    </row>
    <row r="3558" spans="1:6" x14ac:dyDescent="0.25">
      <c r="A3558" t="str">
        <f>"009529293"</f>
        <v>009529293</v>
      </c>
      <c r="B3558" t="str">
        <f>"1235313982"</f>
        <v>1235313982</v>
      </c>
      <c r="C3558" t="str">
        <f>"207RG0100X"</f>
        <v>207RG0100X</v>
      </c>
      <c r="D3558" t="str">
        <f>"RICE                     MATTHEW      C           "</f>
        <v xml:space="preserve">RICE                     MATTHEW      C           </v>
      </c>
      <c r="E3558" t="str">
        <f>"NEW ORLEANS               "</f>
        <v xml:space="preserve">NEW ORLEANS               </v>
      </c>
      <c r="F3558" t="str">
        <f t="shared" si="152"/>
        <v>LA</v>
      </c>
    </row>
    <row r="3559" spans="1:6" x14ac:dyDescent="0.25">
      <c r="A3559" t="str">
        <f>"009589836"</f>
        <v>009589836</v>
      </c>
      <c r="B3559" t="str">
        <f>"1316213812"</f>
        <v>1316213812</v>
      </c>
      <c r="C3559" t="str">
        <f>"207R00000X"</f>
        <v>207R00000X</v>
      </c>
      <c r="D3559" t="str">
        <f>"WRIGHT                   ALEXANDRA    T           "</f>
        <v xml:space="preserve">WRIGHT                   ALEXANDRA    T           </v>
      </c>
      <c r="E3559" t="str">
        <f>"NEW ORLEANS               "</f>
        <v xml:space="preserve">NEW ORLEANS               </v>
      </c>
      <c r="F3559" t="str">
        <f t="shared" si="152"/>
        <v>LA</v>
      </c>
    </row>
    <row r="3560" spans="1:6" x14ac:dyDescent="0.25">
      <c r="A3560" t="str">
        <f>"009623037"</f>
        <v>009623037</v>
      </c>
      <c r="B3560" t="str">
        <f>"1578514238"</f>
        <v>1578514238</v>
      </c>
      <c r="C3560" t="str">
        <f>"207L00000X"</f>
        <v>207L00000X</v>
      </c>
      <c r="D3560" t="str">
        <f>"MAYEAUX                  CARL         A           "</f>
        <v xml:space="preserve">MAYEAUX                  CARL         A           </v>
      </c>
      <c r="E3560" t="str">
        <f>"SLIDELL                   "</f>
        <v xml:space="preserve">SLIDELL                   </v>
      </c>
      <c r="F3560" t="str">
        <f t="shared" si="152"/>
        <v>LA</v>
      </c>
    </row>
    <row r="3561" spans="1:6" x14ac:dyDescent="0.25">
      <c r="A3561" t="str">
        <f>"009654777"</f>
        <v>009654777</v>
      </c>
      <c r="B3561" t="str">
        <f>"1194188391"</f>
        <v>1194188391</v>
      </c>
      <c r="C3561" t="str">
        <f>"207RI0200X"</f>
        <v>207RI0200X</v>
      </c>
      <c r="D3561" t="str">
        <f>"SUAREZ BOHORQUEZ         MARIA        J           "</f>
        <v xml:space="preserve">SUAREZ BOHORQUEZ         MARIA        J           </v>
      </c>
      <c r="E3561" t="str">
        <f>"SLIDELL                   "</f>
        <v xml:space="preserve">SLIDELL                   </v>
      </c>
      <c r="F3561" t="str">
        <f t="shared" si="152"/>
        <v>LA</v>
      </c>
    </row>
    <row r="3562" spans="1:6" x14ac:dyDescent="0.25">
      <c r="A3562" t="str">
        <f>"009655555"</f>
        <v>009655555</v>
      </c>
      <c r="B3562" t="str">
        <f>"1164801700"</f>
        <v>1164801700</v>
      </c>
      <c r="C3562" t="str">
        <f>"207P00000X"</f>
        <v>207P00000X</v>
      </c>
      <c r="D3562" t="str">
        <f>"PROCTOR                  DREXEL       E           "</f>
        <v xml:space="preserve">PROCTOR                  DREXEL       E           </v>
      </c>
      <c r="E3562" t="str">
        <f>"METAIRIE                  "</f>
        <v xml:space="preserve">METAIRIE                  </v>
      </c>
      <c r="F3562" t="str">
        <f t="shared" si="152"/>
        <v>LA</v>
      </c>
    </row>
    <row r="3563" spans="1:6" x14ac:dyDescent="0.25">
      <c r="A3563" t="str">
        <f>"009658552"</f>
        <v>009658552</v>
      </c>
      <c r="B3563" t="str">
        <f>"1508218561"</f>
        <v>1508218561</v>
      </c>
      <c r="C3563" t="str">
        <f>"363L00000X"</f>
        <v>363L00000X</v>
      </c>
      <c r="D3563" t="str">
        <f>"ORGERON                  AMY          M           "</f>
        <v xml:space="preserve">ORGERON                  AMY          M           </v>
      </c>
      <c r="E3563" t="str">
        <f>"NEW ORLEANS               "</f>
        <v xml:space="preserve">NEW ORLEANS               </v>
      </c>
      <c r="F3563" t="str">
        <f t="shared" si="152"/>
        <v>LA</v>
      </c>
    </row>
    <row r="3564" spans="1:6" x14ac:dyDescent="0.25">
      <c r="A3564" t="str">
        <f>"009658767"</f>
        <v>009658767</v>
      </c>
      <c r="B3564" t="str">
        <f>"1184774093"</f>
        <v>1184774093</v>
      </c>
      <c r="C3564" t="str">
        <f>"208000000X"</f>
        <v>208000000X</v>
      </c>
      <c r="D3564" t="str">
        <f>"WAYNE, JR.               JAMES        A           "</f>
        <v xml:space="preserve">WAYNE, JR.               JAMES        A           </v>
      </c>
      <c r="E3564" t="str">
        <f>"BATON ROUGE               "</f>
        <v xml:space="preserve">BATON ROUGE               </v>
      </c>
      <c r="F3564" t="str">
        <f t="shared" si="152"/>
        <v>LA</v>
      </c>
    </row>
    <row r="3565" spans="1:6" x14ac:dyDescent="0.25">
      <c r="A3565" t="str">
        <f>"009659523"</f>
        <v>009659523</v>
      </c>
      <c r="B3565" t="str">
        <f>"1114504040"</f>
        <v>1114504040</v>
      </c>
      <c r="C3565" t="str">
        <f>"363L00000X"</f>
        <v>363L00000X</v>
      </c>
      <c r="D3565" t="str">
        <f>"KENNEDY                  CODY         P           "</f>
        <v xml:space="preserve">KENNEDY                  CODY         P           </v>
      </c>
      <c r="E3565" t="str">
        <f>"NEW ORLEANS               "</f>
        <v xml:space="preserve">NEW ORLEANS               </v>
      </c>
      <c r="F3565" t="str">
        <f t="shared" si="152"/>
        <v>LA</v>
      </c>
    </row>
    <row r="3566" spans="1:6" x14ac:dyDescent="0.25">
      <c r="A3566" t="str">
        <f>"009673316"</f>
        <v>009673316</v>
      </c>
      <c r="B3566" t="str">
        <f>"1255582730"</f>
        <v>1255582730</v>
      </c>
      <c r="C3566" t="str">
        <f>"367500000X"</f>
        <v>367500000X</v>
      </c>
      <c r="D3566" t="str">
        <f>"LEMUS                    GISELLE      L           "</f>
        <v xml:space="preserve">LEMUS                    GISELLE      L           </v>
      </c>
      <c r="E3566" t="str">
        <f>"NEW ORLEANS               "</f>
        <v xml:space="preserve">NEW ORLEANS               </v>
      </c>
      <c r="F3566" t="str">
        <f t="shared" si="152"/>
        <v>LA</v>
      </c>
    </row>
    <row r="3567" spans="1:6" x14ac:dyDescent="0.25">
      <c r="A3567" t="str">
        <f>"009677363"</f>
        <v>009677363</v>
      </c>
      <c r="B3567" t="str">
        <f>"1548502305"</f>
        <v>1548502305</v>
      </c>
      <c r="C3567" t="str">
        <f>"2085R0202X"</f>
        <v>2085R0202X</v>
      </c>
      <c r="D3567" t="str">
        <f>"CLAYTON                  NICHOLAS     G           "</f>
        <v xml:space="preserve">CLAYTON                  NICHOLAS     G           </v>
      </c>
      <c r="E3567" t="str">
        <f>"NEW ORLEANS               "</f>
        <v xml:space="preserve">NEW ORLEANS               </v>
      </c>
      <c r="F3567" t="str">
        <f t="shared" si="152"/>
        <v>LA</v>
      </c>
    </row>
    <row r="3568" spans="1:6" x14ac:dyDescent="0.25">
      <c r="A3568" t="str">
        <f>"009678706"</f>
        <v>009678706</v>
      </c>
      <c r="B3568" t="str">
        <f>"1366671612"</f>
        <v>1366671612</v>
      </c>
      <c r="C3568" t="str">
        <f>"2085R0202X"</f>
        <v>2085R0202X</v>
      </c>
      <c r="D3568" t="str">
        <f>"WRIGHT                   FLORENCE     A           "</f>
        <v xml:space="preserve">WRIGHT                   FLORENCE     A           </v>
      </c>
      <c r="E3568" t="str">
        <f>"COVINGTON                 "</f>
        <v xml:space="preserve">COVINGTON                 </v>
      </c>
      <c r="F3568" t="str">
        <f t="shared" si="152"/>
        <v>LA</v>
      </c>
    </row>
    <row r="3569" spans="1:6" x14ac:dyDescent="0.25">
      <c r="A3569" t="str">
        <f>"009705315"</f>
        <v>009705315</v>
      </c>
      <c r="B3569" t="str">
        <f>"1053476028"</f>
        <v>1053476028</v>
      </c>
      <c r="C3569" t="str">
        <f>"2084P0800X"</f>
        <v>2084P0800X</v>
      </c>
      <c r="D3569" t="str">
        <f>"GOERTZ                   PETER        J           "</f>
        <v xml:space="preserve">GOERTZ                   PETER        J           </v>
      </c>
      <c r="E3569" t="str">
        <f>"NEW ORLEANS               "</f>
        <v xml:space="preserve">NEW ORLEANS               </v>
      </c>
      <c r="F3569" t="str">
        <f t="shared" si="152"/>
        <v>LA</v>
      </c>
    </row>
    <row r="3570" spans="1:6" x14ac:dyDescent="0.25">
      <c r="A3570" t="str">
        <f>"009707525"</f>
        <v>009707525</v>
      </c>
      <c r="B3570" t="str">
        <f>"1548553019"</f>
        <v>1548553019</v>
      </c>
      <c r="C3570" t="str">
        <f>"207Q00000X"</f>
        <v>207Q00000X</v>
      </c>
      <c r="D3570" t="str">
        <f>"LAUNEY                   SPENCER      D           "</f>
        <v xml:space="preserve">LAUNEY                   SPENCER      D           </v>
      </c>
      <c r="E3570" t="str">
        <f>"BOGALUSA                  "</f>
        <v xml:space="preserve">BOGALUSA                  </v>
      </c>
      <c r="F3570" t="str">
        <f t="shared" si="152"/>
        <v>LA</v>
      </c>
    </row>
    <row r="3571" spans="1:6" x14ac:dyDescent="0.25">
      <c r="A3571" t="str">
        <f>"009720821"</f>
        <v>009720821</v>
      </c>
      <c r="B3571" t="str">
        <f>"1922205889"</f>
        <v>1922205889</v>
      </c>
      <c r="C3571" t="str">
        <f>"207P00000X"</f>
        <v>207P00000X</v>
      </c>
      <c r="D3571" t="str">
        <f>"JORDAN                   KEVIN        T           "</f>
        <v xml:space="preserve">JORDAN                   KEVIN        T           </v>
      </c>
      <c r="E3571" t="str">
        <f>"COVINGTON                 "</f>
        <v xml:space="preserve">COVINGTON                 </v>
      </c>
      <c r="F3571" t="str">
        <f t="shared" si="152"/>
        <v>LA</v>
      </c>
    </row>
    <row r="3572" spans="1:6" x14ac:dyDescent="0.25">
      <c r="A3572" t="str">
        <f>"009753056"</f>
        <v>009753056</v>
      </c>
      <c r="B3572" t="str">
        <f>"1720196991"</f>
        <v>1720196991</v>
      </c>
      <c r="C3572" t="str">
        <f>"208000000X"</f>
        <v>208000000X</v>
      </c>
      <c r="D3572" t="str">
        <f>"CREEL                    AMY          M           "</f>
        <v xml:space="preserve">CREEL                    AMY          M           </v>
      </c>
      <c r="E3572" t="str">
        <f>"NEW ORLEANS               "</f>
        <v xml:space="preserve">NEW ORLEANS               </v>
      </c>
      <c r="F3572" t="str">
        <f t="shared" si="152"/>
        <v>LA</v>
      </c>
    </row>
    <row r="3573" spans="1:6" x14ac:dyDescent="0.25">
      <c r="A3573" t="str">
        <f>"009759338"</f>
        <v>009759338</v>
      </c>
      <c r="B3573" t="str">
        <f>"1518228212"</f>
        <v>1518228212</v>
      </c>
      <c r="C3573" t="str">
        <f>"2084P0800X"</f>
        <v>2084P0800X</v>
      </c>
      <c r="D3573" t="str">
        <f>"ROI                      CODY                     "</f>
        <v xml:space="preserve">ROI                      CODY                     </v>
      </c>
      <c r="E3573" t="str">
        <f>"NEW ORLEANS               "</f>
        <v xml:space="preserve">NEW ORLEANS               </v>
      </c>
      <c r="F3573" t="str">
        <f t="shared" si="152"/>
        <v>LA</v>
      </c>
    </row>
    <row r="3574" spans="1:6" x14ac:dyDescent="0.25">
      <c r="A3574" t="str">
        <f>"009759371"</f>
        <v>009759371</v>
      </c>
      <c r="B3574" t="str">
        <f>"1487975678"</f>
        <v>1487975678</v>
      </c>
      <c r="C3574" t="str">
        <f>"122300000X"</f>
        <v>122300000X</v>
      </c>
      <c r="D3574" t="str">
        <f>"TOMASZEWSKI              LAURA                    "</f>
        <v xml:space="preserve">TOMASZEWSKI              LAURA                    </v>
      </c>
      <c r="E3574" t="str">
        <f>"SLIDELL                   "</f>
        <v xml:space="preserve">SLIDELL                   </v>
      </c>
      <c r="F3574" t="str">
        <f t="shared" si="152"/>
        <v>LA</v>
      </c>
    </row>
    <row r="3575" spans="1:6" x14ac:dyDescent="0.25">
      <c r="A3575" t="str">
        <f>"009773752"</f>
        <v>009773752</v>
      </c>
      <c r="B3575" t="str">
        <f>"1881038305"</f>
        <v>1881038305</v>
      </c>
      <c r="C3575" t="str">
        <f>"2084N0400X"</f>
        <v>2084N0400X</v>
      </c>
      <c r="D3575" t="str">
        <f>"DUNN                     LAUREN       E           "</f>
        <v xml:space="preserve">DUNN                     LAUREN       E           </v>
      </c>
      <c r="E3575" t="str">
        <f>"NEW ORLEANS               "</f>
        <v xml:space="preserve">NEW ORLEANS               </v>
      </c>
      <c r="F3575" t="str">
        <f t="shared" si="152"/>
        <v>LA</v>
      </c>
    </row>
    <row r="3576" spans="1:6" x14ac:dyDescent="0.25">
      <c r="A3576" t="str">
        <f>"009774082"</f>
        <v>009774082</v>
      </c>
      <c r="B3576" t="str">
        <f>"1457393423"</f>
        <v>1457393423</v>
      </c>
      <c r="C3576" t="str">
        <f>"208800000X"</f>
        <v>208800000X</v>
      </c>
      <c r="D3576" t="str">
        <f>"COLLINS                  SEAN         M           "</f>
        <v xml:space="preserve">COLLINS                  SEAN         M           </v>
      </c>
      <c r="E3576" t="str">
        <f>"NEW ORLEANS               "</f>
        <v xml:space="preserve">NEW ORLEANS               </v>
      </c>
      <c r="F3576" t="str">
        <f t="shared" si="152"/>
        <v>LA</v>
      </c>
    </row>
    <row r="3577" spans="1:6" x14ac:dyDescent="0.25">
      <c r="A3577" t="str">
        <f>"009775559"</f>
        <v>009775559</v>
      </c>
      <c r="B3577" t="str">
        <f>"1326483678"</f>
        <v>1326483678</v>
      </c>
      <c r="C3577" t="str">
        <f>"208800000X"</f>
        <v>208800000X</v>
      </c>
      <c r="D3577" t="str">
        <f>"JONES                    TONYE        A           "</f>
        <v xml:space="preserve">JONES                    TONYE        A           </v>
      </c>
      <c r="E3577" t="str">
        <f>"SLIDELL                   "</f>
        <v xml:space="preserve">SLIDELL                   </v>
      </c>
      <c r="F3577" t="str">
        <f t="shared" si="152"/>
        <v>LA</v>
      </c>
    </row>
    <row r="3578" spans="1:6" x14ac:dyDescent="0.25">
      <c r="A3578" t="str">
        <f>"009788029"</f>
        <v>009788029</v>
      </c>
      <c r="B3578" t="str">
        <f>"1104830249"</f>
        <v>1104830249</v>
      </c>
      <c r="C3578" t="str">
        <f>"207V00000X"</f>
        <v>207V00000X</v>
      </c>
      <c r="D3578" t="str">
        <f>"PANIELLO                 SANTO        J           "</f>
        <v xml:space="preserve">PANIELLO                 SANTO        J           </v>
      </c>
      <c r="E3578" t="str">
        <f>"SLIDELL                   "</f>
        <v xml:space="preserve">SLIDELL                   </v>
      </c>
      <c r="F3578" t="str">
        <f t="shared" si="152"/>
        <v>LA</v>
      </c>
    </row>
    <row r="3579" spans="1:6" x14ac:dyDescent="0.25">
      <c r="A3579" t="str">
        <f>"009823577"</f>
        <v>009823577</v>
      </c>
      <c r="B3579" t="str">
        <f>"1164650438"</f>
        <v>1164650438</v>
      </c>
      <c r="C3579" t="str">
        <f>"207P00000X"</f>
        <v>207P00000X</v>
      </c>
      <c r="D3579" t="str">
        <f>"PRASANKUMAR              RAHUL        P           "</f>
        <v xml:space="preserve">PRASANKUMAR              RAHUL        P           </v>
      </c>
      <c r="E3579" t="str">
        <f>"NEW ORLEANS               "</f>
        <v xml:space="preserve">NEW ORLEANS               </v>
      </c>
      <c r="F3579" t="str">
        <f t="shared" si="152"/>
        <v>LA</v>
      </c>
    </row>
    <row r="3580" spans="1:6" x14ac:dyDescent="0.25">
      <c r="A3580" t="str">
        <f>"009823702"</f>
        <v>009823702</v>
      </c>
      <c r="B3580" t="str">
        <f>"1144328535"</f>
        <v>1144328535</v>
      </c>
      <c r="C3580" t="str">
        <f>"207V00000X"</f>
        <v>207V00000X</v>
      </c>
      <c r="D3580" t="str">
        <f>"LEWIS                    LYDIA        D           "</f>
        <v xml:space="preserve">LEWIS                    LYDIA        D           </v>
      </c>
      <c r="E3580" t="str">
        <f>"ZACHARY                   "</f>
        <v xml:space="preserve">ZACHARY                   </v>
      </c>
      <c r="F3580" t="str">
        <f t="shared" si="152"/>
        <v>LA</v>
      </c>
    </row>
    <row r="3581" spans="1:6" x14ac:dyDescent="0.25">
      <c r="A3581" t="str">
        <f>"009825097"</f>
        <v>009825097</v>
      </c>
      <c r="B3581" t="str">
        <f>"1467617290"</f>
        <v>1467617290</v>
      </c>
      <c r="C3581" t="str">
        <f>"152W00000X"</f>
        <v>152W00000X</v>
      </c>
      <c r="D3581" t="str">
        <f>"ANDERS-MILLIKEN          BRIDGET      A           "</f>
        <v xml:space="preserve">ANDERS-MILLIKEN          BRIDGET      A           </v>
      </c>
      <c r="E3581" t="str">
        <f>"VIDALIA                   "</f>
        <v xml:space="preserve">VIDALIA                   </v>
      </c>
      <c r="F3581" t="str">
        <f t="shared" si="152"/>
        <v>LA</v>
      </c>
    </row>
    <row r="3582" spans="1:6" x14ac:dyDescent="0.25">
      <c r="A3582" t="str">
        <f>"009831521"</f>
        <v>009831521</v>
      </c>
      <c r="B3582" t="str">
        <f>"1609057934"</f>
        <v>1609057934</v>
      </c>
      <c r="C3582" t="str">
        <f>"207Y00000X"</f>
        <v>207Y00000X</v>
      </c>
      <c r="D3582" t="str">
        <f>"EID                      ISSAM        N           "</f>
        <v xml:space="preserve">EID                      ISSAM        N           </v>
      </c>
      <c r="E3582" t="str">
        <f>"NEW ORLEANS               "</f>
        <v xml:space="preserve">NEW ORLEANS               </v>
      </c>
      <c r="F3582" t="str">
        <f t="shared" si="152"/>
        <v>LA</v>
      </c>
    </row>
    <row r="3583" spans="1:6" x14ac:dyDescent="0.25">
      <c r="A3583" t="str">
        <f>"009851291"</f>
        <v>009851291</v>
      </c>
      <c r="B3583" t="str">
        <f>"1053385401"</f>
        <v>1053385401</v>
      </c>
      <c r="C3583" t="str">
        <f>"363L00000X"</f>
        <v>363L00000X</v>
      </c>
      <c r="D3583" t="str">
        <f>"SMITH                    BONNIE       G           "</f>
        <v xml:space="preserve">SMITH                    BONNIE       G           </v>
      </c>
      <c r="E3583" t="str">
        <f>"BOGALUSA                  "</f>
        <v xml:space="preserve">BOGALUSA                  </v>
      </c>
      <c r="F3583" t="str">
        <f t="shared" si="152"/>
        <v>LA</v>
      </c>
    </row>
    <row r="3584" spans="1:6" x14ac:dyDescent="0.25">
      <c r="A3584" t="str">
        <f>"009858372"</f>
        <v>009858372</v>
      </c>
      <c r="B3584" t="str">
        <f>"1760833537"</f>
        <v>1760833537</v>
      </c>
      <c r="C3584" t="str">
        <f>"367500000X"</f>
        <v>367500000X</v>
      </c>
      <c r="D3584" t="str">
        <f>"GREER                    JOHN         B           "</f>
        <v xml:space="preserve">GREER                    JOHN         B           </v>
      </c>
      <c r="E3584" t="str">
        <f>"COVINGTON                 "</f>
        <v xml:space="preserve">COVINGTON                 </v>
      </c>
      <c r="F3584" t="str">
        <f t="shared" si="152"/>
        <v>LA</v>
      </c>
    </row>
    <row r="3585" spans="1:6" x14ac:dyDescent="0.25">
      <c r="A3585" t="str">
        <f>"009871701"</f>
        <v>009871701</v>
      </c>
      <c r="B3585" t="str">
        <f>"1508539941"</f>
        <v>1508539941</v>
      </c>
      <c r="C3585" t="str">
        <f>"363L00000X"</f>
        <v>363L00000X</v>
      </c>
      <c r="D3585" t="str">
        <f>"LETORT                   GABRIELLE    L           "</f>
        <v xml:space="preserve">LETORT                   GABRIELLE    L           </v>
      </c>
      <c r="E3585" t="str">
        <f>"NEW ORLEANS               "</f>
        <v xml:space="preserve">NEW ORLEANS               </v>
      </c>
      <c r="F3585" t="str">
        <f t="shared" si="152"/>
        <v>LA</v>
      </c>
    </row>
    <row r="3586" spans="1:6" x14ac:dyDescent="0.25">
      <c r="A3586" t="str">
        <f>"009889757"</f>
        <v>009889757</v>
      </c>
      <c r="B3586" t="str">
        <f>"1104288216"</f>
        <v>1104288216</v>
      </c>
      <c r="C3586" t="str">
        <f>"2085R0202X"</f>
        <v>2085R0202X</v>
      </c>
      <c r="D3586" t="str">
        <f>"MARQUES                  CHRISTOPHE               "</f>
        <v xml:space="preserve">MARQUES                  CHRISTOPHE               </v>
      </c>
      <c r="E3586" t="str">
        <f>"NEW ORLEANS               "</f>
        <v xml:space="preserve">NEW ORLEANS               </v>
      </c>
      <c r="F3586" t="str">
        <f t="shared" si="152"/>
        <v>LA</v>
      </c>
    </row>
    <row r="3587" spans="1:6" x14ac:dyDescent="0.25">
      <c r="A3587" t="str">
        <f>"009908349"</f>
        <v>009908349</v>
      </c>
      <c r="B3587" t="str">
        <f>"1295825636"</f>
        <v>1295825636</v>
      </c>
      <c r="C3587" t="str">
        <f>"208600000X"</f>
        <v>208600000X</v>
      </c>
      <c r="D3587" t="str">
        <f>"LEBLANC JR               RICHARD      T           "</f>
        <v xml:space="preserve">LEBLANC JR               RICHARD      T           </v>
      </c>
      <c r="E3587" t="str">
        <f>"SLIDELL                   "</f>
        <v xml:space="preserve">SLIDELL                   </v>
      </c>
      <c r="F3587" t="str">
        <f t="shared" si="152"/>
        <v>LA</v>
      </c>
    </row>
    <row r="3588" spans="1:6" x14ac:dyDescent="0.25">
      <c r="A3588" t="str">
        <f>"009927855"</f>
        <v>009927855</v>
      </c>
      <c r="B3588" t="str">
        <f>"1437100419"</f>
        <v>1437100419</v>
      </c>
      <c r="C3588" t="str">
        <f>"207Q00000X"</f>
        <v>207Q00000X</v>
      </c>
      <c r="D3588" t="str">
        <f>"INGRAM                   JOHNNY       K           "</f>
        <v xml:space="preserve">INGRAM                   JOHNNY       K           </v>
      </c>
      <c r="E3588" t="str">
        <f>"VIDALIA                   "</f>
        <v xml:space="preserve">VIDALIA                   </v>
      </c>
      <c r="F3588" t="str">
        <f t="shared" si="152"/>
        <v>LA</v>
      </c>
    </row>
    <row r="3589" spans="1:6" x14ac:dyDescent="0.25">
      <c r="A3589" t="str">
        <f>"009928251"</f>
        <v>009928251</v>
      </c>
      <c r="B3589" t="str">
        <f>"1932169141"</f>
        <v>1932169141</v>
      </c>
      <c r="C3589" t="str">
        <f>"207R00000X"</f>
        <v>207R00000X</v>
      </c>
      <c r="D3589" t="str">
        <f>"CHOE                     ELLA         U           "</f>
        <v xml:space="preserve">CHOE                     ELLA         U           </v>
      </c>
      <c r="E3589" t="str">
        <f>"TERRYTOWN                 "</f>
        <v xml:space="preserve">TERRYTOWN                 </v>
      </c>
      <c r="F3589" t="str">
        <f t="shared" si="152"/>
        <v>LA</v>
      </c>
    </row>
    <row r="3590" spans="1:6" x14ac:dyDescent="0.25">
      <c r="A3590" t="str">
        <f>"009970718"</f>
        <v>009970718</v>
      </c>
      <c r="B3590" t="str">
        <f>"1376723858"</f>
        <v>1376723858</v>
      </c>
      <c r="C3590" t="str">
        <f>"207R00000X"</f>
        <v>207R00000X</v>
      </c>
      <c r="D3590" t="str">
        <f>"GERSHANIK                ESTEBAN      F           "</f>
        <v xml:space="preserve">GERSHANIK                ESTEBAN      F           </v>
      </c>
      <c r="E3590" t="str">
        <f>"NEW ORLEANS               "</f>
        <v xml:space="preserve">NEW ORLEANS               </v>
      </c>
      <c r="F3590" t="str">
        <f t="shared" si="152"/>
        <v>LA</v>
      </c>
    </row>
    <row r="3591" spans="1:6" x14ac:dyDescent="0.25">
      <c r="A3591" t="str">
        <f>"009982845"</f>
        <v>009982845</v>
      </c>
      <c r="B3591" t="str">
        <f>"1003152554"</f>
        <v>1003152554</v>
      </c>
      <c r="C3591" t="str">
        <f>"363L00000X"</f>
        <v>363L00000X</v>
      </c>
      <c r="D3591" t="str">
        <f>"TRUXILLO                 ADRIENNE     A           "</f>
        <v xml:space="preserve">TRUXILLO                 ADRIENNE     A           </v>
      </c>
      <c r="E3591" t="str">
        <f>"NEW ORLEANS               "</f>
        <v xml:space="preserve">NEW ORLEANS               </v>
      </c>
      <c r="F3591" t="str">
        <f t="shared" si="152"/>
        <v>LA</v>
      </c>
    </row>
    <row r="3592" spans="1:6" x14ac:dyDescent="0.25">
      <c r="A3592" t="str">
        <f>"009983579"</f>
        <v>009983579</v>
      </c>
      <c r="B3592" t="str">
        <f>"1386175263"</f>
        <v>1386175263</v>
      </c>
      <c r="C3592" t="str">
        <f>"207R00000X"</f>
        <v>207R00000X</v>
      </c>
      <c r="D3592" t="str">
        <f>"JAKHER                   HAROON       A           "</f>
        <v xml:space="preserve">JAKHER                   HAROON       A           </v>
      </c>
      <c r="E3592" t="str">
        <f>"NEW ORLEANS               "</f>
        <v xml:space="preserve">NEW ORLEANS               </v>
      </c>
      <c r="F3592" t="str">
        <f t="shared" si="152"/>
        <v>LA</v>
      </c>
    </row>
    <row r="3593" spans="1:6" x14ac:dyDescent="0.25">
      <c r="A3593" t="str">
        <f>"009987550"</f>
        <v>009987550</v>
      </c>
      <c r="B3593" t="str">
        <f>"1538428974"</f>
        <v>1538428974</v>
      </c>
      <c r="C3593" t="str">
        <f>"208600000X"</f>
        <v>208600000X</v>
      </c>
      <c r="D3593" t="str">
        <f>"GORHAM                   JESSICA      K           "</f>
        <v xml:space="preserve">GORHAM                   JESSICA      K           </v>
      </c>
      <c r="E3593" t="str">
        <f>"NEW ORLEANS               "</f>
        <v xml:space="preserve">NEW ORLEANS               </v>
      </c>
      <c r="F3593" t="str">
        <f t="shared" si="152"/>
        <v>LA</v>
      </c>
    </row>
    <row r="3594" spans="1:6" x14ac:dyDescent="0.25">
      <c r="A3594" t="str">
        <f>"100120507"</f>
        <v>100120507</v>
      </c>
      <c r="B3594" t="str">
        <f>"1144265059"</f>
        <v>1144265059</v>
      </c>
      <c r="C3594" t="str">
        <f>"207R00000X"</f>
        <v>207R00000X</v>
      </c>
      <c r="D3594" t="str">
        <f>"SUBRAMANIAM              PRAMILLA     N           "</f>
        <v xml:space="preserve">SUBRAMANIAM              PRAMILLA     N           </v>
      </c>
      <c r="E3594" t="str">
        <f>"KENNER                    "</f>
        <v xml:space="preserve">KENNER                    </v>
      </c>
      <c r="F3594" t="str">
        <f t="shared" si="152"/>
        <v>LA</v>
      </c>
    </row>
    <row r="3595" spans="1:6" x14ac:dyDescent="0.25">
      <c r="A3595" t="str">
        <f>"100121129"</f>
        <v>100121129</v>
      </c>
      <c r="B3595" t="str">
        <f>"1154389039"</f>
        <v>1154389039</v>
      </c>
      <c r="C3595" t="str">
        <f>"207RX0202X"</f>
        <v>207RX0202X</v>
      </c>
      <c r="D3595" t="str">
        <f>"BOLTON                   JOHN         S           "</f>
        <v xml:space="preserve">BOLTON                   JOHN         S           </v>
      </c>
      <c r="E3595" t="str">
        <f>"NEW ORLEANS               "</f>
        <v xml:space="preserve">NEW ORLEANS               </v>
      </c>
      <c r="F3595" t="str">
        <f t="shared" si="152"/>
        <v>LA</v>
      </c>
    </row>
    <row r="3596" spans="1:6" x14ac:dyDescent="0.25">
      <c r="A3596" t="str">
        <f>"100131767"</f>
        <v>100131767</v>
      </c>
      <c r="B3596" t="str">
        <f>"1548263999"</f>
        <v>1548263999</v>
      </c>
      <c r="C3596" t="str">
        <f>"207RC0000X"</f>
        <v>207RC0000X</v>
      </c>
      <c r="D3596" t="str">
        <f>"BETHALA                  VASANTH      K           "</f>
        <v xml:space="preserve">BETHALA                  VASANTH      K           </v>
      </c>
      <c r="E3596" t="str">
        <f>"SLIDELL                   "</f>
        <v xml:space="preserve">SLIDELL                   </v>
      </c>
      <c r="F3596" t="str">
        <f t="shared" si="152"/>
        <v>LA</v>
      </c>
    </row>
    <row r="3597" spans="1:6" x14ac:dyDescent="0.25">
      <c r="A3597" t="str">
        <f>"100132391"</f>
        <v>100132391</v>
      </c>
      <c r="B3597" t="str">
        <f>"1265477194"</f>
        <v>1265477194</v>
      </c>
      <c r="C3597" t="str">
        <f>"207L00000X"</f>
        <v>207L00000X</v>
      </c>
      <c r="D3597" t="str">
        <f>"STEDMAN                  ROBIN        B           "</f>
        <v xml:space="preserve">STEDMAN                  ROBIN        B           </v>
      </c>
      <c r="E3597" t="str">
        <f>"NEW ORLEANS               "</f>
        <v xml:space="preserve">NEW ORLEANS               </v>
      </c>
      <c r="F3597" t="str">
        <f t="shared" si="152"/>
        <v>LA</v>
      </c>
    </row>
    <row r="3598" spans="1:6" x14ac:dyDescent="0.25">
      <c r="A3598" t="str">
        <f>"100138124"</f>
        <v>100138124</v>
      </c>
      <c r="B3598" t="str">
        <f>"1205887668"</f>
        <v>1205887668</v>
      </c>
      <c r="C3598" t="str">
        <f>"207V00000X"</f>
        <v>207V00000X</v>
      </c>
      <c r="D3598" t="str">
        <f>"LONGO                    SHERRI       A           "</f>
        <v xml:space="preserve">LONGO                    SHERRI       A           </v>
      </c>
      <c r="E3598" t="str">
        <f>"NEW ORLEANS               "</f>
        <v xml:space="preserve">NEW ORLEANS               </v>
      </c>
      <c r="F3598" t="str">
        <f t="shared" si="152"/>
        <v>LA</v>
      </c>
    </row>
    <row r="3599" spans="1:6" x14ac:dyDescent="0.25">
      <c r="A3599" t="str">
        <f>"100138933"</f>
        <v>100138933</v>
      </c>
      <c r="B3599" t="str">
        <f>"1811939648"</f>
        <v>1811939648</v>
      </c>
      <c r="C3599" t="str">
        <f>"208600000X"</f>
        <v>208600000X</v>
      </c>
      <c r="D3599" t="str">
        <f>"STERNBERGH III           WALDEMAR     C           "</f>
        <v xml:space="preserve">STERNBERGH III           WALDEMAR     C           </v>
      </c>
      <c r="E3599" t="str">
        <f>"NEW ORLEANS               "</f>
        <v xml:space="preserve">NEW ORLEANS               </v>
      </c>
      <c r="F3599" t="str">
        <f t="shared" si="152"/>
        <v>LA</v>
      </c>
    </row>
    <row r="3600" spans="1:6" x14ac:dyDescent="0.25">
      <c r="A3600" t="str">
        <f>"100140359"</f>
        <v>100140359</v>
      </c>
      <c r="B3600" t="str">
        <f>"1700922069"</f>
        <v>1700922069</v>
      </c>
      <c r="C3600" t="str">
        <f>"207P00000X"</f>
        <v>207P00000X</v>
      </c>
      <c r="D3600" t="str">
        <f>"SEKI                     IBRAHIM                  "</f>
        <v xml:space="preserve">SEKI                     IBRAHIM                  </v>
      </c>
      <c r="E3600" t="str">
        <f>"VIDALIA                   "</f>
        <v xml:space="preserve">VIDALIA                   </v>
      </c>
      <c r="F3600" t="str">
        <f t="shared" si="152"/>
        <v>LA</v>
      </c>
    </row>
    <row r="3601" spans="1:6" x14ac:dyDescent="0.25">
      <c r="A3601" t="str">
        <f>"100140711"</f>
        <v>100140711</v>
      </c>
      <c r="B3601" t="str">
        <f>"1891744256"</f>
        <v>1891744256</v>
      </c>
      <c r="C3601" t="str">
        <f>"207RC0000X"</f>
        <v>207RC0000X</v>
      </c>
      <c r="D3601" t="str">
        <f>"LAVIE                    CARL         J           "</f>
        <v xml:space="preserve">LAVIE                    CARL         J           </v>
      </c>
      <c r="E3601" t="str">
        <f>"NEW ORLEANS               "</f>
        <v xml:space="preserve">NEW ORLEANS               </v>
      </c>
      <c r="F3601" t="str">
        <f t="shared" si="152"/>
        <v>LA</v>
      </c>
    </row>
    <row r="3602" spans="1:6" x14ac:dyDescent="0.25">
      <c r="A3602" t="str">
        <f>"100142206"</f>
        <v>100142206</v>
      </c>
      <c r="B3602" t="str">
        <f>"1538123534"</f>
        <v>1538123534</v>
      </c>
      <c r="C3602" t="str">
        <f>"2086S0129X"</f>
        <v>2086S0129X</v>
      </c>
      <c r="D3602" t="str">
        <f>"DAVIS JR                 PAUL         M           "</f>
        <v xml:space="preserve">DAVIS JR                 PAUL         M           </v>
      </c>
      <c r="E3602" t="str">
        <f>"BATON ROUGE               "</f>
        <v xml:space="preserve">BATON ROUGE               </v>
      </c>
      <c r="F3602" t="str">
        <f t="shared" si="152"/>
        <v>LA</v>
      </c>
    </row>
    <row r="3603" spans="1:6" x14ac:dyDescent="0.25">
      <c r="A3603" t="str">
        <f>"100142541"</f>
        <v>100142541</v>
      </c>
      <c r="B3603" t="str">
        <f>"1720167893"</f>
        <v>1720167893</v>
      </c>
      <c r="C3603" t="str">
        <f>"207P00000X"</f>
        <v>207P00000X</v>
      </c>
      <c r="D3603" t="str">
        <f>"GAVIN                    JOHN         P           "</f>
        <v xml:space="preserve">GAVIN                    JOHN         P           </v>
      </c>
      <c r="E3603" t="str">
        <f>"BOGALUSA                  "</f>
        <v xml:space="preserve">BOGALUSA                  </v>
      </c>
      <c r="F3603" t="str">
        <f t="shared" si="152"/>
        <v>LA</v>
      </c>
    </row>
    <row r="3604" spans="1:6" x14ac:dyDescent="0.25">
      <c r="A3604" t="str">
        <f>"100144033"</f>
        <v>100144033</v>
      </c>
      <c r="B3604" t="str">
        <f>"1851390843"</f>
        <v>1851390843</v>
      </c>
      <c r="C3604" t="str">
        <f>"2080N0001X"</f>
        <v>2080N0001X</v>
      </c>
      <c r="D3604" t="str">
        <f>"VOELKER                  CYNTHIA      A           "</f>
        <v xml:space="preserve">VOELKER                  CYNTHIA      A           </v>
      </c>
      <c r="E3604" t="str">
        <f>"BATON ROUGE               "</f>
        <v xml:space="preserve">BATON ROUGE               </v>
      </c>
      <c r="F3604" t="str">
        <f t="shared" si="152"/>
        <v>LA</v>
      </c>
    </row>
    <row r="3605" spans="1:6" x14ac:dyDescent="0.25">
      <c r="A3605" t="str">
        <f>"100144441"</f>
        <v>100144441</v>
      </c>
      <c r="B3605" t="str">
        <f>"1720016207"</f>
        <v>1720016207</v>
      </c>
      <c r="C3605" t="str">
        <f>"207RP1001X"</f>
        <v>207RP1001X</v>
      </c>
      <c r="D3605" t="str">
        <f>"TAYLOR                   DAVID        E           "</f>
        <v xml:space="preserve">TAYLOR                   DAVID        E           </v>
      </c>
      <c r="E3605" t="str">
        <f>"NEW ORLEANS               "</f>
        <v xml:space="preserve">NEW ORLEANS               </v>
      </c>
      <c r="F3605" t="str">
        <f t="shared" si="152"/>
        <v>LA</v>
      </c>
    </row>
    <row r="3606" spans="1:6" x14ac:dyDescent="0.25">
      <c r="A3606" t="str">
        <f>"100145340"</f>
        <v>100145340</v>
      </c>
      <c r="B3606" t="str">
        <f>"1174547699"</f>
        <v>1174547699</v>
      </c>
      <c r="C3606" t="str">
        <f>"207ZP0102X"</f>
        <v>207ZP0102X</v>
      </c>
      <c r="D3606" t="str">
        <f>"WANG                     ALUN         R           "</f>
        <v xml:space="preserve">WANG                     ALUN         R           </v>
      </c>
      <c r="E3606" t="str">
        <f>"NEW ORLEANS               "</f>
        <v xml:space="preserve">NEW ORLEANS               </v>
      </c>
      <c r="F3606" t="str">
        <f t="shared" si="152"/>
        <v>LA</v>
      </c>
    </row>
    <row r="3607" spans="1:6" x14ac:dyDescent="0.25">
      <c r="A3607" t="str">
        <f>"100147409"</f>
        <v>100147409</v>
      </c>
      <c r="B3607" t="str">
        <f>"1649232133"</f>
        <v>1649232133</v>
      </c>
      <c r="C3607" t="str">
        <f>"2086S0129X"</f>
        <v>2086S0129X</v>
      </c>
      <c r="D3607" t="str">
        <f>"ECKHOLDT                 GREGORY      J           "</f>
        <v xml:space="preserve">ECKHOLDT                 GREGORY      J           </v>
      </c>
      <c r="E3607" t="str">
        <f>"COVINGTON                 "</f>
        <v xml:space="preserve">COVINGTON                 </v>
      </c>
      <c r="F3607" t="str">
        <f t="shared" si="152"/>
        <v>LA</v>
      </c>
    </row>
    <row r="3608" spans="1:6" x14ac:dyDescent="0.25">
      <c r="A3608" t="str">
        <f>"100157700"</f>
        <v>100157700</v>
      </c>
      <c r="B3608" t="str">
        <f>"1396837845"</f>
        <v>1396837845</v>
      </c>
      <c r="C3608" t="str">
        <f>"208000000X"</f>
        <v>208000000X</v>
      </c>
      <c r="D3608" t="str">
        <f>"EL-DAHR                  JANE         M           "</f>
        <v xml:space="preserve">EL-DAHR                  JANE         M           </v>
      </c>
      <c r="E3608" t="str">
        <f t="shared" ref="E3608:E3614" si="153">"NEW ORLEANS               "</f>
        <v xml:space="preserve">NEW ORLEANS               </v>
      </c>
      <c r="F3608" t="str">
        <f t="shared" si="152"/>
        <v>LA</v>
      </c>
    </row>
    <row r="3609" spans="1:6" x14ac:dyDescent="0.25">
      <c r="A3609" t="str">
        <f>"100157912"</f>
        <v>100157912</v>
      </c>
      <c r="B3609" t="str">
        <f>"1962441352"</f>
        <v>1962441352</v>
      </c>
      <c r="C3609" t="str">
        <f>"207X00000X"</f>
        <v>207X00000X</v>
      </c>
      <c r="D3609" t="str">
        <f>"HABER                    LAWRENCE     L           "</f>
        <v xml:space="preserve">HABER                    LAWRENCE     L           </v>
      </c>
      <c r="E3609" t="str">
        <f t="shared" si="153"/>
        <v xml:space="preserve">NEW ORLEANS               </v>
      </c>
      <c r="F3609" t="str">
        <f t="shared" si="152"/>
        <v>LA</v>
      </c>
    </row>
    <row r="3610" spans="1:6" x14ac:dyDescent="0.25">
      <c r="A3610" t="str">
        <f>"100159691"</f>
        <v>100159691</v>
      </c>
      <c r="B3610" t="str">
        <f>"1649225418"</f>
        <v>1649225418</v>
      </c>
      <c r="C3610" t="str">
        <f>"208G00000X"</f>
        <v>208G00000X</v>
      </c>
      <c r="D3610" t="str">
        <f>"PARRINO                  PATRICK      E           "</f>
        <v xml:space="preserve">PARRINO                  PATRICK      E           </v>
      </c>
      <c r="E3610" t="str">
        <f t="shared" si="153"/>
        <v xml:space="preserve">NEW ORLEANS               </v>
      </c>
      <c r="F3610" t="str">
        <f t="shared" si="152"/>
        <v>LA</v>
      </c>
    </row>
    <row r="3611" spans="1:6" x14ac:dyDescent="0.25">
      <c r="A3611" t="str">
        <f>"100164429"</f>
        <v>100164429</v>
      </c>
      <c r="B3611" t="str">
        <f>"1922186188"</f>
        <v>1922186188</v>
      </c>
      <c r="C3611" t="str">
        <f>"208000000X"</f>
        <v>208000000X</v>
      </c>
      <c r="D3611" t="str">
        <f>"VAN HOOK                 KRISTIN      N           "</f>
        <v xml:space="preserve">VAN HOOK                 KRISTIN      N           </v>
      </c>
      <c r="E3611" t="str">
        <f t="shared" si="153"/>
        <v xml:space="preserve">NEW ORLEANS               </v>
      </c>
      <c r="F3611" t="str">
        <f t="shared" ref="F3611:F3674" si="154">"LA"</f>
        <v>LA</v>
      </c>
    </row>
    <row r="3612" spans="1:6" x14ac:dyDescent="0.25">
      <c r="A3612" t="str">
        <f>"100165359"</f>
        <v>100165359</v>
      </c>
      <c r="B3612" t="str">
        <f>"1548374440"</f>
        <v>1548374440</v>
      </c>
      <c r="C3612" t="str">
        <f>"207ZP0102X"</f>
        <v>207ZP0102X</v>
      </c>
      <c r="D3612" t="str">
        <f>"MOROZ                    KRZYSZTOF                "</f>
        <v xml:space="preserve">MOROZ                    KRZYSZTOF                </v>
      </c>
      <c r="E3612" t="str">
        <f t="shared" si="153"/>
        <v xml:space="preserve">NEW ORLEANS               </v>
      </c>
      <c r="F3612" t="str">
        <f t="shared" si="154"/>
        <v>LA</v>
      </c>
    </row>
    <row r="3613" spans="1:6" x14ac:dyDescent="0.25">
      <c r="A3613" t="str">
        <f>"100165774"</f>
        <v>100165774</v>
      </c>
      <c r="B3613" t="str">
        <f>"1013021302"</f>
        <v>1013021302</v>
      </c>
      <c r="C3613" t="str">
        <f>"207R00000X"</f>
        <v>207R00000X</v>
      </c>
      <c r="D3613" t="str">
        <f>"MARIER                   ROBERT       L           "</f>
        <v xml:space="preserve">MARIER                   ROBERT       L           </v>
      </c>
      <c r="E3613" t="str">
        <f t="shared" si="153"/>
        <v xml:space="preserve">NEW ORLEANS               </v>
      </c>
      <c r="F3613" t="str">
        <f t="shared" si="154"/>
        <v>LA</v>
      </c>
    </row>
    <row r="3614" spans="1:6" x14ac:dyDescent="0.25">
      <c r="A3614" t="str">
        <f>"100166309"</f>
        <v>100166309</v>
      </c>
      <c r="B3614" t="str">
        <f>"1578630232"</f>
        <v>1578630232</v>
      </c>
      <c r="C3614" t="str">
        <f>"207RG0100X"</f>
        <v>207RG0100X</v>
      </c>
      <c r="D3614" t="str">
        <f>"LANDRENEAU               STEPHEN      W           "</f>
        <v xml:space="preserve">LANDRENEAU               STEPHEN      W           </v>
      </c>
      <c r="E3614" t="str">
        <f t="shared" si="153"/>
        <v xml:space="preserve">NEW ORLEANS               </v>
      </c>
      <c r="F3614" t="str">
        <f t="shared" si="154"/>
        <v>LA</v>
      </c>
    </row>
    <row r="3615" spans="1:6" x14ac:dyDescent="0.25">
      <c r="A3615" t="str">
        <f>"100166471"</f>
        <v>100166471</v>
      </c>
      <c r="B3615" t="str">
        <f>"1588600894"</f>
        <v>1588600894</v>
      </c>
      <c r="C3615" t="str">
        <f>"208600000X"</f>
        <v>208600000X</v>
      </c>
      <c r="D3615" t="str">
        <f>"ITELD                    BRUCE        J           "</f>
        <v xml:space="preserve">ITELD                    BRUCE        J           </v>
      </c>
      <c r="E3615" t="str">
        <f>"SLIDELL                   "</f>
        <v xml:space="preserve">SLIDELL                   </v>
      </c>
      <c r="F3615" t="str">
        <f t="shared" si="154"/>
        <v>LA</v>
      </c>
    </row>
    <row r="3616" spans="1:6" x14ac:dyDescent="0.25">
      <c r="A3616" t="str">
        <f>"100166653"</f>
        <v>100166653</v>
      </c>
      <c r="B3616" t="str">
        <f>"1750574992"</f>
        <v>1750574992</v>
      </c>
      <c r="C3616" t="str">
        <f>"208000000X"</f>
        <v>208000000X</v>
      </c>
      <c r="D3616" t="str">
        <f>"BUI                      CUONG                    "</f>
        <v xml:space="preserve">BUI                      CUONG                    </v>
      </c>
      <c r="E3616" t="str">
        <f t="shared" ref="E3616:E3621" si="155">"NEW ORLEANS               "</f>
        <v xml:space="preserve">NEW ORLEANS               </v>
      </c>
      <c r="F3616" t="str">
        <f t="shared" si="154"/>
        <v>LA</v>
      </c>
    </row>
    <row r="3617" spans="1:6" x14ac:dyDescent="0.25">
      <c r="A3617" t="str">
        <f>"100167491"</f>
        <v>100167491</v>
      </c>
      <c r="B3617" t="str">
        <f>"1669451357"</f>
        <v>1669451357</v>
      </c>
      <c r="C3617" t="str">
        <f>"207RC0000X"</f>
        <v>207RC0000X</v>
      </c>
      <c r="D3617" t="str">
        <f>"ELIZARDI                 DAVID        J           "</f>
        <v xml:space="preserve">ELIZARDI                 DAVID        J           </v>
      </c>
      <c r="E3617" t="str">
        <f t="shared" si="155"/>
        <v xml:space="preserve">NEW ORLEANS               </v>
      </c>
      <c r="F3617" t="str">
        <f t="shared" si="154"/>
        <v>LA</v>
      </c>
    </row>
    <row r="3618" spans="1:6" x14ac:dyDescent="0.25">
      <c r="A3618" t="str">
        <f>"100167526"</f>
        <v>100167526</v>
      </c>
      <c r="B3618" t="str">
        <f>"1366572729"</f>
        <v>1366572729</v>
      </c>
      <c r="C3618" t="str">
        <f>"208000000X"</f>
        <v>208000000X</v>
      </c>
      <c r="D3618" t="str">
        <f>"UWAIFO                   OMOTOLA      O           "</f>
        <v xml:space="preserve">UWAIFO                   OMOTOLA      O           </v>
      </c>
      <c r="E3618" t="str">
        <f t="shared" si="155"/>
        <v xml:space="preserve">NEW ORLEANS               </v>
      </c>
      <c r="F3618" t="str">
        <f t="shared" si="154"/>
        <v>LA</v>
      </c>
    </row>
    <row r="3619" spans="1:6" x14ac:dyDescent="0.25">
      <c r="A3619" t="str">
        <f>"100168140"</f>
        <v>100168140</v>
      </c>
      <c r="B3619" t="str">
        <f>"1588831952"</f>
        <v>1588831952</v>
      </c>
      <c r="C3619" t="str">
        <f>"207ZP0102X"</f>
        <v>207ZP0102X</v>
      </c>
      <c r="D3619" t="str">
        <f>"JACKSON                  COURTNEY     C           "</f>
        <v xml:space="preserve">JACKSON                  COURTNEY     C           </v>
      </c>
      <c r="E3619" t="str">
        <f t="shared" si="155"/>
        <v xml:space="preserve">NEW ORLEANS               </v>
      </c>
      <c r="F3619" t="str">
        <f t="shared" si="154"/>
        <v>LA</v>
      </c>
    </row>
    <row r="3620" spans="1:6" x14ac:dyDescent="0.25">
      <c r="A3620" t="str">
        <f>"100168456"</f>
        <v>100168456</v>
      </c>
      <c r="B3620" t="str">
        <f>"1578512364"</f>
        <v>1578512364</v>
      </c>
      <c r="C3620" t="str">
        <f>"207RP1001X"</f>
        <v>207RP1001X</v>
      </c>
      <c r="D3620" t="str">
        <f>"KANTROW                  STEPHEN      P           "</f>
        <v xml:space="preserve">KANTROW                  STEPHEN      P           </v>
      </c>
      <c r="E3620" t="str">
        <f t="shared" si="155"/>
        <v xml:space="preserve">NEW ORLEANS               </v>
      </c>
      <c r="F3620" t="str">
        <f t="shared" si="154"/>
        <v>LA</v>
      </c>
    </row>
    <row r="3621" spans="1:6" x14ac:dyDescent="0.25">
      <c r="A3621" t="str">
        <f>"100169223"</f>
        <v>100169223</v>
      </c>
      <c r="B3621" t="str">
        <f>"1255511887"</f>
        <v>1255511887</v>
      </c>
      <c r="C3621" t="str">
        <f>"207R00000X"</f>
        <v>207R00000X</v>
      </c>
      <c r="D3621" t="str">
        <f>"CASH                     MICHAEL      E           "</f>
        <v xml:space="preserve">CASH                     MICHAEL      E           </v>
      </c>
      <c r="E3621" t="str">
        <f t="shared" si="155"/>
        <v xml:space="preserve">NEW ORLEANS               </v>
      </c>
      <c r="F3621" t="str">
        <f t="shared" si="154"/>
        <v>LA</v>
      </c>
    </row>
    <row r="3622" spans="1:6" x14ac:dyDescent="0.25">
      <c r="A3622" t="str">
        <f>"100170222"</f>
        <v>100170222</v>
      </c>
      <c r="B3622" t="str">
        <f>"1750342788"</f>
        <v>1750342788</v>
      </c>
      <c r="C3622" t="str">
        <f>"207RP1001X"</f>
        <v>207RP1001X</v>
      </c>
      <c r="D3622" t="str">
        <f>"PARKER                   JANINE       S           "</f>
        <v xml:space="preserve">PARKER                   JANINE       S           </v>
      </c>
      <c r="E3622" t="str">
        <f>"SLIDELL                   "</f>
        <v xml:space="preserve">SLIDELL                   </v>
      </c>
      <c r="F3622" t="str">
        <f t="shared" si="154"/>
        <v>LA</v>
      </c>
    </row>
    <row r="3623" spans="1:6" x14ac:dyDescent="0.25">
      <c r="A3623" t="str">
        <f>"100170269"</f>
        <v>100170269</v>
      </c>
      <c r="B3623" t="str">
        <f>"1932189016"</f>
        <v>1932189016</v>
      </c>
      <c r="C3623" t="str">
        <f>"207RH0000X"</f>
        <v>207RH0000X</v>
      </c>
      <c r="D3623" t="str">
        <f>"SMITH                    SUMATHI      S           "</f>
        <v xml:space="preserve">SMITH                    SUMATHI      S           </v>
      </c>
      <c r="E3623" t="str">
        <f>"COVINGTON                 "</f>
        <v xml:space="preserve">COVINGTON                 </v>
      </c>
      <c r="F3623" t="str">
        <f t="shared" si="154"/>
        <v>LA</v>
      </c>
    </row>
    <row r="3624" spans="1:6" x14ac:dyDescent="0.25">
      <c r="A3624" t="str">
        <f>"100171196"</f>
        <v>100171196</v>
      </c>
      <c r="B3624" t="str">
        <f>"1740470061"</f>
        <v>1740470061</v>
      </c>
      <c r="C3624" t="str">
        <f>"208C00000X"</f>
        <v>208C00000X</v>
      </c>
      <c r="D3624" t="str">
        <f>"PARKS                    JOSHUA       D           "</f>
        <v xml:space="preserve">PARKS                    JOSHUA       D           </v>
      </c>
      <c r="E3624" t="str">
        <f>"NEW ORLEANS               "</f>
        <v xml:space="preserve">NEW ORLEANS               </v>
      </c>
      <c r="F3624" t="str">
        <f t="shared" si="154"/>
        <v>LA</v>
      </c>
    </row>
    <row r="3625" spans="1:6" x14ac:dyDescent="0.25">
      <c r="A3625" t="str">
        <f>"100171535"</f>
        <v>100171535</v>
      </c>
      <c r="B3625" t="str">
        <f>"1194862300"</f>
        <v>1194862300</v>
      </c>
      <c r="C3625" t="str">
        <f>"208000000X"</f>
        <v>208000000X</v>
      </c>
      <c r="D3625" t="str">
        <f>"LOTTERMAN                CRAIG        D           "</f>
        <v xml:space="preserve">LOTTERMAN                CRAIG        D           </v>
      </c>
      <c r="E3625" t="str">
        <f>"NEW ORLEANS               "</f>
        <v xml:space="preserve">NEW ORLEANS               </v>
      </c>
      <c r="F3625" t="str">
        <f t="shared" si="154"/>
        <v>LA</v>
      </c>
    </row>
    <row r="3626" spans="1:6" x14ac:dyDescent="0.25">
      <c r="A3626" t="str">
        <f>"100172232"</f>
        <v>100172232</v>
      </c>
      <c r="B3626" t="str">
        <f>"1861480915"</f>
        <v>1861480915</v>
      </c>
      <c r="C3626" t="str">
        <f>"207RI0200X"</f>
        <v>207RI0200X</v>
      </c>
      <c r="D3626" t="str">
        <f>"BLAIS                    CHRISTOPHER  M           "</f>
        <v xml:space="preserve">BLAIS                    CHRISTOPHER  M           </v>
      </c>
      <c r="E3626" t="str">
        <f>"NEW ORLEANS               "</f>
        <v xml:space="preserve">NEW ORLEANS               </v>
      </c>
      <c r="F3626" t="str">
        <f t="shared" si="154"/>
        <v>LA</v>
      </c>
    </row>
    <row r="3627" spans="1:6" x14ac:dyDescent="0.25">
      <c r="A3627" t="str">
        <f>"100172236"</f>
        <v>100172236</v>
      </c>
      <c r="B3627" t="str">
        <f>"1669404232"</f>
        <v>1669404232</v>
      </c>
      <c r="C3627" t="str">
        <f>"208000000X"</f>
        <v>208000000X</v>
      </c>
      <c r="D3627" t="str">
        <f>"MORRIS                   BRIAN        G           "</f>
        <v xml:space="preserve">MORRIS                   BRIAN        G           </v>
      </c>
      <c r="E3627" t="str">
        <f>"NEW ORLEANS               "</f>
        <v xml:space="preserve">NEW ORLEANS               </v>
      </c>
      <c r="F3627" t="str">
        <f t="shared" si="154"/>
        <v>LA</v>
      </c>
    </row>
    <row r="3628" spans="1:6" x14ac:dyDescent="0.25">
      <c r="A3628" t="str">
        <f>"100173048"</f>
        <v>100173048</v>
      </c>
      <c r="B3628" t="str">
        <f>"1891016929"</f>
        <v>1891016929</v>
      </c>
      <c r="C3628" t="str">
        <f>"207R00000X"</f>
        <v>207R00000X</v>
      </c>
      <c r="D3628" t="str">
        <f>"HILL                     JASON        B           "</f>
        <v xml:space="preserve">HILL                     JASON        B           </v>
      </c>
      <c r="E3628" t="str">
        <f>"SLIDELL                   "</f>
        <v xml:space="preserve">SLIDELL                   </v>
      </c>
      <c r="F3628" t="str">
        <f t="shared" si="154"/>
        <v>LA</v>
      </c>
    </row>
    <row r="3629" spans="1:6" x14ac:dyDescent="0.25">
      <c r="A3629" t="str">
        <f>"100173090"</f>
        <v>100173090</v>
      </c>
      <c r="B3629" t="str">
        <f>"1700058310"</f>
        <v>1700058310</v>
      </c>
      <c r="C3629" t="str">
        <f>"2080P0201X"</f>
        <v>2080P0201X</v>
      </c>
      <c r="D3629" t="str">
        <f>"CARLSON                  JOHN                     "</f>
        <v xml:space="preserve">CARLSON                  JOHN                     </v>
      </c>
      <c r="E3629" t="str">
        <f t="shared" ref="E3629:E3635" si="156">"NEW ORLEANS               "</f>
        <v xml:space="preserve">NEW ORLEANS               </v>
      </c>
      <c r="F3629" t="str">
        <f t="shared" si="154"/>
        <v>LA</v>
      </c>
    </row>
    <row r="3630" spans="1:6" x14ac:dyDescent="0.25">
      <c r="A3630" t="str">
        <f>"100176314"</f>
        <v>100176314</v>
      </c>
      <c r="B3630" t="str">
        <f>"1922219815"</f>
        <v>1922219815</v>
      </c>
      <c r="C3630" t="str">
        <f>"208G00000X"</f>
        <v>208G00000X</v>
      </c>
      <c r="D3630" t="str">
        <f>"BANSAL                   ADITYA                   "</f>
        <v xml:space="preserve">BANSAL                   ADITYA                   </v>
      </c>
      <c r="E3630" t="str">
        <f t="shared" si="156"/>
        <v xml:space="preserve">NEW ORLEANS               </v>
      </c>
      <c r="F3630" t="str">
        <f t="shared" si="154"/>
        <v>LA</v>
      </c>
    </row>
    <row r="3631" spans="1:6" x14ac:dyDescent="0.25">
      <c r="A3631" t="str">
        <f>"100177960"</f>
        <v>100177960</v>
      </c>
      <c r="B3631" t="str">
        <f>"1255592374"</f>
        <v>1255592374</v>
      </c>
      <c r="C3631" t="str">
        <f>"208000000X"</f>
        <v>208000000X</v>
      </c>
      <c r="D3631" t="str">
        <f>"VASQUEZ                  ROBERT       J           "</f>
        <v xml:space="preserve">VASQUEZ                  ROBERT       J           </v>
      </c>
      <c r="E3631" t="str">
        <f t="shared" si="156"/>
        <v xml:space="preserve">NEW ORLEANS               </v>
      </c>
      <c r="F3631" t="str">
        <f t="shared" si="154"/>
        <v>LA</v>
      </c>
    </row>
    <row r="3632" spans="1:6" x14ac:dyDescent="0.25">
      <c r="A3632" t="str">
        <f>"100178008"</f>
        <v>100178008</v>
      </c>
      <c r="B3632" t="str">
        <f>"1598928418"</f>
        <v>1598928418</v>
      </c>
      <c r="C3632" t="str">
        <f>"207R00000X"</f>
        <v>207R00000X</v>
      </c>
      <c r="D3632" t="str">
        <f>"POLIN                    GLENN        M           "</f>
        <v xml:space="preserve">POLIN                    GLENN        M           </v>
      </c>
      <c r="E3632" t="str">
        <f t="shared" si="156"/>
        <v xml:space="preserve">NEW ORLEANS               </v>
      </c>
      <c r="F3632" t="str">
        <f t="shared" si="154"/>
        <v>LA</v>
      </c>
    </row>
    <row r="3633" spans="1:6" x14ac:dyDescent="0.25">
      <c r="A3633" t="str">
        <f>"100178509"</f>
        <v>100178509</v>
      </c>
      <c r="B3633" t="str">
        <f>"1396892287"</f>
        <v>1396892287</v>
      </c>
      <c r="C3633" t="str">
        <f>"207R00000X"</f>
        <v>207R00000X</v>
      </c>
      <c r="D3633" t="str">
        <f>"BERNARD                  MICHAEL      L           "</f>
        <v xml:space="preserve">BERNARD                  MICHAEL      L           </v>
      </c>
      <c r="E3633" t="str">
        <f t="shared" si="156"/>
        <v xml:space="preserve">NEW ORLEANS               </v>
      </c>
      <c r="F3633" t="str">
        <f t="shared" si="154"/>
        <v>LA</v>
      </c>
    </row>
    <row r="3634" spans="1:6" x14ac:dyDescent="0.25">
      <c r="A3634" t="str">
        <f>"100179903"</f>
        <v>100179903</v>
      </c>
      <c r="B3634" t="str">
        <f>"1760707970"</f>
        <v>1760707970</v>
      </c>
      <c r="C3634" t="str">
        <f>"207RG0100X"</f>
        <v>207RG0100X</v>
      </c>
      <c r="D3634" t="str">
        <f>"QUEVEDO                  REINALDO     J           "</f>
        <v xml:space="preserve">QUEVEDO                  REINALDO     J           </v>
      </c>
      <c r="E3634" t="str">
        <f t="shared" si="156"/>
        <v xml:space="preserve">NEW ORLEANS               </v>
      </c>
      <c r="F3634" t="str">
        <f t="shared" si="154"/>
        <v>LA</v>
      </c>
    </row>
    <row r="3635" spans="1:6" x14ac:dyDescent="0.25">
      <c r="A3635" t="str">
        <f>"100184650"</f>
        <v>100184650</v>
      </c>
      <c r="B3635" t="str">
        <f>"1861582157"</f>
        <v>1861582157</v>
      </c>
      <c r="C3635" t="str">
        <f>"2080P0206X"</f>
        <v>2080P0206X</v>
      </c>
      <c r="D3635" t="str">
        <f>"HIMES                    RYAN         W           "</f>
        <v xml:space="preserve">HIMES                    RYAN         W           </v>
      </c>
      <c r="E3635" t="str">
        <f t="shared" si="156"/>
        <v xml:space="preserve">NEW ORLEANS               </v>
      </c>
      <c r="F3635" t="str">
        <f t="shared" si="154"/>
        <v>LA</v>
      </c>
    </row>
    <row r="3636" spans="1:6" x14ac:dyDescent="0.25">
      <c r="A3636" t="str">
        <f>"100192111"</f>
        <v>100192111</v>
      </c>
      <c r="B3636" t="str">
        <f>"1891919395"</f>
        <v>1891919395</v>
      </c>
      <c r="C3636" t="str">
        <f>"207P00000X"</f>
        <v>207P00000X</v>
      </c>
      <c r="D3636" t="str">
        <f>"PUNUKOLLU                SUMANTH                  "</f>
        <v xml:space="preserve">PUNUKOLLU                SUMANTH                  </v>
      </c>
      <c r="E3636" t="str">
        <f>"KENNER                    "</f>
        <v xml:space="preserve">KENNER                    </v>
      </c>
      <c r="F3636" t="str">
        <f t="shared" si="154"/>
        <v>LA</v>
      </c>
    </row>
    <row r="3637" spans="1:6" x14ac:dyDescent="0.25">
      <c r="A3637" t="str">
        <f>"100204458"</f>
        <v>100204458</v>
      </c>
      <c r="B3637" t="str">
        <f>"1154533438"</f>
        <v>1154533438</v>
      </c>
      <c r="C3637" t="str">
        <f>"207RN0300X"</f>
        <v>207RN0300X</v>
      </c>
      <c r="D3637" t="str">
        <f>"O'NEAL                   JEREMY                   "</f>
        <v xml:space="preserve">O'NEAL                   JEREMY                   </v>
      </c>
      <c r="E3637" t="str">
        <f>"BATON ROUGE               "</f>
        <v xml:space="preserve">BATON ROUGE               </v>
      </c>
      <c r="F3637" t="str">
        <f t="shared" si="154"/>
        <v>LA</v>
      </c>
    </row>
    <row r="3638" spans="1:6" x14ac:dyDescent="0.25">
      <c r="A3638" t="str">
        <f>"100212915"</f>
        <v>100212915</v>
      </c>
      <c r="B3638" t="str">
        <f>"1477846913"</f>
        <v>1477846913</v>
      </c>
      <c r="C3638" t="str">
        <f>"207RX0202X"</f>
        <v>207RX0202X</v>
      </c>
      <c r="D3638" t="str">
        <f>"MANNINA JR               EDWARD       M           "</f>
        <v xml:space="preserve">MANNINA JR               EDWARD       M           </v>
      </c>
      <c r="E3638" t="str">
        <f>"SLIDELL                   "</f>
        <v xml:space="preserve">SLIDELL                   </v>
      </c>
      <c r="F3638" t="str">
        <f t="shared" si="154"/>
        <v>LA</v>
      </c>
    </row>
    <row r="3639" spans="1:6" x14ac:dyDescent="0.25">
      <c r="A3639" t="str">
        <f>"100223150"</f>
        <v>100223150</v>
      </c>
      <c r="B3639" t="str">
        <f>"1427312362"</f>
        <v>1427312362</v>
      </c>
      <c r="C3639" t="str">
        <f>"2084N0400X"</f>
        <v>2084N0400X</v>
      </c>
      <c r="D3639" t="str">
        <f>"JONES                    AMY          L           "</f>
        <v xml:space="preserve">JONES                    AMY          L           </v>
      </c>
      <c r="E3639" t="str">
        <f>"COVINGTON                 "</f>
        <v xml:space="preserve">COVINGTON                 </v>
      </c>
      <c r="F3639" t="str">
        <f t="shared" si="154"/>
        <v>LA</v>
      </c>
    </row>
    <row r="3640" spans="1:6" x14ac:dyDescent="0.25">
      <c r="A3640" t="str">
        <f>"100223381"</f>
        <v>100223381</v>
      </c>
      <c r="B3640" t="str">
        <f>"1124327929"</f>
        <v>1124327929</v>
      </c>
      <c r="C3640" t="str">
        <f>"207RX0202X"</f>
        <v>207RX0202X</v>
      </c>
      <c r="D3640" t="str">
        <f>"STATON                   ASHLEY       D           "</f>
        <v xml:space="preserve">STATON                   ASHLEY       D           </v>
      </c>
      <c r="E3640" t="str">
        <f>"NEW ORLEANS               "</f>
        <v xml:space="preserve">NEW ORLEANS               </v>
      </c>
      <c r="F3640" t="str">
        <f t="shared" si="154"/>
        <v>LA</v>
      </c>
    </row>
    <row r="3641" spans="1:6" x14ac:dyDescent="0.25">
      <c r="A3641" t="str">
        <f>"100226060"</f>
        <v>100226060</v>
      </c>
      <c r="B3641" t="str">
        <f>"1063467165"</f>
        <v>1063467165</v>
      </c>
      <c r="C3641" t="str">
        <f>"2084N0402X"</f>
        <v>2084N0402X</v>
      </c>
      <c r="D3641" t="str">
        <f>"SCHEXNAYDER              LALANIA      K           "</f>
        <v xml:space="preserve">SCHEXNAYDER              LALANIA      K           </v>
      </c>
      <c r="E3641" t="str">
        <f>"BATON ROUGE               "</f>
        <v xml:space="preserve">BATON ROUGE               </v>
      </c>
      <c r="F3641" t="str">
        <f t="shared" si="154"/>
        <v>LA</v>
      </c>
    </row>
    <row r="3642" spans="1:6" x14ac:dyDescent="0.25">
      <c r="A3642" t="str">
        <f>"100229792"</f>
        <v>100229792</v>
      </c>
      <c r="B3642" t="str">
        <f>"1942370978"</f>
        <v>1942370978</v>
      </c>
      <c r="C3642" t="str">
        <f>"2080N0001X"</f>
        <v>2080N0001X</v>
      </c>
      <c r="D3642" t="str">
        <f>"PAYNE                    CARMEN       S           "</f>
        <v xml:space="preserve">PAYNE                    CARMEN       S           </v>
      </c>
      <c r="E3642" t="str">
        <f>"MONROE                    "</f>
        <v xml:space="preserve">MONROE                    </v>
      </c>
      <c r="F3642" t="str">
        <f t="shared" si="154"/>
        <v>LA</v>
      </c>
    </row>
    <row r="3643" spans="1:6" x14ac:dyDescent="0.25">
      <c r="A3643" t="str">
        <f>"100230231"</f>
        <v>100230231</v>
      </c>
      <c r="B3643" t="str">
        <f>"1245471218"</f>
        <v>1245471218</v>
      </c>
      <c r="C3643" t="str">
        <f>"207RC0200X"</f>
        <v>207RC0200X</v>
      </c>
      <c r="D3643" t="str">
        <f>"VONDERHAAR               DEREK        J           "</f>
        <v xml:space="preserve">VONDERHAAR               DEREK        J           </v>
      </c>
      <c r="E3643" t="str">
        <f>"NEW ORLEANS               "</f>
        <v xml:space="preserve">NEW ORLEANS               </v>
      </c>
      <c r="F3643" t="str">
        <f t="shared" si="154"/>
        <v>LA</v>
      </c>
    </row>
    <row r="3644" spans="1:6" x14ac:dyDescent="0.25">
      <c r="A3644" t="str">
        <f>"100230821"</f>
        <v>100230821</v>
      </c>
      <c r="B3644" t="str">
        <f>"1508131830"</f>
        <v>1508131830</v>
      </c>
      <c r="C3644" t="str">
        <f>"2080N0001X"</f>
        <v>2080N0001X</v>
      </c>
      <c r="D3644" t="str">
        <f>"THOMPSON                 DANIELLE     E           "</f>
        <v xml:space="preserve">THOMPSON                 DANIELLE     E           </v>
      </c>
      <c r="E3644" t="str">
        <f>"BATON ROUGE               "</f>
        <v xml:space="preserve">BATON ROUGE               </v>
      </c>
      <c r="F3644" t="str">
        <f t="shared" si="154"/>
        <v>LA</v>
      </c>
    </row>
    <row r="3645" spans="1:6" x14ac:dyDescent="0.25">
      <c r="A3645" t="str">
        <f>"100231958"</f>
        <v>100231958</v>
      </c>
      <c r="B3645" t="str">
        <f>"1841559077"</f>
        <v>1841559077</v>
      </c>
      <c r="C3645" t="str">
        <f>"2084N0400X"</f>
        <v>2084N0400X</v>
      </c>
      <c r="D3645" t="str">
        <f>"KHANDKER                 NAMIR        A           "</f>
        <v xml:space="preserve">KHANDKER                 NAMIR        A           </v>
      </c>
      <c r="E3645" t="str">
        <f>"NEW ORLEANS               "</f>
        <v xml:space="preserve">NEW ORLEANS               </v>
      </c>
      <c r="F3645" t="str">
        <f t="shared" si="154"/>
        <v>LA</v>
      </c>
    </row>
    <row r="3646" spans="1:6" x14ac:dyDescent="0.25">
      <c r="A3646" t="str">
        <f>"100243705"</f>
        <v>100243705</v>
      </c>
      <c r="B3646" t="str">
        <f>"1508124900"</f>
        <v>1508124900</v>
      </c>
      <c r="C3646" t="str">
        <f>"207RP1001X"</f>
        <v>207RP1001X</v>
      </c>
      <c r="D3646" t="str">
        <f>"BRUEDER                  ALEXANDER    P           "</f>
        <v xml:space="preserve">BRUEDER                  ALEXANDER    P           </v>
      </c>
      <c r="E3646" t="str">
        <f>"NEW ORLEANS               "</f>
        <v xml:space="preserve">NEW ORLEANS               </v>
      </c>
      <c r="F3646" t="str">
        <f t="shared" si="154"/>
        <v>LA</v>
      </c>
    </row>
    <row r="3647" spans="1:6" x14ac:dyDescent="0.25">
      <c r="A3647" t="str">
        <f>"100243756"</f>
        <v>100243756</v>
      </c>
      <c r="B3647" t="str">
        <f>"1467871616"</f>
        <v>1467871616</v>
      </c>
      <c r="C3647" t="str">
        <f>"207ZP0213X"</f>
        <v>207ZP0213X</v>
      </c>
      <c r="D3647" t="str">
        <f>"DUREAU                   ZACHARY      J           "</f>
        <v xml:space="preserve">DUREAU                   ZACHARY      J           </v>
      </c>
      <c r="E3647" t="str">
        <f>"NEW ORLEANS               "</f>
        <v xml:space="preserve">NEW ORLEANS               </v>
      </c>
      <c r="F3647" t="str">
        <f t="shared" si="154"/>
        <v>LA</v>
      </c>
    </row>
    <row r="3648" spans="1:6" x14ac:dyDescent="0.25">
      <c r="A3648" t="str">
        <f>"100251115"</f>
        <v>100251115</v>
      </c>
      <c r="B3648" t="str">
        <f>"1144354945"</f>
        <v>1144354945</v>
      </c>
      <c r="C3648" t="str">
        <f>"2080P0206X"</f>
        <v>2080P0206X</v>
      </c>
      <c r="D3648" t="str">
        <f>"GIEFER                   MATTHEW      J           "</f>
        <v xml:space="preserve">GIEFER                   MATTHEW      J           </v>
      </c>
      <c r="E3648" t="str">
        <f>"NEW ORLEANS               "</f>
        <v xml:space="preserve">NEW ORLEANS               </v>
      </c>
      <c r="F3648" t="str">
        <f t="shared" si="154"/>
        <v>LA</v>
      </c>
    </row>
    <row r="3649" spans="1:6" x14ac:dyDescent="0.25">
      <c r="A3649" t="str">
        <f>"100251229"</f>
        <v>100251229</v>
      </c>
      <c r="B3649" t="str">
        <f>"1316309057"</f>
        <v>1316309057</v>
      </c>
      <c r="C3649" t="str">
        <f>"207R00000X"</f>
        <v>207R00000X</v>
      </c>
      <c r="D3649" t="str">
        <f>"ROBBINS                  DANIEL       W           "</f>
        <v xml:space="preserve">ROBBINS                  DANIEL       W           </v>
      </c>
      <c r="E3649" t="str">
        <f>"BOGALUSA                  "</f>
        <v xml:space="preserve">BOGALUSA                  </v>
      </c>
      <c r="F3649" t="str">
        <f t="shared" si="154"/>
        <v>LA</v>
      </c>
    </row>
    <row r="3650" spans="1:6" x14ac:dyDescent="0.25">
      <c r="A3650" t="str">
        <f>"100259109"</f>
        <v>100259109</v>
      </c>
      <c r="B3650" t="str">
        <f>"1073745881"</f>
        <v>1073745881</v>
      </c>
      <c r="C3650" t="str">
        <f>"2086S0129X"</f>
        <v>2086S0129X</v>
      </c>
      <c r="D3650" t="str">
        <f>"WEVER PINZON             JAMES        R           "</f>
        <v xml:space="preserve">WEVER PINZON             JAMES        R           </v>
      </c>
      <c r="E3650" t="str">
        <f t="shared" ref="E3650:E3655" si="157">"NEW ORLEANS               "</f>
        <v xml:space="preserve">NEW ORLEANS               </v>
      </c>
      <c r="F3650" t="str">
        <f t="shared" si="154"/>
        <v>LA</v>
      </c>
    </row>
    <row r="3651" spans="1:6" x14ac:dyDescent="0.25">
      <c r="A3651" t="str">
        <f>"100260246"</f>
        <v>100260246</v>
      </c>
      <c r="B3651" t="str">
        <f>"1619364759"</f>
        <v>1619364759</v>
      </c>
      <c r="C3651" t="str">
        <f>"207RI0200X"</f>
        <v>207RI0200X</v>
      </c>
      <c r="D3651" t="str">
        <f>"THEPPOTE                 AMANDA       S           "</f>
        <v xml:space="preserve">THEPPOTE                 AMANDA       S           </v>
      </c>
      <c r="E3651" t="str">
        <f t="shared" si="157"/>
        <v xml:space="preserve">NEW ORLEANS               </v>
      </c>
      <c r="F3651" t="str">
        <f t="shared" si="154"/>
        <v>LA</v>
      </c>
    </row>
    <row r="3652" spans="1:6" x14ac:dyDescent="0.25">
      <c r="A3652" t="str">
        <f>"100260632"</f>
        <v>100260632</v>
      </c>
      <c r="B3652" t="str">
        <f>"1851657100"</f>
        <v>1851657100</v>
      </c>
      <c r="C3652" t="str">
        <f>"207T00000X"</f>
        <v>207T00000X</v>
      </c>
      <c r="D3652" t="str">
        <f>"DUPEPE                   ESTHER       B           "</f>
        <v xml:space="preserve">DUPEPE                   ESTHER       B           </v>
      </c>
      <c r="E3652" t="str">
        <f t="shared" si="157"/>
        <v xml:space="preserve">NEW ORLEANS               </v>
      </c>
      <c r="F3652" t="str">
        <f t="shared" si="154"/>
        <v>LA</v>
      </c>
    </row>
    <row r="3653" spans="1:6" x14ac:dyDescent="0.25">
      <c r="A3653" t="str">
        <f>"100260640"</f>
        <v>100260640</v>
      </c>
      <c r="B3653" t="str">
        <f>"1619396694"</f>
        <v>1619396694</v>
      </c>
      <c r="C3653" t="str">
        <f>"207RI0200X"</f>
        <v>207RI0200X</v>
      </c>
      <c r="D3653" t="str">
        <f>"COCCO                    ABIGAIL      M           "</f>
        <v xml:space="preserve">COCCO                    ABIGAIL      M           </v>
      </c>
      <c r="E3653" t="str">
        <f t="shared" si="157"/>
        <v xml:space="preserve">NEW ORLEANS               </v>
      </c>
      <c r="F3653" t="str">
        <f t="shared" si="154"/>
        <v>LA</v>
      </c>
    </row>
    <row r="3654" spans="1:6" x14ac:dyDescent="0.25">
      <c r="A3654" t="str">
        <f>"100260679"</f>
        <v>100260679</v>
      </c>
      <c r="B3654" t="str">
        <f>"1235557349"</f>
        <v>1235557349</v>
      </c>
      <c r="C3654" t="str">
        <f>"2080N0001X"</f>
        <v>2080N0001X</v>
      </c>
      <c r="D3654" t="str">
        <f>"GISONDO                  CARLY        M           "</f>
        <v xml:space="preserve">GISONDO                  CARLY        M           </v>
      </c>
      <c r="E3654" t="str">
        <f t="shared" si="157"/>
        <v xml:space="preserve">NEW ORLEANS               </v>
      </c>
      <c r="F3654" t="str">
        <f t="shared" si="154"/>
        <v>LA</v>
      </c>
    </row>
    <row r="3655" spans="1:6" x14ac:dyDescent="0.25">
      <c r="A3655" t="str">
        <f>"100261472"</f>
        <v>100261472</v>
      </c>
      <c r="B3655" t="str">
        <f>"1356734446"</f>
        <v>1356734446</v>
      </c>
      <c r="C3655" t="str">
        <f>"2084N0400X"</f>
        <v>2084N0400X</v>
      </c>
      <c r="D3655" t="str">
        <f>"MOLINERO ROSALES         ISAAC        A           "</f>
        <v xml:space="preserve">MOLINERO ROSALES         ISAAC        A           </v>
      </c>
      <c r="E3655" t="str">
        <f t="shared" si="157"/>
        <v xml:space="preserve">NEW ORLEANS               </v>
      </c>
      <c r="F3655" t="str">
        <f t="shared" si="154"/>
        <v>LA</v>
      </c>
    </row>
    <row r="3656" spans="1:6" x14ac:dyDescent="0.25">
      <c r="A3656" t="str">
        <f>"100270661"</f>
        <v>100270661</v>
      </c>
      <c r="B3656" t="str">
        <f>"1548535883"</f>
        <v>1548535883</v>
      </c>
      <c r="C3656" t="str">
        <f>"207RX0202X"</f>
        <v>207RX0202X</v>
      </c>
      <c r="D3656" t="str">
        <f>"KHOOBEHI                 AURASH                   "</f>
        <v xml:space="preserve">KHOOBEHI                 AURASH                   </v>
      </c>
      <c r="E3656" t="str">
        <f>"SLIDELL                   "</f>
        <v xml:space="preserve">SLIDELL                   </v>
      </c>
      <c r="F3656" t="str">
        <f t="shared" si="154"/>
        <v>LA</v>
      </c>
    </row>
    <row r="3657" spans="1:6" x14ac:dyDescent="0.25">
      <c r="A3657" t="str">
        <f>"100315855"</f>
        <v>100315855</v>
      </c>
      <c r="B3657" t="str">
        <f>"1801181383"</f>
        <v>1801181383</v>
      </c>
      <c r="C3657" t="str">
        <f>"2086S0102X"</f>
        <v>2086S0102X</v>
      </c>
      <c r="D3657" t="str">
        <f>"TALEBINEJAD              SHAHRZAD                 "</f>
        <v xml:space="preserve">TALEBINEJAD              SHAHRZAD                 </v>
      </c>
      <c r="E3657" t="str">
        <f>"BATON ROUGE               "</f>
        <v xml:space="preserve">BATON ROUGE               </v>
      </c>
      <c r="F3657" t="str">
        <f t="shared" si="154"/>
        <v>LA</v>
      </c>
    </row>
    <row r="3658" spans="1:6" x14ac:dyDescent="0.25">
      <c r="A3658" t="str">
        <f>"200000023"</f>
        <v>200000023</v>
      </c>
      <c r="B3658" t="str">
        <f>"1255817086"</f>
        <v>1255817086</v>
      </c>
      <c r="C3658" t="str">
        <f>"208100000X"</f>
        <v>208100000X</v>
      </c>
      <c r="D3658" t="str">
        <f>"COLON                    TAYLOR                   "</f>
        <v xml:space="preserve">COLON                    TAYLOR                   </v>
      </c>
      <c r="E3658" t="str">
        <f>"COVINGTON                 "</f>
        <v xml:space="preserve">COVINGTON                 </v>
      </c>
      <c r="F3658" t="str">
        <f t="shared" si="154"/>
        <v>LA</v>
      </c>
    </row>
    <row r="3659" spans="1:6" x14ac:dyDescent="0.25">
      <c r="A3659" t="str">
        <f>"200000033"</f>
        <v>200000033</v>
      </c>
      <c r="B3659" t="str">
        <f>"1740714302"</f>
        <v>1740714302</v>
      </c>
      <c r="C3659" t="str">
        <f>"208800000X"</f>
        <v>208800000X</v>
      </c>
      <c r="D3659" t="str">
        <f>"POLLOCK                  GRANT                    "</f>
        <v xml:space="preserve">POLLOCK                  GRANT                    </v>
      </c>
      <c r="E3659" t="str">
        <f>"KENNER                    "</f>
        <v xml:space="preserve">KENNER                    </v>
      </c>
      <c r="F3659" t="str">
        <f t="shared" si="154"/>
        <v>LA</v>
      </c>
    </row>
    <row r="3660" spans="1:6" x14ac:dyDescent="0.25">
      <c r="A3660" t="str">
        <f>"200000088"</f>
        <v>200000088</v>
      </c>
      <c r="B3660" t="str">
        <f>"1356601645"</f>
        <v>1356601645</v>
      </c>
      <c r="C3660" t="str">
        <f>"2086X0206X"</f>
        <v>2086X0206X</v>
      </c>
      <c r="D3660" t="str">
        <f>"POINTER                  DAVID                    "</f>
        <v xml:space="preserve">POINTER                  DAVID                    </v>
      </c>
      <c r="E3660" t="str">
        <f>"NEW ORLEANS               "</f>
        <v xml:space="preserve">NEW ORLEANS               </v>
      </c>
      <c r="F3660" t="str">
        <f t="shared" si="154"/>
        <v>LA</v>
      </c>
    </row>
    <row r="3661" spans="1:6" x14ac:dyDescent="0.25">
      <c r="A3661" t="str">
        <f>"200000095"</f>
        <v>200000095</v>
      </c>
      <c r="B3661" t="str">
        <f>"1902268931"</f>
        <v>1902268931</v>
      </c>
      <c r="C3661" t="str">
        <f>"208000000X"</f>
        <v>208000000X</v>
      </c>
      <c r="D3661" t="str">
        <f>"RODRIGUEZ                GAGE                     "</f>
        <v xml:space="preserve">RODRIGUEZ                GAGE                     </v>
      </c>
      <c r="E3661" t="str">
        <f>"NEW ORLEANS               "</f>
        <v xml:space="preserve">NEW ORLEANS               </v>
      </c>
      <c r="F3661" t="str">
        <f t="shared" si="154"/>
        <v>LA</v>
      </c>
    </row>
    <row r="3662" spans="1:6" x14ac:dyDescent="0.25">
      <c r="A3662" t="str">
        <f>"200000098"</f>
        <v>200000098</v>
      </c>
      <c r="B3662" t="str">
        <f>"1487033403"</f>
        <v>1487033403</v>
      </c>
      <c r="C3662" t="str">
        <f>"207R00000X"</f>
        <v>207R00000X</v>
      </c>
      <c r="D3662" t="str">
        <f>"PIPPIN                   ZACHARY                  "</f>
        <v xml:space="preserve">PIPPIN                   ZACHARY                  </v>
      </c>
      <c r="E3662" t="str">
        <f>"SLIDELL                   "</f>
        <v xml:space="preserve">SLIDELL                   </v>
      </c>
      <c r="F3662" t="str">
        <f t="shared" si="154"/>
        <v>LA</v>
      </c>
    </row>
    <row r="3663" spans="1:6" x14ac:dyDescent="0.25">
      <c r="A3663" t="str">
        <f>"200000115"</f>
        <v>200000115</v>
      </c>
      <c r="B3663" t="str">
        <f>"1376770347"</f>
        <v>1376770347</v>
      </c>
      <c r="C3663" t="str">
        <f>"207R00000X"</f>
        <v>207R00000X</v>
      </c>
      <c r="D3663" t="str">
        <f>"KHAN                     RUBINA                   "</f>
        <v xml:space="preserve">KHAN                     RUBINA                   </v>
      </c>
      <c r="E3663" t="str">
        <f>"NEW ORLEANS               "</f>
        <v xml:space="preserve">NEW ORLEANS               </v>
      </c>
      <c r="F3663" t="str">
        <f t="shared" si="154"/>
        <v>LA</v>
      </c>
    </row>
    <row r="3664" spans="1:6" x14ac:dyDescent="0.25">
      <c r="A3664" t="str">
        <f>"200000145"</f>
        <v>200000145</v>
      </c>
      <c r="B3664" t="str">
        <f>"1306036942"</f>
        <v>1306036942</v>
      </c>
      <c r="C3664" t="str">
        <f>"208VP0014X"</f>
        <v>208VP0014X</v>
      </c>
      <c r="D3664" t="str">
        <f>"THOMPSON                 JONATHAN     D           "</f>
        <v xml:space="preserve">THOMPSON                 JONATHAN     D           </v>
      </c>
      <c r="E3664" t="str">
        <f>"HAMMOND                   "</f>
        <v xml:space="preserve">HAMMOND                   </v>
      </c>
      <c r="F3664" t="str">
        <f t="shared" si="154"/>
        <v>LA</v>
      </c>
    </row>
    <row r="3665" spans="1:6" x14ac:dyDescent="0.25">
      <c r="A3665" t="str">
        <f>"200000155"</f>
        <v>200000155</v>
      </c>
      <c r="B3665" t="str">
        <f>"1467181594"</f>
        <v>1467181594</v>
      </c>
      <c r="C3665" t="str">
        <f>"363L00000X"</f>
        <v>363L00000X</v>
      </c>
      <c r="D3665" t="str">
        <f>"CARTER                   KATY         G           "</f>
        <v xml:space="preserve">CARTER                   KATY         G           </v>
      </c>
      <c r="E3665" t="str">
        <f>"NEW ORLEANS               "</f>
        <v xml:space="preserve">NEW ORLEANS               </v>
      </c>
      <c r="F3665" t="str">
        <f t="shared" si="154"/>
        <v>LA</v>
      </c>
    </row>
    <row r="3666" spans="1:6" x14ac:dyDescent="0.25">
      <c r="A3666" t="str">
        <f>"200000165"</f>
        <v>200000165</v>
      </c>
      <c r="B3666" t="str">
        <f>"1427599729"</f>
        <v>1427599729</v>
      </c>
      <c r="C3666" t="str">
        <f>"2084N0402X"</f>
        <v>2084N0402X</v>
      </c>
      <c r="D3666" t="str">
        <f>"NGUYEN                   MARY                     "</f>
        <v xml:space="preserve">NGUYEN                   MARY                     </v>
      </c>
      <c r="E3666" t="str">
        <f>"GRETNA                    "</f>
        <v xml:space="preserve">GRETNA                    </v>
      </c>
      <c r="F3666" t="str">
        <f t="shared" si="154"/>
        <v>LA</v>
      </c>
    </row>
    <row r="3667" spans="1:6" x14ac:dyDescent="0.25">
      <c r="A3667" t="str">
        <f>"200000207"</f>
        <v>200000207</v>
      </c>
      <c r="B3667" t="str">
        <f>"1336526417"</f>
        <v>1336526417</v>
      </c>
      <c r="C3667" t="str">
        <f>"207VX0201X"</f>
        <v>207VX0201X</v>
      </c>
      <c r="D3667" t="str">
        <f>"BARRINGTON               DAVID                    "</f>
        <v xml:space="preserve">BARRINGTON               DAVID                    </v>
      </c>
      <c r="E3667" t="str">
        <f>"NEW ORLEANS               "</f>
        <v xml:space="preserve">NEW ORLEANS               </v>
      </c>
      <c r="F3667" t="str">
        <f t="shared" si="154"/>
        <v>LA</v>
      </c>
    </row>
    <row r="3668" spans="1:6" x14ac:dyDescent="0.25">
      <c r="A3668" t="str">
        <f>"200000237"</f>
        <v>200000237</v>
      </c>
      <c r="B3668" t="str">
        <f>"1487091112"</f>
        <v>1487091112</v>
      </c>
      <c r="C3668" t="str">
        <f>"208600000X"</f>
        <v>208600000X</v>
      </c>
      <c r="D3668" t="str">
        <f>"NEWTON                   ANDREW                   "</f>
        <v xml:space="preserve">NEWTON                   ANDREW                   </v>
      </c>
      <c r="E3668" t="str">
        <f>"NEW ORLEANS               "</f>
        <v xml:space="preserve">NEW ORLEANS               </v>
      </c>
      <c r="F3668" t="str">
        <f t="shared" si="154"/>
        <v>LA</v>
      </c>
    </row>
    <row r="3669" spans="1:6" x14ac:dyDescent="0.25">
      <c r="A3669" t="str">
        <f>"200000292"</f>
        <v>200000292</v>
      </c>
      <c r="B3669" t="str">
        <f>"1568190783"</f>
        <v>1568190783</v>
      </c>
      <c r="C3669" t="str">
        <f>"363L00000X"</f>
        <v>363L00000X</v>
      </c>
      <c r="D3669" t="str">
        <f>"FRANCKIEWICZ             CARLYN       H           "</f>
        <v xml:space="preserve">FRANCKIEWICZ             CARLYN       H           </v>
      </c>
      <c r="E3669" t="str">
        <f>"NEW ORLEANS               "</f>
        <v xml:space="preserve">NEW ORLEANS               </v>
      </c>
      <c r="F3669" t="str">
        <f t="shared" si="154"/>
        <v>LA</v>
      </c>
    </row>
    <row r="3670" spans="1:6" x14ac:dyDescent="0.25">
      <c r="A3670" t="str">
        <f>"200000294"</f>
        <v>200000294</v>
      </c>
      <c r="B3670" t="str">
        <f>"1992159743"</f>
        <v>1992159743</v>
      </c>
      <c r="C3670" t="str">
        <f>"207LP2900X"</f>
        <v>207LP2900X</v>
      </c>
      <c r="D3670" t="str">
        <f>"KUONI                    SHAUN        M           "</f>
        <v xml:space="preserve">KUONI                    SHAUN        M           </v>
      </c>
      <c r="E3670" t="str">
        <f>"HAMMOND                   "</f>
        <v xml:space="preserve">HAMMOND                   </v>
      </c>
      <c r="F3670" t="str">
        <f t="shared" si="154"/>
        <v>LA</v>
      </c>
    </row>
    <row r="3671" spans="1:6" x14ac:dyDescent="0.25">
      <c r="A3671" t="str">
        <f>"200000390"</f>
        <v>200000390</v>
      </c>
      <c r="B3671" t="str">
        <f>"1033615398"</f>
        <v>1033615398</v>
      </c>
      <c r="C3671" t="str">
        <f>"2084N0400X"</f>
        <v>2084N0400X</v>
      </c>
      <c r="D3671" t="str">
        <f>"PEPPER                   MICHAEL                  "</f>
        <v xml:space="preserve">PEPPER                   MICHAEL                  </v>
      </c>
      <c r="E3671" t="str">
        <f>"NEW ORLEANS               "</f>
        <v xml:space="preserve">NEW ORLEANS               </v>
      </c>
      <c r="F3671" t="str">
        <f t="shared" si="154"/>
        <v>LA</v>
      </c>
    </row>
    <row r="3672" spans="1:6" x14ac:dyDescent="0.25">
      <c r="A3672" t="str">
        <f>"200000412"</f>
        <v>200000412</v>
      </c>
      <c r="B3672" t="str">
        <f>"1528422987"</f>
        <v>1528422987</v>
      </c>
      <c r="C3672" t="str">
        <f>"207RH0003X"</f>
        <v>207RH0003X</v>
      </c>
      <c r="D3672" t="str">
        <f>"TAYLOR                   CAITLIN                  "</f>
        <v xml:space="preserve">TAYLOR                   CAITLIN                  </v>
      </c>
      <c r="E3672" t="str">
        <f>"NEW ORLEANS               "</f>
        <v xml:space="preserve">NEW ORLEANS               </v>
      </c>
      <c r="F3672" t="str">
        <f t="shared" si="154"/>
        <v>LA</v>
      </c>
    </row>
    <row r="3673" spans="1:6" x14ac:dyDescent="0.25">
      <c r="A3673" t="str">
        <f>"200000437"</f>
        <v>200000437</v>
      </c>
      <c r="B3673" t="str">
        <f>"1295091361"</f>
        <v>1295091361</v>
      </c>
      <c r="C3673" t="str">
        <f>"207ZP0102X"</f>
        <v>207ZP0102X</v>
      </c>
      <c r="D3673" t="str">
        <f>"BIVIN                    WILLIAM                  "</f>
        <v xml:space="preserve">BIVIN                    WILLIAM                  </v>
      </c>
      <c r="E3673" t="str">
        <f>"KENNER                    "</f>
        <v xml:space="preserve">KENNER                    </v>
      </c>
      <c r="F3673" t="str">
        <f t="shared" si="154"/>
        <v>LA</v>
      </c>
    </row>
    <row r="3674" spans="1:6" x14ac:dyDescent="0.25">
      <c r="A3674" t="str">
        <f>"200000453"</f>
        <v>200000453</v>
      </c>
      <c r="B3674" t="str">
        <f>"1548432354"</f>
        <v>1548432354</v>
      </c>
      <c r="C3674" t="str">
        <f>"208000000X"</f>
        <v>208000000X</v>
      </c>
      <c r="D3674" t="str">
        <f>"TENDER                   DEBORAH                  "</f>
        <v xml:space="preserve">TENDER                   DEBORAH                  </v>
      </c>
      <c r="E3674" t="str">
        <f>"SLIDELL                   "</f>
        <v xml:space="preserve">SLIDELL                   </v>
      </c>
      <c r="F3674" t="str">
        <f t="shared" si="154"/>
        <v>LA</v>
      </c>
    </row>
    <row r="3675" spans="1:6" x14ac:dyDescent="0.25">
      <c r="A3675" t="str">
        <f>"200000482"</f>
        <v>200000482</v>
      </c>
      <c r="B3675" t="str">
        <f>"1417678053"</f>
        <v>1417678053</v>
      </c>
      <c r="C3675" t="str">
        <f>"363L00000X"</f>
        <v>363L00000X</v>
      </c>
      <c r="D3675" t="str">
        <f>"POWER                    MADELINE     A           "</f>
        <v xml:space="preserve">POWER                    MADELINE     A           </v>
      </c>
      <c r="E3675" t="str">
        <f>"SLIDELL                   "</f>
        <v xml:space="preserve">SLIDELL                   </v>
      </c>
      <c r="F3675" t="str">
        <f t="shared" ref="F3675:F3738" si="158">"LA"</f>
        <v>LA</v>
      </c>
    </row>
    <row r="3676" spans="1:6" x14ac:dyDescent="0.25">
      <c r="A3676" t="str">
        <f>"200000516"</f>
        <v>200000516</v>
      </c>
      <c r="B3676" t="str">
        <f>"1578822979"</f>
        <v>1578822979</v>
      </c>
      <c r="C3676" t="str">
        <f>"2085R0202X"</f>
        <v>2085R0202X</v>
      </c>
      <c r="D3676" t="str">
        <f>"DUREL                    RYAN                     "</f>
        <v xml:space="preserve">DUREL                    RYAN                     </v>
      </c>
      <c r="E3676" t="str">
        <f>"COVINGTON                 "</f>
        <v xml:space="preserve">COVINGTON                 </v>
      </c>
      <c r="F3676" t="str">
        <f t="shared" si="158"/>
        <v>LA</v>
      </c>
    </row>
    <row r="3677" spans="1:6" x14ac:dyDescent="0.25">
      <c r="A3677" t="str">
        <f>"200000532"</f>
        <v>200000532</v>
      </c>
      <c r="B3677" t="str">
        <f>"1821519976"</f>
        <v>1821519976</v>
      </c>
      <c r="C3677" t="str">
        <f>"207P00000X"</f>
        <v>207P00000X</v>
      </c>
      <c r="D3677" t="str">
        <f>"BAKER                    JACOB                    "</f>
        <v xml:space="preserve">BAKER                    JACOB                    </v>
      </c>
      <c r="E3677" t="str">
        <f>"HAMMOND                   "</f>
        <v xml:space="preserve">HAMMOND                   </v>
      </c>
      <c r="F3677" t="str">
        <f t="shared" si="158"/>
        <v>LA</v>
      </c>
    </row>
    <row r="3678" spans="1:6" x14ac:dyDescent="0.25">
      <c r="A3678" t="str">
        <f>"200000547"</f>
        <v>200000547</v>
      </c>
      <c r="B3678" t="str">
        <f>"1538247879"</f>
        <v>1538247879</v>
      </c>
      <c r="C3678" t="str">
        <f>"207R00000X"</f>
        <v>207R00000X</v>
      </c>
      <c r="D3678" t="str">
        <f>"O'NEAL                   KENNETH                  "</f>
        <v xml:space="preserve">O'NEAL                   KENNETH                  </v>
      </c>
      <c r="E3678" t="str">
        <f>"TERRYTOWN                 "</f>
        <v xml:space="preserve">TERRYTOWN                 </v>
      </c>
      <c r="F3678" t="str">
        <f t="shared" si="158"/>
        <v>LA</v>
      </c>
    </row>
    <row r="3679" spans="1:6" x14ac:dyDescent="0.25">
      <c r="A3679" t="str">
        <f>"200000569"</f>
        <v>200000569</v>
      </c>
      <c r="B3679" t="str">
        <f>"1679007736"</f>
        <v>1679007736</v>
      </c>
      <c r="C3679" t="str">
        <f>"207R00000X"</f>
        <v>207R00000X</v>
      </c>
      <c r="D3679" t="str">
        <f>"ADETOBA                  OLADUNNI                 "</f>
        <v xml:space="preserve">ADETOBA                  OLADUNNI                 </v>
      </c>
      <c r="E3679" t="str">
        <f>"COVINGTON                 "</f>
        <v xml:space="preserve">COVINGTON                 </v>
      </c>
      <c r="F3679" t="str">
        <f t="shared" si="158"/>
        <v>LA</v>
      </c>
    </row>
    <row r="3680" spans="1:6" x14ac:dyDescent="0.25">
      <c r="A3680" t="str">
        <f>"200000594"</f>
        <v>200000594</v>
      </c>
      <c r="B3680" t="str">
        <f>"1053726273"</f>
        <v>1053726273</v>
      </c>
      <c r="C3680" t="str">
        <f>"207RC0000X"</f>
        <v>207RC0000X</v>
      </c>
      <c r="D3680" t="str">
        <f>"ANAND                    SENTHIL                  "</f>
        <v xml:space="preserve">ANAND                    SENTHIL                  </v>
      </c>
      <c r="E3680" t="str">
        <f>"NEW ORLEANS               "</f>
        <v xml:space="preserve">NEW ORLEANS               </v>
      </c>
      <c r="F3680" t="str">
        <f t="shared" si="158"/>
        <v>LA</v>
      </c>
    </row>
    <row r="3681" spans="1:6" x14ac:dyDescent="0.25">
      <c r="A3681" t="str">
        <f>"200000742"</f>
        <v>200000742</v>
      </c>
      <c r="B3681" t="str">
        <f>"1114953098"</f>
        <v>1114953098</v>
      </c>
      <c r="C3681" t="str">
        <f>"367500000X"</f>
        <v>367500000X</v>
      </c>
      <c r="D3681" t="str">
        <f>"AU                       HENRY        Y           "</f>
        <v xml:space="preserve">AU                       HENRY        Y           </v>
      </c>
      <c r="E3681" t="str">
        <f>"COVINGTON                 "</f>
        <v xml:space="preserve">COVINGTON                 </v>
      </c>
      <c r="F3681" t="str">
        <f t="shared" si="158"/>
        <v>LA</v>
      </c>
    </row>
    <row r="3682" spans="1:6" x14ac:dyDescent="0.25">
      <c r="A3682" t="str">
        <f>"200000761"</f>
        <v>200000761</v>
      </c>
      <c r="B3682" t="str">
        <f>"1962120220"</f>
        <v>1962120220</v>
      </c>
      <c r="C3682" t="str">
        <f>"363L00000X"</f>
        <v>363L00000X</v>
      </c>
      <c r="D3682" t="str">
        <f>"POPLUS                   DEVIN        W           "</f>
        <v xml:space="preserve">POPLUS                   DEVIN        W           </v>
      </c>
      <c r="E3682" t="str">
        <f>"LA PLACE                  "</f>
        <v xml:space="preserve">LA PLACE                  </v>
      </c>
      <c r="F3682" t="str">
        <f t="shared" si="158"/>
        <v>LA</v>
      </c>
    </row>
    <row r="3683" spans="1:6" x14ac:dyDescent="0.25">
      <c r="A3683" t="str">
        <f>"200000778"</f>
        <v>200000778</v>
      </c>
      <c r="B3683" t="str">
        <f>"1215651476"</f>
        <v>1215651476</v>
      </c>
      <c r="C3683" t="str">
        <f>"363L00000X"</f>
        <v>363L00000X</v>
      </c>
      <c r="D3683" t="str">
        <f>"FAZZIO                   ANITA        G           "</f>
        <v xml:space="preserve">FAZZIO                   ANITA        G           </v>
      </c>
      <c r="E3683" t="str">
        <f>"RACELAND                  "</f>
        <v xml:space="preserve">RACELAND                  </v>
      </c>
      <c r="F3683" t="str">
        <f t="shared" si="158"/>
        <v>LA</v>
      </c>
    </row>
    <row r="3684" spans="1:6" x14ac:dyDescent="0.25">
      <c r="A3684" t="str">
        <f>"200000787"</f>
        <v>200000787</v>
      </c>
      <c r="B3684" t="str">
        <f>"1093100612"</f>
        <v>1093100612</v>
      </c>
      <c r="C3684" t="str">
        <f>"208000000X"</f>
        <v>208000000X</v>
      </c>
      <c r="D3684" t="str">
        <f>"SCOTT                    SARAH                    "</f>
        <v xml:space="preserve">SCOTT                    SARAH                    </v>
      </c>
      <c r="E3684" t="str">
        <f>"NEW ORLEANS               "</f>
        <v xml:space="preserve">NEW ORLEANS               </v>
      </c>
      <c r="F3684" t="str">
        <f t="shared" si="158"/>
        <v>LA</v>
      </c>
    </row>
    <row r="3685" spans="1:6" x14ac:dyDescent="0.25">
      <c r="A3685" t="str">
        <f>"200000791"</f>
        <v>200000791</v>
      </c>
      <c r="B3685" t="str">
        <f>"1922669738"</f>
        <v>1922669738</v>
      </c>
      <c r="C3685" t="str">
        <f>"207P00000X"</f>
        <v>207P00000X</v>
      </c>
      <c r="D3685" t="str">
        <f>"TURKIEWICZ               ANIKA                    "</f>
        <v xml:space="preserve">TURKIEWICZ               ANIKA                    </v>
      </c>
      <c r="E3685" t="str">
        <f>"KENNER                    "</f>
        <v xml:space="preserve">KENNER                    </v>
      </c>
      <c r="F3685" t="str">
        <f t="shared" si="158"/>
        <v>LA</v>
      </c>
    </row>
    <row r="3686" spans="1:6" x14ac:dyDescent="0.25">
      <c r="A3686" t="str">
        <f>"200000821"</f>
        <v>200000821</v>
      </c>
      <c r="B3686" t="str">
        <f>"1073823456"</f>
        <v>1073823456</v>
      </c>
      <c r="C3686" t="str">
        <f>"363L00000X"</f>
        <v>363L00000X</v>
      </c>
      <c r="D3686" t="str">
        <f>"GUIDRY                   STEPHANIE    G           "</f>
        <v xml:space="preserve">GUIDRY                   STEPHANIE    G           </v>
      </c>
      <c r="E3686" t="str">
        <f>"HAMMOND                   "</f>
        <v xml:space="preserve">HAMMOND                   </v>
      </c>
      <c r="F3686" t="str">
        <f t="shared" si="158"/>
        <v>LA</v>
      </c>
    </row>
    <row r="3687" spans="1:6" x14ac:dyDescent="0.25">
      <c r="A3687" t="str">
        <f>"200000832"</f>
        <v>200000832</v>
      </c>
      <c r="B3687" t="str">
        <f>"1124753561"</f>
        <v>1124753561</v>
      </c>
      <c r="C3687" t="str">
        <f>"363L00000X"</f>
        <v>363L00000X</v>
      </c>
      <c r="D3687" t="str">
        <f>"WOODERSON                ALYSON       R           "</f>
        <v xml:space="preserve">WOODERSON                ALYSON       R           </v>
      </c>
      <c r="E3687" t="str">
        <f>"NEW ORLEANS               "</f>
        <v xml:space="preserve">NEW ORLEANS               </v>
      </c>
      <c r="F3687" t="str">
        <f t="shared" si="158"/>
        <v>LA</v>
      </c>
    </row>
    <row r="3688" spans="1:6" x14ac:dyDescent="0.25">
      <c r="A3688" t="str">
        <f>"200000845"</f>
        <v>200000845</v>
      </c>
      <c r="B3688" t="str">
        <f>"1003202946"</f>
        <v>1003202946</v>
      </c>
      <c r="C3688" t="str">
        <f>"207R00000X"</f>
        <v>207R00000X</v>
      </c>
      <c r="D3688" t="str">
        <f>"DODDAMANI                RAJIV                    "</f>
        <v xml:space="preserve">DODDAMANI                RAJIV                    </v>
      </c>
      <c r="E3688" t="str">
        <f>"SLIDELL                   "</f>
        <v xml:space="preserve">SLIDELL                   </v>
      </c>
      <c r="F3688" t="str">
        <f t="shared" si="158"/>
        <v>LA</v>
      </c>
    </row>
    <row r="3689" spans="1:6" x14ac:dyDescent="0.25">
      <c r="A3689" t="str">
        <f>"200000913"</f>
        <v>200000913</v>
      </c>
      <c r="B3689" t="str">
        <f>"1174936884"</f>
        <v>1174936884</v>
      </c>
      <c r="C3689" t="str">
        <f>"2080P0202X"</f>
        <v>2080P0202X</v>
      </c>
      <c r="D3689" t="str">
        <f>"MORALES                  RAYMOND                  "</f>
        <v xml:space="preserve">MORALES                  RAYMOND                  </v>
      </c>
      <c r="E3689" t="str">
        <f>"NEW ORLEANS               "</f>
        <v xml:space="preserve">NEW ORLEANS               </v>
      </c>
      <c r="F3689" t="str">
        <f t="shared" si="158"/>
        <v>LA</v>
      </c>
    </row>
    <row r="3690" spans="1:6" x14ac:dyDescent="0.25">
      <c r="A3690" t="str">
        <f>"200000944"</f>
        <v>200000944</v>
      </c>
      <c r="B3690" t="str">
        <f>"1609307578"</f>
        <v>1609307578</v>
      </c>
      <c r="C3690" t="str">
        <f>"207P00000X"</f>
        <v>207P00000X</v>
      </c>
      <c r="D3690" t="str">
        <f>"BLISS                    KODY                     "</f>
        <v xml:space="preserve">BLISS                    KODY                     </v>
      </c>
      <c r="E3690" t="str">
        <f>"BATON ROUGE               "</f>
        <v xml:space="preserve">BATON ROUGE               </v>
      </c>
      <c r="F3690" t="str">
        <f t="shared" si="158"/>
        <v>LA</v>
      </c>
    </row>
    <row r="3691" spans="1:6" x14ac:dyDescent="0.25">
      <c r="A3691" t="str">
        <f>"200000948"</f>
        <v>200000948</v>
      </c>
      <c r="B3691" t="str">
        <f>"1275503229"</f>
        <v>1275503229</v>
      </c>
      <c r="C3691" t="str">
        <f>"207V00000X"</f>
        <v>207V00000X</v>
      </c>
      <c r="D3691" t="str">
        <f>"HOTA                     LEKHA                    "</f>
        <v xml:space="preserve">HOTA                     LEKHA                    </v>
      </c>
      <c r="E3691" t="str">
        <f>"NEW ORLEANS               "</f>
        <v xml:space="preserve">NEW ORLEANS               </v>
      </c>
      <c r="F3691" t="str">
        <f t="shared" si="158"/>
        <v>LA</v>
      </c>
    </row>
    <row r="3692" spans="1:6" x14ac:dyDescent="0.25">
      <c r="A3692" t="str">
        <f>"200001028"</f>
        <v>200001028</v>
      </c>
      <c r="B3692" t="str">
        <f>"1740556760"</f>
        <v>1740556760</v>
      </c>
      <c r="C3692" t="str">
        <f>"363A00000X"</f>
        <v>363A00000X</v>
      </c>
      <c r="D3692" t="str">
        <f>"COSTANZA                 KATE         L           "</f>
        <v xml:space="preserve">COSTANZA                 KATE         L           </v>
      </c>
      <c r="E3692" t="str">
        <f>"SLIDELL                   "</f>
        <v xml:space="preserve">SLIDELL                   </v>
      </c>
      <c r="F3692" t="str">
        <f t="shared" si="158"/>
        <v>LA</v>
      </c>
    </row>
    <row r="3693" spans="1:6" x14ac:dyDescent="0.25">
      <c r="A3693" t="str">
        <f>"200001047"</f>
        <v>200001047</v>
      </c>
      <c r="B3693" t="str">
        <f>"1821522558"</f>
        <v>1821522558</v>
      </c>
      <c r="C3693" t="str">
        <f>"2084P0800X"</f>
        <v>2084P0800X</v>
      </c>
      <c r="D3693" t="str">
        <f>"ALFRED                   CHRISTOPHER              "</f>
        <v xml:space="preserve">ALFRED                   CHRISTOPHER              </v>
      </c>
      <c r="E3693" t="str">
        <f>"SLIDELL                   "</f>
        <v xml:space="preserve">SLIDELL                   </v>
      </c>
      <c r="F3693" t="str">
        <f t="shared" si="158"/>
        <v>LA</v>
      </c>
    </row>
    <row r="3694" spans="1:6" x14ac:dyDescent="0.25">
      <c r="A3694" t="str">
        <f>"200001053"</f>
        <v>200001053</v>
      </c>
      <c r="B3694" t="str">
        <f>"1720705478"</f>
        <v>1720705478</v>
      </c>
      <c r="C3694" t="str">
        <f>"363L00000X"</f>
        <v>363L00000X</v>
      </c>
      <c r="D3694" t="str">
        <f>"KERLEC                   KAYLA        M           "</f>
        <v xml:space="preserve">KERLEC                   KAYLA        M           </v>
      </c>
      <c r="E3694" t="str">
        <f>"NEW ORLEANS               "</f>
        <v xml:space="preserve">NEW ORLEANS               </v>
      </c>
      <c r="F3694" t="str">
        <f t="shared" si="158"/>
        <v>LA</v>
      </c>
    </row>
    <row r="3695" spans="1:6" x14ac:dyDescent="0.25">
      <c r="A3695" t="str">
        <f>"200001062"</f>
        <v>200001062</v>
      </c>
      <c r="B3695" t="str">
        <f>"1124414578"</f>
        <v>1124414578</v>
      </c>
      <c r="C3695" t="str">
        <f>"208000000X"</f>
        <v>208000000X</v>
      </c>
      <c r="D3695" t="str">
        <f>"NUSS                     LEAH         S           "</f>
        <v xml:space="preserve">NUSS                     LEAH         S           </v>
      </c>
      <c r="E3695" t="str">
        <f>"NEW ORLEANS               "</f>
        <v xml:space="preserve">NEW ORLEANS               </v>
      </c>
      <c r="F3695" t="str">
        <f t="shared" si="158"/>
        <v>LA</v>
      </c>
    </row>
    <row r="3696" spans="1:6" x14ac:dyDescent="0.25">
      <c r="A3696" t="str">
        <f>"200001082"</f>
        <v>200001082</v>
      </c>
      <c r="B3696" t="str">
        <f>"1215680038"</f>
        <v>1215680038</v>
      </c>
      <c r="C3696" t="str">
        <f>"363L00000X"</f>
        <v>363L00000X</v>
      </c>
      <c r="D3696" t="str">
        <f>"GILLILAND                ASHLEY                   "</f>
        <v xml:space="preserve">GILLILAND                ASHLEY                   </v>
      </c>
      <c r="E3696" t="str">
        <f>"HAMMOND                   "</f>
        <v xml:space="preserve">HAMMOND                   </v>
      </c>
      <c r="F3696" t="str">
        <f t="shared" si="158"/>
        <v>LA</v>
      </c>
    </row>
    <row r="3697" spans="1:6" x14ac:dyDescent="0.25">
      <c r="A3697" t="str">
        <f>"200001110"</f>
        <v>200001110</v>
      </c>
      <c r="B3697" t="str">
        <f>"1386379527"</f>
        <v>1386379527</v>
      </c>
      <c r="C3697" t="str">
        <f>"363L00000X"</f>
        <v>363L00000X</v>
      </c>
      <c r="D3697" t="str">
        <f>"CAPONEGRO                LAUREN       M           "</f>
        <v xml:space="preserve">CAPONEGRO                LAUREN       M           </v>
      </c>
      <c r="E3697" t="str">
        <f>"NEW ORLEANS               "</f>
        <v xml:space="preserve">NEW ORLEANS               </v>
      </c>
      <c r="F3697" t="str">
        <f t="shared" si="158"/>
        <v>LA</v>
      </c>
    </row>
    <row r="3698" spans="1:6" x14ac:dyDescent="0.25">
      <c r="A3698" t="str">
        <f>"200001276"</f>
        <v>200001276</v>
      </c>
      <c r="B3698" t="str">
        <f>"1093420044"</f>
        <v>1093420044</v>
      </c>
      <c r="C3698" t="str">
        <f>"363L00000X"</f>
        <v>363L00000X</v>
      </c>
      <c r="D3698" t="str">
        <f>"O'FLYNN                  ASHLEY       M           "</f>
        <v xml:space="preserve">O'FLYNN                  ASHLEY       M           </v>
      </c>
      <c r="E3698" t="str">
        <f>"NEW ORLEANS               "</f>
        <v xml:space="preserve">NEW ORLEANS               </v>
      </c>
      <c r="F3698" t="str">
        <f t="shared" si="158"/>
        <v>LA</v>
      </c>
    </row>
    <row r="3699" spans="1:6" x14ac:dyDescent="0.25">
      <c r="A3699" t="str">
        <f>"200001311"</f>
        <v>200001311</v>
      </c>
      <c r="B3699" t="str">
        <f>"1184363582"</f>
        <v>1184363582</v>
      </c>
      <c r="C3699" t="str">
        <f>"363L00000X"</f>
        <v>363L00000X</v>
      </c>
      <c r="D3699" t="str">
        <f>"RAY                      LINDSEY      N           "</f>
        <v xml:space="preserve">RAY                      LINDSEY      N           </v>
      </c>
      <c r="E3699" t="str">
        <f>"KENNER                    "</f>
        <v xml:space="preserve">KENNER                    </v>
      </c>
      <c r="F3699" t="str">
        <f t="shared" si="158"/>
        <v>LA</v>
      </c>
    </row>
    <row r="3700" spans="1:6" x14ac:dyDescent="0.25">
      <c r="A3700" t="str">
        <f>"200001317"</f>
        <v>200001317</v>
      </c>
      <c r="B3700" t="str">
        <f>"1114213139"</f>
        <v>1114213139</v>
      </c>
      <c r="C3700" t="str">
        <f>"367500000X"</f>
        <v>367500000X</v>
      </c>
      <c r="D3700" t="str">
        <f>"MURRAY                   HEIDI        B           "</f>
        <v xml:space="preserve">MURRAY                   HEIDI        B           </v>
      </c>
      <c r="E3700" t="str">
        <f>"LULING                    "</f>
        <v xml:space="preserve">LULING                    </v>
      </c>
      <c r="F3700" t="str">
        <f t="shared" si="158"/>
        <v>LA</v>
      </c>
    </row>
    <row r="3701" spans="1:6" x14ac:dyDescent="0.25">
      <c r="A3701" t="str">
        <f>"200001374"</f>
        <v>200001374</v>
      </c>
      <c r="B3701" t="str">
        <f>"1285889675"</f>
        <v>1285889675</v>
      </c>
      <c r="C3701" t="str">
        <f>"207RH0003X"</f>
        <v>207RH0003X</v>
      </c>
      <c r="D3701" t="str">
        <f>"AOUN                     NELLY                    "</f>
        <v xml:space="preserve">AOUN                     NELLY                    </v>
      </c>
      <c r="E3701" t="str">
        <f>"COVINGTON                 "</f>
        <v xml:space="preserve">COVINGTON                 </v>
      </c>
      <c r="F3701" t="str">
        <f t="shared" si="158"/>
        <v>LA</v>
      </c>
    </row>
    <row r="3702" spans="1:6" x14ac:dyDescent="0.25">
      <c r="A3702" t="str">
        <f>"200001391"</f>
        <v>200001391</v>
      </c>
      <c r="B3702" t="str">
        <f>"1114634474"</f>
        <v>1114634474</v>
      </c>
      <c r="C3702" t="str">
        <f>"363L00000X"</f>
        <v>363L00000X</v>
      </c>
      <c r="D3702" t="str">
        <f>"BOUDET                   CHRISTINE    M           "</f>
        <v xml:space="preserve">BOUDET                   CHRISTINE    M           </v>
      </c>
      <c r="E3702" t="str">
        <f>"NEW ORLEANS               "</f>
        <v xml:space="preserve">NEW ORLEANS               </v>
      </c>
      <c r="F3702" t="str">
        <f t="shared" si="158"/>
        <v>LA</v>
      </c>
    </row>
    <row r="3703" spans="1:6" x14ac:dyDescent="0.25">
      <c r="A3703" t="str">
        <f>"200001406"</f>
        <v>200001406</v>
      </c>
      <c r="B3703" t="str">
        <f>"1043653686"</f>
        <v>1043653686</v>
      </c>
      <c r="C3703" t="str">
        <f>"207R00000X"</f>
        <v>207R00000X</v>
      </c>
      <c r="D3703" t="str">
        <f>"ANDRES                   ROBERT                   "</f>
        <v xml:space="preserve">ANDRES                   ROBERT                   </v>
      </c>
      <c r="E3703" t="str">
        <f>"HAMMOND                   "</f>
        <v xml:space="preserve">HAMMOND                   </v>
      </c>
      <c r="F3703" t="str">
        <f t="shared" si="158"/>
        <v>LA</v>
      </c>
    </row>
    <row r="3704" spans="1:6" x14ac:dyDescent="0.25">
      <c r="A3704" t="str">
        <f>"200001445"</f>
        <v>200001445</v>
      </c>
      <c r="B3704" t="str">
        <f>"1639520919"</f>
        <v>1639520919</v>
      </c>
      <c r="C3704" t="str">
        <f>"207R00000X"</f>
        <v>207R00000X</v>
      </c>
      <c r="D3704" t="str">
        <f>"LAI                      DAVID                    "</f>
        <v xml:space="preserve">LAI                      DAVID                    </v>
      </c>
      <c r="E3704" t="str">
        <f>"NEW ORLEANS               "</f>
        <v xml:space="preserve">NEW ORLEANS               </v>
      </c>
      <c r="F3704" t="str">
        <f t="shared" si="158"/>
        <v>LA</v>
      </c>
    </row>
    <row r="3705" spans="1:6" x14ac:dyDescent="0.25">
      <c r="A3705" t="str">
        <f>"200001554"</f>
        <v>200001554</v>
      </c>
      <c r="B3705" t="str">
        <f>"1760478945"</f>
        <v>1760478945</v>
      </c>
      <c r="C3705" t="str">
        <f>"208000000X"</f>
        <v>208000000X</v>
      </c>
      <c r="D3705" t="str">
        <f>"THOMPSON                 AARON                    "</f>
        <v xml:space="preserve">THOMPSON                 AARON                    </v>
      </c>
      <c r="E3705" t="str">
        <f>"METAIRIE                  "</f>
        <v xml:space="preserve">METAIRIE                  </v>
      </c>
      <c r="F3705" t="str">
        <f t="shared" si="158"/>
        <v>LA</v>
      </c>
    </row>
    <row r="3706" spans="1:6" x14ac:dyDescent="0.25">
      <c r="A3706" t="str">
        <f>"200001608"</f>
        <v>200001608</v>
      </c>
      <c r="B3706" t="str">
        <f>"1912401795"</f>
        <v>1912401795</v>
      </c>
      <c r="C3706" t="str">
        <f>"363L00000X"</f>
        <v>363L00000X</v>
      </c>
      <c r="D3706" t="str">
        <f>"PLAISANCE                NOELLE                   "</f>
        <v xml:space="preserve">PLAISANCE                NOELLE                   </v>
      </c>
      <c r="E3706" t="str">
        <f>"HAMMOND                   "</f>
        <v xml:space="preserve">HAMMOND                   </v>
      </c>
      <c r="F3706" t="str">
        <f t="shared" si="158"/>
        <v>LA</v>
      </c>
    </row>
    <row r="3707" spans="1:6" x14ac:dyDescent="0.25">
      <c r="A3707" t="str">
        <f>"200001645"</f>
        <v>200001645</v>
      </c>
      <c r="B3707" t="str">
        <f>"1508363029"</f>
        <v>1508363029</v>
      </c>
      <c r="C3707" t="str">
        <f>"207R00000X"</f>
        <v>207R00000X</v>
      </c>
      <c r="D3707" t="str">
        <f>"MERRILL                  CHRISTOPHER              "</f>
        <v xml:space="preserve">MERRILL                  CHRISTOPHER              </v>
      </c>
      <c r="E3707" t="str">
        <f>"SLIDELL                   "</f>
        <v xml:space="preserve">SLIDELL                   </v>
      </c>
      <c r="F3707" t="str">
        <f t="shared" si="158"/>
        <v>LA</v>
      </c>
    </row>
    <row r="3708" spans="1:6" x14ac:dyDescent="0.25">
      <c r="A3708" t="str">
        <f>"200001674"</f>
        <v>200001674</v>
      </c>
      <c r="B3708" t="str">
        <f>"1548599061"</f>
        <v>1548599061</v>
      </c>
      <c r="C3708" t="str">
        <f>"367500000X"</f>
        <v>367500000X</v>
      </c>
      <c r="D3708" t="str">
        <f>"YOUNG                    DESIREE                  "</f>
        <v xml:space="preserve">YOUNG                    DESIREE                  </v>
      </c>
      <c r="E3708" t="str">
        <f>"SLIDELL                   "</f>
        <v xml:space="preserve">SLIDELL                   </v>
      </c>
      <c r="F3708" t="str">
        <f t="shared" si="158"/>
        <v>LA</v>
      </c>
    </row>
    <row r="3709" spans="1:6" x14ac:dyDescent="0.25">
      <c r="A3709" t="str">
        <f>"200001687"</f>
        <v>200001687</v>
      </c>
      <c r="B3709" t="str">
        <f>"1548493281"</f>
        <v>1548493281</v>
      </c>
      <c r="C3709" t="str">
        <f>"367500000X"</f>
        <v>367500000X</v>
      </c>
      <c r="D3709" t="str">
        <f>"POWELL                   MICHAEL                  "</f>
        <v xml:space="preserve">POWELL                   MICHAEL                  </v>
      </c>
      <c r="E3709" t="str">
        <f>"SLIDELL                   "</f>
        <v xml:space="preserve">SLIDELL                   </v>
      </c>
      <c r="F3709" t="str">
        <f t="shared" si="158"/>
        <v>LA</v>
      </c>
    </row>
    <row r="3710" spans="1:6" x14ac:dyDescent="0.25">
      <c r="A3710" t="str">
        <f>"200001712"</f>
        <v>200001712</v>
      </c>
      <c r="B3710" t="str">
        <f>"1972720381"</f>
        <v>1972720381</v>
      </c>
      <c r="C3710" t="str">
        <f>"207P00000X"</f>
        <v>207P00000X</v>
      </c>
      <c r="D3710" t="str">
        <f>"KRIEG                    JOHN                     "</f>
        <v xml:space="preserve">KRIEG                    JOHN                     </v>
      </c>
      <c r="E3710" t="str">
        <f>"HAMMOND                   "</f>
        <v xml:space="preserve">HAMMOND                   </v>
      </c>
      <c r="F3710" t="str">
        <f t="shared" si="158"/>
        <v>LA</v>
      </c>
    </row>
    <row r="3711" spans="1:6" x14ac:dyDescent="0.25">
      <c r="A3711" t="str">
        <f>"200001730"</f>
        <v>200001730</v>
      </c>
      <c r="B3711" t="str">
        <f>"1962412056"</f>
        <v>1962412056</v>
      </c>
      <c r="C3711" t="str">
        <f>"2080P0202X"</f>
        <v>2080P0202X</v>
      </c>
      <c r="D3711" t="str">
        <f>"DOROSTKAR                PARVIN                   "</f>
        <v xml:space="preserve">DOROSTKAR                PARVIN                   </v>
      </c>
      <c r="E3711" t="str">
        <f>"NEW ORLEANS               "</f>
        <v xml:space="preserve">NEW ORLEANS               </v>
      </c>
      <c r="F3711" t="str">
        <f t="shared" si="158"/>
        <v>LA</v>
      </c>
    </row>
    <row r="3712" spans="1:6" x14ac:dyDescent="0.25">
      <c r="A3712" t="str">
        <f>"200001804"</f>
        <v>200001804</v>
      </c>
      <c r="B3712" t="str">
        <f>"1376869537"</f>
        <v>1376869537</v>
      </c>
      <c r="C3712" t="str">
        <f>"2080P0206X"</f>
        <v>2080P0206X</v>
      </c>
      <c r="D3712" t="str">
        <f>"MOKHA                    JASMEET                  "</f>
        <v xml:space="preserve">MOKHA                    JASMEET                  </v>
      </c>
      <c r="E3712" t="str">
        <f>"NEW ORLEANS               "</f>
        <v xml:space="preserve">NEW ORLEANS               </v>
      </c>
      <c r="F3712" t="str">
        <f t="shared" si="158"/>
        <v>LA</v>
      </c>
    </row>
    <row r="3713" spans="1:6" x14ac:dyDescent="0.25">
      <c r="A3713" t="str">
        <f>"200001817"</f>
        <v>200001817</v>
      </c>
      <c r="B3713" t="str">
        <f>"1639808306"</f>
        <v>1639808306</v>
      </c>
      <c r="C3713" t="str">
        <f>"363A00000X"</f>
        <v>363A00000X</v>
      </c>
      <c r="D3713" t="str">
        <f>"RUSSELL                  JEREMY                   "</f>
        <v xml:space="preserve">RUSSELL                  JEREMY                   </v>
      </c>
      <c r="E3713" t="str">
        <f>"HAMMOND                   "</f>
        <v xml:space="preserve">HAMMOND                   </v>
      </c>
      <c r="F3713" t="str">
        <f t="shared" si="158"/>
        <v>LA</v>
      </c>
    </row>
    <row r="3714" spans="1:6" x14ac:dyDescent="0.25">
      <c r="A3714" t="str">
        <f>"200001831"</f>
        <v>200001831</v>
      </c>
      <c r="B3714" t="str">
        <f>"1902002850"</f>
        <v>1902002850</v>
      </c>
      <c r="C3714" t="str">
        <f>"207R00000X"</f>
        <v>207R00000X</v>
      </c>
      <c r="D3714" t="str">
        <f>"JAMEEL                   SHAHED                   "</f>
        <v xml:space="preserve">JAMEEL                   SHAHED                   </v>
      </c>
      <c r="E3714" t="str">
        <f>"HAMMOND                   "</f>
        <v xml:space="preserve">HAMMOND                   </v>
      </c>
      <c r="F3714" t="str">
        <f t="shared" si="158"/>
        <v>LA</v>
      </c>
    </row>
    <row r="3715" spans="1:6" x14ac:dyDescent="0.25">
      <c r="A3715" t="str">
        <f>"200001902"</f>
        <v>200001902</v>
      </c>
      <c r="B3715" t="str">
        <f>"1780780528"</f>
        <v>1780780528</v>
      </c>
      <c r="C3715" t="str">
        <f>"207R00000X"</f>
        <v>207R00000X</v>
      </c>
      <c r="D3715" t="str">
        <f>"ODUDU                    ISAAC                    "</f>
        <v xml:space="preserve">ODUDU                    ISAAC                    </v>
      </c>
      <c r="E3715" t="str">
        <f>"FERRIDAY                  "</f>
        <v xml:space="preserve">FERRIDAY                  </v>
      </c>
      <c r="F3715" t="str">
        <f t="shared" si="158"/>
        <v>LA</v>
      </c>
    </row>
    <row r="3716" spans="1:6" x14ac:dyDescent="0.25">
      <c r="A3716" t="str">
        <f>"200001969"</f>
        <v>200001969</v>
      </c>
      <c r="B3716" t="str">
        <f>"1609178482"</f>
        <v>1609178482</v>
      </c>
      <c r="C3716" t="str">
        <f>"367500000X"</f>
        <v>367500000X</v>
      </c>
      <c r="D3716" t="str">
        <f>"ALLEN, JR.               RICHARD                  "</f>
        <v xml:space="preserve">ALLEN, JR.               RICHARD                  </v>
      </c>
      <c r="E3716" t="str">
        <f>"NEW ORLEANS               "</f>
        <v xml:space="preserve">NEW ORLEANS               </v>
      </c>
      <c r="F3716" t="str">
        <f t="shared" si="158"/>
        <v>LA</v>
      </c>
    </row>
    <row r="3717" spans="1:6" x14ac:dyDescent="0.25">
      <c r="A3717" t="str">
        <f>"200001987"</f>
        <v>200001987</v>
      </c>
      <c r="B3717" t="str">
        <f>"1528764339"</f>
        <v>1528764339</v>
      </c>
      <c r="C3717" t="str">
        <f>"363L00000X"</f>
        <v>363L00000X</v>
      </c>
      <c r="D3717" t="str">
        <f>"VINSON                   JORDAN       O           "</f>
        <v xml:space="preserve">VINSON                   JORDAN       O           </v>
      </c>
      <c r="E3717" t="str">
        <f>"NEW ORLEANS               "</f>
        <v xml:space="preserve">NEW ORLEANS               </v>
      </c>
      <c r="F3717" t="str">
        <f t="shared" si="158"/>
        <v>LA</v>
      </c>
    </row>
    <row r="3718" spans="1:6" x14ac:dyDescent="0.25">
      <c r="A3718" t="str">
        <f>"200002008"</f>
        <v>200002008</v>
      </c>
      <c r="B3718" t="str">
        <f>"1699797951"</f>
        <v>1699797951</v>
      </c>
      <c r="C3718" t="str">
        <f>"363L00000X"</f>
        <v>363L00000X</v>
      </c>
      <c r="D3718" t="str">
        <f>"BOSSENMEYER              DAVID                    "</f>
        <v xml:space="preserve">BOSSENMEYER              DAVID                    </v>
      </c>
      <c r="E3718" t="str">
        <f>"HAMMOND                   "</f>
        <v xml:space="preserve">HAMMOND                   </v>
      </c>
      <c r="F3718" t="str">
        <f t="shared" si="158"/>
        <v>LA</v>
      </c>
    </row>
    <row r="3719" spans="1:6" x14ac:dyDescent="0.25">
      <c r="A3719" t="str">
        <f>"200002023"</f>
        <v>200002023</v>
      </c>
      <c r="B3719" t="str">
        <f>"1922567189"</f>
        <v>1922567189</v>
      </c>
      <c r="C3719" t="str">
        <f>"207Q00000X"</f>
        <v>207Q00000X</v>
      </c>
      <c r="D3719" t="str">
        <f>"PHIPPS                   TRAVIS                   "</f>
        <v xml:space="preserve">PHIPPS                   TRAVIS                   </v>
      </c>
      <c r="E3719" t="str">
        <f>"NEW ORLEANS               "</f>
        <v xml:space="preserve">NEW ORLEANS               </v>
      </c>
      <c r="F3719" t="str">
        <f t="shared" si="158"/>
        <v>LA</v>
      </c>
    </row>
    <row r="3720" spans="1:6" x14ac:dyDescent="0.25">
      <c r="A3720" t="str">
        <f>"200002029"</f>
        <v>200002029</v>
      </c>
      <c r="B3720" t="str">
        <f>"1437577830"</f>
        <v>1437577830</v>
      </c>
      <c r="C3720" t="str">
        <f>"207X00000X"</f>
        <v>207X00000X</v>
      </c>
      <c r="D3720" t="str">
        <f>"HABASHY                  ALEXANDER                "</f>
        <v xml:space="preserve">HABASHY                  ALEXANDER                </v>
      </c>
      <c r="E3720" t="str">
        <f>"SLIDELL                   "</f>
        <v xml:space="preserve">SLIDELL                   </v>
      </c>
      <c r="F3720" t="str">
        <f t="shared" si="158"/>
        <v>LA</v>
      </c>
    </row>
    <row r="3721" spans="1:6" x14ac:dyDescent="0.25">
      <c r="A3721" t="str">
        <f>"200002038"</f>
        <v>200002038</v>
      </c>
      <c r="B3721" t="str">
        <f>"1366148512"</f>
        <v>1366148512</v>
      </c>
      <c r="C3721" t="str">
        <f>"363L00000X"</f>
        <v>363L00000X</v>
      </c>
      <c r="D3721" t="str">
        <f>"DILL                     JENNIFER                 "</f>
        <v xml:space="preserve">DILL                     JENNIFER                 </v>
      </c>
      <c r="E3721" t="str">
        <f>"NEW ORLEANS               "</f>
        <v xml:space="preserve">NEW ORLEANS               </v>
      </c>
      <c r="F3721" t="str">
        <f t="shared" si="158"/>
        <v>LA</v>
      </c>
    </row>
    <row r="3722" spans="1:6" x14ac:dyDescent="0.25">
      <c r="A3722" t="str">
        <f>"200002049"</f>
        <v>200002049</v>
      </c>
      <c r="B3722" t="str">
        <f>"1043672934"</f>
        <v>1043672934</v>
      </c>
      <c r="C3722" t="str">
        <f>"208100000X"</f>
        <v>208100000X</v>
      </c>
      <c r="D3722" t="str">
        <f>"RICHERAND                ALEXANDER                "</f>
        <v xml:space="preserve">RICHERAND                ALEXANDER                </v>
      </c>
      <c r="E3722" t="str">
        <f>"HAMMOND                   "</f>
        <v xml:space="preserve">HAMMOND                   </v>
      </c>
      <c r="F3722" t="str">
        <f t="shared" si="158"/>
        <v>LA</v>
      </c>
    </row>
    <row r="3723" spans="1:6" x14ac:dyDescent="0.25">
      <c r="A3723" t="str">
        <f>"200002064"</f>
        <v>200002064</v>
      </c>
      <c r="B3723" t="str">
        <f>"1346204674"</f>
        <v>1346204674</v>
      </c>
      <c r="C3723" t="str">
        <f>"367500000X"</f>
        <v>367500000X</v>
      </c>
      <c r="D3723" t="str">
        <f>"LAMB                     HAL                      "</f>
        <v xml:space="preserve">LAMB                     HAL                      </v>
      </c>
      <c r="E3723" t="str">
        <f>"NEW ORLEANS               "</f>
        <v xml:space="preserve">NEW ORLEANS               </v>
      </c>
      <c r="F3723" t="str">
        <f t="shared" si="158"/>
        <v>LA</v>
      </c>
    </row>
    <row r="3724" spans="1:6" x14ac:dyDescent="0.25">
      <c r="A3724" t="str">
        <f>"200002097"</f>
        <v>200002097</v>
      </c>
      <c r="B3724" t="str">
        <f>"1740399146"</f>
        <v>1740399146</v>
      </c>
      <c r="C3724" t="str">
        <f>"208000000X"</f>
        <v>208000000X</v>
      </c>
      <c r="D3724" t="str">
        <f>"BRIDGES                  SONSEEAHRAY              "</f>
        <v xml:space="preserve">BRIDGES                  SONSEEAHRAY              </v>
      </c>
      <c r="E3724" t="str">
        <f>"MARRERO                   "</f>
        <v xml:space="preserve">MARRERO                   </v>
      </c>
      <c r="F3724" t="str">
        <f t="shared" si="158"/>
        <v>LA</v>
      </c>
    </row>
    <row r="3725" spans="1:6" x14ac:dyDescent="0.25">
      <c r="A3725" t="str">
        <f>"200002156"</f>
        <v>200002156</v>
      </c>
      <c r="B3725" t="str">
        <f>"1922504802"</f>
        <v>1922504802</v>
      </c>
      <c r="C3725" t="str">
        <f>"207V00000X"</f>
        <v>207V00000X</v>
      </c>
      <c r="D3725" t="str">
        <f>"GUARISCO                 ELIZABETH                "</f>
        <v xml:space="preserve">GUARISCO                 ELIZABETH                </v>
      </c>
      <c r="E3725" t="str">
        <f>"NEW ORLEANS               "</f>
        <v xml:space="preserve">NEW ORLEANS               </v>
      </c>
      <c r="F3725" t="str">
        <f t="shared" si="158"/>
        <v>LA</v>
      </c>
    </row>
    <row r="3726" spans="1:6" x14ac:dyDescent="0.25">
      <c r="A3726" t="str">
        <f>"200002159"</f>
        <v>200002159</v>
      </c>
      <c r="B3726" t="str">
        <f>"1629106158"</f>
        <v>1629106158</v>
      </c>
      <c r="C3726" t="str">
        <f>"207L00000X"</f>
        <v>207L00000X</v>
      </c>
      <c r="D3726" t="str">
        <f>"RUBIN                    RYAN                     "</f>
        <v xml:space="preserve">RUBIN                    RYAN                     </v>
      </c>
      <c r="E3726" t="str">
        <f>"KENNER                    "</f>
        <v xml:space="preserve">KENNER                    </v>
      </c>
      <c r="F3726" t="str">
        <f t="shared" si="158"/>
        <v>LA</v>
      </c>
    </row>
    <row r="3727" spans="1:6" x14ac:dyDescent="0.25">
      <c r="A3727" t="str">
        <f>"200002202"</f>
        <v>200002202</v>
      </c>
      <c r="B3727" t="str">
        <f>"1558776187"</f>
        <v>1558776187</v>
      </c>
      <c r="C3727" t="str">
        <f>"207Q00000X"</f>
        <v>207Q00000X</v>
      </c>
      <c r="D3727" t="str">
        <f>"MASOODI                  HAMMAD                   "</f>
        <v xml:space="preserve">MASOODI                  HAMMAD                   </v>
      </c>
      <c r="E3727" t="str">
        <f>"NEW ORLEANS               "</f>
        <v xml:space="preserve">NEW ORLEANS               </v>
      </c>
      <c r="F3727" t="str">
        <f t="shared" si="158"/>
        <v>LA</v>
      </c>
    </row>
    <row r="3728" spans="1:6" x14ac:dyDescent="0.25">
      <c r="A3728" t="str">
        <f>"200002260"</f>
        <v>200002260</v>
      </c>
      <c r="B3728" t="str">
        <f>"1922535343"</f>
        <v>1922535343</v>
      </c>
      <c r="C3728" t="str">
        <f>"207Q00000X"</f>
        <v>207Q00000X</v>
      </c>
      <c r="D3728" t="str">
        <f>"ZOTTOLI, III             LAWRENCE                 "</f>
        <v xml:space="preserve">ZOTTOLI, III             LAWRENCE                 </v>
      </c>
      <c r="E3728" t="str">
        <f>"NEW ORLEANS               "</f>
        <v xml:space="preserve">NEW ORLEANS               </v>
      </c>
      <c r="F3728" t="str">
        <f t="shared" si="158"/>
        <v>LA</v>
      </c>
    </row>
    <row r="3729" spans="1:6" x14ac:dyDescent="0.25">
      <c r="A3729" t="str">
        <f>"200002275"</f>
        <v>200002275</v>
      </c>
      <c r="B3729" t="str">
        <f>"1255863445"</f>
        <v>1255863445</v>
      </c>
      <c r="C3729" t="str">
        <f>"2084N0400X"</f>
        <v>2084N0400X</v>
      </c>
      <c r="D3729" t="str">
        <f>"LASHGARI                 GHAZAL                   "</f>
        <v xml:space="preserve">LASHGARI                 GHAZAL                   </v>
      </c>
      <c r="E3729" t="str">
        <f>"NEW ORLEANS               "</f>
        <v xml:space="preserve">NEW ORLEANS               </v>
      </c>
      <c r="F3729" t="str">
        <f t="shared" si="158"/>
        <v>LA</v>
      </c>
    </row>
    <row r="3730" spans="1:6" x14ac:dyDescent="0.25">
      <c r="A3730" t="str">
        <f>"200002369"</f>
        <v>200002369</v>
      </c>
      <c r="B3730" t="str">
        <f>"1104318682"</f>
        <v>1104318682</v>
      </c>
      <c r="C3730" t="str">
        <f>"207R00000X"</f>
        <v>207R00000X</v>
      </c>
      <c r="D3730" t="str">
        <f>"ALLAN                    DAVID                    "</f>
        <v xml:space="preserve">ALLAN                    DAVID                    </v>
      </c>
      <c r="E3730" t="str">
        <f>"SLIDELL                   "</f>
        <v xml:space="preserve">SLIDELL                   </v>
      </c>
      <c r="F3730" t="str">
        <f t="shared" si="158"/>
        <v>LA</v>
      </c>
    </row>
    <row r="3731" spans="1:6" x14ac:dyDescent="0.25">
      <c r="A3731" t="str">
        <f>"200002404"</f>
        <v>200002404</v>
      </c>
      <c r="B3731" t="str">
        <f>"1982053146"</f>
        <v>1982053146</v>
      </c>
      <c r="C3731" t="str">
        <f>"367500000X"</f>
        <v>367500000X</v>
      </c>
      <c r="D3731" t="str">
        <f>"CLEMENT                  MARY         M           "</f>
        <v xml:space="preserve">CLEMENT                  MARY         M           </v>
      </c>
      <c r="E3731" t="str">
        <f>"NEW ORLEANS               "</f>
        <v xml:space="preserve">NEW ORLEANS               </v>
      </c>
      <c r="F3731" t="str">
        <f t="shared" si="158"/>
        <v>LA</v>
      </c>
    </row>
    <row r="3732" spans="1:6" x14ac:dyDescent="0.25">
      <c r="A3732" t="str">
        <f>"200002496"</f>
        <v>200002496</v>
      </c>
      <c r="B3732" t="str">
        <f>"1740783042"</f>
        <v>1740783042</v>
      </c>
      <c r="C3732" t="str">
        <f>"363L00000X"</f>
        <v>363L00000X</v>
      </c>
      <c r="D3732" t="str">
        <f>"BRATTON                  NATALIE                  "</f>
        <v xml:space="preserve">BRATTON                  NATALIE                  </v>
      </c>
      <c r="E3732" t="str">
        <f>"HAMMOND                   "</f>
        <v xml:space="preserve">HAMMOND                   </v>
      </c>
      <c r="F3732" t="str">
        <f t="shared" si="158"/>
        <v>LA</v>
      </c>
    </row>
    <row r="3733" spans="1:6" x14ac:dyDescent="0.25">
      <c r="A3733" t="str">
        <f>"200002534"</f>
        <v>200002534</v>
      </c>
      <c r="B3733" t="str">
        <f>"1861811184"</f>
        <v>1861811184</v>
      </c>
      <c r="C3733" t="str">
        <f>"207P00000X"</f>
        <v>207P00000X</v>
      </c>
      <c r="D3733" t="str">
        <f>"KAR                      ANOOP                    "</f>
        <v xml:space="preserve">KAR                      ANOOP                    </v>
      </c>
      <c r="E3733" t="str">
        <f>"HAMMOND                   "</f>
        <v xml:space="preserve">HAMMOND                   </v>
      </c>
      <c r="F3733" t="str">
        <f t="shared" si="158"/>
        <v>LA</v>
      </c>
    </row>
    <row r="3734" spans="1:6" x14ac:dyDescent="0.25">
      <c r="A3734" t="str">
        <f>"200002602"</f>
        <v>200002602</v>
      </c>
      <c r="B3734" t="str">
        <f>"1659776482"</f>
        <v>1659776482</v>
      </c>
      <c r="C3734" t="str">
        <f>"363L00000X"</f>
        <v>363L00000X</v>
      </c>
      <c r="D3734" t="str">
        <f>"HYMEL                    HEATHER                  "</f>
        <v xml:space="preserve">HYMEL                    HEATHER                  </v>
      </c>
      <c r="E3734" t="str">
        <f>"METAIRIE                  "</f>
        <v xml:space="preserve">METAIRIE                  </v>
      </c>
      <c r="F3734" t="str">
        <f t="shared" si="158"/>
        <v>LA</v>
      </c>
    </row>
    <row r="3735" spans="1:6" x14ac:dyDescent="0.25">
      <c r="A3735" t="str">
        <f>"200002693"</f>
        <v>200002693</v>
      </c>
      <c r="B3735" t="str">
        <f>"1245967066"</f>
        <v>1245967066</v>
      </c>
      <c r="C3735" t="str">
        <f>"363L00000X"</f>
        <v>363L00000X</v>
      </c>
      <c r="D3735" t="str">
        <f>"WALKER                   JOSHUA                   "</f>
        <v xml:space="preserve">WALKER                   JOSHUA                   </v>
      </c>
      <c r="E3735" t="str">
        <f>"HAMMOND                   "</f>
        <v xml:space="preserve">HAMMOND                   </v>
      </c>
      <c r="F3735" t="str">
        <f t="shared" si="158"/>
        <v>LA</v>
      </c>
    </row>
    <row r="3736" spans="1:6" x14ac:dyDescent="0.25">
      <c r="A3736" t="str">
        <f>"200002730"</f>
        <v>200002730</v>
      </c>
      <c r="B3736" t="str">
        <f>"1851333587"</f>
        <v>1851333587</v>
      </c>
      <c r="C3736" t="str">
        <f>"207RC0000X"</f>
        <v>207RC0000X</v>
      </c>
      <c r="D3736" t="str">
        <f>"BERNSTEIN                MARC                     "</f>
        <v xml:space="preserve">BERNSTEIN                MARC                     </v>
      </c>
      <c r="E3736" t="str">
        <f>"SLIDELL                   "</f>
        <v xml:space="preserve">SLIDELL                   </v>
      </c>
      <c r="F3736" t="str">
        <f t="shared" si="158"/>
        <v>LA</v>
      </c>
    </row>
    <row r="3737" spans="1:6" x14ac:dyDescent="0.25">
      <c r="A3737" t="str">
        <f>"200002766"</f>
        <v>200002766</v>
      </c>
      <c r="B3737" t="str">
        <f>"1538351093"</f>
        <v>1538351093</v>
      </c>
      <c r="C3737" t="str">
        <f>"207P00000X"</f>
        <v>207P00000X</v>
      </c>
      <c r="D3737" t="str">
        <f>"JONES                    DANIEL                   "</f>
        <v xml:space="preserve">JONES                    DANIEL                   </v>
      </c>
      <c r="E3737" t="str">
        <f>"HAMMOND                   "</f>
        <v xml:space="preserve">HAMMOND                   </v>
      </c>
      <c r="F3737" t="str">
        <f t="shared" si="158"/>
        <v>LA</v>
      </c>
    </row>
    <row r="3738" spans="1:6" x14ac:dyDescent="0.25">
      <c r="A3738" t="str">
        <f>"200002876"</f>
        <v>200002876</v>
      </c>
      <c r="B3738" t="str">
        <f>"1285606780"</f>
        <v>1285606780</v>
      </c>
      <c r="C3738" t="str">
        <f>"208000000X"</f>
        <v>208000000X</v>
      </c>
      <c r="D3738" t="str">
        <f>"VOIGT                    ROBERT       G           "</f>
        <v xml:space="preserve">VOIGT                    ROBERT       G           </v>
      </c>
      <c r="E3738" t="str">
        <f>"NEW ORLEANS               "</f>
        <v xml:space="preserve">NEW ORLEANS               </v>
      </c>
      <c r="F3738" t="str">
        <f t="shared" si="158"/>
        <v>LA</v>
      </c>
    </row>
    <row r="3739" spans="1:6" x14ac:dyDescent="0.25">
      <c r="A3739" t="str">
        <f>"200002979"</f>
        <v>200002979</v>
      </c>
      <c r="B3739" t="str">
        <f>"1396443222"</f>
        <v>1396443222</v>
      </c>
      <c r="C3739" t="str">
        <f>"363L00000X"</f>
        <v>363L00000X</v>
      </c>
      <c r="D3739" t="str">
        <f>"BARAJAS                  MARISOL                  "</f>
        <v xml:space="preserve">BARAJAS                  MARISOL                  </v>
      </c>
      <c r="E3739" t="str">
        <f>"SLIDELL                   "</f>
        <v xml:space="preserve">SLIDELL                   </v>
      </c>
      <c r="F3739" t="str">
        <f t="shared" ref="F3739:F3802" si="159">"LA"</f>
        <v>LA</v>
      </c>
    </row>
    <row r="3740" spans="1:6" x14ac:dyDescent="0.25">
      <c r="A3740" t="str">
        <f>"200002992"</f>
        <v>200002992</v>
      </c>
      <c r="B3740" t="str">
        <f>"1417667916"</f>
        <v>1417667916</v>
      </c>
      <c r="C3740" t="str">
        <f>"363L00000X"</f>
        <v>363L00000X</v>
      </c>
      <c r="D3740" t="str">
        <f>"RUTLAND                  MIRANDA                  "</f>
        <v xml:space="preserve">RUTLAND                  MIRANDA                  </v>
      </c>
      <c r="E3740" t="str">
        <f>"HAMMOND                   "</f>
        <v xml:space="preserve">HAMMOND                   </v>
      </c>
      <c r="F3740" t="str">
        <f t="shared" si="159"/>
        <v>LA</v>
      </c>
    </row>
    <row r="3741" spans="1:6" x14ac:dyDescent="0.25">
      <c r="A3741" t="str">
        <f>"200003181"</f>
        <v>200003181</v>
      </c>
      <c r="B3741" t="str">
        <f>"1912285446"</f>
        <v>1912285446</v>
      </c>
      <c r="C3741" t="str">
        <f>"207R00000X"</f>
        <v>207R00000X</v>
      </c>
      <c r="D3741" t="str">
        <f>"NELSON, JR               EDMOND       C           "</f>
        <v xml:space="preserve">NELSON, JR               EDMOND       C           </v>
      </c>
      <c r="E3741" t="str">
        <f>"NEW ORLEANS               "</f>
        <v xml:space="preserve">NEW ORLEANS               </v>
      </c>
      <c r="F3741" t="str">
        <f t="shared" si="159"/>
        <v>LA</v>
      </c>
    </row>
    <row r="3742" spans="1:6" x14ac:dyDescent="0.25">
      <c r="A3742" t="str">
        <f>"200003221"</f>
        <v>200003221</v>
      </c>
      <c r="B3742" t="str">
        <f>"1043298631"</f>
        <v>1043298631</v>
      </c>
      <c r="C3742" t="str">
        <f>"367500000X"</f>
        <v>367500000X</v>
      </c>
      <c r="D3742" t="str">
        <f>"BRANDON                  NORA         A           "</f>
        <v xml:space="preserve">BRANDON                  NORA         A           </v>
      </c>
      <c r="E3742" t="str">
        <f>"NEW ORLEANS               "</f>
        <v xml:space="preserve">NEW ORLEANS               </v>
      </c>
      <c r="F3742" t="str">
        <f t="shared" si="159"/>
        <v>LA</v>
      </c>
    </row>
    <row r="3743" spans="1:6" x14ac:dyDescent="0.25">
      <c r="A3743" t="str">
        <f>"200003234"</f>
        <v>200003234</v>
      </c>
      <c r="B3743" t="str">
        <f>"1578944336"</f>
        <v>1578944336</v>
      </c>
      <c r="C3743" t="str">
        <f>"367500000X"</f>
        <v>367500000X</v>
      </c>
      <c r="D3743" t="str">
        <f>"GOODWIN                  ADRIENNE     A           "</f>
        <v xml:space="preserve">GOODWIN                  ADRIENNE     A           </v>
      </c>
      <c r="E3743" t="str">
        <f>"NEW ORLEANS               "</f>
        <v xml:space="preserve">NEW ORLEANS               </v>
      </c>
      <c r="F3743" t="str">
        <f t="shared" si="159"/>
        <v>LA</v>
      </c>
    </row>
    <row r="3744" spans="1:6" x14ac:dyDescent="0.25">
      <c r="A3744" t="str">
        <f>"200003243"</f>
        <v>200003243</v>
      </c>
      <c r="B3744" t="str">
        <f>"1497085211"</f>
        <v>1497085211</v>
      </c>
      <c r="C3744" t="str">
        <f>"367500000X"</f>
        <v>367500000X</v>
      </c>
      <c r="D3744" t="str">
        <f>"DEFELIPPO                FRANKLIN     A           "</f>
        <v xml:space="preserve">DEFELIPPO                FRANKLIN     A           </v>
      </c>
      <c r="E3744" t="str">
        <f>"NEW ORLEANS               "</f>
        <v xml:space="preserve">NEW ORLEANS               </v>
      </c>
      <c r="F3744" t="str">
        <f t="shared" si="159"/>
        <v>LA</v>
      </c>
    </row>
    <row r="3745" spans="1:6" x14ac:dyDescent="0.25">
      <c r="A3745" t="str">
        <f>"200003279"</f>
        <v>200003279</v>
      </c>
      <c r="B3745" t="str">
        <f>"1780003798"</f>
        <v>1780003798</v>
      </c>
      <c r="C3745" t="str">
        <f>"208000000X"</f>
        <v>208000000X</v>
      </c>
      <c r="D3745" t="str">
        <f>"SONENKLAR                MOLLY                    "</f>
        <v xml:space="preserve">SONENKLAR                MOLLY                    </v>
      </c>
      <c r="E3745" t="str">
        <f>"NEW ORLEANS               "</f>
        <v xml:space="preserve">NEW ORLEANS               </v>
      </c>
      <c r="F3745" t="str">
        <f t="shared" si="159"/>
        <v>LA</v>
      </c>
    </row>
    <row r="3746" spans="1:6" x14ac:dyDescent="0.25">
      <c r="A3746" t="str">
        <f>"200003291"</f>
        <v>200003291</v>
      </c>
      <c r="B3746" t="str">
        <f>"1205866522"</f>
        <v>1205866522</v>
      </c>
      <c r="C3746" t="str">
        <f>"367500000X"</f>
        <v>367500000X</v>
      </c>
      <c r="D3746" t="str">
        <f>"SULLIVAN                 WENDY        R           "</f>
        <v xml:space="preserve">SULLIVAN                 WENDY        R           </v>
      </c>
      <c r="E3746" t="str">
        <f>"SLIDELL                   "</f>
        <v xml:space="preserve">SLIDELL                   </v>
      </c>
      <c r="F3746" t="str">
        <f t="shared" si="159"/>
        <v>LA</v>
      </c>
    </row>
    <row r="3747" spans="1:6" x14ac:dyDescent="0.25">
      <c r="A3747" t="str">
        <f>"200003352"</f>
        <v>200003352</v>
      </c>
      <c r="B3747" t="str">
        <f>"1295224764"</f>
        <v>1295224764</v>
      </c>
      <c r="C3747" t="str">
        <f>"367500000X"</f>
        <v>367500000X</v>
      </c>
      <c r="D3747" t="str">
        <f>"KING                     CAROLINE     A           "</f>
        <v xml:space="preserve">KING                     CAROLINE     A           </v>
      </c>
      <c r="E3747" t="str">
        <f>"NEW ORLEANS               "</f>
        <v xml:space="preserve">NEW ORLEANS               </v>
      </c>
      <c r="F3747" t="str">
        <f t="shared" si="159"/>
        <v>LA</v>
      </c>
    </row>
    <row r="3748" spans="1:6" x14ac:dyDescent="0.25">
      <c r="A3748" t="str">
        <f>"200003366"</f>
        <v>200003366</v>
      </c>
      <c r="B3748" t="str">
        <f>"1144638107"</f>
        <v>1144638107</v>
      </c>
      <c r="C3748" t="str">
        <f>"363L00000X"</f>
        <v>363L00000X</v>
      </c>
      <c r="D3748" t="str">
        <f>"BRIDGES                  CATHERINE    V           "</f>
        <v xml:space="preserve">BRIDGES                  CATHERINE    V           </v>
      </c>
      <c r="E3748" t="str">
        <f>"CHALMETTE                 "</f>
        <v xml:space="preserve">CHALMETTE                 </v>
      </c>
      <c r="F3748" t="str">
        <f t="shared" si="159"/>
        <v>LA</v>
      </c>
    </row>
    <row r="3749" spans="1:6" x14ac:dyDescent="0.25">
      <c r="A3749" t="str">
        <f>"200003376"</f>
        <v>200003376</v>
      </c>
      <c r="B3749" t="str">
        <f>"1023374659"</f>
        <v>1023374659</v>
      </c>
      <c r="C3749" t="str">
        <f>"207RH0003X"</f>
        <v>207RH0003X</v>
      </c>
      <c r="D3749" t="str">
        <f>"LAVIE                    DANIEL                   "</f>
        <v xml:space="preserve">LAVIE                    DANIEL                   </v>
      </c>
      <c r="E3749" t="str">
        <f>"BATON ROUGE               "</f>
        <v xml:space="preserve">BATON ROUGE               </v>
      </c>
      <c r="F3749" t="str">
        <f t="shared" si="159"/>
        <v>LA</v>
      </c>
    </row>
    <row r="3750" spans="1:6" x14ac:dyDescent="0.25">
      <c r="A3750" t="str">
        <f>"200003396"</f>
        <v>200003396</v>
      </c>
      <c r="B3750" t="str">
        <f>"1093416513"</f>
        <v>1093416513</v>
      </c>
      <c r="C3750" t="str">
        <f>"363L00000X"</f>
        <v>363L00000X</v>
      </c>
      <c r="D3750" t="str">
        <f>"JACKSON                  JAMIE                    "</f>
        <v xml:space="preserve">JACKSON                  JAMIE                    </v>
      </c>
      <c r="E3750" t="str">
        <f>"HAMMOND                   "</f>
        <v xml:space="preserve">HAMMOND                   </v>
      </c>
      <c r="F3750" t="str">
        <f t="shared" si="159"/>
        <v>LA</v>
      </c>
    </row>
    <row r="3751" spans="1:6" x14ac:dyDescent="0.25">
      <c r="A3751" t="str">
        <f>"200003409"</f>
        <v>200003409</v>
      </c>
      <c r="B3751" t="str">
        <f>"1801856232"</f>
        <v>1801856232</v>
      </c>
      <c r="C3751" t="str">
        <f>"207W00000X"</f>
        <v>207W00000X</v>
      </c>
      <c r="D3751" t="str">
        <f>"NORTON                   THOMAS       C           "</f>
        <v xml:space="preserve">NORTON                   THOMAS       C           </v>
      </c>
      <c r="E3751" t="str">
        <f>"ALEXANDRIA                "</f>
        <v xml:space="preserve">ALEXANDRIA                </v>
      </c>
      <c r="F3751" t="str">
        <f t="shared" si="159"/>
        <v>LA</v>
      </c>
    </row>
    <row r="3752" spans="1:6" x14ac:dyDescent="0.25">
      <c r="A3752" t="str">
        <f>"200003428"</f>
        <v>200003428</v>
      </c>
      <c r="B3752" t="str">
        <f>"1215038963"</f>
        <v>1215038963</v>
      </c>
      <c r="C3752" t="str">
        <f>"207P00000X"</f>
        <v>207P00000X</v>
      </c>
      <c r="D3752" t="str">
        <f>"SHIELDS                  ANTHONY      L           "</f>
        <v xml:space="preserve">SHIELDS                  ANTHONY      L           </v>
      </c>
      <c r="E3752" t="str">
        <f>"SAINT FRANCISVILLE        "</f>
        <v xml:space="preserve">SAINT FRANCISVILLE        </v>
      </c>
      <c r="F3752" t="str">
        <f t="shared" si="159"/>
        <v>LA</v>
      </c>
    </row>
    <row r="3753" spans="1:6" x14ac:dyDescent="0.25">
      <c r="A3753" t="str">
        <f>"200003439"</f>
        <v>200003439</v>
      </c>
      <c r="B3753" t="str">
        <f>"1649414897"</f>
        <v>1649414897</v>
      </c>
      <c r="C3753" t="str">
        <f>"363A00000X"</f>
        <v>363A00000X</v>
      </c>
      <c r="D3753" t="str">
        <f>"GUY                      KIRSTEN      C           "</f>
        <v xml:space="preserve">GUY                      KIRSTEN      C           </v>
      </c>
      <c r="E3753" t="str">
        <f>"SLIDELL                   "</f>
        <v xml:space="preserve">SLIDELL                   </v>
      </c>
      <c r="F3753" t="str">
        <f t="shared" si="159"/>
        <v>LA</v>
      </c>
    </row>
    <row r="3754" spans="1:6" x14ac:dyDescent="0.25">
      <c r="A3754" t="str">
        <f>"200003474"</f>
        <v>200003474</v>
      </c>
      <c r="B3754" t="str">
        <f>"1407820004"</f>
        <v>1407820004</v>
      </c>
      <c r="C3754" t="str">
        <f>"367500000X"</f>
        <v>367500000X</v>
      </c>
      <c r="D3754" t="str">
        <f>"CONNELL                  CHRISTOPHER  M           "</f>
        <v xml:space="preserve">CONNELL                  CHRISTOPHER  M           </v>
      </c>
      <c r="E3754" t="str">
        <f>"COVINGTON                 "</f>
        <v xml:space="preserve">COVINGTON                 </v>
      </c>
      <c r="F3754" t="str">
        <f t="shared" si="159"/>
        <v>LA</v>
      </c>
    </row>
    <row r="3755" spans="1:6" x14ac:dyDescent="0.25">
      <c r="A3755" t="str">
        <f>"200003492"</f>
        <v>200003492</v>
      </c>
      <c r="B3755" t="str">
        <f>"1740624915"</f>
        <v>1740624915</v>
      </c>
      <c r="C3755" t="str">
        <f>"207N00000X"</f>
        <v>207N00000X</v>
      </c>
      <c r="D3755" t="str">
        <f>"KAMALPOUR                SHAHRAAM                 "</f>
        <v xml:space="preserve">KAMALPOUR                SHAHRAAM                 </v>
      </c>
      <c r="E3755" t="str">
        <f>"BATON ROUGE               "</f>
        <v xml:space="preserve">BATON ROUGE               </v>
      </c>
      <c r="F3755" t="str">
        <f t="shared" si="159"/>
        <v>LA</v>
      </c>
    </row>
    <row r="3756" spans="1:6" x14ac:dyDescent="0.25">
      <c r="A3756" t="str">
        <f>"200003508"</f>
        <v>200003508</v>
      </c>
      <c r="B3756" t="str">
        <f>"1841830148"</f>
        <v>1841830148</v>
      </c>
      <c r="C3756" t="str">
        <f>"367500000X"</f>
        <v>367500000X</v>
      </c>
      <c r="D3756" t="str">
        <f>"BAKER                    JENNIFER     M           "</f>
        <v xml:space="preserve">BAKER                    JENNIFER     M           </v>
      </c>
      <c r="E3756" t="str">
        <f>"NEW ORLEANS               "</f>
        <v xml:space="preserve">NEW ORLEANS               </v>
      </c>
      <c r="F3756" t="str">
        <f t="shared" si="159"/>
        <v>LA</v>
      </c>
    </row>
    <row r="3757" spans="1:6" x14ac:dyDescent="0.25">
      <c r="A3757" t="str">
        <f>"200003526"</f>
        <v>200003526</v>
      </c>
      <c r="B3757" t="str">
        <f>"1477294460"</f>
        <v>1477294460</v>
      </c>
      <c r="C3757" t="str">
        <f>"363A00000X"</f>
        <v>363A00000X</v>
      </c>
      <c r="D3757" t="str">
        <f>"MICKAL                   KENDALL      L           "</f>
        <v xml:space="preserve">MICKAL                   KENDALL      L           </v>
      </c>
      <c r="E3757" t="str">
        <f>"NEW ORLEANS               "</f>
        <v xml:space="preserve">NEW ORLEANS               </v>
      </c>
      <c r="F3757" t="str">
        <f t="shared" si="159"/>
        <v>LA</v>
      </c>
    </row>
    <row r="3758" spans="1:6" x14ac:dyDescent="0.25">
      <c r="A3758" t="str">
        <f>"200003571"</f>
        <v>200003571</v>
      </c>
      <c r="B3758" t="str">
        <f>"1093007452"</f>
        <v>1093007452</v>
      </c>
      <c r="C3758" t="str">
        <f>"208000000X"</f>
        <v>208000000X</v>
      </c>
      <c r="D3758" t="str">
        <f>"LEJEUNE                  JORDAN       A           "</f>
        <v xml:space="preserve">LEJEUNE                  JORDAN       A           </v>
      </c>
      <c r="E3758" t="str">
        <f>"NEW ORLEANS               "</f>
        <v xml:space="preserve">NEW ORLEANS               </v>
      </c>
      <c r="F3758" t="str">
        <f t="shared" si="159"/>
        <v>LA</v>
      </c>
    </row>
    <row r="3759" spans="1:6" x14ac:dyDescent="0.25">
      <c r="A3759" t="str">
        <f>"200003573"</f>
        <v>200003573</v>
      </c>
      <c r="B3759" t="str">
        <f>"1831828912"</f>
        <v>1831828912</v>
      </c>
      <c r="C3759" t="str">
        <f>"363A00000X"</f>
        <v>363A00000X</v>
      </c>
      <c r="D3759" t="str">
        <f>"BREAUX                   REBEKAH      A           "</f>
        <v xml:space="preserve">BREAUX                   REBEKAH      A           </v>
      </c>
      <c r="E3759" t="str">
        <f>"NEW ORLEANS               "</f>
        <v xml:space="preserve">NEW ORLEANS               </v>
      </c>
      <c r="F3759" t="str">
        <f t="shared" si="159"/>
        <v>LA</v>
      </c>
    </row>
    <row r="3760" spans="1:6" x14ac:dyDescent="0.25">
      <c r="A3760" t="str">
        <f>"200003581"</f>
        <v>200003581</v>
      </c>
      <c r="B3760" t="str">
        <f>"1871824078"</f>
        <v>1871824078</v>
      </c>
      <c r="C3760" t="str">
        <f>"367500000X"</f>
        <v>367500000X</v>
      </c>
      <c r="D3760" t="str">
        <f>"SCOTT                    AMY                      "</f>
        <v xml:space="preserve">SCOTT                    AMY                      </v>
      </c>
      <c r="E3760" t="str">
        <f>"HAMMOND                   "</f>
        <v xml:space="preserve">HAMMOND                   </v>
      </c>
      <c r="F3760" t="str">
        <f t="shared" si="159"/>
        <v>LA</v>
      </c>
    </row>
    <row r="3761" spans="1:6" x14ac:dyDescent="0.25">
      <c r="A3761" t="str">
        <f>"200003598"</f>
        <v>200003598</v>
      </c>
      <c r="B3761" t="str">
        <f>"1952895609"</f>
        <v>1952895609</v>
      </c>
      <c r="C3761" t="str">
        <f>"207P00000X"</f>
        <v>207P00000X</v>
      </c>
      <c r="D3761" t="str">
        <f>"NOVOTNY                  NICOLE                   "</f>
        <v xml:space="preserve">NOVOTNY                  NICOLE                   </v>
      </c>
      <c r="E3761" t="str">
        <f>"NEW ORLEANS               "</f>
        <v xml:space="preserve">NEW ORLEANS               </v>
      </c>
      <c r="F3761" t="str">
        <f t="shared" si="159"/>
        <v>LA</v>
      </c>
    </row>
    <row r="3762" spans="1:6" x14ac:dyDescent="0.25">
      <c r="A3762" t="str">
        <f>"200003653"</f>
        <v>200003653</v>
      </c>
      <c r="B3762" t="str">
        <f>"1316081367"</f>
        <v>1316081367</v>
      </c>
      <c r="C3762" t="str">
        <f>"207RG0100X"</f>
        <v>207RG0100X</v>
      </c>
      <c r="D3762" t="str">
        <f>"RAINES                   DANIEL       L           "</f>
        <v xml:space="preserve">RAINES                   DANIEL       L           </v>
      </c>
      <c r="E3762" t="str">
        <f>"KENNER                    "</f>
        <v xml:space="preserve">KENNER                    </v>
      </c>
      <c r="F3762" t="str">
        <f t="shared" si="159"/>
        <v>LA</v>
      </c>
    </row>
    <row r="3763" spans="1:6" x14ac:dyDescent="0.25">
      <c r="A3763" t="str">
        <f>"200003663"</f>
        <v>200003663</v>
      </c>
      <c r="B3763" t="str">
        <f>"1932896388"</f>
        <v>1932896388</v>
      </c>
      <c r="C3763" t="str">
        <f>"363L00000X"</f>
        <v>363L00000X</v>
      </c>
      <c r="D3763" t="str">
        <f>"MILEY                    SYDNEY       N           "</f>
        <v xml:space="preserve">MILEY                    SYDNEY       N           </v>
      </c>
      <c r="E3763" t="str">
        <f>"SLIDELL                   "</f>
        <v xml:space="preserve">SLIDELL                   </v>
      </c>
      <c r="F3763" t="str">
        <f t="shared" si="159"/>
        <v>LA</v>
      </c>
    </row>
    <row r="3764" spans="1:6" x14ac:dyDescent="0.25">
      <c r="A3764" t="str">
        <f>"200003672"</f>
        <v>200003672</v>
      </c>
      <c r="B3764" t="str">
        <f>"1134650815"</f>
        <v>1134650815</v>
      </c>
      <c r="C3764" t="str">
        <f>"2085R0204X"</f>
        <v>2085R0204X</v>
      </c>
      <c r="D3764" t="str">
        <f>"LANEY IV                 DAN          F           "</f>
        <v xml:space="preserve">LANEY IV                 DAN          F           </v>
      </c>
      <c r="E3764" t="str">
        <f>"NEW ORLEANS               "</f>
        <v xml:space="preserve">NEW ORLEANS               </v>
      </c>
      <c r="F3764" t="str">
        <f t="shared" si="159"/>
        <v>LA</v>
      </c>
    </row>
    <row r="3765" spans="1:6" x14ac:dyDescent="0.25">
      <c r="A3765" t="str">
        <f>"200003675"</f>
        <v>200003675</v>
      </c>
      <c r="B3765" t="str">
        <f>"1316928260"</f>
        <v>1316928260</v>
      </c>
      <c r="C3765" t="str">
        <f>"207R00000X"</f>
        <v>207R00000X</v>
      </c>
      <c r="D3765" t="str">
        <f>"VOELKER III              FRANK                    "</f>
        <v xml:space="preserve">VOELKER III              FRANK                    </v>
      </c>
      <c r="E3765" t="str">
        <f>"BOGALUSA                  "</f>
        <v xml:space="preserve">BOGALUSA                  </v>
      </c>
      <c r="F3765" t="str">
        <f t="shared" si="159"/>
        <v>LA</v>
      </c>
    </row>
    <row r="3766" spans="1:6" x14ac:dyDescent="0.25">
      <c r="A3766" t="str">
        <f>"200003721"</f>
        <v>200003721</v>
      </c>
      <c r="B3766" t="str">
        <f>"1003109364"</f>
        <v>1003109364</v>
      </c>
      <c r="C3766" t="str">
        <f>"207RH0003X"</f>
        <v>207RH0003X</v>
      </c>
      <c r="D3766" t="str">
        <f>"HALBERT                  BRIAN                    "</f>
        <v xml:space="preserve">HALBERT                  BRIAN                    </v>
      </c>
      <c r="E3766" t="str">
        <f>"NEW ORLEANS               "</f>
        <v xml:space="preserve">NEW ORLEANS               </v>
      </c>
      <c r="F3766" t="str">
        <f t="shared" si="159"/>
        <v>LA</v>
      </c>
    </row>
    <row r="3767" spans="1:6" x14ac:dyDescent="0.25">
      <c r="A3767" t="str">
        <f>"200003739"</f>
        <v>200003739</v>
      </c>
      <c r="B3767" t="str">
        <f>"1689069296"</f>
        <v>1689069296</v>
      </c>
      <c r="C3767" t="str">
        <f>"2085R0204X"</f>
        <v>2085R0204X</v>
      </c>
      <c r="D3767" t="str">
        <f>"DEMARIS                  DARRYL                   "</f>
        <v xml:space="preserve">DEMARIS                  DARRYL                   </v>
      </c>
      <c r="E3767" t="str">
        <f>"HAMMOND                   "</f>
        <v xml:space="preserve">HAMMOND                   </v>
      </c>
      <c r="F3767" t="str">
        <f t="shared" si="159"/>
        <v>LA</v>
      </c>
    </row>
    <row r="3768" spans="1:6" x14ac:dyDescent="0.25">
      <c r="A3768" t="str">
        <f>"200003742"</f>
        <v>200003742</v>
      </c>
      <c r="B3768" t="str">
        <f>"1255340949"</f>
        <v>1255340949</v>
      </c>
      <c r="C3768" t="str">
        <f>"2085R0202X"</f>
        <v>2085R0202X</v>
      </c>
      <c r="D3768" t="str">
        <f>"BLAUDEAU                 ERICK                    "</f>
        <v xml:space="preserve">BLAUDEAU                 ERICK                    </v>
      </c>
      <c r="E3768" t="str">
        <f>"NEW ORLEANS               "</f>
        <v xml:space="preserve">NEW ORLEANS               </v>
      </c>
      <c r="F3768" t="str">
        <f t="shared" si="159"/>
        <v>LA</v>
      </c>
    </row>
    <row r="3769" spans="1:6" x14ac:dyDescent="0.25">
      <c r="A3769" t="str">
        <f>"200003774"</f>
        <v>200003774</v>
      </c>
      <c r="B3769" t="str">
        <f>"1194133504"</f>
        <v>1194133504</v>
      </c>
      <c r="C3769" t="str">
        <f>"2086S0122X"</f>
        <v>2086S0122X</v>
      </c>
      <c r="D3769" t="str">
        <f>"SMITH                    CHRISTOPHER  R           "</f>
        <v xml:space="preserve">SMITH                    CHRISTOPHER  R           </v>
      </c>
      <c r="E3769" t="str">
        <f>"NEW ORLEANS               "</f>
        <v xml:space="preserve">NEW ORLEANS               </v>
      </c>
      <c r="F3769" t="str">
        <f t="shared" si="159"/>
        <v>LA</v>
      </c>
    </row>
    <row r="3770" spans="1:6" x14ac:dyDescent="0.25">
      <c r="A3770" t="str">
        <f>"200003784"</f>
        <v>200003784</v>
      </c>
      <c r="B3770" t="str">
        <f>"1710605084"</f>
        <v>1710605084</v>
      </c>
      <c r="C3770" t="str">
        <f>"363A00000X"</f>
        <v>363A00000X</v>
      </c>
      <c r="D3770" t="str">
        <f>"LOWE                     MIA          M           "</f>
        <v xml:space="preserve">LOWE                     MIA          M           </v>
      </c>
      <c r="E3770" t="str">
        <f>"NEW ORLEANS               "</f>
        <v xml:space="preserve">NEW ORLEANS               </v>
      </c>
      <c r="F3770" t="str">
        <f t="shared" si="159"/>
        <v>LA</v>
      </c>
    </row>
    <row r="3771" spans="1:6" x14ac:dyDescent="0.25">
      <c r="A3771" t="str">
        <f>"200003820"</f>
        <v>200003820</v>
      </c>
      <c r="B3771" t="str">
        <f>"1104599315"</f>
        <v>1104599315</v>
      </c>
      <c r="C3771" t="str">
        <f>"363A00000X"</f>
        <v>363A00000X</v>
      </c>
      <c r="D3771" t="str">
        <f>"JENKINS                  IAN          J           "</f>
        <v xml:space="preserve">JENKINS                  IAN          J           </v>
      </c>
      <c r="E3771" t="str">
        <f>"NEW ORLEANS               "</f>
        <v xml:space="preserve">NEW ORLEANS               </v>
      </c>
      <c r="F3771" t="str">
        <f t="shared" si="159"/>
        <v>LA</v>
      </c>
    </row>
    <row r="3772" spans="1:6" x14ac:dyDescent="0.25">
      <c r="A3772" t="str">
        <f>"200003831"</f>
        <v>200003831</v>
      </c>
      <c r="B3772" t="str">
        <f>"1013478668"</f>
        <v>1013478668</v>
      </c>
      <c r="C3772" t="str">
        <f>"207R00000X"</f>
        <v>207R00000X</v>
      </c>
      <c r="D3772" t="str">
        <f>"THOTA                    PAVANKUMAR               "</f>
        <v xml:space="preserve">THOTA                    PAVANKUMAR               </v>
      </c>
      <c r="E3772" t="str">
        <f>"NEW ORLEANS               "</f>
        <v xml:space="preserve">NEW ORLEANS               </v>
      </c>
      <c r="F3772" t="str">
        <f t="shared" si="159"/>
        <v>LA</v>
      </c>
    </row>
    <row r="3773" spans="1:6" x14ac:dyDescent="0.25">
      <c r="A3773" t="str">
        <f>"200003843"</f>
        <v>200003843</v>
      </c>
      <c r="B3773" t="str">
        <f>"1467183590"</f>
        <v>1467183590</v>
      </c>
      <c r="C3773" t="str">
        <f>"363A00000X"</f>
        <v>363A00000X</v>
      </c>
      <c r="D3773" t="str">
        <f>"BOLOGNA                  NICHOLAS     J           "</f>
        <v xml:space="preserve">BOLOGNA                  NICHOLAS     J           </v>
      </c>
      <c r="E3773" t="str">
        <f>"TERRYTOWN                 "</f>
        <v xml:space="preserve">TERRYTOWN                 </v>
      </c>
      <c r="F3773" t="str">
        <f t="shared" si="159"/>
        <v>LA</v>
      </c>
    </row>
    <row r="3774" spans="1:6" x14ac:dyDescent="0.25">
      <c r="A3774" t="str">
        <f>"200003863"</f>
        <v>200003863</v>
      </c>
      <c r="B3774" t="str">
        <f>"1376279356"</f>
        <v>1376279356</v>
      </c>
      <c r="C3774" t="str">
        <f>"152W00000X"</f>
        <v>152W00000X</v>
      </c>
      <c r="D3774" t="str">
        <f>"VERGES                   ROBBILYN                 "</f>
        <v xml:space="preserve">VERGES                   ROBBILYN                 </v>
      </c>
      <c r="E3774" t="str">
        <f>"COVINGTON                 "</f>
        <v xml:space="preserve">COVINGTON                 </v>
      </c>
      <c r="F3774" t="str">
        <f t="shared" si="159"/>
        <v>LA</v>
      </c>
    </row>
    <row r="3775" spans="1:6" x14ac:dyDescent="0.25">
      <c r="A3775" t="str">
        <f>"200003895"</f>
        <v>200003895</v>
      </c>
      <c r="B3775" t="str">
        <f>"1366829723"</f>
        <v>1366829723</v>
      </c>
      <c r="C3775" t="str">
        <f>"367500000X"</f>
        <v>367500000X</v>
      </c>
      <c r="D3775" t="str">
        <f>"HUERSTEL                 CHRISTY      C           "</f>
        <v xml:space="preserve">HUERSTEL                 CHRISTY      C           </v>
      </c>
      <c r="E3775" t="str">
        <f>"NEW ORLEANS               "</f>
        <v xml:space="preserve">NEW ORLEANS               </v>
      </c>
      <c r="F3775" t="str">
        <f t="shared" si="159"/>
        <v>LA</v>
      </c>
    </row>
    <row r="3776" spans="1:6" x14ac:dyDescent="0.25">
      <c r="A3776" t="str">
        <f>"200003932"</f>
        <v>200003932</v>
      </c>
      <c r="B3776" t="str">
        <f>"1265744270"</f>
        <v>1265744270</v>
      </c>
      <c r="C3776" t="str">
        <f>"207P00000X"</f>
        <v>207P00000X</v>
      </c>
      <c r="D3776" t="str">
        <f>"RAMSEY                   BRAD                     "</f>
        <v xml:space="preserve">RAMSEY                   BRAD                     </v>
      </c>
      <c r="E3776" t="str">
        <f>"STFRANCISVILLE            "</f>
        <v xml:space="preserve">STFRANCISVILLE            </v>
      </c>
      <c r="F3776" t="str">
        <f t="shared" si="159"/>
        <v>LA</v>
      </c>
    </row>
    <row r="3777" spans="1:6" x14ac:dyDescent="0.25">
      <c r="A3777" t="str">
        <f>"200003946"</f>
        <v>200003946</v>
      </c>
      <c r="B3777" t="str">
        <f>"1184260259"</f>
        <v>1184260259</v>
      </c>
      <c r="C3777" t="str">
        <f>"363L00000X"</f>
        <v>363L00000X</v>
      </c>
      <c r="D3777" t="str">
        <f>"DEVAY                    REGHAN       R           "</f>
        <v xml:space="preserve">DEVAY                    REGHAN       R           </v>
      </c>
      <c r="E3777" t="str">
        <f>"NEW ORLEANS               "</f>
        <v xml:space="preserve">NEW ORLEANS               </v>
      </c>
      <c r="F3777" t="str">
        <f t="shared" si="159"/>
        <v>LA</v>
      </c>
    </row>
    <row r="3778" spans="1:6" x14ac:dyDescent="0.25">
      <c r="A3778" t="str">
        <f>"200003960"</f>
        <v>200003960</v>
      </c>
      <c r="B3778" t="str">
        <f>"1215349451"</f>
        <v>1215349451</v>
      </c>
      <c r="C3778" t="str">
        <f>"207R00000X"</f>
        <v>207R00000X</v>
      </c>
      <c r="D3778" t="str">
        <f>"ANUGU                    VISWAJIT REDDR           "</f>
        <v xml:space="preserve">ANUGU                    VISWAJIT REDDR           </v>
      </c>
      <c r="E3778" t="str">
        <f>"SLIDELL                   "</f>
        <v xml:space="preserve">SLIDELL                   </v>
      </c>
      <c r="F3778" t="str">
        <f t="shared" si="159"/>
        <v>LA</v>
      </c>
    </row>
    <row r="3779" spans="1:6" x14ac:dyDescent="0.25">
      <c r="A3779" t="str">
        <f>"200003980"</f>
        <v>200003980</v>
      </c>
      <c r="B3779" t="str">
        <f>"1124001656"</f>
        <v>1124001656</v>
      </c>
      <c r="C3779" t="str">
        <f>"2085R0202X"</f>
        <v>2085R0202X</v>
      </c>
      <c r="D3779" t="str">
        <f>"NEWSOME                  ROBERT                   "</f>
        <v xml:space="preserve">NEWSOME                  ROBERT                   </v>
      </c>
      <c r="E3779" t="str">
        <f>"HAMMOND                   "</f>
        <v xml:space="preserve">HAMMOND                   </v>
      </c>
      <c r="F3779" t="str">
        <f t="shared" si="159"/>
        <v>LA</v>
      </c>
    </row>
    <row r="3780" spans="1:6" x14ac:dyDescent="0.25">
      <c r="A3780" t="str">
        <f>"200004000"</f>
        <v>200004000</v>
      </c>
      <c r="B3780" t="str">
        <f>"1497778146"</f>
        <v>1497778146</v>
      </c>
      <c r="C3780" t="str">
        <f>"2085R0202X"</f>
        <v>2085R0202X</v>
      </c>
      <c r="D3780" t="str">
        <f>"BRANSTETTER              ROBERT                   "</f>
        <v xml:space="preserve">BRANSTETTER              ROBERT                   </v>
      </c>
      <c r="E3780" t="str">
        <f>"HAMMOND                   "</f>
        <v xml:space="preserve">HAMMOND                   </v>
      </c>
      <c r="F3780" t="str">
        <f t="shared" si="159"/>
        <v>LA</v>
      </c>
    </row>
    <row r="3781" spans="1:6" x14ac:dyDescent="0.25">
      <c r="A3781" t="str">
        <f>"200004022"</f>
        <v>200004022</v>
      </c>
      <c r="B3781" t="str">
        <f>"1790774081"</f>
        <v>1790774081</v>
      </c>
      <c r="C3781" t="str">
        <f>"2084P0800X"</f>
        <v>2084P0800X</v>
      </c>
      <c r="D3781" t="str">
        <f>"MUKHTAR-BENGHOZI         TAWFIK                   "</f>
        <v xml:space="preserve">MUKHTAR-BENGHOZI         TAWFIK                   </v>
      </c>
      <c r="E3781" t="str">
        <f>"ALEXANDRIA                "</f>
        <v xml:space="preserve">ALEXANDRIA                </v>
      </c>
      <c r="F3781" t="str">
        <f t="shared" si="159"/>
        <v>LA</v>
      </c>
    </row>
    <row r="3782" spans="1:6" x14ac:dyDescent="0.25">
      <c r="A3782" t="str">
        <f>"200004032"</f>
        <v>200004032</v>
      </c>
      <c r="B3782" t="str">
        <f>"1477058006"</f>
        <v>1477058006</v>
      </c>
      <c r="C3782" t="str">
        <f>"207V00000X"</f>
        <v>207V00000X</v>
      </c>
      <c r="D3782" t="str">
        <f>"BURGER                   LILLIAN      F           "</f>
        <v xml:space="preserve">BURGER                   LILLIAN      F           </v>
      </c>
      <c r="E3782" t="str">
        <f>"METAIRIE                  "</f>
        <v xml:space="preserve">METAIRIE                  </v>
      </c>
      <c r="F3782" t="str">
        <f t="shared" si="159"/>
        <v>LA</v>
      </c>
    </row>
    <row r="3783" spans="1:6" x14ac:dyDescent="0.25">
      <c r="A3783" t="str">
        <f>"200004055"</f>
        <v>200004055</v>
      </c>
      <c r="B3783" t="str">
        <f>"1811509748"</f>
        <v>1811509748</v>
      </c>
      <c r="C3783" t="str">
        <f>"367500000X"</f>
        <v>367500000X</v>
      </c>
      <c r="D3783" t="str">
        <f>"NEWELL                   MARY         C           "</f>
        <v xml:space="preserve">NEWELL                   MARY         C           </v>
      </c>
      <c r="E3783" t="str">
        <f>"COVINGTON                 "</f>
        <v xml:space="preserve">COVINGTON                 </v>
      </c>
      <c r="F3783" t="str">
        <f t="shared" si="159"/>
        <v>LA</v>
      </c>
    </row>
    <row r="3784" spans="1:6" x14ac:dyDescent="0.25">
      <c r="A3784" t="str">
        <f>"200004058"</f>
        <v>200004058</v>
      </c>
      <c r="B3784" t="str">
        <f>"1659908069"</f>
        <v>1659908069</v>
      </c>
      <c r="C3784" t="str">
        <f>"208D00000X"</f>
        <v>208D00000X</v>
      </c>
      <c r="D3784" t="str">
        <f>"CRIMMINS                 IAN                      "</f>
        <v xml:space="preserve">CRIMMINS                 IAN                      </v>
      </c>
      <c r="E3784" t="str">
        <f>"BOGALUSA                  "</f>
        <v xml:space="preserve">BOGALUSA                  </v>
      </c>
      <c r="F3784" t="str">
        <f t="shared" si="159"/>
        <v>LA</v>
      </c>
    </row>
    <row r="3785" spans="1:6" x14ac:dyDescent="0.25">
      <c r="A3785" t="str">
        <f>"200004061"</f>
        <v>200004061</v>
      </c>
      <c r="B3785" t="str">
        <f>"1417498742"</f>
        <v>1417498742</v>
      </c>
      <c r="C3785" t="str">
        <f>"208000000X"</f>
        <v>208000000X</v>
      </c>
      <c r="D3785" t="str">
        <f>"DAVIS                    EVAN         J           "</f>
        <v xml:space="preserve">DAVIS                    EVAN         J           </v>
      </c>
      <c r="E3785" t="str">
        <f>"METAIRIE                  "</f>
        <v xml:space="preserve">METAIRIE                  </v>
      </c>
      <c r="F3785" t="str">
        <f t="shared" si="159"/>
        <v>LA</v>
      </c>
    </row>
    <row r="3786" spans="1:6" x14ac:dyDescent="0.25">
      <c r="A3786" t="str">
        <f>"200004065"</f>
        <v>200004065</v>
      </c>
      <c r="B3786" t="str">
        <f>"1528418894"</f>
        <v>1528418894</v>
      </c>
      <c r="C3786" t="str">
        <f>"207T00000X"</f>
        <v>207T00000X</v>
      </c>
      <c r="D3786" t="str">
        <f>"CARTER                   SAMUEL       L           "</f>
        <v xml:space="preserve">CARTER                   SAMUEL       L           </v>
      </c>
      <c r="E3786" t="str">
        <f>"NEW ORLEANS               "</f>
        <v xml:space="preserve">NEW ORLEANS               </v>
      </c>
      <c r="F3786" t="str">
        <f t="shared" si="159"/>
        <v>LA</v>
      </c>
    </row>
    <row r="3787" spans="1:6" x14ac:dyDescent="0.25">
      <c r="A3787" t="str">
        <f>"200004123"</f>
        <v>200004123</v>
      </c>
      <c r="B3787" t="str">
        <f>"1932192507"</f>
        <v>1932192507</v>
      </c>
      <c r="C3787" t="str">
        <f>"208000000X"</f>
        <v>208000000X</v>
      </c>
      <c r="D3787" t="str">
        <f>"WILLIAMS                 KIMIYO                   "</f>
        <v xml:space="preserve">WILLIAMS                 KIMIYO                   </v>
      </c>
      <c r="E3787" t="str">
        <f>"NEW ORLEANS               "</f>
        <v xml:space="preserve">NEW ORLEANS               </v>
      </c>
      <c r="F3787" t="str">
        <f t="shared" si="159"/>
        <v>LA</v>
      </c>
    </row>
    <row r="3788" spans="1:6" x14ac:dyDescent="0.25">
      <c r="A3788" t="str">
        <f>"200004126"</f>
        <v>200004126</v>
      </c>
      <c r="B3788" t="str">
        <f>"1073565370"</f>
        <v>1073565370</v>
      </c>
      <c r="C3788" t="str">
        <f>"207P00000X"</f>
        <v>207P00000X</v>
      </c>
      <c r="D3788" t="str">
        <f>"BICKHAM                  EWELL                    "</f>
        <v xml:space="preserve">BICKHAM                  EWELL                    </v>
      </c>
      <c r="E3788" t="str">
        <f>"SAINT FRANCISVILLE        "</f>
        <v xml:space="preserve">SAINT FRANCISVILLE        </v>
      </c>
      <c r="F3788" t="str">
        <f t="shared" si="159"/>
        <v>LA</v>
      </c>
    </row>
    <row r="3789" spans="1:6" x14ac:dyDescent="0.25">
      <c r="A3789" t="str">
        <f>"200004145"</f>
        <v>200004145</v>
      </c>
      <c r="B3789" t="str">
        <f>"1124522545"</f>
        <v>1124522545</v>
      </c>
      <c r="C3789" t="str">
        <f>"207P00000X"</f>
        <v>207P00000X</v>
      </c>
      <c r="D3789" t="str">
        <f>"LURYE                    HANNA        K           "</f>
        <v xml:space="preserve">LURYE                    HANNA        K           </v>
      </c>
      <c r="E3789" t="str">
        <f>"KENNER                    "</f>
        <v xml:space="preserve">KENNER                    </v>
      </c>
      <c r="F3789" t="str">
        <f t="shared" si="159"/>
        <v>LA</v>
      </c>
    </row>
    <row r="3790" spans="1:6" x14ac:dyDescent="0.25">
      <c r="A3790" t="str">
        <f>"200004208"</f>
        <v>200004208</v>
      </c>
      <c r="B3790" t="str">
        <f>"1093150104"</f>
        <v>1093150104</v>
      </c>
      <c r="C3790" t="str">
        <f>"208100000X"</f>
        <v>208100000X</v>
      </c>
      <c r="D3790" t="str">
        <f>"MORAN                    STEPHEN      P           "</f>
        <v xml:space="preserve">MORAN                    STEPHEN      P           </v>
      </c>
      <c r="E3790" t="str">
        <f>"LACOMBE                   "</f>
        <v xml:space="preserve">LACOMBE                   </v>
      </c>
      <c r="F3790" t="str">
        <f t="shared" si="159"/>
        <v>LA</v>
      </c>
    </row>
    <row r="3791" spans="1:6" x14ac:dyDescent="0.25">
      <c r="A3791" t="str">
        <f>"200004233"</f>
        <v>200004233</v>
      </c>
      <c r="B3791" t="str">
        <f>"1376997684"</f>
        <v>1376997684</v>
      </c>
      <c r="C3791" t="str">
        <f>"207R00000X"</f>
        <v>207R00000X</v>
      </c>
      <c r="D3791" t="str">
        <f>"STERNLIEB                SARAH        J           "</f>
        <v xml:space="preserve">STERNLIEB                SARAH        J           </v>
      </c>
      <c r="E3791" t="str">
        <f>"NEW ORLEANS               "</f>
        <v xml:space="preserve">NEW ORLEANS               </v>
      </c>
      <c r="F3791" t="str">
        <f t="shared" si="159"/>
        <v>LA</v>
      </c>
    </row>
    <row r="3792" spans="1:6" x14ac:dyDescent="0.25">
      <c r="A3792" t="str">
        <f>"200004327"</f>
        <v>200004327</v>
      </c>
      <c r="B3792" t="str">
        <f>"1710266655"</f>
        <v>1710266655</v>
      </c>
      <c r="C3792" t="str">
        <f>"207RE0101X"</f>
        <v>207RE0101X</v>
      </c>
      <c r="D3792" t="str">
        <f>"RAI                      SWARNA       P           "</f>
        <v xml:space="preserve">RAI                      SWARNA       P           </v>
      </c>
      <c r="E3792" t="str">
        <f>"METAIRIE                  "</f>
        <v xml:space="preserve">METAIRIE                  </v>
      </c>
      <c r="F3792" t="str">
        <f t="shared" si="159"/>
        <v>LA</v>
      </c>
    </row>
    <row r="3793" spans="1:6" x14ac:dyDescent="0.25">
      <c r="A3793" t="str">
        <f>"200004352"</f>
        <v>200004352</v>
      </c>
      <c r="B3793" t="str">
        <f>"1730537622"</f>
        <v>1730537622</v>
      </c>
      <c r="C3793" t="str">
        <f>"208000000X"</f>
        <v>208000000X</v>
      </c>
      <c r="D3793" t="str">
        <f>"NASWORTHY                MANDY        W           "</f>
        <v xml:space="preserve">NASWORTHY                MANDY        W           </v>
      </c>
      <c r="E3793" t="str">
        <f>"NEW ORLEANS               "</f>
        <v xml:space="preserve">NEW ORLEANS               </v>
      </c>
      <c r="F3793" t="str">
        <f t="shared" si="159"/>
        <v>LA</v>
      </c>
    </row>
    <row r="3794" spans="1:6" x14ac:dyDescent="0.25">
      <c r="A3794" t="str">
        <f>"200004382"</f>
        <v>200004382</v>
      </c>
      <c r="B3794" t="str">
        <f>"1407387038"</f>
        <v>1407387038</v>
      </c>
      <c r="C3794" t="str">
        <f>"208000000X"</f>
        <v>208000000X</v>
      </c>
      <c r="D3794" t="str">
        <f>"CARVER                   MICHAEL      H           "</f>
        <v xml:space="preserve">CARVER                   MICHAEL      H           </v>
      </c>
      <c r="E3794" t="str">
        <f>"NEW ORLEANS               "</f>
        <v xml:space="preserve">NEW ORLEANS               </v>
      </c>
      <c r="F3794" t="str">
        <f t="shared" si="159"/>
        <v>LA</v>
      </c>
    </row>
    <row r="3795" spans="1:6" x14ac:dyDescent="0.25">
      <c r="A3795" t="str">
        <f>"200004391"</f>
        <v>200004391</v>
      </c>
      <c r="B3795" t="str">
        <f>"1376982223"</f>
        <v>1376982223</v>
      </c>
      <c r="C3795" t="str">
        <f>"207RH0003X"</f>
        <v>207RH0003X</v>
      </c>
      <c r="D3795" t="str">
        <f>"MALIK                    FAIZAN                   "</f>
        <v xml:space="preserve">MALIK                    FAIZAN                   </v>
      </c>
      <c r="E3795" t="str">
        <f>"BATON ROUGE               "</f>
        <v xml:space="preserve">BATON ROUGE               </v>
      </c>
      <c r="F3795" t="str">
        <f t="shared" si="159"/>
        <v>LA</v>
      </c>
    </row>
    <row r="3796" spans="1:6" x14ac:dyDescent="0.25">
      <c r="A3796" t="str">
        <f>"200004412"</f>
        <v>200004412</v>
      </c>
      <c r="B3796" t="str">
        <f>"1073218046"</f>
        <v>1073218046</v>
      </c>
      <c r="C3796" t="str">
        <f>"363A00000X"</f>
        <v>363A00000X</v>
      </c>
      <c r="D3796" t="str">
        <f>"KINCAIDE                 KELLY        M           "</f>
        <v xml:space="preserve">KINCAIDE                 KELLY        M           </v>
      </c>
      <c r="E3796" t="str">
        <f>"NEW ORLEANS               "</f>
        <v xml:space="preserve">NEW ORLEANS               </v>
      </c>
      <c r="F3796" t="str">
        <f t="shared" si="159"/>
        <v>LA</v>
      </c>
    </row>
    <row r="3797" spans="1:6" x14ac:dyDescent="0.25">
      <c r="A3797" t="str">
        <f>"200004559"</f>
        <v>200004559</v>
      </c>
      <c r="B3797" t="str">
        <f>"1407965502"</f>
        <v>1407965502</v>
      </c>
      <c r="C3797" t="str">
        <f>"2085P0229X"</f>
        <v>2085P0229X</v>
      </c>
      <c r="D3797" t="str">
        <f>"HAYMON                   MARIE-LOUISE             "</f>
        <v xml:space="preserve">HAYMON                   MARIE-LOUISE             </v>
      </c>
      <c r="E3797" t="str">
        <f>"NEW ORLEANS               "</f>
        <v xml:space="preserve">NEW ORLEANS               </v>
      </c>
      <c r="F3797" t="str">
        <f t="shared" si="159"/>
        <v>LA</v>
      </c>
    </row>
    <row r="3798" spans="1:6" x14ac:dyDescent="0.25">
      <c r="A3798" t="str">
        <f>"200004608"</f>
        <v>200004608</v>
      </c>
      <c r="B3798" t="str">
        <f>"1801391016"</f>
        <v>1801391016</v>
      </c>
      <c r="C3798" t="str">
        <f>"207P00000X"</f>
        <v>207P00000X</v>
      </c>
      <c r="D3798" t="str">
        <f>"SACCOCCIA                BEAU         P           "</f>
        <v xml:space="preserve">SACCOCCIA                BEAU         P           </v>
      </c>
      <c r="E3798" t="str">
        <f>"TERRYTOWN                 "</f>
        <v xml:space="preserve">TERRYTOWN                 </v>
      </c>
      <c r="F3798" t="str">
        <f t="shared" si="159"/>
        <v>LA</v>
      </c>
    </row>
    <row r="3799" spans="1:6" x14ac:dyDescent="0.25">
      <c r="A3799" t="str">
        <f>"200004694"</f>
        <v>200004694</v>
      </c>
      <c r="B3799" t="str">
        <f>"1215357603"</f>
        <v>1215357603</v>
      </c>
      <c r="C3799" t="str">
        <f>"207T00000X"</f>
        <v>207T00000X</v>
      </c>
      <c r="D3799" t="str">
        <f>"RIFFLE                   JONATHAN     W           "</f>
        <v xml:space="preserve">RIFFLE                   JONATHAN     W           </v>
      </c>
      <c r="E3799" t="str">
        <f>"NEW ORLEANS               "</f>
        <v xml:space="preserve">NEW ORLEANS               </v>
      </c>
      <c r="F3799" t="str">
        <f t="shared" si="159"/>
        <v>LA</v>
      </c>
    </row>
    <row r="3800" spans="1:6" x14ac:dyDescent="0.25">
      <c r="A3800" t="str">
        <f>"200004703"</f>
        <v>200004703</v>
      </c>
      <c r="B3800" t="str">
        <f>"1639603624"</f>
        <v>1639603624</v>
      </c>
      <c r="C3800" t="str">
        <f>"2085R0202X"</f>
        <v>2085R0202X</v>
      </c>
      <c r="D3800" t="str">
        <f>"KANWAR                   ANANDRAJ                 "</f>
        <v xml:space="preserve">KANWAR                   ANANDRAJ                 </v>
      </c>
      <c r="E3800" t="str">
        <f>"NEW ORLEANS               "</f>
        <v xml:space="preserve">NEW ORLEANS               </v>
      </c>
      <c r="F3800" t="str">
        <f t="shared" si="159"/>
        <v>LA</v>
      </c>
    </row>
    <row r="3801" spans="1:6" x14ac:dyDescent="0.25">
      <c r="A3801" t="str">
        <f>"200004720"</f>
        <v>200004720</v>
      </c>
      <c r="B3801" t="str">
        <f>"1982895827"</f>
        <v>1982895827</v>
      </c>
      <c r="C3801" t="str">
        <f>"207R00000X"</f>
        <v>207R00000X</v>
      </c>
      <c r="D3801" t="str">
        <f>"THUMMA                   VIJAY                    "</f>
        <v xml:space="preserve">THUMMA                   VIJAY                    </v>
      </c>
      <c r="E3801" t="str">
        <f>"HAMMOND                   "</f>
        <v xml:space="preserve">HAMMOND                   </v>
      </c>
      <c r="F3801" t="str">
        <f t="shared" si="159"/>
        <v>LA</v>
      </c>
    </row>
    <row r="3802" spans="1:6" x14ac:dyDescent="0.25">
      <c r="A3802" t="str">
        <f>"200004730"</f>
        <v>200004730</v>
      </c>
      <c r="B3802" t="str">
        <f>"1346713930"</f>
        <v>1346713930</v>
      </c>
      <c r="C3802" t="str">
        <f>"363A00000X"</f>
        <v>363A00000X</v>
      </c>
      <c r="D3802" t="str">
        <f>"GONZALEZ                 AMY          P           "</f>
        <v xml:space="preserve">GONZALEZ                 AMY          P           </v>
      </c>
      <c r="E3802" t="str">
        <f>"COVINGTON                 "</f>
        <v xml:space="preserve">COVINGTON                 </v>
      </c>
      <c r="F3802" t="str">
        <f t="shared" si="159"/>
        <v>LA</v>
      </c>
    </row>
    <row r="3803" spans="1:6" x14ac:dyDescent="0.25">
      <c r="A3803" t="str">
        <f>"200004749"</f>
        <v>200004749</v>
      </c>
      <c r="B3803" t="str">
        <f>"1669091153"</f>
        <v>1669091153</v>
      </c>
      <c r="C3803" t="str">
        <f>"207Q00000X"</f>
        <v>207Q00000X</v>
      </c>
      <c r="D3803" t="str">
        <f>"TRIAY                    CHRISTIAN                "</f>
        <v xml:space="preserve">TRIAY                    CHRISTIAN                </v>
      </c>
      <c r="E3803" t="str">
        <f>"HAMMOND                   "</f>
        <v xml:space="preserve">HAMMOND                   </v>
      </c>
      <c r="F3803" t="str">
        <f t="shared" ref="F3803:F3866" si="160">"LA"</f>
        <v>LA</v>
      </c>
    </row>
    <row r="3804" spans="1:6" x14ac:dyDescent="0.25">
      <c r="A3804" t="str">
        <f>"200004869"</f>
        <v>200004869</v>
      </c>
      <c r="B3804" t="str">
        <f>"1194428821"</f>
        <v>1194428821</v>
      </c>
      <c r="C3804" t="str">
        <f>"363A00000X"</f>
        <v>363A00000X</v>
      </c>
      <c r="D3804" t="str">
        <f>"LEWIS                    SARAH        M           "</f>
        <v xml:space="preserve">LEWIS                    SARAH        M           </v>
      </c>
      <c r="E3804" t="str">
        <f t="shared" ref="E3804:E3811" si="161">"NEW ORLEANS               "</f>
        <v xml:space="preserve">NEW ORLEANS               </v>
      </c>
      <c r="F3804" t="str">
        <f t="shared" si="160"/>
        <v>LA</v>
      </c>
    </row>
    <row r="3805" spans="1:6" x14ac:dyDescent="0.25">
      <c r="A3805" t="str">
        <f>"200004872"</f>
        <v>200004872</v>
      </c>
      <c r="B3805" t="str">
        <f>"1356027510"</f>
        <v>1356027510</v>
      </c>
      <c r="C3805" t="str">
        <f>"363A00000X"</f>
        <v>363A00000X</v>
      </c>
      <c r="D3805" t="str">
        <f>"GREGORY                  HALEY        E           "</f>
        <v xml:space="preserve">GREGORY                  HALEY        E           </v>
      </c>
      <c r="E3805" t="str">
        <f t="shared" si="161"/>
        <v xml:space="preserve">NEW ORLEANS               </v>
      </c>
      <c r="F3805" t="str">
        <f t="shared" si="160"/>
        <v>LA</v>
      </c>
    </row>
    <row r="3806" spans="1:6" x14ac:dyDescent="0.25">
      <c r="A3806" t="str">
        <f>"200004907"</f>
        <v>200004907</v>
      </c>
      <c r="B3806" t="str">
        <f>"1861871212"</f>
        <v>1861871212</v>
      </c>
      <c r="C3806" t="str">
        <f>"207RG0100X"</f>
        <v>207RG0100X</v>
      </c>
      <c r="D3806" t="str">
        <f>"PATEL                    NEEJ         J           "</f>
        <v xml:space="preserve">PATEL                    NEEJ         J           </v>
      </c>
      <c r="E3806" t="str">
        <f t="shared" si="161"/>
        <v xml:space="preserve">NEW ORLEANS               </v>
      </c>
      <c r="F3806" t="str">
        <f t="shared" si="160"/>
        <v>LA</v>
      </c>
    </row>
    <row r="3807" spans="1:6" x14ac:dyDescent="0.25">
      <c r="A3807" t="str">
        <f>"200004940"</f>
        <v>200004940</v>
      </c>
      <c r="B3807" t="str">
        <f>"1700264793"</f>
        <v>1700264793</v>
      </c>
      <c r="C3807" t="str">
        <f>"208000000X"</f>
        <v>208000000X</v>
      </c>
      <c r="D3807" t="str">
        <f>"RAINES                   AMANDA       R           "</f>
        <v xml:space="preserve">RAINES                   AMANDA       R           </v>
      </c>
      <c r="E3807" t="str">
        <f t="shared" si="161"/>
        <v xml:space="preserve">NEW ORLEANS               </v>
      </c>
      <c r="F3807" t="str">
        <f t="shared" si="160"/>
        <v>LA</v>
      </c>
    </row>
    <row r="3808" spans="1:6" x14ac:dyDescent="0.25">
      <c r="A3808" t="str">
        <f>"200004968"</f>
        <v>200004968</v>
      </c>
      <c r="B3808" t="str">
        <f>"1285992651"</f>
        <v>1285992651</v>
      </c>
      <c r="C3808" t="str">
        <f>"208000000X"</f>
        <v>208000000X</v>
      </c>
      <c r="D3808" t="str">
        <f>"CRAGIN                   ALLISON      L           "</f>
        <v xml:space="preserve">CRAGIN                   ALLISON      L           </v>
      </c>
      <c r="E3808" t="str">
        <f t="shared" si="161"/>
        <v xml:space="preserve">NEW ORLEANS               </v>
      </c>
      <c r="F3808" t="str">
        <f t="shared" si="160"/>
        <v>LA</v>
      </c>
    </row>
    <row r="3809" spans="1:6" x14ac:dyDescent="0.25">
      <c r="A3809" t="str">
        <f>"200004974"</f>
        <v>200004974</v>
      </c>
      <c r="B3809" t="str">
        <f>"1376106872"</f>
        <v>1376106872</v>
      </c>
      <c r="C3809" t="str">
        <f>"207R00000X"</f>
        <v>207R00000X</v>
      </c>
      <c r="D3809" t="str">
        <f>"SULTAN                   MOHAMMAD     T           "</f>
        <v xml:space="preserve">SULTAN                   MOHAMMAD     T           </v>
      </c>
      <c r="E3809" t="str">
        <f t="shared" si="161"/>
        <v xml:space="preserve">NEW ORLEANS               </v>
      </c>
      <c r="F3809" t="str">
        <f t="shared" si="160"/>
        <v>LA</v>
      </c>
    </row>
    <row r="3810" spans="1:6" x14ac:dyDescent="0.25">
      <c r="A3810" t="str">
        <f>"200004977"</f>
        <v>200004977</v>
      </c>
      <c r="B3810" t="str">
        <f>"1295041713"</f>
        <v>1295041713</v>
      </c>
      <c r="C3810" t="str">
        <f>"2080P0202X"</f>
        <v>2080P0202X</v>
      </c>
      <c r="D3810" t="str">
        <f>"HAO                      MINGHUA      A           "</f>
        <v xml:space="preserve">HAO                      MINGHUA      A           </v>
      </c>
      <c r="E3810" t="str">
        <f t="shared" si="161"/>
        <v xml:space="preserve">NEW ORLEANS               </v>
      </c>
      <c r="F3810" t="str">
        <f t="shared" si="160"/>
        <v>LA</v>
      </c>
    </row>
    <row r="3811" spans="1:6" x14ac:dyDescent="0.25">
      <c r="A3811" t="str">
        <f>"200005009"</f>
        <v>200005009</v>
      </c>
      <c r="B3811" t="str">
        <f>"1063778579"</f>
        <v>1063778579</v>
      </c>
      <c r="C3811" t="str">
        <f>"207V00000X"</f>
        <v>207V00000X</v>
      </c>
      <c r="D3811" t="str">
        <f>"WERTZ                    JOCELYN      M           "</f>
        <v xml:space="preserve">WERTZ                    JOCELYN      M           </v>
      </c>
      <c r="E3811" t="str">
        <f t="shared" si="161"/>
        <v xml:space="preserve">NEW ORLEANS               </v>
      </c>
      <c r="F3811" t="str">
        <f t="shared" si="160"/>
        <v>LA</v>
      </c>
    </row>
    <row r="3812" spans="1:6" x14ac:dyDescent="0.25">
      <c r="A3812" t="str">
        <f>"200005089"</f>
        <v>200005089</v>
      </c>
      <c r="B3812" t="str">
        <f>"1528023843"</f>
        <v>1528023843</v>
      </c>
      <c r="C3812" t="str">
        <f>"207RH0003X"</f>
        <v>207RH0003X</v>
      </c>
      <c r="D3812" t="str">
        <f>"SAUX                     JACK                     "</f>
        <v xml:space="preserve">SAUX                     JACK                     </v>
      </c>
      <c r="E3812" t="str">
        <f>"COVINGTON                 "</f>
        <v xml:space="preserve">COVINGTON                 </v>
      </c>
      <c r="F3812" t="str">
        <f t="shared" si="160"/>
        <v>LA</v>
      </c>
    </row>
    <row r="3813" spans="1:6" x14ac:dyDescent="0.25">
      <c r="A3813" t="str">
        <f>"200005212"</f>
        <v>200005212</v>
      </c>
      <c r="B3813" t="str">
        <f>"1265936587"</f>
        <v>1265936587</v>
      </c>
      <c r="C3813" t="str">
        <f>"2085R0202X"</f>
        <v>2085R0202X</v>
      </c>
      <c r="D3813" t="str">
        <f>"ROCCO                    MARK                     "</f>
        <v xml:space="preserve">ROCCO                    MARK                     </v>
      </c>
      <c r="E3813" t="str">
        <f>"HAMMOND                   "</f>
        <v xml:space="preserve">HAMMOND                   </v>
      </c>
      <c r="F3813" t="str">
        <f t="shared" si="160"/>
        <v>LA</v>
      </c>
    </row>
    <row r="3814" spans="1:6" x14ac:dyDescent="0.25">
      <c r="A3814" t="str">
        <f>"200005260"</f>
        <v>200005260</v>
      </c>
      <c r="B3814" t="str">
        <f>"1235391384"</f>
        <v>1235391384</v>
      </c>
      <c r="C3814" t="str">
        <f>"2085R0202X"</f>
        <v>2085R0202X</v>
      </c>
      <c r="D3814" t="str">
        <f>"IGI                      MAE                      "</f>
        <v xml:space="preserve">IGI                      MAE                      </v>
      </c>
      <c r="E3814" t="str">
        <f>"HAMMOND                   "</f>
        <v xml:space="preserve">HAMMOND                   </v>
      </c>
      <c r="F3814" t="str">
        <f t="shared" si="160"/>
        <v>LA</v>
      </c>
    </row>
    <row r="3815" spans="1:6" x14ac:dyDescent="0.25">
      <c r="A3815" t="str">
        <f>"200005281"</f>
        <v>200005281</v>
      </c>
      <c r="B3815" t="str">
        <f>"1558914077"</f>
        <v>1558914077</v>
      </c>
      <c r="C3815" t="str">
        <f>"152W00000X"</f>
        <v>152W00000X</v>
      </c>
      <c r="D3815" t="str">
        <f>"DELCAMBRE                ASHLEY       A           "</f>
        <v xml:space="preserve">DELCAMBRE                ASHLEY       A           </v>
      </c>
      <c r="E3815" t="str">
        <f>"NEW ORLEANS               "</f>
        <v xml:space="preserve">NEW ORLEANS               </v>
      </c>
      <c r="F3815" t="str">
        <f t="shared" si="160"/>
        <v>LA</v>
      </c>
    </row>
    <row r="3816" spans="1:6" x14ac:dyDescent="0.25">
      <c r="A3816" t="str">
        <f>"200005420"</f>
        <v>200005420</v>
      </c>
      <c r="B3816" t="str">
        <f>"1588747406"</f>
        <v>1588747406</v>
      </c>
      <c r="C3816" t="str">
        <f>"207RP1001X"</f>
        <v>207RP1001X</v>
      </c>
      <c r="D3816" t="str">
        <f>"VINCENT                  BRAD         D           "</f>
        <v xml:space="preserve">VINCENT                  BRAD         D           </v>
      </c>
      <c r="E3816" t="str">
        <f>"BATON ROUGE               "</f>
        <v xml:space="preserve">BATON ROUGE               </v>
      </c>
      <c r="F3816" t="str">
        <f t="shared" si="160"/>
        <v>LA</v>
      </c>
    </row>
    <row r="3817" spans="1:6" x14ac:dyDescent="0.25">
      <c r="A3817" t="str">
        <f>"200005442"</f>
        <v>200005442</v>
      </c>
      <c r="B3817" t="str">
        <f>"1881835866"</f>
        <v>1881835866</v>
      </c>
      <c r="C3817" t="str">
        <f>"207P00000X"</f>
        <v>207P00000X</v>
      </c>
      <c r="D3817" t="str">
        <f>"CHHEDA                   HITESH                   "</f>
        <v xml:space="preserve">CHHEDA                   HITESH                   </v>
      </c>
      <c r="E3817" t="str">
        <f>"BATON ROUGE               "</f>
        <v xml:space="preserve">BATON ROUGE               </v>
      </c>
      <c r="F3817" t="str">
        <f t="shared" si="160"/>
        <v>LA</v>
      </c>
    </row>
    <row r="3818" spans="1:6" x14ac:dyDescent="0.25">
      <c r="A3818" t="str">
        <f>"200005573"</f>
        <v>200005573</v>
      </c>
      <c r="B3818" t="str">
        <f>"1891226106"</f>
        <v>1891226106</v>
      </c>
      <c r="C3818" t="str">
        <f>"207R00000X"</f>
        <v>207R00000X</v>
      </c>
      <c r="D3818" t="str">
        <f>"KING                     KELSEY                   "</f>
        <v xml:space="preserve">KING                     KELSEY                   </v>
      </c>
      <c r="E3818" t="str">
        <f>"NEW ORLEANS               "</f>
        <v xml:space="preserve">NEW ORLEANS               </v>
      </c>
      <c r="F3818" t="str">
        <f t="shared" si="160"/>
        <v>LA</v>
      </c>
    </row>
    <row r="3819" spans="1:6" x14ac:dyDescent="0.25">
      <c r="A3819" t="str">
        <f>"200005580"</f>
        <v>200005580</v>
      </c>
      <c r="B3819" t="str">
        <f>"1003020348"</f>
        <v>1003020348</v>
      </c>
      <c r="C3819" t="str">
        <f>"207RP1001X"</f>
        <v>207RP1001X</v>
      </c>
      <c r="D3819" t="str">
        <f>"RIPPON                   JENNIFER     L           "</f>
        <v xml:space="preserve">RIPPON                   JENNIFER     L           </v>
      </c>
      <c r="E3819" t="str">
        <f>"BATON ROUGE               "</f>
        <v xml:space="preserve">BATON ROUGE               </v>
      </c>
      <c r="F3819" t="str">
        <f t="shared" si="160"/>
        <v>LA</v>
      </c>
    </row>
    <row r="3820" spans="1:6" x14ac:dyDescent="0.25">
      <c r="A3820" t="str">
        <f>"200005589"</f>
        <v>200005589</v>
      </c>
      <c r="B3820" t="str">
        <f>"1861011462"</f>
        <v>1861011462</v>
      </c>
      <c r="C3820" t="str">
        <f>"367500000X"</f>
        <v>367500000X</v>
      </c>
      <c r="D3820" t="str">
        <f>"EDWARDS                  ROBERT       L           "</f>
        <v xml:space="preserve">EDWARDS                  ROBERT       L           </v>
      </c>
      <c r="E3820" t="str">
        <f>"TERRYTOWN                 "</f>
        <v xml:space="preserve">TERRYTOWN                 </v>
      </c>
      <c r="F3820" t="str">
        <f t="shared" si="160"/>
        <v>LA</v>
      </c>
    </row>
    <row r="3821" spans="1:6" x14ac:dyDescent="0.25">
      <c r="A3821" t="str">
        <f>"200005617"</f>
        <v>200005617</v>
      </c>
      <c r="B3821" t="str">
        <f>"1245496579"</f>
        <v>1245496579</v>
      </c>
      <c r="C3821" t="str">
        <f>"363L00000X"</f>
        <v>363L00000X</v>
      </c>
      <c r="D3821" t="str">
        <f>"BARLOW                   DONNAH                   "</f>
        <v xml:space="preserve">BARLOW                   DONNAH                   </v>
      </c>
      <c r="E3821" t="str">
        <f>"VIDALIA                   "</f>
        <v xml:space="preserve">VIDALIA                   </v>
      </c>
      <c r="F3821" t="str">
        <f t="shared" si="160"/>
        <v>LA</v>
      </c>
    </row>
    <row r="3822" spans="1:6" x14ac:dyDescent="0.25">
      <c r="A3822" t="str">
        <f>"200005630"</f>
        <v>200005630</v>
      </c>
      <c r="B3822" t="str">
        <f>"1689457749"</f>
        <v>1689457749</v>
      </c>
      <c r="C3822" t="str">
        <f>"363A00000X"</f>
        <v>363A00000X</v>
      </c>
      <c r="D3822" t="str">
        <f>"ROBINSON                 KORI         L           "</f>
        <v xml:space="preserve">ROBINSON                 KORI         L           </v>
      </c>
      <c r="E3822" t="str">
        <f>"SLIDELL                   "</f>
        <v xml:space="preserve">SLIDELL                   </v>
      </c>
      <c r="F3822" t="str">
        <f t="shared" si="160"/>
        <v>LA</v>
      </c>
    </row>
    <row r="3823" spans="1:6" x14ac:dyDescent="0.25">
      <c r="A3823" t="str">
        <f>"200005665"</f>
        <v>200005665</v>
      </c>
      <c r="B3823" t="str">
        <f>"1033384805"</f>
        <v>1033384805</v>
      </c>
      <c r="C3823" t="str">
        <f>"2080P0207X"</f>
        <v>2080P0207X</v>
      </c>
      <c r="D3823" t="str">
        <f>"WATKINS                  BENJAMIN     K           "</f>
        <v xml:space="preserve">WATKINS                  BENJAMIN     K           </v>
      </c>
      <c r="E3823" t="str">
        <f>"NEW ORLEANS               "</f>
        <v xml:space="preserve">NEW ORLEANS               </v>
      </c>
      <c r="F3823" t="str">
        <f t="shared" si="160"/>
        <v>LA</v>
      </c>
    </row>
    <row r="3824" spans="1:6" x14ac:dyDescent="0.25">
      <c r="A3824" t="str">
        <f>"200005680"</f>
        <v>200005680</v>
      </c>
      <c r="B3824" t="str">
        <f>"1962851436"</f>
        <v>1962851436</v>
      </c>
      <c r="C3824" t="str">
        <f>"208600000X"</f>
        <v>208600000X</v>
      </c>
      <c r="D3824" t="str">
        <f>"CHAPPETTA                MICHAEL      J           "</f>
        <v xml:space="preserve">CHAPPETTA                MICHAEL      J           </v>
      </c>
      <c r="E3824" t="str">
        <f>"NEW ORLEANS               "</f>
        <v xml:space="preserve">NEW ORLEANS               </v>
      </c>
      <c r="F3824" t="str">
        <f t="shared" si="160"/>
        <v>LA</v>
      </c>
    </row>
    <row r="3825" spans="1:6" x14ac:dyDescent="0.25">
      <c r="A3825" t="str">
        <f>"200005732"</f>
        <v>200005732</v>
      </c>
      <c r="B3825" t="str">
        <f>"1730718891"</f>
        <v>1730718891</v>
      </c>
      <c r="C3825" t="str">
        <f>"208000000X"</f>
        <v>208000000X</v>
      </c>
      <c r="D3825" t="str">
        <f>"METTS                    RYAN         D           "</f>
        <v xml:space="preserve">METTS                    RYAN         D           </v>
      </c>
      <c r="E3825" t="str">
        <f>"METAIRIE                  "</f>
        <v xml:space="preserve">METAIRIE                  </v>
      </c>
      <c r="F3825" t="str">
        <f t="shared" si="160"/>
        <v>LA</v>
      </c>
    </row>
    <row r="3826" spans="1:6" x14ac:dyDescent="0.25">
      <c r="A3826" t="str">
        <f>"200005741"</f>
        <v>200005741</v>
      </c>
      <c r="B3826" t="str">
        <f>"1669679403"</f>
        <v>1669679403</v>
      </c>
      <c r="C3826" t="str">
        <f>"2085R0202X"</f>
        <v>2085R0202X</v>
      </c>
      <c r="D3826" t="str">
        <f>"JACKSON                  PAUL         M           "</f>
        <v xml:space="preserve">JACKSON                  PAUL         M           </v>
      </c>
      <c r="E3826" t="str">
        <f>"BATON ROUGE               "</f>
        <v xml:space="preserve">BATON ROUGE               </v>
      </c>
      <c r="F3826" t="str">
        <f t="shared" si="160"/>
        <v>LA</v>
      </c>
    </row>
    <row r="3827" spans="1:6" x14ac:dyDescent="0.25">
      <c r="A3827" t="str">
        <f>"200005794"</f>
        <v>200005794</v>
      </c>
      <c r="B3827" t="str">
        <f>"1891189296"</f>
        <v>1891189296</v>
      </c>
      <c r="C3827" t="str">
        <f>"2084N0400X"</f>
        <v>2084N0400X</v>
      </c>
      <c r="D3827" t="str">
        <f>"GOLDIN                   CAROLINE     T           "</f>
        <v xml:space="preserve">GOLDIN                   CAROLINE     T           </v>
      </c>
      <c r="E3827" t="str">
        <f>"NEW ORLEANS               "</f>
        <v xml:space="preserve">NEW ORLEANS               </v>
      </c>
      <c r="F3827" t="str">
        <f t="shared" si="160"/>
        <v>LA</v>
      </c>
    </row>
    <row r="3828" spans="1:6" x14ac:dyDescent="0.25">
      <c r="A3828" t="str">
        <f>"200005901"</f>
        <v>200005901</v>
      </c>
      <c r="B3828" t="str">
        <f>"1083037626"</f>
        <v>1083037626</v>
      </c>
      <c r="C3828" t="str">
        <f>"363A00000X"</f>
        <v>363A00000X</v>
      </c>
      <c r="D3828" t="str">
        <f>"JOHNSON                  ASHLEY                   "</f>
        <v xml:space="preserve">JOHNSON                  ASHLEY                   </v>
      </c>
      <c r="E3828" t="str">
        <f>"SLIDELL                   "</f>
        <v xml:space="preserve">SLIDELL                   </v>
      </c>
      <c r="F3828" t="str">
        <f t="shared" si="160"/>
        <v>LA</v>
      </c>
    </row>
    <row r="3829" spans="1:6" x14ac:dyDescent="0.25">
      <c r="A3829" t="str">
        <f>"200005923"</f>
        <v>200005923</v>
      </c>
      <c r="B3829" t="str">
        <f>"1922635044"</f>
        <v>1922635044</v>
      </c>
      <c r="C3829" t="str">
        <f>"207R00000X"</f>
        <v>207R00000X</v>
      </c>
      <c r="D3829" t="str">
        <f>"HAMED                    WADIA                    "</f>
        <v xml:space="preserve">HAMED                    WADIA                    </v>
      </c>
      <c r="E3829" t="str">
        <f>"SLIDELL                   "</f>
        <v xml:space="preserve">SLIDELL                   </v>
      </c>
      <c r="F3829" t="str">
        <f t="shared" si="160"/>
        <v>LA</v>
      </c>
    </row>
    <row r="3830" spans="1:6" x14ac:dyDescent="0.25">
      <c r="A3830" t="str">
        <f>"200005925"</f>
        <v>200005925</v>
      </c>
      <c r="B3830" t="str">
        <f>"1174637300"</f>
        <v>1174637300</v>
      </c>
      <c r="C3830" t="str">
        <f>"2080P0206X"</f>
        <v>2080P0206X</v>
      </c>
      <c r="D3830" t="str">
        <f>"GLOVER                   SARAH                    "</f>
        <v xml:space="preserve">GLOVER                   SARAH                    </v>
      </c>
      <c r="E3830" t="str">
        <f>"LAFAYETTE                 "</f>
        <v xml:space="preserve">LAFAYETTE                 </v>
      </c>
      <c r="F3830" t="str">
        <f t="shared" si="160"/>
        <v>LA</v>
      </c>
    </row>
    <row r="3831" spans="1:6" x14ac:dyDescent="0.25">
      <c r="A3831" t="str">
        <f>"200006042"</f>
        <v>200006042</v>
      </c>
      <c r="B3831" t="str">
        <f>"1568668002"</f>
        <v>1568668002</v>
      </c>
      <c r="C3831" t="str">
        <f>"207P00000X"</f>
        <v>207P00000X</v>
      </c>
      <c r="D3831" t="str">
        <f>"NGUYEN                   HUNG                     "</f>
        <v xml:space="preserve">NGUYEN                   HUNG                     </v>
      </c>
      <c r="E3831" t="str">
        <f>"BATON ROUGE               "</f>
        <v xml:space="preserve">BATON ROUGE               </v>
      </c>
      <c r="F3831" t="str">
        <f t="shared" si="160"/>
        <v>LA</v>
      </c>
    </row>
    <row r="3832" spans="1:6" x14ac:dyDescent="0.25">
      <c r="A3832" t="str">
        <f>"200006060"</f>
        <v>200006060</v>
      </c>
      <c r="B3832" t="str">
        <f>"1679159107"</f>
        <v>1679159107</v>
      </c>
      <c r="C3832" t="str">
        <f>"208D00000X"</f>
        <v>208D00000X</v>
      </c>
      <c r="D3832" t="str">
        <f>"GHAFFAR                  ATIF                     "</f>
        <v xml:space="preserve">GHAFFAR                  ATIF                     </v>
      </c>
      <c r="E3832" t="str">
        <f>"BOGALUSA                  "</f>
        <v xml:space="preserve">BOGALUSA                  </v>
      </c>
      <c r="F3832" t="str">
        <f t="shared" si="160"/>
        <v>LA</v>
      </c>
    </row>
    <row r="3833" spans="1:6" x14ac:dyDescent="0.25">
      <c r="A3833" t="str">
        <f>"200006090"</f>
        <v>200006090</v>
      </c>
      <c r="B3833" t="str">
        <f>"1437850674"</f>
        <v>1437850674</v>
      </c>
      <c r="C3833" t="str">
        <f>"363A00000X"</f>
        <v>363A00000X</v>
      </c>
      <c r="D3833" t="str">
        <f>"BLAKE                    ZACHARY      E           "</f>
        <v xml:space="preserve">BLAKE                    ZACHARY      E           </v>
      </c>
      <c r="E3833" t="str">
        <f>"NEW ORLEANS               "</f>
        <v xml:space="preserve">NEW ORLEANS               </v>
      </c>
      <c r="F3833" t="str">
        <f t="shared" si="160"/>
        <v>LA</v>
      </c>
    </row>
    <row r="3834" spans="1:6" x14ac:dyDescent="0.25">
      <c r="A3834" t="str">
        <f>"200006097"</f>
        <v>200006097</v>
      </c>
      <c r="B3834" t="str">
        <f>"1396217956"</f>
        <v>1396217956</v>
      </c>
      <c r="C3834" t="str">
        <f>"363L00000X"</f>
        <v>363L00000X</v>
      </c>
      <c r="D3834" t="str">
        <f>"ASAMOA-BONSU             FRANCISCA    O           "</f>
        <v xml:space="preserve">ASAMOA-BONSU             FRANCISCA    O           </v>
      </c>
      <c r="E3834" t="str">
        <f>"NEW ORLEANS               "</f>
        <v xml:space="preserve">NEW ORLEANS               </v>
      </c>
      <c r="F3834" t="str">
        <f t="shared" si="160"/>
        <v>LA</v>
      </c>
    </row>
    <row r="3835" spans="1:6" x14ac:dyDescent="0.25">
      <c r="A3835" t="str">
        <f>"200006110"</f>
        <v>200006110</v>
      </c>
      <c r="B3835" t="str">
        <f>"1891473328"</f>
        <v>1891473328</v>
      </c>
      <c r="C3835" t="str">
        <f>"363L00000X"</f>
        <v>363L00000X</v>
      </c>
      <c r="D3835" t="str">
        <f>"MORRIS                   TRINA        Y           "</f>
        <v xml:space="preserve">MORRIS                   TRINA        Y           </v>
      </c>
      <c r="E3835" t="str">
        <f>"NEW ORLEANS               "</f>
        <v xml:space="preserve">NEW ORLEANS               </v>
      </c>
      <c r="F3835" t="str">
        <f t="shared" si="160"/>
        <v>LA</v>
      </c>
    </row>
    <row r="3836" spans="1:6" x14ac:dyDescent="0.25">
      <c r="A3836" t="str">
        <f>"200006114"</f>
        <v>200006114</v>
      </c>
      <c r="B3836" t="str">
        <f>"1154371961"</f>
        <v>1154371961</v>
      </c>
      <c r="C3836" t="str">
        <f>"2080N0001X"</f>
        <v>2080N0001X</v>
      </c>
      <c r="D3836" t="str">
        <f>"PEREZ                    JOSE         A           "</f>
        <v xml:space="preserve">PEREZ                    JOSE         A           </v>
      </c>
      <c r="E3836" t="str">
        <f>"NEW ORLEANS               "</f>
        <v xml:space="preserve">NEW ORLEANS               </v>
      </c>
      <c r="F3836" t="str">
        <f t="shared" si="160"/>
        <v>LA</v>
      </c>
    </row>
    <row r="3837" spans="1:6" x14ac:dyDescent="0.25">
      <c r="A3837" t="str">
        <f>"200006162"</f>
        <v>200006162</v>
      </c>
      <c r="B3837" t="str">
        <f>"1891319174"</f>
        <v>1891319174</v>
      </c>
      <c r="C3837" t="str">
        <f>"207R00000X"</f>
        <v>207R00000X</v>
      </c>
      <c r="D3837" t="str">
        <f>"KIRKIKIS                 CONNER                   "</f>
        <v xml:space="preserve">KIRKIKIS                 CONNER                   </v>
      </c>
      <c r="E3837" t="str">
        <f>"SLIDELL                   "</f>
        <v xml:space="preserve">SLIDELL                   </v>
      </c>
      <c r="F3837" t="str">
        <f t="shared" si="160"/>
        <v>LA</v>
      </c>
    </row>
    <row r="3838" spans="1:6" x14ac:dyDescent="0.25">
      <c r="A3838" t="str">
        <f>"200006166"</f>
        <v>200006166</v>
      </c>
      <c r="B3838" t="str">
        <f>"1578250999"</f>
        <v>1578250999</v>
      </c>
      <c r="C3838" t="str">
        <f>"363A00000X"</f>
        <v>363A00000X</v>
      </c>
      <c r="D3838" t="str">
        <f>"WILLIAMS                 SADIE                    "</f>
        <v xml:space="preserve">WILLIAMS                 SADIE                    </v>
      </c>
      <c r="E3838" t="str">
        <f>"SLIDELL                   "</f>
        <v xml:space="preserve">SLIDELL                   </v>
      </c>
      <c r="F3838" t="str">
        <f t="shared" si="160"/>
        <v>LA</v>
      </c>
    </row>
    <row r="3839" spans="1:6" x14ac:dyDescent="0.25">
      <c r="A3839" t="str">
        <f>"200006213"</f>
        <v>200006213</v>
      </c>
      <c r="B3839" t="str">
        <f>"1871819250"</f>
        <v>1871819250</v>
      </c>
      <c r="C3839" t="str">
        <f>"2085R0202X"</f>
        <v>2085R0202X</v>
      </c>
      <c r="D3839" t="str">
        <f>"BECK                     JOHN         L           "</f>
        <v xml:space="preserve">BECK                     JOHN         L           </v>
      </c>
      <c r="E3839" t="str">
        <f>"NEW ORLEANS               "</f>
        <v xml:space="preserve">NEW ORLEANS               </v>
      </c>
      <c r="F3839" t="str">
        <f t="shared" si="160"/>
        <v>LA</v>
      </c>
    </row>
    <row r="3840" spans="1:6" x14ac:dyDescent="0.25">
      <c r="A3840" t="str">
        <f>"200006272"</f>
        <v>200006272</v>
      </c>
      <c r="B3840" t="str">
        <f>"1730798992"</f>
        <v>1730798992</v>
      </c>
      <c r="C3840" t="str">
        <f>"207R00000X"</f>
        <v>207R00000X</v>
      </c>
      <c r="D3840" t="str">
        <f>"GUNARATNE                TARINI       N           "</f>
        <v xml:space="preserve">GUNARATNE                TARINI       N           </v>
      </c>
      <c r="E3840" t="str">
        <f>"NEW ORLEANS               "</f>
        <v xml:space="preserve">NEW ORLEANS               </v>
      </c>
      <c r="F3840" t="str">
        <f t="shared" si="160"/>
        <v>LA</v>
      </c>
    </row>
    <row r="3841" spans="1:6" x14ac:dyDescent="0.25">
      <c r="A3841" t="str">
        <f>"200006297"</f>
        <v>200006297</v>
      </c>
      <c r="B3841" t="str">
        <f>"1760910251"</f>
        <v>1760910251</v>
      </c>
      <c r="C3841" t="str">
        <f>"208000000X"</f>
        <v>208000000X</v>
      </c>
      <c r="D3841" t="str">
        <f>"ASAMOA-BONSU             YAW          M           "</f>
        <v xml:space="preserve">ASAMOA-BONSU             YAW          M           </v>
      </c>
      <c r="E3841" t="str">
        <f>"NEW ORLEANS               "</f>
        <v xml:space="preserve">NEW ORLEANS               </v>
      </c>
      <c r="F3841" t="str">
        <f t="shared" si="160"/>
        <v>LA</v>
      </c>
    </row>
    <row r="3842" spans="1:6" x14ac:dyDescent="0.25">
      <c r="A3842" t="str">
        <f>"200006300"</f>
        <v>200006300</v>
      </c>
      <c r="B3842" t="str">
        <f>"1720541659"</f>
        <v>1720541659</v>
      </c>
      <c r="C3842" t="str">
        <f>"207P00000X"</f>
        <v>207P00000X</v>
      </c>
      <c r="D3842" t="str">
        <f>"HARRYMAN                 CLAIRE       F           "</f>
        <v xml:space="preserve">HARRYMAN                 CLAIRE       F           </v>
      </c>
      <c r="E3842" t="str">
        <f>"NEW ORLEANS               "</f>
        <v xml:space="preserve">NEW ORLEANS               </v>
      </c>
      <c r="F3842" t="str">
        <f t="shared" si="160"/>
        <v>LA</v>
      </c>
    </row>
    <row r="3843" spans="1:6" x14ac:dyDescent="0.25">
      <c r="A3843" t="str">
        <f>"200006304"</f>
        <v>200006304</v>
      </c>
      <c r="B3843" t="str">
        <f>"1114590585"</f>
        <v>1114590585</v>
      </c>
      <c r="C3843" t="str">
        <f>"363L00000X"</f>
        <v>363L00000X</v>
      </c>
      <c r="D3843" t="str">
        <f>"OERTLING                 ANDREA                   "</f>
        <v xml:space="preserve">OERTLING                 ANDREA                   </v>
      </c>
      <c r="E3843" t="str">
        <f>"SLIDELL                   "</f>
        <v xml:space="preserve">SLIDELL                   </v>
      </c>
      <c r="F3843" t="str">
        <f t="shared" si="160"/>
        <v>LA</v>
      </c>
    </row>
    <row r="3844" spans="1:6" x14ac:dyDescent="0.25">
      <c r="A3844" t="str">
        <f>"200006334"</f>
        <v>200006334</v>
      </c>
      <c r="B3844" t="str">
        <f>"1063832673"</f>
        <v>1063832673</v>
      </c>
      <c r="C3844" t="str">
        <f>"2086S0120X"</f>
        <v>2086S0120X</v>
      </c>
      <c r="D3844" t="str">
        <f>"WILLIAMS                 ADELE                    "</f>
        <v xml:space="preserve">WILLIAMS                 ADELE                    </v>
      </c>
      <c r="E3844" t="str">
        <f>"NEW ORLEANS               "</f>
        <v xml:space="preserve">NEW ORLEANS               </v>
      </c>
      <c r="F3844" t="str">
        <f t="shared" si="160"/>
        <v>LA</v>
      </c>
    </row>
    <row r="3845" spans="1:6" x14ac:dyDescent="0.25">
      <c r="A3845" t="str">
        <f>"200006340"</f>
        <v>200006340</v>
      </c>
      <c r="B3845" t="str">
        <f>"1861924607"</f>
        <v>1861924607</v>
      </c>
      <c r="C3845" t="str">
        <f>"208000000X"</f>
        <v>208000000X</v>
      </c>
      <c r="D3845" t="str">
        <f>"GLASS                    SUSAN                    "</f>
        <v xml:space="preserve">GLASS                    SUSAN                    </v>
      </c>
      <c r="E3845" t="str">
        <f>"NEW ORLEANS               "</f>
        <v xml:space="preserve">NEW ORLEANS               </v>
      </c>
      <c r="F3845" t="str">
        <f t="shared" si="160"/>
        <v>LA</v>
      </c>
    </row>
    <row r="3846" spans="1:6" x14ac:dyDescent="0.25">
      <c r="A3846" t="str">
        <f>"200006347"</f>
        <v>200006347</v>
      </c>
      <c r="B3846" t="str">
        <f>"1336778356"</f>
        <v>1336778356</v>
      </c>
      <c r="C3846" t="str">
        <f>"208000000X"</f>
        <v>208000000X</v>
      </c>
      <c r="D3846" t="str">
        <f>"HENNELLY                 MARISSA      I           "</f>
        <v xml:space="preserve">HENNELLY                 MARISSA      I           </v>
      </c>
      <c r="E3846" t="str">
        <f>"NEW ORLEANS               "</f>
        <v xml:space="preserve">NEW ORLEANS               </v>
      </c>
      <c r="F3846" t="str">
        <f t="shared" si="160"/>
        <v>LA</v>
      </c>
    </row>
    <row r="3847" spans="1:6" x14ac:dyDescent="0.25">
      <c r="A3847" t="str">
        <f>"200006396"</f>
        <v>200006396</v>
      </c>
      <c r="B3847" t="str">
        <f>"1750734554"</f>
        <v>1750734554</v>
      </c>
      <c r="C3847" t="str">
        <f>"207R00000X"</f>
        <v>207R00000X</v>
      </c>
      <c r="D3847" t="str">
        <f>"ARIYARATNE               MAHARABE                 "</f>
        <v xml:space="preserve">ARIYARATNE               MAHARABE                 </v>
      </c>
      <c r="E3847" t="str">
        <f>"SLIDELL                   "</f>
        <v xml:space="preserve">SLIDELL                   </v>
      </c>
      <c r="F3847" t="str">
        <f t="shared" si="160"/>
        <v>LA</v>
      </c>
    </row>
    <row r="3848" spans="1:6" x14ac:dyDescent="0.25">
      <c r="A3848" t="str">
        <f>"200006409"</f>
        <v>200006409</v>
      </c>
      <c r="B3848" t="str">
        <f>"1649894221"</f>
        <v>1649894221</v>
      </c>
      <c r="C3848" t="str">
        <f>"207R00000X"</f>
        <v>207R00000X</v>
      </c>
      <c r="D3848" t="str">
        <f>"DOHERTY                  MEAGHAN      O           "</f>
        <v xml:space="preserve">DOHERTY                  MEAGHAN      O           </v>
      </c>
      <c r="E3848" t="str">
        <f>"NEW ORLEANS               "</f>
        <v xml:space="preserve">NEW ORLEANS               </v>
      </c>
      <c r="F3848" t="str">
        <f t="shared" si="160"/>
        <v>LA</v>
      </c>
    </row>
    <row r="3849" spans="1:6" x14ac:dyDescent="0.25">
      <c r="A3849" t="str">
        <f>"200006411"</f>
        <v>200006411</v>
      </c>
      <c r="B3849" t="str">
        <f>"1699745562"</f>
        <v>1699745562</v>
      </c>
      <c r="C3849" t="str">
        <f>"207RC0001X"</f>
        <v>207RC0001X</v>
      </c>
      <c r="D3849" t="str">
        <f>"CIVELLO                  KENNETH                  "</f>
        <v xml:space="preserve">CIVELLO                  KENNETH                  </v>
      </c>
      <c r="E3849" t="str">
        <f>"BATON ROUGE               "</f>
        <v xml:space="preserve">BATON ROUGE               </v>
      </c>
      <c r="F3849" t="str">
        <f t="shared" si="160"/>
        <v>LA</v>
      </c>
    </row>
    <row r="3850" spans="1:6" x14ac:dyDescent="0.25">
      <c r="A3850" t="str">
        <f>"200006453"</f>
        <v>200006453</v>
      </c>
      <c r="B3850" t="str">
        <f>"1710485248"</f>
        <v>1710485248</v>
      </c>
      <c r="C3850" t="str">
        <f>"208000000X"</f>
        <v>208000000X</v>
      </c>
      <c r="D3850" t="str">
        <f>"FIORE                    NICOLE       M           "</f>
        <v xml:space="preserve">FIORE                    NICOLE       M           </v>
      </c>
      <c r="E3850" t="str">
        <f>"NEW ORLEANS               "</f>
        <v xml:space="preserve">NEW ORLEANS               </v>
      </c>
      <c r="F3850" t="str">
        <f t="shared" si="160"/>
        <v>LA</v>
      </c>
    </row>
    <row r="3851" spans="1:6" x14ac:dyDescent="0.25">
      <c r="A3851" t="str">
        <f>"200006459"</f>
        <v>200006459</v>
      </c>
      <c r="B3851" t="str">
        <f>"1679686158"</f>
        <v>1679686158</v>
      </c>
      <c r="C3851" t="str">
        <f>"207P00000X"</f>
        <v>207P00000X</v>
      </c>
      <c r="D3851" t="str">
        <f>"BROOKS                   DERRICK                  "</f>
        <v xml:space="preserve">BROOKS                   DERRICK                  </v>
      </c>
      <c r="E3851" t="str">
        <f>"FERRIDAY                  "</f>
        <v xml:space="preserve">FERRIDAY                  </v>
      </c>
      <c r="F3851" t="str">
        <f t="shared" si="160"/>
        <v>LA</v>
      </c>
    </row>
    <row r="3852" spans="1:6" x14ac:dyDescent="0.25">
      <c r="A3852" t="str">
        <f>"200006467"</f>
        <v>200006467</v>
      </c>
      <c r="B3852" t="str">
        <f>"1851079925"</f>
        <v>1851079925</v>
      </c>
      <c r="C3852" t="str">
        <f>"363L00000X"</f>
        <v>363L00000X</v>
      </c>
      <c r="D3852" t="str">
        <f>"WEBER                    LANEY        L           "</f>
        <v xml:space="preserve">WEBER                    LANEY        L           </v>
      </c>
      <c r="E3852" t="str">
        <f>"NEW ORLEANS               "</f>
        <v xml:space="preserve">NEW ORLEANS               </v>
      </c>
      <c r="F3852" t="str">
        <f t="shared" si="160"/>
        <v>LA</v>
      </c>
    </row>
    <row r="3853" spans="1:6" x14ac:dyDescent="0.25">
      <c r="A3853" t="str">
        <f>"200006487"</f>
        <v>200006487</v>
      </c>
      <c r="B3853" t="str">
        <f>"1902269764"</f>
        <v>1902269764</v>
      </c>
      <c r="C3853" t="str">
        <f>"2086S0102X"</f>
        <v>2086S0102X</v>
      </c>
      <c r="D3853" t="str">
        <f>"HARRELL                  KEVIN                    "</f>
        <v xml:space="preserve">HARRELL                  KEVIN                    </v>
      </c>
      <c r="E3853" t="str">
        <f>"NEW ORLEANS               "</f>
        <v xml:space="preserve">NEW ORLEANS               </v>
      </c>
      <c r="F3853" t="str">
        <f t="shared" si="160"/>
        <v>LA</v>
      </c>
    </row>
    <row r="3854" spans="1:6" x14ac:dyDescent="0.25">
      <c r="A3854" t="str">
        <f>"200006516"</f>
        <v>200006516</v>
      </c>
      <c r="B3854" t="str">
        <f>"1063754596"</f>
        <v>1063754596</v>
      </c>
      <c r="C3854" t="str">
        <f>"207Q00000X"</f>
        <v>207Q00000X</v>
      </c>
      <c r="D3854" t="str">
        <f>"WHITE                    RYAN                     "</f>
        <v xml:space="preserve">WHITE                    RYAN                     </v>
      </c>
      <c r="E3854" t="str">
        <f>"HAMMOND                   "</f>
        <v xml:space="preserve">HAMMOND                   </v>
      </c>
      <c r="F3854" t="str">
        <f t="shared" si="160"/>
        <v>LA</v>
      </c>
    </row>
    <row r="3855" spans="1:6" x14ac:dyDescent="0.25">
      <c r="A3855" t="str">
        <f>"200006527"</f>
        <v>200006527</v>
      </c>
      <c r="B3855" t="str">
        <f>"1841295953"</f>
        <v>1841295953</v>
      </c>
      <c r="C3855" t="str">
        <f>"207RG0100X"</f>
        <v>207RG0100X</v>
      </c>
      <c r="D3855" t="str">
        <f>"GENSLER                  LAWRENCE                 "</f>
        <v xml:space="preserve">GENSLER                  LAWRENCE                 </v>
      </c>
      <c r="E3855" t="str">
        <f>"HAMMOND                   "</f>
        <v xml:space="preserve">HAMMOND                   </v>
      </c>
      <c r="F3855" t="str">
        <f t="shared" si="160"/>
        <v>LA</v>
      </c>
    </row>
    <row r="3856" spans="1:6" x14ac:dyDescent="0.25">
      <c r="A3856" t="str">
        <f>"200006589"</f>
        <v>200006589</v>
      </c>
      <c r="B3856" t="str">
        <f>"1184042806"</f>
        <v>1184042806</v>
      </c>
      <c r="C3856" t="str">
        <f>"208VP0014X"</f>
        <v>208VP0014X</v>
      </c>
      <c r="D3856" t="str">
        <f>"JOHN                     JESSIN       K           "</f>
        <v xml:space="preserve">JOHN                     JESSIN       K           </v>
      </c>
      <c r="E3856" t="str">
        <f t="shared" ref="E3856:E3863" si="162">"NEW ORLEANS               "</f>
        <v xml:space="preserve">NEW ORLEANS               </v>
      </c>
      <c r="F3856" t="str">
        <f t="shared" si="160"/>
        <v>LA</v>
      </c>
    </row>
    <row r="3857" spans="1:6" x14ac:dyDescent="0.25">
      <c r="A3857" t="str">
        <f>"200006592"</f>
        <v>200006592</v>
      </c>
      <c r="B3857" t="str">
        <f>"1063866309"</f>
        <v>1063866309</v>
      </c>
      <c r="C3857" t="str">
        <f>"2080P0202X"</f>
        <v>2080P0202X</v>
      </c>
      <c r="D3857" t="str">
        <f>"MINOCHA                  PRASHANT     K           "</f>
        <v xml:space="preserve">MINOCHA                  PRASHANT     K           </v>
      </c>
      <c r="E3857" t="str">
        <f t="shared" si="162"/>
        <v xml:space="preserve">NEW ORLEANS               </v>
      </c>
      <c r="F3857" t="str">
        <f t="shared" si="160"/>
        <v>LA</v>
      </c>
    </row>
    <row r="3858" spans="1:6" x14ac:dyDescent="0.25">
      <c r="A3858" t="str">
        <f>"200006605"</f>
        <v>200006605</v>
      </c>
      <c r="B3858" t="str">
        <f>"1063893246"</f>
        <v>1063893246</v>
      </c>
      <c r="C3858" t="str">
        <f>"207P00000X"</f>
        <v>207P00000X</v>
      </c>
      <c r="D3858" t="str">
        <f>"CATES                    ALEXIS       L           "</f>
        <v xml:space="preserve">CATES                    ALEXIS       L           </v>
      </c>
      <c r="E3858" t="str">
        <f t="shared" si="162"/>
        <v xml:space="preserve">NEW ORLEANS               </v>
      </c>
      <c r="F3858" t="str">
        <f t="shared" si="160"/>
        <v>LA</v>
      </c>
    </row>
    <row r="3859" spans="1:6" x14ac:dyDescent="0.25">
      <c r="A3859" t="str">
        <f>"200006614"</f>
        <v>200006614</v>
      </c>
      <c r="B3859" t="str">
        <f>"1790130045"</f>
        <v>1790130045</v>
      </c>
      <c r="C3859" t="str">
        <f>"207V00000X"</f>
        <v>207V00000X</v>
      </c>
      <c r="D3859" t="str">
        <f>"NEUHOFF                  BARBARA      K           "</f>
        <v xml:space="preserve">NEUHOFF                  BARBARA      K           </v>
      </c>
      <c r="E3859" t="str">
        <f t="shared" si="162"/>
        <v xml:space="preserve">NEW ORLEANS               </v>
      </c>
      <c r="F3859" t="str">
        <f t="shared" si="160"/>
        <v>LA</v>
      </c>
    </row>
    <row r="3860" spans="1:6" x14ac:dyDescent="0.25">
      <c r="A3860" t="str">
        <f>"200006620"</f>
        <v>200006620</v>
      </c>
      <c r="B3860" t="str">
        <f>"1841333051"</f>
        <v>1841333051</v>
      </c>
      <c r="C3860" t="str">
        <f>"207P00000X"</f>
        <v>207P00000X</v>
      </c>
      <c r="D3860" t="str">
        <f>"SAUCIER                  ASHLEY       B           "</f>
        <v xml:space="preserve">SAUCIER                  ASHLEY       B           </v>
      </c>
      <c r="E3860" t="str">
        <f t="shared" si="162"/>
        <v xml:space="preserve">NEW ORLEANS               </v>
      </c>
      <c r="F3860" t="str">
        <f t="shared" si="160"/>
        <v>LA</v>
      </c>
    </row>
    <row r="3861" spans="1:6" x14ac:dyDescent="0.25">
      <c r="A3861" t="str">
        <f>"200006639"</f>
        <v>200006639</v>
      </c>
      <c r="B3861" t="str">
        <f>"1932563152"</f>
        <v>1932563152</v>
      </c>
      <c r="C3861" t="str">
        <f>"207RH0003X"</f>
        <v>207RH0003X</v>
      </c>
      <c r="D3861" t="str">
        <f>"MILLETT IV               RALPH        L           "</f>
        <v xml:space="preserve">MILLETT IV               RALPH        L           </v>
      </c>
      <c r="E3861" t="str">
        <f t="shared" si="162"/>
        <v xml:space="preserve">NEW ORLEANS               </v>
      </c>
      <c r="F3861" t="str">
        <f t="shared" si="160"/>
        <v>LA</v>
      </c>
    </row>
    <row r="3862" spans="1:6" x14ac:dyDescent="0.25">
      <c r="A3862" t="str">
        <f>"200006647"</f>
        <v>200006647</v>
      </c>
      <c r="B3862" t="str">
        <f>"1790289262"</f>
        <v>1790289262</v>
      </c>
      <c r="C3862" t="str">
        <f>"207P00000X"</f>
        <v>207P00000X</v>
      </c>
      <c r="D3862" t="str">
        <f>"RIVERA                   DANIEL       F           "</f>
        <v xml:space="preserve">RIVERA                   DANIEL       F           </v>
      </c>
      <c r="E3862" t="str">
        <f t="shared" si="162"/>
        <v xml:space="preserve">NEW ORLEANS               </v>
      </c>
      <c r="F3862" t="str">
        <f t="shared" si="160"/>
        <v>LA</v>
      </c>
    </row>
    <row r="3863" spans="1:6" x14ac:dyDescent="0.25">
      <c r="A3863" t="str">
        <f>"200006716"</f>
        <v>200006716</v>
      </c>
      <c r="B3863" t="str">
        <f>"1932605987"</f>
        <v>1932605987</v>
      </c>
      <c r="C3863" t="str">
        <f>"207R00000X"</f>
        <v>207R00000X</v>
      </c>
      <c r="D3863" t="str">
        <f>"MEMON                    ADIL         I           "</f>
        <v xml:space="preserve">MEMON                    ADIL         I           </v>
      </c>
      <c r="E3863" t="str">
        <f t="shared" si="162"/>
        <v xml:space="preserve">NEW ORLEANS               </v>
      </c>
      <c r="F3863" t="str">
        <f t="shared" si="160"/>
        <v>LA</v>
      </c>
    </row>
    <row r="3864" spans="1:6" x14ac:dyDescent="0.25">
      <c r="A3864" t="str">
        <f>"200006745"</f>
        <v>200006745</v>
      </c>
      <c r="B3864" t="str">
        <f>"1295418770"</f>
        <v>1295418770</v>
      </c>
      <c r="C3864" t="str">
        <f>"363L00000X"</f>
        <v>363L00000X</v>
      </c>
      <c r="D3864" t="str">
        <f>"COLINA                   MARIA        G           "</f>
        <v xml:space="preserve">COLINA                   MARIA        G           </v>
      </c>
      <c r="E3864" t="str">
        <f>"CHALMETTE                 "</f>
        <v xml:space="preserve">CHALMETTE                 </v>
      </c>
      <c r="F3864" t="str">
        <f t="shared" si="160"/>
        <v>LA</v>
      </c>
    </row>
    <row r="3865" spans="1:6" x14ac:dyDescent="0.25">
      <c r="A3865" t="str">
        <f>"200006857"</f>
        <v>200006857</v>
      </c>
      <c r="B3865" t="str">
        <f>"1831658038"</f>
        <v>1831658038</v>
      </c>
      <c r="C3865" t="str">
        <f>"207N00000X"</f>
        <v>207N00000X</v>
      </c>
      <c r="D3865" t="str">
        <f>"MOODY                    KATHERINE    J           "</f>
        <v xml:space="preserve">MOODY                    KATHERINE    J           </v>
      </c>
      <c r="E3865" t="str">
        <f>"NEW ORLEANS               "</f>
        <v xml:space="preserve">NEW ORLEANS               </v>
      </c>
      <c r="F3865" t="str">
        <f t="shared" si="160"/>
        <v>LA</v>
      </c>
    </row>
    <row r="3866" spans="1:6" x14ac:dyDescent="0.25">
      <c r="A3866" t="str">
        <f>"200006859"</f>
        <v>200006859</v>
      </c>
      <c r="B3866" t="str">
        <f>"1700660255"</f>
        <v>1700660255</v>
      </c>
      <c r="C3866" t="str">
        <f>"363L00000X"</f>
        <v>363L00000X</v>
      </c>
      <c r="D3866" t="str">
        <f>"KELLAR                   KAITLIN      M           "</f>
        <v xml:space="preserve">KELLAR                   KAITLIN      M           </v>
      </c>
      <c r="E3866" t="str">
        <f>"COVINGTON                 "</f>
        <v xml:space="preserve">COVINGTON                 </v>
      </c>
      <c r="F3866" t="str">
        <f t="shared" si="160"/>
        <v>LA</v>
      </c>
    </row>
    <row r="3867" spans="1:6" x14ac:dyDescent="0.25">
      <c r="A3867" t="str">
        <f>"200006872"</f>
        <v>200006872</v>
      </c>
      <c r="B3867" t="str">
        <f>"1700402583"</f>
        <v>1700402583</v>
      </c>
      <c r="C3867" t="str">
        <f>"207R00000X"</f>
        <v>207R00000X</v>
      </c>
      <c r="D3867" t="str">
        <f>"HOLLY                    PHILLIP      T           "</f>
        <v xml:space="preserve">HOLLY                    PHILLIP      T           </v>
      </c>
      <c r="E3867" t="str">
        <f>"MARRERO                   "</f>
        <v xml:space="preserve">MARRERO                   </v>
      </c>
      <c r="F3867" t="str">
        <f t="shared" ref="F3867:F3930" si="163">"LA"</f>
        <v>LA</v>
      </c>
    </row>
    <row r="3868" spans="1:6" x14ac:dyDescent="0.25">
      <c r="A3868" t="str">
        <f>"200006886"</f>
        <v>200006886</v>
      </c>
      <c r="B3868" t="str">
        <f>"1396421871"</f>
        <v>1396421871</v>
      </c>
      <c r="C3868" t="str">
        <f>"363L00000X"</f>
        <v>363L00000X</v>
      </c>
      <c r="D3868" t="str">
        <f>"RACHEL                   SAVANNAH     R           "</f>
        <v xml:space="preserve">RACHEL                   SAVANNAH     R           </v>
      </c>
      <c r="E3868" t="str">
        <f>"SLIDELL                   "</f>
        <v xml:space="preserve">SLIDELL                   </v>
      </c>
      <c r="F3868" t="str">
        <f t="shared" si="163"/>
        <v>LA</v>
      </c>
    </row>
    <row r="3869" spans="1:6" x14ac:dyDescent="0.25">
      <c r="A3869" t="str">
        <f>"200006930"</f>
        <v>200006930</v>
      </c>
      <c r="B3869" t="str">
        <f>"1083051601"</f>
        <v>1083051601</v>
      </c>
      <c r="C3869" t="str">
        <f>"2084N0402X"</f>
        <v>2084N0402X</v>
      </c>
      <c r="D3869" t="str">
        <f>"POINSON                  BRITTANY                 "</f>
        <v xml:space="preserve">POINSON                  BRITTANY                 </v>
      </c>
      <c r="E3869" t="str">
        <f>"NEW ORLEANS               "</f>
        <v xml:space="preserve">NEW ORLEANS               </v>
      </c>
      <c r="F3869" t="str">
        <f t="shared" si="163"/>
        <v>LA</v>
      </c>
    </row>
    <row r="3870" spans="1:6" x14ac:dyDescent="0.25">
      <c r="A3870" t="str">
        <f>"200006967"</f>
        <v>200006967</v>
      </c>
      <c r="B3870" t="str">
        <f>"1730541640"</f>
        <v>1730541640</v>
      </c>
      <c r="C3870" t="str">
        <f>"208000000X"</f>
        <v>208000000X</v>
      </c>
      <c r="D3870" t="str">
        <f>"HARRELL                  STEPHANIE    C           "</f>
        <v xml:space="preserve">HARRELL                  STEPHANIE    C           </v>
      </c>
      <c r="E3870" t="str">
        <f>"SLIDELL                   "</f>
        <v xml:space="preserve">SLIDELL                   </v>
      </c>
      <c r="F3870" t="str">
        <f t="shared" si="163"/>
        <v>LA</v>
      </c>
    </row>
    <row r="3871" spans="1:6" x14ac:dyDescent="0.25">
      <c r="A3871" t="str">
        <f>"200007022"</f>
        <v>200007022</v>
      </c>
      <c r="B3871" t="str">
        <f>"1447854682"</f>
        <v>1447854682</v>
      </c>
      <c r="C3871" t="str">
        <f>"363L00000X"</f>
        <v>363L00000X</v>
      </c>
      <c r="D3871" t="str">
        <f>"RUCKER                   LEAH                     "</f>
        <v xml:space="preserve">RUCKER                   LEAH                     </v>
      </c>
      <c r="E3871" t="str">
        <f>"NEW ORLEANS               "</f>
        <v xml:space="preserve">NEW ORLEANS               </v>
      </c>
      <c r="F3871" t="str">
        <f t="shared" si="163"/>
        <v>LA</v>
      </c>
    </row>
    <row r="3872" spans="1:6" x14ac:dyDescent="0.25">
      <c r="A3872" t="str">
        <f>"200007024"</f>
        <v>200007024</v>
      </c>
      <c r="B3872" t="str">
        <f>"1679808638"</f>
        <v>1679808638</v>
      </c>
      <c r="C3872" t="str">
        <f>"207Q00000X"</f>
        <v>207Q00000X</v>
      </c>
      <c r="D3872" t="str">
        <f>"BUDDE                    PRAVEEN                  "</f>
        <v xml:space="preserve">BUDDE                    PRAVEEN                  </v>
      </c>
      <c r="E3872" t="str">
        <f>"MARKSVILLE                "</f>
        <v xml:space="preserve">MARKSVILLE                </v>
      </c>
      <c r="F3872" t="str">
        <f t="shared" si="163"/>
        <v>LA</v>
      </c>
    </row>
    <row r="3873" spans="1:6" x14ac:dyDescent="0.25">
      <c r="A3873" t="str">
        <f>"200007064"</f>
        <v>200007064</v>
      </c>
      <c r="B3873" t="str">
        <f>"1891756060"</f>
        <v>1891756060</v>
      </c>
      <c r="C3873" t="str">
        <f>"367500000X"</f>
        <v>367500000X</v>
      </c>
      <c r="D3873" t="str">
        <f>"AUTIN                    KYLE                     "</f>
        <v xml:space="preserve">AUTIN                    KYLE                     </v>
      </c>
      <c r="E3873" t="str">
        <f>"COVINGTON                 "</f>
        <v xml:space="preserve">COVINGTON                 </v>
      </c>
      <c r="F3873" t="str">
        <f t="shared" si="163"/>
        <v>LA</v>
      </c>
    </row>
    <row r="3874" spans="1:6" x14ac:dyDescent="0.25">
      <c r="A3874" t="str">
        <f>"200007072"</f>
        <v>200007072</v>
      </c>
      <c r="B3874" t="str">
        <f>"1609230788"</f>
        <v>1609230788</v>
      </c>
      <c r="C3874" t="str">
        <f>"207T00000X"</f>
        <v>207T00000X</v>
      </c>
      <c r="D3874" t="str">
        <f>"MANGHAM                  WILLIAM      M           "</f>
        <v xml:space="preserve">MANGHAM                  WILLIAM      M           </v>
      </c>
      <c r="E3874" t="str">
        <f>"NEW ORLEANS               "</f>
        <v xml:space="preserve">NEW ORLEANS               </v>
      </c>
      <c r="F3874" t="str">
        <f t="shared" si="163"/>
        <v>LA</v>
      </c>
    </row>
    <row r="3875" spans="1:6" x14ac:dyDescent="0.25">
      <c r="A3875" t="str">
        <f>"200007087"</f>
        <v>200007087</v>
      </c>
      <c r="B3875" t="str">
        <f>"1881185072"</f>
        <v>1881185072</v>
      </c>
      <c r="C3875" t="str">
        <f>"2084P0800X"</f>
        <v>2084P0800X</v>
      </c>
      <c r="D3875" t="str">
        <f>"ROMANELLI                MICHAEL      R           "</f>
        <v xml:space="preserve">ROMANELLI                MICHAEL      R           </v>
      </c>
      <c r="E3875" t="str">
        <f>"NEW ORLEANS               "</f>
        <v xml:space="preserve">NEW ORLEANS               </v>
      </c>
      <c r="F3875" t="str">
        <f t="shared" si="163"/>
        <v>LA</v>
      </c>
    </row>
    <row r="3876" spans="1:6" x14ac:dyDescent="0.25">
      <c r="A3876" t="str">
        <f>"200007145"</f>
        <v>200007145</v>
      </c>
      <c r="B3876" t="str">
        <f>"1518311216"</f>
        <v>1518311216</v>
      </c>
      <c r="C3876" t="str">
        <f>"208800000X"</f>
        <v>208800000X</v>
      </c>
      <c r="D3876" t="str">
        <f>"ROSE                     KYLE         M           "</f>
        <v xml:space="preserve">ROSE                     KYLE         M           </v>
      </c>
      <c r="E3876" t="str">
        <f>"NEW ORLEANS               "</f>
        <v xml:space="preserve">NEW ORLEANS               </v>
      </c>
      <c r="F3876" t="str">
        <f t="shared" si="163"/>
        <v>LA</v>
      </c>
    </row>
    <row r="3877" spans="1:6" x14ac:dyDescent="0.25">
      <c r="A3877" t="str">
        <f>"200007239"</f>
        <v>200007239</v>
      </c>
      <c r="B3877" t="str">
        <f>"1861787335"</f>
        <v>1861787335</v>
      </c>
      <c r="C3877" t="str">
        <f>"2085R0202X"</f>
        <v>2085R0202X</v>
      </c>
      <c r="D3877" t="str">
        <f>"KOSTER                   VICTORIA     P           "</f>
        <v xml:space="preserve">KOSTER                   VICTORIA     P           </v>
      </c>
      <c r="E3877" t="str">
        <f>"HOUMA                     "</f>
        <v xml:space="preserve">HOUMA                     </v>
      </c>
      <c r="F3877" t="str">
        <f t="shared" si="163"/>
        <v>LA</v>
      </c>
    </row>
    <row r="3878" spans="1:6" x14ac:dyDescent="0.25">
      <c r="A3878" t="str">
        <f>"200007240"</f>
        <v>200007240</v>
      </c>
      <c r="B3878" t="str">
        <f>"1295231942"</f>
        <v>1295231942</v>
      </c>
      <c r="C3878" t="str">
        <f>"207L00000X"</f>
        <v>207L00000X</v>
      </c>
      <c r="D3878" t="str">
        <f>"KIM                      MI MI                    "</f>
        <v xml:space="preserve">KIM                      MI MI                    </v>
      </c>
      <c r="E3878" t="str">
        <f>"SLIDELL                   "</f>
        <v xml:space="preserve">SLIDELL                   </v>
      </c>
      <c r="F3878" t="str">
        <f t="shared" si="163"/>
        <v>LA</v>
      </c>
    </row>
    <row r="3879" spans="1:6" x14ac:dyDescent="0.25">
      <c r="A3879" t="str">
        <f>"200007280"</f>
        <v>200007280</v>
      </c>
      <c r="B3879" t="str">
        <f>"1467237537"</f>
        <v>1467237537</v>
      </c>
      <c r="C3879" t="str">
        <f>"363A00000X"</f>
        <v>363A00000X</v>
      </c>
      <c r="D3879" t="str">
        <f>"DOLESE                   DOMINIQUE    A           "</f>
        <v xml:space="preserve">DOLESE                   DOMINIQUE    A           </v>
      </c>
      <c r="E3879" t="str">
        <f>"COVINGTON                 "</f>
        <v xml:space="preserve">COVINGTON                 </v>
      </c>
      <c r="F3879" t="str">
        <f t="shared" si="163"/>
        <v>LA</v>
      </c>
    </row>
    <row r="3880" spans="1:6" x14ac:dyDescent="0.25">
      <c r="A3880" t="str">
        <f>"200007281"</f>
        <v>200007281</v>
      </c>
      <c r="B3880" t="str">
        <f>"1639249824"</f>
        <v>1639249824</v>
      </c>
      <c r="C3880" t="str">
        <f>"2080N0001X"</f>
        <v>2080N0001X</v>
      </c>
      <c r="D3880" t="str">
        <f>"DE SOLER                 MARC                     "</f>
        <v xml:space="preserve">DE SOLER                 MARC                     </v>
      </c>
      <c r="E3880" t="str">
        <f>"MONROE                    "</f>
        <v xml:space="preserve">MONROE                    </v>
      </c>
      <c r="F3880" t="str">
        <f t="shared" si="163"/>
        <v>LA</v>
      </c>
    </row>
    <row r="3881" spans="1:6" x14ac:dyDescent="0.25">
      <c r="A3881" t="str">
        <f>"200007287"</f>
        <v>200007287</v>
      </c>
      <c r="B3881" t="str">
        <f>"1376501783"</f>
        <v>1376501783</v>
      </c>
      <c r="C3881" t="str">
        <f>"208000000X"</f>
        <v>208000000X</v>
      </c>
      <c r="D3881" t="str">
        <f>"STEVENSON                HELEN        E           "</f>
        <v xml:space="preserve">STEVENSON                HELEN        E           </v>
      </c>
      <c r="E3881" t="str">
        <f>"SLIDELL                   "</f>
        <v xml:space="preserve">SLIDELL                   </v>
      </c>
      <c r="F3881" t="str">
        <f t="shared" si="163"/>
        <v>LA</v>
      </c>
    </row>
    <row r="3882" spans="1:6" x14ac:dyDescent="0.25">
      <c r="A3882" t="str">
        <f>"200007331"</f>
        <v>200007331</v>
      </c>
      <c r="B3882" t="str">
        <f>"1275068090"</f>
        <v>1275068090</v>
      </c>
      <c r="C3882" t="str">
        <f>"208000000X"</f>
        <v>208000000X</v>
      </c>
      <c r="D3882" t="str">
        <f>"SUMMERFORD               KATINA                   "</f>
        <v xml:space="preserve">SUMMERFORD               KATINA                   </v>
      </c>
      <c r="E3882" t="str">
        <f>"METAIRIE                  "</f>
        <v xml:space="preserve">METAIRIE                  </v>
      </c>
      <c r="F3882" t="str">
        <f t="shared" si="163"/>
        <v>LA</v>
      </c>
    </row>
    <row r="3883" spans="1:6" x14ac:dyDescent="0.25">
      <c r="A3883" t="str">
        <f>"200007415"</f>
        <v>200007415</v>
      </c>
      <c r="B3883" t="str">
        <f>"1447033881"</f>
        <v>1447033881</v>
      </c>
      <c r="C3883" t="str">
        <f>"363L00000X"</f>
        <v>363L00000X</v>
      </c>
      <c r="D3883" t="str">
        <f>"BATISTE                  JARED                    "</f>
        <v xml:space="preserve">BATISTE                  JARED                    </v>
      </c>
      <c r="E3883" t="str">
        <f>"METAIRIE                  "</f>
        <v xml:space="preserve">METAIRIE                  </v>
      </c>
      <c r="F3883" t="str">
        <f t="shared" si="163"/>
        <v>LA</v>
      </c>
    </row>
    <row r="3884" spans="1:6" x14ac:dyDescent="0.25">
      <c r="A3884" t="str">
        <f>"200007438"</f>
        <v>200007438</v>
      </c>
      <c r="B3884" t="str">
        <f>"1225492572"</f>
        <v>1225492572</v>
      </c>
      <c r="C3884" t="str">
        <f>"207V00000X"</f>
        <v>207V00000X</v>
      </c>
      <c r="D3884" t="str">
        <f>"MUSSARAT                 NAIHA                    "</f>
        <v xml:space="preserve">MUSSARAT                 NAIHA                    </v>
      </c>
      <c r="E3884" t="str">
        <f>"NEW ORLEANS               "</f>
        <v xml:space="preserve">NEW ORLEANS               </v>
      </c>
      <c r="F3884" t="str">
        <f t="shared" si="163"/>
        <v>LA</v>
      </c>
    </row>
    <row r="3885" spans="1:6" x14ac:dyDescent="0.25">
      <c r="A3885" t="str">
        <f>"200007442"</f>
        <v>200007442</v>
      </c>
      <c r="B3885" t="str">
        <f>"1902110240"</f>
        <v>1902110240</v>
      </c>
      <c r="C3885" t="str">
        <f>"207R00000X"</f>
        <v>207R00000X</v>
      </c>
      <c r="D3885" t="str">
        <f>"JOSE                     ALAN                     "</f>
        <v xml:space="preserve">JOSE                     ALAN                     </v>
      </c>
      <c r="E3885" t="str">
        <f>"SLIDELL                   "</f>
        <v xml:space="preserve">SLIDELL                   </v>
      </c>
      <c r="F3885" t="str">
        <f t="shared" si="163"/>
        <v>LA</v>
      </c>
    </row>
    <row r="3886" spans="1:6" x14ac:dyDescent="0.25">
      <c r="A3886" t="str">
        <f>"200007474"</f>
        <v>200007474</v>
      </c>
      <c r="B3886" t="str">
        <f>"1518303106"</f>
        <v>1518303106</v>
      </c>
      <c r="C3886" t="str">
        <f>"2086X0206X"</f>
        <v>2086X0206X</v>
      </c>
      <c r="D3886" t="str">
        <f>"PERONE                   JENNIFER     A           "</f>
        <v xml:space="preserve">PERONE                   JENNIFER     A           </v>
      </c>
      <c r="E3886" t="str">
        <f>"BATON ROUGE               "</f>
        <v xml:space="preserve">BATON ROUGE               </v>
      </c>
      <c r="F3886" t="str">
        <f t="shared" si="163"/>
        <v>LA</v>
      </c>
    </row>
    <row r="3887" spans="1:6" x14ac:dyDescent="0.25">
      <c r="A3887" t="str">
        <f>"200007488"</f>
        <v>200007488</v>
      </c>
      <c r="B3887" t="str">
        <f>"1093326407"</f>
        <v>1093326407</v>
      </c>
      <c r="C3887" t="str">
        <f>"363L00000X"</f>
        <v>363L00000X</v>
      </c>
      <c r="D3887" t="str">
        <f>"RELLE                    DEVON                    "</f>
        <v xml:space="preserve">RELLE                    DEVON                    </v>
      </c>
      <c r="E3887" t="str">
        <f>"LAFAYETTE                 "</f>
        <v xml:space="preserve">LAFAYETTE                 </v>
      </c>
      <c r="F3887" t="str">
        <f t="shared" si="163"/>
        <v>LA</v>
      </c>
    </row>
    <row r="3888" spans="1:6" x14ac:dyDescent="0.25">
      <c r="A3888" t="str">
        <f>"200007580"</f>
        <v>200007580</v>
      </c>
      <c r="B3888" t="str">
        <f>"1376073221"</f>
        <v>1376073221</v>
      </c>
      <c r="C3888" t="str">
        <f>"208000000X"</f>
        <v>208000000X</v>
      </c>
      <c r="D3888" t="str">
        <f>"COLEMAN                  CARA                     "</f>
        <v xml:space="preserve">COLEMAN                  CARA                     </v>
      </c>
      <c r="E3888" t="str">
        <f>"NEW ORLEANS               "</f>
        <v xml:space="preserve">NEW ORLEANS               </v>
      </c>
      <c r="F3888" t="str">
        <f t="shared" si="163"/>
        <v>LA</v>
      </c>
    </row>
    <row r="3889" spans="1:6" x14ac:dyDescent="0.25">
      <c r="A3889" t="str">
        <f>"200007594"</f>
        <v>200007594</v>
      </c>
      <c r="B3889" t="str">
        <f>"1396200960"</f>
        <v>1396200960</v>
      </c>
      <c r="C3889" t="str">
        <f>"363L00000X"</f>
        <v>363L00000X</v>
      </c>
      <c r="D3889" t="str">
        <f>"NEAL                     WENDI                    "</f>
        <v xml:space="preserve">NEAL                     WENDI                    </v>
      </c>
      <c r="E3889" t="str">
        <f>"HAMMOND                   "</f>
        <v xml:space="preserve">HAMMOND                   </v>
      </c>
      <c r="F3889" t="str">
        <f t="shared" si="163"/>
        <v>LA</v>
      </c>
    </row>
    <row r="3890" spans="1:6" x14ac:dyDescent="0.25">
      <c r="A3890" t="str">
        <f>"200007598"</f>
        <v>200007598</v>
      </c>
      <c r="B3890" t="str">
        <f>"1295267136"</f>
        <v>1295267136</v>
      </c>
      <c r="C3890" t="str">
        <f>"207RH0003X"</f>
        <v>207RH0003X</v>
      </c>
      <c r="D3890" t="str">
        <f>"LOPES                    CAITLIN      E           "</f>
        <v xml:space="preserve">LOPES                    CAITLIN      E           </v>
      </c>
      <c r="E3890" t="str">
        <f>"COVINGTON                 "</f>
        <v xml:space="preserve">COVINGTON                 </v>
      </c>
      <c r="F3890" t="str">
        <f t="shared" si="163"/>
        <v>LA</v>
      </c>
    </row>
    <row r="3891" spans="1:6" x14ac:dyDescent="0.25">
      <c r="A3891" t="str">
        <f>"200007603"</f>
        <v>200007603</v>
      </c>
      <c r="B3891" t="str">
        <f>"1891711255"</f>
        <v>1891711255</v>
      </c>
      <c r="C3891" t="str">
        <f>"2085R0202X"</f>
        <v>2085R0202X</v>
      </c>
      <c r="D3891" t="str">
        <f>"SANGSTER                 GUILLERMO    P           "</f>
        <v xml:space="preserve">SANGSTER                 GUILLERMO    P           </v>
      </c>
      <c r="E3891" t="str">
        <f>"NEW ORLEANS               "</f>
        <v xml:space="preserve">NEW ORLEANS               </v>
      </c>
      <c r="F3891" t="str">
        <f t="shared" si="163"/>
        <v>LA</v>
      </c>
    </row>
    <row r="3892" spans="1:6" x14ac:dyDescent="0.25">
      <c r="A3892" t="str">
        <f>"200007608"</f>
        <v>200007608</v>
      </c>
      <c r="B3892" t="str">
        <f>"1821271735"</f>
        <v>1821271735</v>
      </c>
      <c r="C3892" t="str">
        <f>"2080P0206X"</f>
        <v>2080P0206X</v>
      </c>
      <c r="D3892" t="str">
        <f>"THAME                    KIRK                     "</f>
        <v xml:space="preserve">THAME                    KIRK                     </v>
      </c>
      <c r="E3892" t="str">
        <f>"NEW ORLEANS               "</f>
        <v xml:space="preserve">NEW ORLEANS               </v>
      </c>
      <c r="F3892" t="str">
        <f t="shared" si="163"/>
        <v>LA</v>
      </c>
    </row>
    <row r="3893" spans="1:6" x14ac:dyDescent="0.25">
      <c r="A3893" t="str">
        <f>"200007674"</f>
        <v>200007674</v>
      </c>
      <c r="B3893" t="str">
        <f>"1508386145"</f>
        <v>1508386145</v>
      </c>
      <c r="C3893" t="str">
        <f>"2080P0202X"</f>
        <v>2080P0202X</v>
      </c>
      <c r="D3893" t="str">
        <f>"ORTIZ FLORES             NICOLAS                  "</f>
        <v xml:space="preserve">ORTIZ FLORES             NICOLAS                  </v>
      </c>
      <c r="E3893" t="str">
        <f>"NEW ORLEANS               "</f>
        <v xml:space="preserve">NEW ORLEANS               </v>
      </c>
      <c r="F3893" t="str">
        <f t="shared" si="163"/>
        <v>LA</v>
      </c>
    </row>
    <row r="3894" spans="1:6" x14ac:dyDescent="0.25">
      <c r="A3894" t="str">
        <f>"200007688"</f>
        <v>200007688</v>
      </c>
      <c r="B3894" t="str">
        <f>"1033994157"</f>
        <v>1033994157</v>
      </c>
      <c r="C3894" t="str">
        <f>"363L00000X"</f>
        <v>363L00000X</v>
      </c>
      <c r="D3894" t="str">
        <f>"JERNIGAN                 MEAGAN                   "</f>
        <v xml:space="preserve">JERNIGAN                 MEAGAN                   </v>
      </c>
      <c r="E3894" t="str">
        <f>"METAIRIE                  "</f>
        <v xml:space="preserve">METAIRIE                  </v>
      </c>
      <c r="F3894" t="str">
        <f t="shared" si="163"/>
        <v>LA</v>
      </c>
    </row>
    <row r="3895" spans="1:6" x14ac:dyDescent="0.25">
      <c r="A3895" t="str">
        <f>"200007725"</f>
        <v>200007725</v>
      </c>
      <c r="B3895" t="str">
        <f>"1396877049"</f>
        <v>1396877049</v>
      </c>
      <c r="C3895" t="str">
        <f>"367500000X"</f>
        <v>367500000X</v>
      </c>
      <c r="D3895" t="str">
        <f>"MANNINO                  MELISSA      P           "</f>
        <v xml:space="preserve">MANNINO                  MELISSA      P           </v>
      </c>
      <c r="E3895" t="str">
        <f>"COVINGTON                 "</f>
        <v xml:space="preserve">COVINGTON                 </v>
      </c>
      <c r="F3895" t="str">
        <f t="shared" si="163"/>
        <v>LA</v>
      </c>
    </row>
    <row r="3896" spans="1:6" x14ac:dyDescent="0.25">
      <c r="A3896" t="str">
        <f>"200007743"</f>
        <v>200007743</v>
      </c>
      <c r="B3896" t="str">
        <f>"1427089234"</f>
        <v>1427089234</v>
      </c>
      <c r="C3896" t="str">
        <f>"207RP1001X"</f>
        <v>207RP1001X</v>
      </c>
      <c r="D3896" t="str">
        <f>"ELLIS                    BLESILDA     Q           "</f>
        <v xml:space="preserve">ELLIS                    BLESILDA     Q           </v>
      </c>
      <c r="E3896" t="str">
        <f>"NEW ORLEANS               "</f>
        <v xml:space="preserve">NEW ORLEANS               </v>
      </c>
      <c r="F3896" t="str">
        <f t="shared" si="163"/>
        <v>LA</v>
      </c>
    </row>
    <row r="3897" spans="1:6" x14ac:dyDescent="0.25">
      <c r="A3897" t="str">
        <f>"200007746"</f>
        <v>200007746</v>
      </c>
      <c r="B3897" t="str">
        <f>"1003267451"</f>
        <v>1003267451</v>
      </c>
      <c r="C3897" t="str">
        <f>"207RC0000X"</f>
        <v>207RC0000X</v>
      </c>
      <c r="D3897" t="str">
        <f>"RAHMAN                   MINHAZUR                 "</f>
        <v xml:space="preserve">RAHMAN                   MINHAZUR                 </v>
      </c>
      <c r="E3897" t="str">
        <f>"NEW ORLEANS               "</f>
        <v xml:space="preserve">NEW ORLEANS               </v>
      </c>
      <c r="F3897" t="str">
        <f t="shared" si="163"/>
        <v>LA</v>
      </c>
    </row>
    <row r="3898" spans="1:6" x14ac:dyDescent="0.25">
      <c r="A3898" t="str">
        <f>"200007780"</f>
        <v>200007780</v>
      </c>
      <c r="B3898" t="str">
        <f>"1962853853"</f>
        <v>1962853853</v>
      </c>
      <c r="C3898" t="str">
        <f>"207X00000X"</f>
        <v>207X00000X</v>
      </c>
      <c r="D3898" t="str">
        <f>"ELLIOTT                  IAN          D           "</f>
        <v xml:space="preserve">ELLIOTT                  IAN          D           </v>
      </c>
      <c r="E3898" t="str">
        <f>"KENNER                    "</f>
        <v xml:space="preserve">KENNER                    </v>
      </c>
      <c r="F3898" t="str">
        <f t="shared" si="163"/>
        <v>LA</v>
      </c>
    </row>
    <row r="3899" spans="1:6" x14ac:dyDescent="0.25">
      <c r="A3899" t="str">
        <f>"200007812"</f>
        <v>200007812</v>
      </c>
      <c r="B3899" t="str">
        <f>"1437507266"</f>
        <v>1437507266</v>
      </c>
      <c r="C3899" t="str">
        <f>"2080P0206X"</f>
        <v>2080P0206X</v>
      </c>
      <c r="D3899" t="str">
        <f>"BANKS                    DARNNA       E           "</f>
        <v xml:space="preserve">BANKS                    DARNNA       E           </v>
      </c>
      <c r="E3899" t="str">
        <f>"NEW ORLEANS               "</f>
        <v xml:space="preserve">NEW ORLEANS               </v>
      </c>
      <c r="F3899" t="str">
        <f t="shared" si="163"/>
        <v>LA</v>
      </c>
    </row>
    <row r="3900" spans="1:6" x14ac:dyDescent="0.25">
      <c r="A3900" t="str">
        <f>"200007841"</f>
        <v>200007841</v>
      </c>
      <c r="B3900" t="str">
        <f>"1114381746"</f>
        <v>1114381746</v>
      </c>
      <c r="C3900" t="str">
        <f>"207R00000X"</f>
        <v>207R00000X</v>
      </c>
      <c r="D3900" t="str">
        <f>"GOSCINIAK                ELIZABETH    M           "</f>
        <v xml:space="preserve">GOSCINIAK                ELIZABETH    M           </v>
      </c>
      <c r="E3900" t="str">
        <f>"NEW ORLEANS               "</f>
        <v xml:space="preserve">NEW ORLEANS               </v>
      </c>
      <c r="F3900" t="str">
        <f t="shared" si="163"/>
        <v>LA</v>
      </c>
    </row>
    <row r="3901" spans="1:6" x14ac:dyDescent="0.25">
      <c r="A3901" t="str">
        <f>"200007842"</f>
        <v>200007842</v>
      </c>
      <c r="B3901" t="str">
        <f>"1306341003"</f>
        <v>1306341003</v>
      </c>
      <c r="C3901" t="str">
        <f>"2084N0400X"</f>
        <v>2084N0400X</v>
      </c>
      <c r="D3901" t="str">
        <f>"RUPARELIYA               CHINTAN                  "</f>
        <v xml:space="preserve">RUPARELIYA               CHINTAN                  </v>
      </c>
      <c r="E3901" t="str">
        <f>"NEW ORLEANS               "</f>
        <v xml:space="preserve">NEW ORLEANS               </v>
      </c>
      <c r="F3901" t="str">
        <f t="shared" si="163"/>
        <v>LA</v>
      </c>
    </row>
    <row r="3902" spans="1:6" x14ac:dyDescent="0.25">
      <c r="A3902" t="str">
        <f>"200007864"</f>
        <v>200007864</v>
      </c>
      <c r="B3902" t="str">
        <f>"1760878870"</f>
        <v>1760878870</v>
      </c>
      <c r="C3902" t="str">
        <f>"207P00000X"</f>
        <v>207P00000X</v>
      </c>
      <c r="D3902" t="str">
        <f>"WEEMS                    PATRICIA                 "</f>
        <v xml:space="preserve">WEEMS                    PATRICIA                 </v>
      </c>
      <c r="E3902" t="str">
        <f>"NEW ORLEANS               "</f>
        <v xml:space="preserve">NEW ORLEANS               </v>
      </c>
      <c r="F3902" t="str">
        <f t="shared" si="163"/>
        <v>LA</v>
      </c>
    </row>
    <row r="3903" spans="1:6" x14ac:dyDescent="0.25">
      <c r="A3903" t="str">
        <f>"200007874"</f>
        <v>200007874</v>
      </c>
      <c r="B3903" t="str">
        <f>"1639427933"</f>
        <v>1639427933</v>
      </c>
      <c r="C3903" t="str">
        <f>"208600000X"</f>
        <v>208600000X</v>
      </c>
      <c r="D3903" t="str">
        <f>"HOSEIN                   SALIM                    "</f>
        <v xml:space="preserve">HOSEIN                   SALIM                    </v>
      </c>
      <c r="E3903" t="str">
        <f>"NEW ORLEANS               "</f>
        <v xml:space="preserve">NEW ORLEANS               </v>
      </c>
      <c r="F3903" t="str">
        <f t="shared" si="163"/>
        <v>LA</v>
      </c>
    </row>
    <row r="3904" spans="1:6" x14ac:dyDescent="0.25">
      <c r="A3904" t="str">
        <f>"200007890"</f>
        <v>200007890</v>
      </c>
      <c r="B3904" t="str">
        <f>"1366102188"</f>
        <v>1366102188</v>
      </c>
      <c r="C3904" t="str">
        <f>"363A00000X"</f>
        <v>363A00000X</v>
      </c>
      <c r="D3904" t="str">
        <f>"HEBERT III               RICHARD      P           "</f>
        <v xml:space="preserve">HEBERT III               RICHARD      P           </v>
      </c>
      <c r="E3904" t="str">
        <f>"BATON ROUGE               "</f>
        <v xml:space="preserve">BATON ROUGE               </v>
      </c>
      <c r="F3904" t="str">
        <f t="shared" si="163"/>
        <v>LA</v>
      </c>
    </row>
    <row r="3905" spans="1:6" x14ac:dyDescent="0.25">
      <c r="A3905" t="str">
        <f>"200007904"</f>
        <v>200007904</v>
      </c>
      <c r="B3905" t="str">
        <f>"1548236391"</f>
        <v>1548236391</v>
      </c>
      <c r="C3905" t="str">
        <f>"207RG0100X"</f>
        <v>207RG0100X</v>
      </c>
      <c r="D3905" t="str">
        <f>"REINA                    JASON                    "</f>
        <v xml:space="preserve">REINA                    JASON                    </v>
      </c>
      <c r="E3905" t="str">
        <f>"HAMMOND                   "</f>
        <v xml:space="preserve">HAMMOND                   </v>
      </c>
      <c r="F3905" t="str">
        <f t="shared" si="163"/>
        <v>LA</v>
      </c>
    </row>
    <row r="3906" spans="1:6" x14ac:dyDescent="0.25">
      <c r="A3906" t="str">
        <f>"200007915"</f>
        <v>200007915</v>
      </c>
      <c r="B3906" t="str">
        <f>"1710545751"</f>
        <v>1710545751</v>
      </c>
      <c r="C3906" t="str">
        <f>"207R00000X"</f>
        <v>207R00000X</v>
      </c>
      <c r="D3906" t="str">
        <f>"TUTOR                    AUSTIN       W           "</f>
        <v xml:space="preserve">TUTOR                    AUSTIN       W           </v>
      </c>
      <c r="E3906" t="str">
        <f>"NEW ORLEANS               "</f>
        <v xml:space="preserve">NEW ORLEANS               </v>
      </c>
      <c r="F3906" t="str">
        <f t="shared" si="163"/>
        <v>LA</v>
      </c>
    </row>
    <row r="3907" spans="1:6" x14ac:dyDescent="0.25">
      <c r="A3907" t="str">
        <f>"200007922"</f>
        <v>200007922</v>
      </c>
      <c r="B3907" t="str">
        <f>"1699557439"</f>
        <v>1699557439</v>
      </c>
      <c r="C3907" t="str">
        <f>"363L00000X"</f>
        <v>363L00000X</v>
      </c>
      <c r="D3907" t="str">
        <f>"GUIDRY                   LAUREN       M           "</f>
        <v xml:space="preserve">GUIDRY                   LAUREN       M           </v>
      </c>
      <c r="E3907" t="str">
        <f>"COVINGTON                 "</f>
        <v xml:space="preserve">COVINGTON                 </v>
      </c>
      <c r="F3907" t="str">
        <f t="shared" si="163"/>
        <v>LA</v>
      </c>
    </row>
    <row r="3908" spans="1:6" x14ac:dyDescent="0.25">
      <c r="A3908" t="str">
        <f>"200007931"</f>
        <v>200007931</v>
      </c>
      <c r="B3908" t="str">
        <f>"1215686571"</f>
        <v>1215686571</v>
      </c>
      <c r="C3908" t="str">
        <f>"363L00000X"</f>
        <v>363L00000X</v>
      </c>
      <c r="D3908" t="str">
        <f>"MADERE                   ELIZABETH    F           "</f>
        <v xml:space="preserve">MADERE                   ELIZABETH    F           </v>
      </c>
      <c r="E3908" t="str">
        <f>"NEW ORLEANS               "</f>
        <v xml:space="preserve">NEW ORLEANS               </v>
      </c>
      <c r="F3908" t="str">
        <f t="shared" si="163"/>
        <v>LA</v>
      </c>
    </row>
    <row r="3909" spans="1:6" x14ac:dyDescent="0.25">
      <c r="A3909" t="str">
        <f>"200007933"</f>
        <v>200007933</v>
      </c>
      <c r="B3909" t="str">
        <f>"1023695368"</f>
        <v>1023695368</v>
      </c>
      <c r="C3909" t="str">
        <f>"208D00000X"</f>
        <v>208D00000X</v>
      </c>
      <c r="D3909" t="str">
        <f>"DUVALL                   CASEY        L           "</f>
        <v xml:space="preserve">DUVALL                   CASEY        L           </v>
      </c>
      <c r="E3909" t="str">
        <f>"BOGALUSA                  "</f>
        <v xml:space="preserve">BOGALUSA                  </v>
      </c>
      <c r="F3909" t="str">
        <f t="shared" si="163"/>
        <v>LA</v>
      </c>
    </row>
    <row r="3910" spans="1:6" x14ac:dyDescent="0.25">
      <c r="A3910" t="str">
        <f>"200007940"</f>
        <v>200007940</v>
      </c>
      <c r="B3910" t="str">
        <f>"1134771595"</f>
        <v>1134771595</v>
      </c>
      <c r="C3910" t="str">
        <f>"363L00000X"</f>
        <v>363L00000X</v>
      </c>
      <c r="D3910" t="str">
        <f>"GELPI                    EMILIE       G           "</f>
        <v xml:space="preserve">GELPI                    EMILIE       G           </v>
      </c>
      <c r="E3910" t="str">
        <f>"NEW ORLEANS               "</f>
        <v xml:space="preserve">NEW ORLEANS               </v>
      </c>
      <c r="F3910" t="str">
        <f t="shared" si="163"/>
        <v>LA</v>
      </c>
    </row>
    <row r="3911" spans="1:6" x14ac:dyDescent="0.25">
      <c r="A3911" t="str">
        <f>"200007957"</f>
        <v>200007957</v>
      </c>
      <c r="B3911" t="str">
        <f>"1821626342"</f>
        <v>1821626342</v>
      </c>
      <c r="C3911" t="str">
        <f>"207R00000X"</f>
        <v>207R00000X</v>
      </c>
      <c r="D3911" t="str">
        <f>"BOYCE                    JESSICA      M           "</f>
        <v xml:space="preserve">BOYCE                    JESSICA      M           </v>
      </c>
      <c r="E3911" t="str">
        <f>"NEW ORLEANS               "</f>
        <v xml:space="preserve">NEW ORLEANS               </v>
      </c>
      <c r="F3911" t="str">
        <f t="shared" si="163"/>
        <v>LA</v>
      </c>
    </row>
    <row r="3912" spans="1:6" x14ac:dyDescent="0.25">
      <c r="A3912" t="str">
        <f>"200007993"</f>
        <v>200007993</v>
      </c>
      <c r="B3912" t="str">
        <f>"1740866151"</f>
        <v>1740866151</v>
      </c>
      <c r="C3912" t="str">
        <f>"208D00000X"</f>
        <v>208D00000X</v>
      </c>
      <c r="D3912" t="str">
        <f>"WOODBRIDGE               ALEXANDRA                "</f>
        <v xml:space="preserve">WOODBRIDGE               ALEXANDRA                </v>
      </c>
      <c r="E3912" t="str">
        <f>"BOGALUSA                  "</f>
        <v xml:space="preserve">BOGALUSA                  </v>
      </c>
      <c r="F3912" t="str">
        <f t="shared" si="163"/>
        <v>LA</v>
      </c>
    </row>
    <row r="3913" spans="1:6" x14ac:dyDescent="0.25">
      <c r="A3913" t="str">
        <f>"200008099"</f>
        <v>200008099</v>
      </c>
      <c r="B3913" t="str">
        <f>"1487953287"</f>
        <v>1487953287</v>
      </c>
      <c r="C3913" t="str">
        <f>"2080N0001X"</f>
        <v>2080N0001X</v>
      </c>
      <c r="D3913" t="str">
        <f>"STEINHARDT               MICHELLE                 "</f>
        <v xml:space="preserve">STEINHARDT               MICHELLE                 </v>
      </c>
      <c r="E3913" t="str">
        <f>"METAIRIE                  "</f>
        <v xml:space="preserve">METAIRIE                  </v>
      </c>
      <c r="F3913" t="str">
        <f t="shared" si="163"/>
        <v>LA</v>
      </c>
    </row>
    <row r="3914" spans="1:6" x14ac:dyDescent="0.25">
      <c r="A3914" t="str">
        <f>"200008205"</f>
        <v>200008205</v>
      </c>
      <c r="B3914" t="str">
        <f>"1336842715"</f>
        <v>1336842715</v>
      </c>
      <c r="C3914" t="str">
        <f>"363A00000X"</f>
        <v>363A00000X</v>
      </c>
      <c r="D3914" t="str">
        <f>"JUNEAU                   BROOK                    "</f>
        <v xml:space="preserve">JUNEAU                   BROOK                    </v>
      </c>
      <c r="E3914" t="str">
        <f>"LA PLACE                  "</f>
        <v xml:space="preserve">LA PLACE                  </v>
      </c>
      <c r="F3914" t="str">
        <f t="shared" si="163"/>
        <v>LA</v>
      </c>
    </row>
    <row r="3915" spans="1:6" x14ac:dyDescent="0.25">
      <c r="A3915" t="str">
        <f>"200008294"</f>
        <v>200008294</v>
      </c>
      <c r="B3915" t="str">
        <f>"1649774464"</f>
        <v>1649774464</v>
      </c>
      <c r="C3915" t="str">
        <f>"207R00000X"</f>
        <v>207R00000X</v>
      </c>
      <c r="D3915" t="str">
        <f>"HILLBURN                 TAYLOR                   "</f>
        <v xml:space="preserve">HILLBURN                 TAYLOR                   </v>
      </c>
      <c r="E3915" t="str">
        <f>"NEW ORLEANS               "</f>
        <v xml:space="preserve">NEW ORLEANS               </v>
      </c>
      <c r="F3915" t="str">
        <f t="shared" si="163"/>
        <v>LA</v>
      </c>
    </row>
    <row r="3916" spans="1:6" x14ac:dyDescent="0.25">
      <c r="A3916" t="str">
        <f>"200008297"</f>
        <v>200008297</v>
      </c>
      <c r="B3916" t="str">
        <f>"1821528076"</f>
        <v>1821528076</v>
      </c>
      <c r="C3916" t="str">
        <f>"207RG0100X"</f>
        <v>207RG0100X</v>
      </c>
      <c r="D3916" t="str">
        <f>"ZAPATA                   MARIANA      C           "</f>
        <v xml:space="preserve">ZAPATA                   MARIANA      C           </v>
      </c>
      <c r="E3916" t="str">
        <f>"NEW ORLEANS               "</f>
        <v xml:space="preserve">NEW ORLEANS               </v>
      </c>
      <c r="F3916" t="str">
        <f t="shared" si="163"/>
        <v>LA</v>
      </c>
    </row>
    <row r="3917" spans="1:6" x14ac:dyDescent="0.25">
      <c r="A3917" t="str">
        <f>"200008348"</f>
        <v>200008348</v>
      </c>
      <c r="B3917" t="str">
        <f>"1497452353"</f>
        <v>1497452353</v>
      </c>
      <c r="C3917" t="str">
        <f>"363L00000X"</f>
        <v>363L00000X</v>
      </c>
      <c r="D3917" t="str">
        <f>"HARRIS                   MATILDE                  "</f>
        <v xml:space="preserve">HARRIS                   MATILDE                  </v>
      </c>
      <c r="E3917" t="str">
        <f>"SLIDELL                   "</f>
        <v xml:space="preserve">SLIDELL                   </v>
      </c>
      <c r="F3917" t="str">
        <f t="shared" si="163"/>
        <v>LA</v>
      </c>
    </row>
    <row r="3918" spans="1:6" x14ac:dyDescent="0.25">
      <c r="A3918" t="str">
        <f>"200008405"</f>
        <v>200008405</v>
      </c>
      <c r="B3918" t="str">
        <f>"1184875262"</f>
        <v>1184875262</v>
      </c>
      <c r="C3918" t="str">
        <f>"208000000X"</f>
        <v>208000000X</v>
      </c>
      <c r="D3918" t="str">
        <f>"ELHADI                   SARAH        E           "</f>
        <v xml:space="preserve">ELHADI                   SARAH        E           </v>
      </c>
      <c r="E3918" t="str">
        <f>"NEW ORLEANS               "</f>
        <v xml:space="preserve">NEW ORLEANS               </v>
      </c>
      <c r="F3918" t="str">
        <f t="shared" si="163"/>
        <v>LA</v>
      </c>
    </row>
    <row r="3919" spans="1:6" x14ac:dyDescent="0.25">
      <c r="A3919" t="str">
        <f>"200008490"</f>
        <v>200008490</v>
      </c>
      <c r="B3919" t="str">
        <f>"1467457515"</f>
        <v>1467457515</v>
      </c>
      <c r="C3919" t="str">
        <f>"2085P0229X"</f>
        <v>2085P0229X</v>
      </c>
      <c r="D3919" t="str">
        <f>"KARCHER                  GERALD                   "</f>
        <v xml:space="preserve">KARCHER                  GERALD                   </v>
      </c>
      <c r="E3919" t="str">
        <f>"NEW ORLEANS               "</f>
        <v xml:space="preserve">NEW ORLEANS               </v>
      </c>
      <c r="F3919" t="str">
        <f t="shared" si="163"/>
        <v>LA</v>
      </c>
    </row>
    <row r="3920" spans="1:6" x14ac:dyDescent="0.25">
      <c r="A3920" t="str">
        <f>"200008497"</f>
        <v>200008497</v>
      </c>
      <c r="B3920" t="str">
        <f>"1619698917"</f>
        <v>1619698917</v>
      </c>
      <c r="C3920" t="str">
        <f>"363L00000X"</f>
        <v>363L00000X</v>
      </c>
      <c r="D3920" t="str">
        <f>"SIBLEY                   MALAINA                  "</f>
        <v xml:space="preserve">SIBLEY                   MALAINA                  </v>
      </c>
      <c r="E3920" t="str">
        <f>"COVINGTON                 "</f>
        <v xml:space="preserve">COVINGTON                 </v>
      </c>
      <c r="F3920" t="str">
        <f t="shared" si="163"/>
        <v>LA</v>
      </c>
    </row>
    <row r="3921" spans="1:6" x14ac:dyDescent="0.25">
      <c r="A3921" t="str">
        <f>"200008516"</f>
        <v>200008516</v>
      </c>
      <c r="B3921" t="str">
        <f>"1144724733"</f>
        <v>1144724733</v>
      </c>
      <c r="C3921" t="str">
        <f>"207L00000X"</f>
        <v>207L00000X</v>
      </c>
      <c r="D3921" t="str">
        <f>"KIRCHNER                 CARL         W           "</f>
        <v xml:space="preserve">KIRCHNER                 CARL         W           </v>
      </c>
      <c r="E3921" t="str">
        <f>"NEW ORLEANS               "</f>
        <v xml:space="preserve">NEW ORLEANS               </v>
      </c>
      <c r="F3921" t="str">
        <f t="shared" si="163"/>
        <v>LA</v>
      </c>
    </row>
    <row r="3922" spans="1:6" x14ac:dyDescent="0.25">
      <c r="A3922" t="str">
        <f>"200008544"</f>
        <v>200008544</v>
      </c>
      <c r="B3922" t="str">
        <f>"1023538147"</f>
        <v>1023538147</v>
      </c>
      <c r="C3922" t="str">
        <f>"207RR0500X"</f>
        <v>207RR0500X</v>
      </c>
      <c r="D3922" t="str">
        <f>"CAMARGO MACIAS           KATHLYN                  "</f>
        <v xml:space="preserve">CAMARGO MACIAS           KATHLYN                  </v>
      </c>
      <c r="E3922" t="str">
        <f>"LULING                    "</f>
        <v xml:space="preserve">LULING                    </v>
      </c>
      <c r="F3922" t="str">
        <f t="shared" si="163"/>
        <v>LA</v>
      </c>
    </row>
    <row r="3923" spans="1:6" x14ac:dyDescent="0.25">
      <c r="A3923" t="str">
        <f>"200008559"</f>
        <v>200008559</v>
      </c>
      <c r="B3923" t="str">
        <f>"1437690716"</f>
        <v>1437690716</v>
      </c>
      <c r="C3923" t="str">
        <f>"2080N0001X"</f>
        <v>2080N0001X</v>
      </c>
      <c r="D3923" t="str">
        <f>"LYONS                    DANIEL       F           "</f>
        <v xml:space="preserve">LYONS                    DANIEL       F           </v>
      </c>
      <c r="E3923" t="str">
        <f>"BATON ROUGE               "</f>
        <v xml:space="preserve">BATON ROUGE               </v>
      </c>
      <c r="F3923" t="str">
        <f t="shared" si="163"/>
        <v>LA</v>
      </c>
    </row>
    <row r="3924" spans="1:6" x14ac:dyDescent="0.25">
      <c r="A3924" t="str">
        <f>"200008574"</f>
        <v>200008574</v>
      </c>
      <c r="B3924" t="str">
        <f>"1336675255"</f>
        <v>1336675255</v>
      </c>
      <c r="C3924" t="str">
        <f>"2085R0202X"</f>
        <v>2085R0202X</v>
      </c>
      <c r="D3924" t="str">
        <f>"LEDET                    DREW         M           "</f>
        <v xml:space="preserve">LEDET                    DREW         M           </v>
      </c>
      <c r="E3924" t="str">
        <f>"NEW ORLEANS               "</f>
        <v xml:space="preserve">NEW ORLEANS               </v>
      </c>
      <c r="F3924" t="str">
        <f t="shared" si="163"/>
        <v>LA</v>
      </c>
    </row>
    <row r="3925" spans="1:6" x14ac:dyDescent="0.25">
      <c r="A3925" t="str">
        <f>"200008612"</f>
        <v>200008612</v>
      </c>
      <c r="B3925" t="str">
        <f>"1831319862"</f>
        <v>1831319862</v>
      </c>
      <c r="C3925" t="str">
        <f>"2084N0400X"</f>
        <v>2084N0400X</v>
      </c>
      <c r="D3925" t="str">
        <f>"MURR                     NAJIB                    "</f>
        <v xml:space="preserve">MURR                     NAJIB                    </v>
      </c>
      <c r="E3925" t="str">
        <f>"HAMMOND                   "</f>
        <v xml:space="preserve">HAMMOND                   </v>
      </c>
      <c r="F3925" t="str">
        <f t="shared" si="163"/>
        <v>LA</v>
      </c>
    </row>
    <row r="3926" spans="1:6" x14ac:dyDescent="0.25">
      <c r="A3926" t="str">
        <f>"200008675"</f>
        <v>200008675</v>
      </c>
      <c r="B3926" t="str">
        <f>"1710131131"</f>
        <v>1710131131</v>
      </c>
      <c r="C3926" t="str">
        <f>"207ZP0105X"</f>
        <v>207ZP0105X</v>
      </c>
      <c r="D3926" t="str">
        <f>"O'BRIEN                  JENNIFER     J           "</f>
        <v xml:space="preserve">O'BRIEN                  JENNIFER     J           </v>
      </c>
      <c r="E3926" t="str">
        <f>"NEW ORLEANS               "</f>
        <v xml:space="preserve">NEW ORLEANS               </v>
      </c>
      <c r="F3926" t="str">
        <f t="shared" si="163"/>
        <v>LA</v>
      </c>
    </row>
    <row r="3927" spans="1:6" x14ac:dyDescent="0.25">
      <c r="A3927" t="str">
        <f>"200008679"</f>
        <v>200008679</v>
      </c>
      <c r="B3927" t="str">
        <f>"1336130921"</f>
        <v>1336130921</v>
      </c>
      <c r="C3927" t="str">
        <f>"2085R0202X"</f>
        <v>2085R0202X</v>
      </c>
      <c r="D3927" t="str">
        <f>"ROMANI JR.               WILLIAM      R           "</f>
        <v xml:space="preserve">ROMANI JR.               WILLIAM      R           </v>
      </c>
      <c r="E3927" t="str">
        <f>"RACELAND                  "</f>
        <v xml:space="preserve">RACELAND                  </v>
      </c>
      <c r="F3927" t="str">
        <f t="shared" si="163"/>
        <v>LA</v>
      </c>
    </row>
    <row r="3928" spans="1:6" x14ac:dyDescent="0.25">
      <c r="A3928" t="str">
        <f>"200008691"</f>
        <v>200008691</v>
      </c>
      <c r="B3928" t="str">
        <f>"1750608006"</f>
        <v>1750608006</v>
      </c>
      <c r="C3928" t="str">
        <f>"207RN0300X"</f>
        <v>207RN0300X</v>
      </c>
      <c r="D3928" t="str">
        <f>"INMAN                    MELISSA      A           "</f>
        <v xml:space="preserve">INMAN                    MELISSA      A           </v>
      </c>
      <c r="E3928" t="str">
        <f>"COVINGTON                 "</f>
        <v xml:space="preserve">COVINGTON                 </v>
      </c>
      <c r="F3928" t="str">
        <f t="shared" si="163"/>
        <v>LA</v>
      </c>
    </row>
    <row r="3929" spans="1:6" x14ac:dyDescent="0.25">
      <c r="A3929" t="str">
        <f>"200008701"</f>
        <v>200008701</v>
      </c>
      <c r="B3929" t="str">
        <f>"1063867422"</f>
        <v>1063867422</v>
      </c>
      <c r="C3929" t="str">
        <f>"207RR0500X"</f>
        <v>207RR0500X</v>
      </c>
      <c r="D3929" t="str">
        <f>"ROBLEDO                  ILEANNETTE               "</f>
        <v xml:space="preserve">ROBLEDO                  ILEANNETTE               </v>
      </c>
      <c r="E3929" t="str">
        <f>"NEW ORLEANS               "</f>
        <v xml:space="preserve">NEW ORLEANS               </v>
      </c>
      <c r="F3929" t="str">
        <f t="shared" si="163"/>
        <v>LA</v>
      </c>
    </row>
    <row r="3930" spans="1:6" x14ac:dyDescent="0.25">
      <c r="A3930" t="str">
        <f>"200008727"</f>
        <v>200008727</v>
      </c>
      <c r="B3930" t="str">
        <f>"1992162515"</f>
        <v>1992162515</v>
      </c>
      <c r="C3930" t="str">
        <f>"363L00000X"</f>
        <v>363L00000X</v>
      </c>
      <c r="D3930" t="str">
        <f>"TIBLIER                  SAMANTHA     S           "</f>
        <v xml:space="preserve">TIBLIER                  SAMANTHA     S           </v>
      </c>
      <c r="E3930" t="str">
        <f>"BATON ROUGE               "</f>
        <v xml:space="preserve">BATON ROUGE               </v>
      </c>
      <c r="F3930" t="str">
        <f t="shared" si="163"/>
        <v>LA</v>
      </c>
    </row>
    <row r="3931" spans="1:6" x14ac:dyDescent="0.25">
      <c r="A3931" t="str">
        <f>"200008754"</f>
        <v>200008754</v>
      </c>
      <c r="B3931" t="str">
        <f>"1750948402"</f>
        <v>1750948402</v>
      </c>
      <c r="C3931" t="str">
        <f>"207V00000X"</f>
        <v>207V00000X</v>
      </c>
      <c r="D3931" t="str">
        <f>"TOPPIN                   JAMES        D           "</f>
        <v xml:space="preserve">TOPPIN                   JAMES        D           </v>
      </c>
      <c r="E3931" t="str">
        <f>"NEW ORLEANS               "</f>
        <v xml:space="preserve">NEW ORLEANS               </v>
      </c>
      <c r="F3931" t="str">
        <f t="shared" ref="F3931:F3994" si="164">"LA"</f>
        <v>LA</v>
      </c>
    </row>
    <row r="3932" spans="1:6" x14ac:dyDescent="0.25">
      <c r="A3932" t="str">
        <f>"200008757"</f>
        <v>200008757</v>
      </c>
      <c r="B3932" t="str">
        <f>"1982014213"</f>
        <v>1982014213</v>
      </c>
      <c r="C3932" t="str">
        <f>"2086S0129X"</f>
        <v>2086S0129X</v>
      </c>
      <c r="D3932" t="str">
        <f>"MAHMOOD                  GULREZ       T           "</f>
        <v xml:space="preserve">MAHMOOD                  GULREZ       T           </v>
      </c>
      <c r="E3932" t="str">
        <f>"BATON ROUGE               "</f>
        <v xml:space="preserve">BATON ROUGE               </v>
      </c>
      <c r="F3932" t="str">
        <f t="shared" si="164"/>
        <v>LA</v>
      </c>
    </row>
    <row r="3933" spans="1:6" x14ac:dyDescent="0.25">
      <c r="A3933" t="str">
        <f>"200008847"</f>
        <v>200008847</v>
      </c>
      <c r="B3933" t="str">
        <f>"1497442438"</f>
        <v>1497442438</v>
      </c>
      <c r="C3933" t="str">
        <f>"363L00000X"</f>
        <v>363L00000X</v>
      </c>
      <c r="D3933" t="str">
        <f>"FOUCHEA                  ANGELA                   "</f>
        <v xml:space="preserve">FOUCHEA                  ANGELA                   </v>
      </c>
      <c r="E3933" t="str">
        <f>"SLIDELL                   "</f>
        <v xml:space="preserve">SLIDELL                   </v>
      </c>
      <c r="F3933" t="str">
        <f t="shared" si="164"/>
        <v>LA</v>
      </c>
    </row>
    <row r="3934" spans="1:6" x14ac:dyDescent="0.25">
      <c r="A3934" t="str">
        <f>"200008888"</f>
        <v>200008888</v>
      </c>
      <c r="B3934" t="str">
        <f>"1821258732"</f>
        <v>1821258732</v>
      </c>
      <c r="C3934" t="str">
        <f>"207R00000X"</f>
        <v>207R00000X</v>
      </c>
      <c r="D3934" t="str">
        <f>"PREJEANT                 JILL                     "</f>
        <v xml:space="preserve">PREJEANT                 JILL                     </v>
      </c>
      <c r="E3934" t="str">
        <f>"SLIDELL                   "</f>
        <v xml:space="preserve">SLIDELL                   </v>
      </c>
      <c r="F3934" t="str">
        <f t="shared" si="164"/>
        <v>LA</v>
      </c>
    </row>
    <row r="3935" spans="1:6" x14ac:dyDescent="0.25">
      <c r="A3935" t="str">
        <f>"200009029"</f>
        <v>200009029</v>
      </c>
      <c r="B3935" t="str">
        <f>"1053016188"</f>
        <v>1053016188</v>
      </c>
      <c r="C3935" t="str">
        <f>"363L00000X"</f>
        <v>363L00000X</v>
      </c>
      <c r="D3935" t="str">
        <f>"HOLLINGSWORTH            KATIE                    "</f>
        <v xml:space="preserve">HOLLINGSWORTH            KATIE                    </v>
      </c>
      <c r="E3935" t="str">
        <f>"JEFFERSON                 "</f>
        <v xml:space="preserve">JEFFERSON                 </v>
      </c>
      <c r="F3935" t="str">
        <f t="shared" si="164"/>
        <v>LA</v>
      </c>
    </row>
    <row r="3936" spans="1:6" x14ac:dyDescent="0.25">
      <c r="A3936" t="str">
        <f>"200009039"</f>
        <v>200009039</v>
      </c>
      <c r="B3936" t="str">
        <f>"1164413324"</f>
        <v>1164413324</v>
      </c>
      <c r="C3936" t="str">
        <f>"2085R0202X"</f>
        <v>2085R0202X</v>
      </c>
      <c r="D3936" t="str">
        <f>"MILLER                   JOHN                     "</f>
        <v xml:space="preserve">MILLER                   JOHN                     </v>
      </c>
      <c r="E3936" t="str">
        <f>"HAMMOND                   "</f>
        <v xml:space="preserve">HAMMOND                   </v>
      </c>
      <c r="F3936" t="str">
        <f t="shared" si="164"/>
        <v>LA</v>
      </c>
    </row>
    <row r="3937" spans="1:6" x14ac:dyDescent="0.25">
      <c r="A3937" t="str">
        <f>"200009056"</f>
        <v>200009056</v>
      </c>
      <c r="B3937" t="str">
        <f>"1316478753"</f>
        <v>1316478753</v>
      </c>
      <c r="C3937" t="str">
        <f>"2084N0402X"</f>
        <v>2084N0402X</v>
      </c>
      <c r="D3937" t="str">
        <f>"PENCE                    KAYLA                    "</f>
        <v xml:space="preserve">PENCE                    KAYLA                    </v>
      </c>
      <c r="E3937" t="str">
        <f>"HAMMOND                   "</f>
        <v xml:space="preserve">HAMMOND                   </v>
      </c>
      <c r="F3937" t="str">
        <f t="shared" si="164"/>
        <v>LA</v>
      </c>
    </row>
    <row r="3938" spans="1:6" x14ac:dyDescent="0.25">
      <c r="A3938" t="str">
        <f>"200009070"</f>
        <v>200009070</v>
      </c>
      <c r="B3938" t="str">
        <f>"1245717248"</f>
        <v>1245717248</v>
      </c>
      <c r="C3938" t="str">
        <f>"152W00000X"</f>
        <v>152W00000X</v>
      </c>
      <c r="D3938" t="str">
        <f>"JELKS                    MICHAEL                  "</f>
        <v xml:space="preserve">JELKS                    MICHAEL                  </v>
      </c>
      <c r="E3938" t="str">
        <f>"ZACHARY                   "</f>
        <v xml:space="preserve">ZACHARY                   </v>
      </c>
      <c r="F3938" t="str">
        <f t="shared" si="164"/>
        <v>LA</v>
      </c>
    </row>
    <row r="3939" spans="1:6" x14ac:dyDescent="0.25">
      <c r="A3939" t="str">
        <f>"200009109"</f>
        <v>200009109</v>
      </c>
      <c r="B3939" t="str">
        <f>"1518938703"</f>
        <v>1518938703</v>
      </c>
      <c r="C3939" t="str">
        <f>"363L00000X"</f>
        <v>363L00000X</v>
      </c>
      <c r="D3939" t="str">
        <f>"BARTLEY                  CATHY                    "</f>
        <v xml:space="preserve">BARTLEY                  CATHY                    </v>
      </c>
      <c r="E3939" t="str">
        <f>"PEARL RIVER               "</f>
        <v xml:space="preserve">PEARL RIVER               </v>
      </c>
      <c r="F3939" t="str">
        <f t="shared" si="164"/>
        <v>LA</v>
      </c>
    </row>
    <row r="3940" spans="1:6" x14ac:dyDescent="0.25">
      <c r="A3940" t="str">
        <f>"200009115"</f>
        <v>200009115</v>
      </c>
      <c r="B3940" t="str">
        <f>"1518257757"</f>
        <v>1518257757</v>
      </c>
      <c r="C3940" t="str">
        <f>"207Q00000X"</f>
        <v>207Q00000X</v>
      </c>
      <c r="D3940" t="str">
        <f>"SOTIROPOULOS             EVANGELOS                "</f>
        <v xml:space="preserve">SOTIROPOULOS             EVANGELOS                </v>
      </c>
      <c r="E3940" t="str">
        <f>"COVINGTON                 "</f>
        <v xml:space="preserve">COVINGTON                 </v>
      </c>
      <c r="F3940" t="str">
        <f t="shared" si="164"/>
        <v>LA</v>
      </c>
    </row>
    <row r="3941" spans="1:6" x14ac:dyDescent="0.25">
      <c r="A3941" t="str">
        <f>"200009122"</f>
        <v>200009122</v>
      </c>
      <c r="B3941" t="str">
        <f>"1356438170"</f>
        <v>1356438170</v>
      </c>
      <c r="C3941" t="str">
        <f>"207R00000X"</f>
        <v>207R00000X</v>
      </c>
      <c r="D3941" t="str">
        <f>"HAYNES                   ALVIN                    "</f>
        <v xml:space="preserve">HAYNES                   ALVIN                    </v>
      </c>
      <c r="E3941" t="str">
        <f>"SLIDELL                   "</f>
        <v xml:space="preserve">SLIDELL                   </v>
      </c>
      <c r="F3941" t="str">
        <f t="shared" si="164"/>
        <v>LA</v>
      </c>
    </row>
    <row r="3942" spans="1:6" x14ac:dyDescent="0.25">
      <c r="A3942" t="str">
        <f>"200009184"</f>
        <v>200009184</v>
      </c>
      <c r="B3942" t="str">
        <f>"1609359165"</f>
        <v>1609359165</v>
      </c>
      <c r="C3942" t="str">
        <f>"363L00000X"</f>
        <v>363L00000X</v>
      </c>
      <c r="D3942" t="str">
        <f>"THOMAS                   KENISHA      V           "</f>
        <v xml:space="preserve">THOMAS                   KENISHA      V           </v>
      </c>
      <c r="E3942" t="str">
        <f>"COVINGTON                 "</f>
        <v xml:space="preserve">COVINGTON                 </v>
      </c>
      <c r="F3942" t="str">
        <f t="shared" si="164"/>
        <v>LA</v>
      </c>
    </row>
    <row r="3943" spans="1:6" x14ac:dyDescent="0.25">
      <c r="A3943" t="str">
        <f>"200009239"</f>
        <v>200009239</v>
      </c>
      <c r="B3943" t="str">
        <f>"1255793113"</f>
        <v>1255793113</v>
      </c>
      <c r="C3943" t="str">
        <f>"208600000X"</f>
        <v>208600000X</v>
      </c>
      <c r="D3943" t="str">
        <f>"PODET                    ADAM                     "</f>
        <v xml:space="preserve">PODET                    ADAM                     </v>
      </c>
      <c r="E3943" t="str">
        <f>"HAMMOND                   "</f>
        <v xml:space="preserve">HAMMOND                   </v>
      </c>
      <c r="F3943" t="str">
        <f t="shared" si="164"/>
        <v>LA</v>
      </c>
    </row>
    <row r="3944" spans="1:6" x14ac:dyDescent="0.25">
      <c r="A3944" t="str">
        <f>"200009329"</f>
        <v>200009329</v>
      </c>
      <c r="B3944" t="str">
        <f>"1811043037"</f>
        <v>1811043037</v>
      </c>
      <c r="C3944" t="str">
        <f>"2085R0202X"</f>
        <v>2085R0202X</v>
      </c>
      <c r="D3944" t="str">
        <f>"MUSACK                   RANDY                    "</f>
        <v xml:space="preserve">MUSACK                   RANDY                    </v>
      </c>
      <c r="E3944" t="str">
        <f>"HAMMOND                   "</f>
        <v xml:space="preserve">HAMMOND                   </v>
      </c>
      <c r="F3944" t="str">
        <f t="shared" si="164"/>
        <v>LA</v>
      </c>
    </row>
    <row r="3945" spans="1:6" x14ac:dyDescent="0.25">
      <c r="A3945" t="str">
        <f>"200009462"</f>
        <v>200009462</v>
      </c>
      <c r="B3945" t="str">
        <f>"1134495526"</f>
        <v>1134495526</v>
      </c>
      <c r="C3945" t="str">
        <f>"207RE0101X"</f>
        <v>207RE0101X</v>
      </c>
      <c r="D3945" t="str">
        <f>"MAJORS                   COREY                    "</f>
        <v xml:space="preserve">MAJORS                   COREY                    </v>
      </c>
      <c r="E3945" t="str">
        <f>"HAMMOND                   "</f>
        <v xml:space="preserve">HAMMOND                   </v>
      </c>
      <c r="F3945" t="str">
        <f t="shared" si="164"/>
        <v>LA</v>
      </c>
    </row>
    <row r="3946" spans="1:6" x14ac:dyDescent="0.25">
      <c r="A3946" t="str">
        <f>"200009463"</f>
        <v>200009463</v>
      </c>
      <c r="B3946" t="str">
        <f>"1760858062"</f>
        <v>1760858062</v>
      </c>
      <c r="C3946" t="str">
        <f>"363A00000X"</f>
        <v>363A00000X</v>
      </c>
      <c r="D3946" t="str">
        <f>"JUCKETT                  JAMIE        L           "</f>
        <v xml:space="preserve">JUCKETT                  JAMIE        L           </v>
      </c>
      <c r="E3946" t="str">
        <f>"NEW ORLEANS               "</f>
        <v xml:space="preserve">NEW ORLEANS               </v>
      </c>
      <c r="F3946" t="str">
        <f t="shared" si="164"/>
        <v>LA</v>
      </c>
    </row>
    <row r="3947" spans="1:6" x14ac:dyDescent="0.25">
      <c r="A3947" t="str">
        <f>"200009507"</f>
        <v>200009507</v>
      </c>
      <c r="B3947" t="str">
        <f>"1265404909"</f>
        <v>1265404909</v>
      </c>
      <c r="C3947" t="str">
        <f>"2085R0202X"</f>
        <v>2085R0202X</v>
      </c>
      <c r="D3947" t="str">
        <f>"VANBERGEN                RICHARD                  "</f>
        <v xml:space="preserve">VANBERGEN                RICHARD                  </v>
      </c>
      <c r="E3947" t="str">
        <f>"HAMMOND                   "</f>
        <v xml:space="preserve">HAMMOND                   </v>
      </c>
      <c r="F3947" t="str">
        <f t="shared" si="164"/>
        <v>LA</v>
      </c>
    </row>
    <row r="3948" spans="1:6" x14ac:dyDescent="0.25">
      <c r="A3948" t="str">
        <f>"200009516"</f>
        <v>200009516</v>
      </c>
      <c r="B3948" t="str">
        <f>"1104386283"</f>
        <v>1104386283</v>
      </c>
      <c r="C3948" t="str">
        <f>"207P00000X"</f>
        <v>207P00000X</v>
      </c>
      <c r="D3948" t="str">
        <f>"ARULRAJA                 MARIA                    "</f>
        <v xml:space="preserve">ARULRAJA                 MARIA                    </v>
      </c>
      <c r="E3948" t="str">
        <f>"SLIDELL                   "</f>
        <v xml:space="preserve">SLIDELL                   </v>
      </c>
      <c r="F3948" t="str">
        <f t="shared" si="164"/>
        <v>LA</v>
      </c>
    </row>
    <row r="3949" spans="1:6" x14ac:dyDescent="0.25">
      <c r="A3949" t="str">
        <f>"200009538"</f>
        <v>200009538</v>
      </c>
      <c r="B3949" t="str">
        <f>"1437331758"</f>
        <v>1437331758</v>
      </c>
      <c r="C3949" t="str">
        <f>"207ZP0102X"</f>
        <v>207ZP0102X</v>
      </c>
      <c r="D3949" t="str">
        <f>"STARK                    MATTHEW                  "</f>
        <v xml:space="preserve">STARK                    MATTHEW                  </v>
      </c>
      <c r="E3949" t="str">
        <f>"NEW ORLEANS               "</f>
        <v xml:space="preserve">NEW ORLEANS               </v>
      </c>
      <c r="F3949" t="str">
        <f t="shared" si="164"/>
        <v>LA</v>
      </c>
    </row>
    <row r="3950" spans="1:6" x14ac:dyDescent="0.25">
      <c r="A3950" t="str">
        <f>"200009552"</f>
        <v>200009552</v>
      </c>
      <c r="B3950" t="str">
        <f>"1831703768"</f>
        <v>1831703768</v>
      </c>
      <c r="C3950" t="str">
        <f>"363A00000X"</f>
        <v>363A00000X</v>
      </c>
      <c r="D3950" t="str">
        <f>"DEJEAN                   OLIVIA                   "</f>
        <v xml:space="preserve">DEJEAN                   OLIVIA                   </v>
      </c>
      <c r="E3950" t="str">
        <f>"NEW ORLEANS               "</f>
        <v xml:space="preserve">NEW ORLEANS               </v>
      </c>
      <c r="F3950" t="str">
        <f t="shared" si="164"/>
        <v>LA</v>
      </c>
    </row>
    <row r="3951" spans="1:6" x14ac:dyDescent="0.25">
      <c r="A3951" t="str">
        <f>"200009582"</f>
        <v>200009582</v>
      </c>
      <c r="B3951" t="str">
        <f>"1841699287"</f>
        <v>1841699287</v>
      </c>
      <c r="C3951" t="str">
        <f>"1223X0400X"</f>
        <v>1223X0400X</v>
      </c>
      <c r="D3951" t="str">
        <f>"SLOWIKOWSKI              LESLIE                   "</f>
        <v xml:space="preserve">SLOWIKOWSKI              LESLIE                   </v>
      </c>
      <c r="E3951" t="str">
        <f>"NEW ORLEANS               "</f>
        <v xml:space="preserve">NEW ORLEANS               </v>
      </c>
      <c r="F3951" t="str">
        <f t="shared" si="164"/>
        <v>LA</v>
      </c>
    </row>
    <row r="3952" spans="1:6" x14ac:dyDescent="0.25">
      <c r="A3952" t="str">
        <f>"200009583"</f>
        <v>200009583</v>
      </c>
      <c r="B3952" t="str">
        <f>"1356558555"</f>
        <v>1356558555</v>
      </c>
      <c r="C3952" t="str">
        <f>"363L00000X"</f>
        <v>363L00000X</v>
      </c>
      <c r="D3952" t="str">
        <f>"SMITH                    KELLY                    "</f>
        <v xml:space="preserve">SMITH                    KELLY                    </v>
      </c>
      <c r="E3952" t="str">
        <f>"BATON ROUGE               "</f>
        <v xml:space="preserve">BATON ROUGE               </v>
      </c>
      <c r="F3952" t="str">
        <f t="shared" si="164"/>
        <v>LA</v>
      </c>
    </row>
    <row r="3953" spans="1:6" x14ac:dyDescent="0.25">
      <c r="A3953" t="str">
        <f>"200009609"</f>
        <v>200009609</v>
      </c>
      <c r="B3953" t="str">
        <f>"1558049817"</f>
        <v>1558049817</v>
      </c>
      <c r="C3953" t="str">
        <f>"367A00000X"</f>
        <v>367A00000X</v>
      </c>
      <c r="D3953" t="str">
        <f>"WILLIAMS                 TIFFANY                  "</f>
        <v xml:space="preserve">WILLIAMS                 TIFFANY                  </v>
      </c>
      <c r="E3953" t="str">
        <f>"SLIDELL                   "</f>
        <v xml:space="preserve">SLIDELL                   </v>
      </c>
      <c r="F3953" t="str">
        <f t="shared" si="164"/>
        <v>LA</v>
      </c>
    </row>
    <row r="3954" spans="1:6" x14ac:dyDescent="0.25">
      <c r="A3954" t="str">
        <f>"200009618"</f>
        <v>200009618</v>
      </c>
      <c r="B3954" t="str">
        <f>"1346482486"</f>
        <v>1346482486</v>
      </c>
      <c r="C3954" t="str">
        <f>"208000000X"</f>
        <v>208000000X</v>
      </c>
      <c r="D3954" t="str">
        <f>"HILL                     RICHARD                  "</f>
        <v xml:space="preserve">HILL                     RICHARD                  </v>
      </c>
      <c r="E3954" t="str">
        <f>"NEW ORLEANS               "</f>
        <v xml:space="preserve">NEW ORLEANS               </v>
      </c>
      <c r="F3954" t="str">
        <f t="shared" si="164"/>
        <v>LA</v>
      </c>
    </row>
    <row r="3955" spans="1:6" x14ac:dyDescent="0.25">
      <c r="A3955" t="str">
        <f>"200009636"</f>
        <v>200009636</v>
      </c>
      <c r="B3955" t="str">
        <f>"1952094823"</f>
        <v>1952094823</v>
      </c>
      <c r="C3955" t="str">
        <f>"122300000X"</f>
        <v>122300000X</v>
      </c>
      <c r="D3955" t="str">
        <f>"DUREL                    ALEXANDRA    H           "</f>
        <v xml:space="preserve">DUREL                    ALEXANDRA    H           </v>
      </c>
      <c r="E3955" t="str">
        <f>"SLIDELL                   "</f>
        <v xml:space="preserve">SLIDELL                   </v>
      </c>
      <c r="F3955" t="str">
        <f t="shared" si="164"/>
        <v>LA</v>
      </c>
    </row>
    <row r="3956" spans="1:6" x14ac:dyDescent="0.25">
      <c r="A3956" t="str">
        <f>"200009698"</f>
        <v>200009698</v>
      </c>
      <c r="B3956" t="str">
        <f>"1508896564"</f>
        <v>1508896564</v>
      </c>
      <c r="C3956" t="str">
        <f>"2085R0202X"</f>
        <v>2085R0202X</v>
      </c>
      <c r="D3956" t="str">
        <f>"NGUYEN                   JEREMY                   "</f>
        <v xml:space="preserve">NGUYEN                   JEREMY                   </v>
      </c>
      <c r="E3956" t="str">
        <f>"NEW ORLEANS               "</f>
        <v xml:space="preserve">NEW ORLEANS               </v>
      </c>
      <c r="F3956" t="str">
        <f t="shared" si="164"/>
        <v>LA</v>
      </c>
    </row>
    <row r="3957" spans="1:6" x14ac:dyDescent="0.25">
      <c r="A3957" t="str">
        <f>"200009703"</f>
        <v>200009703</v>
      </c>
      <c r="B3957" t="str">
        <f>"1518345438"</f>
        <v>1518345438</v>
      </c>
      <c r="C3957" t="str">
        <f>"208000000X"</f>
        <v>208000000X</v>
      </c>
      <c r="D3957" t="str">
        <f>"HALK                     CRISTINA                 "</f>
        <v xml:space="preserve">HALK                     CRISTINA                 </v>
      </c>
      <c r="E3957" t="str">
        <f>"NEW ORLEANS               "</f>
        <v xml:space="preserve">NEW ORLEANS               </v>
      </c>
      <c r="F3957" t="str">
        <f t="shared" si="164"/>
        <v>LA</v>
      </c>
    </row>
    <row r="3958" spans="1:6" x14ac:dyDescent="0.25">
      <c r="A3958" t="str">
        <f>"200009723"</f>
        <v>200009723</v>
      </c>
      <c r="B3958" t="str">
        <f>"1124438247"</f>
        <v>1124438247</v>
      </c>
      <c r="C3958" t="str">
        <f>"2085R0204X"</f>
        <v>2085R0204X</v>
      </c>
      <c r="D3958" t="str">
        <f>"MURRAY                   JAMES                    "</f>
        <v xml:space="preserve">MURRAY                   JAMES                    </v>
      </c>
      <c r="E3958" t="str">
        <f>"HAMMOND                   "</f>
        <v xml:space="preserve">HAMMOND                   </v>
      </c>
      <c r="F3958" t="str">
        <f t="shared" si="164"/>
        <v>LA</v>
      </c>
    </row>
    <row r="3959" spans="1:6" x14ac:dyDescent="0.25">
      <c r="A3959" t="str">
        <f>"200009785"</f>
        <v>200009785</v>
      </c>
      <c r="B3959" t="str">
        <f>"1801978937"</f>
        <v>1801978937</v>
      </c>
      <c r="C3959" t="str">
        <f>"208000000X"</f>
        <v>208000000X</v>
      </c>
      <c r="D3959" t="str">
        <f>"ANDERSON                 MARGOT                   "</f>
        <v xml:space="preserve">ANDERSON                 MARGOT                   </v>
      </c>
      <c r="E3959" t="str">
        <f>"METAIRIE                  "</f>
        <v xml:space="preserve">METAIRIE                  </v>
      </c>
      <c r="F3959" t="str">
        <f t="shared" si="164"/>
        <v>LA</v>
      </c>
    </row>
    <row r="3960" spans="1:6" x14ac:dyDescent="0.25">
      <c r="A3960" t="str">
        <f>"200009817"</f>
        <v>200009817</v>
      </c>
      <c r="B3960" t="str">
        <f>"1295144491"</f>
        <v>1295144491</v>
      </c>
      <c r="C3960" t="str">
        <f>"207P00000X"</f>
        <v>207P00000X</v>
      </c>
      <c r="D3960" t="str">
        <f>"SHEEHAN                  PATRICK                  "</f>
        <v xml:space="preserve">SHEEHAN                  PATRICK                  </v>
      </c>
      <c r="E3960" t="str">
        <f>"HAMMOND                   "</f>
        <v xml:space="preserve">HAMMOND                   </v>
      </c>
      <c r="F3960" t="str">
        <f t="shared" si="164"/>
        <v>LA</v>
      </c>
    </row>
    <row r="3961" spans="1:6" x14ac:dyDescent="0.25">
      <c r="A3961" t="str">
        <f>"200009823"</f>
        <v>200009823</v>
      </c>
      <c r="B3961" t="str">
        <f>"1477828770"</f>
        <v>1477828770</v>
      </c>
      <c r="C3961" t="str">
        <f>"208000000X"</f>
        <v>208000000X</v>
      </c>
      <c r="D3961" t="str">
        <f>"MESSER                   AMANDA                   "</f>
        <v xml:space="preserve">MESSER                   AMANDA                   </v>
      </c>
      <c r="E3961" t="str">
        <f>"NEW ORLEANS               "</f>
        <v xml:space="preserve">NEW ORLEANS               </v>
      </c>
      <c r="F3961" t="str">
        <f t="shared" si="164"/>
        <v>LA</v>
      </c>
    </row>
    <row r="3962" spans="1:6" x14ac:dyDescent="0.25">
      <c r="A3962" t="str">
        <f>"200009827"</f>
        <v>200009827</v>
      </c>
      <c r="B3962" t="str">
        <f>"1952662447"</f>
        <v>1952662447</v>
      </c>
      <c r="C3962" t="str">
        <f>"363L00000X"</f>
        <v>363L00000X</v>
      </c>
      <c r="D3962" t="str">
        <f>"COX                      CASEY        H           "</f>
        <v xml:space="preserve">COX                      CASEY        H           </v>
      </c>
      <c r="E3962" t="str">
        <f>"SLIDELL                   "</f>
        <v xml:space="preserve">SLIDELL                   </v>
      </c>
      <c r="F3962" t="str">
        <f t="shared" si="164"/>
        <v>LA</v>
      </c>
    </row>
    <row r="3963" spans="1:6" x14ac:dyDescent="0.25">
      <c r="A3963" t="str">
        <f>"200009874"</f>
        <v>200009874</v>
      </c>
      <c r="B3963" t="str">
        <f>"1053773903"</f>
        <v>1053773903</v>
      </c>
      <c r="C3963" t="str">
        <f>"2080P0206X"</f>
        <v>2080P0206X</v>
      </c>
      <c r="D3963" t="str">
        <f>"GLINKY                   AMANDA                   "</f>
        <v xml:space="preserve">GLINKY                   AMANDA                   </v>
      </c>
      <c r="E3963" t="str">
        <f>"NEW ORLEANS               "</f>
        <v xml:space="preserve">NEW ORLEANS               </v>
      </c>
      <c r="F3963" t="str">
        <f t="shared" si="164"/>
        <v>LA</v>
      </c>
    </row>
    <row r="3964" spans="1:6" x14ac:dyDescent="0.25">
      <c r="A3964" t="str">
        <f>"200010006"</f>
        <v>200010006</v>
      </c>
      <c r="B3964" t="str">
        <f>"1073282075"</f>
        <v>1073282075</v>
      </c>
      <c r="C3964" t="str">
        <f>"363L00000X"</f>
        <v>363L00000X</v>
      </c>
      <c r="D3964" t="str">
        <f>"MATHERNE                 TAYLOR       R           "</f>
        <v xml:space="preserve">MATHERNE                 TAYLOR       R           </v>
      </c>
      <c r="E3964" t="str">
        <f>"HAMMOND                   "</f>
        <v xml:space="preserve">HAMMOND                   </v>
      </c>
      <c r="F3964" t="str">
        <f t="shared" si="164"/>
        <v>LA</v>
      </c>
    </row>
    <row r="3965" spans="1:6" x14ac:dyDescent="0.25">
      <c r="A3965" t="str">
        <f>"200010008"</f>
        <v>200010008</v>
      </c>
      <c r="B3965" t="str">
        <f>"1669000121"</f>
        <v>1669000121</v>
      </c>
      <c r="C3965" t="str">
        <f>"207P00000X"</f>
        <v>207P00000X</v>
      </c>
      <c r="D3965" t="str">
        <f>"DENLEY                   BLAKE                    "</f>
        <v xml:space="preserve">DENLEY                   BLAKE                    </v>
      </c>
      <c r="E3965" t="str">
        <f>"NEW ORLEANS               "</f>
        <v xml:space="preserve">NEW ORLEANS               </v>
      </c>
      <c r="F3965" t="str">
        <f t="shared" si="164"/>
        <v>LA</v>
      </c>
    </row>
    <row r="3966" spans="1:6" x14ac:dyDescent="0.25">
      <c r="A3966" t="str">
        <f>"200010010"</f>
        <v>200010010</v>
      </c>
      <c r="B3966" t="str">
        <f>"1760192850"</f>
        <v>1760192850</v>
      </c>
      <c r="C3966" t="str">
        <f>"363L00000X"</f>
        <v>363L00000X</v>
      </c>
      <c r="D3966" t="str">
        <f>"RUBIN                    REBECCA      L           "</f>
        <v xml:space="preserve">RUBIN                    REBECCA      L           </v>
      </c>
      <c r="E3966" t="str">
        <f>"METAIRIE                  "</f>
        <v xml:space="preserve">METAIRIE                  </v>
      </c>
      <c r="F3966" t="str">
        <f t="shared" si="164"/>
        <v>LA</v>
      </c>
    </row>
    <row r="3967" spans="1:6" x14ac:dyDescent="0.25">
      <c r="A3967" t="str">
        <f>"200010012"</f>
        <v>200010012</v>
      </c>
      <c r="B3967" t="str">
        <f>"1023691581"</f>
        <v>1023691581</v>
      </c>
      <c r="C3967" t="str">
        <f>"207P00000X"</f>
        <v>207P00000X</v>
      </c>
      <c r="D3967" t="str">
        <f>"SCHULTHESS               KATY                     "</f>
        <v xml:space="preserve">SCHULTHESS               KATY                     </v>
      </c>
      <c r="E3967" t="str">
        <f>"NEW ORLEANS               "</f>
        <v xml:space="preserve">NEW ORLEANS               </v>
      </c>
      <c r="F3967" t="str">
        <f t="shared" si="164"/>
        <v>LA</v>
      </c>
    </row>
    <row r="3968" spans="1:6" x14ac:dyDescent="0.25">
      <c r="A3968" t="str">
        <f>"200010086"</f>
        <v>200010086</v>
      </c>
      <c r="B3968" t="str">
        <f>"1841490422"</f>
        <v>1841490422</v>
      </c>
      <c r="C3968" t="str">
        <f>"2085R0202X"</f>
        <v>2085R0202X</v>
      </c>
      <c r="D3968" t="str">
        <f>"DIGBY                    MYLES        C           "</f>
        <v xml:space="preserve">DIGBY                    MYLES        C           </v>
      </c>
      <c r="E3968" t="str">
        <f>"SLIDELL                   "</f>
        <v xml:space="preserve">SLIDELL                   </v>
      </c>
      <c r="F3968" t="str">
        <f t="shared" si="164"/>
        <v>LA</v>
      </c>
    </row>
    <row r="3969" spans="1:6" x14ac:dyDescent="0.25">
      <c r="A3969" t="str">
        <f>"200010115"</f>
        <v>200010115</v>
      </c>
      <c r="B3969" t="str">
        <f>"1104054832"</f>
        <v>1104054832</v>
      </c>
      <c r="C3969" t="str">
        <f>"207X00000X"</f>
        <v>207X00000X</v>
      </c>
      <c r="D3969" t="str">
        <f>"CABLE                    MATTHEW      G           "</f>
        <v xml:space="preserve">CABLE                    MATTHEW      G           </v>
      </c>
      <c r="E3969" t="str">
        <f>"NEW ORLEANS               "</f>
        <v xml:space="preserve">NEW ORLEANS               </v>
      </c>
      <c r="F3969" t="str">
        <f t="shared" si="164"/>
        <v>LA</v>
      </c>
    </row>
    <row r="3970" spans="1:6" x14ac:dyDescent="0.25">
      <c r="A3970" t="str">
        <f>"200010125"</f>
        <v>200010125</v>
      </c>
      <c r="B3970" t="str">
        <f>"1588803928"</f>
        <v>1588803928</v>
      </c>
      <c r="C3970" t="str">
        <f>"363L00000X"</f>
        <v>363L00000X</v>
      </c>
      <c r="D3970" t="str">
        <f>"MIXON                    KEVIN                    "</f>
        <v xml:space="preserve">MIXON                    KEVIN                    </v>
      </c>
      <c r="E3970" t="str">
        <f>"LAKE CHARLES              "</f>
        <v xml:space="preserve">LAKE CHARLES              </v>
      </c>
      <c r="F3970" t="str">
        <f t="shared" si="164"/>
        <v>LA</v>
      </c>
    </row>
    <row r="3971" spans="1:6" x14ac:dyDescent="0.25">
      <c r="A3971" t="str">
        <f>"200010127"</f>
        <v>200010127</v>
      </c>
      <c r="B3971" t="str">
        <f>"1669035820"</f>
        <v>1669035820</v>
      </c>
      <c r="C3971" t="str">
        <f>"207N00000X"</f>
        <v>207N00000X</v>
      </c>
      <c r="D3971" t="str">
        <f>"COLEMAN                  EMILY        L           "</f>
        <v xml:space="preserve">COLEMAN                  EMILY        L           </v>
      </c>
      <c r="E3971" t="str">
        <f>"NEW ORLEANS               "</f>
        <v xml:space="preserve">NEW ORLEANS               </v>
      </c>
      <c r="F3971" t="str">
        <f t="shared" si="164"/>
        <v>LA</v>
      </c>
    </row>
    <row r="3972" spans="1:6" x14ac:dyDescent="0.25">
      <c r="A3972" t="str">
        <f>"200010149"</f>
        <v>200010149</v>
      </c>
      <c r="B3972" t="str">
        <f>"1619555174"</f>
        <v>1619555174</v>
      </c>
      <c r="C3972" t="str">
        <f>"208000000X"</f>
        <v>208000000X</v>
      </c>
      <c r="D3972" t="str">
        <f>"BARKEMEYER               KARLEIGH     M           "</f>
        <v xml:space="preserve">BARKEMEYER               KARLEIGH     M           </v>
      </c>
      <c r="E3972" t="str">
        <f>"NEW ORLEANS               "</f>
        <v xml:space="preserve">NEW ORLEANS               </v>
      </c>
      <c r="F3972" t="str">
        <f t="shared" si="164"/>
        <v>LA</v>
      </c>
    </row>
    <row r="3973" spans="1:6" x14ac:dyDescent="0.25">
      <c r="A3973" t="str">
        <f>"200010180"</f>
        <v>200010180</v>
      </c>
      <c r="B3973" t="str">
        <f>"1598320350"</f>
        <v>1598320350</v>
      </c>
      <c r="C3973" t="str">
        <f>"207P00000X"</f>
        <v>207P00000X</v>
      </c>
      <c r="D3973" t="str">
        <f>"FEI                      LORRAINE                 "</f>
        <v xml:space="preserve">FEI                      LORRAINE                 </v>
      </c>
      <c r="E3973" t="str">
        <f>"NEW ORLEANS               "</f>
        <v xml:space="preserve">NEW ORLEANS               </v>
      </c>
      <c r="F3973" t="str">
        <f t="shared" si="164"/>
        <v>LA</v>
      </c>
    </row>
    <row r="3974" spans="1:6" x14ac:dyDescent="0.25">
      <c r="A3974" t="str">
        <f>"200010223"</f>
        <v>200010223</v>
      </c>
      <c r="B3974" t="str">
        <f>"1316177157"</f>
        <v>1316177157</v>
      </c>
      <c r="C3974" t="str">
        <f>"207R00000X"</f>
        <v>207R00000X</v>
      </c>
      <c r="D3974" t="str">
        <f>"SINYAVSKIY               OLEG                     "</f>
        <v xml:space="preserve">SINYAVSKIY               OLEG                     </v>
      </c>
      <c r="E3974" t="str">
        <f>"SLIDELL                   "</f>
        <v xml:space="preserve">SLIDELL                   </v>
      </c>
      <c r="F3974" t="str">
        <f t="shared" si="164"/>
        <v>LA</v>
      </c>
    </row>
    <row r="3975" spans="1:6" x14ac:dyDescent="0.25">
      <c r="A3975" t="str">
        <f>"200010265"</f>
        <v>200010265</v>
      </c>
      <c r="B3975" t="str">
        <f>"1316173214"</f>
        <v>1316173214</v>
      </c>
      <c r="C3975" t="str">
        <f>"208000000X"</f>
        <v>208000000X</v>
      </c>
      <c r="D3975" t="str">
        <f>"FALK                     MICHAEL                  "</f>
        <v xml:space="preserve">FALK                     MICHAEL                  </v>
      </c>
      <c r="E3975" t="str">
        <f>"METAIRIE                  "</f>
        <v xml:space="preserve">METAIRIE                  </v>
      </c>
      <c r="F3975" t="str">
        <f t="shared" si="164"/>
        <v>LA</v>
      </c>
    </row>
    <row r="3976" spans="1:6" x14ac:dyDescent="0.25">
      <c r="A3976" t="str">
        <f>"200010332"</f>
        <v>200010332</v>
      </c>
      <c r="B3976" t="str">
        <f>"1316300502"</f>
        <v>1316300502</v>
      </c>
      <c r="C3976" t="str">
        <f>"207T00000X"</f>
        <v>207T00000X</v>
      </c>
      <c r="D3976" t="str">
        <f>"VENABLE                  GARRETT      T           "</f>
        <v xml:space="preserve">VENABLE                  GARRETT      T           </v>
      </c>
      <c r="E3976" t="str">
        <f>"BATON ROUGE               "</f>
        <v xml:space="preserve">BATON ROUGE               </v>
      </c>
      <c r="F3976" t="str">
        <f t="shared" si="164"/>
        <v>LA</v>
      </c>
    </row>
    <row r="3977" spans="1:6" x14ac:dyDescent="0.25">
      <c r="A3977" t="str">
        <f>"200010349"</f>
        <v>200010349</v>
      </c>
      <c r="B3977" t="str">
        <f>"1972565257"</f>
        <v>1972565257</v>
      </c>
      <c r="C3977" t="str">
        <f>"207R00000X"</f>
        <v>207R00000X</v>
      </c>
      <c r="D3977" t="str">
        <f>"CLARKE                   ANDREW                   "</f>
        <v xml:space="preserve">CLARKE                   ANDREW                   </v>
      </c>
      <c r="E3977" t="str">
        <f>"SLIDELL                   "</f>
        <v xml:space="preserve">SLIDELL                   </v>
      </c>
      <c r="F3977" t="str">
        <f t="shared" si="164"/>
        <v>LA</v>
      </c>
    </row>
    <row r="3978" spans="1:6" x14ac:dyDescent="0.25">
      <c r="A3978" t="str">
        <f>"200010428"</f>
        <v>200010428</v>
      </c>
      <c r="B3978" t="str">
        <f>"1568483584"</f>
        <v>1568483584</v>
      </c>
      <c r="C3978" t="str">
        <f>"2086S0127X"</f>
        <v>2086S0127X</v>
      </c>
      <c r="D3978" t="str">
        <f>"MARR                     ALAN                     "</f>
        <v xml:space="preserve">MARR                     ALAN                     </v>
      </c>
      <c r="E3978" t="str">
        <f>"NEW ORLEANS               "</f>
        <v xml:space="preserve">NEW ORLEANS               </v>
      </c>
      <c r="F3978" t="str">
        <f t="shared" si="164"/>
        <v>LA</v>
      </c>
    </row>
    <row r="3979" spans="1:6" x14ac:dyDescent="0.25">
      <c r="A3979" t="str">
        <f>"200010444"</f>
        <v>200010444</v>
      </c>
      <c r="B3979" t="str">
        <f>"1689135626"</f>
        <v>1689135626</v>
      </c>
      <c r="C3979" t="str">
        <f>"207Q00000X"</f>
        <v>207Q00000X</v>
      </c>
      <c r="D3979" t="str">
        <f>"NEWBERRY                 DREW                     "</f>
        <v xml:space="preserve">NEWBERRY                 DREW                     </v>
      </c>
      <c r="E3979" t="str">
        <f>"SLIDELL                   "</f>
        <v xml:space="preserve">SLIDELL                   </v>
      </c>
      <c r="F3979" t="str">
        <f t="shared" si="164"/>
        <v>LA</v>
      </c>
    </row>
    <row r="3980" spans="1:6" x14ac:dyDescent="0.25">
      <c r="A3980" t="str">
        <f>"200010445"</f>
        <v>200010445</v>
      </c>
      <c r="B3980" t="str">
        <f>"1245522234"</f>
        <v>1245522234</v>
      </c>
      <c r="C3980" t="str">
        <f>"207Y00000X"</f>
        <v>207Y00000X</v>
      </c>
      <c r="D3980" t="str">
        <f>"JACKSON                  NEAL                     "</f>
        <v xml:space="preserve">JACKSON                  NEAL                     </v>
      </c>
      <c r="E3980" t="str">
        <f>"NEW ORLEANS               "</f>
        <v xml:space="preserve">NEW ORLEANS               </v>
      </c>
      <c r="F3980" t="str">
        <f t="shared" si="164"/>
        <v>LA</v>
      </c>
    </row>
    <row r="3981" spans="1:6" x14ac:dyDescent="0.25">
      <c r="A3981" t="str">
        <f>"200010509"</f>
        <v>200010509</v>
      </c>
      <c r="B3981" t="str">
        <f>"1285601740"</f>
        <v>1285601740</v>
      </c>
      <c r="C3981" t="str">
        <f>"363A00000X"</f>
        <v>363A00000X</v>
      </c>
      <c r="D3981" t="str">
        <f>"FREDERICK                BARRY                    "</f>
        <v xml:space="preserve">FREDERICK                BARRY                    </v>
      </c>
      <c r="E3981" t="str">
        <f>"SLIDELL                   "</f>
        <v xml:space="preserve">SLIDELL                   </v>
      </c>
      <c r="F3981" t="str">
        <f t="shared" si="164"/>
        <v>LA</v>
      </c>
    </row>
    <row r="3982" spans="1:6" x14ac:dyDescent="0.25">
      <c r="A3982" t="str">
        <f>"200010517"</f>
        <v>200010517</v>
      </c>
      <c r="B3982" t="str">
        <f>"1457730947"</f>
        <v>1457730947</v>
      </c>
      <c r="C3982" t="str">
        <f>"363L00000X"</f>
        <v>363L00000X</v>
      </c>
      <c r="D3982" t="str">
        <f>"MCCAIN                   JENNIFER                 "</f>
        <v xml:space="preserve">MCCAIN                   JENNIFER                 </v>
      </c>
      <c r="E3982" t="str">
        <f>"COVINGTON                 "</f>
        <v xml:space="preserve">COVINGTON                 </v>
      </c>
      <c r="F3982" t="str">
        <f t="shared" si="164"/>
        <v>LA</v>
      </c>
    </row>
    <row r="3983" spans="1:6" x14ac:dyDescent="0.25">
      <c r="A3983" t="str">
        <f>"200010654"</f>
        <v>200010654</v>
      </c>
      <c r="B3983" t="str">
        <f>"1205126562"</f>
        <v>1205126562</v>
      </c>
      <c r="C3983" t="str">
        <f>"207P00000X"</f>
        <v>207P00000X</v>
      </c>
      <c r="D3983" t="str">
        <f>"BREWER                   MINDY                    "</f>
        <v xml:space="preserve">BREWER                   MINDY                    </v>
      </c>
      <c r="E3983" t="str">
        <f>"SLIDELL                   "</f>
        <v xml:space="preserve">SLIDELL                   </v>
      </c>
      <c r="F3983" t="str">
        <f t="shared" si="164"/>
        <v>LA</v>
      </c>
    </row>
    <row r="3984" spans="1:6" x14ac:dyDescent="0.25">
      <c r="A3984" t="str">
        <f>"200010662"</f>
        <v>200010662</v>
      </c>
      <c r="B3984" t="str">
        <f>"1427431428"</f>
        <v>1427431428</v>
      </c>
      <c r="C3984" t="str">
        <f>"363L00000X"</f>
        <v>363L00000X</v>
      </c>
      <c r="D3984" t="str">
        <f>"WILBER                   PATRICE      M           "</f>
        <v xml:space="preserve">WILBER                   PATRICE      M           </v>
      </c>
      <c r="E3984" t="str">
        <f>"NEW ORLEANS               "</f>
        <v xml:space="preserve">NEW ORLEANS               </v>
      </c>
      <c r="F3984" t="str">
        <f t="shared" si="164"/>
        <v>LA</v>
      </c>
    </row>
    <row r="3985" spans="1:6" x14ac:dyDescent="0.25">
      <c r="A3985" t="str">
        <f>"200010679"</f>
        <v>200010679</v>
      </c>
      <c r="B3985" t="str">
        <f>"1336408764"</f>
        <v>1336408764</v>
      </c>
      <c r="C3985" t="str">
        <f>"367500000X"</f>
        <v>367500000X</v>
      </c>
      <c r="D3985" t="str">
        <f>"PEART                    MARK         H           "</f>
        <v xml:space="preserve">PEART                    MARK         H           </v>
      </c>
      <c r="E3985" t="str">
        <f>"NEW ORLEANS               "</f>
        <v xml:space="preserve">NEW ORLEANS               </v>
      </c>
      <c r="F3985" t="str">
        <f t="shared" si="164"/>
        <v>LA</v>
      </c>
    </row>
    <row r="3986" spans="1:6" x14ac:dyDescent="0.25">
      <c r="A3986" t="str">
        <f>"200010685"</f>
        <v>200010685</v>
      </c>
      <c r="B3986" t="str">
        <f>"1811756844"</f>
        <v>1811756844</v>
      </c>
      <c r="C3986" t="str">
        <f>"363L00000X"</f>
        <v>363L00000X</v>
      </c>
      <c r="D3986" t="str">
        <f>"LEE                      TIFFANY      G           "</f>
        <v xml:space="preserve">LEE                      TIFFANY      G           </v>
      </c>
      <c r="E3986" t="str">
        <f>"NEW ORLEANS               "</f>
        <v xml:space="preserve">NEW ORLEANS               </v>
      </c>
      <c r="F3986" t="str">
        <f t="shared" si="164"/>
        <v>LA</v>
      </c>
    </row>
    <row r="3987" spans="1:6" x14ac:dyDescent="0.25">
      <c r="A3987" t="str">
        <f>"200010708"</f>
        <v>200010708</v>
      </c>
      <c r="B3987" t="str">
        <f>"1831453257"</f>
        <v>1831453257</v>
      </c>
      <c r="C3987" t="str">
        <f>"207Q00000X"</f>
        <v>207Q00000X</v>
      </c>
      <c r="D3987" t="str">
        <f>"FRANCOIS                 ADELAIDE                 "</f>
        <v xml:space="preserve">FRANCOIS                 ADELAIDE                 </v>
      </c>
      <c r="E3987" t="str">
        <f>"BATON ROUGE               "</f>
        <v xml:space="preserve">BATON ROUGE               </v>
      </c>
      <c r="F3987" t="str">
        <f t="shared" si="164"/>
        <v>LA</v>
      </c>
    </row>
    <row r="3988" spans="1:6" x14ac:dyDescent="0.25">
      <c r="A3988" t="str">
        <f>"200010814"</f>
        <v>200010814</v>
      </c>
      <c r="B3988" t="str">
        <f>"1174141303"</f>
        <v>1174141303</v>
      </c>
      <c r="C3988" t="str">
        <f>"152W00000X"</f>
        <v>152W00000X</v>
      </c>
      <c r="D3988" t="str">
        <f>"WILLIAMS                 MEGAN        A           "</f>
        <v xml:space="preserve">WILLIAMS                 MEGAN        A           </v>
      </c>
      <c r="E3988" t="str">
        <f>"NEW ORLEANS               "</f>
        <v xml:space="preserve">NEW ORLEANS               </v>
      </c>
      <c r="F3988" t="str">
        <f t="shared" si="164"/>
        <v>LA</v>
      </c>
    </row>
    <row r="3989" spans="1:6" x14ac:dyDescent="0.25">
      <c r="A3989" t="str">
        <f>"200010841"</f>
        <v>200010841</v>
      </c>
      <c r="B3989" t="str">
        <f>"1962192245"</f>
        <v>1962192245</v>
      </c>
      <c r="C3989" t="str">
        <f>"363A00000X"</f>
        <v>363A00000X</v>
      </c>
      <c r="D3989" t="str">
        <f>"ABUKHADER                SARAH        N           "</f>
        <v xml:space="preserve">ABUKHADER                SARAH        N           </v>
      </c>
      <c r="E3989" t="str">
        <f>"GRETNA                    "</f>
        <v xml:space="preserve">GRETNA                    </v>
      </c>
      <c r="F3989" t="str">
        <f t="shared" si="164"/>
        <v>LA</v>
      </c>
    </row>
    <row r="3990" spans="1:6" x14ac:dyDescent="0.25">
      <c r="A3990" t="str">
        <f>"200010848"</f>
        <v>200010848</v>
      </c>
      <c r="B3990" t="str">
        <f>"1699301812"</f>
        <v>1699301812</v>
      </c>
      <c r="C3990" t="str">
        <f>"367500000X"</f>
        <v>367500000X</v>
      </c>
      <c r="D3990" t="str">
        <f>"FELGER                   CATHERINE    P           "</f>
        <v xml:space="preserve">FELGER                   CATHERINE    P           </v>
      </c>
      <c r="E3990" t="str">
        <f>"NEW ORLEANS               "</f>
        <v xml:space="preserve">NEW ORLEANS               </v>
      </c>
      <c r="F3990" t="str">
        <f t="shared" si="164"/>
        <v>LA</v>
      </c>
    </row>
    <row r="3991" spans="1:6" x14ac:dyDescent="0.25">
      <c r="A3991" t="str">
        <f>"200010939"</f>
        <v>200010939</v>
      </c>
      <c r="B3991" t="str">
        <f>"1184658999"</f>
        <v>1184658999</v>
      </c>
      <c r="C3991" t="str">
        <f>"207Q00000X"</f>
        <v>207Q00000X</v>
      </c>
      <c r="D3991" t="str">
        <f>"SHERROD, III             ROME                     "</f>
        <v xml:space="preserve">SHERROD, III             ROME                     </v>
      </c>
      <c r="E3991" t="str">
        <f>"FERRIDAY                  "</f>
        <v xml:space="preserve">FERRIDAY                  </v>
      </c>
      <c r="F3991" t="str">
        <f t="shared" si="164"/>
        <v>LA</v>
      </c>
    </row>
    <row r="3992" spans="1:6" x14ac:dyDescent="0.25">
      <c r="A3992" t="str">
        <f>"200010989"</f>
        <v>200010989</v>
      </c>
      <c r="B3992" t="str">
        <f>"1922065267"</f>
        <v>1922065267</v>
      </c>
      <c r="C3992" t="str">
        <f>"208000000X"</f>
        <v>208000000X</v>
      </c>
      <c r="D3992" t="str">
        <f>"DEMARE                   JEFFREY      S           "</f>
        <v xml:space="preserve">DEMARE                   JEFFREY      S           </v>
      </c>
      <c r="E3992" t="str">
        <f>"NEW ORLEANS               "</f>
        <v xml:space="preserve">NEW ORLEANS               </v>
      </c>
      <c r="F3992" t="str">
        <f t="shared" si="164"/>
        <v>LA</v>
      </c>
    </row>
    <row r="3993" spans="1:6" x14ac:dyDescent="0.25">
      <c r="A3993" t="str">
        <f>"200010994"</f>
        <v>200010994</v>
      </c>
      <c r="B3993" t="str">
        <f>"1598938110"</f>
        <v>1598938110</v>
      </c>
      <c r="C3993" t="str">
        <f>"208000000X"</f>
        <v>208000000X</v>
      </c>
      <c r="D3993" t="str">
        <f>"ROSSI YOUNGER            MARY         A           "</f>
        <v xml:space="preserve">ROSSI YOUNGER            MARY         A           </v>
      </c>
      <c r="E3993" t="str">
        <f>"METAIRIE                  "</f>
        <v xml:space="preserve">METAIRIE                  </v>
      </c>
      <c r="F3993" t="str">
        <f t="shared" si="164"/>
        <v>LA</v>
      </c>
    </row>
    <row r="3994" spans="1:6" x14ac:dyDescent="0.25">
      <c r="A3994" t="str">
        <f>"200011009"</f>
        <v>200011009</v>
      </c>
      <c r="B3994" t="str">
        <f>"1366021149"</f>
        <v>1366021149</v>
      </c>
      <c r="C3994" t="str">
        <f>"363L00000X"</f>
        <v>363L00000X</v>
      </c>
      <c r="D3994" t="str">
        <f>"STEVENS                  WHITNEY                  "</f>
        <v xml:space="preserve">STEVENS                  WHITNEY                  </v>
      </c>
      <c r="E3994" t="str">
        <f>"SLIDELL                   "</f>
        <v xml:space="preserve">SLIDELL                   </v>
      </c>
      <c r="F3994" t="str">
        <f t="shared" si="164"/>
        <v>LA</v>
      </c>
    </row>
    <row r="3995" spans="1:6" x14ac:dyDescent="0.25">
      <c r="A3995" t="str">
        <f>"200011030"</f>
        <v>200011030</v>
      </c>
      <c r="B3995" t="str">
        <f>"1003504515"</f>
        <v>1003504515</v>
      </c>
      <c r="C3995" t="str">
        <f>"122300000X"</f>
        <v>122300000X</v>
      </c>
      <c r="D3995" t="str">
        <f>"ARDOIN                   ADEN         R           "</f>
        <v xml:space="preserve">ARDOIN                   ADEN         R           </v>
      </c>
      <c r="E3995" t="str">
        <f>"SLIDELL                   "</f>
        <v xml:space="preserve">SLIDELL                   </v>
      </c>
      <c r="F3995" t="str">
        <f t="shared" ref="F3995:F4058" si="165">"LA"</f>
        <v>LA</v>
      </c>
    </row>
    <row r="3996" spans="1:6" x14ac:dyDescent="0.25">
      <c r="A3996" t="str">
        <f>"200011101"</f>
        <v>200011101</v>
      </c>
      <c r="B3996" t="str">
        <f>"1477936086"</f>
        <v>1477936086</v>
      </c>
      <c r="C3996" t="str">
        <f>"207R00000X"</f>
        <v>207R00000X</v>
      </c>
      <c r="D3996" t="str">
        <f>"TAN                      BOWEI                    "</f>
        <v xml:space="preserve">TAN                      BOWEI                    </v>
      </c>
      <c r="E3996" t="str">
        <f>"SLIDELL                   "</f>
        <v xml:space="preserve">SLIDELL                   </v>
      </c>
      <c r="F3996" t="str">
        <f t="shared" si="165"/>
        <v>LA</v>
      </c>
    </row>
    <row r="3997" spans="1:6" x14ac:dyDescent="0.25">
      <c r="A3997" t="str">
        <f>"200011109"</f>
        <v>200011109</v>
      </c>
      <c r="B3997" t="str">
        <f>"1558893966"</f>
        <v>1558893966</v>
      </c>
      <c r="C3997" t="str">
        <f>"2084P0804X"</f>
        <v>2084P0804X</v>
      </c>
      <c r="D3997" t="str">
        <f>"GREMILLION               CHAD                     "</f>
        <v xml:space="preserve">GREMILLION               CHAD                     </v>
      </c>
      <c r="E3997" t="str">
        <f>"NEW ORLEANS               "</f>
        <v xml:space="preserve">NEW ORLEANS               </v>
      </c>
      <c r="F3997" t="str">
        <f t="shared" si="165"/>
        <v>LA</v>
      </c>
    </row>
    <row r="3998" spans="1:6" x14ac:dyDescent="0.25">
      <c r="A3998" t="str">
        <f>"200011115"</f>
        <v>200011115</v>
      </c>
      <c r="B3998" t="str">
        <f>"1043076672"</f>
        <v>1043076672</v>
      </c>
      <c r="C3998" t="str">
        <f>"363L00000X"</f>
        <v>363L00000X</v>
      </c>
      <c r="D3998" t="str">
        <f>"SINGH                    KATHLEEN                 "</f>
        <v xml:space="preserve">SINGH                    KATHLEEN                 </v>
      </c>
      <c r="E3998" t="str">
        <f>"COVINGTON                 "</f>
        <v xml:space="preserve">COVINGTON                 </v>
      </c>
      <c r="F3998" t="str">
        <f t="shared" si="165"/>
        <v>LA</v>
      </c>
    </row>
    <row r="3999" spans="1:6" x14ac:dyDescent="0.25">
      <c r="A3999" t="str">
        <f>"200011148"</f>
        <v>200011148</v>
      </c>
      <c r="B3999" t="str">
        <f>"1215252341"</f>
        <v>1215252341</v>
      </c>
      <c r="C3999" t="str">
        <f>"2085R0202X"</f>
        <v>2085R0202X</v>
      </c>
      <c r="D3999" t="str">
        <f>"SHAFFER                  WILLIAM                  "</f>
        <v xml:space="preserve">SHAFFER                  WILLIAM                  </v>
      </c>
      <c r="E3999" t="str">
        <f>"SLIDELL                   "</f>
        <v xml:space="preserve">SLIDELL                   </v>
      </c>
      <c r="F3999" t="str">
        <f t="shared" si="165"/>
        <v>LA</v>
      </c>
    </row>
    <row r="4000" spans="1:6" x14ac:dyDescent="0.25">
      <c r="A4000" t="str">
        <f>"200011155"</f>
        <v>200011155</v>
      </c>
      <c r="B4000" t="str">
        <f>"1194916163"</f>
        <v>1194916163</v>
      </c>
      <c r="C4000" t="str">
        <f>"363L00000X"</f>
        <v>363L00000X</v>
      </c>
      <c r="D4000" t="str">
        <f>"FUSSELL                  CYNTHIA                  "</f>
        <v xml:space="preserve">FUSSELL                  CYNTHIA                  </v>
      </c>
      <c r="E4000" t="str">
        <f>"HAMMOND                   "</f>
        <v xml:space="preserve">HAMMOND                   </v>
      </c>
      <c r="F4000" t="str">
        <f t="shared" si="165"/>
        <v>LA</v>
      </c>
    </row>
    <row r="4001" spans="1:6" x14ac:dyDescent="0.25">
      <c r="A4001" t="str">
        <f>"200011261"</f>
        <v>200011261</v>
      </c>
      <c r="B4001" t="str">
        <f>"1437910825"</f>
        <v>1437910825</v>
      </c>
      <c r="C4001" t="str">
        <f>"363L00000X"</f>
        <v>363L00000X</v>
      </c>
      <c r="D4001" t="str">
        <f>"HULLIHEN                 KERI                     "</f>
        <v xml:space="preserve">HULLIHEN                 KERI                     </v>
      </c>
      <c r="E4001" t="str">
        <f>"NEW ORLEANS               "</f>
        <v xml:space="preserve">NEW ORLEANS               </v>
      </c>
      <c r="F4001" t="str">
        <f t="shared" si="165"/>
        <v>LA</v>
      </c>
    </row>
    <row r="4002" spans="1:6" x14ac:dyDescent="0.25">
      <c r="A4002" t="str">
        <f>"200011327"</f>
        <v>200011327</v>
      </c>
      <c r="B4002" t="str">
        <f>"1891108700"</f>
        <v>1891108700</v>
      </c>
      <c r="C4002" t="str">
        <f>"2086S0129X"</f>
        <v>2086S0129X</v>
      </c>
      <c r="D4002" t="str">
        <f>"OKUNBOR                  OSARUMEN                 "</f>
        <v xml:space="preserve">OKUNBOR                  OSARUMEN                 </v>
      </c>
      <c r="E4002" t="str">
        <f>"COVINGTON                 "</f>
        <v xml:space="preserve">COVINGTON                 </v>
      </c>
      <c r="F4002" t="str">
        <f t="shared" si="165"/>
        <v>LA</v>
      </c>
    </row>
    <row r="4003" spans="1:6" x14ac:dyDescent="0.25">
      <c r="A4003" t="str">
        <f>"200011350"</f>
        <v>200011350</v>
      </c>
      <c r="B4003" t="str">
        <f>"1891282570"</f>
        <v>1891282570</v>
      </c>
      <c r="C4003" t="str">
        <f>"207P00000X"</f>
        <v>207P00000X</v>
      </c>
      <c r="D4003" t="str">
        <f>"SAMET                    DANIEL                   "</f>
        <v xml:space="preserve">SAMET                    DANIEL                   </v>
      </c>
      <c r="E4003" t="str">
        <f>"KENNER                    "</f>
        <v xml:space="preserve">KENNER                    </v>
      </c>
      <c r="F4003" t="str">
        <f t="shared" si="165"/>
        <v>LA</v>
      </c>
    </row>
    <row r="4004" spans="1:6" x14ac:dyDescent="0.25">
      <c r="A4004" t="str">
        <f>"200011388"</f>
        <v>200011388</v>
      </c>
      <c r="B4004" t="str">
        <f>"1912492711"</f>
        <v>1912492711</v>
      </c>
      <c r="C4004" t="str">
        <f>"208000000X"</f>
        <v>208000000X</v>
      </c>
      <c r="D4004" t="str">
        <f>"SERRANO HERRERA          ILEANA       M           "</f>
        <v xml:space="preserve">SERRANO HERRERA          ILEANA       M           </v>
      </c>
      <c r="E4004" t="str">
        <f>"NEW ORLEANS               "</f>
        <v xml:space="preserve">NEW ORLEANS               </v>
      </c>
      <c r="F4004" t="str">
        <f t="shared" si="165"/>
        <v>LA</v>
      </c>
    </row>
    <row r="4005" spans="1:6" x14ac:dyDescent="0.25">
      <c r="A4005" t="str">
        <f>"200011413"</f>
        <v>200011413</v>
      </c>
      <c r="B4005" t="str">
        <f>"1124078456"</f>
        <v>1124078456</v>
      </c>
      <c r="C4005" t="str">
        <f>"208000000X"</f>
        <v>208000000X</v>
      </c>
      <c r="D4005" t="str">
        <f>"CLUTE                    JAMIE        L           "</f>
        <v xml:space="preserve">CLUTE                    JAMIE        L           </v>
      </c>
      <c r="E4005" t="str">
        <f>"NEW ORLEANS               "</f>
        <v xml:space="preserve">NEW ORLEANS               </v>
      </c>
      <c r="F4005" t="str">
        <f t="shared" si="165"/>
        <v>LA</v>
      </c>
    </row>
    <row r="4006" spans="1:6" x14ac:dyDescent="0.25">
      <c r="A4006" t="str">
        <f>"200011414"</f>
        <v>200011414</v>
      </c>
      <c r="B4006" t="str">
        <f>"1124078456"</f>
        <v>1124078456</v>
      </c>
      <c r="C4006" t="str">
        <f>"208M00000X"</f>
        <v>208M00000X</v>
      </c>
      <c r="D4006" t="str">
        <f>"CLUTE                    JAMIE        L           "</f>
        <v xml:space="preserve">CLUTE                    JAMIE        L           </v>
      </c>
      <c r="E4006" t="str">
        <f>"NEW ORLEANS               "</f>
        <v xml:space="preserve">NEW ORLEANS               </v>
      </c>
      <c r="F4006" t="str">
        <f t="shared" si="165"/>
        <v>LA</v>
      </c>
    </row>
    <row r="4007" spans="1:6" x14ac:dyDescent="0.25">
      <c r="A4007" t="str">
        <f>"200011470"</f>
        <v>200011470</v>
      </c>
      <c r="B4007" t="str">
        <f>"1306406079"</f>
        <v>1306406079</v>
      </c>
      <c r="C4007" t="str">
        <f>"207Q00000X"</f>
        <v>207Q00000X</v>
      </c>
      <c r="D4007" t="str">
        <f>"PATEL                    FEROZA                   "</f>
        <v xml:space="preserve">PATEL                    FEROZA                   </v>
      </c>
      <c r="E4007" t="str">
        <f>"SLIDELL                   "</f>
        <v xml:space="preserve">SLIDELL                   </v>
      </c>
      <c r="F4007" t="str">
        <f t="shared" si="165"/>
        <v>LA</v>
      </c>
    </row>
    <row r="4008" spans="1:6" x14ac:dyDescent="0.25">
      <c r="A4008" t="str">
        <f>"200011578"</f>
        <v>200011578</v>
      </c>
      <c r="B4008" t="str">
        <f>"1831376581"</f>
        <v>1831376581</v>
      </c>
      <c r="C4008" t="str">
        <f>"2080P0204X"</f>
        <v>2080P0204X</v>
      </c>
      <c r="D4008" t="str">
        <f>"BRYANT                   SARA                     "</f>
        <v xml:space="preserve">BRYANT                   SARA                     </v>
      </c>
      <c r="E4008" t="str">
        <f>"NEW ORLEANS               "</f>
        <v xml:space="preserve">NEW ORLEANS               </v>
      </c>
      <c r="F4008" t="str">
        <f t="shared" si="165"/>
        <v>LA</v>
      </c>
    </row>
    <row r="4009" spans="1:6" x14ac:dyDescent="0.25">
      <c r="A4009" t="str">
        <f>"200011649"</f>
        <v>200011649</v>
      </c>
      <c r="B4009" t="str">
        <f>"1265875686"</f>
        <v>1265875686</v>
      </c>
      <c r="C4009" t="str">
        <f>"207Q00000X"</f>
        <v>207Q00000X</v>
      </c>
      <c r="D4009" t="str">
        <f>"WILLIAMS                 LEAH                     "</f>
        <v xml:space="preserve">WILLIAMS                 LEAH                     </v>
      </c>
      <c r="E4009" t="str">
        <f>"SLIDELL                   "</f>
        <v xml:space="preserve">SLIDELL                   </v>
      </c>
      <c r="F4009" t="str">
        <f t="shared" si="165"/>
        <v>LA</v>
      </c>
    </row>
    <row r="4010" spans="1:6" x14ac:dyDescent="0.25">
      <c r="A4010" t="str">
        <f>"200011695"</f>
        <v>200011695</v>
      </c>
      <c r="B4010" t="str">
        <f>"1154982221"</f>
        <v>1154982221</v>
      </c>
      <c r="C4010" t="str">
        <f>"207Q00000X"</f>
        <v>207Q00000X</v>
      </c>
      <c r="D4010" t="str">
        <f>"BARRERA                  TRAJAN                   "</f>
        <v xml:space="preserve">BARRERA                  TRAJAN                   </v>
      </c>
      <c r="E4010" t="str">
        <f>"SLIDELL                   "</f>
        <v xml:space="preserve">SLIDELL                   </v>
      </c>
      <c r="F4010" t="str">
        <f t="shared" si="165"/>
        <v>LA</v>
      </c>
    </row>
    <row r="4011" spans="1:6" x14ac:dyDescent="0.25">
      <c r="A4011" t="str">
        <f>"200011762"</f>
        <v>200011762</v>
      </c>
      <c r="B4011" t="str">
        <f>"1215127907"</f>
        <v>1215127907</v>
      </c>
      <c r="C4011" t="str">
        <f>"207PE0004X"</f>
        <v>207PE0004X</v>
      </c>
      <c r="D4011" t="str">
        <f>"RIVENBURGH               MATTHEW                  "</f>
        <v xml:space="preserve">RIVENBURGH               MATTHEW                  </v>
      </c>
      <c r="E4011" t="str">
        <f>"SLIDELL                   "</f>
        <v xml:space="preserve">SLIDELL                   </v>
      </c>
      <c r="F4011" t="str">
        <f t="shared" si="165"/>
        <v>LA</v>
      </c>
    </row>
    <row r="4012" spans="1:6" x14ac:dyDescent="0.25">
      <c r="A4012" t="str">
        <f>"200011835"</f>
        <v>200011835</v>
      </c>
      <c r="B4012" t="str">
        <f>"1164072591"</f>
        <v>1164072591</v>
      </c>
      <c r="C4012" t="str">
        <f>"363L00000X"</f>
        <v>363L00000X</v>
      </c>
      <c r="D4012" t="str">
        <f>"BRIDGES                  MARY                     "</f>
        <v xml:space="preserve">BRIDGES                  MARY                     </v>
      </c>
      <c r="E4012" t="str">
        <f>"KENNER                    "</f>
        <v xml:space="preserve">KENNER                    </v>
      </c>
      <c r="F4012" t="str">
        <f t="shared" si="165"/>
        <v>LA</v>
      </c>
    </row>
    <row r="4013" spans="1:6" x14ac:dyDescent="0.25">
      <c r="A4013" t="str">
        <f>"200011836"</f>
        <v>200011836</v>
      </c>
      <c r="B4013" t="str">
        <f>"1457748592"</f>
        <v>1457748592</v>
      </c>
      <c r="C4013" t="str">
        <f>"2080N0001X"</f>
        <v>2080N0001X</v>
      </c>
      <c r="D4013" t="str">
        <f>"SILVERBERG               MARY                     "</f>
        <v xml:space="preserve">SILVERBERG               MARY                     </v>
      </c>
      <c r="E4013" t="str">
        <f>"BATON ROUGE               "</f>
        <v xml:space="preserve">BATON ROUGE               </v>
      </c>
      <c r="F4013" t="str">
        <f t="shared" si="165"/>
        <v>LA</v>
      </c>
    </row>
    <row r="4014" spans="1:6" x14ac:dyDescent="0.25">
      <c r="A4014" t="str">
        <f>"200011909"</f>
        <v>200011909</v>
      </c>
      <c r="B4014" t="str">
        <f>"1710201736"</f>
        <v>1710201736</v>
      </c>
      <c r="C4014" t="str">
        <f>"207P00000X"</f>
        <v>207P00000X</v>
      </c>
      <c r="D4014" t="str">
        <f>"MARTINEZ                 REBECCA                  "</f>
        <v xml:space="preserve">MARTINEZ                 REBECCA                  </v>
      </c>
      <c r="E4014" t="str">
        <f>"SLIDELL                   "</f>
        <v xml:space="preserve">SLIDELL                   </v>
      </c>
      <c r="F4014" t="str">
        <f t="shared" si="165"/>
        <v>LA</v>
      </c>
    </row>
    <row r="4015" spans="1:6" x14ac:dyDescent="0.25">
      <c r="A4015" t="str">
        <f>"200011926"</f>
        <v>200011926</v>
      </c>
      <c r="B4015" t="str">
        <f>"1790525624"</f>
        <v>1790525624</v>
      </c>
      <c r="C4015" t="str">
        <f>"367500000X"</f>
        <v>367500000X</v>
      </c>
      <c r="D4015" t="str">
        <f>"GUILLOT                  CARLEY                   "</f>
        <v xml:space="preserve">GUILLOT                  CARLEY                   </v>
      </c>
      <c r="E4015" t="str">
        <f>"NEW ORLEANS               "</f>
        <v xml:space="preserve">NEW ORLEANS               </v>
      </c>
      <c r="F4015" t="str">
        <f t="shared" si="165"/>
        <v>LA</v>
      </c>
    </row>
    <row r="4016" spans="1:6" x14ac:dyDescent="0.25">
      <c r="A4016" t="str">
        <f>"200011935"</f>
        <v>200011935</v>
      </c>
      <c r="B4016" t="str">
        <f>"1346673191"</f>
        <v>1346673191</v>
      </c>
      <c r="C4016" t="str">
        <f>"363L00000X"</f>
        <v>363L00000X</v>
      </c>
      <c r="D4016" t="str">
        <f>"HAMBY                    DAVID                    "</f>
        <v xml:space="preserve">HAMBY                    DAVID                    </v>
      </c>
      <c r="E4016" t="str">
        <f>"NEW ORLEANS               "</f>
        <v xml:space="preserve">NEW ORLEANS               </v>
      </c>
      <c r="F4016" t="str">
        <f t="shared" si="165"/>
        <v>LA</v>
      </c>
    </row>
    <row r="4017" spans="1:6" x14ac:dyDescent="0.25">
      <c r="A4017" t="str">
        <f>"200011978"</f>
        <v>200011978</v>
      </c>
      <c r="B4017" t="str">
        <f>"1609618289"</f>
        <v>1609618289</v>
      </c>
      <c r="C4017" t="str">
        <f>"367500000X"</f>
        <v>367500000X</v>
      </c>
      <c r="D4017" t="str">
        <f>"WELLS                    EMILY                    "</f>
        <v xml:space="preserve">WELLS                    EMILY                    </v>
      </c>
      <c r="E4017" t="str">
        <f>"HAMMOND                   "</f>
        <v xml:space="preserve">HAMMOND                   </v>
      </c>
      <c r="F4017" t="str">
        <f t="shared" si="165"/>
        <v>LA</v>
      </c>
    </row>
    <row r="4018" spans="1:6" x14ac:dyDescent="0.25">
      <c r="A4018" t="str">
        <f>"200011980"</f>
        <v>200011980</v>
      </c>
      <c r="B4018" t="str">
        <f>"1659047629"</f>
        <v>1659047629</v>
      </c>
      <c r="C4018" t="str">
        <f>"367500000X"</f>
        <v>367500000X</v>
      </c>
      <c r="D4018" t="str">
        <f>"GUTTUSO                  LILLIAN                  "</f>
        <v xml:space="preserve">GUTTUSO                  LILLIAN                  </v>
      </c>
      <c r="E4018" t="str">
        <f>"NEW ORLEANS               "</f>
        <v xml:space="preserve">NEW ORLEANS               </v>
      </c>
      <c r="F4018" t="str">
        <f t="shared" si="165"/>
        <v>LA</v>
      </c>
    </row>
    <row r="4019" spans="1:6" x14ac:dyDescent="0.25">
      <c r="A4019" t="str">
        <f>"200012047"</f>
        <v>200012047</v>
      </c>
      <c r="B4019" t="str">
        <f>"1073254645"</f>
        <v>1073254645</v>
      </c>
      <c r="C4019" t="str">
        <f>"207P00000X"</f>
        <v>207P00000X</v>
      </c>
      <c r="D4019" t="str">
        <f>"SHUKLA                   ARCHIT                   "</f>
        <v xml:space="preserve">SHUKLA                   ARCHIT                   </v>
      </c>
      <c r="E4019" t="str">
        <f>"BOGALUSA                  "</f>
        <v xml:space="preserve">BOGALUSA                  </v>
      </c>
      <c r="F4019" t="str">
        <f t="shared" si="165"/>
        <v>LA</v>
      </c>
    </row>
    <row r="4020" spans="1:6" x14ac:dyDescent="0.25">
      <c r="A4020" t="str">
        <f>"200012054"</f>
        <v>200012054</v>
      </c>
      <c r="B4020" t="str">
        <f>"1962625798"</f>
        <v>1962625798</v>
      </c>
      <c r="C4020" t="str">
        <f>"208800000X"</f>
        <v>208800000X</v>
      </c>
      <c r="D4020" t="str">
        <f>"DELACROIX JR.            SCOTT        E           "</f>
        <v xml:space="preserve">DELACROIX JR.            SCOTT        E           </v>
      </c>
      <c r="E4020" t="str">
        <f>"BATON ROUGE               "</f>
        <v xml:space="preserve">BATON ROUGE               </v>
      </c>
      <c r="F4020" t="str">
        <f t="shared" si="165"/>
        <v>LA</v>
      </c>
    </row>
    <row r="4021" spans="1:6" x14ac:dyDescent="0.25">
      <c r="A4021" t="str">
        <f>"200012083"</f>
        <v>200012083</v>
      </c>
      <c r="B4021" t="str">
        <f>"1689998601"</f>
        <v>1689998601</v>
      </c>
      <c r="C4021" t="str">
        <f>"2081P2900X"</f>
        <v>2081P2900X</v>
      </c>
      <c r="D4021" t="str">
        <f>"ROCHELLE                 JARED                    "</f>
        <v xml:space="preserve">ROCHELLE                 JARED                    </v>
      </c>
      <c r="E4021" t="str">
        <f>"HAMMOND                   "</f>
        <v xml:space="preserve">HAMMOND                   </v>
      </c>
      <c r="F4021" t="str">
        <f t="shared" si="165"/>
        <v>LA</v>
      </c>
    </row>
    <row r="4022" spans="1:6" x14ac:dyDescent="0.25">
      <c r="A4022" t="str">
        <f>"200012102"</f>
        <v>200012102</v>
      </c>
      <c r="B4022" t="str">
        <f>"1861836868"</f>
        <v>1861836868</v>
      </c>
      <c r="C4022" t="str">
        <f>"208100000X"</f>
        <v>208100000X</v>
      </c>
      <c r="D4022" t="str">
        <f>"PATHAK                   RISHI                    "</f>
        <v xml:space="preserve">PATHAK                   RISHI                    </v>
      </c>
      <c r="E4022" t="str">
        <f>"HAMMOND                   "</f>
        <v xml:space="preserve">HAMMOND                   </v>
      </c>
      <c r="F4022" t="str">
        <f t="shared" si="165"/>
        <v>LA</v>
      </c>
    </row>
    <row r="4023" spans="1:6" x14ac:dyDescent="0.25">
      <c r="A4023" t="str">
        <f>"200012104"</f>
        <v>200012104</v>
      </c>
      <c r="B4023" t="str">
        <f>"1558895227"</f>
        <v>1558895227</v>
      </c>
      <c r="C4023" t="str">
        <f>"207W00000X"</f>
        <v>207W00000X</v>
      </c>
      <c r="D4023" t="str">
        <f>"NELSON                   DANIEL       G           "</f>
        <v xml:space="preserve">NELSON                   DANIEL       G           </v>
      </c>
      <c r="E4023" t="str">
        <f>"NEW ORLEANS               "</f>
        <v xml:space="preserve">NEW ORLEANS               </v>
      </c>
      <c r="F4023" t="str">
        <f t="shared" si="165"/>
        <v>LA</v>
      </c>
    </row>
    <row r="4024" spans="1:6" x14ac:dyDescent="0.25">
      <c r="A4024" t="str">
        <f>"200012124"</f>
        <v>200012124</v>
      </c>
      <c r="B4024" t="str">
        <f>"1376860148"</f>
        <v>1376860148</v>
      </c>
      <c r="C4024" t="str">
        <f>"207X00000X"</f>
        <v>207X00000X</v>
      </c>
      <c r="D4024" t="str">
        <f>"GARON                    MARK                     "</f>
        <v xml:space="preserve">GARON                    MARK                     </v>
      </c>
      <c r="E4024" t="str">
        <f>"BATON ROUGE               "</f>
        <v xml:space="preserve">BATON ROUGE               </v>
      </c>
      <c r="F4024" t="str">
        <f t="shared" si="165"/>
        <v>LA</v>
      </c>
    </row>
    <row r="4025" spans="1:6" x14ac:dyDescent="0.25">
      <c r="A4025" t="str">
        <f>"200012241"</f>
        <v>200012241</v>
      </c>
      <c r="B4025" t="str">
        <f>"1013798131"</f>
        <v>1013798131</v>
      </c>
      <c r="C4025" t="str">
        <f>"363L00000X"</f>
        <v>363L00000X</v>
      </c>
      <c r="D4025" t="str">
        <f>"TOMMASEO                 TAMMY                    "</f>
        <v xml:space="preserve">TOMMASEO                 TAMMY                    </v>
      </c>
      <c r="E4025" t="str">
        <f>"SLIDELL                   "</f>
        <v xml:space="preserve">SLIDELL                   </v>
      </c>
      <c r="F4025" t="str">
        <f t="shared" si="165"/>
        <v>LA</v>
      </c>
    </row>
    <row r="4026" spans="1:6" x14ac:dyDescent="0.25">
      <c r="A4026" t="str">
        <f>"200012264"</f>
        <v>200012264</v>
      </c>
      <c r="B4026" t="str">
        <f>"1346683356"</f>
        <v>1346683356</v>
      </c>
      <c r="C4026" t="str">
        <f>"208600000X"</f>
        <v>208600000X</v>
      </c>
      <c r="D4026" t="str">
        <f>"SCHOEN                   JONATHAN                 "</f>
        <v xml:space="preserve">SCHOEN                   JONATHAN                 </v>
      </c>
      <c r="E4026" t="str">
        <f>"HAMMOND                   "</f>
        <v xml:space="preserve">HAMMOND                   </v>
      </c>
      <c r="F4026" t="str">
        <f t="shared" si="165"/>
        <v>LA</v>
      </c>
    </row>
    <row r="4027" spans="1:6" x14ac:dyDescent="0.25">
      <c r="A4027" t="str">
        <f>"200012271"</f>
        <v>200012271</v>
      </c>
      <c r="B4027" t="str">
        <f>"1093398810"</f>
        <v>1093398810</v>
      </c>
      <c r="C4027" t="str">
        <f>"363L00000X"</f>
        <v>363L00000X</v>
      </c>
      <c r="D4027" t="str">
        <f>"DERBINS                  PAMELA                   "</f>
        <v xml:space="preserve">DERBINS                  PAMELA                   </v>
      </c>
      <c r="E4027" t="str">
        <f>"SLIDELL                   "</f>
        <v xml:space="preserve">SLIDELL                   </v>
      </c>
      <c r="F4027" t="str">
        <f t="shared" si="165"/>
        <v>LA</v>
      </c>
    </row>
    <row r="4028" spans="1:6" x14ac:dyDescent="0.25">
      <c r="A4028" t="str">
        <f>"200012356"</f>
        <v>200012356</v>
      </c>
      <c r="B4028" t="str">
        <f>"1922460807"</f>
        <v>1922460807</v>
      </c>
      <c r="C4028" t="str">
        <f>"2086S0122X"</f>
        <v>2086S0122X</v>
      </c>
      <c r="D4028" t="str">
        <f>"BARTOW                   MATTHEW      J           "</f>
        <v xml:space="preserve">BARTOW                   MATTHEW      J           </v>
      </c>
      <c r="E4028" t="str">
        <f>"NEW ORLEANS               "</f>
        <v xml:space="preserve">NEW ORLEANS               </v>
      </c>
      <c r="F4028" t="str">
        <f t="shared" si="165"/>
        <v>LA</v>
      </c>
    </row>
    <row r="4029" spans="1:6" x14ac:dyDescent="0.25">
      <c r="A4029" t="str">
        <f>"200012405"</f>
        <v>200012405</v>
      </c>
      <c r="B4029" t="str">
        <f>"1124522925"</f>
        <v>1124522925</v>
      </c>
      <c r="C4029" t="str">
        <f>"207RI0200X"</f>
        <v>207RI0200X</v>
      </c>
      <c r="D4029" t="str">
        <f>"BOURGEOIS                CAMILLE      R           "</f>
        <v xml:space="preserve">BOURGEOIS                CAMILLE      R           </v>
      </c>
      <c r="E4029" t="str">
        <f>"NEW ORLEANS               "</f>
        <v xml:space="preserve">NEW ORLEANS               </v>
      </c>
      <c r="F4029" t="str">
        <f t="shared" si="165"/>
        <v>LA</v>
      </c>
    </row>
    <row r="4030" spans="1:6" x14ac:dyDescent="0.25">
      <c r="A4030" t="str">
        <f>"200012412"</f>
        <v>200012412</v>
      </c>
      <c r="B4030" t="str">
        <f>"1285381681"</f>
        <v>1285381681</v>
      </c>
      <c r="C4030" t="str">
        <f>"363A00000X"</f>
        <v>363A00000X</v>
      </c>
      <c r="D4030" t="str">
        <f>"WIGGINS                  HANNAH                   "</f>
        <v xml:space="preserve">WIGGINS                  HANNAH                   </v>
      </c>
      <c r="E4030" t="str">
        <f>"NEW ORLEANS               "</f>
        <v xml:space="preserve">NEW ORLEANS               </v>
      </c>
      <c r="F4030" t="str">
        <f t="shared" si="165"/>
        <v>LA</v>
      </c>
    </row>
    <row r="4031" spans="1:6" x14ac:dyDescent="0.25">
      <c r="A4031" t="str">
        <f>"200012497"</f>
        <v>200012497</v>
      </c>
      <c r="B4031" t="str">
        <f>"1841296258"</f>
        <v>1841296258</v>
      </c>
      <c r="C4031" t="str">
        <f>"207P00000X"</f>
        <v>207P00000X</v>
      </c>
      <c r="D4031" t="str">
        <f>"BRADFORD                 LETONNA                  "</f>
        <v xml:space="preserve">BRADFORD                 LETONNA                  </v>
      </c>
      <c r="E4031" t="str">
        <f>"FERRIDAY                  "</f>
        <v xml:space="preserve">FERRIDAY                  </v>
      </c>
      <c r="F4031" t="str">
        <f t="shared" si="165"/>
        <v>LA</v>
      </c>
    </row>
    <row r="4032" spans="1:6" x14ac:dyDescent="0.25">
      <c r="A4032" t="str">
        <f>"200012503"</f>
        <v>200012503</v>
      </c>
      <c r="B4032" t="str">
        <f>"1184164295"</f>
        <v>1184164295</v>
      </c>
      <c r="C4032" t="str">
        <f>"1223P0221X"</f>
        <v>1223P0221X</v>
      </c>
      <c r="D4032" t="str">
        <f>"BARRETT                  TIFFANY                  "</f>
        <v xml:space="preserve">BARRETT                  TIFFANY                  </v>
      </c>
      <c r="E4032" t="str">
        <f>"NEW ORLEANS               "</f>
        <v xml:space="preserve">NEW ORLEANS               </v>
      </c>
      <c r="F4032" t="str">
        <f t="shared" si="165"/>
        <v>LA</v>
      </c>
    </row>
    <row r="4033" spans="1:6" x14ac:dyDescent="0.25">
      <c r="A4033" t="str">
        <f>"200012504"</f>
        <v>200012504</v>
      </c>
      <c r="B4033" t="str">
        <f>"1598861239"</f>
        <v>1598861239</v>
      </c>
      <c r="C4033" t="str">
        <f>"208M00000X"</f>
        <v>208M00000X</v>
      </c>
      <c r="D4033" t="str">
        <f>"OGDEN                    MOIRA                    "</f>
        <v xml:space="preserve">OGDEN                    MOIRA                    </v>
      </c>
      <c r="E4033" t="str">
        <f>"NEW ORLEANS               "</f>
        <v xml:space="preserve">NEW ORLEANS               </v>
      </c>
      <c r="F4033" t="str">
        <f t="shared" si="165"/>
        <v>LA</v>
      </c>
    </row>
    <row r="4034" spans="1:6" x14ac:dyDescent="0.25">
      <c r="A4034" t="str">
        <f>"200012508"</f>
        <v>200012508</v>
      </c>
      <c r="B4034" t="str">
        <f>"1952004236"</f>
        <v>1952004236</v>
      </c>
      <c r="C4034" t="str">
        <f>"363A00000X"</f>
        <v>363A00000X</v>
      </c>
      <c r="D4034" t="str">
        <f>"WONG                     NATALIE                  "</f>
        <v xml:space="preserve">WONG                     NATALIE                  </v>
      </c>
      <c r="E4034" t="str">
        <f>"KENNER                    "</f>
        <v xml:space="preserve">KENNER                    </v>
      </c>
      <c r="F4034" t="str">
        <f t="shared" si="165"/>
        <v>LA</v>
      </c>
    </row>
    <row r="4035" spans="1:6" x14ac:dyDescent="0.25">
      <c r="A4035" t="str">
        <f>"200012525"</f>
        <v>200012525</v>
      </c>
      <c r="B4035" t="str">
        <f>"1780780528"</f>
        <v>1780780528</v>
      </c>
      <c r="C4035" t="str">
        <f>"208000000X"</f>
        <v>208000000X</v>
      </c>
      <c r="D4035" t="str">
        <f>"ODUDU                    ISAAC                    "</f>
        <v xml:space="preserve">ODUDU                    ISAAC                    </v>
      </c>
      <c r="E4035" t="str">
        <f>"FERRIDAY                  "</f>
        <v xml:space="preserve">FERRIDAY                  </v>
      </c>
      <c r="F4035" t="str">
        <f t="shared" si="165"/>
        <v>LA</v>
      </c>
    </row>
    <row r="4036" spans="1:6" x14ac:dyDescent="0.25">
      <c r="A4036" t="str">
        <f>"200012582"</f>
        <v>200012582</v>
      </c>
      <c r="B4036" t="str">
        <f>"1902434509"</f>
        <v>1902434509</v>
      </c>
      <c r="C4036" t="str">
        <f>"207L00000X"</f>
        <v>207L00000X</v>
      </c>
      <c r="D4036" t="str">
        <f>"BROUSSARD                ALAINA       L           "</f>
        <v xml:space="preserve">BROUSSARD                ALAINA       L           </v>
      </c>
      <c r="E4036" t="str">
        <f t="shared" ref="E4036:E4043" si="166">"NEW ORLEANS               "</f>
        <v xml:space="preserve">NEW ORLEANS               </v>
      </c>
      <c r="F4036" t="str">
        <f t="shared" si="165"/>
        <v>LA</v>
      </c>
    </row>
    <row r="4037" spans="1:6" x14ac:dyDescent="0.25">
      <c r="A4037" t="str">
        <f>"200012621"</f>
        <v>200012621</v>
      </c>
      <c r="B4037" t="str">
        <f>"1871083006"</f>
        <v>1871083006</v>
      </c>
      <c r="C4037" t="str">
        <f>"208100000X"</f>
        <v>208100000X</v>
      </c>
      <c r="D4037" t="str">
        <f>"AMODEO                   MATTHEW      D           "</f>
        <v xml:space="preserve">AMODEO                   MATTHEW      D           </v>
      </c>
      <c r="E4037" t="str">
        <f t="shared" si="166"/>
        <v xml:space="preserve">NEW ORLEANS               </v>
      </c>
      <c r="F4037" t="str">
        <f t="shared" si="165"/>
        <v>LA</v>
      </c>
    </row>
    <row r="4038" spans="1:6" x14ac:dyDescent="0.25">
      <c r="A4038" t="str">
        <f>"200012654"</f>
        <v>200012654</v>
      </c>
      <c r="B4038" t="str">
        <f>"1831393610"</f>
        <v>1831393610</v>
      </c>
      <c r="C4038" t="str">
        <f>"2086S0127X"</f>
        <v>2086S0127X</v>
      </c>
      <c r="D4038" t="str">
        <f>"STUKE                    LANCE        E           "</f>
        <v xml:space="preserve">STUKE                    LANCE        E           </v>
      </c>
      <c r="E4038" t="str">
        <f t="shared" si="166"/>
        <v xml:space="preserve">NEW ORLEANS               </v>
      </c>
      <c r="F4038" t="str">
        <f t="shared" si="165"/>
        <v>LA</v>
      </c>
    </row>
    <row r="4039" spans="1:6" x14ac:dyDescent="0.25">
      <c r="A4039" t="str">
        <f>"200012689"</f>
        <v>200012689</v>
      </c>
      <c r="B4039" t="str">
        <f>"1215564687"</f>
        <v>1215564687</v>
      </c>
      <c r="C4039" t="str">
        <f>"2084P0800X"</f>
        <v>2084P0800X</v>
      </c>
      <c r="D4039" t="str">
        <f>"CULOTTA                  JOSHUA       P           "</f>
        <v xml:space="preserve">CULOTTA                  JOSHUA       P           </v>
      </c>
      <c r="E4039" t="str">
        <f t="shared" si="166"/>
        <v xml:space="preserve">NEW ORLEANS               </v>
      </c>
      <c r="F4039" t="str">
        <f t="shared" si="165"/>
        <v>LA</v>
      </c>
    </row>
    <row r="4040" spans="1:6" x14ac:dyDescent="0.25">
      <c r="A4040" t="str">
        <f>"200012728"</f>
        <v>200012728</v>
      </c>
      <c r="B4040" t="str">
        <f>"1750968210"</f>
        <v>1750968210</v>
      </c>
      <c r="C4040" t="str">
        <f>"208000000X"</f>
        <v>208000000X</v>
      </c>
      <c r="D4040" t="str">
        <f>"GRANIER                  AMANDA       L           "</f>
        <v xml:space="preserve">GRANIER                  AMANDA       L           </v>
      </c>
      <c r="E4040" t="str">
        <f t="shared" si="166"/>
        <v xml:space="preserve">NEW ORLEANS               </v>
      </c>
      <c r="F4040" t="str">
        <f t="shared" si="165"/>
        <v>LA</v>
      </c>
    </row>
    <row r="4041" spans="1:6" x14ac:dyDescent="0.25">
      <c r="A4041" t="str">
        <f>"200012745"</f>
        <v>200012745</v>
      </c>
      <c r="B4041" t="str">
        <f>"1669652723"</f>
        <v>1669652723</v>
      </c>
      <c r="C4041" t="str">
        <f>"208000000X"</f>
        <v>208000000X</v>
      </c>
      <c r="D4041" t="str">
        <f>"DEBORD                   JESSICA                  "</f>
        <v xml:space="preserve">DEBORD                   JESSICA                  </v>
      </c>
      <c r="E4041" t="str">
        <f t="shared" si="166"/>
        <v xml:space="preserve">NEW ORLEANS               </v>
      </c>
      <c r="F4041" t="str">
        <f t="shared" si="165"/>
        <v>LA</v>
      </c>
    </row>
    <row r="4042" spans="1:6" x14ac:dyDescent="0.25">
      <c r="A4042" t="str">
        <f>"200012753"</f>
        <v>200012753</v>
      </c>
      <c r="B4042" t="str">
        <f>"1194453373"</f>
        <v>1194453373</v>
      </c>
      <c r="C4042" t="str">
        <f>"363A00000X"</f>
        <v>363A00000X</v>
      </c>
      <c r="D4042" t="str">
        <f>"ADAMS                    GLYNN        M           "</f>
        <v xml:space="preserve">ADAMS                    GLYNN        M           </v>
      </c>
      <c r="E4042" t="str">
        <f t="shared" si="166"/>
        <v xml:space="preserve">NEW ORLEANS               </v>
      </c>
      <c r="F4042" t="str">
        <f t="shared" si="165"/>
        <v>LA</v>
      </c>
    </row>
    <row r="4043" spans="1:6" x14ac:dyDescent="0.25">
      <c r="A4043" t="str">
        <f>"200012754"</f>
        <v>200012754</v>
      </c>
      <c r="B4043" t="str">
        <f>"1194131904"</f>
        <v>1194131904</v>
      </c>
      <c r="C4043" t="str">
        <f>"207N00000X"</f>
        <v>207N00000X</v>
      </c>
      <c r="D4043" t="str">
        <f>"BITAR                    CAROLE                   "</f>
        <v xml:space="preserve">BITAR                    CAROLE                   </v>
      </c>
      <c r="E4043" t="str">
        <f t="shared" si="166"/>
        <v xml:space="preserve">NEW ORLEANS               </v>
      </c>
      <c r="F4043" t="str">
        <f t="shared" si="165"/>
        <v>LA</v>
      </c>
    </row>
    <row r="4044" spans="1:6" x14ac:dyDescent="0.25">
      <c r="A4044" t="str">
        <f>"200012774"</f>
        <v>200012774</v>
      </c>
      <c r="B4044" t="str">
        <f>"1053928622"</f>
        <v>1053928622</v>
      </c>
      <c r="C4044" t="str">
        <f>"363A00000X"</f>
        <v>363A00000X</v>
      </c>
      <c r="D4044" t="str">
        <f>"CHAPMAN                  KENNEDY                  "</f>
        <v xml:space="preserve">CHAPMAN                  KENNEDY                  </v>
      </c>
      <c r="E4044" t="str">
        <f>"FERRIDAY                  "</f>
        <v xml:space="preserve">FERRIDAY                  </v>
      </c>
      <c r="F4044" t="str">
        <f t="shared" si="165"/>
        <v>LA</v>
      </c>
    </row>
    <row r="4045" spans="1:6" x14ac:dyDescent="0.25">
      <c r="A4045" t="str">
        <f>"200012822"</f>
        <v>200012822</v>
      </c>
      <c r="B4045" t="str">
        <f>"1780908780"</f>
        <v>1780908780</v>
      </c>
      <c r="C4045" t="str">
        <f>"207R00000X"</f>
        <v>207R00000X</v>
      </c>
      <c r="D4045" t="str">
        <f>"CEFALU JR                WILLIAM      A           "</f>
        <v xml:space="preserve">CEFALU JR                WILLIAM      A           </v>
      </c>
      <c r="E4045" t="str">
        <f>"MORGAN CITY               "</f>
        <v xml:space="preserve">MORGAN CITY               </v>
      </c>
      <c r="F4045" t="str">
        <f t="shared" si="165"/>
        <v>LA</v>
      </c>
    </row>
    <row r="4046" spans="1:6" x14ac:dyDescent="0.25">
      <c r="A4046" t="str">
        <f>"200012856"</f>
        <v>200012856</v>
      </c>
      <c r="B4046" t="str">
        <f>"1073704540"</f>
        <v>1073704540</v>
      </c>
      <c r="C4046" t="str">
        <f>"207P00000X"</f>
        <v>207P00000X</v>
      </c>
      <c r="D4046" t="str">
        <f>"LIM                      STEPHEN                  "</f>
        <v xml:space="preserve">LIM                      STEPHEN                  </v>
      </c>
      <c r="E4046" t="str">
        <f>"NEW ORLEANS               "</f>
        <v xml:space="preserve">NEW ORLEANS               </v>
      </c>
      <c r="F4046" t="str">
        <f t="shared" si="165"/>
        <v>LA</v>
      </c>
    </row>
    <row r="4047" spans="1:6" x14ac:dyDescent="0.25">
      <c r="A4047" t="str">
        <f>"200012934"</f>
        <v>200012934</v>
      </c>
      <c r="B4047" t="str">
        <f>"1548502313"</f>
        <v>1548502313</v>
      </c>
      <c r="C4047" t="str">
        <f>"2080P0207X"</f>
        <v>2080P0207X</v>
      </c>
      <c r="D4047" t="str">
        <f>"FARGE                    JUSTIN                   "</f>
        <v xml:space="preserve">FARGE                    JUSTIN                   </v>
      </c>
      <c r="E4047" t="str">
        <f>"NEW ORLEANS               "</f>
        <v xml:space="preserve">NEW ORLEANS               </v>
      </c>
      <c r="F4047" t="str">
        <f t="shared" si="165"/>
        <v>LA</v>
      </c>
    </row>
    <row r="4048" spans="1:6" x14ac:dyDescent="0.25">
      <c r="A4048" t="str">
        <f>"200012953"</f>
        <v>200012953</v>
      </c>
      <c r="B4048" t="str">
        <f>"1346582129"</f>
        <v>1346582129</v>
      </c>
      <c r="C4048" t="str">
        <f>"208D00000X"</f>
        <v>208D00000X</v>
      </c>
      <c r="D4048" t="str">
        <f>"SIMPSON                  TRAVIS                   "</f>
        <v xml:space="preserve">SIMPSON                  TRAVIS                   </v>
      </c>
      <c r="E4048" t="str">
        <f>"BOGALUSA                  "</f>
        <v xml:space="preserve">BOGALUSA                  </v>
      </c>
      <c r="F4048" t="str">
        <f t="shared" si="165"/>
        <v>LA</v>
      </c>
    </row>
    <row r="4049" spans="1:6" x14ac:dyDescent="0.25">
      <c r="A4049" t="str">
        <f>"200012956"</f>
        <v>200012956</v>
      </c>
      <c r="B4049" t="str">
        <f>"1366115826"</f>
        <v>1366115826</v>
      </c>
      <c r="C4049" t="str">
        <f>"207Q00000X"</f>
        <v>207Q00000X</v>
      </c>
      <c r="D4049" t="str">
        <f>"BEN-OKAFOR               KENECHUKWU   C           "</f>
        <v xml:space="preserve">BEN-OKAFOR               KENECHUKWU   C           </v>
      </c>
      <c r="E4049" t="str">
        <f>"NEW ORLEANS               "</f>
        <v xml:space="preserve">NEW ORLEANS               </v>
      </c>
      <c r="F4049" t="str">
        <f t="shared" si="165"/>
        <v>LA</v>
      </c>
    </row>
    <row r="4050" spans="1:6" x14ac:dyDescent="0.25">
      <c r="A4050" t="str">
        <f>"200012961"</f>
        <v>200012961</v>
      </c>
      <c r="B4050" t="str">
        <f>"1366486292"</f>
        <v>1366486292</v>
      </c>
      <c r="C4050" t="str">
        <f>"207RC0200X"</f>
        <v>207RC0200X</v>
      </c>
      <c r="D4050" t="str">
        <f>"THOMAS                   CHRISTOPHER              "</f>
        <v xml:space="preserve">THOMAS                   CHRISTOPHER              </v>
      </c>
      <c r="E4050" t="str">
        <f>"BATON ROUGE               "</f>
        <v xml:space="preserve">BATON ROUGE               </v>
      </c>
      <c r="F4050" t="str">
        <f t="shared" si="165"/>
        <v>LA</v>
      </c>
    </row>
    <row r="4051" spans="1:6" x14ac:dyDescent="0.25">
      <c r="A4051" t="str">
        <f>"200012981"</f>
        <v>200012981</v>
      </c>
      <c r="B4051" t="str">
        <f>"1023066206"</f>
        <v>1023066206</v>
      </c>
      <c r="C4051" t="str">
        <f>"207R00000X"</f>
        <v>207R00000X</v>
      </c>
      <c r="D4051" t="str">
        <f>"SOLIMAN                  NOHA                     "</f>
        <v xml:space="preserve">SOLIMAN                  NOHA                     </v>
      </c>
      <c r="E4051" t="str">
        <f>"SLIDELL                   "</f>
        <v xml:space="preserve">SLIDELL                   </v>
      </c>
      <c r="F4051" t="str">
        <f t="shared" si="165"/>
        <v>LA</v>
      </c>
    </row>
    <row r="4052" spans="1:6" x14ac:dyDescent="0.25">
      <c r="A4052" t="str">
        <f>"200013017"</f>
        <v>200013017</v>
      </c>
      <c r="B4052" t="str">
        <f>"1992167498"</f>
        <v>1992167498</v>
      </c>
      <c r="C4052" t="str">
        <f>"2080P0210X"</f>
        <v>2080P0210X</v>
      </c>
      <c r="D4052" t="str">
        <f>"KHORKI                   MOHAMAD                  "</f>
        <v xml:space="preserve">KHORKI                   MOHAMAD                  </v>
      </c>
      <c r="E4052" t="str">
        <f>"NEW ORLEANS               "</f>
        <v xml:space="preserve">NEW ORLEANS               </v>
      </c>
      <c r="F4052" t="str">
        <f t="shared" si="165"/>
        <v>LA</v>
      </c>
    </row>
    <row r="4053" spans="1:6" x14ac:dyDescent="0.25">
      <c r="A4053" t="str">
        <f>"200013136"</f>
        <v>200013136</v>
      </c>
      <c r="B4053" t="str">
        <f>"1982845962"</f>
        <v>1982845962</v>
      </c>
      <c r="C4053" t="str">
        <f>"207R00000X"</f>
        <v>207R00000X</v>
      </c>
      <c r="D4053" t="str">
        <f>"WRIGHT                   BENJAMIN                 "</f>
        <v xml:space="preserve">WRIGHT                   BENJAMIN                 </v>
      </c>
      <c r="E4053" t="str">
        <f>"COVINGTON                 "</f>
        <v xml:space="preserve">COVINGTON                 </v>
      </c>
      <c r="F4053" t="str">
        <f t="shared" si="165"/>
        <v>LA</v>
      </c>
    </row>
    <row r="4054" spans="1:6" x14ac:dyDescent="0.25">
      <c r="A4054" t="str">
        <f>"200013160"</f>
        <v>200013160</v>
      </c>
      <c r="B4054" t="str">
        <f>"1992209712"</f>
        <v>1992209712</v>
      </c>
      <c r="C4054" t="str">
        <f>"207R00000X"</f>
        <v>207R00000X</v>
      </c>
      <c r="D4054" t="str">
        <f>"DUBUC                    JACOB                    "</f>
        <v xml:space="preserve">DUBUC                    JACOB                    </v>
      </c>
      <c r="E4054" t="str">
        <f>"COVINGTON                 "</f>
        <v xml:space="preserve">COVINGTON                 </v>
      </c>
      <c r="F4054" t="str">
        <f t="shared" si="165"/>
        <v>LA</v>
      </c>
    </row>
    <row r="4055" spans="1:6" x14ac:dyDescent="0.25">
      <c r="A4055" t="str">
        <f>"200013168"</f>
        <v>200013168</v>
      </c>
      <c r="B4055" t="str">
        <f>"1831819887"</f>
        <v>1831819887</v>
      </c>
      <c r="C4055" t="str">
        <f>"367500000X"</f>
        <v>367500000X</v>
      </c>
      <c r="D4055" t="str">
        <f>"HOPPE                    ANGELE                   "</f>
        <v xml:space="preserve">HOPPE                    ANGELE                   </v>
      </c>
      <c r="E4055" t="str">
        <f>"SLIDELL                   "</f>
        <v xml:space="preserve">SLIDELL                   </v>
      </c>
      <c r="F4055" t="str">
        <f t="shared" si="165"/>
        <v>LA</v>
      </c>
    </row>
    <row r="4056" spans="1:6" x14ac:dyDescent="0.25">
      <c r="A4056" t="str">
        <f>"200013212"</f>
        <v>200013212</v>
      </c>
      <c r="B4056" t="str">
        <f>"1124880927"</f>
        <v>1124880927</v>
      </c>
      <c r="C4056" t="str">
        <f>"363AM0700X"</f>
        <v>363AM0700X</v>
      </c>
      <c r="D4056" t="str">
        <f>"HURST                    MEAGHAN                  "</f>
        <v xml:space="preserve">HURST                    MEAGHAN                  </v>
      </c>
      <c r="E4056" t="str">
        <f>"SLIDELL                   "</f>
        <v xml:space="preserve">SLIDELL                   </v>
      </c>
      <c r="F4056" t="str">
        <f t="shared" si="165"/>
        <v>LA</v>
      </c>
    </row>
    <row r="4057" spans="1:6" x14ac:dyDescent="0.25">
      <c r="A4057" t="str">
        <f>"200013238"</f>
        <v>200013238</v>
      </c>
      <c r="B4057" t="str">
        <f>"1528034774"</f>
        <v>1528034774</v>
      </c>
      <c r="C4057" t="str">
        <f>"2085R0202X"</f>
        <v>2085R0202X</v>
      </c>
      <c r="D4057" t="str">
        <f>"LEGNON                   RICHELLE     C           "</f>
        <v xml:space="preserve">LEGNON                   RICHELLE     C           </v>
      </c>
      <c r="E4057" t="str">
        <f>"SLIDELL                   "</f>
        <v xml:space="preserve">SLIDELL                   </v>
      </c>
      <c r="F4057" t="str">
        <f t="shared" si="165"/>
        <v>LA</v>
      </c>
    </row>
    <row r="4058" spans="1:6" x14ac:dyDescent="0.25">
      <c r="A4058" t="str">
        <f>"200013241"</f>
        <v>200013241</v>
      </c>
      <c r="B4058" t="str">
        <f>"1871856252"</f>
        <v>1871856252</v>
      </c>
      <c r="C4058" t="str">
        <f>"2086S0122X"</f>
        <v>2086S0122X</v>
      </c>
      <c r="D4058" t="str">
        <f>"KAYMAKCALAN              OMER                     "</f>
        <v xml:space="preserve">KAYMAKCALAN              OMER                     </v>
      </c>
      <c r="E4058" t="str">
        <f>"NEW ORLEANS               "</f>
        <v xml:space="preserve">NEW ORLEANS               </v>
      </c>
      <c r="F4058" t="str">
        <f t="shared" si="165"/>
        <v>LA</v>
      </c>
    </row>
    <row r="4059" spans="1:6" x14ac:dyDescent="0.25">
      <c r="A4059" t="str">
        <f>"200013371"</f>
        <v>200013371</v>
      </c>
      <c r="B4059" t="str">
        <f>"1588160485"</f>
        <v>1588160485</v>
      </c>
      <c r="C4059" t="str">
        <f>"207ZP0102X"</f>
        <v>207ZP0102X</v>
      </c>
      <c r="D4059" t="str">
        <f>"DAVIS                    RICHARD      C           "</f>
        <v xml:space="preserve">DAVIS                    RICHARD      C           </v>
      </c>
      <c r="E4059" t="str">
        <f>"BATON ROUGE               "</f>
        <v xml:space="preserve">BATON ROUGE               </v>
      </c>
      <c r="F4059" t="str">
        <f t="shared" ref="F4059:F4122" si="167">"LA"</f>
        <v>LA</v>
      </c>
    </row>
    <row r="4060" spans="1:6" x14ac:dyDescent="0.25">
      <c r="A4060" t="str">
        <f>"200013384"</f>
        <v>200013384</v>
      </c>
      <c r="B4060" t="str">
        <f>"1811438153"</f>
        <v>1811438153</v>
      </c>
      <c r="C4060" t="str">
        <f>"207Y00000X"</f>
        <v>207Y00000X</v>
      </c>
      <c r="D4060" t="str">
        <f>"SETTOON                  CHRISTINE    L           "</f>
        <v xml:space="preserve">SETTOON                  CHRISTINE    L           </v>
      </c>
      <c r="E4060" t="str">
        <f>"NEW ORLEANS               "</f>
        <v xml:space="preserve">NEW ORLEANS               </v>
      </c>
      <c r="F4060" t="str">
        <f t="shared" si="167"/>
        <v>LA</v>
      </c>
    </row>
    <row r="4061" spans="1:6" x14ac:dyDescent="0.25">
      <c r="A4061" t="str">
        <f>"200013417"</f>
        <v>200013417</v>
      </c>
      <c r="B4061" t="str">
        <f>"1467418780"</f>
        <v>1467418780</v>
      </c>
      <c r="C4061" t="str">
        <f>"2085R0202X"</f>
        <v>2085R0202X</v>
      </c>
      <c r="D4061" t="str">
        <f>"BREWINGTON               CECELIA      C           "</f>
        <v xml:space="preserve">BREWINGTON               CECELIA      C           </v>
      </c>
      <c r="E4061" t="str">
        <f>"NEW ORLEANS               "</f>
        <v xml:space="preserve">NEW ORLEANS               </v>
      </c>
      <c r="F4061" t="str">
        <f t="shared" si="167"/>
        <v>LA</v>
      </c>
    </row>
    <row r="4062" spans="1:6" x14ac:dyDescent="0.25">
      <c r="A4062" t="str">
        <f>"200013427"</f>
        <v>200013427</v>
      </c>
      <c r="B4062" t="str">
        <f>"1437772191"</f>
        <v>1437772191</v>
      </c>
      <c r="C4062" t="str">
        <f>"2084N0400X"</f>
        <v>2084N0400X</v>
      </c>
      <c r="D4062" t="str">
        <f>"CEVALLOS CHONILLO        CARLOS       A           "</f>
        <v xml:space="preserve">CEVALLOS CHONILLO        CARLOS       A           </v>
      </c>
      <c r="E4062" t="str">
        <f>"CHALMETTE                 "</f>
        <v xml:space="preserve">CHALMETTE                 </v>
      </c>
      <c r="F4062" t="str">
        <f t="shared" si="167"/>
        <v>LA</v>
      </c>
    </row>
    <row r="4063" spans="1:6" x14ac:dyDescent="0.25">
      <c r="A4063" t="str">
        <f>"200013471"</f>
        <v>200013471</v>
      </c>
      <c r="B4063" t="str">
        <f>"1710724661"</f>
        <v>1710724661</v>
      </c>
      <c r="C4063" t="str">
        <f>"363A00000X"</f>
        <v>363A00000X</v>
      </c>
      <c r="D4063" t="str">
        <f>"CLOWNEY                  EMMA         W           "</f>
        <v xml:space="preserve">CLOWNEY                  EMMA         W           </v>
      </c>
      <c r="E4063" t="str">
        <f>"NEW ORLEANS               "</f>
        <v xml:space="preserve">NEW ORLEANS               </v>
      </c>
      <c r="F4063" t="str">
        <f t="shared" si="167"/>
        <v>LA</v>
      </c>
    </row>
    <row r="4064" spans="1:6" x14ac:dyDescent="0.25">
      <c r="A4064" t="str">
        <f>"200013474"</f>
        <v>200013474</v>
      </c>
      <c r="B4064" t="str">
        <f>"1114421112"</f>
        <v>1114421112</v>
      </c>
      <c r="C4064" t="str">
        <f>"363LF0000X"</f>
        <v>363LF0000X</v>
      </c>
      <c r="D4064" t="str">
        <f>"MOSSBARGER               ASHLEY                   "</f>
        <v xml:space="preserve">MOSSBARGER               ASHLEY                   </v>
      </c>
      <c r="E4064" t="str">
        <f>"SLIDELL                   "</f>
        <v xml:space="preserve">SLIDELL                   </v>
      </c>
      <c r="F4064" t="str">
        <f t="shared" si="167"/>
        <v>LA</v>
      </c>
    </row>
    <row r="4065" spans="1:6" x14ac:dyDescent="0.25">
      <c r="A4065" t="str">
        <f>"200013502"</f>
        <v>200013502</v>
      </c>
      <c r="B4065" t="str">
        <f>"1922847706"</f>
        <v>1922847706</v>
      </c>
      <c r="C4065" t="str">
        <f>"363A00000X"</f>
        <v>363A00000X</v>
      </c>
      <c r="D4065" t="str">
        <f>"DIMARCO                  MANDIE       E           "</f>
        <v xml:space="preserve">DIMARCO                  MANDIE       E           </v>
      </c>
      <c r="E4065" t="str">
        <f>"NEW ORLEANS               "</f>
        <v xml:space="preserve">NEW ORLEANS               </v>
      </c>
      <c r="F4065" t="str">
        <f t="shared" si="167"/>
        <v>LA</v>
      </c>
    </row>
    <row r="4066" spans="1:6" x14ac:dyDescent="0.25">
      <c r="A4066" t="str">
        <f>"200013511"</f>
        <v>200013511</v>
      </c>
      <c r="B4066" t="str">
        <f>"1366602294"</f>
        <v>1366602294</v>
      </c>
      <c r="C4066" t="str">
        <f>"208M00000X"</f>
        <v>208M00000X</v>
      </c>
      <c r="D4066" t="str">
        <f>"SOTH                     LAYHONG                  "</f>
        <v xml:space="preserve">SOTH                     LAYHONG                  </v>
      </c>
      <c r="E4066" t="str">
        <f>"SLIDELL                   "</f>
        <v xml:space="preserve">SLIDELL                   </v>
      </c>
      <c r="F4066" t="str">
        <f t="shared" si="167"/>
        <v>LA</v>
      </c>
    </row>
    <row r="4067" spans="1:6" x14ac:dyDescent="0.25">
      <c r="A4067" t="str">
        <f>"200013513"</f>
        <v>200013513</v>
      </c>
      <c r="B4067" t="str">
        <f>"1447579438"</f>
        <v>1447579438</v>
      </c>
      <c r="C4067" t="str">
        <f>"208M00000X"</f>
        <v>208M00000X</v>
      </c>
      <c r="D4067" t="str">
        <f>"NATH                     BIPASHA                  "</f>
        <v xml:space="preserve">NATH                     BIPASHA                  </v>
      </c>
      <c r="E4067" t="str">
        <f>"SLIDELL                   "</f>
        <v xml:space="preserve">SLIDELL                   </v>
      </c>
      <c r="F4067" t="str">
        <f t="shared" si="167"/>
        <v>LA</v>
      </c>
    </row>
    <row r="4068" spans="1:6" x14ac:dyDescent="0.25">
      <c r="A4068" t="str">
        <f>"200013525"</f>
        <v>200013525</v>
      </c>
      <c r="B4068" t="str">
        <f>"1013543974"</f>
        <v>1013543974</v>
      </c>
      <c r="C4068" t="str">
        <f>"208100000X"</f>
        <v>208100000X</v>
      </c>
      <c r="D4068" t="str">
        <f>"HAYNES                   KEVIN        P           "</f>
        <v xml:space="preserve">HAYNES                   KEVIN        P           </v>
      </c>
      <c r="E4068" t="str">
        <f>"BATON ROUGE               "</f>
        <v xml:space="preserve">BATON ROUGE               </v>
      </c>
      <c r="F4068" t="str">
        <f t="shared" si="167"/>
        <v>LA</v>
      </c>
    </row>
    <row r="4069" spans="1:6" x14ac:dyDescent="0.25">
      <c r="A4069" t="str">
        <f>"200013594"</f>
        <v>200013594</v>
      </c>
      <c r="B4069" t="str">
        <f>"1033813654"</f>
        <v>1033813654</v>
      </c>
      <c r="C4069" t="str">
        <f>"363LA2100X"</f>
        <v>363LA2100X</v>
      </c>
      <c r="D4069" t="str">
        <f>"POREE                    JORDAN                   "</f>
        <v xml:space="preserve">POREE                    JORDAN                   </v>
      </c>
      <c r="E4069" t="str">
        <f>"NEW ORLEANS               "</f>
        <v xml:space="preserve">NEW ORLEANS               </v>
      </c>
      <c r="F4069" t="str">
        <f t="shared" si="167"/>
        <v>LA</v>
      </c>
    </row>
    <row r="4070" spans="1:6" x14ac:dyDescent="0.25">
      <c r="A4070" t="str">
        <f>"200013627"</f>
        <v>200013627</v>
      </c>
      <c r="B4070" t="str">
        <f>"1740719251"</f>
        <v>1740719251</v>
      </c>
      <c r="C4070" t="str">
        <f>"2088P0231X"</f>
        <v>2088P0231X</v>
      </c>
      <c r="D4070" t="str">
        <f>"SILVERII                 HAILEY                   "</f>
        <v xml:space="preserve">SILVERII                 HAILEY                   </v>
      </c>
      <c r="E4070" t="str">
        <f>"NEW ORLEANS               "</f>
        <v xml:space="preserve">NEW ORLEANS               </v>
      </c>
      <c r="F4070" t="str">
        <f t="shared" si="167"/>
        <v>LA</v>
      </c>
    </row>
    <row r="4071" spans="1:6" x14ac:dyDescent="0.25">
      <c r="A4071" t="str">
        <f>"200013738"</f>
        <v>200013738</v>
      </c>
      <c r="B4071" t="str">
        <f>"1356494868"</f>
        <v>1356494868</v>
      </c>
      <c r="C4071" t="str">
        <f>"208000000X"</f>
        <v>208000000X</v>
      </c>
      <c r="D4071" t="str">
        <f>"WARING                   PHYLLIS      D           "</f>
        <v xml:space="preserve">WARING                   PHYLLIS      D           </v>
      </c>
      <c r="E4071" t="str">
        <f>"SLIDELL                   "</f>
        <v xml:space="preserve">SLIDELL                   </v>
      </c>
      <c r="F4071" t="str">
        <f t="shared" si="167"/>
        <v>LA</v>
      </c>
    </row>
    <row r="4072" spans="1:6" x14ac:dyDescent="0.25">
      <c r="A4072" t="str">
        <f>"200013784"</f>
        <v>200013784</v>
      </c>
      <c r="B4072" t="str">
        <f>"1871350702"</f>
        <v>1871350702</v>
      </c>
      <c r="C4072" t="str">
        <f>"363A00000X"</f>
        <v>363A00000X</v>
      </c>
      <c r="D4072" t="str">
        <f>"BONVILLIAN               KIMBERLY     A           "</f>
        <v xml:space="preserve">BONVILLIAN               KIMBERLY     A           </v>
      </c>
      <c r="E4072" t="str">
        <f>"SLIDELL                   "</f>
        <v xml:space="preserve">SLIDELL                   </v>
      </c>
      <c r="F4072" t="str">
        <f t="shared" si="167"/>
        <v>LA</v>
      </c>
    </row>
    <row r="4073" spans="1:6" x14ac:dyDescent="0.25">
      <c r="A4073" t="str">
        <f>"200013793"</f>
        <v>200013793</v>
      </c>
      <c r="B4073" t="str">
        <f>"1598331712"</f>
        <v>1598331712</v>
      </c>
      <c r="C4073" t="str">
        <f>"207R00000X"</f>
        <v>207R00000X</v>
      </c>
      <c r="D4073" t="str">
        <f>"CAPUCHINA                LUIS         H           "</f>
        <v xml:space="preserve">CAPUCHINA                LUIS         H           </v>
      </c>
      <c r="E4073" t="str">
        <f>"NEW ORLEANS               "</f>
        <v xml:space="preserve">NEW ORLEANS               </v>
      </c>
      <c r="F4073" t="str">
        <f t="shared" si="167"/>
        <v>LA</v>
      </c>
    </row>
    <row r="4074" spans="1:6" x14ac:dyDescent="0.25">
      <c r="A4074" t="str">
        <f>"200013843"</f>
        <v>200013843</v>
      </c>
      <c r="B4074" t="str">
        <f>"1033678271"</f>
        <v>1033678271</v>
      </c>
      <c r="C4074" t="str">
        <f>"2084N0402X"</f>
        <v>2084N0402X</v>
      </c>
      <c r="D4074" t="str">
        <f>"ANGELLE                  KELLY        L           "</f>
        <v xml:space="preserve">ANGELLE                  KELLY        L           </v>
      </c>
      <c r="E4074" t="str">
        <f>"NEW ORLEANS               "</f>
        <v xml:space="preserve">NEW ORLEANS               </v>
      </c>
      <c r="F4074" t="str">
        <f t="shared" si="167"/>
        <v>LA</v>
      </c>
    </row>
    <row r="4075" spans="1:6" x14ac:dyDescent="0.25">
      <c r="A4075" t="str">
        <f>"200013998"</f>
        <v>200013998</v>
      </c>
      <c r="B4075" t="str">
        <f>"1023692696"</f>
        <v>1023692696</v>
      </c>
      <c r="C4075" t="str">
        <f>"207R00000X"</f>
        <v>207R00000X</v>
      </c>
      <c r="D4075" t="str">
        <f>"GABRIEL                  MARY                     "</f>
        <v xml:space="preserve">GABRIEL                  MARY                     </v>
      </c>
      <c r="E4075" t="str">
        <f>"NEW ORLEANS               "</f>
        <v xml:space="preserve">NEW ORLEANS               </v>
      </c>
      <c r="F4075" t="str">
        <f t="shared" si="167"/>
        <v>LA</v>
      </c>
    </row>
    <row r="4076" spans="1:6" x14ac:dyDescent="0.25">
      <c r="A4076" t="str">
        <f>"200014002"</f>
        <v>200014002</v>
      </c>
      <c r="B4076" t="str">
        <f>"1295106169"</f>
        <v>1295106169</v>
      </c>
      <c r="C4076" t="str">
        <f>"208M00000X"</f>
        <v>208M00000X</v>
      </c>
      <c r="D4076" t="str">
        <f>"GHIMIRE                  DIPESH                   "</f>
        <v xml:space="preserve">GHIMIRE                  DIPESH                   </v>
      </c>
      <c r="E4076" t="str">
        <f>"SLIDELL                   "</f>
        <v xml:space="preserve">SLIDELL                   </v>
      </c>
      <c r="F4076" t="str">
        <f t="shared" si="167"/>
        <v>LA</v>
      </c>
    </row>
    <row r="4077" spans="1:6" x14ac:dyDescent="0.25">
      <c r="A4077" t="str">
        <f>"200014005"</f>
        <v>200014005</v>
      </c>
      <c r="B4077" t="str">
        <f>"1609162304"</f>
        <v>1609162304</v>
      </c>
      <c r="C4077" t="str">
        <f>"207P00000X"</f>
        <v>207P00000X</v>
      </c>
      <c r="D4077" t="str">
        <f>"REBOUL                   JEFFERY                  "</f>
        <v xml:space="preserve">REBOUL                   JEFFERY                  </v>
      </c>
      <c r="E4077" t="str">
        <f>"SLIDELL                   "</f>
        <v xml:space="preserve">SLIDELL                   </v>
      </c>
      <c r="F4077" t="str">
        <f t="shared" si="167"/>
        <v>LA</v>
      </c>
    </row>
    <row r="4078" spans="1:6" x14ac:dyDescent="0.25">
      <c r="A4078" t="str">
        <f>"200014096"</f>
        <v>200014096</v>
      </c>
      <c r="B4078" t="str">
        <f>"1649596107"</f>
        <v>1649596107</v>
      </c>
      <c r="C4078" t="str">
        <f>"2085R0001X"</f>
        <v>2085R0001X</v>
      </c>
      <c r="D4078" t="str">
        <f>"ELSON                    ANDREW                   "</f>
        <v xml:space="preserve">ELSON                    ANDREW                   </v>
      </c>
      <c r="E4078" t="str">
        <f>"COVINGTON                 "</f>
        <v xml:space="preserve">COVINGTON                 </v>
      </c>
      <c r="F4078" t="str">
        <f t="shared" si="167"/>
        <v>LA</v>
      </c>
    </row>
    <row r="4079" spans="1:6" x14ac:dyDescent="0.25">
      <c r="A4079" t="str">
        <f>"200014114"</f>
        <v>200014114</v>
      </c>
      <c r="B4079" t="str">
        <f>"1013937085"</f>
        <v>1013937085</v>
      </c>
      <c r="C4079" t="str">
        <f>"207P00000X"</f>
        <v>207P00000X</v>
      </c>
      <c r="D4079" t="str">
        <f>"GUERINGER JR             LLOYD                    "</f>
        <v xml:space="preserve">GUERINGER JR             LLOYD                    </v>
      </c>
      <c r="E4079" t="str">
        <f>"SLIDELL                   "</f>
        <v xml:space="preserve">SLIDELL                   </v>
      </c>
      <c r="F4079" t="str">
        <f t="shared" si="167"/>
        <v>LA</v>
      </c>
    </row>
    <row r="4080" spans="1:6" x14ac:dyDescent="0.25">
      <c r="A4080" t="str">
        <f>"200014148"</f>
        <v>200014148</v>
      </c>
      <c r="B4080" t="str">
        <f>"1700200953"</f>
        <v>1700200953</v>
      </c>
      <c r="C4080" t="str">
        <f>"207R00000X"</f>
        <v>207R00000X</v>
      </c>
      <c r="D4080" t="str">
        <f>"SAVARESE                 JOSEPH                   "</f>
        <v xml:space="preserve">SAVARESE                 JOSEPH                   </v>
      </c>
      <c r="E4080" t="str">
        <f>"COVINGTON                 "</f>
        <v xml:space="preserve">COVINGTON                 </v>
      </c>
      <c r="F4080" t="str">
        <f t="shared" si="167"/>
        <v>LA</v>
      </c>
    </row>
    <row r="4081" spans="1:6" x14ac:dyDescent="0.25">
      <c r="A4081" t="str">
        <f>"200014166"</f>
        <v>200014166</v>
      </c>
      <c r="B4081" t="str">
        <f>"1134757917"</f>
        <v>1134757917</v>
      </c>
      <c r="C4081" t="str">
        <f>"207P00000X"</f>
        <v>207P00000X</v>
      </c>
      <c r="D4081" t="str">
        <f>"RAMIREZ                  PAUL                     "</f>
        <v xml:space="preserve">RAMIREZ                  PAUL                     </v>
      </c>
      <c r="E4081" t="str">
        <f>"SLIDELL                   "</f>
        <v xml:space="preserve">SLIDELL                   </v>
      </c>
      <c r="F4081" t="str">
        <f t="shared" si="167"/>
        <v>LA</v>
      </c>
    </row>
    <row r="4082" spans="1:6" x14ac:dyDescent="0.25">
      <c r="A4082" t="str">
        <f>"200014202"</f>
        <v>200014202</v>
      </c>
      <c r="B4082" t="str">
        <f>"1790130045"</f>
        <v>1790130045</v>
      </c>
      <c r="C4082" t="str">
        <f>"207VM0101X"</f>
        <v>207VM0101X</v>
      </c>
      <c r="D4082" t="str">
        <f>"NEUHOFF                  BARBARA                  "</f>
        <v xml:space="preserve">NEUHOFF                  BARBARA                  </v>
      </c>
      <c r="E4082" t="str">
        <f>"NEW ORLEANS               "</f>
        <v xml:space="preserve">NEW ORLEANS               </v>
      </c>
      <c r="F4082" t="str">
        <f t="shared" si="167"/>
        <v>LA</v>
      </c>
    </row>
    <row r="4083" spans="1:6" x14ac:dyDescent="0.25">
      <c r="A4083" t="str">
        <f>"200014207"</f>
        <v>200014207</v>
      </c>
      <c r="B4083" t="str">
        <f>"1922493030"</f>
        <v>1922493030</v>
      </c>
      <c r="C4083" t="str">
        <f>"207R00000X"</f>
        <v>207R00000X</v>
      </c>
      <c r="D4083" t="str">
        <f>"SHUJA                    IMRAN                    "</f>
        <v xml:space="preserve">SHUJA                    IMRAN                    </v>
      </c>
      <c r="E4083" t="str">
        <f>"HAMMOND                   "</f>
        <v xml:space="preserve">HAMMOND                   </v>
      </c>
      <c r="F4083" t="str">
        <f t="shared" si="167"/>
        <v>LA</v>
      </c>
    </row>
    <row r="4084" spans="1:6" x14ac:dyDescent="0.25">
      <c r="A4084" t="str">
        <f>"200014280"</f>
        <v>200014280</v>
      </c>
      <c r="B4084" t="str">
        <f>"1821587460"</f>
        <v>1821587460</v>
      </c>
      <c r="C4084" t="str">
        <f>"207YP0228X"</f>
        <v>207YP0228X</v>
      </c>
      <c r="D4084" t="str">
        <f>"FLOWERS                  THOMAS       C           "</f>
        <v xml:space="preserve">FLOWERS                  THOMAS       C           </v>
      </c>
      <c r="E4084" t="str">
        <f>"NEW ORLEANS               "</f>
        <v xml:space="preserve">NEW ORLEANS               </v>
      </c>
      <c r="F4084" t="str">
        <f t="shared" si="167"/>
        <v>LA</v>
      </c>
    </row>
    <row r="4085" spans="1:6" x14ac:dyDescent="0.25">
      <c r="A4085" t="str">
        <f>"200014292"</f>
        <v>200014292</v>
      </c>
      <c r="B4085" t="str">
        <f>"1881057636"</f>
        <v>1881057636</v>
      </c>
      <c r="C4085" t="str">
        <f>"207T00000X"</f>
        <v>207T00000X</v>
      </c>
      <c r="D4085" t="str">
        <f>"HUNDLEY                  KELSEY                   "</f>
        <v xml:space="preserve">HUNDLEY                  KELSEY                   </v>
      </c>
      <c r="E4085" t="str">
        <f>"NEW ORLEANS               "</f>
        <v xml:space="preserve">NEW ORLEANS               </v>
      </c>
      <c r="F4085" t="str">
        <f t="shared" si="167"/>
        <v>LA</v>
      </c>
    </row>
    <row r="4086" spans="1:6" x14ac:dyDescent="0.25">
      <c r="A4086" t="str">
        <f>"200014307"</f>
        <v>200014307</v>
      </c>
      <c r="B4086" t="str">
        <f>"1184035362"</f>
        <v>1184035362</v>
      </c>
      <c r="C4086" t="str">
        <f>"2080P0210X"</f>
        <v>2080P0210X</v>
      </c>
      <c r="D4086" t="str">
        <f>"RAWSON                   ASHLEY                   "</f>
        <v xml:space="preserve">RAWSON                   ASHLEY                   </v>
      </c>
      <c r="E4086" t="str">
        <f>"NEW ORLEANS               "</f>
        <v xml:space="preserve">NEW ORLEANS               </v>
      </c>
      <c r="F4086" t="str">
        <f t="shared" si="167"/>
        <v>LA</v>
      </c>
    </row>
    <row r="4087" spans="1:6" x14ac:dyDescent="0.25">
      <c r="A4087" t="str">
        <f>"200014517"</f>
        <v>200014517</v>
      </c>
      <c r="B4087" t="str">
        <f>"1184042947"</f>
        <v>1184042947</v>
      </c>
      <c r="C4087" t="str">
        <f>"208600000X"</f>
        <v>208600000X</v>
      </c>
      <c r="D4087" t="str">
        <f>"BARR                     JUSTIN       N           "</f>
        <v xml:space="preserve">BARR                     JUSTIN       N           </v>
      </c>
      <c r="E4087" t="str">
        <f>"NEW ORLEANS               "</f>
        <v xml:space="preserve">NEW ORLEANS               </v>
      </c>
      <c r="F4087" t="str">
        <f t="shared" si="167"/>
        <v>LA</v>
      </c>
    </row>
    <row r="4088" spans="1:6" x14ac:dyDescent="0.25">
      <c r="A4088" t="str">
        <f>"200014522"</f>
        <v>200014522</v>
      </c>
      <c r="B4088" t="str">
        <f>"1003312414"</f>
        <v>1003312414</v>
      </c>
      <c r="C4088" t="str">
        <f>"208000000X"</f>
        <v>208000000X</v>
      </c>
      <c r="D4088" t="str">
        <f>"VERNOR                   JAMIE        N           "</f>
        <v xml:space="preserve">VERNOR                   JAMIE        N           </v>
      </c>
      <c r="E4088" t="str">
        <f>"NEW ORLEANS               "</f>
        <v xml:space="preserve">NEW ORLEANS               </v>
      </c>
      <c r="F4088" t="str">
        <f t="shared" si="167"/>
        <v>LA</v>
      </c>
    </row>
    <row r="4089" spans="1:6" x14ac:dyDescent="0.25">
      <c r="A4089" t="str">
        <f>"200014561"</f>
        <v>200014561</v>
      </c>
      <c r="B4089" t="str">
        <f>"1801987664"</f>
        <v>1801987664</v>
      </c>
      <c r="C4089" t="str">
        <f>"207SG0201X"</f>
        <v>207SG0201X</v>
      </c>
      <c r="D4089" t="str">
        <f>"ANDERSSON                HANS                     "</f>
        <v xml:space="preserve">ANDERSSON                HANS                     </v>
      </c>
      <c r="E4089" t="str">
        <f>"METAIRIE                  "</f>
        <v xml:space="preserve">METAIRIE                  </v>
      </c>
      <c r="F4089" t="str">
        <f t="shared" si="167"/>
        <v>LA</v>
      </c>
    </row>
    <row r="4090" spans="1:6" x14ac:dyDescent="0.25">
      <c r="A4090" t="str">
        <f>"200014589"</f>
        <v>200014589</v>
      </c>
      <c r="B4090" t="str">
        <f>"1922065267"</f>
        <v>1922065267</v>
      </c>
      <c r="C4090" t="str">
        <f>"2080P0203X"</f>
        <v>2080P0203X</v>
      </c>
      <c r="D4090" t="str">
        <f>"DEMARE                   JEFFREY      S           "</f>
        <v xml:space="preserve">DEMARE                   JEFFREY      S           </v>
      </c>
      <c r="E4090" t="str">
        <f>"NEW ORLEANS               "</f>
        <v xml:space="preserve">NEW ORLEANS               </v>
      </c>
      <c r="F4090" t="str">
        <f t="shared" si="167"/>
        <v>LA</v>
      </c>
    </row>
    <row r="4091" spans="1:6" x14ac:dyDescent="0.25">
      <c r="A4091" t="str">
        <f>"200014594"</f>
        <v>200014594</v>
      </c>
      <c r="B4091" t="str">
        <f>"1356611339"</f>
        <v>1356611339</v>
      </c>
      <c r="C4091" t="str">
        <f>"363LA2100X"</f>
        <v>363LA2100X</v>
      </c>
      <c r="D4091" t="str">
        <f>"FREDERICK                JEANNINE                 "</f>
        <v xml:space="preserve">FREDERICK                JEANNINE                 </v>
      </c>
      <c r="E4091" t="str">
        <f>"KENNER                    "</f>
        <v xml:space="preserve">KENNER                    </v>
      </c>
      <c r="F4091" t="str">
        <f t="shared" si="167"/>
        <v>LA</v>
      </c>
    </row>
    <row r="4092" spans="1:6" x14ac:dyDescent="0.25">
      <c r="A4092" t="str">
        <f>"200014597"</f>
        <v>200014597</v>
      </c>
      <c r="B4092" t="str">
        <f>"1326401324"</f>
        <v>1326401324</v>
      </c>
      <c r="C4092" t="str">
        <f>"208000000X"</f>
        <v>208000000X</v>
      </c>
      <c r="D4092" t="str">
        <f>"MEJIA                    ERNESTO                  "</f>
        <v xml:space="preserve">MEJIA                    ERNESTO                  </v>
      </c>
      <c r="E4092" t="str">
        <f>"NEW ORLEANS               "</f>
        <v xml:space="preserve">NEW ORLEANS               </v>
      </c>
      <c r="F4092" t="str">
        <f t="shared" si="167"/>
        <v>LA</v>
      </c>
    </row>
    <row r="4093" spans="1:6" x14ac:dyDescent="0.25">
      <c r="A4093" t="str">
        <f>"200014624"</f>
        <v>200014624</v>
      </c>
      <c r="B4093" t="str">
        <f>"1265921704"</f>
        <v>1265921704</v>
      </c>
      <c r="C4093" t="str">
        <f>"207YX0905X"</f>
        <v>207YX0905X</v>
      </c>
      <c r="D4093" t="str">
        <f>"MIGNERON                 MATTHEW      R           "</f>
        <v xml:space="preserve">MIGNERON                 MATTHEW      R           </v>
      </c>
      <c r="E4093" t="str">
        <f>"NEW ORLEANS               "</f>
        <v xml:space="preserve">NEW ORLEANS               </v>
      </c>
      <c r="F4093" t="str">
        <f t="shared" si="167"/>
        <v>LA</v>
      </c>
    </row>
    <row r="4094" spans="1:6" x14ac:dyDescent="0.25">
      <c r="A4094" t="str">
        <f>"200014644"</f>
        <v>200014644</v>
      </c>
      <c r="B4094" t="str">
        <f>"1295447365"</f>
        <v>1295447365</v>
      </c>
      <c r="C4094" t="str">
        <f>"363A00000X"</f>
        <v>363A00000X</v>
      </c>
      <c r="D4094" t="str">
        <f>"PUJOL                    EMERITE                  "</f>
        <v xml:space="preserve">PUJOL                    EMERITE                  </v>
      </c>
      <c r="E4094" t="str">
        <f>"LA PLACE                  "</f>
        <v xml:space="preserve">LA PLACE                  </v>
      </c>
      <c r="F4094" t="str">
        <f t="shared" si="167"/>
        <v>LA</v>
      </c>
    </row>
    <row r="4095" spans="1:6" x14ac:dyDescent="0.25">
      <c r="A4095" t="str">
        <f>"200014719"</f>
        <v>200014719</v>
      </c>
      <c r="B4095" t="str">
        <f>"1609841428"</f>
        <v>1609841428</v>
      </c>
      <c r="C4095" t="str">
        <f>"207RN0300X"</f>
        <v>207RN0300X</v>
      </c>
      <c r="D4095" t="str">
        <f>"NAPIER                   MALCOLM                  "</f>
        <v xml:space="preserve">NAPIER                   MALCOLM                  </v>
      </c>
      <c r="E4095" t="str">
        <f>"NEW ORLEANS               "</f>
        <v xml:space="preserve">NEW ORLEANS               </v>
      </c>
      <c r="F4095" t="str">
        <f t="shared" si="167"/>
        <v>LA</v>
      </c>
    </row>
    <row r="4096" spans="1:6" x14ac:dyDescent="0.25">
      <c r="A4096" t="str">
        <f>"200014736"</f>
        <v>200014736</v>
      </c>
      <c r="B4096" t="str">
        <f>"1528452026"</f>
        <v>1528452026</v>
      </c>
      <c r="C4096" t="str">
        <f>"207Q00000X"</f>
        <v>207Q00000X</v>
      </c>
      <c r="D4096" t="str">
        <f>"CALLIHAN                 BRIAN                    "</f>
        <v xml:space="preserve">CALLIHAN                 BRIAN                    </v>
      </c>
      <c r="E4096" t="str">
        <f>"HAMMOND                   "</f>
        <v xml:space="preserve">HAMMOND                   </v>
      </c>
      <c r="F4096" t="str">
        <f t="shared" si="167"/>
        <v>LA</v>
      </c>
    </row>
    <row r="4097" spans="1:6" x14ac:dyDescent="0.25">
      <c r="A4097" t="str">
        <f>"200014756"</f>
        <v>200014756</v>
      </c>
      <c r="B4097" t="str">
        <f>"1629693502"</f>
        <v>1629693502</v>
      </c>
      <c r="C4097" t="str">
        <f>"363A00000X"</f>
        <v>363A00000X</v>
      </c>
      <c r="D4097" t="str">
        <f>"MURRAY                   LAURA                    "</f>
        <v xml:space="preserve">MURRAY                   LAURA                    </v>
      </c>
      <c r="E4097" t="str">
        <f>"KENNER                    "</f>
        <v xml:space="preserve">KENNER                    </v>
      </c>
      <c r="F4097" t="str">
        <f t="shared" si="167"/>
        <v>LA</v>
      </c>
    </row>
    <row r="4098" spans="1:6" x14ac:dyDescent="0.25">
      <c r="A4098" t="str">
        <f>"200014758"</f>
        <v>200014758</v>
      </c>
      <c r="B4098" t="str">
        <f>"1548821911"</f>
        <v>1548821911</v>
      </c>
      <c r="C4098" t="str">
        <f>"207R00000X"</f>
        <v>207R00000X</v>
      </c>
      <c r="D4098" t="str">
        <f>"SALLAM                   OMAR                     "</f>
        <v xml:space="preserve">SALLAM                   OMAR                     </v>
      </c>
      <c r="E4098" t="str">
        <f>"NEW ORLEANS               "</f>
        <v xml:space="preserve">NEW ORLEANS               </v>
      </c>
      <c r="F4098" t="str">
        <f t="shared" si="167"/>
        <v>LA</v>
      </c>
    </row>
    <row r="4099" spans="1:6" x14ac:dyDescent="0.25">
      <c r="A4099" t="str">
        <f>"200014771"</f>
        <v>200014771</v>
      </c>
      <c r="B4099" t="str">
        <f>"1992465579"</f>
        <v>1992465579</v>
      </c>
      <c r="C4099" t="str">
        <f>"363A00000X"</f>
        <v>363A00000X</v>
      </c>
      <c r="D4099" t="str">
        <f>"HOLDSWORTH               ALAYNA                   "</f>
        <v xml:space="preserve">HOLDSWORTH               ALAYNA                   </v>
      </c>
      <c r="E4099" t="str">
        <f>"SLIDELL                   "</f>
        <v xml:space="preserve">SLIDELL                   </v>
      </c>
      <c r="F4099" t="str">
        <f t="shared" si="167"/>
        <v>LA</v>
      </c>
    </row>
    <row r="4100" spans="1:6" x14ac:dyDescent="0.25">
      <c r="A4100" t="str">
        <f>"200014817"</f>
        <v>200014817</v>
      </c>
      <c r="B4100" t="str">
        <f>"1588843171"</f>
        <v>1588843171</v>
      </c>
      <c r="C4100" t="str">
        <f>"208600000X"</f>
        <v>208600000X</v>
      </c>
      <c r="D4100" t="str">
        <f>"LYONS                    JOHN                     "</f>
        <v xml:space="preserve">LYONS                    JOHN                     </v>
      </c>
      <c r="E4100" t="str">
        <f>"BATON ROUGE               "</f>
        <v xml:space="preserve">BATON ROUGE               </v>
      </c>
      <c r="F4100" t="str">
        <f t="shared" si="167"/>
        <v>LA</v>
      </c>
    </row>
    <row r="4101" spans="1:6" x14ac:dyDescent="0.25">
      <c r="A4101" t="str">
        <f>"200014850"</f>
        <v>200014850</v>
      </c>
      <c r="B4101" t="str">
        <f>"1972062784"</f>
        <v>1972062784</v>
      </c>
      <c r="C4101" t="str">
        <f>"207P00000X"</f>
        <v>207P00000X</v>
      </c>
      <c r="D4101" t="str">
        <f>"BARANOWSKI               MICHAEL                  "</f>
        <v xml:space="preserve">BARANOWSKI               MICHAEL                  </v>
      </c>
      <c r="E4101" t="str">
        <f>"NEW ORLEANS               "</f>
        <v xml:space="preserve">NEW ORLEANS               </v>
      </c>
      <c r="F4101" t="str">
        <f t="shared" si="167"/>
        <v>LA</v>
      </c>
    </row>
    <row r="4102" spans="1:6" x14ac:dyDescent="0.25">
      <c r="A4102" t="str">
        <f>"200014882"</f>
        <v>200014882</v>
      </c>
      <c r="B4102" t="str">
        <f>"1982044459"</f>
        <v>1982044459</v>
      </c>
      <c r="C4102" t="str">
        <f>"208000000X"</f>
        <v>208000000X</v>
      </c>
      <c r="D4102" t="str">
        <f>"GUPTA                    AYUSH                    "</f>
        <v xml:space="preserve">GUPTA                    AYUSH                    </v>
      </c>
      <c r="E4102" t="str">
        <f>"METAIRIE                  "</f>
        <v xml:space="preserve">METAIRIE                  </v>
      </c>
      <c r="F4102" t="str">
        <f t="shared" si="167"/>
        <v>LA</v>
      </c>
    </row>
    <row r="4103" spans="1:6" x14ac:dyDescent="0.25">
      <c r="A4103" t="str">
        <f>"200014898"</f>
        <v>200014898</v>
      </c>
      <c r="B4103" t="str">
        <f>"1427390863"</f>
        <v>1427390863</v>
      </c>
      <c r="C4103" t="str">
        <f>"208000000X"</f>
        <v>208000000X</v>
      </c>
      <c r="D4103" t="str">
        <f>"LEVKOWITZ                EILAN                    "</f>
        <v xml:space="preserve">LEVKOWITZ                EILAN                    </v>
      </c>
      <c r="E4103" t="str">
        <f>"NEW ORLEANS               "</f>
        <v xml:space="preserve">NEW ORLEANS               </v>
      </c>
      <c r="F4103" t="str">
        <f t="shared" si="167"/>
        <v>LA</v>
      </c>
    </row>
    <row r="4104" spans="1:6" x14ac:dyDescent="0.25">
      <c r="A4104" t="str">
        <f>"200014922"</f>
        <v>200014922</v>
      </c>
      <c r="B4104" t="str">
        <f>"1639756737"</f>
        <v>1639756737</v>
      </c>
      <c r="C4104" t="str">
        <f>"207R00000X"</f>
        <v>207R00000X</v>
      </c>
      <c r="D4104" t="str">
        <f>"CLARK                    KENDALL                  "</f>
        <v xml:space="preserve">CLARK                    KENDALL                  </v>
      </c>
      <c r="E4104" t="str">
        <f>"SLIDELL                   "</f>
        <v xml:space="preserve">SLIDELL                   </v>
      </c>
      <c r="F4104" t="str">
        <f t="shared" si="167"/>
        <v>LA</v>
      </c>
    </row>
    <row r="4105" spans="1:6" x14ac:dyDescent="0.25">
      <c r="A4105" t="str">
        <f>"200014950"</f>
        <v>200014950</v>
      </c>
      <c r="B4105" t="str">
        <f>"1932551892"</f>
        <v>1932551892</v>
      </c>
      <c r="C4105" t="str">
        <f>"207R00000X"</f>
        <v>207R00000X</v>
      </c>
      <c r="D4105" t="str">
        <f>"RAJAN                    VIJIL                    "</f>
        <v xml:space="preserve">RAJAN                    VIJIL                    </v>
      </c>
      <c r="E4105" t="str">
        <f>"SLIDELL                   "</f>
        <v xml:space="preserve">SLIDELL                   </v>
      </c>
      <c r="F4105" t="str">
        <f t="shared" si="167"/>
        <v>LA</v>
      </c>
    </row>
    <row r="4106" spans="1:6" x14ac:dyDescent="0.25">
      <c r="A4106" t="str">
        <f>"200014996"</f>
        <v>200014996</v>
      </c>
      <c r="B4106" t="str">
        <f>"1043604283"</f>
        <v>1043604283</v>
      </c>
      <c r="C4106" t="str">
        <f>"207VX0201X"</f>
        <v>207VX0201X</v>
      </c>
      <c r="D4106" t="str">
        <f>"AGYEMANG                 AMMA         F           "</f>
        <v xml:space="preserve">AGYEMANG                 AMMA         F           </v>
      </c>
      <c r="E4106" t="str">
        <f>"NEW ORLEANS               "</f>
        <v xml:space="preserve">NEW ORLEANS               </v>
      </c>
      <c r="F4106" t="str">
        <f t="shared" si="167"/>
        <v>LA</v>
      </c>
    </row>
    <row r="4107" spans="1:6" x14ac:dyDescent="0.25">
      <c r="A4107" t="str">
        <f>"200015029"</f>
        <v>200015029</v>
      </c>
      <c r="B4107" t="str">
        <f>"1568036911"</f>
        <v>1568036911</v>
      </c>
      <c r="C4107" t="str">
        <f>"207R00000X"</f>
        <v>207R00000X</v>
      </c>
      <c r="D4107" t="str">
        <f>"KLINGEMAN                ERIC                     "</f>
        <v xml:space="preserve">KLINGEMAN                ERIC                     </v>
      </c>
      <c r="E4107" t="str">
        <f>"NEW ORLEANS               "</f>
        <v xml:space="preserve">NEW ORLEANS               </v>
      </c>
      <c r="F4107" t="str">
        <f t="shared" si="167"/>
        <v>LA</v>
      </c>
    </row>
    <row r="4108" spans="1:6" x14ac:dyDescent="0.25">
      <c r="A4108" t="str">
        <f>"200015044"</f>
        <v>200015044</v>
      </c>
      <c r="B4108" t="str">
        <f>"1417480062"</f>
        <v>1417480062</v>
      </c>
      <c r="C4108" t="str">
        <f>"2080P0204X"</f>
        <v>2080P0204X</v>
      </c>
      <c r="D4108" t="str">
        <f>"KUNDURTI                 NEEHAR       R           "</f>
        <v xml:space="preserve">KUNDURTI                 NEEHAR       R           </v>
      </c>
      <c r="E4108" t="str">
        <f>"NEW ORLEANS               "</f>
        <v xml:space="preserve">NEW ORLEANS               </v>
      </c>
      <c r="F4108" t="str">
        <f t="shared" si="167"/>
        <v>LA</v>
      </c>
    </row>
    <row r="4109" spans="1:6" x14ac:dyDescent="0.25">
      <c r="A4109" t="str">
        <f>"200015049"</f>
        <v>200015049</v>
      </c>
      <c r="B4109" t="str">
        <f>"1548764327"</f>
        <v>1548764327</v>
      </c>
      <c r="C4109" t="str">
        <f>"208000000X"</f>
        <v>208000000X</v>
      </c>
      <c r="D4109" t="str">
        <f>"MANGUNO                  KELSEY       H           "</f>
        <v xml:space="preserve">MANGUNO                  KELSEY       H           </v>
      </c>
      <c r="E4109" t="str">
        <f>"COVINGTON                 "</f>
        <v xml:space="preserve">COVINGTON                 </v>
      </c>
      <c r="F4109" t="str">
        <f t="shared" si="167"/>
        <v>LA</v>
      </c>
    </row>
    <row r="4110" spans="1:6" x14ac:dyDescent="0.25">
      <c r="A4110" t="str">
        <f>"200015087"</f>
        <v>200015087</v>
      </c>
      <c r="B4110" t="str">
        <f>"1306004460"</f>
        <v>1306004460</v>
      </c>
      <c r="C4110" t="str">
        <f>"207YX0905X"</f>
        <v>207YX0905X</v>
      </c>
      <c r="D4110" t="str">
        <f>"ASLAM                    RIZWAN                   "</f>
        <v xml:space="preserve">ASLAM                    RIZWAN                   </v>
      </c>
      <c r="E4110" t="str">
        <f>"NEW ORLEANS               "</f>
        <v xml:space="preserve">NEW ORLEANS               </v>
      </c>
      <c r="F4110" t="str">
        <f t="shared" si="167"/>
        <v>LA</v>
      </c>
    </row>
    <row r="4111" spans="1:6" x14ac:dyDescent="0.25">
      <c r="A4111" t="str">
        <f>"200015113"</f>
        <v>200015113</v>
      </c>
      <c r="B4111" t="str">
        <f>"1063945756"</f>
        <v>1063945756</v>
      </c>
      <c r="C4111" t="str">
        <f>"2085R0202X"</f>
        <v>2085R0202X</v>
      </c>
      <c r="D4111" t="str">
        <f>"FORSTON                  BENJAMIN                 "</f>
        <v xml:space="preserve">FORSTON                  BENJAMIN                 </v>
      </c>
      <c r="E4111" t="str">
        <f>"NEW ORLEANS               "</f>
        <v xml:space="preserve">NEW ORLEANS               </v>
      </c>
      <c r="F4111" t="str">
        <f t="shared" si="167"/>
        <v>LA</v>
      </c>
    </row>
    <row r="4112" spans="1:6" x14ac:dyDescent="0.25">
      <c r="A4112" t="str">
        <f>"200015121"</f>
        <v>200015121</v>
      </c>
      <c r="B4112" t="str">
        <f>"1043375363"</f>
        <v>1043375363</v>
      </c>
      <c r="C4112" t="str">
        <f>"207RH0003X"</f>
        <v>207RH0003X</v>
      </c>
      <c r="D4112" t="str">
        <f>"CALABRESI                ALLEN                    "</f>
        <v xml:space="preserve">CALABRESI                ALLEN                    </v>
      </c>
      <c r="E4112" t="str">
        <f>"SLIDELL                   "</f>
        <v xml:space="preserve">SLIDELL                   </v>
      </c>
      <c r="F4112" t="str">
        <f t="shared" si="167"/>
        <v>LA</v>
      </c>
    </row>
    <row r="4113" spans="1:6" x14ac:dyDescent="0.25">
      <c r="A4113" t="str">
        <f>"200015142"</f>
        <v>200015142</v>
      </c>
      <c r="B4113" t="str">
        <f>"1982751848"</f>
        <v>1982751848</v>
      </c>
      <c r="C4113" t="str">
        <f>"2080P0203X"</f>
        <v>2080P0203X</v>
      </c>
      <c r="D4113" t="str">
        <f>"HENDERSON                CARRIE       M           "</f>
        <v xml:space="preserve">HENDERSON                CARRIE       M           </v>
      </c>
      <c r="E4113" t="str">
        <f>"NEW ORLEANS               "</f>
        <v xml:space="preserve">NEW ORLEANS               </v>
      </c>
      <c r="F4113" t="str">
        <f t="shared" si="167"/>
        <v>LA</v>
      </c>
    </row>
    <row r="4114" spans="1:6" x14ac:dyDescent="0.25">
      <c r="A4114" t="str">
        <f>"200015164"</f>
        <v>200015164</v>
      </c>
      <c r="B4114" t="str">
        <f>"1730156498"</f>
        <v>1730156498</v>
      </c>
      <c r="C4114" t="str">
        <f>"2085R0202X"</f>
        <v>2085R0202X</v>
      </c>
      <c r="D4114" t="str">
        <f>"OVELLA                   TY                       "</f>
        <v xml:space="preserve">OVELLA                   TY                       </v>
      </c>
      <c r="E4114" t="str">
        <f>"COVINGTON                 "</f>
        <v xml:space="preserve">COVINGTON                 </v>
      </c>
      <c r="F4114" t="str">
        <f t="shared" si="167"/>
        <v>LA</v>
      </c>
    </row>
    <row r="4115" spans="1:6" x14ac:dyDescent="0.25">
      <c r="A4115" t="str">
        <f>"200015167"</f>
        <v>200015167</v>
      </c>
      <c r="B4115" t="str">
        <f>"1477016970"</f>
        <v>1477016970</v>
      </c>
      <c r="C4115" t="str">
        <f>"2084P0804X"</f>
        <v>2084P0804X</v>
      </c>
      <c r="D4115" t="str">
        <f>"CROZAT                   NICOLE       M           "</f>
        <v xml:space="preserve">CROZAT                   NICOLE       M           </v>
      </c>
      <c r="E4115" t="str">
        <f>"NEW ORLEANS               "</f>
        <v xml:space="preserve">NEW ORLEANS               </v>
      </c>
      <c r="F4115" t="str">
        <f t="shared" si="167"/>
        <v>LA</v>
      </c>
    </row>
    <row r="4116" spans="1:6" x14ac:dyDescent="0.25">
      <c r="A4116" t="str">
        <f>"200015199"</f>
        <v>200015199</v>
      </c>
      <c r="B4116" t="str">
        <f>"1922568161"</f>
        <v>1922568161</v>
      </c>
      <c r="C4116" t="str">
        <f>"207P00000X"</f>
        <v>207P00000X</v>
      </c>
      <c r="D4116" t="str">
        <f>"HAYDEN                   CHRISTOPHER              "</f>
        <v xml:space="preserve">HAYDEN                   CHRISTOPHER              </v>
      </c>
      <c r="E4116" t="str">
        <f>"SLIDELL                   "</f>
        <v xml:space="preserve">SLIDELL                   </v>
      </c>
      <c r="F4116" t="str">
        <f t="shared" si="167"/>
        <v>LA</v>
      </c>
    </row>
    <row r="4117" spans="1:6" x14ac:dyDescent="0.25">
      <c r="A4117" t="str">
        <f>"200015217"</f>
        <v>200015217</v>
      </c>
      <c r="B4117" t="str">
        <f>"1083772883"</f>
        <v>1083772883</v>
      </c>
      <c r="C4117" t="str">
        <f>"207T00000X"</f>
        <v>207T00000X</v>
      </c>
      <c r="D4117" t="str">
        <f>"GEORGE                   BRYANT       G           "</f>
        <v xml:space="preserve">GEORGE                   BRYANT       G           </v>
      </c>
      <c r="E4117" t="str">
        <f>"METAIRIE                  "</f>
        <v xml:space="preserve">METAIRIE                  </v>
      </c>
      <c r="F4117" t="str">
        <f t="shared" si="167"/>
        <v>LA</v>
      </c>
    </row>
    <row r="4118" spans="1:6" x14ac:dyDescent="0.25">
      <c r="A4118" t="str">
        <f>"200015226"</f>
        <v>200015226</v>
      </c>
      <c r="B4118" t="str">
        <f>"1922567742"</f>
        <v>1922567742</v>
      </c>
      <c r="C4118" t="str">
        <f>"207R00000X"</f>
        <v>207R00000X</v>
      </c>
      <c r="D4118" t="str">
        <f>"AL-ABDULADHEEM           AYA                      "</f>
        <v xml:space="preserve">AL-ABDULADHEEM           AYA                      </v>
      </c>
      <c r="E4118" t="str">
        <f>"KENNER                    "</f>
        <v xml:space="preserve">KENNER                    </v>
      </c>
      <c r="F4118" t="str">
        <f t="shared" si="167"/>
        <v>LA</v>
      </c>
    </row>
    <row r="4119" spans="1:6" x14ac:dyDescent="0.25">
      <c r="A4119" t="str">
        <f>"200015272"</f>
        <v>200015272</v>
      </c>
      <c r="B4119" t="str">
        <f>"1578146965"</f>
        <v>1578146965</v>
      </c>
      <c r="C4119" t="str">
        <f>"207R00000X"</f>
        <v>207R00000X</v>
      </c>
      <c r="D4119" t="str">
        <f>"ROBERTS                  LUKE                     "</f>
        <v xml:space="preserve">ROBERTS                  LUKE                     </v>
      </c>
      <c r="E4119" t="str">
        <f>"NEW ORLEANS               "</f>
        <v xml:space="preserve">NEW ORLEANS               </v>
      </c>
      <c r="F4119" t="str">
        <f t="shared" si="167"/>
        <v>LA</v>
      </c>
    </row>
    <row r="4120" spans="1:6" x14ac:dyDescent="0.25">
      <c r="A4120" t="str">
        <f>"200015277"</f>
        <v>200015277</v>
      </c>
      <c r="B4120" t="str">
        <f>"1477126167"</f>
        <v>1477126167</v>
      </c>
      <c r="C4120" t="str">
        <f>"363A00000X"</f>
        <v>363A00000X</v>
      </c>
      <c r="D4120" t="str">
        <f>"LUNDSGAARD               LYNNE                    "</f>
        <v xml:space="preserve">LUNDSGAARD               LYNNE                    </v>
      </c>
      <c r="E4120" t="str">
        <f>"SLIDELL                   "</f>
        <v xml:space="preserve">SLIDELL                   </v>
      </c>
      <c r="F4120" t="str">
        <f t="shared" si="167"/>
        <v>LA</v>
      </c>
    </row>
    <row r="4121" spans="1:6" x14ac:dyDescent="0.25">
      <c r="A4121" t="str">
        <f>"200015280"</f>
        <v>200015280</v>
      </c>
      <c r="B4121" t="str">
        <f>"1083875421"</f>
        <v>1083875421</v>
      </c>
      <c r="C4121" t="str">
        <f>"208000000X"</f>
        <v>208000000X</v>
      </c>
      <c r="D4121" t="str">
        <f>"CONARD                   CRAIG                    "</f>
        <v xml:space="preserve">CONARD                   CRAIG                    </v>
      </c>
      <c r="E4121" t="str">
        <f>"NEW ORLEANS               "</f>
        <v xml:space="preserve">NEW ORLEANS               </v>
      </c>
      <c r="F4121" t="str">
        <f t="shared" si="167"/>
        <v>LA</v>
      </c>
    </row>
    <row r="4122" spans="1:6" x14ac:dyDescent="0.25">
      <c r="A4122" t="str">
        <f>"200015294"</f>
        <v>200015294</v>
      </c>
      <c r="B4122" t="str">
        <f>"1184829525"</f>
        <v>1184829525</v>
      </c>
      <c r="C4122" t="str">
        <f>"207Q00000X"</f>
        <v>207Q00000X</v>
      </c>
      <c r="D4122" t="str">
        <f>"HENRY                    MIYOSHI                  "</f>
        <v xml:space="preserve">HENRY                    MIYOSHI                  </v>
      </c>
      <c r="E4122" t="str">
        <f>"SLIDELL                   "</f>
        <v xml:space="preserve">SLIDELL                   </v>
      </c>
      <c r="F4122" t="str">
        <f t="shared" si="167"/>
        <v>LA</v>
      </c>
    </row>
    <row r="4123" spans="1:6" x14ac:dyDescent="0.25">
      <c r="A4123" t="str">
        <f>"200015295"</f>
        <v>200015295</v>
      </c>
      <c r="B4123" t="str">
        <f>"1326401324"</f>
        <v>1326401324</v>
      </c>
      <c r="C4123" t="str">
        <f>"2080P0202X"</f>
        <v>2080P0202X</v>
      </c>
      <c r="D4123" t="str">
        <f>"MEJIA                    ERNESTO                  "</f>
        <v xml:space="preserve">MEJIA                    ERNESTO                  </v>
      </c>
      <c r="E4123" t="str">
        <f>"NEW ORLEANS               "</f>
        <v xml:space="preserve">NEW ORLEANS               </v>
      </c>
      <c r="F4123" t="str">
        <f t="shared" ref="F4123:F4186" si="168">"LA"</f>
        <v>LA</v>
      </c>
    </row>
    <row r="4124" spans="1:6" x14ac:dyDescent="0.25">
      <c r="A4124" t="str">
        <f>"200015328"</f>
        <v>200015328</v>
      </c>
      <c r="B4124" t="str">
        <f>"1366021909"</f>
        <v>1366021909</v>
      </c>
      <c r="C4124" t="str">
        <f>"208M00000X"</f>
        <v>208M00000X</v>
      </c>
      <c r="D4124" t="str">
        <f>"BOND                     SARAH        E           "</f>
        <v xml:space="preserve">BOND                     SARAH        E           </v>
      </c>
      <c r="E4124" t="str">
        <f>"NEW ORLEANS               "</f>
        <v xml:space="preserve">NEW ORLEANS               </v>
      </c>
      <c r="F4124" t="str">
        <f t="shared" si="168"/>
        <v>LA</v>
      </c>
    </row>
    <row r="4125" spans="1:6" x14ac:dyDescent="0.25">
      <c r="A4125" t="str">
        <f>"200015351"</f>
        <v>200015351</v>
      </c>
      <c r="B4125" t="str">
        <f>"1790122141"</f>
        <v>1790122141</v>
      </c>
      <c r="C4125" t="str">
        <f>"207T00000X"</f>
        <v>207T00000X</v>
      </c>
      <c r="D4125" t="str">
        <f>"JOHNSON                  KENDRICK     D           "</f>
        <v xml:space="preserve">JOHNSON                  KENDRICK     D           </v>
      </c>
      <c r="E4125" t="str">
        <f>"NEW ORLEANS               "</f>
        <v xml:space="preserve">NEW ORLEANS               </v>
      </c>
      <c r="F4125" t="str">
        <f t="shared" si="168"/>
        <v>LA</v>
      </c>
    </row>
    <row r="4126" spans="1:6" x14ac:dyDescent="0.25">
      <c r="A4126" t="str">
        <f>"200015357"</f>
        <v>200015357</v>
      </c>
      <c r="B4126" t="str">
        <f>"1215496484"</f>
        <v>1215496484</v>
      </c>
      <c r="C4126" t="str">
        <f>"208100000X"</f>
        <v>208100000X</v>
      </c>
      <c r="D4126" t="str">
        <f>"FITZSIMMONS              PATRICK                  "</f>
        <v xml:space="preserve">FITZSIMMONS              PATRICK                  </v>
      </c>
      <c r="E4126" t="str">
        <f>"SLIDELL                   "</f>
        <v xml:space="preserve">SLIDELL                   </v>
      </c>
      <c r="F4126" t="str">
        <f t="shared" si="168"/>
        <v>LA</v>
      </c>
    </row>
    <row r="4127" spans="1:6" x14ac:dyDescent="0.25">
      <c r="A4127" t="str">
        <f>"200015360"</f>
        <v>200015360</v>
      </c>
      <c r="B4127" t="str">
        <f>"1124801345"</f>
        <v>1124801345</v>
      </c>
      <c r="C4127" t="str">
        <f>"363A00000X"</f>
        <v>363A00000X</v>
      </c>
      <c r="D4127" t="str">
        <f>"DOMANGUE                 WHITNEY                  "</f>
        <v xml:space="preserve">DOMANGUE                 WHITNEY                  </v>
      </c>
      <c r="E4127" t="str">
        <f>"SLIDELL                   "</f>
        <v xml:space="preserve">SLIDELL                   </v>
      </c>
      <c r="F4127" t="str">
        <f t="shared" si="168"/>
        <v>LA</v>
      </c>
    </row>
    <row r="4128" spans="1:6" x14ac:dyDescent="0.25">
      <c r="A4128" t="str">
        <f>"200015415"</f>
        <v>200015415</v>
      </c>
      <c r="B4128" t="str">
        <f>"1609982479"</f>
        <v>1609982479</v>
      </c>
      <c r="C4128" t="str">
        <f>"207PE0004X"</f>
        <v>207PE0004X</v>
      </c>
      <c r="D4128" t="str">
        <f>"RAGAS                    ANGIE                    "</f>
        <v xml:space="preserve">RAGAS                    ANGIE                    </v>
      </c>
      <c r="E4128" t="str">
        <f>"SLIDELL                   "</f>
        <v xml:space="preserve">SLIDELL                   </v>
      </c>
      <c r="F4128" t="str">
        <f t="shared" si="168"/>
        <v>LA</v>
      </c>
    </row>
    <row r="4129" spans="1:6" x14ac:dyDescent="0.25">
      <c r="A4129" t="str">
        <f>"200015440"</f>
        <v>200015440</v>
      </c>
      <c r="B4129" t="str">
        <f>"1376962324"</f>
        <v>1376962324</v>
      </c>
      <c r="C4129" t="str">
        <f>"2084N0400X"</f>
        <v>2084N0400X</v>
      </c>
      <c r="D4129" t="str">
        <f>"TUTTRUP                  GABRIELA                 "</f>
        <v xml:space="preserve">TUTTRUP                  GABRIELA                 </v>
      </c>
      <c r="E4129" t="str">
        <f>"NEW ORLEANS               "</f>
        <v xml:space="preserve">NEW ORLEANS               </v>
      </c>
      <c r="F4129" t="str">
        <f t="shared" si="168"/>
        <v>LA</v>
      </c>
    </row>
    <row r="4130" spans="1:6" x14ac:dyDescent="0.25">
      <c r="A4130" t="str">
        <f>"200015447"</f>
        <v>200015447</v>
      </c>
      <c r="B4130" t="str">
        <f>"1194584557"</f>
        <v>1194584557</v>
      </c>
      <c r="C4130" t="str">
        <f>"363LF0000X"</f>
        <v>363LF0000X</v>
      </c>
      <c r="D4130" t="str">
        <f>"MAEHLER                  JEWEL                    "</f>
        <v xml:space="preserve">MAEHLER                  JEWEL                    </v>
      </c>
      <c r="E4130" t="str">
        <f>"SLIDELL                   "</f>
        <v xml:space="preserve">SLIDELL                   </v>
      </c>
      <c r="F4130" t="str">
        <f t="shared" si="168"/>
        <v>LA</v>
      </c>
    </row>
    <row r="4131" spans="1:6" x14ac:dyDescent="0.25">
      <c r="A4131" t="str">
        <f>"200015462"</f>
        <v>200015462</v>
      </c>
      <c r="B4131" t="str">
        <f>"1225456486"</f>
        <v>1225456486</v>
      </c>
      <c r="C4131" t="str">
        <f>"207V00000X"</f>
        <v>207V00000X</v>
      </c>
      <c r="D4131" t="str">
        <f>"RAYAPATI                 PRATIBHA                 "</f>
        <v xml:space="preserve">RAYAPATI                 PRATIBHA                 </v>
      </c>
      <c r="E4131" t="str">
        <f>"NEW ORLEANS               "</f>
        <v xml:space="preserve">NEW ORLEANS               </v>
      </c>
      <c r="F4131" t="str">
        <f t="shared" si="168"/>
        <v>LA</v>
      </c>
    </row>
    <row r="4132" spans="1:6" x14ac:dyDescent="0.25">
      <c r="A4132" t="str">
        <f>"200015487"</f>
        <v>200015487</v>
      </c>
      <c r="B4132" t="str">
        <f>"1992925242"</f>
        <v>1992925242</v>
      </c>
      <c r="C4132" t="str">
        <f>"363LF0000X"</f>
        <v>363LF0000X</v>
      </c>
      <c r="D4132" t="str">
        <f>"MELERINE                 LINDA                    "</f>
        <v xml:space="preserve">MELERINE                 LINDA                    </v>
      </c>
      <c r="E4132" t="str">
        <f>"SLIDELL                   "</f>
        <v xml:space="preserve">SLIDELL                   </v>
      </c>
      <c r="F4132" t="str">
        <f t="shared" si="168"/>
        <v>LA</v>
      </c>
    </row>
    <row r="4133" spans="1:6" x14ac:dyDescent="0.25">
      <c r="A4133" t="str">
        <f>"200015620"</f>
        <v>200015620</v>
      </c>
      <c r="B4133" t="str">
        <f>"1568854115"</f>
        <v>1568854115</v>
      </c>
      <c r="C4133" t="str">
        <f>"363LF0000X"</f>
        <v>363LF0000X</v>
      </c>
      <c r="D4133" t="str">
        <f>"BEREL                    KIMBERLY                 "</f>
        <v xml:space="preserve">BEREL                    KIMBERLY                 </v>
      </c>
      <c r="E4133" t="str">
        <f>"SLIDELL                   "</f>
        <v xml:space="preserve">SLIDELL                   </v>
      </c>
      <c r="F4133" t="str">
        <f t="shared" si="168"/>
        <v>LA</v>
      </c>
    </row>
    <row r="4134" spans="1:6" x14ac:dyDescent="0.25">
      <c r="A4134" t="str">
        <f>"200015646"</f>
        <v>200015646</v>
      </c>
      <c r="B4134" t="str">
        <f>"1841958105"</f>
        <v>1841958105</v>
      </c>
      <c r="C4134" t="str">
        <f>"363LF0000X"</f>
        <v>363LF0000X</v>
      </c>
      <c r="D4134" t="str">
        <f>"ALEXIS                   TEICHA       A           "</f>
        <v xml:space="preserve">ALEXIS                   TEICHA       A           </v>
      </c>
      <c r="E4134" t="str">
        <f>"ZACHARY                   "</f>
        <v xml:space="preserve">ZACHARY                   </v>
      </c>
      <c r="F4134" t="str">
        <f t="shared" si="168"/>
        <v>LA</v>
      </c>
    </row>
    <row r="4135" spans="1:6" x14ac:dyDescent="0.25">
      <c r="A4135" t="str">
        <f>"200015647"</f>
        <v>200015647</v>
      </c>
      <c r="B4135" t="str">
        <f>"1003172248"</f>
        <v>1003172248</v>
      </c>
      <c r="C4135" t="str">
        <f>"2080P0202X"</f>
        <v>2080P0202X</v>
      </c>
      <c r="D4135" t="str">
        <f>"WEILAND                  MICHAEL                  "</f>
        <v xml:space="preserve">WEILAND                  MICHAEL                  </v>
      </c>
      <c r="E4135" t="str">
        <f>"NEW ORLEANS               "</f>
        <v xml:space="preserve">NEW ORLEANS               </v>
      </c>
      <c r="F4135" t="str">
        <f t="shared" si="168"/>
        <v>LA</v>
      </c>
    </row>
    <row r="4136" spans="1:6" x14ac:dyDescent="0.25">
      <c r="A4136" t="str">
        <f>"200015666"</f>
        <v>200015666</v>
      </c>
      <c r="B4136" t="str">
        <f>"1740956622"</f>
        <v>1740956622</v>
      </c>
      <c r="C4136" t="str">
        <f>"208M00000X"</f>
        <v>208M00000X</v>
      </c>
      <c r="D4136" t="str">
        <f>"KASIREDDY REDDY          THRISHALA                "</f>
        <v xml:space="preserve">KASIREDDY REDDY          THRISHALA                </v>
      </c>
      <c r="E4136" t="str">
        <f>"SLIDELL                   "</f>
        <v xml:space="preserve">SLIDELL                   </v>
      </c>
      <c r="F4136" t="str">
        <f t="shared" si="168"/>
        <v>LA</v>
      </c>
    </row>
    <row r="4137" spans="1:6" x14ac:dyDescent="0.25">
      <c r="A4137" t="str">
        <f>"200015687"</f>
        <v>200015687</v>
      </c>
      <c r="B4137" t="str">
        <f>"1962906727"</f>
        <v>1962906727</v>
      </c>
      <c r="C4137" t="str">
        <f>"207R00000X"</f>
        <v>207R00000X</v>
      </c>
      <c r="D4137" t="str">
        <f>"MCKINNIE                 CHRISTOPHER              "</f>
        <v xml:space="preserve">MCKINNIE                 CHRISTOPHER              </v>
      </c>
      <c r="E4137" t="str">
        <f>"NEW ORLEANS               "</f>
        <v xml:space="preserve">NEW ORLEANS               </v>
      </c>
      <c r="F4137" t="str">
        <f t="shared" si="168"/>
        <v>LA</v>
      </c>
    </row>
    <row r="4138" spans="1:6" x14ac:dyDescent="0.25">
      <c r="A4138" t="str">
        <f>"200015702"</f>
        <v>200015702</v>
      </c>
      <c r="B4138" t="str">
        <f>"1902355498"</f>
        <v>1902355498</v>
      </c>
      <c r="C4138" t="str">
        <f>"363LA2100X"</f>
        <v>363LA2100X</v>
      </c>
      <c r="D4138" t="str">
        <f>"SWANSON                  MARY                     "</f>
        <v xml:space="preserve">SWANSON                  MARY                     </v>
      </c>
      <c r="E4138" t="str">
        <f>"NEW ORLEANS               "</f>
        <v xml:space="preserve">NEW ORLEANS               </v>
      </c>
      <c r="F4138" t="str">
        <f t="shared" si="168"/>
        <v>LA</v>
      </c>
    </row>
    <row r="4139" spans="1:6" x14ac:dyDescent="0.25">
      <c r="A4139" t="str">
        <f>"200015715"</f>
        <v>200015715</v>
      </c>
      <c r="B4139" t="str">
        <f>"1467914465"</f>
        <v>1467914465</v>
      </c>
      <c r="C4139" t="str">
        <f>"207R00000X"</f>
        <v>207R00000X</v>
      </c>
      <c r="D4139" t="str">
        <f>"FACIANE                  JUSTIN                   "</f>
        <v xml:space="preserve">FACIANE                  JUSTIN                   </v>
      </c>
      <c r="E4139" t="str">
        <f>"NEW ORLEANS               "</f>
        <v xml:space="preserve">NEW ORLEANS               </v>
      </c>
      <c r="F4139" t="str">
        <f t="shared" si="168"/>
        <v>LA</v>
      </c>
    </row>
    <row r="4140" spans="1:6" x14ac:dyDescent="0.25">
      <c r="A4140" t="str">
        <f>"200015739"</f>
        <v>200015739</v>
      </c>
      <c r="B4140" t="str">
        <f>"1063112282"</f>
        <v>1063112282</v>
      </c>
      <c r="C4140" t="str">
        <f>"2084N0402X"</f>
        <v>2084N0402X</v>
      </c>
      <c r="D4140" t="str">
        <f>"RAPITI                   PAMELA                   "</f>
        <v xml:space="preserve">RAPITI                   PAMELA                   </v>
      </c>
      <c r="E4140" t="str">
        <f>"NEW ORLEANS               "</f>
        <v xml:space="preserve">NEW ORLEANS               </v>
      </c>
      <c r="F4140" t="str">
        <f t="shared" si="168"/>
        <v>LA</v>
      </c>
    </row>
    <row r="4141" spans="1:6" x14ac:dyDescent="0.25">
      <c r="A4141" t="str">
        <f>"200015741"</f>
        <v>200015741</v>
      </c>
      <c r="B4141" t="str">
        <f>"1497599567"</f>
        <v>1497599567</v>
      </c>
      <c r="C4141" t="str">
        <f>"367500000X"</f>
        <v>367500000X</v>
      </c>
      <c r="D4141" t="str">
        <f>"MASCARO                  MALAYNE                  "</f>
        <v xml:space="preserve">MASCARO                  MALAYNE                  </v>
      </c>
      <c r="E4141" t="str">
        <f>"NEW ORLEANS               "</f>
        <v xml:space="preserve">NEW ORLEANS               </v>
      </c>
      <c r="F4141" t="str">
        <f t="shared" si="168"/>
        <v>LA</v>
      </c>
    </row>
    <row r="4142" spans="1:6" x14ac:dyDescent="0.25">
      <c r="A4142" t="str">
        <f>"200015759"</f>
        <v>200015759</v>
      </c>
      <c r="B4142" t="str">
        <f>"1013011303"</f>
        <v>1013011303</v>
      </c>
      <c r="C4142" t="str">
        <f>"207RC0000X"</f>
        <v>207RC0000X</v>
      </c>
      <c r="D4142" t="str">
        <f>"BAKER                    STEPHEN                  "</f>
        <v xml:space="preserve">BAKER                    STEPHEN                  </v>
      </c>
      <c r="E4142" t="str">
        <f>"SLIDELL                   "</f>
        <v xml:space="preserve">SLIDELL                   </v>
      </c>
      <c r="F4142" t="str">
        <f t="shared" si="168"/>
        <v>LA</v>
      </c>
    </row>
    <row r="4143" spans="1:6" x14ac:dyDescent="0.25">
      <c r="A4143" t="str">
        <f>"200015778"</f>
        <v>200015778</v>
      </c>
      <c r="B4143" t="str">
        <f>"1033105879"</f>
        <v>1033105879</v>
      </c>
      <c r="C4143" t="str">
        <f>"208M00000X"</f>
        <v>208M00000X</v>
      </c>
      <c r="D4143" t="str">
        <f>"HALL                     ALICE                    "</f>
        <v xml:space="preserve">HALL                     ALICE                    </v>
      </c>
      <c r="E4143" t="str">
        <f>"SLIDELL                   "</f>
        <v xml:space="preserve">SLIDELL                   </v>
      </c>
      <c r="F4143" t="str">
        <f t="shared" si="168"/>
        <v>LA</v>
      </c>
    </row>
    <row r="4144" spans="1:6" x14ac:dyDescent="0.25">
      <c r="A4144" t="str">
        <f>"200015812"</f>
        <v>200015812</v>
      </c>
      <c r="B4144" t="str">
        <f>"1932387487"</f>
        <v>1932387487</v>
      </c>
      <c r="C4144" t="str">
        <f>"208M00000X"</f>
        <v>208M00000X</v>
      </c>
      <c r="D4144" t="str">
        <f>"AKHONDZADEH              ABDOLAZIM                "</f>
        <v xml:space="preserve">AKHONDZADEH              ABDOLAZIM                </v>
      </c>
      <c r="E4144" t="str">
        <f>"KENNER                    "</f>
        <v xml:space="preserve">KENNER                    </v>
      </c>
      <c r="F4144" t="str">
        <f t="shared" si="168"/>
        <v>LA</v>
      </c>
    </row>
    <row r="4145" spans="1:6" x14ac:dyDescent="0.25">
      <c r="A4145" t="str">
        <f>"200015911"</f>
        <v>200015911</v>
      </c>
      <c r="B4145" t="str">
        <f>"1497219539"</f>
        <v>1497219539</v>
      </c>
      <c r="C4145" t="str">
        <f>"207Q00000X"</f>
        <v>207Q00000X</v>
      </c>
      <c r="D4145" t="str">
        <f>"WILLIAMS                 KELSEY                   "</f>
        <v xml:space="preserve">WILLIAMS                 KELSEY                   </v>
      </c>
      <c r="E4145" t="str">
        <f>"RACELAND                  "</f>
        <v xml:space="preserve">RACELAND                  </v>
      </c>
      <c r="F4145" t="str">
        <f t="shared" si="168"/>
        <v>LA</v>
      </c>
    </row>
    <row r="4146" spans="1:6" x14ac:dyDescent="0.25">
      <c r="A4146" t="str">
        <f>"200015921"</f>
        <v>200015921</v>
      </c>
      <c r="B4146" t="str">
        <f>"1952979296"</f>
        <v>1952979296</v>
      </c>
      <c r="C4146" t="str">
        <f>"207R00000X"</f>
        <v>207R00000X</v>
      </c>
      <c r="D4146" t="str">
        <f>"SHORT                    STEPHANIE                "</f>
        <v xml:space="preserve">SHORT                    STEPHANIE                </v>
      </c>
      <c r="E4146" t="str">
        <f>"SLIDELL                   "</f>
        <v xml:space="preserve">SLIDELL                   </v>
      </c>
      <c r="F4146" t="str">
        <f t="shared" si="168"/>
        <v>LA</v>
      </c>
    </row>
    <row r="4147" spans="1:6" x14ac:dyDescent="0.25">
      <c r="A4147" t="str">
        <f>"200015925"</f>
        <v>200015925</v>
      </c>
      <c r="B4147" t="str">
        <f>"1013400969"</f>
        <v>1013400969</v>
      </c>
      <c r="C4147" t="str">
        <f>"207Y00000X"</f>
        <v>207Y00000X</v>
      </c>
      <c r="D4147" t="str">
        <f>"PETRAUSKAS               LAURA        A           "</f>
        <v xml:space="preserve">PETRAUSKAS               LAURA        A           </v>
      </c>
      <c r="E4147" t="str">
        <f>"NEW ORLEANS               "</f>
        <v xml:space="preserve">NEW ORLEANS               </v>
      </c>
      <c r="F4147" t="str">
        <f t="shared" si="168"/>
        <v>LA</v>
      </c>
    </row>
    <row r="4148" spans="1:6" x14ac:dyDescent="0.25">
      <c r="A4148" t="str">
        <f>"200015980"</f>
        <v>200015980</v>
      </c>
      <c r="B4148" t="str">
        <f>"1285120808"</f>
        <v>1285120808</v>
      </c>
      <c r="C4148" t="str">
        <f>"363LF0000X"</f>
        <v>363LF0000X</v>
      </c>
      <c r="D4148" t="str">
        <f>"BROOM                    MOLLY                    "</f>
        <v xml:space="preserve">BROOM                    MOLLY                    </v>
      </c>
      <c r="E4148" t="str">
        <f>"SLIDELL                   "</f>
        <v xml:space="preserve">SLIDELL                   </v>
      </c>
      <c r="F4148" t="str">
        <f t="shared" si="168"/>
        <v>LA</v>
      </c>
    </row>
    <row r="4149" spans="1:6" x14ac:dyDescent="0.25">
      <c r="A4149" t="str">
        <f>"200016002"</f>
        <v>200016002</v>
      </c>
      <c r="B4149" t="str">
        <f>"1447548540"</f>
        <v>1447548540</v>
      </c>
      <c r="C4149" t="str">
        <f>"207R00000X"</f>
        <v>207R00000X</v>
      </c>
      <c r="D4149" t="str">
        <f>"SHUEIB                   ALI                      "</f>
        <v xml:space="preserve">SHUEIB                   ALI                      </v>
      </c>
      <c r="E4149" t="str">
        <f>"NEW ORLEANS               "</f>
        <v xml:space="preserve">NEW ORLEANS               </v>
      </c>
      <c r="F4149" t="str">
        <f t="shared" si="168"/>
        <v>LA</v>
      </c>
    </row>
    <row r="4150" spans="1:6" x14ac:dyDescent="0.25">
      <c r="A4150" t="str">
        <f>"200016022"</f>
        <v>200016022</v>
      </c>
      <c r="B4150" t="str">
        <f>"1861440380"</f>
        <v>1861440380</v>
      </c>
      <c r="C4150" t="str">
        <f>"2080P0210X"</f>
        <v>2080P0210X</v>
      </c>
      <c r="D4150" t="str">
        <f>"EL-DAHR                  SAMIR                    "</f>
        <v xml:space="preserve">EL-DAHR                  SAMIR                    </v>
      </c>
      <c r="E4150" t="str">
        <f>"NEW ORLEANS               "</f>
        <v xml:space="preserve">NEW ORLEANS               </v>
      </c>
      <c r="F4150" t="str">
        <f t="shared" si="168"/>
        <v>LA</v>
      </c>
    </row>
    <row r="4151" spans="1:6" x14ac:dyDescent="0.25">
      <c r="A4151" t="str">
        <f>"200016074"</f>
        <v>200016074</v>
      </c>
      <c r="B4151" t="str">
        <f>"1194306506"</f>
        <v>1194306506</v>
      </c>
      <c r="C4151" t="str">
        <f>"207R00000X"</f>
        <v>207R00000X</v>
      </c>
      <c r="D4151" t="str">
        <f>"GEORGE                   KOSHY                    "</f>
        <v xml:space="preserve">GEORGE                   KOSHY                    </v>
      </c>
      <c r="E4151" t="str">
        <f>"NEW ORLEANS               "</f>
        <v xml:space="preserve">NEW ORLEANS               </v>
      </c>
      <c r="F4151" t="str">
        <f t="shared" si="168"/>
        <v>LA</v>
      </c>
    </row>
    <row r="4152" spans="1:6" x14ac:dyDescent="0.25">
      <c r="A4152" t="str">
        <f>"200016095"</f>
        <v>200016095</v>
      </c>
      <c r="B4152" t="str">
        <f>"1326625641"</f>
        <v>1326625641</v>
      </c>
      <c r="C4152" t="str">
        <f>"207R00000X"</f>
        <v>207R00000X</v>
      </c>
      <c r="D4152" t="str">
        <f>"SALJOGHI-BADLO           ASHKAN                   "</f>
        <v xml:space="preserve">SALJOGHI-BADLO           ASHKAN                   </v>
      </c>
      <c r="E4152" t="str">
        <f>"COVINGTON                 "</f>
        <v xml:space="preserve">COVINGTON                 </v>
      </c>
      <c r="F4152" t="str">
        <f t="shared" si="168"/>
        <v>LA</v>
      </c>
    </row>
    <row r="4153" spans="1:6" x14ac:dyDescent="0.25">
      <c r="A4153" t="str">
        <f>"200016102"</f>
        <v>200016102</v>
      </c>
      <c r="B4153" t="str">
        <f>"1184452526"</f>
        <v>1184452526</v>
      </c>
      <c r="C4153" t="str">
        <f>"363L00000X"</f>
        <v>363L00000X</v>
      </c>
      <c r="D4153" t="str">
        <f>"BRIGNAC                  WILLIAM                  "</f>
        <v xml:space="preserve">BRIGNAC                  WILLIAM                  </v>
      </c>
      <c r="E4153" t="str">
        <f>"BOGALUSA                  "</f>
        <v xml:space="preserve">BOGALUSA                  </v>
      </c>
      <c r="F4153" t="str">
        <f t="shared" si="168"/>
        <v>LA</v>
      </c>
    </row>
    <row r="4154" spans="1:6" x14ac:dyDescent="0.25">
      <c r="A4154" t="str">
        <f>"200016105"</f>
        <v>200016105</v>
      </c>
      <c r="B4154" t="str">
        <f>"1609960541"</f>
        <v>1609960541</v>
      </c>
      <c r="C4154" t="str">
        <f>"207XS0117X"</f>
        <v>207XS0117X</v>
      </c>
      <c r="D4154" t="str">
        <f>"BUTLER                   JAMES                    "</f>
        <v xml:space="preserve">BUTLER                   JAMES                    </v>
      </c>
      <c r="E4154" t="str">
        <f>"SLIDELL                   "</f>
        <v xml:space="preserve">SLIDELL                   </v>
      </c>
      <c r="F4154" t="str">
        <f t="shared" si="168"/>
        <v>LA</v>
      </c>
    </row>
    <row r="4155" spans="1:6" x14ac:dyDescent="0.25">
      <c r="A4155" t="str">
        <f>"200016133"</f>
        <v>200016133</v>
      </c>
      <c r="B4155" t="str">
        <f>"1225611635"</f>
        <v>1225611635</v>
      </c>
      <c r="C4155" t="str">
        <f>"207R00000X"</f>
        <v>207R00000X</v>
      </c>
      <c r="D4155" t="str">
        <f>"TERUEL                   JEREMY                   "</f>
        <v xml:space="preserve">TERUEL                   JEREMY                   </v>
      </c>
      <c r="E4155" t="str">
        <f>"NEW ORLEANS               "</f>
        <v xml:space="preserve">NEW ORLEANS               </v>
      </c>
      <c r="F4155" t="str">
        <f t="shared" si="168"/>
        <v>LA</v>
      </c>
    </row>
    <row r="4156" spans="1:6" x14ac:dyDescent="0.25">
      <c r="A4156" t="str">
        <f>"200016216"</f>
        <v>200016216</v>
      </c>
      <c r="B4156" t="str">
        <f>"1750649489"</f>
        <v>1750649489</v>
      </c>
      <c r="C4156" t="str">
        <f>"207P00000X"</f>
        <v>207P00000X</v>
      </c>
      <c r="D4156" t="str">
        <f>"DIXIT                    GAUTAM                   "</f>
        <v xml:space="preserve">DIXIT                    GAUTAM                   </v>
      </c>
      <c r="E4156" t="str">
        <f>"KENNER                    "</f>
        <v xml:space="preserve">KENNER                    </v>
      </c>
      <c r="F4156" t="str">
        <f t="shared" si="168"/>
        <v>LA</v>
      </c>
    </row>
    <row r="4157" spans="1:6" x14ac:dyDescent="0.25">
      <c r="A4157" t="str">
        <f>"200016224"</f>
        <v>200016224</v>
      </c>
      <c r="B4157" t="str">
        <f>"1568729390"</f>
        <v>1568729390</v>
      </c>
      <c r="C4157" t="str">
        <f>"207P00000X"</f>
        <v>207P00000X</v>
      </c>
      <c r="D4157" t="str">
        <f>"CRUZ                     RICHARD                  "</f>
        <v xml:space="preserve">CRUZ                     RICHARD                  </v>
      </c>
      <c r="E4157" t="str">
        <f>"KENNER                    "</f>
        <v xml:space="preserve">KENNER                    </v>
      </c>
      <c r="F4157" t="str">
        <f t="shared" si="168"/>
        <v>LA</v>
      </c>
    </row>
    <row r="4158" spans="1:6" x14ac:dyDescent="0.25">
      <c r="A4158" t="str">
        <f>"200016253"</f>
        <v>200016253</v>
      </c>
      <c r="B4158" t="str">
        <f>"1518497460"</f>
        <v>1518497460</v>
      </c>
      <c r="C4158" t="str">
        <f>"207RN0300X"</f>
        <v>207RN0300X</v>
      </c>
      <c r="D4158" t="str">
        <f>"PITTAPPILLY              MATTHEW      B           "</f>
        <v xml:space="preserve">PITTAPPILLY              MATTHEW      B           </v>
      </c>
      <c r="E4158" t="str">
        <f>"NEW ORLEANS               "</f>
        <v xml:space="preserve">NEW ORLEANS               </v>
      </c>
      <c r="F4158" t="str">
        <f t="shared" si="168"/>
        <v>LA</v>
      </c>
    </row>
    <row r="4159" spans="1:6" x14ac:dyDescent="0.25">
      <c r="A4159" t="str">
        <f>"200016275"</f>
        <v>200016275</v>
      </c>
      <c r="B4159" t="str">
        <f>"1053790089"</f>
        <v>1053790089</v>
      </c>
      <c r="C4159" t="str">
        <f>"207P00000X"</f>
        <v>207P00000X</v>
      </c>
      <c r="D4159" t="str">
        <f>"LEWIS                    DAVID                    "</f>
        <v xml:space="preserve">LEWIS                    DAVID                    </v>
      </c>
      <c r="E4159" t="str">
        <f>"BATON ROUGE               "</f>
        <v xml:space="preserve">BATON ROUGE               </v>
      </c>
      <c r="F4159" t="str">
        <f t="shared" si="168"/>
        <v>LA</v>
      </c>
    </row>
    <row r="4160" spans="1:6" x14ac:dyDescent="0.25">
      <c r="A4160" t="str">
        <f>"200016307"</f>
        <v>200016307</v>
      </c>
      <c r="B4160" t="str">
        <f>"1619945185"</f>
        <v>1619945185</v>
      </c>
      <c r="C4160" t="str">
        <f>"207PP0204X"</f>
        <v>207PP0204X</v>
      </c>
      <c r="D4160" t="str">
        <f>"HASSAN                   KEITH                    "</f>
        <v xml:space="preserve">HASSAN                   KEITH                    </v>
      </c>
      <c r="E4160" t="str">
        <f>"NEW ORLEANS               "</f>
        <v xml:space="preserve">NEW ORLEANS               </v>
      </c>
      <c r="F4160" t="str">
        <f t="shared" si="168"/>
        <v>LA</v>
      </c>
    </row>
    <row r="4161" spans="1:6" x14ac:dyDescent="0.25">
      <c r="A4161" t="str">
        <f>"200016321"</f>
        <v>200016321</v>
      </c>
      <c r="B4161" t="str">
        <f>"1245276336"</f>
        <v>1245276336</v>
      </c>
      <c r="C4161" t="str">
        <f>"2084N0400X"</f>
        <v>2084N0400X</v>
      </c>
      <c r="D4161" t="str">
        <f>"ATKINS                   STEVEN                   "</f>
        <v xml:space="preserve">ATKINS                   STEVEN                   </v>
      </c>
      <c r="E4161" t="str">
        <f>"GRETNA                    "</f>
        <v xml:space="preserve">GRETNA                    </v>
      </c>
      <c r="F4161" t="str">
        <f t="shared" si="168"/>
        <v>LA</v>
      </c>
    </row>
    <row r="4162" spans="1:6" x14ac:dyDescent="0.25">
      <c r="A4162" t="str">
        <f>"200016381"</f>
        <v>200016381</v>
      </c>
      <c r="B4162" t="str">
        <f>"1851977334"</f>
        <v>1851977334</v>
      </c>
      <c r="C4162" t="str">
        <f>"207P00000X"</f>
        <v>207P00000X</v>
      </c>
      <c r="D4162" t="str">
        <f>"DURHAM                   STEVEN                   "</f>
        <v xml:space="preserve">DURHAM                   STEVEN                   </v>
      </c>
      <c r="E4162" t="str">
        <f>"BATON ROUGE               "</f>
        <v xml:space="preserve">BATON ROUGE               </v>
      </c>
      <c r="F4162" t="str">
        <f t="shared" si="168"/>
        <v>LA</v>
      </c>
    </row>
    <row r="4163" spans="1:6" x14ac:dyDescent="0.25">
      <c r="A4163" t="str">
        <f>"200016464"</f>
        <v>200016464</v>
      </c>
      <c r="B4163" t="str">
        <f>"1245810423"</f>
        <v>1245810423</v>
      </c>
      <c r="C4163" t="str">
        <f>"207R00000X"</f>
        <v>207R00000X</v>
      </c>
      <c r="D4163" t="str">
        <f>"DECOPPET                 EMILIE                   "</f>
        <v xml:space="preserve">DECOPPET                 EMILIE                   </v>
      </c>
      <c r="E4163" t="str">
        <f>"NEW ORLEANS               "</f>
        <v xml:space="preserve">NEW ORLEANS               </v>
      </c>
      <c r="F4163" t="str">
        <f t="shared" si="168"/>
        <v>LA</v>
      </c>
    </row>
    <row r="4164" spans="1:6" x14ac:dyDescent="0.25">
      <c r="A4164" t="str">
        <f>"200016499"</f>
        <v>200016499</v>
      </c>
      <c r="B4164" t="str">
        <f>"1316619091"</f>
        <v>1316619091</v>
      </c>
      <c r="C4164" t="str">
        <f>"363LF0000X"</f>
        <v>363LF0000X</v>
      </c>
      <c r="D4164" t="str">
        <f>"HOLLAND                  LAURA                    "</f>
        <v xml:space="preserve">HOLLAND                  LAURA                    </v>
      </c>
      <c r="E4164" t="str">
        <f>"NEW ORLEANS               "</f>
        <v xml:space="preserve">NEW ORLEANS               </v>
      </c>
      <c r="F4164" t="str">
        <f t="shared" si="168"/>
        <v>LA</v>
      </c>
    </row>
    <row r="4165" spans="1:6" x14ac:dyDescent="0.25">
      <c r="A4165" t="str">
        <f>"200016512"</f>
        <v>200016512</v>
      </c>
      <c r="B4165" t="str">
        <f>"1689401929"</f>
        <v>1689401929</v>
      </c>
      <c r="C4165" t="str">
        <f>"363A00000X"</f>
        <v>363A00000X</v>
      </c>
      <c r="D4165" t="str">
        <f>"BRIEN                    MARK                     "</f>
        <v xml:space="preserve">BRIEN                    MARK                     </v>
      </c>
      <c r="E4165" t="str">
        <f>"NEW ORLEANS               "</f>
        <v xml:space="preserve">NEW ORLEANS               </v>
      </c>
      <c r="F4165" t="str">
        <f t="shared" si="168"/>
        <v>LA</v>
      </c>
    </row>
    <row r="4166" spans="1:6" x14ac:dyDescent="0.25">
      <c r="A4166" t="str">
        <f>"200016521"</f>
        <v>200016521</v>
      </c>
      <c r="B4166" t="str">
        <f>"1740806041"</f>
        <v>1740806041</v>
      </c>
      <c r="C4166" t="str">
        <f>"207R00000X"</f>
        <v>207R00000X</v>
      </c>
      <c r="D4166" t="str">
        <f>"MALLICK                  NABEEL                   "</f>
        <v xml:space="preserve">MALLICK                  NABEEL                   </v>
      </c>
      <c r="E4166" t="str">
        <f>"SLIDELL                   "</f>
        <v xml:space="preserve">SLIDELL                   </v>
      </c>
      <c r="F4166" t="str">
        <f t="shared" si="168"/>
        <v>LA</v>
      </c>
    </row>
    <row r="4167" spans="1:6" x14ac:dyDescent="0.25">
      <c r="A4167" t="str">
        <f>"200016528"</f>
        <v>200016528</v>
      </c>
      <c r="B4167" t="str">
        <f>"1669978037"</f>
        <v>1669978037</v>
      </c>
      <c r="C4167" t="str">
        <f>"208M00000X"</f>
        <v>208M00000X</v>
      </c>
      <c r="D4167" t="str">
        <f>"MILLER                   JANAE        E           "</f>
        <v xml:space="preserve">MILLER                   JANAE        E           </v>
      </c>
      <c r="E4167" t="str">
        <f>"BATON ROUGE               "</f>
        <v xml:space="preserve">BATON ROUGE               </v>
      </c>
      <c r="F4167" t="str">
        <f t="shared" si="168"/>
        <v>LA</v>
      </c>
    </row>
    <row r="4168" spans="1:6" x14ac:dyDescent="0.25">
      <c r="A4168" t="str">
        <f>"200016553"</f>
        <v>200016553</v>
      </c>
      <c r="B4168" t="str">
        <f>"1457458010"</f>
        <v>1457458010</v>
      </c>
      <c r="C4168" t="str">
        <f>"2085P0229X"</f>
        <v>2085P0229X</v>
      </c>
      <c r="D4168" t="str">
        <f>"MYERS                    MELISSA      T           "</f>
        <v xml:space="preserve">MYERS                    MELISSA      T           </v>
      </c>
      <c r="E4168" t="str">
        <f>"NEW ORLEANS               "</f>
        <v xml:space="preserve">NEW ORLEANS               </v>
      </c>
      <c r="F4168" t="str">
        <f t="shared" si="168"/>
        <v>LA</v>
      </c>
    </row>
    <row r="4169" spans="1:6" x14ac:dyDescent="0.25">
      <c r="A4169" t="str">
        <f>"200016564"</f>
        <v>200016564</v>
      </c>
      <c r="B4169" t="str">
        <f>"1346828647"</f>
        <v>1346828647</v>
      </c>
      <c r="C4169" t="str">
        <f>"207P00000X"</f>
        <v>207P00000X</v>
      </c>
      <c r="D4169" t="str">
        <f>"LANGLEY                  MICHAEL                  "</f>
        <v xml:space="preserve">LANGLEY                  MICHAEL                  </v>
      </c>
      <c r="E4169" t="str">
        <f>"LA PLACE                  "</f>
        <v xml:space="preserve">LA PLACE                  </v>
      </c>
      <c r="F4169" t="str">
        <f t="shared" si="168"/>
        <v>LA</v>
      </c>
    </row>
    <row r="4170" spans="1:6" x14ac:dyDescent="0.25">
      <c r="A4170" t="str">
        <f>"200016570"</f>
        <v>200016570</v>
      </c>
      <c r="B4170" t="str">
        <f>"1265431597"</f>
        <v>1265431597</v>
      </c>
      <c r="C4170" t="str">
        <f>"208600000X"</f>
        <v>208600000X</v>
      </c>
      <c r="D4170" t="str">
        <f>"AGUILAR                  DARRYL       J           "</f>
        <v xml:space="preserve">AGUILAR                  DARRYL       J           </v>
      </c>
      <c r="E4170" t="str">
        <f>"FERRIDAY                  "</f>
        <v xml:space="preserve">FERRIDAY                  </v>
      </c>
      <c r="F4170" t="str">
        <f t="shared" si="168"/>
        <v>LA</v>
      </c>
    </row>
    <row r="4171" spans="1:6" x14ac:dyDescent="0.25">
      <c r="A4171" t="str">
        <f>"200016572"</f>
        <v>200016572</v>
      </c>
      <c r="B4171" t="str">
        <f>"1356833420"</f>
        <v>1356833420</v>
      </c>
      <c r="C4171" t="str">
        <f>"207R00000X"</f>
        <v>207R00000X</v>
      </c>
      <c r="D4171" t="str">
        <f>"TALBERT                  WILLIE                   "</f>
        <v xml:space="preserve">TALBERT                  WILLIE                   </v>
      </c>
      <c r="E4171" t="str">
        <f t="shared" ref="E4171:E4178" si="169">"NEW ORLEANS               "</f>
        <v xml:space="preserve">NEW ORLEANS               </v>
      </c>
      <c r="F4171" t="str">
        <f t="shared" si="168"/>
        <v>LA</v>
      </c>
    </row>
    <row r="4172" spans="1:6" x14ac:dyDescent="0.25">
      <c r="A4172" t="str">
        <f>"200016588"</f>
        <v>200016588</v>
      </c>
      <c r="B4172" t="str">
        <f>"1659376291"</f>
        <v>1659376291</v>
      </c>
      <c r="C4172" t="str">
        <f>"2085R0202X"</f>
        <v>2085R0202X</v>
      </c>
      <c r="D4172" t="str">
        <f>"SINGHA                   PUNEET       K           "</f>
        <v xml:space="preserve">SINGHA                   PUNEET       K           </v>
      </c>
      <c r="E4172" t="str">
        <f t="shared" si="169"/>
        <v xml:space="preserve">NEW ORLEANS               </v>
      </c>
      <c r="F4172" t="str">
        <f t="shared" si="168"/>
        <v>LA</v>
      </c>
    </row>
    <row r="4173" spans="1:6" x14ac:dyDescent="0.25">
      <c r="A4173" t="str">
        <f>"200016597"</f>
        <v>200016597</v>
      </c>
      <c r="B4173" t="str">
        <f>"1578315131"</f>
        <v>1578315131</v>
      </c>
      <c r="C4173" t="str">
        <f>"363AM0700X"</f>
        <v>363AM0700X</v>
      </c>
      <c r="D4173" t="str">
        <f>"KING                     NIKITA                   "</f>
        <v xml:space="preserve">KING                     NIKITA                   </v>
      </c>
      <c r="E4173" t="str">
        <f t="shared" si="169"/>
        <v xml:space="preserve">NEW ORLEANS               </v>
      </c>
      <c r="F4173" t="str">
        <f t="shared" si="168"/>
        <v>LA</v>
      </c>
    </row>
    <row r="4174" spans="1:6" x14ac:dyDescent="0.25">
      <c r="A4174" t="str">
        <f>"200016599"</f>
        <v>200016599</v>
      </c>
      <c r="B4174" t="str">
        <f>"1891157756"</f>
        <v>1891157756</v>
      </c>
      <c r="C4174" t="str">
        <f>"2085R0202X"</f>
        <v>2085R0202X</v>
      </c>
      <c r="D4174" t="str">
        <f>"LINDSEY                  EMMA                     "</f>
        <v xml:space="preserve">LINDSEY                  EMMA                     </v>
      </c>
      <c r="E4174" t="str">
        <f t="shared" si="169"/>
        <v xml:space="preserve">NEW ORLEANS               </v>
      </c>
      <c r="F4174" t="str">
        <f t="shared" si="168"/>
        <v>LA</v>
      </c>
    </row>
    <row r="4175" spans="1:6" x14ac:dyDescent="0.25">
      <c r="A4175" t="str">
        <f>"200016781"</f>
        <v>200016781</v>
      </c>
      <c r="B4175" t="str">
        <f>"1922325612"</f>
        <v>1922325612</v>
      </c>
      <c r="C4175" t="str">
        <f>"208000000X"</f>
        <v>208000000X</v>
      </c>
      <c r="D4175" t="str">
        <f>"REILLY                   LESLIE                   "</f>
        <v xml:space="preserve">REILLY                   LESLIE                   </v>
      </c>
      <c r="E4175" t="str">
        <f t="shared" si="169"/>
        <v xml:space="preserve">NEW ORLEANS               </v>
      </c>
      <c r="F4175" t="str">
        <f t="shared" si="168"/>
        <v>LA</v>
      </c>
    </row>
    <row r="4176" spans="1:6" x14ac:dyDescent="0.25">
      <c r="A4176" t="str">
        <f>"200016829"</f>
        <v>200016829</v>
      </c>
      <c r="B4176" t="str">
        <f>"1568467462"</f>
        <v>1568467462</v>
      </c>
      <c r="C4176" t="str">
        <f>"2085R0202X"</f>
        <v>2085R0202X</v>
      </c>
      <c r="D4176" t="str">
        <f>"FIGUEROA                 RAFAEL       T           "</f>
        <v xml:space="preserve">FIGUEROA                 RAFAEL       T           </v>
      </c>
      <c r="E4176" t="str">
        <f t="shared" si="169"/>
        <v xml:space="preserve">NEW ORLEANS               </v>
      </c>
      <c r="F4176" t="str">
        <f t="shared" si="168"/>
        <v>LA</v>
      </c>
    </row>
    <row r="4177" spans="1:6" x14ac:dyDescent="0.25">
      <c r="A4177" t="str">
        <f>"200016889"</f>
        <v>200016889</v>
      </c>
      <c r="B4177" t="str">
        <f>"1619330768"</f>
        <v>1619330768</v>
      </c>
      <c r="C4177" t="str">
        <f>"207P00000X"</f>
        <v>207P00000X</v>
      </c>
      <c r="D4177" t="str">
        <f>"TSEN                     RICHARD                  "</f>
        <v xml:space="preserve">TSEN                     RICHARD                  </v>
      </c>
      <c r="E4177" t="str">
        <f t="shared" si="169"/>
        <v xml:space="preserve">NEW ORLEANS               </v>
      </c>
      <c r="F4177" t="str">
        <f t="shared" si="168"/>
        <v>LA</v>
      </c>
    </row>
    <row r="4178" spans="1:6" x14ac:dyDescent="0.25">
      <c r="A4178" t="str">
        <f>"200016964"</f>
        <v>200016964</v>
      </c>
      <c r="B4178" t="str">
        <f>"1922820570"</f>
        <v>1922820570</v>
      </c>
      <c r="C4178" t="str">
        <f>"363LF0000X"</f>
        <v>363LF0000X</v>
      </c>
      <c r="D4178" t="str">
        <f>"KNECHT                   SUSAN        E           "</f>
        <v xml:space="preserve">KNECHT                   SUSAN        E           </v>
      </c>
      <c r="E4178" t="str">
        <f t="shared" si="169"/>
        <v xml:space="preserve">NEW ORLEANS               </v>
      </c>
      <c r="F4178" t="str">
        <f t="shared" si="168"/>
        <v>LA</v>
      </c>
    </row>
    <row r="4179" spans="1:6" x14ac:dyDescent="0.25">
      <c r="A4179" t="str">
        <f>"200017022"</f>
        <v>200017022</v>
      </c>
      <c r="B4179" t="str">
        <f>"1265469852"</f>
        <v>1265469852</v>
      </c>
      <c r="C4179" t="str">
        <f>"208000000X"</f>
        <v>208000000X</v>
      </c>
      <c r="D4179" t="str">
        <f>"LILLY                    SHARON                   "</f>
        <v xml:space="preserve">LILLY                    SHARON                   </v>
      </c>
      <c r="E4179" t="str">
        <f>"SLIDELL                   "</f>
        <v xml:space="preserve">SLIDELL                   </v>
      </c>
      <c r="F4179" t="str">
        <f t="shared" si="168"/>
        <v>LA</v>
      </c>
    </row>
    <row r="4180" spans="1:6" x14ac:dyDescent="0.25">
      <c r="A4180" t="str">
        <f>"200017025"</f>
        <v>200017025</v>
      </c>
      <c r="B4180" t="str">
        <f>"1821093717"</f>
        <v>1821093717</v>
      </c>
      <c r="C4180" t="str">
        <f>"2085R0202X"</f>
        <v>2085R0202X</v>
      </c>
      <c r="D4180" t="str">
        <f>"FONTANEZ                 DANIEL                   "</f>
        <v xml:space="preserve">FONTANEZ                 DANIEL                   </v>
      </c>
      <c r="E4180" t="str">
        <f>"NEW ORLEANS               "</f>
        <v xml:space="preserve">NEW ORLEANS               </v>
      </c>
      <c r="F4180" t="str">
        <f t="shared" si="168"/>
        <v>LA</v>
      </c>
    </row>
    <row r="4181" spans="1:6" x14ac:dyDescent="0.25">
      <c r="A4181" t="str">
        <f>"200017041"</f>
        <v>200017041</v>
      </c>
      <c r="B4181" t="str">
        <f>"1750581120"</f>
        <v>1750581120</v>
      </c>
      <c r="C4181" t="str">
        <f>"2086S0122X"</f>
        <v>2086S0122X</v>
      </c>
      <c r="D4181" t="str">
        <f>"CHIM                     HARVEY       W           "</f>
        <v xml:space="preserve">CHIM                     HARVEY       W           </v>
      </c>
      <c r="E4181" t="str">
        <f>"NEW ORLEANS               "</f>
        <v xml:space="preserve">NEW ORLEANS               </v>
      </c>
      <c r="F4181" t="str">
        <f t="shared" si="168"/>
        <v>LA</v>
      </c>
    </row>
    <row r="4182" spans="1:6" x14ac:dyDescent="0.25">
      <c r="A4182" t="str">
        <f>"200017107"</f>
        <v>200017107</v>
      </c>
      <c r="B4182" t="str">
        <f>"1477139863"</f>
        <v>1477139863</v>
      </c>
      <c r="C4182" t="str">
        <f>"207P00000X"</f>
        <v>207P00000X</v>
      </c>
      <c r="D4182" t="str">
        <f>"HUBER                    MICHELLE                 "</f>
        <v xml:space="preserve">HUBER                    MICHELLE                 </v>
      </c>
      <c r="E4182" t="str">
        <f>"METAIRIE                  "</f>
        <v xml:space="preserve">METAIRIE                  </v>
      </c>
      <c r="F4182" t="str">
        <f t="shared" si="168"/>
        <v>LA</v>
      </c>
    </row>
    <row r="4183" spans="1:6" x14ac:dyDescent="0.25">
      <c r="A4183" t="str">
        <f>"200017154"</f>
        <v>200017154</v>
      </c>
      <c r="B4183" t="str">
        <f>"1720353006"</f>
        <v>1720353006</v>
      </c>
      <c r="C4183" t="str">
        <f>"207W00000X"</f>
        <v>207W00000X</v>
      </c>
      <c r="D4183" t="str">
        <f>"AL-DUJAILI               LENA         J           "</f>
        <v xml:space="preserve">AL-DUJAILI               LENA         J           </v>
      </c>
      <c r="E4183" t="str">
        <f>"NEW ORLEANS               "</f>
        <v xml:space="preserve">NEW ORLEANS               </v>
      </c>
      <c r="F4183" t="str">
        <f t="shared" si="168"/>
        <v>LA</v>
      </c>
    </row>
    <row r="4184" spans="1:6" x14ac:dyDescent="0.25">
      <c r="A4184" t="str">
        <f>"200017175"</f>
        <v>200017175</v>
      </c>
      <c r="B4184" t="str">
        <f>"1811129000"</f>
        <v>1811129000</v>
      </c>
      <c r="C4184" t="str">
        <f>"2085R0001X"</f>
        <v>2085R0001X</v>
      </c>
      <c r="D4184" t="str">
        <f>"BERMUDEZ                 RICHARD                  "</f>
        <v xml:space="preserve">BERMUDEZ                 RICHARD                  </v>
      </c>
      <c r="E4184" t="str">
        <f>"COVINGTON                 "</f>
        <v xml:space="preserve">COVINGTON                 </v>
      </c>
      <c r="F4184" t="str">
        <f t="shared" si="168"/>
        <v>LA</v>
      </c>
    </row>
    <row r="4185" spans="1:6" x14ac:dyDescent="0.25">
      <c r="A4185" t="str">
        <f>"200017182"</f>
        <v>200017182</v>
      </c>
      <c r="B4185" t="str">
        <f>"1831359843"</f>
        <v>1831359843</v>
      </c>
      <c r="C4185" t="str">
        <f>"207RH0003X"</f>
        <v>207RH0003X</v>
      </c>
      <c r="D4185" t="str">
        <f>"MARONGE                  GENEVIEVE                "</f>
        <v xml:space="preserve">MARONGE                  GENEVIEVE                </v>
      </c>
      <c r="E4185" t="str">
        <f>"COVINGTON                 "</f>
        <v xml:space="preserve">COVINGTON                 </v>
      </c>
      <c r="F4185" t="str">
        <f t="shared" si="168"/>
        <v>LA</v>
      </c>
    </row>
    <row r="4186" spans="1:6" x14ac:dyDescent="0.25">
      <c r="A4186" t="str">
        <f>"200017310"</f>
        <v>200017310</v>
      </c>
      <c r="B4186" t="str">
        <f>"1760826556"</f>
        <v>1760826556</v>
      </c>
      <c r="C4186" t="str">
        <f>"208100000X"</f>
        <v>208100000X</v>
      </c>
      <c r="D4186" t="str">
        <f>"HAGEN                    MICHAEL                  "</f>
        <v xml:space="preserve">HAGEN                    MICHAEL                  </v>
      </c>
      <c r="E4186" t="str">
        <f>"NEW ORLEANS               "</f>
        <v xml:space="preserve">NEW ORLEANS               </v>
      </c>
      <c r="F4186" t="str">
        <f t="shared" si="168"/>
        <v>LA</v>
      </c>
    </row>
    <row r="4187" spans="1:6" x14ac:dyDescent="0.25">
      <c r="A4187" t="str">
        <f>"200017326"</f>
        <v>200017326</v>
      </c>
      <c r="B4187" t="str">
        <f>"1093591018"</f>
        <v>1093591018</v>
      </c>
      <c r="C4187" t="str">
        <f>"367500000X"</f>
        <v>367500000X</v>
      </c>
      <c r="D4187" t="str">
        <f>"SHORTER                  CAITLYN                  "</f>
        <v xml:space="preserve">SHORTER                  CAITLYN                  </v>
      </c>
      <c r="E4187" t="str">
        <f>"COVINGTON                 "</f>
        <v xml:space="preserve">COVINGTON                 </v>
      </c>
      <c r="F4187" t="str">
        <f t="shared" ref="F4187:F4250" si="170">"LA"</f>
        <v>LA</v>
      </c>
    </row>
    <row r="4188" spans="1:6" x14ac:dyDescent="0.25">
      <c r="A4188" t="str">
        <f>"200017335"</f>
        <v>200017335</v>
      </c>
      <c r="B4188" t="str">
        <f>"1831170208"</f>
        <v>1831170208</v>
      </c>
      <c r="C4188" t="str">
        <f>"2085R0202X"</f>
        <v>2085R0202X</v>
      </c>
      <c r="D4188" t="str">
        <f>"BLACKWELL                JOHN         R           "</f>
        <v xml:space="preserve">BLACKWELL                JOHN         R           </v>
      </c>
      <c r="E4188" t="str">
        <f>"METAIRIE                  "</f>
        <v xml:space="preserve">METAIRIE                  </v>
      </c>
      <c r="F4188" t="str">
        <f t="shared" si="170"/>
        <v>LA</v>
      </c>
    </row>
    <row r="4189" spans="1:6" x14ac:dyDescent="0.25">
      <c r="A4189" t="str">
        <f>"200017351"</f>
        <v>200017351</v>
      </c>
      <c r="B4189" t="str">
        <f>"1902988389"</f>
        <v>1902988389</v>
      </c>
      <c r="C4189" t="str">
        <f>"207ZP0102X"</f>
        <v>207ZP0102X</v>
      </c>
      <c r="D4189" t="str">
        <f>"MIZELL                   KELLY        N           "</f>
        <v xml:space="preserve">MIZELL                   KELLY        N           </v>
      </c>
      <c r="E4189" t="str">
        <f>"KENNER                    "</f>
        <v xml:space="preserve">KENNER                    </v>
      </c>
      <c r="F4189" t="str">
        <f t="shared" si="170"/>
        <v>LA</v>
      </c>
    </row>
    <row r="4190" spans="1:6" x14ac:dyDescent="0.25">
      <c r="A4190" t="str">
        <f>"200017412"</f>
        <v>200017412</v>
      </c>
      <c r="B4190" t="str">
        <f>"1053973693"</f>
        <v>1053973693</v>
      </c>
      <c r="C4190" t="str">
        <f>"363L00000X"</f>
        <v>363L00000X</v>
      </c>
      <c r="D4190" t="str">
        <f>"THOMPSON                 KATHY                    "</f>
        <v xml:space="preserve">THOMPSON                 KATHY                    </v>
      </c>
      <c r="E4190" t="str">
        <f>"FERRIDAY                  "</f>
        <v xml:space="preserve">FERRIDAY                  </v>
      </c>
      <c r="F4190" t="str">
        <f t="shared" si="170"/>
        <v>LA</v>
      </c>
    </row>
    <row r="4191" spans="1:6" x14ac:dyDescent="0.25">
      <c r="A4191" t="str">
        <f>"200017417"</f>
        <v>200017417</v>
      </c>
      <c r="B4191" t="str">
        <f>"1710542071"</f>
        <v>1710542071</v>
      </c>
      <c r="C4191" t="str">
        <f>"207Y00000X"</f>
        <v>207Y00000X</v>
      </c>
      <c r="D4191" t="str">
        <f>"KAY                      JOSHUA                   "</f>
        <v xml:space="preserve">KAY                      JOSHUA                   </v>
      </c>
      <c r="E4191" t="str">
        <f>"NEW ORLEANS               "</f>
        <v xml:space="preserve">NEW ORLEANS               </v>
      </c>
      <c r="F4191" t="str">
        <f t="shared" si="170"/>
        <v>LA</v>
      </c>
    </row>
    <row r="4192" spans="1:6" x14ac:dyDescent="0.25">
      <c r="A4192" t="str">
        <f>"200017428"</f>
        <v>200017428</v>
      </c>
      <c r="B4192" t="str">
        <f>"1528493202"</f>
        <v>1528493202</v>
      </c>
      <c r="C4192" t="str">
        <f>"2084N0400X"</f>
        <v>2084N0400X</v>
      </c>
      <c r="D4192" t="str">
        <f>"KHALID                   EHTESHAM                 "</f>
        <v xml:space="preserve">KHALID                   EHTESHAM                 </v>
      </c>
      <c r="E4192" t="str">
        <f>"NEW ORLEANS               "</f>
        <v xml:space="preserve">NEW ORLEANS               </v>
      </c>
      <c r="F4192" t="str">
        <f t="shared" si="170"/>
        <v>LA</v>
      </c>
    </row>
    <row r="4193" spans="1:6" x14ac:dyDescent="0.25">
      <c r="A4193" t="str">
        <f>"200017455"</f>
        <v>200017455</v>
      </c>
      <c r="B4193" t="str">
        <f>"1245395573"</f>
        <v>1245395573</v>
      </c>
      <c r="C4193" t="str">
        <f>"207RH0003X"</f>
        <v>207RH0003X</v>
      </c>
      <c r="D4193" t="str">
        <f>"MCELVEEN                 MATTHEW                  "</f>
        <v xml:space="preserve">MCELVEEN                 MATTHEW                  </v>
      </c>
      <c r="E4193" t="str">
        <f>"SLIDELL                   "</f>
        <v xml:space="preserve">SLIDELL                   </v>
      </c>
      <c r="F4193" t="str">
        <f t="shared" si="170"/>
        <v>LA</v>
      </c>
    </row>
    <row r="4194" spans="1:6" x14ac:dyDescent="0.25">
      <c r="A4194" t="str">
        <f>"200017464"</f>
        <v>200017464</v>
      </c>
      <c r="B4194" t="str">
        <f>"1508615808"</f>
        <v>1508615808</v>
      </c>
      <c r="C4194" t="str">
        <f>"363A00000X"</f>
        <v>363A00000X</v>
      </c>
      <c r="D4194" t="str">
        <f>"KELLERMAN                MARSHALL                 "</f>
        <v xml:space="preserve">KELLERMAN                MARSHALL                 </v>
      </c>
      <c r="E4194" t="str">
        <f>"NEW ORLEANS               "</f>
        <v xml:space="preserve">NEW ORLEANS               </v>
      </c>
      <c r="F4194" t="str">
        <f t="shared" si="170"/>
        <v>LA</v>
      </c>
    </row>
    <row r="4195" spans="1:6" x14ac:dyDescent="0.25">
      <c r="A4195" t="str">
        <f>"200017487"</f>
        <v>200017487</v>
      </c>
      <c r="B4195" t="str">
        <f>"1528695079"</f>
        <v>1528695079</v>
      </c>
      <c r="C4195" t="str">
        <f>"207R00000X"</f>
        <v>207R00000X</v>
      </c>
      <c r="D4195" t="str">
        <f>"HISE                     DELANE                   "</f>
        <v xml:space="preserve">HISE                     DELANE                   </v>
      </c>
      <c r="E4195" t="str">
        <f>"NEW ORLEANS               "</f>
        <v xml:space="preserve">NEW ORLEANS               </v>
      </c>
      <c r="F4195" t="str">
        <f t="shared" si="170"/>
        <v>LA</v>
      </c>
    </row>
    <row r="4196" spans="1:6" x14ac:dyDescent="0.25">
      <c r="A4196" t="str">
        <f>"200017509"</f>
        <v>200017509</v>
      </c>
      <c r="B4196" t="str">
        <f>"1699442038"</f>
        <v>1699442038</v>
      </c>
      <c r="C4196" t="str">
        <f>"367500000X"</f>
        <v>367500000X</v>
      </c>
      <c r="D4196" t="str">
        <f>"ZAFFUTO                  DAVID                    "</f>
        <v xml:space="preserve">ZAFFUTO                  DAVID                    </v>
      </c>
      <c r="E4196" t="str">
        <f>"SLIDELL                   "</f>
        <v xml:space="preserve">SLIDELL                   </v>
      </c>
      <c r="F4196" t="str">
        <f t="shared" si="170"/>
        <v>LA</v>
      </c>
    </row>
    <row r="4197" spans="1:6" x14ac:dyDescent="0.25">
      <c r="A4197" t="str">
        <f>"200017515"</f>
        <v>200017515</v>
      </c>
      <c r="B4197" t="str">
        <f>"1639532187"</f>
        <v>1639532187</v>
      </c>
      <c r="C4197" t="str">
        <f>"2084N0400X"</f>
        <v>2084N0400X</v>
      </c>
      <c r="D4197" t="str">
        <f>"JOO                      JANICE       Y           "</f>
        <v xml:space="preserve">JOO                      JANICE       Y           </v>
      </c>
      <c r="E4197" t="str">
        <f>"NEW ORLEANS               "</f>
        <v xml:space="preserve">NEW ORLEANS               </v>
      </c>
      <c r="F4197" t="str">
        <f t="shared" si="170"/>
        <v>LA</v>
      </c>
    </row>
    <row r="4198" spans="1:6" x14ac:dyDescent="0.25">
      <c r="A4198" t="str">
        <f>"200017531"</f>
        <v>200017531</v>
      </c>
      <c r="B4198" t="str">
        <f>"1922444660"</f>
        <v>1922444660</v>
      </c>
      <c r="C4198" t="str">
        <f>"207RP1001X"</f>
        <v>207RP1001X</v>
      </c>
      <c r="D4198" t="str">
        <f>"BONISKE                  TANIA        M           "</f>
        <v xml:space="preserve">BONISKE                  TANIA        M           </v>
      </c>
      <c r="E4198" t="str">
        <f>"NEW ORLEANS               "</f>
        <v xml:space="preserve">NEW ORLEANS               </v>
      </c>
      <c r="F4198" t="str">
        <f t="shared" si="170"/>
        <v>LA</v>
      </c>
    </row>
    <row r="4199" spans="1:6" x14ac:dyDescent="0.25">
      <c r="A4199" t="str">
        <f>"200017532"</f>
        <v>200017532</v>
      </c>
      <c r="B4199" t="str">
        <f>"1295974962"</f>
        <v>1295974962</v>
      </c>
      <c r="C4199" t="str">
        <f>"207P00000X"</f>
        <v>207P00000X</v>
      </c>
      <c r="D4199" t="str">
        <f>"NELSON                   SCOTT                    "</f>
        <v xml:space="preserve">NELSON                   SCOTT                    </v>
      </c>
      <c r="E4199" t="str">
        <f>"LA PLACE                  "</f>
        <v xml:space="preserve">LA PLACE                  </v>
      </c>
      <c r="F4199" t="str">
        <f t="shared" si="170"/>
        <v>LA</v>
      </c>
    </row>
    <row r="4200" spans="1:6" x14ac:dyDescent="0.25">
      <c r="A4200" t="str">
        <f>"200017554"</f>
        <v>200017554</v>
      </c>
      <c r="B4200" t="str">
        <f>"1053940122"</f>
        <v>1053940122</v>
      </c>
      <c r="C4200" t="str">
        <f>"207V00000X"</f>
        <v>207V00000X</v>
      </c>
      <c r="D4200" t="str">
        <f>"LUTKEWITTE               DREDA                    "</f>
        <v xml:space="preserve">LUTKEWITTE               DREDA                    </v>
      </c>
      <c r="E4200" t="str">
        <f>"NEW ORLEANS               "</f>
        <v xml:space="preserve">NEW ORLEANS               </v>
      </c>
      <c r="F4200" t="str">
        <f t="shared" si="170"/>
        <v>LA</v>
      </c>
    </row>
    <row r="4201" spans="1:6" x14ac:dyDescent="0.25">
      <c r="A4201" t="str">
        <f>"200017571"</f>
        <v>200017571</v>
      </c>
      <c r="B4201" t="str">
        <f>"1285138040"</f>
        <v>1285138040</v>
      </c>
      <c r="C4201" t="str">
        <f>"207P00000X"</f>
        <v>207P00000X</v>
      </c>
      <c r="D4201" t="str">
        <f>"NGUYEN                   THUY-MAI                 "</f>
        <v xml:space="preserve">NGUYEN                   THUY-MAI                 </v>
      </c>
      <c r="E4201" t="str">
        <f>"METAIRIE                  "</f>
        <v xml:space="preserve">METAIRIE                  </v>
      </c>
      <c r="F4201" t="str">
        <f t="shared" si="170"/>
        <v>LA</v>
      </c>
    </row>
    <row r="4202" spans="1:6" x14ac:dyDescent="0.25">
      <c r="A4202" t="str">
        <f>"200017598"</f>
        <v>200017598</v>
      </c>
      <c r="B4202" t="str">
        <f>"1831498252"</f>
        <v>1831498252</v>
      </c>
      <c r="C4202" t="str">
        <f>"207K00000X"</f>
        <v>207K00000X</v>
      </c>
      <c r="D4202" t="str">
        <f>"HUNTWORK                 MARGARET     P           "</f>
        <v xml:space="preserve">HUNTWORK                 MARGARET     P           </v>
      </c>
      <c r="E4202" t="str">
        <f>"METAIRIE                  "</f>
        <v xml:space="preserve">METAIRIE                  </v>
      </c>
      <c r="F4202" t="str">
        <f t="shared" si="170"/>
        <v>LA</v>
      </c>
    </row>
    <row r="4203" spans="1:6" x14ac:dyDescent="0.25">
      <c r="A4203" t="str">
        <f>"200017602"</f>
        <v>200017602</v>
      </c>
      <c r="B4203" t="str">
        <f>"1841776051"</f>
        <v>1841776051</v>
      </c>
      <c r="C4203" t="str">
        <f>"2085R0204X"</f>
        <v>2085R0204X</v>
      </c>
      <c r="D4203" t="str">
        <f>"MUBARAK                  AHMAD                    "</f>
        <v xml:space="preserve">MUBARAK                  AHMAD                    </v>
      </c>
      <c r="E4203" t="str">
        <f>"NEW ORLEANS               "</f>
        <v xml:space="preserve">NEW ORLEANS               </v>
      </c>
      <c r="F4203" t="str">
        <f t="shared" si="170"/>
        <v>LA</v>
      </c>
    </row>
    <row r="4204" spans="1:6" x14ac:dyDescent="0.25">
      <c r="A4204" t="str">
        <f>"200017606"</f>
        <v>200017606</v>
      </c>
      <c r="B4204" t="str">
        <f>"1972565257"</f>
        <v>1972565257</v>
      </c>
      <c r="C4204" t="str">
        <f>"208M00000X"</f>
        <v>208M00000X</v>
      </c>
      <c r="D4204" t="str">
        <f>"CLARKE                   ANDREW                   "</f>
        <v xml:space="preserve">CLARKE                   ANDREW                   </v>
      </c>
      <c r="E4204" t="str">
        <f>"BATON ROUGE               "</f>
        <v xml:space="preserve">BATON ROUGE               </v>
      </c>
      <c r="F4204" t="str">
        <f t="shared" si="170"/>
        <v>LA</v>
      </c>
    </row>
    <row r="4205" spans="1:6" x14ac:dyDescent="0.25">
      <c r="A4205" t="str">
        <f>"200017646"</f>
        <v>200017646</v>
      </c>
      <c r="B4205" t="str">
        <f>"1215603089"</f>
        <v>1215603089</v>
      </c>
      <c r="C4205" t="str">
        <f>"367500000X"</f>
        <v>367500000X</v>
      </c>
      <c r="D4205" t="str">
        <f>"POWELL                   VICTORIA     V           "</f>
        <v xml:space="preserve">POWELL                   VICTORIA     V           </v>
      </c>
      <c r="E4205" t="str">
        <f>"SLIDELL                   "</f>
        <v xml:space="preserve">SLIDELL                   </v>
      </c>
      <c r="F4205" t="str">
        <f t="shared" si="170"/>
        <v>LA</v>
      </c>
    </row>
    <row r="4206" spans="1:6" x14ac:dyDescent="0.25">
      <c r="A4206" t="str">
        <f>"200017671"</f>
        <v>200017671</v>
      </c>
      <c r="B4206" t="str">
        <f>"1871262790"</f>
        <v>1871262790</v>
      </c>
      <c r="C4206" t="str">
        <f>"367500000X"</f>
        <v>367500000X</v>
      </c>
      <c r="D4206" t="str">
        <f>"MILLER                   ALLYSON      P           "</f>
        <v xml:space="preserve">MILLER                   ALLYSON      P           </v>
      </c>
      <c r="E4206" t="str">
        <f>"NEW ORLEANS               "</f>
        <v xml:space="preserve">NEW ORLEANS               </v>
      </c>
      <c r="F4206" t="str">
        <f t="shared" si="170"/>
        <v>LA</v>
      </c>
    </row>
    <row r="4207" spans="1:6" x14ac:dyDescent="0.25">
      <c r="A4207" t="str">
        <f>"200017684"</f>
        <v>200017684</v>
      </c>
      <c r="B4207" t="str">
        <f>"1750116158"</f>
        <v>1750116158</v>
      </c>
      <c r="C4207" t="str">
        <f>"363AM0700X"</f>
        <v>363AM0700X</v>
      </c>
      <c r="D4207" t="str">
        <f>"FAROOQUI                 JUVERIYA                 "</f>
        <v xml:space="preserve">FAROOQUI                 JUVERIYA                 </v>
      </c>
      <c r="E4207" t="str">
        <f>"NEW ORLEANS               "</f>
        <v xml:space="preserve">NEW ORLEANS               </v>
      </c>
      <c r="F4207" t="str">
        <f t="shared" si="170"/>
        <v>LA</v>
      </c>
    </row>
    <row r="4208" spans="1:6" x14ac:dyDescent="0.25">
      <c r="A4208" t="str">
        <f>"200017715"</f>
        <v>200017715</v>
      </c>
      <c r="B4208" t="str">
        <f>"1740866151"</f>
        <v>1740866151</v>
      </c>
      <c r="C4208" t="str">
        <f>"207P00000X"</f>
        <v>207P00000X</v>
      </c>
      <c r="D4208" t="str">
        <f>"WOODBRIDGE               ALEXANDRA                "</f>
        <v xml:space="preserve">WOODBRIDGE               ALEXANDRA                </v>
      </c>
      <c r="E4208" t="str">
        <f>"METAIRIE                  "</f>
        <v xml:space="preserve">METAIRIE                  </v>
      </c>
      <c r="F4208" t="str">
        <f t="shared" si="170"/>
        <v>LA</v>
      </c>
    </row>
    <row r="4209" spans="1:6" x14ac:dyDescent="0.25">
      <c r="A4209" t="str">
        <f>"200017718"</f>
        <v>200017718</v>
      </c>
      <c r="B4209" t="str">
        <f>"1831455617"</f>
        <v>1831455617</v>
      </c>
      <c r="C4209" t="str">
        <f>"207V00000X"</f>
        <v>207V00000X</v>
      </c>
      <c r="D4209" t="str">
        <f>"JONES                    ANDREW                   "</f>
        <v xml:space="preserve">JONES                    ANDREW                   </v>
      </c>
      <c r="E4209" t="str">
        <f>"NEW ORLEANS               "</f>
        <v xml:space="preserve">NEW ORLEANS               </v>
      </c>
      <c r="F4209" t="str">
        <f t="shared" si="170"/>
        <v>LA</v>
      </c>
    </row>
    <row r="4210" spans="1:6" x14ac:dyDescent="0.25">
      <c r="A4210" t="str">
        <f>"200017766"</f>
        <v>200017766</v>
      </c>
      <c r="B4210" t="str">
        <f>"1508634932"</f>
        <v>1508634932</v>
      </c>
      <c r="C4210" t="str">
        <f>"363LF0000X"</f>
        <v>363LF0000X</v>
      </c>
      <c r="D4210" t="str">
        <f>"ARUKWE                   TIGER                    "</f>
        <v xml:space="preserve">ARUKWE                   TIGER                    </v>
      </c>
      <c r="E4210" t="str">
        <f>"COVINGTON                 "</f>
        <v xml:space="preserve">COVINGTON                 </v>
      </c>
      <c r="F4210" t="str">
        <f t="shared" si="170"/>
        <v>LA</v>
      </c>
    </row>
    <row r="4211" spans="1:6" x14ac:dyDescent="0.25">
      <c r="A4211" t="str">
        <f>"200017822"</f>
        <v>200017822</v>
      </c>
      <c r="B4211" t="str">
        <f>"1962826925"</f>
        <v>1962826925</v>
      </c>
      <c r="C4211" t="str">
        <f>"363LP0200X"</f>
        <v>363LP0200X</v>
      </c>
      <c r="D4211" t="str">
        <f>"CAMPBELL                 CHERISH                  "</f>
        <v xml:space="preserve">CAMPBELL                 CHERISH                  </v>
      </c>
      <c r="E4211" t="str">
        <f>"COVINGTON                 "</f>
        <v xml:space="preserve">COVINGTON                 </v>
      </c>
      <c r="F4211" t="str">
        <f t="shared" si="170"/>
        <v>LA</v>
      </c>
    </row>
    <row r="4212" spans="1:6" x14ac:dyDescent="0.25">
      <c r="A4212" t="str">
        <f>"200017853"</f>
        <v>200017853</v>
      </c>
      <c r="B4212" t="str">
        <f>"1366793374"</f>
        <v>1366793374</v>
      </c>
      <c r="C4212" t="str">
        <f>"2080P0206X"</f>
        <v>2080P0206X</v>
      </c>
      <c r="D4212" t="str">
        <f>"ARIAS VALENCIA           PATRICIO                 "</f>
        <v xml:space="preserve">ARIAS VALENCIA           PATRICIO                 </v>
      </c>
      <c r="E4212" t="str">
        <f>"BATON ROUGE               "</f>
        <v xml:space="preserve">BATON ROUGE               </v>
      </c>
      <c r="F4212" t="str">
        <f t="shared" si="170"/>
        <v>LA</v>
      </c>
    </row>
    <row r="4213" spans="1:6" x14ac:dyDescent="0.25">
      <c r="A4213" t="str">
        <f>"200017868"</f>
        <v>200017868</v>
      </c>
      <c r="B4213" t="str">
        <f>"1770024077"</f>
        <v>1770024077</v>
      </c>
      <c r="C4213" t="str">
        <f>"207L00000X"</f>
        <v>207L00000X</v>
      </c>
      <c r="D4213" t="str">
        <f>"HOMRA                    AIMEE                    "</f>
        <v xml:space="preserve">HOMRA                    AIMEE                    </v>
      </c>
      <c r="E4213" t="str">
        <f>"NEW ORLEANS               "</f>
        <v xml:space="preserve">NEW ORLEANS               </v>
      </c>
      <c r="F4213" t="str">
        <f t="shared" si="170"/>
        <v>LA</v>
      </c>
    </row>
    <row r="4214" spans="1:6" x14ac:dyDescent="0.25">
      <c r="A4214" t="str">
        <f>"200017870"</f>
        <v>200017870</v>
      </c>
      <c r="B4214" t="str">
        <f>"1336702810"</f>
        <v>1336702810</v>
      </c>
      <c r="C4214" t="str">
        <f>"2080P0214X"</f>
        <v>2080P0214X</v>
      </c>
      <c r="D4214" t="str">
        <f>"ABORAWI                  NASR                     "</f>
        <v xml:space="preserve">ABORAWI                  NASR                     </v>
      </c>
      <c r="E4214" t="str">
        <f>"NEW ORLEANS               "</f>
        <v xml:space="preserve">NEW ORLEANS               </v>
      </c>
      <c r="F4214" t="str">
        <f t="shared" si="170"/>
        <v>LA</v>
      </c>
    </row>
    <row r="4215" spans="1:6" x14ac:dyDescent="0.25">
      <c r="A4215" t="str">
        <f>"200017884"</f>
        <v>200017884</v>
      </c>
      <c r="B4215" t="str">
        <f>"1114692936"</f>
        <v>1114692936</v>
      </c>
      <c r="C4215" t="str">
        <f>"207R00000X"</f>
        <v>207R00000X</v>
      </c>
      <c r="D4215" t="str">
        <f>"HAUPT                    CARL                     "</f>
        <v xml:space="preserve">HAUPT                    CARL                     </v>
      </c>
      <c r="E4215" t="str">
        <f>"KENNER                    "</f>
        <v xml:space="preserve">KENNER                    </v>
      </c>
      <c r="F4215" t="str">
        <f t="shared" si="170"/>
        <v>LA</v>
      </c>
    </row>
    <row r="4216" spans="1:6" x14ac:dyDescent="0.25">
      <c r="A4216" t="str">
        <f>"200017890"</f>
        <v>200017890</v>
      </c>
      <c r="B4216" t="str">
        <f>"1184217770"</f>
        <v>1184217770</v>
      </c>
      <c r="C4216" t="str">
        <f>"363LN0000X"</f>
        <v>363LN0000X</v>
      </c>
      <c r="D4216" t="str">
        <f>"CARMOUCHE                MANDY                    "</f>
        <v xml:space="preserve">CARMOUCHE                MANDY                    </v>
      </c>
      <c r="E4216" t="str">
        <f>"SLIDELL                   "</f>
        <v xml:space="preserve">SLIDELL                   </v>
      </c>
      <c r="F4216" t="str">
        <f t="shared" si="170"/>
        <v>LA</v>
      </c>
    </row>
    <row r="4217" spans="1:6" x14ac:dyDescent="0.25">
      <c r="A4217" t="str">
        <f>"200017919"</f>
        <v>200017919</v>
      </c>
      <c r="B4217" t="str">
        <f>"1346673191"</f>
        <v>1346673191</v>
      </c>
      <c r="C4217" t="str">
        <f>"363LF0000X"</f>
        <v>363LF0000X</v>
      </c>
      <c r="D4217" t="str">
        <f>"HAMBY                    DAVID                    "</f>
        <v xml:space="preserve">HAMBY                    DAVID                    </v>
      </c>
      <c r="E4217" t="str">
        <f>"METAIRIE                  "</f>
        <v xml:space="preserve">METAIRIE                  </v>
      </c>
      <c r="F4217" t="str">
        <f t="shared" si="170"/>
        <v>LA</v>
      </c>
    </row>
    <row r="4218" spans="1:6" x14ac:dyDescent="0.25">
      <c r="A4218" t="str">
        <f>"200017920"</f>
        <v>200017920</v>
      </c>
      <c r="B4218" t="str">
        <f>"1770235780"</f>
        <v>1770235780</v>
      </c>
      <c r="C4218" t="str">
        <f>"367500000X"</f>
        <v>367500000X</v>
      </c>
      <c r="D4218" t="str">
        <f>"MENDOZA                  QUINTA                   "</f>
        <v xml:space="preserve">MENDOZA                  QUINTA                   </v>
      </c>
      <c r="E4218" t="str">
        <f>"COVINGTON                 "</f>
        <v xml:space="preserve">COVINGTON                 </v>
      </c>
      <c r="F4218" t="str">
        <f t="shared" si="170"/>
        <v>LA</v>
      </c>
    </row>
    <row r="4219" spans="1:6" x14ac:dyDescent="0.25">
      <c r="A4219" t="str">
        <f>"200017926"</f>
        <v>200017926</v>
      </c>
      <c r="B4219" t="str">
        <f>"1275282709"</f>
        <v>1275282709</v>
      </c>
      <c r="C4219" t="str">
        <f>"207Q00000X"</f>
        <v>207Q00000X</v>
      </c>
      <c r="D4219" t="str">
        <f>"INMAN                    SHEA                     "</f>
        <v xml:space="preserve">INMAN                    SHEA                     </v>
      </c>
      <c r="E4219" t="str">
        <f>"MARKSVILLE                "</f>
        <v xml:space="preserve">MARKSVILLE                </v>
      </c>
      <c r="F4219" t="str">
        <f t="shared" si="170"/>
        <v>LA</v>
      </c>
    </row>
    <row r="4220" spans="1:6" x14ac:dyDescent="0.25">
      <c r="A4220" t="str">
        <f>"200017950"</f>
        <v>200017950</v>
      </c>
      <c r="B4220" t="str">
        <f>"1912492711"</f>
        <v>1912492711</v>
      </c>
      <c r="C4220" t="str">
        <f>"2080P0210X"</f>
        <v>2080P0210X</v>
      </c>
      <c r="D4220" t="str">
        <f>"SERRANO HERRERA          ILEANA                   "</f>
        <v xml:space="preserve">SERRANO HERRERA          ILEANA                   </v>
      </c>
      <c r="E4220" t="str">
        <f>"BATON ROUGE               "</f>
        <v xml:space="preserve">BATON ROUGE               </v>
      </c>
      <c r="F4220" t="str">
        <f t="shared" si="170"/>
        <v>LA</v>
      </c>
    </row>
    <row r="4221" spans="1:6" x14ac:dyDescent="0.25">
      <c r="A4221" t="str">
        <f>"200017956"</f>
        <v>200017956</v>
      </c>
      <c r="B4221" t="str">
        <f>"1720461387"</f>
        <v>1720461387</v>
      </c>
      <c r="C4221" t="str">
        <f>"2080P0207X"</f>
        <v>2080P0207X</v>
      </c>
      <c r="D4221" t="str">
        <f>"PEREDA GINOCCHIO         MARIA        A           "</f>
        <v xml:space="preserve">PEREDA GINOCCHIO         MARIA        A           </v>
      </c>
      <c r="E4221" t="str">
        <f>"NEW ORLEANS               "</f>
        <v xml:space="preserve">NEW ORLEANS               </v>
      </c>
      <c r="F4221" t="str">
        <f t="shared" si="170"/>
        <v>LA</v>
      </c>
    </row>
    <row r="4222" spans="1:6" x14ac:dyDescent="0.25">
      <c r="A4222" t="str">
        <f>"200017970"</f>
        <v>200017970</v>
      </c>
      <c r="B4222" t="str">
        <f>"1649203654"</f>
        <v>1649203654</v>
      </c>
      <c r="C4222" t="str">
        <f>"208800000X"</f>
        <v>208800000X</v>
      </c>
      <c r="D4222" t="str">
        <f>"VANLANGENDONCK           RICHARD      M           "</f>
        <v xml:space="preserve">VANLANGENDONCK           RICHARD      M           </v>
      </c>
      <c r="E4222" t="str">
        <f>"FERRIDAY                  "</f>
        <v xml:space="preserve">FERRIDAY                  </v>
      </c>
      <c r="F4222" t="str">
        <f t="shared" si="170"/>
        <v>LA</v>
      </c>
    </row>
    <row r="4223" spans="1:6" x14ac:dyDescent="0.25">
      <c r="A4223" t="str">
        <f>"200018008"</f>
        <v>200018008</v>
      </c>
      <c r="B4223" t="str">
        <f>"1396777421"</f>
        <v>1396777421</v>
      </c>
      <c r="C4223" t="str">
        <f>"207P00000X"</f>
        <v>207P00000X</v>
      </c>
      <c r="D4223" t="str">
        <f>"BENTON                   GREGORY                  "</f>
        <v xml:space="preserve">BENTON                   GREGORY                  </v>
      </c>
      <c r="E4223" t="str">
        <f>"METAIRIE                  "</f>
        <v xml:space="preserve">METAIRIE                  </v>
      </c>
      <c r="F4223" t="str">
        <f t="shared" si="170"/>
        <v>LA</v>
      </c>
    </row>
    <row r="4224" spans="1:6" x14ac:dyDescent="0.25">
      <c r="A4224" t="str">
        <f>"200018047"</f>
        <v>200018047</v>
      </c>
      <c r="B4224" t="str">
        <f>"1306945316"</f>
        <v>1306945316</v>
      </c>
      <c r="C4224" t="str">
        <f>"207P00000X"</f>
        <v>207P00000X</v>
      </c>
      <c r="D4224" t="str">
        <f>"BIRD                     RYAN                     "</f>
        <v xml:space="preserve">BIRD                     RYAN                     </v>
      </c>
      <c r="E4224" t="str">
        <f>"METAIRIE                  "</f>
        <v xml:space="preserve">METAIRIE                  </v>
      </c>
      <c r="F4224" t="str">
        <f t="shared" si="170"/>
        <v>LA</v>
      </c>
    </row>
    <row r="4225" spans="1:6" x14ac:dyDescent="0.25">
      <c r="A4225" t="str">
        <f>"200018053"</f>
        <v>200018053</v>
      </c>
      <c r="B4225" t="str">
        <f>"1346689742"</f>
        <v>1346689742</v>
      </c>
      <c r="C4225" t="str">
        <f>"207R00000X"</f>
        <v>207R00000X</v>
      </c>
      <c r="D4225" t="str">
        <f>"AYASH                    MOHAMED                  "</f>
        <v xml:space="preserve">AYASH                    MOHAMED                  </v>
      </c>
      <c r="E4225" t="str">
        <f>"NEW ORLEANS               "</f>
        <v xml:space="preserve">NEW ORLEANS               </v>
      </c>
      <c r="F4225" t="str">
        <f t="shared" si="170"/>
        <v>LA</v>
      </c>
    </row>
    <row r="4226" spans="1:6" x14ac:dyDescent="0.25">
      <c r="A4226" t="str">
        <f>"200018069"</f>
        <v>200018069</v>
      </c>
      <c r="B4226" t="str">
        <f>"1013741446"</f>
        <v>1013741446</v>
      </c>
      <c r="C4226" t="str">
        <f>"363A00000X"</f>
        <v>363A00000X</v>
      </c>
      <c r="D4226" t="str">
        <f>"DIMAGGIO                 RILEY                    "</f>
        <v xml:space="preserve">DIMAGGIO                 RILEY                    </v>
      </c>
      <c r="E4226" t="str">
        <f>"SLIDELL                   "</f>
        <v xml:space="preserve">SLIDELL                   </v>
      </c>
      <c r="F4226" t="str">
        <f t="shared" si="170"/>
        <v>LA</v>
      </c>
    </row>
    <row r="4227" spans="1:6" x14ac:dyDescent="0.25">
      <c r="A4227" t="str">
        <f>"200018071"</f>
        <v>200018071</v>
      </c>
      <c r="B4227" t="str">
        <f>"1508964990"</f>
        <v>1508964990</v>
      </c>
      <c r="C4227" t="str">
        <f>"2085R0202X"</f>
        <v>2085R0202X</v>
      </c>
      <c r="D4227" t="str">
        <f>"BISHOP                   LAURIE       A           "</f>
        <v xml:space="preserve">BISHOP                   LAURIE       A           </v>
      </c>
      <c r="E4227" t="str">
        <f>"SLIDELL                   "</f>
        <v xml:space="preserve">SLIDELL                   </v>
      </c>
      <c r="F4227" t="str">
        <f t="shared" si="170"/>
        <v>LA</v>
      </c>
    </row>
    <row r="4228" spans="1:6" x14ac:dyDescent="0.25">
      <c r="A4228" t="str">
        <f>"200018079"</f>
        <v>200018079</v>
      </c>
      <c r="B4228" t="str">
        <f>"1750840088"</f>
        <v>1750840088</v>
      </c>
      <c r="C4228" t="str">
        <f>"2085R0202X"</f>
        <v>2085R0202X</v>
      </c>
      <c r="D4228" t="str">
        <f>"SABOTTKE                 CARL                     "</f>
        <v xml:space="preserve">SABOTTKE                 CARL                     </v>
      </c>
      <c r="E4228" t="str">
        <f>"HAMMOND                   "</f>
        <v xml:space="preserve">HAMMOND                   </v>
      </c>
      <c r="F4228" t="str">
        <f t="shared" si="170"/>
        <v>LA</v>
      </c>
    </row>
    <row r="4229" spans="1:6" x14ac:dyDescent="0.25">
      <c r="A4229" t="str">
        <f>"200018080"</f>
        <v>200018080</v>
      </c>
      <c r="B4229" t="str">
        <f>"1689495228"</f>
        <v>1689495228</v>
      </c>
      <c r="C4229" t="str">
        <f>"363LP0200X"</f>
        <v>363LP0200X</v>
      </c>
      <c r="D4229" t="str">
        <f>"FLETTRICH                LAUREN                   "</f>
        <v xml:space="preserve">FLETTRICH                LAUREN                   </v>
      </c>
      <c r="E4229" t="str">
        <f>"NEW ORLEANS               "</f>
        <v xml:space="preserve">NEW ORLEANS               </v>
      </c>
      <c r="F4229" t="str">
        <f t="shared" si="170"/>
        <v>LA</v>
      </c>
    </row>
    <row r="4230" spans="1:6" x14ac:dyDescent="0.25">
      <c r="A4230" t="str">
        <f>"200018091"</f>
        <v>200018091</v>
      </c>
      <c r="B4230" t="str">
        <f>"1013777242"</f>
        <v>1013777242</v>
      </c>
      <c r="C4230" t="str">
        <f>"363LA2100X"</f>
        <v>363LA2100X</v>
      </c>
      <c r="D4230" t="str">
        <f>"WAX                      GARRETT                  "</f>
        <v xml:space="preserve">WAX                      GARRETT                  </v>
      </c>
      <c r="E4230" t="str">
        <f>"NEW ORLEANS               "</f>
        <v xml:space="preserve">NEW ORLEANS               </v>
      </c>
      <c r="F4230" t="str">
        <f t="shared" si="170"/>
        <v>LA</v>
      </c>
    </row>
    <row r="4231" spans="1:6" x14ac:dyDescent="0.25">
      <c r="A4231" t="str">
        <f>"200018116"</f>
        <v>200018116</v>
      </c>
      <c r="B4231" t="str">
        <f>"1447771845"</f>
        <v>1447771845</v>
      </c>
      <c r="C4231" t="str">
        <f>"207Y00000X"</f>
        <v>207Y00000X</v>
      </c>
      <c r="D4231" t="str">
        <f>"MILLER                   JONAS                    "</f>
        <v xml:space="preserve">MILLER                   JONAS                    </v>
      </c>
      <c r="E4231" t="str">
        <f>"NEW ORLEANS               "</f>
        <v xml:space="preserve">NEW ORLEANS               </v>
      </c>
      <c r="F4231" t="str">
        <f t="shared" si="170"/>
        <v>LA</v>
      </c>
    </row>
    <row r="4232" spans="1:6" x14ac:dyDescent="0.25">
      <c r="A4232" t="str">
        <f>"200018119"</f>
        <v>200018119</v>
      </c>
      <c r="B4232" t="str">
        <f>"1912140138"</f>
        <v>1912140138</v>
      </c>
      <c r="C4232" t="str">
        <f>"207P00000X"</f>
        <v>207P00000X</v>
      </c>
      <c r="D4232" t="str">
        <f>"WHITE                    STANFORD     K           "</f>
        <v xml:space="preserve">WHITE                    STANFORD     K           </v>
      </c>
      <c r="E4232" t="str">
        <f>"METAIRIE                  "</f>
        <v xml:space="preserve">METAIRIE                  </v>
      </c>
      <c r="F4232" t="str">
        <f t="shared" si="170"/>
        <v>LA</v>
      </c>
    </row>
    <row r="4233" spans="1:6" x14ac:dyDescent="0.25">
      <c r="A4233" t="str">
        <f>"200018127"</f>
        <v>200018127</v>
      </c>
      <c r="B4233" t="str">
        <f>"1114639259"</f>
        <v>1114639259</v>
      </c>
      <c r="C4233" t="str">
        <f>"367500000X"</f>
        <v>367500000X</v>
      </c>
      <c r="D4233" t="str">
        <f>"CUNTZ                    ASHLEY                   "</f>
        <v xml:space="preserve">CUNTZ                    ASHLEY                   </v>
      </c>
      <c r="E4233" t="str">
        <f>"COVINGTON                 "</f>
        <v xml:space="preserve">COVINGTON                 </v>
      </c>
      <c r="F4233" t="str">
        <f t="shared" si="170"/>
        <v>LA</v>
      </c>
    </row>
    <row r="4234" spans="1:6" x14ac:dyDescent="0.25">
      <c r="A4234" t="str">
        <f>"200018138"</f>
        <v>200018138</v>
      </c>
      <c r="B4234" t="str">
        <f>"1801280888"</f>
        <v>1801280888</v>
      </c>
      <c r="C4234" t="str">
        <f>"207P00000X"</f>
        <v>207P00000X</v>
      </c>
      <c r="D4234" t="str">
        <f>"KEDIA                    RONAK                    "</f>
        <v xml:space="preserve">KEDIA                    RONAK                    </v>
      </c>
      <c r="E4234" t="str">
        <f>"METAIRIE                  "</f>
        <v xml:space="preserve">METAIRIE                  </v>
      </c>
      <c r="F4234" t="str">
        <f t="shared" si="170"/>
        <v>LA</v>
      </c>
    </row>
    <row r="4235" spans="1:6" x14ac:dyDescent="0.25">
      <c r="A4235" t="str">
        <f>"200018147"</f>
        <v>200018147</v>
      </c>
      <c r="B4235" t="str">
        <f>"1548755572"</f>
        <v>1548755572</v>
      </c>
      <c r="C4235" t="str">
        <f>"207L00000X"</f>
        <v>207L00000X</v>
      </c>
      <c r="D4235" t="str">
        <f>"SINGH                    MANILA                   "</f>
        <v xml:space="preserve">SINGH                    MANILA                   </v>
      </c>
      <c r="E4235" t="str">
        <f>"NEW ORLEANS               "</f>
        <v xml:space="preserve">NEW ORLEANS               </v>
      </c>
      <c r="F4235" t="str">
        <f t="shared" si="170"/>
        <v>LA</v>
      </c>
    </row>
    <row r="4236" spans="1:6" x14ac:dyDescent="0.25">
      <c r="A4236" t="str">
        <f>"200018150"</f>
        <v>200018150</v>
      </c>
      <c r="B4236" t="str">
        <f>"1457062259"</f>
        <v>1457062259</v>
      </c>
      <c r="C4236" t="str">
        <f>"363LF0000X"</f>
        <v>363LF0000X</v>
      </c>
      <c r="D4236" t="str">
        <f>"JONES                    ASHANTA      R           "</f>
        <v xml:space="preserve">JONES                    ASHANTA      R           </v>
      </c>
      <c r="E4236" t="str">
        <f>"FERRIDAY                  "</f>
        <v xml:space="preserve">FERRIDAY                  </v>
      </c>
      <c r="F4236" t="str">
        <f t="shared" si="170"/>
        <v>LA</v>
      </c>
    </row>
    <row r="4237" spans="1:6" x14ac:dyDescent="0.25">
      <c r="A4237" t="str">
        <f>"200018235"</f>
        <v>200018235</v>
      </c>
      <c r="B4237" t="str">
        <f>"1801383914"</f>
        <v>1801383914</v>
      </c>
      <c r="C4237" t="str">
        <f>"207Q00000X"</f>
        <v>207Q00000X</v>
      </c>
      <c r="D4237" t="str">
        <f>"GANUCHEAU                ROSS                     "</f>
        <v xml:space="preserve">GANUCHEAU                ROSS                     </v>
      </c>
      <c r="E4237" t="str">
        <f>"SLIDELL                   "</f>
        <v xml:space="preserve">SLIDELL                   </v>
      </c>
      <c r="F4237" t="str">
        <f t="shared" si="170"/>
        <v>LA</v>
      </c>
    </row>
    <row r="4238" spans="1:6" x14ac:dyDescent="0.25">
      <c r="A4238" t="str">
        <f>"200018243"</f>
        <v>200018243</v>
      </c>
      <c r="B4238" t="str">
        <f>"1295902989"</f>
        <v>1295902989</v>
      </c>
      <c r="C4238" t="str">
        <f>"2080P0207X"</f>
        <v>2080P0207X</v>
      </c>
      <c r="D4238" t="str">
        <f>"FALCON                   COREY                    "</f>
        <v xml:space="preserve">FALCON                   COREY                    </v>
      </c>
      <c r="E4238" t="str">
        <f>"NEW ORLEANS               "</f>
        <v xml:space="preserve">NEW ORLEANS               </v>
      </c>
      <c r="F4238" t="str">
        <f t="shared" si="170"/>
        <v>LA</v>
      </c>
    </row>
    <row r="4239" spans="1:6" x14ac:dyDescent="0.25">
      <c r="A4239" t="str">
        <f>"200018244"</f>
        <v>200018244</v>
      </c>
      <c r="B4239" t="str">
        <f>"1114758653"</f>
        <v>1114758653</v>
      </c>
      <c r="C4239" t="str">
        <f>"363LF0000X"</f>
        <v>363LF0000X</v>
      </c>
      <c r="D4239" t="str">
        <f>"TOUART                   KELLY                    "</f>
        <v xml:space="preserve">TOUART                   KELLY                    </v>
      </c>
      <c r="E4239" t="str">
        <f>"JEFFERSON                 "</f>
        <v xml:space="preserve">JEFFERSON                 </v>
      </c>
      <c r="F4239" t="str">
        <f t="shared" si="170"/>
        <v>LA</v>
      </c>
    </row>
    <row r="4240" spans="1:6" x14ac:dyDescent="0.25">
      <c r="A4240" t="str">
        <f>"200018247"</f>
        <v>200018247</v>
      </c>
      <c r="B4240" t="str">
        <f>"1679952048"</f>
        <v>1679952048</v>
      </c>
      <c r="C4240" t="str">
        <f>"2086S0129X"</f>
        <v>2086S0129X</v>
      </c>
      <c r="D4240" t="str">
        <f>"HAYEK                    GENEVIEVE                "</f>
        <v xml:space="preserve">HAYEK                    GENEVIEVE                </v>
      </c>
      <c r="E4240" t="str">
        <f t="shared" ref="E4240:E4248" si="171">"NEW ORLEANS               "</f>
        <v xml:space="preserve">NEW ORLEANS               </v>
      </c>
      <c r="F4240" t="str">
        <f t="shared" si="170"/>
        <v>LA</v>
      </c>
    </row>
    <row r="4241" spans="1:6" x14ac:dyDescent="0.25">
      <c r="A4241" t="str">
        <f>"200018252"</f>
        <v>200018252</v>
      </c>
      <c r="B4241" t="str">
        <f>"1053501676"</f>
        <v>1053501676</v>
      </c>
      <c r="C4241" t="str">
        <f>"207RI0011X"</f>
        <v>207RI0011X</v>
      </c>
      <c r="D4241" t="str">
        <f>"GRANT                    ARTHUR                   "</f>
        <v xml:space="preserve">GRANT                    ARTHUR                   </v>
      </c>
      <c r="E4241" t="str">
        <f t="shared" si="171"/>
        <v xml:space="preserve">NEW ORLEANS               </v>
      </c>
      <c r="F4241" t="str">
        <f t="shared" si="170"/>
        <v>LA</v>
      </c>
    </row>
    <row r="4242" spans="1:6" x14ac:dyDescent="0.25">
      <c r="A4242" t="str">
        <f>"200018258"</f>
        <v>200018258</v>
      </c>
      <c r="B4242" t="str">
        <f>"1194221937"</f>
        <v>1194221937</v>
      </c>
      <c r="C4242" t="str">
        <f>"208000000X"</f>
        <v>208000000X</v>
      </c>
      <c r="D4242" t="str">
        <f>"KUMAR                    KRISHMA      K           "</f>
        <v xml:space="preserve">KUMAR                    KRISHMA      K           </v>
      </c>
      <c r="E4242" t="str">
        <f t="shared" si="171"/>
        <v xml:space="preserve">NEW ORLEANS               </v>
      </c>
      <c r="F4242" t="str">
        <f t="shared" si="170"/>
        <v>LA</v>
      </c>
    </row>
    <row r="4243" spans="1:6" x14ac:dyDescent="0.25">
      <c r="A4243" t="str">
        <f>"200018263"</f>
        <v>200018263</v>
      </c>
      <c r="B4243" t="str">
        <f>"1245823988"</f>
        <v>1245823988</v>
      </c>
      <c r="C4243" t="str">
        <f>"363L00000X"</f>
        <v>363L00000X</v>
      </c>
      <c r="D4243" t="str">
        <f>"CAMPO                    ASHLEY                   "</f>
        <v xml:space="preserve">CAMPO                    ASHLEY                   </v>
      </c>
      <c r="E4243" t="str">
        <f t="shared" si="171"/>
        <v xml:space="preserve">NEW ORLEANS               </v>
      </c>
      <c r="F4243" t="str">
        <f t="shared" si="170"/>
        <v>LA</v>
      </c>
    </row>
    <row r="4244" spans="1:6" x14ac:dyDescent="0.25">
      <c r="A4244" t="str">
        <f>"200018278"</f>
        <v>200018278</v>
      </c>
      <c r="B4244" t="str">
        <f>"1750744256"</f>
        <v>1750744256</v>
      </c>
      <c r="C4244" t="str">
        <f>"208G00000X"</f>
        <v>208G00000X</v>
      </c>
      <c r="D4244" t="str">
        <f>"PAGTEILAN                JOHN                     "</f>
        <v xml:space="preserve">PAGTEILAN                JOHN                     </v>
      </c>
      <c r="E4244" t="str">
        <f t="shared" si="171"/>
        <v xml:space="preserve">NEW ORLEANS               </v>
      </c>
      <c r="F4244" t="str">
        <f t="shared" si="170"/>
        <v>LA</v>
      </c>
    </row>
    <row r="4245" spans="1:6" x14ac:dyDescent="0.25">
      <c r="A4245" t="str">
        <f>"200018283"</f>
        <v>200018283</v>
      </c>
      <c r="B4245" t="str">
        <f>"1306687330"</f>
        <v>1306687330</v>
      </c>
      <c r="C4245" t="str">
        <f>"363A00000X"</f>
        <v>363A00000X</v>
      </c>
      <c r="D4245" t="str">
        <f>"TRAN                     SHIRLEY                  "</f>
        <v xml:space="preserve">TRAN                     SHIRLEY                  </v>
      </c>
      <c r="E4245" t="str">
        <f t="shared" si="171"/>
        <v xml:space="preserve">NEW ORLEANS               </v>
      </c>
      <c r="F4245" t="str">
        <f t="shared" si="170"/>
        <v>LA</v>
      </c>
    </row>
    <row r="4246" spans="1:6" x14ac:dyDescent="0.25">
      <c r="A4246" t="str">
        <f>"200018302"</f>
        <v>200018302</v>
      </c>
      <c r="B4246" t="str">
        <f>"1700820701"</f>
        <v>1700820701</v>
      </c>
      <c r="C4246" t="str">
        <f>"207RG0100X"</f>
        <v>207RG0100X</v>
      </c>
      <c r="D4246" t="str">
        <f>"SMITH                    JAMES        W           "</f>
        <v xml:space="preserve">SMITH                    JAMES        W           </v>
      </c>
      <c r="E4246" t="str">
        <f t="shared" si="171"/>
        <v xml:space="preserve">NEW ORLEANS               </v>
      </c>
      <c r="F4246" t="str">
        <f t="shared" si="170"/>
        <v>LA</v>
      </c>
    </row>
    <row r="4247" spans="1:6" x14ac:dyDescent="0.25">
      <c r="A4247" t="str">
        <f>"200018303"</f>
        <v>200018303</v>
      </c>
      <c r="B4247" t="str">
        <f>"1740700772"</f>
        <v>1740700772</v>
      </c>
      <c r="C4247" t="str">
        <f>"207VM0101X"</f>
        <v>207VM0101X</v>
      </c>
      <c r="D4247" t="str">
        <f>"PENEVA                   RALITZA      H           "</f>
        <v xml:space="preserve">PENEVA                   RALITZA      H           </v>
      </c>
      <c r="E4247" t="str">
        <f t="shared" si="171"/>
        <v xml:space="preserve">NEW ORLEANS               </v>
      </c>
      <c r="F4247" t="str">
        <f t="shared" si="170"/>
        <v>LA</v>
      </c>
    </row>
    <row r="4248" spans="1:6" x14ac:dyDescent="0.25">
      <c r="A4248" t="str">
        <f>"200018333"</f>
        <v>200018333</v>
      </c>
      <c r="B4248" t="str">
        <f>"1861984460"</f>
        <v>1861984460</v>
      </c>
      <c r="C4248" t="str">
        <f>"2084N0400X"</f>
        <v>2084N0400X</v>
      </c>
      <c r="D4248" t="str">
        <f>"PAULK                    KYLE                     "</f>
        <v xml:space="preserve">PAULK                    KYLE                     </v>
      </c>
      <c r="E4248" t="str">
        <f t="shared" si="171"/>
        <v xml:space="preserve">NEW ORLEANS               </v>
      </c>
      <c r="F4248" t="str">
        <f t="shared" si="170"/>
        <v>LA</v>
      </c>
    </row>
    <row r="4249" spans="1:6" x14ac:dyDescent="0.25">
      <c r="A4249" t="str">
        <f>"200018338"</f>
        <v>200018338</v>
      </c>
      <c r="B4249" t="str">
        <f>"1235975830"</f>
        <v>1235975830</v>
      </c>
      <c r="C4249" t="str">
        <f>"363A00000X"</f>
        <v>363A00000X</v>
      </c>
      <c r="D4249" t="str">
        <f>"SAUHING                  ALEJANDRA                "</f>
        <v xml:space="preserve">SAUHING                  ALEJANDRA                </v>
      </c>
      <c r="E4249" t="str">
        <f>"BATON ROUGE               "</f>
        <v xml:space="preserve">BATON ROUGE               </v>
      </c>
      <c r="F4249" t="str">
        <f t="shared" si="170"/>
        <v>LA</v>
      </c>
    </row>
    <row r="4250" spans="1:6" x14ac:dyDescent="0.25">
      <c r="A4250" t="str">
        <f>"200018362"</f>
        <v>200018362</v>
      </c>
      <c r="B4250" t="str">
        <f>"1497945026"</f>
        <v>1497945026</v>
      </c>
      <c r="C4250" t="str">
        <f>"207RI0200X"</f>
        <v>207RI0200X</v>
      </c>
      <c r="D4250" t="str">
        <f>"NJOKU                    PATRICK                  "</f>
        <v xml:space="preserve">NJOKU                    PATRICK                  </v>
      </c>
      <c r="E4250" t="str">
        <f>"SLIDELL                   "</f>
        <v xml:space="preserve">SLIDELL                   </v>
      </c>
      <c r="F4250" t="str">
        <f t="shared" si="170"/>
        <v>LA</v>
      </c>
    </row>
    <row r="4251" spans="1:6" x14ac:dyDescent="0.25">
      <c r="A4251" t="str">
        <f>"200018363"</f>
        <v>200018363</v>
      </c>
      <c r="B4251" t="str">
        <f>"1558014712"</f>
        <v>1558014712</v>
      </c>
      <c r="C4251" t="str">
        <f>"367500000X"</f>
        <v>367500000X</v>
      </c>
      <c r="D4251" t="str">
        <f>"TOOMER                   AIMEE        B           "</f>
        <v xml:space="preserve">TOOMER                   AIMEE        B           </v>
      </c>
      <c r="E4251" t="str">
        <f>"COVINGTON                 "</f>
        <v xml:space="preserve">COVINGTON                 </v>
      </c>
      <c r="F4251" t="str">
        <f t="shared" ref="F4251:F4314" si="172">"LA"</f>
        <v>LA</v>
      </c>
    </row>
    <row r="4252" spans="1:6" x14ac:dyDescent="0.25">
      <c r="A4252" t="str">
        <f>"200018369"</f>
        <v>200018369</v>
      </c>
      <c r="B4252" t="str">
        <f>"1922448372"</f>
        <v>1922448372</v>
      </c>
      <c r="C4252" t="str">
        <f>"207RN0300X"</f>
        <v>207RN0300X</v>
      </c>
      <c r="D4252" t="str">
        <f>"LEBLANC                  BRONWYN                  "</f>
        <v xml:space="preserve">LEBLANC                  BRONWYN                  </v>
      </c>
      <c r="E4252" t="str">
        <f>"GRETNA                    "</f>
        <v xml:space="preserve">GRETNA                    </v>
      </c>
      <c r="F4252" t="str">
        <f t="shared" si="172"/>
        <v>LA</v>
      </c>
    </row>
    <row r="4253" spans="1:6" x14ac:dyDescent="0.25">
      <c r="A4253" t="str">
        <f>"200018370"</f>
        <v>200018370</v>
      </c>
      <c r="B4253" t="str">
        <f>"1487405239"</f>
        <v>1487405239</v>
      </c>
      <c r="C4253" t="str">
        <f>"363AM0700X"</f>
        <v>363AM0700X</v>
      </c>
      <c r="D4253" t="str">
        <f>"AL BUSAIDY               SAHRAN                   "</f>
        <v xml:space="preserve">AL BUSAIDY               SAHRAN                   </v>
      </c>
      <c r="E4253" t="str">
        <f>"NEW ORLEANS               "</f>
        <v xml:space="preserve">NEW ORLEANS               </v>
      </c>
      <c r="F4253" t="str">
        <f t="shared" si="172"/>
        <v>LA</v>
      </c>
    </row>
    <row r="4254" spans="1:6" x14ac:dyDescent="0.25">
      <c r="A4254" t="str">
        <f>"200018375"</f>
        <v>200018375</v>
      </c>
      <c r="B4254" t="str">
        <f>"1720713894"</f>
        <v>1720713894</v>
      </c>
      <c r="C4254" t="str">
        <f>"363A00000X"</f>
        <v>363A00000X</v>
      </c>
      <c r="D4254" t="str">
        <f>"MARSHALL                 KELSEY                   "</f>
        <v xml:space="preserve">MARSHALL                 KELSEY                   </v>
      </c>
      <c r="E4254" t="str">
        <f>"SLIDELL                   "</f>
        <v xml:space="preserve">SLIDELL                   </v>
      </c>
      <c r="F4254" t="str">
        <f t="shared" si="172"/>
        <v>LA</v>
      </c>
    </row>
    <row r="4255" spans="1:6" x14ac:dyDescent="0.25">
      <c r="A4255" t="str">
        <f>"200018383"</f>
        <v>200018383</v>
      </c>
      <c r="B4255" t="str">
        <f>"1184165276"</f>
        <v>1184165276</v>
      </c>
      <c r="C4255" t="str">
        <f>"363LF0000X"</f>
        <v>363LF0000X</v>
      </c>
      <c r="D4255" t="str">
        <f>"MALBROUGH                BRADY                    "</f>
        <v xml:space="preserve">MALBROUGH                BRADY                    </v>
      </c>
      <c r="E4255" t="str">
        <f>"METAIRIE                  "</f>
        <v xml:space="preserve">METAIRIE                  </v>
      </c>
      <c r="F4255" t="str">
        <f t="shared" si="172"/>
        <v>LA</v>
      </c>
    </row>
    <row r="4256" spans="1:6" x14ac:dyDescent="0.25">
      <c r="A4256" t="str">
        <f>"200018392"</f>
        <v>200018392</v>
      </c>
      <c r="B4256" t="str">
        <f>"1396069308"</f>
        <v>1396069308</v>
      </c>
      <c r="C4256" t="str">
        <f>"207X00000X"</f>
        <v>207X00000X</v>
      </c>
      <c r="D4256" t="str">
        <f>"FAUST                    KATHERINE                "</f>
        <v xml:space="preserve">FAUST                    KATHERINE                </v>
      </c>
      <c r="E4256" t="str">
        <f>"NEW ORLEANS               "</f>
        <v xml:space="preserve">NEW ORLEANS               </v>
      </c>
      <c r="F4256" t="str">
        <f t="shared" si="172"/>
        <v>LA</v>
      </c>
    </row>
    <row r="4257" spans="1:6" x14ac:dyDescent="0.25">
      <c r="A4257" t="str">
        <f>"200018402"</f>
        <v>200018402</v>
      </c>
      <c r="B4257" t="str">
        <f>"1437390499"</f>
        <v>1437390499</v>
      </c>
      <c r="C4257" t="str">
        <f>"2085R0202X"</f>
        <v>2085R0202X</v>
      </c>
      <c r="D4257" t="str">
        <f>"STONE                    ANDREW                   "</f>
        <v xml:space="preserve">STONE                    ANDREW                   </v>
      </c>
      <c r="E4257" t="str">
        <f>"BATON ROUGE               "</f>
        <v xml:space="preserve">BATON ROUGE               </v>
      </c>
      <c r="F4257" t="str">
        <f t="shared" si="172"/>
        <v>LA</v>
      </c>
    </row>
    <row r="4258" spans="1:6" x14ac:dyDescent="0.25">
      <c r="A4258" t="str">
        <f>"200018414"</f>
        <v>200018414</v>
      </c>
      <c r="B4258" t="str">
        <f>"1821726340"</f>
        <v>1821726340</v>
      </c>
      <c r="C4258" t="str">
        <f>"363L00000X"</f>
        <v>363L00000X</v>
      </c>
      <c r="D4258" t="str">
        <f>"LACOUR                   EMILY        M           "</f>
        <v xml:space="preserve">LACOUR                   EMILY        M           </v>
      </c>
      <c r="E4258" t="str">
        <f>"METAIRIE                  "</f>
        <v xml:space="preserve">METAIRIE                  </v>
      </c>
      <c r="F4258" t="str">
        <f t="shared" si="172"/>
        <v>LA</v>
      </c>
    </row>
    <row r="4259" spans="1:6" x14ac:dyDescent="0.25">
      <c r="A4259" t="str">
        <f>"200018431"</f>
        <v>200018431</v>
      </c>
      <c r="B4259" t="str">
        <f>"1609617018"</f>
        <v>1609617018</v>
      </c>
      <c r="C4259" t="str">
        <f>"363LF0000X"</f>
        <v>363LF0000X</v>
      </c>
      <c r="D4259" t="str">
        <f>"LIER                     LISA         M           "</f>
        <v xml:space="preserve">LIER                     LISA         M           </v>
      </c>
      <c r="E4259" t="str">
        <f>"NEW ORLEANS               "</f>
        <v xml:space="preserve">NEW ORLEANS               </v>
      </c>
      <c r="F4259" t="str">
        <f t="shared" si="172"/>
        <v>LA</v>
      </c>
    </row>
    <row r="4260" spans="1:6" x14ac:dyDescent="0.25">
      <c r="A4260" t="str">
        <f>"200018449"</f>
        <v>200018449</v>
      </c>
      <c r="B4260" t="str">
        <f>"1205697729"</f>
        <v>1205697729</v>
      </c>
      <c r="C4260" t="str">
        <f>"363LP0808X"</f>
        <v>363LP0808X</v>
      </c>
      <c r="D4260" t="str">
        <f>"SANTANGELO               MICHAEL                  "</f>
        <v xml:space="preserve">SANTANGELO               MICHAEL                  </v>
      </c>
      <c r="E4260" t="str">
        <f>"MANDEVILLE                "</f>
        <v xml:space="preserve">MANDEVILLE                </v>
      </c>
      <c r="F4260" t="str">
        <f t="shared" si="172"/>
        <v>LA</v>
      </c>
    </row>
    <row r="4261" spans="1:6" x14ac:dyDescent="0.25">
      <c r="A4261" t="str">
        <f>"200018454"</f>
        <v>200018454</v>
      </c>
      <c r="B4261" t="str">
        <f>"1245402817"</f>
        <v>1245402817</v>
      </c>
      <c r="C4261" t="str">
        <f>"207R00000X"</f>
        <v>207R00000X</v>
      </c>
      <c r="D4261" t="str">
        <f>"NORD                     JOHN         W           "</f>
        <v xml:space="preserve">NORD                     JOHN         W           </v>
      </c>
      <c r="E4261" t="str">
        <f>"NEW ORLEANS               "</f>
        <v xml:space="preserve">NEW ORLEANS               </v>
      </c>
      <c r="F4261" t="str">
        <f t="shared" si="172"/>
        <v>LA</v>
      </c>
    </row>
    <row r="4262" spans="1:6" x14ac:dyDescent="0.25">
      <c r="A4262" t="str">
        <f>"200018463"</f>
        <v>200018463</v>
      </c>
      <c r="B4262" t="str">
        <f>"1962792291"</f>
        <v>1962792291</v>
      </c>
      <c r="C4262" t="str">
        <f>"208C00000X"</f>
        <v>208C00000X</v>
      </c>
      <c r="D4262" t="str">
        <f>"ZELHART                  MATTHEW                  "</f>
        <v xml:space="preserve">ZELHART                  MATTHEW                  </v>
      </c>
      <c r="E4262" t="str">
        <f>"NEW ORLEANS               "</f>
        <v xml:space="preserve">NEW ORLEANS               </v>
      </c>
      <c r="F4262" t="str">
        <f t="shared" si="172"/>
        <v>LA</v>
      </c>
    </row>
    <row r="4263" spans="1:6" x14ac:dyDescent="0.25">
      <c r="A4263" t="str">
        <f>"200018469"</f>
        <v>200018469</v>
      </c>
      <c r="B4263" t="str">
        <f>"1740556000"</f>
        <v>1740556000</v>
      </c>
      <c r="C4263" t="str">
        <f>"207P00000X"</f>
        <v>207P00000X</v>
      </c>
      <c r="D4263" t="str">
        <f>"FREW                     WILLIAM                  "</f>
        <v xml:space="preserve">FREW                     WILLIAM                  </v>
      </c>
      <c r="E4263" t="str">
        <f>"KENNER                    "</f>
        <v xml:space="preserve">KENNER                    </v>
      </c>
      <c r="F4263" t="str">
        <f t="shared" si="172"/>
        <v>LA</v>
      </c>
    </row>
    <row r="4264" spans="1:6" x14ac:dyDescent="0.25">
      <c r="A4264" t="str">
        <f>"200018487"</f>
        <v>200018487</v>
      </c>
      <c r="B4264" t="str">
        <f>"1629798459"</f>
        <v>1629798459</v>
      </c>
      <c r="C4264" t="str">
        <f>"367500000X"</f>
        <v>367500000X</v>
      </c>
      <c r="D4264" t="str">
        <f>"REEKS                    ADRIANNE                 "</f>
        <v xml:space="preserve">REEKS                    ADRIANNE                 </v>
      </c>
      <c r="E4264" t="str">
        <f>"NEW ORLEANS               "</f>
        <v xml:space="preserve">NEW ORLEANS               </v>
      </c>
      <c r="F4264" t="str">
        <f t="shared" si="172"/>
        <v>LA</v>
      </c>
    </row>
    <row r="4265" spans="1:6" x14ac:dyDescent="0.25">
      <c r="A4265" t="str">
        <f>"200018494"</f>
        <v>200018494</v>
      </c>
      <c r="B4265" t="str">
        <f>"1598503740"</f>
        <v>1598503740</v>
      </c>
      <c r="C4265" t="str">
        <f>"363A00000X"</f>
        <v>363A00000X</v>
      </c>
      <c r="D4265" t="str">
        <f>"GUIDRY                   CODY                     "</f>
        <v xml:space="preserve">GUIDRY                   CODY                     </v>
      </c>
      <c r="E4265" t="str">
        <f>"NEW ORLEANS               "</f>
        <v xml:space="preserve">NEW ORLEANS               </v>
      </c>
      <c r="F4265" t="str">
        <f t="shared" si="172"/>
        <v>LA</v>
      </c>
    </row>
    <row r="4266" spans="1:6" x14ac:dyDescent="0.25">
      <c r="A4266" t="str">
        <f>"200018565"</f>
        <v>200018565</v>
      </c>
      <c r="B4266" t="str">
        <f>"1508006933"</f>
        <v>1508006933</v>
      </c>
      <c r="C4266" t="str">
        <f>"207P00000X"</f>
        <v>207P00000X</v>
      </c>
      <c r="D4266" t="str">
        <f>"WEISSMANN JR             ROBERT       C           "</f>
        <v xml:space="preserve">WEISSMANN JR             ROBERT       C           </v>
      </c>
      <c r="E4266" t="str">
        <f>"BOGALUSA                  "</f>
        <v xml:space="preserve">BOGALUSA                  </v>
      </c>
      <c r="F4266" t="str">
        <f t="shared" si="172"/>
        <v>LA</v>
      </c>
    </row>
    <row r="4267" spans="1:6" x14ac:dyDescent="0.25">
      <c r="A4267" t="str">
        <f>"200018569"</f>
        <v>200018569</v>
      </c>
      <c r="B4267" t="str">
        <f>"1851482186"</f>
        <v>1851482186</v>
      </c>
      <c r="C4267" t="str">
        <f>"208600000X"</f>
        <v>208600000X</v>
      </c>
      <c r="D4267" t="str">
        <f>"GORDON                   JOHN                     "</f>
        <v xml:space="preserve">GORDON                   JOHN                     </v>
      </c>
      <c r="E4267" t="str">
        <f>"NEW ORLEANS               "</f>
        <v xml:space="preserve">NEW ORLEANS               </v>
      </c>
      <c r="F4267" t="str">
        <f t="shared" si="172"/>
        <v>LA</v>
      </c>
    </row>
    <row r="4268" spans="1:6" x14ac:dyDescent="0.25">
      <c r="A4268" t="str">
        <f>"200018636"</f>
        <v>200018636</v>
      </c>
      <c r="B4268" t="str">
        <f>"1821830779"</f>
        <v>1821830779</v>
      </c>
      <c r="C4268" t="str">
        <f>"367500000X"</f>
        <v>367500000X</v>
      </c>
      <c r="D4268" t="str">
        <f>"MATLOCK                  HALEY                    "</f>
        <v xml:space="preserve">MATLOCK                  HALEY                    </v>
      </c>
      <c r="E4268" t="str">
        <f>"KENNER                    "</f>
        <v xml:space="preserve">KENNER                    </v>
      </c>
      <c r="F4268" t="str">
        <f t="shared" si="172"/>
        <v>LA</v>
      </c>
    </row>
    <row r="4269" spans="1:6" x14ac:dyDescent="0.25">
      <c r="A4269" t="str">
        <f>"200018653"</f>
        <v>200018653</v>
      </c>
      <c r="B4269" t="str">
        <f>"1033320577"</f>
        <v>1033320577</v>
      </c>
      <c r="C4269" t="str">
        <f>"2084P0804X"</f>
        <v>2084P0804X</v>
      </c>
      <c r="D4269" t="str">
        <f>"WAGNER III               JOHN                     "</f>
        <v xml:space="preserve">WAGNER III               JOHN                     </v>
      </c>
      <c r="E4269" t="str">
        <f>"SHREVEPORT                "</f>
        <v xml:space="preserve">SHREVEPORT                </v>
      </c>
      <c r="F4269" t="str">
        <f t="shared" si="172"/>
        <v>LA</v>
      </c>
    </row>
    <row r="4270" spans="1:6" x14ac:dyDescent="0.25">
      <c r="A4270" t="str">
        <f>"200018656"</f>
        <v>200018656</v>
      </c>
      <c r="B4270" t="str">
        <f>"1548227549"</f>
        <v>1548227549</v>
      </c>
      <c r="C4270" t="str">
        <f>"2086S0120X"</f>
        <v>2086S0120X</v>
      </c>
      <c r="D4270" t="str">
        <f>"ADOLPH                   VINCENT                  "</f>
        <v xml:space="preserve">ADOLPH                   VINCENT                  </v>
      </c>
      <c r="E4270" t="str">
        <f>"NEW ORLEANS               "</f>
        <v xml:space="preserve">NEW ORLEANS               </v>
      </c>
      <c r="F4270" t="str">
        <f t="shared" si="172"/>
        <v>LA</v>
      </c>
    </row>
    <row r="4271" spans="1:6" x14ac:dyDescent="0.25">
      <c r="A4271" t="str">
        <f>"200018674"</f>
        <v>200018674</v>
      </c>
      <c r="B4271" t="str">
        <f>"1174782783"</f>
        <v>1174782783</v>
      </c>
      <c r="C4271" t="str">
        <f>"208000000X"</f>
        <v>208000000X</v>
      </c>
      <c r="D4271" t="str">
        <f>"ENGLAND                  AMANDA                   "</f>
        <v xml:space="preserve">ENGLAND                  AMANDA                   </v>
      </c>
      <c r="E4271" t="str">
        <f>"NEW ORLEANS               "</f>
        <v xml:space="preserve">NEW ORLEANS               </v>
      </c>
      <c r="F4271" t="str">
        <f t="shared" si="172"/>
        <v>LA</v>
      </c>
    </row>
    <row r="4272" spans="1:6" x14ac:dyDescent="0.25">
      <c r="A4272" t="str">
        <f>"200018715"</f>
        <v>200018715</v>
      </c>
      <c r="B4272" t="str">
        <f>"1255648010"</f>
        <v>1255648010</v>
      </c>
      <c r="C4272" t="str">
        <f>"207Q00000X"</f>
        <v>207Q00000X</v>
      </c>
      <c r="D4272" t="str">
        <f>"OGDEN                    CORY         A           "</f>
        <v xml:space="preserve">OGDEN                    CORY         A           </v>
      </c>
      <c r="E4272" t="str">
        <f>"NEW ORLEANS               "</f>
        <v xml:space="preserve">NEW ORLEANS               </v>
      </c>
      <c r="F4272" t="str">
        <f t="shared" si="172"/>
        <v>LA</v>
      </c>
    </row>
    <row r="4273" spans="1:6" x14ac:dyDescent="0.25">
      <c r="A4273" t="str">
        <f>"200018730"</f>
        <v>200018730</v>
      </c>
      <c r="B4273" t="str">
        <f>"1831117258"</f>
        <v>1831117258</v>
      </c>
      <c r="C4273" t="str">
        <f>"2080P0203X"</f>
        <v>2080P0203X</v>
      </c>
      <c r="D4273" t="str">
        <f>"GUPTA                    PUNKAJ                   "</f>
        <v xml:space="preserve">GUPTA                    PUNKAJ                   </v>
      </c>
      <c r="E4273" t="str">
        <f>"NEW ORLEANS               "</f>
        <v xml:space="preserve">NEW ORLEANS               </v>
      </c>
      <c r="F4273" t="str">
        <f t="shared" si="172"/>
        <v>LA</v>
      </c>
    </row>
    <row r="4274" spans="1:6" x14ac:dyDescent="0.25">
      <c r="A4274" t="str">
        <f>"200018739"</f>
        <v>200018739</v>
      </c>
      <c r="B4274" t="str">
        <f>"1194817411"</f>
        <v>1194817411</v>
      </c>
      <c r="C4274" t="str">
        <f>"2085R0001X"</f>
        <v>2085R0001X</v>
      </c>
      <c r="D4274" t="str">
        <f>"KING JR                  MAURICE      L           "</f>
        <v xml:space="preserve">KING JR                  MAURICE      L           </v>
      </c>
      <c r="E4274" t="str">
        <f>"BATON ROUGE               "</f>
        <v xml:space="preserve">BATON ROUGE               </v>
      </c>
      <c r="F4274" t="str">
        <f t="shared" si="172"/>
        <v>LA</v>
      </c>
    </row>
    <row r="4275" spans="1:6" x14ac:dyDescent="0.25">
      <c r="A4275" t="str">
        <f>"200018751"</f>
        <v>200018751</v>
      </c>
      <c r="B4275" t="str">
        <f>"1811767536"</f>
        <v>1811767536</v>
      </c>
      <c r="C4275" t="str">
        <f>"363L00000X"</f>
        <v>363L00000X</v>
      </c>
      <c r="D4275" t="str">
        <f>"COTTEN                   COBY                     "</f>
        <v xml:space="preserve">COTTEN                   COBY                     </v>
      </c>
      <c r="E4275" t="str">
        <f>"FERRIDAY                  "</f>
        <v xml:space="preserve">FERRIDAY                  </v>
      </c>
      <c r="F4275" t="str">
        <f t="shared" si="172"/>
        <v>LA</v>
      </c>
    </row>
    <row r="4276" spans="1:6" x14ac:dyDescent="0.25">
      <c r="A4276" t="str">
        <f>"200018753"</f>
        <v>200018753</v>
      </c>
      <c r="B4276" t="str">
        <f>"1427582972"</f>
        <v>1427582972</v>
      </c>
      <c r="C4276" t="str">
        <f>"207RG0100X"</f>
        <v>207RG0100X</v>
      </c>
      <c r="D4276" t="str">
        <f>"GOMEZ                    PAUL                     "</f>
        <v xml:space="preserve">GOMEZ                    PAUL                     </v>
      </c>
      <c r="E4276" t="str">
        <f>"NEW ORLEANS               "</f>
        <v xml:space="preserve">NEW ORLEANS               </v>
      </c>
      <c r="F4276" t="str">
        <f t="shared" si="172"/>
        <v>LA</v>
      </c>
    </row>
    <row r="4277" spans="1:6" x14ac:dyDescent="0.25">
      <c r="A4277" t="str">
        <f>"200018769"</f>
        <v>200018769</v>
      </c>
      <c r="B4277" t="str">
        <f>"1790984276"</f>
        <v>1790984276</v>
      </c>
      <c r="C4277" t="str">
        <f>"2084P0800X"</f>
        <v>2084P0800X</v>
      </c>
      <c r="D4277" t="str">
        <f>"MASHBURN                 MANON                    "</f>
        <v xml:space="preserve">MASHBURN                 MANON                    </v>
      </c>
      <c r="E4277" t="str">
        <f>"NEW ORLEANS               "</f>
        <v xml:space="preserve">NEW ORLEANS               </v>
      </c>
      <c r="F4277" t="str">
        <f t="shared" si="172"/>
        <v>LA</v>
      </c>
    </row>
    <row r="4278" spans="1:6" x14ac:dyDescent="0.25">
      <c r="A4278" t="str">
        <f>"200018772"</f>
        <v>200018772</v>
      </c>
      <c r="B4278" t="str">
        <f>"1124126388"</f>
        <v>1124126388</v>
      </c>
      <c r="C4278" t="str">
        <f>"207P00000X"</f>
        <v>207P00000X</v>
      </c>
      <c r="D4278" t="str">
        <f>"CUBA                     JON                      "</f>
        <v xml:space="preserve">CUBA                     JON                      </v>
      </c>
      <c r="E4278" t="str">
        <f>"KENNER                    "</f>
        <v xml:space="preserve">KENNER                    </v>
      </c>
      <c r="F4278" t="str">
        <f t="shared" si="172"/>
        <v>LA</v>
      </c>
    </row>
    <row r="4279" spans="1:6" x14ac:dyDescent="0.25">
      <c r="A4279" t="str">
        <f>"200018797"</f>
        <v>200018797</v>
      </c>
      <c r="B4279" t="str">
        <f>"1548205362"</f>
        <v>1548205362</v>
      </c>
      <c r="C4279" t="str">
        <f>"2084N0400X"</f>
        <v>2084N0400X</v>
      </c>
      <c r="D4279" t="str">
        <f>"FIORE                    RONALD       C           "</f>
        <v xml:space="preserve">FIORE                    RONALD       C           </v>
      </c>
      <c r="E4279" t="str">
        <f>"NEW ORLEANS               "</f>
        <v xml:space="preserve">NEW ORLEANS               </v>
      </c>
      <c r="F4279" t="str">
        <f t="shared" si="172"/>
        <v>LA</v>
      </c>
    </row>
    <row r="4280" spans="1:6" x14ac:dyDescent="0.25">
      <c r="A4280" t="str">
        <f>"200018802"</f>
        <v>200018802</v>
      </c>
      <c r="B4280" t="str">
        <f>"1770321697"</f>
        <v>1770321697</v>
      </c>
      <c r="C4280" t="str">
        <f>"363LA2100X"</f>
        <v>363LA2100X</v>
      </c>
      <c r="D4280" t="str">
        <f>"SMITH                    TERIKA       J           "</f>
        <v xml:space="preserve">SMITH                    TERIKA       J           </v>
      </c>
      <c r="E4280" t="str">
        <f>"NEW ORLEANS               "</f>
        <v xml:space="preserve">NEW ORLEANS               </v>
      </c>
      <c r="F4280" t="str">
        <f t="shared" si="172"/>
        <v>LA</v>
      </c>
    </row>
    <row r="4281" spans="1:6" x14ac:dyDescent="0.25">
      <c r="A4281" t="str">
        <f>"200018817"</f>
        <v>200018817</v>
      </c>
      <c r="B4281" t="str">
        <f>"1568816676"</f>
        <v>1568816676</v>
      </c>
      <c r="C4281" t="str">
        <f>"207P00000X"</f>
        <v>207P00000X</v>
      </c>
      <c r="D4281" t="str">
        <f>"AMMON                    BRANDON                  "</f>
        <v xml:space="preserve">AMMON                    BRANDON                  </v>
      </c>
      <c r="E4281" t="str">
        <f>"KENNER                    "</f>
        <v xml:space="preserve">KENNER                    </v>
      </c>
      <c r="F4281" t="str">
        <f t="shared" si="172"/>
        <v>LA</v>
      </c>
    </row>
    <row r="4282" spans="1:6" x14ac:dyDescent="0.25">
      <c r="A4282" t="str">
        <f>"200018919"</f>
        <v>200018919</v>
      </c>
      <c r="B4282" t="str">
        <f>"1114014537"</f>
        <v>1114014537</v>
      </c>
      <c r="C4282" t="str">
        <f>"208600000X"</f>
        <v>208600000X</v>
      </c>
      <c r="D4282" t="str">
        <f>"BOWIE                    MINDY                    "</f>
        <v xml:space="preserve">BOWIE                    MINDY                    </v>
      </c>
      <c r="E4282" t="str">
        <f>"BATON ROUGE               "</f>
        <v xml:space="preserve">BATON ROUGE               </v>
      </c>
      <c r="F4282" t="str">
        <f t="shared" si="172"/>
        <v>LA</v>
      </c>
    </row>
    <row r="4283" spans="1:6" x14ac:dyDescent="0.25">
      <c r="A4283" t="str">
        <f>"200018943"</f>
        <v>200018943</v>
      </c>
      <c r="B4283" t="str">
        <f>"1871099408"</f>
        <v>1871099408</v>
      </c>
      <c r="C4283" t="str">
        <f>"207RX0202X"</f>
        <v>207RX0202X</v>
      </c>
      <c r="D4283" t="str">
        <f>"BLANCHER                 BLAKE        T           "</f>
        <v xml:space="preserve">BLANCHER                 BLAKE        T           </v>
      </c>
      <c r="E4283" t="str">
        <f>"SLIDELL                   "</f>
        <v xml:space="preserve">SLIDELL                   </v>
      </c>
      <c r="F4283" t="str">
        <f t="shared" si="172"/>
        <v>LA</v>
      </c>
    </row>
    <row r="4284" spans="1:6" x14ac:dyDescent="0.25">
      <c r="A4284" t="str">
        <f>"200018984"</f>
        <v>200018984</v>
      </c>
      <c r="B4284" t="str">
        <f>"1275869729"</f>
        <v>1275869729</v>
      </c>
      <c r="C4284" t="str">
        <f>"2085R0202X"</f>
        <v>2085R0202X</v>
      </c>
      <c r="D4284" t="str">
        <f>"SMITH                    MATTHEW      H           "</f>
        <v xml:space="preserve">SMITH                    MATTHEW      H           </v>
      </c>
      <c r="E4284" t="str">
        <f>"FERRIDAY                  "</f>
        <v xml:space="preserve">FERRIDAY                  </v>
      </c>
      <c r="F4284" t="str">
        <f t="shared" si="172"/>
        <v>LA</v>
      </c>
    </row>
    <row r="4285" spans="1:6" x14ac:dyDescent="0.25">
      <c r="A4285" t="str">
        <f>"200019059"</f>
        <v>200019059</v>
      </c>
      <c r="B4285" t="str">
        <f>"1144822982"</f>
        <v>1144822982</v>
      </c>
      <c r="C4285" t="str">
        <f>"363A00000X"</f>
        <v>363A00000X</v>
      </c>
      <c r="D4285" t="str">
        <f>"EISERLOH                 STEFANIE                 "</f>
        <v xml:space="preserve">EISERLOH                 STEFANIE                 </v>
      </c>
      <c r="E4285" t="str">
        <f>"NEW ORLEANS               "</f>
        <v xml:space="preserve">NEW ORLEANS               </v>
      </c>
      <c r="F4285" t="str">
        <f t="shared" si="172"/>
        <v>LA</v>
      </c>
    </row>
    <row r="4286" spans="1:6" x14ac:dyDescent="0.25">
      <c r="A4286" t="str">
        <f>"200019063"</f>
        <v>200019063</v>
      </c>
      <c r="B4286" t="str">
        <f>"1770389546"</f>
        <v>1770389546</v>
      </c>
      <c r="C4286" t="str">
        <f>"363LA2100X"</f>
        <v>363LA2100X</v>
      </c>
      <c r="D4286" t="str">
        <f>"MOSES                    MADELINE                 "</f>
        <v xml:space="preserve">MOSES                    MADELINE                 </v>
      </c>
      <c r="E4286" t="str">
        <f>"SLIDELL                   "</f>
        <v xml:space="preserve">SLIDELL                   </v>
      </c>
      <c r="F4286" t="str">
        <f t="shared" si="172"/>
        <v>LA</v>
      </c>
    </row>
    <row r="4287" spans="1:6" x14ac:dyDescent="0.25">
      <c r="A4287" t="str">
        <f>"200019077"</f>
        <v>200019077</v>
      </c>
      <c r="B4287" t="str">
        <f>"1528406832"</f>
        <v>1528406832</v>
      </c>
      <c r="C4287" t="str">
        <f>"2085R0001X"</f>
        <v>2085R0001X</v>
      </c>
      <c r="D4287" t="str">
        <f>"KOVTUN                   KONSTANTIN               "</f>
        <v xml:space="preserve">KOVTUN                   KONSTANTIN               </v>
      </c>
      <c r="E4287" t="str">
        <f>"BATON ROUGE               "</f>
        <v xml:space="preserve">BATON ROUGE               </v>
      </c>
      <c r="F4287" t="str">
        <f t="shared" si="172"/>
        <v>LA</v>
      </c>
    </row>
    <row r="4288" spans="1:6" x14ac:dyDescent="0.25">
      <c r="A4288" t="str">
        <f>"200019088"</f>
        <v>200019088</v>
      </c>
      <c r="B4288" t="str">
        <f>"1063270569"</f>
        <v>1063270569</v>
      </c>
      <c r="C4288" t="str">
        <f>"363LN0005X"</f>
        <v>363LN0005X</v>
      </c>
      <c r="D4288" t="str">
        <f>"MARTIN                   BRANDIANN                "</f>
        <v xml:space="preserve">MARTIN                   BRANDIANN                </v>
      </c>
      <c r="E4288" t="str">
        <f>"NEW ORLEANS               "</f>
        <v xml:space="preserve">NEW ORLEANS               </v>
      </c>
      <c r="F4288" t="str">
        <f t="shared" si="172"/>
        <v>LA</v>
      </c>
    </row>
    <row r="4289" spans="1:6" x14ac:dyDescent="0.25">
      <c r="A4289" t="str">
        <f>"200019095"</f>
        <v>200019095</v>
      </c>
      <c r="B4289" t="str">
        <f>"1093579294"</f>
        <v>1093579294</v>
      </c>
      <c r="C4289" t="str">
        <f>"363LF0000X"</f>
        <v>363LF0000X</v>
      </c>
      <c r="D4289" t="str">
        <f>"BARTON                   MALLORY                  "</f>
        <v xml:space="preserve">BARTON                   MALLORY                  </v>
      </c>
      <c r="E4289" t="str">
        <f>"NEW ORLEANS               "</f>
        <v xml:space="preserve">NEW ORLEANS               </v>
      </c>
      <c r="F4289" t="str">
        <f t="shared" si="172"/>
        <v>LA</v>
      </c>
    </row>
    <row r="4290" spans="1:6" x14ac:dyDescent="0.25">
      <c r="A4290" t="str">
        <f>"200019137"</f>
        <v>200019137</v>
      </c>
      <c r="B4290" t="str">
        <f>"1801353115"</f>
        <v>1801353115</v>
      </c>
      <c r="C4290" t="str">
        <f>"363AM0700X"</f>
        <v>363AM0700X</v>
      </c>
      <c r="D4290" t="str">
        <f>"MCDONALD                 SAMUEL       D           "</f>
        <v xml:space="preserve">MCDONALD                 SAMUEL       D           </v>
      </c>
      <c r="E4290" t="str">
        <f>"NEW ORLEANS               "</f>
        <v xml:space="preserve">NEW ORLEANS               </v>
      </c>
      <c r="F4290" t="str">
        <f t="shared" si="172"/>
        <v>LA</v>
      </c>
    </row>
    <row r="4291" spans="1:6" x14ac:dyDescent="0.25">
      <c r="A4291" t="str">
        <f>"200019150"</f>
        <v>200019150</v>
      </c>
      <c r="B4291" t="str">
        <f>"1124183439"</f>
        <v>1124183439</v>
      </c>
      <c r="C4291" t="str">
        <f>"207RH0003X"</f>
        <v>207RH0003X</v>
      </c>
      <c r="D4291" t="str">
        <f>"LEBLANC                  RONALD                   "</f>
        <v xml:space="preserve">LEBLANC                  RONALD                   </v>
      </c>
      <c r="E4291" t="str">
        <f>"SLIDELL                   "</f>
        <v xml:space="preserve">SLIDELL                   </v>
      </c>
      <c r="F4291" t="str">
        <f t="shared" si="172"/>
        <v>LA</v>
      </c>
    </row>
    <row r="4292" spans="1:6" x14ac:dyDescent="0.25">
      <c r="A4292" t="str">
        <f>"200019157"</f>
        <v>200019157</v>
      </c>
      <c r="B4292" t="str">
        <f>"1114614823"</f>
        <v>1114614823</v>
      </c>
      <c r="C4292" t="str">
        <f>"363LF0000X"</f>
        <v>363LF0000X</v>
      </c>
      <c r="D4292" t="str">
        <f>"LEDET                    ALLISON                  "</f>
        <v xml:space="preserve">LEDET                    ALLISON                  </v>
      </c>
      <c r="E4292" t="str">
        <f>"NEW ORLEANS               "</f>
        <v xml:space="preserve">NEW ORLEANS               </v>
      </c>
      <c r="F4292" t="str">
        <f t="shared" si="172"/>
        <v>LA</v>
      </c>
    </row>
    <row r="4293" spans="1:6" x14ac:dyDescent="0.25">
      <c r="A4293" t="str">
        <f>"200019208"</f>
        <v>200019208</v>
      </c>
      <c r="B4293" t="str">
        <f>"1447575915"</f>
        <v>1447575915</v>
      </c>
      <c r="C4293" t="str">
        <f>"207P00000X"</f>
        <v>207P00000X</v>
      </c>
      <c r="D4293" t="str">
        <f>"BREAUX                   RACHEL                   "</f>
        <v xml:space="preserve">BREAUX                   RACHEL                   </v>
      </c>
      <c r="E4293" t="str">
        <f>"SLIDELL                   "</f>
        <v xml:space="preserve">SLIDELL                   </v>
      </c>
      <c r="F4293" t="str">
        <f t="shared" si="172"/>
        <v>LA</v>
      </c>
    </row>
    <row r="4294" spans="1:6" x14ac:dyDescent="0.25">
      <c r="A4294" t="str">
        <f>"200019213"</f>
        <v>200019213</v>
      </c>
      <c r="B4294" t="str">
        <f>"1104636265"</f>
        <v>1104636265</v>
      </c>
      <c r="C4294" t="str">
        <f>"367500000X"</f>
        <v>367500000X</v>
      </c>
      <c r="D4294" t="str">
        <f>"ALLEMAN                  JORDAN                   "</f>
        <v xml:space="preserve">ALLEMAN                  JORDAN                   </v>
      </c>
      <c r="E4294" t="str">
        <f>"COVINGTON                 "</f>
        <v xml:space="preserve">COVINGTON                 </v>
      </c>
      <c r="F4294" t="str">
        <f t="shared" si="172"/>
        <v>LA</v>
      </c>
    </row>
    <row r="4295" spans="1:6" x14ac:dyDescent="0.25">
      <c r="A4295" t="str">
        <f>"200019222"</f>
        <v>200019222</v>
      </c>
      <c r="B4295" t="str">
        <f>"1932819125"</f>
        <v>1932819125</v>
      </c>
      <c r="C4295" t="str">
        <f>"363LF0000X"</f>
        <v>363LF0000X</v>
      </c>
      <c r="D4295" t="str">
        <f>"DUNBAR                   CHRISTINA                "</f>
        <v xml:space="preserve">DUNBAR                   CHRISTINA                </v>
      </c>
      <c r="E4295" t="str">
        <f>"BOGALUSA                  "</f>
        <v xml:space="preserve">BOGALUSA                  </v>
      </c>
      <c r="F4295" t="str">
        <f t="shared" si="172"/>
        <v>LA</v>
      </c>
    </row>
    <row r="4296" spans="1:6" x14ac:dyDescent="0.25">
      <c r="A4296" t="str">
        <f>"200019231"</f>
        <v>200019231</v>
      </c>
      <c r="B4296" t="str">
        <f>"1265162408"</f>
        <v>1265162408</v>
      </c>
      <c r="C4296" t="str">
        <f>"363LF0000X"</f>
        <v>363LF0000X</v>
      </c>
      <c r="D4296" t="str">
        <f>"MUNTAJIBUDDIN            NUHA         F           "</f>
        <v xml:space="preserve">MUNTAJIBUDDIN            NUHA         F           </v>
      </c>
      <c r="E4296" t="str">
        <f>"NEW ORLEANS               "</f>
        <v xml:space="preserve">NEW ORLEANS               </v>
      </c>
      <c r="F4296" t="str">
        <f t="shared" si="172"/>
        <v>LA</v>
      </c>
    </row>
    <row r="4297" spans="1:6" x14ac:dyDescent="0.25">
      <c r="A4297" t="str">
        <f>"200019247"</f>
        <v>200019247</v>
      </c>
      <c r="B4297" t="str">
        <f>"1518796895"</f>
        <v>1518796895</v>
      </c>
      <c r="C4297" t="str">
        <f>"363AM0700X"</f>
        <v>363AM0700X</v>
      </c>
      <c r="D4297" t="str">
        <f>"GUERET                   KAYLYNN                  "</f>
        <v xml:space="preserve">GUERET                   KAYLYNN                  </v>
      </c>
      <c r="E4297" t="str">
        <f>"KENNER                    "</f>
        <v xml:space="preserve">KENNER                    </v>
      </c>
      <c r="F4297" t="str">
        <f t="shared" si="172"/>
        <v>LA</v>
      </c>
    </row>
    <row r="4298" spans="1:6" x14ac:dyDescent="0.25">
      <c r="A4298" t="str">
        <f>"200019273"</f>
        <v>200019273</v>
      </c>
      <c r="B4298" t="str">
        <f>"1821363177"</f>
        <v>1821363177</v>
      </c>
      <c r="C4298" t="str">
        <f>"207P00000X"</f>
        <v>207P00000X</v>
      </c>
      <c r="D4298" t="str">
        <f>"LEFORT                   GUY                      "</f>
        <v xml:space="preserve">LEFORT                   GUY                      </v>
      </c>
      <c r="E4298" t="str">
        <f>"METAIRIE                  "</f>
        <v xml:space="preserve">METAIRIE                  </v>
      </c>
      <c r="F4298" t="str">
        <f t="shared" si="172"/>
        <v>LA</v>
      </c>
    </row>
    <row r="4299" spans="1:6" x14ac:dyDescent="0.25">
      <c r="A4299" t="str">
        <f>"200019281"</f>
        <v>200019281</v>
      </c>
      <c r="B4299" t="str">
        <f>"1164917043"</f>
        <v>1164917043</v>
      </c>
      <c r="C4299" t="str">
        <f>"2080N0001X"</f>
        <v>2080N0001X</v>
      </c>
      <c r="D4299" t="str">
        <f>"GABRIEL                  KRYSTINA                 "</f>
        <v xml:space="preserve">GABRIEL                  KRYSTINA                 </v>
      </c>
      <c r="E4299" t="str">
        <f>"NEW ORLEANS               "</f>
        <v xml:space="preserve">NEW ORLEANS               </v>
      </c>
      <c r="F4299" t="str">
        <f t="shared" si="172"/>
        <v>LA</v>
      </c>
    </row>
    <row r="4300" spans="1:6" x14ac:dyDescent="0.25">
      <c r="A4300" t="str">
        <f>"200019283"</f>
        <v>200019283</v>
      </c>
      <c r="B4300" t="str">
        <f>"1134944325"</f>
        <v>1134944325</v>
      </c>
      <c r="C4300" t="str">
        <f>"363LF0000X"</f>
        <v>363LF0000X</v>
      </c>
      <c r="D4300" t="str">
        <f>"ORDES                    ALISHA       R           "</f>
        <v xml:space="preserve">ORDES                    ALISHA       R           </v>
      </c>
      <c r="E4300" t="str">
        <f>"SLIDELL                   "</f>
        <v xml:space="preserve">SLIDELL                   </v>
      </c>
      <c r="F4300" t="str">
        <f t="shared" si="172"/>
        <v>LA</v>
      </c>
    </row>
    <row r="4301" spans="1:6" x14ac:dyDescent="0.25">
      <c r="A4301" t="str">
        <f>"200019285"</f>
        <v>200019285</v>
      </c>
      <c r="B4301" t="str">
        <f>"1356978209"</f>
        <v>1356978209</v>
      </c>
      <c r="C4301" t="str">
        <f>"207R00000X"</f>
        <v>207R00000X</v>
      </c>
      <c r="D4301" t="str">
        <f>"KUDJI                    JASMINE                  "</f>
        <v xml:space="preserve">KUDJI                    JASMINE                  </v>
      </c>
      <c r="E4301" t="str">
        <f>"BOGALUSA                  "</f>
        <v xml:space="preserve">BOGALUSA                  </v>
      </c>
      <c r="F4301" t="str">
        <f t="shared" si="172"/>
        <v>LA</v>
      </c>
    </row>
    <row r="4302" spans="1:6" x14ac:dyDescent="0.25">
      <c r="A4302" t="str">
        <f>"200019315"</f>
        <v>200019315</v>
      </c>
      <c r="B4302" t="str">
        <f>"1578379129"</f>
        <v>1578379129</v>
      </c>
      <c r="C4302" t="str">
        <f>"367A00000X"</f>
        <v>367A00000X</v>
      </c>
      <c r="D4302" t="str">
        <f>"SHAPIRO                  MEGAN        C           "</f>
        <v xml:space="preserve">SHAPIRO                  MEGAN        C           </v>
      </c>
      <c r="E4302" t="str">
        <f>"NEW ORLEANS               "</f>
        <v xml:space="preserve">NEW ORLEANS               </v>
      </c>
      <c r="F4302" t="str">
        <f t="shared" si="172"/>
        <v>LA</v>
      </c>
    </row>
    <row r="4303" spans="1:6" x14ac:dyDescent="0.25">
      <c r="A4303" t="str">
        <f>"200019341"</f>
        <v>200019341</v>
      </c>
      <c r="B4303" t="str">
        <f>"1609397272"</f>
        <v>1609397272</v>
      </c>
      <c r="C4303" t="str">
        <f>"208M00000X"</f>
        <v>208M00000X</v>
      </c>
      <c r="D4303" t="str">
        <f>"ARSHAD                   SAMIULLAH                "</f>
        <v xml:space="preserve">ARSHAD                   SAMIULLAH                </v>
      </c>
      <c r="E4303" t="str">
        <f>"KENNER                    "</f>
        <v xml:space="preserve">KENNER                    </v>
      </c>
      <c r="F4303" t="str">
        <f t="shared" si="172"/>
        <v>LA</v>
      </c>
    </row>
    <row r="4304" spans="1:6" x14ac:dyDescent="0.25">
      <c r="A4304" t="str">
        <f>"200019371"</f>
        <v>200019371</v>
      </c>
      <c r="B4304" t="str">
        <f>"1215769294"</f>
        <v>1215769294</v>
      </c>
      <c r="C4304" t="str">
        <f>"363LF0000X"</f>
        <v>363LF0000X</v>
      </c>
      <c r="D4304" t="str">
        <f>"ST. PIERRE               CHRISTINA                "</f>
        <v xml:space="preserve">ST. PIERRE               CHRISTINA                </v>
      </c>
      <c r="E4304" t="str">
        <f>"BATON ROUGE               "</f>
        <v xml:space="preserve">BATON ROUGE               </v>
      </c>
      <c r="F4304" t="str">
        <f t="shared" si="172"/>
        <v>LA</v>
      </c>
    </row>
    <row r="4305" spans="1:6" x14ac:dyDescent="0.25">
      <c r="A4305" t="str">
        <f>"200019383"</f>
        <v>200019383</v>
      </c>
      <c r="B4305" t="str">
        <f>"1285656397"</f>
        <v>1285656397</v>
      </c>
      <c r="C4305" t="str">
        <f>"367500000X"</f>
        <v>367500000X</v>
      </c>
      <c r="D4305" t="str">
        <f>"LAUGA                    TRESSY       N           "</f>
        <v xml:space="preserve">LAUGA                    TRESSY       N           </v>
      </c>
      <c r="E4305" t="str">
        <f>"NEW ORLEANS               "</f>
        <v xml:space="preserve">NEW ORLEANS               </v>
      </c>
      <c r="F4305" t="str">
        <f t="shared" si="172"/>
        <v>LA</v>
      </c>
    </row>
    <row r="4306" spans="1:6" x14ac:dyDescent="0.25">
      <c r="A4306" t="str">
        <f>"200019388"</f>
        <v>200019388</v>
      </c>
      <c r="B4306" t="str">
        <f>"1891147427"</f>
        <v>1891147427</v>
      </c>
      <c r="C4306" t="str">
        <f>"363LF0000X"</f>
        <v>363LF0000X</v>
      </c>
      <c r="D4306" t="str">
        <f>"PHAM                     KIMBERLY     L           "</f>
        <v xml:space="preserve">PHAM                     KIMBERLY     L           </v>
      </c>
      <c r="E4306" t="str">
        <f>"KENNER                    "</f>
        <v xml:space="preserve">KENNER                    </v>
      </c>
      <c r="F4306" t="str">
        <f t="shared" si="172"/>
        <v>LA</v>
      </c>
    </row>
    <row r="4307" spans="1:6" x14ac:dyDescent="0.25">
      <c r="A4307" t="str">
        <f>"200019394"</f>
        <v>200019394</v>
      </c>
      <c r="B4307" t="str">
        <f>"1295441608"</f>
        <v>1295441608</v>
      </c>
      <c r="C4307" t="str">
        <f>"363A00000X"</f>
        <v>363A00000X</v>
      </c>
      <c r="D4307" t="str">
        <f>"SCHEXNAYDER              BEN          J           "</f>
        <v xml:space="preserve">SCHEXNAYDER              BEN          J           </v>
      </c>
      <c r="E4307" t="str">
        <f>"NEW ORLEANS               "</f>
        <v xml:space="preserve">NEW ORLEANS               </v>
      </c>
      <c r="F4307" t="str">
        <f t="shared" si="172"/>
        <v>LA</v>
      </c>
    </row>
    <row r="4308" spans="1:6" x14ac:dyDescent="0.25">
      <c r="A4308" t="str">
        <f>"200019398"</f>
        <v>200019398</v>
      </c>
      <c r="B4308" t="str">
        <f>"1972524999"</f>
        <v>1972524999</v>
      </c>
      <c r="C4308" t="str">
        <f>"2080N0001X"</f>
        <v>2080N0001X</v>
      </c>
      <c r="D4308" t="str">
        <f>"ZATARAIN                 JUDITH                   "</f>
        <v xml:space="preserve">ZATARAIN                 JUDITH                   </v>
      </c>
      <c r="E4308" t="str">
        <f>"COVINGTON                 "</f>
        <v xml:space="preserve">COVINGTON                 </v>
      </c>
      <c r="F4308" t="str">
        <f t="shared" si="172"/>
        <v>LA</v>
      </c>
    </row>
    <row r="4309" spans="1:6" x14ac:dyDescent="0.25">
      <c r="A4309" t="str">
        <f>"200019406"</f>
        <v>200019406</v>
      </c>
      <c r="B4309" t="str">
        <f>"1578308680"</f>
        <v>1578308680</v>
      </c>
      <c r="C4309" t="str">
        <f>"367500000X"</f>
        <v>367500000X</v>
      </c>
      <c r="D4309" t="str">
        <f>"PFISTER                  BRITTANI     S           "</f>
        <v xml:space="preserve">PFISTER                  BRITTANI     S           </v>
      </c>
      <c r="E4309" t="str">
        <f>"KENNER                    "</f>
        <v xml:space="preserve">KENNER                    </v>
      </c>
      <c r="F4309" t="str">
        <f t="shared" si="172"/>
        <v>LA</v>
      </c>
    </row>
    <row r="4310" spans="1:6" x14ac:dyDescent="0.25">
      <c r="A4310" t="str">
        <f>"200019415"</f>
        <v>200019415</v>
      </c>
      <c r="B4310" t="str">
        <f>"1609130913"</f>
        <v>1609130913</v>
      </c>
      <c r="C4310" t="str">
        <f>"363A00000X"</f>
        <v>363A00000X</v>
      </c>
      <c r="D4310" t="str">
        <f>"HATCH                    KEITH                    "</f>
        <v xml:space="preserve">HATCH                    KEITH                    </v>
      </c>
      <c r="E4310" t="str">
        <f>"METAIRIE                  "</f>
        <v xml:space="preserve">METAIRIE                  </v>
      </c>
      <c r="F4310" t="str">
        <f t="shared" si="172"/>
        <v>LA</v>
      </c>
    </row>
    <row r="4311" spans="1:6" x14ac:dyDescent="0.25">
      <c r="A4311" t="str">
        <f>"200019422"</f>
        <v>200019422</v>
      </c>
      <c r="B4311" t="str">
        <f>"1346775095"</f>
        <v>1346775095</v>
      </c>
      <c r="C4311" t="str">
        <f>"207N00000X"</f>
        <v>207N00000X</v>
      </c>
      <c r="D4311" t="str">
        <f>"CREEL                    JUSTIN                   "</f>
        <v xml:space="preserve">CREEL                    JUSTIN                   </v>
      </c>
      <c r="E4311" t="str">
        <f>"ZACHARY                   "</f>
        <v xml:space="preserve">ZACHARY                   </v>
      </c>
      <c r="F4311" t="str">
        <f t="shared" si="172"/>
        <v>LA</v>
      </c>
    </row>
    <row r="4312" spans="1:6" x14ac:dyDescent="0.25">
      <c r="A4312" t="str">
        <f>"200019438"</f>
        <v>200019438</v>
      </c>
      <c r="B4312" t="str">
        <f>"1396449401"</f>
        <v>1396449401</v>
      </c>
      <c r="C4312" t="str">
        <f>"207RN0300X"</f>
        <v>207RN0300X</v>
      </c>
      <c r="D4312" t="str">
        <f>"ABDALLAH                 AHMED                    "</f>
        <v xml:space="preserve">ABDALLAH                 AHMED                    </v>
      </c>
      <c r="E4312" t="str">
        <f>"NEW ORLEANS               "</f>
        <v xml:space="preserve">NEW ORLEANS               </v>
      </c>
      <c r="F4312" t="str">
        <f t="shared" si="172"/>
        <v>LA</v>
      </c>
    </row>
    <row r="4313" spans="1:6" x14ac:dyDescent="0.25">
      <c r="A4313" t="str">
        <f>"200019462"</f>
        <v>200019462</v>
      </c>
      <c r="B4313" t="str">
        <f>"1740097690"</f>
        <v>1740097690</v>
      </c>
      <c r="C4313" t="str">
        <f>"363L00000X"</f>
        <v>363L00000X</v>
      </c>
      <c r="D4313" t="str">
        <f>"RAINEY                   BEVERLY      A           "</f>
        <v xml:space="preserve">RAINEY                   BEVERLY      A           </v>
      </c>
      <c r="E4313" t="str">
        <f>"NEW ORLEANS               "</f>
        <v xml:space="preserve">NEW ORLEANS               </v>
      </c>
      <c r="F4313" t="str">
        <f t="shared" si="172"/>
        <v>LA</v>
      </c>
    </row>
    <row r="4314" spans="1:6" x14ac:dyDescent="0.25">
      <c r="A4314" t="str">
        <f>"200019476"</f>
        <v>200019476</v>
      </c>
      <c r="B4314" t="str">
        <f>"1184823288"</f>
        <v>1184823288</v>
      </c>
      <c r="C4314" t="str">
        <f>"208G00000X"</f>
        <v>208G00000X</v>
      </c>
      <c r="D4314" t="str">
        <f>"BORGI                    JAMIL        F           "</f>
        <v xml:space="preserve">BORGI                    JAMIL        F           </v>
      </c>
      <c r="E4314" t="str">
        <f>"METAIRIE                  "</f>
        <v xml:space="preserve">METAIRIE                  </v>
      </c>
      <c r="F4314" t="str">
        <f t="shared" si="172"/>
        <v>LA</v>
      </c>
    </row>
    <row r="4315" spans="1:6" x14ac:dyDescent="0.25">
      <c r="A4315" t="str">
        <f>"200019488"</f>
        <v>200019488</v>
      </c>
      <c r="B4315" t="str">
        <f>"1144942624"</f>
        <v>1144942624</v>
      </c>
      <c r="C4315" t="str">
        <f>"363LF0000X"</f>
        <v>363LF0000X</v>
      </c>
      <c r="D4315" t="str">
        <f>"RICHARDSON               SARENA       G           "</f>
        <v xml:space="preserve">RICHARDSON               SARENA       G           </v>
      </c>
      <c r="E4315" t="str">
        <f>"SLIDELL                   "</f>
        <v xml:space="preserve">SLIDELL                   </v>
      </c>
      <c r="F4315" t="str">
        <f t="shared" ref="F4315:F4378" si="173">"LA"</f>
        <v>LA</v>
      </c>
    </row>
    <row r="4316" spans="1:6" x14ac:dyDescent="0.25">
      <c r="A4316" t="str">
        <f>"200019540"</f>
        <v>200019540</v>
      </c>
      <c r="B4316" t="str">
        <f>"1013965508"</f>
        <v>1013965508</v>
      </c>
      <c r="C4316" t="str">
        <f>"208000000X"</f>
        <v>208000000X</v>
      </c>
      <c r="D4316" t="str">
        <f>"KASHIMAWO                LUTIFAT                  "</f>
        <v xml:space="preserve">KASHIMAWO                LUTIFAT                  </v>
      </c>
      <c r="E4316" t="str">
        <f>"NEW ORLEANS               "</f>
        <v xml:space="preserve">NEW ORLEANS               </v>
      </c>
      <c r="F4316" t="str">
        <f t="shared" si="173"/>
        <v>LA</v>
      </c>
    </row>
    <row r="4317" spans="1:6" x14ac:dyDescent="0.25">
      <c r="A4317" t="str">
        <f>"200019542"</f>
        <v>200019542</v>
      </c>
      <c r="B4317" t="str">
        <f>"1659188324"</f>
        <v>1659188324</v>
      </c>
      <c r="C4317" t="str">
        <f>"363A00000X"</f>
        <v>363A00000X</v>
      </c>
      <c r="D4317" t="str">
        <f>"THOMPSON                 ELI          M           "</f>
        <v xml:space="preserve">THOMPSON                 ELI          M           </v>
      </c>
      <c r="E4317" t="str">
        <f>"NEW ORLEANS               "</f>
        <v xml:space="preserve">NEW ORLEANS               </v>
      </c>
      <c r="F4317" t="str">
        <f t="shared" si="173"/>
        <v>LA</v>
      </c>
    </row>
    <row r="4318" spans="1:6" x14ac:dyDescent="0.25">
      <c r="A4318" t="str">
        <f>"200019543"</f>
        <v>200019543</v>
      </c>
      <c r="B4318" t="str">
        <f>"1154415511"</f>
        <v>1154415511</v>
      </c>
      <c r="C4318" t="str">
        <f>"208000000X"</f>
        <v>208000000X</v>
      </c>
      <c r="D4318" t="str">
        <f>"SABLE                    CRAIG                    "</f>
        <v xml:space="preserve">SABLE                    CRAIG                    </v>
      </c>
      <c r="E4318" t="str">
        <f>"NEW ORLEANS               "</f>
        <v xml:space="preserve">NEW ORLEANS               </v>
      </c>
      <c r="F4318" t="str">
        <f t="shared" si="173"/>
        <v>LA</v>
      </c>
    </row>
    <row r="4319" spans="1:6" x14ac:dyDescent="0.25">
      <c r="A4319" t="str">
        <f>"200019588"</f>
        <v>200019588</v>
      </c>
      <c r="B4319" t="str">
        <f>"1073741229"</f>
        <v>1073741229</v>
      </c>
      <c r="C4319" t="str">
        <f>"207RC0000X"</f>
        <v>207RC0000X</v>
      </c>
      <c r="D4319" t="str">
        <f>"VUKELIC                  SASA                     "</f>
        <v xml:space="preserve">VUKELIC                  SASA                     </v>
      </c>
      <c r="E4319" t="str">
        <f>"METAIRIE                  "</f>
        <v xml:space="preserve">METAIRIE                  </v>
      </c>
      <c r="F4319" t="str">
        <f t="shared" si="173"/>
        <v>LA</v>
      </c>
    </row>
    <row r="4320" spans="1:6" x14ac:dyDescent="0.25">
      <c r="A4320" t="str">
        <f>"200019630"</f>
        <v>200019630</v>
      </c>
      <c r="B4320" t="str">
        <f>"1659046258"</f>
        <v>1659046258</v>
      </c>
      <c r="C4320" t="str">
        <f>"363LF0000X"</f>
        <v>363LF0000X</v>
      </c>
      <c r="D4320" t="str">
        <f>"BELL                     WILLIAM                  "</f>
        <v xml:space="preserve">BELL                     WILLIAM                  </v>
      </c>
      <c r="E4320" t="str">
        <f>"BOGALUSA                  "</f>
        <v xml:space="preserve">BOGALUSA                  </v>
      </c>
      <c r="F4320" t="str">
        <f t="shared" si="173"/>
        <v>LA</v>
      </c>
    </row>
    <row r="4321" spans="1:6" x14ac:dyDescent="0.25">
      <c r="A4321" t="str">
        <f>"200019637"</f>
        <v>200019637</v>
      </c>
      <c r="B4321" t="str">
        <f>"1215126891"</f>
        <v>1215126891</v>
      </c>
      <c r="C4321" t="str">
        <f>"363A00000X"</f>
        <v>363A00000X</v>
      </c>
      <c r="D4321" t="str">
        <f>"OBERLE                   JEFFERSON                "</f>
        <v xml:space="preserve">OBERLE                   JEFFERSON                </v>
      </c>
      <c r="E4321" t="str">
        <f>"NEW ORLEANS               "</f>
        <v xml:space="preserve">NEW ORLEANS               </v>
      </c>
      <c r="F4321" t="str">
        <f t="shared" si="173"/>
        <v>LA</v>
      </c>
    </row>
    <row r="4322" spans="1:6" x14ac:dyDescent="0.25">
      <c r="A4322" t="str">
        <f>"200019693"</f>
        <v>200019693</v>
      </c>
      <c r="B4322" t="str">
        <f>"1801388590"</f>
        <v>1801388590</v>
      </c>
      <c r="C4322" t="str">
        <f>"2080N0001X"</f>
        <v>2080N0001X</v>
      </c>
      <c r="D4322" t="str">
        <f>"MOLINA STORNELLI         ISAURA       M           "</f>
        <v xml:space="preserve">MOLINA STORNELLI         ISAURA       M           </v>
      </c>
      <c r="E4322" t="str">
        <f>"NEW ORLEANS               "</f>
        <v xml:space="preserve">NEW ORLEANS               </v>
      </c>
      <c r="F4322" t="str">
        <f t="shared" si="173"/>
        <v>LA</v>
      </c>
    </row>
    <row r="4323" spans="1:6" x14ac:dyDescent="0.25">
      <c r="A4323" t="str">
        <f>"200019707"</f>
        <v>200019707</v>
      </c>
      <c r="B4323" t="str">
        <f>"1407387038"</f>
        <v>1407387038</v>
      </c>
      <c r="C4323" t="str">
        <f>"2080P0206X"</f>
        <v>2080P0206X</v>
      </c>
      <c r="D4323" t="str">
        <f>"CARVER                   MICHAEL                  "</f>
        <v xml:space="preserve">CARVER                   MICHAEL                  </v>
      </c>
      <c r="E4323" t="str">
        <f>"BATON ROUGE               "</f>
        <v xml:space="preserve">BATON ROUGE               </v>
      </c>
      <c r="F4323" t="str">
        <f t="shared" si="173"/>
        <v>LA</v>
      </c>
    </row>
    <row r="4324" spans="1:6" x14ac:dyDescent="0.25">
      <c r="A4324" t="str">
        <f>"200019718"</f>
        <v>200019718</v>
      </c>
      <c r="B4324" t="str">
        <f>"1306006341"</f>
        <v>1306006341</v>
      </c>
      <c r="C4324" t="str">
        <f>"2085R0204X"</f>
        <v>2085R0204X</v>
      </c>
      <c r="D4324" t="str">
        <f>"MARSHALL JR              RICHARD      H           "</f>
        <v xml:space="preserve">MARSHALL JR              RICHARD      H           </v>
      </c>
      <c r="E4324" t="str">
        <f>"METAIRIE                  "</f>
        <v xml:space="preserve">METAIRIE                  </v>
      </c>
      <c r="F4324" t="str">
        <f t="shared" si="173"/>
        <v>LA</v>
      </c>
    </row>
    <row r="4325" spans="1:6" x14ac:dyDescent="0.25">
      <c r="A4325" t="str">
        <f>"200019744"</f>
        <v>200019744</v>
      </c>
      <c r="B4325" t="str">
        <f>"1629675228"</f>
        <v>1629675228</v>
      </c>
      <c r="C4325" t="str">
        <f>"363A00000X"</f>
        <v>363A00000X</v>
      </c>
      <c r="D4325" t="str">
        <f>"HUTCHINSON               SARA                     "</f>
        <v xml:space="preserve">HUTCHINSON               SARA                     </v>
      </c>
      <c r="E4325" t="str">
        <f>"ZACHARY                   "</f>
        <v xml:space="preserve">ZACHARY                   </v>
      </c>
      <c r="F4325" t="str">
        <f t="shared" si="173"/>
        <v>LA</v>
      </c>
    </row>
    <row r="4326" spans="1:6" x14ac:dyDescent="0.25">
      <c r="A4326" t="str">
        <f>"200019786"</f>
        <v>200019786</v>
      </c>
      <c r="B4326" t="str">
        <f>"1063478303"</f>
        <v>1063478303</v>
      </c>
      <c r="C4326" t="str">
        <f>"2080P0203X"</f>
        <v>2080P0203X</v>
      </c>
      <c r="D4326" t="str">
        <f>"ALEXANDER                PLATO        J           "</f>
        <v xml:space="preserve">ALEXANDER                PLATO        J           </v>
      </c>
      <c r="E4326" t="str">
        <f>"NEW ORLEANS               "</f>
        <v xml:space="preserve">NEW ORLEANS               </v>
      </c>
      <c r="F4326" t="str">
        <f t="shared" si="173"/>
        <v>LA</v>
      </c>
    </row>
    <row r="4327" spans="1:6" x14ac:dyDescent="0.25">
      <c r="A4327" t="str">
        <f>"200019797"</f>
        <v>200019797</v>
      </c>
      <c r="B4327" t="str">
        <f>"1225697139"</f>
        <v>1225697139</v>
      </c>
      <c r="C4327" t="str">
        <f>"2084N0400X"</f>
        <v>2084N0400X</v>
      </c>
      <c r="D4327" t="str">
        <f>"SIMPSON                  BENJAMIN                 "</f>
        <v xml:space="preserve">SIMPSON                  BENJAMIN                 </v>
      </c>
      <c r="E4327" t="str">
        <f>"NEW ORLEANS               "</f>
        <v xml:space="preserve">NEW ORLEANS               </v>
      </c>
      <c r="F4327" t="str">
        <f t="shared" si="173"/>
        <v>LA</v>
      </c>
    </row>
    <row r="4328" spans="1:6" x14ac:dyDescent="0.25">
      <c r="A4328" t="str">
        <f>"200019799"</f>
        <v>200019799</v>
      </c>
      <c r="B4328" t="str">
        <f>"1538182548"</f>
        <v>1538182548</v>
      </c>
      <c r="C4328" t="str">
        <f>"2080P0210X"</f>
        <v>2080P0210X</v>
      </c>
      <c r="D4328" t="str">
        <f>"AVILES                   DIEGO                    "</f>
        <v xml:space="preserve">AVILES                   DIEGO                    </v>
      </c>
      <c r="E4328" t="str">
        <f>"BATON ROUGE               "</f>
        <v xml:space="preserve">BATON ROUGE               </v>
      </c>
      <c r="F4328" t="str">
        <f t="shared" si="173"/>
        <v>LA</v>
      </c>
    </row>
    <row r="4329" spans="1:6" x14ac:dyDescent="0.25">
      <c r="A4329" t="str">
        <f>"200019819"</f>
        <v>200019819</v>
      </c>
      <c r="B4329" t="str">
        <f>"1598346504"</f>
        <v>1598346504</v>
      </c>
      <c r="C4329" t="str">
        <f>"207P00000X"</f>
        <v>207P00000X</v>
      </c>
      <c r="D4329" t="str">
        <f>"ROY                      RYAN         C           "</f>
        <v xml:space="preserve">ROY                      RYAN         C           </v>
      </c>
      <c r="E4329" t="str">
        <f t="shared" ref="E4329:E4334" si="174">"NEW ORLEANS               "</f>
        <v xml:space="preserve">NEW ORLEANS               </v>
      </c>
      <c r="F4329" t="str">
        <f t="shared" si="173"/>
        <v>LA</v>
      </c>
    </row>
    <row r="4330" spans="1:6" x14ac:dyDescent="0.25">
      <c r="A4330" t="str">
        <f>"200019840"</f>
        <v>200019840</v>
      </c>
      <c r="B4330" t="str">
        <f>"1356681761"</f>
        <v>1356681761</v>
      </c>
      <c r="C4330" t="str">
        <f>"363LP0200X"</f>
        <v>363LP0200X</v>
      </c>
      <c r="D4330" t="str">
        <f>"WESELAK                  STEPHANIE    C           "</f>
        <v xml:space="preserve">WESELAK                  STEPHANIE    C           </v>
      </c>
      <c r="E4330" t="str">
        <f t="shared" si="174"/>
        <v xml:space="preserve">NEW ORLEANS               </v>
      </c>
      <c r="F4330" t="str">
        <f t="shared" si="173"/>
        <v>LA</v>
      </c>
    </row>
    <row r="4331" spans="1:6" x14ac:dyDescent="0.25">
      <c r="A4331" t="str">
        <f>"200019927"</f>
        <v>200019927</v>
      </c>
      <c r="B4331" t="str">
        <f>"1285376145"</f>
        <v>1285376145</v>
      </c>
      <c r="C4331" t="str">
        <f>"207R00000X"</f>
        <v>207R00000X</v>
      </c>
      <c r="D4331" t="str">
        <f>"GORE                     JAMES                    "</f>
        <v xml:space="preserve">GORE                     JAMES                    </v>
      </c>
      <c r="E4331" t="str">
        <f t="shared" si="174"/>
        <v xml:space="preserve">NEW ORLEANS               </v>
      </c>
      <c r="F4331" t="str">
        <f t="shared" si="173"/>
        <v>LA</v>
      </c>
    </row>
    <row r="4332" spans="1:6" x14ac:dyDescent="0.25">
      <c r="A4332" t="str">
        <f>"200019931"</f>
        <v>200019931</v>
      </c>
      <c r="B4332" t="str">
        <f>"1043024458"</f>
        <v>1043024458</v>
      </c>
      <c r="C4332" t="str">
        <f>"363LP0200X"</f>
        <v>363LP0200X</v>
      </c>
      <c r="D4332" t="str">
        <f>"GOBLE                    BRANDI                   "</f>
        <v xml:space="preserve">GOBLE                    BRANDI                   </v>
      </c>
      <c r="E4332" t="str">
        <f t="shared" si="174"/>
        <v xml:space="preserve">NEW ORLEANS               </v>
      </c>
      <c r="F4332" t="str">
        <f t="shared" si="173"/>
        <v>LA</v>
      </c>
    </row>
    <row r="4333" spans="1:6" x14ac:dyDescent="0.25">
      <c r="A4333" t="str">
        <f>"200019940"</f>
        <v>200019940</v>
      </c>
      <c r="B4333" t="str">
        <f>"1700525680"</f>
        <v>1700525680</v>
      </c>
      <c r="C4333" t="str">
        <f>"207P00000X"</f>
        <v>207P00000X</v>
      </c>
      <c r="D4333" t="str">
        <f>"OWENS                    HASSAN                   "</f>
        <v xml:space="preserve">OWENS                    HASSAN                   </v>
      </c>
      <c r="E4333" t="str">
        <f t="shared" si="174"/>
        <v xml:space="preserve">NEW ORLEANS               </v>
      </c>
      <c r="F4333" t="str">
        <f t="shared" si="173"/>
        <v>LA</v>
      </c>
    </row>
    <row r="4334" spans="1:6" x14ac:dyDescent="0.25">
      <c r="A4334" t="str">
        <f>"200019998"</f>
        <v>200019998</v>
      </c>
      <c r="B4334" t="str">
        <f>"1205633898"</f>
        <v>1205633898</v>
      </c>
      <c r="C4334" t="str">
        <f>"363LA2100X"</f>
        <v>363LA2100X</v>
      </c>
      <c r="D4334" t="str">
        <f>"BROOKS                   JOYCELYN                 "</f>
        <v xml:space="preserve">BROOKS                   JOYCELYN                 </v>
      </c>
      <c r="E4334" t="str">
        <f t="shared" si="174"/>
        <v xml:space="preserve">NEW ORLEANS               </v>
      </c>
      <c r="F4334" t="str">
        <f t="shared" si="173"/>
        <v>LA</v>
      </c>
    </row>
    <row r="4335" spans="1:6" x14ac:dyDescent="0.25">
      <c r="A4335" t="str">
        <f>"200020006"</f>
        <v>200020006</v>
      </c>
      <c r="B4335" t="str">
        <f>"1982344875"</f>
        <v>1982344875</v>
      </c>
      <c r="C4335" t="str">
        <f>"207P00000X"</f>
        <v>207P00000X</v>
      </c>
      <c r="D4335" t="str">
        <f>"RHODES                   JOHN                     "</f>
        <v xml:space="preserve">RHODES                   JOHN                     </v>
      </c>
      <c r="E4335" t="str">
        <f>"HAMMOND                   "</f>
        <v xml:space="preserve">HAMMOND                   </v>
      </c>
      <c r="F4335" t="str">
        <f t="shared" si="173"/>
        <v>LA</v>
      </c>
    </row>
    <row r="4336" spans="1:6" x14ac:dyDescent="0.25">
      <c r="A4336" t="str">
        <f>"200020008"</f>
        <v>200020008</v>
      </c>
      <c r="B4336" t="str">
        <f>"1083415517"</f>
        <v>1083415517</v>
      </c>
      <c r="C4336" t="str">
        <f>"363LP0222X"</f>
        <v>363LP0222X</v>
      </c>
      <c r="D4336" t="str">
        <f>"BODET                    BRITTANY                 "</f>
        <v xml:space="preserve">BODET                    BRITTANY                 </v>
      </c>
      <c r="E4336" t="str">
        <f>"NEW ORLEANS               "</f>
        <v xml:space="preserve">NEW ORLEANS               </v>
      </c>
      <c r="F4336" t="str">
        <f t="shared" si="173"/>
        <v>LA</v>
      </c>
    </row>
    <row r="4337" spans="1:6" x14ac:dyDescent="0.25">
      <c r="A4337" t="str">
        <f>"200020038"</f>
        <v>200020038</v>
      </c>
      <c r="B4337" t="str">
        <f>"1619627882"</f>
        <v>1619627882</v>
      </c>
      <c r="C4337" t="str">
        <f>"207P00000X"</f>
        <v>207P00000X</v>
      </c>
      <c r="D4337" t="str">
        <f>"BANCROFT                 CONNER                   "</f>
        <v xml:space="preserve">BANCROFT                 CONNER                   </v>
      </c>
      <c r="E4337" t="str">
        <f>"NEW ORLEANS               "</f>
        <v xml:space="preserve">NEW ORLEANS               </v>
      </c>
      <c r="F4337" t="str">
        <f t="shared" si="173"/>
        <v>LA</v>
      </c>
    </row>
    <row r="4338" spans="1:6" x14ac:dyDescent="0.25">
      <c r="A4338" t="str">
        <f>"200020042"</f>
        <v>200020042</v>
      </c>
      <c r="B4338" t="str">
        <f>"1750025326"</f>
        <v>1750025326</v>
      </c>
      <c r="C4338" t="str">
        <f>"207R00000X"</f>
        <v>207R00000X</v>
      </c>
      <c r="D4338" t="str">
        <f>"BAKER                    KIERHA                   "</f>
        <v xml:space="preserve">BAKER                    KIERHA                   </v>
      </c>
      <c r="E4338" t="str">
        <f>"NEW ORLEANS               "</f>
        <v xml:space="preserve">NEW ORLEANS               </v>
      </c>
      <c r="F4338" t="str">
        <f t="shared" si="173"/>
        <v>LA</v>
      </c>
    </row>
    <row r="4339" spans="1:6" x14ac:dyDescent="0.25">
      <c r="A4339" t="str">
        <f>"200020093"</f>
        <v>200020093</v>
      </c>
      <c r="B4339" t="str">
        <f>"1770233280"</f>
        <v>1770233280</v>
      </c>
      <c r="C4339" t="str">
        <f>"207P00000X"</f>
        <v>207P00000X</v>
      </c>
      <c r="D4339" t="str">
        <f>"WILLIAMS                 OLIVIA                   "</f>
        <v xml:space="preserve">WILLIAMS                 OLIVIA                   </v>
      </c>
      <c r="E4339" t="str">
        <f>"NEW ORLEANS               "</f>
        <v xml:space="preserve">NEW ORLEANS               </v>
      </c>
      <c r="F4339" t="str">
        <f t="shared" si="173"/>
        <v>LA</v>
      </c>
    </row>
    <row r="4340" spans="1:6" x14ac:dyDescent="0.25">
      <c r="A4340" t="str">
        <f>"200020099"</f>
        <v>200020099</v>
      </c>
      <c r="B4340" t="str">
        <f>"1184868010"</f>
        <v>1184868010</v>
      </c>
      <c r="C4340" t="str">
        <f>"207P00000X"</f>
        <v>207P00000X</v>
      </c>
      <c r="D4340" t="str">
        <f>"TAUSEND                  ABBY                     "</f>
        <v xml:space="preserve">TAUSEND                  ABBY                     </v>
      </c>
      <c r="E4340" t="str">
        <f>"BOGALUSA                  "</f>
        <v xml:space="preserve">BOGALUSA                  </v>
      </c>
      <c r="F4340" t="str">
        <f t="shared" si="173"/>
        <v>LA</v>
      </c>
    </row>
    <row r="4341" spans="1:6" x14ac:dyDescent="0.25">
      <c r="A4341" t="str">
        <f>"200020141"</f>
        <v>200020141</v>
      </c>
      <c r="B4341" t="str">
        <f>"1477291144"</f>
        <v>1477291144</v>
      </c>
      <c r="C4341" t="str">
        <f>"207R00000X"</f>
        <v>207R00000X</v>
      </c>
      <c r="D4341" t="str">
        <f>"RAHAT                    KARAM                    "</f>
        <v xml:space="preserve">RAHAT                    KARAM                    </v>
      </c>
      <c r="E4341" t="str">
        <f>"NEW ORLEANS               "</f>
        <v xml:space="preserve">NEW ORLEANS               </v>
      </c>
      <c r="F4341" t="str">
        <f t="shared" si="173"/>
        <v>LA</v>
      </c>
    </row>
    <row r="4342" spans="1:6" x14ac:dyDescent="0.25">
      <c r="A4342" t="str">
        <f>"200020158"</f>
        <v>200020158</v>
      </c>
      <c r="B4342" t="str">
        <f>"1629289830"</f>
        <v>1629289830</v>
      </c>
      <c r="C4342" t="str">
        <f>"207VM0101X"</f>
        <v>207VM0101X</v>
      </c>
      <c r="D4342" t="str">
        <f>"MANCUSO                  MELISSA      S           "</f>
        <v xml:space="preserve">MANCUSO                  MELISSA      S           </v>
      </c>
      <c r="E4342" t="str">
        <f>"NEW ORLEANS               "</f>
        <v xml:space="preserve">NEW ORLEANS               </v>
      </c>
      <c r="F4342" t="str">
        <f t="shared" si="173"/>
        <v>LA</v>
      </c>
    </row>
    <row r="4343" spans="1:6" x14ac:dyDescent="0.25">
      <c r="A4343" t="str">
        <f>"200020174"</f>
        <v>200020174</v>
      </c>
      <c r="B4343" t="str">
        <f>"1184366205"</f>
        <v>1184366205</v>
      </c>
      <c r="C4343" t="str">
        <f>"207R00000X"</f>
        <v>207R00000X</v>
      </c>
      <c r="D4343" t="str">
        <f>"EBIAI                    RUONA                    "</f>
        <v xml:space="preserve">EBIAI                    RUONA                    </v>
      </c>
      <c r="E4343" t="str">
        <f>"NEW ORLEANS               "</f>
        <v xml:space="preserve">NEW ORLEANS               </v>
      </c>
      <c r="F4343" t="str">
        <f t="shared" si="173"/>
        <v>LA</v>
      </c>
    </row>
    <row r="4344" spans="1:6" x14ac:dyDescent="0.25">
      <c r="A4344" t="str">
        <f>"200020175"</f>
        <v>200020175</v>
      </c>
      <c r="B4344" t="str">
        <f>"1770596900"</f>
        <v>1770596900</v>
      </c>
      <c r="C4344" t="str">
        <f>"207P00000X"</f>
        <v>207P00000X</v>
      </c>
      <c r="D4344" t="str">
        <f>"SANDERS                  TAYLOR                   "</f>
        <v xml:space="preserve">SANDERS                  TAYLOR                   </v>
      </c>
      <c r="E4344" t="str">
        <f>"BOGALUSA                  "</f>
        <v xml:space="preserve">BOGALUSA                  </v>
      </c>
      <c r="F4344" t="str">
        <f t="shared" si="173"/>
        <v>LA</v>
      </c>
    </row>
    <row r="4345" spans="1:6" x14ac:dyDescent="0.25">
      <c r="A4345" t="str">
        <f>"200020176"</f>
        <v>200020176</v>
      </c>
      <c r="B4345" t="str">
        <f>"1699418772"</f>
        <v>1699418772</v>
      </c>
      <c r="C4345" t="str">
        <f>"207R00000X"</f>
        <v>207R00000X</v>
      </c>
      <c r="D4345" t="str">
        <f>"ALDRICH                  ANTHONY                  "</f>
        <v xml:space="preserve">ALDRICH                  ANTHONY                  </v>
      </c>
      <c r="E4345" t="str">
        <f>"KENNER                    "</f>
        <v xml:space="preserve">KENNER                    </v>
      </c>
      <c r="F4345" t="str">
        <f t="shared" si="173"/>
        <v>LA</v>
      </c>
    </row>
    <row r="4346" spans="1:6" x14ac:dyDescent="0.25">
      <c r="A4346" t="str">
        <f>"200020197"</f>
        <v>200020197</v>
      </c>
      <c r="B4346" t="str">
        <f>"1922493030"</f>
        <v>1922493030</v>
      </c>
      <c r="C4346" t="str">
        <f>"207RN0300X"</f>
        <v>207RN0300X</v>
      </c>
      <c r="D4346" t="str">
        <f>"SHUJA                    IMRAN        M           "</f>
        <v xml:space="preserve">SHUJA                    IMRAN        M           </v>
      </c>
      <c r="E4346" t="str">
        <f>"COVINGTON                 "</f>
        <v xml:space="preserve">COVINGTON                 </v>
      </c>
      <c r="F4346" t="str">
        <f t="shared" si="173"/>
        <v>LA</v>
      </c>
    </row>
    <row r="4347" spans="1:6" x14ac:dyDescent="0.25">
      <c r="A4347" t="str">
        <f>"200020198"</f>
        <v>200020198</v>
      </c>
      <c r="B4347" t="str">
        <f>"1790090264"</f>
        <v>1790090264</v>
      </c>
      <c r="C4347" t="str">
        <f>"2086S0122X"</f>
        <v>2086S0122X</v>
      </c>
      <c r="D4347" t="str">
        <f>"PATCHA                   PRASANTH                 "</f>
        <v xml:space="preserve">PATCHA                   PRASANTH                 </v>
      </c>
      <c r="E4347" t="str">
        <f>"NEW ORLEANS               "</f>
        <v xml:space="preserve">NEW ORLEANS               </v>
      </c>
      <c r="F4347" t="str">
        <f t="shared" si="173"/>
        <v>LA</v>
      </c>
    </row>
    <row r="4348" spans="1:6" x14ac:dyDescent="0.25">
      <c r="A4348" t="str">
        <f>"200020213"</f>
        <v>200020213</v>
      </c>
      <c r="B4348" t="str">
        <f>"1114668662"</f>
        <v>1114668662</v>
      </c>
      <c r="C4348" t="str">
        <f>"208000000X"</f>
        <v>208000000X</v>
      </c>
      <c r="D4348" t="str">
        <f>"STANSBERRY               MADEILINE                "</f>
        <v xml:space="preserve">STANSBERRY               MADEILINE                </v>
      </c>
      <c r="E4348" t="str">
        <f>"NEW ORLEANS               "</f>
        <v xml:space="preserve">NEW ORLEANS               </v>
      </c>
      <c r="F4348" t="str">
        <f t="shared" si="173"/>
        <v>LA</v>
      </c>
    </row>
    <row r="4349" spans="1:6" x14ac:dyDescent="0.25">
      <c r="A4349" t="str">
        <f>"200020239"</f>
        <v>200020239</v>
      </c>
      <c r="B4349" t="str">
        <f>"1639756414"</f>
        <v>1639756414</v>
      </c>
      <c r="C4349" t="str">
        <f>"207L00000X"</f>
        <v>207L00000X</v>
      </c>
      <c r="D4349" t="str">
        <f>"REYNOLDS                 RHETT                    "</f>
        <v xml:space="preserve">REYNOLDS                 RHETT                    </v>
      </c>
      <c r="E4349" t="str">
        <f>"COVINGTON                 "</f>
        <v xml:space="preserve">COVINGTON                 </v>
      </c>
      <c r="F4349" t="str">
        <f t="shared" si="173"/>
        <v>LA</v>
      </c>
    </row>
    <row r="4350" spans="1:6" x14ac:dyDescent="0.25">
      <c r="A4350" t="str">
        <f>"200020266"</f>
        <v>200020266</v>
      </c>
      <c r="B4350" t="str">
        <f>"1457083198"</f>
        <v>1457083198</v>
      </c>
      <c r="C4350" t="str">
        <f>"207P00000X"</f>
        <v>207P00000X</v>
      </c>
      <c r="D4350" t="str">
        <f>"SCHNEIDER                EMILY                    "</f>
        <v xml:space="preserve">SCHNEIDER                EMILY                    </v>
      </c>
      <c r="E4350" t="str">
        <f>"NEW ORLEANS               "</f>
        <v xml:space="preserve">NEW ORLEANS               </v>
      </c>
      <c r="F4350" t="str">
        <f t="shared" si="173"/>
        <v>LA</v>
      </c>
    </row>
    <row r="4351" spans="1:6" x14ac:dyDescent="0.25">
      <c r="A4351" t="str">
        <f>"200020272"</f>
        <v>200020272</v>
      </c>
      <c r="B4351" t="str">
        <f>"1740535293"</f>
        <v>1740535293</v>
      </c>
      <c r="C4351" t="str">
        <f>"208600000X"</f>
        <v>208600000X</v>
      </c>
      <c r="D4351" t="str">
        <f>"LEVY                     SHAUNA       M           "</f>
        <v xml:space="preserve">LEVY                     SHAUNA       M           </v>
      </c>
      <c r="E4351" t="str">
        <f>"METAIRIE                  "</f>
        <v xml:space="preserve">METAIRIE                  </v>
      </c>
      <c r="F4351" t="str">
        <f t="shared" si="173"/>
        <v>LA</v>
      </c>
    </row>
    <row r="4352" spans="1:6" x14ac:dyDescent="0.25">
      <c r="A4352" t="str">
        <f>"200020275"</f>
        <v>200020275</v>
      </c>
      <c r="B4352" t="str">
        <f>"1881402477"</f>
        <v>1881402477</v>
      </c>
      <c r="C4352" t="str">
        <f>"363LF0000X"</f>
        <v>363LF0000X</v>
      </c>
      <c r="D4352" t="str">
        <f>"VALLEY                   STACY        B           "</f>
        <v xml:space="preserve">VALLEY                   STACY        B           </v>
      </c>
      <c r="E4352" t="str">
        <f>"NEW ORLEANS               "</f>
        <v xml:space="preserve">NEW ORLEANS               </v>
      </c>
      <c r="F4352" t="str">
        <f t="shared" si="173"/>
        <v>LA</v>
      </c>
    </row>
    <row r="4353" spans="1:6" x14ac:dyDescent="0.25">
      <c r="A4353" t="str">
        <f>"200020289"</f>
        <v>200020289</v>
      </c>
      <c r="B4353" t="str">
        <f>"1811797038"</f>
        <v>1811797038</v>
      </c>
      <c r="C4353" t="str">
        <f>"363LP0222X"</f>
        <v>363LP0222X</v>
      </c>
      <c r="D4353" t="str">
        <f>"HANSLEY                  VASTI        B           "</f>
        <v xml:space="preserve">HANSLEY                  VASTI        B           </v>
      </c>
      <c r="E4353" t="str">
        <f>"METAIRIE                  "</f>
        <v xml:space="preserve">METAIRIE                  </v>
      </c>
      <c r="F4353" t="str">
        <f t="shared" si="173"/>
        <v>LA</v>
      </c>
    </row>
    <row r="4354" spans="1:6" x14ac:dyDescent="0.25">
      <c r="A4354" t="str">
        <f>"200020314"</f>
        <v>200020314</v>
      </c>
      <c r="B4354" t="str">
        <f>"1609133735"</f>
        <v>1609133735</v>
      </c>
      <c r="C4354" t="str">
        <f>"207RC0000X"</f>
        <v>207RC0000X</v>
      </c>
      <c r="D4354" t="str">
        <f>"ENGLERT                  JOSEPH                   "</f>
        <v xml:space="preserve">ENGLERT                  JOSEPH                   </v>
      </c>
      <c r="E4354" t="str">
        <f>"NEW ORLEANS               "</f>
        <v xml:space="preserve">NEW ORLEANS               </v>
      </c>
      <c r="F4354" t="str">
        <f t="shared" si="173"/>
        <v>LA</v>
      </c>
    </row>
    <row r="4355" spans="1:6" x14ac:dyDescent="0.25">
      <c r="A4355" t="str">
        <f>"200020330"</f>
        <v>200020330</v>
      </c>
      <c r="B4355" t="str">
        <f>"1497568604"</f>
        <v>1497568604</v>
      </c>
      <c r="C4355" t="str">
        <f>"363LF0000X"</f>
        <v>363LF0000X</v>
      </c>
      <c r="D4355" t="str">
        <f>"JACKSON                  HAILEY                   "</f>
        <v xml:space="preserve">JACKSON                  HAILEY                   </v>
      </c>
      <c r="E4355" t="str">
        <f>"BATON ROUGE               "</f>
        <v xml:space="preserve">BATON ROUGE               </v>
      </c>
      <c r="F4355" t="str">
        <f t="shared" si="173"/>
        <v>LA</v>
      </c>
    </row>
    <row r="4356" spans="1:6" x14ac:dyDescent="0.25">
      <c r="A4356" t="str">
        <f>"200020341"</f>
        <v>200020341</v>
      </c>
      <c r="B4356" t="str">
        <f>"1922259241"</f>
        <v>1922259241</v>
      </c>
      <c r="C4356" t="str">
        <f>"363L00000X"</f>
        <v>363L00000X</v>
      </c>
      <c r="D4356" t="str">
        <f>"DUTHU                    STACIE       G           "</f>
        <v xml:space="preserve">DUTHU                    STACIE       G           </v>
      </c>
      <c r="E4356" t="str">
        <f>"METAIRIE                  "</f>
        <v xml:space="preserve">METAIRIE                  </v>
      </c>
      <c r="F4356" t="str">
        <f t="shared" si="173"/>
        <v>LA</v>
      </c>
    </row>
    <row r="4357" spans="1:6" x14ac:dyDescent="0.25">
      <c r="A4357" t="str">
        <f>"200020347"</f>
        <v>200020347</v>
      </c>
      <c r="B4357" t="str">
        <f>"1396322715"</f>
        <v>1396322715</v>
      </c>
      <c r="C4357" t="str">
        <f>"208M00000X"</f>
        <v>208M00000X</v>
      </c>
      <c r="D4357" t="str">
        <f>"HANSON                   RYAN                     "</f>
        <v xml:space="preserve">HANSON                   RYAN                     </v>
      </c>
      <c r="E4357" t="str">
        <f>"HAMMOND                   "</f>
        <v xml:space="preserve">HAMMOND                   </v>
      </c>
      <c r="F4357" t="str">
        <f t="shared" si="173"/>
        <v>LA</v>
      </c>
    </row>
    <row r="4358" spans="1:6" x14ac:dyDescent="0.25">
      <c r="A4358" t="str">
        <f>"200020362"</f>
        <v>200020362</v>
      </c>
      <c r="B4358" t="str">
        <f>"1205125200"</f>
        <v>1205125200</v>
      </c>
      <c r="C4358" t="str">
        <f>"207P00000X"</f>
        <v>207P00000X</v>
      </c>
      <c r="D4358" t="str">
        <f>"HENKE                    MICHELLE                 "</f>
        <v xml:space="preserve">HENKE                    MICHELLE                 </v>
      </c>
      <c r="E4358" t="str">
        <f>"NEW ORLEANS               "</f>
        <v xml:space="preserve">NEW ORLEANS               </v>
      </c>
      <c r="F4358" t="str">
        <f t="shared" si="173"/>
        <v>LA</v>
      </c>
    </row>
    <row r="4359" spans="1:6" x14ac:dyDescent="0.25">
      <c r="A4359" t="str">
        <f>"200020405"</f>
        <v>200020405</v>
      </c>
      <c r="B4359" t="str">
        <f>"1669933420"</f>
        <v>1669933420</v>
      </c>
      <c r="C4359" t="str">
        <f>"2080N0001X"</f>
        <v>2080N0001X</v>
      </c>
      <c r="D4359" t="str">
        <f>"LAGO                     MARYELIZABETH            "</f>
        <v xml:space="preserve">LAGO                     MARYELIZABETH            </v>
      </c>
      <c r="E4359" t="str">
        <f>"NEW ORLEANS               "</f>
        <v xml:space="preserve">NEW ORLEANS               </v>
      </c>
      <c r="F4359" t="str">
        <f t="shared" si="173"/>
        <v>LA</v>
      </c>
    </row>
    <row r="4360" spans="1:6" x14ac:dyDescent="0.25">
      <c r="A4360" t="str">
        <f>"200020422"</f>
        <v>200020422</v>
      </c>
      <c r="B4360" t="str">
        <f>"1669501490"</f>
        <v>1669501490</v>
      </c>
      <c r="C4360" t="str">
        <f>"207P00000X"</f>
        <v>207P00000X</v>
      </c>
      <c r="D4360" t="str">
        <f>"PORCHE                   BRIAN                    "</f>
        <v xml:space="preserve">PORCHE                   BRIAN                    </v>
      </c>
      <c r="E4360" t="str">
        <f>"NEW ORLEANS               "</f>
        <v xml:space="preserve">NEW ORLEANS               </v>
      </c>
      <c r="F4360" t="str">
        <f t="shared" si="173"/>
        <v>LA</v>
      </c>
    </row>
    <row r="4361" spans="1:6" x14ac:dyDescent="0.25">
      <c r="A4361" t="str">
        <f>"200020429"</f>
        <v>200020429</v>
      </c>
      <c r="B4361" t="str">
        <f>"1730189572"</f>
        <v>1730189572</v>
      </c>
      <c r="C4361" t="str">
        <f>"2085R0202X"</f>
        <v>2085R0202X</v>
      </c>
      <c r="D4361" t="str">
        <f>"HALL                     KATHERINE                "</f>
        <v xml:space="preserve">HALL                     KATHERINE                </v>
      </c>
      <c r="E4361" t="str">
        <f>"NEW ORLEANS               "</f>
        <v xml:space="preserve">NEW ORLEANS               </v>
      </c>
      <c r="F4361" t="str">
        <f t="shared" si="173"/>
        <v>LA</v>
      </c>
    </row>
    <row r="4362" spans="1:6" x14ac:dyDescent="0.25">
      <c r="A4362" t="str">
        <f>"200020451"</f>
        <v>200020451</v>
      </c>
      <c r="B4362" t="str">
        <f>"1669891651"</f>
        <v>1669891651</v>
      </c>
      <c r="C4362" t="str">
        <f>"363LF0000X"</f>
        <v>363LF0000X</v>
      </c>
      <c r="D4362" t="str">
        <f>"DRAPER                   BRITTANY                 "</f>
        <v xml:space="preserve">DRAPER                   BRITTANY                 </v>
      </c>
      <c r="E4362" t="str">
        <f>"NEW ORLEANS               "</f>
        <v xml:space="preserve">NEW ORLEANS               </v>
      </c>
      <c r="F4362" t="str">
        <f t="shared" si="173"/>
        <v>LA</v>
      </c>
    </row>
    <row r="4363" spans="1:6" x14ac:dyDescent="0.25">
      <c r="A4363" t="str">
        <f>"200020465"</f>
        <v>200020465</v>
      </c>
      <c r="B4363" t="str">
        <f>"1255698247"</f>
        <v>1255698247</v>
      </c>
      <c r="C4363" t="str">
        <f>"207P00000X"</f>
        <v>207P00000X</v>
      </c>
      <c r="D4363" t="str">
        <f>"DARAY                    ROSS                     "</f>
        <v xml:space="preserve">DARAY                    ROSS                     </v>
      </c>
      <c r="E4363" t="str">
        <f>"BOGALUSA                  "</f>
        <v xml:space="preserve">BOGALUSA                  </v>
      </c>
      <c r="F4363" t="str">
        <f t="shared" si="173"/>
        <v>LA</v>
      </c>
    </row>
    <row r="4364" spans="1:6" x14ac:dyDescent="0.25">
      <c r="A4364" t="str">
        <f>"200020479"</f>
        <v>200020479</v>
      </c>
      <c r="B4364" t="str">
        <f>"1982346912"</f>
        <v>1982346912</v>
      </c>
      <c r="C4364" t="str">
        <f>"207P00000X"</f>
        <v>207P00000X</v>
      </c>
      <c r="D4364" t="str">
        <f>"HURLEY JR                GREGORY                  "</f>
        <v xml:space="preserve">HURLEY JR                GREGORY                  </v>
      </c>
      <c r="E4364" t="str">
        <f>"KENNER                    "</f>
        <v xml:space="preserve">KENNER                    </v>
      </c>
      <c r="F4364" t="str">
        <f t="shared" si="173"/>
        <v>LA</v>
      </c>
    </row>
    <row r="4365" spans="1:6" x14ac:dyDescent="0.25">
      <c r="A4365" t="str">
        <f>"200020482"</f>
        <v>200020482</v>
      </c>
      <c r="B4365" t="str">
        <f>"1841968930"</f>
        <v>1841968930</v>
      </c>
      <c r="C4365" t="str">
        <f>"207Q00000X"</f>
        <v>207Q00000X</v>
      </c>
      <c r="D4365" t="str">
        <f>"SINGH                    HARSIMAR                 "</f>
        <v xml:space="preserve">SINGH                    HARSIMAR                 </v>
      </c>
      <c r="E4365" t="str">
        <f>"BATON ROUGE               "</f>
        <v xml:space="preserve">BATON ROUGE               </v>
      </c>
      <c r="F4365" t="str">
        <f t="shared" si="173"/>
        <v>LA</v>
      </c>
    </row>
    <row r="4366" spans="1:6" x14ac:dyDescent="0.25">
      <c r="A4366" t="str">
        <f>"200020511"</f>
        <v>200020511</v>
      </c>
      <c r="B4366" t="str">
        <f>"1821165895"</f>
        <v>1821165895</v>
      </c>
      <c r="C4366" t="str">
        <f>"2085R0202X"</f>
        <v>2085R0202X</v>
      </c>
      <c r="D4366" t="str">
        <f>"COURTNEY                 RICHARD                  "</f>
        <v xml:space="preserve">COURTNEY                 RICHARD                  </v>
      </c>
      <c r="E4366" t="str">
        <f>"HAMMOND                   "</f>
        <v xml:space="preserve">HAMMOND                   </v>
      </c>
      <c r="F4366" t="str">
        <f t="shared" si="173"/>
        <v>LA</v>
      </c>
    </row>
    <row r="4367" spans="1:6" x14ac:dyDescent="0.25">
      <c r="A4367" t="str">
        <f>"200020546"</f>
        <v>200020546</v>
      </c>
      <c r="B4367" t="str">
        <f>"1215720826"</f>
        <v>1215720826</v>
      </c>
      <c r="C4367" t="str">
        <f>"367500000X"</f>
        <v>367500000X</v>
      </c>
      <c r="D4367" t="str">
        <f>"SCACCIA                  ALLISON      R           "</f>
        <v xml:space="preserve">SCACCIA                  ALLISON      R           </v>
      </c>
      <c r="E4367" t="str">
        <f>"COVINGTON                 "</f>
        <v xml:space="preserve">COVINGTON                 </v>
      </c>
      <c r="F4367" t="str">
        <f t="shared" si="173"/>
        <v>LA</v>
      </c>
    </row>
    <row r="4368" spans="1:6" x14ac:dyDescent="0.25">
      <c r="A4368" t="str">
        <f>"200020603"</f>
        <v>200020603</v>
      </c>
      <c r="B4368" t="str">
        <f>"1295911865"</f>
        <v>1295911865</v>
      </c>
      <c r="C4368" t="str">
        <f>"207P00000X"</f>
        <v>207P00000X</v>
      </c>
      <c r="D4368" t="str">
        <f>"PEEPLES III              LEE                      "</f>
        <v xml:space="preserve">PEEPLES III              LEE                      </v>
      </c>
      <c r="E4368" t="str">
        <f>"LA PLACE                  "</f>
        <v xml:space="preserve">LA PLACE                  </v>
      </c>
      <c r="F4368" t="str">
        <f t="shared" si="173"/>
        <v>LA</v>
      </c>
    </row>
    <row r="4369" spans="1:6" x14ac:dyDescent="0.25">
      <c r="A4369" t="str">
        <f>"200020709"</f>
        <v>200020709</v>
      </c>
      <c r="B4369" t="str">
        <f>"1962682112"</f>
        <v>1962682112</v>
      </c>
      <c r="C4369" t="str">
        <f>"208600000X"</f>
        <v>208600000X</v>
      </c>
      <c r="D4369" t="str">
        <f>"CHAFFIN                  ABIGAIL      E           "</f>
        <v xml:space="preserve">CHAFFIN                  ABIGAIL      E           </v>
      </c>
      <c r="E4369" t="str">
        <f>"METAIRIE                  "</f>
        <v xml:space="preserve">METAIRIE                  </v>
      </c>
      <c r="F4369" t="str">
        <f t="shared" si="173"/>
        <v>LA</v>
      </c>
    </row>
    <row r="4370" spans="1:6" x14ac:dyDescent="0.25">
      <c r="A4370" t="str">
        <f>"200020712"</f>
        <v>200020712</v>
      </c>
      <c r="B4370" t="str">
        <f>"1215715297"</f>
        <v>1215715297</v>
      </c>
      <c r="C4370" t="str">
        <f>"363LF0000X"</f>
        <v>363LF0000X</v>
      </c>
      <c r="D4370" t="str">
        <f>"SANBORN                  RUSSELL      L           "</f>
        <v xml:space="preserve">SANBORN                  RUSSELL      L           </v>
      </c>
      <c r="E4370" t="str">
        <f>"NEW ORLEANS               "</f>
        <v xml:space="preserve">NEW ORLEANS               </v>
      </c>
      <c r="F4370" t="str">
        <f t="shared" si="173"/>
        <v>LA</v>
      </c>
    </row>
    <row r="4371" spans="1:6" x14ac:dyDescent="0.25">
      <c r="A4371" t="str">
        <f>"200020757"</f>
        <v>200020757</v>
      </c>
      <c r="B4371" t="str">
        <f>"1154015675"</f>
        <v>1154015675</v>
      </c>
      <c r="C4371" t="str">
        <f>"207Q00000X"</f>
        <v>207Q00000X</v>
      </c>
      <c r="D4371" t="str">
        <f>"DELGADO                  JOHN                     "</f>
        <v xml:space="preserve">DELGADO                  JOHN                     </v>
      </c>
      <c r="E4371" t="str">
        <f>"MARKSVILLE                "</f>
        <v xml:space="preserve">MARKSVILLE                </v>
      </c>
      <c r="F4371" t="str">
        <f t="shared" si="173"/>
        <v>LA</v>
      </c>
    </row>
    <row r="4372" spans="1:6" x14ac:dyDescent="0.25">
      <c r="A4372" t="str">
        <f>"200020771"</f>
        <v>200020771</v>
      </c>
      <c r="B4372" t="str">
        <f>"1720868649"</f>
        <v>1720868649</v>
      </c>
      <c r="C4372" t="str">
        <f>"208G00000X"</f>
        <v>208G00000X</v>
      </c>
      <c r="D4372" t="str">
        <f>"DIVYA                    AABHA                    "</f>
        <v xml:space="preserve">DIVYA                    AABHA                    </v>
      </c>
      <c r="E4372" t="str">
        <f>"METAIRIE                  "</f>
        <v xml:space="preserve">METAIRIE                  </v>
      </c>
      <c r="F4372" t="str">
        <f t="shared" si="173"/>
        <v>LA</v>
      </c>
    </row>
    <row r="4373" spans="1:6" x14ac:dyDescent="0.25">
      <c r="A4373" t="str">
        <f>"200020791"</f>
        <v>200020791</v>
      </c>
      <c r="B4373" t="str">
        <f>"1184461147"</f>
        <v>1184461147</v>
      </c>
      <c r="C4373" t="str">
        <f>"363A00000X"</f>
        <v>363A00000X</v>
      </c>
      <c r="D4373" t="str">
        <f>"MATTHEWS                 REBECCA                  "</f>
        <v xml:space="preserve">MATTHEWS                 REBECCA                  </v>
      </c>
      <c r="E4373" t="str">
        <f>"NEW ORLEANS               "</f>
        <v xml:space="preserve">NEW ORLEANS               </v>
      </c>
      <c r="F4373" t="str">
        <f t="shared" si="173"/>
        <v>LA</v>
      </c>
    </row>
    <row r="4374" spans="1:6" x14ac:dyDescent="0.25">
      <c r="A4374" t="str">
        <f>"200020807"</f>
        <v>200020807</v>
      </c>
      <c r="B4374" t="str">
        <f>"1255390738"</f>
        <v>1255390738</v>
      </c>
      <c r="C4374" t="str">
        <f>"208600000X"</f>
        <v>208600000X</v>
      </c>
      <c r="D4374" t="str">
        <f>"PARAMESH                 ANIL         S           "</f>
        <v xml:space="preserve">PARAMESH                 ANIL         S           </v>
      </c>
      <c r="E4374" t="str">
        <f>"METAIRIE                  "</f>
        <v xml:space="preserve">METAIRIE                  </v>
      </c>
      <c r="F4374" t="str">
        <f t="shared" si="173"/>
        <v>LA</v>
      </c>
    </row>
    <row r="4375" spans="1:6" x14ac:dyDescent="0.25">
      <c r="A4375" t="str">
        <f>"200020827"</f>
        <v>200020827</v>
      </c>
      <c r="B4375" t="str">
        <f>"1821457987"</f>
        <v>1821457987</v>
      </c>
      <c r="C4375" t="str">
        <f>"363L00000X"</f>
        <v>363L00000X</v>
      </c>
      <c r="D4375" t="str">
        <f>"NAVARRO                  WENDY        A           "</f>
        <v xml:space="preserve">NAVARRO                  WENDY        A           </v>
      </c>
      <c r="E4375" t="str">
        <f>"METAIRIE                  "</f>
        <v xml:space="preserve">METAIRIE                  </v>
      </c>
      <c r="F4375" t="str">
        <f t="shared" si="173"/>
        <v>LA</v>
      </c>
    </row>
    <row r="4376" spans="1:6" x14ac:dyDescent="0.25">
      <c r="A4376" t="str">
        <f>"200020859"</f>
        <v>200020859</v>
      </c>
      <c r="B4376" t="str">
        <f>"1770724767"</f>
        <v>1770724767</v>
      </c>
      <c r="C4376" t="str">
        <f>"208600000X"</f>
        <v>208600000X</v>
      </c>
      <c r="D4376" t="str">
        <f>"GELVIN                   ANGELLE                  "</f>
        <v xml:space="preserve">GELVIN                   ANGELLE                  </v>
      </c>
      <c r="E4376" t="str">
        <f>"JEFFERSON                 "</f>
        <v xml:space="preserve">JEFFERSON                 </v>
      </c>
      <c r="F4376" t="str">
        <f t="shared" si="173"/>
        <v>LA</v>
      </c>
    </row>
    <row r="4377" spans="1:6" x14ac:dyDescent="0.25">
      <c r="A4377" t="str">
        <f>"200020872"</f>
        <v>200020872</v>
      </c>
      <c r="B4377" t="str">
        <f>"1639722416"</f>
        <v>1639722416</v>
      </c>
      <c r="C4377" t="str">
        <f>"363L00000X"</f>
        <v>363L00000X</v>
      </c>
      <c r="D4377" t="str">
        <f>"WARD                     AMANDA       S           "</f>
        <v xml:space="preserve">WARD                     AMANDA       S           </v>
      </c>
      <c r="E4377" t="str">
        <f>"METAIRIE                  "</f>
        <v xml:space="preserve">METAIRIE                  </v>
      </c>
      <c r="F4377" t="str">
        <f t="shared" si="173"/>
        <v>LA</v>
      </c>
    </row>
    <row r="4378" spans="1:6" x14ac:dyDescent="0.25">
      <c r="A4378" t="str">
        <f>"200020901"</f>
        <v>200020901</v>
      </c>
      <c r="B4378" t="str">
        <f>"1144993437"</f>
        <v>1144993437</v>
      </c>
      <c r="C4378" t="str">
        <f>"363L00000X"</f>
        <v>363L00000X</v>
      </c>
      <c r="D4378" t="str">
        <f>"FORSTALL                 JENNIFER     R           "</f>
        <v xml:space="preserve">FORSTALL                 JENNIFER     R           </v>
      </c>
      <c r="E4378" t="str">
        <f>"METAIRIE                  "</f>
        <v xml:space="preserve">METAIRIE                  </v>
      </c>
      <c r="F4378" t="str">
        <f t="shared" si="173"/>
        <v>LA</v>
      </c>
    </row>
    <row r="4379" spans="1:6" x14ac:dyDescent="0.25">
      <c r="A4379" t="str">
        <f>"200020905"</f>
        <v>200020905</v>
      </c>
      <c r="B4379" t="str">
        <f>"1922610575"</f>
        <v>1922610575</v>
      </c>
      <c r="C4379" t="str">
        <f>"367A00000X"</f>
        <v>367A00000X</v>
      </c>
      <c r="D4379" t="str">
        <f>"EVANS                    SARRAH                   "</f>
        <v xml:space="preserve">EVANS                    SARRAH                   </v>
      </c>
      <c r="E4379" t="str">
        <f>"NEW ORLEANS               "</f>
        <v xml:space="preserve">NEW ORLEANS               </v>
      </c>
      <c r="F4379" t="str">
        <f t="shared" ref="F4379:F4442" si="175">"LA"</f>
        <v>LA</v>
      </c>
    </row>
    <row r="4380" spans="1:6" x14ac:dyDescent="0.25">
      <c r="A4380" t="str">
        <f>"200020939"</f>
        <v>200020939</v>
      </c>
      <c r="B4380" t="str">
        <f>"1558009316"</f>
        <v>1558009316</v>
      </c>
      <c r="C4380" t="str">
        <f>"207P00000X"</f>
        <v>207P00000X</v>
      </c>
      <c r="D4380" t="str">
        <f>"KLING                    MICHAEL                  "</f>
        <v xml:space="preserve">KLING                    MICHAEL                  </v>
      </c>
      <c r="E4380" t="str">
        <f>"BOGALUSA                  "</f>
        <v xml:space="preserve">BOGALUSA                  </v>
      </c>
      <c r="F4380" t="str">
        <f t="shared" si="175"/>
        <v>LA</v>
      </c>
    </row>
    <row r="4381" spans="1:6" x14ac:dyDescent="0.25">
      <c r="A4381" t="str">
        <f>"200020943"</f>
        <v>200020943</v>
      </c>
      <c r="B4381" t="str">
        <f>"1164976601"</f>
        <v>1164976601</v>
      </c>
      <c r="C4381" t="str">
        <f>"2085R0202X"</f>
        <v>2085R0202X</v>
      </c>
      <c r="D4381" t="str">
        <f>"KUKKAR                   VISHAL                   "</f>
        <v xml:space="preserve">KUKKAR                   VISHAL                   </v>
      </c>
      <c r="E4381" t="str">
        <f>"NEW ORLEANS               "</f>
        <v xml:space="preserve">NEW ORLEANS               </v>
      </c>
      <c r="F4381" t="str">
        <f t="shared" si="175"/>
        <v>LA</v>
      </c>
    </row>
    <row r="4382" spans="1:6" x14ac:dyDescent="0.25">
      <c r="A4382" t="str">
        <f>"200020945"</f>
        <v>200020945</v>
      </c>
      <c r="B4382" t="str">
        <f>"1750341863"</f>
        <v>1750341863</v>
      </c>
      <c r="C4382" t="str">
        <f>"208600000X"</f>
        <v>208600000X</v>
      </c>
      <c r="D4382" t="str">
        <f>"CORSETTI                 RALPH        L           "</f>
        <v xml:space="preserve">CORSETTI                 RALPH        L           </v>
      </c>
      <c r="E4382" t="str">
        <f>"METAIRIE                  "</f>
        <v xml:space="preserve">METAIRIE                  </v>
      </c>
      <c r="F4382" t="str">
        <f t="shared" si="175"/>
        <v>LA</v>
      </c>
    </row>
    <row r="4383" spans="1:6" x14ac:dyDescent="0.25">
      <c r="A4383" t="str">
        <f>"200020947"</f>
        <v>200020947</v>
      </c>
      <c r="B4383" t="str">
        <f>"1023848561"</f>
        <v>1023848561</v>
      </c>
      <c r="C4383" t="str">
        <f>"363A00000X"</f>
        <v>363A00000X</v>
      </c>
      <c r="D4383" t="str">
        <f>"PERILLOUX                ALLI                     "</f>
        <v xml:space="preserve">PERILLOUX                ALLI                     </v>
      </c>
      <c r="E4383" t="str">
        <f>"NEW ORLEANS               "</f>
        <v xml:space="preserve">NEW ORLEANS               </v>
      </c>
      <c r="F4383" t="str">
        <f t="shared" si="175"/>
        <v>LA</v>
      </c>
    </row>
    <row r="4384" spans="1:6" x14ac:dyDescent="0.25">
      <c r="A4384" t="str">
        <f>"200021025"</f>
        <v>200021025</v>
      </c>
      <c r="B4384" t="str">
        <f>"1962398081"</f>
        <v>1962398081</v>
      </c>
      <c r="C4384" t="str">
        <f>"207L00000X"</f>
        <v>207L00000X</v>
      </c>
      <c r="D4384" t="str">
        <f>"HARMON                   MEGAN                    "</f>
        <v xml:space="preserve">HARMON                   MEGAN                    </v>
      </c>
      <c r="E4384" t="str">
        <f>"NEW ORLEANS               "</f>
        <v xml:space="preserve">NEW ORLEANS               </v>
      </c>
      <c r="F4384" t="str">
        <f t="shared" si="175"/>
        <v>LA</v>
      </c>
    </row>
    <row r="4385" spans="1:6" x14ac:dyDescent="0.25">
      <c r="A4385" t="str">
        <f>"200021039"</f>
        <v>200021039</v>
      </c>
      <c r="B4385" t="str">
        <f>"1174148068"</f>
        <v>1174148068</v>
      </c>
      <c r="C4385" t="str">
        <f>"2085R0202X"</f>
        <v>2085R0202X</v>
      </c>
      <c r="D4385" t="str">
        <f>"KNAFL                    EMILY                    "</f>
        <v xml:space="preserve">KNAFL                    EMILY                    </v>
      </c>
      <c r="E4385" t="str">
        <f>"NEW ORLEANS               "</f>
        <v xml:space="preserve">NEW ORLEANS               </v>
      </c>
      <c r="F4385" t="str">
        <f t="shared" si="175"/>
        <v>LA</v>
      </c>
    </row>
    <row r="4386" spans="1:6" x14ac:dyDescent="0.25">
      <c r="A4386" t="str">
        <f>"200021040"</f>
        <v>200021040</v>
      </c>
      <c r="B4386" t="str">
        <f>"1548255979"</f>
        <v>1548255979</v>
      </c>
      <c r="C4386" t="str">
        <f>"207R00000X"</f>
        <v>207R00000X</v>
      </c>
      <c r="D4386" t="str">
        <f>"BROWN                    EVERETT                  "</f>
        <v xml:space="preserve">BROWN                    EVERETT                  </v>
      </c>
      <c r="E4386" t="str">
        <f>"FERRIDAY                  "</f>
        <v xml:space="preserve">FERRIDAY                  </v>
      </c>
      <c r="F4386" t="str">
        <f t="shared" si="175"/>
        <v>LA</v>
      </c>
    </row>
    <row r="4387" spans="1:6" x14ac:dyDescent="0.25">
      <c r="A4387" t="str">
        <f>"200021050"</f>
        <v>200021050</v>
      </c>
      <c r="B4387" t="str">
        <f>"1447864491"</f>
        <v>1447864491</v>
      </c>
      <c r="C4387" t="str">
        <f>"363LF0000X"</f>
        <v>363LF0000X</v>
      </c>
      <c r="D4387" t="str">
        <f>"PETERSON                 MEAGAN                   "</f>
        <v xml:space="preserve">PETERSON                 MEAGAN                   </v>
      </c>
      <c r="E4387" t="str">
        <f>"SLIDELL                   "</f>
        <v xml:space="preserve">SLIDELL                   </v>
      </c>
      <c r="F4387" t="str">
        <f t="shared" si="175"/>
        <v>LA</v>
      </c>
    </row>
    <row r="4388" spans="1:6" x14ac:dyDescent="0.25">
      <c r="A4388" t="str">
        <f>"200021073"</f>
        <v>200021073</v>
      </c>
      <c r="B4388" t="str">
        <f>"1023000916"</f>
        <v>1023000916</v>
      </c>
      <c r="C4388" t="str">
        <f>"207P00000X"</f>
        <v>207P00000X</v>
      </c>
      <c r="D4388" t="str">
        <f>"CHIRAYIL                 JOSEPH                   "</f>
        <v xml:space="preserve">CHIRAYIL                 JOSEPH                   </v>
      </c>
      <c r="E4388" t="str">
        <f>"BOGALUSA                  "</f>
        <v xml:space="preserve">BOGALUSA                  </v>
      </c>
      <c r="F4388" t="str">
        <f t="shared" si="175"/>
        <v>LA</v>
      </c>
    </row>
    <row r="4389" spans="1:6" x14ac:dyDescent="0.25">
      <c r="A4389" t="str">
        <f>"200021090"</f>
        <v>200021090</v>
      </c>
      <c r="B4389" t="str">
        <f>"1629243431"</f>
        <v>1629243431</v>
      </c>
      <c r="C4389" t="str">
        <f>"208VP0014X"</f>
        <v>208VP0014X</v>
      </c>
      <c r="D4389" t="str">
        <f>"BERRY                    THOMAS       J           "</f>
        <v xml:space="preserve">BERRY                    THOMAS       J           </v>
      </c>
      <c r="E4389" t="str">
        <f>"SLIDELL                   "</f>
        <v xml:space="preserve">SLIDELL                   </v>
      </c>
      <c r="F4389" t="str">
        <f t="shared" si="175"/>
        <v>LA</v>
      </c>
    </row>
    <row r="4390" spans="1:6" x14ac:dyDescent="0.25">
      <c r="A4390" t="str">
        <f>"200021112"</f>
        <v>200021112</v>
      </c>
      <c r="B4390" t="str">
        <f>"1285078709"</f>
        <v>1285078709</v>
      </c>
      <c r="C4390" t="str">
        <f>"2084P0800X"</f>
        <v>2084P0800X</v>
      </c>
      <c r="D4390" t="str">
        <f>"PRASAD                   SMITA        R           "</f>
        <v xml:space="preserve">PRASAD                   SMITA        R           </v>
      </c>
      <c r="E4390" t="str">
        <f>"METAIRIE                  "</f>
        <v xml:space="preserve">METAIRIE                  </v>
      </c>
      <c r="F4390" t="str">
        <f t="shared" si="175"/>
        <v>LA</v>
      </c>
    </row>
    <row r="4391" spans="1:6" x14ac:dyDescent="0.25">
      <c r="A4391" t="str">
        <f>"200021139"</f>
        <v>200021139</v>
      </c>
      <c r="B4391" t="str">
        <f>"1518586445"</f>
        <v>1518586445</v>
      </c>
      <c r="C4391" t="str">
        <f>"2085R0202X"</f>
        <v>2085R0202X</v>
      </c>
      <c r="D4391" t="str">
        <f>"LAJAUNIE                 JARED                    "</f>
        <v xml:space="preserve">LAJAUNIE                 JARED                    </v>
      </c>
      <c r="E4391" t="str">
        <f>"HAMMOND                   "</f>
        <v xml:space="preserve">HAMMOND                   </v>
      </c>
      <c r="F4391" t="str">
        <f t="shared" si="175"/>
        <v>LA</v>
      </c>
    </row>
    <row r="4392" spans="1:6" x14ac:dyDescent="0.25">
      <c r="A4392" t="str">
        <f>"200021143"</f>
        <v>200021143</v>
      </c>
      <c r="B4392" t="str">
        <f>"1366903650"</f>
        <v>1366903650</v>
      </c>
      <c r="C4392" t="str">
        <f>"2085R0202X"</f>
        <v>2085R0202X</v>
      </c>
      <c r="D4392" t="str">
        <f>"ARAIN                    OMAIR                    "</f>
        <v xml:space="preserve">ARAIN                    OMAIR                    </v>
      </c>
      <c r="E4392" t="str">
        <f>"NEW ORLEANS               "</f>
        <v xml:space="preserve">NEW ORLEANS               </v>
      </c>
      <c r="F4392" t="str">
        <f t="shared" si="175"/>
        <v>LA</v>
      </c>
    </row>
    <row r="4393" spans="1:6" x14ac:dyDescent="0.25">
      <c r="A4393" t="str">
        <f>"200021148"</f>
        <v>200021148</v>
      </c>
      <c r="B4393" t="str">
        <f>"1417586058"</f>
        <v>1417586058</v>
      </c>
      <c r="C4393" t="str">
        <f>"2085R0202X"</f>
        <v>2085R0202X</v>
      </c>
      <c r="D4393" t="str">
        <f>"HUEBNER                  CHRISTIAN                "</f>
        <v xml:space="preserve">HUEBNER                  CHRISTIAN                </v>
      </c>
      <c r="E4393" t="str">
        <f>"HAMMOND                   "</f>
        <v xml:space="preserve">HAMMOND                   </v>
      </c>
      <c r="F4393" t="str">
        <f t="shared" si="175"/>
        <v>LA</v>
      </c>
    </row>
    <row r="4394" spans="1:6" x14ac:dyDescent="0.25">
      <c r="A4394" t="str">
        <f>"200021173"</f>
        <v>200021173</v>
      </c>
      <c r="B4394" t="str">
        <f>"1568092013"</f>
        <v>1568092013</v>
      </c>
      <c r="C4394" t="str">
        <f>"363LF0000X"</f>
        <v>363LF0000X</v>
      </c>
      <c r="D4394" t="str">
        <f>"ALJABI                   TRACY                    "</f>
        <v xml:space="preserve">ALJABI                   TRACY                    </v>
      </c>
      <c r="E4394" t="str">
        <f>"COVINGTON                 "</f>
        <v xml:space="preserve">COVINGTON                 </v>
      </c>
      <c r="F4394" t="str">
        <f t="shared" si="175"/>
        <v>LA</v>
      </c>
    </row>
    <row r="4395" spans="1:6" x14ac:dyDescent="0.25">
      <c r="A4395" t="str">
        <f>"200021180"</f>
        <v>200021180</v>
      </c>
      <c r="B4395" t="str">
        <f>"1699525287"</f>
        <v>1699525287</v>
      </c>
      <c r="C4395" t="str">
        <f>"363AM0700X"</f>
        <v>363AM0700X</v>
      </c>
      <c r="D4395" t="str">
        <f>"RODNEY                   ARLYSSE                  "</f>
        <v xml:space="preserve">RODNEY                   ARLYSSE                  </v>
      </c>
      <c r="E4395" t="str">
        <f>"NEW ORLEANS               "</f>
        <v xml:space="preserve">NEW ORLEANS               </v>
      </c>
      <c r="F4395" t="str">
        <f t="shared" si="175"/>
        <v>LA</v>
      </c>
    </row>
    <row r="4396" spans="1:6" x14ac:dyDescent="0.25">
      <c r="A4396" t="str">
        <f>"200021241"</f>
        <v>200021241</v>
      </c>
      <c r="B4396" t="str">
        <f>"1821520115"</f>
        <v>1821520115</v>
      </c>
      <c r="C4396" t="str">
        <f>"207N00000X"</f>
        <v>207N00000X</v>
      </c>
      <c r="D4396" t="str">
        <f>"HAAS                     CHRISTOPHER              "</f>
        <v xml:space="preserve">HAAS                     CHRISTOPHER              </v>
      </c>
      <c r="E4396" t="str">
        <f>"NEW ORLEANS               "</f>
        <v xml:space="preserve">NEW ORLEANS               </v>
      </c>
      <c r="F4396" t="str">
        <f t="shared" si="175"/>
        <v>LA</v>
      </c>
    </row>
    <row r="4397" spans="1:6" x14ac:dyDescent="0.25">
      <c r="A4397" t="str">
        <f>"200021243"</f>
        <v>200021243</v>
      </c>
      <c r="B4397" t="str">
        <f>"1548841877"</f>
        <v>1548841877</v>
      </c>
      <c r="C4397" t="str">
        <f>"207P00000X"</f>
        <v>207P00000X</v>
      </c>
      <c r="D4397" t="str">
        <f>"LEBHERZ                  KARLY                    "</f>
        <v xml:space="preserve">LEBHERZ                  KARLY                    </v>
      </c>
      <c r="E4397" t="str">
        <f>"SLIDELL                   "</f>
        <v xml:space="preserve">SLIDELL                   </v>
      </c>
      <c r="F4397" t="str">
        <f t="shared" si="175"/>
        <v>LA</v>
      </c>
    </row>
    <row r="4398" spans="1:6" x14ac:dyDescent="0.25">
      <c r="A4398" t="str">
        <f>"200021248"</f>
        <v>200021248</v>
      </c>
      <c r="B4398" t="str">
        <f>"1821457037"</f>
        <v>1821457037</v>
      </c>
      <c r="C4398" t="str">
        <f>"363LF0000X"</f>
        <v>363LF0000X</v>
      </c>
      <c r="D4398" t="str">
        <f>"QUINN                    KELLY        H           "</f>
        <v xml:space="preserve">QUINN                    KELLY        H           </v>
      </c>
      <c r="E4398" t="str">
        <f>"METAIRIE                  "</f>
        <v xml:space="preserve">METAIRIE                  </v>
      </c>
      <c r="F4398" t="str">
        <f t="shared" si="175"/>
        <v>LA</v>
      </c>
    </row>
    <row r="4399" spans="1:6" x14ac:dyDescent="0.25">
      <c r="A4399" t="str">
        <f>"200021250"</f>
        <v>200021250</v>
      </c>
      <c r="B4399" t="str">
        <f>"1922398833"</f>
        <v>1922398833</v>
      </c>
      <c r="C4399" t="str">
        <f>"367500000X"</f>
        <v>367500000X</v>
      </c>
      <c r="D4399" t="str">
        <f>"ANESTHESIA CARE          TOTAL                    "</f>
        <v xml:space="preserve">ANESTHESIA CARE          TOTAL                    </v>
      </c>
      <c r="E4399" t="str">
        <f>"COVINGTON                 "</f>
        <v xml:space="preserve">COVINGTON                 </v>
      </c>
      <c r="F4399" t="str">
        <f t="shared" si="175"/>
        <v>LA</v>
      </c>
    </row>
    <row r="4400" spans="1:6" x14ac:dyDescent="0.25">
      <c r="A4400" t="str">
        <f>"200021272"</f>
        <v>200021272</v>
      </c>
      <c r="B4400" t="str">
        <f>"1811307259"</f>
        <v>1811307259</v>
      </c>
      <c r="C4400" t="str">
        <f>"2085R0202X"</f>
        <v>2085R0202X</v>
      </c>
      <c r="D4400" t="str">
        <f>"FITZSIMMONS              SHAWN                    "</f>
        <v xml:space="preserve">FITZSIMMONS              SHAWN                    </v>
      </c>
      <c r="E4400" t="str">
        <f>"NEW ORLEANS               "</f>
        <v xml:space="preserve">NEW ORLEANS               </v>
      </c>
      <c r="F4400" t="str">
        <f t="shared" si="175"/>
        <v>LA</v>
      </c>
    </row>
    <row r="4401" spans="1:6" x14ac:dyDescent="0.25">
      <c r="A4401" t="str">
        <f>"200021277"</f>
        <v>200021277</v>
      </c>
      <c r="B4401" t="str">
        <f>"1144913542"</f>
        <v>1144913542</v>
      </c>
      <c r="C4401" t="str">
        <f>"363A00000X"</f>
        <v>363A00000X</v>
      </c>
      <c r="D4401" t="str">
        <f>"BUTLER                   MADISON                  "</f>
        <v xml:space="preserve">BUTLER                   MADISON                  </v>
      </c>
      <c r="E4401" t="str">
        <f>"NEW ORLEANS               "</f>
        <v xml:space="preserve">NEW ORLEANS               </v>
      </c>
      <c r="F4401" t="str">
        <f t="shared" si="175"/>
        <v>LA</v>
      </c>
    </row>
    <row r="4402" spans="1:6" x14ac:dyDescent="0.25">
      <c r="A4402" t="str">
        <f>"200021308"</f>
        <v>200021308</v>
      </c>
      <c r="B4402" t="str">
        <f>"1598565434"</f>
        <v>1598565434</v>
      </c>
      <c r="C4402" t="str">
        <f>"363LF0000X"</f>
        <v>363LF0000X</v>
      </c>
      <c r="D4402" t="str">
        <f>"STEVENS                  MATTHEW                  "</f>
        <v xml:space="preserve">STEVENS                  MATTHEW                  </v>
      </c>
      <c r="E4402" t="str">
        <f>"SLIDELL                   "</f>
        <v xml:space="preserve">SLIDELL                   </v>
      </c>
      <c r="F4402" t="str">
        <f t="shared" si="175"/>
        <v>LA</v>
      </c>
    </row>
    <row r="4403" spans="1:6" x14ac:dyDescent="0.25">
      <c r="A4403" t="str">
        <f>"200021315"</f>
        <v>200021315</v>
      </c>
      <c r="B4403" t="str">
        <f>"1104918879"</f>
        <v>1104918879</v>
      </c>
      <c r="C4403" t="str">
        <f>"207X00000X"</f>
        <v>207X00000X</v>
      </c>
      <c r="D4403" t="str">
        <f>"DAVIS                    JOHN                     "</f>
        <v xml:space="preserve">DAVIS                    JOHN                     </v>
      </c>
      <c r="E4403" t="str">
        <f>"SLIDELL                   "</f>
        <v xml:space="preserve">SLIDELL                   </v>
      </c>
      <c r="F4403" t="str">
        <f t="shared" si="175"/>
        <v>LA</v>
      </c>
    </row>
    <row r="4404" spans="1:6" x14ac:dyDescent="0.25">
      <c r="A4404" t="str">
        <f>"200021317"</f>
        <v>200021317</v>
      </c>
      <c r="B4404" t="str">
        <f>"1457970295"</f>
        <v>1457970295</v>
      </c>
      <c r="C4404" t="str">
        <f>"2080H0002X"</f>
        <v>2080H0002X</v>
      </c>
      <c r="D4404" t="str">
        <f>"CREEL                    CAITLIN      J           "</f>
        <v xml:space="preserve">CREEL                    CAITLIN      J           </v>
      </c>
      <c r="E4404" t="str">
        <f>"NEW ORLEANS               "</f>
        <v xml:space="preserve">NEW ORLEANS               </v>
      </c>
      <c r="F4404" t="str">
        <f t="shared" si="175"/>
        <v>LA</v>
      </c>
    </row>
    <row r="4405" spans="1:6" x14ac:dyDescent="0.25">
      <c r="A4405" t="str">
        <f>"200021322"</f>
        <v>200021322</v>
      </c>
      <c r="B4405" t="str">
        <f>"1548825631"</f>
        <v>1548825631</v>
      </c>
      <c r="C4405" t="str">
        <f>"2080N0001X"</f>
        <v>2080N0001X</v>
      </c>
      <c r="D4405" t="str">
        <f>"JOINER                   DILLON                   "</f>
        <v xml:space="preserve">JOINER                   DILLON                   </v>
      </c>
      <c r="E4405" t="str">
        <f>"NEW ORLEANS               "</f>
        <v xml:space="preserve">NEW ORLEANS               </v>
      </c>
      <c r="F4405" t="str">
        <f t="shared" si="175"/>
        <v>LA</v>
      </c>
    </row>
    <row r="4406" spans="1:6" x14ac:dyDescent="0.25">
      <c r="A4406" t="str">
        <f>"200021358"</f>
        <v>200021358</v>
      </c>
      <c r="B4406" t="str">
        <f>"1770377616"</f>
        <v>1770377616</v>
      </c>
      <c r="C4406" t="str">
        <f>"363L00000X"</f>
        <v>363L00000X</v>
      </c>
      <c r="D4406" t="str">
        <f>"BROUSSARD                BRITTANY                 "</f>
        <v xml:space="preserve">BROUSSARD                BRITTANY                 </v>
      </c>
      <c r="E4406" t="str">
        <f>"NEW ORLEANS               "</f>
        <v xml:space="preserve">NEW ORLEANS               </v>
      </c>
      <c r="F4406" t="str">
        <f t="shared" si="175"/>
        <v>LA</v>
      </c>
    </row>
    <row r="4407" spans="1:6" x14ac:dyDescent="0.25">
      <c r="A4407" t="str">
        <f>"200021406"</f>
        <v>200021406</v>
      </c>
      <c r="B4407" t="str">
        <f>"1356145890"</f>
        <v>1356145890</v>
      </c>
      <c r="C4407" t="str">
        <f>"363A00000X"</f>
        <v>363A00000X</v>
      </c>
      <c r="D4407" t="str">
        <f>"BROUSSARD                MONIQUE                  "</f>
        <v xml:space="preserve">BROUSSARD                MONIQUE                  </v>
      </c>
      <c r="E4407" t="str">
        <f>"NEW ORLEANS               "</f>
        <v xml:space="preserve">NEW ORLEANS               </v>
      </c>
      <c r="F4407" t="str">
        <f t="shared" si="175"/>
        <v>LA</v>
      </c>
    </row>
    <row r="4408" spans="1:6" x14ac:dyDescent="0.25">
      <c r="A4408" t="str">
        <f>"200021415"</f>
        <v>200021415</v>
      </c>
      <c r="B4408" t="str">
        <f>"1578925566"</f>
        <v>1578925566</v>
      </c>
      <c r="C4408" t="str">
        <f>"207P00000X"</f>
        <v>207P00000X</v>
      </c>
      <c r="D4408" t="str">
        <f>"MONTOYA ARAYA            LUIS                     "</f>
        <v xml:space="preserve">MONTOYA ARAYA            LUIS                     </v>
      </c>
      <c r="E4408" t="str">
        <f>"METAIRIE                  "</f>
        <v xml:space="preserve">METAIRIE                  </v>
      </c>
      <c r="F4408" t="str">
        <f t="shared" si="175"/>
        <v>LA</v>
      </c>
    </row>
    <row r="4409" spans="1:6" x14ac:dyDescent="0.25">
      <c r="A4409" t="str">
        <f>"200021428"</f>
        <v>200021428</v>
      </c>
      <c r="B4409" t="str">
        <f>"1902485550"</f>
        <v>1902485550</v>
      </c>
      <c r="C4409" t="str">
        <f>"207P00000X"</f>
        <v>207P00000X</v>
      </c>
      <c r="D4409" t="str">
        <f>"ISAACSON                 KATHARINE                "</f>
        <v xml:space="preserve">ISAACSON                 KATHARINE                </v>
      </c>
      <c r="E4409" t="str">
        <f>"SLIDELL                   "</f>
        <v xml:space="preserve">SLIDELL                   </v>
      </c>
      <c r="F4409" t="str">
        <f t="shared" si="175"/>
        <v>LA</v>
      </c>
    </row>
    <row r="4410" spans="1:6" x14ac:dyDescent="0.25">
      <c r="A4410" t="str">
        <f>"200021439"</f>
        <v>200021439</v>
      </c>
      <c r="B4410" t="str">
        <f>"1174268528"</f>
        <v>1174268528</v>
      </c>
      <c r="C4410" t="str">
        <f>"208000000X"</f>
        <v>208000000X</v>
      </c>
      <c r="D4410" t="str">
        <f>"RUIZ                     GABRIELA                 "</f>
        <v xml:space="preserve">RUIZ                     GABRIELA                 </v>
      </c>
      <c r="E4410" t="str">
        <f>"METAIRIE                  "</f>
        <v xml:space="preserve">METAIRIE                  </v>
      </c>
      <c r="F4410" t="str">
        <f t="shared" si="175"/>
        <v>LA</v>
      </c>
    </row>
    <row r="4411" spans="1:6" x14ac:dyDescent="0.25">
      <c r="A4411" t="str">
        <f>"200021465"</f>
        <v>200021465</v>
      </c>
      <c r="B4411" t="str">
        <f>"1851956262"</f>
        <v>1851956262</v>
      </c>
      <c r="C4411" t="str">
        <f>"207RN0300X"</f>
        <v>207RN0300X</v>
      </c>
      <c r="D4411" t="str">
        <f>"SILVERBERG               BENJAMIN     M           "</f>
        <v xml:space="preserve">SILVERBERG               BENJAMIN     M           </v>
      </c>
      <c r="E4411" t="str">
        <f>"BATON ROUGE               "</f>
        <v xml:space="preserve">BATON ROUGE               </v>
      </c>
      <c r="F4411" t="str">
        <f t="shared" si="175"/>
        <v>LA</v>
      </c>
    </row>
    <row r="4412" spans="1:6" x14ac:dyDescent="0.25">
      <c r="A4412" t="str">
        <f>"200021469"</f>
        <v>200021469</v>
      </c>
      <c r="B4412" t="str">
        <f>"1205274800"</f>
        <v>1205274800</v>
      </c>
      <c r="C4412" t="str">
        <f>"207X00000X"</f>
        <v>207X00000X</v>
      </c>
      <c r="D4412" t="str">
        <f>"NUSSENBAUM               FERNANDO                 "</f>
        <v xml:space="preserve">NUSSENBAUM               FERNANDO                 </v>
      </c>
      <c r="E4412" t="str">
        <f>"SLIDELL                   "</f>
        <v xml:space="preserve">SLIDELL                   </v>
      </c>
      <c r="F4412" t="str">
        <f t="shared" si="175"/>
        <v>LA</v>
      </c>
    </row>
    <row r="4413" spans="1:6" x14ac:dyDescent="0.25">
      <c r="A4413" t="str">
        <f>"200021473"</f>
        <v>200021473</v>
      </c>
      <c r="B4413" t="str">
        <f>"1093132938"</f>
        <v>1093132938</v>
      </c>
      <c r="C4413" t="str">
        <f>"208VP0014X"</f>
        <v>208VP0014X</v>
      </c>
      <c r="D4413" t="str">
        <f>"TRAN                     NEILSON                  "</f>
        <v xml:space="preserve">TRAN                     NEILSON                  </v>
      </c>
      <c r="E4413" t="str">
        <f>"SLIDELL                   "</f>
        <v xml:space="preserve">SLIDELL                   </v>
      </c>
      <c r="F4413" t="str">
        <f t="shared" si="175"/>
        <v>LA</v>
      </c>
    </row>
    <row r="4414" spans="1:6" x14ac:dyDescent="0.25">
      <c r="A4414" t="str">
        <f>"200021476"</f>
        <v>200021476</v>
      </c>
      <c r="B4414" t="str">
        <f>"1245123637"</f>
        <v>1245123637</v>
      </c>
      <c r="C4414" t="str">
        <f>"367500000X"</f>
        <v>367500000X</v>
      </c>
      <c r="D4414" t="str">
        <f>"DANTIN                   ALLYSON                  "</f>
        <v xml:space="preserve">DANTIN                   ALLYSON                  </v>
      </c>
      <c r="E4414" t="str">
        <f>"NEW ORLEANS               "</f>
        <v xml:space="preserve">NEW ORLEANS               </v>
      </c>
      <c r="F4414" t="str">
        <f t="shared" si="175"/>
        <v>LA</v>
      </c>
    </row>
    <row r="4415" spans="1:6" x14ac:dyDescent="0.25">
      <c r="A4415" t="str">
        <f>"200021528"</f>
        <v>200021528</v>
      </c>
      <c r="B4415" t="str">
        <f>"1093334690"</f>
        <v>1093334690</v>
      </c>
      <c r="C4415" t="str">
        <f>"2084N0402X"</f>
        <v>2084N0402X</v>
      </c>
      <c r="D4415" t="str">
        <f>"CONTRERAS                HAGLAEEH                 "</f>
        <v xml:space="preserve">CONTRERAS                HAGLAEEH                 </v>
      </c>
      <c r="E4415" t="str">
        <f>"NEW ORLEANS               "</f>
        <v xml:space="preserve">NEW ORLEANS               </v>
      </c>
      <c r="F4415" t="str">
        <f t="shared" si="175"/>
        <v>LA</v>
      </c>
    </row>
    <row r="4416" spans="1:6" x14ac:dyDescent="0.25">
      <c r="A4416" t="str">
        <f>"200021529"</f>
        <v>200021529</v>
      </c>
      <c r="B4416" t="str">
        <f>"1295361582"</f>
        <v>1295361582</v>
      </c>
      <c r="C4416" t="str">
        <f>"367500000X"</f>
        <v>367500000X</v>
      </c>
      <c r="D4416" t="str">
        <f>"BROHA                    AMY                      "</f>
        <v xml:space="preserve">BROHA                    AMY                      </v>
      </c>
      <c r="E4416" t="str">
        <f>"METAIRIE                  "</f>
        <v xml:space="preserve">METAIRIE                  </v>
      </c>
      <c r="F4416" t="str">
        <f t="shared" si="175"/>
        <v>LA</v>
      </c>
    </row>
    <row r="4417" spans="1:6" x14ac:dyDescent="0.25">
      <c r="A4417" t="str">
        <f>"200021534"</f>
        <v>200021534</v>
      </c>
      <c r="B4417" t="str">
        <f>"1659015022"</f>
        <v>1659015022</v>
      </c>
      <c r="C4417" t="str">
        <f>"207Q00000X"</f>
        <v>207Q00000X</v>
      </c>
      <c r="D4417" t="str">
        <f>"GEORGE                   MATTHEW                  "</f>
        <v xml:space="preserve">GEORGE                   MATTHEW                  </v>
      </c>
      <c r="E4417" t="str">
        <f>"MARRERO                   "</f>
        <v xml:space="preserve">MARRERO                   </v>
      </c>
      <c r="F4417" t="str">
        <f t="shared" si="175"/>
        <v>LA</v>
      </c>
    </row>
    <row r="4418" spans="1:6" x14ac:dyDescent="0.25">
      <c r="A4418" t="str">
        <f>"200021537"</f>
        <v>200021537</v>
      </c>
      <c r="B4418" t="str">
        <f>"1831684810"</f>
        <v>1831684810</v>
      </c>
      <c r="C4418" t="str">
        <f>"208000000X"</f>
        <v>208000000X</v>
      </c>
      <c r="D4418" t="str">
        <f>"MARRANZINI RODRIGUEZ     ISABELLA                 "</f>
        <v xml:space="preserve">MARRANZINI RODRIGUEZ     ISABELLA                 </v>
      </c>
      <c r="E4418" t="str">
        <f>"NEW ORLEANS               "</f>
        <v xml:space="preserve">NEW ORLEANS               </v>
      </c>
      <c r="F4418" t="str">
        <f t="shared" si="175"/>
        <v>LA</v>
      </c>
    </row>
    <row r="4419" spans="1:6" x14ac:dyDescent="0.25">
      <c r="A4419" t="str">
        <f>"200021552"</f>
        <v>200021552</v>
      </c>
      <c r="B4419" t="str">
        <f>"1013204742"</f>
        <v>1013204742</v>
      </c>
      <c r="C4419" t="str">
        <f>"207Q00000X"</f>
        <v>207Q00000X</v>
      </c>
      <c r="D4419" t="str">
        <f>"ADAMS                    ANDREW                   "</f>
        <v xml:space="preserve">ADAMS                    ANDREW                   </v>
      </c>
      <c r="E4419" t="str">
        <f>"SLIDELL                   "</f>
        <v xml:space="preserve">SLIDELL                   </v>
      </c>
      <c r="F4419" t="str">
        <f t="shared" si="175"/>
        <v>LA</v>
      </c>
    </row>
    <row r="4420" spans="1:6" x14ac:dyDescent="0.25">
      <c r="A4420" t="str">
        <f>"200021575"</f>
        <v>200021575</v>
      </c>
      <c r="B4420" t="str">
        <f>"1467744573"</f>
        <v>1467744573</v>
      </c>
      <c r="C4420" t="str">
        <f>"2085R0202X"</f>
        <v>2085R0202X</v>
      </c>
      <c r="D4420" t="str">
        <f>"PETTIBON                 KEITH        D           "</f>
        <v xml:space="preserve">PETTIBON                 KEITH        D           </v>
      </c>
      <c r="E4420" t="str">
        <f>"NEW ORLEANS               "</f>
        <v xml:space="preserve">NEW ORLEANS               </v>
      </c>
      <c r="F4420" t="str">
        <f t="shared" si="175"/>
        <v>LA</v>
      </c>
    </row>
    <row r="4421" spans="1:6" x14ac:dyDescent="0.25">
      <c r="A4421" t="str">
        <f>"200021589"</f>
        <v>200021589</v>
      </c>
      <c r="B4421" t="str">
        <f>"1831191386"</f>
        <v>1831191386</v>
      </c>
      <c r="C4421" t="str">
        <f>"208000000X"</f>
        <v>208000000X</v>
      </c>
      <c r="D4421" t="str">
        <f>"ADELMAN                  WILLIAM                  "</f>
        <v xml:space="preserve">ADELMAN                  WILLIAM                  </v>
      </c>
      <c r="E4421" t="str">
        <f>"NEW ORLEANS               "</f>
        <v xml:space="preserve">NEW ORLEANS               </v>
      </c>
      <c r="F4421" t="str">
        <f t="shared" si="175"/>
        <v>LA</v>
      </c>
    </row>
    <row r="4422" spans="1:6" x14ac:dyDescent="0.25">
      <c r="A4422" t="str">
        <f>"200021592"</f>
        <v>200021592</v>
      </c>
      <c r="B4422" t="str">
        <f>"1972007714"</f>
        <v>1972007714</v>
      </c>
      <c r="C4422" t="str">
        <f>"207RR0500X"</f>
        <v>207RR0500X</v>
      </c>
      <c r="D4422" t="str">
        <f>"SCHOUEST                 JONATHAN                 "</f>
        <v xml:space="preserve">SCHOUEST                 JONATHAN                 </v>
      </c>
      <c r="E4422" t="str">
        <f>"SLIDELL                   "</f>
        <v xml:space="preserve">SLIDELL                   </v>
      </c>
      <c r="F4422" t="str">
        <f t="shared" si="175"/>
        <v>LA</v>
      </c>
    </row>
    <row r="4423" spans="1:6" x14ac:dyDescent="0.25">
      <c r="A4423" t="str">
        <f>"200021600"</f>
        <v>200021600</v>
      </c>
      <c r="B4423" t="str">
        <f>"1699206805"</f>
        <v>1699206805</v>
      </c>
      <c r="C4423" t="str">
        <f>"2084N0400X"</f>
        <v>2084N0400X</v>
      </c>
      <c r="D4423" t="str">
        <f>"GOODWIN                  ZACHARY-ROSS D           "</f>
        <v xml:space="preserve">GOODWIN                  ZACHARY-ROSS D           </v>
      </c>
      <c r="E4423" t="str">
        <f>"LACOMBE                   "</f>
        <v xml:space="preserve">LACOMBE                   </v>
      </c>
      <c r="F4423" t="str">
        <f t="shared" si="175"/>
        <v>LA</v>
      </c>
    </row>
    <row r="4424" spans="1:6" x14ac:dyDescent="0.25">
      <c r="A4424" t="str">
        <f>"200021638"</f>
        <v>200021638</v>
      </c>
      <c r="B4424" t="str">
        <f>"1023694973"</f>
        <v>1023694973</v>
      </c>
      <c r="C4424" t="str">
        <f>"207P00000X"</f>
        <v>207P00000X</v>
      </c>
      <c r="D4424" t="str">
        <f>"ROOS                     JACKSON                  "</f>
        <v xml:space="preserve">ROOS                     JACKSON                  </v>
      </c>
      <c r="E4424" t="str">
        <f>"KENNER                    "</f>
        <v xml:space="preserve">KENNER                    </v>
      </c>
      <c r="F4424" t="str">
        <f t="shared" si="175"/>
        <v>LA</v>
      </c>
    </row>
    <row r="4425" spans="1:6" x14ac:dyDescent="0.25">
      <c r="A4425" t="str">
        <f>"200021642"</f>
        <v>200021642</v>
      </c>
      <c r="B4425" t="str">
        <f>"1144964347"</f>
        <v>1144964347</v>
      </c>
      <c r="C4425" t="str">
        <f>"207R00000X"</f>
        <v>207R00000X</v>
      </c>
      <c r="D4425" t="str">
        <f>"DAHLBERG                 CONOR                    "</f>
        <v xml:space="preserve">DAHLBERG                 CONOR                    </v>
      </c>
      <c r="E4425" t="str">
        <f>"NEW ORLEANS               "</f>
        <v xml:space="preserve">NEW ORLEANS               </v>
      </c>
      <c r="F4425" t="str">
        <f t="shared" si="175"/>
        <v>LA</v>
      </c>
    </row>
    <row r="4426" spans="1:6" x14ac:dyDescent="0.25">
      <c r="A4426" t="str">
        <f>"200021644"</f>
        <v>200021644</v>
      </c>
      <c r="B4426" t="str">
        <f>"1518605112"</f>
        <v>1518605112</v>
      </c>
      <c r="C4426" t="str">
        <f>"207P00000X"</f>
        <v>207P00000X</v>
      </c>
      <c r="D4426" t="str">
        <f>"STEELE                   AARON                    "</f>
        <v xml:space="preserve">STEELE                   AARON                    </v>
      </c>
      <c r="E4426" t="str">
        <f>"NEW ORLEANS               "</f>
        <v xml:space="preserve">NEW ORLEANS               </v>
      </c>
      <c r="F4426" t="str">
        <f t="shared" si="175"/>
        <v>LA</v>
      </c>
    </row>
    <row r="4427" spans="1:6" x14ac:dyDescent="0.25">
      <c r="A4427" t="str">
        <f>"200021648"</f>
        <v>200021648</v>
      </c>
      <c r="B4427" t="str">
        <f>"1770160020"</f>
        <v>1770160020</v>
      </c>
      <c r="C4427" t="str">
        <f>"207P00000X"</f>
        <v>207P00000X</v>
      </c>
      <c r="D4427" t="str">
        <f>"MAICHE                   KELLY                    "</f>
        <v xml:space="preserve">MAICHE                   KELLY                    </v>
      </c>
      <c r="E4427" t="str">
        <f>"NEW ORLEANS               "</f>
        <v xml:space="preserve">NEW ORLEANS               </v>
      </c>
      <c r="F4427" t="str">
        <f t="shared" si="175"/>
        <v>LA</v>
      </c>
    </row>
    <row r="4428" spans="1:6" x14ac:dyDescent="0.25">
      <c r="A4428" t="str">
        <f>"200021678"</f>
        <v>200021678</v>
      </c>
      <c r="B4428" t="str">
        <f>"1114241122"</f>
        <v>1114241122</v>
      </c>
      <c r="C4428" t="str">
        <f>"208600000X"</f>
        <v>208600000X</v>
      </c>
      <c r="D4428" t="str">
        <f>"BRASHEAR                 JARRET                   "</f>
        <v xml:space="preserve">BRASHEAR                 JARRET                   </v>
      </c>
      <c r="E4428" t="str">
        <f>"KENNER                    "</f>
        <v xml:space="preserve">KENNER                    </v>
      </c>
      <c r="F4428" t="str">
        <f t="shared" si="175"/>
        <v>LA</v>
      </c>
    </row>
    <row r="4429" spans="1:6" x14ac:dyDescent="0.25">
      <c r="A4429" t="str">
        <f>"200021709"</f>
        <v>200021709</v>
      </c>
      <c r="B4429" t="str">
        <f>"1417418435"</f>
        <v>1417418435</v>
      </c>
      <c r="C4429" t="str">
        <f>"2085R0202X"</f>
        <v>2085R0202X</v>
      </c>
      <c r="D4429" t="str">
        <f>"EVANS                    AUSTIN                   "</f>
        <v xml:space="preserve">EVANS                    AUSTIN                   </v>
      </c>
      <c r="E4429" t="str">
        <f>"NEW ORLEANS               "</f>
        <v xml:space="preserve">NEW ORLEANS               </v>
      </c>
      <c r="F4429" t="str">
        <f t="shared" si="175"/>
        <v>LA</v>
      </c>
    </row>
    <row r="4430" spans="1:6" x14ac:dyDescent="0.25">
      <c r="A4430" t="str">
        <f>"200021713"</f>
        <v>200021713</v>
      </c>
      <c r="B4430" t="str">
        <f>"1710448360"</f>
        <v>1710448360</v>
      </c>
      <c r="C4430" t="str">
        <f>"207Q00000X"</f>
        <v>207Q00000X</v>
      </c>
      <c r="D4430" t="str">
        <f>"KAY                      JONI                     "</f>
        <v xml:space="preserve">KAY                      JONI                     </v>
      </c>
      <c r="E4430" t="str">
        <f>"METAIRIE                  "</f>
        <v xml:space="preserve">METAIRIE                  </v>
      </c>
      <c r="F4430" t="str">
        <f t="shared" si="175"/>
        <v>LA</v>
      </c>
    </row>
    <row r="4431" spans="1:6" x14ac:dyDescent="0.25">
      <c r="A4431" t="str">
        <f>"200021718"</f>
        <v>200021718</v>
      </c>
      <c r="B4431" t="str">
        <f>"1932849346"</f>
        <v>1932849346</v>
      </c>
      <c r="C4431" t="str">
        <f>"208000000X"</f>
        <v>208000000X</v>
      </c>
      <c r="D4431" t="str">
        <f>"TADROS                   NICHOLAS     D           "</f>
        <v xml:space="preserve">TADROS                   NICHOLAS     D           </v>
      </c>
      <c r="E4431" t="str">
        <f>"NEW ORLEANS               "</f>
        <v xml:space="preserve">NEW ORLEANS               </v>
      </c>
      <c r="F4431" t="str">
        <f t="shared" si="175"/>
        <v>LA</v>
      </c>
    </row>
    <row r="4432" spans="1:6" x14ac:dyDescent="0.25">
      <c r="A4432" t="str">
        <f>"200021742"</f>
        <v>200021742</v>
      </c>
      <c r="B4432" t="str">
        <f>"1205633278"</f>
        <v>1205633278</v>
      </c>
      <c r="C4432" t="str">
        <f>"363LA2100X"</f>
        <v>363LA2100X</v>
      </c>
      <c r="D4432" t="str">
        <f>"SCHEHR                   BAILEY                   "</f>
        <v xml:space="preserve">SCHEHR                   BAILEY                   </v>
      </c>
      <c r="E4432" t="str">
        <f>"NEW ORLEANS               "</f>
        <v xml:space="preserve">NEW ORLEANS               </v>
      </c>
      <c r="F4432" t="str">
        <f t="shared" si="175"/>
        <v>LA</v>
      </c>
    </row>
    <row r="4433" spans="1:6" x14ac:dyDescent="0.25">
      <c r="A4433" t="str">
        <f>"200021763"</f>
        <v>200021763</v>
      </c>
      <c r="B4433" t="str">
        <f>"1568467231"</f>
        <v>1568467231</v>
      </c>
      <c r="C4433" t="str">
        <f>"2085R0202X"</f>
        <v>2085R0202X</v>
      </c>
      <c r="D4433" t="str">
        <f>"WALKER                   ANNE                     "</f>
        <v xml:space="preserve">WALKER                   ANNE                     </v>
      </c>
      <c r="E4433" t="str">
        <f>"RACELAND                  "</f>
        <v xml:space="preserve">RACELAND                  </v>
      </c>
      <c r="F4433" t="str">
        <f t="shared" si="175"/>
        <v>LA</v>
      </c>
    </row>
    <row r="4434" spans="1:6" x14ac:dyDescent="0.25">
      <c r="A4434" t="str">
        <f>"200021764"</f>
        <v>200021764</v>
      </c>
      <c r="B4434" t="str">
        <f>"1801823323"</f>
        <v>1801823323</v>
      </c>
      <c r="C4434" t="str">
        <f>"2084N0400X"</f>
        <v>2084N0400X</v>
      </c>
      <c r="D4434" t="str">
        <f>"LAFAYE                   KRISTINA                 "</f>
        <v xml:space="preserve">LAFAYE                   KRISTINA                 </v>
      </c>
      <c r="E4434" t="str">
        <f>"NEW ORLEANS               "</f>
        <v xml:space="preserve">NEW ORLEANS               </v>
      </c>
      <c r="F4434" t="str">
        <f t="shared" si="175"/>
        <v>LA</v>
      </c>
    </row>
    <row r="4435" spans="1:6" x14ac:dyDescent="0.25">
      <c r="A4435" t="str">
        <f>"200021775"</f>
        <v>200021775</v>
      </c>
      <c r="B4435" t="str">
        <f>"1750901724"</f>
        <v>1750901724</v>
      </c>
      <c r="C4435" t="str">
        <f>"207RS0012X"</f>
        <v>207RS0012X</v>
      </c>
      <c r="D4435" t="str">
        <f>"BOUDREAUX                ABIGAIL                  "</f>
        <v xml:space="preserve">BOUDREAUX                ABIGAIL                  </v>
      </c>
      <c r="E4435" t="str">
        <f>"NEW ORLEANS               "</f>
        <v xml:space="preserve">NEW ORLEANS               </v>
      </c>
      <c r="F4435" t="str">
        <f t="shared" si="175"/>
        <v>LA</v>
      </c>
    </row>
    <row r="4436" spans="1:6" x14ac:dyDescent="0.25">
      <c r="A4436" t="str">
        <f>"200021776"</f>
        <v>200021776</v>
      </c>
      <c r="B4436" t="str">
        <f>"1083772883"</f>
        <v>1083772883</v>
      </c>
      <c r="C4436" t="str">
        <f>"207T00000X"</f>
        <v>207T00000X</v>
      </c>
      <c r="D4436" t="str">
        <f>"GEORGE                   BRYANT                   "</f>
        <v xml:space="preserve">GEORGE                   BRYANT                   </v>
      </c>
      <c r="E4436" t="str">
        <f>"BOGALUSA                  "</f>
        <v xml:space="preserve">BOGALUSA                  </v>
      </c>
      <c r="F4436" t="str">
        <f t="shared" si="175"/>
        <v>LA</v>
      </c>
    </row>
    <row r="4437" spans="1:6" x14ac:dyDescent="0.25">
      <c r="A4437" t="str">
        <f>"200021781"</f>
        <v>200021781</v>
      </c>
      <c r="B4437" t="str">
        <f>"1447788047"</f>
        <v>1447788047</v>
      </c>
      <c r="C4437" t="str">
        <f>"207LP2900X"</f>
        <v>207LP2900X</v>
      </c>
      <c r="D4437" t="str">
        <f>"ROONEY                   SCOTT                    "</f>
        <v xml:space="preserve">ROONEY                   SCOTT                    </v>
      </c>
      <c r="E4437" t="str">
        <f>"NEW ORLEANS               "</f>
        <v xml:space="preserve">NEW ORLEANS               </v>
      </c>
      <c r="F4437" t="str">
        <f t="shared" si="175"/>
        <v>LA</v>
      </c>
    </row>
    <row r="4438" spans="1:6" x14ac:dyDescent="0.25">
      <c r="A4438" t="str">
        <f>"200021782"</f>
        <v>200021782</v>
      </c>
      <c r="B4438" t="str">
        <f>"1518497247"</f>
        <v>1518497247</v>
      </c>
      <c r="C4438" t="str">
        <f>"2080P0202X"</f>
        <v>2080P0202X</v>
      </c>
      <c r="D4438" t="str">
        <f>"FIRAN                    ALEXANDRU                "</f>
        <v xml:space="preserve">FIRAN                    ALEXANDRU                </v>
      </c>
      <c r="E4438" t="str">
        <f>"NEW ORLEANS               "</f>
        <v xml:space="preserve">NEW ORLEANS               </v>
      </c>
      <c r="F4438" t="str">
        <f t="shared" si="175"/>
        <v>LA</v>
      </c>
    </row>
    <row r="4439" spans="1:6" x14ac:dyDescent="0.25">
      <c r="A4439" t="str">
        <f>"200021785"</f>
        <v>200021785</v>
      </c>
      <c r="B4439" t="str">
        <f>"1932589264"</f>
        <v>1932589264</v>
      </c>
      <c r="C4439" t="str">
        <f>"208VP0014X"</f>
        <v>208VP0014X</v>
      </c>
      <c r="D4439" t="str">
        <f>"FONTENOT                 ALEXANDER                "</f>
        <v xml:space="preserve">FONTENOT                 ALEXANDER                </v>
      </c>
      <c r="E4439" t="str">
        <f>"SLIDELL                   "</f>
        <v xml:space="preserve">SLIDELL                   </v>
      </c>
      <c r="F4439" t="str">
        <f t="shared" si="175"/>
        <v>LA</v>
      </c>
    </row>
    <row r="4440" spans="1:6" x14ac:dyDescent="0.25">
      <c r="A4440" t="str">
        <f>"200021786"</f>
        <v>200021786</v>
      </c>
      <c r="B4440" t="str">
        <f>"1083679468"</f>
        <v>1083679468</v>
      </c>
      <c r="C4440" t="str">
        <f>"207RH0003X"</f>
        <v>207RH0003X</v>
      </c>
      <c r="D4440" t="str">
        <f>"SONNIER                  SCOTT                    "</f>
        <v xml:space="preserve">SONNIER                  SCOTT                    </v>
      </c>
      <c r="E4440" t="str">
        <f>"BATON ROUGE               "</f>
        <v xml:space="preserve">BATON ROUGE               </v>
      </c>
      <c r="F4440" t="str">
        <f t="shared" si="175"/>
        <v>LA</v>
      </c>
    </row>
    <row r="4441" spans="1:6" x14ac:dyDescent="0.25">
      <c r="A4441" t="str">
        <f>"200021787"</f>
        <v>200021787</v>
      </c>
      <c r="B4441" t="str">
        <f>"1891133369"</f>
        <v>1891133369</v>
      </c>
      <c r="C4441" t="str">
        <f>"363LF0000X"</f>
        <v>363LF0000X</v>
      </c>
      <c r="D4441" t="str">
        <f>"MOORE                    DAVID                    "</f>
        <v xml:space="preserve">MOORE                    DAVID                    </v>
      </c>
      <c r="E4441" t="str">
        <f>"NEW ORLEANS               "</f>
        <v xml:space="preserve">NEW ORLEANS               </v>
      </c>
      <c r="F4441" t="str">
        <f t="shared" si="175"/>
        <v>LA</v>
      </c>
    </row>
    <row r="4442" spans="1:6" x14ac:dyDescent="0.25">
      <c r="A4442" t="str">
        <f>"200021799"</f>
        <v>200021799</v>
      </c>
      <c r="B4442" t="str">
        <f>"1558893693"</f>
        <v>1558893693</v>
      </c>
      <c r="C4442" t="str">
        <f>"2085P0229X"</f>
        <v>2085P0229X</v>
      </c>
      <c r="D4442" t="str">
        <f>"DUHAMEL                  MELANIE                  "</f>
        <v xml:space="preserve">DUHAMEL                  MELANIE                  </v>
      </c>
      <c r="E4442" t="str">
        <f>"NEW ORLEANS               "</f>
        <v xml:space="preserve">NEW ORLEANS               </v>
      </c>
      <c r="F4442" t="str">
        <f t="shared" si="175"/>
        <v>LA</v>
      </c>
    </row>
    <row r="4443" spans="1:6" x14ac:dyDescent="0.25">
      <c r="A4443" t="str">
        <f>"200021808"</f>
        <v>200021808</v>
      </c>
      <c r="B4443" t="str">
        <f>"1629285051"</f>
        <v>1629285051</v>
      </c>
      <c r="C4443" t="str">
        <f>"207Q00000X"</f>
        <v>207Q00000X</v>
      </c>
      <c r="D4443" t="str">
        <f>"DUDO                     JAMES                    "</f>
        <v xml:space="preserve">DUDO                     JAMES                    </v>
      </c>
      <c r="E4443" t="str">
        <f>"FERRIDAY                  "</f>
        <v xml:space="preserve">FERRIDAY                  </v>
      </c>
      <c r="F4443" t="str">
        <f t="shared" ref="F4443:F4506" si="176">"LA"</f>
        <v>LA</v>
      </c>
    </row>
    <row r="4444" spans="1:6" x14ac:dyDescent="0.25">
      <c r="A4444" t="str">
        <f>"200021818"</f>
        <v>200021818</v>
      </c>
      <c r="B4444" t="str">
        <f>"1104323203"</f>
        <v>1104323203</v>
      </c>
      <c r="C4444" t="str">
        <f>"207Q00000X"</f>
        <v>207Q00000X</v>
      </c>
      <c r="D4444" t="str">
        <f>"BHAVSAR                  PARTH                    "</f>
        <v xml:space="preserve">BHAVSAR                  PARTH                    </v>
      </c>
      <c r="E4444" t="str">
        <f>"NEW ORLEANS               "</f>
        <v xml:space="preserve">NEW ORLEANS               </v>
      </c>
      <c r="F4444" t="str">
        <f t="shared" si="176"/>
        <v>LA</v>
      </c>
    </row>
    <row r="4445" spans="1:6" x14ac:dyDescent="0.25">
      <c r="A4445" t="str">
        <f>"200021830"</f>
        <v>200021830</v>
      </c>
      <c r="B4445" t="str">
        <f>"1205463569"</f>
        <v>1205463569</v>
      </c>
      <c r="C4445" t="str">
        <f>"207R00000X"</f>
        <v>207R00000X</v>
      </c>
      <c r="D4445" t="str">
        <f>"RODRIGUEZ FUENMAYOR      VANESSA                  "</f>
        <v xml:space="preserve">RODRIGUEZ FUENMAYOR      VANESSA                  </v>
      </c>
      <c r="E4445" t="str">
        <f>"NEW ORLEANS               "</f>
        <v xml:space="preserve">NEW ORLEANS               </v>
      </c>
      <c r="F4445" t="str">
        <f t="shared" si="176"/>
        <v>LA</v>
      </c>
    </row>
    <row r="4446" spans="1:6" x14ac:dyDescent="0.25">
      <c r="A4446" t="str">
        <f>"200021840"</f>
        <v>200021840</v>
      </c>
      <c r="B4446" t="str">
        <f>"1942654207"</f>
        <v>1942654207</v>
      </c>
      <c r="C4446" t="str">
        <f>"207Q00000X"</f>
        <v>207Q00000X</v>
      </c>
      <c r="D4446" t="str">
        <f>"GUPTA                    SHRUTI                   "</f>
        <v xml:space="preserve">GUPTA                    SHRUTI                   </v>
      </c>
      <c r="E4446" t="str">
        <f>"SLIDELL                   "</f>
        <v xml:space="preserve">SLIDELL                   </v>
      </c>
      <c r="F4446" t="str">
        <f t="shared" si="176"/>
        <v>LA</v>
      </c>
    </row>
    <row r="4447" spans="1:6" x14ac:dyDescent="0.25">
      <c r="A4447" t="str">
        <f>"200021846"</f>
        <v>200021846</v>
      </c>
      <c r="B4447" t="str">
        <f>"1134389745"</f>
        <v>1134389745</v>
      </c>
      <c r="C4447" t="str">
        <f>"2085R0202X"</f>
        <v>2085R0202X</v>
      </c>
      <c r="D4447" t="str">
        <f>"PREJEAN                  ASHLEY                   "</f>
        <v xml:space="preserve">PREJEAN                  ASHLEY                   </v>
      </c>
      <c r="E4447" t="str">
        <f t="shared" ref="E4447:E4452" si="177">"NEW ORLEANS               "</f>
        <v xml:space="preserve">NEW ORLEANS               </v>
      </c>
      <c r="F4447" t="str">
        <f t="shared" si="176"/>
        <v>LA</v>
      </c>
    </row>
    <row r="4448" spans="1:6" x14ac:dyDescent="0.25">
      <c r="A4448" t="str">
        <f>"200021851"</f>
        <v>200021851</v>
      </c>
      <c r="B4448" t="str">
        <f>"1740633247"</f>
        <v>1740633247</v>
      </c>
      <c r="C4448" t="str">
        <f>"207RC0000X"</f>
        <v>207RC0000X</v>
      </c>
      <c r="D4448" t="str">
        <f>"NASIR                    FAHAD                    "</f>
        <v xml:space="preserve">NASIR                    FAHAD                    </v>
      </c>
      <c r="E4448" t="str">
        <f t="shared" si="177"/>
        <v xml:space="preserve">NEW ORLEANS               </v>
      </c>
      <c r="F4448" t="str">
        <f t="shared" si="176"/>
        <v>LA</v>
      </c>
    </row>
    <row r="4449" spans="1:6" x14ac:dyDescent="0.25">
      <c r="A4449" t="str">
        <f>"200021864"</f>
        <v>200021864</v>
      </c>
      <c r="B4449" t="str">
        <f>"1568740546"</f>
        <v>1568740546</v>
      </c>
      <c r="C4449" t="str">
        <f>"2084N0400X"</f>
        <v>2084N0400X</v>
      </c>
      <c r="D4449" t="str">
        <f>"THAVAPALAN               VAROON                   "</f>
        <v xml:space="preserve">THAVAPALAN               VAROON                   </v>
      </c>
      <c r="E4449" t="str">
        <f t="shared" si="177"/>
        <v xml:space="preserve">NEW ORLEANS               </v>
      </c>
      <c r="F4449" t="str">
        <f t="shared" si="176"/>
        <v>LA</v>
      </c>
    </row>
    <row r="4450" spans="1:6" x14ac:dyDescent="0.25">
      <c r="A4450" t="str">
        <f>"200021865"</f>
        <v>200021865</v>
      </c>
      <c r="B4450" t="str">
        <f>"1174936553"</f>
        <v>1174936553</v>
      </c>
      <c r="C4450" t="str">
        <f>"208600000X"</f>
        <v>208600000X</v>
      </c>
      <c r="D4450" t="str">
        <f>"WELLINGTON               JENNIFER                 "</f>
        <v xml:space="preserve">WELLINGTON               JENNIFER                 </v>
      </c>
      <c r="E4450" t="str">
        <f t="shared" si="177"/>
        <v xml:space="preserve">NEW ORLEANS               </v>
      </c>
      <c r="F4450" t="str">
        <f t="shared" si="176"/>
        <v>LA</v>
      </c>
    </row>
    <row r="4451" spans="1:6" x14ac:dyDescent="0.25">
      <c r="A4451" t="str">
        <f>"200021872"</f>
        <v>200021872</v>
      </c>
      <c r="B4451" t="str">
        <f>"1164539631"</f>
        <v>1164539631</v>
      </c>
      <c r="C4451" t="str">
        <f>"2085R0202X"</f>
        <v>2085R0202X</v>
      </c>
      <c r="D4451" t="str">
        <f>"OLIVER                   QIAN         Z           "</f>
        <v xml:space="preserve">OLIVER                   QIAN         Z           </v>
      </c>
      <c r="E4451" t="str">
        <f t="shared" si="177"/>
        <v xml:space="preserve">NEW ORLEANS               </v>
      </c>
      <c r="F4451" t="str">
        <f t="shared" si="176"/>
        <v>LA</v>
      </c>
    </row>
    <row r="4452" spans="1:6" x14ac:dyDescent="0.25">
      <c r="A4452" t="str">
        <f>"200021904"</f>
        <v>200021904</v>
      </c>
      <c r="B4452" t="str">
        <f>"1558757898"</f>
        <v>1558757898</v>
      </c>
      <c r="C4452" t="str">
        <f>"207N00000X"</f>
        <v>207N00000X</v>
      </c>
      <c r="D4452" t="str">
        <f>"WILLIAMSON               ELIZABETH                "</f>
        <v xml:space="preserve">WILLIAMSON               ELIZABETH                </v>
      </c>
      <c r="E4452" t="str">
        <f t="shared" si="177"/>
        <v xml:space="preserve">NEW ORLEANS               </v>
      </c>
      <c r="F4452" t="str">
        <f t="shared" si="176"/>
        <v>LA</v>
      </c>
    </row>
    <row r="4453" spans="1:6" x14ac:dyDescent="0.25">
      <c r="A4453" t="str">
        <f>"200021915"</f>
        <v>200021915</v>
      </c>
      <c r="B4453" t="str">
        <f>"1255834057"</f>
        <v>1255834057</v>
      </c>
      <c r="C4453" t="str">
        <f>"207R00000X"</f>
        <v>207R00000X</v>
      </c>
      <c r="D4453" t="str">
        <f>"JENSEN                   KELLY                    "</f>
        <v xml:space="preserve">JENSEN                   KELLY                    </v>
      </c>
      <c r="E4453" t="str">
        <f>"SLIDELL                   "</f>
        <v xml:space="preserve">SLIDELL                   </v>
      </c>
      <c r="F4453" t="str">
        <f t="shared" si="176"/>
        <v>LA</v>
      </c>
    </row>
    <row r="4454" spans="1:6" x14ac:dyDescent="0.25">
      <c r="A4454" t="str">
        <f>"200021930"</f>
        <v>200021930</v>
      </c>
      <c r="B4454" t="str">
        <f>"1841784261"</f>
        <v>1841784261</v>
      </c>
      <c r="C4454" t="str">
        <f>"2080P0202X"</f>
        <v>2080P0202X</v>
      </c>
      <c r="D4454" t="str">
        <f>"SCHWARTZENBURG III       ELRIDGE      J           "</f>
        <v xml:space="preserve">SCHWARTZENBURG III       ELRIDGE      J           </v>
      </c>
      <c r="E4454" t="str">
        <f>"NEW ORLEANS               "</f>
        <v xml:space="preserve">NEW ORLEANS               </v>
      </c>
      <c r="F4454" t="str">
        <f t="shared" si="176"/>
        <v>LA</v>
      </c>
    </row>
    <row r="4455" spans="1:6" x14ac:dyDescent="0.25">
      <c r="A4455" t="str">
        <f>"200021938"</f>
        <v>200021938</v>
      </c>
      <c r="B4455" t="str">
        <f>"1063464030"</f>
        <v>1063464030</v>
      </c>
      <c r="C4455" t="str">
        <f>"2085R0202X"</f>
        <v>2085R0202X</v>
      </c>
      <c r="D4455" t="str">
        <f>"PUTEGNAT                 BARRY        B           "</f>
        <v xml:space="preserve">PUTEGNAT                 BARRY        B           </v>
      </c>
      <c r="E4455" t="str">
        <f>"NEW ORLEANS               "</f>
        <v xml:space="preserve">NEW ORLEANS               </v>
      </c>
      <c r="F4455" t="str">
        <f t="shared" si="176"/>
        <v>LA</v>
      </c>
    </row>
    <row r="4456" spans="1:6" x14ac:dyDescent="0.25">
      <c r="A4456" t="str">
        <f>"200021941"</f>
        <v>200021941</v>
      </c>
      <c r="B4456" t="str">
        <f>"1497502280"</f>
        <v>1497502280</v>
      </c>
      <c r="C4456" t="str">
        <f>"363A00000X"</f>
        <v>363A00000X</v>
      </c>
      <c r="D4456" t="str">
        <f>"WHITNEY                  JACIE                    "</f>
        <v xml:space="preserve">WHITNEY                  JACIE                    </v>
      </c>
      <c r="E4456" t="str">
        <f>"NEW ORLEANS               "</f>
        <v xml:space="preserve">NEW ORLEANS               </v>
      </c>
      <c r="F4456" t="str">
        <f t="shared" si="176"/>
        <v>LA</v>
      </c>
    </row>
    <row r="4457" spans="1:6" x14ac:dyDescent="0.25">
      <c r="A4457" t="str">
        <f>"200021945"</f>
        <v>200021945</v>
      </c>
      <c r="B4457" t="str">
        <f>"1851986046"</f>
        <v>1851986046</v>
      </c>
      <c r="C4457" t="str">
        <f>"363L00000X"</f>
        <v>363L00000X</v>
      </c>
      <c r="D4457" t="str">
        <f>"SCHROEDER                SAMANTHA                 "</f>
        <v xml:space="preserve">SCHROEDER                SAMANTHA                 </v>
      </c>
      <c r="E4457" t="str">
        <f>"COVINGTON                 "</f>
        <v xml:space="preserve">COVINGTON                 </v>
      </c>
      <c r="F4457" t="str">
        <f t="shared" si="176"/>
        <v>LA</v>
      </c>
    </row>
    <row r="4458" spans="1:6" x14ac:dyDescent="0.25">
      <c r="A4458" t="str">
        <f>"200021952"</f>
        <v>200021952</v>
      </c>
      <c r="B4458" t="str">
        <f>"1558894329"</f>
        <v>1558894329</v>
      </c>
      <c r="C4458" t="str">
        <f>"363LF0000X"</f>
        <v>363LF0000X</v>
      </c>
      <c r="D4458" t="str">
        <f>"BOLKA                    TARA                     "</f>
        <v xml:space="preserve">BOLKA                    TARA                     </v>
      </c>
      <c r="E4458" t="str">
        <f>"METAIRIE                  "</f>
        <v xml:space="preserve">METAIRIE                  </v>
      </c>
      <c r="F4458" t="str">
        <f t="shared" si="176"/>
        <v>LA</v>
      </c>
    </row>
    <row r="4459" spans="1:6" x14ac:dyDescent="0.25">
      <c r="A4459" t="str">
        <f>"200021964"</f>
        <v>200021964</v>
      </c>
      <c r="B4459" t="str">
        <f>"1992021075"</f>
        <v>1992021075</v>
      </c>
      <c r="C4459" t="str">
        <f>"2085R0202X"</f>
        <v>2085R0202X</v>
      </c>
      <c r="D4459" t="str">
        <f>"PRATER                   ADAM         B           "</f>
        <v xml:space="preserve">PRATER                   ADAM         B           </v>
      </c>
      <c r="E4459" t="str">
        <f>"NEW ORLEANS               "</f>
        <v xml:space="preserve">NEW ORLEANS               </v>
      </c>
      <c r="F4459" t="str">
        <f t="shared" si="176"/>
        <v>LA</v>
      </c>
    </row>
    <row r="4460" spans="1:6" x14ac:dyDescent="0.25">
      <c r="A4460" t="str">
        <f>"200021978"</f>
        <v>200021978</v>
      </c>
      <c r="B4460" t="str">
        <f>"1700812815"</f>
        <v>1700812815</v>
      </c>
      <c r="C4460" t="str">
        <f>"2085R0202X"</f>
        <v>2085R0202X</v>
      </c>
      <c r="D4460" t="str">
        <f>"PENNEY                   MICHAEL      W           "</f>
        <v xml:space="preserve">PENNEY                   MICHAEL      W           </v>
      </c>
      <c r="E4460" t="str">
        <f>"NEW ORLEANS               "</f>
        <v xml:space="preserve">NEW ORLEANS               </v>
      </c>
      <c r="F4460" t="str">
        <f t="shared" si="176"/>
        <v>LA</v>
      </c>
    </row>
    <row r="4461" spans="1:6" x14ac:dyDescent="0.25">
      <c r="A4461" t="str">
        <f>"200021984"</f>
        <v>200021984</v>
      </c>
      <c r="B4461" t="str">
        <f>"1275510554"</f>
        <v>1275510554</v>
      </c>
      <c r="C4461" t="str">
        <f>"207P00000X"</f>
        <v>207P00000X</v>
      </c>
      <c r="D4461" t="str">
        <f>"STROMING                 SCOTT                    "</f>
        <v xml:space="preserve">STROMING                 SCOTT                    </v>
      </c>
      <c r="E4461" t="str">
        <f>"NEW ORLEANS               "</f>
        <v xml:space="preserve">NEW ORLEANS               </v>
      </c>
      <c r="F4461" t="str">
        <f t="shared" si="176"/>
        <v>LA</v>
      </c>
    </row>
    <row r="4462" spans="1:6" x14ac:dyDescent="0.25">
      <c r="A4462" t="str">
        <f>"200021988"</f>
        <v>200021988</v>
      </c>
      <c r="B4462" t="str">
        <f>"1972063303"</f>
        <v>1972063303</v>
      </c>
      <c r="C4462" t="str">
        <f>"208000000X"</f>
        <v>208000000X</v>
      </c>
      <c r="D4462" t="str">
        <f>"FELDMAN                  TREVOR                   "</f>
        <v xml:space="preserve">FELDMAN                  TREVOR                   </v>
      </c>
      <c r="E4462" t="str">
        <f>"NEW ORLEANS               "</f>
        <v xml:space="preserve">NEW ORLEANS               </v>
      </c>
      <c r="F4462" t="str">
        <f t="shared" si="176"/>
        <v>LA</v>
      </c>
    </row>
    <row r="4463" spans="1:6" x14ac:dyDescent="0.25">
      <c r="A4463" t="str">
        <f>"200021989"</f>
        <v>200021989</v>
      </c>
      <c r="B4463" t="str">
        <f>"1598906562"</f>
        <v>1598906562</v>
      </c>
      <c r="C4463" t="str">
        <f>"207R00000X"</f>
        <v>207R00000X</v>
      </c>
      <c r="D4463" t="str">
        <f>"BAIER                    ANDREW                   "</f>
        <v xml:space="preserve">BAIER                    ANDREW                   </v>
      </c>
      <c r="E4463" t="str">
        <f>"COVINGTON                 "</f>
        <v xml:space="preserve">COVINGTON                 </v>
      </c>
      <c r="F4463" t="str">
        <f t="shared" si="176"/>
        <v>LA</v>
      </c>
    </row>
    <row r="4464" spans="1:6" x14ac:dyDescent="0.25">
      <c r="A4464" t="str">
        <f>"200022010"</f>
        <v>200022010</v>
      </c>
      <c r="B4464" t="str">
        <f>"1255759437"</f>
        <v>1255759437</v>
      </c>
      <c r="C4464" t="str">
        <f>"2085R0202X"</f>
        <v>2085R0202X</v>
      </c>
      <c r="D4464" t="str">
        <f>"ALIAN                    ALI                      "</f>
        <v xml:space="preserve">ALIAN                    ALI                      </v>
      </c>
      <c r="E4464" t="str">
        <f>"NEW ORLEANS               "</f>
        <v xml:space="preserve">NEW ORLEANS               </v>
      </c>
      <c r="F4464" t="str">
        <f t="shared" si="176"/>
        <v>LA</v>
      </c>
    </row>
    <row r="4465" spans="1:6" x14ac:dyDescent="0.25">
      <c r="A4465" t="str">
        <f>"200022024"</f>
        <v>200022024</v>
      </c>
      <c r="B4465" t="str">
        <f>"1780902593"</f>
        <v>1780902593</v>
      </c>
      <c r="C4465" t="str">
        <f>"2085R0202X"</f>
        <v>2085R0202X</v>
      </c>
      <c r="D4465" t="str">
        <f>"DEQUESADA                IVAN                     "</f>
        <v xml:space="preserve">DEQUESADA                IVAN                     </v>
      </c>
      <c r="E4465" t="str">
        <f>"NEW ORLEANS               "</f>
        <v xml:space="preserve">NEW ORLEANS               </v>
      </c>
      <c r="F4465" t="str">
        <f t="shared" si="176"/>
        <v>LA</v>
      </c>
    </row>
    <row r="4466" spans="1:6" x14ac:dyDescent="0.25">
      <c r="A4466" t="str">
        <f>"200022040"</f>
        <v>200022040</v>
      </c>
      <c r="B4466" t="str">
        <f>"1508209495"</f>
        <v>1508209495</v>
      </c>
      <c r="C4466" t="str">
        <f>"2085R0202X"</f>
        <v>2085R0202X</v>
      </c>
      <c r="D4466" t="str">
        <f>"BOOTHE                   ETHAN                    "</f>
        <v xml:space="preserve">BOOTHE                   ETHAN                    </v>
      </c>
      <c r="E4466" t="str">
        <f>"NEW ORLEANS               "</f>
        <v xml:space="preserve">NEW ORLEANS               </v>
      </c>
      <c r="F4466" t="str">
        <f t="shared" si="176"/>
        <v>LA</v>
      </c>
    </row>
    <row r="4467" spans="1:6" x14ac:dyDescent="0.25">
      <c r="A4467" t="str">
        <f>"200022044"</f>
        <v>200022044</v>
      </c>
      <c r="B4467" t="str">
        <f>"1447836994"</f>
        <v>1447836994</v>
      </c>
      <c r="C4467" t="str">
        <f>"2084P0800X"</f>
        <v>2084P0800X</v>
      </c>
      <c r="D4467" t="str">
        <f>"KIRK                     ROSE                     "</f>
        <v xml:space="preserve">KIRK                     ROSE                     </v>
      </c>
      <c r="E4467" t="str">
        <f>"SLIDELL                   "</f>
        <v xml:space="preserve">SLIDELL                   </v>
      </c>
      <c r="F4467" t="str">
        <f t="shared" si="176"/>
        <v>LA</v>
      </c>
    </row>
    <row r="4468" spans="1:6" x14ac:dyDescent="0.25">
      <c r="A4468" t="str">
        <f>"200022049"</f>
        <v>200022049</v>
      </c>
      <c r="B4468" t="str">
        <f>"1578146692"</f>
        <v>1578146692</v>
      </c>
      <c r="C4468" t="str">
        <f>"207V00000X"</f>
        <v>207V00000X</v>
      </c>
      <c r="D4468" t="str">
        <f>"GRAHAM                   SYDNEY                   "</f>
        <v xml:space="preserve">GRAHAM                   SYDNEY                   </v>
      </c>
      <c r="E4468" t="str">
        <f>"NEW ORLEANS               "</f>
        <v xml:space="preserve">NEW ORLEANS               </v>
      </c>
      <c r="F4468" t="str">
        <f t="shared" si="176"/>
        <v>LA</v>
      </c>
    </row>
    <row r="4469" spans="1:6" x14ac:dyDescent="0.25">
      <c r="A4469" t="str">
        <f>"200022059"</f>
        <v>200022059</v>
      </c>
      <c r="B4469" t="str">
        <f>"1336643329"</f>
        <v>1336643329</v>
      </c>
      <c r="C4469" t="str">
        <f>"2080P0204X"</f>
        <v>2080P0204X</v>
      </c>
      <c r="D4469" t="str">
        <f>"PASARET                  ALEJANDRO                "</f>
        <v xml:space="preserve">PASARET                  ALEJANDRO                </v>
      </c>
      <c r="E4469" t="str">
        <f>"NEW ORLEANS               "</f>
        <v xml:space="preserve">NEW ORLEANS               </v>
      </c>
      <c r="F4469" t="str">
        <f t="shared" si="176"/>
        <v>LA</v>
      </c>
    </row>
    <row r="4470" spans="1:6" x14ac:dyDescent="0.25">
      <c r="A4470" t="str">
        <f>"200022070"</f>
        <v>200022070</v>
      </c>
      <c r="B4470" t="str">
        <f>"1821165895"</f>
        <v>1821165895</v>
      </c>
      <c r="C4470" t="str">
        <f>"2085R0202X"</f>
        <v>2085R0202X</v>
      </c>
      <c r="D4470" t="str">
        <f>"COURTNEY                 RICHARD                  "</f>
        <v xml:space="preserve">COURTNEY                 RICHARD                  </v>
      </c>
      <c r="E4470" t="str">
        <f>"BATON ROUGE               "</f>
        <v xml:space="preserve">BATON ROUGE               </v>
      </c>
      <c r="F4470" t="str">
        <f t="shared" si="176"/>
        <v>LA</v>
      </c>
    </row>
    <row r="4471" spans="1:6" x14ac:dyDescent="0.25">
      <c r="A4471" t="str">
        <f>"200022078"</f>
        <v>200022078</v>
      </c>
      <c r="B4471" t="str">
        <f>"1467846667"</f>
        <v>1467846667</v>
      </c>
      <c r="C4471" t="str">
        <f>"208000000X"</f>
        <v>208000000X</v>
      </c>
      <c r="D4471" t="str">
        <f>"LOUQUE                   MEGHAN                   "</f>
        <v xml:space="preserve">LOUQUE                   MEGHAN                   </v>
      </c>
      <c r="E4471" t="str">
        <f>"LULING                    "</f>
        <v xml:space="preserve">LULING                    </v>
      </c>
      <c r="F4471" t="str">
        <f t="shared" si="176"/>
        <v>LA</v>
      </c>
    </row>
    <row r="4472" spans="1:6" x14ac:dyDescent="0.25">
      <c r="A4472" t="str">
        <f>"200022090"</f>
        <v>200022090</v>
      </c>
      <c r="B4472" t="str">
        <f>"1508539941"</f>
        <v>1508539941</v>
      </c>
      <c r="C4472" t="str">
        <f>"363LN0005X"</f>
        <v>363LN0005X</v>
      </c>
      <c r="D4472" t="str">
        <f>"LETORT                   GABRIELLE                "</f>
        <v xml:space="preserve">LETORT                   GABRIELLE                </v>
      </c>
      <c r="E4472" t="str">
        <f>"TERRYTOWN                 "</f>
        <v xml:space="preserve">TERRYTOWN                 </v>
      </c>
      <c r="F4472" t="str">
        <f t="shared" si="176"/>
        <v>LA</v>
      </c>
    </row>
    <row r="4473" spans="1:6" x14ac:dyDescent="0.25">
      <c r="A4473" t="str">
        <f>"200022095"</f>
        <v>200022095</v>
      </c>
      <c r="B4473" t="str">
        <f>"1891800876"</f>
        <v>1891800876</v>
      </c>
      <c r="C4473" t="str">
        <f>"363LF0000X"</f>
        <v>363LF0000X</v>
      </c>
      <c r="D4473" t="str">
        <f>"CRAWFORD                 PETER                    "</f>
        <v xml:space="preserve">CRAWFORD                 PETER                    </v>
      </c>
      <c r="E4473" t="str">
        <f>"BATON ROUGE               "</f>
        <v xml:space="preserve">BATON ROUGE               </v>
      </c>
      <c r="F4473" t="str">
        <f t="shared" si="176"/>
        <v>LA</v>
      </c>
    </row>
    <row r="4474" spans="1:6" x14ac:dyDescent="0.25">
      <c r="A4474" t="str">
        <f>"200022099"</f>
        <v>200022099</v>
      </c>
      <c r="B4474" t="str">
        <f>"1164638573"</f>
        <v>1164638573</v>
      </c>
      <c r="C4474" t="str">
        <f>"207RC0200X"</f>
        <v>207RC0200X</v>
      </c>
      <c r="D4474" t="str">
        <f>"BIRD                     GARRETT                  "</f>
        <v xml:space="preserve">BIRD                     GARRETT                  </v>
      </c>
      <c r="E4474" t="str">
        <f>"ZACHARY                   "</f>
        <v xml:space="preserve">ZACHARY                   </v>
      </c>
      <c r="F4474" t="str">
        <f t="shared" si="176"/>
        <v>LA</v>
      </c>
    </row>
    <row r="4475" spans="1:6" x14ac:dyDescent="0.25">
      <c r="A4475" t="str">
        <f>"200022117"</f>
        <v>200022117</v>
      </c>
      <c r="B4475" t="str">
        <f>"1679992549"</f>
        <v>1679992549</v>
      </c>
      <c r="C4475" t="str">
        <f>"207RP1001X"</f>
        <v>207RP1001X</v>
      </c>
      <c r="D4475" t="str">
        <f>"QAYUM                    SEEMA                    "</f>
        <v xml:space="preserve">QAYUM                    SEEMA                    </v>
      </c>
      <c r="E4475" t="str">
        <f>"GRETNA                    "</f>
        <v xml:space="preserve">GRETNA                    </v>
      </c>
      <c r="F4475" t="str">
        <f t="shared" si="176"/>
        <v>LA</v>
      </c>
    </row>
    <row r="4476" spans="1:6" x14ac:dyDescent="0.25">
      <c r="A4476" t="str">
        <f>"200022127"</f>
        <v>200022127</v>
      </c>
      <c r="B4476" t="str">
        <f>"1619654308"</f>
        <v>1619654308</v>
      </c>
      <c r="C4476" t="str">
        <f>"207RN0300X"</f>
        <v>207RN0300X</v>
      </c>
      <c r="D4476" t="str">
        <f>"ALSHWAYAT                ANAS                     "</f>
        <v xml:space="preserve">ALSHWAYAT                ANAS                     </v>
      </c>
      <c r="E4476" t="str">
        <f>"NEW ORLEANS               "</f>
        <v xml:space="preserve">NEW ORLEANS               </v>
      </c>
      <c r="F4476" t="str">
        <f t="shared" si="176"/>
        <v>LA</v>
      </c>
    </row>
    <row r="4477" spans="1:6" x14ac:dyDescent="0.25">
      <c r="A4477" t="str">
        <f>"200022132"</f>
        <v>200022132</v>
      </c>
      <c r="B4477" t="str">
        <f>"1285091017"</f>
        <v>1285091017</v>
      </c>
      <c r="C4477" t="str">
        <f>"367500000X"</f>
        <v>367500000X</v>
      </c>
      <c r="D4477" t="str">
        <f>"JONES                    KASEY        K           "</f>
        <v xml:space="preserve">JONES                    KASEY        K           </v>
      </c>
      <c r="E4477" t="str">
        <f>"COVINGTON                 "</f>
        <v xml:space="preserve">COVINGTON                 </v>
      </c>
      <c r="F4477" t="str">
        <f t="shared" si="176"/>
        <v>LA</v>
      </c>
    </row>
    <row r="4478" spans="1:6" x14ac:dyDescent="0.25">
      <c r="A4478" t="str">
        <f>"200022144"</f>
        <v>200022144</v>
      </c>
      <c r="B4478" t="str">
        <f>"1114304086"</f>
        <v>1114304086</v>
      </c>
      <c r="C4478" t="str">
        <f>"2080H0002X"</f>
        <v>2080H0002X</v>
      </c>
      <c r="D4478" t="str">
        <f>"AUTREY                   ASHLEY       K           "</f>
        <v xml:space="preserve">AUTREY                   ASHLEY       K           </v>
      </c>
      <c r="E4478" t="str">
        <f t="shared" ref="E4478:E4483" si="178">"NEW ORLEANS               "</f>
        <v xml:space="preserve">NEW ORLEANS               </v>
      </c>
      <c r="F4478" t="str">
        <f t="shared" si="176"/>
        <v>LA</v>
      </c>
    </row>
    <row r="4479" spans="1:6" x14ac:dyDescent="0.25">
      <c r="A4479" t="str">
        <f>"200022148"</f>
        <v>200022148</v>
      </c>
      <c r="B4479" t="str">
        <f>"1053671636"</f>
        <v>1053671636</v>
      </c>
      <c r="C4479" t="str">
        <f>"2085R0202X"</f>
        <v>2085R0202X</v>
      </c>
      <c r="D4479" t="str">
        <f>"KHANNA                   NISHANTH                 "</f>
        <v xml:space="preserve">KHANNA                   NISHANTH                 </v>
      </c>
      <c r="E4479" t="str">
        <f t="shared" si="178"/>
        <v xml:space="preserve">NEW ORLEANS               </v>
      </c>
      <c r="F4479" t="str">
        <f t="shared" si="176"/>
        <v>LA</v>
      </c>
    </row>
    <row r="4480" spans="1:6" x14ac:dyDescent="0.25">
      <c r="A4480" t="str">
        <f>"200022153"</f>
        <v>200022153</v>
      </c>
      <c r="B4480" t="str">
        <f>"1790245728"</f>
        <v>1790245728</v>
      </c>
      <c r="C4480" t="str">
        <f>"208600000X"</f>
        <v>208600000X</v>
      </c>
      <c r="D4480" t="str">
        <f>"ALONGI                   ASHLYN                   "</f>
        <v xml:space="preserve">ALONGI                   ASHLYN                   </v>
      </c>
      <c r="E4480" t="str">
        <f t="shared" si="178"/>
        <v xml:space="preserve">NEW ORLEANS               </v>
      </c>
      <c r="F4480" t="str">
        <f t="shared" si="176"/>
        <v>LA</v>
      </c>
    </row>
    <row r="4481" spans="1:6" x14ac:dyDescent="0.25">
      <c r="A4481" t="str">
        <f>"200022170"</f>
        <v>200022170</v>
      </c>
      <c r="B4481" t="str">
        <f>"1902199185"</f>
        <v>1902199185</v>
      </c>
      <c r="C4481" t="str">
        <f>"2085R0202X"</f>
        <v>2085R0202X</v>
      </c>
      <c r="D4481" t="str">
        <f>"GONGIDI                  PREETAM                  "</f>
        <v xml:space="preserve">GONGIDI                  PREETAM                  </v>
      </c>
      <c r="E4481" t="str">
        <f t="shared" si="178"/>
        <v xml:space="preserve">NEW ORLEANS               </v>
      </c>
      <c r="F4481" t="str">
        <f t="shared" si="176"/>
        <v>LA</v>
      </c>
    </row>
    <row r="4482" spans="1:6" x14ac:dyDescent="0.25">
      <c r="A4482" t="str">
        <f>"200022206"</f>
        <v>200022206</v>
      </c>
      <c r="B4482" t="str">
        <f>"1497281646"</f>
        <v>1497281646</v>
      </c>
      <c r="C4482" t="str">
        <f>"363LF0000X"</f>
        <v>363LF0000X</v>
      </c>
      <c r="D4482" t="str">
        <f>"PENAR                    SAMANTHA     L           "</f>
        <v xml:space="preserve">PENAR                    SAMANTHA     L           </v>
      </c>
      <c r="E4482" t="str">
        <f t="shared" si="178"/>
        <v xml:space="preserve">NEW ORLEANS               </v>
      </c>
      <c r="F4482" t="str">
        <f t="shared" si="176"/>
        <v>LA</v>
      </c>
    </row>
    <row r="4483" spans="1:6" x14ac:dyDescent="0.25">
      <c r="A4483" t="str">
        <f>"200022250"</f>
        <v>200022250</v>
      </c>
      <c r="B4483" t="str">
        <f>"1316016397"</f>
        <v>1316016397</v>
      </c>
      <c r="C4483" t="str">
        <f>"2086S0129X"</f>
        <v>2086S0129X</v>
      </c>
      <c r="D4483" t="str">
        <f>"YAMAGUCHI                DEAN                     "</f>
        <v xml:space="preserve">YAMAGUCHI                DEAN                     </v>
      </c>
      <c r="E4483" t="str">
        <f t="shared" si="178"/>
        <v xml:space="preserve">NEW ORLEANS               </v>
      </c>
      <c r="F4483" t="str">
        <f t="shared" si="176"/>
        <v>LA</v>
      </c>
    </row>
    <row r="4484" spans="1:6" x14ac:dyDescent="0.25">
      <c r="A4484" t="str">
        <f>"200022253"</f>
        <v>200022253</v>
      </c>
      <c r="B4484" t="str">
        <f>"1114614823"</f>
        <v>1114614823</v>
      </c>
      <c r="C4484" t="str">
        <f>"363LF0000X"</f>
        <v>363LF0000X</v>
      </c>
      <c r="D4484" t="str">
        <f>"LEDET                    ALLISON      A           "</f>
        <v xml:space="preserve">LEDET                    ALLISON      A           </v>
      </c>
      <c r="E4484" t="str">
        <f>"SLIDELL                   "</f>
        <v xml:space="preserve">SLIDELL                   </v>
      </c>
      <c r="F4484" t="str">
        <f t="shared" si="176"/>
        <v>LA</v>
      </c>
    </row>
    <row r="4485" spans="1:6" x14ac:dyDescent="0.25">
      <c r="A4485" t="str">
        <f>"200022256"</f>
        <v>200022256</v>
      </c>
      <c r="B4485" t="str">
        <f>"1952721946"</f>
        <v>1952721946</v>
      </c>
      <c r="C4485" t="str">
        <f>"207V00000X"</f>
        <v>207V00000X</v>
      </c>
      <c r="D4485" t="str">
        <f>"MORGAN                   JOHN                     "</f>
        <v xml:space="preserve">MORGAN                   JOHN                     </v>
      </c>
      <c r="E4485" t="str">
        <f>"LAKE CHARLES              "</f>
        <v xml:space="preserve">LAKE CHARLES              </v>
      </c>
      <c r="F4485" t="str">
        <f t="shared" si="176"/>
        <v>LA</v>
      </c>
    </row>
    <row r="4486" spans="1:6" x14ac:dyDescent="0.25">
      <c r="A4486" t="str">
        <f>"200022274"</f>
        <v>200022274</v>
      </c>
      <c r="B4486" t="str">
        <f>"1831776517"</f>
        <v>1831776517</v>
      </c>
      <c r="C4486" t="str">
        <f>"208000000X"</f>
        <v>208000000X</v>
      </c>
      <c r="D4486" t="str">
        <f>"HUMPHREY                 MARIAH                   "</f>
        <v xml:space="preserve">HUMPHREY                 MARIAH                   </v>
      </c>
      <c r="E4486" t="str">
        <f>"NEW ORLEANS               "</f>
        <v xml:space="preserve">NEW ORLEANS               </v>
      </c>
      <c r="F4486" t="str">
        <f t="shared" si="176"/>
        <v>LA</v>
      </c>
    </row>
    <row r="4487" spans="1:6" x14ac:dyDescent="0.25">
      <c r="A4487" t="str">
        <f>"200022276"</f>
        <v>200022276</v>
      </c>
      <c r="B4487" t="str">
        <f>"1689134058"</f>
        <v>1689134058</v>
      </c>
      <c r="C4487" t="str">
        <f>"208600000X"</f>
        <v>208600000X</v>
      </c>
      <c r="D4487" t="str">
        <f>"WEARDA                   TAYLOR       L           "</f>
        <v xml:space="preserve">WEARDA                   TAYLOR       L           </v>
      </c>
      <c r="E4487" t="str">
        <f>"METAIRIE                  "</f>
        <v xml:space="preserve">METAIRIE                  </v>
      </c>
      <c r="F4487" t="str">
        <f t="shared" si="176"/>
        <v>LA</v>
      </c>
    </row>
    <row r="4488" spans="1:6" x14ac:dyDescent="0.25">
      <c r="A4488" t="str">
        <f>"200022278"</f>
        <v>200022278</v>
      </c>
      <c r="B4488" t="str">
        <f>"1730969387"</f>
        <v>1730969387</v>
      </c>
      <c r="C4488" t="str">
        <f>"367500000X"</f>
        <v>367500000X</v>
      </c>
      <c r="D4488" t="str">
        <f>"HARVEY                   VICTORIA                 "</f>
        <v xml:space="preserve">HARVEY                   VICTORIA                 </v>
      </c>
      <c r="E4488" t="str">
        <f>"KENNER                    "</f>
        <v xml:space="preserve">KENNER                    </v>
      </c>
      <c r="F4488" t="str">
        <f t="shared" si="176"/>
        <v>LA</v>
      </c>
    </row>
    <row r="4489" spans="1:6" x14ac:dyDescent="0.25">
      <c r="A4489" t="str">
        <f>"200022284"</f>
        <v>200022284</v>
      </c>
      <c r="B4489" t="str">
        <f>"1972307882"</f>
        <v>1972307882</v>
      </c>
      <c r="C4489" t="str">
        <f>"363LA2100X"</f>
        <v>363LA2100X</v>
      </c>
      <c r="D4489" t="str">
        <f>"ROBINSON                 MARY                     "</f>
        <v xml:space="preserve">ROBINSON                 MARY                     </v>
      </c>
      <c r="E4489" t="str">
        <f>"NEW ORLEANS               "</f>
        <v xml:space="preserve">NEW ORLEANS               </v>
      </c>
      <c r="F4489" t="str">
        <f t="shared" si="176"/>
        <v>LA</v>
      </c>
    </row>
    <row r="4490" spans="1:6" x14ac:dyDescent="0.25">
      <c r="A4490" t="str">
        <f>"200022288"</f>
        <v>200022288</v>
      </c>
      <c r="B4490" t="str">
        <f>"1861029274"</f>
        <v>1861029274</v>
      </c>
      <c r="C4490" t="str">
        <f>"208000000X"</f>
        <v>208000000X</v>
      </c>
      <c r="D4490" t="str">
        <f>"GRIESE                   KAYLA                    "</f>
        <v xml:space="preserve">GRIESE                   KAYLA                    </v>
      </c>
      <c r="E4490" t="str">
        <f>"NEW ORLEANS               "</f>
        <v xml:space="preserve">NEW ORLEANS               </v>
      </c>
      <c r="F4490" t="str">
        <f t="shared" si="176"/>
        <v>LA</v>
      </c>
    </row>
    <row r="4491" spans="1:6" x14ac:dyDescent="0.25">
      <c r="A4491" t="str">
        <f>"200022289"</f>
        <v>200022289</v>
      </c>
      <c r="B4491" t="str">
        <f>"1215671003"</f>
        <v>1215671003</v>
      </c>
      <c r="C4491" t="str">
        <f>"363LF0000X"</f>
        <v>363LF0000X</v>
      </c>
      <c r="D4491" t="str">
        <f>"WOODS                    CRISTINA                 "</f>
        <v xml:space="preserve">WOODS                    CRISTINA                 </v>
      </c>
      <c r="E4491" t="str">
        <f>"NEW ORLEANS               "</f>
        <v xml:space="preserve">NEW ORLEANS               </v>
      </c>
      <c r="F4491" t="str">
        <f t="shared" si="176"/>
        <v>LA</v>
      </c>
    </row>
    <row r="4492" spans="1:6" x14ac:dyDescent="0.25">
      <c r="A4492" t="str">
        <f>"200022293"</f>
        <v>200022293</v>
      </c>
      <c r="B4492" t="str">
        <f>"1447047667"</f>
        <v>1447047667</v>
      </c>
      <c r="C4492" t="str">
        <f>"363L00000X"</f>
        <v>363L00000X</v>
      </c>
      <c r="D4492" t="str">
        <f>"CARTER                   ALLI         W           "</f>
        <v xml:space="preserve">CARTER                   ALLI         W           </v>
      </c>
      <c r="E4492" t="str">
        <f>"COVINGTON                 "</f>
        <v xml:space="preserve">COVINGTON                 </v>
      </c>
      <c r="F4492" t="str">
        <f t="shared" si="176"/>
        <v>LA</v>
      </c>
    </row>
    <row r="4493" spans="1:6" x14ac:dyDescent="0.25">
      <c r="A4493" t="str">
        <f>"200022302"</f>
        <v>200022302</v>
      </c>
      <c r="B4493" t="str">
        <f>"1053947069"</f>
        <v>1053947069</v>
      </c>
      <c r="C4493" t="str">
        <f>"2084P0800X"</f>
        <v>2084P0800X</v>
      </c>
      <c r="D4493" t="str">
        <f>"FRANKLIN                 CLAIRE       E           "</f>
        <v xml:space="preserve">FRANKLIN                 CLAIRE       E           </v>
      </c>
      <c r="E4493" t="str">
        <f>"NEW ORLEANS               "</f>
        <v xml:space="preserve">NEW ORLEANS               </v>
      </c>
      <c r="F4493" t="str">
        <f t="shared" si="176"/>
        <v>LA</v>
      </c>
    </row>
    <row r="4494" spans="1:6" x14ac:dyDescent="0.25">
      <c r="A4494" t="str">
        <f>"200022316"</f>
        <v>200022316</v>
      </c>
      <c r="B4494" t="str">
        <f>"1588124754"</f>
        <v>1588124754</v>
      </c>
      <c r="C4494" t="str">
        <f>"2086S0102X"</f>
        <v>2086S0102X</v>
      </c>
      <c r="D4494" t="str">
        <f>"FONTENOT                 TAYLOR       M           "</f>
        <v xml:space="preserve">FONTENOT                 TAYLOR       M           </v>
      </c>
      <c r="E4494" t="str">
        <f>"NEW ORLEANS               "</f>
        <v xml:space="preserve">NEW ORLEANS               </v>
      </c>
      <c r="F4494" t="str">
        <f t="shared" si="176"/>
        <v>LA</v>
      </c>
    </row>
    <row r="4495" spans="1:6" x14ac:dyDescent="0.25">
      <c r="A4495" t="str">
        <f>"200022337"</f>
        <v>200022337</v>
      </c>
      <c r="B4495" t="str">
        <f>"1114186921"</f>
        <v>1114186921</v>
      </c>
      <c r="C4495" t="str">
        <f>"2086S0120X"</f>
        <v>2086S0120X</v>
      </c>
      <c r="D4495" t="str">
        <f>"ROYBAL                   JESSICA                  "</f>
        <v xml:space="preserve">ROYBAL                   JESSICA                  </v>
      </c>
      <c r="E4495" t="str">
        <f>"NEW ORLEANS               "</f>
        <v xml:space="preserve">NEW ORLEANS               </v>
      </c>
      <c r="F4495" t="str">
        <f t="shared" si="176"/>
        <v>LA</v>
      </c>
    </row>
    <row r="4496" spans="1:6" x14ac:dyDescent="0.25">
      <c r="A4496" t="str">
        <f>"200022343"</f>
        <v>200022343</v>
      </c>
      <c r="B4496" t="str">
        <f>"1285688663"</f>
        <v>1285688663</v>
      </c>
      <c r="C4496" t="str">
        <f>"207L00000X"</f>
        <v>207L00000X</v>
      </c>
      <c r="D4496" t="str">
        <f>"TYLER                    DEBRA                    "</f>
        <v xml:space="preserve">TYLER                    DEBRA                    </v>
      </c>
      <c r="E4496" t="str">
        <f>"NEW ORLEANS               "</f>
        <v xml:space="preserve">NEW ORLEANS               </v>
      </c>
      <c r="F4496" t="str">
        <f t="shared" si="176"/>
        <v>LA</v>
      </c>
    </row>
    <row r="4497" spans="1:6" x14ac:dyDescent="0.25">
      <c r="A4497" t="str">
        <f>"200022353"</f>
        <v>200022353</v>
      </c>
      <c r="B4497" t="str">
        <f>"1306342316"</f>
        <v>1306342316</v>
      </c>
      <c r="C4497" t="str">
        <f>"207VX0201X"</f>
        <v>207VX0201X</v>
      </c>
      <c r="D4497" t="str">
        <f>"BARAKZAI                 SYEM                     "</f>
        <v xml:space="preserve">BARAKZAI                 SYEM                     </v>
      </c>
      <c r="E4497" t="str">
        <f>"LAFAYETTE                 "</f>
        <v xml:space="preserve">LAFAYETTE                 </v>
      </c>
      <c r="F4497" t="str">
        <f t="shared" si="176"/>
        <v>LA</v>
      </c>
    </row>
    <row r="4498" spans="1:6" x14ac:dyDescent="0.25">
      <c r="A4498" t="str">
        <f>"200022369"</f>
        <v>200022369</v>
      </c>
      <c r="B4498" t="str">
        <f>"1275984510"</f>
        <v>1275984510</v>
      </c>
      <c r="C4498" t="str">
        <f>"207P00000X"</f>
        <v>207P00000X</v>
      </c>
      <c r="D4498" t="str">
        <f>"SOILEAU                  MARK         C           "</f>
        <v xml:space="preserve">SOILEAU                  MARK         C           </v>
      </c>
      <c r="E4498" t="str">
        <f>"METAIRIE                  "</f>
        <v xml:space="preserve">METAIRIE                  </v>
      </c>
      <c r="F4498" t="str">
        <f t="shared" si="176"/>
        <v>LA</v>
      </c>
    </row>
    <row r="4499" spans="1:6" x14ac:dyDescent="0.25">
      <c r="A4499" t="str">
        <f>"200022436"</f>
        <v>200022436</v>
      </c>
      <c r="B4499" t="str">
        <f>"1962961896"</f>
        <v>1962961896</v>
      </c>
      <c r="C4499" t="str">
        <f>"207P00000X"</f>
        <v>207P00000X</v>
      </c>
      <c r="D4499" t="str">
        <f>"KITCHELL                 HANNAH                   "</f>
        <v xml:space="preserve">KITCHELL                 HANNAH                   </v>
      </c>
      <c r="E4499" t="str">
        <f>"NEW ORLEANS               "</f>
        <v xml:space="preserve">NEW ORLEANS               </v>
      </c>
      <c r="F4499" t="str">
        <f t="shared" si="176"/>
        <v>LA</v>
      </c>
    </row>
    <row r="4500" spans="1:6" x14ac:dyDescent="0.25">
      <c r="A4500" t="str">
        <f>"200022446"</f>
        <v>200022446</v>
      </c>
      <c r="B4500" t="str">
        <f>"1487186565"</f>
        <v>1487186565</v>
      </c>
      <c r="C4500" t="str">
        <f>"207P00000X"</f>
        <v>207P00000X</v>
      </c>
      <c r="D4500" t="str">
        <f>"HYMEL                    LINDSAY                  "</f>
        <v xml:space="preserve">HYMEL                    LINDSAY                  </v>
      </c>
      <c r="E4500" t="str">
        <f>"METAIRIE                  "</f>
        <v xml:space="preserve">METAIRIE                  </v>
      </c>
      <c r="F4500" t="str">
        <f t="shared" si="176"/>
        <v>LA</v>
      </c>
    </row>
    <row r="4501" spans="1:6" x14ac:dyDescent="0.25">
      <c r="A4501" t="str">
        <f>"200022461"</f>
        <v>200022461</v>
      </c>
      <c r="B4501" t="str">
        <f>"1871598904"</f>
        <v>1871598904</v>
      </c>
      <c r="C4501" t="str">
        <f>"207R00000X"</f>
        <v>207R00000X</v>
      </c>
      <c r="D4501" t="str">
        <f>"AYOADE                   FOLUSAKIN    O           "</f>
        <v xml:space="preserve">AYOADE                   FOLUSAKIN    O           </v>
      </c>
      <c r="E4501" t="str">
        <f>"ZACHARY                   "</f>
        <v xml:space="preserve">ZACHARY                   </v>
      </c>
      <c r="F4501" t="str">
        <f t="shared" si="176"/>
        <v>LA</v>
      </c>
    </row>
    <row r="4502" spans="1:6" x14ac:dyDescent="0.25">
      <c r="A4502" t="str">
        <f>"200022473"</f>
        <v>200022473</v>
      </c>
      <c r="B4502" t="str">
        <f>"1023721982"</f>
        <v>1023721982</v>
      </c>
      <c r="C4502" t="str">
        <f>"363L00000X"</f>
        <v>363L00000X</v>
      </c>
      <c r="D4502" t="str">
        <f>"LAGARDE                  BETH                     "</f>
        <v xml:space="preserve">LAGARDE                  BETH                     </v>
      </c>
      <c r="E4502" t="str">
        <f>"THIBODAUX                 "</f>
        <v xml:space="preserve">THIBODAUX                 </v>
      </c>
      <c r="F4502" t="str">
        <f t="shared" si="176"/>
        <v>LA</v>
      </c>
    </row>
    <row r="4503" spans="1:6" x14ac:dyDescent="0.25">
      <c r="A4503" t="str">
        <f>"200022474"</f>
        <v>200022474</v>
      </c>
      <c r="B4503" t="str">
        <f>"1487215398"</f>
        <v>1487215398</v>
      </c>
      <c r="C4503" t="str">
        <f>"2080P0204X"</f>
        <v>2080P0204X</v>
      </c>
      <c r="D4503" t="str">
        <f>"NANDAVAR                 AKSHAY                   "</f>
        <v xml:space="preserve">NANDAVAR                 AKSHAY                   </v>
      </c>
      <c r="E4503" t="str">
        <f>"NEW ORLEANS               "</f>
        <v xml:space="preserve">NEW ORLEANS               </v>
      </c>
      <c r="F4503" t="str">
        <f t="shared" si="176"/>
        <v>LA</v>
      </c>
    </row>
    <row r="4504" spans="1:6" x14ac:dyDescent="0.25">
      <c r="A4504" t="str">
        <f>"200022488"</f>
        <v>200022488</v>
      </c>
      <c r="B4504" t="str">
        <f>"1427548213"</f>
        <v>1427548213</v>
      </c>
      <c r="C4504" t="str">
        <f>"2080P0216X"</f>
        <v>2080P0216X</v>
      </c>
      <c r="D4504" t="str">
        <f>"ROSADO                   ACELA        C           "</f>
        <v xml:space="preserve">ROSADO                   ACELA        C           </v>
      </c>
      <c r="E4504" t="str">
        <f>"NEW ORLEANS               "</f>
        <v xml:space="preserve">NEW ORLEANS               </v>
      </c>
      <c r="F4504" t="str">
        <f t="shared" si="176"/>
        <v>LA</v>
      </c>
    </row>
    <row r="4505" spans="1:6" x14ac:dyDescent="0.25">
      <c r="A4505" t="str">
        <f>"200022489"</f>
        <v>200022489</v>
      </c>
      <c r="B4505" t="str">
        <f>"1417203746"</f>
        <v>1417203746</v>
      </c>
      <c r="C4505" t="str">
        <f>"207R00000X"</f>
        <v>207R00000X</v>
      </c>
      <c r="D4505" t="str">
        <f>"COLLINS                  WONESTTA     A           "</f>
        <v xml:space="preserve">COLLINS                  WONESTTA     A           </v>
      </c>
      <c r="E4505" t="str">
        <f>"ZACHARY                   "</f>
        <v xml:space="preserve">ZACHARY                   </v>
      </c>
      <c r="F4505" t="str">
        <f t="shared" si="176"/>
        <v>LA</v>
      </c>
    </row>
    <row r="4506" spans="1:6" x14ac:dyDescent="0.25">
      <c r="A4506" t="str">
        <f>"200022520"</f>
        <v>200022520</v>
      </c>
      <c r="B4506" t="str">
        <f>"1619383718"</f>
        <v>1619383718</v>
      </c>
      <c r="C4506" t="str">
        <f>"207RP1001X"</f>
        <v>207RP1001X</v>
      </c>
      <c r="D4506" t="str">
        <f>"DUDEKULA                 RIZWAN                   "</f>
        <v xml:space="preserve">DUDEKULA                 RIZWAN                   </v>
      </c>
      <c r="E4506" t="str">
        <f>"GRETNA                    "</f>
        <v xml:space="preserve">GRETNA                    </v>
      </c>
      <c r="F4506" t="str">
        <f t="shared" si="176"/>
        <v>LA</v>
      </c>
    </row>
    <row r="4507" spans="1:6" x14ac:dyDescent="0.25">
      <c r="A4507" t="str">
        <f>"200022527"</f>
        <v>200022527</v>
      </c>
      <c r="B4507" t="str">
        <f>"1447575840"</f>
        <v>1447575840</v>
      </c>
      <c r="C4507" t="str">
        <f>"2085R0202X"</f>
        <v>2085R0202X</v>
      </c>
      <c r="D4507" t="str">
        <f>"POND                     JASON        B           "</f>
        <v xml:space="preserve">POND                     JASON        B           </v>
      </c>
      <c r="E4507" t="str">
        <f>"NEW ORLEANS               "</f>
        <v xml:space="preserve">NEW ORLEANS               </v>
      </c>
      <c r="F4507" t="str">
        <f t="shared" ref="F4507:F4570" si="179">"LA"</f>
        <v>LA</v>
      </c>
    </row>
    <row r="4508" spans="1:6" x14ac:dyDescent="0.25">
      <c r="A4508" t="str">
        <f>"200022530"</f>
        <v>200022530</v>
      </c>
      <c r="B4508" t="str">
        <f>"1093276966"</f>
        <v>1093276966</v>
      </c>
      <c r="C4508" t="str">
        <f>"2080C0008X"</f>
        <v>2080C0008X</v>
      </c>
      <c r="D4508" t="str">
        <f>"GOULBOURNE               MICA                     "</f>
        <v xml:space="preserve">GOULBOURNE               MICA                     </v>
      </c>
      <c r="E4508" t="str">
        <f>"NEW ORLEANS               "</f>
        <v xml:space="preserve">NEW ORLEANS               </v>
      </c>
      <c r="F4508" t="str">
        <f t="shared" si="179"/>
        <v>LA</v>
      </c>
    </row>
    <row r="4509" spans="1:6" x14ac:dyDescent="0.25">
      <c r="A4509" t="str">
        <f>"200022533"</f>
        <v>200022533</v>
      </c>
      <c r="B4509" t="str">
        <f>"1407523376"</f>
        <v>1407523376</v>
      </c>
      <c r="C4509" t="str">
        <f>"363LN0000X"</f>
        <v>363LN0000X</v>
      </c>
      <c r="D4509" t="str">
        <f>"WITHERELL                CHRISTIE                 "</f>
        <v xml:space="preserve">WITHERELL                CHRISTIE                 </v>
      </c>
      <c r="E4509" t="str">
        <f>"TERRYTOWN                 "</f>
        <v xml:space="preserve">TERRYTOWN                 </v>
      </c>
      <c r="F4509" t="str">
        <f t="shared" si="179"/>
        <v>LA</v>
      </c>
    </row>
    <row r="4510" spans="1:6" x14ac:dyDescent="0.25">
      <c r="A4510" t="str">
        <f>"200022565"</f>
        <v>200022565</v>
      </c>
      <c r="B4510" t="str">
        <f>"1730208158"</f>
        <v>1730208158</v>
      </c>
      <c r="C4510" t="str">
        <f>"2084P0800X"</f>
        <v>2084P0800X</v>
      </c>
      <c r="D4510" t="str">
        <f>"MONTGOMERY               LYLE         B           "</f>
        <v xml:space="preserve">MONTGOMERY               LYLE         B           </v>
      </c>
      <c r="E4510" t="str">
        <f>"JEFFERSON                 "</f>
        <v xml:space="preserve">JEFFERSON                 </v>
      </c>
      <c r="F4510" t="str">
        <f t="shared" si="179"/>
        <v>LA</v>
      </c>
    </row>
    <row r="4511" spans="1:6" x14ac:dyDescent="0.25">
      <c r="A4511" t="str">
        <f>"200022567"</f>
        <v>200022567</v>
      </c>
      <c r="B4511" t="str">
        <f>"1427510841"</f>
        <v>1427510841</v>
      </c>
      <c r="C4511" t="str">
        <f>"207ZP0102X"</f>
        <v>207ZP0102X</v>
      </c>
      <c r="D4511" t="str">
        <f>"BIDOT                    SAMUEL                   "</f>
        <v xml:space="preserve">BIDOT                    SAMUEL                   </v>
      </c>
      <c r="E4511" t="str">
        <f>"NEW ORLEANS               "</f>
        <v xml:space="preserve">NEW ORLEANS               </v>
      </c>
      <c r="F4511" t="str">
        <f t="shared" si="179"/>
        <v>LA</v>
      </c>
    </row>
    <row r="4512" spans="1:6" x14ac:dyDescent="0.25">
      <c r="A4512" t="str">
        <f>"200022586"</f>
        <v>200022586</v>
      </c>
      <c r="B4512" t="str">
        <f>"1508586546"</f>
        <v>1508586546</v>
      </c>
      <c r="C4512" t="str">
        <f>"367500000X"</f>
        <v>367500000X</v>
      </c>
      <c r="D4512" t="str">
        <f>"GREEN                    ANA                      "</f>
        <v xml:space="preserve">GREEN                    ANA                      </v>
      </c>
      <c r="E4512" t="str">
        <f>"NEW ORLEANS               "</f>
        <v xml:space="preserve">NEW ORLEANS               </v>
      </c>
      <c r="F4512" t="str">
        <f t="shared" si="179"/>
        <v>LA</v>
      </c>
    </row>
    <row r="4513" spans="1:6" x14ac:dyDescent="0.25">
      <c r="A4513" t="str">
        <f>"200022620"</f>
        <v>200022620</v>
      </c>
      <c r="B4513" t="str">
        <f>"1134924640"</f>
        <v>1134924640</v>
      </c>
      <c r="C4513" t="str">
        <f>"363LG0600X"</f>
        <v>363LG0600X</v>
      </c>
      <c r="D4513" t="str">
        <f>"ALBRIGHT                 KALI                     "</f>
        <v xml:space="preserve">ALBRIGHT                 KALI                     </v>
      </c>
      <c r="E4513" t="str">
        <f>"NEW ORLEANS               "</f>
        <v xml:space="preserve">NEW ORLEANS               </v>
      </c>
      <c r="F4513" t="str">
        <f t="shared" si="179"/>
        <v>LA</v>
      </c>
    </row>
    <row r="4514" spans="1:6" x14ac:dyDescent="0.25">
      <c r="A4514" t="str">
        <f>"200022639"</f>
        <v>200022639</v>
      </c>
      <c r="B4514" t="str">
        <f>"1629224266"</f>
        <v>1629224266</v>
      </c>
      <c r="C4514" t="str">
        <f>"367500000X"</f>
        <v>367500000X</v>
      </c>
      <c r="D4514" t="str">
        <f>"NAUL                     DAVID                    "</f>
        <v xml:space="preserve">NAUL                     DAVID                    </v>
      </c>
      <c r="E4514" t="str">
        <f>"NEW ORLEANS               "</f>
        <v xml:space="preserve">NEW ORLEANS               </v>
      </c>
      <c r="F4514" t="str">
        <f t="shared" si="179"/>
        <v>LA</v>
      </c>
    </row>
    <row r="4515" spans="1:6" x14ac:dyDescent="0.25">
      <c r="A4515" t="str">
        <f>"200022643"</f>
        <v>200022643</v>
      </c>
      <c r="B4515" t="str">
        <f>"1104045665"</f>
        <v>1104045665</v>
      </c>
      <c r="C4515" t="str">
        <f>"152W00000X"</f>
        <v>152W00000X</v>
      </c>
      <c r="D4515" t="str">
        <f>"ADVANCED EYECARE, LLC                             "</f>
        <v xml:space="preserve">ADVANCED EYECARE, LLC                             </v>
      </c>
      <c r="E4515" t="str">
        <f>"PEARL RIVER               "</f>
        <v xml:space="preserve">PEARL RIVER               </v>
      </c>
      <c r="F4515" t="str">
        <f t="shared" si="179"/>
        <v>LA</v>
      </c>
    </row>
    <row r="4516" spans="1:6" x14ac:dyDescent="0.25">
      <c r="A4516" t="str">
        <f>"200022657"</f>
        <v>200022657</v>
      </c>
      <c r="B4516" t="str">
        <f>"1114614823"</f>
        <v>1114614823</v>
      </c>
      <c r="C4516" t="str">
        <f>"363LF0000X"</f>
        <v>363LF0000X</v>
      </c>
      <c r="D4516" t="str">
        <f>"LEDET                    ALLISON                  "</f>
        <v xml:space="preserve">LEDET                    ALLISON                  </v>
      </c>
      <c r="E4516" t="str">
        <f>"METAIRIE                  "</f>
        <v xml:space="preserve">METAIRIE                  </v>
      </c>
      <c r="F4516" t="str">
        <f t="shared" si="179"/>
        <v>LA</v>
      </c>
    </row>
    <row r="4517" spans="1:6" x14ac:dyDescent="0.25">
      <c r="A4517" t="str">
        <f>"200022706"</f>
        <v>200022706</v>
      </c>
      <c r="B4517" t="str">
        <f>"1407315674"</f>
        <v>1407315674</v>
      </c>
      <c r="C4517" t="str">
        <f>"2085R0204X"</f>
        <v>2085R0204X</v>
      </c>
      <c r="D4517" t="str">
        <f>"CHASON                   REBECCA      D           "</f>
        <v xml:space="preserve">CHASON                   REBECCA      D           </v>
      </c>
      <c r="E4517" t="str">
        <f>"NEW ORLEANS               "</f>
        <v xml:space="preserve">NEW ORLEANS               </v>
      </c>
      <c r="F4517" t="str">
        <f t="shared" si="179"/>
        <v>LA</v>
      </c>
    </row>
    <row r="4518" spans="1:6" x14ac:dyDescent="0.25">
      <c r="A4518" t="str">
        <f>"200022730"</f>
        <v>200022730</v>
      </c>
      <c r="B4518" t="str">
        <f>"1841926821"</f>
        <v>1841926821</v>
      </c>
      <c r="C4518" t="str">
        <f>"207R00000X"</f>
        <v>207R00000X</v>
      </c>
      <c r="D4518" t="str">
        <f>"VARMA                    SHRUJAL                  "</f>
        <v xml:space="preserve">VARMA                    SHRUJAL                  </v>
      </c>
      <c r="E4518" t="str">
        <f>"NEW ORLEANS               "</f>
        <v xml:space="preserve">NEW ORLEANS               </v>
      </c>
      <c r="F4518" t="str">
        <f t="shared" si="179"/>
        <v>LA</v>
      </c>
    </row>
    <row r="4519" spans="1:6" x14ac:dyDescent="0.25">
      <c r="A4519" t="str">
        <f>"200022735"</f>
        <v>200022735</v>
      </c>
      <c r="B4519" t="str">
        <f>"1922569219"</f>
        <v>1922569219</v>
      </c>
      <c r="C4519" t="str">
        <f>"208M00000X"</f>
        <v>208M00000X</v>
      </c>
      <c r="D4519" t="str">
        <f>"LI                       TAORAN                   "</f>
        <v xml:space="preserve">LI                       TAORAN                   </v>
      </c>
      <c r="E4519" t="str">
        <f>"SLIDELL                   "</f>
        <v xml:space="preserve">SLIDELL                   </v>
      </c>
      <c r="F4519" t="str">
        <f t="shared" si="179"/>
        <v>LA</v>
      </c>
    </row>
    <row r="4520" spans="1:6" x14ac:dyDescent="0.25">
      <c r="A4520" t="str">
        <f>"200022756"</f>
        <v>200022756</v>
      </c>
      <c r="B4520" t="str">
        <f>"1225733512"</f>
        <v>1225733512</v>
      </c>
      <c r="C4520" t="str">
        <f>"363A00000X"</f>
        <v>363A00000X</v>
      </c>
      <c r="D4520" t="str">
        <f>"FLEXER                   ALAIN                    "</f>
        <v xml:space="preserve">FLEXER                   ALAIN                    </v>
      </c>
      <c r="E4520" t="str">
        <f>"NEW ORLEANS               "</f>
        <v xml:space="preserve">NEW ORLEANS               </v>
      </c>
      <c r="F4520" t="str">
        <f t="shared" si="179"/>
        <v>LA</v>
      </c>
    </row>
    <row r="4521" spans="1:6" x14ac:dyDescent="0.25">
      <c r="A4521" t="str">
        <f>"200022768"</f>
        <v>200022768</v>
      </c>
      <c r="B4521" t="str">
        <f>"1699359083"</f>
        <v>1699359083</v>
      </c>
      <c r="C4521" t="str">
        <f>"207Q00000X"</f>
        <v>207Q00000X</v>
      </c>
      <c r="D4521" t="str">
        <f>"GUNTHER                  CHRISTOPHER              "</f>
        <v xml:space="preserve">GUNTHER                  CHRISTOPHER              </v>
      </c>
      <c r="E4521" t="str">
        <f>"NEW ORLEANS               "</f>
        <v xml:space="preserve">NEW ORLEANS               </v>
      </c>
      <c r="F4521" t="str">
        <f t="shared" si="179"/>
        <v>LA</v>
      </c>
    </row>
    <row r="4522" spans="1:6" x14ac:dyDescent="0.25">
      <c r="A4522" t="str">
        <f>"200022820"</f>
        <v>200022820</v>
      </c>
      <c r="B4522" t="str">
        <f>"1528951563"</f>
        <v>1528951563</v>
      </c>
      <c r="C4522" t="str">
        <f>"363A00000X"</f>
        <v>363A00000X</v>
      </c>
      <c r="D4522" t="str">
        <f>"KATZ                     MARLEY                   "</f>
        <v xml:space="preserve">KATZ                     MARLEY                   </v>
      </c>
      <c r="E4522" t="str">
        <f>"NEW ORLEANS               "</f>
        <v xml:space="preserve">NEW ORLEANS               </v>
      </c>
      <c r="F4522" t="str">
        <f t="shared" si="179"/>
        <v>LA</v>
      </c>
    </row>
    <row r="4523" spans="1:6" x14ac:dyDescent="0.25">
      <c r="A4523" t="str">
        <f>"200022827"</f>
        <v>200022827</v>
      </c>
      <c r="B4523" t="str">
        <f>"1629480173"</f>
        <v>1629480173</v>
      </c>
      <c r="C4523" t="str">
        <f>"207PP0204X"</f>
        <v>207PP0204X</v>
      </c>
      <c r="D4523" t="str">
        <f>"RAYBURN                  DAVID        A           "</f>
        <v xml:space="preserve">RAYBURN                  DAVID        A           </v>
      </c>
      <c r="E4523" t="str">
        <f>"METAIRIE                  "</f>
        <v xml:space="preserve">METAIRIE                  </v>
      </c>
      <c r="F4523" t="str">
        <f t="shared" si="179"/>
        <v>LA</v>
      </c>
    </row>
    <row r="4524" spans="1:6" x14ac:dyDescent="0.25">
      <c r="A4524" t="str">
        <f>"200022836"</f>
        <v>200022836</v>
      </c>
      <c r="B4524" t="str">
        <f>"1275323149"</f>
        <v>1275323149</v>
      </c>
      <c r="C4524" t="str">
        <f>"363A00000X"</f>
        <v>363A00000X</v>
      </c>
      <c r="D4524" t="str">
        <f>"HASSINGER                SARAH                    "</f>
        <v xml:space="preserve">HASSINGER                SARAH                    </v>
      </c>
      <c r="E4524" t="str">
        <f>"NEW ORLEANS               "</f>
        <v xml:space="preserve">NEW ORLEANS               </v>
      </c>
      <c r="F4524" t="str">
        <f t="shared" si="179"/>
        <v>LA</v>
      </c>
    </row>
    <row r="4525" spans="1:6" x14ac:dyDescent="0.25">
      <c r="A4525" t="str">
        <f>"200022837"</f>
        <v>200022837</v>
      </c>
      <c r="B4525" t="str">
        <f>"1669610325"</f>
        <v>1669610325</v>
      </c>
      <c r="C4525" t="str">
        <f>"367500000X"</f>
        <v>367500000X</v>
      </c>
      <c r="D4525" t="str">
        <f>"WEISDORFFER              ROBERT                   "</f>
        <v xml:space="preserve">WEISDORFFER              ROBERT                   </v>
      </c>
      <c r="E4525" t="str">
        <f>"COVINGTON                 "</f>
        <v xml:space="preserve">COVINGTON                 </v>
      </c>
      <c r="F4525" t="str">
        <f t="shared" si="179"/>
        <v>LA</v>
      </c>
    </row>
    <row r="4526" spans="1:6" x14ac:dyDescent="0.25">
      <c r="A4526" t="str">
        <f>"200022838"</f>
        <v>200022838</v>
      </c>
      <c r="B4526" t="str">
        <f>"1396770228"</f>
        <v>1396770228</v>
      </c>
      <c r="C4526" t="str">
        <f>"367500000X"</f>
        <v>367500000X</v>
      </c>
      <c r="D4526" t="str">
        <f>"INGRAHAM                 TARA                     "</f>
        <v xml:space="preserve">INGRAHAM                 TARA                     </v>
      </c>
      <c r="E4526" t="str">
        <f>"COVINGTON                 "</f>
        <v xml:space="preserve">COVINGTON                 </v>
      </c>
      <c r="F4526" t="str">
        <f t="shared" si="179"/>
        <v>LA</v>
      </c>
    </row>
    <row r="4527" spans="1:6" x14ac:dyDescent="0.25">
      <c r="A4527" t="str">
        <f>"200022845"</f>
        <v>200022845</v>
      </c>
      <c r="B4527" t="str">
        <f>"1689865537"</f>
        <v>1689865537</v>
      </c>
      <c r="C4527" t="str">
        <f>"2085R0202X"</f>
        <v>2085R0202X</v>
      </c>
      <c r="D4527" t="str">
        <f>"WEIDENHAFT               MANDY        C           "</f>
        <v xml:space="preserve">WEIDENHAFT               MANDY        C           </v>
      </c>
      <c r="E4527" t="str">
        <f>"METAIRIE                  "</f>
        <v xml:space="preserve">METAIRIE                  </v>
      </c>
      <c r="F4527" t="str">
        <f t="shared" si="179"/>
        <v>LA</v>
      </c>
    </row>
    <row r="4528" spans="1:6" x14ac:dyDescent="0.25">
      <c r="A4528" t="str">
        <f>"200022846"</f>
        <v>200022846</v>
      </c>
      <c r="B4528" t="str">
        <f>"1598381220"</f>
        <v>1598381220</v>
      </c>
      <c r="C4528" t="str">
        <f>"2084N0400X"</f>
        <v>2084N0400X</v>
      </c>
      <c r="D4528" t="str">
        <f>"GREGERSEN                MAREN                    "</f>
        <v xml:space="preserve">GREGERSEN                MAREN                    </v>
      </c>
      <c r="E4528" t="str">
        <f>"NEW ORLEANS               "</f>
        <v xml:space="preserve">NEW ORLEANS               </v>
      </c>
      <c r="F4528" t="str">
        <f t="shared" si="179"/>
        <v>LA</v>
      </c>
    </row>
    <row r="4529" spans="1:6" x14ac:dyDescent="0.25">
      <c r="A4529" t="str">
        <f>"200022888"</f>
        <v>200022888</v>
      </c>
      <c r="B4529" t="str">
        <f>"1821733635"</f>
        <v>1821733635</v>
      </c>
      <c r="C4529" t="str">
        <f>"207R00000X"</f>
        <v>207R00000X</v>
      </c>
      <c r="D4529" t="str">
        <f>"OZBORN                   GEORGE                   "</f>
        <v xml:space="preserve">OZBORN                   GEORGE                   </v>
      </c>
      <c r="E4529" t="str">
        <f>"NEW ORLEANS               "</f>
        <v xml:space="preserve">NEW ORLEANS               </v>
      </c>
      <c r="F4529" t="str">
        <f t="shared" si="179"/>
        <v>LA</v>
      </c>
    </row>
    <row r="4530" spans="1:6" x14ac:dyDescent="0.25">
      <c r="A4530" t="str">
        <f>"200022893"</f>
        <v>200022893</v>
      </c>
      <c r="B4530" t="str">
        <f>"1457147779"</f>
        <v>1457147779</v>
      </c>
      <c r="C4530" t="str">
        <f>"363A00000X"</f>
        <v>363A00000X</v>
      </c>
      <c r="D4530" t="str">
        <f>"BREAUX                   KAYLIE                   "</f>
        <v xml:space="preserve">BREAUX                   KAYLIE                   </v>
      </c>
      <c r="E4530" t="str">
        <f>"NEW ORLEANS               "</f>
        <v xml:space="preserve">NEW ORLEANS               </v>
      </c>
      <c r="F4530" t="str">
        <f t="shared" si="179"/>
        <v>LA</v>
      </c>
    </row>
    <row r="4531" spans="1:6" x14ac:dyDescent="0.25">
      <c r="A4531" t="str">
        <f>"200022898"</f>
        <v>200022898</v>
      </c>
      <c r="B4531" t="str">
        <f>"1912138819"</f>
        <v>1912138819</v>
      </c>
      <c r="C4531" t="str">
        <f>"207PP0204X"</f>
        <v>207PP0204X</v>
      </c>
      <c r="D4531" t="str">
        <f>"MAC                      STEPHEN      D           "</f>
        <v xml:space="preserve">MAC                      STEPHEN      D           </v>
      </c>
      <c r="E4531" t="str">
        <f>"METAIRIE                  "</f>
        <v xml:space="preserve">METAIRIE                  </v>
      </c>
      <c r="F4531" t="str">
        <f t="shared" si="179"/>
        <v>LA</v>
      </c>
    </row>
    <row r="4532" spans="1:6" x14ac:dyDescent="0.25">
      <c r="A4532" t="str">
        <f>"200022919"</f>
        <v>200022919</v>
      </c>
      <c r="B4532" t="str">
        <f>"1043626757"</f>
        <v>1043626757</v>
      </c>
      <c r="C4532" t="str">
        <f>"363LF0000X"</f>
        <v>363LF0000X</v>
      </c>
      <c r="D4532" t="str">
        <f>"SMART                    BETTY                    "</f>
        <v xml:space="preserve">SMART                    BETTY                    </v>
      </c>
      <c r="E4532" t="str">
        <f>"HAMMOND                   "</f>
        <v xml:space="preserve">HAMMOND                   </v>
      </c>
      <c r="F4532" t="str">
        <f t="shared" si="179"/>
        <v>LA</v>
      </c>
    </row>
    <row r="4533" spans="1:6" x14ac:dyDescent="0.25">
      <c r="A4533" t="str">
        <f>"200022929"</f>
        <v>200022929</v>
      </c>
      <c r="B4533" t="str">
        <f>"1467039305"</f>
        <v>1467039305</v>
      </c>
      <c r="C4533" t="str">
        <f>"207L00000X"</f>
        <v>207L00000X</v>
      </c>
      <c r="D4533" t="str">
        <f>"HILD                     JOHANNA                  "</f>
        <v xml:space="preserve">HILD                     JOHANNA                  </v>
      </c>
      <c r="E4533" t="str">
        <f>"NEW ORLEANS               "</f>
        <v xml:space="preserve">NEW ORLEANS               </v>
      </c>
      <c r="F4533" t="str">
        <f t="shared" si="179"/>
        <v>LA</v>
      </c>
    </row>
    <row r="4534" spans="1:6" x14ac:dyDescent="0.25">
      <c r="A4534" t="str">
        <f>"200022952"</f>
        <v>200022952</v>
      </c>
      <c r="B4534" t="str">
        <f>"1265152581"</f>
        <v>1265152581</v>
      </c>
      <c r="C4534" t="str">
        <f>"367500000X"</f>
        <v>367500000X</v>
      </c>
      <c r="D4534" t="str">
        <f>"PICK                     SARAH        E           "</f>
        <v xml:space="preserve">PICK                     SARAH        E           </v>
      </c>
      <c r="E4534" t="str">
        <f>"KENNER                    "</f>
        <v xml:space="preserve">KENNER                    </v>
      </c>
      <c r="F4534" t="str">
        <f t="shared" si="179"/>
        <v>LA</v>
      </c>
    </row>
    <row r="4535" spans="1:6" x14ac:dyDescent="0.25">
      <c r="A4535" t="str">
        <f>"200022959"</f>
        <v>200022959</v>
      </c>
      <c r="B4535" t="str">
        <f>"1679830111"</f>
        <v>1679830111</v>
      </c>
      <c r="C4535" t="str">
        <f>"207RC0000X"</f>
        <v>207RC0000X</v>
      </c>
      <c r="D4535" t="str">
        <f>"STEWART                  MERRILL                  "</f>
        <v xml:space="preserve">STEWART                  MERRILL                  </v>
      </c>
      <c r="E4535" t="str">
        <f>"NEW ORLEANS               "</f>
        <v xml:space="preserve">NEW ORLEANS               </v>
      </c>
      <c r="F4535" t="str">
        <f t="shared" si="179"/>
        <v>LA</v>
      </c>
    </row>
    <row r="4536" spans="1:6" x14ac:dyDescent="0.25">
      <c r="A4536" t="str">
        <f>"200022975"</f>
        <v>200022975</v>
      </c>
      <c r="B4536" t="str">
        <f>"1104923770"</f>
        <v>1104923770</v>
      </c>
      <c r="C4536" t="str">
        <f>"207RG0100X"</f>
        <v>207RG0100X</v>
      </c>
      <c r="D4536" t="str">
        <f>"DALMAU                   KIMBERLY                 "</f>
        <v xml:space="preserve">DALMAU                   KIMBERLY                 </v>
      </c>
      <c r="E4536" t="str">
        <f>"SLIDELL                   "</f>
        <v xml:space="preserve">SLIDELL                   </v>
      </c>
      <c r="F4536" t="str">
        <f t="shared" si="179"/>
        <v>LA</v>
      </c>
    </row>
    <row r="4537" spans="1:6" x14ac:dyDescent="0.25">
      <c r="A4537" t="str">
        <f>"200022991"</f>
        <v>200022991</v>
      </c>
      <c r="B4537" t="str">
        <f>"1508613498"</f>
        <v>1508613498</v>
      </c>
      <c r="C4537" t="str">
        <f>"367500000X"</f>
        <v>367500000X</v>
      </c>
      <c r="D4537" t="str">
        <f>"FRANCIONI                HAYLEY                   "</f>
        <v xml:space="preserve">FRANCIONI                HAYLEY                   </v>
      </c>
      <c r="E4537" t="str">
        <f>"NEW ORLEANS               "</f>
        <v xml:space="preserve">NEW ORLEANS               </v>
      </c>
      <c r="F4537" t="str">
        <f t="shared" si="179"/>
        <v>LA</v>
      </c>
    </row>
    <row r="4538" spans="1:6" x14ac:dyDescent="0.25">
      <c r="A4538" t="str">
        <f>"200022993"</f>
        <v>200022993</v>
      </c>
      <c r="B4538" t="str">
        <f>"1831266956"</f>
        <v>1831266956</v>
      </c>
      <c r="C4538" t="str">
        <f>"207RC0200X"</f>
        <v>207RC0200X</v>
      </c>
      <c r="D4538" t="str">
        <f>"BATCHELOR                NICHOLAS     K           "</f>
        <v xml:space="preserve">BATCHELOR                NICHOLAS     K           </v>
      </c>
      <c r="E4538" t="str">
        <f>"ZACHARY                   "</f>
        <v xml:space="preserve">ZACHARY                   </v>
      </c>
      <c r="F4538" t="str">
        <f t="shared" si="179"/>
        <v>LA</v>
      </c>
    </row>
    <row r="4539" spans="1:6" x14ac:dyDescent="0.25">
      <c r="A4539" t="str">
        <f>"200023005"</f>
        <v>200023005</v>
      </c>
      <c r="B4539" t="str">
        <f>"1093464455"</f>
        <v>1093464455</v>
      </c>
      <c r="C4539" t="str">
        <f>"207Q00000X"</f>
        <v>207Q00000X</v>
      </c>
      <c r="D4539" t="str">
        <f>"ARNOLD                   ALEXANDRA                "</f>
        <v xml:space="preserve">ARNOLD                   ALEXANDRA                </v>
      </c>
      <c r="E4539" t="str">
        <f>"KENNER                    "</f>
        <v xml:space="preserve">KENNER                    </v>
      </c>
      <c r="F4539" t="str">
        <f t="shared" si="179"/>
        <v>LA</v>
      </c>
    </row>
    <row r="4540" spans="1:6" x14ac:dyDescent="0.25">
      <c r="A4540" t="str">
        <f>"200023030"</f>
        <v>200023030</v>
      </c>
      <c r="B4540" t="str">
        <f>"1184319360"</f>
        <v>1184319360</v>
      </c>
      <c r="C4540" t="str">
        <f>"363L00000X"</f>
        <v>363L00000X</v>
      </c>
      <c r="D4540" t="str">
        <f>"STRAUGHAN                ABIGAIL                  "</f>
        <v xml:space="preserve">STRAUGHAN                ABIGAIL                  </v>
      </c>
      <c r="E4540" t="str">
        <f>"NEW ORLEANS               "</f>
        <v xml:space="preserve">NEW ORLEANS               </v>
      </c>
      <c r="F4540" t="str">
        <f t="shared" si="179"/>
        <v>LA</v>
      </c>
    </row>
    <row r="4541" spans="1:6" x14ac:dyDescent="0.25">
      <c r="A4541" t="str">
        <f>"200023039"</f>
        <v>200023039</v>
      </c>
      <c r="B4541" t="str">
        <f>"1861012171"</f>
        <v>1861012171</v>
      </c>
      <c r="C4541" t="str">
        <f>"208000000X"</f>
        <v>208000000X</v>
      </c>
      <c r="D4541" t="str">
        <f>"HOUSSAY                  MAGDALENA                "</f>
        <v xml:space="preserve">HOUSSAY                  MAGDALENA                </v>
      </c>
      <c r="E4541" t="str">
        <f>"NEW ORLEANS               "</f>
        <v xml:space="preserve">NEW ORLEANS               </v>
      </c>
      <c r="F4541" t="str">
        <f t="shared" si="179"/>
        <v>LA</v>
      </c>
    </row>
    <row r="4542" spans="1:6" x14ac:dyDescent="0.25">
      <c r="A4542" t="str">
        <f>"200023050"</f>
        <v>200023050</v>
      </c>
      <c r="B4542" t="str">
        <f>"1477224764"</f>
        <v>1477224764</v>
      </c>
      <c r="C4542" t="str">
        <f>"363A00000X"</f>
        <v>363A00000X</v>
      </c>
      <c r="D4542" t="str">
        <f>"SMITH                    HALEY                    "</f>
        <v xml:space="preserve">SMITH                    HALEY                    </v>
      </c>
      <c r="E4542" t="str">
        <f>"BATON ROUGE               "</f>
        <v xml:space="preserve">BATON ROUGE               </v>
      </c>
      <c r="F4542" t="str">
        <f t="shared" si="179"/>
        <v>LA</v>
      </c>
    </row>
    <row r="4543" spans="1:6" x14ac:dyDescent="0.25">
      <c r="A4543" t="str">
        <f>"200023051"</f>
        <v>200023051</v>
      </c>
      <c r="B4543" t="str">
        <f>"1578813424"</f>
        <v>1578813424</v>
      </c>
      <c r="C4543" t="str">
        <f>"367500000X"</f>
        <v>367500000X</v>
      </c>
      <c r="D4543" t="str">
        <f>"REILY                    CANDIS                   "</f>
        <v xml:space="preserve">REILY                    CANDIS                   </v>
      </c>
      <c r="E4543" t="str">
        <f>"METAIRIE                  "</f>
        <v xml:space="preserve">METAIRIE                  </v>
      </c>
      <c r="F4543" t="str">
        <f t="shared" si="179"/>
        <v>LA</v>
      </c>
    </row>
    <row r="4544" spans="1:6" x14ac:dyDescent="0.25">
      <c r="A4544" t="str">
        <f>"200023076"</f>
        <v>200023076</v>
      </c>
      <c r="B4544" t="str">
        <f>"1801696992"</f>
        <v>1801696992</v>
      </c>
      <c r="C4544" t="str">
        <f>"363L00000X"</f>
        <v>363L00000X</v>
      </c>
      <c r="D4544" t="str">
        <f>"WOLF                     SUMMER                   "</f>
        <v xml:space="preserve">WOLF                     SUMMER                   </v>
      </c>
      <c r="E4544" t="str">
        <f>"JEFFERSON                 "</f>
        <v xml:space="preserve">JEFFERSON                 </v>
      </c>
      <c r="F4544" t="str">
        <f t="shared" si="179"/>
        <v>LA</v>
      </c>
    </row>
    <row r="4545" spans="1:6" x14ac:dyDescent="0.25">
      <c r="A4545" t="str">
        <f>"200023093"</f>
        <v>200023093</v>
      </c>
      <c r="B4545" t="str">
        <f>"1497032544"</f>
        <v>1497032544</v>
      </c>
      <c r="C4545" t="str">
        <f>"363AM0700X"</f>
        <v>363AM0700X</v>
      </c>
      <c r="D4545" t="str">
        <f>"MCMORRIS                 LEAH                     "</f>
        <v xml:space="preserve">MCMORRIS                 LEAH                     </v>
      </c>
      <c r="E4545" t="str">
        <f>"BATON ROUGE               "</f>
        <v xml:space="preserve">BATON ROUGE               </v>
      </c>
      <c r="F4545" t="str">
        <f t="shared" si="179"/>
        <v>LA</v>
      </c>
    </row>
    <row r="4546" spans="1:6" x14ac:dyDescent="0.25">
      <c r="A4546" t="str">
        <f>"200023094"</f>
        <v>200023094</v>
      </c>
      <c r="B4546" t="str">
        <f>"1508371931"</f>
        <v>1508371931</v>
      </c>
      <c r="C4546" t="str">
        <f>"363LF0000X"</f>
        <v>363LF0000X</v>
      </c>
      <c r="D4546" t="str">
        <f>"PERILLOUX                MEGAN                    "</f>
        <v xml:space="preserve">PERILLOUX                MEGAN                    </v>
      </c>
      <c r="E4546" t="str">
        <f>"HAMMOND                   "</f>
        <v xml:space="preserve">HAMMOND                   </v>
      </c>
      <c r="F4546" t="str">
        <f t="shared" si="179"/>
        <v>LA</v>
      </c>
    </row>
    <row r="4547" spans="1:6" x14ac:dyDescent="0.25">
      <c r="A4547" t="str">
        <f>"200023105"</f>
        <v>200023105</v>
      </c>
      <c r="B4547" t="str">
        <f>"1023495488"</f>
        <v>1023495488</v>
      </c>
      <c r="C4547" t="str">
        <f>"367500000X"</f>
        <v>367500000X</v>
      </c>
      <c r="D4547" t="str">
        <f>"SMITH                    KIMBERLY                 "</f>
        <v xml:space="preserve">SMITH                    KIMBERLY                 </v>
      </c>
      <c r="E4547" t="str">
        <f>"METAIRIE                  "</f>
        <v xml:space="preserve">METAIRIE                  </v>
      </c>
      <c r="F4547" t="str">
        <f t="shared" si="179"/>
        <v>LA</v>
      </c>
    </row>
    <row r="4548" spans="1:6" x14ac:dyDescent="0.25">
      <c r="A4548" t="str">
        <f>"200023111"</f>
        <v>200023111</v>
      </c>
      <c r="B4548" t="str">
        <f>"1528688058"</f>
        <v>1528688058</v>
      </c>
      <c r="C4548" t="str">
        <f>"207RN0300X"</f>
        <v>207RN0300X</v>
      </c>
      <c r="D4548" t="str">
        <f>"HANNA                    GHANAYEM                 "</f>
        <v xml:space="preserve">HANNA                    GHANAYEM                 </v>
      </c>
      <c r="E4548" t="str">
        <f>"GRETNA                    "</f>
        <v xml:space="preserve">GRETNA                    </v>
      </c>
      <c r="F4548" t="str">
        <f t="shared" si="179"/>
        <v>LA</v>
      </c>
    </row>
    <row r="4549" spans="1:6" x14ac:dyDescent="0.25">
      <c r="A4549" t="str">
        <f>"200023116"</f>
        <v>200023116</v>
      </c>
      <c r="B4549" t="str">
        <f>"1083279780"</f>
        <v>1083279780</v>
      </c>
      <c r="C4549" t="str">
        <f>"363L00000X"</f>
        <v>363L00000X</v>
      </c>
      <c r="D4549" t="str">
        <f>"HIGGINS                  EMMA                     "</f>
        <v xml:space="preserve">HIGGINS                  EMMA                     </v>
      </c>
      <c r="E4549" t="str">
        <f>"NEW ORLEANS               "</f>
        <v xml:space="preserve">NEW ORLEANS               </v>
      </c>
      <c r="F4549" t="str">
        <f t="shared" si="179"/>
        <v>LA</v>
      </c>
    </row>
    <row r="4550" spans="1:6" x14ac:dyDescent="0.25">
      <c r="A4550" t="str">
        <f>"200023120"</f>
        <v>200023120</v>
      </c>
      <c r="B4550" t="str">
        <f>"1801066733"</f>
        <v>1801066733</v>
      </c>
      <c r="C4550" t="str">
        <f>"207R00000X"</f>
        <v>207R00000X</v>
      </c>
      <c r="D4550" t="str">
        <f>"EKE                      CHUKWUDI     I           "</f>
        <v xml:space="preserve">EKE                      CHUKWUDI     I           </v>
      </c>
      <c r="E4550" t="str">
        <f>"ZACHARY                   "</f>
        <v xml:space="preserve">ZACHARY                   </v>
      </c>
      <c r="F4550" t="str">
        <f t="shared" si="179"/>
        <v>LA</v>
      </c>
    </row>
    <row r="4551" spans="1:6" x14ac:dyDescent="0.25">
      <c r="A4551" t="str">
        <f>"200023152"</f>
        <v>200023152</v>
      </c>
      <c r="B4551" t="str">
        <f>"1144585043"</f>
        <v>1144585043</v>
      </c>
      <c r="C4551" t="str">
        <f>"207R00000X"</f>
        <v>207R00000X</v>
      </c>
      <c r="D4551" t="str">
        <f>"GOYAL                    ADARSH                   "</f>
        <v xml:space="preserve">GOYAL                    ADARSH                   </v>
      </c>
      <c r="E4551" t="str">
        <f>"ZACHARY                   "</f>
        <v xml:space="preserve">ZACHARY                   </v>
      </c>
      <c r="F4551" t="str">
        <f t="shared" si="179"/>
        <v>LA</v>
      </c>
    </row>
    <row r="4552" spans="1:6" x14ac:dyDescent="0.25">
      <c r="A4552" t="str">
        <f>"200023200"</f>
        <v>200023200</v>
      </c>
      <c r="B4552" t="str">
        <f>"1639757594"</f>
        <v>1639757594</v>
      </c>
      <c r="C4552" t="str">
        <f>"207N00000X"</f>
        <v>207N00000X</v>
      </c>
      <c r="D4552" t="str">
        <f>"CARNICLE                 JOCELYN      M           "</f>
        <v xml:space="preserve">CARNICLE                 JOCELYN      M           </v>
      </c>
      <c r="E4552" t="str">
        <f>"NEW ORLEANS               "</f>
        <v xml:space="preserve">NEW ORLEANS               </v>
      </c>
      <c r="F4552" t="str">
        <f t="shared" si="179"/>
        <v>LA</v>
      </c>
    </row>
    <row r="4553" spans="1:6" x14ac:dyDescent="0.25">
      <c r="A4553" t="str">
        <f>"200023207"</f>
        <v>200023207</v>
      </c>
      <c r="B4553" t="str">
        <f>"1740667096"</f>
        <v>1740667096</v>
      </c>
      <c r="C4553" t="str">
        <f>"2085R0202X"</f>
        <v>2085R0202X</v>
      </c>
      <c r="D4553" t="str">
        <f>"COURVILLE                DERRICK                  "</f>
        <v xml:space="preserve">COURVILLE                DERRICK                  </v>
      </c>
      <c r="E4553" t="str">
        <f>"NEW ORLEANS               "</f>
        <v xml:space="preserve">NEW ORLEANS               </v>
      </c>
      <c r="F4553" t="str">
        <f t="shared" si="179"/>
        <v>LA</v>
      </c>
    </row>
    <row r="4554" spans="1:6" x14ac:dyDescent="0.25">
      <c r="A4554" t="str">
        <f>"200023232"</f>
        <v>200023232</v>
      </c>
      <c r="B4554" t="str">
        <f>"1073524591"</f>
        <v>1073524591</v>
      </c>
      <c r="C4554" t="str">
        <f>"207RG0100X"</f>
        <v>207RG0100X</v>
      </c>
      <c r="D4554" t="str">
        <f>"MUHUMUZA                 ROBERT                   "</f>
        <v xml:space="preserve">MUHUMUZA                 ROBERT                   </v>
      </c>
      <c r="E4554" t="str">
        <f>"BATON ROUGE               "</f>
        <v xml:space="preserve">BATON ROUGE               </v>
      </c>
      <c r="F4554" t="str">
        <f t="shared" si="179"/>
        <v>LA</v>
      </c>
    </row>
    <row r="4555" spans="1:6" x14ac:dyDescent="0.25">
      <c r="A4555" t="str">
        <f>"200023256"</f>
        <v>200023256</v>
      </c>
      <c r="B4555" t="str">
        <f>"1619860921"</f>
        <v>1619860921</v>
      </c>
      <c r="C4555" t="str">
        <f>"367500000X"</f>
        <v>367500000X</v>
      </c>
      <c r="D4555" t="str">
        <f>"LEVASSEUR                CELINA                   "</f>
        <v xml:space="preserve">LEVASSEUR                CELINA                   </v>
      </c>
      <c r="E4555" t="str">
        <f>"NEW ORLEANS               "</f>
        <v xml:space="preserve">NEW ORLEANS               </v>
      </c>
      <c r="F4555" t="str">
        <f t="shared" si="179"/>
        <v>LA</v>
      </c>
    </row>
    <row r="4556" spans="1:6" x14ac:dyDescent="0.25">
      <c r="A4556" t="str">
        <f>"200023261"</f>
        <v>200023261</v>
      </c>
      <c r="B4556" t="str">
        <f>"1578514246"</f>
        <v>1578514246</v>
      </c>
      <c r="C4556" t="str">
        <f>"2085R0202X"</f>
        <v>2085R0202X</v>
      </c>
      <c r="D4556" t="str">
        <f>"CHILCOAT                 RONALD                   "</f>
        <v xml:space="preserve">CHILCOAT                 RONALD                   </v>
      </c>
      <c r="E4556" t="str">
        <f>"NEW ORLEANS               "</f>
        <v xml:space="preserve">NEW ORLEANS               </v>
      </c>
      <c r="F4556" t="str">
        <f t="shared" si="179"/>
        <v>LA</v>
      </c>
    </row>
    <row r="4557" spans="1:6" x14ac:dyDescent="0.25">
      <c r="A4557" t="str">
        <f>"200023268"</f>
        <v>200023268</v>
      </c>
      <c r="B4557" t="str">
        <f>"1801029897"</f>
        <v>1801029897</v>
      </c>
      <c r="C4557" t="str">
        <f>"367500000X"</f>
        <v>367500000X</v>
      </c>
      <c r="D4557" t="str">
        <f>"GIBBS                    MICHELLE                 "</f>
        <v xml:space="preserve">GIBBS                    MICHELLE                 </v>
      </c>
      <c r="E4557" t="str">
        <f>"KENNER                    "</f>
        <v xml:space="preserve">KENNER                    </v>
      </c>
      <c r="F4557" t="str">
        <f t="shared" si="179"/>
        <v>LA</v>
      </c>
    </row>
    <row r="4558" spans="1:6" x14ac:dyDescent="0.25">
      <c r="A4558" t="str">
        <f>"200023287"</f>
        <v>200023287</v>
      </c>
      <c r="B4558" t="str">
        <f>"1639412026"</f>
        <v>1639412026</v>
      </c>
      <c r="C4558" t="str">
        <f>"207V00000X"</f>
        <v>207V00000X</v>
      </c>
      <c r="D4558" t="str">
        <f>"KAO                      ELAINE                   "</f>
        <v xml:space="preserve">KAO                      ELAINE                   </v>
      </c>
      <c r="E4558" t="str">
        <f>"NEW ORLEANS               "</f>
        <v xml:space="preserve">NEW ORLEANS               </v>
      </c>
      <c r="F4558" t="str">
        <f t="shared" si="179"/>
        <v>LA</v>
      </c>
    </row>
    <row r="4559" spans="1:6" x14ac:dyDescent="0.25">
      <c r="A4559" t="str">
        <f>"200023300"</f>
        <v>200023300</v>
      </c>
      <c r="B4559" t="str">
        <f>"1528520848"</f>
        <v>1528520848</v>
      </c>
      <c r="C4559" t="str">
        <f>"2085R0202X"</f>
        <v>2085R0202X</v>
      </c>
      <c r="D4559" t="str">
        <f>"GUARISCO                 RACHEL                   "</f>
        <v xml:space="preserve">GUARISCO                 RACHEL                   </v>
      </c>
      <c r="E4559" t="str">
        <f>"NEW ORLEANS               "</f>
        <v xml:space="preserve">NEW ORLEANS               </v>
      </c>
      <c r="F4559" t="str">
        <f t="shared" si="179"/>
        <v>LA</v>
      </c>
    </row>
    <row r="4560" spans="1:6" x14ac:dyDescent="0.25">
      <c r="A4560" t="str">
        <f>"200023310"</f>
        <v>200023310</v>
      </c>
      <c r="B4560" t="str">
        <f>"1710982657"</f>
        <v>1710982657</v>
      </c>
      <c r="C4560" t="str">
        <f>"2085R0202X"</f>
        <v>2085R0202X</v>
      </c>
      <c r="D4560" t="str">
        <f>"STEIGNER                 JOHN                     "</f>
        <v xml:space="preserve">STEIGNER                 JOHN                     </v>
      </c>
      <c r="E4560" t="str">
        <f>"RACELAND                  "</f>
        <v xml:space="preserve">RACELAND                  </v>
      </c>
      <c r="F4560" t="str">
        <f t="shared" si="179"/>
        <v>LA</v>
      </c>
    </row>
    <row r="4561" spans="1:6" x14ac:dyDescent="0.25">
      <c r="A4561" t="str">
        <f>"200023315"</f>
        <v>200023315</v>
      </c>
      <c r="B4561" t="str">
        <f>"1508020736"</f>
        <v>1508020736</v>
      </c>
      <c r="C4561" t="str">
        <f>"2085R0202X"</f>
        <v>2085R0202X</v>
      </c>
      <c r="D4561" t="str">
        <f>"SHARATZ                  STEVEN                   "</f>
        <v xml:space="preserve">SHARATZ                  STEVEN                   </v>
      </c>
      <c r="E4561" t="str">
        <f>"NEW ORLEANS               "</f>
        <v xml:space="preserve">NEW ORLEANS               </v>
      </c>
      <c r="F4561" t="str">
        <f t="shared" si="179"/>
        <v>LA</v>
      </c>
    </row>
    <row r="4562" spans="1:6" x14ac:dyDescent="0.25">
      <c r="A4562" t="str">
        <f>"200023321"</f>
        <v>200023321</v>
      </c>
      <c r="B4562" t="str">
        <f>"1043714645"</f>
        <v>1043714645</v>
      </c>
      <c r="C4562" t="str">
        <f>"208600000X"</f>
        <v>208600000X</v>
      </c>
      <c r="D4562" t="str">
        <f>"NGO                      JENNY                    "</f>
        <v xml:space="preserve">NGO                      JENNY                    </v>
      </c>
      <c r="E4562" t="str">
        <f>"NEW ORLEANS               "</f>
        <v xml:space="preserve">NEW ORLEANS               </v>
      </c>
      <c r="F4562" t="str">
        <f t="shared" si="179"/>
        <v>LA</v>
      </c>
    </row>
    <row r="4563" spans="1:6" x14ac:dyDescent="0.25">
      <c r="A4563" t="str">
        <f>"200023332"</f>
        <v>200023332</v>
      </c>
      <c r="B4563" t="str">
        <f>"1740341544"</f>
        <v>1740341544</v>
      </c>
      <c r="C4563" t="str">
        <f>"207XP3100X"</f>
        <v>207XP3100X</v>
      </c>
      <c r="D4563" t="str">
        <f>"ROBERTS                  TRACY                    "</f>
        <v xml:space="preserve">ROBERTS                  TRACY                    </v>
      </c>
      <c r="E4563" t="str">
        <f>"JEFFERSON                 "</f>
        <v xml:space="preserve">JEFFERSON                 </v>
      </c>
      <c r="F4563" t="str">
        <f t="shared" si="179"/>
        <v>LA</v>
      </c>
    </row>
    <row r="4564" spans="1:6" x14ac:dyDescent="0.25">
      <c r="A4564" t="str">
        <f>"200023349"</f>
        <v>200023349</v>
      </c>
      <c r="B4564" t="str">
        <f>"1316409741"</f>
        <v>1316409741</v>
      </c>
      <c r="C4564" t="str">
        <f>"208000000X"</f>
        <v>208000000X</v>
      </c>
      <c r="D4564" t="str">
        <f>"RUEFF                    DAVID                    "</f>
        <v xml:space="preserve">RUEFF                    DAVID                    </v>
      </c>
      <c r="E4564" t="str">
        <f>"NEW ORLEANS               "</f>
        <v xml:space="preserve">NEW ORLEANS               </v>
      </c>
      <c r="F4564" t="str">
        <f t="shared" si="179"/>
        <v>LA</v>
      </c>
    </row>
    <row r="4565" spans="1:6" x14ac:dyDescent="0.25">
      <c r="A4565" t="str">
        <f>"200023351"</f>
        <v>200023351</v>
      </c>
      <c r="B4565" t="str">
        <f>"1194992842"</f>
        <v>1194992842</v>
      </c>
      <c r="C4565" t="str">
        <f>"2085R0202X"</f>
        <v>2085R0202X</v>
      </c>
      <c r="D4565" t="str">
        <f>"WEI                      STEPHEN                  "</f>
        <v xml:space="preserve">WEI                      STEPHEN                  </v>
      </c>
      <c r="E4565" t="str">
        <f>"NEW ORLEANS               "</f>
        <v xml:space="preserve">NEW ORLEANS               </v>
      </c>
      <c r="F4565" t="str">
        <f t="shared" si="179"/>
        <v>LA</v>
      </c>
    </row>
    <row r="4566" spans="1:6" x14ac:dyDescent="0.25">
      <c r="A4566" t="str">
        <f>"200023354"</f>
        <v>200023354</v>
      </c>
      <c r="B4566" t="str">
        <f>"1356130827"</f>
        <v>1356130827</v>
      </c>
      <c r="C4566" t="str">
        <f>"363LF0000X"</f>
        <v>363LF0000X</v>
      </c>
      <c r="D4566" t="str">
        <f>"PERSON                   ZACHARY                  "</f>
        <v xml:space="preserve">PERSON                   ZACHARY                  </v>
      </c>
      <c r="E4566" t="str">
        <f>"BATON ROUGE               "</f>
        <v xml:space="preserve">BATON ROUGE               </v>
      </c>
      <c r="F4566" t="str">
        <f t="shared" si="179"/>
        <v>LA</v>
      </c>
    </row>
    <row r="4567" spans="1:6" x14ac:dyDescent="0.25">
      <c r="A4567" t="str">
        <f>"200023375"</f>
        <v>200023375</v>
      </c>
      <c r="B4567" t="str">
        <f>"1811164452"</f>
        <v>1811164452</v>
      </c>
      <c r="C4567" t="str">
        <f>"2085R0202X"</f>
        <v>2085R0202X</v>
      </c>
      <c r="D4567" t="str">
        <f>"ZONOZY                   AUZHAND                  "</f>
        <v xml:space="preserve">ZONOZY                   AUZHAND                  </v>
      </c>
      <c r="E4567" t="str">
        <f>"NEW ORLEANS               "</f>
        <v xml:space="preserve">NEW ORLEANS               </v>
      </c>
      <c r="F4567" t="str">
        <f t="shared" si="179"/>
        <v>LA</v>
      </c>
    </row>
    <row r="4568" spans="1:6" x14ac:dyDescent="0.25">
      <c r="A4568" t="str">
        <f>"200023380"</f>
        <v>200023380</v>
      </c>
      <c r="B4568" t="str">
        <f>"1316234354"</f>
        <v>1316234354</v>
      </c>
      <c r="C4568" t="str">
        <f>"367500000X"</f>
        <v>367500000X</v>
      </c>
      <c r="D4568" t="str">
        <f>"FRANKLIN                 GABRIEL                  "</f>
        <v xml:space="preserve">FRANKLIN                 GABRIEL                  </v>
      </c>
      <c r="E4568" t="str">
        <f>"NEW ORLEANS               "</f>
        <v xml:space="preserve">NEW ORLEANS               </v>
      </c>
      <c r="F4568" t="str">
        <f t="shared" si="179"/>
        <v>LA</v>
      </c>
    </row>
    <row r="4569" spans="1:6" x14ac:dyDescent="0.25">
      <c r="A4569" t="str">
        <f>"200023385"</f>
        <v>200023385</v>
      </c>
      <c r="B4569" t="str">
        <f>"1730861360"</f>
        <v>1730861360</v>
      </c>
      <c r="C4569" t="str">
        <f>"363AM0700X"</f>
        <v>363AM0700X</v>
      </c>
      <c r="D4569" t="str">
        <f>"RAMICH                   CHLOE                    "</f>
        <v xml:space="preserve">RAMICH                   CHLOE                    </v>
      </c>
      <c r="E4569" t="str">
        <f>"BATON ROUGE               "</f>
        <v xml:space="preserve">BATON ROUGE               </v>
      </c>
      <c r="F4569" t="str">
        <f t="shared" si="179"/>
        <v>LA</v>
      </c>
    </row>
    <row r="4570" spans="1:6" x14ac:dyDescent="0.25">
      <c r="A4570" t="str">
        <f>"200023388"</f>
        <v>200023388</v>
      </c>
      <c r="B4570" t="str">
        <f>"1912347170"</f>
        <v>1912347170</v>
      </c>
      <c r="C4570" t="str">
        <f>"363LF0000X"</f>
        <v>363LF0000X</v>
      </c>
      <c r="D4570" t="str">
        <f>"MAYHALL                  KASI                     "</f>
        <v xml:space="preserve">MAYHALL                  KASI                     </v>
      </c>
      <c r="E4570" t="str">
        <f>"COVINGTON                 "</f>
        <v xml:space="preserve">COVINGTON                 </v>
      </c>
      <c r="F4570" t="str">
        <f t="shared" si="179"/>
        <v>LA</v>
      </c>
    </row>
    <row r="4571" spans="1:6" x14ac:dyDescent="0.25">
      <c r="A4571" t="str">
        <f>"200023393"</f>
        <v>200023393</v>
      </c>
      <c r="B4571" t="str">
        <f>"1235244112"</f>
        <v>1235244112</v>
      </c>
      <c r="C4571" t="str">
        <f>"2085R0202X"</f>
        <v>2085R0202X</v>
      </c>
      <c r="D4571" t="str">
        <f>"LOVING                   VILERT       A           "</f>
        <v xml:space="preserve">LOVING                   VILERT       A           </v>
      </c>
      <c r="E4571" t="str">
        <f>"NEW ORLEANS               "</f>
        <v xml:space="preserve">NEW ORLEANS               </v>
      </c>
      <c r="F4571" t="str">
        <f t="shared" ref="F4571:F4634" si="180">"LA"</f>
        <v>LA</v>
      </c>
    </row>
    <row r="4572" spans="1:6" x14ac:dyDescent="0.25">
      <c r="A4572" t="str">
        <f>"200023399"</f>
        <v>200023399</v>
      </c>
      <c r="B4572" t="str">
        <f>"1205625316"</f>
        <v>1205625316</v>
      </c>
      <c r="C4572" t="str">
        <f>"363LF0000X"</f>
        <v>363LF0000X</v>
      </c>
      <c r="D4572" t="str">
        <f>"LOCKHART                 EMILY                    "</f>
        <v xml:space="preserve">LOCKHART                 EMILY                    </v>
      </c>
      <c r="E4572" t="str">
        <f>"NEW ORLEANS               "</f>
        <v xml:space="preserve">NEW ORLEANS               </v>
      </c>
      <c r="F4572" t="str">
        <f t="shared" si="180"/>
        <v>LA</v>
      </c>
    </row>
    <row r="4573" spans="1:6" x14ac:dyDescent="0.25">
      <c r="A4573" t="str">
        <f>"200023404"</f>
        <v>200023404</v>
      </c>
      <c r="B4573" t="str">
        <f>"1962143297"</f>
        <v>1962143297</v>
      </c>
      <c r="C4573" t="str">
        <f>"207Q00000X"</f>
        <v>207Q00000X</v>
      </c>
      <c r="D4573" t="str">
        <f>"TRAN                     LAUREN                   "</f>
        <v xml:space="preserve">TRAN                     LAUREN                   </v>
      </c>
      <c r="E4573" t="str">
        <f>"KENNER                    "</f>
        <v xml:space="preserve">KENNER                    </v>
      </c>
      <c r="F4573" t="str">
        <f t="shared" si="180"/>
        <v>LA</v>
      </c>
    </row>
    <row r="4574" spans="1:6" x14ac:dyDescent="0.25">
      <c r="A4574" t="str">
        <f>"200023406"</f>
        <v>200023406</v>
      </c>
      <c r="B4574" t="str">
        <f>"1053948364"</f>
        <v>1053948364</v>
      </c>
      <c r="C4574" t="str">
        <f>"208M00000X"</f>
        <v>208M00000X</v>
      </c>
      <c r="D4574" t="str">
        <f>"DWEIK                    ANASS                    "</f>
        <v xml:space="preserve">DWEIK                    ANASS                    </v>
      </c>
      <c r="E4574" t="str">
        <f>"NEW ORLEANS               "</f>
        <v xml:space="preserve">NEW ORLEANS               </v>
      </c>
      <c r="F4574" t="str">
        <f t="shared" si="180"/>
        <v>LA</v>
      </c>
    </row>
    <row r="4575" spans="1:6" x14ac:dyDescent="0.25">
      <c r="A4575" t="str">
        <f>"200023408"</f>
        <v>200023408</v>
      </c>
      <c r="B4575" t="str">
        <f>"1275055246"</f>
        <v>1275055246</v>
      </c>
      <c r="C4575" t="str">
        <f>"363LF0000X"</f>
        <v>363LF0000X</v>
      </c>
      <c r="D4575" t="str">
        <f>"KIRKMAN III              GEORGE                   "</f>
        <v xml:space="preserve">KIRKMAN III              GEORGE                   </v>
      </c>
      <c r="E4575" t="str">
        <f>"NEW ORLEANS               "</f>
        <v xml:space="preserve">NEW ORLEANS               </v>
      </c>
      <c r="F4575" t="str">
        <f t="shared" si="180"/>
        <v>LA</v>
      </c>
    </row>
    <row r="4576" spans="1:6" x14ac:dyDescent="0.25">
      <c r="A4576" t="str">
        <f>"200023435"</f>
        <v>200023435</v>
      </c>
      <c r="B4576" t="str">
        <f>"1629362132"</f>
        <v>1629362132</v>
      </c>
      <c r="C4576" t="str">
        <f>"207R00000X"</f>
        <v>207R00000X</v>
      </c>
      <c r="D4576" t="str">
        <f>"BASSEY                   HAWKINS      U           "</f>
        <v xml:space="preserve">BASSEY                   HAWKINS      U           </v>
      </c>
      <c r="E4576" t="str">
        <f>"ZACHARY                   "</f>
        <v xml:space="preserve">ZACHARY                   </v>
      </c>
      <c r="F4576" t="str">
        <f t="shared" si="180"/>
        <v>LA</v>
      </c>
    </row>
    <row r="4577" spans="1:6" x14ac:dyDescent="0.25">
      <c r="A4577" t="str">
        <f>"200023443"</f>
        <v>200023443</v>
      </c>
      <c r="B4577" t="str">
        <f>"1922758333"</f>
        <v>1922758333</v>
      </c>
      <c r="C4577" t="str">
        <f>"208000000X"</f>
        <v>208000000X</v>
      </c>
      <c r="D4577" t="str">
        <f>"RETIF                    HOPE                     "</f>
        <v xml:space="preserve">RETIF                    HOPE                     </v>
      </c>
      <c r="E4577" t="str">
        <f>"NEW ORLEANS               "</f>
        <v xml:space="preserve">NEW ORLEANS               </v>
      </c>
      <c r="F4577" t="str">
        <f t="shared" si="180"/>
        <v>LA</v>
      </c>
    </row>
    <row r="4578" spans="1:6" x14ac:dyDescent="0.25">
      <c r="A4578" t="str">
        <f>"200023449"</f>
        <v>200023449</v>
      </c>
      <c r="B4578" t="str">
        <f>"1639674609"</f>
        <v>1639674609</v>
      </c>
      <c r="C4578" t="str">
        <f>"208600000X"</f>
        <v>208600000X</v>
      </c>
      <c r="D4578" t="str">
        <f>"PORTER                   CHRISTOPHER  G           "</f>
        <v xml:space="preserve">PORTER                   CHRISTOPHER  G           </v>
      </c>
      <c r="E4578" t="str">
        <f>"COVINGTON                 "</f>
        <v xml:space="preserve">COVINGTON                 </v>
      </c>
      <c r="F4578" t="str">
        <f t="shared" si="180"/>
        <v>LA</v>
      </c>
    </row>
    <row r="4579" spans="1:6" x14ac:dyDescent="0.25">
      <c r="A4579" t="str">
        <f>"200023459"</f>
        <v>200023459</v>
      </c>
      <c r="B4579" t="str">
        <f>"1932900255"</f>
        <v>1932900255</v>
      </c>
      <c r="C4579" t="str">
        <f>"363A00000X"</f>
        <v>363A00000X</v>
      </c>
      <c r="D4579" t="str">
        <f>"TITUS                    SIERRA                   "</f>
        <v xml:space="preserve">TITUS                    SIERRA                   </v>
      </c>
      <c r="E4579" t="str">
        <f>"SLIDELL                   "</f>
        <v xml:space="preserve">SLIDELL                   </v>
      </c>
      <c r="F4579" t="str">
        <f t="shared" si="180"/>
        <v>LA</v>
      </c>
    </row>
    <row r="4580" spans="1:6" x14ac:dyDescent="0.25">
      <c r="A4580" t="str">
        <f>"200023460"</f>
        <v>200023460</v>
      </c>
      <c r="B4580" t="str">
        <f>"1306331103"</f>
        <v>1306331103</v>
      </c>
      <c r="C4580" t="str">
        <f>"207R00000X"</f>
        <v>207R00000X</v>
      </c>
      <c r="D4580" t="str">
        <f>"RIAZ                     SANA                     "</f>
        <v xml:space="preserve">RIAZ                     SANA                     </v>
      </c>
      <c r="E4580" t="str">
        <f>"NEW ORLEANS               "</f>
        <v xml:space="preserve">NEW ORLEANS               </v>
      </c>
      <c r="F4580" t="str">
        <f t="shared" si="180"/>
        <v>LA</v>
      </c>
    </row>
    <row r="4581" spans="1:6" x14ac:dyDescent="0.25">
      <c r="A4581" t="str">
        <f>"200023468"</f>
        <v>200023468</v>
      </c>
      <c r="B4581" t="str">
        <f>"1891599841"</f>
        <v>1891599841</v>
      </c>
      <c r="C4581" t="str">
        <f>"363LF0000X"</f>
        <v>363LF0000X</v>
      </c>
      <c r="D4581" t="str">
        <f>"WILLIS                   ALEXIS                   "</f>
        <v xml:space="preserve">WILLIS                   ALEXIS                   </v>
      </c>
      <c r="E4581" t="str">
        <f>"KENNER                    "</f>
        <v xml:space="preserve">KENNER                    </v>
      </c>
      <c r="F4581" t="str">
        <f t="shared" si="180"/>
        <v>LA</v>
      </c>
    </row>
    <row r="4582" spans="1:6" x14ac:dyDescent="0.25">
      <c r="A4582" t="str">
        <f>"200023478"</f>
        <v>200023478</v>
      </c>
      <c r="B4582" t="str">
        <f>"1578367785"</f>
        <v>1578367785</v>
      </c>
      <c r="C4582" t="str">
        <f>"363A00000X"</f>
        <v>363A00000X</v>
      </c>
      <c r="D4582" t="str">
        <f>"KESSELUS                 DANYEL                   "</f>
        <v xml:space="preserve">KESSELUS                 DANYEL                   </v>
      </c>
      <c r="E4582" t="str">
        <f>"SLIDELL                   "</f>
        <v xml:space="preserve">SLIDELL                   </v>
      </c>
      <c r="F4582" t="str">
        <f t="shared" si="180"/>
        <v>LA</v>
      </c>
    </row>
    <row r="4583" spans="1:6" x14ac:dyDescent="0.25">
      <c r="A4583" t="str">
        <f>"200023490"</f>
        <v>200023490</v>
      </c>
      <c r="B4583" t="str">
        <f>"1861066482"</f>
        <v>1861066482</v>
      </c>
      <c r="C4583" t="str">
        <f>"207L00000X"</f>
        <v>207L00000X</v>
      </c>
      <c r="D4583" t="str">
        <f>"RICHARDS                 ALEXIS                   "</f>
        <v xml:space="preserve">RICHARDS                 ALEXIS                   </v>
      </c>
      <c r="E4583" t="str">
        <f>"NEW ORLEANS               "</f>
        <v xml:space="preserve">NEW ORLEANS               </v>
      </c>
      <c r="F4583" t="str">
        <f t="shared" si="180"/>
        <v>LA</v>
      </c>
    </row>
    <row r="4584" spans="1:6" x14ac:dyDescent="0.25">
      <c r="A4584" t="str">
        <f>"200023493"</f>
        <v>200023493</v>
      </c>
      <c r="B4584" t="str">
        <f>"1073195731"</f>
        <v>1073195731</v>
      </c>
      <c r="C4584" t="str">
        <f>"207V00000X"</f>
        <v>207V00000X</v>
      </c>
      <c r="D4584" t="str">
        <f>"SISK                     EMMA                     "</f>
        <v xml:space="preserve">SISK                     EMMA                     </v>
      </c>
      <c r="E4584" t="str">
        <f>"KENNER                    "</f>
        <v xml:space="preserve">KENNER                    </v>
      </c>
      <c r="F4584" t="str">
        <f t="shared" si="180"/>
        <v>LA</v>
      </c>
    </row>
    <row r="4585" spans="1:6" x14ac:dyDescent="0.25">
      <c r="A4585" t="str">
        <f>"200023494"</f>
        <v>200023494</v>
      </c>
      <c r="B4585" t="str">
        <f>"1760010920"</f>
        <v>1760010920</v>
      </c>
      <c r="C4585" t="str">
        <f>"2085R0001X"</f>
        <v>2085R0001X</v>
      </c>
      <c r="D4585" t="str">
        <f>"WASHINGTON               CYRUS                    "</f>
        <v xml:space="preserve">WASHINGTON               CYRUS                    </v>
      </c>
      <c r="E4585" t="str">
        <f>"NEW ORLEANS               "</f>
        <v xml:space="preserve">NEW ORLEANS               </v>
      </c>
      <c r="F4585" t="str">
        <f t="shared" si="180"/>
        <v>LA</v>
      </c>
    </row>
    <row r="4586" spans="1:6" x14ac:dyDescent="0.25">
      <c r="A4586" t="str">
        <f>"200023495"</f>
        <v>200023495</v>
      </c>
      <c r="B4586" t="str">
        <f>"1962236794"</f>
        <v>1962236794</v>
      </c>
      <c r="C4586" t="str">
        <f>"363LF0000X"</f>
        <v>363LF0000X</v>
      </c>
      <c r="D4586" t="str">
        <f>"STRAWBRIDGE              LAUREN                   "</f>
        <v xml:space="preserve">STRAWBRIDGE              LAUREN                   </v>
      </c>
      <c r="E4586" t="str">
        <f>"BATON ROUGE               "</f>
        <v xml:space="preserve">BATON ROUGE               </v>
      </c>
      <c r="F4586" t="str">
        <f t="shared" si="180"/>
        <v>LA</v>
      </c>
    </row>
    <row r="4587" spans="1:6" x14ac:dyDescent="0.25">
      <c r="A4587" t="str">
        <f>"200023515"</f>
        <v>200023515</v>
      </c>
      <c r="B4587" t="str">
        <f>"1376856039"</f>
        <v>1376856039</v>
      </c>
      <c r="C4587" t="str">
        <f>"207R00000X"</f>
        <v>207R00000X</v>
      </c>
      <c r="D4587" t="str">
        <f>"OKOTIE                   FIDELIS      A           "</f>
        <v xml:space="preserve">OKOTIE                   FIDELIS      A           </v>
      </c>
      <c r="E4587" t="str">
        <f>"ZACHARY                   "</f>
        <v xml:space="preserve">ZACHARY                   </v>
      </c>
      <c r="F4587" t="str">
        <f t="shared" si="180"/>
        <v>LA</v>
      </c>
    </row>
    <row r="4588" spans="1:6" x14ac:dyDescent="0.25">
      <c r="A4588" t="str">
        <f>"200023521"</f>
        <v>200023521</v>
      </c>
      <c r="B4588" t="str">
        <f>"1629186614"</f>
        <v>1629186614</v>
      </c>
      <c r="C4588" t="str">
        <f>"207Q00000X"</f>
        <v>207Q00000X</v>
      </c>
      <c r="D4588" t="str">
        <f>"TANIFUM                  EKEI         J           "</f>
        <v xml:space="preserve">TANIFUM                  EKEI         J           </v>
      </c>
      <c r="E4588" t="str">
        <f>"ZACHARY                   "</f>
        <v xml:space="preserve">ZACHARY                   </v>
      </c>
      <c r="F4588" t="str">
        <f t="shared" si="180"/>
        <v>LA</v>
      </c>
    </row>
    <row r="4589" spans="1:6" x14ac:dyDescent="0.25">
      <c r="A4589" t="str">
        <f>"200023540"</f>
        <v>200023540</v>
      </c>
      <c r="B4589" t="str">
        <f>"1740856871"</f>
        <v>1740856871</v>
      </c>
      <c r="C4589" t="str">
        <f>"207L00000X"</f>
        <v>207L00000X</v>
      </c>
      <c r="D4589" t="str">
        <f>"SMITH                    TAYLOR                   "</f>
        <v xml:space="preserve">SMITH                    TAYLOR                   </v>
      </c>
      <c r="E4589" t="str">
        <f>"NEW ORLEANS               "</f>
        <v xml:space="preserve">NEW ORLEANS               </v>
      </c>
      <c r="F4589" t="str">
        <f t="shared" si="180"/>
        <v>LA</v>
      </c>
    </row>
    <row r="4590" spans="1:6" x14ac:dyDescent="0.25">
      <c r="A4590" t="str">
        <f>"200023546"</f>
        <v>200023546</v>
      </c>
      <c r="B4590" t="str">
        <f>"1164202453"</f>
        <v>1164202453</v>
      </c>
      <c r="C4590" t="str">
        <f>"367500000X"</f>
        <v>367500000X</v>
      </c>
      <c r="D4590" t="str">
        <f>"ARMSTRONG                BAILEY       L           "</f>
        <v xml:space="preserve">ARMSTRONG                BAILEY       L           </v>
      </c>
      <c r="E4590" t="str">
        <f>"NEW ORLEANS               "</f>
        <v xml:space="preserve">NEW ORLEANS               </v>
      </c>
      <c r="F4590" t="str">
        <f t="shared" si="180"/>
        <v>LA</v>
      </c>
    </row>
    <row r="4591" spans="1:6" x14ac:dyDescent="0.25">
      <c r="A4591" t="str">
        <f>"200023548"</f>
        <v>200023548</v>
      </c>
      <c r="B4591" t="str">
        <f>"1992384093"</f>
        <v>1992384093</v>
      </c>
      <c r="C4591" t="str">
        <f>"207V00000X"</f>
        <v>207V00000X</v>
      </c>
      <c r="D4591" t="str">
        <f>"WEPRINSKY                VICTORIA                 "</f>
        <v xml:space="preserve">WEPRINSKY                VICTORIA                 </v>
      </c>
      <c r="E4591" t="str">
        <f>"GRETNA                    "</f>
        <v xml:space="preserve">GRETNA                    </v>
      </c>
      <c r="F4591" t="str">
        <f t="shared" si="180"/>
        <v>LA</v>
      </c>
    </row>
    <row r="4592" spans="1:6" x14ac:dyDescent="0.25">
      <c r="A4592" t="str">
        <f>"200023554"</f>
        <v>200023554</v>
      </c>
      <c r="B4592" t="str">
        <f>"1902218043"</f>
        <v>1902218043</v>
      </c>
      <c r="C4592" t="str">
        <f>"207QH0002X"</f>
        <v>207QH0002X</v>
      </c>
      <c r="D4592" t="str">
        <f>"SIMMONS                  CAMERON                  "</f>
        <v xml:space="preserve">SIMMONS                  CAMERON                  </v>
      </c>
      <c r="E4592" t="str">
        <f>"NEW ORLEANS               "</f>
        <v xml:space="preserve">NEW ORLEANS               </v>
      </c>
      <c r="F4592" t="str">
        <f t="shared" si="180"/>
        <v>LA</v>
      </c>
    </row>
    <row r="4593" spans="1:6" x14ac:dyDescent="0.25">
      <c r="A4593" t="str">
        <f>"200023561"</f>
        <v>200023561</v>
      </c>
      <c r="B4593" t="str">
        <f>"1477120871"</f>
        <v>1477120871</v>
      </c>
      <c r="C4593" t="str">
        <f>"207R00000X"</f>
        <v>207R00000X</v>
      </c>
      <c r="D4593" t="str">
        <f>"BAUGHMAN                 CARTER       A           "</f>
        <v xml:space="preserve">BAUGHMAN                 CARTER       A           </v>
      </c>
      <c r="E4593" t="str">
        <f>"METAIRIE                  "</f>
        <v xml:space="preserve">METAIRIE                  </v>
      </c>
      <c r="F4593" t="str">
        <f t="shared" si="180"/>
        <v>LA</v>
      </c>
    </row>
    <row r="4594" spans="1:6" x14ac:dyDescent="0.25">
      <c r="A4594" t="str">
        <f>"200023569"</f>
        <v>200023569</v>
      </c>
      <c r="B4594" t="str">
        <f>"1013412618"</f>
        <v>1013412618</v>
      </c>
      <c r="C4594" t="str">
        <f>"207P00000X"</f>
        <v>207P00000X</v>
      </c>
      <c r="D4594" t="str">
        <f>"DAVID                    LARICK                   "</f>
        <v xml:space="preserve">DAVID                    LARICK                   </v>
      </c>
      <c r="E4594" t="str">
        <f>"METAIRIE                  "</f>
        <v xml:space="preserve">METAIRIE                  </v>
      </c>
      <c r="F4594" t="str">
        <f t="shared" si="180"/>
        <v>LA</v>
      </c>
    </row>
    <row r="4595" spans="1:6" x14ac:dyDescent="0.25">
      <c r="A4595" t="str">
        <f>"200023580"</f>
        <v>200023580</v>
      </c>
      <c r="B4595" t="str">
        <f>"1831548593"</f>
        <v>1831548593</v>
      </c>
      <c r="C4595" t="str">
        <f>"208G00000X"</f>
        <v>208G00000X</v>
      </c>
      <c r="D4595" t="str">
        <f>"JONES                    KORIE                    "</f>
        <v xml:space="preserve">JONES                    KORIE                    </v>
      </c>
      <c r="E4595" t="str">
        <f>"NEW ORLEANS               "</f>
        <v xml:space="preserve">NEW ORLEANS               </v>
      </c>
      <c r="F4595" t="str">
        <f t="shared" si="180"/>
        <v>LA</v>
      </c>
    </row>
    <row r="4596" spans="1:6" x14ac:dyDescent="0.25">
      <c r="A4596" t="str">
        <f>"200023581"</f>
        <v>200023581</v>
      </c>
      <c r="B4596" t="str">
        <f>"1174541668"</f>
        <v>1174541668</v>
      </c>
      <c r="C4596" t="str">
        <f>"367500000X"</f>
        <v>367500000X</v>
      </c>
      <c r="D4596" t="str">
        <f>"O'NEILL                  ROSALINDA                "</f>
        <v xml:space="preserve">O'NEILL                  ROSALINDA                </v>
      </c>
      <c r="E4596" t="str">
        <f>"METAIRIE                  "</f>
        <v xml:space="preserve">METAIRIE                  </v>
      </c>
      <c r="F4596" t="str">
        <f t="shared" si="180"/>
        <v>LA</v>
      </c>
    </row>
    <row r="4597" spans="1:6" x14ac:dyDescent="0.25">
      <c r="A4597" t="str">
        <f>"200023624"</f>
        <v>200023624</v>
      </c>
      <c r="B4597" t="str">
        <f>"1013448109"</f>
        <v>1013448109</v>
      </c>
      <c r="C4597" t="str">
        <f>"207ZP0102X"</f>
        <v>207ZP0102X</v>
      </c>
      <c r="D4597" t="str">
        <f>"WHITEHAIR                RACHEL                   "</f>
        <v xml:space="preserve">WHITEHAIR                RACHEL                   </v>
      </c>
      <c r="E4597" t="str">
        <f>"NEW ORLEANS               "</f>
        <v xml:space="preserve">NEW ORLEANS               </v>
      </c>
      <c r="F4597" t="str">
        <f t="shared" si="180"/>
        <v>LA</v>
      </c>
    </row>
    <row r="4598" spans="1:6" x14ac:dyDescent="0.25">
      <c r="A4598" t="str">
        <f>"200023626"</f>
        <v>200023626</v>
      </c>
      <c r="B4598" t="str">
        <f>"1003498486"</f>
        <v>1003498486</v>
      </c>
      <c r="C4598" t="str">
        <f>"207V00000X"</f>
        <v>207V00000X</v>
      </c>
      <c r="D4598" t="str">
        <f>"SAUCIER                  ANNA                     "</f>
        <v xml:space="preserve">SAUCIER                  ANNA                     </v>
      </c>
      <c r="E4598" t="str">
        <f>"BATON ROUGE               "</f>
        <v xml:space="preserve">BATON ROUGE               </v>
      </c>
      <c r="F4598" t="str">
        <f t="shared" si="180"/>
        <v>LA</v>
      </c>
    </row>
    <row r="4599" spans="1:6" x14ac:dyDescent="0.25">
      <c r="A4599" t="str">
        <f>"200023635"</f>
        <v>200023635</v>
      </c>
      <c r="B4599" t="str">
        <f>"1689095432"</f>
        <v>1689095432</v>
      </c>
      <c r="C4599" t="str">
        <f>"363LP0200X"</f>
        <v>363LP0200X</v>
      </c>
      <c r="D4599" t="str">
        <f>"RABALAIS                 KRISTI                   "</f>
        <v xml:space="preserve">RABALAIS                 KRISTI                   </v>
      </c>
      <c r="E4599" t="str">
        <f>"BATON ROUGE               "</f>
        <v xml:space="preserve">BATON ROUGE               </v>
      </c>
      <c r="F4599" t="str">
        <f t="shared" si="180"/>
        <v>LA</v>
      </c>
    </row>
    <row r="4600" spans="1:6" x14ac:dyDescent="0.25">
      <c r="A4600" t="str">
        <f>"200023641"</f>
        <v>200023641</v>
      </c>
      <c r="B4600" t="str">
        <f>"1003640152"</f>
        <v>1003640152</v>
      </c>
      <c r="C4600" t="str">
        <f>"367A00000X"</f>
        <v>367A00000X</v>
      </c>
      <c r="D4600" t="str">
        <f>"LUNDE                    ERIN                     "</f>
        <v xml:space="preserve">LUNDE                    ERIN                     </v>
      </c>
      <c r="E4600" t="str">
        <f>"NEW ORLEANS               "</f>
        <v xml:space="preserve">NEW ORLEANS               </v>
      </c>
      <c r="F4600" t="str">
        <f t="shared" si="180"/>
        <v>LA</v>
      </c>
    </row>
    <row r="4601" spans="1:6" x14ac:dyDescent="0.25">
      <c r="A4601" t="str">
        <f>"200023648"</f>
        <v>200023648</v>
      </c>
      <c r="B4601" t="str">
        <f>"1740633247"</f>
        <v>1740633247</v>
      </c>
      <c r="C4601" t="str">
        <f>"207R00000X"</f>
        <v>207R00000X</v>
      </c>
      <c r="D4601" t="str">
        <f>"NASIR                    FAHAD                    "</f>
        <v xml:space="preserve">NASIR                    FAHAD                    </v>
      </c>
      <c r="E4601" t="str">
        <f>"NEW ORLEANS               "</f>
        <v xml:space="preserve">NEW ORLEANS               </v>
      </c>
      <c r="F4601" t="str">
        <f t="shared" si="180"/>
        <v>LA</v>
      </c>
    </row>
    <row r="4602" spans="1:6" x14ac:dyDescent="0.25">
      <c r="A4602" t="str">
        <f>"200023655"</f>
        <v>200023655</v>
      </c>
      <c r="B4602" t="str">
        <f>"1154940427"</f>
        <v>1154940427</v>
      </c>
      <c r="C4602" t="str">
        <f>"207L00000X"</f>
        <v>207L00000X</v>
      </c>
      <c r="D4602" t="str">
        <f>"GROSS                    ZACHARY                  "</f>
        <v xml:space="preserve">GROSS                    ZACHARY                  </v>
      </c>
      <c r="E4602" t="str">
        <f>"NEW ORLEANS               "</f>
        <v xml:space="preserve">NEW ORLEANS               </v>
      </c>
      <c r="F4602" t="str">
        <f t="shared" si="180"/>
        <v>LA</v>
      </c>
    </row>
    <row r="4603" spans="1:6" x14ac:dyDescent="0.25">
      <c r="A4603" t="str">
        <f>"200023671"</f>
        <v>200023671</v>
      </c>
      <c r="B4603" t="str">
        <f>"1972062180"</f>
        <v>1972062180</v>
      </c>
      <c r="C4603" t="str">
        <f>"2086S0127X"</f>
        <v>2086S0127X</v>
      </c>
      <c r="D4603" t="str">
        <f>"SCHEUERMANN              ALEXIS       R           "</f>
        <v xml:space="preserve">SCHEUERMANN              ALEXIS       R           </v>
      </c>
      <c r="E4603" t="str">
        <f>"NEW ORLEANS               "</f>
        <v xml:space="preserve">NEW ORLEANS               </v>
      </c>
      <c r="F4603" t="str">
        <f t="shared" si="180"/>
        <v>LA</v>
      </c>
    </row>
    <row r="4604" spans="1:6" x14ac:dyDescent="0.25">
      <c r="A4604" t="str">
        <f>"200023682"</f>
        <v>200023682</v>
      </c>
      <c r="B4604" t="str">
        <f>"1588241806"</f>
        <v>1588241806</v>
      </c>
      <c r="C4604" t="str">
        <f>"2084P0800X"</f>
        <v>2084P0800X</v>
      </c>
      <c r="D4604" t="str">
        <f>"LAGARDE                  MATTHEW                  "</f>
        <v xml:space="preserve">LAGARDE                  MATTHEW                  </v>
      </c>
      <c r="E4604" t="str">
        <f>"NEW ORLEANS               "</f>
        <v xml:space="preserve">NEW ORLEANS               </v>
      </c>
      <c r="F4604" t="str">
        <f t="shared" si="180"/>
        <v>LA</v>
      </c>
    </row>
    <row r="4605" spans="1:6" x14ac:dyDescent="0.25">
      <c r="A4605" t="str">
        <f>"200023704"</f>
        <v>200023704</v>
      </c>
      <c r="B4605" t="str">
        <f>"1982683199"</f>
        <v>1982683199</v>
      </c>
      <c r="C4605" t="str">
        <f>"207Q00000X"</f>
        <v>207Q00000X</v>
      </c>
      <c r="D4605" t="str">
        <f>"PEJIC                    RADE         N           "</f>
        <v xml:space="preserve">PEJIC                    RADE         N           </v>
      </c>
      <c r="E4605" t="str">
        <f>"METAIRIE                  "</f>
        <v xml:space="preserve">METAIRIE                  </v>
      </c>
      <c r="F4605" t="str">
        <f t="shared" si="180"/>
        <v>LA</v>
      </c>
    </row>
    <row r="4606" spans="1:6" x14ac:dyDescent="0.25">
      <c r="A4606" t="str">
        <f>"200023714"</f>
        <v>200023714</v>
      </c>
      <c r="B4606" t="str">
        <f>"1922669605"</f>
        <v>1922669605</v>
      </c>
      <c r="C4606" t="str">
        <f>"208000000X"</f>
        <v>208000000X</v>
      </c>
      <c r="D4606" t="str">
        <f>"PATKI                    RUCHA                    "</f>
        <v xml:space="preserve">PATKI                    RUCHA                    </v>
      </c>
      <c r="E4606" t="str">
        <f>"NEW ORLEANS               "</f>
        <v xml:space="preserve">NEW ORLEANS               </v>
      </c>
      <c r="F4606" t="str">
        <f t="shared" si="180"/>
        <v>LA</v>
      </c>
    </row>
    <row r="4607" spans="1:6" x14ac:dyDescent="0.25">
      <c r="A4607" t="str">
        <f>"200023733"</f>
        <v>200023733</v>
      </c>
      <c r="B4607" t="str">
        <f>"1902784069"</f>
        <v>1902784069</v>
      </c>
      <c r="C4607" t="str">
        <f>"363LN0000X"</f>
        <v>363LN0000X</v>
      </c>
      <c r="D4607" t="str">
        <f>"RILEY                    AMANDA                   "</f>
        <v xml:space="preserve">RILEY                    AMANDA                   </v>
      </c>
      <c r="E4607" t="str">
        <f>"NEW ORLEANS               "</f>
        <v xml:space="preserve">NEW ORLEANS               </v>
      </c>
      <c r="F4607" t="str">
        <f t="shared" si="180"/>
        <v>LA</v>
      </c>
    </row>
    <row r="4608" spans="1:6" x14ac:dyDescent="0.25">
      <c r="A4608" t="str">
        <f>"200023740"</f>
        <v>200023740</v>
      </c>
      <c r="B4608" t="str">
        <f>"1518128495"</f>
        <v>1518128495</v>
      </c>
      <c r="C4608" t="str">
        <f>"2085R0202X"</f>
        <v>2085R0202X</v>
      </c>
      <c r="D4608" t="str">
        <f>"ZOHRABIAN                VAHE         M           "</f>
        <v xml:space="preserve">ZOHRABIAN                VAHE         M           </v>
      </c>
      <c r="E4608" t="str">
        <f>"METAIRIE                  "</f>
        <v xml:space="preserve">METAIRIE                  </v>
      </c>
      <c r="F4608" t="str">
        <f t="shared" si="180"/>
        <v>LA</v>
      </c>
    </row>
    <row r="4609" spans="1:6" x14ac:dyDescent="0.25">
      <c r="A4609" t="str">
        <f>"200023744"</f>
        <v>200023744</v>
      </c>
      <c r="B4609" t="str">
        <f>"1821445925"</f>
        <v>1821445925</v>
      </c>
      <c r="C4609" t="str">
        <f>"207RH0002X"</f>
        <v>207RH0002X</v>
      </c>
      <c r="D4609" t="str">
        <f>"MCCARTY                  ALEXANDRA                "</f>
        <v xml:space="preserve">MCCARTY                  ALEXANDRA                </v>
      </c>
      <c r="E4609" t="str">
        <f>"SLIDELL                   "</f>
        <v xml:space="preserve">SLIDELL                   </v>
      </c>
      <c r="F4609" t="str">
        <f t="shared" si="180"/>
        <v>LA</v>
      </c>
    </row>
    <row r="4610" spans="1:6" x14ac:dyDescent="0.25">
      <c r="A4610" t="str">
        <f>"200023760"</f>
        <v>200023760</v>
      </c>
      <c r="B4610" t="str">
        <f>"1386909836"</f>
        <v>1386909836</v>
      </c>
      <c r="C4610" t="str">
        <f>"367500000X"</f>
        <v>367500000X</v>
      </c>
      <c r="D4610" t="str">
        <f>"GALLOWAY                 ASHLEY       J           "</f>
        <v xml:space="preserve">GALLOWAY                 ASHLEY       J           </v>
      </c>
      <c r="E4610" t="str">
        <f>"COVINGTON                 "</f>
        <v xml:space="preserve">COVINGTON                 </v>
      </c>
      <c r="F4610" t="str">
        <f t="shared" si="180"/>
        <v>LA</v>
      </c>
    </row>
    <row r="4611" spans="1:6" x14ac:dyDescent="0.25">
      <c r="A4611" t="str">
        <f>"200023762"</f>
        <v>200023762</v>
      </c>
      <c r="B4611" t="str">
        <f>"1588125983"</f>
        <v>1588125983</v>
      </c>
      <c r="C4611" t="str">
        <f>"207XX0801X"</f>
        <v>207XX0801X</v>
      </c>
      <c r="D4611" t="str">
        <f>"NOVAK                    AVERY                    "</f>
        <v xml:space="preserve">NOVAK                    AVERY                    </v>
      </c>
      <c r="E4611" t="str">
        <f>"NEW ORLEANS               "</f>
        <v xml:space="preserve">NEW ORLEANS               </v>
      </c>
      <c r="F4611" t="str">
        <f t="shared" si="180"/>
        <v>LA</v>
      </c>
    </row>
    <row r="4612" spans="1:6" x14ac:dyDescent="0.25">
      <c r="A4612" t="str">
        <f>"200023764"</f>
        <v>200023764</v>
      </c>
      <c r="B4612" t="str">
        <f>"1861437741"</f>
        <v>1861437741</v>
      </c>
      <c r="C4612" t="str">
        <f>"207XX0801X"</f>
        <v>207XX0801X</v>
      </c>
      <c r="D4612" t="str">
        <f>"KRAUSE                   PETER        C           "</f>
        <v xml:space="preserve">KRAUSE                   PETER        C           </v>
      </c>
      <c r="E4612" t="str">
        <f>"NEW ORLEANS               "</f>
        <v xml:space="preserve">NEW ORLEANS               </v>
      </c>
      <c r="F4612" t="str">
        <f t="shared" si="180"/>
        <v>LA</v>
      </c>
    </row>
    <row r="4613" spans="1:6" x14ac:dyDescent="0.25">
      <c r="A4613" t="str">
        <f>"200023776"</f>
        <v>200023776</v>
      </c>
      <c r="B4613" t="str">
        <f>"1649594441"</f>
        <v>1649594441</v>
      </c>
      <c r="C4613" t="str">
        <f>"363LP0200X"</f>
        <v>363LP0200X</v>
      </c>
      <c r="D4613" t="str">
        <f>"RODRIGUE                 JENNIFER     C           "</f>
        <v xml:space="preserve">RODRIGUE                 JENNIFER     C           </v>
      </c>
      <c r="E4613" t="str">
        <f>"HOUMA                     "</f>
        <v xml:space="preserve">HOUMA                     </v>
      </c>
      <c r="F4613" t="str">
        <f t="shared" si="180"/>
        <v>LA</v>
      </c>
    </row>
    <row r="4614" spans="1:6" x14ac:dyDescent="0.25">
      <c r="A4614" t="str">
        <f>"200023779"</f>
        <v>200023779</v>
      </c>
      <c r="B4614" t="str">
        <f>"1114997723"</f>
        <v>1114997723</v>
      </c>
      <c r="C4614" t="str">
        <f>"208VP0014X"</f>
        <v>208VP0014X</v>
      </c>
      <c r="D4614" t="str">
        <f>"JIHA                     JIHAD        G           "</f>
        <v xml:space="preserve">JIHA                     JIHAD        G           </v>
      </c>
      <c r="E4614" t="str">
        <f>"SAINT FRANCISVILLE        "</f>
        <v xml:space="preserve">SAINT FRANCISVILLE        </v>
      </c>
      <c r="F4614" t="str">
        <f t="shared" si="180"/>
        <v>LA</v>
      </c>
    </row>
    <row r="4615" spans="1:6" x14ac:dyDescent="0.25">
      <c r="A4615" t="str">
        <f>"200023787"</f>
        <v>200023787</v>
      </c>
      <c r="B4615" t="str">
        <f>"1477518926"</f>
        <v>1477518926</v>
      </c>
      <c r="C4615" t="str">
        <f>"208600000X"</f>
        <v>208600000X</v>
      </c>
      <c r="D4615" t="str">
        <f>"BURCH                    ERNEST                   "</f>
        <v xml:space="preserve">BURCH                    ERNEST                   </v>
      </c>
      <c r="E4615" t="str">
        <f>"GRETNA                    "</f>
        <v xml:space="preserve">GRETNA                    </v>
      </c>
      <c r="F4615" t="str">
        <f t="shared" si="180"/>
        <v>LA</v>
      </c>
    </row>
    <row r="4616" spans="1:6" x14ac:dyDescent="0.25">
      <c r="A4616" t="str">
        <f>"200023793"</f>
        <v>200023793</v>
      </c>
      <c r="B4616" t="str">
        <f>"1013703107"</f>
        <v>1013703107</v>
      </c>
      <c r="C4616" t="str">
        <f>"363L00000X"</f>
        <v>363L00000X</v>
      </c>
      <c r="D4616" t="str">
        <f>"MENDOZA-SMITH            EMILIA                   "</f>
        <v xml:space="preserve">MENDOZA-SMITH            EMILIA                   </v>
      </c>
      <c r="E4616" t="str">
        <f>"NEW ORLEANS               "</f>
        <v xml:space="preserve">NEW ORLEANS               </v>
      </c>
      <c r="F4616" t="str">
        <f t="shared" si="180"/>
        <v>LA</v>
      </c>
    </row>
    <row r="4617" spans="1:6" x14ac:dyDescent="0.25">
      <c r="A4617" t="str">
        <f>"200023833"</f>
        <v>200023833</v>
      </c>
      <c r="B4617" t="str">
        <f>"1942688841"</f>
        <v>1942688841</v>
      </c>
      <c r="C4617" t="str">
        <f>"207P00000X"</f>
        <v>207P00000X</v>
      </c>
      <c r="D4617" t="str">
        <f>"BRADFORD                 DESHAURIS                "</f>
        <v xml:space="preserve">BRADFORD                 DESHAURIS                </v>
      </c>
      <c r="E4617" t="str">
        <f>"MONROE                    "</f>
        <v xml:space="preserve">MONROE                    </v>
      </c>
      <c r="F4617" t="str">
        <f t="shared" si="180"/>
        <v>LA</v>
      </c>
    </row>
    <row r="4618" spans="1:6" x14ac:dyDescent="0.25">
      <c r="A4618" t="str">
        <f>"200023836"</f>
        <v>200023836</v>
      </c>
      <c r="B4618" t="str">
        <f>"1730488057"</f>
        <v>1730488057</v>
      </c>
      <c r="C4618" t="str">
        <f>"207LP3000X"</f>
        <v>207LP3000X</v>
      </c>
      <c r="D4618" t="str">
        <f>"BORDES                   BRIANN                   "</f>
        <v xml:space="preserve">BORDES                   BRIANN                   </v>
      </c>
      <c r="E4618" t="str">
        <f>"NEW ORLEANS               "</f>
        <v xml:space="preserve">NEW ORLEANS               </v>
      </c>
      <c r="F4618" t="str">
        <f t="shared" si="180"/>
        <v>LA</v>
      </c>
    </row>
    <row r="4619" spans="1:6" x14ac:dyDescent="0.25">
      <c r="A4619" t="str">
        <f>"200023837"</f>
        <v>200023837</v>
      </c>
      <c r="B4619" t="str">
        <f>"1376334813"</f>
        <v>1376334813</v>
      </c>
      <c r="C4619" t="str">
        <f>"207VM0101X"</f>
        <v>207VM0101X</v>
      </c>
      <c r="D4619" t="str">
        <f>"PIERCE                   JULIA                    "</f>
        <v xml:space="preserve">PIERCE                   JULIA                    </v>
      </c>
      <c r="E4619" t="str">
        <f>"NEW ORLEANS               "</f>
        <v xml:space="preserve">NEW ORLEANS               </v>
      </c>
      <c r="F4619" t="str">
        <f t="shared" si="180"/>
        <v>LA</v>
      </c>
    </row>
    <row r="4620" spans="1:6" x14ac:dyDescent="0.25">
      <c r="A4620" t="str">
        <f>"200023843"</f>
        <v>200023843</v>
      </c>
      <c r="B4620" t="str">
        <f>"1235177353"</f>
        <v>1235177353</v>
      </c>
      <c r="C4620" t="str">
        <f>"2084N0400X"</f>
        <v>2084N0400X</v>
      </c>
      <c r="D4620" t="str">
        <f>"COPLIN                   WILLIAM                  "</f>
        <v xml:space="preserve">COPLIN                   WILLIAM                  </v>
      </c>
      <c r="E4620" t="str">
        <f>"NEW ORLEANS               "</f>
        <v xml:space="preserve">NEW ORLEANS               </v>
      </c>
      <c r="F4620" t="str">
        <f t="shared" si="180"/>
        <v>LA</v>
      </c>
    </row>
    <row r="4621" spans="1:6" x14ac:dyDescent="0.25">
      <c r="A4621" t="str">
        <f>"200023868"</f>
        <v>200023868</v>
      </c>
      <c r="B4621" t="str">
        <f>"1962845461"</f>
        <v>1962845461</v>
      </c>
      <c r="C4621" t="str">
        <f>"207P00000X"</f>
        <v>207P00000X</v>
      </c>
      <c r="D4621" t="str">
        <f>"BARACH                   JAMIE                    "</f>
        <v xml:space="preserve">BARACH                   JAMIE                    </v>
      </c>
      <c r="E4621" t="str">
        <f>"FERRIDAY                  "</f>
        <v xml:space="preserve">FERRIDAY                  </v>
      </c>
      <c r="F4621" t="str">
        <f t="shared" si="180"/>
        <v>LA</v>
      </c>
    </row>
    <row r="4622" spans="1:6" x14ac:dyDescent="0.25">
      <c r="A4622" t="str">
        <f>"200023877"</f>
        <v>200023877</v>
      </c>
      <c r="B4622" t="str">
        <f>"1497798748"</f>
        <v>1497798748</v>
      </c>
      <c r="C4622" t="str">
        <f>"367500000X"</f>
        <v>367500000X</v>
      </c>
      <c r="D4622" t="str">
        <f>"BORASKI                  SHERYL                   "</f>
        <v xml:space="preserve">BORASKI                  SHERYL                   </v>
      </c>
      <c r="E4622" t="str">
        <f>"METAIRIE                  "</f>
        <v xml:space="preserve">METAIRIE                  </v>
      </c>
      <c r="F4622" t="str">
        <f t="shared" si="180"/>
        <v>LA</v>
      </c>
    </row>
    <row r="4623" spans="1:6" x14ac:dyDescent="0.25">
      <c r="A4623" t="str">
        <f>"200023886"</f>
        <v>200023886</v>
      </c>
      <c r="B4623" t="str">
        <f>"1578141131"</f>
        <v>1578141131</v>
      </c>
      <c r="C4623" t="str">
        <f>"207Q00000X"</f>
        <v>207Q00000X</v>
      </c>
      <c r="D4623" t="str">
        <f>"ADAMS                    WILLIAM      M           "</f>
        <v xml:space="preserve">ADAMS                    WILLIAM      M           </v>
      </c>
      <c r="E4623" t="str">
        <f>"FERRIDAY                  "</f>
        <v xml:space="preserve">FERRIDAY                  </v>
      </c>
      <c r="F4623" t="str">
        <f t="shared" si="180"/>
        <v>LA</v>
      </c>
    </row>
    <row r="4624" spans="1:6" x14ac:dyDescent="0.25">
      <c r="A4624" t="str">
        <f>"200023899"</f>
        <v>200023899</v>
      </c>
      <c r="B4624" t="str">
        <f>"1538681176"</f>
        <v>1538681176</v>
      </c>
      <c r="C4624" t="str">
        <f>"363LF0000X"</f>
        <v>363LF0000X</v>
      </c>
      <c r="D4624" t="str">
        <f>"SMITH                    HEATHER      R           "</f>
        <v xml:space="preserve">SMITH                    HEATHER      R           </v>
      </c>
      <c r="E4624" t="str">
        <f>"FERRIDAY                  "</f>
        <v xml:space="preserve">FERRIDAY                  </v>
      </c>
      <c r="F4624" t="str">
        <f t="shared" si="180"/>
        <v>LA</v>
      </c>
    </row>
    <row r="4625" spans="1:6" x14ac:dyDescent="0.25">
      <c r="A4625" t="str">
        <f>"200023905"</f>
        <v>200023905</v>
      </c>
      <c r="B4625" t="str">
        <f>"1083688303"</f>
        <v>1083688303</v>
      </c>
      <c r="C4625" t="str">
        <f>"367500000X"</f>
        <v>367500000X</v>
      </c>
      <c r="D4625" t="str">
        <f>"BERNARD                  JASON        E           "</f>
        <v xml:space="preserve">BERNARD                  JASON        E           </v>
      </c>
      <c r="E4625" t="str">
        <f>"COVINGTON                 "</f>
        <v xml:space="preserve">COVINGTON                 </v>
      </c>
      <c r="F4625" t="str">
        <f t="shared" si="180"/>
        <v>LA</v>
      </c>
    </row>
    <row r="4626" spans="1:6" x14ac:dyDescent="0.25">
      <c r="A4626" t="str">
        <f>"200023907"</f>
        <v>200023907</v>
      </c>
      <c r="B4626" t="str">
        <f>"1114974151"</f>
        <v>1114974151</v>
      </c>
      <c r="C4626" t="str">
        <f>"2084P0800X"</f>
        <v>2084P0800X</v>
      </c>
      <c r="D4626" t="str">
        <f>"MANGAT                   BALMINDER    S           "</f>
        <v xml:space="preserve">MANGAT                   BALMINDER    S           </v>
      </c>
      <c r="E4626" t="str">
        <f>"SLIDELL                   "</f>
        <v xml:space="preserve">SLIDELL                   </v>
      </c>
      <c r="F4626" t="str">
        <f t="shared" si="180"/>
        <v>LA</v>
      </c>
    </row>
    <row r="4627" spans="1:6" x14ac:dyDescent="0.25">
      <c r="A4627" t="str">
        <f>"200023917"</f>
        <v>200023917</v>
      </c>
      <c r="B4627" t="str">
        <f>"1740709815"</f>
        <v>1740709815</v>
      </c>
      <c r="C4627" t="str">
        <f>"363LF0000X"</f>
        <v>363LF0000X</v>
      </c>
      <c r="D4627" t="str">
        <f>"KRAIL                    KATHERINE                "</f>
        <v xml:space="preserve">KRAIL                    KATHERINE                </v>
      </c>
      <c r="E4627" t="str">
        <f>"LAFAYETTE                 "</f>
        <v xml:space="preserve">LAFAYETTE                 </v>
      </c>
      <c r="F4627" t="str">
        <f t="shared" si="180"/>
        <v>LA</v>
      </c>
    </row>
    <row r="4628" spans="1:6" x14ac:dyDescent="0.25">
      <c r="A4628" t="str">
        <f>"200023940"</f>
        <v>200023940</v>
      </c>
      <c r="B4628" t="str">
        <f>"1912797176"</f>
        <v>1912797176</v>
      </c>
      <c r="C4628" t="str">
        <f>"363LF0000X"</f>
        <v>363LF0000X</v>
      </c>
      <c r="D4628" t="str">
        <f>"MCKENNA                  JAMIE                    "</f>
        <v xml:space="preserve">MCKENNA                  JAMIE                    </v>
      </c>
      <c r="E4628" t="str">
        <f>"NEW ORLEANS               "</f>
        <v xml:space="preserve">NEW ORLEANS               </v>
      </c>
      <c r="F4628" t="str">
        <f t="shared" si="180"/>
        <v>LA</v>
      </c>
    </row>
    <row r="4629" spans="1:6" x14ac:dyDescent="0.25">
      <c r="A4629" t="str">
        <f>"200023965"</f>
        <v>200023965</v>
      </c>
      <c r="B4629" t="str">
        <f>"1154950343"</f>
        <v>1154950343</v>
      </c>
      <c r="C4629" t="str">
        <f>"2085R0202X"</f>
        <v>2085R0202X</v>
      </c>
      <c r="D4629" t="str">
        <f>"CHANDLER                 BEREN        M           "</f>
        <v xml:space="preserve">CHANDLER                 BEREN        M           </v>
      </c>
      <c r="E4629" t="str">
        <f>"NEW ORLEANS               "</f>
        <v xml:space="preserve">NEW ORLEANS               </v>
      </c>
      <c r="F4629" t="str">
        <f t="shared" si="180"/>
        <v>LA</v>
      </c>
    </row>
    <row r="4630" spans="1:6" x14ac:dyDescent="0.25">
      <c r="A4630" t="str">
        <f>"200024000"</f>
        <v>200024000</v>
      </c>
      <c r="B4630" t="str">
        <f>"1811359797"</f>
        <v>1811359797</v>
      </c>
      <c r="C4630" t="str">
        <f>"207P00000X"</f>
        <v>207P00000X</v>
      </c>
      <c r="D4630" t="str">
        <f>"SONNIER                  MICHAEL                  "</f>
        <v xml:space="preserve">SONNIER                  MICHAEL                  </v>
      </c>
      <c r="E4630" t="str">
        <f>"NEW ORLEANS               "</f>
        <v xml:space="preserve">NEW ORLEANS               </v>
      </c>
      <c r="F4630" t="str">
        <f t="shared" si="180"/>
        <v>LA</v>
      </c>
    </row>
    <row r="4631" spans="1:6" x14ac:dyDescent="0.25">
      <c r="A4631" t="str">
        <f>"200024078"</f>
        <v>200024078</v>
      </c>
      <c r="B4631" t="str">
        <f>"1730761107"</f>
        <v>1730761107</v>
      </c>
      <c r="C4631" t="str">
        <f>"207L00000X"</f>
        <v>207L00000X</v>
      </c>
      <c r="D4631" t="str">
        <f>"MOORE                    JACOB                    "</f>
        <v xml:space="preserve">MOORE                    JACOB                    </v>
      </c>
      <c r="E4631" t="str">
        <f>"NEW ORLEANS               "</f>
        <v xml:space="preserve">NEW ORLEANS               </v>
      </c>
      <c r="F4631" t="str">
        <f t="shared" si="180"/>
        <v>LA</v>
      </c>
    </row>
    <row r="4632" spans="1:6" x14ac:dyDescent="0.25">
      <c r="A4632" t="str">
        <f>"200024084"</f>
        <v>200024084</v>
      </c>
      <c r="B4632" t="str">
        <f>"1780660043"</f>
        <v>1780660043</v>
      </c>
      <c r="C4632" t="str">
        <f>"207L00000X"</f>
        <v>207L00000X</v>
      </c>
      <c r="D4632" t="str">
        <f>"SANCHEZ                  CARL         T           "</f>
        <v xml:space="preserve">SANCHEZ                  CARL         T           </v>
      </c>
      <c r="E4632" t="str">
        <f>"COVINGTON                 "</f>
        <v xml:space="preserve">COVINGTON                 </v>
      </c>
      <c r="F4632" t="str">
        <f t="shared" si="180"/>
        <v>LA</v>
      </c>
    </row>
    <row r="4633" spans="1:6" x14ac:dyDescent="0.25">
      <c r="A4633" t="str">
        <f>"200024089"</f>
        <v>200024089</v>
      </c>
      <c r="B4633" t="str">
        <f>"1306565759"</f>
        <v>1306565759</v>
      </c>
      <c r="C4633" t="str">
        <f>"367500000X"</f>
        <v>367500000X</v>
      </c>
      <c r="D4633" t="str">
        <f>"SCHENCK                  MARI                     "</f>
        <v xml:space="preserve">SCHENCK                  MARI                     </v>
      </c>
      <c r="E4633" t="str">
        <f>"SLIDELL                   "</f>
        <v xml:space="preserve">SLIDELL                   </v>
      </c>
      <c r="F4633" t="str">
        <f t="shared" si="180"/>
        <v>LA</v>
      </c>
    </row>
    <row r="4634" spans="1:6" x14ac:dyDescent="0.25">
      <c r="A4634" t="str">
        <f>"200024100"</f>
        <v>200024100</v>
      </c>
      <c r="B4634" t="str">
        <f>"1497011878"</f>
        <v>1497011878</v>
      </c>
      <c r="C4634" t="str">
        <f>"207L00000X"</f>
        <v>207L00000X</v>
      </c>
      <c r="D4634" t="str">
        <f>"MCINNIS                  CARRIE       M           "</f>
        <v xml:space="preserve">MCINNIS                  CARRIE       M           </v>
      </c>
      <c r="E4634" t="str">
        <f>"COVINGTON                 "</f>
        <v xml:space="preserve">COVINGTON                 </v>
      </c>
      <c r="F4634" t="str">
        <f t="shared" si="180"/>
        <v>LA</v>
      </c>
    </row>
    <row r="4635" spans="1:6" x14ac:dyDescent="0.25">
      <c r="A4635" t="str">
        <f>"200024103"</f>
        <v>200024103</v>
      </c>
      <c r="B4635" t="str">
        <f>"1619769171"</f>
        <v>1619769171</v>
      </c>
      <c r="C4635" t="str">
        <f>"363A00000X"</f>
        <v>363A00000X</v>
      </c>
      <c r="D4635" t="str">
        <f>"MASON                    MAJESTY                  "</f>
        <v xml:space="preserve">MASON                    MAJESTY                  </v>
      </c>
      <c r="E4635" t="str">
        <f>"NEW ORLEANS               "</f>
        <v xml:space="preserve">NEW ORLEANS               </v>
      </c>
      <c r="F4635" t="str">
        <f t="shared" ref="F4635:F4698" si="181">"LA"</f>
        <v>LA</v>
      </c>
    </row>
    <row r="4636" spans="1:6" x14ac:dyDescent="0.25">
      <c r="A4636" t="str">
        <f>"200024108"</f>
        <v>200024108</v>
      </c>
      <c r="B4636" t="str">
        <f>"1306637145"</f>
        <v>1306637145</v>
      </c>
      <c r="C4636" t="str">
        <f>"363A00000X"</f>
        <v>363A00000X</v>
      </c>
      <c r="D4636" t="str">
        <f>"LOVECCHIO                COLIN                    "</f>
        <v xml:space="preserve">LOVECCHIO                COLIN                    </v>
      </c>
      <c r="E4636" t="str">
        <f>"NEW ORLEANS               "</f>
        <v xml:space="preserve">NEW ORLEANS               </v>
      </c>
      <c r="F4636" t="str">
        <f t="shared" si="181"/>
        <v>LA</v>
      </c>
    </row>
    <row r="4637" spans="1:6" x14ac:dyDescent="0.25">
      <c r="A4637" t="str">
        <f>"200024109"</f>
        <v>200024109</v>
      </c>
      <c r="B4637" t="str">
        <f>"1043847825"</f>
        <v>1043847825</v>
      </c>
      <c r="C4637" t="str">
        <f>"2084N0400X"</f>
        <v>2084N0400X</v>
      </c>
      <c r="D4637" t="str">
        <f>"VENKATESH                VIVEK                    "</f>
        <v xml:space="preserve">VENKATESH                VIVEK                    </v>
      </c>
      <c r="E4637" t="str">
        <f>"NEW ORLEANS               "</f>
        <v xml:space="preserve">NEW ORLEANS               </v>
      </c>
      <c r="F4637" t="str">
        <f t="shared" si="181"/>
        <v>LA</v>
      </c>
    </row>
    <row r="4638" spans="1:6" x14ac:dyDescent="0.25">
      <c r="A4638" t="str">
        <f>"200024112"</f>
        <v>200024112</v>
      </c>
      <c r="B4638" t="str">
        <f>"1023900198"</f>
        <v>1023900198</v>
      </c>
      <c r="C4638" t="str">
        <f>"363LF0000X"</f>
        <v>363LF0000X</v>
      </c>
      <c r="D4638" t="str">
        <f>"PETITE                   MACI                     "</f>
        <v xml:space="preserve">PETITE                   MACI                     </v>
      </c>
      <c r="E4638" t="str">
        <f>"BATON ROUGE               "</f>
        <v xml:space="preserve">BATON ROUGE               </v>
      </c>
      <c r="F4638" t="str">
        <f t="shared" si="181"/>
        <v>LA</v>
      </c>
    </row>
    <row r="4639" spans="1:6" x14ac:dyDescent="0.25">
      <c r="A4639" t="str">
        <f>"200024116"</f>
        <v>200024116</v>
      </c>
      <c r="B4639" t="str">
        <f>"1770946477"</f>
        <v>1770946477</v>
      </c>
      <c r="C4639" t="str">
        <f>"207L00000X"</f>
        <v>207L00000X</v>
      </c>
      <c r="D4639" t="str">
        <f>"PAGE                     PATRICK                  "</f>
        <v xml:space="preserve">PAGE                     PATRICK                  </v>
      </c>
      <c r="E4639" t="str">
        <f>"BATON ROUGE               "</f>
        <v xml:space="preserve">BATON ROUGE               </v>
      </c>
      <c r="F4639" t="str">
        <f t="shared" si="181"/>
        <v>LA</v>
      </c>
    </row>
    <row r="4640" spans="1:6" x14ac:dyDescent="0.25">
      <c r="A4640" t="str">
        <f>"200024120"</f>
        <v>200024120</v>
      </c>
      <c r="B4640" t="str">
        <f>"1841454956"</f>
        <v>1841454956</v>
      </c>
      <c r="C4640" t="str">
        <f>"367500000X"</f>
        <v>367500000X</v>
      </c>
      <c r="D4640" t="str">
        <f>"HINES                    DEREK        L           "</f>
        <v xml:space="preserve">HINES                    DEREK        L           </v>
      </c>
      <c r="E4640" t="str">
        <f>"COVINGTON                 "</f>
        <v xml:space="preserve">COVINGTON                 </v>
      </c>
      <c r="F4640" t="str">
        <f t="shared" si="181"/>
        <v>LA</v>
      </c>
    </row>
    <row r="4641" spans="1:6" x14ac:dyDescent="0.25">
      <c r="A4641" t="str">
        <f>"200024128"</f>
        <v>200024128</v>
      </c>
      <c r="B4641" t="str">
        <f>"1982618369"</f>
        <v>1982618369</v>
      </c>
      <c r="C4641" t="str">
        <f>"207Q00000X"</f>
        <v>207Q00000X</v>
      </c>
      <c r="D4641" t="str">
        <f>"HOLLIBAUGH               BECKY                    "</f>
        <v xml:space="preserve">HOLLIBAUGH               BECKY                    </v>
      </c>
      <c r="E4641" t="str">
        <f>"NEW ORLEANS               "</f>
        <v xml:space="preserve">NEW ORLEANS               </v>
      </c>
      <c r="F4641" t="str">
        <f t="shared" si="181"/>
        <v>LA</v>
      </c>
    </row>
    <row r="4642" spans="1:6" x14ac:dyDescent="0.25">
      <c r="A4642" t="str">
        <f>"200024148"</f>
        <v>200024148</v>
      </c>
      <c r="B4642" t="str">
        <f>"1780118026"</f>
        <v>1780118026</v>
      </c>
      <c r="C4642" t="str">
        <f>"2085R0202X"</f>
        <v>2085R0202X</v>
      </c>
      <c r="D4642" t="str">
        <f>"KRAMER                   NICHOLAS     J           "</f>
        <v xml:space="preserve">KRAMER                   NICHOLAS     J           </v>
      </c>
      <c r="E4642" t="str">
        <f>"FERRIDAY                  "</f>
        <v xml:space="preserve">FERRIDAY                  </v>
      </c>
      <c r="F4642" t="str">
        <f t="shared" si="181"/>
        <v>LA</v>
      </c>
    </row>
    <row r="4643" spans="1:6" x14ac:dyDescent="0.25">
      <c r="A4643" t="str">
        <f>"200024171"</f>
        <v>200024171</v>
      </c>
      <c r="B4643" t="str">
        <f>"1942867866"</f>
        <v>1942867866</v>
      </c>
      <c r="C4643" t="str">
        <f>"208600000X"</f>
        <v>208600000X</v>
      </c>
      <c r="D4643" t="str">
        <f>"BUDNEY                   SARAH                    "</f>
        <v xml:space="preserve">BUDNEY                   SARAH                    </v>
      </c>
      <c r="E4643" t="str">
        <f>"NEW ORLEANS               "</f>
        <v xml:space="preserve">NEW ORLEANS               </v>
      </c>
      <c r="F4643" t="str">
        <f t="shared" si="181"/>
        <v>LA</v>
      </c>
    </row>
    <row r="4644" spans="1:6" x14ac:dyDescent="0.25">
      <c r="A4644" t="str">
        <f>"200024176"</f>
        <v>200024176</v>
      </c>
      <c r="B4644" t="str">
        <f>"1255666335"</f>
        <v>1255666335</v>
      </c>
      <c r="C4644" t="str">
        <f>"2080P0207X"</f>
        <v>2080P0207X</v>
      </c>
      <c r="D4644" t="str">
        <f>"BOLUDE                   JOANN                    "</f>
        <v xml:space="preserve">BOLUDE                   JOANN                    </v>
      </c>
      <c r="E4644" t="str">
        <f>"NEW ORLEANS               "</f>
        <v xml:space="preserve">NEW ORLEANS               </v>
      </c>
      <c r="F4644" t="str">
        <f t="shared" si="181"/>
        <v>LA</v>
      </c>
    </row>
    <row r="4645" spans="1:6" x14ac:dyDescent="0.25">
      <c r="A4645" t="str">
        <f>"200024181"</f>
        <v>200024181</v>
      </c>
      <c r="B4645" t="str">
        <f>"1477326999"</f>
        <v>1477326999</v>
      </c>
      <c r="C4645" t="str">
        <f>"363LA2100X"</f>
        <v>363LA2100X</v>
      </c>
      <c r="D4645" t="str">
        <f>"RAMSDELL                 ANDREW                   "</f>
        <v xml:space="preserve">RAMSDELL                 ANDREW                   </v>
      </c>
      <c r="E4645" t="str">
        <f>"SLIDELL                   "</f>
        <v xml:space="preserve">SLIDELL                   </v>
      </c>
      <c r="F4645" t="str">
        <f t="shared" si="181"/>
        <v>LA</v>
      </c>
    </row>
    <row r="4646" spans="1:6" x14ac:dyDescent="0.25">
      <c r="A4646" t="str">
        <f>"200024183"</f>
        <v>200024183</v>
      </c>
      <c r="B4646" t="str">
        <f>"1417748583"</f>
        <v>1417748583</v>
      </c>
      <c r="C4646" t="str">
        <f>"367500000X"</f>
        <v>367500000X</v>
      </c>
      <c r="D4646" t="str">
        <f>"MARKS                    KATE                     "</f>
        <v xml:space="preserve">MARKS                    KATE                     </v>
      </c>
      <c r="E4646" t="str">
        <f>"NEW ORLEANS               "</f>
        <v xml:space="preserve">NEW ORLEANS               </v>
      </c>
      <c r="F4646" t="str">
        <f t="shared" si="181"/>
        <v>LA</v>
      </c>
    </row>
    <row r="4647" spans="1:6" x14ac:dyDescent="0.25">
      <c r="A4647" t="str">
        <f>"200024192"</f>
        <v>200024192</v>
      </c>
      <c r="B4647" t="str">
        <f>"1609899319"</f>
        <v>1609899319</v>
      </c>
      <c r="C4647" t="str">
        <f>"363LA2100X"</f>
        <v>363LA2100X</v>
      </c>
      <c r="D4647" t="str">
        <f>"ROGERS                   JOHN         E           "</f>
        <v xml:space="preserve">ROGERS                   JOHN         E           </v>
      </c>
      <c r="E4647" t="str">
        <f>"ZACHARY                   "</f>
        <v xml:space="preserve">ZACHARY                   </v>
      </c>
      <c r="F4647" t="str">
        <f t="shared" si="181"/>
        <v>LA</v>
      </c>
    </row>
    <row r="4648" spans="1:6" x14ac:dyDescent="0.25">
      <c r="A4648" t="str">
        <f>"200024197"</f>
        <v>200024197</v>
      </c>
      <c r="B4648" t="str">
        <f>"1437593779"</f>
        <v>1437593779</v>
      </c>
      <c r="C4648" t="str">
        <f>"2085R0202X"</f>
        <v>2085R0202X</v>
      </c>
      <c r="D4648" t="str">
        <f>"WINTERS                  RONALD       R           "</f>
        <v xml:space="preserve">WINTERS                  RONALD       R           </v>
      </c>
      <c r="E4648" t="str">
        <f>"FERRIDAY                  "</f>
        <v xml:space="preserve">FERRIDAY                  </v>
      </c>
      <c r="F4648" t="str">
        <f t="shared" si="181"/>
        <v>LA</v>
      </c>
    </row>
    <row r="4649" spans="1:6" x14ac:dyDescent="0.25">
      <c r="A4649" t="str">
        <f>"200024198"</f>
        <v>200024198</v>
      </c>
      <c r="B4649" t="str">
        <f>"1548780315"</f>
        <v>1548780315</v>
      </c>
      <c r="C4649" t="str">
        <f>"207R00000X"</f>
        <v>207R00000X</v>
      </c>
      <c r="D4649" t="str">
        <f>"HABITEMICHAEL            DEREJE       H           "</f>
        <v xml:space="preserve">HABITEMICHAEL            DEREJE       H           </v>
      </c>
      <c r="E4649" t="str">
        <f>"ZACHARY                   "</f>
        <v xml:space="preserve">ZACHARY                   </v>
      </c>
      <c r="F4649" t="str">
        <f t="shared" si="181"/>
        <v>LA</v>
      </c>
    </row>
    <row r="4650" spans="1:6" x14ac:dyDescent="0.25">
      <c r="A4650" t="str">
        <f>"200024199"</f>
        <v>200024199</v>
      </c>
      <c r="B4650" t="str">
        <f>"1609230341"</f>
        <v>1609230341</v>
      </c>
      <c r="C4650" t="str">
        <f>"207W00000X"</f>
        <v>207W00000X</v>
      </c>
      <c r="D4650" t="str">
        <f>"JASPER-TROTTER           ALANA                    "</f>
        <v xml:space="preserve">JASPER-TROTTER           ALANA                    </v>
      </c>
      <c r="E4650" t="str">
        <f>"NEW ORLEANS               "</f>
        <v xml:space="preserve">NEW ORLEANS               </v>
      </c>
      <c r="F4650" t="str">
        <f t="shared" si="181"/>
        <v>LA</v>
      </c>
    </row>
    <row r="4651" spans="1:6" x14ac:dyDescent="0.25">
      <c r="A4651" t="str">
        <f>"200024201"</f>
        <v>200024201</v>
      </c>
      <c r="B4651" t="str">
        <f>"1184428310"</f>
        <v>1184428310</v>
      </c>
      <c r="C4651" t="str">
        <f>"363A00000X"</f>
        <v>363A00000X</v>
      </c>
      <c r="D4651" t="str">
        <f>"GOMEZ                    SAMANTHA                 "</f>
        <v xml:space="preserve">GOMEZ                    SAMANTHA                 </v>
      </c>
      <c r="E4651" t="str">
        <f>"NEW ORLEANS               "</f>
        <v xml:space="preserve">NEW ORLEANS               </v>
      </c>
      <c r="F4651" t="str">
        <f t="shared" si="181"/>
        <v>LA</v>
      </c>
    </row>
    <row r="4652" spans="1:6" x14ac:dyDescent="0.25">
      <c r="A4652" t="str">
        <f>"200024202"</f>
        <v>200024202</v>
      </c>
      <c r="B4652" t="str">
        <f>"1215105853"</f>
        <v>1215105853</v>
      </c>
      <c r="C4652" t="str">
        <f>"2085R0202X"</f>
        <v>2085R0202X</v>
      </c>
      <c r="D4652" t="str">
        <f>"EZELL                    MARY         B           "</f>
        <v xml:space="preserve">EZELL                    MARY         B           </v>
      </c>
      <c r="E4652" t="str">
        <f>"METAIRIE                  "</f>
        <v xml:space="preserve">METAIRIE                  </v>
      </c>
      <c r="F4652" t="str">
        <f t="shared" si="181"/>
        <v>LA</v>
      </c>
    </row>
    <row r="4653" spans="1:6" x14ac:dyDescent="0.25">
      <c r="A4653" t="str">
        <f>"200024214"</f>
        <v>200024214</v>
      </c>
      <c r="B4653" t="str">
        <f>"1124588140"</f>
        <v>1124588140</v>
      </c>
      <c r="C4653" t="str">
        <f>"207ZD0900X"</f>
        <v>207ZD0900X</v>
      </c>
      <c r="D4653" t="str">
        <f>"MILLER                   JOHN         P           "</f>
        <v xml:space="preserve">MILLER                   JOHN         P           </v>
      </c>
      <c r="E4653" t="str">
        <f>"BATON ROUGE               "</f>
        <v xml:space="preserve">BATON ROUGE               </v>
      </c>
      <c r="F4653" t="str">
        <f t="shared" si="181"/>
        <v>LA</v>
      </c>
    </row>
    <row r="4654" spans="1:6" x14ac:dyDescent="0.25">
      <c r="A4654" t="str">
        <f>"200024215"</f>
        <v>200024215</v>
      </c>
      <c r="B4654" t="str">
        <f>"1710871173"</f>
        <v>1710871173</v>
      </c>
      <c r="C4654" t="str">
        <f>"367A00000X"</f>
        <v>367A00000X</v>
      </c>
      <c r="D4654" t="str">
        <f>"HUEFFER                  ASHLYN                   "</f>
        <v xml:space="preserve">HUEFFER                  ASHLYN                   </v>
      </c>
      <c r="E4654" t="str">
        <f>"NEW ORLEANS               "</f>
        <v xml:space="preserve">NEW ORLEANS               </v>
      </c>
      <c r="F4654" t="str">
        <f t="shared" si="181"/>
        <v>LA</v>
      </c>
    </row>
    <row r="4655" spans="1:6" x14ac:dyDescent="0.25">
      <c r="A4655" t="str">
        <f>"200024228"</f>
        <v>200024228</v>
      </c>
      <c r="B4655" t="str">
        <f>"1730537622"</f>
        <v>1730537622</v>
      </c>
      <c r="C4655" t="str">
        <f>"2080P0202X"</f>
        <v>2080P0202X</v>
      </c>
      <c r="D4655" t="str">
        <f>"NASWORTHY                MANDY        W           "</f>
        <v xml:space="preserve">NASWORTHY                MANDY        W           </v>
      </c>
      <c r="E4655" t="str">
        <f>"NEW ORLEANS               "</f>
        <v xml:space="preserve">NEW ORLEANS               </v>
      </c>
      <c r="F4655" t="str">
        <f t="shared" si="181"/>
        <v>LA</v>
      </c>
    </row>
    <row r="4656" spans="1:6" x14ac:dyDescent="0.25">
      <c r="A4656" t="str">
        <f>"200024257"</f>
        <v>200024257</v>
      </c>
      <c r="B4656" t="str">
        <f>"1568921757"</f>
        <v>1568921757</v>
      </c>
      <c r="C4656" t="str">
        <f>"2084P0804X"</f>
        <v>2084P0804X</v>
      </c>
      <c r="D4656" t="str">
        <f>"ROUSSEAU                 KIMBERLY     J           "</f>
        <v xml:space="preserve">ROUSSEAU                 KIMBERLY     J           </v>
      </c>
      <c r="E4656" t="str">
        <f>"NEW ORLEANS               "</f>
        <v xml:space="preserve">NEW ORLEANS               </v>
      </c>
      <c r="F4656" t="str">
        <f t="shared" si="181"/>
        <v>LA</v>
      </c>
    </row>
    <row r="4657" spans="1:6" x14ac:dyDescent="0.25">
      <c r="A4657" t="str">
        <f>"200024258"</f>
        <v>200024258</v>
      </c>
      <c r="B4657" t="str">
        <f>"1962461004"</f>
        <v>1962461004</v>
      </c>
      <c r="C4657" t="str">
        <f>"207RG0100X"</f>
        <v>207RG0100X</v>
      </c>
      <c r="D4657" t="str">
        <f>"MORELLI                  GIUSEPPE                 "</f>
        <v xml:space="preserve">MORELLI                  GIUSEPPE                 </v>
      </c>
      <c r="E4657" t="str">
        <f>"METAIRIE                  "</f>
        <v xml:space="preserve">METAIRIE                  </v>
      </c>
      <c r="F4657" t="str">
        <f t="shared" si="181"/>
        <v>LA</v>
      </c>
    </row>
    <row r="4658" spans="1:6" x14ac:dyDescent="0.25">
      <c r="A4658" t="str">
        <f>"200024260"</f>
        <v>200024260</v>
      </c>
      <c r="B4658" t="str">
        <f>"1609518844"</f>
        <v>1609518844</v>
      </c>
      <c r="C4658" t="str">
        <f>"208000000X"</f>
        <v>208000000X</v>
      </c>
      <c r="D4658" t="str">
        <f>"CASTRO                   DANIELA                  "</f>
        <v xml:space="preserve">CASTRO                   DANIELA                  </v>
      </c>
      <c r="E4658" t="str">
        <f>"NEW ORLEANS               "</f>
        <v xml:space="preserve">NEW ORLEANS               </v>
      </c>
      <c r="F4658" t="str">
        <f t="shared" si="181"/>
        <v>LA</v>
      </c>
    </row>
    <row r="4659" spans="1:6" x14ac:dyDescent="0.25">
      <c r="A4659" t="str">
        <f>"200024261"</f>
        <v>200024261</v>
      </c>
      <c r="B4659" t="str">
        <f>"1124318761"</f>
        <v>1124318761</v>
      </c>
      <c r="C4659" t="str">
        <f>"208600000X"</f>
        <v>208600000X</v>
      </c>
      <c r="D4659" t="str">
        <f>"ALBAUGH                  VANCE                    "</f>
        <v xml:space="preserve">ALBAUGH                  VANCE                    </v>
      </c>
      <c r="E4659" t="str">
        <f>"BATON ROUGE               "</f>
        <v xml:space="preserve">BATON ROUGE               </v>
      </c>
      <c r="F4659" t="str">
        <f t="shared" si="181"/>
        <v>LA</v>
      </c>
    </row>
    <row r="4660" spans="1:6" x14ac:dyDescent="0.25">
      <c r="A4660" t="str">
        <f>"200024262"</f>
        <v>200024262</v>
      </c>
      <c r="B4660" t="str">
        <f>"1124525258"</f>
        <v>1124525258</v>
      </c>
      <c r="C4660" t="str">
        <f>"207XX0801X"</f>
        <v>207XX0801X</v>
      </c>
      <c r="D4660" t="str">
        <f>"MILES                    DANIEL       T           "</f>
        <v xml:space="preserve">MILES                    DANIEL       T           </v>
      </c>
      <c r="E4660" t="str">
        <f>"METAIRIE                  "</f>
        <v xml:space="preserve">METAIRIE                  </v>
      </c>
      <c r="F4660" t="str">
        <f t="shared" si="181"/>
        <v>LA</v>
      </c>
    </row>
    <row r="4661" spans="1:6" x14ac:dyDescent="0.25">
      <c r="A4661" t="str">
        <f>"200024331"</f>
        <v>200024331</v>
      </c>
      <c r="B4661" t="str">
        <f>"1215737051"</f>
        <v>1215737051</v>
      </c>
      <c r="C4661" t="str">
        <f>"363LF0000X"</f>
        <v>363LF0000X</v>
      </c>
      <c r="D4661" t="str">
        <f>"SCHWAB                   ROBERT                   "</f>
        <v xml:space="preserve">SCHWAB                   ROBERT                   </v>
      </c>
      <c r="E4661" t="str">
        <f>"SLIDELL                   "</f>
        <v xml:space="preserve">SLIDELL                   </v>
      </c>
      <c r="F4661" t="str">
        <f t="shared" si="181"/>
        <v>LA</v>
      </c>
    </row>
    <row r="4662" spans="1:6" x14ac:dyDescent="0.25">
      <c r="A4662" t="str">
        <f>"200024347"</f>
        <v>200024347</v>
      </c>
      <c r="B4662" t="str">
        <f>"1982109039"</f>
        <v>1982109039</v>
      </c>
      <c r="C4662" t="str">
        <f>"207XX0801X"</f>
        <v>207XX0801X</v>
      </c>
      <c r="D4662" t="str">
        <f>"HAWKINS                  BARRETT      J           "</f>
        <v xml:space="preserve">HAWKINS                  BARRETT      J           </v>
      </c>
      <c r="E4662" t="str">
        <f>"METAIRIE                  "</f>
        <v xml:space="preserve">METAIRIE                  </v>
      </c>
      <c r="F4662" t="str">
        <f t="shared" si="181"/>
        <v>LA</v>
      </c>
    </row>
    <row r="4663" spans="1:6" x14ac:dyDescent="0.25">
      <c r="A4663" t="str">
        <f>"200024359"</f>
        <v>200024359</v>
      </c>
      <c r="B4663" t="str">
        <f>"1851314793"</f>
        <v>1851314793</v>
      </c>
      <c r="C4663" t="str">
        <f>"207RC0000X"</f>
        <v>207RC0000X</v>
      </c>
      <c r="D4663" t="str">
        <f>"HELMCKE                  FREDERICK    R           "</f>
        <v xml:space="preserve">HELMCKE                  FREDERICK    R           </v>
      </c>
      <c r="E4663" t="str">
        <f>"METAIRIE                  "</f>
        <v xml:space="preserve">METAIRIE                  </v>
      </c>
      <c r="F4663" t="str">
        <f t="shared" si="181"/>
        <v>LA</v>
      </c>
    </row>
    <row r="4664" spans="1:6" x14ac:dyDescent="0.25">
      <c r="A4664" t="str">
        <f>"200024364"</f>
        <v>200024364</v>
      </c>
      <c r="B4664" t="str">
        <f>"1912437617"</f>
        <v>1912437617</v>
      </c>
      <c r="C4664" t="str">
        <f>"207RG0100X"</f>
        <v>207RG0100X</v>
      </c>
      <c r="D4664" t="str">
        <f>"BRANCH                   LAUREL                   "</f>
        <v xml:space="preserve">BRANCH                   LAUREL                   </v>
      </c>
      <c r="E4664" t="str">
        <f>"NEW ORLEANS               "</f>
        <v xml:space="preserve">NEW ORLEANS               </v>
      </c>
      <c r="F4664" t="str">
        <f t="shared" si="181"/>
        <v>LA</v>
      </c>
    </row>
    <row r="4665" spans="1:6" x14ac:dyDescent="0.25">
      <c r="A4665" t="str">
        <f>"200024393"</f>
        <v>200024393</v>
      </c>
      <c r="B4665" t="str">
        <f>"1245221738"</f>
        <v>1245221738</v>
      </c>
      <c r="C4665" t="str">
        <f>"208100000X"</f>
        <v>208100000X</v>
      </c>
      <c r="D4665" t="str">
        <f>"BRAXTON                  MICHAEL                  "</f>
        <v xml:space="preserve">BRAXTON                  MICHAEL                  </v>
      </c>
      <c r="E4665" t="str">
        <f>"SLIDELL                   "</f>
        <v xml:space="preserve">SLIDELL                   </v>
      </c>
      <c r="F4665" t="str">
        <f t="shared" si="181"/>
        <v>LA</v>
      </c>
    </row>
    <row r="4666" spans="1:6" x14ac:dyDescent="0.25">
      <c r="A4666" t="str">
        <f>"200024400"</f>
        <v>200024400</v>
      </c>
      <c r="B4666" t="str">
        <f>"1245417401"</f>
        <v>1245417401</v>
      </c>
      <c r="C4666" t="str">
        <f>"207R00000X"</f>
        <v>207R00000X</v>
      </c>
      <c r="D4666" t="str">
        <f>"LEWIS                    BARBARA                  "</f>
        <v xml:space="preserve">LEWIS                    BARBARA                  </v>
      </c>
      <c r="E4666" t="str">
        <f>"ZACHARY                   "</f>
        <v xml:space="preserve">ZACHARY                   </v>
      </c>
      <c r="F4666" t="str">
        <f t="shared" si="181"/>
        <v>LA</v>
      </c>
    </row>
    <row r="4667" spans="1:6" x14ac:dyDescent="0.25">
      <c r="A4667" t="str">
        <f>"200024406"</f>
        <v>200024406</v>
      </c>
      <c r="B4667" t="str">
        <f>"1669900379"</f>
        <v>1669900379</v>
      </c>
      <c r="C4667" t="str">
        <f>"207Q00000X"</f>
        <v>207Q00000X</v>
      </c>
      <c r="D4667" t="str">
        <f>"DUBERY                   JOSEPH                   "</f>
        <v xml:space="preserve">DUBERY                   JOSEPH                   </v>
      </c>
      <c r="E4667" t="str">
        <f>"KENNER                    "</f>
        <v xml:space="preserve">KENNER                    </v>
      </c>
      <c r="F4667" t="str">
        <f t="shared" si="181"/>
        <v>LA</v>
      </c>
    </row>
    <row r="4668" spans="1:6" x14ac:dyDescent="0.25">
      <c r="A4668" t="str">
        <f>"200024413"</f>
        <v>200024413</v>
      </c>
      <c r="B4668" t="str">
        <f>"1770567117"</f>
        <v>1770567117</v>
      </c>
      <c r="C4668" t="str">
        <f>"207P00000X"</f>
        <v>207P00000X</v>
      </c>
      <c r="D4668" t="str">
        <f>"LENAHAN                  LELAND                   "</f>
        <v xml:space="preserve">LENAHAN                  LELAND                   </v>
      </c>
      <c r="E4668" t="str">
        <f>"FERRIDAY                  "</f>
        <v xml:space="preserve">FERRIDAY                  </v>
      </c>
      <c r="F4668" t="str">
        <f t="shared" si="181"/>
        <v>LA</v>
      </c>
    </row>
    <row r="4669" spans="1:6" x14ac:dyDescent="0.25">
      <c r="A4669" t="str">
        <f>"200024420"</f>
        <v>200024420</v>
      </c>
      <c r="B4669" t="str">
        <f>"1891104550"</f>
        <v>1891104550</v>
      </c>
      <c r="C4669" t="str">
        <f>"2085R0202X"</f>
        <v>2085R0202X</v>
      </c>
      <c r="D4669" t="str">
        <f>"CARLTON                  JOSHUA                   "</f>
        <v xml:space="preserve">CARLTON                  JOSHUA                   </v>
      </c>
      <c r="E4669" t="str">
        <f>"NEW ORLEANS               "</f>
        <v xml:space="preserve">NEW ORLEANS               </v>
      </c>
      <c r="F4669" t="str">
        <f t="shared" si="181"/>
        <v>LA</v>
      </c>
    </row>
    <row r="4670" spans="1:6" x14ac:dyDescent="0.25">
      <c r="A4670" t="str">
        <f>"200024421"</f>
        <v>200024421</v>
      </c>
      <c r="B4670" t="str">
        <f>"1982894812"</f>
        <v>1982894812</v>
      </c>
      <c r="C4670" t="str">
        <f>"207L00000X"</f>
        <v>207L00000X</v>
      </c>
      <c r="D4670" t="str">
        <f>"CLARK                    ALLISON                  "</f>
        <v xml:space="preserve">CLARK                    ALLISON                  </v>
      </c>
      <c r="E4670" t="str">
        <f>"NEW ORLEANS               "</f>
        <v xml:space="preserve">NEW ORLEANS               </v>
      </c>
      <c r="F4670" t="str">
        <f t="shared" si="181"/>
        <v>LA</v>
      </c>
    </row>
    <row r="4671" spans="1:6" x14ac:dyDescent="0.25">
      <c r="A4671" t="str">
        <f>"200024427"</f>
        <v>200024427</v>
      </c>
      <c r="B4671" t="str">
        <f>"1609456151"</f>
        <v>1609456151</v>
      </c>
      <c r="C4671" t="str">
        <f>"207R00000X"</f>
        <v>207R00000X</v>
      </c>
      <c r="D4671" t="str">
        <f>"D'AMATO                  KYLE                     "</f>
        <v xml:space="preserve">D'AMATO                  KYLE                     </v>
      </c>
      <c r="E4671" t="str">
        <f>"NEW ORLEANS               "</f>
        <v xml:space="preserve">NEW ORLEANS               </v>
      </c>
      <c r="F4671" t="str">
        <f t="shared" si="181"/>
        <v>LA</v>
      </c>
    </row>
    <row r="4672" spans="1:6" x14ac:dyDescent="0.25">
      <c r="A4672" t="str">
        <f>"200024430"</f>
        <v>200024430</v>
      </c>
      <c r="B4672" t="str">
        <f>"1831087907"</f>
        <v>1831087907</v>
      </c>
      <c r="C4672" t="str">
        <f>"363LA2100X"</f>
        <v>363LA2100X</v>
      </c>
      <c r="D4672" t="str">
        <f>"RODRIGUEZ                ALEXA                    "</f>
        <v xml:space="preserve">RODRIGUEZ                ALEXA                    </v>
      </c>
      <c r="E4672" t="str">
        <f>"NEW ORLEANS               "</f>
        <v xml:space="preserve">NEW ORLEANS               </v>
      </c>
      <c r="F4672" t="str">
        <f t="shared" si="181"/>
        <v>LA</v>
      </c>
    </row>
    <row r="4673" spans="1:6" x14ac:dyDescent="0.25">
      <c r="A4673" t="str">
        <f>"200024440"</f>
        <v>200024440</v>
      </c>
      <c r="B4673" t="str">
        <f>"1326625641"</f>
        <v>1326625641</v>
      </c>
      <c r="C4673" t="str">
        <f>"208M00000X"</f>
        <v>208M00000X</v>
      </c>
      <c r="D4673" t="str">
        <f>"SALJOGHI-BADLO           ASHKAN                   "</f>
        <v xml:space="preserve">SALJOGHI-BADLO           ASHKAN                   </v>
      </c>
      <c r="E4673" t="str">
        <f>"HAMMOND                   "</f>
        <v xml:space="preserve">HAMMOND                   </v>
      </c>
      <c r="F4673" t="str">
        <f t="shared" si="181"/>
        <v>LA</v>
      </c>
    </row>
    <row r="4674" spans="1:6" x14ac:dyDescent="0.25">
      <c r="A4674" t="str">
        <f>"200024442"</f>
        <v>200024442</v>
      </c>
      <c r="B4674" t="str">
        <f>"1548229636"</f>
        <v>1548229636</v>
      </c>
      <c r="C4674" t="str">
        <f>"207P00000X"</f>
        <v>207P00000X</v>
      </c>
      <c r="D4674" t="str">
        <f>"EDWARDS, III             GEORGE                   "</f>
        <v xml:space="preserve">EDWARDS, III             GEORGE                   </v>
      </c>
      <c r="E4674" t="str">
        <f>"BOGALUSA                  "</f>
        <v xml:space="preserve">BOGALUSA                  </v>
      </c>
      <c r="F4674" t="str">
        <f t="shared" si="181"/>
        <v>LA</v>
      </c>
    </row>
    <row r="4675" spans="1:6" x14ac:dyDescent="0.25">
      <c r="A4675" t="str">
        <f>"200024453"</f>
        <v>200024453</v>
      </c>
      <c r="B4675" t="str">
        <f>"1467044669"</f>
        <v>1467044669</v>
      </c>
      <c r="C4675" t="str">
        <f>"363L00000X"</f>
        <v>363L00000X</v>
      </c>
      <c r="D4675" t="str">
        <f>"HOFFMAN                  MORGAN                   "</f>
        <v xml:space="preserve">HOFFMAN                  MORGAN                   </v>
      </c>
      <c r="E4675" t="str">
        <f>"BATON ROUGE               "</f>
        <v xml:space="preserve">BATON ROUGE               </v>
      </c>
      <c r="F4675" t="str">
        <f t="shared" si="181"/>
        <v>LA</v>
      </c>
    </row>
    <row r="4676" spans="1:6" x14ac:dyDescent="0.25">
      <c r="A4676" t="str">
        <f>"200024459"</f>
        <v>200024459</v>
      </c>
      <c r="B4676" t="str">
        <f>"1679073431"</f>
        <v>1679073431</v>
      </c>
      <c r="C4676" t="str">
        <f>"363LA2100X"</f>
        <v>363LA2100X</v>
      </c>
      <c r="D4676" t="str">
        <f>"FARR                     AUDREY       A           "</f>
        <v xml:space="preserve">FARR                     AUDREY       A           </v>
      </c>
      <c r="E4676" t="str">
        <f>"ZACHARY                   "</f>
        <v xml:space="preserve">ZACHARY                   </v>
      </c>
      <c r="F4676" t="str">
        <f t="shared" si="181"/>
        <v>LA</v>
      </c>
    </row>
    <row r="4677" spans="1:6" x14ac:dyDescent="0.25">
      <c r="A4677" t="str">
        <f>"200024464"</f>
        <v>200024464</v>
      </c>
      <c r="B4677" t="str">
        <f>"1689842213"</f>
        <v>1689842213</v>
      </c>
      <c r="C4677" t="str">
        <f>"207ZP0102X"</f>
        <v>207ZP0102X</v>
      </c>
      <c r="D4677" t="str">
        <f>"LIN                      AMY                      "</f>
        <v xml:space="preserve">LIN                      AMY                      </v>
      </c>
      <c r="E4677" t="str">
        <f>"NEW ORLEANS               "</f>
        <v xml:space="preserve">NEW ORLEANS               </v>
      </c>
      <c r="F4677" t="str">
        <f t="shared" si="181"/>
        <v>LA</v>
      </c>
    </row>
    <row r="4678" spans="1:6" x14ac:dyDescent="0.25">
      <c r="A4678" t="str">
        <f>"200024476"</f>
        <v>200024476</v>
      </c>
      <c r="B4678" t="str">
        <f>"1780477513"</f>
        <v>1780477513</v>
      </c>
      <c r="C4678" t="str">
        <f>"363A00000X"</f>
        <v>363A00000X</v>
      </c>
      <c r="D4678" t="str">
        <f>"FROEHLICH                LAURYN                   "</f>
        <v xml:space="preserve">FROEHLICH                LAURYN                   </v>
      </c>
      <c r="E4678" t="str">
        <f>"NEW ORLEANS               "</f>
        <v xml:space="preserve">NEW ORLEANS               </v>
      </c>
      <c r="F4678" t="str">
        <f t="shared" si="181"/>
        <v>LA</v>
      </c>
    </row>
    <row r="4679" spans="1:6" x14ac:dyDescent="0.25">
      <c r="A4679" t="str">
        <f>"200024482"</f>
        <v>200024482</v>
      </c>
      <c r="B4679" t="str">
        <f>"1154065126"</f>
        <v>1154065126</v>
      </c>
      <c r="C4679" t="str">
        <f>"207P00000X"</f>
        <v>207P00000X</v>
      </c>
      <c r="D4679" t="str">
        <f>"VOLPE                    CAMERON                  "</f>
        <v xml:space="preserve">VOLPE                    CAMERON                  </v>
      </c>
      <c r="E4679" t="str">
        <f>"NEW ORLEANS               "</f>
        <v xml:space="preserve">NEW ORLEANS               </v>
      </c>
      <c r="F4679" t="str">
        <f t="shared" si="181"/>
        <v>LA</v>
      </c>
    </row>
    <row r="4680" spans="1:6" x14ac:dyDescent="0.25">
      <c r="A4680" t="str">
        <f>"200024486"</f>
        <v>200024486</v>
      </c>
      <c r="B4680" t="str">
        <f>"1750321170"</f>
        <v>1750321170</v>
      </c>
      <c r="C4680" t="str">
        <f>"367500000X"</f>
        <v>367500000X</v>
      </c>
      <c r="D4680" t="str">
        <f>"KIYANFAR                 CYRUS                    "</f>
        <v xml:space="preserve">KIYANFAR                 CYRUS                    </v>
      </c>
      <c r="E4680" t="str">
        <f>"MORGAN CITY               "</f>
        <v xml:space="preserve">MORGAN CITY               </v>
      </c>
      <c r="F4680" t="str">
        <f t="shared" si="181"/>
        <v>LA</v>
      </c>
    </row>
    <row r="4681" spans="1:6" x14ac:dyDescent="0.25">
      <c r="A4681" t="str">
        <f>"200024494"</f>
        <v>200024494</v>
      </c>
      <c r="B4681" t="str">
        <f>"1992738827"</f>
        <v>1992738827</v>
      </c>
      <c r="C4681" t="str">
        <f>"207P00000X"</f>
        <v>207P00000X</v>
      </c>
      <c r="D4681" t="str">
        <f>"TOUPS                    DAVID                    "</f>
        <v xml:space="preserve">TOUPS                    DAVID                    </v>
      </c>
      <c r="E4681" t="str">
        <f>"KENNER                    "</f>
        <v xml:space="preserve">KENNER                    </v>
      </c>
      <c r="F4681" t="str">
        <f t="shared" si="181"/>
        <v>LA</v>
      </c>
    </row>
    <row r="4682" spans="1:6" x14ac:dyDescent="0.25">
      <c r="A4682" t="str">
        <f>"200024499"</f>
        <v>200024499</v>
      </c>
      <c r="B4682" t="str">
        <f>"1770780108"</f>
        <v>1770780108</v>
      </c>
      <c r="C4682" t="str">
        <f>"207RI0200X"</f>
        <v>207RI0200X</v>
      </c>
      <c r="D4682" t="str">
        <f>"MCLEMORE                 AARON        D           "</f>
        <v xml:space="preserve">MCLEMORE                 AARON        D           </v>
      </c>
      <c r="E4682" t="str">
        <f>"METAIRIE                  "</f>
        <v xml:space="preserve">METAIRIE                  </v>
      </c>
      <c r="F4682" t="str">
        <f t="shared" si="181"/>
        <v>LA</v>
      </c>
    </row>
    <row r="4683" spans="1:6" x14ac:dyDescent="0.25">
      <c r="A4683" t="str">
        <f>"200024506"</f>
        <v>200024506</v>
      </c>
      <c r="B4683" t="str">
        <f>"1275710295"</f>
        <v>1275710295</v>
      </c>
      <c r="C4683" t="str">
        <f>"2085R0202X"</f>
        <v>2085R0202X</v>
      </c>
      <c r="D4683" t="str">
        <f>"LINDFORS                 DENNIS       P           "</f>
        <v xml:space="preserve">LINDFORS                 DENNIS       P           </v>
      </c>
      <c r="E4683" t="str">
        <f>"NEW ORLEANS               "</f>
        <v xml:space="preserve">NEW ORLEANS               </v>
      </c>
      <c r="F4683" t="str">
        <f t="shared" si="181"/>
        <v>LA</v>
      </c>
    </row>
    <row r="4684" spans="1:6" x14ac:dyDescent="0.25">
      <c r="A4684" t="str">
        <f>"200024507"</f>
        <v>200024507</v>
      </c>
      <c r="B4684" t="str">
        <f>"1972319150"</f>
        <v>1972319150</v>
      </c>
      <c r="C4684" t="str">
        <f>"363A00000X"</f>
        <v>363A00000X</v>
      </c>
      <c r="D4684" t="str">
        <f>"LAURENT                  LAUREN                   "</f>
        <v xml:space="preserve">LAURENT                  LAUREN                   </v>
      </c>
      <c r="E4684" t="str">
        <f>"GRETNA                    "</f>
        <v xml:space="preserve">GRETNA                    </v>
      </c>
      <c r="F4684" t="str">
        <f t="shared" si="181"/>
        <v>LA</v>
      </c>
    </row>
    <row r="4685" spans="1:6" x14ac:dyDescent="0.25">
      <c r="A4685" t="str">
        <f>"200024516"</f>
        <v>200024516</v>
      </c>
      <c r="B4685" t="str">
        <f>"1598151086"</f>
        <v>1598151086</v>
      </c>
      <c r="C4685" t="str">
        <f>"208M00000X"</f>
        <v>208M00000X</v>
      </c>
      <c r="D4685" t="str">
        <f>"COSSICH                  SARAH        J           "</f>
        <v xml:space="preserve">COSSICH                  SARAH        J           </v>
      </c>
      <c r="E4685" t="str">
        <f>"METAIRIE                  "</f>
        <v xml:space="preserve">METAIRIE                  </v>
      </c>
      <c r="F4685" t="str">
        <f t="shared" si="181"/>
        <v>LA</v>
      </c>
    </row>
    <row r="4686" spans="1:6" x14ac:dyDescent="0.25">
      <c r="A4686" t="str">
        <f>"200024522"</f>
        <v>200024522</v>
      </c>
      <c r="B4686" t="str">
        <f>"1285637587"</f>
        <v>1285637587</v>
      </c>
      <c r="C4686" t="str">
        <f>"207V00000X"</f>
        <v>207V00000X</v>
      </c>
      <c r="D4686" t="str">
        <f>"WON                      LEE                      "</f>
        <v xml:space="preserve">WON                      LEE                      </v>
      </c>
      <c r="E4686" t="str">
        <f>"LAKE CHARLES              "</f>
        <v xml:space="preserve">LAKE CHARLES              </v>
      </c>
      <c r="F4686" t="str">
        <f t="shared" si="181"/>
        <v>LA</v>
      </c>
    </row>
    <row r="4687" spans="1:6" x14ac:dyDescent="0.25">
      <c r="A4687" t="str">
        <f>"200024527"</f>
        <v>200024527</v>
      </c>
      <c r="B4687" t="str">
        <f>"1437715083"</f>
        <v>1437715083</v>
      </c>
      <c r="C4687" t="str">
        <f>"207R00000X"</f>
        <v>207R00000X</v>
      </c>
      <c r="D4687" t="str">
        <f>"MCNEELY-SMITH            YSEULT                   "</f>
        <v xml:space="preserve">MCNEELY-SMITH            YSEULT                   </v>
      </c>
      <c r="E4687" t="str">
        <f>"NEW ORLEANS               "</f>
        <v xml:space="preserve">NEW ORLEANS               </v>
      </c>
      <c r="F4687" t="str">
        <f t="shared" si="181"/>
        <v>LA</v>
      </c>
    </row>
    <row r="4688" spans="1:6" x14ac:dyDescent="0.25">
      <c r="A4688" t="str">
        <f>"200024542"</f>
        <v>200024542</v>
      </c>
      <c r="B4688" t="str">
        <f>"1477552156"</f>
        <v>1477552156</v>
      </c>
      <c r="C4688" t="str">
        <f>"207Q00000X"</f>
        <v>207Q00000X</v>
      </c>
      <c r="D4688" t="str">
        <f>"THOMAS                   MARYKUTTY                "</f>
        <v xml:space="preserve">THOMAS                   MARYKUTTY                </v>
      </c>
      <c r="E4688" t="str">
        <f>"BATON ROUGE               "</f>
        <v xml:space="preserve">BATON ROUGE               </v>
      </c>
      <c r="F4688" t="str">
        <f t="shared" si="181"/>
        <v>LA</v>
      </c>
    </row>
    <row r="4689" spans="1:6" x14ac:dyDescent="0.25">
      <c r="A4689" t="str">
        <f>"200024562"</f>
        <v>200024562</v>
      </c>
      <c r="B4689" t="str">
        <f>"1437736063"</f>
        <v>1437736063</v>
      </c>
      <c r="C4689" t="str">
        <f>"207Q00000X"</f>
        <v>207Q00000X</v>
      </c>
      <c r="D4689" t="str">
        <f>"ORDOYNE                  ELLIOT                   "</f>
        <v xml:space="preserve">ORDOYNE                  ELLIOT                   </v>
      </c>
      <c r="E4689" t="str">
        <f>"NEW ORLEANS               "</f>
        <v xml:space="preserve">NEW ORLEANS               </v>
      </c>
      <c r="F4689" t="str">
        <f t="shared" si="181"/>
        <v>LA</v>
      </c>
    </row>
    <row r="4690" spans="1:6" x14ac:dyDescent="0.25">
      <c r="A4690" t="str">
        <f>"200024570"</f>
        <v>200024570</v>
      </c>
      <c r="B4690" t="str">
        <f>"1992461461"</f>
        <v>1992461461</v>
      </c>
      <c r="C4690" t="str">
        <f>"363LF0000X"</f>
        <v>363LF0000X</v>
      </c>
      <c r="D4690" t="str">
        <f>"KIMBERLY                 WATSON       G           "</f>
        <v xml:space="preserve">KIMBERLY                 WATSON       G           </v>
      </c>
      <c r="E4690" t="str">
        <f>"ZACHARY                   "</f>
        <v xml:space="preserve">ZACHARY                   </v>
      </c>
      <c r="F4690" t="str">
        <f t="shared" si="181"/>
        <v>LA</v>
      </c>
    </row>
    <row r="4691" spans="1:6" x14ac:dyDescent="0.25">
      <c r="A4691" t="str">
        <f>"200024583"</f>
        <v>200024583</v>
      </c>
      <c r="B4691" t="str">
        <f>"1386224582"</f>
        <v>1386224582</v>
      </c>
      <c r="C4691" t="str">
        <f>"207R00000X"</f>
        <v>207R00000X</v>
      </c>
      <c r="D4691" t="str">
        <f>"KARAMANIS                AMBER                    "</f>
        <v xml:space="preserve">KARAMANIS                AMBER                    </v>
      </c>
      <c r="E4691" t="str">
        <f>"NEW ORLEANS               "</f>
        <v xml:space="preserve">NEW ORLEANS               </v>
      </c>
      <c r="F4691" t="str">
        <f t="shared" si="181"/>
        <v>LA</v>
      </c>
    </row>
    <row r="4692" spans="1:6" x14ac:dyDescent="0.25">
      <c r="A4692" t="str">
        <f>"200024587"</f>
        <v>200024587</v>
      </c>
      <c r="B4692" t="str">
        <f>"1851951222"</f>
        <v>1851951222</v>
      </c>
      <c r="C4692" t="str">
        <f>"363LF0000X"</f>
        <v>363LF0000X</v>
      </c>
      <c r="D4692" t="str">
        <f>"VARKEY                   RUBY         L           "</f>
        <v xml:space="preserve">VARKEY                   RUBY         L           </v>
      </c>
      <c r="E4692" t="str">
        <f>"NEW ORLEANS               "</f>
        <v xml:space="preserve">NEW ORLEANS               </v>
      </c>
      <c r="F4692" t="str">
        <f t="shared" si="181"/>
        <v>LA</v>
      </c>
    </row>
    <row r="4693" spans="1:6" x14ac:dyDescent="0.25">
      <c r="A4693" t="str">
        <f>"200024588"</f>
        <v>200024588</v>
      </c>
      <c r="B4693" t="str">
        <f>"1174537815"</f>
        <v>1174537815</v>
      </c>
      <c r="C4693" t="str">
        <f>"367500000X"</f>
        <v>367500000X</v>
      </c>
      <c r="D4693" t="str">
        <f>"HOFFMANN                 KELLEY                   "</f>
        <v xml:space="preserve">HOFFMANN                 KELLEY                   </v>
      </c>
      <c r="E4693" t="str">
        <f>"METAIRIE                  "</f>
        <v xml:space="preserve">METAIRIE                  </v>
      </c>
      <c r="F4693" t="str">
        <f t="shared" si="181"/>
        <v>LA</v>
      </c>
    </row>
    <row r="4694" spans="1:6" x14ac:dyDescent="0.25">
      <c r="A4694" t="str">
        <f>"200024592"</f>
        <v>200024592</v>
      </c>
      <c r="B4694" t="str">
        <f>"1558345652"</f>
        <v>1558345652</v>
      </c>
      <c r="C4694" t="str">
        <f>"2080N0001X"</f>
        <v>2080N0001X</v>
      </c>
      <c r="D4694" t="str">
        <f>"KERECMAN                 JAY                      "</f>
        <v xml:space="preserve">KERECMAN                 JAY                      </v>
      </c>
      <c r="E4694" t="str">
        <f>"SLIDELL                   "</f>
        <v xml:space="preserve">SLIDELL                   </v>
      </c>
      <c r="F4694" t="str">
        <f t="shared" si="181"/>
        <v>LA</v>
      </c>
    </row>
    <row r="4695" spans="1:6" x14ac:dyDescent="0.25">
      <c r="A4695" t="str">
        <f>"200024611"</f>
        <v>200024611</v>
      </c>
      <c r="B4695" t="str">
        <f>"1558005421"</f>
        <v>1558005421</v>
      </c>
      <c r="C4695" t="str">
        <f>"207R00000X"</f>
        <v>207R00000X</v>
      </c>
      <c r="D4695" t="str">
        <f>"O'CONNOR                 IAN                      "</f>
        <v xml:space="preserve">O'CONNOR                 IAN                      </v>
      </c>
      <c r="E4695" t="str">
        <f>"NEW ORLEANS               "</f>
        <v xml:space="preserve">NEW ORLEANS               </v>
      </c>
      <c r="F4695" t="str">
        <f t="shared" si="181"/>
        <v>LA</v>
      </c>
    </row>
    <row r="4696" spans="1:6" x14ac:dyDescent="0.25">
      <c r="A4696" t="str">
        <f>"200024612"</f>
        <v>200024612</v>
      </c>
      <c r="B4696" t="str">
        <f>"1104521269"</f>
        <v>1104521269</v>
      </c>
      <c r="C4696" t="str">
        <f>"207P00000X"</f>
        <v>207P00000X</v>
      </c>
      <c r="D4696" t="str">
        <f>"SMITH                    JORDAN       M           "</f>
        <v xml:space="preserve">SMITH                    JORDAN       M           </v>
      </c>
      <c r="E4696" t="str">
        <f>"BOGALUSA                  "</f>
        <v xml:space="preserve">BOGALUSA                  </v>
      </c>
      <c r="F4696" t="str">
        <f t="shared" si="181"/>
        <v>LA</v>
      </c>
    </row>
    <row r="4697" spans="1:6" x14ac:dyDescent="0.25">
      <c r="A4697" t="str">
        <f>"200024614"</f>
        <v>200024614</v>
      </c>
      <c r="B4697" t="str">
        <f>"1093874422"</f>
        <v>1093874422</v>
      </c>
      <c r="C4697" t="str">
        <f>"2085R0202X"</f>
        <v>2085R0202X</v>
      </c>
      <c r="D4697" t="str">
        <f>"EMERSON                  NOAH                     "</f>
        <v xml:space="preserve">EMERSON                  NOAH                     </v>
      </c>
      <c r="E4697" t="str">
        <f>"NEW ORLEANS               "</f>
        <v xml:space="preserve">NEW ORLEANS               </v>
      </c>
      <c r="F4697" t="str">
        <f t="shared" si="181"/>
        <v>LA</v>
      </c>
    </row>
    <row r="4698" spans="1:6" x14ac:dyDescent="0.25">
      <c r="A4698" t="str">
        <f>"200024619"</f>
        <v>200024619</v>
      </c>
      <c r="B4698" t="str">
        <f>"1609510676"</f>
        <v>1609510676</v>
      </c>
      <c r="C4698" t="str">
        <f>"207P00000X"</f>
        <v>207P00000X</v>
      </c>
      <c r="D4698" t="str">
        <f>"ALIMIA                   EMILY                    "</f>
        <v xml:space="preserve">ALIMIA                   EMILY                    </v>
      </c>
      <c r="E4698" t="str">
        <f>"NEW ORLEANS               "</f>
        <v xml:space="preserve">NEW ORLEANS               </v>
      </c>
      <c r="F4698" t="str">
        <f t="shared" si="181"/>
        <v>LA</v>
      </c>
    </row>
    <row r="4699" spans="1:6" x14ac:dyDescent="0.25">
      <c r="A4699" t="str">
        <f>"200024624"</f>
        <v>200024624</v>
      </c>
      <c r="B4699" t="str">
        <f>"1881582377"</f>
        <v>1881582377</v>
      </c>
      <c r="C4699" t="str">
        <f>"363LA2200X"</f>
        <v>363LA2200X</v>
      </c>
      <c r="D4699" t="str">
        <f>"TAYLOR                   JAIME                    "</f>
        <v xml:space="preserve">TAYLOR                   JAIME                    </v>
      </c>
      <c r="E4699" t="str">
        <f>"NEW ORLEANS               "</f>
        <v xml:space="preserve">NEW ORLEANS               </v>
      </c>
      <c r="F4699" t="str">
        <f t="shared" ref="F4699:F4762" si="182">"LA"</f>
        <v>LA</v>
      </c>
    </row>
    <row r="4700" spans="1:6" x14ac:dyDescent="0.25">
      <c r="A4700" t="str">
        <f>"200024639"</f>
        <v>200024639</v>
      </c>
      <c r="B4700" t="str">
        <f>"1902548092"</f>
        <v>1902548092</v>
      </c>
      <c r="C4700" t="str">
        <f>"207R00000X"</f>
        <v>207R00000X</v>
      </c>
      <c r="D4700" t="str">
        <f>"SIMMONS                  MELYNDA                  "</f>
        <v xml:space="preserve">SIMMONS                  MELYNDA                  </v>
      </c>
      <c r="E4700" t="str">
        <f>"BOGALUSA                  "</f>
        <v xml:space="preserve">BOGALUSA                  </v>
      </c>
      <c r="F4700" t="str">
        <f t="shared" si="182"/>
        <v>LA</v>
      </c>
    </row>
    <row r="4701" spans="1:6" x14ac:dyDescent="0.25">
      <c r="A4701" t="str">
        <f>"200024664"</f>
        <v>200024664</v>
      </c>
      <c r="B4701" t="str">
        <f>"1669572558"</f>
        <v>1669572558</v>
      </c>
      <c r="C4701" t="str">
        <f>"208M00000X"</f>
        <v>208M00000X</v>
      </c>
      <c r="D4701" t="str">
        <f>"MAYLIN                   MARLOWE      M           "</f>
        <v xml:space="preserve">MAYLIN                   MARLOWE      M           </v>
      </c>
      <c r="E4701" t="str">
        <f>"METAIRIE                  "</f>
        <v xml:space="preserve">METAIRIE                  </v>
      </c>
      <c r="F4701" t="str">
        <f t="shared" si="182"/>
        <v>LA</v>
      </c>
    </row>
    <row r="4702" spans="1:6" x14ac:dyDescent="0.25">
      <c r="A4702" t="str">
        <f>"200024674"</f>
        <v>200024674</v>
      </c>
      <c r="B4702" t="str">
        <f>"1588458558"</f>
        <v>1588458558</v>
      </c>
      <c r="C4702" t="str">
        <f>"363A00000X"</f>
        <v>363A00000X</v>
      </c>
      <c r="D4702" t="str">
        <f>"TAGLIERI                 ANNA                     "</f>
        <v xml:space="preserve">TAGLIERI                 ANNA                     </v>
      </c>
      <c r="E4702" t="str">
        <f>"NEW ORLEANS               "</f>
        <v xml:space="preserve">NEW ORLEANS               </v>
      </c>
      <c r="F4702" t="str">
        <f t="shared" si="182"/>
        <v>LA</v>
      </c>
    </row>
    <row r="4703" spans="1:6" x14ac:dyDescent="0.25">
      <c r="A4703" t="str">
        <f>"200024691"</f>
        <v>200024691</v>
      </c>
      <c r="B4703" t="str">
        <f>"1841187226"</f>
        <v>1841187226</v>
      </c>
      <c r="C4703" t="str">
        <f>"367500000X"</f>
        <v>367500000X</v>
      </c>
      <c r="D4703" t="str">
        <f>"DANG                     MYLAN        P           "</f>
        <v xml:space="preserve">DANG                     MYLAN        P           </v>
      </c>
      <c r="E4703" t="str">
        <f>"NEW ORLEANS               "</f>
        <v xml:space="preserve">NEW ORLEANS               </v>
      </c>
      <c r="F4703" t="str">
        <f t="shared" si="182"/>
        <v>LA</v>
      </c>
    </row>
    <row r="4704" spans="1:6" x14ac:dyDescent="0.25">
      <c r="A4704" t="str">
        <f>"200024693"</f>
        <v>200024693</v>
      </c>
      <c r="B4704" t="str">
        <f>"1477507333"</f>
        <v>1477507333</v>
      </c>
      <c r="C4704" t="str">
        <f>"207P00000X"</f>
        <v>207P00000X</v>
      </c>
      <c r="D4704" t="str">
        <f>"BUTLER                   BRETT        C           "</f>
        <v xml:space="preserve">BUTLER                   BRETT        C           </v>
      </c>
      <c r="E4704" t="str">
        <f>"BOGALUSA                  "</f>
        <v xml:space="preserve">BOGALUSA                  </v>
      </c>
      <c r="F4704" t="str">
        <f t="shared" si="182"/>
        <v>LA</v>
      </c>
    </row>
    <row r="4705" spans="1:6" x14ac:dyDescent="0.25">
      <c r="A4705" t="str">
        <f>"200024712"</f>
        <v>200024712</v>
      </c>
      <c r="B4705" t="str">
        <f>"1487141636"</f>
        <v>1487141636</v>
      </c>
      <c r="C4705" t="str">
        <f>"207RG0100X"</f>
        <v>207RG0100X</v>
      </c>
      <c r="D4705" t="str">
        <f>"ABRAHAM                  FIYINFOLUWA              "</f>
        <v xml:space="preserve">ABRAHAM                  FIYINFOLUWA              </v>
      </c>
      <c r="E4705" t="str">
        <f>"NEW ORLEANS               "</f>
        <v xml:space="preserve">NEW ORLEANS               </v>
      </c>
      <c r="F4705" t="str">
        <f t="shared" si="182"/>
        <v>LA</v>
      </c>
    </row>
    <row r="4706" spans="1:6" x14ac:dyDescent="0.25">
      <c r="A4706" t="str">
        <f>"200024718"</f>
        <v>200024718</v>
      </c>
      <c r="B4706" t="str">
        <f>"1942209820"</f>
        <v>1942209820</v>
      </c>
      <c r="C4706" t="str">
        <f>"2080N0001X"</f>
        <v>2080N0001X</v>
      </c>
      <c r="D4706" t="str">
        <f>"SMITH                    HENRY                    "</f>
        <v xml:space="preserve">SMITH                    HENRY                    </v>
      </c>
      <c r="E4706" t="str">
        <f>"BATON ROUGE               "</f>
        <v xml:space="preserve">BATON ROUGE               </v>
      </c>
      <c r="F4706" t="str">
        <f t="shared" si="182"/>
        <v>LA</v>
      </c>
    </row>
    <row r="4707" spans="1:6" x14ac:dyDescent="0.25">
      <c r="A4707" t="str">
        <f>"200024726"</f>
        <v>200024726</v>
      </c>
      <c r="B4707" t="str">
        <f>"1255220448"</f>
        <v>1255220448</v>
      </c>
      <c r="C4707" t="str">
        <f>"363A00000X"</f>
        <v>363A00000X</v>
      </c>
      <c r="D4707" t="str">
        <f>"ALLEN                    KAMARA       A           "</f>
        <v xml:space="preserve">ALLEN                    KAMARA       A           </v>
      </c>
      <c r="E4707" t="str">
        <f>"METAIRIE                  "</f>
        <v xml:space="preserve">METAIRIE                  </v>
      </c>
      <c r="F4707" t="str">
        <f t="shared" si="182"/>
        <v>LA</v>
      </c>
    </row>
    <row r="4708" spans="1:6" x14ac:dyDescent="0.25">
      <c r="A4708" t="str">
        <f>"200024772"</f>
        <v>200024772</v>
      </c>
      <c r="B4708" t="str">
        <f>"1508506866"</f>
        <v>1508506866</v>
      </c>
      <c r="C4708" t="str">
        <f>"207R00000X"</f>
        <v>207R00000X</v>
      </c>
      <c r="D4708" t="str">
        <f>"HAHN                     ELIN         M           "</f>
        <v xml:space="preserve">HAHN                     ELIN         M           </v>
      </c>
      <c r="E4708" t="str">
        <f>"METAIRIE                  "</f>
        <v xml:space="preserve">METAIRIE                  </v>
      </c>
      <c r="F4708" t="str">
        <f t="shared" si="182"/>
        <v>LA</v>
      </c>
    </row>
    <row r="4709" spans="1:6" x14ac:dyDescent="0.25">
      <c r="A4709" t="str">
        <f>"200024776"</f>
        <v>200024776</v>
      </c>
      <c r="B4709" t="str">
        <f>"1346616257"</f>
        <v>1346616257</v>
      </c>
      <c r="C4709" t="str">
        <f>"363L00000X"</f>
        <v>363L00000X</v>
      </c>
      <c r="D4709" t="str">
        <f>"SMITH                    LESLEY                   "</f>
        <v xml:space="preserve">SMITH                    LESLEY                   </v>
      </c>
      <c r="E4709" t="str">
        <f>"COVINGTON                 "</f>
        <v xml:space="preserve">COVINGTON                 </v>
      </c>
      <c r="F4709" t="str">
        <f t="shared" si="182"/>
        <v>LA</v>
      </c>
    </row>
    <row r="4710" spans="1:6" x14ac:dyDescent="0.25">
      <c r="A4710" t="str">
        <f>"200024780"</f>
        <v>200024780</v>
      </c>
      <c r="B4710" t="str">
        <f>"1407340441"</f>
        <v>1407340441</v>
      </c>
      <c r="C4710" t="str">
        <f>"207P00000X"</f>
        <v>207P00000X</v>
      </c>
      <c r="D4710" t="str">
        <f>"ELLIS JR                 KELVIN                   "</f>
        <v xml:space="preserve">ELLIS JR                 KELVIN                   </v>
      </c>
      <c r="E4710" t="str">
        <f>"NEW ORLEANS               "</f>
        <v xml:space="preserve">NEW ORLEANS               </v>
      </c>
      <c r="F4710" t="str">
        <f t="shared" si="182"/>
        <v>LA</v>
      </c>
    </row>
    <row r="4711" spans="1:6" x14ac:dyDescent="0.25">
      <c r="A4711" t="str">
        <f>"200024791"</f>
        <v>200024791</v>
      </c>
      <c r="B4711" t="str">
        <f>"1962961102"</f>
        <v>1962961102</v>
      </c>
      <c r="C4711" t="str">
        <f>"207X00000X"</f>
        <v>207X00000X</v>
      </c>
      <c r="D4711" t="str">
        <f>"STARRING                 HUNTER                   "</f>
        <v xml:space="preserve">STARRING                 HUNTER                   </v>
      </c>
      <c r="E4711" t="str">
        <f>"NEW ORLEANS               "</f>
        <v xml:space="preserve">NEW ORLEANS               </v>
      </c>
      <c r="F4711" t="str">
        <f t="shared" si="182"/>
        <v>LA</v>
      </c>
    </row>
    <row r="4712" spans="1:6" x14ac:dyDescent="0.25">
      <c r="A4712" t="str">
        <f>"200024797"</f>
        <v>200024797</v>
      </c>
      <c r="B4712" t="str">
        <f>"1477556983"</f>
        <v>1477556983</v>
      </c>
      <c r="C4712" t="str">
        <f>"367500000X"</f>
        <v>367500000X</v>
      </c>
      <c r="D4712" t="str">
        <f>"SENDRA                   LISA         J           "</f>
        <v xml:space="preserve">SENDRA                   LISA         J           </v>
      </c>
      <c r="E4712" t="str">
        <f>"COVINGTON                 "</f>
        <v xml:space="preserve">COVINGTON                 </v>
      </c>
      <c r="F4712" t="str">
        <f t="shared" si="182"/>
        <v>LA</v>
      </c>
    </row>
    <row r="4713" spans="1:6" x14ac:dyDescent="0.25">
      <c r="A4713" t="str">
        <f>"200024805"</f>
        <v>200024805</v>
      </c>
      <c r="B4713" t="str">
        <f>"1508390972"</f>
        <v>1508390972</v>
      </c>
      <c r="C4713" t="str">
        <f>"2080N0001X"</f>
        <v>2080N0001X</v>
      </c>
      <c r="D4713" t="str">
        <f>"QAYUM                    AMINA                    "</f>
        <v xml:space="preserve">QAYUM                    AMINA                    </v>
      </c>
      <c r="E4713" t="str">
        <f>"NEW ORLEANS               "</f>
        <v xml:space="preserve">NEW ORLEANS               </v>
      </c>
      <c r="F4713" t="str">
        <f t="shared" si="182"/>
        <v>LA</v>
      </c>
    </row>
    <row r="4714" spans="1:6" x14ac:dyDescent="0.25">
      <c r="A4714" t="str">
        <f>"200024831"</f>
        <v>200024831</v>
      </c>
      <c r="B4714" t="str">
        <f>"1801078522"</f>
        <v>1801078522</v>
      </c>
      <c r="C4714" t="str">
        <f>"2084N0400X"</f>
        <v>2084N0400X</v>
      </c>
      <c r="D4714" t="str">
        <f>"AYSENNE                  AIMEE        M           "</f>
        <v xml:space="preserve">AYSENNE                  AIMEE        M           </v>
      </c>
      <c r="E4714" t="str">
        <f>"METAIRIE                  "</f>
        <v xml:space="preserve">METAIRIE                  </v>
      </c>
      <c r="F4714" t="str">
        <f t="shared" si="182"/>
        <v>LA</v>
      </c>
    </row>
    <row r="4715" spans="1:6" x14ac:dyDescent="0.25">
      <c r="A4715" t="str">
        <f>"200024834"</f>
        <v>200024834</v>
      </c>
      <c r="B4715" t="str">
        <f>"1205255353"</f>
        <v>1205255353</v>
      </c>
      <c r="C4715" t="str">
        <f>"2086S0102X"</f>
        <v>2086S0102X</v>
      </c>
      <c r="D4715" t="str">
        <f>"REILY                    ROBERT       E           "</f>
        <v xml:space="preserve">REILY                    ROBERT       E           </v>
      </c>
      <c r="E4715" t="str">
        <f>"METAIRIE                  "</f>
        <v xml:space="preserve">METAIRIE                  </v>
      </c>
      <c r="F4715" t="str">
        <f t="shared" si="182"/>
        <v>LA</v>
      </c>
    </row>
    <row r="4716" spans="1:6" x14ac:dyDescent="0.25">
      <c r="A4716" t="str">
        <f>"200024836"</f>
        <v>200024836</v>
      </c>
      <c r="B4716" t="str">
        <f>"1558655670"</f>
        <v>1558655670</v>
      </c>
      <c r="C4716" t="str">
        <f>"208M00000X"</f>
        <v>208M00000X</v>
      </c>
      <c r="D4716" t="str">
        <f>"MAULDIN                  BRANDON      J           "</f>
        <v xml:space="preserve">MAULDIN                  BRANDON      J           </v>
      </c>
      <c r="E4716" t="str">
        <f>"METAIRIE                  "</f>
        <v xml:space="preserve">METAIRIE                  </v>
      </c>
      <c r="F4716" t="str">
        <f t="shared" si="182"/>
        <v>LA</v>
      </c>
    </row>
    <row r="4717" spans="1:6" x14ac:dyDescent="0.25">
      <c r="A4717" t="str">
        <f>"200024855"</f>
        <v>200024855</v>
      </c>
      <c r="B4717" t="str">
        <f>"1518917236"</f>
        <v>1518917236</v>
      </c>
      <c r="C4717" t="str">
        <f>"2080N0001X"</f>
        <v>2080N0001X</v>
      </c>
      <c r="D4717" t="str">
        <f>"MEYN JR                  DONALD                   "</f>
        <v xml:space="preserve">MEYN JR                  DONALD                   </v>
      </c>
      <c r="E4717" t="str">
        <f>"BATON ROUGE               "</f>
        <v xml:space="preserve">BATON ROUGE               </v>
      </c>
      <c r="F4717" t="str">
        <f t="shared" si="182"/>
        <v>LA</v>
      </c>
    </row>
    <row r="4718" spans="1:6" x14ac:dyDescent="0.25">
      <c r="A4718" t="str">
        <f>"200024861"</f>
        <v>200024861</v>
      </c>
      <c r="B4718" t="str">
        <f>"1902485329"</f>
        <v>1902485329</v>
      </c>
      <c r="C4718" t="str">
        <f>"207L00000X"</f>
        <v>207L00000X</v>
      </c>
      <c r="D4718" t="str">
        <f>"TRIAY                    MASON                    "</f>
        <v xml:space="preserve">TRIAY                    MASON                    </v>
      </c>
      <c r="E4718" t="str">
        <f>"NEW ORLEANS               "</f>
        <v xml:space="preserve">NEW ORLEANS               </v>
      </c>
      <c r="F4718" t="str">
        <f t="shared" si="182"/>
        <v>LA</v>
      </c>
    </row>
    <row r="4719" spans="1:6" x14ac:dyDescent="0.25">
      <c r="A4719" t="str">
        <f>"200024872"</f>
        <v>200024872</v>
      </c>
      <c r="B4719" t="str">
        <f>"1346862497"</f>
        <v>1346862497</v>
      </c>
      <c r="C4719" t="str">
        <f>"208M00000X"</f>
        <v>208M00000X</v>
      </c>
      <c r="D4719" t="str">
        <f>"VYAS                     ANKIT                    "</f>
        <v xml:space="preserve">VYAS                     ANKIT                    </v>
      </c>
      <c r="E4719" t="str">
        <f>"HAMMOND                   "</f>
        <v xml:space="preserve">HAMMOND                   </v>
      </c>
      <c r="F4719" t="str">
        <f t="shared" si="182"/>
        <v>LA</v>
      </c>
    </row>
    <row r="4720" spans="1:6" x14ac:dyDescent="0.25">
      <c r="A4720" t="str">
        <f>"200024888"</f>
        <v>200024888</v>
      </c>
      <c r="B4720" t="str">
        <f>"1013412543"</f>
        <v>1013412543</v>
      </c>
      <c r="C4720" t="str">
        <f>"208600000X"</f>
        <v>208600000X</v>
      </c>
      <c r="D4720" t="str">
        <f>"BLOOM                    LAURA                    "</f>
        <v xml:space="preserve">BLOOM                    LAURA                    </v>
      </c>
      <c r="E4720" t="str">
        <f>"NEW ORLEANS               "</f>
        <v xml:space="preserve">NEW ORLEANS               </v>
      </c>
      <c r="F4720" t="str">
        <f t="shared" si="182"/>
        <v>LA</v>
      </c>
    </row>
    <row r="4721" spans="1:6" x14ac:dyDescent="0.25">
      <c r="A4721" t="str">
        <f>"200024905"</f>
        <v>200024905</v>
      </c>
      <c r="B4721" t="str">
        <f>"1255848719"</f>
        <v>1255848719</v>
      </c>
      <c r="C4721" t="str">
        <f>"363LF0000X"</f>
        <v>363LF0000X</v>
      </c>
      <c r="D4721" t="str">
        <f>"DAVID                    AMY                      "</f>
        <v xml:space="preserve">DAVID                    AMY                      </v>
      </c>
      <c r="E4721" t="str">
        <f>"BATON ROUGE               "</f>
        <v xml:space="preserve">BATON ROUGE               </v>
      </c>
      <c r="F4721" t="str">
        <f t="shared" si="182"/>
        <v>LA</v>
      </c>
    </row>
    <row r="4722" spans="1:6" x14ac:dyDescent="0.25">
      <c r="A4722" t="str">
        <f>"200024912"</f>
        <v>200024912</v>
      </c>
      <c r="B4722" t="str">
        <f>"1083009278"</f>
        <v>1083009278</v>
      </c>
      <c r="C4722" t="str">
        <f>"207R00000X"</f>
        <v>207R00000X</v>
      </c>
      <c r="D4722" t="str">
        <f>"NKAMANY                  MARY                     "</f>
        <v xml:space="preserve">NKAMANY                  MARY                     </v>
      </c>
      <c r="E4722" t="str">
        <f>"NEW ORLEANS               "</f>
        <v xml:space="preserve">NEW ORLEANS               </v>
      </c>
      <c r="F4722" t="str">
        <f t="shared" si="182"/>
        <v>LA</v>
      </c>
    </row>
    <row r="4723" spans="1:6" x14ac:dyDescent="0.25">
      <c r="A4723" t="str">
        <f>"200024930"</f>
        <v>200024930</v>
      </c>
      <c r="B4723" t="str">
        <f>"1902269764"</f>
        <v>1902269764</v>
      </c>
      <c r="C4723" t="str">
        <f>"2086S0127X"</f>
        <v>2086S0127X</v>
      </c>
      <c r="D4723" t="str">
        <f>"HARRELL                  KEVIN        N           "</f>
        <v xml:space="preserve">HARRELL                  KEVIN        N           </v>
      </c>
      <c r="E4723" t="str">
        <f>"METAIRIE                  "</f>
        <v xml:space="preserve">METAIRIE                  </v>
      </c>
      <c r="F4723" t="str">
        <f t="shared" si="182"/>
        <v>LA</v>
      </c>
    </row>
    <row r="4724" spans="1:6" x14ac:dyDescent="0.25">
      <c r="A4724" t="str">
        <f>"200024937"</f>
        <v>200024937</v>
      </c>
      <c r="B4724" t="str">
        <f>"1649061334"</f>
        <v>1649061334</v>
      </c>
      <c r="C4724" t="str">
        <f>"363LA2100X"</f>
        <v>363LA2100X</v>
      </c>
      <c r="D4724" t="str">
        <f>"COLE                     CHELSEA                  "</f>
        <v xml:space="preserve">COLE                     CHELSEA                  </v>
      </c>
      <c r="E4724" t="str">
        <f>"NEW ORLEANS               "</f>
        <v xml:space="preserve">NEW ORLEANS               </v>
      </c>
      <c r="F4724" t="str">
        <f t="shared" si="182"/>
        <v>LA</v>
      </c>
    </row>
    <row r="4725" spans="1:6" x14ac:dyDescent="0.25">
      <c r="A4725" t="str">
        <f>"200024943"</f>
        <v>200024943</v>
      </c>
      <c r="B4725" t="str">
        <f>"1902425549"</f>
        <v>1902425549</v>
      </c>
      <c r="C4725" t="str">
        <f>"2084N0400X"</f>
        <v>2084N0400X</v>
      </c>
      <c r="D4725" t="str">
        <f>"ALI                      KHADIJA                  "</f>
        <v xml:space="preserve">ALI                      KHADIJA                  </v>
      </c>
      <c r="E4725" t="str">
        <f>"HAMMOND                   "</f>
        <v xml:space="preserve">HAMMOND                   </v>
      </c>
      <c r="F4725" t="str">
        <f t="shared" si="182"/>
        <v>LA</v>
      </c>
    </row>
    <row r="4726" spans="1:6" x14ac:dyDescent="0.25">
      <c r="A4726" t="str">
        <f>"200024953"</f>
        <v>200024953</v>
      </c>
      <c r="B4726" t="str">
        <f>"1750556205"</f>
        <v>1750556205</v>
      </c>
      <c r="C4726" t="str">
        <f>"363LN0000X"</f>
        <v>363LN0000X</v>
      </c>
      <c r="D4726" t="str">
        <f>"FOLEY                    BRIDGET                  "</f>
        <v xml:space="preserve">FOLEY                    BRIDGET                  </v>
      </c>
      <c r="E4726" t="str">
        <f>"COVINGTON                 "</f>
        <v xml:space="preserve">COVINGTON                 </v>
      </c>
      <c r="F4726" t="str">
        <f t="shared" si="182"/>
        <v>LA</v>
      </c>
    </row>
    <row r="4727" spans="1:6" x14ac:dyDescent="0.25">
      <c r="A4727" t="str">
        <f>"200024956"</f>
        <v>200024956</v>
      </c>
      <c r="B4727" t="str">
        <f>"1083053755"</f>
        <v>1083053755</v>
      </c>
      <c r="C4727" t="str">
        <f>"2080N0001X"</f>
        <v>2080N0001X</v>
      </c>
      <c r="D4727" t="str">
        <f>"WALSH                    REBECCA                  "</f>
        <v xml:space="preserve">WALSH                    REBECCA                  </v>
      </c>
      <c r="E4727" t="str">
        <f>"BATON ROUGE               "</f>
        <v xml:space="preserve">BATON ROUGE               </v>
      </c>
      <c r="F4727" t="str">
        <f t="shared" si="182"/>
        <v>LA</v>
      </c>
    </row>
    <row r="4728" spans="1:6" x14ac:dyDescent="0.25">
      <c r="A4728" t="str">
        <f>"200024957"</f>
        <v>200024957</v>
      </c>
      <c r="B4728" t="str">
        <f>"1679197842"</f>
        <v>1679197842</v>
      </c>
      <c r="C4728" t="str">
        <f>"207RN0300X"</f>
        <v>207RN0300X</v>
      </c>
      <c r="D4728" t="str">
        <f>"CLARKE                   NICOLE                   "</f>
        <v xml:space="preserve">CLARKE                   NICOLE                   </v>
      </c>
      <c r="E4728" t="str">
        <f>"NEW ORLEANS               "</f>
        <v xml:space="preserve">NEW ORLEANS               </v>
      </c>
      <c r="F4728" t="str">
        <f t="shared" si="182"/>
        <v>LA</v>
      </c>
    </row>
    <row r="4729" spans="1:6" x14ac:dyDescent="0.25">
      <c r="A4729" t="str">
        <f>"200024963"</f>
        <v>200024963</v>
      </c>
      <c r="B4729" t="str">
        <f>"1508138694"</f>
        <v>1508138694</v>
      </c>
      <c r="C4729" t="str">
        <f>"207R00000X"</f>
        <v>207R00000X</v>
      </c>
      <c r="D4729" t="str">
        <f>"IZAGUIRRE-JUAREZ         GLADYS       A           "</f>
        <v xml:space="preserve">IZAGUIRRE-JUAREZ         GLADYS       A           </v>
      </c>
      <c r="E4729" t="str">
        <f>"COVINGTON                 "</f>
        <v xml:space="preserve">COVINGTON                 </v>
      </c>
      <c r="F4729" t="str">
        <f t="shared" si="182"/>
        <v>LA</v>
      </c>
    </row>
    <row r="4730" spans="1:6" x14ac:dyDescent="0.25">
      <c r="A4730" t="str">
        <f>"200024968"</f>
        <v>200024968</v>
      </c>
      <c r="B4730" t="str">
        <f>"1609977768"</f>
        <v>1609977768</v>
      </c>
      <c r="C4730" t="str">
        <f>"207RI0008X"</f>
        <v>207RI0008X</v>
      </c>
      <c r="D4730" t="str">
        <f>"REGENSTEIN               FREDRIC      G           "</f>
        <v xml:space="preserve">REGENSTEIN               FREDRIC      G           </v>
      </c>
      <c r="E4730" t="str">
        <f>"METAIRIE                  "</f>
        <v xml:space="preserve">METAIRIE                  </v>
      </c>
      <c r="F4730" t="str">
        <f t="shared" si="182"/>
        <v>LA</v>
      </c>
    </row>
    <row r="4731" spans="1:6" x14ac:dyDescent="0.25">
      <c r="A4731" t="str">
        <f>"200024985"</f>
        <v>200024985</v>
      </c>
      <c r="B4731" t="str">
        <f>"1588281521"</f>
        <v>1588281521</v>
      </c>
      <c r="C4731" t="str">
        <f>"207RR0500X"</f>
        <v>207RR0500X</v>
      </c>
      <c r="D4731" t="str">
        <f>"CANO EGUEZ               JOSE                     "</f>
        <v xml:space="preserve">CANO EGUEZ               JOSE                     </v>
      </c>
      <c r="E4731" t="str">
        <f>"GRETNA                    "</f>
        <v xml:space="preserve">GRETNA                    </v>
      </c>
      <c r="F4731" t="str">
        <f t="shared" si="182"/>
        <v>LA</v>
      </c>
    </row>
    <row r="4732" spans="1:6" x14ac:dyDescent="0.25">
      <c r="A4732" t="str">
        <f>"200025000"</f>
        <v>200025000</v>
      </c>
      <c r="B4732" t="str">
        <f>"1154611945"</f>
        <v>1154611945</v>
      </c>
      <c r="C4732" t="str">
        <f>"207R00000X"</f>
        <v>207R00000X</v>
      </c>
      <c r="D4732" t="str">
        <f>"LACOUR                   ALISHA                   "</f>
        <v xml:space="preserve">LACOUR                   ALISHA                   </v>
      </c>
      <c r="E4732" t="str">
        <f>"SLIDELL                   "</f>
        <v xml:space="preserve">SLIDELL                   </v>
      </c>
      <c r="F4732" t="str">
        <f t="shared" si="182"/>
        <v>LA</v>
      </c>
    </row>
    <row r="4733" spans="1:6" x14ac:dyDescent="0.25">
      <c r="A4733" t="str">
        <f>"200025001"</f>
        <v>200025001</v>
      </c>
      <c r="B4733" t="str">
        <f>"1811256241"</f>
        <v>1811256241</v>
      </c>
      <c r="C4733" t="str">
        <f>"367500000X"</f>
        <v>367500000X</v>
      </c>
      <c r="D4733" t="str">
        <f>"BORDELON                 TRISHA       B           "</f>
        <v xml:space="preserve">BORDELON                 TRISHA       B           </v>
      </c>
      <c r="E4733" t="str">
        <f>"COVINGTON                 "</f>
        <v xml:space="preserve">COVINGTON                 </v>
      </c>
      <c r="F4733" t="str">
        <f t="shared" si="182"/>
        <v>LA</v>
      </c>
    </row>
    <row r="4734" spans="1:6" x14ac:dyDescent="0.25">
      <c r="A4734" t="str">
        <f>"200025004"</f>
        <v>200025004</v>
      </c>
      <c r="B4734" t="str">
        <f>"1831153857"</f>
        <v>1831153857</v>
      </c>
      <c r="C4734" t="str">
        <f>"367500000X"</f>
        <v>367500000X</v>
      </c>
      <c r="D4734" t="str">
        <f>"CARDINALE                JANE         J           "</f>
        <v xml:space="preserve">CARDINALE                JANE         J           </v>
      </c>
      <c r="E4734" t="str">
        <f>"COVINGTON                 "</f>
        <v xml:space="preserve">COVINGTON                 </v>
      </c>
      <c r="F4734" t="str">
        <f t="shared" si="182"/>
        <v>LA</v>
      </c>
    </row>
    <row r="4735" spans="1:6" x14ac:dyDescent="0.25">
      <c r="A4735" t="str">
        <f>"200025011"</f>
        <v>200025011</v>
      </c>
      <c r="B4735" t="str">
        <f>"1457526170"</f>
        <v>1457526170</v>
      </c>
      <c r="C4735" t="str">
        <f>"207RI0200X"</f>
        <v>207RI0200X</v>
      </c>
      <c r="D4735" t="str">
        <f>"ATHAS                    DEENA        M           "</f>
        <v xml:space="preserve">ATHAS                    DEENA        M           </v>
      </c>
      <c r="E4735" t="str">
        <f>"METAIRIE                  "</f>
        <v xml:space="preserve">METAIRIE                  </v>
      </c>
      <c r="F4735" t="str">
        <f t="shared" si="182"/>
        <v>LA</v>
      </c>
    </row>
    <row r="4736" spans="1:6" x14ac:dyDescent="0.25">
      <c r="A4736" t="str">
        <f>"200025017"</f>
        <v>200025017</v>
      </c>
      <c r="B4736" t="str">
        <f>"1972765055"</f>
        <v>1972765055</v>
      </c>
      <c r="C4736" t="str">
        <f>"207RG0100X"</f>
        <v>207RG0100X</v>
      </c>
      <c r="D4736" t="str">
        <f>"BARTH                    ERIN                     "</f>
        <v xml:space="preserve">BARTH                    ERIN                     </v>
      </c>
      <c r="E4736" t="str">
        <f>"NEW ORLEANS               "</f>
        <v xml:space="preserve">NEW ORLEANS               </v>
      </c>
      <c r="F4736" t="str">
        <f t="shared" si="182"/>
        <v>LA</v>
      </c>
    </row>
    <row r="4737" spans="1:6" x14ac:dyDescent="0.25">
      <c r="A4737" t="str">
        <f>"200025019"</f>
        <v>200025019</v>
      </c>
      <c r="B4737" t="str">
        <f>"1508397647"</f>
        <v>1508397647</v>
      </c>
      <c r="C4737" t="str">
        <f>"2080N0001X"</f>
        <v>2080N0001X</v>
      </c>
      <c r="D4737" t="str">
        <f>"VU                       BINH                     "</f>
        <v xml:space="preserve">VU                       BINH                     </v>
      </c>
      <c r="E4737" t="str">
        <f>"BATON ROUGE               "</f>
        <v xml:space="preserve">BATON ROUGE               </v>
      </c>
      <c r="F4737" t="str">
        <f t="shared" si="182"/>
        <v>LA</v>
      </c>
    </row>
    <row r="4738" spans="1:6" x14ac:dyDescent="0.25">
      <c r="A4738" t="str">
        <f>"200025021"</f>
        <v>200025021</v>
      </c>
      <c r="B4738" t="str">
        <f>"1255492088"</f>
        <v>1255492088</v>
      </c>
      <c r="C4738" t="str">
        <f>"207RN0300X"</f>
        <v>207RN0300X</v>
      </c>
      <c r="D4738" t="str">
        <f>"HOOVER JR                ROBERT       S           "</f>
        <v xml:space="preserve">HOOVER JR                ROBERT       S           </v>
      </c>
      <c r="E4738" t="str">
        <f>"METAIRIE                  "</f>
        <v xml:space="preserve">METAIRIE                  </v>
      </c>
      <c r="F4738" t="str">
        <f t="shared" si="182"/>
        <v>LA</v>
      </c>
    </row>
    <row r="4739" spans="1:6" x14ac:dyDescent="0.25">
      <c r="A4739" t="str">
        <f>"200025026"</f>
        <v>200025026</v>
      </c>
      <c r="B4739" t="str">
        <f>"1235716267"</f>
        <v>1235716267</v>
      </c>
      <c r="C4739" t="str">
        <f>"208600000X"</f>
        <v>208600000X</v>
      </c>
      <c r="D4739" t="str">
        <f>"BOVE                     ANNA                     "</f>
        <v xml:space="preserve">BOVE                     ANNA                     </v>
      </c>
      <c r="E4739" t="str">
        <f>"BOGALUSA                  "</f>
        <v xml:space="preserve">BOGALUSA                  </v>
      </c>
      <c r="F4739" t="str">
        <f t="shared" si="182"/>
        <v>LA</v>
      </c>
    </row>
    <row r="4740" spans="1:6" x14ac:dyDescent="0.25">
      <c r="A4740" t="str">
        <f>"200025039"</f>
        <v>200025039</v>
      </c>
      <c r="B4740" t="str">
        <f>"1639556483"</f>
        <v>1639556483</v>
      </c>
      <c r="C4740" t="str">
        <f>"207RN0300X"</f>
        <v>207RN0300X</v>
      </c>
      <c r="D4740" t="str">
        <f>"ALVARADO                 FLOR         E           "</f>
        <v xml:space="preserve">ALVARADO                 FLOR         E           </v>
      </c>
      <c r="E4740" t="str">
        <f>"METAIRIE                  "</f>
        <v xml:space="preserve">METAIRIE                  </v>
      </c>
      <c r="F4740" t="str">
        <f t="shared" si="182"/>
        <v>LA</v>
      </c>
    </row>
    <row r="4741" spans="1:6" x14ac:dyDescent="0.25">
      <c r="A4741" t="str">
        <f>"200025040"</f>
        <v>200025040</v>
      </c>
      <c r="B4741" t="str">
        <f>"1427940352"</f>
        <v>1427940352</v>
      </c>
      <c r="C4741" t="str">
        <f>"363A00000X"</f>
        <v>363A00000X</v>
      </c>
      <c r="D4741" t="str">
        <f>"FONTENOT                 LAUREN                   "</f>
        <v xml:space="preserve">FONTENOT                 LAUREN                   </v>
      </c>
      <c r="E4741" t="str">
        <f>"NEW ORLEANS               "</f>
        <v xml:space="preserve">NEW ORLEANS               </v>
      </c>
      <c r="F4741" t="str">
        <f t="shared" si="182"/>
        <v>LA</v>
      </c>
    </row>
    <row r="4742" spans="1:6" x14ac:dyDescent="0.25">
      <c r="A4742" t="str">
        <f>"200025041"</f>
        <v>200025041</v>
      </c>
      <c r="B4742" t="str">
        <f>"1962853630"</f>
        <v>1962853630</v>
      </c>
      <c r="C4742" t="str">
        <f>"367500000X"</f>
        <v>367500000X</v>
      </c>
      <c r="D4742" t="str">
        <f>"VASQUEZ                  KATHERINE    B           "</f>
        <v xml:space="preserve">VASQUEZ                  KATHERINE    B           </v>
      </c>
      <c r="E4742" t="str">
        <f>"COVINGTON                 "</f>
        <v xml:space="preserve">COVINGTON                 </v>
      </c>
      <c r="F4742" t="str">
        <f t="shared" si="182"/>
        <v>LA</v>
      </c>
    </row>
    <row r="4743" spans="1:6" x14ac:dyDescent="0.25">
      <c r="A4743" t="str">
        <f>"200025044"</f>
        <v>200025044</v>
      </c>
      <c r="B4743" t="str">
        <f>"1922001452"</f>
        <v>1922001452</v>
      </c>
      <c r="C4743" t="str">
        <f>"207L00000X"</f>
        <v>207L00000X</v>
      </c>
      <c r="D4743" t="str">
        <f>"MCCASLIN                 PATRICK                  "</f>
        <v xml:space="preserve">MCCASLIN                 PATRICK                  </v>
      </c>
      <c r="E4743" t="str">
        <f>"COVINGTON                 "</f>
        <v xml:space="preserve">COVINGTON                 </v>
      </c>
      <c r="F4743" t="str">
        <f t="shared" si="182"/>
        <v>LA</v>
      </c>
    </row>
    <row r="4744" spans="1:6" x14ac:dyDescent="0.25">
      <c r="A4744" t="str">
        <f>"200025048"</f>
        <v>200025048</v>
      </c>
      <c r="B4744" t="str">
        <f>"1679611974"</f>
        <v>1679611974</v>
      </c>
      <c r="C4744" t="str">
        <f>"207RE0101X"</f>
        <v>207RE0101X</v>
      </c>
      <c r="D4744" t="str">
        <f>"KAWJI                    HAYTHAM                  "</f>
        <v xml:space="preserve">KAWJI                    HAYTHAM                  </v>
      </c>
      <c r="E4744" t="str">
        <f>"SAINT FRANCISVILLE        "</f>
        <v xml:space="preserve">SAINT FRANCISVILLE        </v>
      </c>
      <c r="F4744" t="str">
        <f t="shared" si="182"/>
        <v>LA</v>
      </c>
    </row>
    <row r="4745" spans="1:6" x14ac:dyDescent="0.25">
      <c r="A4745" t="str">
        <f>"200025049"</f>
        <v>200025049</v>
      </c>
      <c r="B4745" t="str">
        <f>"1689789083"</f>
        <v>1689789083</v>
      </c>
      <c r="C4745" t="str">
        <f>"208600000X"</f>
        <v>208600000X</v>
      </c>
      <c r="D4745" t="str">
        <f>"SELIM                    NIAZY                    "</f>
        <v xml:space="preserve">SELIM                    NIAZY                    </v>
      </c>
      <c r="E4745" t="str">
        <f>"TALLULAH                  "</f>
        <v xml:space="preserve">TALLULAH                  </v>
      </c>
      <c r="F4745" t="str">
        <f t="shared" si="182"/>
        <v>LA</v>
      </c>
    </row>
    <row r="4746" spans="1:6" x14ac:dyDescent="0.25">
      <c r="A4746" t="str">
        <f>"200025052"</f>
        <v>200025052</v>
      </c>
      <c r="B4746" t="str">
        <f>"1104880608"</f>
        <v>1104880608</v>
      </c>
      <c r="C4746" t="str">
        <f>"207RR0500X"</f>
        <v>207RR0500X</v>
      </c>
      <c r="D4746" t="str">
        <f>"ANG                      DENNIS                   "</f>
        <v xml:space="preserve">ANG                      DENNIS                   </v>
      </c>
      <c r="E4746" t="str">
        <f>"NEW ORLEANS               "</f>
        <v xml:space="preserve">NEW ORLEANS               </v>
      </c>
      <c r="F4746" t="str">
        <f t="shared" si="182"/>
        <v>LA</v>
      </c>
    </row>
    <row r="4747" spans="1:6" x14ac:dyDescent="0.25">
      <c r="A4747" t="str">
        <f>"200025055"</f>
        <v>200025055</v>
      </c>
      <c r="B4747" t="str">
        <f>"1497204291"</f>
        <v>1497204291</v>
      </c>
      <c r="C4747" t="str">
        <f>"207RI0011X"</f>
        <v>207RI0011X</v>
      </c>
      <c r="D4747" t="str">
        <f>"SANINA                   CRISITINA                "</f>
        <v xml:space="preserve">SANINA                   CRISITINA                </v>
      </c>
      <c r="E4747" t="str">
        <f>"METAIRIE                  "</f>
        <v xml:space="preserve">METAIRIE                  </v>
      </c>
      <c r="F4747" t="str">
        <f t="shared" si="182"/>
        <v>LA</v>
      </c>
    </row>
    <row r="4748" spans="1:6" x14ac:dyDescent="0.25">
      <c r="A4748" t="str">
        <f>"200025056"</f>
        <v>200025056</v>
      </c>
      <c r="B4748" t="str">
        <f>"1306466818"</f>
        <v>1306466818</v>
      </c>
      <c r="C4748" t="str">
        <f>"207RE0101X"</f>
        <v>207RE0101X</v>
      </c>
      <c r="D4748" t="str">
        <f>"CAMELO PEREIRA           MARIANA                  "</f>
        <v xml:space="preserve">CAMELO PEREIRA           MARIANA                  </v>
      </c>
      <c r="E4748" t="str">
        <f>"SLIDELL                   "</f>
        <v xml:space="preserve">SLIDELL                   </v>
      </c>
      <c r="F4748" t="str">
        <f t="shared" si="182"/>
        <v>LA</v>
      </c>
    </row>
    <row r="4749" spans="1:6" x14ac:dyDescent="0.25">
      <c r="A4749" t="str">
        <f>"200025085"</f>
        <v>200025085</v>
      </c>
      <c r="B4749" t="str">
        <f>"1699400804"</f>
        <v>1699400804</v>
      </c>
      <c r="C4749" t="str">
        <f>"363A00000X"</f>
        <v>363A00000X</v>
      </c>
      <c r="D4749" t="str">
        <f>"BERISH                   BAILEY                   "</f>
        <v xml:space="preserve">BERISH                   BAILEY                   </v>
      </c>
      <c r="E4749" t="str">
        <f>"NEW ORLEANS               "</f>
        <v xml:space="preserve">NEW ORLEANS               </v>
      </c>
      <c r="F4749" t="str">
        <f t="shared" si="182"/>
        <v>LA</v>
      </c>
    </row>
    <row r="4750" spans="1:6" x14ac:dyDescent="0.25">
      <c r="A4750" t="str">
        <f>"200025088"</f>
        <v>200025088</v>
      </c>
      <c r="B4750" t="str">
        <f>"1851404651"</f>
        <v>1851404651</v>
      </c>
      <c r="C4750" t="str">
        <f>"367500000X"</f>
        <v>367500000X</v>
      </c>
      <c r="D4750" t="str">
        <f>"BENNER                   REGINA                   "</f>
        <v xml:space="preserve">BENNER                   REGINA                   </v>
      </c>
      <c r="E4750" t="str">
        <f>"METAIRIE                  "</f>
        <v xml:space="preserve">METAIRIE                  </v>
      </c>
      <c r="F4750" t="str">
        <f t="shared" si="182"/>
        <v>LA</v>
      </c>
    </row>
    <row r="4751" spans="1:6" x14ac:dyDescent="0.25">
      <c r="A4751" t="str">
        <f>"200025092"</f>
        <v>200025092</v>
      </c>
      <c r="B4751" t="str">
        <f>"1174637300"</f>
        <v>1174637300</v>
      </c>
      <c r="C4751" t="str">
        <f>"207RG0100X"</f>
        <v>207RG0100X</v>
      </c>
      <c r="D4751" t="str">
        <f>"GLOVER                   SARAH        C           "</f>
        <v xml:space="preserve">GLOVER                   SARAH        C           </v>
      </c>
      <c r="E4751" t="str">
        <f>"NEW ORLEANS               "</f>
        <v xml:space="preserve">NEW ORLEANS               </v>
      </c>
      <c r="F4751" t="str">
        <f t="shared" si="182"/>
        <v>LA</v>
      </c>
    </row>
    <row r="4752" spans="1:6" x14ac:dyDescent="0.25">
      <c r="A4752" t="str">
        <f>"200025094"</f>
        <v>200025094</v>
      </c>
      <c r="B4752" t="str">
        <f>"1669115895"</f>
        <v>1669115895</v>
      </c>
      <c r="C4752" t="str">
        <f>"207Q00000X"</f>
        <v>207Q00000X</v>
      </c>
      <c r="D4752" t="str">
        <f>"DEHNER                   MADELINE                 "</f>
        <v xml:space="preserve">DEHNER                   MADELINE                 </v>
      </c>
      <c r="E4752" t="str">
        <f>"BATON ROUGE               "</f>
        <v xml:space="preserve">BATON ROUGE               </v>
      </c>
      <c r="F4752" t="str">
        <f t="shared" si="182"/>
        <v>LA</v>
      </c>
    </row>
    <row r="4753" spans="1:6" x14ac:dyDescent="0.25">
      <c r="A4753" t="str">
        <f>"200025109"</f>
        <v>200025109</v>
      </c>
      <c r="B4753" t="str">
        <f>"1679007736"</f>
        <v>1679007736</v>
      </c>
      <c r="C4753" t="str">
        <f>"207Q00000X"</f>
        <v>207Q00000X</v>
      </c>
      <c r="D4753" t="str">
        <f>"ADETOBA                  OLADUNNI                 "</f>
        <v xml:space="preserve">ADETOBA                  OLADUNNI                 </v>
      </c>
      <c r="E4753" t="str">
        <f>"NEW ORLEANS               "</f>
        <v xml:space="preserve">NEW ORLEANS               </v>
      </c>
      <c r="F4753" t="str">
        <f t="shared" si="182"/>
        <v>LA</v>
      </c>
    </row>
    <row r="4754" spans="1:6" x14ac:dyDescent="0.25">
      <c r="A4754" t="str">
        <f>"200025117"</f>
        <v>200025117</v>
      </c>
      <c r="B4754" t="str">
        <f>"1821732538"</f>
        <v>1821732538</v>
      </c>
      <c r="C4754" t="str">
        <f>"207R00000X"</f>
        <v>207R00000X</v>
      </c>
      <c r="D4754" t="str">
        <f>"JONES                    ADARSH                   "</f>
        <v xml:space="preserve">JONES                    ADARSH                   </v>
      </c>
      <c r="E4754" t="str">
        <f>"NEW ORLEANS               "</f>
        <v xml:space="preserve">NEW ORLEANS               </v>
      </c>
      <c r="F4754" t="str">
        <f t="shared" si="182"/>
        <v>LA</v>
      </c>
    </row>
    <row r="4755" spans="1:6" x14ac:dyDescent="0.25">
      <c r="A4755" t="str">
        <f>"200025139"</f>
        <v>200025139</v>
      </c>
      <c r="B4755" t="str">
        <f>"1881655413"</f>
        <v>1881655413</v>
      </c>
      <c r="C4755" t="str">
        <f>"367500000X"</f>
        <v>367500000X</v>
      </c>
      <c r="D4755" t="str">
        <f>"BATES                    LARRY        C           "</f>
        <v xml:space="preserve">BATES                    LARRY        C           </v>
      </c>
      <c r="E4755" t="str">
        <f>"COVINGTON                 "</f>
        <v xml:space="preserve">COVINGTON                 </v>
      </c>
      <c r="F4755" t="str">
        <f t="shared" si="182"/>
        <v>LA</v>
      </c>
    </row>
    <row r="4756" spans="1:6" x14ac:dyDescent="0.25">
      <c r="A4756" t="str">
        <f>"200025157"</f>
        <v>200025157</v>
      </c>
      <c r="B4756" t="str">
        <f>"1497985238"</f>
        <v>1497985238</v>
      </c>
      <c r="C4756" t="str">
        <f>"207R00000X"</f>
        <v>207R00000X</v>
      </c>
      <c r="D4756" t="str">
        <f>"RAMASAHAYAM              LAKSHMI                  "</f>
        <v xml:space="preserve">RAMASAHAYAM              LAKSHMI                  </v>
      </c>
      <c r="E4756" t="str">
        <f>"KENNER                    "</f>
        <v xml:space="preserve">KENNER                    </v>
      </c>
      <c r="F4756" t="str">
        <f t="shared" si="182"/>
        <v>LA</v>
      </c>
    </row>
    <row r="4757" spans="1:6" x14ac:dyDescent="0.25">
      <c r="A4757" t="str">
        <f>"200025159"</f>
        <v>200025159</v>
      </c>
      <c r="B4757" t="str">
        <f>"1215263009"</f>
        <v>1215263009</v>
      </c>
      <c r="C4757" t="str">
        <f>"207RI0200X"</f>
        <v>207RI0200X</v>
      </c>
      <c r="D4757" t="str">
        <f>"VOOTUKURI                SHOBHA                   "</f>
        <v xml:space="preserve">VOOTUKURI                SHOBHA                   </v>
      </c>
      <c r="E4757" t="str">
        <f>"BATON ROUGE               "</f>
        <v xml:space="preserve">BATON ROUGE               </v>
      </c>
      <c r="F4757" t="str">
        <f t="shared" si="182"/>
        <v>LA</v>
      </c>
    </row>
    <row r="4758" spans="1:6" x14ac:dyDescent="0.25">
      <c r="A4758" t="str">
        <f>"200025160"</f>
        <v>200025160</v>
      </c>
      <c r="B4758" t="str">
        <f>"1457618456"</f>
        <v>1457618456</v>
      </c>
      <c r="C4758" t="str">
        <f>"207R00000X"</f>
        <v>207R00000X</v>
      </c>
      <c r="D4758" t="str">
        <f>"SCHWARTZ                 GENE                     "</f>
        <v xml:space="preserve">SCHWARTZ                 GENE                     </v>
      </c>
      <c r="E4758" t="str">
        <f>"ZACHARY                   "</f>
        <v xml:space="preserve">ZACHARY                   </v>
      </c>
      <c r="F4758" t="str">
        <f t="shared" si="182"/>
        <v>LA</v>
      </c>
    </row>
    <row r="4759" spans="1:6" x14ac:dyDescent="0.25">
      <c r="A4759" t="str">
        <f>"200025163"</f>
        <v>200025163</v>
      </c>
      <c r="B4759" t="str">
        <f>"1265939037"</f>
        <v>1265939037</v>
      </c>
      <c r="C4759" t="str">
        <f>"207RC0200X"</f>
        <v>207RC0200X</v>
      </c>
      <c r="D4759" t="str">
        <f>"ESPINOZA BARRERA         DIANA        E           "</f>
        <v xml:space="preserve">ESPINOZA BARRERA         DIANA        E           </v>
      </c>
      <c r="E4759" t="str">
        <f>"METAIRIE                  "</f>
        <v xml:space="preserve">METAIRIE                  </v>
      </c>
      <c r="F4759" t="str">
        <f t="shared" si="182"/>
        <v>LA</v>
      </c>
    </row>
    <row r="4760" spans="1:6" x14ac:dyDescent="0.25">
      <c r="A4760" t="str">
        <f>"200025174"</f>
        <v>200025174</v>
      </c>
      <c r="B4760" t="str">
        <f>"1831432137"</f>
        <v>1831432137</v>
      </c>
      <c r="C4760" t="str">
        <f>"207Q00000X"</f>
        <v>207Q00000X</v>
      </c>
      <c r="D4760" t="str">
        <f>"GUTIERREZ                IRENE                    "</f>
        <v xml:space="preserve">GUTIERREZ                IRENE                    </v>
      </c>
      <c r="E4760" t="str">
        <f>"HAMMOND                   "</f>
        <v xml:space="preserve">HAMMOND                   </v>
      </c>
      <c r="F4760" t="str">
        <f t="shared" si="182"/>
        <v>LA</v>
      </c>
    </row>
    <row r="4761" spans="1:6" x14ac:dyDescent="0.25">
      <c r="A4761" t="str">
        <f>"200025181"</f>
        <v>200025181</v>
      </c>
      <c r="B4761" t="str">
        <f>"1356027841"</f>
        <v>1356027841</v>
      </c>
      <c r="C4761" t="str">
        <f>"363A00000X"</f>
        <v>363A00000X</v>
      </c>
      <c r="D4761" t="str">
        <f>"CAROTHERS                NICHOLAS                 "</f>
        <v xml:space="preserve">CAROTHERS                NICHOLAS                 </v>
      </c>
      <c r="E4761" t="str">
        <f>"NEW ORLEANS               "</f>
        <v xml:space="preserve">NEW ORLEANS               </v>
      </c>
      <c r="F4761" t="str">
        <f t="shared" si="182"/>
        <v>LA</v>
      </c>
    </row>
    <row r="4762" spans="1:6" x14ac:dyDescent="0.25">
      <c r="A4762" t="str">
        <f>"200025184"</f>
        <v>200025184</v>
      </c>
      <c r="B4762" t="str">
        <f>"1114719838"</f>
        <v>1114719838</v>
      </c>
      <c r="C4762" t="str">
        <f>"363A00000X"</f>
        <v>363A00000X</v>
      </c>
      <c r="D4762" t="str">
        <f>"WEBER                    JASMINE                  "</f>
        <v xml:space="preserve">WEBER                    JASMINE                  </v>
      </c>
      <c r="E4762" t="str">
        <f>"NEW ORLEANS               "</f>
        <v xml:space="preserve">NEW ORLEANS               </v>
      </c>
      <c r="F4762" t="str">
        <f t="shared" si="182"/>
        <v>LA</v>
      </c>
    </row>
    <row r="4763" spans="1:6" x14ac:dyDescent="0.25">
      <c r="A4763" t="str">
        <f>"200025190"</f>
        <v>200025190</v>
      </c>
      <c r="B4763" t="str">
        <f>"1013804723"</f>
        <v>1013804723</v>
      </c>
      <c r="C4763" t="str">
        <f>"363A00000X"</f>
        <v>363A00000X</v>
      </c>
      <c r="D4763" t="str">
        <f>"CAILLET                  CELESTE                  "</f>
        <v xml:space="preserve">CAILLET                  CELESTE                  </v>
      </c>
      <c r="E4763" t="str">
        <f>"NEW ORLEANS               "</f>
        <v xml:space="preserve">NEW ORLEANS               </v>
      </c>
      <c r="F4763" t="str">
        <f t="shared" ref="F4763:F4826" si="183">"LA"</f>
        <v>LA</v>
      </c>
    </row>
    <row r="4764" spans="1:6" x14ac:dyDescent="0.25">
      <c r="A4764" t="str">
        <f>"200025208"</f>
        <v>200025208</v>
      </c>
      <c r="B4764" t="str">
        <f>"1316642531"</f>
        <v>1316642531</v>
      </c>
      <c r="C4764" t="str">
        <f>"207P00000X"</f>
        <v>207P00000X</v>
      </c>
      <c r="D4764" t="str">
        <f>"CASTIN                   BENJAMIN                 "</f>
        <v xml:space="preserve">CASTIN                   BENJAMIN                 </v>
      </c>
      <c r="E4764" t="str">
        <f>"BOGALUSA                  "</f>
        <v xml:space="preserve">BOGALUSA                  </v>
      </c>
      <c r="F4764" t="str">
        <f t="shared" si="183"/>
        <v>LA</v>
      </c>
    </row>
    <row r="4765" spans="1:6" x14ac:dyDescent="0.25">
      <c r="A4765" t="str">
        <f>"200025215"</f>
        <v>200025215</v>
      </c>
      <c r="B4765" t="str">
        <f>"1255367132"</f>
        <v>1255367132</v>
      </c>
      <c r="C4765" t="str">
        <f>"207ZP0102X"</f>
        <v>207ZP0102X</v>
      </c>
      <c r="D4765" t="str">
        <f>"MARTIN III               EDWARD       J           "</f>
        <v xml:space="preserve">MARTIN III               EDWARD       J           </v>
      </c>
      <c r="E4765" t="str">
        <f>"METAIRIE                  "</f>
        <v xml:space="preserve">METAIRIE                  </v>
      </c>
      <c r="F4765" t="str">
        <f t="shared" si="183"/>
        <v>LA</v>
      </c>
    </row>
    <row r="4766" spans="1:6" x14ac:dyDescent="0.25">
      <c r="A4766" t="str">
        <f>"200025222"</f>
        <v>200025222</v>
      </c>
      <c r="B4766" t="str">
        <f>"1972155513"</f>
        <v>1972155513</v>
      </c>
      <c r="C4766" t="str">
        <f>"2084N0400X"</f>
        <v>2084N0400X</v>
      </c>
      <c r="D4766" t="str">
        <f>"ARIZA HUTCHINSON         VALERIA                  "</f>
        <v xml:space="preserve">ARIZA HUTCHINSON         VALERIA                  </v>
      </c>
      <c r="E4766" t="str">
        <f>"METAIRIE                  "</f>
        <v xml:space="preserve">METAIRIE                  </v>
      </c>
      <c r="F4766" t="str">
        <f t="shared" si="183"/>
        <v>LA</v>
      </c>
    </row>
    <row r="4767" spans="1:6" x14ac:dyDescent="0.25">
      <c r="A4767" t="str">
        <f>"200025225"</f>
        <v>200025225</v>
      </c>
      <c r="B4767" t="str">
        <f>"1922740190"</f>
        <v>1922740190</v>
      </c>
      <c r="C4767" t="str">
        <f>"207RC0000X"</f>
        <v>207RC0000X</v>
      </c>
      <c r="D4767" t="str">
        <f>"ABDELSALAM               MOHAMMED                 "</f>
        <v xml:space="preserve">ABDELSALAM               MOHAMMED                 </v>
      </c>
      <c r="E4767" t="str">
        <f>"NEW ORLEANS               "</f>
        <v xml:space="preserve">NEW ORLEANS               </v>
      </c>
      <c r="F4767" t="str">
        <f t="shared" si="183"/>
        <v>LA</v>
      </c>
    </row>
    <row r="4768" spans="1:6" x14ac:dyDescent="0.25">
      <c r="A4768" t="str">
        <f>"200025234"</f>
        <v>200025234</v>
      </c>
      <c r="B4768" t="str">
        <f>"1356665368"</f>
        <v>1356665368</v>
      </c>
      <c r="C4768" t="str">
        <f>"207P00000X"</f>
        <v>207P00000X</v>
      </c>
      <c r="D4768" t="str">
        <f>"LEWIS                    DYWANDA                  "</f>
        <v xml:space="preserve">LEWIS                    DYWANDA                  </v>
      </c>
      <c r="E4768" t="str">
        <f>"FERRIDAY                  "</f>
        <v xml:space="preserve">FERRIDAY                  </v>
      </c>
      <c r="F4768" t="str">
        <f t="shared" si="183"/>
        <v>LA</v>
      </c>
    </row>
    <row r="4769" spans="1:6" x14ac:dyDescent="0.25">
      <c r="A4769" t="str">
        <f>"200025245"</f>
        <v>200025245</v>
      </c>
      <c r="B4769" t="str">
        <f>"1285992602"</f>
        <v>1285992602</v>
      </c>
      <c r="C4769" t="str">
        <f>"207R00000X"</f>
        <v>207R00000X</v>
      </c>
      <c r="D4769" t="str">
        <f>"HABIBULLAH               MASUD                    "</f>
        <v xml:space="preserve">HABIBULLAH               MASUD                    </v>
      </c>
      <c r="E4769" t="str">
        <f>"NEW ORLEANS               "</f>
        <v xml:space="preserve">NEW ORLEANS               </v>
      </c>
      <c r="F4769" t="str">
        <f t="shared" si="183"/>
        <v>LA</v>
      </c>
    </row>
    <row r="4770" spans="1:6" x14ac:dyDescent="0.25">
      <c r="A4770" t="str">
        <f>"200025253"</f>
        <v>200025253</v>
      </c>
      <c r="B4770" t="str">
        <f>"1639630239"</f>
        <v>1639630239</v>
      </c>
      <c r="C4770" t="str">
        <f>"208M00000X"</f>
        <v>208M00000X</v>
      </c>
      <c r="D4770" t="str">
        <f>"FITZGERALD               CLAIRE       B           "</f>
        <v xml:space="preserve">FITZGERALD               CLAIRE       B           </v>
      </c>
      <c r="E4770" t="str">
        <f>"METAIRIE                  "</f>
        <v xml:space="preserve">METAIRIE                  </v>
      </c>
      <c r="F4770" t="str">
        <f t="shared" si="183"/>
        <v>LA</v>
      </c>
    </row>
    <row r="4771" spans="1:6" x14ac:dyDescent="0.25">
      <c r="A4771" t="str">
        <f>"200025261"</f>
        <v>200025261</v>
      </c>
      <c r="B4771" t="str">
        <f>"1205465309"</f>
        <v>1205465309</v>
      </c>
      <c r="C4771" t="str">
        <f>"367500000X"</f>
        <v>367500000X</v>
      </c>
      <c r="D4771" t="str">
        <f>"COSSE                    MITCHELL                 "</f>
        <v xml:space="preserve">COSSE                    MITCHELL                 </v>
      </c>
      <c r="E4771" t="str">
        <f>"SLIDELL                   "</f>
        <v xml:space="preserve">SLIDELL                   </v>
      </c>
      <c r="F4771" t="str">
        <f t="shared" si="183"/>
        <v>LA</v>
      </c>
    </row>
    <row r="4772" spans="1:6" x14ac:dyDescent="0.25">
      <c r="A4772" t="str">
        <f>"200025267"</f>
        <v>200025267</v>
      </c>
      <c r="B4772" t="str">
        <f>"1598652893"</f>
        <v>1598652893</v>
      </c>
      <c r="C4772" t="str">
        <f>"363A00000X"</f>
        <v>363A00000X</v>
      </c>
      <c r="D4772" t="str">
        <f>"COTTEN                   CAROLINE                 "</f>
        <v xml:space="preserve">COTTEN                   CAROLINE                 </v>
      </c>
      <c r="E4772" t="str">
        <f>"NEW ORLEANS               "</f>
        <v xml:space="preserve">NEW ORLEANS               </v>
      </c>
      <c r="F4772" t="str">
        <f t="shared" si="183"/>
        <v>LA</v>
      </c>
    </row>
    <row r="4773" spans="1:6" x14ac:dyDescent="0.25">
      <c r="A4773" t="str">
        <f>"200025274"</f>
        <v>200025274</v>
      </c>
      <c r="B4773" t="str">
        <f>"1619729407"</f>
        <v>1619729407</v>
      </c>
      <c r="C4773" t="str">
        <f>"207Q00000X"</f>
        <v>207Q00000X</v>
      </c>
      <c r="D4773" t="str">
        <f>"DORZEUS                  MITI-SHELLA              "</f>
        <v xml:space="preserve">DORZEUS                  MITI-SHELLA              </v>
      </c>
      <c r="E4773" t="str">
        <f>"BOGALUSA                  "</f>
        <v xml:space="preserve">BOGALUSA                  </v>
      </c>
      <c r="F4773" t="str">
        <f t="shared" si="183"/>
        <v>LA</v>
      </c>
    </row>
    <row r="4774" spans="1:6" x14ac:dyDescent="0.25">
      <c r="A4774" t="str">
        <f>"200025300"</f>
        <v>200025300</v>
      </c>
      <c r="B4774" t="str">
        <f>"1952303240"</f>
        <v>1952303240</v>
      </c>
      <c r="C4774" t="str">
        <f>"207Q00000X"</f>
        <v>207Q00000X</v>
      </c>
      <c r="D4774" t="str">
        <f>"GAUTAM                   CHAKSHU                  "</f>
        <v xml:space="preserve">GAUTAM                   CHAKSHU                  </v>
      </c>
      <c r="E4774" t="str">
        <f>"MARKSVILLE                "</f>
        <v xml:space="preserve">MARKSVILLE                </v>
      </c>
      <c r="F4774" t="str">
        <f t="shared" si="183"/>
        <v>LA</v>
      </c>
    </row>
    <row r="4775" spans="1:6" x14ac:dyDescent="0.25">
      <c r="A4775" t="str">
        <f>"200025325"</f>
        <v>200025325</v>
      </c>
      <c r="B4775" t="str">
        <f>"1710470836"</f>
        <v>1710470836</v>
      </c>
      <c r="C4775" t="str">
        <f>"2084N0400X"</f>
        <v>2084N0400X</v>
      </c>
      <c r="D4775" t="str">
        <f>"HOF                      CAITLIN                  "</f>
        <v xml:space="preserve">HOF                      CAITLIN                  </v>
      </c>
      <c r="E4775" t="str">
        <f>"HAMMOND                   "</f>
        <v xml:space="preserve">HAMMOND                   </v>
      </c>
      <c r="F4775" t="str">
        <f t="shared" si="183"/>
        <v>LA</v>
      </c>
    </row>
    <row r="4776" spans="1:6" x14ac:dyDescent="0.25">
      <c r="A4776" t="str">
        <f>"200025330"</f>
        <v>200025330</v>
      </c>
      <c r="B4776" t="str">
        <f>"1720170228"</f>
        <v>1720170228</v>
      </c>
      <c r="C4776" t="str">
        <f>"2084P0800X"</f>
        <v>2084P0800X</v>
      </c>
      <c r="D4776" t="str">
        <f>"BATES                    JOHN                     "</f>
        <v xml:space="preserve">BATES                    JOHN                     </v>
      </c>
      <c r="E4776" t="str">
        <f>"BATON ROUGE               "</f>
        <v xml:space="preserve">BATON ROUGE               </v>
      </c>
      <c r="F4776" t="str">
        <f t="shared" si="183"/>
        <v>LA</v>
      </c>
    </row>
    <row r="4777" spans="1:6" x14ac:dyDescent="0.25">
      <c r="A4777" t="str">
        <f>"200025357"</f>
        <v>200025357</v>
      </c>
      <c r="B4777" t="str">
        <f>"1972396562"</f>
        <v>1972396562</v>
      </c>
      <c r="C4777" t="str">
        <f>"367500000X"</f>
        <v>367500000X</v>
      </c>
      <c r="D4777" t="str">
        <f>"SCHROEDER                HOPE                     "</f>
        <v xml:space="preserve">SCHROEDER                HOPE                     </v>
      </c>
      <c r="E4777" t="str">
        <f>"SLIDELL                   "</f>
        <v xml:space="preserve">SLIDELL                   </v>
      </c>
      <c r="F4777" t="str">
        <f t="shared" si="183"/>
        <v>LA</v>
      </c>
    </row>
    <row r="4778" spans="1:6" x14ac:dyDescent="0.25">
      <c r="A4778" t="str">
        <f>"200025369"</f>
        <v>200025369</v>
      </c>
      <c r="B4778" t="str">
        <f>"1578990206"</f>
        <v>1578990206</v>
      </c>
      <c r="C4778" t="str">
        <f>"207V00000X"</f>
        <v>207V00000X</v>
      </c>
      <c r="D4778" t="str">
        <f>"STEWART                  NORMAN                   "</f>
        <v xml:space="preserve">STEWART                  NORMAN                   </v>
      </c>
      <c r="E4778" t="str">
        <f>"LAKE CHARLES              "</f>
        <v xml:space="preserve">LAKE CHARLES              </v>
      </c>
      <c r="F4778" t="str">
        <f t="shared" si="183"/>
        <v>LA</v>
      </c>
    </row>
    <row r="4779" spans="1:6" x14ac:dyDescent="0.25">
      <c r="A4779" t="str">
        <f>"200025400"</f>
        <v>200025400</v>
      </c>
      <c r="B4779" t="str">
        <f>"1871055673"</f>
        <v>1871055673</v>
      </c>
      <c r="C4779" t="str">
        <f>"207X00000X"</f>
        <v>207X00000X</v>
      </c>
      <c r="D4779" t="str">
        <f>"AKHTAR                   ZEESHAN                  "</f>
        <v xml:space="preserve">AKHTAR                   ZEESHAN                  </v>
      </c>
      <c r="E4779" t="str">
        <f>"NEW ORLEANS               "</f>
        <v xml:space="preserve">NEW ORLEANS               </v>
      </c>
      <c r="F4779" t="str">
        <f t="shared" si="183"/>
        <v>LA</v>
      </c>
    </row>
    <row r="4780" spans="1:6" x14ac:dyDescent="0.25">
      <c r="A4780" t="str">
        <f>"200025403"</f>
        <v>200025403</v>
      </c>
      <c r="B4780" t="str">
        <f>"1194288373"</f>
        <v>1194288373</v>
      </c>
      <c r="C4780" t="str">
        <f>"2085R0202X"</f>
        <v>2085R0202X</v>
      </c>
      <c r="D4780" t="str">
        <f>"SHAHBAZIAN               KEVIN                    "</f>
        <v xml:space="preserve">SHAHBAZIAN               KEVIN                    </v>
      </c>
      <c r="E4780" t="str">
        <f>"NEW ORLEANS               "</f>
        <v xml:space="preserve">NEW ORLEANS               </v>
      </c>
      <c r="F4780" t="str">
        <f t="shared" si="183"/>
        <v>LA</v>
      </c>
    </row>
    <row r="4781" spans="1:6" x14ac:dyDescent="0.25">
      <c r="A4781" t="str">
        <f>"200025404"</f>
        <v>200025404</v>
      </c>
      <c r="B4781" t="str">
        <f>"1871970988"</f>
        <v>1871970988</v>
      </c>
      <c r="C4781" t="str">
        <f>"207Q00000X"</f>
        <v>207Q00000X</v>
      </c>
      <c r="D4781" t="str">
        <f>"TAV                      BRITTANY                 "</f>
        <v xml:space="preserve">TAV                      BRITTANY                 </v>
      </c>
      <c r="E4781" t="str">
        <f>"METAIRIE                  "</f>
        <v xml:space="preserve">METAIRIE                  </v>
      </c>
      <c r="F4781" t="str">
        <f t="shared" si="183"/>
        <v>LA</v>
      </c>
    </row>
    <row r="4782" spans="1:6" x14ac:dyDescent="0.25">
      <c r="A4782" t="str">
        <f>"200025409"</f>
        <v>200025409</v>
      </c>
      <c r="B4782" t="str">
        <f>"1295518611"</f>
        <v>1295518611</v>
      </c>
      <c r="C4782" t="str">
        <f>"2085R0202X"</f>
        <v>2085R0202X</v>
      </c>
      <c r="D4782" t="str">
        <f>"SAMARA                   AHMED                    "</f>
        <v xml:space="preserve">SAMARA                   AHMED                    </v>
      </c>
      <c r="E4782" t="str">
        <f>"NEW ORLEANS               "</f>
        <v xml:space="preserve">NEW ORLEANS               </v>
      </c>
      <c r="F4782" t="str">
        <f t="shared" si="183"/>
        <v>LA</v>
      </c>
    </row>
    <row r="4783" spans="1:6" x14ac:dyDescent="0.25">
      <c r="A4783" t="str">
        <f>"200025419"</f>
        <v>200025419</v>
      </c>
      <c r="B4783" t="str">
        <f>"1063974319"</f>
        <v>1063974319</v>
      </c>
      <c r="C4783" t="str">
        <f>"207X00000X"</f>
        <v>207X00000X</v>
      </c>
      <c r="D4783" t="str">
        <f>"WARDELL                  WILLIAM                  "</f>
        <v xml:space="preserve">WARDELL                  WILLIAM                  </v>
      </c>
      <c r="E4783" t="str">
        <f>"NEW ORLEANS               "</f>
        <v xml:space="preserve">NEW ORLEANS               </v>
      </c>
      <c r="F4783" t="str">
        <f t="shared" si="183"/>
        <v>LA</v>
      </c>
    </row>
    <row r="4784" spans="1:6" x14ac:dyDescent="0.25">
      <c r="A4784" t="str">
        <f>"200025429"</f>
        <v>200025429</v>
      </c>
      <c r="B4784" t="str">
        <f>"1396627659"</f>
        <v>1396627659</v>
      </c>
      <c r="C4784" t="str">
        <f>"363LA2100X"</f>
        <v>363LA2100X</v>
      </c>
      <c r="D4784" t="str">
        <f>"ROBERIE                  OLIVIA                   "</f>
        <v xml:space="preserve">ROBERIE                  OLIVIA                   </v>
      </c>
      <c r="E4784" t="str">
        <f>"NEW ORLEANS               "</f>
        <v xml:space="preserve">NEW ORLEANS               </v>
      </c>
      <c r="F4784" t="str">
        <f t="shared" si="183"/>
        <v>LA</v>
      </c>
    </row>
    <row r="4785" spans="1:6" x14ac:dyDescent="0.25">
      <c r="A4785" t="str">
        <f>"200025437"</f>
        <v>200025437</v>
      </c>
      <c r="B4785" t="str">
        <f>"1760128409"</f>
        <v>1760128409</v>
      </c>
      <c r="C4785" t="str">
        <f>"207Q00000X"</f>
        <v>207Q00000X</v>
      </c>
      <c r="D4785" t="str">
        <f>"SULTAN                   WALEED                   "</f>
        <v xml:space="preserve">SULTAN                   WALEED                   </v>
      </c>
      <c r="E4785" t="str">
        <f>"METAIRIE                  "</f>
        <v xml:space="preserve">METAIRIE                  </v>
      </c>
      <c r="F4785" t="str">
        <f t="shared" si="183"/>
        <v>LA</v>
      </c>
    </row>
    <row r="4786" spans="1:6" x14ac:dyDescent="0.25">
      <c r="A4786" t="str">
        <f>"200025446"</f>
        <v>200025446</v>
      </c>
      <c r="B4786" t="str">
        <f>"1578753034"</f>
        <v>1578753034</v>
      </c>
      <c r="C4786" t="str">
        <f>"208600000X"</f>
        <v>208600000X</v>
      </c>
      <c r="D4786" t="str">
        <f>"VOLK                     JEROME       M           "</f>
        <v xml:space="preserve">VOLK                     JEROME       M           </v>
      </c>
      <c r="E4786" t="str">
        <f>"NEW ORLEANS               "</f>
        <v xml:space="preserve">NEW ORLEANS               </v>
      </c>
      <c r="F4786" t="str">
        <f t="shared" si="183"/>
        <v>LA</v>
      </c>
    </row>
    <row r="4787" spans="1:6" x14ac:dyDescent="0.25">
      <c r="A4787" t="str">
        <f>"200025467"</f>
        <v>200025467</v>
      </c>
      <c r="B4787" t="str">
        <f>"1194995936"</f>
        <v>1194995936</v>
      </c>
      <c r="C4787" t="str">
        <f>"2080P0208X"</f>
        <v>2080P0208X</v>
      </c>
      <c r="D4787" t="str">
        <f>"SCHIEFFELIN              JOHN                     "</f>
        <v xml:space="preserve">SCHIEFFELIN              JOHN                     </v>
      </c>
      <c r="E4787" t="str">
        <f>"NEW ORLEANS               "</f>
        <v xml:space="preserve">NEW ORLEANS               </v>
      </c>
      <c r="F4787" t="str">
        <f t="shared" si="183"/>
        <v>LA</v>
      </c>
    </row>
    <row r="4788" spans="1:6" x14ac:dyDescent="0.25">
      <c r="A4788" t="str">
        <f>"200025542"</f>
        <v>200025542</v>
      </c>
      <c r="B4788" t="str">
        <f>"1124414578"</f>
        <v>1124414578</v>
      </c>
      <c r="C4788" t="str">
        <f>"2080P0214X"</f>
        <v>2080P0214X</v>
      </c>
      <c r="D4788" t="str">
        <f>"NUSS                     LEAH                     "</f>
        <v xml:space="preserve">NUSS                     LEAH                     </v>
      </c>
      <c r="E4788" t="str">
        <f>"METAIRIE                  "</f>
        <v xml:space="preserve">METAIRIE                  </v>
      </c>
      <c r="F4788" t="str">
        <f t="shared" si="183"/>
        <v>LA</v>
      </c>
    </row>
    <row r="4789" spans="1:6" x14ac:dyDescent="0.25">
      <c r="A4789" t="str">
        <f>"200025574"</f>
        <v>200025574</v>
      </c>
      <c r="B4789" t="str">
        <f>"1619413861"</f>
        <v>1619413861</v>
      </c>
      <c r="C4789" t="str">
        <f>"363LF0000X"</f>
        <v>363LF0000X</v>
      </c>
      <c r="D4789" t="str">
        <f>"JACKSON                  ELIZABETH                "</f>
        <v xml:space="preserve">JACKSON                  ELIZABETH                </v>
      </c>
      <c r="E4789" t="str">
        <f>"ZACHARY                   "</f>
        <v xml:space="preserve">ZACHARY                   </v>
      </c>
      <c r="F4789" t="str">
        <f t="shared" si="183"/>
        <v>LA</v>
      </c>
    </row>
    <row r="4790" spans="1:6" x14ac:dyDescent="0.25">
      <c r="A4790" t="str">
        <f>"200025595"</f>
        <v>200025595</v>
      </c>
      <c r="B4790" t="str">
        <f>"1588185177"</f>
        <v>1588185177</v>
      </c>
      <c r="C4790" t="str">
        <f>"2080P0006X"</f>
        <v>2080P0006X</v>
      </c>
      <c r="D4790" t="str">
        <f>"SHANK                    SARA                     "</f>
        <v xml:space="preserve">SHANK                    SARA                     </v>
      </c>
      <c r="E4790" t="str">
        <f>"COVINGTON                 "</f>
        <v xml:space="preserve">COVINGTON                 </v>
      </c>
      <c r="F4790" t="str">
        <f t="shared" si="183"/>
        <v>LA</v>
      </c>
    </row>
    <row r="4791" spans="1:6" x14ac:dyDescent="0.25">
      <c r="A4791" t="str">
        <f>"200025596"</f>
        <v>200025596</v>
      </c>
      <c r="B4791" t="str">
        <f>"1346735180"</f>
        <v>1346735180</v>
      </c>
      <c r="C4791" t="str">
        <f>"2080P0203X"</f>
        <v>2080P0203X</v>
      </c>
      <c r="D4791" t="str">
        <f>"SHIFERAW                 MESAFINT                 "</f>
        <v xml:space="preserve">SHIFERAW                 MESAFINT                 </v>
      </c>
      <c r="E4791" t="str">
        <f>"NEW ORLEANS               "</f>
        <v xml:space="preserve">NEW ORLEANS               </v>
      </c>
      <c r="F4791" t="str">
        <f t="shared" si="183"/>
        <v>LA</v>
      </c>
    </row>
    <row r="4792" spans="1:6" x14ac:dyDescent="0.25">
      <c r="A4792" t="str">
        <f>"200025599"</f>
        <v>200025599</v>
      </c>
      <c r="B4792" t="str">
        <f>"1003818287"</f>
        <v>1003818287</v>
      </c>
      <c r="C4792" t="str">
        <f>"363L00000X"</f>
        <v>363L00000X</v>
      </c>
      <c r="D4792" t="str">
        <f>"STEIN                    JEFFREY                  "</f>
        <v xml:space="preserve">STEIN                    JEFFREY                  </v>
      </c>
      <c r="E4792" t="str">
        <f>"COVINGTON                 "</f>
        <v xml:space="preserve">COVINGTON                 </v>
      </c>
      <c r="F4792" t="str">
        <f t="shared" si="183"/>
        <v>LA</v>
      </c>
    </row>
    <row r="4793" spans="1:6" x14ac:dyDescent="0.25">
      <c r="A4793" t="str">
        <f>"200025603"</f>
        <v>200025603</v>
      </c>
      <c r="B4793" t="str">
        <f>"1285791160"</f>
        <v>1285791160</v>
      </c>
      <c r="C4793" t="str">
        <f>"2080P0202X"</f>
        <v>2080P0202X</v>
      </c>
      <c r="D4793" t="str">
        <f>"HIRSCH                   RUSSEL                   "</f>
        <v xml:space="preserve">HIRSCH                   RUSSEL                   </v>
      </c>
      <c r="E4793" t="str">
        <f>"NEW ORLEANS               "</f>
        <v xml:space="preserve">NEW ORLEANS               </v>
      </c>
      <c r="F4793" t="str">
        <f t="shared" si="183"/>
        <v>LA</v>
      </c>
    </row>
    <row r="4794" spans="1:6" x14ac:dyDescent="0.25">
      <c r="A4794" t="str">
        <f>"200025607"</f>
        <v>200025607</v>
      </c>
      <c r="B4794" t="str">
        <f>"1457919409"</f>
        <v>1457919409</v>
      </c>
      <c r="C4794" t="str">
        <f>"363A00000X"</f>
        <v>363A00000X</v>
      </c>
      <c r="D4794" t="str">
        <f>"LAVESPERE                BLAKE                    "</f>
        <v xml:space="preserve">LAVESPERE                BLAKE                    </v>
      </c>
      <c r="E4794" t="str">
        <f>"NEW ORLEANS               "</f>
        <v xml:space="preserve">NEW ORLEANS               </v>
      </c>
      <c r="F4794" t="str">
        <f t="shared" si="183"/>
        <v>LA</v>
      </c>
    </row>
    <row r="4795" spans="1:6" x14ac:dyDescent="0.25">
      <c r="A4795" t="str">
        <f>"200025611"</f>
        <v>200025611</v>
      </c>
      <c r="B4795" t="str">
        <f>"1891980777"</f>
        <v>1891980777</v>
      </c>
      <c r="C4795" t="str">
        <f>"208M00000X"</f>
        <v>208M00000X</v>
      </c>
      <c r="D4795" t="str">
        <f>"CHASTAIN                 WILLIAM                  "</f>
        <v xml:space="preserve">CHASTAIN                 WILLIAM                  </v>
      </c>
      <c r="E4795" t="str">
        <f>"NEW ORLEANS               "</f>
        <v xml:space="preserve">NEW ORLEANS               </v>
      </c>
      <c r="F4795" t="str">
        <f t="shared" si="183"/>
        <v>LA</v>
      </c>
    </row>
    <row r="4796" spans="1:6" x14ac:dyDescent="0.25">
      <c r="A4796" t="str">
        <f>"200025618"</f>
        <v>200025618</v>
      </c>
      <c r="B4796" t="str">
        <f>"1477302115"</f>
        <v>1477302115</v>
      </c>
      <c r="C4796" t="str">
        <f>"363LF0000X"</f>
        <v>363LF0000X</v>
      </c>
      <c r="D4796" t="str">
        <f>"ROBERTSON                TIFFANY                  "</f>
        <v xml:space="preserve">ROBERTSON                TIFFANY                  </v>
      </c>
      <c r="E4796" t="str">
        <f>"BATON ROUGE               "</f>
        <v xml:space="preserve">BATON ROUGE               </v>
      </c>
      <c r="F4796" t="str">
        <f t="shared" si="183"/>
        <v>LA</v>
      </c>
    </row>
    <row r="4797" spans="1:6" x14ac:dyDescent="0.25">
      <c r="A4797" t="str">
        <f>"200025620"</f>
        <v>200025620</v>
      </c>
      <c r="B4797" t="str">
        <f>"1073581500"</f>
        <v>1073581500</v>
      </c>
      <c r="C4797" t="str">
        <f>"367500000X"</f>
        <v>367500000X</v>
      </c>
      <c r="D4797" t="str">
        <f>"HOPKINS, III             GEORGE                   "</f>
        <v xml:space="preserve">HOPKINS, III             GEORGE                   </v>
      </c>
      <c r="E4797" t="str">
        <f>"NEW ORLEANS               "</f>
        <v xml:space="preserve">NEW ORLEANS               </v>
      </c>
      <c r="F4797" t="str">
        <f t="shared" si="183"/>
        <v>LA</v>
      </c>
    </row>
    <row r="4798" spans="1:6" x14ac:dyDescent="0.25">
      <c r="A4798" t="str">
        <f>"200025623"</f>
        <v>200025623</v>
      </c>
      <c r="B4798" t="str">
        <f>"1164513917"</f>
        <v>1164513917</v>
      </c>
      <c r="C4798" t="str">
        <f>"207P00000X"</f>
        <v>207P00000X</v>
      </c>
      <c r="D4798" t="str">
        <f>"BOONPRAKONG              ORN-USA                  "</f>
        <v xml:space="preserve">BOONPRAKONG              ORN-USA                  </v>
      </c>
      <c r="E4798" t="str">
        <f>"NEW ORLEANS               "</f>
        <v xml:space="preserve">NEW ORLEANS               </v>
      </c>
      <c r="F4798" t="str">
        <f t="shared" si="183"/>
        <v>LA</v>
      </c>
    </row>
    <row r="4799" spans="1:6" x14ac:dyDescent="0.25">
      <c r="A4799" t="str">
        <f>"200025624"</f>
        <v>200025624</v>
      </c>
      <c r="B4799" t="str">
        <f>"1982717450"</f>
        <v>1982717450</v>
      </c>
      <c r="C4799" t="str">
        <f>"207P00000X"</f>
        <v>207P00000X</v>
      </c>
      <c r="D4799" t="str">
        <f>"BLOCKER                  WESLEY                   "</f>
        <v xml:space="preserve">BLOCKER                  WESLEY                   </v>
      </c>
      <c r="E4799" t="str">
        <f>"ZACHARY                   "</f>
        <v xml:space="preserve">ZACHARY                   </v>
      </c>
      <c r="F4799" t="str">
        <f t="shared" si="183"/>
        <v>LA</v>
      </c>
    </row>
    <row r="4800" spans="1:6" x14ac:dyDescent="0.25">
      <c r="A4800" t="str">
        <f>"200025633"</f>
        <v>200025633</v>
      </c>
      <c r="B4800" t="str">
        <f>"1538656020"</f>
        <v>1538656020</v>
      </c>
      <c r="C4800" t="str">
        <f>"207R00000X"</f>
        <v>207R00000X</v>
      </c>
      <c r="D4800" t="str">
        <f>"QASIM                    NAVEED                   "</f>
        <v xml:space="preserve">QASIM                    NAVEED                   </v>
      </c>
      <c r="E4800" t="str">
        <f>"NEW ORLEANS               "</f>
        <v xml:space="preserve">NEW ORLEANS               </v>
      </c>
      <c r="F4800" t="str">
        <f t="shared" si="183"/>
        <v>LA</v>
      </c>
    </row>
    <row r="4801" spans="1:6" x14ac:dyDescent="0.25">
      <c r="A4801" t="str">
        <f>"200025634"</f>
        <v>200025634</v>
      </c>
      <c r="B4801" t="str">
        <f>"1063393775"</f>
        <v>1063393775</v>
      </c>
      <c r="C4801" t="str">
        <f>"363A00000X"</f>
        <v>363A00000X</v>
      </c>
      <c r="D4801" t="str">
        <f>"HEYL                     CORINNE                  "</f>
        <v xml:space="preserve">HEYL                     CORINNE                  </v>
      </c>
      <c r="E4801" t="str">
        <f>"BATON ROUGE               "</f>
        <v xml:space="preserve">BATON ROUGE               </v>
      </c>
      <c r="F4801" t="str">
        <f t="shared" si="183"/>
        <v>LA</v>
      </c>
    </row>
    <row r="4802" spans="1:6" x14ac:dyDescent="0.25">
      <c r="A4802" t="str">
        <f>"200025644"</f>
        <v>200025644</v>
      </c>
      <c r="B4802" t="str">
        <f>"1952709313"</f>
        <v>1952709313</v>
      </c>
      <c r="C4802" t="str">
        <f>"367500000X"</f>
        <v>367500000X</v>
      </c>
      <c r="D4802" t="str">
        <f>"ELLIS                    PARKER       N           "</f>
        <v xml:space="preserve">ELLIS                    PARKER       N           </v>
      </c>
      <c r="E4802" t="str">
        <f>"COVINGTON                 "</f>
        <v xml:space="preserve">COVINGTON                 </v>
      </c>
      <c r="F4802" t="str">
        <f t="shared" si="183"/>
        <v>LA</v>
      </c>
    </row>
    <row r="4803" spans="1:6" x14ac:dyDescent="0.25">
      <c r="A4803" t="str">
        <f>"200025647"</f>
        <v>200025647</v>
      </c>
      <c r="B4803" t="str">
        <f>"1548420706"</f>
        <v>1548420706</v>
      </c>
      <c r="C4803" t="str">
        <f>"207P00000X"</f>
        <v>207P00000X</v>
      </c>
      <c r="D4803" t="str">
        <f>"D'ANTONIO                CLAUDE                   "</f>
        <v xml:space="preserve">D'ANTONIO                CLAUDE                   </v>
      </c>
      <c r="E4803" t="str">
        <f>"HAMMOND                   "</f>
        <v xml:space="preserve">HAMMOND                   </v>
      </c>
      <c r="F4803" t="str">
        <f t="shared" si="183"/>
        <v>LA</v>
      </c>
    </row>
    <row r="4804" spans="1:6" x14ac:dyDescent="0.25">
      <c r="A4804" t="str">
        <f>"200025686"</f>
        <v>200025686</v>
      </c>
      <c r="B4804" t="str">
        <f>"1972185460"</f>
        <v>1972185460</v>
      </c>
      <c r="C4804" t="str">
        <f>"207N00000X"</f>
        <v>207N00000X</v>
      </c>
      <c r="D4804" t="str">
        <f>"CAIRE                    HALEY                    "</f>
        <v xml:space="preserve">CAIRE                    HALEY                    </v>
      </c>
      <c r="E4804" t="str">
        <f>"ZACHARY                   "</f>
        <v xml:space="preserve">ZACHARY                   </v>
      </c>
      <c r="F4804" t="str">
        <f t="shared" si="183"/>
        <v>LA</v>
      </c>
    </row>
    <row r="4805" spans="1:6" x14ac:dyDescent="0.25">
      <c r="A4805" t="str">
        <f>"200025700"</f>
        <v>200025700</v>
      </c>
      <c r="B4805" t="str">
        <f>"1811316268"</f>
        <v>1811316268</v>
      </c>
      <c r="C4805" t="str">
        <f>"2080P0214X"</f>
        <v>2080P0214X</v>
      </c>
      <c r="D4805" t="str">
        <f>"SWETLAND                 DAVID                    "</f>
        <v xml:space="preserve">SWETLAND                 DAVID                    </v>
      </c>
      <c r="E4805" t="str">
        <f>"METAIRIE                  "</f>
        <v xml:space="preserve">METAIRIE                  </v>
      </c>
      <c r="F4805" t="str">
        <f t="shared" si="183"/>
        <v>LA</v>
      </c>
    </row>
    <row r="4806" spans="1:6" x14ac:dyDescent="0.25">
      <c r="A4806" t="str">
        <f>"200025716"</f>
        <v>200025716</v>
      </c>
      <c r="B4806" t="str">
        <f>"1538458062"</f>
        <v>1538458062</v>
      </c>
      <c r="C4806" t="str">
        <f>"363L00000X"</f>
        <v>363L00000X</v>
      </c>
      <c r="D4806" t="str">
        <f>"THOMPSON                 LINDSEY                  "</f>
        <v xml:space="preserve">THOMPSON                 LINDSEY                  </v>
      </c>
      <c r="E4806" t="str">
        <f>"GONZALES                  "</f>
        <v xml:space="preserve">GONZALES                  </v>
      </c>
      <c r="F4806" t="str">
        <f t="shared" si="183"/>
        <v>LA</v>
      </c>
    </row>
    <row r="4807" spans="1:6" x14ac:dyDescent="0.25">
      <c r="A4807" t="str">
        <f>"200025720"</f>
        <v>200025720</v>
      </c>
      <c r="B4807" t="str">
        <f>"1295096360"</f>
        <v>1295096360</v>
      </c>
      <c r="C4807" t="str">
        <f>"207R00000X"</f>
        <v>207R00000X</v>
      </c>
      <c r="D4807" t="str">
        <f>"SAAG                     HARRY                    "</f>
        <v xml:space="preserve">SAAG                     HARRY                    </v>
      </c>
      <c r="E4807" t="str">
        <f>"NEW ORLEANS               "</f>
        <v xml:space="preserve">NEW ORLEANS               </v>
      </c>
      <c r="F4807" t="str">
        <f t="shared" si="183"/>
        <v>LA</v>
      </c>
    </row>
    <row r="4808" spans="1:6" x14ac:dyDescent="0.25">
      <c r="A4808" t="str">
        <f>"200025727"</f>
        <v>200025727</v>
      </c>
      <c r="B4808" t="str">
        <f>"1053330779"</f>
        <v>1053330779</v>
      </c>
      <c r="C4808" t="str">
        <f>"2085R0202X"</f>
        <v>2085R0202X</v>
      </c>
      <c r="D4808" t="str">
        <f>"BALLANCO JR              GERARD       A           "</f>
        <v xml:space="preserve">BALLANCO JR              GERARD       A           </v>
      </c>
      <c r="E4808" t="str">
        <f>"METAIRIE                  "</f>
        <v xml:space="preserve">METAIRIE                  </v>
      </c>
      <c r="F4808" t="str">
        <f t="shared" si="183"/>
        <v>LA</v>
      </c>
    </row>
    <row r="4809" spans="1:6" x14ac:dyDescent="0.25">
      <c r="A4809" t="str">
        <f>"200025748"</f>
        <v>200025748</v>
      </c>
      <c r="B4809" t="str">
        <f>"1952765273"</f>
        <v>1952765273</v>
      </c>
      <c r="C4809" t="str">
        <f>"208M00000X"</f>
        <v>208M00000X</v>
      </c>
      <c r="D4809" t="str">
        <f>"GUIRGUIS                 MARINA                   "</f>
        <v xml:space="preserve">GUIRGUIS                 MARINA                   </v>
      </c>
      <c r="E4809" t="str">
        <f>"NEW ORLEANS               "</f>
        <v xml:space="preserve">NEW ORLEANS               </v>
      </c>
      <c r="F4809" t="str">
        <f t="shared" si="183"/>
        <v>LA</v>
      </c>
    </row>
    <row r="4810" spans="1:6" x14ac:dyDescent="0.25">
      <c r="A4810" t="str">
        <f>"200025749"</f>
        <v>200025749</v>
      </c>
      <c r="B4810" t="str">
        <f>"1073856019"</f>
        <v>1073856019</v>
      </c>
      <c r="C4810" t="str">
        <f>"208M00000X"</f>
        <v>208M00000X</v>
      </c>
      <c r="D4810" t="str">
        <f>"MIRO                     VIKTOR                   "</f>
        <v xml:space="preserve">MIRO                     VIKTOR                   </v>
      </c>
      <c r="E4810" t="str">
        <f>"NEW ORLEANS               "</f>
        <v xml:space="preserve">NEW ORLEANS               </v>
      </c>
      <c r="F4810" t="str">
        <f t="shared" si="183"/>
        <v>LA</v>
      </c>
    </row>
    <row r="4811" spans="1:6" x14ac:dyDescent="0.25">
      <c r="A4811" t="str">
        <f>"200025775"</f>
        <v>200025775</v>
      </c>
      <c r="B4811" t="str">
        <f>"1780176487"</f>
        <v>1780176487</v>
      </c>
      <c r="C4811" t="str">
        <f>"207RI0200X"</f>
        <v>207RI0200X</v>
      </c>
      <c r="D4811" t="str">
        <f>"SHARMA                   DIVISHA                  "</f>
        <v xml:space="preserve">SHARMA                   DIVISHA                  </v>
      </c>
      <c r="E4811" t="str">
        <f>"NEW ORLEANS               "</f>
        <v xml:space="preserve">NEW ORLEANS               </v>
      </c>
      <c r="F4811" t="str">
        <f t="shared" si="183"/>
        <v>LA</v>
      </c>
    </row>
    <row r="4812" spans="1:6" x14ac:dyDescent="0.25">
      <c r="A4812" t="str">
        <f>"200025776"</f>
        <v>200025776</v>
      </c>
      <c r="B4812" t="str">
        <f>"1932121795"</f>
        <v>1932121795</v>
      </c>
      <c r="C4812" t="str">
        <f>"207RH0003X"</f>
        <v>207RH0003X</v>
      </c>
      <c r="D4812" t="str">
        <f>"BIENVENU                 BRYAN                    "</f>
        <v xml:space="preserve">BIENVENU                 BRYAN                    </v>
      </c>
      <c r="E4812" t="str">
        <f>"BATON ROUGE               "</f>
        <v xml:space="preserve">BATON ROUGE               </v>
      </c>
      <c r="F4812" t="str">
        <f t="shared" si="183"/>
        <v>LA</v>
      </c>
    </row>
    <row r="4813" spans="1:6" x14ac:dyDescent="0.25">
      <c r="A4813" t="str">
        <f>"200025777"</f>
        <v>200025777</v>
      </c>
      <c r="B4813" t="str">
        <f>"1447837745"</f>
        <v>1447837745</v>
      </c>
      <c r="C4813" t="str">
        <f>"207P00000X"</f>
        <v>207P00000X</v>
      </c>
      <c r="D4813" t="str">
        <f>"JACKSON                  JULIA                    "</f>
        <v xml:space="preserve">JACKSON                  JULIA                    </v>
      </c>
      <c r="E4813" t="str">
        <f>"ZACHARY                   "</f>
        <v xml:space="preserve">ZACHARY                   </v>
      </c>
      <c r="F4813" t="str">
        <f t="shared" si="183"/>
        <v>LA</v>
      </c>
    </row>
    <row r="4814" spans="1:6" x14ac:dyDescent="0.25">
      <c r="A4814" t="str">
        <f>"200025797"</f>
        <v>200025797</v>
      </c>
      <c r="B4814" t="str">
        <f>"1457188542"</f>
        <v>1457188542</v>
      </c>
      <c r="C4814" t="str">
        <f>"363LN0000X"</f>
        <v>363LN0000X</v>
      </c>
      <c r="D4814" t="str">
        <f>"WILLIAMS                 SAHTIAH                  "</f>
        <v xml:space="preserve">WILLIAMS                 SAHTIAH                  </v>
      </c>
      <c r="E4814" t="str">
        <f>"METAIRIE                  "</f>
        <v xml:space="preserve">METAIRIE                  </v>
      </c>
      <c r="F4814" t="str">
        <f t="shared" si="183"/>
        <v>LA</v>
      </c>
    </row>
    <row r="4815" spans="1:6" x14ac:dyDescent="0.25">
      <c r="A4815" t="str">
        <f>"200025805"</f>
        <v>200025805</v>
      </c>
      <c r="B4815" t="str">
        <f>"1174416853"</f>
        <v>1174416853</v>
      </c>
      <c r="C4815" t="str">
        <f>"363LP0808X"</f>
        <v>363LP0808X</v>
      </c>
      <c r="D4815" t="str">
        <f>"MCCLARTY                 DANIELLE                 "</f>
        <v xml:space="preserve">MCCLARTY                 DANIELLE                 </v>
      </c>
      <c r="E4815" t="str">
        <f>"NEW ORLEANS               "</f>
        <v xml:space="preserve">NEW ORLEANS               </v>
      </c>
      <c r="F4815" t="str">
        <f t="shared" si="183"/>
        <v>LA</v>
      </c>
    </row>
    <row r="4816" spans="1:6" x14ac:dyDescent="0.25">
      <c r="A4816" t="str">
        <f>"200025806"</f>
        <v>200025806</v>
      </c>
      <c r="B4816" t="str">
        <f>"1306565775"</f>
        <v>1306565775</v>
      </c>
      <c r="C4816" t="str">
        <f>"367500000X"</f>
        <v>367500000X</v>
      </c>
      <c r="D4816" t="str">
        <f>"SIEKMANN                 SYDNEY                   "</f>
        <v xml:space="preserve">SIEKMANN                 SYDNEY                   </v>
      </c>
      <c r="E4816" t="str">
        <f>"NEW ORLEANS               "</f>
        <v xml:space="preserve">NEW ORLEANS               </v>
      </c>
      <c r="F4816" t="str">
        <f t="shared" si="183"/>
        <v>LA</v>
      </c>
    </row>
    <row r="4817" spans="1:6" x14ac:dyDescent="0.25">
      <c r="A4817" t="str">
        <f>"200025815"</f>
        <v>200025815</v>
      </c>
      <c r="B4817" t="str">
        <f>"1508821372"</f>
        <v>1508821372</v>
      </c>
      <c r="C4817" t="str">
        <f>"207RH0003X"</f>
        <v>207RH0003X</v>
      </c>
      <c r="D4817" t="str">
        <f>"CARINDER                 JAMES                    "</f>
        <v xml:space="preserve">CARINDER                 JAMES                    </v>
      </c>
      <c r="E4817" t="str">
        <f>"COVINGTON                 "</f>
        <v xml:space="preserve">COVINGTON                 </v>
      </c>
      <c r="F4817" t="str">
        <f t="shared" si="183"/>
        <v>LA</v>
      </c>
    </row>
    <row r="4818" spans="1:6" x14ac:dyDescent="0.25">
      <c r="A4818" t="str">
        <f>"200025831"</f>
        <v>200025831</v>
      </c>
      <c r="B4818" t="str">
        <f>"1801264023"</f>
        <v>1801264023</v>
      </c>
      <c r="C4818" t="str">
        <f>"363LA2100X"</f>
        <v>363LA2100X</v>
      </c>
      <c r="D4818" t="str">
        <f>"LERNER                   LAURA                    "</f>
        <v xml:space="preserve">LERNER                   LAURA                    </v>
      </c>
      <c r="E4818" t="str">
        <f>"NEW ORLEANS               "</f>
        <v xml:space="preserve">NEW ORLEANS               </v>
      </c>
      <c r="F4818" t="str">
        <f t="shared" si="183"/>
        <v>LA</v>
      </c>
    </row>
    <row r="4819" spans="1:6" x14ac:dyDescent="0.25">
      <c r="A4819" t="str">
        <f>"200025850"</f>
        <v>200025850</v>
      </c>
      <c r="B4819" t="str">
        <f>"1326229733"</f>
        <v>1326229733</v>
      </c>
      <c r="C4819" t="str">
        <f>"207RP1001X"</f>
        <v>207RP1001X</v>
      </c>
      <c r="D4819" t="str">
        <f>"DIAZ GUZMAN ZAVALA       ENRIQUE                  "</f>
        <v xml:space="preserve">DIAZ GUZMAN ZAVALA       ENRIQUE                  </v>
      </c>
      <c r="E4819" t="str">
        <f>"METAIRIE                  "</f>
        <v xml:space="preserve">METAIRIE                  </v>
      </c>
      <c r="F4819" t="str">
        <f t="shared" si="183"/>
        <v>LA</v>
      </c>
    </row>
    <row r="4820" spans="1:6" x14ac:dyDescent="0.25">
      <c r="A4820" t="str">
        <f>"200025869"</f>
        <v>200025869</v>
      </c>
      <c r="B4820" t="str">
        <f>"1861785982"</f>
        <v>1861785982</v>
      </c>
      <c r="C4820" t="str">
        <f>"207Q00000X"</f>
        <v>207Q00000X</v>
      </c>
      <c r="D4820" t="str">
        <f>"RIZK                     LEVI                     "</f>
        <v xml:space="preserve">RIZK                     LEVI                     </v>
      </c>
      <c r="E4820" t="str">
        <f>"NEW ORLEANS               "</f>
        <v xml:space="preserve">NEW ORLEANS               </v>
      </c>
      <c r="F4820" t="str">
        <f t="shared" si="183"/>
        <v>LA</v>
      </c>
    </row>
    <row r="4821" spans="1:6" x14ac:dyDescent="0.25">
      <c r="A4821" t="str">
        <f>"200025878"</f>
        <v>200025878</v>
      </c>
      <c r="B4821" t="str">
        <f>"1326588633"</f>
        <v>1326588633</v>
      </c>
      <c r="C4821" t="str">
        <f>"207P00000X"</f>
        <v>207P00000X</v>
      </c>
      <c r="D4821" t="str">
        <f>"FLETCHER JR              WILLIAM                  "</f>
        <v xml:space="preserve">FLETCHER JR              WILLIAM                  </v>
      </c>
      <c r="E4821" t="str">
        <f>"ZACHARY                   "</f>
        <v xml:space="preserve">ZACHARY                   </v>
      </c>
      <c r="F4821" t="str">
        <f t="shared" si="183"/>
        <v>LA</v>
      </c>
    </row>
    <row r="4822" spans="1:6" x14ac:dyDescent="0.25">
      <c r="A4822" t="str">
        <f>"200025886"</f>
        <v>200025886</v>
      </c>
      <c r="B4822" t="str">
        <f>"1417829425"</f>
        <v>1417829425</v>
      </c>
      <c r="C4822" t="str">
        <f>"363LF0000X"</f>
        <v>363LF0000X</v>
      </c>
      <c r="D4822" t="str">
        <f>"MCGINNIS                 SARA                     "</f>
        <v xml:space="preserve">MCGINNIS                 SARA                     </v>
      </c>
      <c r="E4822" t="str">
        <f>"NEW ORLEANS               "</f>
        <v xml:space="preserve">NEW ORLEANS               </v>
      </c>
      <c r="F4822" t="str">
        <f t="shared" si="183"/>
        <v>LA</v>
      </c>
    </row>
    <row r="4823" spans="1:6" x14ac:dyDescent="0.25">
      <c r="A4823" t="str">
        <f>"200025895"</f>
        <v>200025895</v>
      </c>
      <c r="B4823" t="str">
        <f>"1518660091"</f>
        <v>1518660091</v>
      </c>
      <c r="C4823" t="str">
        <f>"207P00000X"</f>
        <v>207P00000X</v>
      </c>
      <c r="D4823" t="str">
        <f>"SREEDHAR                 JASON                    "</f>
        <v xml:space="preserve">SREEDHAR                 JASON                    </v>
      </c>
      <c r="E4823" t="str">
        <f>"BOGALUSA                  "</f>
        <v xml:space="preserve">BOGALUSA                  </v>
      </c>
      <c r="F4823" t="str">
        <f t="shared" si="183"/>
        <v>LA</v>
      </c>
    </row>
    <row r="4824" spans="1:6" x14ac:dyDescent="0.25">
      <c r="A4824" t="str">
        <f>"200025896"</f>
        <v>200025896</v>
      </c>
      <c r="B4824" t="str">
        <f>"1598727281"</f>
        <v>1598727281</v>
      </c>
      <c r="C4824" t="str">
        <f>"2084N0400X"</f>
        <v>2084N0400X</v>
      </c>
      <c r="D4824" t="str">
        <f>"JONES                    JENNIFER                 "</f>
        <v xml:space="preserve">JONES                    JENNIFER                 </v>
      </c>
      <c r="E4824" t="str">
        <f>"HAMMOND                   "</f>
        <v xml:space="preserve">HAMMOND                   </v>
      </c>
      <c r="F4824" t="str">
        <f t="shared" si="183"/>
        <v>LA</v>
      </c>
    </row>
    <row r="4825" spans="1:6" x14ac:dyDescent="0.25">
      <c r="A4825" t="str">
        <f>"200025908"</f>
        <v>200025908</v>
      </c>
      <c r="B4825" t="str">
        <f>"1205099157"</f>
        <v>1205099157</v>
      </c>
      <c r="C4825" t="str">
        <f>"207P00000X"</f>
        <v>207P00000X</v>
      </c>
      <c r="D4825" t="str">
        <f>"LEWIS                    BRETT                    "</f>
        <v xml:space="preserve">LEWIS                    BRETT                    </v>
      </c>
      <c r="E4825" t="str">
        <f>"ZACHARY                   "</f>
        <v xml:space="preserve">ZACHARY                   </v>
      </c>
      <c r="F4825" t="str">
        <f t="shared" si="183"/>
        <v>LA</v>
      </c>
    </row>
    <row r="4826" spans="1:6" x14ac:dyDescent="0.25">
      <c r="A4826" t="str">
        <f>"200025925"</f>
        <v>200025925</v>
      </c>
      <c r="B4826" t="str">
        <f>"1548271083"</f>
        <v>1548271083</v>
      </c>
      <c r="C4826" t="str">
        <f>"2084N0400X"</f>
        <v>2084N0400X</v>
      </c>
      <c r="D4826" t="str">
        <f>"PATEL                    CHHAYA                   "</f>
        <v xml:space="preserve">PATEL                    CHHAYA                   </v>
      </c>
      <c r="E4826" t="str">
        <f>"NEW ORLEANS               "</f>
        <v xml:space="preserve">NEW ORLEANS               </v>
      </c>
      <c r="F4826" t="str">
        <f t="shared" si="183"/>
        <v>LA</v>
      </c>
    </row>
    <row r="4827" spans="1:6" x14ac:dyDescent="0.25">
      <c r="A4827" t="str">
        <f>"200025927"</f>
        <v>200025927</v>
      </c>
      <c r="B4827" t="str">
        <f>"1437535481"</f>
        <v>1437535481</v>
      </c>
      <c r="C4827" t="str">
        <f>"2084N0400X"</f>
        <v>2084N0400X</v>
      </c>
      <c r="D4827" t="str">
        <f>"MOEIN                    PAYAM                    "</f>
        <v xml:space="preserve">MOEIN                    PAYAM                    </v>
      </c>
      <c r="E4827" t="str">
        <f>"HAMMOND                   "</f>
        <v xml:space="preserve">HAMMOND                   </v>
      </c>
      <c r="F4827" t="str">
        <f t="shared" ref="F4827:F4890" si="184">"LA"</f>
        <v>LA</v>
      </c>
    </row>
    <row r="4828" spans="1:6" x14ac:dyDescent="0.25">
      <c r="A4828" t="str">
        <f>"200025947"</f>
        <v>200025947</v>
      </c>
      <c r="B4828" t="str">
        <f>"1912600610"</f>
        <v>1912600610</v>
      </c>
      <c r="C4828" t="str">
        <f>"207Q00000X"</f>
        <v>207Q00000X</v>
      </c>
      <c r="D4828" t="str">
        <f>"FULLER                   NORA         M           "</f>
        <v xml:space="preserve">FULLER                   NORA         M           </v>
      </c>
      <c r="E4828" t="str">
        <f>"BOGALUSA                  "</f>
        <v xml:space="preserve">BOGALUSA                  </v>
      </c>
      <c r="F4828" t="str">
        <f t="shared" si="184"/>
        <v>LA</v>
      </c>
    </row>
    <row r="4829" spans="1:6" x14ac:dyDescent="0.25">
      <c r="A4829" t="str">
        <f>"200025956"</f>
        <v>200025956</v>
      </c>
      <c r="B4829" t="str">
        <f>"          "</f>
        <v xml:space="preserve">          </v>
      </c>
      <c r="C4829" t="str">
        <f>"207RH0003X"</f>
        <v>207RH0003X</v>
      </c>
      <c r="D4829" t="str">
        <f>"BIENVENU                 BRYAN                    "</f>
        <v xml:space="preserve">BIENVENU                 BRYAN                    </v>
      </c>
      <c r="E4829" t="str">
        <f>"BATON ROUGE               "</f>
        <v xml:space="preserve">BATON ROUGE               </v>
      </c>
      <c r="F4829" t="str">
        <f t="shared" si="184"/>
        <v>LA</v>
      </c>
    </row>
    <row r="4830" spans="1:6" x14ac:dyDescent="0.25">
      <c r="A4830" t="str">
        <f>"200025963"</f>
        <v>200025963</v>
      </c>
      <c r="B4830" t="str">
        <f>"1114226370"</f>
        <v>1114226370</v>
      </c>
      <c r="C4830" t="str">
        <f>"363LN0005X"</f>
        <v>363LN0005X</v>
      </c>
      <c r="D4830" t="str">
        <f>"BERNHARD                 SARAH                    "</f>
        <v xml:space="preserve">BERNHARD                 SARAH                    </v>
      </c>
      <c r="E4830" t="str">
        <f>"NEW ORLEANS               "</f>
        <v xml:space="preserve">NEW ORLEANS               </v>
      </c>
      <c r="F4830" t="str">
        <f t="shared" si="184"/>
        <v>LA</v>
      </c>
    </row>
    <row r="4831" spans="1:6" x14ac:dyDescent="0.25">
      <c r="A4831" t="str">
        <f>"200025978"</f>
        <v>200025978</v>
      </c>
      <c r="B4831" t="str">
        <f>"1760415632"</f>
        <v>1760415632</v>
      </c>
      <c r="C4831" t="str">
        <f>"207X00000X"</f>
        <v>207X00000X</v>
      </c>
      <c r="D4831" t="str">
        <f>"DEVRAJ                   TIMOTHY                  "</f>
        <v xml:space="preserve">DEVRAJ                   TIMOTHY                  </v>
      </c>
      <c r="E4831" t="str">
        <f>"COVINGTON                 "</f>
        <v xml:space="preserve">COVINGTON                 </v>
      </c>
      <c r="F4831" t="str">
        <f t="shared" si="184"/>
        <v>LA</v>
      </c>
    </row>
    <row r="4832" spans="1:6" x14ac:dyDescent="0.25">
      <c r="A4832" t="str">
        <f>"200025981"</f>
        <v>200025981</v>
      </c>
      <c r="B4832" t="str">
        <f>"1366767808"</f>
        <v>1366767808</v>
      </c>
      <c r="C4832" t="str">
        <f>"2080P0202X"</f>
        <v>2080P0202X</v>
      </c>
      <c r="D4832" t="str">
        <f>"SYKES                    MICHELLE                 "</f>
        <v xml:space="preserve">SYKES                    MICHELLE                 </v>
      </c>
      <c r="E4832" t="str">
        <f>"NEW ORLEANS               "</f>
        <v xml:space="preserve">NEW ORLEANS               </v>
      </c>
      <c r="F4832" t="str">
        <f t="shared" si="184"/>
        <v>LA</v>
      </c>
    </row>
    <row r="4833" spans="1:6" x14ac:dyDescent="0.25">
      <c r="A4833" t="str">
        <f>"200026000"</f>
        <v>200026000</v>
      </c>
      <c r="B4833" t="str">
        <f>"1801177985"</f>
        <v>1801177985</v>
      </c>
      <c r="C4833" t="str">
        <f>"363LF0000X"</f>
        <v>363LF0000X</v>
      </c>
      <c r="D4833" t="str">
        <f>"GUERINGER III            LLOYD                    "</f>
        <v xml:space="preserve">GUERINGER III            LLOYD                    </v>
      </c>
      <c r="E4833" t="str">
        <f>"BOGALUSA                  "</f>
        <v xml:space="preserve">BOGALUSA                  </v>
      </c>
      <c r="F4833" t="str">
        <f t="shared" si="184"/>
        <v>LA</v>
      </c>
    </row>
    <row r="4834" spans="1:6" x14ac:dyDescent="0.25">
      <c r="A4834" t="str">
        <f>"200026020"</f>
        <v>200026020</v>
      </c>
      <c r="B4834" t="str">
        <f>"1942032552"</f>
        <v>1942032552</v>
      </c>
      <c r="C4834" t="str">
        <f>"363LA2100X"</f>
        <v>363LA2100X</v>
      </c>
      <c r="D4834" t="str">
        <f>"PHILLIPS                 SAMANTHA                 "</f>
        <v xml:space="preserve">PHILLIPS                 SAMANTHA                 </v>
      </c>
      <c r="E4834" t="str">
        <f>"NEW ORLEANS               "</f>
        <v xml:space="preserve">NEW ORLEANS               </v>
      </c>
      <c r="F4834" t="str">
        <f t="shared" si="184"/>
        <v>LA</v>
      </c>
    </row>
    <row r="4835" spans="1:6" x14ac:dyDescent="0.25">
      <c r="A4835" t="str">
        <f>"200026066"</f>
        <v>200026066</v>
      </c>
      <c r="B4835" t="str">
        <f>"1992178859"</f>
        <v>1992178859</v>
      </c>
      <c r="C4835" t="str">
        <f>"363LP0200X"</f>
        <v>363LP0200X</v>
      </c>
      <c r="D4835" t="str">
        <f>"NUNN                     MELISSA                  "</f>
        <v xml:space="preserve">NUNN                     MELISSA                  </v>
      </c>
      <c r="E4835" t="str">
        <f>"NEW ORLEANS               "</f>
        <v xml:space="preserve">NEW ORLEANS               </v>
      </c>
      <c r="F4835" t="str">
        <f t="shared" si="184"/>
        <v>LA</v>
      </c>
    </row>
    <row r="4836" spans="1:6" x14ac:dyDescent="0.25">
      <c r="A4836" t="str">
        <f>"200026069"</f>
        <v>200026069</v>
      </c>
      <c r="B4836" t="str">
        <f>"1851063150"</f>
        <v>1851063150</v>
      </c>
      <c r="C4836" t="str">
        <f>"363A00000X"</f>
        <v>363A00000X</v>
      </c>
      <c r="D4836" t="str">
        <f>"LANDRY                   TRE                      "</f>
        <v xml:space="preserve">LANDRY                   TRE                      </v>
      </c>
      <c r="E4836" t="str">
        <f>"NEW ORLEANS               "</f>
        <v xml:space="preserve">NEW ORLEANS               </v>
      </c>
      <c r="F4836" t="str">
        <f t="shared" si="184"/>
        <v>LA</v>
      </c>
    </row>
    <row r="4837" spans="1:6" x14ac:dyDescent="0.25">
      <c r="A4837" t="str">
        <f>"200026071"</f>
        <v>200026071</v>
      </c>
      <c r="B4837" t="str">
        <f>"1326037458"</f>
        <v>1326037458</v>
      </c>
      <c r="C4837" t="str">
        <f>"363AS0400X"</f>
        <v>363AS0400X</v>
      </c>
      <c r="D4837" t="str">
        <f>"PENEGUY                  ABIGAIL                  "</f>
        <v xml:space="preserve">PENEGUY                  ABIGAIL                  </v>
      </c>
      <c r="E4837" t="str">
        <f>"BATON ROUGE               "</f>
        <v xml:space="preserve">BATON ROUGE               </v>
      </c>
      <c r="F4837" t="str">
        <f t="shared" si="184"/>
        <v>LA</v>
      </c>
    </row>
    <row r="4838" spans="1:6" x14ac:dyDescent="0.25">
      <c r="A4838" t="str">
        <f>"200026075"</f>
        <v>200026075</v>
      </c>
      <c r="B4838" t="str">
        <f>"1609474428"</f>
        <v>1609474428</v>
      </c>
      <c r="C4838" t="str">
        <f>"363AM0700X"</f>
        <v>363AM0700X</v>
      </c>
      <c r="D4838" t="str">
        <f>"FONTENOT                 THEA                     "</f>
        <v xml:space="preserve">FONTENOT                 THEA                     </v>
      </c>
      <c r="E4838" t="str">
        <f>"NEW ORLEANS               "</f>
        <v xml:space="preserve">NEW ORLEANS               </v>
      </c>
      <c r="F4838" t="str">
        <f t="shared" si="184"/>
        <v>LA</v>
      </c>
    </row>
    <row r="4839" spans="1:6" x14ac:dyDescent="0.25">
      <c r="A4839" t="str">
        <f>"200026080"</f>
        <v>200026080</v>
      </c>
      <c r="B4839" t="str">
        <f>"1134577877"</f>
        <v>1134577877</v>
      </c>
      <c r="C4839" t="str">
        <f>"2086S0127X"</f>
        <v>2086S0127X</v>
      </c>
      <c r="D4839" t="str">
        <f>"MOBLI                    KEYAN                    "</f>
        <v xml:space="preserve">MOBLI                    KEYAN                    </v>
      </c>
      <c r="E4839" t="str">
        <f>"BATON ROUGE               "</f>
        <v xml:space="preserve">BATON ROUGE               </v>
      </c>
      <c r="F4839" t="str">
        <f t="shared" si="184"/>
        <v>LA</v>
      </c>
    </row>
    <row r="4840" spans="1:6" x14ac:dyDescent="0.25">
      <c r="A4840" t="str">
        <f>"200026087"</f>
        <v>200026087</v>
      </c>
      <c r="B4840" t="str">
        <f>"1164765285"</f>
        <v>1164765285</v>
      </c>
      <c r="C4840" t="str">
        <f>"208M00000X"</f>
        <v>208M00000X</v>
      </c>
      <c r="D4840" t="str">
        <f>"NGUYEN                   MADELEINE                "</f>
        <v xml:space="preserve">NGUYEN                   MADELEINE                </v>
      </c>
      <c r="E4840" t="str">
        <f>"HAMMOND                   "</f>
        <v xml:space="preserve">HAMMOND                   </v>
      </c>
      <c r="F4840" t="str">
        <f t="shared" si="184"/>
        <v>LA</v>
      </c>
    </row>
    <row r="4841" spans="1:6" x14ac:dyDescent="0.25">
      <c r="A4841" t="str">
        <f>"200026098"</f>
        <v>200026098</v>
      </c>
      <c r="B4841" t="str">
        <f>"1629143458"</f>
        <v>1629143458</v>
      </c>
      <c r="C4841" t="str">
        <f>"2086S0120X"</f>
        <v>2086S0120X</v>
      </c>
      <c r="D4841" t="str">
        <f>"YU                       DAVID                    "</f>
        <v xml:space="preserve">YU                       DAVID                    </v>
      </c>
      <c r="E4841" t="str">
        <f>"NEW ORLEANS               "</f>
        <v xml:space="preserve">NEW ORLEANS               </v>
      </c>
      <c r="F4841" t="str">
        <f t="shared" si="184"/>
        <v>LA</v>
      </c>
    </row>
    <row r="4842" spans="1:6" x14ac:dyDescent="0.25">
      <c r="A4842" t="str">
        <f>"200026099"</f>
        <v>200026099</v>
      </c>
      <c r="B4842" t="str">
        <f>"1881241784"</f>
        <v>1881241784</v>
      </c>
      <c r="C4842" t="str">
        <f>"363A00000X"</f>
        <v>363A00000X</v>
      </c>
      <c r="D4842" t="str">
        <f>"PEREZ PEREZ              LIA                      "</f>
        <v xml:space="preserve">PEREZ PEREZ              LIA                      </v>
      </c>
      <c r="E4842" t="str">
        <f>"NEW ORLEANS               "</f>
        <v xml:space="preserve">NEW ORLEANS               </v>
      </c>
      <c r="F4842" t="str">
        <f t="shared" si="184"/>
        <v>LA</v>
      </c>
    </row>
    <row r="4843" spans="1:6" x14ac:dyDescent="0.25">
      <c r="A4843" t="str">
        <f>"200026100"</f>
        <v>200026100</v>
      </c>
      <c r="B4843" t="str">
        <f>"1124092432"</f>
        <v>1124092432</v>
      </c>
      <c r="C4843" t="str">
        <f>"208G00000X"</f>
        <v>208G00000X</v>
      </c>
      <c r="D4843" t="str">
        <f>"LANDRENEAU               RODNEY                   "</f>
        <v xml:space="preserve">LANDRENEAU               RODNEY                   </v>
      </c>
      <c r="E4843" t="str">
        <f>"MARKSVILLE                "</f>
        <v xml:space="preserve">MARKSVILLE                </v>
      </c>
      <c r="F4843" t="str">
        <f t="shared" si="184"/>
        <v>LA</v>
      </c>
    </row>
    <row r="4844" spans="1:6" x14ac:dyDescent="0.25">
      <c r="A4844" t="str">
        <f>"200026119"</f>
        <v>200026119</v>
      </c>
      <c r="B4844" t="str">
        <f>"1497542450"</f>
        <v>1497542450</v>
      </c>
      <c r="C4844" t="str">
        <f>"363A00000X"</f>
        <v>363A00000X</v>
      </c>
      <c r="D4844" t="str">
        <f>"CUNDIFF                  CORINNE                  "</f>
        <v xml:space="preserve">CUNDIFF                  CORINNE                  </v>
      </c>
      <c r="E4844" t="str">
        <f>"NEW ORLEANS               "</f>
        <v xml:space="preserve">NEW ORLEANS               </v>
      </c>
      <c r="F4844" t="str">
        <f t="shared" si="184"/>
        <v>LA</v>
      </c>
    </row>
    <row r="4845" spans="1:6" x14ac:dyDescent="0.25">
      <c r="A4845" t="str">
        <f>"200026127"</f>
        <v>200026127</v>
      </c>
      <c r="B4845" t="str">
        <f>"1558090332"</f>
        <v>1558090332</v>
      </c>
      <c r="C4845" t="str">
        <f>"363A00000X"</f>
        <v>363A00000X</v>
      </c>
      <c r="D4845" t="str">
        <f>"MARKS                    LAUREN                   "</f>
        <v xml:space="preserve">MARKS                    LAUREN                   </v>
      </c>
      <c r="E4845" t="str">
        <f>"NEW ORLEANS               "</f>
        <v xml:space="preserve">NEW ORLEANS               </v>
      </c>
      <c r="F4845" t="str">
        <f t="shared" si="184"/>
        <v>LA</v>
      </c>
    </row>
    <row r="4846" spans="1:6" x14ac:dyDescent="0.25">
      <c r="A4846" t="str">
        <f>"200026134"</f>
        <v>200026134</v>
      </c>
      <c r="B4846" t="str">
        <f>"1275090672"</f>
        <v>1275090672</v>
      </c>
      <c r="C4846" t="str">
        <f>"363LF0000X"</f>
        <v>363LF0000X</v>
      </c>
      <c r="D4846" t="str">
        <f>"THOMPSON                 ASHLEY       T           "</f>
        <v xml:space="preserve">THOMPSON                 ASHLEY       T           </v>
      </c>
      <c r="E4846" t="str">
        <f>"SAINT FRANCISVILLE        "</f>
        <v xml:space="preserve">SAINT FRANCISVILLE        </v>
      </c>
      <c r="F4846" t="str">
        <f t="shared" si="184"/>
        <v>LA</v>
      </c>
    </row>
    <row r="4847" spans="1:6" x14ac:dyDescent="0.25">
      <c r="A4847" t="str">
        <f>"200026139"</f>
        <v>200026139</v>
      </c>
      <c r="B4847" t="str">
        <f>"1265052088"</f>
        <v>1265052088</v>
      </c>
      <c r="C4847" t="str">
        <f>"207R00000X"</f>
        <v>207R00000X</v>
      </c>
      <c r="D4847" t="str">
        <f>"MCCARTY JR.              JAMES                    "</f>
        <v xml:space="preserve">MCCARTY JR.              JAMES                    </v>
      </c>
      <c r="E4847" t="str">
        <f>"FERRIDAY                  "</f>
        <v xml:space="preserve">FERRIDAY                  </v>
      </c>
      <c r="F4847" t="str">
        <f t="shared" si="184"/>
        <v>LA</v>
      </c>
    </row>
    <row r="4848" spans="1:6" x14ac:dyDescent="0.25">
      <c r="A4848" t="str">
        <f>"200026144"</f>
        <v>200026144</v>
      </c>
      <c r="B4848" t="str">
        <f>"1346538212"</f>
        <v>1346538212</v>
      </c>
      <c r="C4848" t="str">
        <f>"363LA2100X"</f>
        <v>363LA2100X</v>
      </c>
      <c r="D4848" t="str">
        <f>"DOW                      ANDREW       R           "</f>
        <v xml:space="preserve">DOW                      ANDREW       R           </v>
      </c>
      <c r="E4848" t="str">
        <f>"ZACHARY                   "</f>
        <v xml:space="preserve">ZACHARY                   </v>
      </c>
      <c r="F4848" t="str">
        <f t="shared" si="184"/>
        <v>LA</v>
      </c>
    </row>
    <row r="4849" spans="1:6" x14ac:dyDescent="0.25">
      <c r="A4849" t="str">
        <f>"200026145"</f>
        <v>200026145</v>
      </c>
      <c r="B4849" t="str">
        <f>"1750384921"</f>
        <v>1750384921</v>
      </c>
      <c r="C4849" t="str">
        <f>"207RH0003X"</f>
        <v>207RH0003X</v>
      </c>
      <c r="D4849" t="str">
        <f>"VEITH                    ROBERT                   "</f>
        <v xml:space="preserve">VEITH                    ROBERT                   </v>
      </c>
      <c r="E4849" t="str">
        <f>"SLIDELL                   "</f>
        <v xml:space="preserve">SLIDELL                   </v>
      </c>
      <c r="F4849" t="str">
        <f t="shared" si="184"/>
        <v>LA</v>
      </c>
    </row>
    <row r="4850" spans="1:6" x14ac:dyDescent="0.25">
      <c r="A4850" t="str">
        <f>"200026163"</f>
        <v>200026163</v>
      </c>
      <c r="B4850" t="str">
        <f>"1528023900"</f>
        <v>1528023900</v>
      </c>
      <c r="C4850" t="str">
        <f>"207RH0003X"</f>
        <v>207RH0003X</v>
      </c>
      <c r="D4850" t="str">
        <f>"SUAREZ                   AGUSTIN                  "</f>
        <v xml:space="preserve">SUAREZ                   AGUSTIN                  </v>
      </c>
      <c r="E4850" t="str">
        <f>"SLIDELL                   "</f>
        <v xml:space="preserve">SLIDELL                   </v>
      </c>
      <c r="F4850" t="str">
        <f t="shared" si="184"/>
        <v>LA</v>
      </c>
    </row>
    <row r="4851" spans="1:6" x14ac:dyDescent="0.25">
      <c r="A4851" t="str">
        <f>"200026172"</f>
        <v>200026172</v>
      </c>
      <c r="B4851" t="str">
        <f>"1457181299"</f>
        <v>1457181299</v>
      </c>
      <c r="C4851" t="str">
        <f>"363A00000X"</f>
        <v>363A00000X</v>
      </c>
      <c r="D4851" t="str">
        <f>"SITTICHOT                AREEN                    "</f>
        <v xml:space="preserve">SITTICHOT                AREEN                    </v>
      </c>
      <c r="E4851" t="str">
        <f>"CHALMETTE                 "</f>
        <v xml:space="preserve">CHALMETTE                 </v>
      </c>
      <c r="F4851" t="str">
        <f t="shared" si="184"/>
        <v>LA</v>
      </c>
    </row>
    <row r="4852" spans="1:6" x14ac:dyDescent="0.25">
      <c r="A4852" t="str">
        <f>"200026179"</f>
        <v>200026179</v>
      </c>
      <c r="B4852" t="str">
        <f>"1639420441"</f>
        <v>1639420441</v>
      </c>
      <c r="C4852" t="str">
        <f>"208M00000X"</f>
        <v>208M00000X</v>
      </c>
      <c r="D4852" t="str">
        <f>"MOHAMED                  MUNER                    "</f>
        <v xml:space="preserve">MOHAMED                  MUNER                    </v>
      </c>
      <c r="E4852" t="str">
        <f>"HAMMOND                   "</f>
        <v xml:space="preserve">HAMMOND                   </v>
      </c>
      <c r="F4852" t="str">
        <f t="shared" si="184"/>
        <v>LA</v>
      </c>
    </row>
    <row r="4853" spans="1:6" x14ac:dyDescent="0.25">
      <c r="A4853" t="str">
        <f>"200026186"</f>
        <v>200026186</v>
      </c>
      <c r="B4853" t="str">
        <f>"1669188777"</f>
        <v>1669188777</v>
      </c>
      <c r="C4853" t="str">
        <f>"363LF0000X"</f>
        <v>363LF0000X</v>
      </c>
      <c r="D4853" t="str">
        <f>"PAPCSY                   ROBERT                   "</f>
        <v xml:space="preserve">PAPCSY                   ROBERT                   </v>
      </c>
      <c r="E4853" t="str">
        <f>"SAINT FRANCISVILLE        "</f>
        <v xml:space="preserve">SAINT FRANCISVILLE        </v>
      </c>
      <c r="F4853" t="str">
        <f t="shared" si="184"/>
        <v>LA</v>
      </c>
    </row>
    <row r="4854" spans="1:6" x14ac:dyDescent="0.25">
      <c r="A4854" t="str">
        <f>"200026188"</f>
        <v>200026188</v>
      </c>
      <c r="B4854" t="str">
        <f>"1295059228"</f>
        <v>1295059228</v>
      </c>
      <c r="C4854" t="str">
        <f>"208800000X"</f>
        <v>208800000X</v>
      </c>
      <c r="D4854" t="str">
        <f>"GILLS                    JESSIE                   "</f>
        <v xml:space="preserve">GILLS                    JESSIE                   </v>
      </c>
      <c r="E4854" t="str">
        <f>"METAIRIE                  "</f>
        <v xml:space="preserve">METAIRIE                  </v>
      </c>
      <c r="F4854" t="str">
        <f t="shared" si="184"/>
        <v>LA</v>
      </c>
    </row>
    <row r="4855" spans="1:6" x14ac:dyDescent="0.25">
      <c r="A4855" t="str">
        <f>"200026212"</f>
        <v>200026212</v>
      </c>
      <c r="B4855" t="str">
        <f>"1326031162"</f>
        <v>1326031162</v>
      </c>
      <c r="C4855" t="str">
        <f>"2080A0000X"</f>
        <v>2080A0000X</v>
      </c>
      <c r="D4855" t="str">
        <f>"BARNER                   KIMBERLEY                "</f>
        <v xml:space="preserve">BARNER                   KIMBERLEY                </v>
      </c>
      <c r="E4855" t="str">
        <f>"HOUMA                     "</f>
        <v xml:space="preserve">HOUMA                     </v>
      </c>
      <c r="F4855" t="str">
        <f t="shared" si="184"/>
        <v>LA</v>
      </c>
    </row>
    <row r="4856" spans="1:6" x14ac:dyDescent="0.25">
      <c r="A4856" t="str">
        <f>"200026217"</f>
        <v>200026217</v>
      </c>
      <c r="B4856" t="str">
        <f>"1396272084"</f>
        <v>1396272084</v>
      </c>
      <c r="C4856" t="str">
        <f>"363LN0000X"</f>
        <v>363LN0000X</v>
      </c>
      <c r="D4856" t="str">
        <f>"HOUCK                    CIELENA                  "</f>
        <v xml:space="preserve">HOUCK                    CIELENA                  </v>
      </c>
      <c r="E4856" t="str">
        <f>"METAIRIE                  "</f>
        <v xml:space="preserve">METAIRIE                  </v>
      </c>
      <c r="F4856" t="str">
        <f t="shared" si="184"/>
        <v>LA</v>
      </c>
    </row>
    <row r="4857" spans="1:6" x14ac:dyDescent="0.25">
      <c r="A4857" t="str">
        <f>"200026240"</f>
        <v>200026240</v>
      </c>
      <c r="B4857" t="str">
        <f>"1255569422"</f>
        <v>1255569422</v>
      </c>
      <c r="C4857" t="str">
        <f>"2085R0202X"</f>
        <v>2085R0202X</v>
      </c>
      <c r="D4857" t="str">
        <f>"KIMBROUGH                DALE                     "</f>
        <v xml:space="preserve">KIMBROUGH                DALE                     </v>
      </c>
      <c r="E4857" t="str">
        <f>"HAMMOND                   "</f>
        <v xml:space="preserve">HAMMOND                   </v>
      </c>
      <c r="F4857" t="str">
        <f t="shared" si="184"/>
        <v>LA</v>
      </c>
    </row>
    <row r="4858" spans="1:6" x14ac:dyDescent="0.25">
      <c r="A4858" t="str">
        <f>"200026251"</f>
        <v>200026251</v>
      </c>
      <c r="B4858" t="str">
        <f>"1740983188"</f>
        <v>1740983188</v>
      </c>
      <c r="C4858" t="str">
        <f>"207Q00000X"</f>
        <v>207Q00000X</v>
      </c>
      <c r="D4858" t="str">
        <f>"DO                       MICHAEL                  "</f>
        <v xml:space="preserve">DO                       MICHAEL                  </v>
      </c>
      <c r="E4858" t="str">
        <f>"BOGALUSA                  "</f>
        <v xml:space="preserve">BOGALUSA                  </v>
      </c>
      <c r="F4858" t="str">
        <f t="shared" si="184"/>
        <v>LA</v>
      </c>
    </row>
    <row r="4859" spans="1:6" x14ac:dyDescent="0.25">
      <c r="A4859" t="str">
        <f>"200026265"</f>
        <v>200026265</v>
      </c>
      <c r="B4859" t="str">
        <f>"1558316596"</f>
        <v>1558316596</v>
      </c>
      <c r="C4859" t="str">
        <f>"207P00000X"</f>
        <v>207P00000X</v>
      </c>
      <c r="D4859" t="str">
        <f>"JAWAD                    MAJID        A           "</f>
        <v xml:space="preserve">JAWAD                    MAJID        A           </v>
      </c>
      <c r="E4859" t="str">
        <f>"ZACHARY                   "</f>
        <v xml:space="preserve">ZACHARY                   </v>
      </c>
      <c r="F4859" t="str">
        <f t="shared" si="184"/>
        <v>LA</v>
      </c>
    </row>
    <row r="4860" spans="1:6" x14ac:dyDescent="0.25">
      <c r="A4860" t="str">
        <f>"200026277"</f>
        <v>200026277</v>
      </c>
      <c r="B4860" t="str">
        <f>"1538795455"</f>
        <v>1538795455</v>
      </c>
      <c r="C4860" t="str">
        <f>"207RG0100X"</f>
        <v>207RG0100X</v>
      </c>
      <c r="D4860" t="str">
        <f>"AYDIN                    YUCEL                    "</f>
        <v xml:space="preserve">AYDIN                    YUCEL                    </v>
      </c>
      <c r="E4860" t="str">
        <f>"COVINGTON                 "</f>
        <v xml:space="preserve">COVINGTON                 </v>
      </c>
      <c r="F4860" t="str">
        <f t="shared" si="184"/>
        <v>LA</v>
      </c>
    </row>
    <row r="4861" spans="1:6" x14ac:dyDescent="0.25">
      <c r="A4861" t="str">
        <f>"200026284"</f>
        <v>200026284</v>
      </c>
      <c r="B4861" t="str">
        <f>"1821559782"</f>
        <v>1821559782</v>
      </c>
      <c r="C4861" t="str">
        <f>"207Q00000X"</f>
        <v>207Q00000X</v>
      </c>
      <c r="D4861" t="str">
        <f>"WIGGINS                  ELEANOR                  "</f>
        <v xml:space="preserve">WIGGINS                  ELEANOR                  </v>
      </c>
      <c r="E4861" t="str">
        <f>"SLIDELL                   "</f>
        <v xml:space="preserve">SLIDELL                   </v>
      </c>
      <c r="F4861" t="str">
        <f t="shared" si="184"/>
        <v>LA</v>
      </c>
    </row>
    <row r="4862" spans="1:6" x14ac:dyDescent="0.25">
      <c r="A4862" t="str">
        <f>"200026289"</f>
        <v>200026289</v>
      </c>
      <c r="B4862" t="str">
        <f>"1023516341"</f>
        <v>1023516341</v>
      </c>
      <c r="C4862" t="str">
        <f>"363LG0600X"</f>
        <v>363LG0600X</v>
      </c>
      <c r="D4862" t="str">
        <f>"HORN                     CATHERINE                "</f>
        <v xml:space="preserve">HORN                     CATHERINE                </v>
      </c>
      <c r="E4862" t="str">
        <f>"HAMMOND                   "</f>
        <v xml:space="preserve">HAMMOND                   </v>
      </c>
      <c r="F4862" t="str">
        <f t="shared" si="184"/>
        <v>LA</v>
      </c>
    </row>
    <row r="4863" spans="1:6" x14ac:dyDescent="0.25">
      <c r="A4863" t="str">
        <f>"200026290"</f>
        <v>200026290</v>
      </c>
      <c r="B4863" t="str">
        <f>"1356790596"</f>
        <v>1356790596</v>
      </c>
      <c r="C4863" t="str">
        <f>"207RN0300X"</f>
        <v>207RN0300X</v>
      </c>
      <c r="D4863" t="str">
        <f>"SHARSHIR                 MOH'D        A           "</f>
        <v xml:space="preserve">SHARSHIR                 MOH'D        A           </v>
      </c>
      <c r="E4863" t="str">
        <f>"METAIRIE                  "</f>
        <v xml:space="preserve">METAIRIE                  </v>
      </c>
      <c r="F4863" t="str">
        <f t="shared" si="184"/>
        <v>LA</v>
      </c>
    </row>
    <row r="4864" spans="1:6" x14ac:dyDescent="0.25">
      <c r="A4864" t="str">
        <f>"200026313"</f>
        <v>200026313</v>
      </c>
      <c r="B4864" t="str">
        <f>"1477658201"</f>
        <v>1477658201</v>
      </c>
      <c r="C4864" t="str">
        <f>"363AS0400X"</f>
        <v>363AS0400X</v>
      </c>
      <c r="D4864" t="str">
        <f>"HENRY                    BRANDIE                  "</f>
        <v xml:space="preserve">HENRY                    BRANDIE                  </v>
      </c>
      <c r="E4864" t="str">
        <f>"BATON ROUGE               "</f>
        <v xml:space="preserve">BATON ROUGE               </v>
      </c>
      <c r="F4864" t="str">
        <f t="shared" si="184"/>
        <v>LA</v>
      </c>
    </row>
    <row r="4865" spans="1:6" x14ac:dyDescent="0.25">
      <c r="A4865" t="str">
        <f>"200026347"</f>
        <v>200026347</v>
      </c>
      <c r="B4865" t="str">
        <f>"1447033881"</f>
        <v>1447033881</v>
      </c>
      <c r="C4865" t="str">
        <f>"363LP0222X"</f>
        <v>363LP0222X</v>
      </c>
      <c r="D4865" t="str">
        <f>"BATISTE                  JARED                    "</f>
        <v xml:space="preserve">BATISTE                  JARED                    </v>
      </c>
      <c r="E4865" t="str">
        <f>"NEW ORLEANS               "</f>
        <v xml:space="preserve">NEW ORLEANS               </v>
      </c>
      <c r="F4865" t="str">
        <f t="shared" si="184"/>
        <v>LA</v>
      </c>
    </row>
    <row r="4866" spans="1:6" x14ac:dyDescent="0.25">
      <c r="A4866" t="str">
        <f>"200026349"</f>
        <v>200026349</v>
      </c>
      <c r="B4866" t="str">
        <f>"1063640217"</f>
        <v>1063640217</v>
      </c>
      <c r="C4866" t="str">
        <f>"207R00000X"</f>
        <v>207R00000X</v>
      </c>
      <c r="D4866" t="str">
        <f>"LIN                      LIN                      "</f>
        <v xml:space="preserve">LIN                      LIN                      </v>
      </c>
      <c r="E4866" t="str">
        <f>"NEW ORLEANS               "</f>
        <v xml:space="preserve">NEW ORLEANS               </v>
      </c>
      <c r="F4866" t="str">
        <f t="shared" si="184"/>
        <v>LA</v>
      </c>
    </row>
    <row r="4867" spans="1:6" x14ac:dyDescent="0.25">
      <c r="A4867" t="str">
        <f>"200026350"</f>
        <v>200026350</v>
      </c>
      <c r="B4867" t="str">
        <f>"1851284806"</f>
        <v>1851284806</v>
      </c>
      <c r="C4867" t="str">
        <f>"363A00000X"</f>
        <v>363A00000X</v>
      </c>
      <c r="D4867" t="str">
        <f>"PLUMLEE                  WILLIAM                  "</f>
        <v xml:space="preserve">PLUMLEE                  WILLIAM                  </v>
      </c>
      <c r="E4867" t="str">
        <f>"NEW ORLEANS               "</f>
        <v xml:space="preserve">NEW ORLEANS               </v>
      </c>
      <c r="F4867" t="str">
        <f t="shared" si="184"/>
        <v>LA</v>
      </c>
    </row>
    <row r="4868" spans="1:6" x14ac:dyDescent="0.25">
      <c r="A4868" t="str">
        <f>"200026371"</f>
        <v>200026371</v>
      </c>
      <c r="B4868" t="str">
        <f>"1063708816"</f>
        <v>1063708816</v>
      </c>
      <c r="C4868" t="str">
        <f>"207R00000X"</f>
        <v>207R00000X</v>
      </c>
      <c r="D4868" t="str">
        <f>"AUSTIN                   CHRISTINA                "</f>
        <v xml:space="preserve">AUSTIN                   CHRISTINA                </v>
      </c>
      <c r="E4868" t="str">
        <f>"NEW ORLEANS               "</f>
        <v xml:space="preserve">NEW ORLEANS               </v>
      </c>
      <c r="F4868" t="str">
        <f t="shared" si="184"/>
        <v>LA</v>
      </c>
    </row>
    <row r="4869" spans="1:6" x14ac:dyDescent="0.25">
      <c r="A4869" t="str">
        <f>"200026395"</f>
        <v>200026395</v>
      </c>
      <c r="B4869" t="str">
        <f>"1861989253"</f>
        <v>1861989253</v>
      </c>
      <c r="C4869" t="str">
        <f>"208M00000X"</f>
        <v>208M00000X</v>
      </c>
      <c r="D4869" t="str">
        <f>"PODRECCA                 MILAN                    "</f>
        <v xml:space="preserve">PODRECCA                 MILAN                    </v>
      </c>
      <c r="E4869" t="str">
        <f>"NEW ORLEANS               "</f>
        <v xml:space="preserve">NEW ORLEANS               </v>
      </c>
      <c r="F4869" t="str">
        <f t="shared" si="184"/>
        <v>LA</v>
      </c>
    </row>
    <row r="4870" spans="1:6" x14ac:dyDescent="0.25">
      <c r="A4870" t="str">
        <f>"200026402"</f>
        <v>200026402</v>
      </c>
      <c r="B4870" t="str">
        <f>"1952270621"</f>
        <v>1952270621</v>
      </c>
      <c r="C4870" t="str">
        <f>"363LF0000X"</f>
        <v>363LF0000X</v>
      </c>
      <c r="D4870" t="str">
        <f>"COX                      LAUREN                   "</f>
        <v xml:space="preserve">COX                      LAUREN                   </v>
      </c>
      <c r="E4870" t="str">
        <f>"BATON ROUGE               "</f>
        <v xml:space="preserve">BATON ROUGE               </v>
      </c>
      <c r="F4870" t="str">
        <f t="shared" si="184"/>
        <v>LA</v>
      </c>
    </row>
    <row r="4871" spans="1:6" x14ac:dyDescent="0.25">
      <c r="A4871" t="str">
        <f>"200026409"</f>
        <v>200026409</v>
      </c>
      <c r="B4871" t="str">
        <f>"1356745921"</f>
        <v>1356745921</v>
      </c>
      <c r="C4871" t="str">
        <f>"363LN0005X"</f>
        <v>363LN0005X</v>
      </c>
      <c r="D4871" t="str">
        <f>"GUEPET                   LEAH                     "</f>
        <v xml:space="preserve">GUEPET                   LEAH                     </v>
      </c>
      <c r="E4871" t="str">
        <f>"COVINGTON                 "</f>
        <v xml:space="preserve">COVINGTON                 </v>
      </c>
      <c r="F4871" t="str">
        <f t="shared" si="184"/>
        <v>LA</v>
      </c>
    </row>
    <row r="4872" spans="1:6" x14ac:dyDescent="0.25">
      <c r="A4872" t="str">
        <f>"200026464"</f>
        <v>200026464</v>
      </c>
      <c r="B4872" t="str">
        <f>"1144243700"</f>
        <v>1144243700</v>
      </c>
      <c r="C4872" t="str">
        <f>"363LN0000X"</f>
        <v>363LN0000X</v>
      </c>
      <c r="D4872" t="str">
        <f>"LANDRY                   SCOTT                    "</f>
        <v xml:space="preserve">LANDRY                   SCOTT                    </v>
      </c>
      <c r="E4872" t="str">
        <f>"COVINGTON                 "</f>
        <v xml:space="preserve">COVINGTON                 </v>
      </c>
      <c r="F4872" t="str">
        <f t="shared" si="184"/>
        <v>LA</v>
      </c>
    </row>
    <row r="4873" spans="1:6" x14ac:dyDescent="0.25">
      <c r="A4873" t="str">
        <f>"200026470"</f>
        <v>200026470</v>
      </c>
      <c r="B4873" t="str">
        <f>"1275273682"</f>
        <v>1275273682</v>
      </c>
      <c r="C4873" t="str">
        <f>"207R00000X"</f>
        <v>207R00000X</v>
      </c>
      <c r="D4873" t="str">
        <f>"LETCHFORD                DANIEL       S           "</f>
        <v xml:space="preserve">LETCHFORD                DANIEL       S           </v>
      </c>
      <c r="E4873" t="str">
        <f>"METAIRIE                  "</f>
        <v xml:space="preserve">METAIRIE                  </v>
      </c>
      <c r="F4873" t="str">
        <f t="shared" si="184"/>
        <v>LA</v>
      </c>
    </row>
    <row r="4874" spans="1:6" x14ac:dyDescent="0.25">
      <c r="A4874" t="str">
        <f>"200026481"</f>
        <v>200026481</v>
      </c>
      <c r="B4874" t="str">
        <f>"1427046259"</f>
        <v>1427046259</v>
      </c>
      <c r="C4874" t="str">
        <f>"207Y00000X"</f>
        <v>207Y00000X</v>
      </c>
      <c r="D4874" t="str">
        <f>"CLARKE                   LIZABETH                 "</f>
        <v xml:space="preserve">CLARKE                   LIZABETH                 </v>
      </c>
      <c r="E4874" t="str">
        <f>"CHALMETTE                 "</f>
        <v xml:space="preserve">CHALMETTE                 </v>
      </c>
      <c r="F4874" t="str">
        <f t="shared" si="184"/>
        <v>LA</v>
      </c>
    </row>
    <row r="4875" spans="1:6" x14ac:dyDescent="0.25">
      <c r="A4875" t="str">
        <f>"200026494"</f>
        <v>200026494</v>
      </c>
      <c r="B4875" t="str">
        <f>"1467318824"</f>
        <v>1467318824</v>
      </c>
      <c r="C4875" t="str">
        <f>"363LF0000X"</f>
        <v>363LF0000X</v>
      </c>
      <c r="D4875" t="str">
        <f>"ALDANA                   JENNIFER                 "</f>
        <v xml:space="preserve">ALDANA                   JENNIFER                 </v>
      </c>
      <c r="E4875" t="str">
        <f>"COVINGTON                 "</f>
        <v xml:space="preserve">COVINGTON                 </v>
      </c>
      <c r="F4875" t="str">
        <f t="shared" si="184"/>
        <v>LA</v>
      </c>
    </row>
    <row r="4876" spans="1:6" x14ac:dyDescent="0.25">
      <c r="A4876" t="str">
        <f>"200026496"</f>
        <v>200026496</v>
      </c>
      <c r="B4876" t="str">
        <f>"1174796130"</f>
        <v>1174796130</v>
      </c>
      <c r="C4876" t="str">
        <f>"207Q00000X"</f>
        <v>207Q00000X</v>
      </c>
      <c r="D4876" t="str">
        <f>"JOHN                     OLUSEGUN     S           "</f>
        <v xml:space="preserve">JOHN                     OLUSEGUN     S           </v>
      </c>
      <c r="E4876" t="str">
        <f>"ZACHARY                   "</f>
        <v xml:space="preserve">ZACHARY                   </v>
      </c>
      <c r="F4876" t="str">
        <f t="shared" si="184"/>
        <v>LA</v>
      </c>
    </row>
    <row r="4877" spans="1:6" x14ac:dyDescent="0.25">
      <c r="A4877" t="str">
        <f>"200026500"</f>
        <v>200026500</v>
      </c>
      <c r="B4877" t="str">
        <f>"1982063574"</f>
        <v>1982063574</v>
      </c>
      <c r="C4877" t="str">
        <f>"363LF0000X"</f>
        <v>363LF0000X</v>
      </c>
      <c r="D4877" t="str">
        <f>"DUPRE                    LYNDI                    "</f>
        <v xml:space="preserve">DUPRE                    LYNDI                    </v>
      </c>
      <c r="E4877" t="str">
        <f>"NEW ORLEANS               "</f>
        <v xml:space="preserve">NEW ORLEANS               </v>
      </c>
      <c r="F4877" t="str">
        <f t="shared" si="184"/>
        <v>LA</v>
      </c>
    </row>
    <row r="4878" spans="1:6" x14ac:dyDescent="0.25">
      <c r="A4878" t="str">
        <f>"200026503"</f>
        <v>200026503</v>
      </c>
      <c r="B4878" t="str">
        <f>"1528599107"</f>
        <v>1528599107</v>
      </c>
      <c r="C4878" t="str">
        <f>"207P00000X"</f>
        <v>207P00000X</v>
      </c>
      <c r="D4878" t="str">
        <f>"SALERNO                  NICHOLAS                 "</f>
        <v xml:space="preserve">SALERNO                  NICHOLAS                 </v>
      </c>
      <c r="E4878" t="str">
        <f>"HAMMOND                   "</f>
        <v xml:space="preserve">HAMMOND                   </v>
      </c>
      <c r="F4878" t="str">
        <f t="shared" si="184"/>
        <v>LA</v>
      </c>
    </row>
    <row r="4879" spans="1:6" x14ac:dyDescent="0.25">
      <c r="A4879" t="str">
        <f>"200026529"</f>
        <v>200026529</v>
      </c>
      <c r="B4879" t="str">
        <f>"1588250914"</f>
        <v>1588250914</v>
      </c>
      <c r="C4879" t="str">
        <f>"363A00000X"</f>
        <v>363A00000X</v>
      </c>
      <c r="D4879" t="str">
        <f>"EDWARDS                  TYLER                    "</f>
        <v xml:space="preserve">EDWARDS                  TYLER                    </v>
      </c>
      <c r="E4879" t="str">
        <f>"ZACHARY                   "</f>
        <v xml:space="preserve">ZACHARY                   </v>
      </c>
      <c r="F4879" t="str">
        <f t="shared" si="184"/>
        <v>LA</v>
      </c>
    </row>
    <row r="4880" spans="1:6" x14ac:dyDescent="0.25">
      <c r="A4880" t="str">
        <f>"200026546"</f>
        <v>200026546</v>
      </c>
      <c r="B4880" t="str">
        <f>"1720425416"</f>
        <v>1720425416</v>
      </c>
      <c r="C4880" t="str">
        <f>"207R00000X"</f>
        <v>207R00000X</v>
      </c>
      <c r="D4880" t="str">
        <f>"CLARK                    CHARLES                  "</f>
        <v xml:space="preserve">CLARK                    CHARLES                  </v>
      </c>
      <c r="E4880" t="str">
        <f>"NEW ORLEANS               "</f>
        <v xml:space="preserve">NEW ORLEANS               </v>
      </c>
      <c r="F4880" t="str">
        <f t="shared" si="184"/>
        <v>LA</v>
      </c>
    </row>
    <row r="4881" spans="1:6" x14ac:dyDescent="0.25">
      <c r="A4881" t="str">
        <f>"200026557"</f>
        <v>200026557</v>
      </c>
      <c r="B4881" t="str">
        <f>"1306503040"</f>
        <v>1306503040</v>
      </c>
      <c r="C4881" t="str">
        <f>"363LA2100X"</f>
        <v>363LA2100X</v>
      </c>
      <c r="D4881" t="str">
        <f>"IRELAND                  ASHLYNN                  "</f>
        <v xml:space="preserve">IRELAND                  ASHLYNN                  </v>
      </c>
      <c r="E4881" t="str">
        <f>"NEW ORLEANS               "</f>
        <v xml:space="preserve">NEW ORLEANS               </v>
      </c>
      <c r="F4881" t="str">
        <f t="shared" si="184"/>
        <v>LA</v>
      </c>
    </row>
    <row r="4882" spans="1:6" x14ac:dyDescent="0.25">
      <c r="A4882" t="str">
        <f>"200026560"</f>
        <v>200026560</v>
      </c>
      <c r="B4882" t="str">
        <f>"1174591390"</f>
        <v>1174591390</v>
      </c>
      <c r="C4882" t="str">
        <f>"207P00000X"</f>
        <v>207P00000X</v>
      </c>
      <c r="D4882" t="str">
        <f>"GUIDRY                   BRIAN                    "</f>
        <v xml:space="preserve">GUIDRY                   BRIAN                    </v>
      </c>
      <c r="E4882" t="str">
        <f>"BOGALUSA                  "</f>
        <v xml:space="preserve">BOGALUSA                  </v>
      </c>
      <c r="F4882" t="str">
        <f t="shared" si="184"/>
        <v>LA</v>
      </c>
    </row>
    <row r="4883" spans="1:6" x14ac:dyDescent="0.25">
      <c r="A4883" t="str">
        <f>"200026562"</f>
        <v>200026562</v>
      </c>
      <c r="B4883" t="str">
        <f>"1649209479"</f>
        <v>1649209479</v>
      </c>
      <c r="C4883" t="str">
        <f>"2085R0202X"</f>
        <v>2085R0202X</v>
      </c>
      <c r="D4883" t="str">
        <f>"HANEMANN                 CYNTHIA      W           "</f>
        <v xml:space="preserve">HANEMANN                 CYNTHIA      W           </v>
      </c>
      <c r="E4883" t="str">
        <f>"METAIRIE                  "</f>
        <v xml:space="preserve">METAIRIE                  </v>
      </c>
      <c r="F4883" t="str">
        <f t="shared" si="184"/>
        <v>LA</v>
      </c>
    </row>
    <row r="4884" spans="1:6" x14ac:dyDescent="0.25">
      <c r="A4884" t="str">
        <f>"200026563"</f>
        <v>200026563</v>
      </c>
      <c r="B4884" t="str">
        <f>"1225246291"</f>
        <v>1225246291</v>
      </c>
      <c r="C4884" t="str">
        <f>"207V00000X"</f>
        <v>207V00000X</v>
      </c>
      <c r="D4884" t="str">
        <f>"HOLMAN                   STACEY                   "</f>
        <v xml:space="preserve">HOLMAN                   STACEY                   </v>
      </c>
      <c r="E4884" t="str">
        <f>"NEW ORLEANS               "</f>
        <v xml:space="preserve">NEW ORLEANS               </v>
      </c>
      <c r="F4884" t="str">
        <f t="shared" si="184"/>
        <v>LA</v>
      </c>
    </row>
    <row r="4885" spans="1:6" x14ac:dyDescent="0.25">
      <c r="A4885" t="str">
        <f>"200026567"</f>
        <v>200026567</v>
      </c>
      <c r="B4885" t="str">
        <f>"1467795096"</f>
        <v>1467795096</v>
      </c>
      <c r="C4885" t="str">
        <f>"208000000X"</f>
        <v>208000000X</v>
      </c>
      <c r="D4885" t="str">
        <f>"MEDEIROS                 NATHALIE     S           "</f>
        <v xml:space="preserve">MEDEIROS                 NATHALIE     S           </v>
      </c>
      <c r="E4885" t="str">
        <f>"NEW ORLEANS               "</f>
        <v xml:space="preserve">NEW ORLEANS               </v>
      </c>
      <c r="F4885" t="str">
        <f t="shared" si="184"/>
        <v>LA</v>
      </c>
    </row>
    <row r="4886" spans="1:6" x14ac:dyDescent="0.25">
      <c r="A4886" t="str">
        <f>"200026568"</f>
        <v>200026568</v>
      </c>
      <c r="B4886" t="str">
        <f>"1003349648"</f>
        <v>1003349648</v>
      </c>
      <c r="C4886" t="str">
        <f>"207Q00000X"</f>
        <v>207Q00000X</v>
      </c>
      <c r="D4886" t="str">
        <f>"WASHINGTON               COURTNEY                 "</f>
        <v xml:space="preserve">WASHINGTON               COURTNEY                 </v>
      </c>
      <c r="E4886" t="str">
        <f>"ZACHARY                   "</f>
        <v xml:space="preserve">ZACHARY                   </v>
      </c>
      <c r="F4886" t="str">
        <f t="shared" si="184"/>
        <v>LA</v>
      </c>
    </row>
    <row r="4887" spans="1:6" x14ac:dyDescent="0.25">
      <c r="A4887" t="str">
        <f>"200026574"</f>
        <v>200026574</v>
      </c>
      <c r="B4887" t="str">
        <f>"1891813515"</f>
        <v>1891813515</v>
      </c>
      <c r="C4887" t="str">
        <f>"208000000X"</f>
        <v>208000000X</v>
      </c>
      <c r="D4887" t="str">
        <f>"KING                     MICHAELA                 "</f>
        <v xml:space="preserve">KING                     MICHAELA                 </v>
      </c>
      <c r="E4887" t="str">
        <f>"MARRERO                   "</f>
        <v xml:space="preserve">MARRERO                   </v>
      </c>
      <c r="F4887" t="str">
        <f t="shared" si="184"/>
        <v>LA</v>
      </c>
    </row>
    <row r="4888" spans="1:6" x14ac:dyDescent="0.25">
      <c r="A4888" t="str">
        <f>"200026585"</f>
        <v>200026585</v>
      </c>
      <c r="B4888" t="str">
        <f>"1467475384"</f>
        <v>1467475384</v>
      </c>
      <c r="C4888" t="str">
        <f>"2085R0202X"</f>
        <v>2085R0202X</v>
      </c>
      <c r="D4888" t="str">
        <f>"REID                     JOSEPH       D           "</f>
        <v xml:space="preserve">REID                     JOSEPH       D           </v>
      </c>
      <c r="E4888" t="str">
        <f>"NEW ORLEANS               "</f>
        <v xml:space="preserve">NEW ORLEANS               </v>
      </c>
      <c r="F4888" t="str">
        <f t="shared" si="184"/>
        <v>LA</v>
      </c>
    </row>
    <row r="4889" spans="1:6" x14ac:dyDescent="0.25">
      <c r="A4889" t="str">
        <f>"200026597"</f>
        <v>200026597</v>
      </c>
      <c r="B4889" t="str">
        <f>"1043181258"</f>
        <v>1043181258</v>
      </c>
      <c r="C4889" t="str">
        <f>"363L00000X"</f>
        <v>363L00000X</v>
      </c>
      <c r="D4889" t="str">
        <f>"BENNIE                   YASMIN                   "</f>
        <v xml:space="preserve">BENNIE                   YASMIN                   </v>
      </c>
      <c r="E4889" t="str">
        <f>"BATON ROUGE               "</f>
        <v xml:space="preserve">BATON ROUGE               </v>
      </c>
      <c r="F4889" t="str">
        <f t="shared" si="184"/>
        <v>LA</v>
      </c>
    </row>
    <row r="4890" spans="1:6" x14ac:dyDescent="0.25">
      <c r="A4890" t="str">
        <f>"200026598"</f>
        <v>200026598</v>
      </c>
      <c r="B4890" t="str">
        <f>"1972630705"</f>
        <v>1972630705</v>
      </c>
      <c r="C4890" t="str">
        <f>"261QM1300X"</f>
        <v>261QM1300X</v>
      </c>
      <c r="D4890" t="str">
        <f>"NORTH OAKS SHOCK TRAUMA                           "</f>
        <v xml:space="preserve">NORTH OAKS SHOCK TRAUMA                           </v>
      </c>
      <c r="E4890" t="str">
        <f>"HAMMOND                   "</f>
        <v xml:space="preserve">HAMMOND                   </v>
      </c>
      <c r="F4890" t="str">
        <f t="shared" si="184"/>
        <v>LA</v>
      </c>
    </row>
    <row r="4891" spans="1:6" x14ac:dyDescent="0.25">
      <c r="A4891" t="str">
        <f>"200026602"</f>
        <v>200026602</v>
      </c>
      <c r="B4891" t="str">
        <f>"1053846089"</f>
        <v>1053846089</v>
      </c>
      <c r="C4891" t="str">
        <f>"208800000X"</f>
        <v>208800000X</v>
      </c>
      <c r="D4891" t="str">
        <f>"WENDEL                   ERIC                     "</f>
        <v xml:space="preserve">WENDEL                   ERIC                     </v>
      </c>
      <c r="E4891" t="str">
        <f>"COVINGTON                 "</f>
        <v xml:space="preserve">COVINGTON                 </v>
      </c>
      <c r="F4891" t="str">
        <f t="shared" ref="F4891:F4954" si="185">"LA"</f>
        <v>LA</v>
      </c>
    </row>
    <row r="4892" spans="1:6" x14ac:dyDescent="0.25">
      <c r="A4892" t="str">
        <f>"200026603"</f>
        <v>200026603</v>
      </c>
      <c r="B4892" t="str">
        <f>"1831740059"</f>
        <v>1831740059</v>
      </c>
      <c r="C4892" t="str">
        <f>"363A00000X"</f>
        <v>363A00000X</v>
      </c>
      <c r="D4892" t="str">
        <f>"ROBISON                  GRANT                    "</f>
        <v xml:space="preserve">ROBISON                  GRANT                    </v>
      </c>
      <c r="E4892" t="str">
        <f>"SLIDELL                   "</f>
        <v xml:space="preserve">SLIDELL                   </v>
      </c>
      <c r="F4892" t="str">
        <f t="shared" si="185"/>
        <v>LA</v>
      </c>
    </row>
    <row r="4893" spans="1:6" x14ac:dyDescent="0.25">
      <c r="A4893" t="str">
        <f>"200026616"</f>
        <v>200026616</v>
      </c>
      <c r="B4893" t="str">
        <f>"1760477624"</f>
        <v>1760477624</v>
      </c>
      <c r="C4893" t="str">
        <f>"207W00000X"</f>
        <v>207W00000X</v>
      </c>
      <c r="D4893" t="str">
        <f>"HINKLE                   DAVID        M           "</f>
        <v xml:space="preserve">HINKLE                   DAVID        M           </v>
      </c>
      <c r="E4893" t="str">
        <f>"METAIRIE                  "</f>
        <v xml:space="preserve">METAIRIE                  </v>
      </c>
      <c r="F4893" t="str">
        <f t="shared" si="185"/>
        <v>LA</v>
      </c>
    </row>
    <row r="4894" spans="1:6" x14ac:dyDescent="0.25">
      <c r="A4894" t="str">
        <f>"200026620"</f>
        <v>200026620</v>
      </c>
      <c r="B4894" t="str">
        <f>"1104567106"</f>
        <v>1104567106</v>
      </c>
      <c r="C4894" t="str">
        <f>"208000000X"</f>
        <v>208000000X</v>
      </c>
      <c r="D4894" t="str">
        <f>"MELANCON                 KATHRYN                  "</f>
        <v xml:space="preserve">MELANCON                 KATHRYN                  </v>
      </c>
      <c r="E4894" t="str">
        <f>"DESTREHAN                 "</f>
        <v xml:space="preserve">DESTREHAN                 </v>
      </c>
      <c r="F4894" t="str">
        <f t="shared" si="185"/>
        <v>LA</v>
      </c>
    </row>
    <row r="4895" spans="1:6" x14ac:dyDescent="0.25">
      <c r="A4895" t="str">
        <f>"200026640"</f>
        <v>200026640</v>
      </c>
      <c r="B4895" t="str">
        <f>"1922271188"</f>
        <v>1922271188</v>
      </c>
      <c r="C4895" t="str">
        <f>"208M00000X"</f>
        <v>208M00000X</v>
      </c>
      <c r="D4895" t="str">
        <f>"MEYER                    JENNIFER                 "</f>
        <v xml:space="preserve">MEYER                    JENNIFER                 </v>
      </c>
      <c r="E4895" t="str">
        <f>"MARRERO                   "</f>
        <v xml:space="preserve">MARRERO                   </v>
      </c>
      <c r="F4895" t="str">
        <f t="shared" si="185"/>
        <v>LA</v>
      </c>
    </row>
    <row r="4896" spans="1:6" x14ac:dyDescent="0.25">
      <c r="A4896" t="str">
        <f>"200026653"</f>
        <v>200026653</v>
      </c>
      <c r="B4896" t="str">
        <f>"1477826600"</f>
        <v>1477826600</v>
      </c>
      <c r="C4896" t="str">
        <f>"207RE0101X"</f>
        <v>207RE0101X</v>
      </c>
      <c r="D4896" t="str">
        <f>"SIHOTA                   AANU         K           "</f>
        <v xml:space="preserve">SIHOTA                   AANU         K           </v>
      </c>
      <c r="E4896" t="str">
        <f>"METAIRIE                  "</f>
        <v xml:space="preserve">METAIRIE                  </v>
      </c>
      <c r="F4896" t="str">
        <f t="shared" si="185"/>
        <v>LA</v>
      </c>
    </row>
    <row r="4897" spans="1:6" x14ac:dyDescent="0.25">
      <c r="A4897" t="str">
        <f>"200026662"</f>
        <v>200026662</v>
      </c>
      <c r="B4897" t="str">
        <f>"1316965783"</f>
        <v>1316965783</v>
      </c>
      <c r="C4897" t="str">
        <f>"207P00000X"</f>
        <v>207P00000X</v>
      </c>
      <c r="D4897" t="str">
        <f>"ALLEN                    JONATHAN                 "</f>
        <v xml:space="preserve">ALLEN                    JONATHAN                 </v>
      </c>
      <c r="E4897" t="str">
        <f>"ZACHARY                   "</f>
        <v xml:space="preserve">ZACHARY                   </v>
      </c>
      <c r="F4897" t="str">
        <f t="shared" si="185"/>
        <v>LA</v>
      </c>
    </row>
    <row r="4898" spans="1:6" x14ac:dyDescent="0.25">
      <c r="A4898" t="str">
        <f>"200026691"</f>
        <v>200026691</v>
      </c>
      <c r="B4898" t="str">
        <f>"1043456510"</f>
        <v>1043456510</v>
      </c>
      <c r="C4898" t="str">
        <f>"2080P0216X"</f>
        <v>2080P0216X</v>
      </c>
      <c r="D4898" t="str">
        <f>"BROWN                    DANIEL                   "</f>
        <v xml:space="preserve">BROWN                    DANIEL                   </v>
      </c>
      <c r="E4898" t="str">
        <f>"NEW ORLEANS               "</f>
        <v xml:space="preserve">NEW ORLEANS               </v>
      </c>
      <c r="F4898" t="str">
        <f t="shared" si="185"/>
        <v>LA</v>
      </c>
    </row>
    <row r="4899" spans="1:6" x14ac:dyDescent="0.25">
      <c r="A4899" t="str">
        <f>"200026696"</f>
        <v>200026696</v>
      </c>
      <c r="B4899" t="str">
        <f>"1063031086"</f>
        <v>1063031086</v>
      </c>
      <c r="C4899" t="str">
        <f>"208M00000X"</f>
        <v>208M00000X</v>
      </c>
      <c r="D4899" t="str">
        <f>"BALDAWI                  MUAAMAR                  "</f>
        <v xml:space="preserve">BALDAWI                  MUAAMAR                  </v>
      </c>
      <c r="E4899" t="str">
        <f>"HAMMOND                   "</f>
        <v xml:space="preserve">HAMMOND                   </v>
      </c>
      <c r="F4899" t="str">
        <f t="shared" si="185"/>
        <v>LA</v>
      </c>
    </row>
    <row r="4900" spans="1:6" x14ac:dyDescent="0.25">
      <c r="A4900" t="str">
        <f>"200026718"</f>
        <v>200026718</v>
      </c>
      <c r="B4900" t="str">
        <f>"1033253000"</f>
        <v>1033253000</v>
      </c>
      <c r="C4900" t="str">
        <f>"207L00000X"</f>
        <v>207L00000X</v>
      </c>
      <c r="D4900" t="str">
        <f>"CORDONE                  MICHAEL                  "</f>
        <v xml:space="preserve">CORDONE                  MICHAEL                  </v>
      </c>
      <c r="E4900" t="str">
        <f>"HAMMOND                   "</f>
        <v xml:space="preserve">HAMMOND                   </v>
      </c>
      <c r="F4900" t="str">
        <f t="shared" si="185"/>
        <v>LA</v>
      </c>
    </row>
    <row r="4901" spans="1:6" x14ac:dyDescent="0.25">
      <c r="A4901" t="str">
        <f>"200026730"</f>
        <v>200026730</v>
      </c>
      <c r="B4901" t="str">
        <f>"1790447621"</f>
        <v>1790447621</v>
      </c>
      <c r="C4901" t="str">
        <f>"363LF0000X"</f>
        <v>363LF0000X</v>
      </c>
      <c r="D4901" t="str">
        <f>"DILIBERTO                KATHERINE    S           "</f>
        <v xml:space="preserve">DILIBERTO                KATHERINE    S           </v>
      </c>
      <c r="E4901" t="str">
        <f>"NEW ORLEANS               "</f>
        <v xml:space="preserve">NEW ORLEANS               </v>
      </c>
      <c r="F4901" t="str">
        <f t="shared" si="185"/>
        <v>LA</v>
      </c>
    </row>
    <row r="4902" spans="1:6" x14ac:dyDescent="0.25">
      <c r="A4902" t="str">
        <f>"200026748"</f>
        <v>200026748</v>
      </c>
      <c r="B4902" t="str">
        <f>"1972630705"</f>
        <v>1972630705</v>
      </c>
      <c r="C4902" t="str">
        <f>"261QM1300X"</f>
        <v>261QM1300X</v>
      </c>
      <c r="D4902" t="str">
        <f>"NORTH OAKS CARDIOLOGY CLINIC                      "</f>
        <v xml:space="preserve">NORTH OAKS CARDIOLOGY CLINIC                      </v>
      </c>
      <c r="E4902" t="str">
        <f>"HAMMOND                   "</f>
        <v xml:space="preserve">HAMMOND                   </v>
      </c>
      <c r="F4902" t="str">
        <f t="shared" si="185"/>
        <v>LA</v>
      </c>
    </row>
    <row r="4903" spans="1:6" x14ac:dyDescent="0.25">
      <c r="A4903" t="str">
        <f>"200026751"</f>
        <v>200026751</v>
      </c>
      <c r="B4903" t="str">
        <f>"1760072219"</f>
        <v>1760072219</v>
      </c>
      <c r="C4903" t="str">
        <f>"367500000X"</f>
        <v>367500000X</v>
      </c>
      <c r="D4903" t="str">
        <f>"LOUVIERE                 HUNTER       J           "</f>
        <v xml:space="preserve">LOUVIERE                 HUNTER       J           </v>
      </c>
      <c r="E4903" t="str">
        <f>"COVINGTON                 "</f>
        <v xml:space="preserve">COVINGTON                 </v>
      </c>
      <c r="F4903" t="str">
        <f t="shared" si="185"/>
        <v>LA</v>
      </c>
    </row>
    <row r="4904" spans="1:6" x14ac:dyDescent="0.25">
      <c r="A4904" t="str">
        <f>"200026768"</f>
        <v>200026768</v>
      </c>
      <c r="B4904" t="str">
        <f>"1487682514"</f>
        <v>1487682514</v>
      </c>
      <c r="C4904" t="str">
        <f>"207P00000X"</f>
        <v>207P00000X</v>
      </c>
      <c r="D4904" t="str">
        <f>"CRUZ                     ARNOLD                   "</f>
        <v xml:space="preserve">CRUZ                     ARNOLD                   </v>
      </c>
      <c r="E4904" t="str">
        <f>"NEW ORLEANS               "</f>
        <v xml:space="preserve">NEW ORLEANS               </v>
      </c>
      <c r="F4904" t="str">
        <f t="shared" si="185"/>
        <v>LA</v>
      </c>
    </row>
    <row r="4905" spans="1:6" x14ac:dyDescent="0.25">
      <c r="A4905" t="str">
        <f>"200026771"</f>
        <v>200026771</v>
      </c>
      <c r="B4905" t="str">
        <f>"1972630705"</f>
        <v>1972630705</v>
      </c>
      <c r="C4905" t="str">
        <f>"261QM1300X"</f>
        <v>261QM1300X</v>
      </c>
      <c r="D4905" t="str">
        <f>"NORTH OAKS UROLOGICAL ASSOCIATES                  "</f>
        <v xml:space="preserve">NORTH OAKS UROLOGICAL ASSOCIATES                  </v>
      </c>
      <c r="E4905" t="str">
        <f>"HAMMOND                   "</f>
        <v xml:space="preserve">HAMMOND                   </v>
      </c>
      <c r="F4905" t="str">
        <f t="shared" si="185"/>
        <v>LA</v>
      </c>
    </row>
    <row r="4906" spans="1:6" x14ac:dyDescent="0.25">
      <c r="A4906" t="str">
        <f>"200026776"</f>
        <v>200026776</v>
      </c>
      <c r="B4906" t="str">
        <f>"1588929723"</f>
        <v>1588929723</v>
      </c>
      <c r="C4906" t="str">
        <f>"363L00000X"</f>
        <v>363L00000X</v>
      </c>
      <c r="D4906" t="str">
        <f>"DOMANGUE                 CHAD                     "</f>
        <v xml:space="preserve">DOMANGUE                 CHAD                     </v>
      </c>
      <c r="E4906" t="str">
        <f>"HOUMA                     "</f>
        <v xml:space="preserve">HOUMA                     </v>
      </c>
      <c r="F4906" t="str">
        <f t="shared" si="185"/>
        <v>LA</v>
      </c>
    </row>
    <row r="4907" spans="1:6" x14ac:dyDescent="0.25">
      <c r="A4907" t="str">
        <f>"200026781"</f>
        <v>200026781</v>
      </c>
      <c r="B4907" t="str">
        <f>"1144562554"</f>
        <v>1144562554</v>
      </c>
      <c r="C4907" t="str">
        <f>"207P00000X"</f>
        <v>207P00000X</v>
      </c>
      <c r="D4907" t="str">
        <f>"ROAN                     LAURA                    "</f>
        <v xml:space="preserve">ROAN                     LAURA                    </v>
      </c>
      <c r="E4907" t="str">
        <f>"BOGALUSA                  "</f>
        <v xml:space="preserve">BOGALUSA                  </v>
      </c>
      <c r="F4907" t="str">
        <f t="shared" si="185"/>
        <v>LA</v>
      </c>
    </row>
    <row r="4908" spans="1:6" x14ac:dyDescent="0.25">
      <c r="A4908" t="str">
        <f>"200026788"</f>
        <v>200026788</v>
      </c>
      <c r="B4908" t="str">
        <f>"1912249780"</f>
        <v>1912249780</v>
      </c>
      <c r="C4908" t="str">
        <f>"208000000X"</f>
        <v>208000000X</v>
      </c>
      <c r="D4908" t="str">
        <f>"FARGE                    ASHLEY                   "</f>
        <v xml:space="preserve">FARGE                    ASHLEY                   </v>
      </c>
      <c r="E4908" t="str">
        <f>"NEW ORLEANS               "</f>
        <v xml:space="preserve">NEW ORLEANS               </v>
      </c>
      <c r="F4908" t="str">
        <f t="shared" si="185"/>
        <v>LA</v>
      </c>
    </row>
    <row r="4909" spans="1:6" x14ac:dyDescent="0.25">
      <c r="A4909" t="str">
        <f>"200026798"</f>
        <v>200026798</v>
      </c>
      <c r="B4909" t="str">
        <f>"1730166091"</f>
        <v>1730166091</v>
      </c>
      <c r="C4909" t="str">
        <f>"207R00000X"</f>
        <v>207R00000X</v>
      </c>
      <c r="D4909" t="str">
        <f>"BATES                    KIMBERLY                 "</f>
        <v xml:space="preserve">BATES                    KIMBERLY                 </v>
      </c>
      <c r="E4909" t="str">
        <f>"NEW ORLEANS               "</f>
        <v xml:space="preserve">NEW ORLEANS               </v>
      </c>
      <c r="F4909" t="str">
        <f t="shared" si="185"/>
        <v>LA</v>
      </c>
    </row>
    <row r="4910" spans="1:6" x14ac:dyDescent="0.25">
      <c r="A4910" t="str">
        <f>"200026805"</f>
        <v>200026805</v>
      </c>
      <c r="B4910" t="str">
        <f>"1033786272"</f>
        <v>1033786272</v>
      </c>
      <c r="C4910" t="str">
        <f>"2084P0800X"</f>
        <v>2084P0800X</v>
      </c>
      <c r="D4910" t="str">
        <f>"MORRIS, III              JOHN                     "</f>
        <v xml:space="preserve">MORRIS, III              JOHN                     </v>
      </c>
      <c r="E4910" t="str">
        <f>"GRETNA                    "</f>
        <v xml:space="preserve">GRETNA                    </v>
      </c>
      <c r="F4910" t="str">
        <f t="shared" si="185"/>
        <v>LA</v>
      </c>
    </row>
    <row r="4911" spans="1:6" x14ac:dyDescent="0.25">
      <c r="A4911" t="str">
        <f>"200026807"</f>
        <v>200026807</v>
      </c>
      <c r="B4911" t="str">
        <f>"1134911217"</f>
        <v>1134911217</v>
      </c>
      <c r="C4911" t="str">
        <f>"363A00000X"</f>
        <v>363A00000X</v>
      </c>
      <c r="D4911" t="str">
        <f>"MATA                     RACHEL                   "</f>
        <v xml:space="preserve">MATA                     RACHEL                   </v>
      </c>
      <c r="E4911" t="str">
        <f>"JEFFERSON                 "</f>
        <v xml:space="preserve">JEFFERSON                 </v>
      </c>
      <c r="F4911" t="str">
        <f t="shared" si="185"/>
        <v>LA</v>
      </c>
    </row>
    <row r="4912" spans="1:6" x14ac:dyDescent="0.25">
      <c r="A4912" t="str">
        <f>"200026809"</f>
        <v>200026809</v>
      </c>
      <c r="B4912" t="str">
        <f>"1699200253"</f>
        <v>1699200253</v>
      </c>
      <c r="C4912" t="str">
        <f>"2085R0202X"</f>
        <v>2085R0202X</v>
      </c>
      <c r="D4912" t="str">
        <f>"MAKEEVA                  VALERIA                  "</f>
        <v xml:space="preserve">MAKEEVA                  VALERIA                  </v>
      </c>
      <c r="E4912" t="str">
        <f>"NEW ORLEANS               "</f>
        <v xml:space="preserve">NEW ORLEANS               </v>
      </c>
      <c r="F4912" t="str">
        <f t="shared" si="185"/>
        <v>LA</v>
      </c>
    </row>
    <row r="4913" spans="1:6" x14ac:dyDescent="0.25">
      <c r="A4913" t="str">
        <f>"200026815"</f>
        <v>200026815</v>
      </c>
      <c r="B4913" t="str">
        <f>"1326001470"</f>
        <v>1326001470</v>
      </c>
      <c r="C4913" t="str">
        <f>"207Q00000X"</f>
        <v>207Q00000X</v>
      </c>
      <c r="D4913" t="str">
        <f>"HOWELL                   NELSON                   "</f>
        <v xml:space="preserve">HOWELL                   NELSON                   </v>
      </c>
      <c r="E4913" t="str">
        <f>"BOGALUSA                  "</f>
        <v xml:space="preserve">BOGALUSA                  </v>
      </c>
      <c r="F4913" t="str">
        <f t="shared" si="185"/>
        <v>LA</v>
      </c>
    </row>
    <row r="4914" spans="1:6" x14ac:dyDescent="0.25">
      <c r="A4914" t="str">
        <f>"200026817"</f>
        <v>200026817</v>
      </c>
      <c r="B4914" t="str">
        <f>"1255911723"</f>
        <v>1255911723</v>
      </c>
      <c r="C4914" t="str">
        <f>"207R00000X"</f>
        <v>207R00000X</v>
      </c>
      <c r="D4914" t="str">
        <f>"HOWE                     BRANDON                  "</f>
        <v xml:space="preserve">HOWE                     BRANDON                  </v>
      </c>
      <c r="E4914" t="str">
        <f>"ZACHARY                   "</f>
        <v xml:space="preserve">ZACHARY                   </v>
      </c>
      <c r="F4914" t="str">
        <f t="shared" si="185"/>
        <v>LA</v>
      </c>
    </row>
    <row r="4915" spans="1:6" x14ac:dyDescent="0.25">
      <c r="A4915" t="str">
        <f>"200026819"</f>
        <v>200026819</v>
      </c>
      <c r="B4915" t="str">
        <f>"1477877264"</f>
        <v>1477877264</v>
      </c>
      <c r="C4915" t="str">
        <f>"207Q00000X"</f>
        <v>207Q00000X</v>
      </c>
      <c r="D4915" t="str">
        <f>"LONGMIRE                 DAVID                    "</f>
        <v xml:space="preserve">LONGMIRE                 DAVID                    </v>
      </c>
      <c r="E4915" t="str">
        <f>"ZACHARY                   "</f>
        <v xml:space="preserve">ZACHARY                   </v>
      </c>
      <c r="F4915" t="str">
        <f t="shared" si="185"/>
        <v>LA</v>
      </c>
    </row>
    <row r="4916" spans="1:6" x14ac:dyDescent="0.25">
      <c r="A4916" t="str">
        <f>"200026828"</f>
        <v>200026828</v>
      </c>
      <c r="B4916" t="str">
        <f>"1407803307"</f>
        <v>1407803307</v>
      </c>
      <c r="C4916" t="str">
        <f>"207RH0002X"</f>
        <v>207RH0002X</v>
      </c>
      <c r="D4916" t="str">
        <f>"ROCHE-GREEN              ALVA         R           "</f>
        <v xml:space="preserve">ROCHE-GREEN              ALVA         R           </v>
      </c>
      <c r="E4916" t="str">
        <f>"METAIRIE                  "</f>
        <v xml:space="preserve">METAIRIE                  </v>
      </c>
      <c r="F4916" t="str">
        <f t="shared" si="185"/>
        <v>LA</v>
      </c>
    </row>
    <row r="4917" spans="1:6" x14ac:dyDescent="0.25">
      <c r="A4917" t="str">
        <f>"200026829"</f>
        <v>200026829</v>
      </c>
      <c r="B4917" t="str">
        <f>"1376181198"</f>
        <v>1376181198</v>
      </c>
      <c r="C4917" t="str">
        <f>"363LA2100X"</f>
        <v>363LA2100X</v>
      </c>
      <c r="D4917" t="str">
        <f>"GIORDANO                 NICHOLAS                 "</f>
        <v xml:space="preserve">GIORDANO                 NICHOLAS                 </v>
      </c>
      <c r="E4917" t="str">
        <f>"SLIDELL                   "</f>
        <v xml:space="preserve">SLIDELL                   </v>
      </c>
      <c r="F4917" t="str">
        <f t="shared" si="185"/>
        <v>LA</v>
      </c>
    </row>
    <row r="4918" spans="1:6" x14ac:dyDescent="0.25">
      <c r="A4918" t="str">
        <f>"200026841"</f>
        <v>200026841</v>
      </c>
      <c r="B4918" t="str">
        <f>"1063151017"</f>
        <v>1063151017</v>
      </c>
      <c r="C4918" t="str">
        <f>"207R00000X"</f>
        <v>207R00000X</v>
      </c>
      <c r="D4918" t="str">
        <f>"PAREDES HENRIQUEZ        ANDREA                   "</f>
        <v xml:space="preserve">PAREDES HENRIQUEZ        ANDREA                   </v>
      </c>
      <c r="E4918" t="str">
        <f>"COVINGTON                 "</f>
        <v xml:space="preserve">COVINGTON                 </v>
      </c>
      <c r="F4918" t="str">
        <f t="shared" si="185"/>
        <v>LA</v>
      </c>
    </row>
    <row r="4919" spans="1:6" x14ac:dyDescent="0.25">
      <c r="A4919" t="str">
        <f>"200026845"</f>
        <v>200026845</v>
      </c>
      <c r="B4919" t="str">
        <f>"1982767810"</f>
        <v>1982767810</v>
      </c>
      <c r="C4919" t="str">
        <f>"207VX0201X"</f>
        <v>207VX0201X</v>
      </c>
      <c r="D4919" t="str">
        <f>"SHANK                    JESSICA      J           "</f>
        <v xml:space="preserve">SHANK                    JESSICA      J           </v>
      </c>
      <c r="E4919" t="str">
        <f>"METAIRIE                  "</f>
        <v xml:space="preserve">METAIRIE                  </v>
      </c>
      <c r="F4919" t="str">
        <f t="shared" si="185"/>
        <v>LA</v>
      </c>
    </row>
    <row r="4920" spans="1:6" x14ac:dyDescent="0.25">
      <c r="A4920" t="str">
        <f>"200026852"</f>
        <v>200026852</v>
      </c>
      <c r="B4920" t="str">
        <f>"1194103168"</f>
        <v>1194103168</v>
      </c>
      <c r="C4920" t="str">
        <f>"207P00000X"</f>
        <v>207P00000X</v>
      </c>
      <c r="D4920" t="str">
        <f>"ALPTUNAER                TIMUR                    "</f>
        <v xml:space="preserve">ALPTUNAER                TIMUR                    </v>
      </c>
      <c r="E4920" t="str">
        <f>"ZACHARY                   "</f>
        <v xml:space="preserve">ZACHARY                   </v>
      </c>
      <c r="F4920" t="str">
        <f t="shared" si="185"/>
        <v>LA</v>
      </c>
    </row>
    <row r="4921" spans="1:6" x14ac:dyDescent="0.25">
      <c r="A4921" t="str">
        <f>"200026855"</f>
        <v>200026855</v>
      </c>
      <c r="B4921" t="str">
        <f>"1194704304"</f>
        <v>1194704304</v>
      </c>
      <c r="C4921" t="str">
        <f>"207P00000X"</f>
        <v>207P00000X</v>
      </c>
      <c r="D4921" t="str">
        <f>"COHN                     BARBARA                  "</f>
        <v xml:space="preserve">COHN                     BARBARA                  </v>
      </c>
      <c r="E4921" t="str">
        <f>"BOGALUSA                  "</f>
        <v xml:space="preserve">BOGALUSA                  </v>
      </c>
      <c r="F4921" t="str">
        <f t="shared" si="185"/>
        <v>LA</v>
      </c>
    </row>
    <row r="4922" spans="1:6" x14ac:dyDescent="0.25">
      <c r="A4922" t="str">
        <f>"200026866"</f>
        <v>200026866</v>
      </c>
      <c r="B4922" t="str">
        <f>"1972630705"</f>
        <v>1972630705</v>
      </c>
      <c r="C4922" t="str">
        <f>"261QM1300X"</f>
        <v>261QM1300X</v>
      </c>
      <c r="D4922" t="str">
        <f>"NORTH OAKS ORTHOPAEDIC SPECIALTY CENTER           "</f>
        <v xml:space="preserve">NORTH OAKS ORTHOPAEDIC SPECIALTY CENTER           </v>
      </c>
      <c r="E4922" t="str">
        <f>"HAMMOND                   "</f>
        <v xml:space="preserve">HAMMOND                   </v>
      </c>
      <c r="F4922" t="str">
        <f t="shared" si="185"/>
        <v>LA</v>
      </c>
    </row>
    <row r="4923" spans="1:6" x14ac:dyDescent="0.25">
      <c r="A4923" t="str">
        <f>"200026878"</f>
        <v>200026878</v>
      </c>
      <c r="B4923" t="str">
        <f>"1558983189"</f>
        <v>1558983189</v>
      </c>
      <c r="C4923" t="str">
        <f>"207R00000X"</f>
        <v>207R00000X</v>
      </c>
      <c r="D4923" t="str">
        <f>"ATALLAH                  JANE                     "</f>
        <v xml:space="preserve">ATALLAH                  JANE                     </v>
      </c>
      <c r="E4923" t="str">
        <f>"SLIDELL                   "</f>
        <v xml:space="preserve">SLIDELL                   </v>
      </c>
      <c r="F4923" t="str">
        <f t="shared" si="185"/>
        <v>LA</v>
      </c>
    </row>
    <row r="4924" spans="1:6" x14ac:dyDescent="0.25">
      <c r="A4924" t="str">
        <f>"200026887"</f>
        <v>200026887</v>
      </c>
      <c r="B4924" t="str">
        <f>"1215959085"</f>
        <v>1215959085</v>
      </c>
      <c r="C4924" t="str">
        <f>"2080N0001X"</f>
        <v>2080N0001X</v>
      </c>
      <c r="D4924" t="str">
        <f>"RIVERA                   DANA         L           "</f>
        <v xml:space="preserve">RIVERA                   DANA         L           </v>
      </c>
      <c r="E4924" t="str">
        <f>"NEW ORLEANS               "</f>
        <v xml:space="preserve">NEW ORLEANS               </v>
      </c>
      <c r="F4924" t="str">
        <f t="shared" si="185"/>
        <v>LA</v>
      </c>
    </row>
    <row r="4925" spans="1:6" x14ac:dyDescent="0.25">
      <c r="A4925" t="str">
        <f>"200026895"</f>
        <v>200026895</v>
      </c>
      <c r="B4925" t="str">
        <f>"1396371209"</f>
        <v>1396371209</v>
      </c>
      <c r="C4925" t="str">
        <f>"2084N0400X"</f>
        <v>2084N0400X</v>
      </c>
      <c r="D4925" t="str">
        <f>"HUANG                    GING                     "</f>
        <v xml:space="preserve">HUANG                    GING                     </v>
      </c>
      <c r="E4925" t="str">
        <f>"NEW ORLEANS               "</f>
        <v xml:space="preserve">NEW ORLEANS               </v>
      </c>
      <c r="F4925" t="str">
        <f t="shared" si="185"/>
        <v>LA</v>
      </c>
    </row>
    <row r="4926" spans="1:6" x14ac:dyDescent="0.25">
      <c r="A4926" t="str">
        <f>"200026896"</f>
        <v>200026896</v>
      </c>
      <c r="B4926" t="str">
        <f>"1316170780"</f>
        <v>1316170780</v>
      </c>
      <c r="C4926" t="str">
        <f>"363L00000X"</f>
        <v>363L00000X</v>
      </c>
      <c r="D4926" t="str">
        <f>"LABRUZZO                 VICTORIA                 "</f>
        <v xml:space="preserve">LABRUZZO                 VICTORIA                 </v>
      </c>
      <c r="E4926" t="str">
        <f>"NEW ORLEANS               "</f>
        <v xml:space="preserve">NEW ORLEANS               </v>
      </c>
      <c r="F4926" t="str">
        <f t="shared" si="185"/>
        <v>LA</v>
      </c>
    </row>
    <row r="4927" spans="1:6" x14ac:dyDescent="0.25">
      <c r="A4927" t="str">
        <f>"200026897"</f>
        <v>200026897</v>
      </c>
      <c r="B4927" t="str">
        <f>"1881858603"</f>
        <v>1881858603</v>
      </c>
      <c r="C4927" t="str">
        <f>"367500000X"</f>
        <v>367500000X</v>
      </c>
      <c r="D4927" t="str">
        <f>"PALM                     MICHAEL                  "</f>
        <v xml:space="preserve">PALM                     MICHAEL                  </v>
      </c>
      <c r="E4927" t="str">
        <f>"NEW ORLEANS               "</f>
        <v xml:space="preserve">NEW ORLEANS               </v>
      </c>
      <c r="F4927" t="str">
        <f t="shared" si="185"/>
        <v>LA</v>
      </c>
    </row>
    <row r="4928" spans="1:6" x14ac:dyDescent="0.25">
      <c r="A4928" t="str">
        <f>"200026900"</f>
        <v>200026900</v>
      </c>
      <c r="B4928" t="str">
        <f>"1295769826"</f>
        <v>1295769826</v>
      </c>
      <c r="C4928" t="str">
        <f>"207R00000X"</f>
        <v>207R00000X</v>
      </c>
      <c r="D4928" t="str">
        <f>"MORAN                    KATE                     "</f>
        <v xml:space="preserve">MORAN                    KATE                     </v>
      </c>
      <c r="E4928" t="str">
        <f>"COVINGTON                 "</f>
        <v xml:space="preserve">COVINGTON                 </v>
      </c>
      <c r="F4928" t="str">
        <f t="shared" si="185"/>
        <v>LA</v>
      </c>
    </row>
    <row r="4929" spans="1:6" x14ac:dyDescent="0.25">
      <c r="A4929" t="str">
        <f>"200026912"</f>
        <v>200026912</v>
      </c>
      <c r="B4929" t="str">
        <f>"1851285340"</f>
        <v>1851285340</v>
      </c>
      <c r="C4929" t="str">
        <f>"363A00000X"</f>
        <v>363A00000X</v>
      </c>
      <c r="D4929" t="str">
        <f>"LEBOEUF                  JACIE                    "</f>
        <v xml:space="preserve">LEBOEUF                  JACIE                    </v>
      </c>
      <c r="E4929" t="str">
        <f>"KENNER                    "</f>
        <v xml:space="preserve">KENNER                    </v>
      </c>
      <c r="F4929" t="str">
        <f t="shared" si="185"/>
        <v>LA</v>
      </c>
    </row>
    <row r="4930" spans="1:6" x14ac:dyDescent="0.25">
      <c r="A4930" t="str">
        <f>"200026921"</f>
        <v>200026921</v>
      </c>
      <c r="B4930" t="str">
        <f>"1972630705"</f>
        <v>1972630705</v>
      </c>
      <c r="C4930" t="str">
        <f>"261QM1300X"</f>
        <v>261QM1300X</v>
      </c>
      <c r="D4930" t="str">
        <f>"NORTH OAKS CVT CLINIC                             "</f>
        <v xml:space="preserve">NORTH OAKS CVT CLINIC                             </v>
      </c>
      <c r="E4930" t="str">
        <f>"HAMMOND                   "</f>
        <v xml:space="preserve">HAMMOND                   </v>
      </c>
      <c r="F4930" t="str">
        <f t="shared" si="185"/>
        <v>LA</v>
      </c>
    </row>
    <row r="4931" spans="1:6" x14ac:dyDescent="0.25">
      <c r="A4931" t="str">
        <f>"200026931"</f>
        <v>200026931</v>
      </c>
      <c r="B4931" t="str">
        <f>"1043352453"</f>
        <v>1043352453</v>
      </c>
      <c r="C4931" t="str">
        <f>"2084P0800X"</f>
        <v>2084P0800X</v>
      </c>
      <c r="D4931" t="str">
        <f>"MAMON                    LAKISHA                  "</f>
        <v xml:space="preserve">MAMON                    LAKISHA                  </v>
      </c>
      <c r="E4931" t="str">
        <f>"NEW ORLEANS               "</f>
        <v xml:space="preserve">NEW ORLEANS               </v>
      </c>
      <c r="F4931" t="str">
        <f t="shared" si="185"/>
        <v>LA</v>
      </c>
    </row>
    <row r="4932" spans="1:6" x14ac:dyDescent="0.25">
      <c r="A4932" t="str">
        <f>"200026932"</f>
        <v>200026932</v>
      </c>
      <c r="B4932" t="str">
        <f>"1174817928"</f>
        <v>1174817928</v>
      </c>
      <c r="C4932" t="str">
        <f>"207XP3100X"</f>
        <v>207XP3100X</v>
      </c>
      <c r="D4932" t="str">
        <f>"KRIEL                    HILDA                    "</f>
        <v xml:space="preserve">KRIEL                    HILDA                    </v>
      </c>
      <c r="E4932" t="str">
        <f>"LAFAYETTE                 "</f>
        <v xml:space="preserve">LAFAYETTE                 </v>
      </c>
      <c r="F4932" t="str">
        <f t="shared" si="185"/>
        <v>LA</v>
      </c>
    </row>
    <row r="4933" spans="1:6" x14ac:dyDescent="0.25">
      <c r="A4933" t="str">
        <f>"200026934"</f>
        <v>200026934</v>
      </c>
      <c r="B4933" t="str">
        <f>"1255783312"</f>
        <v>1255783312</v>
      </c>
      <c r="C4933" t="str">
        <f>"363A00000X"</f>
        <v>363A00000X</v>
      </c>
      <c r="D4933" t="str">
        <f>"MENARD                   AMANDA                   "</f>
        <v xml:space="preserve">MENARD                   AMANDA                   </v>
      </c>
      <c r="E4933" t="str">
        <f>"NEW ORLEANS               "</f>
        <v xml:space="preserve">NEW ORLEANS               </v>
      </c>
      <c r="F4933" t="str">
        <f t="shared" si="185"/>
        <v>LA</v>
      </c>
    </row>
    <row r="4934" spans="1:6" x14ac:dyDescent="0.25">
      <c r="A4934" t="str">
        <f>"200026941"</f>
        <v>200026941</v>
      </c>
      <c r="B4934" t="str">
        <f>"1780835215"</f>
        <v>1780835215</v>
      </c>
      <c r="C4934" t="str">
        <f>"363LA2100X"</f>
        <v>363LA2100X</v>
      </c>
      <c r="D4934" t="str">
        <f>"KLUG                     CHAD                     "</f>
        <v xml:space="preserve">KLUG                     CHAD                     </v>
      </c>
      <c r="E4934" t="str">
        <f>"HAMMOND                   "</f>
        <v xml:space="preserve">HAMMOND                   </v>
      </c>
      <c r="F4934" t="str">
        <f t="shared" si="185"/>
        <v>LA</v>
      </c>
    </row>
    <row r="4935" spans="1:6" x14ac:dyDescent="0.25">
      <c r="A4935" t="str">
        <f>"200026968"</f>
        <v>200026968</v>
      </c>
      <c r="B4935" t="str">
        <f>"1861016354"</f>
        <v>1861016354</v>
      </c>
      <c r="C4935" t="str">
        <f>"207R00000X"</f>
        <v>207R00000X</v>
      </c>
      <c r="D4935" t="str">
        <f>"ASIF                     HARIS                    "</f>
        <v xml:space="preserve">ASIF                     HARIS                    </v>
      </c>
      <c r="E4935" t="str">
        <f>"COVINGTON                 "</f>
        <v xml:space="preserve">COVINGTON                 </v>
      </c>
      <c r="F4935" t="str">
        <f t="shared" si="185"/>
        <v>LA</v>
      </c>
    </row>
    <row r="4936" spans="1:6" x14ac:dyDescent="0.25">
      <c r="A4936" t="str">
        <f>"200026979"</f>
        <v>200026979</v>
      </c>
      <c r="B4936" t="str">
        <f>"1992128391"</f>
        <v>1992128391</v>
      </c>
      <c r="C4936" t="str">
        <f>"367500000X"</f>
        <v>367500000X</v>
      </c>
      <c r="D4936" t="str">
        <f>"MARTINO                  LISA                     "</f>
        <v xml:space="preserve">MARTINO                  LISA                     </v>
      </c>
      <c r="E4936" t="str">
        <f>"NEW ORLEANS               "</f>
        <v xml:space="preserve">NEW ORLEANS               </v>
      </c>
      <c r="F4936" t="str">
        <f t="shared" si="185"/>
        <v>LA</v>
      </c>
    </row>
    <row r="4937" spans="1:6" x14ac:dyDescent="0.25">
      <c r="A4937" t="str">
        <f>"200027003"</f>
        <v>200027003</v>
      </c>
      <c r="B4937" t="str">
        <f>"1366467599"</f>
        <v>1366467599</v>
      </c>
      <c r="C4937" t="str">
        <f>"207Q00000X"</f>
        <v>207Q00000X</v>
      </c>
      <c r="D4937" t="str">
        <f>"FREEMAN                  JOSEPH                   "</f>
        <v xml:space="preserve">FREEMAN                  JOSEPH                   </v>
      </c>
      <c r="E4937" t="str">
        <f>"TALLULAH                  "</f>
        <v xml:space="preserve">TALLULAH                  </v>
      </c>
      <c r="F4937" t="str">
        <f t="shared" si="185"/>
        <v>LA</v>
      </c>
    </row>
    <row r="4938" spans="1:6" x14ac:dyDescent="0.25">
      <c r="A4938" t="str">
        <f>"200027017"</f>
        <v>200027017</v>
      </c>
      <c r="B4938" t="str">
        <f>"1598709248"</f>
        <v>1598709248</v>
      </c>
      <c r="C4938" t="str">
        <f>"363A00000X"</f>
        <v>363A00000X</v>
      </c>
      <c r="D4938" t="str">
        <f>"DEVELLE                  ROBERT                   "</f>
        <v xml:space="preserve">DEVELLE                  ROBERT                   </v>
      </c>
      <c r="E4938" t="str">
        <f>"NEW ORLEANS               "</f>
        <v xml:space="preserve">NEW ORLEANS               </v>
      </c>
      <c r="F4938" t="str">
        <f t="shared" si="185"/>
        <v>LA</v>
      </c>
    </row>
    <row r="4939" spans="1:6" x14ac:dyDescent="0.25">
      <c r="A4939" t="str">
        <f>"200027032"</f>
        <v>200027032</v>
      </c>
      <c r="B4939" t="str">
        <f>"1538952668"</f>
        <v>1538952668</v>
      </c>
      <c r="C4939" t="str">
        <f>"122300000X"</f>
        <v>122300000X</v>
      </c>
      <c r="D4939" t="str">
        <f>"MEHRABANI                ARIANA                   "</f>
        <v xml:space="preserve">MEHRABANI                ARIANA                   </v>
      </c>
      <c r="E4939" t="str">
        <f>"SLIDELL                   "</f>
        <v xml:space="preserve">SLIDELL                   </v>
      </c>
      <c r="F4939" t="str">
        <f t="shared" si="185"/>
        <v>LA</v>
      </c>
    </row>
    <row r="4940" spans="1:6" x14ac:dyDescent="0.25">
      <c r="A4940" t="str">
        <f>"200027036"</f>
        <v>200027036</v>
      </c>
      <c r="B4940" t="str">
        <f>"1730067554"</f>
        <v>1730067554</v>
      </c>
      <c r="C4940" t="str">
        <f>"363L00000X"</f>
        <v>363L00000X</v>
      </c>
      <c r="D4940" t="str">
        <f>"NUNNALLY                 MAGGIE                   "</f>
        <v xml:space="preserve">NUNNALLY                 MAGGIE                   </v>
      </c>
      <c r="E4940" t="str">
        <f>"MORGAN CITY               "</f>
        <v xml:space="preserve">MORGAN CITY               </v>
      </c>
      <c r="F4940" t="str">
        <f t="shared" si="185"/>
        <v>LA</v>
      </c>
    </row>
    <row r="4941" spans="1:6" x14ac:dyDescent="0.25">
      <c r="A4941" t="str">
        <f>"200027037"</f>
        <v>200027037</v>
      </c>
      <c r="B4941" t="str">
        <f>"1972345171"</f>
        <v>1972345171</v>
      </c>
      <c r="C4941" t="str">
        <f>"363LF0000X"</f>
        <v>363LF0000X</v>
      </c>
      <c r="D4941" t="str">
        <f>"GUILLEN                  TIA                      "</f>
        <v xml:space="preserve">GUILLEN                  TIA                      </v>
      </c>
      <c r="E4941" t="str">
        <f>"JEFFERSON                 "</f>
        <v xml:space="preserve">JEFFERSON                 </v>
      </c>
      <c r="F4941" t="str">
        <f t="shared" si="185"/>
        <v>LA</v>
      </c>
    </row>
    <row r="4942" spans="1:6" x14ac:dyDescent="0.25">
      <c r="A4942" t="str">
        <f>"200027038"</f>
        <v>200027038</v>
      </c>
      <c r="B4942" t="str">
        <f>"1538484944"</f>
        <v>1538484944</v>
      </c>
      <c r="C4942" t="str">
        <f>"207P00000X"</f>
        <v>207P00000X</v>
      </c>
      <c r="D4942" t="str">
        <f>"MARINO                   MEGAN                    "</f>
        <v xml:space="preserve">MARINO                   MEGAN                    </v>
      </c>
      <c r="E4942" t="str">
        <f>"NEW ORLEANS               "</f>
        <v xml:space="preserve">NEW ORLEANS               </v>
      </c>
      <c r="F4942" t="str">
        <f t="shared" si="185"/>
        <v>LA</v>
      </c>
    </row>
    <row r="4943" spans="1:6" x14ac:dyDescent="0.25">
      <c r="A4943" t="str">
        <f>"200027039"</f>
        <v>200027039</v>
      </c>
      <c r="B4943" t="str">
        <f>"1609255231"</f>
        <v>1609255231</v>
      </c>
      <c r="C4943" t="str">
        <f>"207RG0100X"</f>
        <v>207RG0100X</v>
      </c>
      <c r="D4943" t="str">
        <f>"POINTER                  LAUREN                   "</f>
        <v xml:space="preserve">POINTER                  LAUREN                   </v>
      </c>
      <c r="E4943" t="str">
        <f>"NEW ORLEANS               "</f>
        <v xml:space="preserve">NEW ORLEANS               </v>
      </c>
      <c r="F4943" t="str">
        <f t="shared" si="185"/>
        <v>LA</v>
      </c>
    </row>
    <row r="4944" spans="1:6" x14ac:dyDescent="0.25">
      <c r="A4944" t="str">
        <f>"200027040"</f>
        <v>200027040</v>
      </c>
      <c r="B4944" t="str">
        <f>"1629423264"</f>
        <v>1629423264</v>
      </c>
      <c r="C4944" t="str">
        <f>"207RH0002X"</f>
        <v>207RH0002X</v>
      </c>
      <c r="D4944" t="str">
        <f>"FARIAS                   MELISA                   "</f>
        <v xml:space="preserve">FARIAS                   MELISA                   </v>
      </c>
      <c r="E4944" t="str">
        <f>"NEW ORLEANS               "</f>
        <v xml:space="preserve">NEW ORLEANS               </v>
      </c>
      <c r="F4944" t="str">
        <f t="shared" si="185"/>
        <v>LA</v>
      </c>
    </row>
    <row r="4945" spans="1:6" x14ac:dyDescent="0.25">
      <c r="A4945" t="str">
        <f>"200027041"</f>
        <v>200027041</v>
      </c>
      <c r="B4945" t="str">
        <f>"1447258744"</f>
        <v>1447258744</v>
      </c>
      <c r="C4945" t="str">
        <f>"363LF0000X"</f>
        <v>363LF0000X</v>
      </c>
      <c r="D4945" t="str">
        <f>"BODET                    COLLEEN                  "</f>
        <v xml:space="preserve">BODET                    COLLEEN                  </v>
      </c>
      <c r="E4945" t="str">
        <f>"NEW ORLEANS               "</f>
        <v xml:space="preserve">NEW ORLEANS               </v>
      </c>
      <c r="F4945" t="str">
        <f t="shared" si="185"/>
        <v>LA</v>
      </c>
    </row>
    <row r="4946" spans="1:6" x14ac:dyDescent="0.25">
      <c r="A4946" t="str">
        <f>"200027043"</f>
        <v>200027043</v>
      </c>
      <c r="B4946" t="str">
        <f>"1245522234"</f>
        <v>1245522234</v>
      </c>
      <c r="C4946" t="str">
        <f>"207YX0901X"</f>
        <v>207YX0901X</v>
      </c>
      <c r="D4946" t="str">
        <f>"JACKSON                  NEAL         M           "</f>
        <v xml:space="preserve">JACKSON                  NEAL         M           </v>
      </c>
      <c r="E4946" t="str">
        <f>"METAIRIE                  "</f>
        <v xml:space="preserve">METAIRIE                  </v>
      </c>
      <c r="F4946" t="str">
        <f t="shared" si="185"/>
        <v>LA</v>
      </c>
    </row>
    <row r="4947" spans="1:6" x14ac:dyDescent="0.25">
      <c r="A4947" t="str">
        <f>"200027050"</f>
        <v>200027050</v>
      </c>
      <c r="B4947" t="str">
        <f>"1497912273"</f>
        <v>1497912273</v>
      </c>
      <c r="C4947" t="str">
        <f>"207Q00000X"</f>
        <v>207Q00000X</v>
      </c>
      <c r="D4947" t="str">
        <f>"PECHENKO                 IRINA                    "</f>
        <v xml:space="preserve">PECHENKO                 IRINA                    </v>
      </c>
      <c r="E4947" t="str">
        <f>"ZACHARY                   "</f>
        <v xml:space="preserve">ZACHARY                   </v>
      </c>
      <c r="F4947" t="str">
        <f t="shared" si="185"/>
        <v>LA</v>
      </c>
    </row>
    <row r="4948" spans="1:6" x14ac:dyDescent="0.25">
      <c r="A4948" t="str">
        <f>"200027078"</f>
        <v>200027078</v>
      </c>
      <c r="B4948" t="str">
        <f>"1396770012"</f>
        <v>1396770012</v>
      </c>
      <c r="C4948" t="str">
        <f>"207X00000X"</f>
        <v>207X00000X</v>
      </c>
      <c r="D4948" t="str">
        <f>"HEINRICH                 STEPHEN      D           "</f>
        <v xml:space="preserve">HEINRICH                 STEPHEN      D           </v>
      </c>
      <c r="E4948" t="str">
        <f>"METAIRIE                  "</f>
        <v xml:space="preserve">METAIRIE                  </v>
      </c>
      <c r="F4948" t="str">
        <f t="shared" si="185"/>
        <v>LA</v>
      </c>
    </row>
    <row r="4949" spans="1:6" x14ac:dyDescent="0.25">
      <c r="A4949" t="str">
        <f>"200027087"</f>
        <v>200027087</v>
      </c>
      <c r="B4949" t="str">
        <f>"1164409066"</f>
        <v>1164409066</v>
      </c>
      <c r="C4949" t="str">
        <f>"2085R0202X"</f>
        <v>2085R0202X</v>
      </c>
      <c r="D4949" t="str">
        <f>"JOSLYN                   JOHN         N           "</f>
        <v xml:space="preserve">JOSLYN                   JOHN         N           </v>
      </c>
      <c r="E4949" t="str">
        <f>"METAIRIE                  "</f>
        <v xml:space="preserve">METAIRIE                  </v>
      </c>
      <c r="F4949" t="str">
        <f t="shared" si="185"/>
        <v>LA</v>
      </c>
    </row>
    <row r="4950" spans="1:6" x14ac:dyDescent="0.25">
      <c r="A4950" t="str">
        <f>"200027089"</f>
        <v>200027089</v>
      </c>
      <c r="B4950" t="str">
        <f>"1265154082"</f>
        <v>1265154082</v>
      </c>
      <c r="C4950" t="str">
        <f>"363LF0000X"</f>
        <v>363LF0000X</v>
      </c>
      <c r="D4950" t="str">
        <f>"TUCKER                   EMMALENA                 "</f>
        <v xml:space="preserve">TUCKER                   EMMALENA                 </v>
      </c>
      <c r="E4950" t="str">
        <f>"NEW ORLEANS               "</f>
        <v xml:space="preserve">NEW ORLEANS               </v>
      </c>
      <c r="F4950" t="str">
        <f t="shared" si="185"/>
        <v>LA</v>
      </c>
    </row>
    <row r="4951" spans="1:6" x14ac:dyDescent="0.25">
      <c r="A4951" t="str">
        <f>"200027095"</f>
        <v>200027095</v>
      </c>
      <c r="B4951" t="str">
        <f>"1154095479"</f>
        <v>1154095479</v>
      </c>
      <c r="C4951" t="str">
        <f>"363A00000X"</f>
        <v>363A00000X</v>
      </c>
      <c r="D4951" t="str">
        <f>"BOURGEOIS                CARLY                    "</f>
        <v xml:space="preserve">BOURGEOIS                CARLY                    </v>
      </c>
      <c r="E4951" t="str">
        <f>"ZACHARY                   "</f>
        <v xml:space="preserve">ZACHARY                   </v>
      </c>
      <c r="F4951" t="str">
        <f t="shared" si="185"/>
        <v>LA</v>
      </c>
    </row>
    <row r="4952" spans="1:6" x14ac:dyDescent="0.25">
      <c r="A4952" t="str">
        <f>"200027100"</f>
        <v>200027100</v>
      </c>
      <c r="B4952" t="str">
        <f>"1851035406"</f>
        <v>1851035406</v>
      </c>
      <c r="C4952" t="str">
        <f>"207R00000X"</f>
        <v>207R00000X</v>
      </c>
      <c r="D4952" t="str">
        <f>"PEEPLES                  JAMES                    "</f>
        <v xml:space="preserve">PEEPLES                  JAMES                    </v>
      </c>
      <c r="E4952" t="str">
        <f>"NEW ORLEANS               "</f>
        <v xml:space="preserve">NEW ORLEANS               </v>
      </c>
      <c r="F4952" t="str">
        <f t="shared" si="185"/>
        <v>LA</v>
      </c>
    </row>
    <row r="4953" spans="1:6" x14ac:dyDescent="0.25">
      <c r="A4953" t="str">
        <f>"200027122"</f>
        <v>200027122</v>
      </c>
      <c r="B4953" t="str">
        <f>"1154555654"</f>
        <v>1154555654</v>
      </c>
      <c r="C4953" t="str">
        <f>"207RN0300X"</f>
        <v>207RN0300X</v>
      </c>
      <c r="D4953" t="str">
        <f>"BAUDY IV                 ADRIAN       J           "</f>
        <v xml:space="preserve">BAUDY IV                 ADRIAN       J           </v>
      </c>
      <c r="E4953" t="str">
        <f>"METAIRIE                  "</f>
        <v xml:space="preserve">METAIRIE                  </v>
      </c>
      <c r="F4953" t="str">
        <f t="shared" si="185"/>
        <v>LA</v>
      </c>
    </row>
    <row r="4954" spans="1:6" x14ac:dyDescent="0.25">
      <c r="A4954" t="str">
        <f>"200027126"</f>
        <v>200027126</v>
      </c>
      <c r="B4954" t="str">
        <f>"1457231532"</f>
        <v>1457231532</v>
      </c>
      <c r="C4954" t="str">
        <f>"363A00000X"</f>
        <v>363A00000X</v>
      </c>
      <c r="D4954" t="str">
        <f>"MOORE-WILLIAMS           KENNEDY                  "</f>
        <v xml:space="preserve">MOORE-WILLIAMS           KENNEDY                  </v>
      </c>
      <c r="E4954" t="str">
        <f>"NEW ORLEANS               "</f>
        <v xml:space="preserve">NEW ORLEANS               </v>
      </c>
      <c r="F4954" t="str">
        <f t="shared" si="185"/>
        <v>LA</v>
      </c>
    </row>
    <row r="4955" spans="1:6" x14ac:dyDescent="0.25">
      <c r="A4955" t="str">
        <f>"200027146"</f>
        <v>200027146</v>
      </c>
      <c r="B4955" t="str">
        <f>"1316525595"</f>
        <v>1316525595</v>
      </c>
      <c r="C4955" t="str">
        <f>"207Q00000X"</f>
        <v>207Q00000X</v>
      </c>
      <c r="D4955" t="str">
        <f>"TRAN                     PHUONGMAI                "</f>
        <v xml:space="preserve">TRAN                     PHUONGMAI                </v>
      </c>
      <c r="E4955" t="str">
        <f>"BOGALUSA                  "</f>
        <v xml:space="preserve">BOGALUSA                  </v>
      </c>
      <c r="F4955" t="str">
        <f t="shared" ref="F4955:F5018" si="186">"LA"</f>
        <v>LA</v>
      </c>
    </row>
    <row r="4956" spans="1:6" x14ac:dyDescent="0.25">
      <c r="A4956" t="str">
        <f>"200027154"</f>
        <v>200027154</v>
      </c>
      <c r="B4956" t="str">
        <f>"1194756999"</f>
        <v>1194756999</v>
      </c>
      <c r="C4956" t="str">
        <f>"208800000X"</f>
        <v>208800000X</v>
      </c>
      <c r="D4956" t="str">
        <f>"WINTERS                  JACK                     "</f>
        <v xml:space="preserve">WINTERS                  JACK                     </v>
      </c>
      <c r="E4956" t="str">
        <f>"METAIRIE                  "</f>
        <v xml:space="preserve">METAIRIE                  </v>
      </c>
      <c r="F4956" t="str">
        <f t="shared" si="186"/>
        <v>LA</v>
      </c>
    </row>
    <row r="4957" spans="1:6" x14ac:dyDescent="0.25">
      <c r="A4957" t="str">
        <f>"200027155"</f>
        <v>200027155</v>
      </c>
      <c r="B4957" t="str">
        <f>"1922271188"</f>
        <v>1922271188</v>
      </c>
      <c r="C4957" t="str">
        <f>"207R00000X"</f>
        <v>207R00000X</v>
      </c>
      <c r="D4957" t="str">
        <f>"MEYER                    JENNIFER                 "</f>
        <v xml:space="preserve">MEYER                    JENNIFER                 </v>
      </c>
      <c r="E4957" t="str">
        <f>"MARRERO                   "</f>
        <v xml:space="preserve">MARRERO                   </v>
      </c>
      <c r="F4957" t="str">
        <f t="shared" si="186"/>
        <v>LA</v>
      </c>
    </row>
    <row r="4958" spans="1:6" x14ac:dyDescent="0.25">
      <c r="A4958" t="str">
        <f>"200027165"</f>
        <v>200027165</v>
      </c>
      <c r="B4958" t="str">
        <f>"1275660631"</f>
        <v>1275660631</v>
      </c>
      <c r="C4958" t="str">
        <f>"2084N0400X"</f>
        <v>2084N0400X</v>
      </c>
      <c r="D4958" t="str">
        <f>"KRAKER                   JESSICA      B           "</f>
        <v xml:space="preserve">KRAKER                   JESSICA      B           </v>
      </c>
      <c r="E4958" t="str">
        <f>"METAIRIE                  "</f>
        <v xml:space="preserve">METAIRIE                  </v>
      </c>
      <c r="F4958" t="str">
        <f t="shared" si="186"/>
        <v>LA</v>
      </c>
    </row>
    <row r="4959" spans="1:6" x14ac:dyDescent="0.25">
      <c r="A4959" t="str">
        <f>"200027170"</f>
        <v>200027170</v>
      </c>
      <c r="B4959" t="str">
        <f>"1588196265"</f>
        <v>1588196265</v>
      </c>
      <c r="C4959" t="str">
        <f>"207P00000X"</f>
        <v>207P00000X</v>
      </c>
      <c r="D4959" t="str">
        <f>"WOLMARANS                SUSANA                   "</f>
        <v xml:space="preserve">WOLMARANS                SUSANA                   </v>
      </c>
      <c r="E4959" t="str">
        <f>"ZACHARY                   "</f>
        <v xml:space="preserve">ZACHARY                   </v>
      </c>
      <c r="F4959" t="str">
        <f t="shared" si="186"/>
        <v>LA</v>
      </c>
    </row>
    <row r="4960" spans="1:6" x14ac:dyDescent="0.25">
      <c r="A4960" t="str">
        <f>"200027184"</f>
        <v>200027184</v>
      </c>
      <c r="B4960" t="str">
        <f>"1669040929"</f>
        <v>1669040929</v>
      </c>
      <c r="C4960" t="str">
        <f>"207R00000X"</f>
        <v>207R00000X</v>
      </c>
      <c r="D4960" t="str">
        <f>"HEERSINK                 DAMION                   "</f>
        <v xml:space="preserve">HEERSINK                 DAMION                   </v>
      </c>
      <c r="E4960" t="str">
        <f>"NEW ORLEANS               "</f>
        <v xml:space="preserve">NEW ORLEANS               </v>
      </c>
      <c r="F4960" t="str">
        <f t="shared" si="186"/>
        <v>LA</v>
      </c>
    </row>
    <row r="4961" spans="1:6" x14ac:dyDescent="0.25">
      <c r="A4961" t="str">
        <f>"200027188"</f>
        <v>200027188</v>
      </c>
      <c r="B4961" t="str">
        <f>"1649881129"</f>
        <v>1649881129</v>
      </c>
      <c r="C4961" t="str">
        <f>"367500000X"</f>
        <v>367500000X</v>
      </c>
      <c r="D4961" t="str">
        <f>"DANNER                   CHRISTOPHER              "</f>
        <v xml:space="preserve">DANNER                   CHRISTOPHER              </v>
      </c>
      <c r="E4961" t="str">
        <f>"NEW ORLEANS               "</f>
        <v xml:space="preserve">NEW ORLEANS               </v>
      </c>
      <c r="F4961" t="str">
        <f t="shared" si="186"/>
        <v>LA</v>
      </c>
    </row>
    <row r="4962" spans="1:6" x14ac:dyDescent="0.25">
      <c r="A4962" t="str">
        <f>"200027193"</f>
        <v>200027193</v>
      </c>
      <c r="B4962" t="str">
        <f>"1134216518"</f>
        <v>1134216518</v>
      </c>
      <c r="C4962" t="str">
        <f>"207RG0300X"</f>
        <v>207RG0300X</v>
      </c>
      <c r="D4962" t="str">
        <f>"GAUTHIER                 ARIADNE                  "</f>
        <v xml:space="preserve">GAUTHIER                 ARIADNE                  </v>
      </c>
      <c r="E4962" t="str">
        <f>"LAFAYETTE                 "</f>
        <v xml:space="preserve">LAFAYETTE                 </v>
      </c>
      <c r="F4962" t="str">
        <f t="shared" si="186"/>
        <v>LA</v>
      </c>
    </row>
    <row r="4963" spans="1:6" x14ac:dyDescent="0.25">
      <c r="A4963" t="str">
        <f>"200027217"</f>
        <v>200027217</v>
      </c>
      <c r="B4963" t="str">
        <f>"1356624555"</f>
        <v>1356624555</v>
      </c>
      <c r="C4963" t="str">
        <f>"363LA2200X"</f>
        <v>363LA2200X</v>
      </c>
      <c r="D4963" t="str">
        <f>"STEINHAUER               ASHLEY                   "</f>
        <v xml:space="preserve">STEINHAUER               ASHLEY                   </v>
      </c>
      <c r="E4963" t="str">
        <f>"SLIDELL                   "</f>
        <v xml:space="preserve">SLIDELL                   </v>
      </c>
      <c r="F4963" t="str">
        <f t="shared" si="186"/>
        <v>LA</v>
      </c>
    </row>
    <row r="4964" spans="1:6" x14ac:dyDescent="0.25">
      <c r="A4964" t="str">
        <f>"200027233"</f>
        <v>200027233</v>
      </c>
      <c r="B4964" t="str">
        <f>"1821452947"</f>
        <v>1821452947</v>
      </c>
      <c r="C4964" t="str">
        <f>"2085R0202X"</f>
        <v>2085R0202X</v>
      </c>
      <c r="D4964" t="str">
        <f>"SAINT-VICTOR             MARVELL                  "</f>
        <v xml:space="preserve">SAINT-VICTOR             MARVELL                  </v>
      </c>
      <c r="E4964" t="str">
        <f>"NEW ORLEANS               "</f>
        <v xml:space="preserve">NEW ORLEANS               </v>
      </c>
      <c r="F4964" t="str">
        <f t="shared" si="186"/>
        <v>LA</v>
      </c>
    </row>
    <row r="4965" spans="1:6" x14ac:dyDescent="0.25">
      <c r="A4965" t="str">
        <f>"200027253"</f>
        <v>200027253</v>
      </c>
      <c r="B4965" t="str">
        <f>"1023579968"</f>
        <v>1023579968</v>
      </c>
      <c r="C4965" t="str">
        <f>"2085R0202X"</f>
        <v>2085R0202X</v>
      </c>
      <c r="D4965" t="str">
        <f>"KOTA                     SRIHARSHA                "</f>
        <v xml:space="preserve">KOTA                     SRIHARSHA                </v>
      </c>
      <c r="E4965" t="str">
        <f>"HAMMOND                   "</f>
        <v xml:space="preserve">HAMMOND                   </v>
      </c>
      <c r="F4965" t="str">
        <f t="shared" si="186"/>
        <v>LA</v>
      </c>
    </row>
    <row r="4966" spans="1:6" x14ac:dyDescent="0.25">
      <c r="A4966" t="str">
        <f>"200027255"</f>
        <v>200027255</v>
      </c>
      <c r="B4966" t="str">
        <f>"1477925196"</f>
        <v>1477925196</v>
      </c>
      <c r="C4966" t="str">
        <f>"363AM0700X"</f>
        <v>363AM0700X</v>
      </c>
      <c r="D4966" t="str">
        <f>"FUSSELL                  SYDNEY                   "</f>
        <v xml:space="preserve">FUSSELL                  SYDNEY                   </v>
      </c>
      <c r="E4966" t="str">
        <f>"COVINGTON                 "</f>
        <v xml:space="preserve">COVINGTON                 </v>
      </c>
      <c r="F4966" t="str">
        <f t="shared" si="186"/>
        <v>LA</v>
      </c>
    </row>
    <row r="4967" spans="1:6" x14ac:dyDescent="0.25">
      <c r="A4967" t="str">
        <f>"200027257"</f>
        <v>200027257</v>
      </c>
      <c r="B4967" t="str">
        <f>"1952289688"</f>
        <v>1952289688</v>
      </c>
      <c r="C4967" t="str">
        <f>"363LN0000X"</f>
        <v>363LN0000X</v>
      </c>
      <c r="D4967" t="str">
        <f>"PORTE                    NICOLE                   "</f>
        <v xml:space="preserve">PORTE                    NICOLE                   </v>
      </c>
      <c r="E4967" t="str">
        <f>"COVINGTON                 "</f>
        <v xml:space="preserve">COVINGTON                 </v>
      </c>
      <c r="F4967" t="str">
        <f t="shared" si="186"/>
        <v>LA</v>
      </c>
    </row>
    <row r="4968" spans="1:6" x14ac:dyDescent="0.25">
      <c r="A4968" t="str">
        <f>"200027259"</f>
        <v>200027259</v>
      </c>
      <c r="B4968" t="str">
        <f>"1790918944"</f>
        <v>1790918944</v>
      </c>
      <c r="C4968" t="str">
        <f>"207L00000X"</f>
        <v>207L00000X</v>
      </c>
      <c r="D4968" t="str">
        <f>"MORGAN                   ERIN         F           "</f>
        <v xml:space="preserve">MORGAN                   ERIN         F           </v>
      </c>
      <c r="E4968" t="str">
        <f>"COVINGTON                 "</f>
        <v xml:space="preserve">COVINGTON                 </v>
      </c>
      <c r="F4968" t="str">
        <f t="shared" si="186"/>
        <v>LA</v>
      </c>
    </row>
    <row r="4969" spans="1:6" x14ac:dyDescent="0.25">
      <c r="A4969" t="str">
        <f>"200027280"</f>
        <v>200027280</v>
      </c>
      <c r="B4969" t="str">
        <f>"1003780446"</f>
        <v>1003780446</v>
      </c>
      <c r="C4969" t="str">
        <f>"208M00000X"</f>
        <v>208M00000X</v>
      </c>
      <c r="D4969" t="str">
        <f>"FISK                     KYLER                    "</f>
        <v xml:space="preserve">FISK                     KYLER                    </v>
      </c>
      <c r="E4969" t="str">
        <f>"KENNER                    "</f>
        <v xml:space="preserve">KENNER                    </v>
      </c>
      <c r="F4969" t="str">
        <f t="shared" si="186"/>
        <v>LA</v>
      </c>
    </row>
    <row r="4970" spans="1:6" x14ac:dyDescent="0.25">
      <c r="A4970" t="str">
        <f>"200027294"</f>
        <v>200027294</v>
      </c>
      <c r="B4970" t="str">
        <f>"1790427318"</f>
        <v>1790427318</v>
      </c>
      <c r="C4970" t="str">
        <f>"207R00000X"</f>
        <v>207R00000X</v>
      </c>
      <c r="D4970" t="str">
        <f>"LACHUTE                  COURTNEY                 "</f>
        <v xml:space="preserve">LACHUTE                  COURTNEY                 </v>
      </c>
      <c r="E4970" t="str">
        <f>"NEW ORLEANS               "</f>
        <v xml:space="preserve">NEW ORLEANS               </v>
      </c>
      <c r="F4970" t="str">
        <f t="shared" si="186"/>
        <v>LA</v>
      </c>
    </row>
    <row r="4971" spans="1:6" x14ac:dyDescent="0.25">
      <c r="A4971" t="str">
        <f>"200027299"</f>
        <v>200027299</v>
      </c>
      <c r="B4971" t="str">
        <f>"1134614183"</f>
        <v>1134614183</v>
      </c>
      <c r="C4971" t="str">
        <f>"363L00000X"</f>
        <v>363L00000X</v>
      </c>
      <c r="D4971" t="str">
        <f>"BOYER                    LAURA                    "</f>
        <v xml:space="preserve">BOYER                    LAURA                    </v>
      </c>
      <c r="E4971" t="str">
        <f>"BATON ROUGE               "</f>
        <v xml:space="preserve">BATON ROUGE               </v>
      </c>
      <c r="F4971" t="str">
        <f t="shared" si="186"/>
        <v>LA</v>
      </c>
    </row>
    <row r="4972" spans="1:6" x14ac:dyDescent="0.25">
      <c r="A4972" t="str">
        <f>"200027304"</f>
        <v>200027304</v>
      </c>
      <c r="B4972" t="str">
        <f>"1699329516"</f>
        <v>1699329516</v>
      </c>
      <c r="C4972" t="str">
        <f>"363LF0000X"</f>
        <v>363LF0000X</v>
      </c>
      <c r="D4972" t="str">
        <f>"BLANCHARD                CAROLINE                 "</f>
        <v xml:space="preserve">BLANCHARD                CAROLINE                 </v>
      </c>
      <c r="E4972" t="str">
        <f>"METAIRIE                  "</f>
        <v xml:space="preserve">METAIRIE                  </v>
      </c>
      <c r="F4972" t="str">
        <f t="shared" si="186"/>
        <v>LA</v>
      </c>
    </row>
    <row r="4973" spans="1:6" x14ac:dyDescent="0.25">
      <c r="A4973" t="str">
        <f>"200027311"</f>
        <v>200027311</v>
      </c>
      <c r="B4973" t="str">
        <f>"1154346237"</f>
        <v>1154346237</v>
      </c>
      <c r="C4973" t="str">
        <f>"207Q00000X"</f>
        <v>207Q00000X</v>
      </c>
      <c r="D4973" t="str">
        <f>"MORGAN                   JAMES                    "</f>
        <v xml:space="preserve">MORGAN                   JAMES                    </v>
      </c>
      <c r="E4973" t="str">
        <f>"NEW ORLEANS               "</f>
        <v xml:space="preserve">NEW ORLEANS               </v>
      </c>
      <c r="F4973" t="str">
        <f t="shared" si="186"/>
        <v>LA</v>
      </c>
    </row>
    <row r="4974" spans="1:6" x14ac:dyDescent="0.25">
      <c r="A4974" t="str">
        <f>"200027329"</f>
        <v>200027329</v>
      </c>
      <c r="B4974" t="str">
        <f>"1376926428"</f>
        <v>1376926428</v>
      </c>
      <c r="C4974" t="str">
        <f>"363LF0000X"</f>
        <v>363LF0000X</v>
      </c>
      <c r="D4974" t="str">
        <f>"DIAZ                     NACOLE                   "</f>
        <v xml:space="preserve">DIAZ                     NACOLE                   </v>
      </c>
      <c r="E4974" t="str">
        <f>"COVINGTON                 "</f>
        <v xml:space="preserve">COVINGTON                 </v>
      </c>
      <c r="F4974" t="str">
        <f t="shared" si="186"/>
        <v>LA</v>
      </c>
    </row>
    <row r="4975" spans="1:6" x14ac:dyDescent="0.25">
      <c r="A4975" t="str">
        <f>"200027349"</f>
        <v>200027349</v>
      </c>
      <c r="B4975" t="str">
        <f>"1801976535"</f>
        <v>1801976535</v>
      </c>
      <c r="C4975" t="str">
        <f>"2080P0207X"</f>
        <v>2080P0207X</v>
      </c>
      <c r="D4975" t="str">
        <f>"ADRIAN                   CHRISTOPHER              "</f>
        <v xml:space="preserve">ADRIAN                   CHRISTOPHER              </v>
      </c>
      <c r="E4975" t="str">
        <f>"NEW ORLEANS               "</f>
        <v xml:space="preserve">NEW ORLEANS               </v>
      </c>
      <c r="F4975" t="str">
        <f t="shared" si="186"/>
        <v>LA</v>
      </c>
    </row>
    <row r="4976" spans="1:6" x14ac:dyDescent="0.25">
      <c r="A4976" t="str">
        <f>"200027353"</f>
        <v>200027353</v>
      </c>
      <c r="B4976" t="str">
        <f>"1992167092"</f>
        <v>1992167092</v>
      </c>
      <c r="C4976" t="str">
        <f>"2086S0127X"</f>
        <v>2086S0127X</v>
      </c>
      <c r="D4976" t="str">
        <f>"MILES                    MAJEL                    "</f>
        <v xml:space="preserve">MILES                    MAJEL                    </v>
      </c>
      <c r="E4976" t="str">
        <f>"NEW ORLEANS               "</f>
        <v xml:space="preserve">NEW ORLEANS               </v>
      </c>
      <c r="F4976" t="str">
        <f t="shared" si="186"/>
        <v>LA</v>
      </c>
    </row>
    <row r="4977" spans="1:6" x14ac:dyDescent="0.25">
      <c r="A4977" t="str">
        <f>"200027355"</f>
        <v>200027355</v>
      </c>
      <c r="B4977" t="str">
        <f>"1275777682"</f>
        <v>1275777682</v>
      </c>
      <c r="C4977" t="str">
        <f>"207VX0201X"</f>
        <v>207VX0201X</v>
      </c>
      <c r="D4977" t="str">
        <f>"JERNIGAN                 AMELIA                   "</f>
        <v xml:space="preserve">JERNIGAN                 AMELIA                   </v>
      </c>
      <c r="E4977" t="str">
        <f>"NEW ORLEANS               "</f>
        <v xml:space="preserve">NEW ORLEANS               </v>
      </c>
      <c r="F4977" t="str">
        <f t="shared" si="186"/>
        <v>LA</v>
      </c>
    </row>
    <row r="4978" spans="1:6" x14ac:dyDescent="0.25">
      <c r="A4978" t="str">
        <f>"200027367"</f>
        <v>200027367</v>
      </c>
      <c r="B4978" t="str">
        <f>"1912340910"</f>
        <v>1912340910</v>
      </c>
      <c r="C4978" t="str">
        <f>"2080P0204X"</f>
        <v>2080P0204X</v>
      </c>
      <c r="D4978" t="str">
        <f>"PONTIFF                  KRISTEN                  "</f>
        <v xml:space="preserve">PONTIFF                  KRISTEN                  </v>
      </c>
      <c r="E4978" t="str">
        <f>"BATON ROUGE               "</f>
        <v xml:space="preserve">BATON ROUGE               </v>
      </c>
      <c r="F4978" t="str">
        <f t="shared" si="186"/>
        <v>LA</v>
      </c>
    </row>
    <row r="4979" spans="1:6" x14ac:dyDescent="0.25">
      <c r="A4979" t="str">
        <f>"200027370"</f>
        <v>200027370</v>
      </c>
      <c r="B4979" t="str">
        <f>"1366857369"</f>
        <v>1366857369</v>
      </c>
      <c r="C4979" t="str">
        <f>"207Q00000X"</f>
        <v>207Q00000X</v>
      </c>
      <c r="D4979" t="str">
        <f>"MCCORMICK                ALI                      "</f>
        <v xml:space="preserve">MCCORMICK                ALI                      </v>
      </c>
      <c r="E4979" t="str">
        <f>"KENNER                    "</f>
        <v xml:space="preserve">KENNER                    </v>
      </c>
      <c r="F4979" t="str">
        <f t="shared" si="186"/>
        <v>LA</v>
      </c>
    </row>
    <row r="4980" spans="1:6" x14ac:dyDescent="0.25">
      <c r="A4980" t="str">
        <f>"200027388"</f>
        <v>200027388</v>
      </c>
      <c r="B4980" t="str">
        <f>"1881561611"</f>
        <v>1881561611</v>
      </c>
      <c r="C4980" t="str">
        <f>"363L00000X"</f>
        <v>363L00000X</v>
      </c>
      <c r="D4980" t="str">
        <f>"RICHARDS                 ANGELA                   "</f>
        <v xml:space="preserve">RICHARDS                 ANGELA                   </v>
      </c>
      <c r="E4980" t="str">
        <f>"CHALMETTE                 "</f>
        <v xml:space="preserve">CHALMETTE                 </v>
      </c>
      <c r="F4980" t="str">
        <f t="shared" si="186"/>
        <v>LA</v>
      </c>
    </row>
    <row r="4981" spans="1:6" x14ac:dyDescent="0.25">
      <c r="A4981" t="str">
        <f>"200027395"</f>
        <v>200027395</v>
      </c>
      <c r="B4981" t="str">
        <f>"1336209238"</f>
        <v>1336209238</v>
      </c>
      <c r="C4981" t="str">
        <f>"2084P0800X"</f>
        <v>2084P0800X</v>
      </c>
      <c r="D4981" t="str">
        <f>"MALLIK                   HARMINDER    S           "</f>
        <v xml:space="preserve">MALLIK                   HARMINDER    S           </v>
      </c>
      <c r="E4981" t="str">
        <f>"COVINGTON                 "</f>
        <v xml:space="preserve">COVINGTON                 </v>
      </c>
      <c r="F4981" t="str">
        <f t="shared" si="186"/>
        <v>LA</v>
      </c>
    </row>
    <row r="4982" spans="1:6" x14ac:dyDescent="0.25">
      <c r="A4982" t="str">
        <f>"200027431"</f>
        <v>200027431</v>
      </c>
      <c r="B4982" t="str">
        <f>"1205700796"</f>
        <v>1205700796</v>
      </c>
      <c r="C4982" t="str">
        <f>"363A00000X"</f>
        <v>363A00000X</v>
      </c>
      <c r="D4982" t="str">
        <f>"SCHNEIDER                RACHEL                   "</f>
        <v xml:space="preserve">SCHNEIDER                RACHEL                   </v>
      </c>
      <c r="E4982" t="str">
        <f>"NEW ORLEANS               "</f>
        <v xml:space="preserve">NEW ORLEANS               </v>
      </c>
      <c r="F4982" t="str">
        <f t="shared" si="186"/>
        <v>LA</v>
      </c>
    </row>
    <row r="4983" spans="1:6" x14ac:dyDescent="0.25">
      <c r="A4983" t="str">
        <f>"200027471"</f>
        <v>200027471</v>
      </c>
      <c r="B4983" t="str">
        <f>"1669715322"</f>
        <v>1669715322</v>
      </c>
      <c r="C4983" t="str">
        <f>"207XP3100X"</f>
        <v>207XP3100X</v>
      </c>
      <c r="D4983" t="str">
        <f>"FARMER                   RYAN                     "</f>
        <v xml:space="preserve">FARMER                   RYAN                     </v>
      </c>
      <c r="E4983" t="str">
        <f>"BATON ROUGE               "</f>
        <v xml:space="preserve">BATON ROUGE               </v>
      </c>
      <c r="F4983" t="str">
        <f t="shared" si="186"/>
        <v>LA</v>
      </c>
    </row>
    <row r="4984" spans="1:6" x14ac:dyDescent="0.25">
      <c r="A4984" t="str">
        <f>"200027479"</f>
        <v>200027479</v>
      </c>
      <c r="B4984" t="str">
        <f>"1245989847"</f>
        <v>1245989847</v>
      </c>
      <c r="C4984" t="str">
        <f>"207RH0003X"</f>
        <v>207RH0003X</v>
      </c>
      <c r="D4984" t="str">
        <f>"CHEEKATI                 MAHIJA                   "</f>
        <v xml:space="preserve">CHEEKATI                 MAHIJA                   </v>
      </c>
      <c r="E4984" t="str">
        <f>"KENNER                    "</f>
        <v xml:space="preserve">KENNER                    </v>
      </c>
      <c r="F4984" t="str">
        <f t="shared" si="186"/>
        <v>LA</v>
      </c>
    </row>
    <row r="4985" spans="1:6" x14ac:dyDescent="0.25">
      <c r="A4985" t="str">
        <f>"200027490"</f>
        <v>200027490</v>
      </c>
      <c r="B4985" t="str">
        <f>"1730276841"</f>
        <v>1730276841</v>
      </c>
      <c r="C4985" t="str">
        <f>"2080P0206X"</f>
        <v>2080P0206X</v>
      </c>
      <c r="D4985" t="str">
        <f>"MOULTON                  DEDRICK                  "</f>
        <v xml:space="preserve">MOULTON                  DEDRICK                  </v>
      </c>
      <c r="E4985" t="str">
        <f>"NEW ORLEANS               "</f>
        <v xml:space="preserve">NEW ORLEANS               </v>
      </c>
      <c r="F4985" t="str">
        <f t="shared" si="186"/>
        <v>LA</v>
      </c>
    </row>
    <row r="4986" spans="1:6" x14ac:dyDescent="0.25">
      <c r="A4986" t="str">
        <f>"200027514"</f>
        <v>200027514</v>
      </c>
      <c r="B4986" t="str">
        <f>"1366213159"</f>
        <v>1366213159</v>
      </c>
      <c r="C4986" t="str">
        <f>"363LF0000X"</f>
        <v>363LF0000X</v>
      </c>
      <c r="D4986" t="str">
        <f>"TUMEY                    BRANDON                  "</f>
        <v xml:space="preserve">TUMEY                    BRANDON                  </v>
      </c>
      <c r="E4986" t="str">
        <f>"SAINT FRANCISVILLE        "</f>
        <v xml:space="preserve">SAINT FRANCISVILLE        </v>
      </c>
      <c r="F4986" t="str">
        <f t="shared" si="186"/>
        <v>LA</v>
      </c>
    </row>
    <row r="4987" spans="1:6" x14ac:dyDescent="0.25">
      <c r="A4987" t="str">
        <f>"200027524"</f>
        <v>200027524</v>
      </c>
      <c r="B4987" t="str">
        <f>"1164372918"</f>
        <v>1164372918</v>
      </c>
      <c r="C4987" t="str">
        <f>"363L00000X"</f>
        <v>363L00000X</v>
      </c>
      <c r="D4987" t="str">
        <f>"LEWIS                    BRITTANY                 "</f>
        <v xml:space="preserve">LEWIS                    BRITTANY                 </v>
      </c>
      <c r="E4987" t="str">
        <f>"NEW ORLEANS               "</f>
        <v xml:space="preserve">NEW ORLEANS               </v>
      </c>
      <c r="F4987" t="str">
        <f t="shared" si="186"/>
        <v>LA</v>
      </c>
    </row>
    <row r="4988" spans="1:6" x14ac:dyDescent="0.25">
      <c r="A4988" t="str">
        <f>"200027540"</f>
        <v>200027540</v>
      </c>
      <c r="B4988" t="str">
        <f>"1336674993"</f>
        <v>1336674993</v>
      </c>
      <c r="C4988" t="str">
        <f>"207ZP0101X"</f>
        <v>207ZP0101X</v>
      </c>
      <c r="D4988" t="str">
        <f>"MCMURTRY                 VALARIE                  "</f>
        <v xml:space="preserve">MCMURTRY                 VALARIE                  </v>
      </c>
      <c r="E4988" t="str">
        <f>"BATON ROUGE               "</f>
        <v xml:space="preserve">BATON ROUGE               </v>
      </c>
      <c r="F4988" t="str">
        <f t="shared" si="186"/>
        <v>LA</v>
      </c>
    </row>
    <row r="4989" spans="1:6" x14ac:dyDescent="0.25">
      <c r="A4989" t="str">
        <f>"200027543"</f>
        <v>200027543</v>
      </c>
      <c r="B4989" t="str">
        <f>"1427161157"</f>
        <v>1427161157</v>
      </c>
      <c r="C4989" t="str">
        <f>"207LP2900X"</f>
        <v>207LP2900X</v>
      </c>
      <c r="D4989" t="str">
        <f>"FLAGG II                 ARTEMUS                  "</f>
        <v xml:space="preserve">FLAGG II                 ARTEMUS                  </v>
      </c>
      <c r="E4989" t="str">
        <f>"SLIDELL                   "</f>
        <v xml:space="preserve">SLIDELL                   </v>
      </c>
      <c r="F4989" t="str">
        <f t="shared" si="186"/>
        <v>LA</v>
      </c>
    </row>
    <row r="4990" spans="1:6" x14ac:dyDescent="0.25">
      <c r="A4990" t="str">
        <f>"200027544"</f>
        <v>200027544</v>
      </c>
      <c r="B4990" t="str">
        <f>"1003176710"</f>
        <v>1003176710</v>
      </c>
      <c r="C4990" t="str">
        <f>"2085R0202X"</f>
        <v>2085R0202X</v>
      </c>
      <c r="D4990" t="str">
        <f>"LORENTS                  EVELYN                   "</f>
        <v xml:space="preserve">LORENTS                  EVELYN                   </v>
      </c>
      <c r="E4990" t="str">
        <f>"BATON ROUGE               "</f>
        <v xml:space="preserve">BATON ROUGE               </v>
      </c>
      <c r="F4990" t="str">
        <f t="shared" si="186"/>
        <v>LA</v>
      </c>
    </row>
    <row r="4991" spans="1:6" x14ac:dyDescent="0.25">
      <c r="A4991" t="str">
        <f>"200027549"</f>
        <v>200027549</v>
      </c>
      <c r="B4991" t="str">
        <f>"1366625725"</f>
        <v>1366625725</v>
      </c>
      <c r="C4991" t="str">
        <f>"2085P0229X"</f>
        <v>2085P0229X</v>
      </c>
      <c r="D4991" t="str">
        <f>"WASILEWSKA               EWA                      "</f>
        <v xml:space="preserve">WASILEWSKA               EWA                      </v>
      </c>
      <c r="E4991" t="str">
        <f>"METAIRIE                  "</f>
        <v xml:space="preserve">METAIRIE                  </v>
      </c>
      <c r="F4991" t="str">
        <f t="shared" si="186"/>
        <v>LA</v>
      </c>
    </row>
    <row r="4992" spans="1:6" x14ac:dyDescent="0.25">
      <c r="A4992" t="str">
        <f>"200027581"</f>
        <v>200027581</v>
      </c>
      <c r="B4992" t="str">
        <f>"1811359797"</f>
        <v>1811359797</v>
      </c>
      <c r="C4992" t="str">
        <f>"207P00000X"</f>
        <v>207P00000X</v>
      </c>
      <c r="D4992" t="str">
        <f>"SONNIER                  MICHAEL                  "</f>
        <v xml:space="preserve">SONNIER                  MICHAEL                  </v>
      </c>
      <c r="E4992" t="str">
        <f>"BOGALUSA                  "</f>
        <v xml:space="preserve">BOGALUSA                  </v>
      </c>
      <c r="F4992" t="str">
        <f t="shared" si="186"/>
        <v>LA</v>
      </c>
    </row>
    <row r="4993" spans="1:6" x14ac:dyDescent="0.25">
      <c r="A4993" t="str">
        <f>"200027582"</f>
        <v>200027582</v>
      </c>
      <c r="B4993" t="str">
        <f>"1366625725"</f>
        <v>1366625725</v>
      </c>
      <c r="C4993" t="str">
        <f>"2085P0229X"</f>
        <v>2085P0229X</v>
      </c>
      <c r="D4993" t="str">
        <f>"WASILEWSKA               EWA                      "</f>
        <v xml:space="preserve">WASILEWSKA               EWA                      </v>
      </c>
      <c r="E4993" t="str">
        <f>"MARRERO                   "</f>
        <v xml:space="preserve">MARRERO                   </v>
      </c>
      <c r="F4993" t="str">
        <f t="shared" si="186"/>
        <v>LA</v>
      </c>
    </row>
    <row r="4994" spans="1:6" x14ac:dyDescent="0.25">
      <c r="A4994" t="str">
        <f>"200027583"</f>
        <v>200027583</v>
      </c>
      <c r="B4994" t="str">
        <f>"1366625725"</f>
        <v>1366625725</v>
      </c>
      <c r="C4994" t="str">
        <f>"2085P0229X"</f>
        <v>2085P0229X</v>
      </c>
      <c r="D4994" t="str">
        <f>"WASILEWSKA               EWA                      "</f>
        <v xml:space="preserve">WASILEWSKA               EWA                      </v>
      </c>
      <c r="E4994" t="str">
        <f>"NEW ORLEANS               "</f>
        <v xml:space="preserve">NEW ORLEANS               </v>
      </c>
      <c r="F4994" t="str">
        <f t="shared" si="186"/>
        <v>LA</v>
      </c>
    </row>
    <row r="4995" spans="1:6" x14ac:dyDescent="0.25">
      <c r="A4995" t="str">
        <f>"200027587"</f>
        <v>200027587</v>
      </c>
      <c r="B4995" t="str">
        <f>"1497945901"</f>
        <v>1497945901</v>
      </c>
      <c r="C4995" t="str">
        <f>"208800000X"</f>
        <v>208800000X</v>
      </c>
      <c r="D4995" t="str">
        <f>"KRLIN                    RYAN                     "</f>
        <v xml:space="preserve">KRLIN                    RYAN                     </v>
      </c>
      <c r="E4995" t="str">
        <f>"NEW ORLEANS               "</f>
        <v xml:space="preserve">NEW ORLEANS               </v>
      </c>
      <c r="F4995" t="str">
        <f t="shared" si="186"/>
        <v>LA</v>
      </c>
    </row>
    <row r="4996" spans="1:6" x14ac:dyDescent="0.25">
      <c r="A4996" t="str">
        <f>"200027591"</f>
        <v>200027591</v>
      </c>
      <c r="B4996" t="str">
        <f>"1487264966"</f>
        <v>1487264966</v>
      </c>
      <c r="C4996" t="str">
        <f>"367500000X"</f>
        <v>367500000X</v>
      </c>
      <c r="D4996" t="str">
        <f>"CHAPMAN                  RAYMOND                  "</f>
        <v xml:space="preserve">CHAPMAN                  RAYMOND                  </v>
      </c>
      <c r="E4996" t="str">
        <f>"COVINGTON                 "</f>
        <v xml:space="preserve">COVINGTON                 </v>
      </c>
      <c r="F4996" t="str">
        <f t="shared" si="186"/>
        <v>LA</v>
      </c>
    </row>
    <row r="4997" spans="1:6" x14ac:dyDescent="0.25">
      <c r="A4997" t="str">
        <f>"200027608"</f>
        <v>200027608</v>
      </c>
      <c r="B4997" t="str">
        <f>"1043306285"</f>
        <v>1043306285</v>
      </c>
      <c r="C4997" t="str">
        <f>"208600000X"</f>
        <v>208600000X</v>
      </c>
      <c r="D4997" t="str">
        <f>"MCGEE                    JENNIFER                 "</f>
        <v xml:space="preserve">MCGEE                    JENNIFER                 </v>
      </c>
      <c r="E4997" t="str">
        <f>"NEW ORLEANS               "</f>
        <v xml:space="preserve">NEW ORLEANS               </v>
      </c>
      <c r="F4997" t="str">
        <f t="shared" si="186"/>
        <v>LA</v>
      </c>
    </row>
    <row r="4998" spans="1:6" x14ac:dyDescent="0.25">
      <c r="A4998" t="str">
        <f>"200027613"</f>
        <v>200027613</v>
      </c>
      <c r="B4998" t="str">
        <f>"1629647805"</f>
        <v>1629647805</v>
      </c>
      <c r="C4998" t="str">
        <f>"207Q00000X"</f>
        <v>207Q00000X</v>
      </c>
      <c r="D4998" t="str">
        <f>"DEWAARD                  JOHN                     "</f>
        <v xml:space="preserve">DEWAARD                  JOHN                     </v>
      </c>
      <c r="E4998" t="str">
        <f>"BATON ROUGE               "</f>
        <v xml:space="preserve">BATON ROUGE               </v>
      </c>
      <c r="F4998" t="str">
        <f t="shared" si="186"/>
        <v>LA</v>
      </c>
    </row>
    <row r="4999" spans="1:6" x14ac:dyDescent="0.25">
      <c r="A4999" t="str">
        <f>"200027620"</f>
        <v>200027620</v>
      </c>
      <c r="B4999" t="str">
        <f>"1053606293"</f>
        <v>1053606293</v>
      </c>
      <c r="C4999" t="str">
        <f>"367500000X"</f>
        <v>367500000X</v>
      </c>
      <c r="D4999" t="str">
        <f>"BONO                     KARA         E           "</f>
        <v xml:space="preserve">BONO                     KARA         E           </v>
      </c>
      <c r="E4999" t="str">
        <f>"COVINGTON                 "</f>
        <v xml:space="preserve">COVINGTON                 </v>
      </c>
      <c r="F4999" t="str">
        <f t="shared" si="186"/>
        <v>LA</v>
      </c>
    </row>
    <row r="5000" spans="1:6" x14ac:dyDescent="0.25">
      <c r="A5000" t="str">
        <f>"200027633"</f>
        <v>200027633</v>
      </c>
      <c r="B5000" t="str">
        <f>"1386665305"</f>
        <v>1386665305</v>
      </c>
      <c r="C5000" t="str">
        <f>"2080P0201X"</f>
        <v>2080P0201X</v>
      </c>
      <c r="D5000" t="str">
        <f>"OCHOA                    AUGUSTO                  "</f>
        <v xml:space="preserve">OCHOA                    AUGUSTO                  </v>
      </c>
      <c r="E5000" t="str">
        <f>"NEW ORLEANS               "</f>
        <v xml:space="preserve">NEW ORLEANS               </v>
      </c>
      <c r="F5000" t="str">
        <f t="shared" si="186"/>
        <v>LA</v>
      </c>
    </row>
    <row r="5001" spans="1:6" x14ac:dyDescent="0.25">
      <c r="A5001" t="str">
        <f>"200027636"</f>
        <v>200027636</v>
      </c>
      <c r="B5001" t="str">
        <f>"1134146947"</f>
        <v>1134146947</v>
      </c>
      <c r="C5001" t="str">
        <f>"208000000X"</f>
        <v>208000000X</v>
      </c>
      <c r="D5001" t="str">
        <f>"BAHAM                    JULIE                    "</f>
        <v xml:space="preserve">BAHAM                    JULIE                    </v>
      </c>
      <c r="E5001" t="str">
        <f>"COVINGTON                 "</f>
        <v xml:space="preserve">COVINGTON                 </v>
      </c>
      <c r="F5001" t="str">
        <f t="shared" si="186"/>
        <v>LA</v>
      </c>
    </row>
    <row r="5002" spans="1:6" x14ac:dyDescent="0.25">
      <c r="A5002" t="str">
        <f>"200027640"</f>
        <v>200027640</v>
      </c>
      <c r="B5002" t="str">
        <f>"1285050690"</f>
        <v>1285050690</v>
      </c>
      <c r="C5002" t="str">
        <f>"363LF0000X"</f>
        <v>363LF0000X</v>
      </c>
      <c r="D5002" t="str">
        <f>"WALLIS                   MICHAEL                  "</f>
        <v xml:space="preserve">WALLIS                   MICHAEL                  </v>
      </c>
      <c r="E5002" t="str">
        <f>"SAINT FRANCISVILLE        "</f>
        <v xml:space="preserve">SAINT FRANCISVILLE        </v>
      </c>
      <c r="F5002" t="str">
        <f t="shared" si="186"/>
        <v>LA</v>
      </c>
    </row>
    <row r="5003" spans="1:6" x14ac:dyDescent="0.25">
      <c r="A5003" t="str">
        <f>"200027643"</f>
        <v>200027643</v>
      </c>
      <c r="B5003" t="str">
        <f>"1477512705"</f>
        <v>1477512705</v>
      </c>
      <c r="C5003" t="str">
        <f>"363L00000X"</f>
        <v>363L00000X</v>
      </c>
      <c r="D5003" t="str">
        <f>"ARNOLD                   JEFFREY                  "</f>
        <v xml:space="preserve">ARNOLD                   JEFFREY                  </v>
      </c>
      <c r="E5003" t="str">
        <f>"SLIDELL                   "</f>
        <v xml:space="preserve">SLIDELL                   </v>
      </c>
      <c r="F5003" t="str">
        <f t="shared" si="186"/>
        <v>LA</v>
      </c>
    </row>
    <row r="5004" spans="1:6" x14ac:dyDescent="0.25">
      <c r="A5004" t="str">
        <f>"200027649"</f>
        <v>200027649</v>
      </c>
      <c r="B5004" t="str">
        <f>"1679350136"</f>
        <v>1679350136</v>
      </c>
      <c r="C5004" t="str">
        <f>"363L00000X"</f>
        <v>363L00000X</v>
      </c>
      <c r="D5004" t="str">
        <f>"ELHAMI                   LAILA                    "</f>
        <v xml:space="preserve">ELHAMI                   LAILA                    </v>
      </c>
      <c r="E5004" t="str">
        <f>"KENNER                    "</f>
        <v xml:space="preserve">KENNER                    </v>
      </c>
      <c r="F5004" t="str">
        <f t="shared" si="186"/>
        <v>LA</v>
      </c>
    </row>
    <row r="5005" spans="1:6" x14ac:dyDescent="0.25">
      <c r="A5005" t="str">
        <f>"200027659"</f>
        <v>200027659</v>
      </c>
      <c r="B5005" t="str">
        <f>"1992930390"</f>
        <v>1992930390</v>
      </c>
      <c r="C5005" t="str">
        <f>"2085P0229X"</f>
        <v>2085P0229X</v>
      </c>
      <c r="D5005" t="str">
        <f>"MADDOCKS                 ALEXIS                   "</f>
        <v xml:space="preserve">MADDOCKS                 ALEXIS                   </v>
      </c>
      <c r="E5005" t="str">
        <f>"NEW ORLEANS               "</f>
        <v xml:space="preserve">NEW ORLEANS               </v>
      </c>
      <c r="F5005" t="str">
        <f t="shared" si="186"/>
        <v>LA</v>
      </c>
    </row>
    <row r="5006" spans="1:6" x14ac:dyDescent="0.25">
      <c r="A5006" t="str">
        <f>"200027670"</f>
        <v>200027670</v>
      </c>
      <c r="B5006" t="str">
        <f>"1336468867"</f>
        <v>1336468867</v>
      </c>
      <c r="C5006" t="str">
        <f>"207R00000X"</f>
        <v>207R00000X</v>
      </c>
      <c r="D5006" t="str">
        <f>"CARRINGTON               AMY                      "</f>
        <v xml:space="preserve">CARRINGTON               AMY                      </v>
      </c>
      <c r="E5006" t="str">
        <f>"NEW ORLEANS               "</f>
        <v xml:space="preserve">NEW ORLEANS               </v>
      </c>
      <c r="F5006" t="str">
        <f t="shared" si="186"/>
        <v>LA</v>
      </c>
    </row>
    <row r="5007" spans="1:6" x14ac:dyDescent="0.25">
      <c r="A5007" t="str">
        <f>"200027678"</f>
        <v>200027678</v>
      </c>
      <c r="B5007" t="str">
        <f>"1639531734"</f>
        <v>1639531734</v>
      </c>
      <c r="C5007" t="str">
        <f>"207P00000X"</f>
        <v>207P00000X</v>
      </c>
      <c r="D5007" t="str">
        <f>"BARRINEAU                THOMAS                   "</f>
        <v xml:space="preserve">BARRINEAU                THOMAS                   </v>
      </c>
      <c r="E5007" t="str">
        <f>"NEW ORLEANS               "</f>
        <v xml:space="preserve">NEW ORLEANS               </v>
      </c>
      <c r="F5007" t="str">
        <f t="shared" si="186"/>
        <v>LA</v>
      </c>
    </row>
    <row r="5008" spans="1:6" x14ac:dyDescent="0.25">
      <c r="A5008" t="str">
        <f>"200027679"</f>
        <v>200027679</v>
      </c>
      <c r="B5008" t="str">
        <f>"1730039256"</f>
        <v>1730039256</v>
      </c>
      <c r="C5008" t="str">
        <f>"363L00000X"</f>
        <v>363L00000X</v>
      </c>
      <c r="D5008" t="str">
        <f>"ZIMMER                   KASEY                    "</f>
        <v xml:space="preserve">ZIMMER                   KASEY                    </v>
      </c>
      <c r="E5008" t="str">
        <f>"CHALMETTE                 "</f>
        <v xml:space="preserve">CHALMETTE                 </v>
      </c>
      <c r="F5008" t="str">
        <f t="shared" si="186"/>
        <v>LA</v>
      </c>
    </row>
    <row r="5009" spans="1:6" x14ac:dyDescent="0.25">
      <c r="A5009" t="str">
        <f>"200027692"</f>
        <v>200027692</v>
      </c>
      <c r="B5009" t="str">
        <f>"1518200518"</f>
        <v>1518200518</v>
      </c>
      <c r="C5009" t="str">
        <f>"2085P0229X"</f>
        <v>2085P0229X</v>
      </c>
      <c r="D5009" t="str">
        <f>"MCCLEARY                 BRENDAN                  "</f>
        <v xml:space="preserve">MCCLEARY                 BRENDAN                  </v>
      </c>
      <c r="E5009" t="str">
        <f>"NEW ORLEANS               "</f>
        <v xml:space="preserve">NEW ORLEANS               </v>
      </c>
      <c r="F5009" t="str">
        <f t="shared" si="186"/>
        <v>LA</v>
      </c>
    </row>
    <row r="5010" spans="1:6" x14ac:dyDescent="0.25">
      <c r="A5010" t="str">
        <f>"200027701"</f>
        <v>200027701</v>
      </c>
      <c r="B5010" t="str">
        <f>"1194466995"</f>
        <v>1194466995</v>
      </c>
      <c r="C5010" t="str">
        <f>"207R00000X"</f>
        <v>207R00000X</v>
      </c>
      <c r="D5010" t="str">
        <f>"WINTER                   VICTORIA                 "</f>
        <v xml:space="preserve">WINTER                   VICTORIA                 </v>
      </c>
      <c r="E5010" t="str">
        <f>"NEW ORLEANS               "</f>
        <v xml:space="preserve">NEW ORLEANS               </v>
      </c>
      <c r="F5010" t="str">
        <f t="shared" si="186"/>
        <v>LA</v>
      </c>
    </row>
    <row r="5011" spans="1:6" x14ac:dyDescent="0.25">
      <c r="A5011" t="str">
        <f>"200027703"</f>
        <v>200027703</v>
      </c>
      <c r="B5011" t="str">
        <f>"1982018826"</f>
        <v>1982018826</v>
      </c>
      <c r="C5011" t="str">
        <f>"207R00000X"</f>
        <v>207R00000X</v>
      </c>
      <c r="D5011" t="str">
        <f>"GUNDAPUNENI              SATISH                   "</f>
        <v xml:space="preserve">GUNDAPUNENI              SATISH                   </v>
      </c>
      <c r="E5011" t="str">
        <f>"FERRIDAY                  "</f>
        <v xml:space="preserve">FERRIDAY                  </v>
      </c>
      <c r="F5011" t="str">
        <f t="shared" si="186"/>
        <v>LA</v>
      </c>
    </row>
    <row r="5012" spans="1:6" x14ac:dyDescent="0.25">
      <c r="A5012" t="str">
        <f>"200027730"</f>
        <v>200027730</v>
      </c>
      <c r="B5012" t="str">
        <f>"1821104191"</f>
        <v>1821104191</v>
      </c>
      <c r="C5012" t="str">
        <f>"2085R0202X"</f>
        <v>2085R0202X</v>
      </c>
      <c r="D5012" t="str">
        <f>"PARK                     ELLEN                    "</f>
        <v xml:space="preserve">PARK                     ELLEN                    </v>
      </c>
      <c r="E5012" t="str">
        <f>"NEW ORLEANS               "</f>
        <v xml:space="preserve">NEW ORLEANS               </v>
      </c>
      <c r="F5012" t="str">
        <f t="shared" si="186"/>
        <v>LA</v>
      </c>
    </row>
    <row r="5013" spans="1:6" x14ac:dyDescent="0.25">
      <c r="A5013" t="str">
        <f>"200027738"</f>
        <v>200027738</v>
      </c>
      <c r="B5013" t="str">
        <f>"1457582108"</f>
        <v>1457582108</v>
      </c>
      <c r="C5013" t="str">
        <f>"207RR0500X"</f>
        <v>207RR0500X</v>
      </c>
      <c r="D5013" t="str">
        <f>"ABOU ZAHR                ZAKI                     "</f>
        <v xml:space="preserve">ABOU ZAHR                ZAKI                     </v>
      </c>
      <c r="E5013" t="str">
        <f>"BATON ROUGE               "</f>
        <v xml:space="preserve">BATON ROUGE               </v>
      </c>
      <c r="F5013" t="str">
        <f t="shared" si="186"/>
        <v>LA</v>
      </c>
    </row>
    <row r="5014" spans="1:6" x14ac:dyDescent="0.25">
      <c r="A5014" t="str">
        <f>"200027745"</f>
        <v>200027745</v>
      </c>
      <c r="B5014" t="str">
        <f>"1225619927"</f>
        <v>1225619927</v>
      </c>
      <c r="C5014" t="str">
        <f>"207R00000X"</f>
        <v>207R00000X</v>
      </c>
      <c r="D5014" t="str">
        <f>"RIZK                     ALEXANDER                "</f>
        <v xml:space="preserve">RIZK                     ALEXANDER                </v>
      </c>
      <c r="E5014" t="str">
        <f>"NEW ORLEANS               "</f>
        <v xml:space="preserve">NEW ORLEANS               </v>
      </c>
      <c r="F5014" t="str">
        <f t="shared" si="186"/>
        <v>LA</v>
      </c>
    </row>
    <row r="5015" spans="1:6" x14ac:dyDescent="0.25">
      <c r="A5015" t="str">
        <f>"200027748"</f>
        <v>200027748</v>
      </c>
      <c r="B5015" t="str">
        <f>"1639469018"</f>
        <v>1639469018</v>
      </c>
      <c r="C5015" t="str">
        <f>"367500000X"</f>
        <v>367500000X</v>
      </c>
      <c r="D5015" t="str">
        <f>"CALOIAN                  PAUL                     "</f>
        <v xml:space="preserve">CALOIAN                  PAUL                     </v>
      </c>
      <c r="E5015" t="str">
        <f>"COVINGTON                 "</f>
        <v xml:space="preserve">COVINGTON                 </v>
      </c>
      <c r="F5015" t="str">
        <f t="shared" si="186"/>
        <v>LA</v>
      </c>
    </row>
    <row r="5016" spans="1:6" x14ac:dyDescent="0.25">
      <c r="A5016" t="str">
        <f>"200027762"</f>
        <v>200027762</v>
      </c>
      <c r="B5016" t="str">
        <f>"1386836476"</f>
        <v>1386836476</v>
      </c>
      <c r="C5016" t="str">
        <f>"207PP0204X"</f>
        <v>207PP0204X</v>
      </c>
      <c r="D5016" t="str">
        <f>"LEFORT                   ATHENA                   "</f>
        <v xml:space="preserve">LEFORT                   ATHENA                   </v>
      </c>
      <c r="E5016" t="str">
        <f>"METAIRIE                  "</f>
        <v xml:space="preserve">METAIRIE                  </v>
      </c>
      <c r="F5016" t="str">
        <f t="shared" si="186"/>
        <v>LA</v>
      </c>
    </row>
    <row r="5017" spans="1:6" x14ac:dyDescent="0.25">
      <c r="A5017" t="str">
        <f>"200027771"</f>
        <v>200027771</v>
      </c>
      <c r="B5017" t="str">
        <f>"1750969747"</f>
        <v>1750969747</v>
      </c>
      <c r="C5017" t="str">
        <f>"207R00000X"</f>
        <v>207R00000X</v>
      </c>
      <c r="D5017" t="str">
        <f>"MOSELEY                  ALLEN                    "</f>
        <v xml:space="preserve">MOSELEY                  ALLEN                    </v>
      </c>
      <c r="E5017" t="str">
        <f>"NEW ORLEANS               "</f>
        <v xml:space="preserve">NEW ORLEANS               </v>
      </c>
      <c r="F5017" t="str">
        <f t="shared" si="186"/>
        <v>LA</v>
      </c>
    </row>
    <row r="5018" spans="1:6" x14ac:dyDescent="0.25">
      <c r="A5018" t="str">
        <f>"200027774"</f>
        <v>200027774</v>
      </c>
      <c r="B5018" t="str">
        <f>"1215553664"</f>
        <v>1215553664</v>
      </c>
      <c r="C5018" t="str">
        <f>"152W00000X"</f>
        <v>152W00000X</v>
      </c>
      <c r="D5018" t="str">
        <f>"CASADABAN                KATHERINE                "</f>
        <v xml:space="preserve">CASADABAN                KATHERINE                </v>
      </c>
      <c r="E5018" t="str">
        <f>"NEW ORLEANS               "</f>
        <v xml:space="preserve">NEW ORLEANS               </v>
      </c>
      <c r="F5018" t="str">
        <f t="shared" si="186"/>
        <v>LA</v>
      </c>
    </row>
    <row r="5019" spans="1:6" x14ac:dyDescent="0.25">
      <c r="A5019" t="str">
        <f>"200027781"</f>
        <v>200027781</v>
      </c>
      <c r="B5019" t="str">
        <f>"1881192540"</f>
        <v>1881192540</v>
      </c>
      <c r="C5019" t="str">
        <f>"261QE0700X"</f>
        <v>261QE0700X</v>
      </c>
      <c r="D5019" t="str">
        <f>"COVINGTON TRACE DIALYSIS                          "</f>
        <v xml:space="preserve">COVINGTON TRACE DIALYSIS                          </v>
      </c>
      <c r="E5019" t="str">
        <f>"COVINGTON                 "</f>
        <v xml:space="preserve">COVINGTON                 </v>
      </c>
      <c r="F5019" t="str">
        <f t="shared" ref="F5019:F5082" si="187">"LA"</f>
        <v>LA</v>
      </c>
    </row>
    <row r="5020" spans="1:6" x14ac:dyDescent="0.25">
      <c r="A5020" t="str">
        <f>"200027785"</f>
        <v>200027785</v>
      </c>
      <c r="B5020" t="str">
        <f>"1619673993"</f>
        <v>1619673993</v>
      </c>
      <c r="C5020" t="str">
        <f>"367A00000X"</f>
        <v>367A00000X</v>
      </c>
      <c r="D5020" t="str">
        <f>"LAMOTHE                  SARAH                    "</f>
        <v xml:space="preserve">LAMOTHE                  SARAH                    </v>
      </c>
      <c r="E5020" t="str">
        <f>"NEW ORLEANS               "</f>
        <v xml:space="preserve">NEW ORLEANS               </v>
      </c>
      <c r="F5020" t="str">
        <f t="shared" si="187"/>
        <v>LA</v>
      </c>
    </row>
    <row r="5021" spans="1:6" x14ac:dyDescent="0.25">
      <c r="A5021" t="str">
        <f>"200027787"</f>
        <v>200027787</v>
      </c>
      <c r="B5021" t="str">
        <f>"1457733040"</f>
        <v>1457733040</v>
      </c>
      <c r="C5021" t="str">
        <f>"208000000X"</f>
        <v>208000000X</v>
      </c>
      <c r="D5021" t="str">
        <f>"DUCHAMP                  CECILIA                  "</f>
        <v xml:space="preserve">DUCHAMP                  CECILIA                  </v>
      </c>
      <c r="E5021" t="str">
        <f>"NEW ORLEANS               "</f>
        <v xml:space="preserve">NEW ORLEANS               </v>
      </c>
      <c r="F5021" t="str">
        <f t="shared" si="187"/>
        <v>LA</v>
      </c>
    </row>
    <row r="5022" spans="1:6" x14ac:dyDescent="0.25">
      <c r="A5022" t="str">
        <f>"200027791"</f>
        <v>200027791</v>
      </c>
      <c r="B5022" t="str">
        <f>"1871526830"</f>
        <v>1871526830</v>
      </c>
      <c r="C5022" t="str">
        <f>"207RC0200X"</f>
        <v>207RC0200X</v>
      </c>
      <c r="D5022" t="str">
        <f>"KASIRAJAN                LAKSHMIPRIYA             "</f>
        <v xml:space="preserve">KASIRAJAN                LAKSHMIPRIYA             </v>
      </c>
      <c r="E5022" t="str">
        <f>"SLIDELL                   "</f>
        <v xml:space="preserve">SLIDELL                   </v>
      </c>
      <c r="F5022" t="str">
        <f t="shared" si="187"/>
        <v>LA</v>
      </c>
    </row>
    <row r="5023" spans="1:6" x14ac:dyDescent="0.25">
      <c r="A5023" t="str">
        <f>"200027796"</f>
        <v>200027796</v>
      </c>
      <c r="B5023" t="str">
        <f>"1285637710"</f>
        <v>1285637710</v>
      </c>
      <c r="C5023" t="str">
        <f>"207L00000X"</f>
        <v>207L00000X</v>
      </c>
      <c r="D5023" t="str">
        <f>"ANZALONE                 THOMAS                   "</f>
        <v xml:space="preserve">ANZALONE                 THOMAS                   </v>
      </c>
      <c r="E5023" t="str">
        <f>"COVINGTON                 "</f>
        <v xml:space="preserve">COVINGTON                 </v>
      </c>
      <c r="F5023" t="str">
        <f t="shared" si="187"/>
        <v>LA</v>
      </c>
    </row>
    <row r="5024" spans="1:6" x14ac:dyDescent="0.25">
      <c r="A5024" t="str">
        <f>"200027802"</f>
        <v>200027802</v>
      </c>
      <c r="B5024" t="str">
        <f>"1518911726"</f>
        <v>1518911726</v>
      </c>
      <c r="C5024" t="str">
        <f>"2085R0202X"</f>
        <v>2085R0202X</v>
      </c>
      <c r="D5024" t="str">
        <f>"BOWNDS                   SHANNON                  "</f>
        <v xml:space="preserve">BOWNDS                   SHANNON                  </v>
      </c>
      <c r="E5024" t="str">
        <f>"BATON ROUGE               "</f>
        <v xml:space="preserve">BATON ROUGE               </v>
      </c>
      <c r="F5024" t="str">
        <f t="shared" si="187"/>
        <v>LA</v>
      </c>
    </row>
    <row r="5025" spans="1:6" x14ac:dyDescent="0.25">
      <c r="A5025" t="str">
        <f>"200027803"</f>
        <v>200027803</v>
      </c>
      <c r="B5025" t="str">
        <f>"1700315678"</f>
        <v>1700315678</v>
      </c>
      <c r="C5025" t="str">
        <f>"363L00000X"</f>
        <v>363L00000X</v>
      </c>
      <c r="D5025" t="str">
        <f>"MCELROY                  CASSANDRA                "</f>
        <v xml:space="preserve">MCELROY                  CASSANDRA                </v>
      </c>
      <c r="E5025" t="str">
        <f>"BOGALUSA                  "</f>
        <v xml:space="preserve">BOGALUSA                  </v>
      </c>
      <c r="F5025" t="str">
        <f t="shared" si="187"/>
        <v>LA</v>
      </c>
    </row>
    <row r="5026" spans="1:6" x14ac:dyDescent="0.25">
      <c r="A5026" t="str">
        <f>"200027815"</f>
        <v>200027815</v>
      </c>
      <c r="B5026" t="str">
        <f>"1952042525"</f>
        <v>1952042525</v>
      </c>
      <c r="C5026" t="str">
        <f>"207P00000X"</f>
        <v>207P00000X</v>
      </c>
      <c r="D5026" t="str">
        <f>"HUA                      ALEXANDER                "</f>
        <v xml:space="preserve">HUA                      ALEXANDER                </v>
      </c>
      <c r="E5026" t="str">
        <f>"BOGALUSA                  "</f>
        <v xml:space="preserve">BOGALUSA                  </v>
      </c>
      <c r="F5026" t="str">
        <f t="shared" si="187"/>
        <v>LA</v>
      </c>
    </row>
    <row r="5027" spans="1:6" x14ac:dyDescent="0.25">
      <c r="A5027" t="str">
        <f>"200027830"</f>
        <v>200027830</v>
      </c>
      <c r="B5027" t="str">
        <f>"1013910538"</f>
        <v>1013910538</v>
      </c>
      <c r="C5027" t="str">
        <f>"367500000X"</f>
        <v>367500000X</v>
      </c>
      <c r="D5027" t="str">
        <f>"FENDLEY                  GEOFFREY                 "</f>
        <v xml:space="preserve">FENDLEY                  GEOFFREY                 </v>
      </c>
      <c r="E5027" t="str">
        <f>"COVINGTON                 "</f>
        <v xml:space="preserve">COVINGTON                 </v>
      </c>
      <c r="F5027" t="str">
        <f t="shared" si="187"/>
        <v>LA</v>
      </c>
    </row>
    <row r="5028" spans="1:6" x14ac:dyDescent="0.25">
      <c r="A5028" t="str">
        <f>"200027839"</f>
        <v>200027839</v>
      </c>
      <c r="B5028" t="str">
        <f>"1922869130"</f>
        <v>1922869130</v>
      </c>
      <c r="C5028" t="str">
        <f>"363LP0200X"</f>
        <v>363LP0200X</v>
      </c>
      <c r="D5028" t="str">
        <f>"BIENVENU                 CAITLIN                  "</f>
        <v xml:space="preserve">BIENVENU                 CAITLIN                  </v>
      </c>
      <c r="E5028" t="str">
        <f>"NEW ORLEANS               "</f>
        <v xml:space="preserve">NEW ORLEANS               </v>
      </c>
      <c r="F5028" t="str">
        <f t="shared" si="187"/>
        <v>LA</v>
      </c>
    </row>
    <row r="5029" spans="1:6" x14ac:dyDescent="0.25">
      <c r="A5029" t="str">
        <f>"200027865"</f>
        <v>200027865</v>
      </c>
      <c r="B5029" t="str">
        <f>"1700035342"</f>
        <v>1700035342</v>
      </c>
      <c r="C5029" t="str">
        <f>"363L00000X"</f>
        <v>363L00000X</v>
      </c>
      <c r="D5029" t="str">
        <f>"ALFORTISH                STEPHANIE                "</f>
        <v xml:space="preserve">ALFORTISH                STEPHANIE                </v>
      </c>
      <c r="E5029" t="str">
        <f>"NEW ORLEANS               "</f>
        <v xml:space="preserve">NEW ORLEANS               </v>
      </c>
      <c r="F5029" t="str">
        <f t="shared" si="187"/>
        <v>LA</v>
      </c>
    </row>
    <row r="5030" spans="1:6" x14ac:dyDescent="0.25">
      <c r="A5030" t="str">
        <f>"200027885"</f>
        <v>200027885</v>
      </c>
      <c r="B5030" t="str">
        <f>"1124206586"</f>
        <v>1124206586</v>
      </c>
      <c r="C5030" t="str">
        <f>"367500000X"</f>
        <v>367500000X</v>
      </c>
      <c r="D5030" t="str">
        <f>"ANDERSON                 KATRINA                  "</f>
        <v xml:space="preserve">ANDERSON                 KATRINA                  </v>
      </c>
      <c r="E5030" t="str">
        <f>"COVINGTON                 "</f>
        <v xml:space="preserve">COVINGTON                 </v>
      </c>
      <c r="F5030" t="str">
        <f t="shared" si="187"/>
        <v>LA</v>
      </c>
    </row>
    <row r="5031" spans="1:6" x14ac:dyDescent="0.25">
      <c r="A5031" t="str">
        <f>"200027921"</f>
        <v>200027921</v>
      </c>
      <c r="B5031" t="str">
        <f>"1639106891"</f>
        <v>1639106891</v>
      </c>
      <c r="C5031" t="str">
        <f>"367500000X"</f>
        <v>367500000X</v>
      </c>
      <c r="D5031" t="str">
        <f>"GRISSOM                  BRIAN                    "</f>
        <v xml:space="preserve">GRISSOM                  BRIAN                    </v>
      </c>
      <c r="E5031" t="str">
        <f>"COVINGTON                 "</f>
        <v xml:space="preserve">COVINGTON                 </v>
      </c>
      <c r="F5031" t="str">
        <f t="shared" si="187"/>
        <v>LA</v>
      </c>
    </row>
    <row r="5032" spans="1:6" x14ac:dyDescent="0.25">
      <c r="A5032" t="str">
        <f>"200027922"</f>
        <v>200027922</v>
      </c>
      <c r="B5032" t="str">
        <f>"1447417159"</f>
        <v>1447417159</v>
      </c>
      <c r="C5032" t="str">
        <f>"207ZP0101X"</f>
        <v>207ZP0101X</v>
      </c>
      <c r="D5032" t="str">
        <f>"PHILLIPS                 REBECCA                  "</f>
        <v xml:space="preserve">PHILLIPS                 REBECCA                  </v>
      </c>
      <c r="E5032" t="str">
        <f>"NEW ORLEANS               "</f>
        <v xml:space="preserve">NEW ORLEANS               </v>
      </c>
      <c r="F5032" t="str">
        <f t="shared" si="187"/>
        <v>LA</v>
      </c>
    </row>
    <row r="5033" spans="1:6" x14ac:dyDescent="0.25">
      <c r="A5033" t="str">
        <f>"200027933"</f>
        <v>200027933</v>
      </c>
      <c r="B5033" t="str">
        <f>"1255651642"</f>
        <v>1255651642</v>
      </c>
      <c r="C5033" t="str">
        <f>"2085R0202X"</f>
        <v>2085R0202X</v>
      </c>
      <c r="D5033" t="str">
        <f>"DAVIDSON                 CLINTON                  "</f>
        <v xml:space="preserve">DAVIDSON                 CLINTON                  </v>
      </c>
      <c r="E5033" t="str">
        <f>"NEW ORLEANS               "</f>
        <v xml:space="preserve">NEW ORLEANS               </v>
      </c>
      <c r="F5033" t="str">
        <f t="shared" si="187"/>
        <v>LA</v>
      </c>
    </row>
    <row r="5034" spans="1:6" x14ac:dyDescent="0.25">
      <c r="A5034" t="str">
        <f>"200027955"</f>
        <v>200027955</v>
      </c>
      <c r="B5034" t="str">
        <f>"1720626179"</f>
        <v>1720626179</v>
      </c>
      <c r="C5034" t="str">
        <f>"367500000X"</f>
        <v>367500000X</v>
      </c>
      <c r="D5034" t="str">
        <f>"MATA                     AMBER                    "</f>
        <v xml:space="preserve">MATA                     AMBER                    </v>
      </c>
      <c r="E5034" t="str">
        <f>"COVINGTON                 "</f>
        <v xml:space="preserve">COVINGTON                 </v>
      </c>
      <c r="F5034" t="str">
        <f t="shared" si="187"/>
        <v>LA</v>
      </c>
    </row>
    <row r="5035" spans="1:6" x14ac:dyDescent="0.25">
      <c r="A5035" t="str">
        <f>"200027967"</f>
        <v>200027967</v>
      </c>
      <c r="B5035" t="str">
        <f>"1326667445"</f>
        <v>1326667445</v>
      </c>
      <c r="C5035" t="str">
        <f>"367500000X"</f>
        <v>367500000X</v>
      </c>
      <c r="D5035" t="str">
        <f>"ERNST III                LOY          E           "</f>
        <v xml:space="preserve">ERNST III                LOY          E           </v>
      </c>
      <c r="E5035" t="str">
        <f>"COVINGTON                 "</f>
        <v xml:space="preserve">COVINGTON                 </v>
      </c>
      <c r="F5035" t="str">
        <f t="shared" si="187"/>
        <v>LA</v>
      </c>
    </row>
    <row r="5036" spans="1:6" x14ac:dyDescent="0.25">
      <c r="A5036" t="str">
        <f>"200027986"</f>
        <v>200027986</v>
      </c>
      <c r="B5036" t="str">
        <f>"1114305232"</f>
        <v>1114305232</v>
      </c>
      <c r="C5036" t="str">
        <f>"207ZP0101X"</f>
        <v>207ZP0101X</v>
      </c>
      <c r="D5036" t="str">
        <f>"WU                       XINYU                    "</f>
        <v xml:space="preserve">WU                       XINYU                    </v>
      </c>
      <c r="E5036" t="str">
        <f>"NEW ORLEANS               "</f>
        <v xml:space="preserve">NEW ORLEANS               </v>
      </c>
      <c r="F5036" t="str">
        <f t="shared" si="187"/>
        <v>LA</v>
      </c>
    </row>
    <row r="5037" spans="1:6" x14ac:dyDescent="0.25">
      <c r="A5037" t="str">
        <f>"200027988"</f>
        <v>200027988</v>
      </c>
      <c r="B5037" t="str">
        <f>"1710267828"</f>
        <v>1710267828</v>
      </c>
      <c r="C5037" t="str">
        <f>"363LP0222X"</f>
        <v>363LP0222X</v>
      </c>
      <c r="D5037" t="str">
        <f>"SHEPPARD                 KRISTEN                  "</f>
        <v xml:space="preserve">SHEPPARD                 KRISTEN                  </v>
      </c>
      <c r="E5037" t="str">
        <f>"NEW ORLEANS               "</f>
        <v xml:space="preserve">NEW ORLEANS               </v>
      </c>
      <c r="F5037" t="str">
        <f t="shared" si="187"/>
        <v>LA</v>
      </c>
    </row>
    <row r="5038" spans="1:6" x14ac:dyDescent="0.25">
      <c r="A5038" t="str">
        <f>"200027992"</f>
        <v>200027992</v>
      </c>
      <c r="B5038" t="str">
        <f>"1790976140"</f>
        <v>1790976140</v>
      </c>
      <c r="C5038" t="str">
        <f>"207R00000X"</f>
        <v>207R00000X</v>
      </c>
      <c r="D5038" t="str">
        <f>"JOHNSON                  RANADA                   "</f>
        <v xml:space="preserve">JOHNSON                  RANADA                   </v>
      </c>
      <c r="E5038" t="str">
        <f>"BATON ROUGE               "</f>
        <v xml:space="preserve">BATON ROUGE               </v>
      </c>
      <c r="F5038" t="str">
        <f t="shared" si="187"/>
        <v>LA</v>
      </c>
    </row>
    <row r="5039" spans="1:6" x14ac:dyDescent="0.25">
      <c r="A5039" t="str">
        <f>"200027996"</f>
        <v>200027996</v>
      </c>
      <c r="B5039" t="str">
        <f>"1629575071"</f>
        <v>1629575071</v>
      </c>
      <c r="C5039" t="str">
        <f>"207P00000X"</f>
        <v>207P00000X</v>
      </c>
      <c r="D5039" t="str">
        <f>"ADKINS                   WILLIAM                  "</f>
        <v xml:space="preserve">ADKINS                   WILLIAM                  </v>
      </c>
      <c r="E5039" t="str">
        <f>"COVINGTON                 "</f>
        <v xml:space="preserve">COVINGTON                 </v>
      </c>
      <c r="F5039" t="str">
        <f t="shared" si="187"/>
        <v>LA</v>
      </c>
    </row>
    <row r="5040" spans="1:6" x14ac:dyDescent="0.25">
      <c r="A5040" t="str">
        <f>"200027998"</f>
        <v>200027998</v>
      </c>
      <c r="B5040" t="str">
        <f>"1093233603"</f>
        <v>1093233603</v>
      </c>
      <c r="C5040" t="str">
        <f>"2080P0202X"</f>
        <v>2080P0202X</v>
      </c>
      <c r="D5040" t="str">
        <f>"CHEANG                   STEFANIE     Y           "</f>
        <v xml:space="preserve">CHEANG                   STEFANIE     Y           </v>
      </c>
      <c r="E5040" t="str">
        <f>"METAIRIE                  "</f>
        <v xml:space="preserve">METAIRIE                  </v>
      </c>
      <c r="F5040" t="str">
        <f t="shared" si="187"/>
        <v>LA</v>
      </c>
    </row>
    <row r="5041" spans="1:6" x14ac:dyDescent="0.25">
      <c r="A5041" t="str">
        <f>"200028002"</f>
        <v>200028002</v>
      </c>
      <c r="B5041" t="str">
        <f>"1407829419"</f>
        <v>1407829419</v>
      </c>
      <c r="C5041" t="str">
        <f>"367500000X"</f>
        <v>367500000X</v>
      </c>
      <c r="D5041" t="str">
        <f>"DOBIE                    KATHERINE                "</f>
        <v xml:space="preserve">DOBIE                    KATHERINE                </v>
      </c>
      <c r="E5041" t="str">
        <f>"COVINGTON                 "</f>
        <v xml:space="preserve">COVINGTON                 </v>
      </c>
      <c r="F5041" t="str">
        <f t="shared" si="187"/>
        <v>LA</v>
      </c>
    </row>
    <row r="5042" spans="1:6" x14ac:dyDescent="0.25">
      <c r="A5042" t="str">
        <f>"200028043"</f>
        <v>200028043</v>
      </c>
      <c r="B5042" t="str">
        <f>"1770859431"</f>
        <v>1770859431</v>
      </c>
      <c r="C5042" t="str">
        <f>"207P00000X"</f>
        <v>207P00000X</v>
      </c>
      <c r="D5042" t="str">
        <f>"MORRISON                 MATTHEW                  "</f>
        <v xml:space="preserve">MORRISON                 MATTHEW                  </v>
      </c>
      <c r="E5042" t="str">
        <f>"NEW ORLEANS               "</f>
        <v xml:space="preserve">NEW ORLEANS               </v>
      </c>
      <c r="F5042" t="str">
        <f t="shared" si="187"/>
        <v>LA</v>
      </c>
    </row>
    <row r="5043" spans="1:6" x14ac:dyDescent="0.25">
      <c r="A5043" t="str">
        <f>"200028050"</f>
        <v>200028050</v>
      </c>
      <c r="B5043" t="str">
        <f>"1346293123"</f>
        <v>1346293123</v>
      </c>
      <c r="C5043" t="str">
        <f>"367500000X"</f>
        <v>367500000X</v>
      </c>
      <c r="D5043" t="str">
        <f>"ADAMS                    LESSLEY                  "</f>
        <v xml:space="preserve">ADAMS                    LESSLEY                  </v>
      </c>
      <c r="E5043" t="str">
        <f>"COVINGTON                 "</f>
        <v xml:space="preserve">COVINGTON                 </v>
      </c>
      <c r="F5043" t="str">
        <f t="shared" si="187"/>
        <v>LA</v>
      </c>
    </row>
    <row r="5044" spans="1:6" x14ac:dyDescent="0.25">
      <c r="A5044" t="str">
        <f>"200028062"</f>
        <v>200028062</v>
      </c>
      <c r="B5044" t="str">
        <f>"1285499228"</f>
        <v>1285499228</v>
      </c>
      <c r="C5044" t="str">
        <f>"363LA2100X"</f>
        <v>363LA2100X</v>
      </c>
      <c r="D5044" t="str">
        <f>"BELMUDES                 KAREN                    "</f>
        <v xml:space="preserve">BELMUDES                 KAREN                    </v>
      </c>
      <c r="E5044" t="str">
        <f>"SLIDELL                   "</f>
        <v xml:space="preserve">SLIDELL                   </v>
      </c>
      <c r="F5044" t="str">
        <f t="shared" si="187"/>
        <v>LA</v>
      </c>
    </row>
    <row r="5045" spans="1:6" x14ac:dyDescent="0.25">
      <c r="A5045" t="str">
        <f>"200028064"</f>
        <v>200028064</v>
      </c>
      <c r="B5045" t="str">
        <f>"1457811564"</f>
        <v>1457811564</v>
      </c>
      <c r="C5045" t="str">
        <f>"207U00000X"</f>
        <v>207U00000X</v>
      </c>
      <c r="D5045" t="str">
        <f>"HARI                     ADITHYA                  "</f>
        <v xml:space="preserve">HARI                     ADITHYA                  </v>
      </c>
      <c r="E5045" t="str">
        <f>"BATON ROUGE               "</f>
        <v xml:space="preserve">BATON ROUGE               </v>
      </c>
      <c r="F5045" t="str">
        <f t="shared" si="187"/>
        <v>LA</v>
      </c>
    </row>
    <row r="5046" spans="1:6" x14ac:dyDescent="0.25">
      <c r="A5046" t="str">
        <f>"200028074"</f>
        <v>200028074</v>
      </c>
      <c r="B5046" t="str">
        <f>"1235427238"</f>
        <v>1235427238</v>
      </c>
      <c r="C5046" t="str">
        <f>"363L00000X"</f>
        <v>363L00000X</v>
      </c>
      <c r="D5046" t="str">
        <f>"BYCURA                   KATHRYN                  "</f>
        <v xml:space="preserve">BYCURA                   KATHRYN                  </v>
      </c>
      <c r="E5046" t="str">
        <f>"NEW ORLEANS               "</f>
        <v xml:space="preserve">NEW ORLEANS               </v>
      </c>
      <c r="F5046" t="str">
        <f t="shared" si="187"/>
        <v>LA</v>
      </c>
    </row>
    <row r="5047" spans="1:6" x14ac:dyDescent="0.25">
      <c r="A5047" t="str">
        <f>"200028090"</f>
        <v>200028090</v>
      </c>
      <c r="B5047" t="str">
        <f>"1144627316"</f>
        <v>1144627316</v>
      </c>
      <c r="C5047" t="str">
        <f>"363LF0000X"</f>
        <v>363LF0000X</v>
      </c>
      <c r="D5047" t="str">
        <f>"STAUTER                  JENNIFER                 "</f>
        <v xml:space="preserve">STAUTER                  JENNIFER                 </v>
      </c>
      <c r="E5047" t="str">
        <f>"SLIDELL                   "</f>
        <v xml:space="preserve">SLIDELL                   </v>
      </c>
      <c r="F5047" t="str">
        <f t="shared" si="187"/>
        <v>LA</v>
      </c>
    </row>
    <row r="5048" spans="1:6" x14ac:dyDescent="0.25">
      <c r="A5048" t="str">
        <f>"200028112"</f>
        <v>200028112</v>
      </c>
      <c r="B5048" t="str">
        <f>"1205531571"</f>
        <v>1205531571</v>
      </c>
      <c r="C5048" t="str">
        <f>"208000000X"</f>
        <v>208000000X</v>
      </c>
      <c r="D5048" t="str">
        <f>"SKETCHLER                DANIELLE                 "</f>
        <v xml:space="preserve">SKETCHLER                DANIELLE                 </v>
      </c>
      <c r="E5048" t="str">
        <f>"NEW ORLEANS               "</f>
        <v xml:space="preserve">NEW ORLEANS               </v>
      </c>
      <c r="F5048" t="str">
        <f t="shared" si="187"/>
        <v>LA</v>
      </c>
    </row>
    <row r="5049" spans="1:6" x14ac:dyDescent="0.25">
      <c r="A5049" t="str">
        <f>"200028115"</f>
        <v>200028115</v>
      </c>
      <c r="B5049" t="str">
        <f>"1972630705"</f>
        <v>1972630705</v>
      </c>
      <c r="C5049" t="str">
        <f>"261QM1300X"</f>
        <v>261QM1300X</v>
      </c>
      <c r="D5049" t="str">
        <f>"NORTH OAKS CVT                                    "</f>
        <v xml:space="preserve">NORTH OAKS CVT                                    </v>
      </c>
      <c r="E5049" t="str">
        <f>"HAMMOND                   "</f>
        <v xml:space="preserve">HAMMOND                   </v>
      </c>
      <c r="F5049" t="str">
        <f t="shared" si="187"/>
        <v>LA</v>
      </c>
    </row>
    <row r="5050" spans="1:6" x14ac:dyDescent="0.25">
      <c r="A5050" t="str">
        <f>"200028116"</f>
        <v>200028116</v>
      </c>
      <c r="B5050" t="str">
        <f>"1881270668"</f>
        <v>1881270668</v>
      </c>
      <c r="C5050" t="str">
        <f>"2085R0202X"</f>
        <v>2085R0202X</v>
      </c>
      <c r="D5050" t="str">
        <f>"TODD                     KYLE                     "</f>
        <v xml:space="preserve">TODD                     KYLE                     </v>
      </c>
      <c r="E5050" t="str">
        <f>"HAMMOND                   "</f>
        <v xml:space="preserve">HAMMOND                   </v>
      </c>
      <c r="F5050" t="str">
        <f t="shared" si="187"/>
        <v>LA</v>
      </c>
    </row>
    <row r="5051" spans="1:6" x14ac:dyDescent="0.25">
      <c r="A5051" t="str">
        <f>"200028125"</f>
        <v>200028125</v>
      </c>
      <c r="B5051" t="str">
        <f>"1427088020"</f>
        <v>1427088020</v>
      </c>
      <c r="C5051" t="str">
        <f>"2084P0800X"</f>
        <v>2084P0800X</v>
      </c>
      <c r="D5051" t="str">
        <f>"KENNEDY                  KATHRYN      K           "</f>
        <v xml:space="preserve">KENNEDY                  KATHRYN      K           </v>
      </c>
      <c r="E5051" t="str">
        <f>"SHREVEPORT                "</f>
        <v xml:space="preserve">SHREVEPORT                </v>
      </c>
      <c r="F5051" t="str">
        <f t="shared" si="187"/>
        <v>LA</v>
      </c>
    </row>
    <row r="5052" spans="1:6" x14ac:dyDescent="0.25">
      <c r="A5052" t="str">
        <f>"200028130"</f>
        <v>200028130</v>
      </c>
      <c r="B5052" t="str">
        <f>"1639436199"</f>
        <v>1639436199</v>
      </c>
      <c r="C5052" t="str">
        <f>"208600000X"</f>
        <v>208600000X</v>
      </c>
      <c r="D5052" t="str">
        <f>"TANAKA                   SHOICHIRO                "</f>
        <v xml:space="preserve">TANAKA                   SHOICHIRO                </v>
      </c>
      <c r="E5052" t="str">
        <f>"NEW ORLEANS               "</f>
        <v xml:space="preserve">NEW ORLEANS               </v>
      </c>
      <c r="F5052" t="str">
        <f t="shared" si="187"/>
        <v>LA</v>
      </c>
    </row>
    <row r="5053" spans="1:6" x14ac:dyDescent="0.25">
      <c r="A5053" t="str">
        <f>"200028136"</f>
        <v>200028136</v>
      </c>
      <c r="B5053" t="str">
        <f>"1104521442"</f>
        <v>1104521442</v>
      </c>
      <c r="C5053" t="str">
        <f>"208D00000X"</f>
        <v>208D00000X</v>
      </c>
      <c r="D5053" t="str">
        <f>"ROSHETT                  ASHWIN                   "</f>
        <v xml:space="preserve">ROSHETT                  ASHWIN                   </v>
      </c>
      <c r="E5053" t="str">
        <f>"BOGALUSA                  "</f>
        <v xml:space="preserve">BOGALUSA                  </v>
      </c>
      <c r="F5053" t="str">
        <f t="shared" si="187"/>
        <v>LA</v>
      </c>
    </row>
    <row r="5054" spans="1:6" x14ac:dyDescent="0.25">
      <c r="A5054" t="str">
        <f>"200028153"</f>
        <v>200028153</v>
      </c>
      <c r="B5054" t="str">
        <f>"1831536440"</f>
        <v>1831536440</v>
      </c>
      <c r="C5054" t="str">
        <f>"207R00000X"</f>
        <v>207R00000X</v>
      </c>
      <c r="D5054" t="str">
        <f>"HAND                     STEVEN                   "</f>
        <v xml:space="preserve">HAND                     STEVEN                   </v>
      </c>
      <c r="E5054" t="str">
        <f>"NEW ORLEANS               "</f>
        <v xml:space="preserve">NEW ORLEANS               </v>
      </c>
      <c r="F5054" t="str">
        <f t="shared" si="187"/>
        <v>LA</v>
      </c>
    </row>
    <row r="5055" spans="1:6" x14ac:dyDescent="0.25">
      <c r="A5055" t="str">
        <f>"200028154"</f>
        <v>200028154</v>
      </c>
      <c r="B5055" t="str">
        <f>"1184815011"</f>
        <v>1184815011</v>
      </c>
      <c r="C5055" t="str">
        <f>"2085R0202X"</f>
        <v>2085R0202X</v>
      </c>
      <c r="D5055" t="str">
        <f>"MAHIEU                   NATALIE      A           "</f>
        <v xml:space="preserve">MAHIEU                   NATALIE      A           </v>
      </c>
      <c r="E5055" t="str">
        <f>"NEW ORLEANS               "</f>
        <v xml:space="preserve">NEW ORLEANS               </v>
      </c>
      <c r="F5055" t="str">
        <f t="shared" si="187"/>
        <v>LA</v>
      </c>
    </row>
    <row r="5056" spans="1:6" x14ac:dyDescent="0.25">
      <c r="A5056" t="str">
        <f>"200028166"</f>
        <v>200028166</v>
      </c>
      <c r="B5056" t="str">
        <f>"1841882875"</f>
        <v>1841882875</v>
      </c>
      <c r="C5056" t="str">
        <f>"363LP0808X"</f>
        <v>363LP0808X</v>
      </c>
      <c r="D5056" t="str">
        <f>"BOURGEOIS                DARRIA                   "</f>
        <v xml:space="preserve">BOURGEOIS                DARRIA                   </v>
      </c>
      <c r="E5056" t="str">
        <f>"MANDEVILLE                "</f>
        <v xml:space="preserve">MANDEVILLE                </v>
      </c>
      <c r="F5056" t="str">
        <f t="shared" si="187"/>
        <v>LA</v>
      </c>
    </row>
    <row r="5057" spans="1:6" x14ac:dyDescent="0.25">
      <c r="A5057" t="str">
        <f>"200028169"</f>
        <v>200028169</v>
      </c>
      <c r="B5057" t="str">
        <f>"1841082971"</f>
        <v>1841082971</v>
      </c>
      <c r="C5057" t="str">
        <f>"2080P0203X"</f>
        <v>2080P0203X</v>
      </c>
      <c r="D5057" t="str">
        <f>"SEOANE                   SARAH                    "</f>
        <v xml:space="preserve">SEOANE                   SARAH                    </v>
      </c>
      <c r="E5057" t="str">
        <f>"NEW ORLEANS               "</f>
        <v xml:space="preserve">NEW ORLEANS               </v>
      </c>
      <c r="F5057" t="str">
        <f t="shared" si="187"/>
        <v>LA</v>
      </c>
    </row>
    <row r="5058" spans="1:6" x14ac:dyDescent="0.25">
      <c r="A5058" t="str">
        <f>"200028180"</f>
        <v>200028180</v>
      </c>
      <c r="B5058" t="str">
        <f>"1588253462"</f>
        <v>1588253462</v>
      </c>
      <c r="C5058" t="str">
        <f>"367500000X"</f>
        <v>367500000X</v>
      </c>
      <c r="D5058" t="str">
        <f>"CASEY                    GARRETT                  "</f>
        <v xml:space="preserve">CASEY                    GARRETT                  </v>
      </c>
      <c r="E5058" t="str">
        <f>"NEW ORLEANS               "</f>
        <v xml:space="preserve">NEW ORLEANS               </v>
      </c>
      <c r="F5058" t="str">
        <f t="shared" si="187"/>
        <v>LA</v>
      </c>
    </row>
    <row r="5059" spans="1:6" x14ac:dyDescent="0.25">
      <c r="A5059" t="str">
        <f>"200028188"</f>
        <v>200028188</v>
      </c>
      <c r="B5059" t="str">
        <f>"1952494262"</f>
        <v>1952494262</v>
      </c>
      <c r="C5059" t="str">
        <f>"208600000X"</f>
        <v>208600000X</v>
      </c>
      <c r="D5059" t="str">
        <f>"SCHAUER                  PHILIP                   "</f>
        <v xml:space="preserve">SCHAUER                  PHILIP                   </v>
      </c>
      <c r="E5059" t="str">
        <f>"BATON ROUGE               "</f>
        <v xml:space="preserve">BATON ROUGE               </v>
      </c>
      <c r="F5059" t="str">
        <f t="shared" si="187"/>
        <v>LA</v>
      </c>
    </row>
    <row r="5060" spans="1:6" x14ac:dyDescent="0.25">
      <c r="A5060" t="str">
        <f>"200028190"</f>
        <v>200028190</v>
      </c>
      <c r="B5060" t="str">
        <f>"1467087668"</f>
        <v>1467087668</v>
      </c>
      <c r="C5060" t="str">
        <f>"207P00000X"</f>
        <v>207P00000X</v>
      </c>
      <c r="D5060" t="str">
        <f>"LINDER                   SYDNEY                   "</f>
        <v xml:space="preserve">LINDER                   SYDNEY                   </v>
      </c>
      <c r="E5060" t="str">
        <f>"NEW ORLEANS               "</f>
        <v xml:space="preserve">NEW ORLEANS               </v>
      </c>
      <c r="F5060" t="str">
        <f t="shared" si="187"/>
        <v>LA</v>
      </c>
    </row>
    <row r="5061" spans="1:6" x14ac:dyDescent="0.25">
      <c r="A5061" t="str">
        <f>"200028192"</f>
        <v>200028192</v>
      </c>
      <c r="B5061" t="str">
        <f>"1972630705"</f>
        <v>1972630705</v>
      </c>
      <c r="C5061" t="str">
        <f>"261QM1300X"</f>
        <v>261QM1300X</v>
      </c>
      <c r="D5061" t="str">
        <f>"NORTH OAKS SURGICAL ASSOCIATES                    "</f>
        <v xml:space="preserve">NORTH OAKS SURGICAL ASSOCIATES                    </v>
      </c>
      <c r="E5061" t="str">
        <f>"HAMMOND                   "</f>
        <v xml:space="preserve">HAMMOND                   </v>
      </c>
      <c r="F5061" t="str">
        <f t="shared" si="187"/>
        <v>LA</v>
      </c>
    </row>
    <row r="5062" spans="1:6" x14ac:dyDescent="0.25">
      <c r="A5062" t="str">
        <f>"200028200"</f>
        <v>200028200</v>
      </c>
      <c r="B5062" t="str">
        <f>"1659377265"</f>
        <v>1659377265</v>
      </c>
      <c r="C5062" t="str">
        <f>"208M00000X"</f>
        <v>208M00000X</v>
      </c>
      <c r="D5062" t="str">
        <f>"TURNER                   CHRISTOPHER              "</f>
        <v xml:space="preserve">TURNER                   CHRISTOPHER              </v>
      </c>
      <c r="E5062" t="str">
        <f>"BATON ROUGE               "</f>
        <v xml:space="preserve">BATON ROUGE               </v>
      </c>
      <c r="F5062" t="str">
        <f t="shared" si="187"/>
        <v>LA</v>
      </c>
    </row>
    <row r="5063" spans="1:6" x14ac:dyDescent="0.25">
      <c r="A5063" t="str">
        <f>"200028212"</f>
        <v>200028212</v>
      </c>
      <c r="B5063" t="str">
        <f>"1790104933"</f>
        <v>1790104933</v>
      </c>
      <c r="C5063" t="str">
        <f>"2080N0001X"</f>
        <v>2080N0001X</v>
      </c>
      <c r="D5063" t="str">
        <f>"PATEL                    SONAL                    "</f>
        <v xml:space="preserve">PATEL                    SONAL                    </v>
      </c>
      <c r="E5063" t="str">
        <f>"COVINGTON                 "</f>
        <v xml:space="preserve">COVINGTON                 </v>
      </c>
      <c r="F5063" t="str">
        <f t="shared" si="187"/>
        <v>LA</v>
      </c>
    </row>
    <row r="5064" spans="1:6" x14ac:dyDescent="0.25">
      <c r="A5064" t="str">
        <f>"200028221"</f>
        <v>200028221</v>
      </c>
      <c r="B5064" t="str">
        <f>"1548098874"</f>
        <v>1548098874</v>
      </c>
      <c r="C5064" t="str">
        <f>"363A00000X"</f>
        <v>363A00000X</v>
      </c>
      <c r="D5064" t="str">
        <f>"OTILLIO                  AMANDA                   "</f>
        <v xml:space="preserve">OTILLIO                  AMANDA                   </v>
      </c>
      <c r="E5064" t="str">
        <f>"NEW ORLEANS               "</f>
        <v xml:space="preserve">NEW ORLEANS               </v>
      </c>
      <c r="F5064" t="str">
        <f t="shared" si="187"/>
        <v>LA</v>
      </c>
    </row>
    <row r="5065" spans="1:6" x14ac:dyDescent="0.25">
      <c r="A5065" t="str">
        <f>"200028229"</f>
        <v>200028229</v>
      </c>
      <c r="B5065" t="str">
        <f>"1972630705"</f>
        <v>1972630705</v>
      </c>
      <c r="C5065" t="str">
        <f>"261QM1300X"</f>
        <v>261QM1300X</v>
      </c>
      <c r="D5065" t="str">
        <f>"NORTH OAKS ENT &amp; ALLERGY CLINIC                   "</f>
        <v xml:space="preserve">NORTH OAKS ENT &amp; ALLERGY CLINIC                   </v>
      </c>
      <c r="E5065" t="str">
        <f>"HAMMOND                   "</f>
        <v xml:space="preserve">HAMMOND                   </v>
      </c>
      <c r="F5065" t="str">
        <f t="shared" si="187"/>
        <v>LA</v>
      </c>
    </row>
    <row r="5066" spans="1:6" x14ac:dyDescent="0.25">
      <c r="A5066" t="str">
        <f>"200028241"</f>
        <v>200028241</v>
      </c>
      <c r="B5066" t="str">
        <f>"1063511590"</f>
        <v>1063511590</v>
      </c>
      <c r="C5066" t="str">
        <f>"207VM0101X"</f>
        <v>207VM0101X</v>
      </c>
      <c r="D5066" t="str">
        <f>"DOLA                     CHI          P           "</f>
        <v xml:space="preserve">DOLA                     CHI          P           </v>
      </c>
      <c r="E5066" t="str">
        <f>"METAIRIE                  "</f>
        <v xml:space="preserve">METAIRIE                  </v>
      </c>
      <c r="F5066" t="str">
        <f t="shared" si="187"/>
        <v>LA</v>
      </c>
    </row>
    <row r="5067" spans="1:6" x14ac:dyDescent="0.25">
      <c r="A5067" t="str">
        <f>"200028252"</f>
        <v>200028252</v>
      </c>
      <c r="B5067" t="str">
        <f>"1700068723"</f>
        <v>1700068723</v>
      </c>
      <c r="C5067" t="str">
        <f>"207VX0000X"</f>
        <v>207VX0000X</v>
      </c>
      <c r="D5067" t="str">
        <f>"VAUGHAN                  AMY          E           "</f>
        <v xml:space="preserve">VAUGHAN                  AMY          E           </v>
      </c>
      <c r="E5067" t="str">
        <f>"METAIRIE                  "</f>
        <v xml:space="preserve">METAIRIE                  </v>
      </c>
      <c r="F5067" t="str">
        <f t="shared" si="187"/>
        <v>LA</v>
      </c>
    </row>
    <row r="5068" spans="1:6" x14ac:dyDescent="0.25">
      <c r="A5068" t="str">
        <f>"200028260"</f>
        <v>200028260</v>
      </c>
      <c r="B5068" t="str">
        <f>"1477532885"</f>
        <v>1477532885</v>
      </c>
      <c r="C5068" t="str">
        <f>"2083P0901X"</f>
        <v>2083P0901X</v>
      </c>
      <c r="D5068" t="str">
        <f>"BLACKMAN                 KEITH                    "</f>
        <v xml:space="preserve">BLACKMAN                 KEITH                    </v>
      </c>
      <c r="E5068" t="str">
        <f>"TALLULAH                  "</f>
        <v xml:space="preserve">TALLULAH                  </v>
      </c>
      <c r="F5068" t="str">
        <f t="shared" si="187"/>
        <v>LA</v>
      </c>
    </row>
    <row r="5069" spans="1:6" x14ac:dyDescent="0.25">
      <c r="A5069" t="str">
        <f>"200028269"</f>
        <v>200028269</v>
      </c>
      <c r="B5069" t="str">
        <f>"1306049101"</f>
        <v>1306049101</v>
      </c>
      <c r="C5069" t="str">
        <f>"207V00000X"</f>
        <v>207V00000X</v>
      </c>
      <c r="D5069" t="str">
        <f>"NARESH                   AMBER                    "</f>
        <v xml:space="preserve">NARESH                   AMBER                    </v>
      </c>
      <c r="E5069" t="str">
        <f>"METAIRIE                  "</f>
        <v xml:space="preserve">METAIRIE                  </v>
      </c>
      <c r="F5069" t="str">
        <f t="shared" si="187"/>
        <v>LA</v>
      </c>
    </row>
    <row r="5070" spans="1:6" x14ac:dyDescent="0.25">
      <c r="A5070" t="str">
        <f>"200028270"</f>
        <v>200028270</v>
      </c>
      <c r="B5070" t="str">
        <f>"1538730452"</f>
        <v>1538730452</v>
      </c>
      <c r="C5070" t="str">
        <f>"207L00000X"</f>
        <v>207L00000X</v>
      </c>
      <c r="D5070" t="str">
        <f>"SCHMUCKER                HANNAH                   "</f>
        <v xml:space="preserve">SCHMUCKER                HANNAH                   </v>
      </c>
      <c r="E5070" t="str">
        <f>"NEW ORLEANS               "</f>
        <v xml:space="preserve">NEW ORLEANS               </v>
      </c>
      <c r="F5070" t="str">
        <f t="shared" si="187"/>
        <v>LA</v>
      </c>
    </row>
    <row r="5071" spans="1:6" x14ac:dyDescent="0.25">
      <c r="A5071" t="str">
        <f>"200028274"</f>
        <v>200028274</v>
      </c>
      <c r="B5071" t="str">
        <f>"1710310289"</f>
        <v>1710310289</v>
      </c>
      <c r="C5071" t="str">
        <f>"208000000X"</f>
        <v>208000000X</v>
      </c>
      <c r="D5071" t="str">
        <f>"LONG                     BENJAMIN                 "</f>
        <v xml:space="preserve">LONG                     BENJAMIN                 </v>
      </c>
      <c r="E5071" t="str">
        <f>"NEW ORLEANS               "</f>
        <v xml:space="preserve">NEW ORLEANS               </v>
      </c>
      <c r="F5071" t="str">
        <f t="shared" si="187"/>
        <v>LA</v>
      </c>
    </row>
    <row r="5072" spans="1:6" x14ac:dyDescent="0.25">
      <c r="A5072" t="str">
        <f>"200028280"</f>
        <v>200028280</v>
      </c>
      <c r="B5072" t="str">
        <f>"1023907888"</f>
        <v>1023907888</v>
      </c>
      <c r="C5072" t="str">
        <f>"367500000X"</f>
        <v>367500000X</v>
      </c>
      <c r="D5072" t="str">
        <f>"DALFERES                 BLAKE                    "</f>
        <v xml:space="preserve">DALFERES                 BLAKE                    </v>
      </c>
      <c r="E5072" t="str">
        <f>"HAMMOND                   "</f>
        <v xml:space="preserve">HAMMOND                   </v>
      </c>
      <c r="F5072" t="str">
        <f t="shared" si="187"/>
        <v>LA</v>
      </c>
    </row>
    <row r="5073" spans="1:6" x14ac:dyDescent="0.25">
      <c r="A5073" t="str">
        <f>"200028281"</f>
        <v>200028281</v>
      </c>
      <c r="B5073" t="str">
        <f>"1790890226"</f>
        <v>1790890226</v>
      </c>
      <c r="C5073" t="str">
        <f>"207P00000X"</f>
        <v>207P00000X</v>
      </c>
      <c r="D5073" t="str">
        <f>"HOSEA                    STEPHEN                  "</f>
        <v xml:space="preserve">HOSEA                    STEPHEN                  </v>
      </c>
      <c r="E5073" t="str">
        <f>"BATON ROUGE               "</f>
        <v xml:space="preserve">BATON ROUGE               </v>
      </c>
      <c r="F5073" t="str">
        <f t="shared" si="187"/>
        <v>LA</v>
      </c>
    </row>
    <row r="5074" spans="1:6" x14ac:dyDescent="0.25">
      <c r="A5074" t="str">
        <f>"200028289"</f>
        <v>200028289</v>
      </c>
      <c r="B5074" t="str">
        <f>"1821627407"</f>
        <v>1821627407</v>
      </c>
      <c r="C5074" t="str">
        <f>"208D00000X"</f>
        <v>208D00000X</v>
      </c>
      <c r="D5074" t="str">
        <f>"IGENOZA                  OLUWATOSIN               "</f>
        <v xml:space="preserve">IGENOZA                  OLUWATOSIN               </v>
      </c>
      <c r="E5074" t="str">
        <f>"SLIDELL                   "</f>
        <v xml:space="preserve">SLIDELL                   </v>
      </c>
      <c r="F5074" t="str">
        <f t="shared" si="187"/>
        <v>LA</v>
      </c>
    </row>
    <row r="5075" spans="1:6" x14ac:dyDescent="0.25">
      <c r="A5075" t="str">
        <f>"200028290"</f>
        <v>200028290</v>
      </c>
      <c r="B5075" t="str">
        <f>"1619551298"</f>
        <v>1619551298</v>
      </c>
      <c r="C5075" t="str">
        <f>"207RH0002X"</f>
        <v>207RH0002X</v>
      </c>
      <c r="D5075" t="str">
        <f>"FLANAGAN                 MEGAN                    "</f>
        <v xml:space="preserve">FLANAGAN                 MEGAN                    </v>
      </c>
      <c r="E5075" t="str">
        <f>"METAIRIE                  "</f>
        <v xml:space="preserve">METAIRIE                  </v>
      </c>
      <c r="F5075" t="str">
        <f t="shared" si="187"/>
        <v>LA</v>
      </c>
    </row>
    <row r="5076" spans="1:6" x14ac:dyDescent="0.25">
      <c r="A5076" t="str">
        <f>"200028296"</f>
        <v>200028296</v>
      </c>
      <c r="B5076" t="str">
        <f>"1831693522"</f>
        <v>1831693522</v>
      </c>
      <c r="C5076" t="str">
        <f>"2080P0203X"</f>
        <v>2080P0203X</v>
      </c>
      <c r="D5076" t="str">
        <f>"AUSTIN                   LINDSEY                  "</f>
        <v xml:space="preserve">AUSTIN                   LINDSEY                  </v>
      </c>
      <c r="E5076" t="str">
        <f>"NEW ORLEANS               "</f>
        <v xml:space="preserve">NEW ORLEANS               </v>
      </c>
      <c r="F5076" t="str">
        <f t="shared" si="187"/>
        <v>LA</v>
      </c>
    </row>
    <row r="5077" spans="1:6" x14ac:dyDescent="0.25">
      <c r="A5077" t="str">
        <f>"200028302"</f>
        <v>200028302</v>
      </c>
      <c r="B5077" t="str">
        <f>"1285970780"</f>
        <v>1285970780</v>
      </c>
      <c r="C5077" t="str">
        <f>"261QU0200X"</f>
        <v>261QU0200X</v>
      </c>
      <c r="D5077" t="str">
        <f>"RAPID URGENT CARE INC                             "</f>
        <v xml:space="preserve">RAPID URGENT CARE INC                             </v>
      </c>
      <c r="E5077" t="str">
        <f>"BOGALUSA                  "</f>
        <v xml:space="preserve">BOGALUSA                  </v>
      </c>
      <c r="F5077" t="str">
        <f t="shared" si="187"/>
        <v>LA</v>
      </c>
    </row>
    <row r="5078" spans="1:6" x14ac:dyDescent="0.25">
      <c r="A5078" t="str">
        <f>"200028343"</f>
        <v>200028343</v>
      </c>
      <c r="B5078" t="str">
        <f>"1255102844"</f>
        <v>1255102844</v>
      </c>
      <c r="C5078" t="str">
        <f>"363LF0000X"</f>
        <v>363LF0000X</v>
      </c>
      <c r="D5078" t="str">
        <f>"WALLIS                   DANA                     "</f>
        <v xml:space="preserve">WALLIS                   DANA                     </v>
      </c>
      <c r="E5078" t="str">
        <f>"SAINT FRANCISVILLE        "</f>
        <v xml:space="preserve">SAINT FRANCISVILLE        </v>
      </c>
      <c r="F5078" t="str">
        <f t="shared" si="187"/>
        <v>LA</v>
      </c>
    </row>
    <row r="5079" spans="1:6" x14ac:dyDescent="0.25">
      <c r="A5079" t="str">
        <f>"200028353"</f>
        <v>200028353</v>
      </c>
      <c r="B5079" t="str">
        <f>"1902855737"</f>
        <v>1902855737</v>
      </c>
      <c r="C5079" t="str">
        <f>"2085R0202X"</f>
        <v>2085R0202X</v>
      </c>
      <c r="D5079" t="str">
        <f>"KENNEY                   ARTHUR                   "</f>
        <v xml:space="preserve">KENNEY                   ARTHUR                   </v>
      </c>
      <c r="E5079" t="str">
        <f>"NEW ORLEANS               "</f>
        <v xml:space="preserve">NEW ORLEANS               </v>
      </c>
      <c r="F5079" t="str">
        <f t="shared" si="187"/>
        <v>LA</v>
      </c>
    </row>
    <row r="5080" spans="1:6" x14ac:dyDescent="0.25">
      <c r="A5080" t="str">
        <f>"200028369"</f>
        <v>200028369</v>
      </c>
      <c r="B5080" t="str">
        <f>"1235715772"</f>
        <v>1235715772</v>
      </c>
      <c r="C5080" t="str">
        <f>"2085R0202X"</f>
        <v>2085R0202X</v>
      </c>
      <c r="D5080" t="str">
        <f>"FONTENOT                 JAKE                     "</f>
        <v xml:space="preserve">FONTENOT                 JAKE                     </v>
      </c>
      <c r="E5080" t="str">
        <f>"NEW ORLEANS               "</f>
        <v xml:space="preserve">NEW ORLEANS               </v>
      </c>
      <c r="F5080" t="str">
        <f t="shared" si="187"/>
        <v>LA</v>
      </c>
    </row>
    <row r="5081" spans="1:6" x14ac:dyDescent="0.25">
      <c r="A5081" t="str">
        <f>"200028375"</f>
        <v>200028375</v>
      </c>
      <c r="B5081" t="str">
        <f>"1992686844"</f>
        <v>1992686844</v>
      </c>
      <c r="C5081" t="str">
        <f>"363L00000X"</f>
        <v>363L00000X</v>
      </c>
      <c r="D5081" t="str">
        <f>"DOUET                    ABIGAIL                  "</f>
        <v xml:space="preserve">DOUET                    ABIGAIL                  </v>
      </c>
      <c r="E5081" t="str">
        <f>"LAFAYETTE                 "</f>
        <v xml:space="preserve">LAFAYETTE                 </v>
      </c>
      <c r="F5081" t="str">
        <f t="shared" si="187"/>
        <v>LA</v>
      </c>
    </row>
    <row r="5082" spans="1:6" x14ac:dyDescent="0.25">
      <c r="A5082" t="str">
        <f>"200028381"</f>
        <v>200028381</v>
      </c>
      <c r="B5082" t="str">
        <f>"1245573310"</f>
        <v>1245573310</v>
      </c>
      <c r="C5082" t="str">
        <f>"207RN0300X"</f>
        <v>207RN0300X</v>
      </c>
      <c r="D5082" t="str">
        <f>"BHARGAVA                 RHEA                     "</f>
        <v xml:space="preserve">BHARGAVA                 RHEA                     </v>
      </c>
      <c r="E5082" t="str">
        <f>"METAIRIE                  "</f>
        <v xml:space="preserve">METAIRIE                  </v>
      </c>
      <c r="F5082" t="str">
        <f t="shared" si="187"/>
        <v>LA</v>
      </c>
    </row>
    <row r="5083" spans="1:6" x14ac:dyDescent="0.25">
      <c r="A5083" t="str">
        <f>"200028393"</f>
        <v>200028393</v>
      </c>
      <c r="B5083" t="str">
        <f>"1942643317"</f>
        <v>1942643317</v>
      </c>
      <c r="C5083" t="str">
        <f>"2080N0001X"</f>
        <v>2080N0001X</v>
      </c>
      <c r="D5083" t="str">
        <f>"ALLA                     SARADA                   "</f>
        <v xml:space="preserve">ALLA                     SARADA                   </v>
      </c>
      <c r="E5083" t="str">
        <f>"COVINGTON                 "</f>
        <v xml:space="preserve">COVINGTON                 </v>
      </c>
      <c r="F5083" t="str">
        <f t="shared" ref="F5083:F5146" si="188">"LA"</f>
        <v>LA</v>
      </c>
    </row>
    <row r="5084" spans="1:6" x14ac:dyDescent="0.25">
      <c r="A5084" t="str">
        <f>"200028401"</f>
        <v>200028401</v>
      </c>
      <c r="B5084" t="str">
        <f>"1972630705"</f>
        <v>1972630705</v>
      </c>
      <c r="C5084" t="str">
        <f>"261QM1300X"</f>
        <v>261QM1300X</v>
      </c>
      <c r="D5084" t="str">
        <f>"NORTH OAKS NEUROSURGERY                           "</f>
        <v xml:space="preserve">NORTH OAKS NEUROSURGERY                           </v>
      </c>
      <c r="E5084" t="str">
        <f>"HAMMOND                   "</f>
        <v xml:space="preserve">HAMMOND                   </v>
      </c>
      <c r="F5084" t="str">
        <f t="shared" si="188"/>
        <v>LA</v>
      </c>
    </row>
    <row r="5085" spans="1:6" x14ac:dyDescent="0.25">
      <c r="A5085" t="str">
        <f>"200028407"</f>
        <v>200028407</v>
      </c>
      <c r="B5085" t="str">
        <f>"1922886258"</f>
        <v>1922886258</v>
      </c>
      <c r="C5085" t="str">
        <f>"367500000X"</f>
        <v>367500000X</v>
      </c>
      <c r="D5085" t="str">
        <f>"PLOEN                    JACK                     "</f>
        <v xml:space="preserve">PLOEN                    JACK                     </v>
      </c>
      <c r="E5085" t="str">
        <f>"HAMMOND                   "</f>
        <v xml:space="preserve">HAMMOND                   </v>
      </c>
      <c r="F5085" t="str">
        <f t="shared" si="188"/>
        <v>LA</v>
      </c>
    </row>
    <row r="5086" spans="1:6" x14ac:dyDescent="0.25">
      <c r="A5086" t="str">
        <f>"200028424"</f>
        <v>200028424</v>
      </c>
      <c r="B5086" t="str">
        <f>"1134871577"</f>
        <v>1134871577</v>
      </c>
      <c r="C5086" t="str">
        <f>"367500000X"</f>
        <v>367500000X</v>
      </c>
      <c r="D5086" t="str">
        <f>"WINTERS                  NATHAN                   "</f>
        <v xml:space="preserve">WINTERS                  NATHAN                   </v>
      </c>
      <c r="E5086" t="str">
        <f>"METAIRIE                  "</f>
        <v xml:space="preserve">METAIRIE                  </v>
      </c>
      <c r="F5086" t="str">
        <f t="shared" si="188"/>
        <v>LA</v>
      </c>
    </row>
    <row r="5087" spans="1:6" x14ac:dyDescent="0.25">
      <c r="A5087" t="str">
        <f>"200028426"</f>
        <v>200028426</v>
      </c>
      <c r="B5087" t="str">
        <f>"1902916778"</f>
        <v>1902916778</v>
      </c>
      <c r="C5087" t="str">
        <f>"207RG0100X"</f>
        <v>207RG0100X</v>
      </c>
      <c r="D5087" t="str">
        <f>"BORG                     BRIAN        B           "</f>
        <v xml:space="preserve">BORG                     BRIAN        B           </v>
      </c>
      <c r="E5087" t="str">
        <f>"METAIRIE                  "</f>
        <v xml:space="preserve">METAIRIE                  </v>
      </c>
      <c r="F5087" t="str">
        <f t="shared" si="188"/>
        <v>LA</v>
      </c>
    </row>
    <row r="5088" spans="1:6" x14ac:dyDescent="0.25">
      <c r="A5088" t="str">
        <f>"200028435"</f>
        <v>200028435</v>
      </c>
      <c r="B5088" t="str">
        <f>"1871763987"</f>
        <v>1871763987</v>
      </c>
      <c r="C5088" t="str">
        <f>"208000000X"</f>
        <v>208000000X</v>
      </c>
      <c r="D5088" t="str">
        <f>"LEWIS                    VERONICA                 "</f>
        <v xml:space="preserve">LEWIS                    VERONICA                 </v>
      </c>
      <c r="E5088" t="str">
        <f>"NEW ORLEANS               "</f>
        <v xml:space="preserve">NEW ORLEANS               </v>
      </c>
      <c r="F5088" t="str">
        <f t="shared" si="188"/>
        <v>LA</v>
      </c>
    </row>
    <row r="5089" spans="1:6" x14ac:dyDescent="0.25">
      <c r="A5089" t="str">
        <f>"200028445"</f>
        <v>200028445</v>
      </c>
      <c r="B5089" t="str">
        <f>"1588047443"</f>
        <v>1588047443</v>
      </c>
      <c r="C5089" t="str">
        <f>"207RA0401X"</f>
        <v>207RA0401X</v>
      </c>
      <c r="D5089" t="str">
        <f>"LYNCH                    WHITNEY                  "</f>
        <v xml:space="preserve">LYNCH                    WHITNEY                  </v>
      </c>
      <c r="E5089" t="str">
        <f>"SLIDELL                   "</f>
        <v xml:space="preserve">SLIDELL                   </v>
      </c>
      <c r="F5089" t="str">
        <f t="shared" si="188"/>
        <v>LA</v>
      </c>
    </row>
    <row r="5090" spans="1:6" x14ac:dyDescent="0.25">
      <c r="A5090" t="str">
        <f>"200028456"</f>
        <v>200028456</v>
      </c>
      <c r="B5090" t="str">
        <f>"1386743870"</f>
        <v>1386743870</v>
      </c>
      <c r="C5090" t="str">
        <f>"207V00000X"</f>
        <v>207V00000X</v>
      </c>
      <c r="D5090" t="str">
        <f>"FAUCHEAUX                ANTOINE                  "</f>
        <v xml:space="preserve">FAUCHEAUX                ANTOINE                  </v>
      </c>
      <c r="E5090" t="str">
        <f>"LA PLACE                  "</f>
        <v xml:space="preserve">LA PLACE                  </v>
      </c>
      <c r="F5090" t="str">
        <f t="shared" si="188"/>
        <v>LA</v>
      </c>
    </row>
    <row r="5091" spans="1:6" x14ac:dyDescent="0.25">
      <c r="A5091" t="str">
        <f>"200028461"</f>
        <v>200028461</v>
      </c>
      <c r="B5091" t="str">
        <f>"1902335698"</f>
        <v>1902335698</v>
      </c>
      <c r="C5091" t="str">
        <f>"207Q00000X"</f>
        <v>207Q00000X</v>
      </c>
      <c r="D5091" t="str">
        <f>"HOLLER                   BENJAMIN                 "</f>
        <v xml:space="preserve">HOLLER                   BENJAMIN                 </v>
      </c>
      <c r="E5091" t="str">
        <f>"BOGALUSA                  "</f>
        <v xml:space="preserve">BOGALUSA                  </v>
      </c>
      <c r="F5091" t="str">
        <f t="shared" si="188"/>
        <v>LA</v>
      </c>
    </row>
    <row r="5092" spans="1:6" x14ac:dyDescent="0.25">
      <c r="A5092" t="str">
        <f>"200028478"</f>
        <v>200028478</v>
      </c>
      <c r="B5092" t="str">
        <f>"1912944364"</f>
        <v>1912944364</v>
      </c>
      <c r="C5092" t="str">
        <f>"207P00000X"</f>
        <v>207P00000X</v>
      </c>
      <c r="D5092" t="str">
        <f>"DEVENPORT                LISA                     "</f>
        <v xml:space="preserve">DEVENPORT                LISA                     </v>
      </c>
      <c r="E5092" t="str">
        <f>"LA PLACE                  "</f>
        <v xml:space="preserve">LA PLACE                  </v>
      </c>
      <c r="F5092" t="str">
        <f t="shared" si="188"/>
        <v>LA</v>
      </c>
    </row>
    <row r="5093" spans="1:6" x14ac:dyDescent="0.25">
      <c r="A5093" t="str">
        <f>"200028507"</f>
        <v>200028507</v>
      </c>
      <c r="B5093" t="str">
        <f>"1457626798"</f>
        <v>1457626798</v>
      </c>
      <c r="C5093" t="str">
        <f>"207X00000X"</f>
        <v>207X00000X</v>
      </c>
      <c r="D5093" t="str">
        <f>"MARTIN III               MURPHY       P           "</f>
        <v xml:space="preserve">MARTIN III               MURPHY       P           </v>
      </c>
      <c r="E5093" t="str">
        <f>"METAIRIE                  "</f>
        <v xml:space="preserve">METAIRIE                  </v>
      </c>
      <c r="F5093" t="str">
        <f t="shared" si="188"/>
        <v>LA</v>
      </c>
    </row>
    <row r="5094" spans="1:6" x14ac:dyDescent="0.25">
      <c r="A5094" t="str">
        <f>"200028509"</f>
        <v>200028509</v>
      </c>
      <c r="B5094" t="str">
        <f>"1629927215"</f>
        <v>1629927215</v>
      </c>
      <c r="C5094" t="str">
        <f>"363L00000X"</f>
        <v>363L00000X</v>
      </c>
      <c r="D5094" t="str">
        <f>"BURRIS                   SOPHIE                   "</f>
        <v xml:space="preserve">BURRIS                   SOPHIE                   </v>
      </c>
      <c r="E5094" t="str">
        <f>"FERRIDAY                  "</f>
        <v xml:space="preserve">FERRIDAY                  </v>
      </c>
      <c r="F5094" t="str">
        <f t="shared" si="188"/>
        <v>LA</v>
      </c>
    </row>
    <row r="5095" spans="1:6" x14ac:dyDescent="0.25">
      <c r="A5095" t="str">
        <f>"200028510"</f>
        <v>200028510</v>
      </c>
      <c r="B5095" t="str">
        <f>"1316478928"</f>
        <v>1316478928</v>
      </c>
      <c r="C5095" t="str">
        <f>"207ZC0006X"</f>
        <v>207ZC0006X</v>
      </c>
      <c r="D5095" t="str">
        <f>"OERTLING                 ESTELLE                  "</f>
        <v xml:space="preserve">OERTLING                 ESTELLE                  </v>
      </c>
      <c r="E5095" t="str">
        <f>"NEW ORLEANS               "</f>
        <v xml:space="preserve">NEW ORLEANS               </v>
      </c>
      <c r="F5095" t="str">
        <f t="shared" si="188"/>
        <v>LA</v>
      </c>
    </row>
    <row r="5096" spans="1:6" x14ac:dyDescent="0.25">
      <c r="A5096" t="str">
        <f>"200028518"</f>
        <v>200028518</v>
      </c>
      <c r="B5096" t="str">
        <f>"1366439184"</f>
        <v>1366439184</v>
      </c>
      <c r="C5096" t="str">
        <f>"2080A0000X"</f>
        <v>2080A0000X</v>
      </c>
      <c r="D5096" t="str">
        <f>"SIMPSON                  TINA         Y           "</f>
        <v xml:space="preserve">SIMPSON                  TINA         Y           </v>
      </c>
      <c r="E5096" t="str">
        <f>"METAIRIE                  "</f>
        <v xml:space="preserve">METAIRIE                  </v>
      </c>
      <c r="F5096" t="str">
        <f t="shared" si="188"/>
        <v>LA</v>
      </c>
    </row>
    <row r="5097" spans="1:6" x14ac:dyDescent="0.25">
      <c r="A5097" t="str">
        <f>"200028530"</f>
        <v>200028530</v>
      </c>
      <c r="B5097" t="str">
        <f>"1003882127"</f>
        <v>1003882127</v>
      </c>
      <c r="C5097" t="str">
        <f>"207ZP0101X"</f>
        <v>207ZP0101X</v>
      </c>
      <c r="D5097" t="str">
        <f>"WU                       TONG                     "</f>
        <v xml:space="preserve">WU                       TONG                     </v>
      </c>
      <c r="E5097" t="str">
        <f>"METAIRIE                  "</f>
        <v xml:space="preserve">METAIRIE                  </v>
      </c>
      <c r="F5097" t="str">
        <f t="shared" si="188"/>
        <v>LA</v>
      </c>
    </row>
    <row r="5098" spans="1:6" x14ac:dyDescent="0.25">
      <c r="A5098" t="str">
        <f>"200028544"</f>
        <v>200028544</v>
      </c>
      <c r="B5098" t="str">
        <f>"1194010652"</f>
        <v>1194010652</v>
      </c>
      <c r="C5098" t="str">
        <f>"208M00000X"</f>
        <v>208M00000X</v>
      </c>
      <c r="D5098" t="str">
        <f>"AMADON                   JOHN         P           "</f>
        <v xml:space="preserve">AMADON                   JOHN         P           </v>
      </c>
      <c r="E5098" t="str">
        <f>"BATON ROUGE               "</f>
        <v xml:space="preserve">BATON ROUGE               </v>
      </c>
      <c r="F5098" t="str">
        <f t="shared" si="188"/>
        <v>LA</v>
      </c>
    </row>
    <row r="5099" spans="1:6" x14ac:dyDescent="0.25">
      <c r="A5099" t="str">
        <f>"200028549"</f>
        <v>200028549</v>
      </c>
      <c r="B5099" t="str">
        <f>"1952924417"</f>
        <v>1952924417</v>
      </c>
      <c r="C5099" t="str">
        <f>"207R00000X"</f>
        <v>207R00000X</v>
      </c>
      <c r="D5099" t="str">
        <f>"MURPHY                   CAITLIN                  "</f>
        <v xml:space="preserve">MURPHY                   CAITLIN                  </v>
      </c>
      <c r="E5099" t="str">
        <f>"BATON ROUGE               "</f>
        <v xml:space="preserve">BATON ROUGE               </v>
      </c>
      <c r="F5099" t="str">
        <f t="shared" si="188"/>
        <v>LA</v>
      </c>
    </row>
    <row r="5100" spans="1:6" x14ac:dyDescent="0.25">
      <c r="A5100" t="str">
        <f>"200028560"</f>
        <v>200028560</v>
      </c>
      <c r="B5100" t="str">
        <f>"1679403547"</f>
        <v>1679403547</v>
      </c>
      <c r="C5100" t="str">
        <f>"367500000X"</f>
        <v>367500000X</v>
      </c>
      <c r="D5100" t="str">
        <f>"SCHNEIDER                BRIT         E           "</f>
        <v xml:space="preserve">SCHNEIDER                BRIT         E           </v>
      </c>
      <c r="E5100" t="str">
        <f>"COVINGTON                 "</f>
        <v xml:space="preserve">COVINGTON                 </v>
      </c>
      <c r="F5100" t="str">
        <f t="shared" si="188"/>
        <v>LA</v>
      </c>
    </row>
    <row r="5101" spans="1:6" x14ac:dyDescent="0.25">
      <c r="A5101" t="str">
        <f>"200028571"</f>
        <v>200028571</v>
      </c>
      <c r="B5101" t="str">
        <f>"1780983569"</f>
        <v>1780983569</v>
      </c>
      <c r="C5101" t="str">
        <f>"207P00000X"</f>
        <v>207P00000X</v>
      </c>
      <c r="D5101" t="str">
        <f>"VICHICH                  ROBERT                   "</f>
        <v xml:space="preserve">VICHICH                  ROBERT                   </v>
      </c>
      <c r="E5101" t="str">
        <f>"NEW ORLEANS               "</f>
        <v xml:space="preserve">NEW ORLEANS               </v>
      </c>
      <c r="F5101" t="str">
        <f t="shared" si="188"/>
        <v>LA</v>
      </c>
    </row>
    <row r="5102" spans="1:6" x14ac:dyDescent="0.25">
      <c r="A5102" t="str">
        <f>"200028574"</f>
        <v>200028574</v>
      </c>
      <c r="B5102" t="str">
        <f>"1972008654"</f>
        <v>1972008654</v>
      </c>
      <c r="C5102" t="str">
        <f>"2086S0127X"</f>
        <v>2086S0127X</v>
      </c>
      <c r="D5102" t="str">
        <f>"BROWN                    GRIFFIN                  "</f>
        <v xml:space="preserve">BROWN                    GRIFFIN                  </v>
      </c>
      <c r="E5102" t="str">
        <f>"BATON ROUGE               "</f>
        <v xml:space="preserve">BATON ROUGE               </v>
      </c>
      <c r="F5102" t="str">
        <f t="shared" si="188"/>
        <v>LA</v>
      </c>
    </row>
    <row r="5103" spans="1:6" x14ac:dyDescent="0.25">
      <c r="A5103" t="str">
        <f>"200028587"</f>
        <v>200028587</v>
      </c>
      <c r="B5103" t="str">
        <f>"1306864301"</f>
        <v>1306864301</v>
      </c>
      <c r="C5103" t="str">
        <f>"207L00000X"</f>
        <v>207L00000X</v>
      </c>
      <c r="D5103" t="str">
        <f>"NELSON                   LARRY                    "</f>
        <v xml:space="preserve">NELSON                   LARRY                    </v>
      </c>
      <c r="E5103" t="str">
        <f>"NEW ORLEANS               "</f>
        <v xml:space="preserve">NEW ORLEANS               </v>
      </c>
      <c r="F5103" t="str">
        <f t="shared" si="188"/>
        <v>LA</v>
      </c>
    </row>
    <row r="5104" spans="1:6" x14ac:dyDescent="0.25">
      <c r="A5104" t="str">
        <f>"200028591"</f>
        <v>200028591</v>
      </c>
      <c r="B5104" t="str">
        <f>"1760916712"</f>
        <v>1760916712</v>
      </c>
      <c r="C5104" t="str">
        <f>"363LA2100X"</f>
        <v>363LA2100X</v>
      </c>
      <c r="D5104" t="str">
        <f>"MCDANIEL                 LAUREN                   "</f>
        <v xml:space="preserve">MCDANIEL                 LAUREN                   </v>
      </c>
      <c r="E5104" t="str">
        <f>"NEW ORLEANS               "</f>
        <v xml:space="preserve">NEW ORLEANS               </v>
      </c>
      <c r="F5104" t="str">
        <f t="shared" si="188"/>
        <v>LA</v>
      </c>
    </row>
    <row r="5105" spans="1:6" x14ac:dyDescent="0.25">
      <c r="A5105" t="str">
        <f>"200028594"</f>
        <v>200028594</v>
      </c>
      <c r="B5105" t="str">
        <f>"1518159664"</f>
        <v>1518159664</v>
      </c>
      <c r="C5105" t="str">
        <f>"207X00000X"</f>
        <v>207X00000X</v>
      </c>
      <c r="D5105" t="str">
        <f>"WHATLEY                  ADAM         N           "</f>
        <v xml:space="preserve">WHATLEY                  ADAM         N           </v>
      </c>
      <c r="E5105" t="str">
        <f>"ZACHARY                   "</f>
        <v xml:space="preserve">ZACHARY                   </v>
      </c>
      <c r="F5105" t="str">
        <f t="shared" si="188"/>
        <v>LA</v>
      </c>
    </row>
    <row r="5106" spans="1:6" x14ac:dyDescent="0.25">
      <c r="A5106" t="str">
        <f>"200028596"</f>
        <v>200028596</v>
      </c>
      <c r="B5106" t="str">
        <f>"1497997050"</f>
        <v>1497997050</v>
      </c>
      <c r="C5106" t="str">
        <f>"2085R0202X"</f>
        <v>2085R0202X</v>
      </c>
      <c r="D5106" t="str">
        <f>"JEAN-BAPTISTE            RYAN                     "</f>
        <v xml:space="preserve">JEAN-BAPTISTE            RYAN                     </v>
      </c>
      <c r="E5106" t="str">
        <f>"BATON ROUGE               "</f>
        <v xml:space="preserve">BATON ROUGE               </v>
      </c>
      <c r="F5106" t="str">
        <f t="shared" si="188"/>
        <v>LA</v>
      </c>
    </row>
    <row r="5107" spans="1:6" x14ac:dyDescent="0.25">
      <c r="A5107" t="str">
        <f>"200028603"</f>
        <v>200028603</v>
      </c>
      <c r="B5107" t="str">
        <f>"1407888555"</f>
        <v>1407888555</v>
      </c>
      <c r="C5107" t="str">
        <f>"207RC0000X"</f>
        <v>207RC0000X</v>
      </c>
      <c r="D5107" t="str">
        <f>"PARKER                   JAMES                    "</f>
        <v xml:space="preserve">PARKER                   JAMES                    </v>
      </c>
      <c r="E5107" t="str">
        <f>"HAMMOND                   "</f>
        <v xml:space="preserve">HAMMOND                   </v>
      </c>
      <c r="F5107" t="str">
        <f t="shared" si="188"/>
        <v>LA</v>
      </c>
    </row>
    <row r="5108" spans="1:6" x14ac:dyDescent="0.25">
      <c r="A5108" t="str">
        <f>"200028612"</f>
        <v>200028612</v>
      </c>
      <c r="B5108" t="str">
        <f>"1548561194"</f>
        <v>1548561194</v>
      </c>
      <c r="C5108" t="str">
        <f>"208G00000X"</f>
        <v>208G00000X</v>
      </c>
      <c r="D5108" t="str">
        <f>"CASSIDY                  EMILY                    "</f>
        <v xml:space="preserve">CASSIDY                  EMILY                    </v>
      </c>
      <c r="E5108" t="str">
        <f>"BATON ROUGE               "</f>
        <v xml:space="preserve">BATON ROUGE               </v>
      </c>
      <c r="F5108" t="str">
        <f t="shared" si="188"/>
        <v>LA</v>
      </c>
    </row>
    <row r="5109" spans="1:6" x14ac:dyDescent="0.25">
      <c r="A5109" t="str">
        <f>"200028622"</f>
        <v>200028622</v>
      </c>
      <c r="B5109" t="str">
        <f>"1417585225"</f>
        <v>1417585225</v>
      </c>
      <c r="C5109" t="str">
        <f>"2085R0204X"</f>
        <v>2085R0204X</v>
      </c>
      <c r="D5109" t="str">
        <f>"PARROTTE                 SAMANTHA                 "</f>
        <v xml:space="preserve">PARROTTE                 SAMANTHA                 </v>
      </c>
      <c r="E5109" t="str">
        <f>"NEW ORLEANS               "</f>
        <v xml:space="preserve">NEW ORLEANS               </v>
      </c>
      <c r="F5109" t="str">
        <f t="shared" si="188"/>
        <v>LA</v>
      </c>
    </row>
    <row r="5110" spans="1:6" x14ac:dyDescent="0.25">
      <c r="A5110" t="str">
        <f>"200028623"</f>
        <v>200028623</v>
      </c>
      <c r="B5110" t="str">
        <f>"1699620229"</f>
        <v>1699620229</v>
      </c>
      <c r="C5110" t="str">
        <f>"363L00000X"</f>
        <v>363L00000X</v>
      </c>
      <c r="D5110" t="str">
        <f>"ANTHONY                  DANIKA                   "</f>
        <v xml:space="preserve">ANTHONY                  DANIKA                   </v>
      </c>
      <c r="E5110" t="str">
        <f>"COVINGTON                 "</f>
        <v xml:space="preserve">COVINGTON                 </v>
      </c>
      <c r="F5110" t="str">
        <f t="shared" si="188"/>
        <v>LA</v>
      </c>
    </row>
    <row r="5111" spans="1:6" x14ac:dyDescent="0.25">
      <c r="A5111" t="str">
        <f>"200028630"</f>
        <v>200028630</v>
      </c>
      <c r="B5111" t="str">
        <f>"1447083175"</f>
        <v>1447083175</v>
      </c>
      <c r="C5111" t="str">
        <f>"363L00000X"</f>
        <v>363L00000X</v>
      </c>
      <c r="D5111" t="str">
        <f>"NGO                      VICTORIA                 "</f>
        <v xml:space="preserve">NGO                      VICTORIA                 </v>
      </c>
      <c r="E5111" t="str">
        <f>"NEW ORLEANS               "</f>
        <v xml:space="preserve">NEW ORLEANS               </v>
      </c>
      <c r="F5111" t="str">
        <f t="shared" si="188"/>
        <v>LA</v>
      </c>
    </row>
    <row r="5112" spans="1:6" x14ac:dyDescent="0.25">
      <c r="A5112" t="str">
        <f>"200028634"</f>
        <v>200028634</v>
      </c>
      <c r="B5112" t="str">
        <f>"1568146363"</f>
        <v>1568146363</v>
      </c>
      <c r="C5112" t="str">
        <f>"363LC0200X"</f>
        <v>363LC0200X</v>
      </c>
      <c r="D5112" t="str">
        <f>"PERRY                    CARLOS                   "</f>
        <v xml:space="preserve">PERRY                    CARLOS                   </v>
      </c>
      <c r="E5112" t="str">
        <f>"NEW ORLEANS               "</f>
        <v xml:space="preserve">NEW ORLEANS               </v>
      </c>
      <c r="F5112" t="str">
        <f t="shared" si="188"/>
        <v>LA</v>
      </c>
    </row>
    <row r="5113" spans="1:6" x14ac:dyDescent="0.25">
      <c r="A5113" t="str">
        <f>"200028665"</f>
        <v>200028665</v>
      </c>
      <c r="B5113" t="str">
        <f>"1376886663"</f>
        <v>1376886663</v>
      </c>
      <c r="C5113" t="str">
        <f>"207X00000X"</f>
        <v>207X00000X</v>
      </c>
      <c r="D5113" t="str">
        <f>"WILKINSON                JOHN         T           "</f>
        <v xml:space="preserve">WILKINSON                JOHN         T           </v>
      </c>
      <c r="E5113" t="str">
        <f>"ZACHARY                   "</f>
        <v xml:space="preserve">ZACHARY                   </v>
      </c>
      <c r="F5113" t="str">
        <f t="shared" si="188"/>
        <v>LA</v>
      </c>
    </row>
    <row r="5114" spans="1:6" x14ac:dyDescent="0.25">
      <c r="A5114" t="str">
        <f>"200028671"</f>
        <v>200028671</v>
      </c>
      <c r="B5114" t="str">
        <f>"1619291630"</f>
        <v>1619291630</v>
      </c>
      <c r="C5114" t="str">
        <f>"2080P0207X"</f>
        <v>2080P0207X</v>
      </c>
      <c r="D5114" t="str">
        <f>"SIMS                     KACIE                    "</f>
        <v xml:space="preserve">SIMS                     KACIE                    </v>
      </c>
      <c r="E5114" t="str">
        <f>"BATON ROUGE               "</f>
        <v xml:space="preserve">BATON ROUGE               </v>
      </c>
      <c r="F5114" t="str">
        <f t="shared" si="188"/>
        <v>LA</v>
      </c>
    </row>
    <row r="5115" spans="1:6" x14ac:dyDescent="0.25">
      <c r="A5115" t="str">
        <f>"200028672"</f>
        <v>200028672</v>
      </c>
      <c r="B5115" t="str">
        <f>"1083308662"</f>
        <v>1083308662</v>
      </c>
      <c r="C5115" t="str">
        <f>"363A00000X"</f>
        <v>363A00000X</v>
      </c>
      <c r="D5115" t="str">
        <f>"BUQUOI                   OLIVIA                   "</f>
        <v xml:space="preserve">BUQUOI                   OLIVIA                   </v>
      </c>
      <c r="E5115" t="str">
        <f>"HAMMOND                   "</f>
        <v xml:space="preserve">HAMMOND                   </v>
      </c>
      <c r="F5115" t="str">
        <f t="shared" si="188"/>
        <v>LA</v>
      </c>
    </row>
    <row r="5116" spans="1:6" x14ac:dyDescent="0.25">
      <c r="A5116" t="str">
        <f>"200028674"</f>
        <v>200028674</v>
      </c>
      <c r="B5116" t="str">
        <f>"1881690782"</f>
        <v>1881690782</v>
      </c>
      <c r="C5116" t="str">
        <f>"207RC0000X"</f>
        <v>207RC0000X</v>
      </c>
      <c r="D5116" t="str">
        <f>"DUCOMBS                  JHERIE                   "</f>
        <v xml:space="preserve">DUCOMBS                  JHERIE                   </v>
      </c>
      <c r="E5116" t="str">
        <f>"HAMMOND                   "</f>
        <v xml:space="preserve">HAMMOND                   </v>
      </c>
      <c r="F5116" t="str">
        <f t="shared" si="188"/>
        <v>LA</v>
      </c>
    </row>
    <row r="5117" spans="1:6" x14ac:dyDescent="0.25">
      <c r="A5117" t="str">
        <f>"200028681"</f>
        <v>200028681</v>
      </c>
      <c r="B5117" t="str">
        <f>"1730109018"</f>
        <v>1730109018</v>
      </c>
      <c r="C5117" t="str">
        <f>"207Q00000X"</f>
        <v>207Q00000X</v>
      </c>
      <c r="D5117" t="str">
        <f>"KERGOSIEN                WILLIAM                  "</f>
        <v xml:space="preserve">KERGOSIEN                WILLIAM                  </v>
      </c>
      <c r="E5117" t="str">
        <f>"BOGALUSA                  "</f>
        <v xml:space="preserve">BOGALUSA                  </v>
      </c>
      <c r="F5117" t="str">
        <f t="shared" si="188"/>
        <v>LA</v>
      </c>
    </row>
    <row r="5118" spans="1:6" x14ac:dyDescent="0.25">
      <c r="A5118" t="str">
        <f>"200028683"</f>
        <v>200028683</v>
      </c>
      <c r="B5118" t="str">
        <f>"1598370652"</f>
        <v>1598370652</v>
      </c>
      <c r="C5118" t="str">
        <f>"207ZP0102X"</f>
        <v>207ZP0102X</v>
      </c>
      <c r="D5118" t="str">
        <f>"JUMA                     YAZAN        S           "</f>
        <v xml:space="preserve">JUMA                     YAZAN        S           </v>
      </c>
      <c r="E5118" t="str">
        <f>"METAIRIE                  "</f>
        <v xml:space="preserve">METAIRIE                  </v>
      </c>
      <c r="F5118" t="str">
        <f t="shared" si="188"/>
        <v>LA</v>
      </c>
    </row>
    <row r="5119" spans="1:6" x14ac:dyDescent="0.25">
      <c r="A5119" t="str">
        <f>"200028704"</f>
        <v>200028704</v>
      </c>
      <c r="B5119" t="str">
        <f>"1063754844"</f>
        <v>1063754844</v>
      </c>
      <c r="C5119" t="str">
        <f>"207LP3000X"</f>
        <v>207LP3000X</v>
      </c>
      <c r="D5119" t="str">
        <f>"BRAY                     JACOB                    "</f>
        <v xml:space="preserve">BRAY                     JACOB                    </v>
      </c>
      <c r="E5119" t="str">
        <f>"NEW ORLEANS               "</f>
        <v xml:space="preserve">NEW ORLEANS               </v>
      </c>
      <c r="F5119" t="str">
        <f t="shared" si="188"/>
        <v>LA</v>
      </c>
    </row>
    <row r="5120" spans="1:6" x14ac:dyDescent="0.25">
      <c r="A5120" t="str">
        <f>"200028715"</f>
        <v>200028715</v>
      </c>
      <c r="B5120" t="str">
        <f>"1134709223"</f>
        <v>1134709223</v>
      </c>
      <c r="C5120" t="str">
        <f>"208D00000X"</f>
        <v>208D00000X</v>
      </c>
      <c r="D5120" t="str">
        <f>"GROVE                    HANNAH                   "</f>
        <v xml:space="preserve">GROVE                    HANNAH                   </v>
      </c>
      <c r="E5120" t="str">
        <f>"METAIRIE                  "</f>
        <v xml:space="preserve">METAIRIE                  </v>
      </c>
      <c r="F5120" t="str">
        <f t="shared" si="188"/>
        <v>LA</v>
      </c>
    </row>
    <row r="5121" spans="1:6" x14ac:dyDescent="0.25">
      <c r="A5121" t="str">
        <f>"200028732"</f>
        <v>200028732</v>
      </c>
      <c r="B5121" t="str">
        <f>"1184364192"</f>
        <v>1184364192</v>
      </c>
      <c r="C5121" t="str">
        <f>"208M00000X"</f>
        <v>208M00000X</v>
      </c>
      <c r="D5121" t="str">
        <f>"KAZMI                    ALEENA                   "</f>
        <v xml:space="preserve">KAZMI                    ALEENA                   </v>
      </c>
      <c r="E5121" t="str">
        <f>"BATON ROUGE               "</f>
        <v xml:space="preserve">BATON ROUGE               </v>
      </c>
      <c r="F5121" t="str">
        <f t="shared" si="188"/>
        <v>LA</v>
      </c>
    </row>
    <row r="5122" spans="1:6" x14ac:dyDescent="0.25">
      <c r="A5122" t="str">
        <f>"200028734"</f>
        <v>200028734</v>
      </c>
      <c r="B5122" t="str">
        <f>"1255011813"</f>
        <v>1255011813</v>
      </c>
      <c r="C5122" t="str">
        <f>"363LA2200X"</f>
        <v>363LA2200X</v>
      </c>
      <c r="D5122" t="str">
        <f>"GRAHAM                   BRENT                    "</f>
        <v xml:space="preserve">GRAHAM                   BRENT                    </v>
      </c>
      <c r="E5122" t="str">
        <f>"HAMMOND                   "</f>
        <v xml:space="preserve">HAMMOND                   </v>
      </c>
      <c r="F5122" t="str">
        <f t="shared" si="188"/>
        <v>LA</v>
      </c>
    </row>
    <row r="5123" spans="1:6" x14ac:dyDescent="0.25">
      <c r="A5123" t="str">
        <f>"200028735"</f>
        <v>200028735</v>
      </c>
      <c r="B5123" t="str">
        <f>"1275723942"</f>
        <v>1275723942</v>
      </c>
      <c r="C5123" t="str">
        <f>"207Y00000X"</f>
        <v>207Y00000X</v>
      </c>
      <c r="D5123" t="str">
        <f>"RABALAIS                 AMY                      "</f>
        <v xml:space="preserve">RABALAIS                 AMY                      </v>
      </c>
      <c r="E5123" t="str">
        <f>"NEW ORLEANS               "</f>
        <v xml:space="preserve">NEW ORLEANS               </v>
      </c>
      <c r="F5123" t="str">
        <f t="shared" si="188"/>
        <v>LA</v>
      </c>
    </row>
    <row r="5124" spans="1:6" x14ac:dyDescent="0.25">
      <c r="A5124" t="str">
        <f>"200028744"</f>
        <v>200028744</v>
      </c>
      <c r="B5124" t="str">
        <f>"1669101879"</f>
        <v>1669101879</v>
      </c>
      <c r="C5124" t="str">
        <f>"363L00000X"</f>
        <v>363L00000X</v>
      </c>
      <c r="D5124" t="str">
        <f>"CHICO                    HEATHER                  "</f>
        <v xml:space="preserve">CHICO                    HEATHER                  </v>
      </c>
      <c r="E5124" t="str">
        <f>"MARRERO                   "</f>
        <v xml:space="preserve">MARRERO                   </v>
      </c>
      <c r="F5124" t="str">
        <f t="shared" si="188"/>
        <v>LA</v>
      </c>
    </row>
    <row r="5125" spans="1:6" x14ac:dyDescent="0.25">
      <c r="A5125" t="str">
        <f>"200028753"</f>
        <v>200028753</v>
      </c>
      <c r="B5125" t="str">
        <f>"1487897682"</f>
        <v>1487897682</v>
      </c>
      <c r="C5125" t="str">
        <f>"207R00000X"</f>
        <v>207R00000X</v>
      </c>
      <c r="D5125" t="str">
        <f>"MAGGIO                   MARIA                    "</f>
        <v xml:space="preserve">MAGGIO                   MARIA                    </v>
      </c>
      <c r="E5125" t="str">
        <f>"BATON ROUGE               "</f>
        <v xml:space="preserve">BATON ROUGE               </v>
      </c>
      <c r="F5125" t="str">
        <f t="shared" si="188"/>
        <v>LA</v>
      </c>
    </row>
    <row r="5126" spans="1:6" x14ac:dyDescent="0.25">
      <c r="A5126" t="str">
        <f>"200028756"</f>
        <v>200028756</v>
      </c>
      <c r="B5126" t="str">
        <f>"1932848041"</f>
        <v>1932848041</v>
      </c>
      <c r="C5126" t="str">
        <f>"363AS0400X"</f>
        <v>363AS0400X</v>
      </c>
      <c r="D5126" t="str">
        <f>"LOPIPARO                 MADISON                  "</f>
        <v xml:space="preserve">LOPIPARO                 MADISON                  </v>
      </c>
      <c r="E5126" t="str">
        <f>"NEW ORLEANS               "</f>
        <v xml:space="preserve">NEW ORLEANS               </v>
      </c>
      <c r="F5126" t="str">
        <f t="shared" si="188"/>
        <v>LA</v>
      </c>
    </row>
    <row r="5127" spans="1:6" x14ac:dyDescent="0.25">
      <c r="A5127" t="str">
        <f>"200028760"</f>
        <v>200028760</v>
      </c>
      <c r="B5127" t="str">
        <f>"1619973237"</f>
        <v>1619973237</v>
      </c>
      <c r="C5127" t="str">
        <f>"207RC0000X"</f>
        <v>207RC0000X</v>
      </c>
      <c r="D5127" t="str">
        <f>"DELANEY                  PATRICK                  "</f>
        <v xml:space="preserve">DELANEY                  PATRICK                  </v>
      </c>
      <c r="E5127" t="str">
        <f>"HAMMOND                   "</f>
        <v xml:space="preserve">HAMMOND                   </v>
      </c>
      <c r="F5127" t="str">
        <f t="shared" si="188"/>
        <v>LA</v>
      </c>
    </row>
    <row r="5128" spans="1:6" x14ac:dyDescent="0.25">
      <c r="A5128" t="str">
        <f>"200028761"</f>
        <v>200028761</v>
      </c>
      <c r="B5128" t="str">
        <f>"1710502042"</f>
        <v>1710502042</v>
      </c>
      <c r="C5128" t="str">
        <f>"207R00000X"</f>
        <v>207R00000X</v>
      </c>
      <c r="D5128" t="str">
        <f>"PHILLIPS                 JOHNATHON                "</f>
        <v xml:space="preserve">PHILLIPS                 JOHNATHON                </v>
      </c>
      <c r="E5128" t="str">
        <f>"NEW ORLEANS               "</f>
        <v xml:space="preserve">NEW ORLEANS               </v>
      </c>
      <c r="F5128" t="str">
        <f t="shared" si="188"/>
        <v>LA</v>
      </c>
    </row>
    <row r="5129" spans="1:6" x14ac:dyDescent="0.25">
      <c r="A5129" t="str">
        <f>"200028782"</f>
        <v>200028782</v>
      </c>
      <c r="B5129" t="str">
        <f>"1407541550"</f>
        <v>1407541550</v>
      </c>
      <c r="C5129" t="str">
        <f>"207R00000X"</f>
        <v>207R00000X</v>
      </c>
      <c r="D5129" t="str">
        <f>"TOBAL                    IAN                      "</f>
        <v xml:space="preserve">TOBAL                    IAN                      </v>
      </c>
      <c r="E5129" t="str">
        <f>"NEW ORLEANS               "</f>
        <v xml:space="preserve">NEW ORLEANS               </v>
      </c>
      <c r="F5129" t="str">
        <f t="shared" si="188"/>
        <v>LA</v>
      </c>
    </row>
    <row r="5130" spans="1:6" x14ac:dyDescent="0.25">
      <c r="A5130" t="str">
        <f>"200028785"</f>
        <v>200028785</v>
      </c>
      <c r="B5130" t="str">
        <f>"1467489542"</f>
        <v>1467489542</v>
      </c>
      <c r="C5130" t="str">
        <f>"207RH0003X"</f>
        <v>207RH0003X</v>
      </c>
      <c r="D5130" t="str">
        <f>"OSAFO                    DAVID                    "</f>
        <v xml:space="preserve">OSAFO                    DAVID                    </v>
      </c>
      <c r="E5130" t="str">
        <f>"BATON ROUGE               "</f>
        <v xml:space="preserve">BATON ROUGE               </v>
      </c>
      <c r="F5130" t="str">
        <f t="shared" si="188"/>
        <v>LA</v>
      </c>
    </row>
    <row r="5131" spans="1:6" x14ac:dyDescent="0.25">
      <c r="A5131" t="str">
        <f>"200028797"</f>
        <v>200028797</v>
      </c>
      <c r="B5131" t="str">
        <f>"1588284558"</f>
        <v>1588284558</v>
      </c>
      <c r="C5131" t="str">
        <f>"208000000X"</f>
        <v>208000000X</v>
      </c>
      <c r="D5131" t="str">
        <f>"ALLEN                    WHITNEY                  "</f>
        <v xml:space="preserve">ALLEN                    WHITNEY                  </v>
      </c>
      <c r="E5131" t="str">
        <f>"BATON ROUGE               "</f>
        <v xml:space="preserve">BATON ROUGE               </v>
      </c>
      <c r="F5131" t="str">
        <f t="shared" si="188"/>
        <v>LA</v>
      </c>
    </row>
    <row r="5132" spans="1:6" x14ac:dyDescent="0.25">
      <c r="A5132" t="str">
        <f>"200028806"</f>
        <v>200028806</v>
      </c>
      <c r="B5132" t="str">
        <f>"1922365899"</f>
        <v>1922365899</v>
      </c>
      <c r="C5132" t="str">
        <f>"2080P0203X"</f>
        <v>2080P0203X</v>
      </c>
      <c r="D5132" t="str">
        <f>"SAYED                    IMRAN                    "</f>
        <v xml:space="preserve">SAYED                    IMRAN                    </v>
      </c>
      <c r="E5132" t="str">
        <f>"NEW ORLEANS               "</f>
        <v xml:space="preserve">NEW ORLEANS               </v>
      </c>
      <c r="F5132" t="str">
        <f t="shared" si="188"/>
        <v>LA</v>
      </c>
    </row>
    <row r="5133" spans="1:6" x14ac:dyDescent="0.25">
      <c r="A5133" t="str">
        <f>"200028807"</f>
        <v>200028807</v>
      </c>
      <c r="B5133" t="str">
        <f>"1295926533"</f>
        <v>1295926533</v>
      </c>
      <c r="C5133" t="str">
        <f>"207RP1001X"</f>
        <v>207RP1001X</v>
      </c>
      <c r="D5133" t="str">
        <f>"RAZA                     AMER                     "</f>
        <v xml:space="preserve">RAZA                     AMER                     </v>
      </c>
      <c r="E5133" t="str">
        <f>"SLIDELL                   "</f>
        <v xml:space="preserve">SLIDELL                   </v>
      </c>
      <c r="F5133" t="str">
        <f t="shared" si="188"/>
        <v>LA</v>
      </c>
    </row>
    <row r="5134" spans="1:6" x14ac:dyDescent="0.25">
      <c r="A5134" t="str">
        <f>"200028814"</f>
        <v>200028814</v>
      </c>
      <c r="B5134" t="str">
        <f>"1932476199"</f>
        <v>1932476199</v>
      </c>
      <c r="C5134" t="str">
        <f>"2084P0800X"</f>
        <v>2084P0800X</v>
      </c>
      <c r="D5134" t="str">
        <f>"HIGGINS                  CHARLES      M           "</f>
        <v xml:space="preserve">HIGGINS                  CHARLES      M           </v>
      </c>
      <c r="E5134" t="str">
        <f>"COVINGTON                 "</f>
        <v xml:space="preserve">COVINGTON                 </v>
      </c>
      <c r="F5134" t="str">
        <f t="shared" si="188"/>
        <v>LA</v>
      </c>
    </row>
    <row r="5135" spans="1:6" x14ac:dyDescent="0.25">
      <c r="A5135" t="str">
        <f>"200028827"</f>
        <v>200028827</v>
      </c>
      <c r="B5135" t="str">
        <f>"1982453254"</f>
        <v>1982453254</v>
      </c>
      <c r="C5135" t="str">
        <f>"363AM0700X"</f>
        <v>363AM0700X</v>
      </c>
      <c r="D5135" t="str">
        <f>"FRAZER                   DAYANA                   "</f>
        <v xml:space="preserve">FRAZER                   DAYANA                   </v>
      </c>
      <c r="E5135" t="str">
        <f>"HAMMOND                   "</f>
        <v xml:space="preserve">HAMMOND                   </v>
      </c>
      <c r="F5135" t="str">
        <f t="shared" si="188"/>
        <v>LA</v>
      </c>
    </row>
    <row r="5136" spans="1:6" x14ac:dyDescent="0.25">
      <c r="A5136" t="str">
        <f>"200028830"</f>
        <v>200028830</v>
      </c>
      <c r="B5136" t="str">
        <f>"1568968196"</f>
        <v>1568968196</v>
      </c>
      <c r="C5136" t="str">
        <f>"208M00000X"</f>
        <v>208M00000X</v>
      </c>
      <c r="D5136" t="str">
        <f>"ALACK                    JOEL                     "</f>
        <v xml:space="preserve">ALACK                    JOEL                     </v>
      </c>
      <c r="E5136" t="str">
        <f>"BATON ROUGE               "</f>
        <v xml:space="preserve">BATON ROUGE               </v>
      </c>
      <c r="F5136" t="str">
        <f t="shared" si="188"/>
        <v>LA</v>
      </c>
    </row>
    <row r="5137" spans="1:6" x14ac:dyDescent="0.25">
      <c r="A5137" t="str">
        <f>"200028839"</f>
        <v>200028839</v>
      </c>
      <c r="B5137" t="str">
        <f>"1447831680"</f>
        <v>1447831680</v>
      </c>
      <c r="C5137" t="str">
        <f>"363A00000X"</f>
        <v>363A00000X</v>
      </c>
      <c r="D5137" t="str">
        <f>"LEBLANC                  NINA                     "</f>
        <v xml:space="preserve">LEBLANC                  NINA                     </v>
      </c>
      <c r="E5137" t="str">
        <f>"LAFAYETTE                 "</f>
        <v xml:space="preserve">LAFAYETTE                 </v>
      </c>
      <c r="F5137" t="str">
        <f t="shared" si="188"/>
        <v>LA</v>
      </c>
    </row>
    <row r="5138" spans="1:6" x14ac:dyDescent="0.25">
      <c r="A5138" t="str">
        <f>"200028849"</f>
        <v>200028849</v>
      </c>
      <c r="B5138" t="str">
        <f>"1114233962"</f>
        <v>1114233962</v>
      </c>
      <c r="C5138" t="str">
        <f>"208G00000X"</f>
        <v>208G00000X</v>
      </c>
      <c r="D5138" t="str">
        <f>"ANVARI                   FARSHAD                  "</f>
        <v xml:space="preserve">ANVARI                   FARSHAD                  </v>
      </c>
      <c r="E5138" t="str">
        <f>"NEW ORLEANS               "</f>
        <v xml:space="preserve">NEW ORLEANS               </v>
      </c>
      <c r="F5138" t="str">
        <f t="shared" si="188"/>
        <v>LA</v>
      </c>
    </row>
    <row r="5139" spans="1:6" x14ac:dyDescent="0.25">
      <c r="A5139" t="str">
        <f>"200028853"</f>
        <v>200028853</v>
      </c>
      <c r="B5139" t="str">
        <f>"1376801548"</f>
        <v>1376801548</v>
      </c>
      <c r="C5139" t="str">
        <f>"2086S0129X"</f>
        <v>2086S0129X</v>
      </c>
      <c r="D5139" t="str">
        <f>"ABATE                    MATTHEW      R           "</f>
        <v xml:space="preserve">ABATE                    MATTHEW      R           </v>
      </c>
      <c r="E5139" t="str">
        <f>"BATON ROUGE               "</f>
        <v xml:space="preserve">BATON ROUGE               </v>
      </c>
      <c r="F5139" t="str">
        <f t="shared" si="188"/>
        <v>LA</v>
      </c>
    </row>
    <row r="5140" spans="1:6" x14ac:dyDescent="0.25">
      <c r="A5140" t="str">
        <f>"200028866"</f>
        <v>200028866</v>
      </c>
      <c r="B5140" t="str">
        <f>"1003467812"</f>
        <v>1003467812</v>
      </c>
      <c r="C5140" t="str">
        <f>"363AS0400X"</f>
        <v>363AS0400X</v>
      </c>
      <c r="D5140" t="str">
        <f>"LONG                     PAIGE                    "</f>
        <v xml:space="preserve">LONG                     PAIGE                    </v>
      </c>
      <c r="E5140" t="str">
        <f>"HAMMOND                   "</f>
        <v xml:space="preserve">HAMMOND                   </v>
      </c>
      <c r="F5140" t="str">
        <f t="shared" si="188"/>
        <v>LA</v>
      </c>
    </row>
    <row r="5141" spans="1:6" x14ac:dyDescent="0.25">
      <c r="A5141" t="str">
        <f>"200028874"</f>
        <v>200028874</v>
      </c>
      <c r="B5141" t="str">
        <f>"1891575304"</f>
        <v>1891575304</v>
      </c>
      <c r="C5141" t="str">
        <f>"367500000X"</f>
        <v>367500000X</v>
      </c>
      <c r="D5141" t="str">
        <f>"ROY                      DOROTHEA                 "</f>
        <v xml:space="preserve">ROY                      DOROTHEA                 </v>
      </c>
      <c r="E5141" t="str">
        <f>"HAMMOND                   "</f>
        <v xml:space="preserve">HAMMOND                   </v>
      </c>
      <c r="F5141" t="str">
        <f t="shared" si="188"/>
        <v>LA</v>
      </c>
    </row>
    <row r="5142" spans="1:6" x14ac:dyDescent="0.25">
      <c r="A5142" t="str">
        <f>"200028875"</f>
        <v>200028875</v>
      </c>
      <c r="B5142" t="str">
        <f>"1710383542"</f>
        <v>1710383542</v>
      </c>
      <c r="C5142" t="str">
        <f>"363LG0600X"</f>
        <v>363LG0600X</v>
      </c>
      <c r="D5142" t="str">
        <f>"SCARAFIA                 VALERIE                  "</f>
        <v xml:space="preserve">SCARAFIA                 VALERIE                  </v>
      </c>
      <c r="E5142" t="str">
        <f>"NEW ORLEANS               "</f>
        <v xml:space="preserve">NEW ORLEANS               </v>
      </c>
      <c r="F5142" t="str">
        <f t="shared" si="188"/>
        <v>LA</v>
      </c>
    </row>
    <row r="5143" spans="1:6" x14ac:dyDescent="0.25">
      <c r="A5143" t="str">
        <f>"200028880"</f>
        <v>200028880</v>
      </c>
      <c r="B5143" t="str">
        <f>"1760125231"</f>
        <v>1760125231</v>
      </c>
      <c r="C5143" t="str">
        <f>"207R00000X"</f>
        <v>207R00000X</v>
      </c>
      <c r="D5143" t="str">
        <f>"ALLAM                    SURYADEV                 "</f>
        <v xml:space="preserve">ALLAM                    SURYADEV                 </v>
      </c>
      <c r="E5143" t="str">
        <f>"HAMMOND                   "</f>
        <v xml:space="preserve">HAMMOND                   </v>
      </c>
      <c r="F5143" t="str">
        <f t="shared" si="188"/>
        <v>LA</v>
      </c>
    </row>
    <row r="5144" spans="1:6" x14ac:dyDescent="0.25">
      <c r="A5144" t="str">
        <f>"200028882"</f>
        <v>200028882</v>
      </c>
      <c r="B5144" t="str">
        <f>"1174889794"</f>
        <v>1174889794</v>
      </c>
      <c r="C5144" t="str">
        <f>"208600000X"</f>
        <v>208600000X</v>
      </c>
      <c r="D5144" t="str">
        <f>"RUDD                     JUSTIN                   "</f>
        <v xml:space="preserve">RUDD                     JUSTIN                   </v>
      </c>
      <c r="E5144" t="str">
        <f>"LAKE CHARLES              "</f>
        <v xml:space="preserve">LAKE CHARLES              </v>
      </c>
      <c r="F5144" t="str">
        <f t="shared" si="188"/>
        <v>LA</v>
      </c>
    </row>
    <row r="5145" spans="1:6" x14ac:dyDescent="0.25">
      <c r="A5145" t="str">
        <f>"200028883"</f>
        <v>200028883</v>
      </c>
      <c r="B5145" t="str">
        <f>"1245227628"</f>
        <v>1245227628</v>
      </c>
      <c r="C5145" t="str">
        <f>"2086S0120X"</f>
        <v>2086S0120X</v>
      </c>
      <c r="D5145" t="str">
        <f>"SAFFORD                  SHAWN                    "</f>
        <v xml:space="preserve">SAFFORD                  SHAWN                    </v>
      </c>
      <c r="E5145" t="str">
        <f>"NEW ORLEANS               "</f>
        <v xml:space="preserve">NEW ORLEANS               </v>
      </c>
      <c r="F5145" t="str">
        <f t="shared" si="188"/>
        <v>LA</v>
      </c>
    </row>
    <row r="5146" spans="1:6" x14ac:dyDescent="0.25">
      <c r="A5146" t="str">
        <f>"200028885"</f>
        <v>200028885</v>
      </c>
      <c r="B5146" t="str">
        <f>"1104093293"</f>
        <v>1104093293</v>
      </c>
      <c r="C5146" t="str">
        <f>"2086S0102X"</f>
        <v>2086S0102X</v>
      </c>
      <c r="D5146" t="str">
        <f>"DUKE                     MARQUINN                 "</f>
        <v xml:space="preserve">DUKE                     MARQUINN                 </v>
      </c>
      <c r="E5146" t="str">
        <f>"HAMMOND                   "</f>
        <v xml:space="preserve">HAMMOND                   </v>
      </c>
      <c r="F5146" t="str">
        <f t="shared" si="188"/>
        <v>LA</v>
      </c>
    </row>
    <row r="5147" spans="1:6" x14ac:dyDescent="0.25">
      <c r="A5147" t="str">
        <f>"200028892"</f>
        <v>200028892</v>
      </c>
      <c r="B5147" t="str">
        <f>"1225422512"</f>
        <v>1225422512</v>
      </c>
      <c r="C5147" t="str">
        <f>"207RI0200X"</f>
        <v>207RI0200X</v>
      </c>
      <c r="D5147" t="str">
        <f>"RACHAL                   LAURA                    "</f>
        <v xml:space="preserve">RACHAL                   LAURA                    </v>
      </c>
      <c r="E5147" t="str">
        <f>"NEW ORLEANS               "</f>
        <v xml:space="preserve">NEW ORLEANS               </v>
      </c>
      <c r="F5147" t="str">
        <f t="shared" ref="F5147:F5189" si="189">"LA"</f>
        <v>LA</v>
      </c>
    </row>
    <row r="5148" spans="1:6" x14ac:dyDescent="0.25">
      <c r="A5148" t="str">
        <f>"200028895"</f>
        <v>200028895</v>
      </c>
      <c r="B5148" t="str">
        <f>"1457506743"</f>
        <v>1457506743</v>
      </c>
      <c r="C5148" t="str">
        <f>"207RI0011X"</f>
        <v>207RI0011X</v>
      </c>
      <c r="D5148" t="str">
        <f>"ABI RAFEH                NIDAL                    "</f>
        <v xml:space="preserve">ABI RAFEH                NIDAL                    </v>
      </c>
      <c r="E5148" t="str">
        <f>"HAMMOND                   "</f>
        <v xml:space="preserve">HAMMOND                   </v>
      </c>
      <c r="F5148" t="str">
        <f t="shared" si="189"/>
        <v>LA</v>
      </c>
    </row>
    <row r="5149" spans="1:6" x14ac:dyDescent="0.25">
      <c r="A5149" t="str">
        <f>"200028914"</f>
        <v>200028914</v>
      </c>
      <c r="B5149" t="str">
        <f>"1386174415"</f>
        <v>1386174415</v>
      </c>
      <c r="C5149" t="str">
        <f>"2085R0202X"</f>
        <v>2085R0202X</v>
      </c>
      <c r="D5149" t="str">
        <f>"BRENNAN                  SHANE                    "</f>
        <v xml:space="preserve">BRENNAN                  SHANE                    </v>
      </c>
      <c r="E5149" t="str">
        <f>"NEW ORLEANS               "</f>
        <v xml:space="preserve">NEW ORLEANS               </v>
      </c>
      <c r="F5149" t="str">
        <f t="shared" si="189"/>
        <v>LA</v>
      </c>
    </row>
    <row r="5150" spans="1:6" x14ac:dyDescent="0.25">
      <c r="A5150" t="str">
        <f>"200028916"</f>
        <v>200028916</v>
      </c>
      <c r="B5150" t="str">
        <f>"1962933796"</f>
        <v>1962933796</v>
      </c>
      <c r="C5150" t="str">
        <f>"207RC0001X"</f>
        <v>207RC0001X</v>
      </c>
      <c r="D5150" t="str">
        <f>"DERENBECKER              ROBERT                   "</f>
        <v xml:space="preserve">DERENBECKER              ROBERT                   </v>
      </c>
      <c r="E5150" t="str">
        <f>"HAMMOND                   "</f>
        <v xml:space="preserve">HAMMOND                   </v>
      </c>
      <c r="F5150" t="str">
        <f t="shared" si="189"/>
        <v>LA</v>
      </c>
    </row>
    <row r="5151" spans="1:6" x14ac:dyDescent="0.25">
      <c r="A5151" t="str">
        <f>"200028925"</f>
        <v>200028925</v>
      </c>
      <c r="B5151" t="str">
        <f>"1225712367"</f>
        <v>1225712367</v>
      </c>
      <c r="C5151" t="str">
        <f>"363LF0000X"</f>
        <v>363LF0000X</v>
      </c>
      <c r="D5151" t="str">
        <f>"SEVERAN                  JASMINE                  "</f>
        <v xml:space="preserve">SEVERAN                  JASMINE                  </v>
      </c>
      <c r="E5151" t="str">
        <f>"HAMMOND                   "</f>
        <v xml:space="preserve">HAMMOND                   </v>
      </c>
      <c r="F5151" t="str">
        <f t="shared" si="189"/>
        <v>LA</v>
      </c>
    </row>
    <row r="5152" spans="1:6" x14ac:dyDescent="0.25">
      <c r="A5152" t="str">
        <f>"200028940"</f>
        <v>200028940</v>
      </c>
      <c r="B5152" t="str">
        <f>"1912526815"</f>
        <v>1912526815</v>
      </c>
      <c r="C5152" t="str">
        <f>"207V00000X"</f>
        <v>207V00000X</v>
      </c>
      <c r="D5152" t="str">
        <f>"SUNER                    TALIA                    "</f>
        <v xml:space="preserve">SUNER                    TALIA                    </v>
      </c>
      <c r="E5152" t="str">
        <f>"NEW ORLEANS               "</f>
        <v xml:space="preserve">NEW ORLEANS               </v>
      </c>
      <c r="F5152" t="str">
        <f t="shared" si="189"/>
        <v>LA</v>
      </c>
    </row>
    <row r="5153" spans="1:6" x14ac:dyDescent="0.25">
      <c r="A5153" t="str">
        <f>"200028944"</f>
        <v>200028944</v>
      </c>
      <c r="B5153" t="str">
        <f>"1235715814"</f>
        <v>1235715814</v>
      </c>
      <c r="C5153" t="str">
        <f>"207P00000X"</f>
        <v>207P00000X</v>
      </c>
      <c r="D5153" t="str">
        <f>"BARD                     KATELYN                  "</f>
        <v xml:space="preserve">BARD                     KATELYN                  </v>
      </c>
      <c r="E5153" t="str">
        <f>"KENNER                    "</f>
        <v xml:space="preserve">KENNER                    </v>
      </c>
      <c r="F5153" t="str">
        <f t="shared" si="189"/>
        <v>LA</v>
      </c>
    </row>
    <row r="5154" spans="1:6" x14ac:dyDescent="0.25">
      <c r="A5154" t="str">
        <f>"200028951"</f>
        <v>200028951</v>
      </c>
      <c r="B5154" t="str">
        <f>"1639462419"</f>
        <v>1639462419</v>
      </c>
      <c r="C5154" t="str">
        <f>"207Q00000X"</f>
        <v>207Q00000X</v>
      </c>
      <c r="D5154" t="str">
        <f>"PALASTRO                 WENDY                    "</f>
        <v xml:space="preserve">PALASTRO                 WENDY                    </v>
      </c>
      <c r="E5154" t="str">
        <f>"NEW ORLEANS               "</f>
        <v xml:space="preserve">NEW ORLEANS               </v>
      </c>
      <c r="F5154" t="str">
        <f t="shared" si="189"/>
        <v>LA</v>
      </c>
    </row>
    <row r="5155" spans="1:6" x14ac:dyDescent="0.25">
      <c r="A5155" t="str">
        <f>"200028956"</f>
        <v>200028956</v>
      </c>
      <c r="B5155" t="str">
        <f>"1154138170"</f>
        <v>1154138170</v>
      </c>
      <c r="C5155" t="str">
        <f>"367500000X"</f>
        <v>367500000X</v>
      </c>
      <c r="D5155" t="str">
        <f>"RICKS                    ANDREW                   "</f>
        <v xml:space="preserve">RICKS                    ANDREW                   </v>
      </c>
      <c r="E5155" t="str">
        <f>"HAMMOND                   "</f>
        <v xml:space="preserve">HAMMOND                   </v>
      </c>
      <c r="F5155" t="str">
        <f t="shared" si="189"/>
        <v>LA</v>
      </c>
    </row>
    <row r="5156" spans="1:6" x14ac:dyDescent="0.25">
      <c r="A5156" t="str">
        <f>"200028957"</f>
        <v>200028957</v>
      </c>
      <c r="B5156" t="str">
        <f>"1356720924"</f>
        <v>1356720924</v>
      </c>
      <c r="C5156" t="str">
        <f>"207V00000X"</f>
        <v>207V00000X</v>
      </c>
      <c r="D5156" t="str">
        <f>"RICH                     GABRIELLE                "</f>
        <v xml:space="preserve">RICH                     GABRIELLE                </v>
      </c>
      <c r="E5156" t="str">
        <f>"NEW ORLEANS               "</f>
        <v xml:space="preserve">NEW ORLEANS               </v>
      </c>
      <c r="F5156" t="str">
        <f t="shared" si="189"/>
        <v>LA</v>
      </c>
    </row>
    <row r="5157" spans="1:6" x14ac:dyDescent="0.25">
      <c r="A5157" t="str">
        <f>"200028959"</f>
        <v>200028959</v>
      </c>
      <c r="B5157" t="str">
        <f>"1447614680"</f>
        <v>1447614680</v>
      </c>
      <c r="C5157" t="str">
        <f>"207RC0000X"</f>
        <v>207RC0000X</v>
      </c>
      <c r="D5157" t="str">
        <f>"SABHARWAL                NITIN                    "</f>
        <v xml:space="preserve">SABHARWAL                NITIN                    </v>
      </c>
      <c r="E5157" t="str">
        <f>"COVINGTON                 "</f>
        <v xml:space="preserve">COVINGTON                 </v>
      </c>
      <c r="F5157" t="str">
        <f t="shared" si="189"/>
        <v>LA</v>
      </c>
    </row>
    <row r="5158" spans="1:6" x14ac:dyDescent="0.25">
      <c r="A5158" t="str">
        <f>"200028965"</f>
        <v>200028965</v>
      </c>
      <c r="B5158" t="str">
        <f>"1346396256"</f>
        <v>1346396256</v>
      </c>
      <c r="C5158" t="str">
        <f>"367500000X"</f>
        <v>367500000X</v>
      </c>
      <c r="D5158" t="str">
        <f>"KALIL                    DAVID                    "</f>
        <v xml:space="preserve">KALIL                    DAVID                    </v>
      </c>
      <c r="E5158" t="str">
        <f>"RACELAND                  "</f>
        <v xml:space="preserve">RACELAND                  </v>
      </c>
      <c r="F5158" t="str">
        <f t="shared" si="189"/>
        <v>LA</v>
      </c>
    </row>
    <row r="5159" spans="1:6" x14ac:dyDescent="0.25">
      <c r="A5159" t="str">
        <f>"200028973"</f>
        <v>200028973</v>
      </c>
      <c r="B5159" t="str">
        <f>"1972714228"</f>
        <v>1972714228</v>
      </c>
      <c r="C5159" t="str">
        <f>"2085R0202X"</f>
        <v>2085R0202X</v>
      </c>
      <c r="D5159" t="str">
        <f>"ROWELL                   AMY                      "</f>
        <v xml:space="preserve">ROWELL                   AMY                      </v>
      </c>
      <c r="E5159" t="str">
        <f>"NEW ORLEANS               "</f>
        <v xml:space="preserve">NEW ORLEANS               </v>
      </c>
      <c r="F5159" t="str">
        <f t="shared" si="189"/>
        <v>LA</v>
      </c>
    </row>
    <row r="5160" spans="1:6" x14ac:dyDescent="0.25">
      <c r="A5160" t="str">
        <f>"200028977"</f>
        <v>200028977</v>
      </c>
      <c r="B5160" t="str">
        <f>"1659541233"</f>
        <v>1659541233</v>
      </c>
      <c r="C5160" t="str">
        <f>"363LP0222X"</f>
        <v>363LP0222X</v>
      </c>
      <c r="D5160" t="str">
        <f>"BUSH                     STEPHANIE                "</f>
        <v xml:space="preserve">BUSH                     STEPHANIE                </v>
      </c>
      <c r="E5160" t="str">
        <f>"NEW ORLEANS               "</f>
        <v xml:space="preserve">NEW ORLEANS               </v>
      </c>
      <c r="F5160" t="str">
        <f t="shared" si="189"/>
        <v>LA</v>
      </c>
    </row>
    <row r="5161" spans="1:6" x14ac:dyDescent="0.25">
      <c r="A5161" t="str">
        <f>"200028989"</f>
        <v>200028989</v>
      </c>
      <c r="B5161" t="str">
        <f>"1851977334"</f>
        <v>1851977334</v>
      </c>
      <c r="C5161" t="str">
        <f>"207P00000X"</f>
        <v>207P00000X</v>
      </c>
      <c r="D5161" t="str">
        <f>"DURHAM                   STEVEN                   "</f>
        <v xml:space="preserve">DURHAM                   STEVEN                   </v>
      </c>
      <c r="E5161" t="str">
        <f>"BATON ROUGE               "</f>
        <v xml:space="preserve">BATON ROUGE               </v>
      </c>
      <c r="F5161" t="str">
        <f t="shared" si="189"/>
        <v>LA</v>
      </c>
    </row>
    <row r="5162" spans="1:6" x14ac:dyDescent="0.25">
      <c r="A5162" t="str">
        <f>"200028993"</f>
        <v>200028993</v>
      </c>
      <c r="B5162" t="str">
        <f>"1417641309"</f>
        <v>1417641309</v>
      </c>
      <c r="C5162" t="str">
        <f>"207P00000X"</f>
        <v>207P00000X</v>
      </c>
      <c r="D5162" t="str">
        <f>"CORSO                    VINCENT                  "</f>
        <v xml:space="preserve">CORSO                    VINCENT                  </v>
      </c>
      <c r="E5162" t="str">
        <f>"NEW ORLEANS               "</f>
        <v xml:space="preserve">NEW ORLEANS               </v>
      </c>
      <c r="F5162" t="str">
        <f t="shared" si="189"/>
        <v>LA</v>
      </c>
    </row>
    <row r="5163" spans="1:6" x14ac:dyDescent="0.25">
      <c r="A5163" t="str">
        <f>"200029009"</f>
        <v>200029009</v>
      </c>
      <c r="B5163" t="str">
        <f>"1427477173"</f>
        <v>1427477173</v>
      </c>
      <c r="C5163" t="str">
        <f>"207P00000X"</f>
        <v>207P00000X</v>
      </c>
      <c r="D5163" t="str">
        <f>"MCINTOSH                 BRADEN                   "</f>
        <v xml:space="preserve">MCINTOSH                 BRADEN                   </v>
      </c>
      <c r="E5163" t="str">
        <f>"BATON ROUGE               "</f>
        <v xml:space="preserve">BATON ROUGE               </v>
      </c>
      <c r="F5163" t="str">
        <f t="shared" si="189"/>
        <v>LA</v>
      </c>
    </row>
    <row r="5164" spans="1:6" x14ac:dyDescent="0.25">
      <c r="A5164" t="str">
        <f>"200029011"</f>
        <v>200029011</v>
      </c>
      <c r="B5164" t="str">
        <f>"1013578129"</f>
        <v>1013578129</v>
      </c>
      <c r="C5164" t="str">
        <f>"363L00000X"</f>
        <v>363L00000X</v>
      </c>
      <c r="D5164" t="str">
        <f>"FITZGERALD               ELIZABETH                "</f>
        <v xml:space="preserve">FITZGERALD               ELIZABETH                </v>
      </c>
      <c r="E5164" t="str">
        <f>"BOGALUSA                  "</f>
        <v xml:space="preserve">BOGALUSA                  </v>
      </c>
      <c r="F5164" t="str">
        <f t="shared" si="189"/>
        <v>LA</v>
      </c>
    </row>
    <row r="5165" spans="1:6" x14ac:dyDescent="0.25">
      <c r="A5165" t="str">
        <f>"200029017"</f>
        <v>200029017</v>
      </c>
      <c r="B5165" t="str">
        <f>"1053023077"</f>
        <v>1053023077</v>
      </c>
      <c r="C5165" t="str">
        <f>"363LF0000X"</f>
        <v>363LF0000X</v>
      </c>
      <c r="D5165" t="str">
        <f>"SINOPOLI                 BRITTANY                 "</f>
        <v xml:space="preserve">SINOPOLI                 BRITTANY                 </v>
      </c>
      <c r="E5165" t="str">
        <f>"NEW ORLEANS               "</f>
        <v xml:space="preserve">NEW ORLEANS               </v>
      </c>
      <c r="F5165" t="str">
        <f t="shared" si="189"/>
        <v>LA</v>
      </c>
    </row>
    <row r="5166" spans="1:6" x14ac:dyDescent="0.25">
      <c r="A5166" t="str">
        <f>"200029023"</f>
        <v>200029023</v>
      </c>
      <c r="B5166" t="str">
        <f>"1144119330"</f>
        <v>1144119330</v>
      </c>
      <c r="C5166" t="str">
        <f>"363L00000X"</f>
        <v>363L00000X</v>
      </c>
      <c r="D5166" t="str">
        <f>"SCHLUMBRECHT             NATASHA                  "</f>
        <v xml:space="preserve">SCHLUMBRECHT             NATASHA                  </v>
      </c>
      <c r="E5166" t="str">
        <f>"METAIRIE                  "</f>
        <v xml:space="preserve">METAIRIE                  </v>
      </c>
      <c r="F5166" t="str">
        <f t="shared" si="189"/>
        <v>LA</v>
      </c>
    </row>
    <row r="5167" spans="1:6" x14ac:dyDescent="0.25">
      <c r="A5167" t="str">
        <f>"200029031"</f>
        <v>200029031</v>
      </c>
      <c r="B5167" t="str">
        <f>"1154516938"</f>
        <v>1154516938</v>
      </c>
      <c r="C5167" t="str">
        <f>"207RC0001X"</f>
        <v>207RC0001X</v>
      </c>
      <c r="D5167" t="str">
        <f>"VYAS                     VISHAL                   "</f>
        <v xml:space="preserve">VYAS                     VISHAL                   </v>
      </c>
      <c r="E5167" t="str">
        <f>"NEW ORLEANS               "</f>
        <v xml:space="preserve">NEW ORLEANS               </v>
      </c>
      <c r="F5167" t="str">
        <f t="shared" si="189"/>
        <v>LA</v>
      </c>
    </row>
    <row r="5168" spans="1:6" x14ac:dyDescent="0.25">
      <c r="A5168" t="str">
        <f>"200029036"</f>
        <v>200029036</v>
      </c>
      <c r="B5168" t="str">
        <f>"1093101271"</f>
        <v>1093101271</v>
      </c>
      <c r="C5168" t="str">
        <f>"207P00000X"</f>
        <v>207P00000X</v>
      </c>
      <c r="D5168" t="str">
        <f>"FORTENKO                 ALEXANDER                "</f>
        <v xml:space="preserve">FORTENKO                 ALEXANDER                </v>
      </c>
      <c r="E5168" t="str">
        <f>"NEW ORLEANS               "</f>
        <v xml:space="preserve">NEW ORLEANS               </v>
      </c>
      <c r="F5168" t="str">
        <f t="shared" si="189"/>
        <v>LA</v>
      </c>
    </row>
    <row r="5169" spans="1:6" x14ac:dyDescent="0.25">
      <c r="A5169" t="str">
        <f>"200029054"</f>
        <v>200029054</v>
      </c>
      <c r="B5169" t="str">
        <f>"1942223862"</f>
        <v>1942223862</v>
      </c>
      <c r="C5169" t="str">
        <f>"208000000X"</f>
        <v>208000000X</v>
      </c>
      <c r="D5169" t="str">
        <f>"DESSELLE                 BONNIE                   "</f>
        <v xml:space="preserve">DESSELLE                 BONNIE                   </v>
      </c>
      <c r="E5169" t="str">
        <f>"NEW ORLEANS               "</f>
        <v xml:space="preserve">NEW ORLEANS               </v>
      </c>
      <c r="F5169" t="str">
        <f t="shared" si="189"/>
        <v>LA</v>
      </c>
    </row>
    <row r="5170" spans="1:6" x14ac:dyDescent="0.25">
      <c r="A5170" t="str">
        <f>"200029071"</f>
        <v>200029071</v>
      </c>
      <c r="B5170" t="str">
        <f>"1043109044"</f>
        <v>1043109044</v>
      </c>
      <c r="C5170" t="str">
        <f>"363A00000X"</f>
        <v>363A00000X</v>
      </c>
      <c r="D5170" t="str">
        <f>"ISAID                    ANSAM                    "</f>
        <v xml:space="preserve">ISAID                    ANSAM                    </v>
      </c>
      <c r="E5170" t="str">
        <f>"NEW ORLEANS               "</f>
        <v xml:space="preserve">NEW ORLEANS               </v>
      </c>
      <c r="F5170" t="str">
        <f t="shared" si="189"/>
        <v>LA</v>
      </c>
    </row>
    <row r="5171" spans="1:6" x14ac:dyDescent="0.25">
      <c r="A5171" t="str">
        <f>"200029081"</f>
        <v>200029081</v>
      </c>
      <c r="B5171" t="str">
        <f>"1205462975"</f>
        <v>1205462975</v>
      </c>
      <c r="C5171" t="str">
        <f>"2085R0202X"</f>
        <v>2085R0202X</v>
      </c>
      <c r="D5171" t="str">
        <f>"RAHIMI                   CHEYENNE                 "</f>
        <v xml:space="preserve">RAHIMI                   CHEYENNE                 </v>
      </c>
      <c r="E5171" t="str">
        <f>"NEW ORLEANS               "</f>
        <v xml:space="preserve">NEW ORLEANS               </v>
      </c>
      <c r="F5171" t="str">
        <f t="shared" si="189"/>
        <v>LA</v>
      </c>
    </row>
    <row r="5172" spans="1:6" x14ac:dyDescent="0.25">
      <c r="A5172" t="str">
        <f>"200029098"</f>
        <v>200029098</v>
      </c>
      <c r="B5172" t="str">
        <f>"1013134626"</f>
        <v>1013134626</v>
      </c>
      <c r="C5172" t="str">
        <f>"2086S0127X"</f>
        <v>2086S0127X</v>
      </c>
      <c r="D5172" t="str">
        <f>"FAHR                     MICHAEL                  "</f>
        <v xml:space="preserve">FAHR                     MICHAEL                  </v>
      </c>
      <c r="E5172" t="str">
        <f>"HAMMOND                   "</f>
        <v xml:space="preserve">HAMMOND                   </v>
      </c>
      <c r="F5172" t="str">
        <f t="shared" si="189"/>
        <v>LA</v>
      </c>
    </row>
    <row r="5173" spans="1:6" x14ac:dyDescent="0.25">
      <c r="A5173" t="str">
        <f>"200029099"</f>
        <v>200029099</v>
      </c>
      <c r="B5173" t="str">
        <f>"1538468129"</f>
        <v>1538468129</v>
      </c>
      <c r="C5173" t="str">
        <f>"207Q00000X"</f>
        <v>207Q00000X</v>
      </c>
      <c r="D5173" t="str">
        <f>"JOHNSON                  JOYCE                    "</f>
        <v xml:space="preserve">JOHNSON                  JOYCE                    </v>
      </c>
      <c r="E5173" t="str">
        <f>"NEW ORLEANS               "</f>
        <v xml:space="preserve">NEW ORLEANS               </v>
      </c>
      <c r="F5173" t="str">
        <f t="shared" si="189"/>
        <v>LA</v>
      </c>
    </row>
    <row r="5174" spans="1:6" x14ac:dyDescent="0.25">
      <c r="A5174" t="str">
        <f>"200029104"</f>
        <v>200029104</v>
      </c>
      <c r="B5174" t="str">
        <f>"1952862351"</f>
        <v>1952862351</v>
      </c>
      <c r="C5174" t="str">
        <f>"207L00000X"</f>
        <v>207L00000X</v>
      </c>
      <c r="D5174" t="str">
        <f>"MAGOVERN                 MALCOLM                  "</f>
        <v xml:space="preserve">MAGOVERN                 MALCOLM                  </v>
      </c>
      <c r="E5174" t="str">
        <f>"GRETNA                    "</f>
        <v xml:space="preserve">GRETNA                    </v>
      </c>
      <c r="F5174" t="str">
        <f t="shared" si="189"/>
        <v>LA</v>
      </c>
    </row>
    <row r="5175" spans="1:6" x14ac:dyDescent="0.25">
      <c r="A5175" t="str">
        <f>"200029116"</f>
        <v>200029116</v>
      </c>
      <c r="B5175" t="str">
        <f>"1750577078"</f>
        <v>1750577078</v>
      </c>
      <c r="C5175" t="str">
        <f>"2085P0229X"</f>
        <v>2085P0229X</v>
      </c>
      <c r="D5175" t="str">
        <f>"SON                      JENNIFER                 "</f>
        <v xml:space="preserve">SON                      JENNIFER                 </v>
      </c>
      <c r="E5175" t="str">
        <f>"NEW ORLEANS               "</f>
        <v xml:space="preserve">NEW ORLEANS               </v>
      </c>
      <c r="F5175" t="str">
        <f t="shared" si="189"/>
        <v>LA</v>
      </c>
    </row>
    <row r="5176" spans="1:6" x14ac:dyDescent="0.25">
      <c r="A5176" t="str">
        <f>"200029140"</f>
        <v>200029140</v>
      </c>
      <c r="B5176" t="str">
        <f>"1952796815"</f>
        <v>1952796815</v>
      </c>
      <c r="C5176" t="str">
        <f>"207P00000X"</f>
        <v>207P00000X</v>
      </c>
      <c r="D5176" t="str">
        <f>"ALLEN                    BRIAN                    "</f>
        <v xml:space="preserve">ALLEN                    BRIAN                    </v>
      </c>
      <c r="E5176" t="str">
        <f>"BATON ROUGE               "</f>
        <v xml:space="preserve">BATON ROUGE               </v>
      </c>
      <c r="F5176" t="str">
        <f t="shared" si="189"/>
        <v>LA</v>
      </c>
    </row>
    <row r="5177" spans="1:6" x14ac:dyDescent="0.25">
      <c r="A5177" t="str">
        <f>"200029161"</f>
        <v>200029161</v>
      </c>
      <c r="B5177" t="str">
        <f>"1841583796"</f>
        <v>1841583796</v>
      </c>
      <c r="C5177" t="str">
        <f>"2085R0202X"</f>
        <v>2085R0202X</v>
      </c>
      <c r="D5177" t="str">
        <f>"EVANS                    LAUREN                   "</f>
        <v xml:space="preserve">EVANS                    LAUREN                   </v>
      </c>
      <c r="E5177" t="str">
        <f>"NEW ORLEANS               "</f>
        <v xml:space="preserve">NEW ORLEANS               </v>
      </c>
      <c r="F5177" t="str">
        <f t="shared" si="189"/>
        <v>LA</v>
      </c>
    </row>
    <row r="5178" spans="1:6" x14ac:dyDescent="0.25">
      <c r="A5178" t="str">
        <f>"200029180"</f>
        <v>200029180</v>
      </c>
      <c r="B5178" t="str">
        <f>"1376504910"</f>
        <v>1376504910</v>
      </c>
      <c r="C5178" t="str">
        <f>"367500000X"</f>
        <v>367500000X</v>
      </c>
      <c r="D5178" t="str">
        <f>"GUIDRY                   KELLEY                   "</f>
        <v xml:space="preserve">GUIDRY                   KELLEY                   </v>
      </c>
      <c r="E5178" t="str">
        <f>"COVINGTON                 "</f>
        <v xml:space="preserve">COVINGTON                 </v>
      </c>
      <c r="F5178" t="str">
        <f t="shared" si="189"/>
        <v>LA</v>
      </c>
    </row>
    <row r="5179" spans="1:6" x14ac:dyDescent="0.25">
      <c r="A5179" t="str">
        <f>"200029211"</f>
        <v>200029211</v>
      </c>
      <c r="B5179" t="str">
        <f>"1699415067"</f>
        <v>1699415067</v>
      </c>
      <c r="C5179" t="str">
        <f>"208000000X"</f>
        <v>208000000X</v>
      </c>
      <c r="D5179" t="str">
        <f>"RIVERS                   GABRIELLE                "</f>
        <v xml:space="preserve">RIVERS                   GABRIELLE                </v>
      </c>
      <c r="E5179" t="str">
        <f>"NEW ORLEANS               "</f>
        <v xml:space="preserve">NEW ORLEANS               </v>
      </c>
      <c r="F5179" t="str">
        <f t="shared" si="189"/>
        <v>LA</v>
      </c>
    </row>
    <row r="5180" spans="1:6" x14ac:dyDescent="0.25">
      <c r="A5180" t="str">
        <f>"200029217"</f>
        <v>200029217</v>
      </c>
      <c r="B5180" t="str">
        <f>"1275462129"</f>
        <v>1275462129</v>
      </c>
      <c r="C5180" t="str">
        <f>"367500000X"</f>
        <v>367500000X</v>
      </c>
      <c r="D5180" t="str">
        <f>"KOSPELICH                KAITLYN                  "</f>
        <v xml:space="preserve">KOSPELICH                KAITLYN                  </v>
      </c>
      <c r="E5180" t="str">
        <f>"NEW ORLEANS               "</f>
        <v xml:space="preserve">NEW ORLEANS               </v>
      </c>
      <c r="F5180" t="str">
        <f t="shared" si="189"/>
        <v>LA</v>
      </c>
    </row>
    <row r="5181" spans="1:6" x14ac:dyDescent="0.25">
      <c r="A5181" t="str">
        <f>"200029226"</f>
        <v>200029226</v>
      </c>
      <c r="B5181" t="str">
        <f>"1265167472"</f>
        <v>1265167472</v>
      </c>
      <c r="C5181" t="str">
        <f>"363A00000X"</f>
        <v>363A00000X</v>
      </c>
      <c r="D5181" t="str">
        <f>"NGUYEN                   MONICA                   "</f>
        <v xml:space="preserve">NGUYEN                   MONICA                   </v>
      </c>
      <c r="E5181" t="str">
        <f>"NEW ORLEANS               "</f>
        <v xml:space="preserve">NEW ORLEANS               </v>
      </c>
      <c r="F5181" t="str">
        <f t="shared" si="189"/>
        <v>LA</v>
      </c>
    </row>
    <row r="5182" spans="1:6" x14ac:dyDescent="0.25">
      <c r="A5182" t="str">
        <f>"200029230"</f>
        <v>200029230</v>
      </c>
      <c r="B5182" t="str">
        <f>"1699161547"</f>
        <v>1699161547</v>
      </c>
      <c r="C5182" t="str">
        <f>"2084N0400X"</f>
        <v>2084N0400X</v>
      </c>
      <c r="D5182" t="str">
        <f>"HAIGHT                   TAYLOR                   "</f>
        <v xml:space="preserve">HAIGHT                   TAYLOR                   </v>
      </c>
      <c r="E5182" t="str">
        <f>"HAMMOND                   "</f>
        <v xml:space="preserve">HAMMOND                   </v>
      </c>
      <c r="F5182" t="str">
        <f t="shared" si="189"/>
        <v>LA</v>
      </c>
    </row>
    <row r="5183" spans="1:6" x14ac:dyDescent="0.25">
      <c r="A5183" t="str">
        <f>"200029235"</f>
        <v>200029235</v>
      </c>
      <c r="B5183" t="str">
        <f>"1649059221"</f>
        <v>1649059221</v>
      </c>
      <c r="C5183" t="str">
        <f>"367500000X"</f>
        <v>367500000X</v>
      </c>
      <c r="D5183" t="str">
        <f>"BEZETT                   GABRIELLE                "</f>
        <v xml:space="preserve">BEZETT                   GABRIELLE                </v>
      </c>
      <c r="E5183" t="str">
        <f>"TERRYTOWN                 "</f>
        <v xml:space="preserve">TERRYTOWN                 </v>
      </c>
      <c r="F5183" t="str">
        <f t="shared" si="189"/>
        <v>LA</v>
      </c>
    </row>
    <row r="5184" spans="1:6" x14ac:dyDescent="0.25">
      <c r="A5184" t="str">
        <f>"200029246"</f>
        <v>200029246</v>
      </c>
      <c r="B5184" t="str">
        <f>"1679404537"</f>
        <v>1679404537</v>
      </c>
      <c r="C5184" t="str">
        <f>"367500000X"</f>
        <v>367500000X</v>
      </c>
      <c r="D5184" t="str">
        <f>"HUDAK                    LAUREN                   "</f>
        <v xml:space="preserve">HUDAK                    LAUREN                   </v>
      </c>
      <c r="E5184" t="str">
        <f>"NEW ORLEANS               "</f>
        <v xml:space="preserve">NEW ORLEANS               </v>
      </c>
      <c r="F5184" t="str">
        <f t="shared" si="189"/>
        <v>LA</v>
      </c>
    </row>
    <row r="5185" spans="1:6" x14ac:dyDescent="0.25">
      <c r="A5185" t="str">
        <f>"200029248"</f>
        <v>200029248</v>
      </c>
      <c r="B5185" t="str">
        <f>"1538423215"</f>
        <v>1538423215</v>
      </c>
      <c r="C5185" t="str">
        <f>"2080P0207X"</f>
        <v>2080P0207X</v>
      </c>
      <c r="D5185" t="str">
        <f>"BAMI                     SAKSHI                   "</f>
        <v xml:space="preserve">BAMI                     SAKSHI                   </v>
      </c>
      <c r="E5185" t="str">
        <f>"BATON ROUGE               "</f>
        <v xml:space="preserve">BATON ROUGE               </v>
      </c>
      <c r="F5185" t="str">
        <f t="shared" si="189"/>
        <v>LA</v>
      </c>
    </row>
    <row r="5186" spans="1:6" x14ac:dyDescent="0.25">
      <c r="A5186" t="str">
        <f>"200029252"</f>
        <v>200029252</v>
      </c>
      <c r="B5186" t="str">
        <f>"1689712408"</f>
        <v>1689712408</v>
      </c>
      <c r="C5186" t="str">
        <f>"2085R0202X"</f>
        <v>2085R0202X</v>
      </c>
      <c r="D5186" t="str">
        <f>"MANZO                    WILLIAM                  "</f>
        <v xml:space="preserve">MANZO                    WILLIAM                  </v>
      </c>
      <c r="E5186" t="str">
        <f>"HAMMOND                   "</f>
        <v xml:space="preserve">HAMMOND                   </v>
      </c>
      <c r="F5186" t="str">
        <f t="shared" si="189"/>
        <v>LA</v>
      </c>
    </row>
    <row r="5187" spans="1:6" x14ac:dyDescent="0.25">
      <c r="A5187" t="str">
        <f>"200029258"</f>
        <v>200029258</v>
      </c>
      <c r="B5187" t="str">
        <f>"1952634651"</f>
        <v>1952634651</v>
      </c>
      <c r="C5187" t="str">
        <f>"2085R0202X"</f>
        <v>2085R0202X</v>
      </c>
      <c r="D5187" t="str">
        <f>"SPARKS                   ANTHONY                  "</f>
        <v xml:space="preserve">SPARKS                   ANTHONY                  </v>
      </c>
      <c r="E5187" t="str">
        <f>"HAMMOND                   "</f>
        <v xml:space="preserve">HAMMOND                   </v>
      </c>
      <c r="F5187" t="str">
        <f t="shared" si="189"/>
        <v>LA</v>
      </c>
    </row>
    <row r="5188" spans="1:6" x14ac:dyDescent="0.25">
      <c r="A5188" t="str">
        <f>"200029260"</f>
        <v>200029260</v>
      </c>
      <c r="B5188" t="str">
        <f>"1598349086"</f>
        <v>1598349086</v>
      </c>
      <c r="C5188" t="str">
        <f>"363A00000X"</f>
        <v>363A00000X</v>
      </c>
      <c r="D5188" t="str">
        <f>"WITTY                    KYLIE                    "</f>
        <v xml:space="preserve">WITTY                    KYLIE                    </v>
      </c>
      <c r="E5188" t="str">
        <f>"BATON ROUGE               "</f>
        <v xml:space="preserve">BATON ROUGE               </v>
      </c>
      <c r="F5188" t="str">
        <f t="shared" si="189"/>
        <v>LA</v>
      </c>
    </row>
    <row r="5189" spans="1:6" x14ac:dyDescent="0.25">
      <c r="A5189" t="str">
        <f>"200029265"</f>
        <v>200029265</v>
      </c>
      <c r="B5189" t="str">
        <f>"1669167847"</f>
        <v>1669167847</v>
      </c>
      <c r="C5189" t="str">
        <f>"208M00000X"</f>
        <v>208M00000X</v>
      </c>
      <c r="D5189" t="str">
        <f>"HUDSPETH                 CHRISTOPHER              "</f>
        <v xml:space="preserve">HUDSPETH                 CHRISTOPHER              </v>
      </c>
      <c r="E5189" t="str">
        <f>"HAMMOND                   "</f>
        <v xml:space="preserve">HAMMOND                   </v>
      </c>
      <c r="F5189" t="str">
        <f t="shared" si="189"/>
        <v>LA</v>
      </c>
    </row>
    <row r="5190" spans="1:6" x14ac:dyDescent="0.25">
      <c r="A5190" t="str">
        <f>"200018010"</f>
        <v>200018010</v>
      </c>
      <c r="B5190" t="str">
        <f>"1922046135"</f>
        <v>1922046135</v>
      </c>
      <c r="C5190" t="str">
        <f>"2085R0202X"</f>
        <v>2085R0202X</v>
      </c>
      <c r="D5190" t="str">
        <f>"PRATT                    ALAN                     "</f>
        <v xml:space="preserve">PRATT                    ALAN                     </v>
      </c>
      <c r="E5190" t="str">
        <f>"ARLINGTON                 "</f>
        <v xml:space="preserve">ARLINGTON                 </v>
      </c>
      <c r="F5190" t="str">
        <f>"MA"</f>
        <v>MA</v>
      </c>
    </row>
    <row r="5191" spans="1:6" x14ac:dyDescent="0.25">
      <c r="A5191" t="str">
        <f>"200028031"</f>
        <v>200028031</v>
      </c>
      <c r="B5191" t="str">
        <f>"1114176906"</f>
        <v>1114176906</v>
      </c>
      <c r="C5191" t="str">
        <f>"2085R0202X"</f>
        <v>2085R0202X</v>
      </c>
      <c r="D5191" t="str">
        <f>"CARUSO                   MICHAEL                  "</f>
        <v xml:space="preserve">CARUSO                   MICHAEL                  </v>
      </c>
      <c r="E5191" t="str">
        <f>"FRANKLIN                  "</f>
        <v xml:space="preserve">FRANKLIN                  </v>
      </c>
      <c r="F5191" t="str">
        <f>"MA"</f>
        <v>MA</v>
      </c>
    </row>
    <row r="5192" spans="1:6" x14ac:dyDescent="0.25">
      <c r="A5192" t="str">
        <f>"200029293"</f>
        <v>200029293</v>
      </c>
      <c r="B5192" t="str">
        <f>"1225028301"</f>
        <v>1225028301</v>
      </c>
      <c r="C5192" t="str">
        <f>"2080P0206X"</f>
        <v>2080P0206X</v>
      </c>
      <c r="D5192" t="str">
        <f>"NGO                      PETER                    "</f>
        <v xml:space="preserve">NGO                      PETER                    </v>
      </c>
      <c r="E5192" t="str">
        <f>"BOSTON                    "</f>
        <v xml:space="preserve">BOSTON                    </v>
      </c>
      <c r="F5192" t="str">
        <f>"MA"</f>
        <v>MA</v>
      </c>
    </row>
    <row r="5193" spans="1:6" x14ac:dyDescent="0.25">
      <c r="A5193" t="str">
        <f>"008186253"</f>
        <v>008186253</v>
      </c>
      <c r="B5193" t="str">
        <f>"1982623450"</f>
        <v>1982623450</v>
      </c>
      <c r="C5193" t="str">
        <f>"2085R0202X"</f>
        <v>2085R0202X</v>
      </c>
      <c r="D5193" t="str">
        <f>"GEIST                    MARK         A           "</f>
        <v xml:space="preserve">GEIST                    MARK         A           </v>
      </c>
      <c r="E5193" t="str">
        <f>"BALTIMORE                 "</f>
        <v xml:space="preserve">BALTIMORE                 </v>
      </c>
      <c r="F5193" t="str">
        <f>"MD"</f>
        <v>MD</v>
      </c>
    </row>
    <row r="5194" spans="1:6" x14ac:dyDescent="0.25">
      <c r="A5194" t="str">
        <f>"100293667"</f>
        <v>100293667</v>
      </c>
      <c r="B5194" t="str">
        <f>"1063438927"</f>
        <v>1063438927</v>
      </c>
      <c r="C5194" t="str">
        <f>"208000000X"</f>
        <v>208000000X</v>
      </c>
      <c r="D5194" t="str">
        <f>"VON KOHORN               ISABELLE                 "</f>
        <v xml:space="preserve">VON KOHORN               ISABELLE                 </v>
      </c>
      <c r="E5194" t="str">
        <f>"BETHESDA                  "</f>
        <v xml:space="preserve">BETHESDA                  </v>
      </c>
      <c r="F5194" t="str">
        <f>"MD"</f>
        <v>MD</v>
      </c>
    </row>
    <row r="5195" spans="1:6" x14ac:dyDescent="0.25">
      <c r="A5195" t="str">
        <f>"200008483"</f>
        <v>200008483</v>
      </c>
      <c r="B5195" t="str">
        <f>"1255362679"</f>
        <v>1255362679</v>
      </c>
      <c r="C5195" t="str">
        <f>"2085R0202X"</f>
        <v>2085R0202X</v>
      </c>
      <c r="D5195" t="str">
        <f>"GOFFIGAN                 JOHN                     "</f>
        <v xml:space="preserve">GOFFIGAN                 JOHN                     </v>
      </c>
      <c r="E5195" t="str">
        <f>"STOCKTON SPRINGS          "</f>
        <v xml:space="preserve">STOCKTON SPRINGS          </v>
      </c>
      <c r="F5195" t="str">
        <f>"ME"</f>
        <v>ME</v>
      </c>
    </row>
    <row r="5196" spans="1:6" x14ac:dyDescent="0.25">
      <c r="A5196" t="str">
        <f>"008951372"</f>
        <v>008951372</v>
      </c>
      <c r="B5196" t="str">
        <f>"1134211931"</f>
        <v>1134211931</v>
      </c>
      <c r="C5196" t="str">
        <f>"2085R0202X"</f>
        <v>2085R0202X</v>
      </c>
      <c r="D5196" t="str">
        <f>"HENRY                    CHARLES      S           "</f>
        <v xml:space="preserve">HENRY                    CHARLES      S           </v>
      </c>
      <c r="E5196" t="str">
        <f>"MARQUETTE                 "</f>
        <v xml:space="preserve">MARQUETTE                 </v>
      </c>
      <c r="F5196" t="str">
        <f t="shared" ref="F5196:F5201" si="190">"MI"</f>
        <v>MI</v>
      </c>
    </row>
    <row r="5197" spans="1:6" x14ac:dyDescent="0.25">
      <c r="A5197" t="str">
        <f>"200008268"</f>
        <v>200008268</v>
      </c>
      <c r="B5197" t="str">
        <f>"1316955925"</f>
        <v>1316955925</v>
      </c>
      <c r="C5197" t="str">
        <f>"2085R0202X"</f>
        <v>2085R0202X</v>
      </c>
      <c r="D5197" t="str">
        <f>"FEDERICO                 AMY          M           "</f>
        <v xml:space="preserve">FEDERICO                 AMY          M           </v>
      </c>
      <c r="E5197" t="str">
        <f>"BRIGHTON                  "</f>
        <v xml:space="preserve">BRIGHTON                  </v>
      </c>
      <c r="F5197" t="str">
        <f t="shared" si="190"/>
        <v>MI</v>
      </c>
    </row>
    <row r="5198" spans="1:6" x14ac:dyDescent="0.25">
      <c r="A5198" t="str">
        <f>"200022651"</f>
        <v>200022651</v>
      </c>
      <c r="B5198" t="str">
        <f>"1801185772"</f>
        <v>1801185772</v>
      </c>
      <c r="C5198" t="str">
        <f>"207P00000X"</f>
        <v>207P00000X</v>
      </c>
      <c r="D5198" t="str">
        <f>"GREENE                   CHAD         R           "</f>
        <v xml:space="preserve">GREENE                   CHAD         R           </v>
      </c>
      <c r="E5198" t="str">
        <f>"FLINT                     "</f>
        <v xml:space="preserve">FLINT                     </v>
      </c>
      <c r="F5198" t="str">
        <f t="shared" si="190"/>
        <v>MI</v>
      </c>
    </row>
    <row r="5199" spans="1:6" x14ac:dyDescent="0.25">
      <c r="A5199" t="str">
        <f>"200026832"</f>
        <v>200026832</v>
      </c>
      <c r="B5199" t="str">
        <f>"1588985923"</f>
        <v>1588985923</v>
      </c>
      <c r="C5199" t="str">
        <f>"207P00000X"</f>
        <v>207P00000X</v>
      </c>
      <c r="D5199" t="str">
        <f>"FAVOT                    MARK                     "</f>
        <v xml:space="preserve">FAVOT                    MARK                     </v>
      </c>
      <c r="E5199" t="str">
        <f>"DETROIT                   "</f>
        <v xml:space="preserve">DETROIT                   </v>
      </c>
      <c r="F5199" t="str">
        <f t="shared" si="190"/>
        <v>MI</v>
      </c>
    </row>
    <row r="5200" spans="1:6" x14ac:dyDescent="0.25">
      <c r="A5200" t="str">
        <f>"200028394"</f>
        <v>200028394</v>
      </c>
      <c r="B5200" t="str">
        <f>"1619965175"</f>
        <v>1619965175</v>
      </c>
      <c r="C5200" t="str">
        <f>"207R00000X"</f>
        <v>207R00000X</v>
      </c>
      <c r="D5200" t="str">
        <f>"AHMED                    KHALID       M           "</f>
        <v xml:space="preserve">AHMED                    KHALID       M           </v>
      </c>
      <c r="E5200" t="str">
        <f>"FLINT                     "</f>
        <v xml:space="preserve">FLINT                     </v>
      </c>
      <c r="F5200" t="str">
        <f t="shared" si="190"/>
        <v>MI</v>
      </c>
    </row>
    <row r="5201" spans="1:6" x14ac:dyDescent="0.25">
      <c r="A5201" t="str">
        <f>"200028520"</f>
        <v>200028520</v>
      </c>
      <c r="B5201" t="str">
        <f>"1548358666"</f>
        <v>1548358666</v>
      </c>
      <c r="C5201" t="str">
        <f>"207R00000X"</f>
        <v>207R00000X</v>
      </c>
      <c r="D5201" t="str">
        <f>"JAGGI                    FRANZ        M           "</f>
        <v xml:space="preserve">JAGGI                    FRANZ        M           </v>
      </c>
      <c r="E5201" t="str">
        <f>"FLINT                     "</f>
        <v xml:space="preserve">FLINT                     </v>
      </c>
      <c r="F5201" t="str">
        <f t="shared" si="190"/>
        <v>MI</v>
      </c>
    </row>
    <row r="5202" spans="1:6" x14ac:dyDescent="0.25">
      <c r="A5202" t="str">
        <f>"009322263"</f>
        <v>009322263</v>
      </c>
      <c r="B5202" t="str">
        <f>"1578542585"</f>
        <v>1578542585</v>
      </c>
      <c r="C5202" t="str">
        <f>"2085R0202X"</f>
        <v>2085R0202X</v>
      </c>
      <c r="D5202" t="str">
        <f>"ROULEAU                  PEGGY        A           "</f>
        <v xml:space="preserve">ROULEAU                  PEGGY        A           </v>
      </c>
      <c r="E5202" t="str">
        <f>"NORTH OAKS                "</f>
        <v xml:space="preserve">NORTH OAKS                </v>
      </c>
      <c r="F5202" t="str">
        <f>"MN"</f>
        <v>MN</v>
      </c>
    </row>
    <row r="5203" spans="1:6" x14ac:dyDescent="0.25">
      <c r="A5203" t="str">
        <f>"200016563"</f>
        <v>200016563</v>
      </c>
      <c r="B5203" t="str">
        <f>"1568857639"</f>
        <v>1568857639</v>
      </c>
      <c r="C5203" t="str">
        <f>"2085R0202X"</f>
        <v>2085R0202X</v>
      </c>
      <c r="D5203" t="str">
        <f>"KRYSTOSEK                LUKE                     "</f>
        <v xml:space="preserve">KRYSTOSEK                LUKE                     </v>
      </c>
      <c r="E5203" t="str">
        <f>"ROCHESTER                 "</f>
        <v xml:space="preserve">ROCHESTER                 </v>
      </c>
      <c r="F5203" t="str">
        <f>"MN"</f>
        <v>MN</v>
      </c>
    </row>
    <row r="5204" spans="1:6" x14ac:dyDescent="0.25">
      <c r="A5204" t="str">
        <f>"200020711"</f>
        <v>200020711</v>
      </c>
      <c r="B5204" t="str">
        <f>"1841587128"</f>
        <v>1841587128</v>
      </c>
      <c r="C5204" t="str">
        <f>"207P00000X"</f>
        <v>207P00000X</v>
      </c>
      <c r="D5204" t="str">
        <f>"WARREN                   DAVID                    "</f>
        <v xml:space="preserve">WARREN                   DAVID                    </v>
      </c>
      <c r="E5204" t="str">
        <f>"WYOMING                   "</f>
        <v xml:space="preserve">WYOMING                   </v>
      </c>
      <c r="F5204" t="str">
        <f>"MN"</f>
        <v>MN</v>
      </c>
    </row>
    <row r="5205" spans="1:6" x14ac:dyDescent="0.25">
      <c r="A5205" t="str">
        <f>"200012423"</f>
        <v>200012423</v>
      </c>
      <c r="B5205" t="str">
        <f>"1255633095"</f>
        <v>1255633095</v>
      </c>
      <c r="C5205" t="str">
        <f>"363LP0200X"</f>
        <v>363LP0200X</v>
      </c>
      <c r="D5205" t="str">
        <f>"BROWN                    ELEANOR                  "</f>
        <v xml:space="preserve">BROWN                    ELEANOR                  </v>
      </c>
      <c r="E5205" t="str">
        <f>"MARYLAND HEIGHTS          "</f>
        <v xml:space="preserve">MARYLAND HEIGHTS          </v>
      </c>
      <c r="F5205" t="str">
        <f t="shared" ref="F5205:F5245" si="191">"MO"</f>
        <v>MO</v>
      </c>
    </row>
    <row r="5206" spans="1:6" x14ac:dyDescent="0.25">
      <c r="A5206" t="str">
        <f>"200012429"</f>
        <v>200012429</v>
      </c>
      <c r="B5206" t="str">
        <f>"1316333461"</f>
        <v>1316333461</v>
      </c>
      <c r="C5206" t="str">
        <f>"208000000X"</f>
        <v>208000000X</v>
      </c>
      <c r="D5206" t="str">
        <f>"MUSIAL                   ABIGAIL                  "</f>
        <v xml:space="preserve">MUSIAL                   ABIGAIL                  </v>
      </c>
      <c r="E5206" t="str">
        <f>"MARYLAND HEIGHTS          "</f>
        <v xml:space="preserve">MARYLAND HEIGHTS          </v>
      </c>
      <c r="F5206" t="str">
        <f t="shared" si="191"/>
        <v>MO</v>
      </c>
    </row>
    <row r="5207" spans="1:6" x14ac:dyDescent="0.25">
      <c r="A5207" t="str">
        <f>"200012434"</f>
        <v>200012434</v>
      </c>
      <c r="B5207" t="str">
        <f>"1336367226"</f>
        <v>1336367226</v>
      </c>
      <c r="C5207" t="str">
        <f>"208100000X"</f>
        <v>208100000X</v>
      </c>
      <c r="D5207" t="str">
        <f>"EVRA                     EUGENE                   "</f>
        <v xml:space="preserve">EVRA                     EUGENE                   </v>
      </c>
      <c r="E5207" t="str">
        <f>"MARYLAND HEIGHTS          "</f>
        <v xml:space="preserve">MARYLAND HEIGHTS          </v>
      </c>
      <c r="F5207" t="str">
        <f t="shared" si="191"/>
        <v>MO</v>
      </c>
    </row>
    <row r="5208" spans="1:6" x14ac:dyDescent="0.25">
      <c r="A5208" t="str">
        <f>"200012435"</f>
        <v>200012435</v>
      </c>
      <c r="B5208" t="str">
        <f>"1093925588"</f>
        <v>1093925588</v>
      </c>
      <c r="C5208" t="str">
        <f>"208100000X"</f>
        <v>208100000X</v>
      </c>
      <c r="D5208" t="str">
        <f>"ZIMMERMANN               AMY                      "</f>
        <v xml:space="preserve">ZIMMERMANN               AMY                      </v>
      </c>
      <c r="E5208" t="str">
        <f>"MARYLAND HEIGHTS          "</f>
        <v xml:space="preserve">MARYLAND HEIGHTS          </v>
      </c>
      <c r="F5208" t="str">
        <f t="shared" si="191"/>
        <v>MO</v>
      </c>
    </row>
    <row r="5209" spans="1:6" x14ac:dyDescent="0.25">
      <c r="A5209" t="str">
        <f>"200012573"</f>
        <v>200012573</v>
      </c>
      <c r="B5209" t="str">
        <f>"1902126097"</f>
        <v>1902126097</v>
      </c>
      <c r="C5209" t="str">
        <f>"2080P0202X"</f>
        <v>2080P0202X</v>
      </c>
      <c r="D5209" t="str">
        <f>"PELLENBERG               ROD                      "</f>
        <v xml:space="preserve">PELLENBERG               ROD                      </v>
      </c>
      <c r="E5209" t="str">
        <f>"MARYLAND HEIGHTS          "</f>
        <v xml:space="preserve">MARYLAND HEIGHTS          </v>
      </c>
      <c r="F5209" t="str">
        <f t="shared" si="191"/>
        <v>MO</v>
      </c>
    </row>
    <row r="5210" spans="1:6" x14ac:dyDescent="0.25">
      <c r="A5210" t="str">
        <f>"200017294"</f>
        <v>200017294</v>
      </c>
      <c r="B5210" t="str">
        <f>"1275896599"</f>
        <v>1275896599</v>
      </c>
      <c r="C5210" t="str">
        <f>"2080P0206X"</f>
        <v>2080P0206X</v>
      </c>
      <c r="D5210" t="str">
        <f>"KULKARNI                 SAKIL        S           "</f>
        <v xml:space="preserve">KULKARNI                 SAKIL        S           </v>
      </c>
      <c r="E5210" t="str">
        <f>"SAINT LOUIS               "</f>
        <v xml:space="preserve">SAINT LOUIS               </v>
      </c>
      <c r="F5210" t="str">
        <f t="shared" si="191"/>
        <v>MO</v>
      </c>
    </row>
    <row r="5211" spans="1:6" x14ac:dyDescent="0.25">
      <c r="A5211" t="str">
        <f>"200018992"</f>
        <v>200018992</v>
      </c>
      <c r="B5211" t="str">
        <f>"1972967461"</f>
        <v>1972967461</v>
      </c>
      <c r="C5211" t="str">
        <f>"207P00000X"</f>
        <v>207P00000X</v>
      </c>
      <c r="D5211" t="str">
        <f>"BANDZAR                  SEAN                     "</f>
        <v xml:space="preserve">BANDZAR                  SEAN                     </v>
      </c>
      <c r="E5211" t="str">
        <f>"BOLIVAR                   "</f>
        <v xml:space="preserve">BOLIVAR                   </v>
      </c>
      <c r="F5211" t="str">
        <f t="shared" si="191"/>
        <v>MO</v>
      </c>
    </row>
    <row r="5212" spans="1:6" x14ac:dyDescent="0.25">
      <c r="A5212" t="str">
        <f>"200019618"</f>
        <v>200019618</v>
      </c>
      <c r="B5212" t="str">
        <f>"1245303064"</f>
        <v>1245303064</v>
      </c>
      <c r="C5212" t="str">
        <f>"2080P0203X"</f>
        <v>2080P0203X</v>
      </c>
      <c r="D5212" t="str">
        <f>"BUBECK-WARDENBURG        JULIANE                  "</f>
        <v xml:space="preserve">BUBECK-WARDENBURG        JULIANE                  </v>
      </c>
      <c r="E5212" t="str">
        <f t="shared" ref="E5212:E5241" si="192">"SAINT LOUIS               "</f>
        <v xml:space="preserve">SAINT LOUIS               </v>
      </c>
      <c r="F5212" t="str">
        <f t="shared" si="191"/>
        <v>MO</v>
      </c>
    </row>
    <row r="5213" spans="1:6" x14ac:dyDescent="0.25">
      <c r="A5213" t="str">
        <f>"200019622"</f>
        <v>200019622</v>
      </c>
      <c r="B5213" t="str">
        <f>"1316112766"</f>
        <v>1316112766</v>
      </c>
      <c r="C5213" t="str">
        <f>"2080P0203X"</f>
        <v>2080P0203X</v>
      </c>
      <c r="D5213" t="str">
        <f>"BRANCATO                 CELESTE      C           "</f>
        <v xml:space="preserve">BRANCATO                 CELESTE      C           </v>
      </c>
      <c r="E5213" t="str">
        <f t="shared" si="192"/>
        <v xml:space="preserve">SAINT LOUIS               </v>
      </c>
      <c r="F5213" t="str">
        <f t="shared" si="191"/>
        <v>MO</v>
      </c>
    </row>
    <row r="5214" spans="1:6" x14ac:dyDescent="0.25">
      <c r="A5214" t="str">
        <f>"200020356"</f>
        <v>200020356</v>
      </c>
      <c r="B5214" t="str">
        <f>"1205298981"</f>
        <v>1205298981</v>
      </c>
      <c r="C5214" t="str">
        <f>"2080P0203X"</f>
        <v>2080P0203X</v>
      </c>
      <c r="D5214" t="str">
        <f>"TURNER                   ASHLEY       D           "</f>
        <v xml:space="preserve">TURNER                   ASHLEY       D           </v>
      </c>
      <c r="E5214" t="str">
        <f t="shared" si="192"/>
        <v xml:space="preserve">SAINT LOUIS               </v>
      </c>
      <c r="F5214" t="str">
        <f t="shared" si="191"/>
        <v>MO</v>
      </c>
    </row>
    <row r="5215" spans="1:6" x14ac:dyDescent="0.25">
      <c r="A5215" t="str">
        <f>"200021089"</f>
        <v>200021089</v>
      </c>
      <c r="B5215" t="str">
        <f>"1437184819"</f>
        <v>1437184819</v>
      </c>
      <c r="C5215" t="str">
        <f>"2080P0203X"</f>
        <v>2080P0203X</v>
      </c>
      <c r="D5215" t="str">
        <f>"FRIESS                   STUART       H           "</f>
        <v xml:space="preserve">FRIESS                   STUART       H           </v>
      </c>
      <c r="E5215" t="str">
        <f t="shared" si="192"/>
        <v xml:space="preserve">SAINT LOUIS               </v>
      </c>
      <c r="F5215" t="str">
        <f t="shared" si="191"/>
        <v>MO</v>
      </c>
    </row>
    <row r="5216" spans="1:6" x14ac:dyDescent="0.25">
      <c r="A5216" t="str">
        <f>"200022019"</f>
        <v>200022019</v>
      </c>
      <c r="B5216" t="str">
        <f>"1588864003"</f>
        <v>1588864003</v>
      </c>
      <c r="C5216" t="str">
        <f>"2080P0208X"</f>
        <v>2080P0208X</v>
      </c>
      <c r="D5216" t="str">
        <f>"GREEN                    ABBY         M           "</f>
        <v xml:space="preserve">GREEN                    ABBY         M           </v>
      </c>
      <c r="E5216" t="str">
        <f t="shared" si="192"/>
        <v xml:space="preserve">SAINT LOUIS               </v>
      </c>
      <c r="F5216" t="str">
        <f t="shared" si="191"/>
        <v>MO</v>
      </c>
    </row>
    <row r="5217" spans="1:6" x14ac:dyDescent="0.25">
      <c r="A5217" t="str">
        <f>"200022880"</f>
        <v>200022880</v>
      </c>
      <c r="B5217" t="str">
        <f>"1730422569"</f>
        <v>1730422569</v>
      </c>
      <c r="C5217" t="str">
        <f>"2080P0203X"</f>
        <v>2080P0203X</v>
      </c>
      <c r="D5217" t="str">
        <f>"BUTLER                   DAVID                    "</f>
        <v xml:space="preserve">BUTLER                   DAVID                    </v>
      </c>
      <c r="E5217" t="str">
        <f t="shared" si="192"/>
        <v xml:space="preserve">SAINT LOUIS               </v>
      </c>
      <c r="F5217" t="str">
        <f t="shared" si="191"/>
        <v>MO</v>
      </c>
    </row>
    <row r="5218" spans="1:6" x14ac:dyDescent="0.25">
      <c r="A5218" t="str">
        <f>"200023202"</f>
        <v>200023202</v>
      </c>
      <c r="B5218" t="str">
        <f>"1518371079"</f>
        <v>1518371079</v>
      </c>
      <c r="C5218" t="str">
        <f>"2080P0203X"</f>
        <v>2080P0203X</v>
      </c>
      <c r="D5218" t="str">
        <f>"SHAH                     NEEL                     "</f>
        <v xml:space="preserve">SHAH                     NEEL                     </v>
      </c>
      <c r="E5218" t="str">
        <f t="shared" si="192"/>
        <v xml:space="preserve">SAINT LOUIS               </v>
      </c>
      <c r="F5218" t="str">
        <f t="shared" si="191"/>
        <v>MO</v>
      </c>
    </row>
    <row r="5219" spans="1:6" x14ac:dyDescent="0.25">
      <c r="A5219" t="str">
        <f>"200023230"</f>
        <v>200023230</v>
      </c>
      <c r="B5219" t="str">
        <f>"1255872479"</f>
        <v>1255872479</v>
      </c>
      <c r="C5219" t="str">
        <f>"2080P0205X"</f>
        <v>2080P0205X</v>
      </c>
      <c r="D5219" t="str">
        <f>"CORTEZ GRANADOS          SAMUEL                   "</f>
        <v xml:space="preserve">CORTEZ GRANADOS          SAMUEL                   </v>
      </c>
      <c r="E5219" t="str">
        <f t="shared" si="192"/>
        <v xml:space="preserve">SAINT LOUIS               </v>
      </c>
      <c r="F5219" t="str">
        <f t="shared" si="191"/>
        <v>MO</v>
      </c>
    </row>
    <row r="5220" spans="1:6" x14ac:dyDescent="0.25">
      <c r="A5220" t="str">
        <f>"200023595"</f>
        <v>200023595</v>
      </c>
      <c r="B5220" t="str">
        <f>"1073769733"</f>
        <v>1073769733</v>
      </c>
      <c r="C5220" t="str">
        <f>"208M00000X"</f>
        <v>208M00000X</v>
      </c>
      <c r="D5220" t="str">
        <f>"RIAZ                     NOOR                     "</f>
        <v xml:space="preserve">RIAZ                     NOOR                     </v>
      </c>
      <c r="E5220" t="str">
        <f t="shared" si="192"/>
        <v xml:space="preserve">SAINT LOUIS               </v>
      </c>
      <c r="F5220" t="str">
        <f t="shared" si="191"/>
        <v>MO</v>
      </c>
    </row>
    <row r="5221" spans="1:6" x14ac:dyDescent="0.25">
      <c r="A5221" t="str">
        <f>"200023888"</f>
        <v>200023888</v>
      </c>
      <c r="B5221" t="str">
        <f>"1649566753"</f>
        <v>1649566753</v>
      </c>
      <c r="C5221" t="str">
        <f>"2080P0203X"</f>
        <v>2080P0203X</v>
      </c>
      <c r="D5221" t="str">
        <f>"MANGA                    ARUSHI                   "</f>
        <v xml:space="preserve">MANGA                    ARUSHI                   </v>
      </c>
      <c r="E5221" t="str">
        <f t="shared" si="192"/>
        <v xml:space="preserve">SAINT LOUIS               </v>
      </c>
      <c r="F5221" t="str">
        <f t="shared" si="191"/>
        <v>MO</v>
      </c>
    </row>
    <row r="5222" spans="1:6" x14ac:dyDescent="0.25">
      <c r="A5222" t="str">
        <f>"200023909"</f>
        <v>200023909</v>
      </c>
      <c r="B5222" t="str">
        <f>"1417986258"</f>
        <v>1417986258</v>
      </c>
      <c r="C5222" t="str">
        <f>"2080P0208X"</f>
        <v>2080P0208X</v>
      </c>
      <c r="D5222" t="str">
        <f>"STORCH                   GREGORY                  "</f>
        <v xml:space="preserve">STORCH                   GREGORY                  </v>
      </c>
      <c r="E5222" t="str">
        <f t="shared" si="192"/>
        <v xml:space="preserve">SAINT LOUIS               </v>
      </c>
      <c r="F5222" t="str">
        <f t="shared" si="191"/>
        <v>MO</v>
      </c>
    </row>
    <row r="5223" spans="1:6" x14ac:dyDescent="0.25">
      <c r="A5223" t="str">
        <f>"200024271"</f>
        <v>200024271</v>
      </c>
      <c r="B5223" t="str">
        <f>"1316235575"</f>
        <v>1316235575</v>
      </c>
      <c r="C5223" t="str">
        <f>"2080P0206X"</f>
        <v>2080P0206X</v>
      </c>
      <c r="D5223" t="str">
        <f>"LISS                     KIM          H           "</f>
        <v xml:space="preserve">LISS                     KIM          H           </v>
      </c>
      <c r="E5223" t="str">
        <f t="shared" si="192"/>
        <v xml:space="preserve">SAINT LOUIS               </v>
      </c>
      <c r="F5223" t="str">
        <f t="shared" si="191"/>
        <v>MO</v>
      </c>
    </row>
    <row r="5224" spans="1:6" x14ac:dyDescent="0.25">
      <c r="A5224" t="str">
        <f>"200024299"</f>
        <v>200024299</v>
      </c>
      <c r="B5224" t="str">
        <f>"1144248626"</f>
        <v>1144248626</v>
      </c>
      <c r="C5224" t="str">
        <f>"2080P0203X"</f>
        <v>2080P0203X</v>
      </c>
      <c r="D5224" t="str">
        <f>"GOLDSMITH                MATTHEW                  "</f>
        <v xml:space="preserve">GOLDSMITH                MATTHEW                  </v>
      </c>
      <c r="E5224" t="str">
        <f t="shared" si="192"/>
        <v xml:space="preserve">SAINT LOUIS               </v>
      </c>
      <c r="F5224" t="str">
        <f t="shared" si="191"/>
        <v>MO</v>
      </c>
    </row>
    <row r="5225" spans="1:6" x14ac:dyDescent="0.25">
      <c r="A5225" t="str">
        <f>"200024323"</f>
        <v>200024323</v>
      </c>
      <c r="B5225" t="str">
        <f>"1083109631"</f>
        <v>1083109631</v>
      </c>
      <c r="C5225" t="str">
        <f>"2080P0205X"</f>
        <v>2080P0205X</v>
      </c>
      <c r="D5225" t="str">
        <f>"BRYAN                    MELANIE                  "</f>
        <v xml:space="preserve">BRYAN                    MELANIE                  </v>
      </c>
      <c r="E5225" t="str">
        <f t="shared" si="192"/>
        <v xml:space="preserve">SAINT LOUIS               </v>
      </c>
      <c r="F5225" t="str">
        <f t="shared" si="191"/>
        <v>MO</v>
      </c>
    </row>
    <row r="5226" spans="1:6" x14ac:dyDescent="0.25">
      <c r="A5226" t="str">
        <f>"200024451"</f>
        <v>200024451</v>
      </c>
      <c r="B5226" t="str">
        <f>"1053339549"</f>
        <v>1053339549</v>
      </c>
      <c r="C5226" t="str">
        <f>"2080H0002X"</f>
        <v>2080H0002X</v>
      </c>
      <c r="D5226" t="str">
        <f>"ROSENBAUM                JOAN         L           "</f>
        <v xml:space="preserve">ROSENBAUM                JOAN         L           </v>
      </c>
      <c r="E5226" t="str">
        <f t="shared" si="192"/>
        <v xml:space="preserve">SAINT LOUIS               </v>
      </c>
      <c r="F5226" t="str">
        <f t="shared" si="191"/>
        <v>MO</v>
      </c>
    </row>
    <row r="5227" spans="1:6" x14ac:dyDescent="0.25">
      <c r="A5227" t="str">
        <f>"200024613"</f>
        <v>200024613</v>
      </c>
      <c r="B5227" t="str">
        <f>"1154632974"</f>
        <v>1154632974</v>
      </c>
      <c r="C5227" t="str">
        <f>"207RP1001X"</f>
        <v>207RP1001X</v>
      </c>
      <c r="D5227" t="str">
        <f>"ANDERSON                 ADAM                     "</f>
        <v xml:space="preserve">ANDERSON                 ADAM                     </v>
      </c>
      <c r="E5227" t="str">
        <f t="shared" si="192"/>
        <v xml:space="preserve">SAINT LOUIS               </v>
      </c>
      <c r="F5227" t="str">
        <f t="shared" si="191"/>
        <v>MO</v>
      </c>
    </row>
    <row r="5228" spans="1:6" x14ac:dyDescent="0.25">
      <c r="A5228" t="str">
        <f>"200024728"</f>
        <v>200024728</v>
      </c>
      <c r="B5228" t="str">
        <f>"1922488865"</f>
        <v>1922488865</v>
      </c>
      <c r="C5228" t="str">
        <f>"2080P0210X"</f>
        <v>2080P0210X</v>
      </c>
      <c r="D5228" t="str">
        <f>"BRATHWAITE               KAYE         E           "</f>
        <v xml:space="preserve">BRATHWAITE               KAYE         E           </v>
      </c>
      <c r="E5228" t="str">
        <f t="shared" si="192"/>
        <v xml:space="preserve">SAINT LOUIS               </v>
      </c>
      <c r="F5228" t="str">
        <f t="shared" si="191"/>
        <v>MO</v>
      </c>
    </row>
    <row r="5229" spans="1:6" x14ac:dyDescent="0.25">
      <c r="A5229" t="str">
        <f>"200024828"</f>
        <v>200024828</v>
      </c>
      <c r="B5229" t="str">
        <f>"1407172802"</f>
        <v>1407172802</v>
      </c>
      <c r="C5229" t="str">
        <f>"2080P0205X"</f>
        <v>2080P0205X</v>
      </c>
      <c r="D5229" t="str">
        <f>"STONE                    STEPHEN      I           "</f>
        <v xml:space="preserve">STONE                    STEPHEN      I           </v>
      </c>
      <c r="E5229" t="str">
        <f t="shared" si="192"/>
        <v xml:space="preserve">SAINT LOUIS               </v>
      </c>
      <c r="F5229" t="str">
        <f t="shared" si="191"/>
        <v>MO</v>
      </c>
    </row>
    <row r="5230" spans="1:6" x14ac:dyDescent="0.25">
      <c r="A5230" t="str">
        <f>"200024840"</f>
        <v>200024840</v>
      </c>
      <c r="B5230" t="str">
        <f>"1194189217"</f>
        <v>1194189217</v>
      </c>
      <c r="C5230" t="str">
        <f>"2080H0002X"</f>
        <v>2080H0002X</v>
      </c>
      <c r="D5230" t="str">
        <f>"HICKEY                   ERIN         M           "</f>
        <v xml:space="preserve">HICKEY                   ERIN         M           </v>
      </c>
      <c r="E5230" t="str">
        <f t="shared" si="192"/>
        <v xml:space="preserve">SAINT LOUIS               </v>
      </c>
      <c r="F5230" t="str">
        <f t="shared" si="191"/>
        <v>MO</v>
      </c>
    </row>
    <row r="5231" spans="1:6" x14ac:dyDescent="0.25">
      <c r="A5231" t="str">
        <f>"200024863"</f>
        <v>200024863</v>
      </c>
      <c r="B5231" t="str">
        <f>"1396763017"</f>
        <v>1396763017</v>
      </c>
      <c r="C5231" t="str">
        <f>"2080P0208X"</f>
        <v>2080P0208X</v>
      </c>
      <c r="D5231" t="str">
        <f>"ORSCHELN                 RACHEL       C           "</f>
        <v xml:space="preserve">ORSCHELN                 RACHEL       C           </v>
      </c>
      <c r="E5231" t="str">
        <f t="shared" si="192"/>
        <v xml:space="preserve">SAINT LOUIS               </v>
      </c>
      <c r="F5231" t="str">
        <f t="shared" si="191"/>
        <v>MO</v>
      </c>
    </row>
    <row r="5232" spans="1:6" x14ac:dyDescent="0.25">
      <c r="A5232" t="str">
        <f>"200024959"</f>
        <v>200024959</v>
      </c>
      <c r="B5232" t="str">
        <f>"1679728497"</f>
        <v>1679728497</v>
      </c>
      <c r="C5232" t="str">
        <f>"2080P0202X"</f>
        <v>2080P0202X</v>
      </c>
      <c r="D5232" t="str">
        <f>"GROH                     GEORGEANN    K           "</f>
        <v xml:space="preserve">GROH                     GEORGEANN    K           </v>
      </c>
      <c r="E5232" t="str">
        <f t="shared" si="192"/>
        <v xml:space="preserve">SAINT LOUIS               </v>
      </c>
      <c r="F5232" t="str">
        <f t="shared" si="191"/>
        <v>MO</v>
      </c>
    </row>
    <row r="5233" spans="1:6" x14ac:dyDescent="0.25">
      <c r="A5233" t="str">
        <f>"200024992"</f>
        <v>200024992</v>
      </c>
      <c r="B5233" t="str">
        <f>"1972529287"</f>
        <v>1972529287</v>
      </c>
      <c r="C5233" t="str">
        <f>"2080P0208X"</f>
        <v>2080P0208X</v>
      </c>
      <c r="D5233" t="str">
        <f>"ELWARD                   ALEXIS                   "</f>
        <v xml:space="preserve">ELWARD                   ALEXIS                   </v>
      </c>
      <c r="E5233" t="str">
        <f t="shared" si="192"/>
        <v xml:space="preserve">SAINT LOUIS               </v>
      </c>
      <c r="F5233" t="str">
        <f t="shared" si="191"/>
        <v>MO</v>
      </c>
    </row>
    <row r="5234" spans="1:6" x14ac:dyDescent="0.25">
      <c r="A5234" t="str">
        <f>"200025132"</f>
        <v>200025132</v>
      </c>
      <c r="B5234" t="str">
        <f>"1164440681"</f>
        <v>1164440681</v>
      </c>
      <c r="C5234" t="str">
        <f>"2080P0205X"</f>
        <v>2080P0205X</v>
      </c>
      <c r="D5234" t="str">
        <f>"MARSHALL                 BESS         A           "</f>
        <v xml:space="preserve">MARSHALL                 BESS         A           </v>
      </c>
      <c r="E5234" t="str">
        <f t="shared" si="192"/>
        <v xml:space="preserve">SAINT LOUIS               </v>
      </c>
      <c r="F5234" t="str">
        <f t="shared" si="191"/>
        <v>MO</v>
      </c>
    </row>
    <row r="5235" spans="1:6" x14ac:dyDescent="0.25">
      <c r="A5235" t="str">
        <f>"200025342"</f>
        <v>200025342</v>
      </c>
      <c r="B5235" t="str">
        <f>"1912087354"</f>
        <v>1912087354</v>
      </c>
      <c r="C5235" t="str">
        <f>"207SC0300X"</f>
        <v>207SC0300X</v>
      </c>
      <c r="D5235" t="str">
        <f>"SHINAWI                  MARWAAN                  "</f>
        <v xml:space="preserve">SHINAWI                  MARWAAN                  </v>
      </c>
      <c r="E5235" t="str">
        <f t="shared" si="192"/>
        <v xml:space="preserve">SAINT LOUIS               </v>
      </c>
      <c r="F5235" t="str">
        <f t="shared" si="191"/>
        <v>MO</v>
      </c>
    </row>
    <row r="5236" spans="1:6" x14ac:dyDescent="0.25">
      <c r="A5236" t="str">
        <f>"200025439"</f>
        <v>200025439</v>
      </c>
      <c r="B5236" t="str">
        <f>"1184670622"</f>
        <v>1184670622</v>
      </c>
      <c r="C5236" t="str">
        <f>"208M00000X"</f>
        <v>208M00000X</v>
      </c>
      <c r="D5236" t="str">
        <f>"DARSI                    LAKSHMAN                 "</f>
        <v xml:space="preserve">DARSI                    LAKSHMAN                 </v>
      </c>
      <c r="E5236" t="str">
        <f t="shared" si="192"/>
        <v xml:space="preserve">SAINT LOUIS               </v>
      </c>
      <c r="F5236" t="str">
        <f t="shared" si="191"/>
        <v>MO</v>
      </c>
    </row>
    <row r="5237" spans="1:6" x14ac:dyDescent="0.25">
      <c r="A5237" t="str">
        <f>"200025697"</f>
        <v>200025697</v>
      </c>
      <c r="B5237" t="str">
        <f>"1578805826"</f>
        <v>1578805826</v>
      </c>
      <c r="C5237" t="str">
        <f>"207V00000X"</f>
        <v>207V00000X</v>
      </c>
      <c r="D5237" t="str">
        <f>"BARDAWIL                 ELISE                    "</f>
        <v xml:space="preserve">BARDAWIL                 ELISE                    </v>
      </c>
      <c r="E5237" t="str">
        <f t="shared" si="192"/>
        <v xml:space="preserve">SAINT LOUIS               </v>
      </c>
      <c r="F5237" t="str">
        <f t="shared" si="191"/>
        <v>MO</v>
      </c>
    </row>
    <row r="5238" spans="1:6" x14ac:dyDescent="0.25">
      <c r="A5238" t="str">
        <f>"200026021"</f>
        <v>200026021</v>
      </c>
      <c r="B5238" t="str">
        <f>"1275030074"</f>
        <v>1275030074</v>
      </c>
      <c r="C5238" t="str">
        <f>"207V00000X"</f>
        <v>207V00000X</v>
      </c>
      <c r="D5238" t="str">
        <f>"THOMAS                   KATHRYN                  "</f>
        <v xml:space="preserve">THOMAS                   KATHRYN                  </v>
      </c>
      <c r="E5238" t="str">
        <f t="shared" si="192"/>
        <v xml:space="preserve">SAINT LOUIS               </v>
      </c>
      <c r="F5238" t="str">
        <f t="shared" si="191"/>
        <v>MO</v>
      </c>
    </row>
    <row r="5239" spans="1:6" x14ac:dyDescent="0.25">
      <c r="A5239" t="str">
        <f>"200026549"</f>
        <v>200026549</v>
      </c>
      <c r="B5239" t="str">
        <f>"1114990074"</f>
        <v>1114990074</v>
      </c>
      <c r="C5239" t="str">
        <f>"207R00000X"</f>
        <v>207R00000X</v>
      </c>
      <c r="D5239" t="str">
        <f>"OGUNREMI                 OLUMIDE                  "</f>
        <v xml:space="preserve">OGUNREMI                 OLUMIDE                  </v>
      </c>
      <c r="E5239" t="str">
        <f t="shared" si="192"/>
        <v xml:space="preserve">SAINT LOUIS               </v>
      </c>
      <c r="F5239" t="str">
        <f t="shared" si="191"/>
        <v>MO</v>
      </c>
    </row>
    <row r="5240" spans="1:6" x14ac:dyDescent="0.25">
      <c r="A5240" t="str">
        <f>"200026575"</f>
        <v>200026575</v>
      </c>
      <c r="B5240" t="str">
        <f>"1497965990"</f>
        <v>1497965990</v>
      </c>
      <c r="C5240" t="str">
        <f>"207R00000X"</f>
        <v>207R00000X</v>
      </c>
      <c r="D5240" t="str">
        <f>"RUDOMIOTOV               OLGA                     "</f>
        <v xml:space="preserve">RUDOMIOTOV               OLGA                     </v>
      </c>
      <c r="E5240" t="str">
        <f t="shared" si="192"/>
        <v xml:space="preserve">SAINT LOUIS               </v>
      </c>
      <c r="F5240" t="str">
        <f t="shared" si="191"/>
        <v>MO</v>
      </c>
    </row>
    <row r="5241" spans="1:6" x14ac:dyDescent="0.25">
      <c r="A5241" t="str">
        <f>"200026785"</f>
        <v>200026785</v>
      </c>
      <c r="B5241" t="str">
        <f>"1740695188"</f>
        <v>1740695188</v>
      </c>
      <c r="C5241" t="str">
        <f>"2080P0205X"</f>
        <v>2080P0205X</v>
      </c>
      <c r="D5241" t="str">
        <f>"MCNERNEY                 KYLE         P           "</f>
        <v xml:space="preserve">MCNERNEY                 KYLE         P           </v>
      </c>
      <c r="E5241" t="str">
        <f t="shared" si="192"/>
        <v xml:space="preserve">SAINT LOUIS               </v>
      </c>
      <c r="F5241" t="str">
        <f t="shared" si="191"/>
        <v>MO</v>
      </c>
    </row>
    <row r="5242" spans="1:6" x14ac:dyDescent="0.25">
      <c r="A5242" t="str">
        <f>"200028709"</f>
        <v>200028709</v>
      </c>
      <c r="B5242" t="str">
        <f>"1962518530"</f>
        <v>1962518530</v>
      </c>
      <c r="C5242" t="str">
        <f>"2085R0202X"</f>
        <v>2085R0202X</v>
      </c>
      <c r="D5242" t="str">
        <f>"BALL                     JOSHUA                   "</f>
        <v xml:space="preserve">BALL                     JOSHUA                   </v>
      </c>
      <c r="E5242" t="str">
        <f>"JOPLIN                    "</f>
        <v xml:space="preserve">JOPLIN                    </v>
      </c>
      <c r="F5242" t="str">
        <f t="shared" si="191"/>
        <v>MO</v>
      </c>
    </row>
    <row r="5243" spans="1:6" x14ac:dyDescent="0.25">
      <c r="A5243" t="str">
        <f>"200028738"</f>
        <v>200028738</v>
      </c>
      <c r="B5243" t="str">
        <f>"1962518530"</f>
        <v>1962518530</v>
      </c>
      <c r="C5243" t="str">
        <f>"2085R0202X"</f>
        <v>2085R0202X</v>
      </c>
      <c r="D5243" t="str">
        <f>"BALL                     JOSHUA                   "</f>
        <v xml:space="preserve">BALL                     JOSHUA                   </v>
      </c>
      <c r="E5243" t="str">
        <f>"JOPLIN                    "</f>
        <v xml:space="preserve">JOPLIN                    </v>
      </c>
      <c r="F5243" t="str">
        <f t="shared" si="191"/>
        <v>MO</v>
      </c>
    </row>
    <row r="5244" spans="1:6" x14ac:dyDescent="0.25">
      <c r="A5244" t="str">
        <f>"200028891"</f>
        <v>200028891</v>
      </c>
      <c r="B5244" t="str">
        <f>"1629495676"</f>
        <v>1629495676</v>
      </c>
      <c r="C5244" t="str">
        <f>"207R00000X"</f>
        <v>207R00000X</v>
      </c>
      <c r="D5244" t="str">
        <f>"KRINGS                   JAMES                    "</f>
        <v xml:space="preserve">KRINGS                   JAMES                    </v>
      </c>
      <c r="E5244" t="str">
        <f>"SAINT LOUIS               "</f>
        <v xml:space="preserve">SAINT LOUIS               </v>
      </c>
      <c r="F5244" t="str">
        <f t="shared" si="191"/>
        <v>MO</v>
      </c>
    </row>
    <row r="5245" spans="1:6" x14ac:dyDescent="0.25">
      <c r="A5245" t="str">
        <f>"200029182"</f>
        <v>200029182</v>
      </c>
      <c r="B5245" t="str">
        <f>"1619015484"</f>
        <v>1619015484</v>
      </c>
      <c r="C5245" t="str">
        <f>"2085R0202X"</f>
        <v>2085R0202X</v>
      </c>
      <c r="D5245" t="str">
        <f>"CHERNESKY                CHRIS                    "</f>
        <v xml:space="preserve">CHERNESKY                CHRIS                    </v>
      </c>
      <c r="E5245" t="str">
        <f>"SAINT LOUIS               "</f>
        <v xml:space="preserve">SAINT LOUIS               </v>
      </c>
      <c r="F5245" t="str">
        <f t="shared" si="191"/>
        <v>MO</v>
      </c>
    </row>
    <row r="5246" spans="1:6" x14ac:dyDescent="0.25">
      <c r="A5246" t="str">
        <f>"000000798"</f>
        <v>000000798</v>
      </c>
      <c r="B5246" t="str">
        <f>"1972932002"</f>
        <v>1972932002</v>
      </c>
      <c r="C5246" t="str">
        <f>"363L00000X"</f>
        <v>363L00000X</v>
      </c>
      <c r="D5246" t="str">
        <f>"VANDERFORD               NAOMI        P           "</f>
        <v xml:space="preserve">VANDERFORD               NAOMI        P           </v>
      </c>
      <c r="E5246" t="str">
        <f>"MAGEE                     "</f>
        <v xml:space="preserve">MAGEE                     </v>
      </c>
      <c r="F5246" t="str">
        <f t="shared" ref="F5246:F5309" si="193">"MS"</f>
        <v>MS</v>
      </c>
    </row>
    <row r="5247" spans="1:6" x14ac:dyDescent="0.25">
      <c r="A5247" t="str">
        <f>"000001062"</f>
        <v>000001062</v>
      </c>
      <c r="B5247" t="str">
        <f>"1831180900"</f>
        <v>1831180900</v>
      </c>
      <c r="C5247" t="str">
        <f>"152W00000X"</f>
        <v>152W00000X</v>
      </c>
      <c r="D5247" t="str">
        <f>"RUSSELL                  RYAN         D           "</f>
        <v xml:space="preserve">RUSSELL                  RYAN         D           </v>
      </c>
      <c r="E5247" t="str">
        <f>"SALTILLO                  "</f>
        <v xml:space="preserve">SALTILLO                  </v>
      </c>
      <c r="F5247" t="str">
        <f t="shared" si="193"/>
        <v>MS</v>
      </c>
    </row>
    <row r="5248" spans="1:6" x14ac:dyDescent="0.25">
      <c r="A5248" t="str">
        <f>"000001208"</f>
        <v>000001208</v>
      </c>
      <c r="B5248" t="str">
        <f>"1417002965"</f>
        <v>1417002965</v>
      </c>
      <c r="C5248" t="str">
        <f>"207Q00000X"</f>
        <v>207Q00000X</v>
      </c>
      <c r="D5248" t="str">
        <f>"SHERMAN                  HENRY        L           "</f>
        <v xml:space="preserve">SHERMAN                  HENRY        L           </v>
      </c>
      <c r="E5248" t="str">
        <f>"SOUTHAVEN                 "</f>
        <v xml:space="preserve">SOUTHAVEN                 </v>
      </c>
      <c r="F5248" t="str">
        <f t="shared" si="193"/>
        <v>MS</v>
      </c>
    </row>
    <row r="5249" spans="1:6" x14ac:dyDescent="0.25">
      <c r="A5249" t="str">
        <f>"000001508"</f>
        <v>000001508</v>
      </c>
      <c r="B5249" t="str">
        <f>"1669958583"</f>
        <v>1669958583</v>
      </c>
      <c r="C5249" t="str">
        <f>"363L00000X"</f>
        <v>363L00000X</v>
      </c>
      <c r="D5249" t="str">
        <f>"JONES                    ROBERT       L           "</f>
        <v xml:space="preserve">JONES                    ROBERT       L           </v>
      </c>
      <c r="E5249" t="str">
        <f>"JACKSON                   "</f>
        <v xml:space="preserve">JACKSON                   </v>
      </c>
      <c r="F5249" t="str">
        <f t="shared" si="193"/>
        <v>MS</v>
      </c>
    </row>
    <row r="5250" spans="1:6" x14ac:dyDescent="0.25">
      <c r="A5250" t="str">
        <f>"000002077"</f>
        <v>000002077</v>
      </c>
      <c r="B5250" t="str">
        <f>"1952462905"</f>
        <v>1952462905</v>
      </c>
      <c r="C5250" t="str">
        <f>"208100000X"</f>
        <v>208100000X</v>
      </c>
      <c r="D5250" t="str">
        <f>"WU                       SHAWN        X           "</f>
        <v xml:space="preserve">WU                       SHAWN        X           </v>
      </c>
      <c r="E5250" t="str">
        <f>"GULFPORT                  "</f>
        <v xml:space="preserve">GULFPORT                  </v>
      </c>
      <c r="F5250" t="str">
        <f t="shared" si="193"/>
        <v>MS</v>
      </c>
    </row>
    <row r="5251" spans="1:6" x14ac:dyDescent="0.25">
      <c r="A5251" t="str">
        <f>"000002751"</f>
        <v>000002751</v>
      </c>
      <c r="B5251" t="str">
        <f>"1891194635"</f>
        <v>1891194635</v>
      </c>
      <c r="C5251" t="str">
        <f>"207RG0300X"</f>
        <v>207RG0300X</v>
      </c>
      <c r="D5251" t="str">
        <f>"ABI SALEH                ROLA                     "</f>
        <v xml:space="preserve">ABI SALEH                ROLA                     </v>
      </c>
      <c r="E5251" t="str">
        <f>"JACKSON                   "</f>
        <v xml:space="preserve">JACKSON                   </v>
      </c>
      <c r="F5251" t="str">
        <f t="shared" si="193"/>
        <v>MS</v>
      </c>
    </row>
    <row r="5252" spans="1:6" x14ac:dyDescent="0.25">
      <c r="A5252" t="str">
        <f>"000002864"</f>
        <v>000002864</v>
      </c>
      <c r="B5252" t="str">
        <f>"1174849269"</f>
        <v>1174849269</v>
      </c>
      <c r="C5252" t="str">
        <f>"207R00000X"</f>
        <v>207R00000X</v>
      </c>
      <c r="D5252" t="str">
        <f>"HEBERT                   JENNIFER                 "</f>
        <v xml:space="preserve">HEBERT                   JENNIFER                 </v>
      </c>
      <c r="E5252" t="str">
        <f>"PASCAGOULA                "</f>
        <v xml:space="preserve">PASCAGOULA                </v>
      </c>
      <c r="F5252" t="str">
        <f t="shared" si="193"/>
        <v>MS</v>
      </c>
    </row>
    <row r="5253" spans="1:6" x14ac:dyDescent="0.25">
      <c r="A5253" t="str">
        <f>"000003050"</f>
        <v>000003050</v>
      </c>
      <c r="B5253" t="str">
        <f>"1528493442"</f>
        <v>1528493442</v>
      </c>
      <c r="C5253" t="str">
        <f>"122300000X"</f>
        <v>122300000X</v>
      </c>
      <c r="D5253" t="str">
        <f>"AUSTIN                   MISTY        L           "</f>
        <v xml:space="preserve">AUSTIN                   MISTY        L           </v>
      </c>
      <c r="E5253" t="str">
        <f>"VICKSBURG                 "</f>
        <v xml:space="preserve">VICKSBURG                 </v>
      </c>
      <c r="F5253" t="str">
        <f t="shared" si="193"/>
        <v>MS</v>
      </c>
    </row>
    <row r="5254" spans="1:6" x14ac:dyDescent="0.25">
      <c r="A5254" t="str">
        <f>"000004025"</f>
        <v>000004025</v>
      </c>
      <c r="B5254" t="str">
        <f>"1811242357"</f>
        <v>1811242357</v>
      </c>
      <c r="C5254" t="str">
        <f>"152W00000X"</f>
        <v>152W00000X</v>
      </c>
      <c r="D5254" t="str">
        <f>"PARRISH                  HILARY       M           "</f>
        <v xml:space="preserve">PARRISH                  HILARY       M           </v>
      </c>
      <c r="E5254" t="str">
        <f>"VICKSBURG                 "</f>
        <v xml:space="preserve">VICKSBURG                 </v>
      </c>
      <c r="F5254" t="str">
        <f t="shared" si="193"/>
        <v>MS</v>
      </c>
    </row>
    <row r="5255" spans="1:6" x14ac:dyDescent="0.25">
      <c r="A5255" t="str">
        <f>"000004027"</f>
        <v>000004027</v>
      </c>
      <c r="B5255" t="str">
        <f>"1386089274"</f>
        <v>1386089274</v>
      </c>
      <c r="C5255" t="str">
        <f>"207V00000X"</f>
        <v>207V00000X</v>
      </c>
      <c r="D5255" t="str">
        <f>"BROWN                    CHERITA                  "</f>
        <v xml:space="preserve">BROWN                    CHERITA                  </v>
      </c>
      <c r="E5255" t="str">
        <f>"WEST POINT                "</f>
        <v xml:space="preserve">WEST POINT                </v>
      </c>
      <c r="F5255" t="str">
        <f t="shared" si="193"/>
        <v>MS</v>
      </c>
    </row>
    <row r="5256" spans="1:6" x14ac:dyDescent="0.25">
      <c r="A5256" t="str">
        <f>"000004352"</f>
        <v>000004352</v>
      </c>
      <c r="B5256" t="str">
        <f>"1619574738"</f>
        <v>1619574738</v>
      </c>
      <c r="C5256" t="str">
        <f>"363L00000X"</f>
        <v>363L00000X</v>
      </c>
      <c r="D5256" t="str">
        <f>"CAMPBELL                 JUSTIN                   "</f>
        <v xml:space="preserve">CAMPBELL                 JUSTIN                   </v>
      </c>
      <c r="E5256" t="str">
        <f>"TUPELO                    "</f>
        <v xml:space="preserve">TUPELO                    </v>
      </c>
      <c r="F5256" t="str">
        <f t="shared" si="193"/>
        <v>MS</v>
      </c>
    </row>
    <row r="5257" spans="1:6" x14ac:dyDescent="0.25">
      <c r="A5257" t="str">
        <f>"000005217"</f>
        <v>000005217</v>
      </c>
      <c r="B5257" t="str">
        <f>"1285663799"</f>
        <v>1285663799</v>
      </c>
      <c r="C5257" t="str">
        <f>"207Y00000X"</f>
        <v>207Y00000X</v>
      </c>
      <c r="D5257" t="str">
        <f>"SEICSHNAYDRE             MICHAEL      A           "</f>
        <v xml:space="preserve">SEICSHNAYDRE             MICHAEL      A           </v>
      </c>
      <c r="E5257" t="str">
        <f>"GULFPORT                  "</f>
        <v xml:space="preserve">GULFPORT                  </v>
      </c>
      <c r="F5257" t="str">
        <f t="shared" si="193"/>
        <v>MS</v>
      </c>
    </row>
    <row r="5258" spans="1:6" x14ac:dyDescent="0.25">
      <c r="A5258" t="str">
        <f>"000005234"</f>
        <v>000005234</v>
      </c>
      <c r="B5258" t="str">
        <f>"1710498746"</f>
        <v>1710498746</v>
      </c>
      <c r="C5258" t="str">
        <f>"363L00000X"</f>
        <v>363L00000X</v>
      </c>
      <c r="D5258" t="str">
        <f>"LONG                     DONICA       M           "</f>
        <v xml:space="preserve">LONG                     DONICA       M           </v>
      </c>
      <c r="E5258" t="str">
        <f>"SENATOBIA                 "</f>
        <v xml:space="preserve">SENATOBIA                 </v>
      </c>
      <c r="F5258" t="str">
        <f t="shared" si="193"/>
        <v>MS</v>
      </c>
    </row>
    <row r="5259" spans="1:6" x14ac:dyDescent="0.25">
      <c r="A5259" t="str">
        <f>"000005501"</f>
        <v>000005501</v>
      </c>
      <c r="B5259" t="str">
        <f>"1881643369"</f>
        <v>1881643369</v>
      </c>
      <c r="C5259" t="str">
        <f>"207R00000X"</f>
        <v>207R00000X</v>
      </c>
      <c r="D5259" t="str">
        <f>"HEBERT                   MICHAEL      C           "</f>
        <v xml:space="preserve">HEBERT                   MICHAEL      C           </v>
      </c>
      <c r="E5259" t="str">
        <f>"JACKSON                   "</f>
        <v xml:space="preserve">JACKSON                   </v>
      </c>
      <c r="F5259" t="str">
        <f t="shared" si="193"/>
        <v>MS</v>
      </c>
    </row>
    <row r="5260" spans="1:6" x14ac:dyDescent="0.25">
      <c r="A5260" t="str">
        <f>"000005858"</f>
        <v>000005858</v>
      </c>
      <c r="B5260" t="str">
        <f>"1992976070"</f>
        <v>1992976070</v>
      </c>
      <c r="C5260" t="str">
        <f>"1223X0400X"</f>
        <v>1223X0400X</v>
      </c>
      <c r="D5260" t="str">
        <f>"ENGEL JR                 EDWARD       L           "</f>
        <v xml:space="preserve">ENGEL JR                 EDWARD       L           </v>
      </c>
      <c r="E5260" t="str">
        <f>"GREENVILLE                "</f>
        <v xml:space="preserve">GREENVILLE                </v>
      </c>
      <c r="F5260" t="str">
        <f t="shared" si="193"/>
        <v>MS</v>
      </c>
    </row>
    <row r="5261" spans="1:6" x14ac:dyDescent="0.25">
      <c r="A5261" t="str">
        <f>"000006559"</f>
        <v>000006559</v>
      </c>
      <c r="B5261" t="str">
        <f>"1033646120"</f>
        <v>1033646120</v>
      </c>
      <c r="C5261" t="str">
        <f>"367500000X"</f>
        <v>367500000X</v>
      </c>
      <c r="D5261" t="str">
        <f>"THOMAS                   HOLLY        M           "</f>
        <v xml:space="preserve">THOMAS                   HOLLY        M           </v>
      </c>
      <c r="E5261" t="str">
        <f>"MERIDIAN                  "</f>
        <v xml:space="preserve">MERIDIAN                  </v>
      </c>
      <c r="F5261" t="str">
        <f t="shared" si="193"/>
        <v>MS</v>
      </c>
    </row>
    <row r="5262" spans="1:6" x14ac:dyDescent="0.25">
      <c r="A5262" t="str">
        <f>"000007583"</f>
        <v>000007583</v>
      </c>
      <c r="B5262" t="str">
        <f>"1346445665"</f>
        <v>1346445665</v>
      </c>
      <c r="C5262" t="str">
        <f>"207R00000X"</f>
        <v>207R00000X</v>
      </c>
      <c r="D5262" t="str">
        <f>"BINGHAM                  MONTIANNA                "</f>
        <v xml:space="preserve">BINGHAM                  MONTIANNA                </v>
      </c>
      <c r="E5262" t="str">
        <f>"TUPELO                    "</f>
        <v xml:space="preserve">TUPELO                    </v>
      </c>
      <c r="F5262" t="str">
        <f t="shared" si="193"/>
        <v>MS</v>
      </c>
    </row>
    <row r="5263" spans="1:6" x14ac:dyDescent="0.25">
      <c r="A5263" t="str">
        <f>"000008822"</f>
        <v>000008822</v>
      </c>
      <c r="B5263" t="str">
        <f>"1083021240"</f>
        <v>1083021240</v>
      </c>
      <c r="C5263" t="str">
        <f>"363L00000X"</f>
        <v>363L00000X</v>
      </c>
      <c r="D5263" t="str">
        <f>"MEYERS                   ADAM         D           "</f>
        <v xml:space="preserve">MEYERS                   ADAM         D           </v>
      </c>
      <c r="E5263" t="str">
        <f>"HATTIESBURG               "</f>
        <v xml:space="preserve">HATTIESBURG               </v>
      </c>
      <c r="F5263" t="str">
        <f t="shared" si="193"/>
        <v>MS</v>
      </c>
    </row>
    <row r="5264" spans="1:6" x14ac:dyDescent="0.25">
      <c r="A5264" t="str">
        <f>"000008839"</f>
        <v>000008839</v>
      </c>
      <c r="B5264" t="str">
        <f>"1184997926"</f>
        <v>1184997926</v>
      </c>
      <c r="C5264" t="str">
        <f>"152W00000X"</f>
        <v>152W00000X</v>
      </c>
      <c r="D5264" t="str">
        <f>"LUCAS II                 VAN          A           "</f>
        <v xml:space="preserve">LUCAS II                 VAN          A           </v>
      </c>
      <c r="E5264" t="str">
        <f>"RIDGELAND                 "</f>
        <v xml:space="preserve">RIDGELAND                 </v>
      </c>
      <c r="F5264" t="str">
        <f t="shared" si="193"/>
        <v>MS</v>
      </c>
    </row>
    <row r="5265" spans="1:6" x14ac:dyDescent="0.25">
      <c r="A5265" t="str">
        <f>"000010036"</f>
        <v>000010036</v>
      </c>
      <c r="B5265" t="str">
        <f>"1033144118"</f>
        <v>1033144118</v>
      </c>
      <c r="C5265" t="str">
        <f>"207L00000X"</f>
        <v>207L00000X</v>
      </c>
      <c r="D5265" t="str">
        <f>"REYNOLDS                 DENISE       W           "</f>
        <v xml:space="preserve">REYNOLDS                 DENISE       W           </v>
      </c>
      <c r="E5265" t="str">
        <f>"LAUREL                    "</f>
        <v xml:space="preserve">LAUREL                    </v>
      </c>
      <c r="F5265" t="str">
        <f t="shared" si="193"/>
        <v>MS</v>
      </c>
    </row>
    <row r="5266" spans="1:6" x14ac:dyDescent="0.25">
      <c r="A5266" t="str">
        <f>"000010074"</f>
        <v>000010074</v>
      </c>
      <c r="B5266" t="str">
        <f>"1417961012"</f>
        <v>1417961012</v>
      </c>
      <c r="C5266" t="str">
        <f>"207R00000X"</f>
        <v>207R00000X</v>
      </c>
      <c r="D5266" t="str">
        <f>"HORNE                    WILLUS       M           "</f>
        <v xml:space="preserve">HORNE                    WILLUS       M           </v>
      </c>
      <c r="E5266" t="str">
        <f>"LAUREL                    "</f>
        <v xml:space="preserve">LAUREL                    </v>
      </c>
      <c r="F5266" t="str">
        <f t="shared" si="193"/>
        <v>MS</v>
      </c>
    </row>
    <row r="5267" spans="1:6" x14ac:dyDescent="0.25">
      <c r="A5267" t="str">
        <f>"000010261"</f>
        <v>000010261</v>
      </c>
      <c r="B5267" t="str">
        <f>"1235155979"</f>
        <v>1235155979</v>
      </c>
      <c r="C5267" t="str">
        <f>"207Y00000X"</f>
        <v>207Y00000X</v>
      </c>
      <c r="D5267" t="str">
        <f>"TUCKER                   BYRON        S           "</f>
        <v xml:space="preserve">TUCKER                   BYRON        S           </v>
      </c>
      <c r="E5267" t="str">
        <f>"MERIDIAN                  "</f>
        <v xml:space="preserve">MERIDIAN                  </v>
      </c>
      <c r="F5267" t="str">
        <f t="shared" si="193"/>
        <v>MS</v>
      </c>
    </row>
    <row r="5268" spans="1:6" x14ac:dyDescent="0.25">
      <c r="A5268" t="str">
        <f>"000010274"</f>
        <v>000010274</v>
      </c>
      <c r="B5268" t="str">
        <f>"1376518308"</f>
        <v>1376518308</v>
      </c>
      <c r="C5268" t="str">
        <f>"207Q00000X"</f>
        <v>207Q00000X</v>
      </c>
      <c r="D5268" t="str">
        <f>"THOMPSON                 TIMOTHY      F           "</f>
        <v xml:space="preserve">THOMPSON                 TIMOTHY      F           </v>
      </c>
      <c r="E5268" t="str">
        <f>"RIPLEY                    "</f>
        <v xml:space="preserve">RIPLEY                    </v>
      </c>
      <c r="F5268" t="str">
        <f t="shared" si="193"/>
        <v>MS</v>
      </c>
    </row>
    <row r="5269" spans="1:6" x14ac:dyDescent="0.25">
      <c r="A5269" t="str">
        <f>"000010311"</f>
        <v>000010311</v>
      </c>
      <c r="B5269" t="str">
        <f>"1851321384"</f>
        <v>1851321384</v>
      </c>
      <c r="C5269" t="str">
        <f>"207R00000X"</f>
        <v>207R00000X</v>
      </c>
      <c r="D5269" t="str">
        <f>"MCNAIR, JR               OBIE         M           "</f>
        <v xml:space="preserve">MCNAIR, JR               OBIE         M           </v>
      </c>
      <c r="E5269" t="str">
        <f>"JACKSON                   "</f>
        <v xml:space="preserve">JACKSON                   </v>
      </c>
      <c r="F5269" t="str">
        <f t="shared" si="193"/>
        <v>MS</v>
      </c>
    </row>
    <row r="5270" spans="1:6" x14ac:dyDescent="0.25">
      <c r="A5270" t="str">
        <f>"000010387"</f>
        <v>000010387</v>
      </c>
      <c r="B5270" t="str">
        <f>"1124026034"</f>
        <v>1124026034</v>
      </c>
      <c r="C5270" t="str">
        <f>"208800000X"</f>
        <v>208800000X</v>
      </c>
      <c r="D5270" t="str">
        <f>"DAWKINS                  CRAIG        A           "</f>
        <v xml:space="preserve">DAWKINS                  CRAIG        A           </v>
      </c>
      <c r="E5270" t="str">
        <f>"GULFPORT                  "</f>
        <v xml:space="preserve">GULFPORT                  </v>
      </c>
      <c r="F5270" t="str">
        <f t="shared" si="193"/>
        <v>MS</v>
      </c>
    </row>
    <row r="5271" spans="1:6" x14ac:dyDescent="0.25">
      <c r="A5271" t="str">
        <f>"000010457"</f>
        <v>000010457</v>
      </c>
      <c r="B5271" t="str">
        <f>"1285630715"</f>
        <v>1285630715</v>
      </c>
      <c r="C5271" t="str">
        <f>"207Q00000X"</f>
        <v>207Q00000X</v>
      </c>
      <c r="D5271" t="str">
        <f>"TURNER                   GERALD       A           "</f>
        <v xml:space="preserve">TURNER                   GERALD       A           </v>
      </c>
      <c r="E5271" t="str">
        <f>"WEST POINT                "</f>
        <v xml:space="preserve">WEST POINT                </v>
      </c>
      <c r="F5271" t="str">
        <f t="shared" si="193"/>
        <v>MS</v>
      </c>
    </row>
    <row r="5272" spans="1:6" x14ac:dyDescent="0.25">
      <c r="A5272" t="str">
        <f>"000010477"</f>
        <v>000010477</v>
      </c>
      <c r="B5272" t="str">
        <f>"1588715940"</f>
        <v>1588715940</v>
      </c>
      <c r="C5272" t="str">
        <f>"207V00000X"</f>
        <v>207V00000X</v>
      </c>
      <c r="D5272" t="str">
        <f>"CHANEY                   JAMES        P           "</f>
        <v xml:space="preserve">CHANEY                   JAMES        P           </v>
      </c>
      <c r="E5272" t="str">
        <f>"AMORY                     "</f>
        <v xml:space="preserve">AMORY                     </v>
      </c>
      <c r="F5272" t="str">
        <f t="shared" si="193"/>
        <v>MS</v>
      </c>
    </row>
    <row r="5273" spans="1:6" x14ac:dyDescent="0.25">
      <c r="A5273" t="str">
        <f>"000010478"</f>
        <v>000010478</v>
      </c>
      <c r="B5273" t="str">
        <f>"1063429470"</f>
        <v>1063429470</v>
      </c>
      <c r="C5273" t="str">
        <f>"207Q00000X"</f>
        <v>207Q00000X</v>
      </c>
      <c r="D5273" t="str">
        <f>"CAMPBELL                 GLENN        A           "</f>
        <v xml:space="preserve">CAMPBELL                 GLENN        A           </v>
      </c>
      <c r="E5273" t="str">
        <f>"HATTIESBURG               "</f>
        <v xml:space="preserve">HATTIESBURG               </v>
      </c>
      <c r="F5273" t="str">
        <f t="shared" si="193"/>
        <v>MS</v>
      </c>
    </row>
    <row r="5274" spans="1:6" x14ac:dyDescent="0.25">
      <c r="A5274" t="str">
        <f>"000010480"</f>
        <v>000010480</v>
      </c>
      <c r="B5274" t="str">
        <f>"1619911567"</f>
        <v>1619911567</v>
      </c>
      <c r="C5274" t="str">
        <f>"207L00000X"</f>
        <v>207L00000X</v>
      </c>
      <c r="D5274" t="str">
        <f>"MAXWELL                  WILBURN      M           "</f>
        <v xml:space="preserve">MAXWELL                  WILBURN      M           </v>
      </c>
      <c r="E5274" t="str">
        <f>"JACKSON                   "</f>
        <v xml:space="preserve">JACKSON                   </v>
      </c>
      <c r="F5274" t="str">
        <f t="shared" si="193"/>
        <v>MS</v>
      </c>
    </row>
    <row r="5275" spans="1:6" x14ac:dyDescent="0.25">
      <c r="A5275" t="str">
        <f>"000010503"</f>
        <v>000010503</v>
      </c>
      <c r="B5275" t="str">
        <f>"1932190774"</f>
        <v>1932190774</v>
      </c>
      <c r="C5275" t="str">
        <f>"207Q00000X"</f>
        <v>207Q00000X</v>
      </c>
      <c r="D5275" t="str">
        <f>"BEAMAN                   JOHN         M           "</f>
        <v xml:space="preserve">BEAMAN                   JOHN         M           </v>
      </c>
      <c r="E5275" t="str">
        <f>"RICHTON                   "</f>
        <v xml:space="preserve">RICHTON                   </v>
      </c>
      <c r="F5275" t="str">
        <f t="shared" si="193"/>
        <v>MS</v>
      </c>
    </row>
    <row r="5276" spans="1:6" x14ac:dyDescent="0.25">
      <c r="A5276" t="str">
        <f>"000010518"</f>
        <v>000010518</v>
      </c>
      <c r="B5276" t="str">
        <f>"1851477079"</f>
        <v>1851477079</v>
      </c>
      <c r="C5276" t="str">
        <f>"207Q00000X"</f>
        <v>207Q00000X</v>
      </c>
      <c r="D5276" t="str">
        <f>"LONGEST JR               TOM          B           "</f>
        <v xml:space="preserve">LONGEST JR               TOM          B           </v>
      </c>
      <c r="E5276" t="str">
        <f>"BRUCE                     "</f>
        <v xml:space="preserve">BRUCE                     </v>
      </c>
      <c r="F5276" t="str">
        <f t="shared" si="193"/>
        <v>MS</v>
      </c>
    </row>
    <row r="5277" spans="1:6" x14ac:dyDescent="0.25">
      <c r="A5277" t="str">
        <f>"000010520"</f>
        <v>000010520</v>
      </c>
      <c r="B5277" t="str">
        <f>"1205806155"</f>
        <v>1205806155</v>
      </c>
      <c r="C5277" t="str">
        <f>"207RN0300X"</f>
        <v>207RN0300X</v>
      </c>
      <c r="D5277" t="str">
        <f>"LEE, JR                  JOHN         M           "</f>
        <v xml:space="preserve">LEE, JR                  JOHN         M           </v>
      </c>
      <c r="E5277" t="str">
        <f>"TUPELO                    "</f>
        <v xml:space="preserve">TUPELO                    </v>
      </c>
      <c r="F5277" t="str">
        <f t="shared" si="193"/>
        <v>MS</v>
      </c>
    </row>
    <row r="5278" spans="1:6" x14ac:dyDescent="0.25">
      <c r="A5278" t="str">
        <f>"000010599"</f>
        <v>000010599</v>
      </c>
      <c r="B5278" t="str">
        <f>"1689617185"</f>
        <v>1689617185</v>
      </c>
      <c r="C5278" t="str">
        <f>"207Q00000X"</f>
        <v>207Q00000X</v>
      </c>
      <c r="D5278" t="str">
        <f>"HOLLISTER                JOHN         J           "</f>
        <v xml:space="preserve">HOLLISTER                JOHN         J           </v>
      </c>
      <c r="E5278" t="str">
        <f>"STARKVILLE                "</f>
        <v xml:space="preserve">STARKVILLE                </v>
      </c>
      <c r="F5278" t="str">
        <f t="shared" si="193"/>
        <v>MS</v>
      </c>
    </row>
    <row r="5279" spans="1:6" x14ac:dyDescent="0.25">
      <c r="A5279" t="str">
        <f>"000010628"</f>
        <v>000010628</v>
      </c>
      <c r="B5279" t="str">
        <f>"1861422305"</f>
        <v>1861422305</v>
      </c>
      <c r="C5279" t="str">
        <f>"207P00000X"</f>
        <v>207P00000X</v>
      </c>
      <c r="D5279" t="str">
        <f>"HESTER                   DEBORAH                  "</f>
        <v xml:space="preserve">HESTER                   DEBORAH                  </v>
      </c>
      <c r="E5279" t="str">
        <f>"AMORY                     "</f>
        <v xml:space="preserve">AMORY                     </v>
      </c>
      <c r="F5279" t="str">
        <f t="shared" si="193"/>
        <v>MS</v>
      </c>
    </row>
    <row r="5280" spans="1:6" x14ac:dyDescent="0.25">
      <c r="A5280" t="str">
        <f>"000010630"</f>
        <v>000010630</v>
      </c>
      <c r="B5280" t="str">
        <f>"1023043221"</f>
        <v>1023043221</v>
      </c>
      <c r="C5280" t="str">
        <f>"207L00000X"</f>
        <v>207L00000X</v>
      </c>
      <c r="D5280" t="str">
        <f>"DOUGLAS III              JOHN         H           "</f>
        <v xml:space="preserve">DOUGLAS III              JOHN         H           </v>
      </c>
      <c r="E5280" t="str">
        <f>"TUPELO                    "</f>
        <v xml:space="preserve">TUPELO                    </v>
      </c>
      <c r="F5280" t="str">
        <f t="shared" si="193"/>
        <v>MS</v>
      </c>
    </row>
    <row r="5281" spans="1:6" x14ac:dyDescent="0.25">
      <c r="A5281" t="str">
        <f>"000010791"</f>
        <v>000010791</v>
      </c>
      <c r="B5281" t="str">
        <f>"1790709079"</f>
        <v>1790709079</v>
      </c>
      <c r="C5281" t="str">
        <f>"207Q00000X"</f>
        <v>207Q00000X</v>
      </c>
      <c r="D5281" t="str">
        <f>"CAIN JR                  GEORGE       L           "</f>
        <v xml:space="preserve">CAIN JR                  GEORGE       L           </v>
      </c>
      <c r="E5281" t="str">
        <f>"CORINTH                   "</f>
        <v xml:space="preserve">CORINTH                   </v>
      </c>
      <c r="F5281" t="str">
        <f t="shared" si="193"/>
        <v>MS</v>
      </c>
    </row>
    <row r="5282" spans="1:6" x14ac:dyDescent="0.25">
      <c r="A5282" t="str">
        <f>"000010869"</f>
        <v>000010869</v>
      </c>
      <c r="B5282" t="str">
        <f>"1508893074"</f>
        <v>1508893074</v>
      </c>
      <c r="C5282" t="str">
        <f>"2084P0800X"</f>
        <v>2084P0800X</v>
      </c>
      <c r="D5282" t="str">
        <f>"COLLINS JR               ROSS         E           "</f>
        <v xml:space="preserve">COLLINS JR               ROSS         E           </v>
      </c>
      <c r="E5282" t="str">
        <f>"TUPELO                    "</f>
        <v xml:space="preserve">TUPELO                    </v>
      </c>
      <c r="F5282" t="str">
        <f t="shared" si="193"/>
        <v>MS</v>
      </c>
    </row>
    <row r="5283" spans="1:6" x14ac:dyDescent="0.25">
      <c r="A5283" t="str">
        <f>"000010871"</f>
        <v>000010871</v>
      </c>
      <c r="B5283" t="str">
        <f>"1639212541"</f>
        <v>1639212541</v>
      </c>
      <c r="C5283" t="str">
        <f>"207Q00000X"</f>
        <v>207Q00000X</v>
      </c>
      <c r="D5283" t="str">
        <f>"RISER                    JAMES        M           "</f>
        <v xml:space="preserve">RISER                    JAMES        M           </v>
      </c>
      <c r="E5283" t="str">
        <f>"PICAYUNE                  "</f>
        <v xml:space="preserve">PICAYUNE                  </v>
      </c>
      <c r="F5283" t="str">
        <f t="shared" si="193"/>
        <v>MS</v>
      </c>
    </row>
    <row r="5284" spans="1:6" x14ac:dyDescent="0.25">
      <c r="A5284" t="str">
        <f>"000010874"</f>
        <v>000010874</v>
      </c>
      <c r="B5284" t="str">
        <f>"1447323001"</f>
        <v>1447323001</v>
      </c>
      <c r="C5284" t="str">
        <f>"2084N0400X"</f>
        <v>2084N0400X</v>
      </c>
      <c r="D5284" t="str">
        <f>"ROSS                     DIANE        E           "</f>
        <v xml:space="preserve">ROSS                     DIANE        E           </v>
      </c>
      <c r="E5284" t="str">
        <f>"GULFPORT                  "</f>
        <v xml:space="preserve">GULFPORT                  </v>
      </c>
      <c r="F5284" t="str">
        <f t="shared" si="193"/>
        <v>MS</v>
      </c>
    </row>
    <row r="5285" spans="1:6" x14ac:dyDescent="0.25">
      <c r="A5285" t="str">
        <f>"000010895"</f>
        <v>000010895</v>
      </c>
      <c r="B5285" t="str">
        <f>"1568560530"</f>
        <v>1568560530</v>
      </c>
      <c r="C5285" t="str">
        <f>"207R00000X"</f>
        <v>207R00000X</v>
      </c>
      <c r="D5285" t="str">
        <f>"WILSON                   JOSEPH       L           "</f>
        <v xml:space="preserve">WILSON                   JOSEPH       L           </v>
      </c>
      <c r="E5285" t="str">
        <f>"VICKSBURG                 "</f>
        <v xml:space="preserve">VICKSBURG                 </v>
      </c>
      <c r="F5285" t="str">
        <f t="shared" si="193"/>
        <v>MS</v>
      </c>
    </row>
    <row r="5286" spans="1:6" x14ac:dyDescent="0.25">
      <c r="A5286" t="str">
        <f>"000010920"</f>
        <v>000010920</v>
      </c>
      <c r="B5286" t="str">
        <f>"1780687855"</f>
        <v>1780687855</v>
      </c>
      <c r="C5286" t="str">
        <f>"207R00000X"</f>
        <v>207R00000X</v>
      </c>
      <c r="D5286" t="str">
        <f>"CRITTENDEN               JAMES        C           "</f>
        <v xml:space="preserve">CRITTENDEN               JAMES        C           </v>
      </c>
      <c r="E5286" t="str">
        <f>"BAY SAINT LOUIS           "</f>
        <v xml:space="preserve">BAY SAINT LOUIS           </v>
      </c>
      <c r="F5286" t="str">
        <f t="shared" si="193"/>
        <v>MS</v>
      </c>
    </row>
    <row r="5287" spans="1:6" x14ac:dyDescent="0.25">
      <c r="A5287" t="str">
        <f>"000011031"</f>
        <v>000011031</v>
      </c>
      <c r="B5287" t="str">
        <f>"1275543597"</f>
        <v>1275543597</v>
      </c>
      <c r="C5287" t="str">
        <f>"207R00000X"</f>
        <v>207R00000X</v>
      </c>
      <c r="D5287" t="str">
        <f>"TENNIN JR                L C                      "</f>
        <v xml:space="preserve">TENNIN JR                L C                      </v>
      </c>
      <c r="E5287" t="str">
        <f>"CANTON                    "</f>
        <v xml:space="preserve">CANTON                    </v>
      </c>
      <c r="F5287" t="str">
        <f t="shared" si="193"/>
        <v>MS</v>
      </c>
    </row>
    <row r="5288" spans="1:6" x14ac:dyDescent="0.25">
      <c r="A5288" t="str">
        <f>"000011047"</f>
        <v>000011047</v>
      </c>
      <c r="B5288" t="str">
        <f>"1609983725"</f>
        <v>1609983725</v>
      </c>
      <c r="C5288" t="str">
        <f>"208800000X"</f>
        <v>208800000X</v>
      </c>
      <c r="D5288" t="str">
        <f>"FRASER JR                LIONEL       B           "</f>
        <v xml:space="preserve">FRASER JR                LIONEL       B           </v>
      </c>
      <c r="E5288" t="str">
        <f>"JACKSON                   "</f>
        <v xml:space="preserve">JACKSON                   </v>
      </c>
      <c r="F5288" t="str">
        <f t="shared" si="193"/>
        <v>MS</v>
      </c>
    </row>
    <row r="5289" spans="1:6" x14ac:dyDescent="0.25">
      <c r="A5289" t="str">
        <f>"000011092"</f>
        <v>000011092</v>
      </c>
      <c r="B5289" t="str">
        <f>"1952371387"</f>
        <v>1952371387</v>
      </c>
      <c r="C5289" t="str">
        <f>"207Q00000X"</f>
        <v>207Q00000X</v>
      </c>
      <c r="D5289" t="str">
        <f>"CAPPLEMAN                TROY                     "</f>
        <v xml:space="preserve">CAPPLEMAN                TROY                     </v>
      </c>
      <c r="E5289" t="str">
        <f>"NEW ALBANY                "</f>
        <v xml:space="preserve">NEW ALBANY                </v>
      </c>
      <c r="F5289" t="str">
        <f t="shared" si="193"/>
        <v>MS</v>
      </c>
    </row>
    <row r="5290" spans="1:6" x14ac:dyDescent="0.25">
      <c r="A5290" t="str">
        <f>"000011131"</f>
        <v>000011131</v>
      </c>
      <c r="B5290" t="str">
        <f>"1356339352"</f>
        <v>1356339352</v>
      </c>
      <c r="C5290" t="str">
        <f>"207Q00000X"</f>
        <v>207Q00000X</v>
      </c>
      <c r="D5290" t="str">
        <f>"COLLINS                  SHARON                   "</f>
        <v xml:space="preserve">COLLINS                  SHARON                   </v>
      </c>
      <c r="E5290" t="str">
        <f>"TYLERTOWN                 "</f>
        <v xml:space="preserve">TYLERTOWN                 </v>
      </c>
      <c r="F5290" t="str">
        <f t="shared" si="193"/>
        <v>MS</v>
      </c>
    </row>
    <row r="5291" spans="1:6" x14ac:dyDescent="0.25">
      <c r="A5291" t="str">
        <f>"000011155"</f>
        <v>000011155</v>
      </c>
      <c r="B5291" t="str">
        <f>"1851480974"</f>
        <v>1851480974</v>
      </c>
      <c r="C5291" t="str">
        <f>"207R00000X"</f>
        <v>207R00000X</v>
      </c>
      <c r="D5291" t="str">
        <f>"WILLIAMS                 KENNETH                  "</f>
        <v xml:space="preserve">WILLIAMS                 KENNETH                  </v>
      </c>
      <c r="E5291" t="str">
        <f>"HOLLY SPRINGS             "</f>
        <v xml:space="preserve">HOLLY SPRINGS             </v>
      </c>
      <c r="F5291" t="str">
        <f t="shared" si="193"/>
        <v>MS</v>
      </c>
    </row>
    <row r="5292" spans="1:6" x14ac:dyDescent="0.25">
      <c r="A5292" t="str">
        <f>"000011216"</f>
        <v>000011216</v>
      </c>
      <c r="B5292" t="str">
        <f>"1033103122"</f>
        <v>1033103122</v>
      </c>
      <c r="C5292" t="str">
        <f>"207R00000X"</f>
        <v>207R00000X</v>
      </c>
      <c r="D5292" t="str">
        <f>"CANNON                   DON          T           "</f>
        <v xml:space="preserve">CANNON                   DON          T           </v>
      </c>
      <c r="E5292" t="str">
        <f>"JACKSON                   "</f>
        <v xml:space="preserve">JACKSON                   </v>
      </c>
      <c r="F5292" t="str">
        <f t="shared" si="193"/>
        <v>MS</v>
      </c>
    </row>
    <row r="5293" spans="1:6" x14ac:dyDescent="0.25">
      <c r="A5293" t="str">
        <f>"000011229"</f>
        <v>000011229</v>
      </c>
      <c r="B5293" t="str">
        <f>"1043263841"</f>
        <v>1043263841</v>
      </c>
      <c r="C5293" t="str">
        <f>"207V00000X"</f>
        <v>207V00000X</v>
      </c>
      <c r="D5293" t="str">
        <f>"ETHRIDGE                 JESSE        C           "</f>
        <v xml:space="preserve">ETHRIDGE                 JESSE        C           </v>
      </c>
      <c r="E5293" t="str">
        <f>"JACKSON                   "</f>
        <v xml:space="preserve">JACKSON                   </v>
      </c>
      <c r="F5293" t="str">
        <f t="shared" si="193"/>
        <v>MS</v>
      </c>
    </row>
    <row r="5294" spans="1:6" x14ac:dyDescent="0.25">
      <c r="A5294" t="str">
        <f>"000011233"</f>
        <v>000011233</v>
      </c>
      <c r="B5294" t="str">
        <f>"1053349373"</f>
        <v>1053349373</v>
      </c>
      <c r="C5294" t="str">
        <f>"207RC0000X"</f>
        <v>207RC0000X</v>
      </c>
      <c r="D5294" t="str">
        <f>"WHITAKER                 MURRAY       P           "</f>
        <v xml:space="preserve">WHITAKER                 MURRAY       P           </v>
      </c>
      <c r="E5294" t="str">
        <f>"VICKSBURG                 "</f>
        <v xml:space="preserve">VICKSBURG                 </v>
      </c>
      <c r="F5294" t="str">
        <f t="shared" si="193"/>
        <v>MS</v>
      </c>
    </row>
    <row r="5295" spans="1:6" x14ac:dyDescent="0.25">
      <c r="A5295" t="str">
        <f>"000011284"</f>
        <v>000011284</v>
      </c>
      <c r="B5295" t="str">
        <f>"1255462230"</f>
        <v>1255462230</v>
      </c>
      <c r="C5295" t="str">
        <f>"2084P0800X"</f>
        <v>2084P0800X</v>
      </c>
      <c r="D5295" t="str">
        <f>"KELLY                    GRACE        P           "</f>
        <v xml:space="preserve">KELLY                    GRACE        P           </v>
      </c>
      <c r="E5295" t="str">
        <f>"MERIDIAN                  "</f>
        <v xml:space="preserve">MERIDIAN                  </v>
      </c>
      <c r="F5295" t="str">
        <f t="shared" si="193"/>
        <v>MS</v>
      </c>
    </row>
    <row r="5296" spans="1:6" x14ac:dyDescent="0.25">
      <c r="A5296" t="str">
        <f>"000011367"</f>
        <v>000011367</v>
      </c>
      <c r="B5296" t="str">
        <f>"1699791772"</f>
        <v>1699791772</v>
      </c>
      <c r="C5296" t="str">
        <f>"208G00000X"</f>
        <v>208G00000X</v>
      </c>
      <c r="D5296" t="str">
        <f>"GROGLIO                  GREGORY                  "</f>
        <v xml:space="preserve">GROGLIO                  GREGORY                  </v>
      </c>
      <c r="E5296" t="str">
        <f>"HATTIESBURG               "</f>
        <v xml:space="preserve">HATTIESBURG               </v>
      </c>
      <c r="F5296" t="str">
        <f t="shared" si="193"/>
        <v>MS</v>
      </c>
    </row>
    <row r="5297" spans="1:6" x14ac:dyDescent="0.25">
      <c r="A5297" t="str">
        <f>"000011396"</f>
        <v>000011396</v>
      </c>
      <c r="B5297" t="str">
        <f>"1841537909"</f>
        <v>1841537909</v>
      </c>
      <c r="C5297" t="str">
        <f>"207Q00000X"</f>
        <v>207Q00000X</v>
      </c>
      <c r="D5297" t="str">
        <f>"MILHORN                  HOWARD       T           "</f>
        <v xml:space="preserve">MILHORN                  HOWARD       T           </v>
      </c>
      <c r="E5297" t="str">
        <f>"MERIDIAN                  "</f>
        <v xml:space="preserve">MERIDIAN                  </v>
      </c>
      <c r="F5297" t="str">
        <f t="shared" si="193"/>
        <v>MS</v>
      </c>
    </row>
    <row r="5298" spans="1:6" x14ac:dyDescent="0.25">
      <c r="A5298" t="str">
        <f>"000011530"</f>
        <v>000011530</v>
      </c>
      <c r="B5298" t="str">
        <f>"1720209257"</f>
        <v>1720209257</v>
      </c>
      <c r="C5298" t="str">
        <f>"207Q00000X"</f>
        <v>207Q00000X</v>
      </c>
      <c r="D5298" t="str">
        <f>"GABBERT                  ELMO                     "</f>
        <v xml:space="preserve">GABBERT                  ELMO                     </v>
      </c>
      <c r="E5298" t="str">
        <f>"MEADVILLE                 "</f>
        <v xml:space="preserve">MEADVILLE                 </v>
      </c>
      <c r="F5298" t="str">
        <f t="shared" si="193"/>
        <v>MS</v>
      </c>
    </row>
    <row r="5299" spans="1:6" x14ac:dyDescent="0.25">
      <c r="A5299" t="str">
        <f>"000011695"</f>
        <v>000011695</v>
      </c>
      <c r="B5299" t="str">
        <f>"1366445520"</f>
        <v>1366445520</v>
      </c>
      <c r="C5299" t="str">
        <f>"207W00000X"</f>
        <v>207W00000X</v>
      </c>
      <c r="D5299" t="str">
        <f>"GILLESPIE III            WILLIAM      M           "</f>
        <v xml:space="preserve">GILLESPIE III            WILLIAM      M           </v>
      </c>
      <c r="E5299" t="str">
        <f>"COLUMBUS                  "</f>
        <v xml:space="preserve">COLUMBUS                  </v>
      </c>
      <c r="F5299" t="str">
        <f t="shared" si="193"/>
        <v>MS</v>
      </c>
    </row>
    <row r="5300" spans="1:6" x14ac:dyDescent="0.25">
      <c r="A5300" t="str">
        <f>"000011825"</f>
        <v>000011825</v>
      </c>
      <c r="B5300" t="str">
        <f>"1740283126"</f>
        <v>1740283126</v>
      </c>
      <c r="C5300" t="str">
        <f>"207RG0100X"</f>
        <v>207RG0100X</v>
      </c>
      <c r="D5300" t="str">
        <f>"BUCKLEY                  STEPHEN      E           "</f>
        <v xml:space="preserve">BUCKLEY                  STEPHEN      E           </v>
      </c>
      <c r="E5300" t="str">
        <f>"HATTIESBURG               "</f>
        <v xml:space="preserve">HATTIESBURG               </v>
      </c>
      <c r="F5300" t="str">
        <f t="shared" si="193"/>
        <v>MS</v>
      </c>
    </row>
    <row r="5301" spans="1:6" x14ac:dyDescent="0.25">
      <c r="A5301" t="str">
        <f>"000011831"</f>
        <v>000011831</v>
      </c>
      <c r="B5301" t="str">
        <f>"1982638292"</f>
        <v>1982638292</v>
      </c>
      <c r="C5301" t="str">
        <f>"2085R0202X"</f>
        <v>2085R0202X</v>
      </c>
      <c r="D5301" t="str">
        <f>"MCPHERSON                SCOTT        H           "</f>
        <v xml:space="preserve">MCPHERSON                SCOTT        H           </v>
      </c>
      <c r="E5301" t="str">
        <f>"JACKSON                   "</f>
        <v xml:space="preserve">JACKSON                   </v>
      </c>
      <c r="F5301" t="str">
        <f t="shared" si="193"/>
        <v>MS</v>
      </c>
    </row>
    <row r="5302" spans="1:6" x14ac:dyDescent="0.25">
      <c r="A5302" t="str">
        <f>"000011851"</f>
        <v>000011851</v>
      </c>
      <c r="B5302" t="str">
        <f>"1568431963"</f>
        <v>1568431963</v>
      </c>
      <c r="C5302" t="str">
        <f>"207W00000X"</f>
        <v>207W00000X</v>
      </c>
      <c r="D5302" t="str">
        <f>"WILLIAMS                 ALBERT       T           "</f>
        <v xml:space="preserve">WILLIAMS                 ALBERT       T           </v>
      </c>
      <c r="E5302" t="str">
        <f>"JACKSON                   "</f>
        <v xml:space="preserve">JACKSON                   </v>
      </c>
      <c r="F5302" t="str">
        <f t="shared" si="193"/>
        <v>MS</v>
      </c>
    </row>
    <row r="5303" spans="1:6" x14ac:dyDescent="0.25">
      <c r="A5303" t="str">
        <f>"000011930"</f>
        <v>000011930</v>
      </c>
      <c r="B5303" t="str">
        <f>"1760559751"</f>
        <v>1760559751</v>
      </c>
      <c r="C5303" t="str">
        <f>"207R00000X"</f>
        <v>207R00000X</v>
      </c>
      <c r="D5303" t="str">
        <f>"WHITE, JR.               ALLISON      R           "</f>
        <v xml:space="preserve">WHITE, JR.               ALLISON      R           </v>
      </c>
      <c r="E5303" t="str">
        <f>"GREENWOOD                 "</f>
        <v xml:space="preserve">GREENWOOD                 </v>
      </c>
      <c r="F5303" t="str">
        <f t="shared" si="193"/>
        <v>MS</v>
      </c>
    </row>
    <row r="5304" spans="1:6" x14ac:dyDescent="0.25">
      <c r="A5304" t="str">
        <f>"000012187"</f>
        <v>000012187</v>
      </c>
      <c r="B5304" t="str">
        <f>"1700805553"</f>
        <v>1700805553</v>
      </c>
      <c r="C5304" t="str">
        <f>"207RC0000X"</f>
        <v>207RC0000X</v>
      </c>
      <c r="D5304" t="str">
        <f>"REYNOLDS JR              GEORGE       M           "</f>
        <v xml:space="preserve">REYNOLDS JR              GEORGE       M           </v>
      </c>
      <c r="E5304" t="str">
        <f>"FLOWOOD                   "</f>
        <v xml:space="preserve">FLOWOOD                   </v>
      </c>
      <c r="F5304" t="str">
        <f t="shared" si="193"/>
        <v>MS</v>
      </c>
    </row>
    <row r="5305" spans="1:6" x14ac:dyDescent="0.25">
      <c r="A5305" t="str">
        <f>"000012299"</f>
        <v>000012299</v>
      </c>
      <c r="B5305" t="str">
        <f>"1326139726"</f>
        <v>1326139726</v>
      </c>
      <c r="C5305" t="str">
        <f>"207L00000X"</f>
        <v>207L00000X</v>
      </c>
      <c r="D5305" t="str">
        <f>"MEHTA                    MAHESH       P           "</f>
        <v xml:space="preserve">MEHTA                    MAHESH       P           </v>
      </c>
      <c r="E5305" t="str">
        <f>"JACKSON                   "</f>
        <v xml:space="preserve">JACKSON                   </v>
      </c>
      <c r="F5305" t="str">
        <f t="shared" si="193"/>
        <v>MS</v>
      </c>
    </row>
    <row r="5306" spans="1:6" x14ac:dyDescent="0.25">
      <c r="A5306" t="str">
        <f>"000012338"</f>
        <v>000012338</v>
      </c>
      <c r="B5306" t="str">
        <f>"1285616144"</f>
        <v>1285616144</v>
      </c>
      <c r="C5306" t="str">
        <f>"207Q00000X"</f>
        <v>207Q00000X</v>
      </c>
      <c r="D5306" t="str">
        <f>"GOODMAN                  BARBARA      B           "</f>
        <v xml:space="preserve">GOODMAN                  BARBARA      B           </v>
      </c>
      <c r="E5306" t="str">
        <f>"MERIDIAN                  "</f>
        <v xml:space="preserve">MERIDIAN                  </v>
      </c>
      <c r="F5306" t="str">
        <f t="shared" si="193"/>
        <v>MS</v>
      </c>
    </row>
    <row r="5307" spans="1:6" x14ac:dyDescent="0.25">
      <c r="A5307" t="str">
        <f>"000012364"</f>
        <v>000012364</v>
      </c>
      <c r="B5307" t="str">
        <f>"1659449361"</f>
        <v>1659449361</v>
      </c>
      <c r="C5307" t="str">
        <f>"207R00000X"</f>
        <v>207R00000X</v>
      </c>
      <c r="D5307" t="str">
        <f>"GREENHAW                 DAVID        N           "</f>
        <v xml:space="preserve">GREENHAW                 DAVID        N           </v>
      </c>
      <c r="E5307" t="str">
        <f>"BOONEVILLE                "</f>
        <v xml:space="preserve">BOONEVILLE                </v>
      </c>
      <c r="F5307" t="str">
        <f t="shared" si="193"/>
        <v>MS</v>
      </c>
    </row>
    <row r="5308" spans="1:6" x14ac:dyDescent="0.25">
      <c r="A5308" t="str">
        <f>"000012503"</f>
        <v>000012503</v>
      </c>
      <c r="B5308" t="str">
        <f>"1215063219"</f>
        <v>1215063219</v>
      </c>
      <c r="C5308" t="str">
        <f>"2085R0202X"</f>
        <v>2085R0202X</v>
      </c>
      <c r="D5308" t="str">
        <f>"HINES                    KENNETH      L           "</f>
        <v xml:space="preserve">HINES                    KENNETH      L           </v>
      </c>
      <c r="E5308" t="str">
        <f>"GREENWOOD                 "</f>
        <v xml:space="preserve">GREENWOOD                 </v>
      </c>
      <c r="F5308" t="str">
        <f t="shared" si="193"/>
        <v>MS</v>
      </c>
    </row>
    <row r="5309" spans="1:6" x14ac:dyDescent="0.25">
      <c r="A5309" t="str">
        <f>"000012527"</f>
        <v>000012527</v>
      </c>
      <c r="B5309" t="str">
        <f>"1124179791"</f>
        <v>1124179791</v>
      </c>
      <c r="C5309" t="str">
        <f>"207Q00000X"</f>
        <v>207Q00000X</v>
      </c>
      <c r="D5309" t="str">
        <f>"PAVLOV                   JOHN         P           "</f>
        <v xml:space="preserve">PAVLOV                   JOHN         P           </v>
      </c>
      <c r="E5309" t="str">
        <f>"PASCAGOULA                "</f>
        <v xml:space="preserve">PASCAGOULA                </v>
      </c>
      <c r="F5309" t="str">
        <f t="shared" si="193"/>
        <v>MS</v>
      </c>
    </row>
    <row r="5310" spans="1:6" x14ac:dyDescent="0.25">
      <c r="A5310" t="str">
        <f>"000012582"</f>
        <v>000012582</v>
      </c>
      <c r="B5310" t="str">
        <f>"1720087521"</f>
        <v>1720087521</v>
      </c>
      <c r="C5310" t="str">
        <f>"207Q00000X"</f>
        <v>207Q00000X</v>
      </c>
      <c r="D5310" t="str">
        <f>"BOOKER                   WILLLIAM     L           "</f>
        <v xml:space="preserve">BOOKER                   WILLLIAM     L           </v>
      </c>
      <c r="E5310" t="str">
        <f>"CLARKSDALE                "</f>
        <v xml:space="preserve">CLARKSDALE                </v>
      </c>
      <c r="F5310" t="str">
        <f t="shared" ref="F5310:F5373" si="194">"MS"</f>
        <v>MS</v>
      </c>
    </row>
    <row r="5311" spans="1:6" x14ac:dyDescent="0.25">
      <c r="A5311" t="str">
        <f>"000012634"</f>
        <v>000012634</v>
      </c>
      <c r="B5311" t="str">
        <f>"1487762001"</f>
        <v>1487762001</v>
      </c>
      <c r="C5311" t="str">
        <f>"207W00000X"</f>
        <v>207W00000X</v>
      </c>
      <c r="D5311" t="str">
        <f>"WILLIAMSON               STONEY                   "</f>
        <v xml:space="preserve">WILLIAMSON               STONEY                   </v>
      </c>
      <c r="E5311" t="str">
        <f>"HATTIESBURG               "</f>
        <v xml:space="preserve">HATTIESBURG               </v>
      </c>
      <c r="F5311" t="str">
        <f t="shared" si="194"/>
        <v>MS</v>
      </c>
    </row>
    <row r="5312" spans="1:6" x14ac:dyDescent="0.25">
      <c r="A5312" t="str">
        <f>"000012670"</f>
        <v>000012670</v>
      </c>
      <c r="B5312" t="str">
        <f>"1548366768"</f>
        <v>1548366768</v>
      </c>
      <c r="C5312" t="str">
        <f>"2084N0400X"</f>
        <v>2084N0400X</v>
      </c>
      <c r="D5312" t="str">
        <f>"TIPTON JR                ANCEL        C           "</f>
        <v xml:space="preserve">TIPTON JR                ANCEL        C           </v>
      </c>
      <c r="E5312" t="str">
        <f>"JACKSON                   "</f>
        <v xml:space="preserve">JACKSON                   </v>
      </c>
      <c r="F5312" t="str">
        <f t="shared" si="194"/>
        <v>MS</v>
      </c>
    </row>
    <row r="5313" spans="1:6" x14ac:dyDescent="0.25">
      <c r="A5313" t="str">
        <f>"000012689"</f>
        <v>000012689</v>
      </c>
      <c r="B5313" t="str">
        <f>"1720094196"</f>
        <v>1720094196</v>
      </c>
      <c r="C5313" t="str">
        <f>"207R00000X"</f>
        <v>207R00000X</v>
      </c>
      <c r="D5313" t="str">
        <f>"BROOKINS REDDIX          NATALIE                  "</f>
        <v xml:space="preserve">BROOKINS REDDIX          NATALIE                  </v>
      </c>
      <c r="E5313" t="str">
        <f>"JACKSON                   "</f>
        <v xml:space="preserve">JACKSON                   </v>
      </c>
      <c r="F5313" t="str">
        <f t="shared" si="194"/>
        <v>MS</v>
      </c>
    </row>
    <row r="5314" spans="1:6" x14ac:dyDescent="0.25">
      <c r="A5314" t="str">
        <f>"000012749"</f>
        <v>000012749</v>
      </c>
      <c r="B5314" t="str">
        <f>"1669488979"</f>
        <v>1669488979</v>
      </c>
      <c r="C5314" t="str">
        <f>"207Q00000X"</f>
        <v>207Q00000X</v>
      </c>
      <c r="D5314" t="str">
        <f>"BUSHARDT                 LISA                     "</f>
        <v xml:space="preserve">BUSHARDT                 LISA                     </v>
      </c>
      <c r="E5314" t="str">
        <f>"HATTIESBURG               "</f>
        <v xml:space="preserve">HATTIESBURG               </v>
      </c>
      <c r="F5314" t="str">
        <f t="shared" si="194"/>
        <v>MS</v>
      </c>
    </row>
    <row r="5315" spans="1:6" x14ac:dyDescent="0.25">
      <c r="A5315" t="str">
        <f>"000012868"</f>
        <v>000012868</v>
      </c>
      <c r="B5315" t="str">
        <f>"1992732044"</f>
        <v>1992732044</v>
      </c>
      <c r="C5315" t="str">
        <f>"207P00000X"</f>
        <v>207P00000X</v>
      </c>
      <c r="D5315" t="str">
        <f>"FINLEY                   RICHARD                  "</f>
        <v xml:space="preserve">FINLEY                   RICHARD                  </v>
      </c>
      <c r="E5315" t="str">
        <f>"JACKSON                   "</f>
        <v xml:space="preserve">JACKSON                   </v>
      </c>
      <c r="F5315" t="str">
        <f t="shared" si="194"/>
        <v>MS</v>
      </c>
    </row>
    <row r="5316" spans="1:6" x14ac:dyDescent="0.25">
      <c r="A5316" t="str">
        <f>"000012932"</f>
        <v>000012932</v>
      </c>
      <c r="B5316" t="str">
        <f>"1619084936"</f>
        <v>1619084936</v>
      </c>
      <c r="C5316" t="str">
        <f>"207L00000X"</f>
        <v>207L00000X</v>
      </c>
      <c r="D5316" t="str">
        <f>"REA                      JEANNE       A           "</f>
        <v xml:space="preserve">REA                      JEANNE       A           </v>
      </c>
      <c r="E5316" t="str">
        <f>"COLUMBUS                  "</f>
        <v xml:space="preserve">COLUMBUS                  </v>
      </c>
      <c r="F5316" t="str">
        <f t="shared" si="194"/>
        <v>MS</v>
      </c>
    </row>
    <row r="5317" spans="1:6" x14ac:dyDescent="0.25">
      <c r="A5317" t="str">
        <f>"000012939"</f>
        <v>000012939</v>
      </c>
      <c r="B5317" t="str">
        <f>"1235231606"</f>
        <v>1235231606</v>
      </c>
      <c r="C5317" t="str">
        <f>"207Q00000X"</f>
        <v>207Q00000X</v>
      </c>
      <c r="D5317" t="str">
        <f>"HANKINS                  RANDY        R           "</f>
        <v xml:space="preserve">HANKINS                  RANDY        R           </v>
      </c>
      <c r="E5317" t="str">
        <f>"HAZLEHURST                "</f>
        <v xml:space="preserve">HAZLEHURST                </v>
      </c>
      <c r="F5317" t="str">
        <f t="shared" si="194"/>
        <v>MS</v>
      </c>
    </row>
    <row r="5318" spans="1:6" x14ac:dyDescent="0.25">
      <c r="A5318" t="str">
        <f>"000012984"</f>
        <v>000012984</v>
      </c>
      <c r="B5318" t="str">
        <f>"1518969724"</f>
        <v>1518969724</v>
      </c>
      <c r="C5318" t="str">
        <f>"2085R0203X"</f>
        <v>2085R0203X</v>
      </c>
      <c r="D5318" t="str">
        <f>"ZACHOW                   STEVEN       E           "</f>
        <v xml:space="preserve">ZACHOW                   STEVEN       E           </v>
      </c>
      <c r="E5318" t="str">
        <f>"JACKSON                   "</f>
        <v xml:space="preserve">JACKSON                   </v>
      </c>
      <c r="F5318" t="str">
        <f t="shared" si="194"/>
        <v>MS</v>
      </c>
    </row>
    <row r="5319" spans="1:6" x14ac:dyDescent="0.25">
      <c r="A5319" t="str">
        <f>"000013060"</f>
        <v>000013060</v>
      </c>
      <c r="B5319" t="str">
        <f>"1609871607"</f>
        <v>1609871607</v>
      </c>
      <c r="C5319" t="str">
        <f>"207Q00000X"</f>
        <v>207Q00000X</v>
      </c>
      <c r="D5319" t="str">
        <f>"SEGARS JR                KELLY        S           "</f>
        <v xml:space="preserve">SEGARS JR                KELLY        S           </v>
      </c>
      <c r="E5319" t="str">
        <f>"IUKA                      "</f>
        <v xml:space="preserve">IUKA                      </v>
      </c>
      <c r="F5319" t="str">
        <f t="shared" si="194"/>
        <v>MS</v>
      </c>
    </row>
    <row r="5320" spans="1:6" x14ac:dyDescent="0.25">
      <c r="A5320" t="str">
        <f>"000013158"</f>
        <v>000013158</v>
      </c>
      <c r="B5320" t="str">
        <f>"1982706263"</f>
        <v>1982706263</v>
      </c>
      <c r="C5320" t="str">
        <f>"208D00000X"</f>
        <v>208D00000X</v>
      </c>
      <c r="D5320" t="str">
        <f>"MONROE                   JAMES        M           "</f>
        <v xml:space="preserve">MONROE                   JAMES        M           </v>
      </c>
      <c r="E5320" t="str">
        <f>"SMITHVILLE                "</f>
        <v xml:space="preserve">SMITHVILLE                </v>
      </c>
      <c r="F5320" t="str">
        <f t="shared" si="194"/>
        <v>MS</v>
      </c>
    </row>
    <row r="5321" spans="1:6" x14ac:dyDescent="0.25">
      <c r="A5321" t="str">
        <f>"000013183"</f>
        <v>000013183</v>
      </c>
      <c r="B5321" t="str">
        <f>"1770577561"</f>
        <v>1770577561</v>
      </c>
      <c r="C5321" t="str">
        <f>"207R00000X"</f>
        <v>207R00000X</v>
      </c>
      <c r="D5321" t="str">
        <f>"JONES                    JAMES        S           "</f>
        <v xml:space="preserve">JONES                    JAMES        S           </v>
      </c>
      <c r="E5321" t="str">
        <f>"JACKSON                   "</f>
        <v xml:space="preserve">JACKSON                   </v>
      </c>
      <c r="F5321" t="str">
        <f t="shared" si="194"/>
        <v>MS</v>
      </c>
    </row>
    <row r="5322" spans="1:6" x14ac:dyDescent="0.25">
      <c r="A5322" t="str">
        <f>"000013222"</f>
        <v>000013222</v>
      </c>
      <c r="B5322" t="str">
        <f>"1487669297"</f>
        <v>1487669297</v>
      </c>
      <c r="C5322" t="str">
        <f>"2085R0202X"</f>
        <v>2085R0202X</v>
      </c>
      <c r="D5322" t="str">
        <f>"MCCAY                    MARVIN       B           "</f>
        <v xml:space="preserve">MCCAY                    MARVIN       B           </v>
      </c>
      <c r="E5322" t="str">
        <f>"JACKSON                   "</f>
        <v xml:space="preserve">JACKSON                   </v>
      </c>
      <c r="F5322" t="str">
        <f t="shared" si="194"/>
        <v>MS</v>
      </c>
    </row>
    <row r="5323" spans="1:6" x14ac:dyDescent="0.25">
      <c r="A5323" t="str">
        <f>"000013226"</f>
        <v>000013226</v>
      </c>
      <c r="B5323" t="str">
        <f>"1316962590"</f>
        <v>1316962590</v>
      </c>
      <c r="C5323" t="str">
        <f>"207Q00000X"</f>
        <v>207Q00000X</v>
      </c>
      <c r="D5323" t="str">
        <f>"WARD                     JOE          A           "</f>
        <v xml:space="preserve">WARD                     JOE          A           </v>
      </c>
      <c r="E5323" t="str">
        <f>"MONTICELLO                "</f>
        <v xml:space="preserve">MONTICELLO                </v>
      </c>
      <c r="F5323" t="str">
        <f t="shared" si="194"/>
        <v>MS</v>
      </c>
    </row>
    <row r="5324" spans="1:6" x14ac:dyDescent="0.25">
      <c r="A5324" t="str">
        <f>"000013310"</f>
        <v>000013310</v>
      </c>
      <c r="B5324" t="str">
        <f>"1730298506"</f>
        <v>1730298506</v>
      </c>
      <c r="C5324" t="str">
        <f>"207W00000X"</f>
        <v>207W00000X</v>
      </c>
      <c r="D5324" t="str">
        <f>"GADDY                    IRA          E           "</f>
        <v xml:space="preserve">GADDY                    IRA          E           </v>
      </c>
      <c r="E5324" t="str">
        <f>"GULFPORT                  "</f>
        <v xml:space="preserve">GULFPORT                  </v>
      </c>
      <c r="F5324" t="str">
        <f t="shared" si="194"/>
        <v>MS</v>
      </c>
    </row>
    <row r="5325" spans="1:6" x14ac:dyDescent="0.25">
      <c r="A5325" t="str">
        <f>"000013335"</f>
        <v>000013335</v>
      </c>
      <c r="B5325" t="str">
        <f>"1619953072"</f>
        <v>1619953072</v>
      </c>
      <c r="C5325" t="str">
        <f>"207RH0003X"</f>
        <v>207RH0003X</v>
      </c>
      <c r="D5325" t="str">
        <f>"PANDE                    PURUSHOTTAN  V           "</f>
        <v xml:space="preserve">PANDE                    PURUSHOTTAN  V           </v>
      </c>
      <c r="E5325" t="str">
        <f>"GULFPORT                  "</f>
        <v xml:space="preserve">GULFPORT                  </v>
      </c>
      <c r="F5325" t="str">
        <f t="shared" si="194"/>
        <v>MS</v>
      </c>
    </row>
    <row r="5326" spans="1:6" x14ac:dyDescent="0.25">
      <c r="A5326" t="str">
        <f>"000013342"</f>
        <v>000013342</v>
      </c>
      <c r="B5326" t="str">
        <f>"1871575852"</f>
        <v>1871575852</v>
      </c>
      <c r="C5326" t="str">
        <f>"207Q00000X"</f>
        <v>207Q00000X</v>
      </c>
      <c r="D5326" t="str">
        <f>"HARRELL                  BERNARD      G           "</f>
        <v xml:space="preserve">HARRELL                  BERNARD      G           </v>
      </c>
      <c r="E5326" t="str">
        <f>"FOREST                    "</f>
        <v xml:space="preserve">FOREST                    </v>
      </c>
      <c r="F5326" t="str">
        <f t="shared" si="194"/>
        <v>MS</v>
      </c>
    </row>
    <row r="5327" spans="1:6" x14ac:dyDescent="0.25">
      <c r="A5327" t="str">
        <f>"000013366"</f>
        <v>000013366</v>
      </c>
      <c r="B5327" t="str">
        <f>"1386600427"</f>
        <v>1386600427</v>
      </c>
      <c r="C5327" t="str">
        <f>"207Q00000X"</f>
        <v>207Q00000X</v>
      </c>
      <c r="D5327" t="str">
        <f>"SMITH                    DONALD       K           "</f>
        <v xml:space="preserve">SMITH                    DONALD       K           </v>
      </c>
      <c r="E5327" t="str">
        <f>"OKOLONA                   "</f>
        <v xml:space="preserve">OKOLONA                   </v>
      </c>
      <c r="F5327" t="str">
        <f t="shared" si="194"/>
        <v>MS</v>
      </c>
    </row>
    <row r="5328" spans="1:6" x14ac:dyDescent="0.25">
      <c r="A5328" t="str">
        <f>"000013434"</f>
        <v>000013434</v>
      </c>
      <c r="B5328" t="str">
        <f>"1093734840"</f>
        <v>1093734840</v>
      </c>
      <c r="C5328" t="str">
        <f>"2086S0129X"</f>
        <v>2086S0129X</v>
      </c>
      <c r="D5328" t="str">
        <f>"LUCAS III                JOHN         F           "</f>
        <v xml:space="preserve">LUCAS III                JOHN         F           </v>
      </c>
      <c r="E5328" t="str">
        <f>"GREENWOOD                 "</f>
        <v xml:space="preserve">GREENWOOD                 </v>
      </c>
      <c r="F5328" t="str">
        <f t="shared" si="194"/>
        <v>MS</v>
      </c>
    </row>
    <row r="5329" spans="1:6" x14ac:dyDescent="0.25">
      <c r="A5329" t="str">
        <f>"000013436"</f>
        <v>000013436</v>
      </c>
      <c r="B5329" t="str">
        <f>"1003898859"</f>
        <v>1003898859</v>
      </c>
      <c r="C5329" t="str">
        <f>"363L00000X"</f>
        <v>363L00000X</v>
      </c>
      <c r="D5329" t="str">
        <f>"MABRY                    TINA         U           "</f>
        <v xml:space="preserve">MABRY                    TINA         U           </v>
      </c>
      <c r="E5329" t="str">
        <f>"LAKE                      "</f>
        <v xml:space="preserve">LAKE                      </v>
      </c>
      <c r="F5329" t="str">
        <f t="shared" si="194"/>
        <v>MS</v>
      </c>
    </row>
    <row r="5330" spans="1:6" x14ac:dyDescent="0.25">
      <c r="A5330" t="str">
        <f>"000013505"</f>
        <v>000013505</v>
      </c>
      <c r="B5330" t="str">
        <f>"1427197052"</f>
        <v>1427197052</v>
      </c>
      <c r="C5330" t="str">
        <f>"207P00000X"</f>
        <v>207P00000X</v>
      </c>
      <c r="D5330" t="str">
        <f>"MOSES                    LOUIS        J           "</f>
        <v xml:space="preserve">MOSES                    LOUIS        J           </v>
      </c>
      <c r="E5330" t="str">
        <f>"GREENWOOD                 "</f>
        <v xml:space="preserve">GREENWOOD                 </v>
      </c>
      <c r="F5330" t="str">
        <f t="shared" si="194"/>
        <v>MS</v>
      </c>
    </row>
    <row r="5331" spans="1:6" x14ac:dyDescent="0.25">
      <c r="A5331" t="str">
        <f>"000013555"</f>
        <v>000013555</v>
      </c>
      <c r="B5331" t="str">
        <f>"1285659664"</f>
        <v>1285659664</v>
      </c>
      <c r="C5331" t="str">
        <f>"207L00000X"</f>
        <v>207L00000X</v>
      </c>
      <c r="D5331" t="str">
        <f>"LAKE                     CHESTER      H           "</f>
        <v xml:space="preserve">LAKE                     CHESTER      H           </v>
      </c>
      <c r="E5331" t="str">
        <f>"JACKSON                   "</f>
        <v xml:space="preserve">JACKSON                   </v>
      </c>
      <c r="F5331" t="str">
        <f t="shared" si="194"/>
        <v>MS</v>
      </c>
    </row>
    <row r="5332" spans="1:6" x14ac:dyDescent="0.25">
      <c r="A5332" t="str">
        <f>"000013578"</f>
        <v>000013578</v>
      </c>
      <c r="B5332" t="str">
        <f>"1821051756"</f>
        <v>1821051756</v>
      </c>
      <c r="C5332" t="str">
        <f>"207Q00000X"</f>
        <v>207Q00000X</v>
      </c>
      <c r="D5332" t="str">
        <f>"PARSONS                  PRENTISS     M           "</f>
        <v xml:space="preserve">PARSONS                  PRENTISS     M           </v>
      </c>
      <c r="E5332" t="str">
        <f>"ACKERMAN                  "</f>
        <v xml:space="preserve">ACKERMAN                  </v>
      </c>
      <c r="F5332" t="str">
        <f t="shared" si="194"/>
        <v>MS</v>
      </c>
    </row>
    <row r="5333" spans="1:6" x14ac:dyDescent="0.25">
      <c r="A5333" t="str">
        <f>"000013582"</f>
        <v>000013582</v>
      </c>
      <c r="B5333" t="str">
        <f>"1578538591"</f>
        <v>1578538591</v>
      </c>
      <c r="C5333" t="str">
        <f>"207Q00000X"</f>
        <v>207Q00000X</v>
      </c>
      <c r="D5333" t="str">
        <f>"CREEKMORE                SAMUEL       J           "</f>
        <v xml:space="preserve">CREEKMORE                SAMUEL       J           </v>
      </c>
      <c r="E5333" t="str">
        <f>"NEW ALBANY                "</f>
        <v xml:space="preserve">NEW ALBANY                </v>
      </c>
      <c r="F5333" t="str">
        <f t="shared" si="194"/>
        <v>MS</v>
      </c>
    </row>
    <row r="5334" spans="1:6" x14ac:dyDescent="0.25">
      <c r="A5334" t="str">
        <f>"000013607"</f>
        <v>000013607</v>
      </c>
      <c r="B5334" t="str">
        <f>"1922044502"</f>
        <v>1922044502</v>
      </c>
      <c r="C5334" t="str">
        <f>"207R00000X"</f>
        <v>207R00000X</v>
      </c>
      <c r="D5334" t="str">
        <f>"WALLACE                  PERRY                    "</f>
        <v xml:space="preserve">WALLACE                  PERRY                    </v>
      </c>
      <c r="E5334" t="str">
        <f>"DE KALB                   "</f>
        <v xml:space="preserve">DE KALB                   </v>
      </c>
      <c r="F5334" t="str">
        <f t="shared" si="194"/>
        <v>MS</v>
      </c>
    </row>
    <row r="5335" spans="1:6" x14ac:dyDescent="0.25">
      <c r="A5335" t="str">
        <f>"000013752"</f>
        <v>000013752</v>
      </c>
      <c r="B5335" t="str">
        <f>"1962495192"</f>
        <v>1962495192</v>
      </c>
      <c r="C5335" t="str">
        <f>"2084N0400X"</f>
        <v>2084N0400X</v>
      </c>
      <c r="D5335" t="str">
        <f>"NEWELL, JR.              SAMUEL       D           "</f>
        <v xml:space="preserve">NEWELL, JR.              SAMUEL       D           </v>
      </c>
      <c r="E5335" t="str">
        <f>"TUPELO                    "</f>
        <v xml:space="preserve">TUPELO                    </v>
      </c>
      <c r="F5335" t="str">
        <f t="shared" si="194"/>
        <v>MS</v>
      </c>
    </row>
    <row r="5336" spans="1:6" x14ac:dyDescent="0.25">
      <c r="A5336" t="str">
        <f>"000013757"</f>
        <v>000013757</v>
      </c>
      <c r="B5336" t="str">
        <f>"1770519142"</f>
        <v>1770519142</v>
      </c>
      <c r="C5336" t="str">
        <f>"207R00000X"</f>
        <v>207R00000X</v>
      </c>
      <c r="D5336" t="str">
        <f>"BARTLEY-RICE             DEBRA        D           "</f>
        <v xml:space="preserve">BARTLEY-RICE             DEBRA        D           </v>
      </c>
      <c r="E5336" t="str">
        <f>"JACKSON                   "</f>
        <v xml:space="preserve">JACKSON                   </v>
      </c>
      <c r="F5336" t="str">
        <f t="shared" si="194"/>
        <v>MS</v>
      </c>
    </row>
    <row r="5337" spans="1:6" x14ac:dyDescent="0.25">
      <c r="A5337" t="str">
        <f>"000013801"</f>
        <v>000013801</v>
      </c>
      <c r="B5337" t="str">
        <f>"1003914813"</f>
        <v>1003914813</v>
      </c>
      <c r="C5337" t="str">
        <f>"207R00000X"</f>
        <v>207R00000X</v>
      </c>
      <c r="D5337" t="str">
        <f>"PATTON JR                GEORGE       E           "</f>
        <v xml:space="preserve">PATTON JR                GEORGE       E           </v>
      </c>
      <c r="E5337" t="str">
        <f>"FLOWOOD                   "</f>
        <v xml:space="preserve">FLOWOOD                   </v>
      </c>
      <c r="F5337" t="str">
        <f t="shared" si="194"/>
        <v>MS</v>
      </c>
    </row>
    <row r="5338" spans="1:6" x14ac:dyDescent="0.25">
      <c r="A5338" t="str">
        <f>"000013803"</f>
        <v>000013803</v>
      </c>
      <c r="B5338" t="str">
        <f>"1174564397"</f>
        <v>1174564397</v>
      </c>
      <c r="C5338" t="str">
        <f>"207V00000X"</f>
        <v>207V00000X</v>
      </c>
      <c r="D5338" t="str">
        <f>"BECKHAM                  JAMES        R           "</f>
        <v xml:space="preserve">BECKHAM                  JAMES        R           </v>
      </c>
      <c r="E5338" t="str">
        <f>"GREENVILLE                "</f>
        <v xml:space="preserve">GREENVILLE                </v>
      </c>
      <c r="F5338" t="str">
        <f t="shared" si="194"/>
        <v>MS</v>
      </c>
    </row>
    <row r="5339" spans="1:6" x14ac:dyDescent="0.25">
      <c r="A5339" t="str">
        <f>"000013805"</f>
        <v>000013805</v>
      </c>
      <c r="B5339" t="str">
        <f>"1528032406"</f>
        <v>1528032406</v>
      </c>
      <c r="C5339" t="str">
        <f>"207Q00000X"</f>
        <v>207Q00000X</v>
      </c>
      <c r="D5339" t="str">
        <f>"HEADLEY                  DAVID        M           "</f>
        <v xml:space="preserve">HEADLEY                  DAVID        M           </v>
      </c>
      <c r="E5339" t="str">
        <f>"PORT GIBSON               "</f>
        <v xml:space="preserve">PORT GIBSON               </v>
      </c>
      <c r="F5339" t="str">
        <f t="shared" si="194"/>
        <v>MS</v>
      </c>
    </row>
    <row r="5340" spans="1:6" x14ac:dyDescent="0.25">
      <c r="A5340" t="str">
        <f>"000014060"</f>
        <v>000014060</v>
      </c>
      <c r="B5340" t="str">
        <f>"1215960414"</f>
        <v>1215960414</v>
      </c>
      <c r="C5340" t="str">
        <f>"2086S0129X"</f>
        <v>2086S0129X</v>
      </c>
      <c r="D5340" t="str">
        <f>"RAJU                     SESHADRI                 "</f>
        <v xml:space="preserve">RAJU                     SESHADRI                 </v>
      </c>
      <c r="E5340" t="str">
        <f>"JACKSON                   "</f>
        <v xml:space="preserve">JACKSON                   </v>
      </c>
      <c r="F5340" t="str">
        <f t="shared" si="194"/>
        <v>MS</v>
      </c>
    </row>
    <row r="5341" spans="1:6" x14ac:dyDescent="0.25">
      <c r="A5341" t="str">
        <f>"000014090"</f>
        <v>000014090</v>
      </c>
      <c r="B5341" t="str">
        <f>"1164539599"</f>
        <v>1164539599</v>
      </c>
      <c r="C5341" t="str">
        <f>"207Q00000X"</f>
        <v>207Q00000X</v>
      </c>
      <c r="D5341" t="str">
        <f>"MEDLIN                   JAMES        R           "</f>
        <v xml:space="preserve">MEDLIN                   JAMES        R           </v>
      </c>
      <c r="E5341" t="str">
        <f>"STARKVILLE                "</f>
        <v xml:space="preserve">STARKVILLE                </v>
      </c>
      <c r="F5341" t="str">
        <f t="shared" si="194"/>
        <v>MS</v>
      </c>
    </row>
    <row r="5342" spans="1:6" x14ac:dyDescent="0.25">
      <c r="A5342" t="str">
        <f>"000014115"</f>
        <v>000014115</v>
      </c>
      <c r="B5342" t="str">
        <f>"1013057645"</f>
        <v>1013057645</v>
      </c>
      <c r="C5342" t="str">
        <f>"207R00000X"</f>
        <v>207R00000X</v>
      </c>
      <c r="D5342" t="str">
        <f>"SPENCE-EVANS             PAULA        J           "</f>
        <v xml:space="preserve">SPENCE-EVANS             PAULA        J           </v>
      </c>
      <c r="E5342" t="str">
        <f>"GREENWOOD                 "</f>
        <v xml:space="preserve">GREENWOOD                 </v>
      </c>
      <c r="F5342" t="str">
        <f t="shared" si="194"/>
        <v>MS</v>
      </c>
    </row>
    <row r="5343" spans="1:6" x14ac:dyDescent="0.25">
      <c r="A5343" t="str">
        <f>"000014170"</f>
        <v>000014170</v>
      </c>
      <c r="B5343" t="str">
        <f>"1720011778"</f>
        <v>1720011778</v>
      </c>
      <c r="C5343" t="str">
        <f>"207R00000X"</f>
        <v>207R00000X</v>
      </c>
      <c r="D5343" t="str">
        <f>"VEERISETTY               INDIRA       K           "</f>
        <v xml:space="preserve">VEERISETTY               INDIRA       K           </v>
      </c>
      <c r="E5343" t="str">
        <f>"RIDGELAND                 "</f>
        <v xml:space="preserve">RIDGELAND                 </v>
      </c>
      <c r="F5343" t="str">
        <f t="shared" si="194"/>
        <v>MS</v>
      </c>
    </row>
    <row r="5344" spans="1:6" x14ac:dyDescent="0.25">
      <c r="A5344" t="str">
        <f>"000014220"</f>
        <v>000014220</v>
      </c>
      <c r="B5344" t="str">
        <f>"1750494134"</f>
        <v>1750494134</v>
      </c>
      <c r="C5344" t="str">
        <f>"207W00000X"</f>
        <v>207W00000X</v>
      </c>
      <c r="D5344" t="str">
        <f>"WALKER                   GEORGE       G           "</f>
        <v xml:space="preserve">WALKER                   GEORGE       G           </v>
      </c>
      <c r="E5344" t="str">
        <f>"STARKVILLE                "</f>
        <v xml:space="preserve">STARKVILLE                </v>
      </c>
      <c r="F5344" t="str">
        <f t="shared" si="194"/>
        <v>MS</v>
      </c>
    </row>
    <row r="5345" spans="1:6" x14ac:dyDescent="0.25">
      <c r="A5345" t="str">
        <f>"000014256"</f>
        <v>000014256</v>
      </c>
      <c r="B5345" t="str">
        <f>"1821186222"</f>
        <v>1821186222</v>
      </c>
      <c r="C5345" t="str">
        <f>"207V00000X"</f>
        <v>207V00000X</v>
      </c>
      <c r="D5345" t="str">
        <f>"CHILDREY                 GREGORY      W           "</f>
        <v xml:space="preserve">CHILDREY                 GREGORY      W           </v>
      </c>
      <c r="E5345" t="str">
        <f>"COLUMBUS                  "</f>
        <v xml:space="preserve">COLUMBUS                  </v>
      </c>
      <c r="F5345" t="str">
        <f t="shared" si="194"/>
        <v>MS</v>
      </c>
    </row>
    <row r="5346" spans="1:6" x14ac:dyDescent="0.25">
      <c r="A5346" t="str">
        <f>"000014321"</f>
        <v>000014321</v>
      </c>
      <c r="B5346" t="str">
        <f>"1730110057"</f>
        <v>1730110057</v>
      </c>
      <c r="C5346" t="str">
        <f>"207R00000X"</f>
        <v>207R00000X</v>
      </c>
      <c r="D5346" t="str">
        <f>"CARLTON                  FREDERICK    B           "</f>
        <v xml:space="preserve">CARLTON                  FREDERICK    B           </v>
      </c>
      <c r="E5346" t="str">
        <f>"WINONA                    "</f>
        <v xml:space="preserve">WINONA                    </v>
      </c>
      <c r="F5346" t="str">
        <f t="shared" si="194"/>
        <v>MS</v>
      </c>
    </row>
    <row r="5347" spans="1:6" x14ac:dyDescent="0.25">
      <c r="A5347" t="str">
        <f>"000014341"</f>
        <v>000014341</v>
      </c>
      <c r="B5347" t="str">
        <f>"1003893652"</f>
        <v>1003893652</v>
      </c>
      <c r="C5347" t="str">
        <f>"207RP1001X"</f>
        <v>207RP1001X</v>
      </c>
      <c r="D5347" t="str">
        <f>"DUGGAN                   FREDERICK    T           "</f>
        <v xml:space="preserve">DUGGAN                   FREDERICK    T           </v>
      </c>
      <c r="E5347" t="str">
        <f>"MERIDIAN                  "</f>
        <v xml:space="preserve">MERIDIAN                  </v>
      </c>
      <c r="F5347" t="str">
        <f t="shared" si="194"/>
        <v>MS</v>
      </c>
    </row>
    <row r="5348" spans="1:6" x14ac:dyDescent="0.25">
      <c r="A5348" t="str">
        <f>"000014345"</f>
        <v>000014345</v>
      </c>
      <c r="B5348" t="str">
        <f>"1760422885"</f>
        <v>1760422885</v>
      </c>
      <c r="C5348" t="str">
        <f>"207Q00000X"</f>
        <v>207Q00000X</v>
      </c>
      <c r="D5348" t="str">
        <f>"SMITH                    RICHARD      H           "</f>
        <v xml:space="preserve">SMITH                    RICHARD      H           </v>
      </c>
      <c r="E5348" t="str">
        <f>"BILOXI                    "</f>
        <v xml:space="preserve">BILOXI                    </v>
      </c>
      <c r="F5348" t="str">
        <f t="shared" si="194"/>
        <v>MS</v>
      </c>
    </row>
    <row r="5349" spans="1:6" x14ac:dyDescent="0.25">
      <c r="A5349" t="str">
        <f>"000014346"</f>
        <v>000014346</v>
      </c>
      <c r="B5349" t="str">
        <f>"1629008396"</f>
        <v>1629008396</v>
      </c>
      <c r="C5349" t="str">
        <f>"207P00000X"</f>
        <v>207P00000X</v>
      </c>
      <c r="D5349" t="str">
        <f>"KOLB                     JAMES                    "</f>
        <v xml:space="preserve">KOLB                     JAMES                    </v>
      </c>
      <c r="E5349" t="str">
        <f>"JACKSON                   "</f>
        <v xml:space="preserve">JACKSON                   </v>
      </c>
      <c r="F5349" t="str">
        <f t="shared" si="194"/>
        <v>MS</v>
      </c>
    </row>
    <row r="5350" spans="1:6" x14ac:dyDescent="0.25">
      <c r="A5350" t="str">
        <f>"000014367"</f>
        <v>000014367</v>
      </c>
      <c r="B5350" t="str">
        <f>"1093755795"</f>
        <v>1093755795</v>
      </c>
      <c r="C5350" t="str">
        <f>"207Q00000X"</f>
        <v>207Q00000X</v>
      </c>
      <c r="D5350" t="str">
        <f>"PAVLOV                   PAUL         M           "</f>
        <v xml:space="preserve">PAVLOV                   PAUL         M           </v>
      </c>
      <c r="E5350" t="str">
        <f>"BILOXI                    "</f>
        <v xml:space="preserve">BILOXI                    </v>
      </c>
      <c r="F5350" t="str">
        <f t="shared" si="194"/>
        <v>MS</v>
      </c>
    </row>
    <row r="5351" spans="1:6" x14ac:dyDescent="0.25">
      <c r="A5351" t="str">
        <f>"000014390"</f>
        <v>000014390</v>
      </c>
      <c r="B5351" t="str">
        <f>"1609803139"</f>
        <v>1609803139</v>
      </c>
      <c r="C5351" t="str">
        <f>"2085R0202X"</f>
        <v>2085R0202X</v>
      </c>
      <c r="D5351" t="str">
        <f>"TEW                      WILLIAM      E           "</f>
        <v xml:space="preserve">TEW                      WILLIAM      E           </v>
      </c>
      <c r="E5351" t="str">
        <f>"JACKSON                   "</f>
        <v xml:space="preserve">JACKSON                   </v>
      </c>
      <c r="F5351" t="str">
        <f t="shared" si="194"/>
        <v>MS</v>
      </c>
    </row>
    <row r="5352" spans="1:6" x14ac:dyDescent="0.25">
      <c r="A5352" t="str">
        <f>"000014401"</f>
        <v>000014401</v>
      </c>
      <c r="B5352" t="str">
        <f>"1093883795"</f>
        <v>1093883795</v>
      </c>
      <c r="C5352" t="str">
        <f>"207R00000X"</f>
        <v>207R00000X</v>
      </c>
      <c r="D5352" t="str">
        <f>"PUTNAM                   THOMAS       J           "</f>
        <v xml:space="preserve">PUTNAM                   THOMAS       J           </v>
      </c>
      <c r="E5352" t="str">
        <f>"BOONEVILLE                "</f>
        <v xml:space="preserve">BOONEVILLE                </v>
      </c>
      <c r="F5352" t="str">
        <f t="shared" si="194"/>
        <v>MS</v>
      </c>
    </row>
    <row r="5353" spans="1:6" x14ac:dyDescent="0.25">
      <c r="A5353" t="str">
        <f>"000014426"</f>
        <v>000014426</v>
      </c>
      <c r="B5353" t="str">
        <f>"1982664256"</f>
        <v>1982664256</v>
      </c>
      <c r="C5353" t="str">
        <f>"207N00000X"</f>
        <v>207N00000X</v>
      </c>
      <c r="D5353" t="str">
        <f>"GARROTT                  THOMAS       C           "</f>
        <v xml:space="preserve">GARROTT                  THOMAS       C           </v>
      </c>
      <c r="E5353" t="str">
        <f>"OCEAN SPRINGS             "</f>
        <v xml:space="preserve">OCEAN SPRINGS             </v>
      </c>
      <c r="F5353" t="str">
        <f t="shared" si="194"/>
        <v>MS</v>
      </c>
    </row>
    <row r="5354" spans="1:6" x14ac:dyDescent="0.25">
      <c r="A5354" t="str">
        <f>"000014471"</f>
        <v>000014471</v>
      </c>
      <c r="B5354" t="str">
        <f>"1508919648"</f>
        <v>1508919648</v>
      </c>
      <c r="C5354" t="str">
        <f>"208D00000X"</f>
        <v>208D00000X</v>
      </c>
      <c r="D5354" t="str">
        <f>"RAMSEY                   CALVIN                   "</f>
        <v xml:space="preserve">RAMSEY                   CALVIN                   </v>
      </c>
      <c r="E5354" t="str">
        <f>"DURANT                    "</f>
        <v xml:space="preserve">DURANT                    </v>
      </c>
      <c r="F5354" t="str">
        <f t="shared" si="194"/>
        <v>MS</v>
      </c>
    </row>
    <row r="5355" spans="1:6" x14ac:dyDescent="0.25">
      <c r="A5355" t="str">
        <f>"000014514"</f>
        <v>000014514</v>
      </c>
      <c r="B5355" t="str">
        <f>"1831105980"</f>
        <v>1831105980</v>
      </c>
      <c r="C5355" t="str">
        <f>"207Q00000X"</f>
        <v>207Q00000X</v>
      </c>
      <c r="D5355" t="str">
        <f>"YOE                      WILLIAM      E           "</f>
        <v xml:space="preserve">YOE                      WILLIAM      E           </v>
      </c>
      <c r="E5355" t="str">
        <f>"HATTIESBURG               "</f>
        <v xml:space="preserve">HATTIESBURG               </v>
      </c>
      <c r="F5355" t="str">
        <f t="shared" si="194"/>
        <v>MS</v>
      </c>
    </row>
    <row r="5356" spans="1:6" x14ac:dyDescent="0.25">
      <c r="A5356" t="str">
        <f>"000014572"</f>
        <v>000014572</v>
      </c>
      <c r="B5356" t="str">
        <f>"1508969213"</f>
        <v>1508969213</v>
      </c>
      <c r="C5356" t="str">
        <f>"207V00000X"</f>
        <v>207V00000X</v>
      </c>
      <c r="D5356" t="str">
        <f>"INGRAM                   FRED         H           "</f>
        <v xml:space="preserve">INGRAM                   FRED         H           </v>
      </c>
      <c r="E5356" t="str">
        <f>"JACKSON                   "</f>
        <v xml:space="preserve">JACKSON                   </v>
      </c>
      <c r="F5356" t="str">
        <f t="shared" si="194"/>
        <v>MS</v>
      </c>
    </row>
    <row r="5357" spans="1:6" x14ac:dyDescent="0.25">
      <c r="A5357" t="str">
        <f>"000014592"</f>
        <v>000014592</v>
      </c>
      <c r="B5357" t="str">
        <f>"1073578043"</f>
        <v>1073578043</v>
      </c>
      <c r="C5357" t="str">
        <f>"207Q00000X"</f>
        <v>207Q00000X</v>
      </c>
      <c r="D5357" t="str">
        <f>"BROWN JR                 JULIAN       A           "</f>
        <v xml:space="preserve">BROWN JR                 JULIAN       A           </v>
      </c>
      <c r="E5357" t="str">
        <f>"ABERDEEN                  "</f>
        <v xml:space="preserve">ABERDEEN                  </v>
      </c>
      <c r="F5357" t="str">
        <f t="shared" si="194"/>
        <v>MS</v>
      </c>
    </row>
    <row r="5358" spans="1:6" x14ac:dyDescent="0.25">
      <c r="A5358" t="str">
        <f>"000014661"</f>
        <v>000014661</v>
      </c>
      <c r="B5358" t="str">
        <f>"1518980887"</f>
        <v>1518980887</v>
      </c>
      <c r="C5358" t="str">
        <f>"207R00000X"</f>
        <v>207R00000X</v>
      </c>
      <c r="D5358" t="str">
        <f>"MESSINA JR               JOSEPH       S           "</f>
        <v xml:space="preserve">MESSINA JR               JOSEPH       S           </v>
      </c>
      <c r="E5358" t="str">
        <f>"GRENADA                   "</f>
        <v xml:space="preserve">GRENADA                   </v>
      </c>
      <c r="F5358" t="str">
        <f t="shared" si="194"/>
        <v>MS</v>
      </c>
    </row>
    <row r="5359" spans="1:6" x14ac:dyDescent="0.25">
      <c r="A5359" t="str">
        <f>"000014780"</f>
        <v>000014780</v>
      </c>
      <c r="B5359" t="str">
        <f>"1396784187"</f>
        <v>1396784187</v>
      </c>
      <c r="C5359" t="str">
        <f>"207Q00000X"</f>
        <v>207Q00000X</v>
      </c>
      <c r="D5359" t="str">
        <f>"EVANS                    JACK         C           "</f>
        <v xml:space="preserve">EVANS                    JACK         C           </v>
      </c>
      <c r="E5359" t="str">
        <f>"LAUREL                    "</f>
        <v xml:space="preserve">LAUREL                    </v>
      </c>
      <c r="F5359" t="str">
        <f t="shared" si="194"/>
        <v>MS</v>
      </c>
    </row>
    <row r="5360" spans="1:6" x14ac:dyDescent="0.25">
      <c r="A5360" t="str">
        <f>"000014822"</f>
        <v>000014822</v>
      </c>
      <c r="B5360" t="str">
        <f>"1598769176"</f>
        <v>1598769176</v>
      </c>
      <c r="C5360" t="str">
        <f>"2084P0800X"</f>
        <v>2084P0800X</v>
      </c>
      <c r="D5360" t="str">
        <f>"GUPTA                    KRISHAN      K           "</f>
        <v xml:space="preserve">GUPTA                    KRISHAN      K           </v>
      </c>
      <c r="E5360" t="str">
        <f>"JACKSON                   "</f>
        <v xml:space="preserve">JACKSON                   </v>
      </c>
      <c r="F5360" t="str">
        <f t="shared" si="194"/>
        <v>MS</v>
      </c>
    </row>
    <row r="5361" spans="1:6" x14ac:dyDescent="0.25">
      <c r="A5361" t="str">
        <f>"000014926"</f>
        <v>000014926</v>
      </c>
      <c r="B5361" t="str">
        <f>"1932259546"</f>
        <v>1932259546</v>
      </c>
      <c r="C5361" t="str">
        <f>"208D00000X"</f>
        <v>208D00000X</v>
      </c>
      <c r="D5361" t="str">
        <f>"DEMETROPOULOS            STEVEN       L           "</f>
        <v xml:space="preserve">DEMETROPOULOS            STEVEN       L           </v>
      </c>
      <c r="E5361" t="str">
        <f>"OCEAN SPRINGS             "</f>
        <v xml:space="preserve">OCEAN SPRINGS             </v>
      </c>
      <c r="F5361" t="str">
        <f t="shared" si="194"/>
        <v>MS</v>
      </c>
    </row>
    <row r="5362" spans="1:6" x14ac:dyDescent="0.25">
      <c r="A5362" t="str">
        <f>"000014971"</f>
        <v>000014971</v>
      </c>
      <c r="B5362" t="str">
        <f>"1336212554"</f>
        <v>1336212554</v>
      </c>
      <c r="C5362" t="str">
        <f>"2084N0400X"</f>
        <v>2084N0400X</v>
      </c>
      <c r="D5362" t="str">
        <f>"NALLURI                  KRISHNA      R           "</f>
        <v xml:space="preserve">NALLURI                  KRISHNA      R           </v>
      </c>
      <c r="E5362" t="str">
        <f>"OCEAN SPRINGS             "</f>
        <v xml:space="preserve">OCEAN SPRINGS             </v>
      </c>
      <c r="F5362" t="str">
        <f t="shared" si="194"/>
        <v>MS</v>
      </c>
    </row>
    <row r="5363" spans="1:6" x14ac:dyDescent="0.25">
      <c r="A5363" t="str">
        <f>"000014985"</f>
        <v>000014985</v>
      </c>
      <c r="B5363" t="str">
        <f>"1497869978"</f>
        <v>1497869978</v>
      </c>
      <c r="C5363" t="str">
        <f>"207R00000X"</f>
        <v>207R00000X</v>
      </c>
      <c r="D5363" t="str">
        <f>"NUNEZ                    GREGORY      R           "</f>
        <v xml:space="preserve">NUNEZ                    GREGORY      R           </v>
      </c>
      <c r="E5363" t="str">
        <f>"JACKSON                   "</f>
        <v xml:space="preserve">JACKSON                   </v>
      </c>
      <c r="F5363" t="str">
        <f t="shared" si="194"/>
        <v>MS</v>
      </c>
    </row>
    <row r="5364" spans="1:6" x14ac:dyDescent="0.25">
      <c r="A5364" t="str">
        <f>"000014986"</f>
        <v>000014986</v>
      </c>
      <c r="B5364" t="str">
        <f>"1447350541"</f>
        <v>1447350541</v>
      </c>
      <c r="C5364" t="str">
        <f>"2084P0800X"</f>
        <v>2084P0800X</v>
      </c>
      <c r="D5364" t="str">
        <f>"OVERSTREET               RAYMOND      G           "</f>
        <v xml:space="preserve">OVERSTREET               RAYMOND      G           </v>
      </c>
      <c r="E5364" t="str">
        <f>"COLUMBUS                  "</f>
        <v xml:space="preserve">COLUMBUS                  </v>
      </c>
      <c r="F5364" t="str">
        <f t="shared" si="194"/>
        <v>MS</v>
      </c>
    </row>
    <row r="5365" spans="1:6" x14ac:dyDescent="0.25">
      <c r="A5365" t="str">
        <f>"000015062"</f>
        <v>000015062</v>
      </c>
      <c r="B5365" t="str">
        <f>"1295702595"</f>
        <v>1295702595</v>
      </c>
      <c r="C5365" t="str">
        <f>"207RC0000X"</f>
        <v>207RC0000X</v>
      </c>
      <c r="D5365" t="str">
        <f>"ALLEN JR.                RAY          M           "</f>
        <v xml:space="preserve">ALLEN JR.                RAY          M           </v>
      </c>
      <c r="E5365" t="str">
        <f>"SOUTHAVEN                 "</f>
        <v xml:space="preserve">SOUTHAVEN                 </v>
      </c>
      <c r="F5365" t="str">
        <f t="shared" si="194"/>
        <v>MS</v>
      </c>
    </row>
    <row r="5366" spans="1:6" x14ac:dyDescent="0.25">
      <c r="A5366" t="str">
        <f>"000015128"</f>
        <v>000015128</v>
      </c>
      <c r="B5366" t="str">
        <f>"1285658278"</f>
        <v>1285658278</v>
      </c>
      <c r="C5366" t="str">
        <f>"207P00000X"</f>
        <v>207P00000X</v>
      </c>
      <c r="D5366" t="str">
        <f>"MCDONALD                 PHILLIP      K           "</f>
        <v xml:space="preserve">MCDONALD                 PHILLIP      K           </v>
      </c>
      <c r="E5366" t="str">
        <f>"MERIDIAN                  "</f>
        <v xml:space="preserve">MERIDIAN                  </v>
      </c>
      <c r="F5366" t="str">
        <f t="shared" si="194"/>
        <v>MS</v>
      </c>
    </row>
    <row r="5367" spans="1:6" x14ac:dyDescent="0.25">
      <c r="A5367" t="str">
        <f>"000015139"</f>
        <v>000015139</v>
      </c>
      <c r="B5367" t="str">
        <f>"1851314033"</f>
        <v>1851314033</v>
      </c>
      <c r="C5367" t="str">
        <f>"207X00000X"</f>
        <v>207X00000X</v>
      </c>
      <c r="D5367" t="str">
        <f>"FRAZIER                  RANDALL      P           "</f>
        <v xml:space="preserve">FRAZIER                  RANDALL      P           </v>
      </c>
      <c r="E5367" t="str">
        <f>"CORINTH                   "</f>
        <v xml:space="preserve">CORINTH                   </v>
      </c>
      <c r="F5367" t="str">
        <f t="shared" si="194"/>
        <v>MS</v>
      </c>
    </row>
    <row r="5368" spans="1:6" x14ac:dyDescent="0.25">
      <c r="A5368" t="str">
        <f>"000015203"</f>
        <v>000015203</v>
      </c>
      <c r="B5368" t="str">
        <f>"1457466690"</f>
        <v>1457466690</v>
      </c>
      <c r="C5368" t="str">
        <f>"207W00000X"</f>
        <v>207W00000X</v>
      </c>
      <c r="D5368" t="str">
        <f>"BRADLEY                  JUDITH       L           "</f>
        <v xml:space="preserve">BRADLEY                  JUDITH       L           </v>
      </c>
      <c r="E5368" t="str">
        <f>"LAUREL                    "</f>
        <v xml:space="preserve">LAUREL                    </v>
      </c>
      <c r="F5368" t="str">
        <f t="shared" si="194"/>
        <v>MS</v>
      </c>
    </row>
    <row r="5369" spans="1:6" x14ac:dyDescent="0.25">
      <c r="A5369" t="str">
        <f>"000015329"</f>
        <v>000015329</v>
      </c>
      <c r="B5369" t="str">
        <f>"1891897260"</f>
        <v>1891897260</v>
      </c>
      <c r="C5369" t="str">
        <f>"207Q00000X"</f>
        <v>207Q00000X</v>
      </c>
      <c r="D5369" t="str">
        <f>"MCDONNELL                FRED                     "</f>
        <v xml:space="preserve">MCDONNELL                FRED                     </v>
      </c>
      <c r="E5369" t="str">
        <f>"HAZLEHURST                "</f>
        <v xml:space="preserve">HAZLEHURST                </v>
      </c>
      <c r="F5369" t="str">
        <f t="shared" si="194"/>
        <v>MS</v>
      </c>
    </row>
    <row r="5370" spans="1:6" x14ac:dyDescent="0.25">
      <c r="A5370" t="str">
        <f>"000015359"</f>
        <v>000015359</v>
      </c>
      <c r="B5370" t="str">
        <f>"1538104757"</f>
        <v>1538104757</v>
      </c>
      <c r="C5370" t="str">
        <f>"207R00000X"</f>
        <v>207R00000X</v>
      </c>
      <c r="D5370" t="str">
        <f>"DELASHMET                GORDON       B           "</f>
        <v xml:space="preserve">DELASHMET                GORDON       B           </v>
      </c>
      <c r="E5370" t="str">
        <f>"JACKSON                   "</f>
        <v xml:space="preserve">JACKSON                   </v>
      </c>
      <c r="F5370" t="str">
        <f t="shared" si="194"/>
        <v>MS</v>
      </c>
    </row>
    <row r="5371" spans="1:6" x14ac:dyDescent="0.25">
      <c r="A5371" t="str">
        <f>"000015390"</f>
        <v>000015390</v>
      </c>
      <c r="B5371" t="str">
        <f>"1770587388"</f>
        <v>1770587388</v>
      </c>
      <c r="C5371" t="str">
        <f>"363L00000X"</f>
        <v>363L00000X</v>
      </c>
      <c r="D5371" t="str">
        <f>"CROCKETT                 TERESA       B           "</f>
        <v xml:space="preserve">CROCKETT                 TERESA       B           </v>
      </c>
      <c r="E5371" t="str">
        <f>"BYHALIA                   "</f>
        <v xml:space="preserve">BYHALIA                   </v>
      </c>
      <c r="F5371" t="str">
        <f t="shared" si="194"/>
        <v>MS</v>
      </c>
    </row>
    <row r="5372" spans="1:6" x14ac:dyDescent="0.25">
      <c r="A5372" t="str">
        <f>"000015416"</f>
        <v>000015416</v>
      </c>
      <c r="B5372" t="str">
        <f>"1750438446"</f>
        <v>1750438446</v>
      </c>
      <c r="C5372" t="str">
        <f>"208000000X"</f>
        <v>208000000X</v>
      </c>
      <c r="D5372" t="str">
        <f>"BACON                    JANICE                   "</f>
        <v xml:space="preserve">BACON                    JANICE                   </v>
      </c>
      <c r="E5372" t="str">
        <f>"JACKSON                   "</f>
        <v xml:space="preserve">JACKSON                   </v>
      </c>
      <c r="F5372" t="str">
        <f t="shared" si="194"/>
        <v>MS</v>
      </c>
    </row>
    <row r="5373" spans="1:6" x14ac:dyDescent="0.25">
      <c r="A5373" t="str">
        <f>"000015466"</f>
        <v>000015466</v>
      </c>
      <c r="B5373" t="str">
        <f>"1356496962"</f>
        <v>1356496962</v>
      </c>
      <c r="C5373" t="str">
        <f>"207L00000X"</f>
        <v>207L00000X</v>
      </c>
      <c r="D5373" t="str">
        <f>"MILNER                   G. KLINE                 "</f>
        <v xml:space="preserve">MILNER                   G. KLINE                 </v>
      </c>
      <c r="E5373" t="str">
        <f>"JACKSON                   "</f>
        <v xml:space="preserve">JACKSON                   </v>
      </c>
      <c r="F5373" t="str">
        <f t="shared" si="194"/>
        <v>MS</v>
      </c>
    </row>
    <row r="5374" spans="1:6" x14ac:dyDescent="0.25">
      <c r="A5374" t="str">
        <f>"000015534"</f>
        <v>000015534</v>
      </c>
      <c r="B5374" t="str">
        <f>"1497757603"</f>
        <v>1497757603</v>
      </c>
      <c r="C5374" t="str">
        <f>"2085R0203X"</f>
        <v>2085R0203X</v>
      </c>
      <c r="D5374" t="str">
        <f>"JOHNSON JR               SIDNEY       A           "</f>
        <v xml:space="preserve">JOHNSON JR               SIDNEY       A           </v>
      </c>
      <c r="E5374" t="str">
        <f>"JACKSON                   "</f>
        <v xml:space="preserve">JACKSON                   </v>
      </c>
      <c r="F5374" t="str">
        <f t="shared" ref="F5374:F5437" si="195">"MS"</f>
        <v>MS</v>
      </c>
    </row>
    <row r="5375" spans="1:6" x14ac:dyDescent="0.25">
      <c r="A5375" t="str">
        <f>"000015589"</f>
        <v>000015589</v>
      </c>
      <c r="B5375" t="str">
        <f>"1114966785"</f>
        <v>1114966785</v>
      </c>
      <c r="C5375" t="str">
        <f>"207V00000X"</f>
        <v>207V00000X</v>
      </c>
      <c r="D5375" t="str">
        <f>"STANCILL                 HUGH         W           "</f>
        <v xml:space="preserve">STANCILL                 HUGH         W           </v>
      </c>
      <c r="E5375" t="str">
        <f>"LAUREL                    "</f>
        <v xml:space="preserve">LAUREL                    </v>
      </c>
      <c r="F5375" t="str">
        <f t="shared" si="195"/>
        <v>MS</v>
      </c>
    </row>
    <row r="5376" spans="1:6" x14ac:dyDescent="0.25">
      <c r="A5376" t="str">
        <f>"000015590"</f>
        <v>000015590</v>
      </c>
      <c r="B5376" t="str">
        <f>"1568502714"</f>
        <v>1568502714</v>
      </c>
      <c r="C5376" t="str">
        <f>"208D00000X"</f>
        <v>208D00000X</v>
      </c>
      <c r="D5376" t="str">
        <f>"HARPER                   WILLIAM                  "</f>
        <v xml:space="preserve">HARPER                   WILLIAM                  </v>
      </c>
      <c r="E5376" t="str">
        <f>"CARROLLTON                "</f>
        <v xml:space="preserve">CARROLLTON                </v>
      </c>
      <c r="F5376" t="str">
        <f t="shared" si="195"/>
        <v>MS</v>
      </c>
    </row>
    <row r="5377" spans="1:6" x14ac:dyDescent="0.25">
      <c r="A5377" t="str">
        <f>"000015608"</f>
        <v>000015608</v>
      </c>
      <c r="B5377" t="str">
        <f>"1003908476"</f>
        <v>1003908476</v>
      </c>
      <c r="C5377" t="str">
        <f>"207Q00000X"</f>
        <v>207Q00000X</v>
      </c>
      <c r="D5377" t="str">
        <f>"DAHL                     ERIC         P           "</f>
        <v xml:space="preserve">DAHL                     ERIC         P           </v>
      </c>
      <c r="E5377" t="str">
        <f>"OXFORD                    "</f>
        <v xml:space="preserve">OXFORD                    </v>
      </c>
      <c r="F5377" t="str">
        <f t="shared" si="195"/>
        <v>MS</v>
      </c>
    </row>
    <row r="5378" spans="1:6" x14ac:dyDescent="0.25">
      <c r="A5378" t="str">
        <f>"000015626"</f>
        <v>000015626</v>
      </c>
      <c r="B5378" t="str">
        <f>"1386728152"</f>
        <v>1386728152</v>
      </c>
      <c r="C5378" t="str">
        <f>"208D00000X"</f>
        <v>208D00000X</v>
      </c>
      <c r="D5378" t="str">
        <f>"HARDEN                   JEFFREY                  "</f>
        <v xml:space="preserve">HARDEN                   JEFFREY                  </v>
      </c>
      <c r="E5378" t="str">
        <f>"GREENWOOD                 "</f>
        <v xml:space="preserve">GREENWOOD                 </v>
      </c>
      <c r="F5378" t="str">
        <f t="shared" si="195"/>
        <v>MS</v>
      </c>
    </row>
    <row r="5379" spans="1:6" x14ac:dyDescent="0.25">
      <c r="A5379" t="str">
        <f>"000015628"</f>
        <v>000015628</v>
      </c>
      <c r="B5379" t="str">
        <f>"1588653901"</f>
        <v>1588653901</v>
      </c>
      <c r="C5379" t="str">
        <f>"207Q00000X"</f>
        <v>207Q00000X</v>
      </c>
      <c r="D5379" t="str">
        <f>"KROOSS, II               WILLIAM      F           "</f>
        <v xml:space="preserve">KROOSS, II               WILLIAM      F           </v>
      </c>
      <c r="E5379" t="str">
        <f>"BRANDON                   "</f>
        <v xml:space="preserve">BRANDON                   </v>
      </c>
      <c r="F5379" t="str">
        <f t="shared" si="195"/>
        <v>MS</v>
      </c>
    </row>
    <row r="5380" spans="1:6" x14ac:dyDescent="0.25">
      <c r="A5380" t="str">
        <f>"000015674"</f>
        <v>000015674</v>
      </c>
      <c r="B5380" t="str">
        <f>"1386636694"</f>
        <v>1386636694</v>
      </c>
      <c r="C5380" t="str">
        <f>"207W00000X"</f>
        <v>207W00000X</v>
      </c>
      <c r="D5380" t="str">
        <f>"BENEFIELD                DONALD       W           "</f>
        <v xml:space="preserve">BENEFIELD                DONALD       W           </v>
      </c>
      <c r="E5380" t="str">
        <f>"GULFPORT                  "</f>
        <v xml:space="preserve">GULFPORT                  </v>
      </c>
      <c r="F5380" t="str">
        <f t="shared" si="195"/>
        <v>MS</v>
      </c>
    </row>
    <row r="5381" spans="1:6" x14ac:dyDescent="0.25">
      <c r="A5381" t="str">
        <f>"000015689"</f>
        <v>000015689</v>
      </c>
      <c r="B5381" t="str">
        <f>"1750339172"</f>
        <v>1750339172</v>
      </c>
      <c r="C5381" t="str">
        <f>"207X00000X"</f>
        <v>207X00000X</v>
      </c>
      <c r="D5381" t="str">
        <f>"JEFFCOAT                 BYRON        T           "</f>
        <v xml:space="preserve">JEFFCOAT                 BYRON        T           </v>
      </c>
      <c r="E5381" t="str">
        <f>"MCCOMB                    "</f>
        <v xml:space="preserve">MCCOMB                    </v>
      </c>
      <c r="F5381" t="str">
        <f t="shared" si="195"/>
        <v>MS</v>
      </c>
    </row>
    <row r="5382" spans="1:6" x14ac:dyDescent="0.25">
      <c r="A5382" t="str">
        <f>"000015694"</f>
        <v>000015694</v>
      </c>
      <c r="B5382" t="str">
        <f>"1093814980"</f>
        <v>1093814980</v>
      </c>
      <c r="C5382" t="str">
        <f>"208000000X"</f>
        <v>208000000X</v>
      </c>
      <c r="D5382" t="str">
        <f>"ODOM                     TERRY        W           "</f>
        <v xml:space="preserve">ODOM                     TERRY        W           </v>
      </c>
      <c r="E5382" t="str">
        <f>"AMORY                     "</f>
        <v xml:space="preserve">AMORY                     </v>
      </c>
      <c r="F5382" t="str">
        <f t="shared" si="195"/>
        <v>MS</v>
      </c>
    </row>
    <row r="5383" spans="1:6" x14ac:dyDescent="0.25">
      <c r="A5383" t="str">
        <f>"000015750"</f>
        <v>000015750</v>
      </c>
      <c r="B5383" t="str">
        <f>"1083601348"</f>
        <v>1083601348</v>
      </c>
      <c r="C5383" t="str">
        <f>"207Q00000X"</f>
        <v>207Q00000X</v>
      </c>
      <c r="D5383" t="str">
        <f>"POLK                     JAMES        D           "</f>
        <v xml:space="preserve">POLK                     JAMES        D           </v>
      </c>
      <c r="E5383" t="str">
        <f>"FLORENCE                  "</f>
        <v xml:space="preserve">FLORENCE                  </v>
      </c>
      <c r="F5383" t="str">
        <f t="shared" si="195"/>
        <v>MS</v>
      </c>
    </row>
    <row r="5384" spans="1:6" x14ac:dyDescent="0.25">
      <c r="A5384" t="str">
        <f>"000015760"</f>
        <v>000015760</v>
      </c>
      <c r="B5384" t="str">
        <f>"1023032497"</f>
        <v>1023032497</v>
      </c>
      <c r="C5384" t="str">
        <f>"208800000X"</f>
        <v>208800000X</v>
      </c>
      <c r="D5384" t="str">
        <f>"LIDDELL                  HAL          T           "</f>
        <v xml:space="preserve">LIDDELL                  HAL          T           </v>
      </c>
      <c r="E5384" t="str">
        <f>"HATTIESBURG               "</f>
        <v xml:space="preserve">HATTIESBURG               </v>
      </c>
      <c r="F5384" t="str">
        <f t="shared" si="195"/>
        <v>MS</v>
      </c>
    </row>
    <row r="5385" spans="1:6" x14ac:dyDescent="0.25">
      <c r="A5385" t="str">
        <f>"000015761"</f>
        <v>000015761</v>
      </c>
      <c r="B5385" t="str">
        <f>"1386759835"</f>
        <v>1386759835</v>
      </c>
      <c r="C5385" t="str">
        <f>"207L00000X"</f>
        <v>207L00000X</v>
      </c>
      <c r="D5385" t="str">
        <f>"LOBRONO                  CHARLES      M           "</f>
        <v xml:space="preserve">LOBRONO                  CHARLES      M           </v>
      </c>
      <c r="E5385" t="str">
        <f>"GULFPORT                  "</f>
        <v xml:space="preserve">GULFPORT                  </v>
      </c>
      <c r="F5385" t="str">
        <f t="shared" si="195"/>
        <v>MS</v>
      </c>
    </row>
    <row r="5386" spans="1:6" x14ac:dyDescent="0.25">
      <c r="A5386" t="str">
        <f>"000015836"</f>
        <v>000015836</v>
      </c>
      <c r="B5386" t="str">
        <f>"1790797389"</f>
        <v>1790797389</v>
      </c>
      <c r="C5386" t="str">
        <f>"207Q00000X"</f>
        <v>207Q00000X</v>
      </c>
      <c r="D5386" t="str">
        <f>"HALE                     THOMAS       E           "</f>
        <v xml:space="preserve">HALE                     THOMAS       E           </v>
      </c>
      <c r="E5386" t="str">
        <f>"HATTIESBURG               "</f>
        <v xml:space="preserve">HATTIESBURG               </v>
      </c>
      <c r="F5386" t="str">
        <f t="shared" si="195"/>
        <v>MS</v>
      </c>
    </row>
    <row r="5387" spans="1:6" x14ac:dyDescent="0.25">
      <c r="A5387" t="str">
        <f>"000015869"</f>
        <v>000015869</v>
      </c>
      <c r="B5387" t="str">
        <f>"1801824594"</f>
        <v>1801824594</v>
      </c>
      <c r="C5387" t="str">
        <f>"207Q00000X"</f>
        <v>207Q00000X</v>
      </c>
      <c r="D5387" t="str">
        <f>"PATTERSON                JOSEPH       J           "</f>
        <v xml:space="preserve">PATTERSON                JOSEPH       J           </v>
      </c>
      <c r="E5387" t="str">
        <f>"HATTIESBURG               "</f>
        <v xml:space="preserve">HATTIESBURG               </v>
      </c>
      <c r="F5387" t="str">
        <f t="shared" si="195"/>
        <v>MS</v>
      </c>
    </row>
    <row r="5388" spans="1:6" x14ac:dyDescent="0.25">
      <c r="A5388" t="str">
        <f>"000015896"</f>
        <v>000015896</v>
      </c>
      <c r="B5388" t="str">
        <f>"1174577944"</f>
        <v>1174577944</v>
      </c>
      <c r="C5388" t="str">
        <f>"207V00000X"</f>
        <v>207V00000X</v>
      </c>
      <c r="D5388" t="str">
        <f>"WOOLEY                   JOHN         R           "</f>
        <v xml:space="preserve">WOOLEY                   JOHN         R           </v>
      </c>
      <c r="E5388" t="str">
        <f>"JACKSON                   "</f>
        <v xml:space="preserve">JACKSON                   </v>
      </c>
      <c r="F5388" t="str">
        <f t="shared" si="195"/>
        <v>MS</v>
      </c>
    </row>
    <row r="5389" spans="1:6" x14ac:dyDescent="0.25">
      <c r="A5389" t="str">
        <f>"000015920"</f>
        <v>000015920</v>
      </c>
      <c r="B5389" t="str">
        <f>"1659399723"</f>
        <v>1659399723</v>
      </c>
      <c r="C5389" t="str">
        <f>"207Q00000X"</f>
        <v>207Q00000X</v>
      </c>
      <c r="D5389" t="str">
        <f>"JONES                    PHILLIP      E           "</f>
        <v xml:space="preserve">JONES                    PHILLIP      E           </v>
      </c>
      <c r="E5389" t="str">
        <f>"TUPELO                    "</f>
        <v xml:space="preserve">TUPELO                    </v>
      </c>
      <c r="F5389" t="str">
        <f t="shared" si="195"/>
        <v>MS</v>
      </c>
    </row>
    <row r="5390" spans="1:6" x14ac:dyDescent="0.25">
      <c r="A5390" t="str">
        <f>"000015954"</f>
        <v>000015954</v>
      </c>
      <c r="B5390" t="str">
        <f>"1801895164"</f>
        <v>1801895164</v>
      </c>
      <c r="C5390" t="str">
        <f>"207X00000X"</f>
        <v>207X00000X</v>
      </c>
      <c r="D5390" t="str">
        <f>"BURWELL JR               DUDLEY       S           "</f>
        <v xml:space="preserve">BURWELL JR               DUDLEY       S           </v>
      </c>
      <c r="E5390" t="str">
        <f>"BILOXI                    "</f>
        <v xml:space="preserve">BILOXI                    </v>
      </c>
      <c r="F5390" t="str">
        <f t="shared" si="195"/>
        <v>MS</v>
      </c>
    </row>
    <row r="5391" spans="1:6" x14ac:dyDescent="0.25">
      <c r="A5391" t="str">
        <f>"000015972"</f>
        <v>000015972</v>
      </c>
      <c r="B5391" t="str">
        <f>"1417042979"</f>
        <v>1417042979</v>
      </c>
      <c r="C5391" t="str">
        <f>"208D00000X"</f>
        <v>208D00000X</v>
      </c>
      <c r="D5391" t="str">
        <f>"BORUM                    CHARLES      D           "</f>
        <v xml:space="preserve">BORUM                    CHARLES      D           </v>
      </c>
      <c r="E5391" t="str">
        <f>"NATCHEZ                   "</f>
        <v xml:space="preserve">NATCHEZ                   </v>
      </c>
      <c r="F5391" t="str">
        <f t="shared" si="195"/>
        <v>MS</v>
      </c>
    </row>
    <row r="5392" spans="1:6" x14ac:dyDescent="0.25">
      <c r="A5392" t="str">
        <f>"000016031"</f>
        <v>000016031</v>
      </c>
      <c r="B5392" t="str">
        <f>"1760586002"</f>
        <v>1760586002</v>
      </c>
      <c r="C5392" t="str">
        <f>"207N00000X"</f>
        <v>207N00000X</v>
      </c>
      <c r="D5392" t="str">
        <f>"LORIA JR                 PHILIP       R           "</f>
        <v xml:space="preserve">LORIA JR                 PHILIP       R           </v>
      </c>
      <c r="E5392" t="str">
        <f>"OXFORD                    "</f>
        <v xml:space="preserve">OXFORD                    </v>
      </c>
      <c r="F5392" t="str">
        <f t="shared" si="195"/>
        <v>MS</v>
      </c>
    </row>
    <row r="5393" spans="1:6" x14ac:dyDescent="0.25">
      <c r="A5393" t="str">
        <f>"000016134"</f>
        <v>000016134</v>
      </c>
      <c r="B5393" t="str">
        <f>"1548423718"</f>
        <v>1548423718</v>
      </c>
      <c r="C5393" t="str">
        <f>"2084P0800X"</f>
        <v>2084P0800X</v>
      </c>
      <c r="D5393" t="str">
        <f>"KING                     PAUL                     "</f>
        <v xml:space="preserve">KING                     PAUL                     </v>
      </c>
      <c r="E5393" t="str">
        <f>"OLIVE BRANCH              "</f>
        <v xml:space="preserve">OLIVE BRANCH              </v>
      </c>
      <c r="F5393" t="str">
        <f t="shared" si="195"/>
        <v>MS</v>
      </c>
    </row>
    <row r="5394" spans="1:6" x14ac:dyDescent="0.25">
      <c r="A5394" t="str">
        <f>"000016196"</f>
        <v>000016196</v>
      </c>
      <c r="B5394" t="str">
        <f>"1871507566"</f>
        <v>1871507566</v>
      </c>
      <c r="C5394" t="str">
        <f>"208600000X"</f>
        <v>208600000X</v>
      </c>
      <c r="D5394" t="str">
        <f>"BRAHAN                   JOHN         W           "</f>
        <v xml:space="preserve">BRAHAN                   JOHN         W           </v>
      </c>
      <c r="E5394" t="str">
        <f>"HATTIESBURG               "</f>
        <v xml:space="preserve">HATTIESBURG               </v>
      </c>
      <c r="F5394" t="str">
        <f t="shared" si="195"/>
        <v>MS</v>
      </c>
    </row>
    <row r="5395" spans="1:6" x14ac:dyDescent="0.25">
      <c r="A5395" t="str">
        <f>"000016204"</f>
        <v>000016204</v>
      </c>
      <c r="B5395" t="str">
        <f>"1194872572"</f>
        <v>1194872572</v>
      </c>
      <c r="C5395" t="str">
        <f>"207Q00000X"</f>
        <v>207Q00000X</v>
      </c>
      <c r="D5395" t="str">
        <f>"PATEL                    JAISHRI      B           "</f>
        <v xml:space="preserve">PATEL                    JAISHRI      B           </v>
      </c>
      <c r="E5395" t="str">
        <f>"LAUREL                    "</f>
        <v xml:space="preserve">LAUREL                    </v>
      </c>
      <c r="F5395" t="str">
        <f t="shared" si="195"/>
        <v>MS</v>
      </c>
    </row>
    <row r="5396" spans="1:6" x14ac:dyDescent="0.25">
      <c r="A5396" t="str">
        <f>"000016221"</f>
        <v>000016221</v>
      </c>
      <c r="B5396" t="str">
        <f>"1104899129"</f>
        <v>1104899129</v>
      </c>
      <c r="C5396" t="str">
        <f>"208D00000X"</f>
        <v>208D00000X</v>
      </c>
      <c r="D5396" t="str">
        <f>"FLANNERY                 ALPHONSUS    L           "</f>
        <v xml:space="preserve">FLANNERY                 ALPHONSUS    L           </v>
      </c>
      <c r="E5396" t="str">
        <f>"BURNSVILLE                "</f>
        <v xml:space="preserve">BURNSVILLE                </v>
      </c>
      <c r="F5396" t="str">
        <f t="shared" si="195"/>
        <v>MS</v>
      </c>
    </row>
    <row r="5397" spans="1:6" x14ac:dyDescent="0.25">
      <c r="A5397" t="str">
        <f>"000016236"</f>
        <v>000016236</v>
      </c>
      <c r="B5397" t="str">
        <f>"1518937044"</f>
        <v>1518937044</v>
      </c>
      <c r="C5397" t="str">
        <f>"207RN0300X"</f>
        <v>207RN0300X</v>
      </c>
      <c r="D5397" t="str">
        <f>"WOOLDRIDGE               THOMAS       D           "</f>
        <v xml:space="preserve">WOOLDRIDGE               THOMAS       D           </v>
      </c>
      <c r="E5397" t="str">
        <f>"TUPELO                    "</f>
        <v xml:space="preserve">TUPELO                    </v>
      </c>
      <c r="F5397" t="str">
        <f t="shared" si="195"/>
        <v>MS</v>
      </c>
    </row>
    <row r="5398" spans="1:6" x14ac:dyDescent="0.25">
      <c r="A5398" t="str">
        <f>"000016240"</f>
        <v>000016240</v>
      </c>
      <c r="B5398" t="str">
        <f>"1871503086"</f>
        <v>1871503086</v>
      </c>
      <c r="C5398" t="str">
        <f>"207V00000X"</f>
        <v>207V00000X</v>
      </c>
      <c r="D5398" t="str">
        <f>"GILLESPIE JR             HILTON       L           "</f>
        <v xml:space="preserve">GILLESPIE JR             HILTON       L           </v>
      </c>
      <c r="E5398" t="str">
        <f>"HATTIESBURG               "</f>
        <v xml:space="preserve">HATTIESBURG               </v>
      </c>
      <c r="F5398" t="str">
        <f t="shared" si="195"/>
        <v>MS</v>
      </c>
    </row>
    <row r="5399" spans="1:6" x14ac:dyDescent="0.25">
      <c r="A5399" t="str">
        <f>"000016251"</f>
        <v>000016251</v>
      </c>
      <c r="B5399" t="str">
        <f>"1083610117"</f>
        <v>1083610117</v>
      </c>
      <c r="C5399" t="str">
        <f>"207R00000X"</f>
        <v>207R00000X</v>
      </c>
      <c r="D5399" t="str">
        <f>"BRUCKMEIER               KURT         F           "</f>
        <v xml:space="preserve">BRUCKMEIER               KURT         F           </v>
      </c>
      <c r="E5399" t="str">
        <f>"HATTIESBURG               "</f>
        <v xml:space="preserve">HATTIESBURG               </v>
      </c>
      <c r="F5399" t="str">
        <f t="shared" si="195"/>
        <v>MS</v>
      </c>
    </row>
    <row r="5400" spans="1:6" x14ac:dyDescent="0.25">
      <c r="A5400" t="str">
        <f>"000016309"</f>
        <v>000016309</v>
      </c>
      <c r="B5400" t="str">
        <f>"1700947579"</f>
        <v>1700947579</v>
      </c>
      <c r="C5400" t="str">
        <f>"207LP2900X"</f>
        <v>207LP2900X</v>
      </c>
      <c r="D5400" t="str">
        <f>"MCKELLAR                 DAVID        L           "</f>
        <v xml:space="preserve">MCKELLAR                 DAVID        L           </v>
      </c>
      <c r="E5400" t="str">
        <f>"HATTIESBURG               "</f>
        <v xml:space="preserve">HATTIESBURG               </v>
      </c>
      <c r="F5400" t="str">
        <f t="shared" si="195"/>
        <v>MS</v>
      </c>
    </row>
    <row r="5401" spans="1:6" x14ac:dyDescent="0.25">
      <c r="A5401" t="str">
        <f>"000016340"</f>
        <v>000016340</v>
      </c>
      <c r="B5401" t="str">
        <f>"1700827243"</f>
        <v>1700827243</v>
      </c>
      <c r="C5401" t="str">
        <f>"207X00000X"</f>
        <v>207X00000X</v>
      </c>
      <c r="D5401" t="str">
        <f>"MORRISON                 WILLIAM      A           "</f>
        <v xml:space="preserve">MORRISON                 WILLIAM      A           </v>
      </c>
      <c r="E5401" t="str">
        <f>"LAUREL                    "</f>
        <v xml:space="preserve">LAUREL                    </v>
      </c>
      <c r="F5401" t="str">
        <f t="shared" si="195"/>
        <v>MS</v>
      </c>
    </row>
    <row r="5402" spans="1:6" x14ac:dyDescent="0.25">
      <c r="A5402" t="str">
        <f>"000016342"</f>
        <v>000016342</v>
      </c>
      <c r="B5402" t="str">
        <f>"1609982412"</f>
        <v>1609982412</v>
      </c>
      <c r="C5402" t="str">
        <f>"207Q00000X"</f>
        <v>207Q00000X</v>
      </c>
      <c r="D5402" t="str">
        <f>"COOPER                   ROBERT       F           "</f>
        <v xml:space="preserve">COOPER                   ROBERT       F           </v>
      </c>
      <c r="E5402" t="str">
        <f>"OXFORD                    "</f>
        <v xml:space="preserve">OXFORD                    </v>
      </c>
      <c r="F5402" t="str">
        <f t="shared" si="195"/>
        <v>MS</v>
      </c>
    </row>
    <row r="5403" spans="1:6" x14ac:dyDescent="0.25">
      <c r="A5403" t="str">
        <f>"000016353"</f>
        <v>000016353</v>
      </c>
      <c r="B5403" t="str">
        <f>"1215028287"</f>
        <v>1215028287</v>
      </c>
      <c r="C5403" t="str">
        <f>"207Q00000X"</f>
        <v>207Q00000X</v>
      </c>
      <c r="D5403" t="str">
        <f>"MARTIN                   VALENCIA     P           "</f>
        <v xml:space="preserve">MARTIN                   VALENCIA     P           </v>
      </c>
      <c r="E5403" t="str">
        <f>"GREENWOOD                 "</f>
        <v xml:space="preserve">GREENWOOD                 </v>
      </c>
      <c r="F5403" t="str">
        <f t="shared" si="195"/>
        <v>MS</v>
      </c>
    </row>
    <row r="5404" spans="1:6" x14ac:dyDescent="0.25">
      <c r="A5404" t="str">
        <f>"000016354"</f>
        <v>000016354</v>
      </c>
      <c r="B5404" t="str">
        <f>"1073725933"</f>
        <v>1073725933</v>
      </c>
      <c r="C5404" t="str">
        <f>"208600000X"</f>
        <v>208600000X</v>
      </c>
      <c r="D5404" t="str">
        <f>"GLOVER                   JEFFREY      H           "</f>
        <v xml:space="preserve">GLOVER                   JEFFREY      H           </v>
      </c>
      <c r="E5404" t="str">
        <f>"MCCOMB                    "</f>
        <v xml:space="preserve">MCCOMB                    </v>
      </c>
      <c r="F5404" t="str">
        <f t="shared" si="195"/>
        <v>MS</v>
      </c>
    </row>
    <row r="5405" spans="1:6" x14ac:dyDescent="0.25">
      <c r="A5405" t="str">
        <f>"000016375"</f>
        <v>000016375</v>
      </c>
      <c r="B5405" t="str">
        <f>"1699783928"</f>
        <v>1699783928</v>
      </c>
      <c r="C5405" t="str">
        <f>"207RE0101X"</f>
        <v>207RE0101X</v>
      </c>
      <c r="D5405" t="str">
        <f>"DYESS                    ERIC         M           "</f>
        <v xml:space="preserve">DYESS                    ERIC         M           </v>
      </c>
      <c r="E5405" t="str">
        <f>"JACKSON                   "</f>
        <v xml:space="preserve">JACKSON                   </v>
      </c>
      <c r="F5405" t="str">
        <f t="shared" si="195"/>
        <v>MS</v>
      </c>
    </row>
    <row r="5406" spans="1:6" x14ac:dyDescent="0.25">
      <c r="A5406" t="str">
        <f>"000016395"</f>
        <v>000016395</v>
      </c>
      <c r="B5406" t="str">
        <f>"1245309418"</f>
        <v>1245309418</v>
      </c>
      <c r="C5406" t="str">
        <f>"207R00000X"</f>
        <v>207R00000X</v>
      </c>
      <c r="D5406" t="str">
        <f>"CUNNINGHAM               JERRY        M           "</f>
        <v xml:space="preserve">CUNNINGHAM               JERRY        M           </v>
      </c>
      <c r="E5406" t="str">
        <f>"GREENVILLE                "</f>
        <v xml:space="preserve">GREENVILLE                </v>
      </c>
      <c r="F5406" t="str">
        <f t="shared" si="195"/>
        <v>MS</v>
      </c>
    </row>
    <row r="5407" spans="1:6" x14ac:dyDescent="0.25">
      <c r="A5407" t="str">
        <f>"000016402"</f>
        <v>000016402</v>
      </c>
      <c r="B5407" t="str">
        <f>"1154316008"</f>
        <v>1154316008</v>
      </c>
      <c r="C5407" t="str">
        <f>"207Q00000X"</f>
        <v>207Q00000X</v>
      </c>
      <c r="D5407" t="str">
        <f>"NAUSE JR                 CHARLES      L           "</f>
        <v xml:space="preserve">NAUSE JR                 CHARLES      L           </v>
      </c>
      <c r="E5407" t="str">
        <f>"GREENWOOD                 "</f>
        <v xml:space="preserve">GREENWOOD                 </v>
      </c>
      <c r="F5407" t="str">
        <f t="shared" si="195"/>
        <v>MS</v>
      </c>
    </row>
    <row r="5408" spans="1:6" x14ac:dyDescent="0.25">
      <c r="A5408" t="str">
        <f>"000016408"</f>
        <v>000016408</v>
      </c>
      <c r="B5408" t="str">
        <f>"1053489260"</f>
        <v>1053489260</v>
      </c>
      <c r="C5408" t="str">
        <f>"261QP0905X"</f>
        <v>261QP0905X</v>
      </c>
      <c r="D5408" t="str">
        <f>"S B H - FAM PLAN CL                               "</f>
        <v xml:space="preserve">S B H - FAM PLAN CL                               </v>
      </c>
      <c r="E5408" t="str">
        <f>"JACKSON                   "</f>
        <v xml:space="preserve">JACKSON                   </v>
      </c>
      <c r="F5408" t="str">
        <f t="shared" si="195"/>
        <v>MS</v>
      </c>
    </row>
    <row r="5409" spans="1:6" x14ac:dyDescent="0.25">
      <c r="A5409" t="str">
        <f>"000016412"</f>
        <v>000016412</v>
      </c>
      <c r="B5409" t="str">
        <f>"1063558401"</f>
        <v>1063558401</v>
      </c>
      <c r="C5409" t="str">
        <f>"261QP0905X"</f>
        <v>261QP0905X</v>
      </c>
      <c r="D5409" t="str">
        <f>"MISSISSIPPI DEPARTMENT OF HEALTH                  "</f>
        <v xml:space="preserve">MISSISSIPPI DEPARTMENT OF HEALTH                  </v>
      </c>
      <c r="E5409" t="str">
        <f>"JACKSON                   "</f>
        <v xml:space="preserve">JACKSON                   </v>
      </c>
      <c r="F5409" t="str">
        <f t="shared" si="195"/>
        <v>MS</v>
      </c>
    </row>
    <row r="5410" spans="1:6" x14ac:dyDescent="0.25">
      <c r="A5410" t="str">
        <f>"000016500"</f>
        <v>000016500</v>
      </c>
      <c r="B5410" t="str">
        <f>"1629010012"</f>
        <v>1629010012</v>
      </c>
      <c r="C5410" t="str">
        <f>"207RC0000X"</f>
        <v>207RC0000X</v>
      </c>
      <c r="D5410" t="str">
        <f>"FOLK III                 BENJAMIN     P           "</f>
        <v xml:space="preserve">FOLK III                 BENJAMIN     P           </v>
      </c>
      <c r="E5410" t="str">
        <f>"GREENVILLE                "</f>
        <v xml:space="preserve">GREENVILLE                </v>
      </c>
      <c r="F5410" t="str">
        <f t="shared" si="195"/>
        <v>MS</v>
      </c>
    </row>
    <row r="5411" spans="1:6" x14ac:dyDescent="0.25">
      <c r="A5411" t="str">
        <f>"000016544"</f>
        <v>000016544</v>
      </c>
      <c r="B5411" t="str">
        <f>"1588773774"</f>
        <v>1588773774</v>
      </c>
      <c r="C5411" t="str">
        <f>"207RC0000X"</f>
        <v>207RC0000X</v>
      </c>
      <c r="D5411" t="str">
        <f>"WAITES                   THAD         F           "</f>
        <v xml:space="preserve">WAITES                   THAD         F           </v>
      </c>
      <c r="E5411" t="str">
        <f>"HATTIESBURG               "</f>
        <v xml:space="preserve">HATTIESBURG               </v>
      </c>
      <c r="F5411" t="str">
        <f t="shared" si="195"/>
        <v>MS</v>
      </c>
    </row>
    <row r="5412" spans="1:6" x14ac:dyDescent="0.25">
      <c r="A5412" t="str">
        <f>"000016570"</f>
        <v>000016570</v>
      </c>
      <c r="B5412" t="str">
        <f>"1588602718"</f>
        <v>1588602718</v>
      </c>
      <c r="C5412" t="str">
        <f>"207R00000X"</f>
        <v>207R00000X</v>
      </c>
      <c r="D5412" t="str">
        <f>"PRATER                   ALLIE        L           "</f>
        <v xml:space="preserve">PRATER                   ALLIE        L           </v>
      </c>
      <c r="E5412" t="str">
        <f>"NEW ALBANY                "</f>
        <v xml:space="preserve">NEW ALBANY                </v>
      </c>
      <c r="F5412" t="str">
        <f t="shared" si="195"/>
        <v>MS</v>
      </c>
    </row>
    <row r="5413" spans="1:6" x14ac:dyDescent="0.25">
      <c r="A5413" t="str">
        <f>"000016690"</f>
        <v>000016690</v>
      </c>
      <c r="B5413" t="str">
        <f>"1821184136"</f>
        <v>1821184136</v>
      </c>
      <c r="C5413" t="str">
        <f>"207RC0000X"</f>
        <v>207RC0000X</v>
      </c>
      <c r="D5413" t="str">
        <f>"LITTLE                   NELSON       K           "</f>
        <v xml:space="preserve">LITTLE                   NELSON       K           </v>
      </c>
      <c r="E5413" t="str">
        <f>"TUPELO                    "</f>
        <v xml:space="preserve">TUPELO                    </v>
      </c>
      <c r="F5413" t="str">
        <f t="shared" si="195"/>
        <v>MS</v>
      </c>
    </row>
    <row r="5414" spans="1:6" x14ac:dyDescent="0.25">
      <c r="A5414" t="str">
        <f>"000016774"</f>
        <v>000016774</v>
      </c>
      <c r="B5414" t="str">
        <f>"1730199159"</f>
        <v>1730199159</v>
      </c>
      <c r="C5414" t="str">
        <f>"207L00000X"</f>
        <v>207L00000X</v>
      </c>
      <c r="D5414" t="str">
        <f>"VEACH                    CHELE        A           "</f>
        <v xml:space="preserve">VEACH                    CHELE        A           </v>
      </c>
      <c r="E5414" t="str">
        <f>"PEARL                     "</f>
        <v xml:space="preserve">PEARL                     </v>
      </c>
      <c r="F5414" t="str">
        <f t="shared" si="195"/>
        <v>MS</v>
      </c>
    </row>
    <row r="5415" spans="1:6" x14ac:dyDescent="0.25">
      <c r="A5415" t="str">
        <f>"000016777"</f>
        <v>000016777</v>
      </c>
      <c r="B5415" t="str">
        <f>"1447268347"</f>
        <v>1447268347</v>
      </c>
      <c r="C5415" t="str">
        <f>"208000000X"</f>
        <v>208000000X</v>
      </c>
      <c r="D5415" t="str">
        <f>"SIDHU                    DESH         D           "</f>
        <v xml:space="preserve">SIDHU                    DESH         D           </v>
      </c>
      <c r="E5415" t="str">
        <f>"SENATOBIA                 "</f>
        <v xml:space="preserve">SENATOBIA                 </v>
      </c>
      <c r="F5415" t="str">
        <f t="shared" si="195"/>
        <v>MS</v>
      </c>
    </row>
    <row r="5416" spans="1:6" x14ac:dyDescent="0.25">
      <c r="A5416" t="str">
        <f>"000016780"</f>
        <v>000016780</v>
      </c>
      <c r="B5416" t="str">
        <f>"1306881875"</f>
        <v>1306881875</v>
      </c>
      <c r="C5416" t="str">
        <f>"207P00000X"</f>
        <v>207P00000X</v>
      </c>
      <c r="D5416" t="str">
        <f>"AUST                     DENNIS       W           "</f>
        <v xml:space="preserve">AUST                     DENNIS       W           </v>
      </c>
      <c r="E5416" t="str">
        <f>"CLARKSDALE                "</f>
        <v xml:space="preserve">CLARKSDALE                </v>
      </c>
      <c r="F5416" t="str">
        <f t="shared" si="195"/>
        <v>MS</v>
      </c>
    </row>
    <row r="5417" spans="1:6" x14ac:dyDescent="0.25">
      <c r="A5417" t="str">
        <f>"000016823"</f>
        <v>000016823</v>
      </c>
      <c r="B5417" t="str">
        <f>"1194839779"</f>
        <v>1194839779</v>
      </c>
      <c r="C5417" t="str">
        <f>"207W00000X"</f>
        <v>207W00000X</v>
      </c>
      <c r="D5417" t="str">
        <f>"THURBER                  GEORGE       M           "</f>
        <v xml:space="preserve">THURBER                  GEORGE       M           </v>
      </c>
      <c r="E5417" t="str">
        <f>"BILOXI                    "</f>
        <v xml:space="preserve">BILOXI                    </v>
      </c>
      <c r="F5417" t="str">
        <f t="shared" si="195"/>
        <v>MS</v>
      </c>
    </row>
    <row r="5418" spans="1:6" x14ac:dyDescent="0.25">
      <c r="A5418" t="str">
        <f>"000016824"</f>
        <v>000016824</v>
      </c>
      <c r="B5418" t="str">
        <f>"1649373705"</f>
        <v>1649373705</v>
      </c>
      <c r="C5418" t="str">
        <f>"367500000X"</f>
        <v>367500000X</v>
      </c>
      <c r="D5418" t="str">
        <f>"STRICKLAND               GEORGE       A           "</f>
        <v xml:space="preserve">STRICKLAND               GEORGE       A           </v>
      </c>
      <c r="E5418" t="str">
        <f>"LUCEDALE                  "</f>
        <v xml:space="preserve">LUCEDALE                  </v>
      </c>
      <c r="F5418" t="str">
        <f t="shared" si="195"/>
        <v>MS</v>
      </c>
    </row>
    <row r="5419" spans="1:6" x14ac:dyDescent="0.25">
      <c r="A5419" t="str">
        <f>"000016828"</f>
        <v>000016828</v>
      </c>
      <c r="B5419" t="str">
        <f>"1568570117"</f>
        <v>1568570117</v>
      </c>
      <c r="C5419" t="str">
        <f>"207W00000X"</f>
        <v>207W00000X</v>
      </c>
      <c r="D5419" t="str">
        <f>"RICHARDSON               CHARLES      D           "</f>
        <v xml:space="preserve">RICHARDSON               CHARLES      D           </v>
      </c>
      <c r="E5419" t="str">
        <f>"HATTIESBURG               "</f>
        <v xml:space="preserve">HATTIESBURG               </v>
      </c>
      <c r="F5419" t="str">
        <f t="shared" si="195"/>
        <v>MS</v>
      </c>
    </row>
    <row r="5420" spans="1:6" x14ac:dyDescent="0.25">
      <c r="A5420" t="str">
        <f>"000016859"</f>
        <v>000016859</v>
      </c>
      <c r="B5420" t="str">
        <f>"1841344892"</f>
        <v>1841344892</v>
      </c>
      <c r="C5420" t="str">
        <f>"207R00000X"</f>
        <v>207R00000X</v>
      </c>
      <c r="D5420" t="str">
        <f>"CRUMP                    NORRIS       V           "</f>
        <v xml:space="preserve">CRUMP                    NORRIS       V           </v>
      </c>
      <c r="E5420" t="str">
        <f>"TUPELO                    "</f>
        <v xml:space="preserve">TUPELO                    </v>
      </c>
      <c r="F5420" t="str">
        <f t="shared" si="195"/>
        <v>MS</v>
      </c>
    </row>
    <row r="5421" spans="1:6" x14ac:dyDescent="0.25">
      <c r="A5421" t="str">
        <f>"000016876"</f>
        <v>000016876</v>
      </c>
      <c r="B5421" t="str">
        <f>"1528099413"</f>
        <v>1528099413</v>
      </c>
      <c r="C5421" t="str">
        <f>"207X00000X"</f>
        <v>207X00000X</v>
      </c>
      <c r="D5421" t="str">
        <f>"PORTER JR                WILLIAM      C           "</f>
        <v xml:space="preserve">PORTER JR                WILLIAM      C           </v>
      </c>
      <c r="E5421" t="str">
        <f>"VICKSBURG                 "</f>
        <v xml:space="preserve">VICKSBURG                 </v>
      </c>
      <c r="F5421" t="str">
        <f t="shared" si="195"/>
        <v>MS</v>
      </c>
    </row>
    <row r="5422" spans="1:6" x14ac:dyDescent="0.25">
      <c r="A5422" t="str">
        <f>"000016899"</f>
        <v>000016899</v>
      </c>
      <c r="B5422" t="str">
        <f>"1972564656"</f>
        <v>1972564656</v>
      </c>
      <c r="C5422" t="str">
        <f>"207V00000X"</f>
        <v>207V00000X</v>
      </c>
      <c r="D5422" t="str">
        <f>"PRATER                   WESLEY       F           "</f>
        <v xml:space="preserve">PRATER                   WESLEY       F           </v>
      </c>
      <c r="E5422" t="str">
        <f>"CANTON                    "</f>
        <v xml:space="preserve">CANTON                    </v>
      </c>
      <c r="F5422" t="str">
        <f t="shared" si="195"/>
        <v>MS</v>
      </c>
    </row>
    <row r="5423" spans="1:6" x14ac:dyDescent="0.25">
      <c r="A5423" t="str">
        <f>"000016909"</f>
        <v>000016909</v>
      </c>
      <c r="B5423" t="str">
        <f>"1871597385"</f>
        <v>1871597385</v>
      </c>
      <c r="C5423" t="str">
        <f>"207Q00000X"</f>
        <v>207Q00000X</v>
      </c>
      <c r="D5423" t="str">
        <f>"RATLIFF                  DONALD       W           "</f>
        <v xml:space="preserve">RATLIFF                  DONALD       W           </v>
      </c>
      <c r="E5423" t="str">
        <f>"BELMONT                   "</f>
        <v xml:space="preserve">BELMONT                   </v>
      </c>
      <c r="F5423" t="str">
        <f t="shared" si="195"/>
        <v>MS</v>
      </c>
    </row>
    <row r="5424" spans="1:6" x14ac:dyDescent="0.25">
      <c r="A5424" t="str">
        <f>"000016925"</f>
        <v>000016925</v>
      </c>
      <c r="B5424" t="str">
        <f>"1669513503"</f>
        <v>1669513503</v>
      </c>
      <c r="C5424" t="str">
        <f>"261QM0801X"</f>
        <v>261QM0801X</v>
      </c>
      <c r="D5424" t="str">
        <f>"CATHOLIC CHARITIES, INC.                          "</f>
        <v xml:space="preserve">CATHOLIC CHARITIES, INC.                          </v>
      </c>
      <c r="E5424" t="str">
        <f>"RIDGELAND                 "</f>
        <v xml:space="preserve">RIDGELAND                 </v>
      </c>
      <c r="F5424" t="str">
        <f t="shared" si="195"/>
        <v>MS</v>
      </c>
    </row>
    <row r="5425" spans="1:6" x14ac:dyDescent="0.25">
      <c r="A5425" t="str">
        <f>"000016927"</f>
        <v>000016927</v>
      </c>
      <c r="B5425" t="str">
        <f>"1699744482"</f>
        <v>1699744482</v>
      </c>
      <c r="C5425" t="str">
        <f>"207W00000X"</f>
        <v>207W00000X</v>
      </c>
      <c r="D5425" t="str">
        <f>"BERTUCCI                 GREGORY      E           "</f>
        <v xml:space="preserve">BERTUCCI                 GREGORY      E           </v>
      </c>
      <c r="E5425" t="str">
        <f>"BILOXI                    "</f>
        <v xml:space="preserve">BILOXI                    </v>
      </c>
      <c r="F5425" t="str">
        <f t="shared" si="195"/>
        <v>MS</v>
      </c>
    </row>
    <row r="5426" spans="1:6" x14ac:dyDescent="0.25">
      <c r="A5426" t="str">
        <f>"000016957"</f>
        <v>000016957</v>
      </c>
      <c r="B5426" t="str">
        <f>"1467433995"</f>
        <v>1467433995</v>
      </c>
      <c r="C5426" t="str">
        <f>"207RI0200X"</f>
        <v>207RI0200X</v>
      </c>
      <c r="D5426" t="str">
        <f>"MCVEY                    ERIC         A           "</f>
        <v xml:space="preserve">MCVEY                    ERIC         A           </v>
      </c>
      <c r="E5426" t="str">
        <f>"JACKSON                   "</f>
        <v xml:space="preserve">JACKSON                   </v>
      </c>
      <c r="F5426" t="str">
        <f t="shared" si="195"/>
        <v>MS</v>
      </c>
    </row>
    <row r="5427" spans="1:6" x14ac:dyDescent="0.25">
      <c r="A5427" t="str">
        <f>"000016970"</f>
        <v>000016970</v>
      </c>
      <c r="B5427" t="str">
        <f>"1801827019"</f>
        <v>1801827019</v>
      </c>
      <c r="C5427" t="str">
        <f>"208800000X"</f>
        <v>208800000X</v>
      </c>
      <c r="D5427" t="str">
        <f>"FAGAN                    JOHN         D           "</f>
        <v xml:space="preserve">FAGAN                    JOHN         D           </v>
      </c>
      <c r="E5427" t="str">
        <f>"VICKSBURG                 "</f>
        <v xml:space="preserve">VICKSBURG                 </v>
      </c>
      <c r="F5427" t="str">
        <f t="shared" si="195"/>
        <v>MS</v>
      </c>
    </row>
    <row r="5428" spans="1:6" x14ac:dyDescent="0.25">
      <c r="A5428" t="str">
        <f>"000017048"</f>
        <v>000017048</v>
      </c>
      <c r="B5428" t="str">
        <f>"1285746511"</f>
        <v>1285746511</v>
      </c>
      <c r="C5428" t="str">
        <f>"207Q00000X"</f>
        <v>207Q00000X</v>
      </c>
      <c r="D5428" t="str">
        <f>"ESTES                    TIMOTHY      D           "</f>
        <v xml:space="preserve">ESTES                    TIMOTHY      D           </v>
      </c>
      <c r="E5428" t="str">
        <f>"JACKSON                   "</f>
        <v xml:space="preserve">JACKSON                   </v>
      </c>
      <c r="F5428" t="str">
        <f t="shared" si="195"/>
        <v>MS</v>
      </c>
    </row>
    <row r="5429" spans="1:6" x14ac:dyDescent="0.25">
      <c r="A5429" t="str">
        <f>"000017068"</f>
        <v>000017068</v>
      </c>
      <c r="B5429" t="str">
        <f>"1881608586"</f>
        <v>1881608586</v>
      </c>
      <c r="C5429" t="str">
        <f>"207R00000X"</f>
        <v>207R00000X</v>
      </c>
      <c r="D5429" t="str">
        <f>"BRAHAN                   ROBERT       B           "</f>
        <v xml:space="preserve">BRAHAN                   ROBERT       B           </v>
      </c>
      <c r="E5429" t="str">
        <f>"HATTIESBURG               "</f>
        <v xml:space="preserve">HATTIESBURG               </v>
      </c>
      <c r="F5429" t="str">
        <f t="shared" si="195"/>
        <v>MS</v>
      </c>
    </row>
    <row r="5430" spans="1:6" x14ac:dyDescent="0.25">
      <c r="A5430" t="str">
        <f>"000017219"</f>
        <v>000017219</v>
      </c>
      <c r="B5430" t="str">
        <f>"1205919495"</f>
        <v>1205919495</v>
      </c>
      <c r="C5430" t="str">
        <f>"207Q00000X"</f>
        <v>207Q00000X</v>
      </c>
      <c r="D5430" t="str">
        <f>"JOSHI                    CHANDRASHEKHAV           "</f>
        <v xml:space="preserve">JOSHI                    CHANDRASHEKHAV           </v>
      </c>
      <c r="E5430" t="str">
        <f>"CHOCTAW                   "</f>
        <v xml:space="preserve">CHOCTAW                   </v>
      </c>
      <c r="F5430" t="str">
        <f t="shared" si="195"/>
        <v>MS</v>
      </c>
    </row>
    <row r="5431" spans="1:6" x14ac:dyDescent="0.25">
      <c r="A5431" t="str">
        <f>"000017320"</f>
        <v>000017320</v>
      </c>
      <c r="B5431" t="str">
        <f>"1407844202"</f>
        <v>1407844202</v>
      </c>
      <c r="C5431" t="str">
        <f>"207V00000X"</f>
        <v>207V00000X</v>
      </c>
      <c r="D5431" t="str">
        <f>"HUNT                     MARION       G           "</f>
        <v xml:space="preserve">HUNT                     MARION       G           </v>
      </c>
      <c r="E5431" t="str">
        <f>"OXFORD                    "</f>
        <v xml:space="preserve">OXFORD                    </v>
      </c>
      <c r="F5431" t="str">
        <f t="shared" si="195"/>
        <v>MS</v>
      </c>
    </row>
    <row r="5432" spans="1:6" x14ac:dyDescent="0.25">
      <c r="A5432" t="str">
        <f>"000017346"</f>
        <v>000017346</v>
      </c>
      <c r="B5432" t="str">
        <f>"1336252774"</f>
        <v>1336252774</v>
      </c>
      <c r="C5432" t="str">
        <f>"207W00000X"</f>
        <v>207W00000X</v>
      </c>
      <c r="D5432" t="str">
        <f>"SUTTON                   JAMES        D           "</f>
        <v xml:space="preserve">SUTTON                   JAMES        D           </v>
      </c>
      <c r="E5432" t="str">
        <f>"OCEAN SPRINGS             "</f>
        <v xml:space="preserve">OCEAN SPRINGS             </v>
      </c>
      <c r="F5432" t="str">
        <f t="shared" si="195"/>
        <v>MS</v>
      </c>
    </row>
    <row r="5433" spans="1:6" x14ac:dyDescent="0.25">
      <c r="A5433" t="str">
        <f>"000017354"</f>
        <v>000017354</v>
      </c>
      <c r="B5433" t="str">
        <f>"1043225527"</f>
        <v>1043225527</v>
      </c>
      <c r="C5433" t="str">
        <f>"208600000X"</f>
        <v>208600000X</v>
      </c>
      <c r="D5433" t="str">
        <f>"FISER                    H.           G           "</f>
        <v xml:space="preserve">FISER                    H.           G           </v>
      </c>
      <c r="E5433" t="str">
        <f>"JACKSON                   "</f>
        <v xml:space="preserve">JACKSON                   </v>
      </c>
      <c r="F5433" t="str">
        <f t="shared" si="195"/>
        <v>MS</v>
      </c>
    </row>
    <row r="5434" spans="1:6" x14ac:dyDescent="0.25">
      <c r="A5434" t="str">
        <f>"000017434"</f>
        <v>000017434</v>
      </c>
      <c r="B5434" t="str">
        <f>"1346359197"</f>
        <v>1346359197</v>
      </c>
      <c r="C5434" t="str">
        <f>"207Q00000X"</f>
        <v>207Q00000X</v>
      </c>
      <c r="D5434" t="str">
        <f>"MOODY                    DAVID        L           "</f>
        <v xml:space="preserve">MOODY                    DAVID        L           </v>
      </c>
      <c r="E5434" t="str">
        <f>"CARTHAGE                  "</f>
        <v xml:space="preserve">CARTHAGE                  </v>
      </c>
      <c r="F5434" t="str">
        <f t="shared" si="195"/>
        <v>MS</v>
      </c>
    </row>
    <row r="5435" spans="1:6" x14ac:dyDescent="0.25">
      <c r="A5435" t="str">
        <f>"000017463"</f>
        <v>000017463</v>
      </c>
      <c r="B5435" t="str">
        <f>"1750346946"</f>
        <v>1750346946</v>
      </c>
      <c r="C5435" t="str">
        <f>"208600000X"</f>
        <v>208600000X</v>
      </c>
      <c r="D5435" t="str">
        <f>"WHEELER                  BRENT        R           "</f>
        <v xml:space="preserve">WHEELER                  BRENT        R           </v>
      </c>
      <c r="E5435" t="str">
        <f>"HATTIESBURG               "</f>
        <v xml:space="preserve">HATTIESBURG               </v>
      </c>
      <c r="F5435" t="str">
        <f t="shared" si="195"/>
        <v>MS</v>
      </c>
    </row>
    <row r="5436" spans="1:6" x14ac:dyDescent="0.25">
      <c r="A5436" t="str">
        <f>"000017574"</f>
        <v>000017574</v>
      </c>
      <c r="B5436" t="str">
        <f>"1750386488"</f>
        <v>1750386488</v>
      </c>
      <c r="C5436" t="str">
        <f>"207Q00000X"</f>
        <v>207Q00000X</v>
      </c>
      <c r="D5436" t="str">
        <f>"GLYNN                    MARGARET     M           "</f>
        <v xml:space="preserve">GLYNN                    MARGARET     M           </v>
      </c>
      <c r="E5436" t="str">
        <f>"IUKA                      "</f>
        <v xml:space="preserve">IUKA                      </v>
      </c>
      <c r="F5436" t="str">
        <f t="shared" si="195"/>
        <v>MS</v>
      </c>
    </row>
    <row r="5437" spans="1:6" x14ac:dyDescent="0.25">
      <c r="A5437" t="str">
        <f>"000017613"</f>
        <v>000017613</v>
      </c>
      <c r="B5437" t="str">
        <f>"1689696817"</f>
        <v>1689696817</v>
      </c>
      <c r="C5437" t="str">
        <f>"207R00000X"</f>
        <v>207R00000X</v>
      </c>
      <c r="D5437" t="str">
        <f>"BEASLEY                  JAMES        M           "</f>
        <v xml:space="preserve">BEASLEY                  JAMES        M           </v>
      </c>
      <c r="E5437" t="str">
        <f>"LAUREL                    "</f>
        <v xml:space="preserve">LAUREL                    </v>
      </c>
      <c r="F5437" t="str">
        <f t="shared" si="195"/>
        <v>MS</v>
      </c>
    </row>
    <row r="5438" spans="1:6" x14ac:dyDescent="0.25">
      <c r="A5438" t="str">
        <f>"000017651"</f>
        <v>000017651</v>
      </c>
      <c r="B5438" t="str">
        <f>"1588664510"</f>
        <v>1588664510</v>
      </c>
      <c r="C5438" t="str">
        <f>"207Q00000X"</f>
        <v>207Q00000X</v>
      </c>
      <c r="D5438" t="str">
        <f>"CARTWRIGHT               CLIFTON      C           "</f>
        <v xml:space="preserve">CARTWRIGHT               CLIFTON      C           </v>
      </c>
      <c r="E5438" t="str">
        <f>"BOONEVILLE                "</f>
        <v xml:space="preserve">BOONEVILLE                </v>
      </c>
      <c r="F5438" t="str">
        <f t="shared" ref="F5438:F5501" si="196">"MS"</f>
        <v>MS</v>
      </c>
    </row>
    <row r="5439" spans="1:6" x14ac:dyDescent="0.25">
      <c r="A5439" t="str">
        <f>"000017743"</f>
        <v>000017743</v>
      </c>
      <c r="B5439" t="str">
        <f>"1871773671"</f>
        <v>1871773671</v>
      </c>
      <c r="C5439" t="str">
        <f>"207RG0100X"</f>
        <v>207RG0100X</v>
      </c>
      <c r="D5439" t="str">
        <f>"NAMIHIRA                 YOSHINOBU                "</f>
        <v xml:space="preserve">NAMIHIRA                 YOSHINOBU                </v>
      </c>
      <c r="E5439" t="str">
        <f>"VICKSBURG                 "</f>
        <v xml:space="preserve">VICKSBURG                 </v>
      </c>
      <c r="F5439" t="str">
        <f t="shared" si="196"/>
        <v>MS</v>
      </c>
    </row>
    <row r="5440" spans="1:6" x14ac:dyDescent="0.25">
      <c r="A5440" t="str">
        <f>"000017758"</f>
        <v>000017758</v>
      </c>
      <c r="B5440" t="str">
        <f>"1427113000"</f>
        <v>1427113000</v>
      </c>
      <c r="C5440" t="str">
        <f>"208D00000X"</f>
        <v>208D00000X</v>
      </c>
      <c r="D5440" t="str">
        <f>"MARTIN                   JAMES        B           "</f>
        <v xml:space="preserve">MARTIN                   JAMES        B           </v>
      </c>
      <c r="E5440" t="str">
        <f>"OCEAN SPRINGS             "</f>
        <v xml:space="preserve">OCEAN SPRINGS             </v>
      </c>
      <c r="F5440" t="str">
        <f t="shared" si="196"/>
        <v>MS</v>
      </c>
    </row>
    <row r="5441" spans="1:6" x14ac:dyDescent="0.25">
      <c r="A5441" t="str">
        <f>"000017775"</f>
        <v>000017775</v>
      </c>
      <c r="B5441" t="str">
        <f>"1114084241"</f>
        <v>1114084241</v>
      </c>
      <c r="C5441" t="str">
        <f>"363L00000X"</f>
        <v>363L00000X</v>
      </c>
      <c r="D5441" t="str">
        <f>"RICHARDS                 MELINDA                  "</f>
        <v xml:space="preserve">RICHARDS                 MELINDA                  </v>
      </c>
      <c r="E5441" t="str">
        <f>"YAZOO CITY                "</f>
        <v xml:space="preserve">YAZOO CITY                </v>
      </c>
      <c r="F5441" t="str">
        <f t="shared" si="196"/>
        <v>MS</v>
      </c>
    </row>
    <row r="5442" spans="1:6" x14ac:dyDescent="0.25">
      <c r="A5442" t="str">
        <f>"000017841"</f>
        <v>000017841</v>
      </c>
      <c r="B5442" t="str">
        <f>"1508860123"</f>
        <v>1508860123</v>
      </c>
      <c r="C5442" t="str">
        <f>"207Q00000X"</f>
        <v>207Q00000X</v>
      </c>
      <c r="D5442" t="str">
        <f>"LOWE                     TERRY        R           "</f>
        <v xml:space="preserve">LOWE                     TERRY        R           </v>
      </c>
      <c r="E5442" t="str">
        <f>"HATTIESBURG               "</f>
        <v xml:space="preserve">HATTIESBURG               </v>
      </c>
      <c r="F5442" t="str">
        <f t="shared" si="196"/>
        <v>MS</v>
      </c>
    </row>
    <row r="5443" spans="1:6" x14ac:dyDescent="0.25">
      <c r="A5443" t="str">
        <f>"000017855"</f>
        <v>000017855</v>
      </c>
      <c r="B5443" t="str">
        <f>"1548203946"</f>
        <v>1548203946</v>
      </c>
      <c r="C5443" t="str">
        <f>"207P00000X"</f>
        <v>207P00000X</v>
      </c>
      <c r="D5443" t="str">
        <f>"AYCOCK                   THOMAS                   "</f>
        <v xml:space="preserve">AYCOCK                   THOMAS                   </v>
      </c>
      <c r="E5443" t="str">
        <f>"COLUMBUS                  "</f>
        <v xml:space="preserve">COLUMBUS                  </v>
      </c>
      <c r="F5443" t="str">
        <f t="shared" si="196"/>
        <v>MS</v>
      </c>
    </row>
    <row r="5444" spans="1:6" x14ac:dyDescent="0.25">
      <c r="A5444" t="str">
        <f>"000017885"</f>
        <v>000017885</v>
      </c>
      <c r="B5444" t="str">
        <f>"1437195633"</f>
        <v>1437195633</v>
      </c>
      <c r="C5444" t="str">
        <f>"2080P0201X"</f>
        <v>2080P0201X</v>
      </c>
      <c r="D5444" t="str">
        <f>"YATES                    ANNE         B           "</f>
        <v xml:space="preserve">YATES                    ANNE         B           </v>
      </c>
      <c r="E5444" t="str">
        <f>"JACKSON                   "</f>
        <v xml:space="preserve">JACKSON                   </v>
      </c>
      <c r="F5444" t="str">
        <f t="shared" si="196"/>
        <v>MS</v>
      </c>
    </row>
    <row r="5445" spans="1:6" x14ac:dyDescent="0.25">
      <c r="A5445" t="str">
        <f>"000017889"</f>
        <v>000017889</v>
      </c>
      <c r="B5445" t="str">
        <f>"1164442349"</f>
        <v>1164442349</v>
      </c>
      <c r="C5445" t="str">
        <f>"207R00000X"</f>
        <v>207R00000X</v>
      </c>
      <c r="D5445" t="str">
        <f>"SKELTON                  THOMAS       N           "</f>
        <v xml:space="preserve">SKELTON                  THOMAS       N           </v>
      </c>
      <c r="E5445" t="str">
        <f>"JACKSON                   "</f>
        <v xml:space="preserve">JACKSON                   </v>
      </c>
      <c r="F5445" t="str">
        <f t="shared" si="196"/>
        <v>MS</v>
      </c>
    </row>
    <row r="5446" spans="1:6" x14ac:dyDescent="0.25">
      <c r="A5446" t="str">
        <f>"000018027"</f>
        <v>000018027</v>
      </c>
      <c r="B5446" t="str">
        <f>"1043211642"</f>
        <v>1043211642</v>
      </c>
      <c r="C5446" t="str">
        <f>"367500000X"</f>
        <v>367500000X</v>
      </c>
      <c r="D5446" t="str">
        <f>"SMITH                    PAUL         E           "</f>
        <v xml:space="preserve">SMITH                    PAUL         E           </v>
      </c>
      <c r="E5446" t="str">
        <f>"BROOKHAVEN                "</f>
        <v xml:space="preserve">BROOKHAVEN                </v>
      </c>
      <c r="F5446" t="str">
        <f t="shared" si="196"/>
        <v>MS</v>
      </c>
    </row>
    <row r="5447" spans="1:6" x14ac:dyDescent="0.25">
      <c r="A5447" t="str">
        <f>"000018061"</f>
        <v>000018061</v>
      </c>
      <c r="B5447" t="str">
        <f>"1114901063"</f>
        <v>1114901063</v>
      </c>
      <c r="C5447" t="str">
        <f>"208600000X"</f>
        <v>208600000X</v>
      </c>
      <c r="D5447" t="str">
        <f>"BERG                     ROBERT       J           "</f>
        <v xml:space="preserve">BERG                     ROBERT       J           </v>
      </c>
      <c r="E5447" t="str">
        <f>"MERIDIAN                  "</f>
        <v xml:space="preserve">MERIDIAN                  </v>
      </c>
      <c r="F5447" t="str">
        <f t="shared" si="196"/>
        <v>MS</v>
      </c>
    </row>
    <row r="5448" spans="1:6" x14ac:dyDescent="0.25">
      <c r="A5448" t="str">
        <f>"000018132"</f>
        <v>000018132</v>
      </c>
      <c r="B5448" t="str">
        <f>"1053494831"</f>
        <v>1053494831</v>
      </c>
      <c r="C5448" t="str">
        <f>"2084N0400X"</f>
        <v>2084N0400X</v>
      </c>
      <c r="D5448" t="str">
        <f>"MCHENRY                  DAVID                    "</f>
        <v xml:space="preserve">MCHENRY                  DAVID                    </v>
      </c>
      <c r="E5448" t="str">
        <f>"MAGEE                     "</f>
        <v xml:space="preserve">MAGEE                     </v>
      </c>
      <c r="F5448" t="str">
        <f t="shared" si="196"/>
        <v>MS</v>
      </c>
    </row>
    <row r="5449" spans="1:6" x14ac:dyDescent="0.25">
      <c r="A5449" t="str">
        <f>"000018147"</f>
        <v>000018147</v>
      </c>
      <c r="B5449" t="str">
        <f>"1881702710"</f>
        <v>1881702710</v>
      </c>
      <c r="C5449" t="str">
        <f>"2084P0800X"</f>
        <v>2084P0800X</v>
      </c>
      <c r="D5449" t="str">
        <f>"BISHOP                   ANDREW       C           "</f>
        <v xml:space="preserve">BISHOP                   ANDREW       C           </v>
      </c>
      <c r="E5449" t="str">
        <f>"JACKSON                   "</f>
        <v xml:space="preserve">JACKSON                   </v>
      </c>
      <c r="F5449" t="str">
        <f t="shared" si="196"/>
        <v>MS</v>
      </c>
    </row>
    <row r="5450" spans="1:6" x14ac:dyDescent="0.25">
      <c r="A5450" t="str">
        <f>"000018196"</f>
        <v>000018196</v>
      </c>
      <c r="B5450" t="str">
        <f>"1124061635"</f>
        <v>1124061635</v>
      </c>
      <c r="C5450" t="str">
        <f>"207Q00000X"</f>
        <v>207Q00000X</v>
      </c>
      <c r="D5450" t="str">
        <f>"MANNING                  PATTI                    "</f>
        <v xml:space="preserve">MANNING                  PATTI                    </v>
      </c>
      <c r="E5450" t="str">
        <f>"COLUMBUS                  "</f>
        <v xml:space="preserve">COLUMBUS                  </v>
      </c>
      <c r="F5450" t="str">
        <f t="shared" si="196"/>
        <v>MS</v>
      </c>
    </row>
    <row r="5451" spans="1:6" x14ac:dyDescent="0.25">
      <c r="A5451" t="str">
        <f>"000018202"</f>
        <v>000018202</v>
      </c>
      <c r="B5451" t="str">
        <f>"1558468694"</f>
        <v>1558468694</v>
      </c>
      <c r="C5451" t="str">
        <f t="shared" ref="C5451:C5461" si="197">"261QM0801X"</f>
        <v>261QM0801X</v>
      </c>
      <c r="D5451" t="str">
        <f>"COMMUNICARE                                       "</f>
        <v xml:space="preserve">COMMUNICARE                                       </v>
      </c>
      <c r="E5451" t="str">
        <f>"OXFORD                    "</f>
        <v xml:space="preserve">OXFORD                    </v>
      </c>
      <c r="F5451" t="str">
        <f t="shared" si="196"/>
        <v>MS</v>
      </c>
    </row>
    <row r="5452" spans="1:6" x14ac:dyDescent="0.25">
      <c r="A5452" t="str">
        <f>"000018203"</f>
        <v>000018203</v>
      </c>
      <c r="B5452" t="str">
        <f>"1801828496"</f>
        <v>1801828496</v>
      </c>
      <c r="C5452" t="str">
        <f t="shared" si="197"/>
        <v>261QM0801X</v>
      </c>
      <c r="D5452" t="str">
        <f>"NORTHEAST MH MR COMMISSION                        "</f>
        <v xml:space="preserve">NORTHEAST MH MR COMMISSION                        </v>
      </c>
      <c r="E5452" t="str">
        <f>"TUPELO                    "</f>
        <v xml:space="preserve">TUPELO                    </v>
      </c>
      <c r="F5452" t="str">
        <f t="shared" si="196"/>
        <v>MS</v>
      </c>
    </row>
    <row r="5453" spans="1:6" x14ac:dyDescent="0.25">
      <c r="A5453" t="str">
        <f>"000018204"</f>
        <v>000018204</v>
      </c>
      <c r="B5453" t="str">
        <f>"1699869537"</f>
        <v>1699869537</v>
      </c>
      <c r="C5453" t="str">
        <f t="shared" si="197"/>
        <v>261QM0801X</v>
      </c>
      <c r="D5453" t="str">
        <f>"REGION IV MENTAL HEALTH SERVICES                  "</f>
        <v xml:space="preserve">REGION IV MENTAL HEALTH SERVICES                  </v>
      </c>
      <c r="E5453" t="str">
        <f>"CORINTH                   "</f>
        <v xml:space="preserve">CORINTH                   </v>
      </c>
      <c r="F5453" t="str">
        <f t="shared" si="196"/>
        <v>MS</v>
      </c>
    </row>
    <row r="5454" spans="1:6" x14ac:dyDescent="0.25">
      <c r="A5454" t="str">
        <f>"000018206"</f>
        <v>000018206</v>
      </c>
      <c r="B5454" t="str">
        <f>"1154433233"</f>
        <v>1154433233</v>
      </c>
      <c r="C5454" t="str">
        <f t="shared" si="197"/>
        <v>261QM0801X</v>
      </c>
      <c r="D5454" t="str">
        <f>"LIFE HELP                                         "</f>
        <v xml:space="preserve">LIFE HELP                                         </v>
      </c>
      <c r="E5454" t="str">
        <f>"GREENWOOD                 "</f>
        <v xml:space="preserve">GREENWOOD                 </v>
      </c>
      <c r="F5454" t="str">
        <f t="shared" si="196"/>
        <v>MS</v>
      </c>
    </row>
    <row r="5455" spans="1:6" x14ac:dyDescent="0.25">
      <c r="A5455" t="str">
        <f>"000018207"</f>
        <v>000018207</v>
      </c>
      <c r="B5455" t="str">
        <f>"1700894730"</f>
        <v>1700894730</v>
      </c>
      <c r="C5455" t="str">
        <f t="shared" si="197"/>
        <v>261QM0801X</v>
      </c>
      <c r="D5455" t="str">
        <f>"COMMUNITY COUNSELING SERVICES                     "</f>
        <v xml:space="preserve">COMMUNITY COUNSELING SERVICES                     </v>
      </c>
      <c r="E5455" t="str">
        <f>"STARKVILLE                "</f>
        <v xml:space="preserve">STARKVILLE                </v>
      </c>
      <c r="F5455" t="str">
        <f t="shared" si="196"/>
        <v>MS</v>
      </c>
    </row>
    <row r="5456" spans="1:6" x14ac:dyDescent="0.25">
      <c r="A5456" t="str">
        <f>"000018208"</f>
        <v>000018208</v>
      </c>
      <c r="B5456" t="str">
        <f>"1063428761"</f>
        <v>1063428761</v>
      </c>
      <c r="C5456" t="str">
        <f t="shared" si="197"/>
        <v>261QM0801X</v>
      </c>
      <c r="D5456" t="str">
        <f>"REGION 8 MH/MR COMMISSION                         "</f>
        <v xml:space="preserve">REGION 8 MH/MR COMMISSION                         </v>
      </c>
      <c r="E5456" t="str">
        <f>"BRANDON                   "</f>
        <v xml:space="preserve">BRANDON                   </v>
      </c>
      <c r="F5456" t="str">
        <f t="shared" si="196"/>
        <v>MS</v>
      </c>
    </row>
    <row r="5457" spans="1:6" x14ac:dyDescent="0.25">
      <c r="A5457" t="str">
        <f>"000018209"</f>
        <v>000018209</v>
      </c>
      <c r="B5457" t="str">
        <f>"1205853652"</f>
        <v>1205853652</v>
      </c>
      <c r="C5457" t="str">
        <f t="shared" si="197"/>
        <v>261QM0801X</v>
      </c>
      <c r="D5457" t="str">
        <f>"HINDS BEHAVIORAL HEALTH SERVICES                  "</f>
        <v xml:space="preserve">HINDS BEHAVIORAL HEALTH SERVICES                  </v>
      </c>
      <c r="E5457" t="str">
        <f>"JACKSON                   "</f>
        <v xml:space="preserve">JACKSON                   </v>
      </c>
      <c r="F5457" t="str">
        <f t="shared" si="196"/>
        <v>MS</v>
      </c>
    </row>
    <row r="5458" spans="1:6" x14ac:dyDescent="0.25">
      <c r="A5458" t="str">
        <f>"000018210"</f>
        <v>000018210</v>
      </c>
      <c r="B5458" t="str">
        <f>"1073626511"</f>
        <v>1073626511</v>
      </c>
      <c r="C5458" t="str">
        <f t="shared" si="197"/>
        <v>261QM0801X</v>
      </c>
      <c r="D5458" t="str">
        <f>"WEEMS COMMUNITY MENTAL HEALTH CENTE               "</f>
        <v xml:space="preserve">WEEMS COMMUNITY MENTAL HEALTH CENTE               </v>
      </c>
      <c r="E5458" t="str">
        <f>"MERIDIAN                  "</f>
        <v xml:space="preserve">MERIDIAN                  </v>
      </c>
      <c r="F5458" t="str">
        <f t="shared" si="196"/>
        <v>MS</v>
      </c>
    </row>
    <row r="5459" spans="1:6" x14ac:dyDescent="0.25">
      <c r="A5459" t="str">
        <f>"000018212"</f>
        <v>000018212</v>
      </c>
      <c r="B5459" t="str">
        <f>"1982610572"</f>
        <v>1982610572</v>
      </c>
      <c r="C5459" t="str">
        <f t="shared" si="197"/>
        <v>261QM0801X</v>
      </c>
      <c r="D5459" t="str">
        <f>"PINE BELT MENTAL HLTHCARE RESOURCES               "</f>
        <v xml:space="preserve">PINE BELT MENTAL HLTHCARE RESOURCES               </v>
      </c>
      <c r="E5459" t="str">
        <f>"HATTIESBURG               "</f>
        <v xml:space="preserve">HATTIESBURG               </v>
      </c>
      <c r="F5459" t="str">
        <f t="shared" si="196"/>
        <v>MS</v>
      </c>
    </row>
    <row r="5460" spans="1:6" x14ac:dyDescent="0.25">
      <c r="A5460" t="str">
        <f>"000018214"</f>
        <v>000018214</v>
      </c>
      <c r="B5460" t="str">
        <f>"1851407829"</f>
        <v>1851407829</v>
      </c>
      <c r="C5460" t="str">
        <f t="shared" si="197"/>
        <v>261QM0801X</v>
      </c>
      <c r="D5460" t="str">
        <f>"SINGING RIVER SERVICES                            "</f>
        <v xml:space="preserve">SINGING RIVER SERVICES                            </v>
      </c>
      <c r="E5460" t="str">
        <f>"GAUTIER                   "</f>
        <v xml:space="preserve">GAUTIER                   </v>
      </c>
      <c r="F5460" t="str">
        <f t="shared" si="196"/>
        <v>MS</v>
      </c>
    </row>
    <row r="5461" spans="1:6" x14ac:dyDescent="0.25">
      <c r="A5461" t="str">
        <f>"000018215"</f>
        <v>000018215</v>
      </c>
      <c r="B5461" t="str">
        <f>"1023002920"</f>
        <v>1023002920</v>
      </c>
      <c r="C5461" t="str">
        <f t="shared" si="197"/>
        <v>261QM0801X</v>
      </c>
      <c r="D5461" t="str">
        <f>"WARREN-YAZOO MENTAL HEALTH SERVICE                "</f>
        <v xml:space="preserve">WARREN-YAZOO MENTAL HEALTH SERVICE                </v>
      </c>
      <c r="E5461" t="str">
        <f>"YAZOO CITY                "</f>
        <v xml:space="preserve">YAZOO CITY                </v>
      </c>
      <c r="F5461" t="str">
        <f t="shared" si="196"/>
        <v>MS</v>
      </c>
    </row>
    <row r="5462" spans="1:6" x14ac:dyDescent="0.25">
      <c r="A5462" t="str">
        <f>"000018294"</f>
        <v>000018294</v>
      </c>
      <c r="B5462" t="str">
        <f>"1740272947"</f>
        <v>1740272947</v>
      </c>
      <c r="C5462" t="str">
        <f>"207V00000X"</f>
        <v>207V00000X</v>
      </c>
      <c r="D5462" t="str">
        <f>"BALL                     DAVID        K           "</f>
        <v xml:space="preserve">BALL                     DAVID        K           </v>
      </c>
      <c r="E5462" t="str">
        <f>"JACKSON                   "</f>
        <v xml:space="preserve">JACKSON                   </v>
      </c>
      <c r="F5462" t="str">
        <f t="shared" si="196"/>
        <v>MS</v>
      </c>
    </row>
    <row r="5463" spans="1:6" x14ac:dyDescent="0.25">
      <c r="A5463" t="str">
        <f>"000018320"</f>
        <v>000018320</v>
      </c>
      <c r="B5463" t="str">
        <f>"1588619621"</f>
        <v>1588619621</v>
      </c>
      <c r="C5463" t="str">
        <f>"207Q00000X"</f>
        <v>207Q00000X</v>
      </c>
      <c r="D5463" t="str">
        <f>"SOUTH                    DWALIA       S           "</f>
        <v xml:space="preserve">SOUTH                    DWALIA       S           </v>
      </c>
      <c r="E5463" t="str">
        <f>"RIPLEY                    "</f>
        <v xml:space="preserve">RIPLEY                    </v>
      </c>
      <c r="F5463" t="str">
        <f t="shared" si="196"/>
        <v>MS</v>
      </c>
    </row>
    <row r="5464" spans="1:6" x14ac:dyDescent="0.25">
      <c r="A5464" t="str">
        <f>"000018389"</f>
        <v>000018389</v>
      </c>
      <c r="B5464" t="str">
        <f>"1003826272"</f>
        <v>1003826272</v>
      </c>
      <c r="C5464" t="str">
        <f>"207RI0200X"</f>
        <v>207RI0200X</v>
      </c>
      <c r="D5464" t="str">
        <f>"DEAL                     JO           P           "</f>
        <v xml:space="preserve">DEAL                     JO           P           </v>
      </c>
      <c r="E5464" t="str">
        <f>"JACKSON                   "</f>
        <v xml:space="preserve">JACKSON                   </v>
      </c>
      <c r="F5464" t="str">
        <f t="shared" si="196"/>
        <v>MS</v>
      </c>
    </row>
    <row r="5465" spans="1:6" x14ac:dyDescent="0.25">
      <c r="A5465" t="str">
        <f>"000018403"</f>
        <v>000018403</v>
      </c>
      <c r="B5465" t="str">
        <f>"1679562094"</f>
        <v>1679562094</v>
      </c>
      <c r="C5465" t="str">
        <f>"207Q00000X"</f>
        <v>207Q00000X</v>
      </c>
      <c r="D5465" t="str">
        <f>"ALBERT                   MICHAEL      H           "</f>
        <v xml:space="preserve">ALBERT                   MICHAEL      H           </v>
      </c>
      <c r="E5465" t="str">
        <f>"RICHLAND                  "</f>
        <v xml:space="preserve">RICHLAND                  </v>
      </c>
      <c r="F5465" t="str">
        <f t="shared" si="196"/>
        <v>MS</v>
      </c>
    </row>
    <row r="5466" spans="1:6" x14ac:dyDescent="0.25">
      <c r="A5466" t="str">
        <f>"000018415"</f>
        <v>000018415</v>
      </c>
      <c r="B5466" t="str">
        <f>"1104955301"</f>
        <v>1104955301</v>
      </c>
      <c r="C5466" t="str">
        <f>"207Q00000X"</f>
        <v>207Q00000X</v>
      </c>
      <c r="D5466" t="str">
        <f>"THOMAS                   DAISY        M           "</f>
        <v xml:space="preserve">THOMAS                   DAISY        M           </v>
      </c>
      <c r="E5466" t="str">
        <f>"SILVER CITY               "</f>
        <v xml:space="preserve">SILVER CITY               </v>
      </c>
      <c r="F5466" t="str">
        <f t="shared" si="196"/>
        <v>MS</v>
      </c>
    </row>
    <row r="5467" spans="1:6" x14ac:dyDescent="0.25">
      <c r="A5467" t="str">
        <f>"000018445"</f>
        <v>000018445</v>
      </c>
      <c r="B5467" t="str">
        <f>"1851434575"</f>
        <v>1851434575</v>
      </c>
      <c r="C5467" t="str">
        <f>"207V00000X"</f>
        <v>207V00000X</v>
      </c>
      <c r="D5467" t="str">
        <f>"NORTH                    DARDEN       H           "</f>
        <v xml:space="preserve">NORTH                    DARDEN       H           </v>
      </c>
      <c r="E5467" t="str">
        <f>"FLOWOOD                   "</f>
        <v xml:space="preserve">FLOWOOD                   </v>
      </c>
      <c r="F5467" t="str">
        <f t="shared" si="196"/>
        <v>MS</v>
      </c>
    </row>
    <row r="5468" spans="1:6" x14ac:dyDescent="0.25">
      <c r="A5468" t="str">
        <f>"000018487"</f>
        <v>000018487</v>
      </c>
      <c r="B5468" t="str">
        <f>"1134139355"</f>
        <v>1134139355</v>
      </c>
      <c r="C5468" t="str">
        <f>"208000000X"</f>
        <v>208000000X</v>
      </c>
      <c r="D5468" t="str">
        <f>"GOOGE                    JAMES                    "</f>
        <v xml:space="preserve">GOOGE                    JAMES                    </v>
      </c>
      <c r="E5468" t="str">
        <f>"NEW ALBANY                "</f>
        <v xml:space="preserve">NEW ALBANY                </v>
      </c>
      <c r="F5468" t="str">
        <f t="shared" si="196"/>
        <v>MS</v>
      </c>
    </row>
    <row r="5469" spans="1:6" x14ac:dyDescent="0.25">
      <c r="A5469" t="str">
        <f>"000018493"</f>
        <v>000018493</v>
      </c>
      <c r="B5469" t="str">
        <f>"1205831914"</f>
        <v>1205831914</v>
      </c>
      <c r="C5469" t="str">
        <f>"207W00000X"</f>
        <v>207W00000X</v>
      </c>
      <c r="D5469" t="str">
        <f>"MALLETTE                 ROBERT       A           "</f>
        <v xml:space="preserve">MALLETTE                 ROBERT       A           </v>
      </c>
      <c r="E5469" t="str">
        <f>"JACKSON                   "</f>
        <v xml:space="preserve">JACKSON                   </v>
      </c>
      <c r="F5469" t="str">
        <f t="shared" si="196"/>
        <v>MS</v>
      </c>
    </row>
    <row r="5470" spans="1:6" x14ac:dyDescent="0.25">
      <c r="A5470" t="str">
        <f>"000018555"</f>
        <v>000018555</v>
      </c>
      <c r="B5470" t="str">
        <f>"1598795171"</f>
        <v>1598795171</v>
      </c>
      <c r="C5470" t="str">
        <f>"207R00000X"</f>
        <v>207R00000X</v>
      </c>
      <c r="D5470" t="str">
        <f>"HIRSCH                   CATHERINE    P           "</f>
        <v xml:space="preserve">HIRSCH                   CATHERINE    P           </v>
      </c>
      <c r="E5470" t="str">
        <f>"PASCAGOULA                "</f>
        <v xml:space="preserve">PASCAGOULA                </v>
      </c>
      <c r="F5470" t="str">
        <f t="shared" si="196"/>
        <v>MS</v>
      </c>
    </row>
    <row r="5471" spans="1:6" x14ac:dyDescent="0.25">
      <c r="A5471" t="str">
        <f>"000018567"</f>
        <v>000018567</v>
      </c>
      <c r="B5471" t="str">
        <f>"1780777847"</f>
        <v>1780777847</v>
      </c>
      <c r="C5471" t="str">
        <f>"207L00000X"</f>
        <v>207L00000X</v>
      </c>
      <c r="D5471" t="str">
        <f>"WILLIAMSON               AUBREY       D           "</f>
        <v xml:space="preserve">WILLIAMSON               AUBREY       D           </v>
      </c>
      <c r="E5471" t="str">
        <f>"JACKSON                   "</f>
        <v xml:space="preserve">JACKSON                   </v>
      </c>
      <c r="F5471" t="str">
        <f t="shared" si="196"/>
        <v>MS</v>
      </c>
    </row>
    <row r="5472" spans="1:6" x14ac:dyDescent="0.25">
      <c r="A5472" t="str">
        <f>"000018625"</f>
        <v>000018625</v>
      </c>
      <c r="B5472" t="str">
        <f>"1447397427"</f>
        <v>1447397427</v>
      </c>
      <c r="C5472" t="str">
        <f>"208600000X"</f>
        <v>208600000X</v>
      </c>
      <c r="D5472" t="str">
        <f>"FOSTER                   MICHAEL      E           "</f>
        <v xml:space="preserve">FOSTER                   MICHAEL      E           </v>
      </c>
      <c r="E5472" t="str">
        <f>"SOUTHAVEN                 "</f>
        <v xml:space="preserve">SOUTHAVEN                 </v>
      </c>
      <c r="F5472" t="str">
        <f t="shared" si="196"/>
        <v>MS</v>
      </c>
    </row>
    <row r="5473" spans="1:6" x14ac:dyDescent="0.25">
      <c r="A5473" t="str">
        <f>"000018662"</f>
        <v>000018662</v>
      </c>
      <c r="B5473" t="str">
        <f>"1629004502"</f>
        <v>1629004502</v>
      </c>
      <c r="C5473" t="str">
        <f>"207RI0200X"</f>
        <v>207RI0200X</v>
      </c>
      <c r="D5473" t="str">
        <f>"NOLAN                    RATHEL       L           "</f>
        <v xml:space="preserve">NOLAN                    RATHEL       L           </v>
      </c>
      <c r="E5473" t="str">
        <f>"JACKSON                   "</f>
        <v xml:space="preserve">JACKSON                   </v>
      </c>
      <c r="F5473" t="str">
        <f t="shared" si="196"/>
        <v>MS</v>
      </c>
    </row>
    <row r="5474" spans="1:6" x14ac:dyDescent="0.25">
      <c r="A5474" t="str">
        <f>"000018828"</f>
        <v>000018828</v>
      </c>
      <c r="B5474" t="str">
        <f>"1083613210"</f>
        <v>1083613210</v>
      </c>
      <c r="C5474" t="str">
        <f>"207Q00000X"</f>
        <v>207Q00000X</v>
      </c>
      <c r="D5474" t="str">
        <f>"RIDDELL                  MAL          S           "</f>
        <v xml:space="preserve">RIDDELL                  MAL          S           </v>
      </c>
      <c r="E5474" t="str">
        <f>"GRENADA                   "</f>
        <v xml:space="preserve">GRENADA                   </v>
      </c>
      <c r="F5474" t="str">
        <f t="shared" si="196"/>
        <v>MS</v>
      </c>
    </row>
    <row r="5475" spans="1:6" x14ac:dyDescent="0.25">
      <c r="A5475" t="str">
        <f>"000018846"</f>
        <v>000018846</v>
      </c>
      <c r="B5475" t="str">
        <f>"1831197862"</f>
        <v>1831197862</v>
      </c>
      <c r="C5475" t="str">
        <f>"207R00000X"</f>
        <v>207R00000X</v>
      </c>
      <c r="D5475" t="str">
        <f>"KOSKAN                   IRENE        K           "</f>
        <v xml:space="preserve">KOSKAN                   IRENE        K           </v>
      </c>
      <c r="E5475" t="str">
        <f>"GULFPORT                  "</f>
        <v xml:space="preserve">GULFPORT                  </v>
      </c>
      <c r="F5475" t="str">
        <f t="shared" si="196"/>
        <v>MS</v>
      </c>
    </row>
    <row r="5476" spans="1:6" x14ac:dyDescent="0.25">
      <c r="A5476" t="str">
        <f>"000018904"</f>
        <v>000018904</v>
      </c>
      <c r="B5476" t="str">
        <f>"1467551168"</f>
        <v>1467551168</v>
      </c>
      <c r="C5476" t="str">
        <f>"207V00000X"</f>
        <v>207V00000X</v>
      </c>
      <c r="D5476" t="str">
        <f>"LEHMAN                   THOMAS       W           "</f>
        <v xml:space="preserve">LEHMAN                   THOMAS       W           </v>
      </c>
      <c r="E5476" t="str">
        <f>"GULFPORT                  "</f>
        <v xml:space="preserve">GULFPORT                  </v>
      </c>
      <c r="F5476" t="str">
        <f t="shared" si="196"/>
        <v>MS</v>
      </c>
    </row>
    <row r="5477" spans="1:6" x14ac:dyDescent="0.25">
      <c r="A5477" t="str">
        <f>"000018912"</f>
        <v>000018912</v>
      </c>
      <c r="B5477" t="str">
        <f>"1326081985"</f>
        <v>1326081985</v>
      </c>
      <c r="C5477" t="str">
        <f>"207P00000X"</f>
        <v>207P00000X</v>
      </c>
      <c r="D5477" t="str">
        <f>"BUTLER                   JOEL         A           "</f>
        <v xml:space="preserve">BUTLER                   JOEL         A           </v>
      </c>
      <c r="E5477" t="str">
        <f>"COLUMBUS                  "</f>
        <v xml:space="preserve">COLUMBUS                  </v>
      </c>
      <c r="F5477" t="str">
        <f t="shared" si="196"/>
        <v>MS</v>
      </c>
    </row>
    <row r="5478" spans="1:6" x14ac:dyDescent="0.25">
      <c r="A5478" t="str">
        <f>"000018917"</f>
        <v>000018917</v>
      </c>
      <c r="B5478" t="str">
        <f>"1730245739"</f>
        <v>1730245739</v>
      </c>
      <c r="C5478" t="str">
        <f>"207Q00000X"</f>
        <v>207Q00000X</v>
      </c>
      <c r="D5478" t="str">
        <f>"MATHERNE                 PAUL         G           "</f>
        <v xml:space="preserve">MATHERNE                 PAUL         G           </v>
      </c>
      <c r="E5478" t="str">
        <f>"GULFPORT                  "</f>
        <v xml:space="preserve">GULFPORT                  </v>
      </c>
      <c r="F5478" t="str">
        <f t="shared" si="196"/>
        <v>MS</v>
      </c>
    </row>
    <row r="5479" spans="1:6" x14ac:dyDescent="0.25">
      <c r="A5479" t="str">
        <f>"000019091"</f>
        <v>000019091</v>
      </c>
      <c r="B5479" t="str">
        <f>"1558396010"</f>
        <v>1558396010</v>
      </c>
      <c r="C5479" t="str">
        <f>"207Q00000X"</f>
        <v>207Q00000X</v>
      </c>
      <c r="D5479" t="str">
        <f>"BARNES                   PHILLIP      L           "</f>
        <v xml:space="preserve">BARNES                   PHILLIP      L           </v>
      </c>
      <c r="E5479" t="str">
        <f>"BILOXI                    "</f>
        <v xml:space="preserve">BILOXI                    </v>
      </c>
      <c r="F5479" t="str">
        <f t="shared" si="196"/>
        <v>MS</v>
      </c>
    </row>
    <row r="5480" spans="1:6" x14ac:dyDescent="0.25">
      <c r="A5480" t="str">
        <f>"000019223"</f>
        <v>000019223</v>
      </c>
      <c r="B5480" t="str">
        <f>"1144259235"</f>
        <v>1144259235</v>
      </c>
      <c r="C5480" t="str">
        <f>"207RH0000X"</f>
        <v>207RH0000X</v>
      </c>
      <c r="D5480" t="str">
        <f>"BIGELOW                  CAROLYN      L           "</f>
        <v xml:space="preserve">BIGELOW                  CAROLYN      L           </v>
      </c>
      <c r="E5480" t="str">
        <f>"JACKSON                   "</f>
        <v xml:space="preserve">JACKSON                   </v>
      </c>
      <c r="F5480" t="str">
        <f t="shared" si="196"/>
        <v>MS</v>
      </c>
    </row>
    <row r="5481" spans="1:6" x14ac:dyDescent="0.25">
      <c r="A5481" t="str">
        <f>"000019225"</f>
        <v>000019225</v>
      </c>
      <c r="B5481" t="str">
        <f>"1760427090"</f>
        <v>1760427090</v>
      </c>
      <c r="C5481" t="str">
        <f>"207V00000X"</f>
        <v>207V00000X</v>
      </c>
      <c r="D5481" t="str">
        <f>"WEEKS                    THOMAS       L           "</f>
        <v xml:space="preserve">WEEKS                    THOMAS       L           </v>
      </c>
      <c r="E5481" t="str">
        <f>"VICKSBURG                 "</f>
        <v xml:space="preserve">VICKSBURG                 </v>
      </c>
      <c r="F5481" t="str">
        <f t="shared" si="196"/>
        <v>MS</v>
      </c>
    </row>
    <row r="5482" spans="1:6" x14ac:dyDescent="0.25">
      <c r="A5482" t="str">
        <f>"000019265"</f>
        <v>000019265</v>
      </c>
      <c r="B5482" t="str">
        <f>"1962484899"</f>
        <v>1962484899</v>
      </c>
      <c r="C5482" t="str">
        <f>"207Q00000X"</f>
        <v>207Q00000X</v>
      </c>
      <c r="D5482" t="str">
        <f>"ARD                      MICHAEL      L           "</f>
        <v xml:space="preserve">ARD                      MICHAEL      L           </v>
      </c>
      <c r="E5482" t="str">
        <f>"LOUISVILLE                "</f>
        <v xml:space="preserve">LOUISVILLE                </v>
      </c>
      <c r="F5482" t="str">
        <f t="shared" si="196"/>
        <v>MS</v>
      </c>
    </row>
    <row r="5483" spans="1:6" x14ac:dyDescent="0.25">
      <c r="A5483" t="str">
        <f>"000019311"</f>
        <v>000019311</v>
      </c>
      <c r="B5483" t="str">
        <f>"1316374085"</f>
        <v>1316374085</v>
      </c>
      <c r="C5483" t="str">
        <f>"261QM0801X"</f>
        <v>261QM0801X</v>
      </c>
      <c r="D5483" t="str">
        <f>"CANOPY CHILDREN'S SOLUTIONS                       "</f>
        <v xml:space="preserve">CANOPY CHILDREN'S SOLUTIONS                       </v>
      </c>
      <c r="E5483" t="str">
        <f>"BILOXI                    "</f>
        <v xml:space="preserve">BILOXI                    </v>
      </c>
      <c r="F5483" t="str">
        <f t="shared" si="196"/>
        <v>MS</v>
      </c>
    </row>
    <row r="5484" spans="1:6" x14ac:dyDescent="0.25">
      <c r="A5484" t="str">
        <f>"000019319"</f>
        <v>000019319</v>
      </c>
      <c r="B5484" t="str">
        <f>"1265545875"</f>
        <v>1265545875</v>
      </c>
      <c r="C5484" t="str">
        <f>"208D00000X"</f>
        <v>208D00000X</v>
      </c>
      <c r="D5484" t="str">
        <f>"AQUINO                   ADELO                    "</f>
        <v xml:space="preserve">AQUINO                   ADELO                    </v>
      </c>
      <c r="E5484" t="str">
        <f>"RULEVILLE                 "</f>
        <v xml:space="preserve">RULEVILLE                 </v>
      </c>
      <c r="F5484" t="str">
        <f t="shared" si="196"/>
        <v>MS</v>
      </c>
    </row>
    <row r="5485" spans="1:6" x14ac:dyDescent="0.25">
      <c r="A5485" t="str">
        <f>"000019329"</f>
        <v>000019329</v>
      </c>
      <c r="B5485" t="str">
        <f>"1376516849"</f>
        <v>1376516849</v>
      </c>
      <c r="C5485" t="str">
        <f>"207V00000X"</f>
        <v>207V00000X</v>
      </c>
      <c r="D5485" t="str">
        <f>"FLYNT                    JOEL         R           "</f>
        <v xml:space="preserve">FLYNT                    JOEL         R           </v>
      </c>
      <c r="E5485" t="str">
        <f>"JACKSON                   "</f>
        <v xml:space="preserve">JACKSON                   </v>
      </c>
      <c r="F5485" t="str">
        <f t="shared" si="196"/>
        <v>MS</v>
      </c>
    </row>
    <row r="5486" spans="1:6" x14ac:dyDescent="0.25">
      <c r="A5486" t="str">
        <f>"000019365"</f>
        <v>000019365</v>
      </c>
      <c r="B5486" t="str">
        <f>"1154353852"</f>
        <v>1154353852</v>
      </c>
      <c r="C5486" t="str">
        <f>"207ZP0102X"</f>
        <v>207ZP0102X</v>
      </c>
      <c r="D5486" t="str">
        <f>"SUBRAMONY                CHARU        N           "</f>
        <v xml:space="preserve">SUBRAMONY                CHARU        N           </v>
      </c>
      <c r="E5486" t="str">
        <f>"JACKSON                   "</f>
        <v xml:space="preserve">JACKSON                   </v>
      </c>
      <c r="F5486" t="str">
        <f t="shared" si="196"/>
        <v>MS</v>
      </c>
    </row>
    <row r="5487" spans="1:6" x14ac:dyDescent="0.25">
      <c r="A5487" t="str">
        <f>"000019503"</f>
        <v>000019503</v>
      </c>
      <c r="B5487" t="str">
        <f>"1215928122"</f>
        <v>1215928122</v>
      </c>
      <c r="C5487" t="str">
        <f>"207Q00000X"</f>
        <v>207Q00000X</v>
      </c>
      <c r="D5487" t="str">
        <f>"SHERMAN                  ROSS         K           "</f>
        <v xml:space="preserve">SHERMAN                  ROSS         K           </v>
      </c>
      <c r="E5487" t="str">
        <f>"WAYNESBORO                "</f>
        <v xml:space="preserve">WAYNESBORO                </v>
      </c>
      <c r="F5487" t="str">
        <f t="shared" si="196"/>
        <v>MS</v>
      </c>
    </row>
    <row r="5488" spans="1:6" x14ac:dyDescent="0.25">
      <c r="A5488" t="str">
        <f>"000019517"</f>
        <v>000019517</v>
      </c>
      <c r="B5488" t="str">
        <f>"1366470056"</f>
        <v>1366470056</v>
      </c>
      <c r="C5488" t="str">
        <f>"207P00000X"</f>
        <v>207P00000X</v>
      </c>
      <c r="D5488" t="str">
        <f>"NELSON                   JOHN         C           "</f>
        <v xml:space="preserve">NELSON                   JOHN         C           </v>
      </c>
      <c r="E5488" t="str">
        <f>"NEW ALBANY                "</f>
        <v xml:space="preserve">NEW ALBANY                </v>
      </c>
      <c r="F5488" t="str">
        <f t="shared" si="196"/>
        <v>MS</v>
      </c>
    </row>
    <row r="5489" spans="1:6" x14ac:dyDescent="0.25">
      <c r="A5489" t="str">
        <f>"000019538"</f>
        <v>000019538</v>
      </c>
      <c r="B5489" t="str">
        <f>"1053357749"</f>
        <v>1053357749</v>
      </c>
      <c r="C5489" t="str">
        <f>"2084N0402X"</f>
        <v>2084N0402X</v>
      </c>
      <c r="D5489" t="str">
        <f>"PARKER                   COLETTE      C           "</f>
        <v xml:space="preserve">PARKER                   COLETTE      C           </v>
      </c>
      <c r="E5489" t="str">
        <f>"JACKSON                   "</f>
        <v xml:space="preserve">JACKSON                   </v>
      </c>
      <c r="F5489" t="str">
        <f t="shared" si="196"/>
        <v>MS</v>
      </c>
    </row>
    <row r="5490" spans="1:6" x14ac:dyDescent="0.25">
      <c r="A5490" t="str">
        <f>"000019567"</f>
        <v>000019567</v>
      </c>
      <c r="B5490" t="str">
        <f>"1538276191"</f>
        <v>1538276191</v>
      </c>
      <c r="C5490" t="str">
        <f>"208D00000X"</f>
        <v>208D00000X</v>
      </c>
      <c r="D5490" t="str">
        <f>"WEST                     FLAVIA       H           "</f>
        <v xml:space="preserve">WEST                     FLAVIA       H           </v>
      </c>
      <c r="E5490" t="str">
        <f>"PONTOTOC                  "</f>
        <v xml:space="preserve">PONTOTOC                  </v>
      </c>
      <c r="F5490" t="str">
        <f t="shared" si="196"/>
        <v>MS</v>
      </c>
    </row>
    <row r="5491" spans="1:6" x14ac:dyDescent="0.25">
      <c r="A5491" t="str">
        <f>"000019648"</f>
        <v>000019648</v>
      </c>
      <c r="B5491" t="str">
        <f>"1184612996"</f>
        <v>1184612996</v>
      </c>
      <c r="C5491" t="str">
        <f>"207V00000X"</f>
        <v>207V00000X</v>
      </c>
      <c r="D5491" t="str">
        <f>"PATTON                   GREGORY      O           "</f>
        <v xml:space="preserve">PATTON                   GREGORY      O           </v>
      </c>
      <c r="E5491" t="str">
        <f>"OXFORD                    "</f>
        <v xml:space="preserve">OXFORD                    </v>
      </c>
      <c r="F5491" t="str">
        <f t="shared" si="196"/>
        <v>MS</v>
      </c>
    </row>
    <row r="5492" spans="1:6" x14ac:dyDescent="0.25">
      <c r="A5492" t="str">
        <f>"000019708"</f>
        <v>000019708</v>
      </c>
      <c r="B5492" t="str">
        <f>"1053373316"</f>
        <v>1053373316</v>
      </c>
      <c r="C5492" t="str">
        <f>"207RG0100X"</f>
        <v>207RG0100X</v>
      </c>
      <c r="D5492" t="str">
        <f>"ALBRIGHT                 ANTHONY                  "</f>
        <v xml:space="preserve">ALBRIGHT                 ANTHONY                  </v>
      </c>
      <c r="E5492" t="str">
        <f>"PICAYUNE                  "</f>
        <v xml:space="preserve">PICAYUNE                  </v>
      </c>
      <c r="F5492" t="str">
        <f t="shared" si="196"/>
        <v>MS</v>
      </c>
    </row>
    <row r="5493" spans="1:6" x14ac:dyDescent="0.25">
      <c r="A5493" t="str">
        <f>"000019712"</f>
        <v>000019712</v>
      </c>
      <c r="B5493" t="str">
        <f>"1497765705"</f>
        <v>1497765705</v>
      </c>
      <c r="C5493" t="str">
        <f>"207R00000X"</f>
        <v>207R00000X</v>
      </c>
      <c r="D5493" t="str">
        <f>"SADDLER                  LOUIS        J           "</f>
        <v xml:space="preserve">SADDLER                  LOUIS        J           </v>
      </c>
      <c r="E5493" t="str">
        <f>"CANTON                    "</f>
        <v xml:space="preserve">CANTON                    </v>
      </c>
      <c r="F5493" t="str">
        <f t="shared" si="196"/>
        <v>MS</v>
      </c>
    </row>
    <row r="5494" spans="1:6" x14ac:dyDescent="0.25">
      <c r="A5494" t="str">
        <f>"000019714"</f>
        <v>000019714</v>
      </c>
      <c r="B5494" t="str">
        <f>"1972530335"</f>
        <v>1972530335</v>
      </c>
      <c r="C5494" t="str">
        <f>"207R00000X"</f>
        <v>207R00000X</v>
      </c>
      <c r="D5494" t="str">
        <f>"DOUGLAS                  JOHN         W           "</f>
        <v xml:space="preserve">DOUGLAS                  JOHN         W           </v>
      </c>
      <c r="E5494" t="str">
        <f>"GULFPORT                  "</f>
        <v xml:space="preserve">GULFPORT                  </v>
      </c>
      <c r="F5494" t="str">
        <f t="shared" si="196"/>
        <v>MS</v>
      </c>
    </row>
    <row r="5495" spans="1:6" x14ac:dyDescent="0.25">
      <c r="A5495" t="str">
        <f>"000019888"</f>
        <v>000019888</v>
      </c>
      <c r="B5495" t="str">
        <f>"1538196142"</f>
        <v>1538196142</v>
      </c>
      <c r="C5495" t="str">
        <f>"207RP1001X"</f>
        <v>207RP1001X</v>
      </c>
      <c r="D5495" t="str">
        <f>"PAKRON                   FREDERICK    J           "</f>
        <v xml:space="preserve">PAKRON                   FREDERICK    J           </v>
      </c>
      <c r="E5495" t="str">
        <f>"GULFPORT                  "</f>
        <v xml:space="preserve">GULFPORT                  </v>
      </c>
      <c r="F5495" t="str">
        <f t="shared" si="196"/>
        <v>MS</v>
      </c>
    </row>
    <row r="5496" spans="1:6" x14ac:dyDescent="0.25">
      <c r="A5496" t="str">
        <f>"000019915"</f>
        <v>000019915</v>
      </c>
      <c r="B5496" t="str">
        <f>"1174606941"</f>
        <v>1174606941</v>
      </c>
      <c r="C5496" t="str">
        <f>"207Q00000X"</f>
        <v>207Q00000X</v>
      </c>
      <c r="D5496" t="str">
        <f>"HOWELL                   MICHAEL      G           "</f>
        <v xml:space="preserve">HOWELL                   MICHAEL      G           </v>
      </c>
      <c r="E5496" t="str">
        <f>"FULTON                    "</f>
        <v xml:space="preserve">FULTON                    </v>
      </c>
      <c r="F5496" t="str">
        <f t="shared" si="196"/>
        <v>MS</v>
      </c>
    </row>
    <row r="5497" spans="1:6" x14ac:dyDescent="0.25">
      <c r="A5497" t="str">
        <f>"000019926"</f>
        <v>000019926</v>
      </c>
      <c r="B5497" t="str">
        <f>"1972501815"</f>
        <v>1972501815</v>
      </c>
      <c r="C5497" t="str">
        <f>"207Q00000X"</f>
        <v>207Q00000X</v>
      </c>
      <c r="D5497" t="str">
        <f>"CUMMINGS III             JOHNNIE      E           "</f>
        <v xml:space="preserve">CUMMINGS III             JOHNNIE      E           </v>
      </c>
      <c r="E5497" t="str">
        <f>"CLARKSDALE                "</f>
        <v xml:space="preserve">CLARKSDALE                </v>
      </c>
      <c r="F5497" t="str">
        <f t="shared" si="196"/>
        <v>MS</v>
      </c>
    </row>
    <row r="5498" spans="1:6" x14ac:dyDescent="0.25">
      <c r="A5498" t="str">
        <f>"000019956"</f>
        <v>000019956</v>
      </c>
      <c r="B5498" t="str">
        <f>"1437268075"</f>
        <v>1437268075</v>
      </c>
      <c r="C5498" t="str">
        <f>"208000000X"</f>
        <v>208000000X</v>
      </c>
      <c r="D5498" t="str">
        <f>"ROBBINS                  SUSAN LYNN               "</f>
        <v xml:space="preserve">ROBBINS                  SUSAN LYNN               </v>
      </c>
      <c r="E5498" t="str">
        <f>"HATTIESBURG               "</f>
        <v xml:space="preserve">HATTIESBURG               </v>
      </c>
      <c r="F5498" t="str">
        <f t="shared" si="196"/>
        <v>MS</v>
      </c>
    </row>
    <row r="5499" spans="1:6" x14ac:dyDescent="0.25">
      <c r="A5499" t="str">
        <f>"000019997"</f>
        <v>000019997</v>
      </c>
      <c r="B5499" t="str">
        <f>"1861496507"</f>
        <v>1861496507</v>
      </c>
      <c r="C5499" t="str">
        <f>"207Q00000X"</f>
        <v>207Q00000X</v>
      </c>
      <c r="D5499" t="str">
        <f>"RODGERS                  CLIFTON                  "</f>
        <v xml:space="preserve">RODGERS                  CLIFTON                  </v>
      </c>
      <c r="E5499" t="str">
        <f>"BYHALIA                   "</f>
        <v xml:space="preserve">BYHALIA                   </v>
      </c>
      <c r="F5499" t="str">
        <f t="shared" si="196"/>
        <v>MS</v>
      </c>
    </row>
    <row r="5500" spans="1:6" x14ac:dyDescent="0.25">
      <c r="A5500" t="str">
        <f>"000020256"</f>
        <v>000020256</v>
      </c>
      <c r="B5500" t="str">
        <f>"1194930693"</f>
        <v>1194930693</v>
      </c>
      <c r="C5500" t="str">
        <f>"261QE0700X"</f>
        <v>261QE0700X</v>
      </c>
      <c r="D5500" t="str">
        <f>"UNIVERSITY OF MISS. MED. CENTER-RDU               "</f>
        <v xml:space="preserve">UNIVERSITY OF MISS. MED. CENTER-RDU               </v>
      </c>
      <c r="E5500" t="str">
        <f>"JACKSON                   "</f>
        <v xml:space="preserve">JACKSON                   </v>
      </c>
      <c r="F5500" t="str">
        <f t="shared" si="196"/>
        <v>MS</v>
      </c>
    </row>
    <row r="5501" spans="1:6" x14ac:dyDescent="0.25">
      <c r="A5501" t="str">
        <f>"000020337"</f>
        <v>000020337</v>
      </c>
      <c r="B5501" t="str">
        <f>"1720011026"</f>
        <v>1720011026</v>
      </c>
      <c r="C5501" t="str">
        <f>"261QE0700X"</f>
        <v>261QE0700X</v>
      </c>
      <c r="D5501" t="str">
        <f>"HATTIESBURG CLINIC DIALYSIS UNIT                  "</f>
        <v xml:space="preserve">HATTIESBURG CLINIC DIALYSIS UNIT                  </v>
      </c>
      <c r="E5501" t="str">
        <f>"HATTIESBURG               "</f>
        <v xml:space="preserve">HATTIESBURG               </v>
      </c>
      <c r="F5501" t="str">
        <f t="shared" si="196"/>
        <v>MS</v>
      </c>
    </row>
    <row r="5502" spans="1:6" x14ac:dyDescent="0.25">
      <c r="A5502" t="str">
        <f>"000020338"</f>
        <v>000020338</v>
      </c>
      <c r="B5502" t="str">
        <f>"1245263540"</f>
        <v>1245263540</v>
      </c>
      <c r="C5502" t="str">
        <f>"261QE0700X"</f>
        <v>261QE0700X</v>
      </c>
      <c r="D5502" t="str">
        <f>"LAUREL DIALYSIS UNIT                              "</f>
        <v xml:space="preserve">LAUREL DIALYSIS UNIT                              </v>
      </c>
      <c r="E5502" t="str">
        <f>"LAUREL                    "</f>
        <v xml:space="preserve">LAUREL                    </v>
      </c>
      <c r="F5502" t="str">
        <f t="shared" ref="F5502:F5565" si="198">"MS"</f>
        <v>MS</v>
      </c>
    </row>
    <row r="5503" spans="1:6" x14ac:dyDescent="0.25">
      <c r="A5503" t="str">
        <f>"000020341"</f>
        <v>000020341</v>
      </c>
      <c r="B5503" t="str">
        <f>"1952334260"</f>
        <v>1952334260</v>
      </c>
      <c r="C5503" t="str">
        <f>"261QE0700X"</f>
        <v>261QE0700X</v>
      </c>
      <c r="D5503" t="str">
        <f>"COLUMBIA DIALYSIS UNIT                            "</f>
        <v xml:space="preserve">COLUMBIA DIALYSIS UNIT                            </v>
      </c>
      <c r="E5503" t="str">
        <f>"COLUMBIA                  "</f>
        <v xml:space="preserve">COLUMBIA                  </v>
      </c>
      <c r="F5503" t="str">
        <f t="shared" si="198"/>
        <v>MS</v>
      </c>
    </row>
    <row r="5504" spans="1:6" x14ac:dyDescent="0.25">
      <c r="A5504" t="str">
        <f>"000020345"</f>
        <v>000020345</v>
      </c>
      <c r="B5504" t="str">
        <f>"1477586782"</f>
        <v>1477586782</v>
      </c>
      <c r="C5504" t="str">
        <f>"261QE0700X"</f>
        <v>261QE0700X</v>
      </c>
      <c r="D5504" t="str">
        <f>"PEARL RIVER DIALYSIS UNIT                         "</f>
        <v xml:space="preserve">PEARL RIVER DIALYSIS UNIT                         </v>
      </c>
      <c r="E5504" t="str">
        <f>"PICAYUNE                  "</f>
        <v xml:space="preserve">PICAYUNE                  </v>
      </c>
      <c r="F5504" t="str">
        <f t="shared" si="198"/>
        <v>MS</v>
      </c>
    </row>
    <row r="5505" spans="1:6" x14ac:dyDescent="0.25">
      <c r="A5505" t="str">
        <f>"000024308"</f>
        <v>000024308</v>
      </c>
      <c r="B5505" t="str">
        <f>"1912981085"</f>
        <v>1912981085</v>
      </c>
      <c r="C5505" t="str">
        <f>"363L00000X"</f>
        <v>363L00000X</v>
      </c>
      <c r="D5505" t="str">
        <f>"EARLEY                   BONNIE       E           "</f>
        <v xml:space="preserve">EARLEY                   BONNIE       E           </v>
      </c>
      <c r="E5505" t="str">
        <f>"MERIDIAN                  "</f>
        <v xml:space="preserve">MERIDIAN                  </v>
      </c>
      <c r="F5505" t="str">
        <f t="shared" si="198"/>
        <v>MS</v>
      </c>
    </row>
    <row r="5506" spans="1:6" x14ac:dyDescent="0.25">
      <c r="A5506" t="str">
        <f>"000024590"</f>
        <v>000024590</v>
      </c>
      <c r="B5506" t="str">
        <f>"1386216166"</f>
        <v>1386216166</v>
      </c>
      <c r="C5506" t="str">
        <f>"363L00000X"</f>
        <v>363L00000X</v>
      </c>
      <c r="D5506" t="str">
        <f>"BADON                    BATHSHEBA    N           "</f>
        <v xml:space="preserve">BADON                    BATHSHEBA    N           </v>
      </c>
      <c r="E5506" t="str">
        <f>"CLINTON                   "</f>
        <v xml:space="preserve">CLINTON                   </v>
      </c>
      <c r="F5506" t="str">
        <f t="shared" si="198"/>
        <v>MS</v>
      </c>
    </row>
    <row r="5507" spans="1:6" x14ac:dyDescent="0.25">
      <c r="A5507" t="str">
        <f>"000026087"</f>
        <v>000026087</v>
      </c>
      <c r="B5507" t="str">
        <f>"1861600595"</f>
        <v>1861600595</v>
      </c>
      <c r="C5507" t="str">
        <f>"207VM0101X"</f>
        <v>207VM0101X</v>
      </c>
      <c r="D5507" t="str">
        <f>"BEAN                     CYNTHIA      M           "</f>
        <v xml:space="preserve">BEAN                     CYNTHIA      M           </v>
      </c>
      <c r="E5507" t="str">
        <f>"RIDGELAND                 "</f>
        <v xml:space="preserve">RIDGELAND                 </v>
      </c>
      <c r="F5507" t="str">
        <f t="shared" si="198"/>
        <v>MS</v>
      </c>
    </row>
    <row r="5508" spans="1:6" x14ac:dyDescent="0.25">
      <c r="A5508" t="str">
        <f>"000027266"</f>
        <v>000027266</v>
      </c>
      <c r="B5508" t="str">
        <f>"1851448906"</f>
        <v>1851448906</v>
      </c>
      <c r="C5508" t="str">
        <f>"363L00000X"</f>
        <v>363L00000X</v>
      </c>
      <c r="D5508" t="str">
        <f>"BOX                      JASON        S           "</f>
        <v xml:space="preserve">BOX                      JASON        S           </v>
      </c>
      <c r="E5508" t="str">
        <f>"LUCEDALE                  "</f>
        <v xml:space="preserve">LUCEDALE                  </v>
      </c>
      <c r="F5508" t="str">
        <f t="shared" si="198"/>
        <v>MS</v>
      </c>
    </row>
    <row r="5509" spans="1:6" x14ac:dyDescent="0.25">
      <c r="A5509" t="str">
        <f>"000028291"</f>
        <v>000028291</v>
      </c>
      <c r="B5509" t="str">
        <f>"1770217044"</f>
        <v>1770217044</v>
      </c>
      <c r="C5509" t="str">
        <f>"363L00000X"</f>
        <v>363L00000X</v>
      </c>
      <c r="D5509" t="str">
        <f>"ANDERSON                 BRITTNEY     H           "</f>
        <v xml:space="preserve">ANDERSON                 BRITTNEY     H           </v>
      </c>
      <c r="E5509" t="str">
        <f>"HATTIESBURG               "</f>
        <v xml:space="preserve">HATTIESBURG               </v>
      </c>
      <c r="F5509" t="str">
        <f t="shared" si="198"/>
        <v>MS</v>
      </c>
    </row>
    <row r="5510" spans="1:6" x14ac:dyDescent="0.25">
      <c r="A5510" t="str">
        <f>"000028386"</f>
        <v>000028386</v>
      </c>
      <c r="B5510" t="str">
        <f>"1093002743"</f>
        <v>1093002743</v>
      </c>
      <c r="C5510" t="str">
        <f>"207Q00000X"</f>
        <v>207Q00000X</v>
      </c>
      <c r="D5510" t="str">
        <f>"COLLINS                  ANDREA       J           "</f>
        <v xml:space="preserve">COLLINS                  ANDREA       J           </v>
      </c>
      <c r="E5510" t="str">
        <f>"HAZLEHURST                "</f>
        <v xml:space="preserve">HAZLEHURST                </v>
      </c>
      <c r="F5510" t="str">
        <f t="shared" si="198"/>
        <v>MS</v>
      </c>
    </row>
    <row r="5511" spans="1:6" x14ac:dyDescent="0.25">
      <c r="A5511" t="str">
        <f>"000029267"</f>
        <v>000029267</v>
      </c>
      <c r="B5511" t="str">
        <f>"1689876864"</f>
        <v>1689876864</v>
      </c>
      <c r="C5511" t="str">
        <f>"363L00000X"</f>
        <v>363L00000X</v>
      </c>
      <c r="D5511" t="str">
        <f>"PURSER                   AMANDA       K           "</f>
        <v xml:space="preserve">PURSER                   AMANDA       K           </v>
      </c>
      <c r="E5511" t="str">
        <f>"JACKSON                   "</f>
        <v xml:space="preserve">JACKSON                   </v>
      </c>
      <c r="F5511" t="str">
        <f t="shared" si="198"/>
        <v>MS</v>
      </c>
    </row>
    <row r="5512" spans="1:6" x14ac:dyDescent="0.25">
      <c r="A5512" t="str">
        <f>"000029559"</f>
        <v>000029559</v>
      </c>
      <c r="B5512" t="str">
        <f>"1982015954"</f>
        <v>1982015954</v>
      </c>
      <c r="C5512" t="str">
        <f>"207P00000X"</f>
        <v>207P00000X</v>
      </c>
      <c r="D5512" t="str">
        <f>"SHERRILL                 CAMERON      S           "</f>
        <v xml:space="preserve">SHERRILL                 CAMERON      S           </v>
      </c>
      <c r="E5512" t="str">
        <f>"AMORY                     "</f>
        <v xml:space="preserve">AMORY                     </v>
      </c>
      <c r="F5512" t="str">
        <f t="shared" si="198"/>
        <v>MS</v>
      </c>
    </row>
    <row r="5513" spans="1:6" x14ac:dyDescent="0.25">
      <c r="A5513" t="str">
        <f>"000031391"</f>
        <v>000031391</v>
      </c>
      <c r="B5513" t="str">
        <f>"1407469638"</f>
        <v>1407469638</v>
      </c>
      <c r="C5513" t="str">
        <f>"363L00000X"</f>
        <v>363L00000X</v>
      </c>
      <c r="D5513" t="str">
        <f>"MOON                     DEVI                     "</f>
        <v xml:space="preserve">MOON                     DEVI                     </v>
      </c>
      <c r="E5513" t="str">
        <f>"COLUMBUS                  "</f>
        <v xml:space="preserve">COLUMBUS                  </v>
      </c>
      <c r="F5513" t="str">
        <f t="shared" si="198"/>
        <v>MS</v>
      </c>
    </row>
    <row r="5514" spans="1:6" x14ac:dyDescent="0.25">
      <c r="A5514" t="str">
        <f>"000031881"</f>
        <v>000031881</v>
      </c>
      <c r="B5514" t="str">
        <f>"1932517562"</f>
        <v>1932517562</v>
      </c>
      <c r="C5514" t="str">
        <f>"207P00000X"</f>
        <v>207P00000X</v>
      </c>
      <c r="D5514" t="str">
        <f>"HODGES                   COLE         T           "</f>
        <v xml:space="preserve">HODGES                   COLE         T           </v>
      </c>
      <c r="E5514" t="str">
        <f>"BROOKHAVEN                "</f>
        <v xml:space="preserve">BROOKHAVEN                </v>
      </c>
      <c r="F5514" t="str">
        <f t="shared" si="198"/>
        <v>MS</v>
      </c>
    </row>
    <row r="5515" spans="1:6" x14ac:dyDescent="0.25">
      <c r="A5515" t="str">
        <f>"000032255"</f>
        <v>000032255</v>
      </c>
      <c r="B5515" t="str">
        <f>"1376019471"</f>
        <v>1376019471</v>
      </c>
      <c r="C5515" t="str">
        <f>"363L00000X"</f>
        <v>363L00000X</v>
      </c>
      <c r="D5515" t="str">
        <f>"ADKINS                   SONYA        R           "</f>
        <v xml:space="preserve">ADKINS                   SONYA        R           </v>
      </c>
      <c r="E5515" t="str">
        <f>"NEW ALBANY                "</f>
        <v xml:space="preserve">NEW ALBANY                </v>
      </c>
      <c r="F5515" t="str">
        <f t="shared" si="198"/>
        <v>MS</v>
      </c>
    </row>
    <row r="5516" spans="1:6" x14ac:dyDescent="0.25">
      <c r="A5516" t="str">
        <f>"000034354"</f>
        <v>000034354</v>
      </c>
      <c r="B5516" t="str">
        <f>"1003486556"</f>
        <v>1003486556</v>
      </c>
      <c r="C5516" t="str">
        <f>"363L00000X"</f>
        <v>363L00000X</v>
      </c>
      <c r="D5516" t="str">
        <f>"JOHNSTON                 ILLISIA      M           "</f>
        <v xml:space="preserve">JOHNSTON                 ILLISIA      M           </v>
      </c>
      <c r="E5516" t="str">
        <f>"LAUREL                    "</f>
        <v xml:space="preserve">LAUREL                    </v>
      </c>
      <c r="F5516" t="str">
        <f t="shared" si="198"/>
        <v>MS</v>
      </c>
    </row>
    <row r="5517" spans="1:6" x14ac:dyDescent="0.25">
      <c r="A5517" t="str">
        <f>"000035240"</f>
        <v>000035240</v>
      </c>
      <c r="B5517" t="str">
        <f>"1841885324"</f>
        <v>1841885324</v>
      </c>
      <c r="C5517" t="str">
        <f>"363L00000X"</f>
        <v>363L00000X</v>
      </c>
      <c r="D5517" t="str">
        <f>"KOZLOWSKI                MEGAN                    "</f>
        <v xml:space="preserve">KOZLOWSKI                MEGAN                    </v>
      </c>
      <c r="E5517" t="str">
        <f>"GULFPORT                  "</f>
        <v xml:space="preserve">GULFPORT                  </v>
      </c>
      <c r="F5517" t="str">
        <f t="shared" si="198"/>
        <v>MS</v>
      </c>
    </row>
    <row r="5518" spans="1:6" x14ac:dyDescent="0.25">
      <c r="A5518" t="str">
        <f>"000035821"</f>
        <v>000035821</v>
      </c>
      <c r="B5518" t="str">
        <f>"1902392939"</f>
        <v>1902392939</v>
      </c>
      <c r="C5518" t="str">
        <f>"207R00000X"</f>
        <v>207R00000X</v>
      </c>
      <c r="D5518" t="str">
        <f>"ROBERTS                  PAUL         R           "</f>
        <v xml:space="preserve">ROBERTS                  PAUL         R           </v>
      </c>
      <c r="E5518" t="str">
        <f>"TUPELO                    "</f>
        <v xml:space="preserve">TUPELO                    </v>
      </c>
      <c r="F5518" t="str">
        <f t="shared" si="198"/>
        <v>MS</v>
      </c>
    </row>
    <row r="5519" spans="1:6" x14ac:dyDescent="0.25">
      <c r="A5519" t="str">
        <f>"000037226"</f>
        <v>000037226</v>
      </c>
      <c r="B5519" t="str">
        <f>"1861942682"</f>
        <v>1861942682</v>
      </c>
      <c r="C5519" t="str">
        <f>"363L00000X"</f>
        <v>363L00000X</v>
      </c>
      <c r="D5519" t="str">
        <f>"MARTIN                   SHAWNA                   "</f>
        <v xml:space="preserve">MARTIN                   SHAWNA                   </v>
      </c>
      <c r="E5519" t="str">
        <f>"OLIVE BRANCH              "</f>
        <v xml:space="preserve">OLIVE BRANCH              </v>
      </c>
      <c r="F5519" t="str">
        <f t="shared" si="198"/>
        <v>MS</v>
      </c>
    </row>
    <row r="5520" spans="1:6" x14ac:dyDescent="0.25">
      <c r="A5520" t="str">
        <f>"000037249"</f>
        <v>000037249</v>
      </c>
      <c r="B5520" t="str">
        <f>"1053763813"</f>
        <v>1053763813</v>
      </c>
      <c r="C5520" t="str">
        <f>"363L00000X"</f>
        <v>363L00000X</v>
      </c>
      <c r="D5520" t="str">
        <f>"MILLER                   LAKEN        B           "</f>
        <v xml:space="preserve">MILLER                   LAKEN        B           </v>
      </c>
      <c r="E5520" t="str">
        <f>"HATTIESBURG               "</f>
        <v xml:space="preserve">HATTIESBURG               </v>
      </c>
      <c r="F5520" t="str">
        <f t="shared" si="198"/>
        <v>MS</v>
      </c>
    </row>
    <row r="5521" spans="1:6" x14ac:dyDescent="0.25">
      <c r="A5521" t="str">
        <f>"000039211"</f>
        <v>000039211</v>
      </c>
      <c r="B5521" t="str">
        <f>"1790258820"</f>
        <v>1790258820</v>
      </c>
      <c r="C5521" t="str">
        <f>"363L00000X"</f>
        <v>363L00000X</v>
      </c>
      <c r="D5521" t="str">
        <f>"HOWARD                   KELLI                    "</f>
        <v xml:space="preserve">HOWARD                   KELLI                    </v>
      </c>
      <c r="E5521" t="str">
        <f>"JACKSON                   "</f>
        <v xml:space="preserve">JACKSON                   </v>
      </c>
      <c r="F5521" t="str">
        <f t="shared" si="198"/>
        <v>MS</v>
      </c>
    </row>
    <row r="5522" spans="1:6" x14ac:dyDescent="0.25">
      <c r="A5522" t="str">
        <f>"000050524"</f>
        <v>000050524</v>
      </c>
      <c r="B5522" t="str">
        <f>"1841538030"</f>
        <v>1841538030</v>
      </c>
      <c r="C5522" t="str">
        <f>"363L00000X"</f>
        <v>363L00000X</v>
      </c>
      <c r="D5522" t="str">
        <f>"RILEY                    AMBER        S           "</f>
        <v xml:space="preserve">RILEY                    AMBER        S           </v>
      </c>
      <c r="E5522" t="str">
        <f>"PHILADELPHIA              "</f>
        <v xml:space="preserve">PHILADELPHIA              </v>
      </c>
      <c r="F5522" t="str">
        <f t="shared" si="198"/>
        <v>MS</v>
      </c>
    </row>
    <row r="5523" spans="1:6" x14ac:dyDescent="0.25">
      <c r="A5523" t="str">
        <f>"000050563"</f>
        <v>000050563</v>
      </c>
      <c r="B5523" t="str">
        <f>"1518378389"</f>
        <v>1518378389</v>
      </c>
      <c r="C5523" t="str">
        <f>"363L00000X"</f>
        <v>363L00000X</v>
      </c>
      <c r="D5523" t="str">
        <f>"THOMAS                   TIFFANY      A           "</f>
        <v xml:space="preserve">THOMAS                   TIFFANY      A           </v>
      </c>
      <c r="E5523" t="str">
        <f>"JACKSON                   "</f>
        <v xml:space="preserve">JACKSON                   </v>
      </c>
      <c r="F5523" t="str">
        <f t="shared" si="198"/>
        <v>MS</v>
      </c>
    </row>
    <row r="5524" spans="1:6" x14ac:dyDescent="0.25">
      <c r="A5524" t="str">
        <f>"000050780"</f>
        <v>000050780</v>
      </c>
      <c r="B5524" t="str">
        <f>"1245330935"</f>
        <v>1245330935</v>
      </c>
      <c r="C5524" t="str">
        <f>"2085N0904X"</f>
        <v>2085N0904X</v>
      </c>
      <c r="D5524" t="str">
        <f>"VIJAYAKUMAR              VANI                     "</f>
        <v xml:space="preserve">VIJAYAKUMAR              VANI                     </v>
      </c>
      <c r="E5524" t="str">
        <f>"JACKSON                   "</f>
        <v xml:space="preserve">JACKSON                   </v>
      </c>
      <c r="F5524" t="str">
        <f t="shared" si="198"/>
        <v>MS</v>
      </c>
    </row>
    <row r="5525" spans="1:6" x14ac:dyDescent="0.25">
      <c r="A5525" t="str">
        <f>"000051022"</f>
        <v>000051022</v>
      </c>
      <c r="B5525" t="str">
        <f>"1760453997"</f>
        <v>1760453997</v>
      </c>
      <c r="C5525" t="str">
        <f>"208600000X"</f>
        <v>208600000X</v>
      </c>
      <c r="D5525" t="str">
        <f>"SANDERS                  DANNY        L           "</f>
        <v xml:space="preserve">SANDERS                  DANNY        L           </v>
      </c>
      <c r="E5525" t="str">
        <f>"TUPELO                    "</f>
        <v xml:space="preserve">TUPELO                    </v>
      </c>
      <c r="F5525" t="str">
        <f t="shared" si="198"/>
        <v>MS</v>
      </c>
    </row>
    <row r="5526" spans="1:6" x14ac:dyDescent="0.25">
      <c r="A5526" t="str">
        <f>"000051064"</f>
        <v>000051064</v>
      </c>
      <c r="B5526" t="str">
        <f>"1730358201"</f>
        <v>1730358201</v>
      </c>
      <c r="C5526" t="str">
        <f>"363L00000X"</f>
        <v>363L00000X</v>
      </c>
      <c r="D5526" t="str">
        <f>"PRIVE                    BRUCE        P           "</f>
        <v xml:space="preserve">PRIVE                    BRUCE        P           </v>
      </c>
      <c r="E5526" t="str">
        <f>"MONTICELLO                "</f>
        <v xml:space="preserve">MONTICELLO                </v>
      </c>
      <c r="F5526" t="str">
        <f t="shared" si="198"/>
        <v>MS</v>
      </c>
    </row>
    <row r="5527" spans="1:6" x14ac:dyDescent="0.25">
      <c r="A5527" t="str">
        <f>"000051815"</f>
        <v>000051815</v>
      </c>
      <c r="B5527" t="str">
        <f>"1285668921"</f>
        <v>1285668921</v>
      </c>
      <c r="C5527" t="str">
        <f>"2084N0400X"</f>
        <v>2084N0400X</v>
      </c>
      <c r="D5527" t="str">
        <f>"MISHRA                   ABHA                     "</f>
        <v xml:space="preserve">MISHRA                   ABHA                     </v>
      </c>
      <c r="E5527" t="str">
        <f>"GULFPORT                  "</f>
        <v xml:space="preserve">GULFPORT                  </v>
      </c>
      <c r="F5527" t="str">
        <f t="shared" si="198"/>
        <v>MS</v>
      </c>
    </row>
    <row r="5528" spans="1:6" x14ac:dyDescent="0.25">
      <c r="A5528" t="str">
        <f>"000052803"</f>
        <v>000052803</v>
      </c>
      <c r="B5528" t="str">
        <f>"1477851996"</f>
        <v>1477851996</v>
      </c>
      <c r="C5528" t="str">
        <f>"2084N0400X"</f>
        <v>2084N0400X</v>
      </c>
      <c r="D5528" t="str">
        <f>"HUANG                    JUEBIN                   "</f>
        <v xml:space="preserve">HUANG                    JUEBIN                   </v>
      </c>
      <c r="E5528" t="str">
        <f>"JACKSON                   "</f>
        <v xml:space="preserve">JACKSON                   </v>
      </c>
      <c r="F5528" t="str">
        <f t="shared" si="198"/>
        <v>MS</v>
      </c>
    </row>
    <row r="5529" spans="1:6" x14ac:dyDescent="0.25">
      <c r="A5529" t="str">
        <f>"000053051"</f>
        <v>000053051</v>
      </c>
      <c r="B5529" t="str">
        <f>"1407413701"</f>
        <v>1407413701</v>
      </c>
      <c r="C5529" t="str">
        <f>"363L00000X"</f>
        <v>363L00000X</v>
      </c>
      <c r="D5529" t="str">
        <f>"BOYD                     HEATHER      R           "</f>
        <v xml:space="preserve">BOYD                     HEATHER      R           </v>
      </c>
      <c r="E5529" t="str">
        <f>"OCEAN SPRINGS             "</f>
        <v xml:space="preserve">OCEAN SPRINGS             </v>
      </c>
      <c r="F5529" t="str">
        <f t="shared" si="198"/>
        <v>MS</v>
      </c>
    </row>
    <row r="5530" spans="1:6" x14ac:dyDescent="0.25">
      <c r="A5530" t="str">
        <f>"000053580"</f>
        <v>000053580</v>
      </c>
      <c r="B5530" t="str">
        <f>"1568423697"</f>
        <v>1568423697</v>
      </c>
      <c r="C5530" t="str">
        <f>"207Q00000X"</f>
        <v>207Q00000X</v>
      </c>
      <c r="D5530" t="str">
        <f>"GHAFFARI                 BITA                     "</f>
        <v xml:space="preserve">GHAFFARI                 BITA                     </v>
      </c>
      <c r="E5530" t="str">
        <f>"BAY ST LOUIS              "</f>
        <v xml:space="preserve">BAY ST LOUIS              </v>
      </c>
      <c r="F5530" t="str">
        <f t="shared" si="198"/>
        <v>MS</v>
      </c>
    </row>
    <row r="5531" spans="1:6" x14ac:dyDescent="0.25">
      <c r="A5531" t="str">
        <f>"000053731"</f>
        <v>000053731</v>
      </c>
      <c r="B5531" t="str">
        <f>"1760893689"</f>
        <v>1760893689</v>
      </c>
      <c r="C5531" t="str">
        <f>"207RC0200X"</f>
        <v>207RC0200X</v>
      </c>
      <c r="D5531" t="str">
        <f>"GUO                      YANGLIN                  "</f>
        <v xml:space="preserve">GUO                      YANGLIN                  </v>
      </c>
      <c r="E5531" t="str">
        <f>"JACKSON                   "</f>
        <v xml:space="preserve">JACKSON                   </v>
      </c>
      <c r="F5531" t="str">
        <f t="shared" si="198"/>
        <v>MS</v>
      </c>
    </row>
    <row r="5532" spans="1:6" x14ac:dyDescent="0.25">
      <c r="A5532" t="str">
        <f>"000055727"</f>
        <v>000055727</v>
      </c>
      <c r="B5532" t="str">
        <f>"1164663936"</f>
        <v>1164663936</v>
      </c>
      <c r="C5532" t="str">
        <f>"363L00000X"</f>
        <v>363L00000X</v>
      </c>
      <c r="D5532" t="str">
        <f>"THRASH                   CHRISTIE                 "</f>
        <v xml:space="preserve">THRASH                   CHRISTIE                 </v>
      </c>
      <c r="E5532" t="str">
        <f>"JACKSON                   "</f>
        <v xml:space="preserve">JACKSON                   </v>
      </c>
      <c r="F5532" t="str">
        <f t="shared" si="198"/>
        <v>MS</v>
      </c>
    </row>
    <row r="5533" spans="1:6" x14ac:dyDescent="0.25">
      <c r="A5533" t="str">
        <f>"000055853"</f>
        <v>000055853</v>
      </c>
      <c r="B5533" t="str">
        <f>"1053323758"</f>
        <v>1053323758</v>
      </c>
      <c r="C5533" t="str">
        <f>"207R00000X"</f>
        <v>207R00000X</v>
      </c>
      <c r="D5533" t="str">
        <f>"PATEL                    INDRAJIT                 "</f>
        <v xml:space="preserve">PATEL                    INDRAJIT                 </v>
      </c>
      <c r="E5533" t="str">
        <f>"GULFPORT                  "</f>
        <v xml:space="preserve">GULFPORT                  </v>
      </c>
      <c r="F5533" t="str">
        <f t="shared" si="198"/>
        <v>MS</v>
      </c>
    </row>
    <row r="5534" spans="1:6" x14ac:dyDescent="0.25">
      <c r="A5534" t="str">
        <f>"000056261"</f>
        <v>000056261</v>
      </c>
      <c r="B5534" t="str">
        <f>"1760884373"</f>
        <v>1760884373</v>
      </c>
      <c r="C5534" t="str">
        <f>"363L00000X"</f>
        <v>363L00000X</v>
      </c>
      <c r="D5534" t="str">
        <f>"YAWN                     AMANDA       C           "</f>
        <v xml:space="preserve">YAWN                     AMANDA       C           </v>
      </c>
      <c r="E5534" t="str">
        <f>"MOSS POINT                "</f>
        <v xml:space="preserve">MOSS POINT                </v>
      </c>
      <c r="F5534" t="str">
        <f t="shared" si="198"/>
        <v>MS</v>
      </c>
    </row>
    <row r="5535" spans="1:6" x14ac:dyDescent="0.25">
      <c r="A5535" t="str">
        <f>"000056851"</f>
        <v>000056851</v>
      </c>
      <c r="B5535" t="str">
        <f>"1467842476"</f>
        <v>1467842476</v>
      </c>
      <c r="C5535" t="str">
        <f>"363L00000X"</f>
        <v>363L00000X</v>
      </c>
      <c r="D5535" t="str">
        <f>"MCDANIEL                 ALICIA       M           "</f>
        <v xml:space="preserve">MCDANIEL                 ALICIA       M           </v>
      </c>
      <c r="E5535" t="str">
        <f>"GULFPORT                  "</f>
        <v xml:space="preserve">GULFPORT                  </v>
      </c>
      <c r="F5535" t="str">
        <f t="shared" si="198"/>
        <v>MS</v>
      </c>
    </row>
    <row r="5536" spans="1:6" x14ac:dyDescent="0.25">
      <c r="A5536" t="str">
        <f>"000059059"</f>
        <v>000059059</v>
      </c>
      <c r="B5536" t="str">
        <f>"1740220839"</f>
        <v>1740220839</v>
      </c>
      <c r="C5536" t="str">
        <f>"367500000X"</f>
        <v>367500000X</v>
      </c>
      <c r="D5536" t="str">
        <f>"SMITH                    KEN          L           "</f>
        <v xml:space="preserve">SMITH                    KEN          L           </v>
      </c>
      <c r="E5536" t="str">
        <f>"LAUREL                    "</f>
        <v xml:space="preserve">LAUREL                    </v>
      </c>
      <c r="F5536" t="str">
        <f t="shared" si="198"/>
        <v>MS</v>
      </c>
    </row>
    <row r="5537" spans="1:6" x14ac:dyDescent="0.25">
      <c r="A5537" t="str">
        <f>"000059236"</f>
        <v>000059236</v>
      </c>
      <c r="B5537" t="str">
        <f>"1134495484"</f>
        <v>1134495484</v>
      </c>
      <c r="C5537" t="str">
        <f>"363A00000X"</f>
        <v>363A00000X</v>
      </c>
      <c r="D5537" t="str">
        <f>"LONG                     KATHERINE                "</f>
        <v xml:space="preserve">LONG                     KATHERINE                </v>
      </c>
      <c r="E5537" t="str">
        <f>"JACKSON                   "</f>
        <v xml:space="preserve">JACKSON                   </v>
      </c>
      <c r="F5537" t="str">
        <f t="shared" si="198"/>
        <v>MS</v>
      </c>
    </row>
    <row r="5538" spans="1:6" x14ac:dyDescent="0.25">
      <c r="A5538" t="str">
        <f>"000060036"</f>
        <v>000060036</v>
      </c>
      <c r="B5538" t="str">
        <f>"1952313132"</f>
        <v>1952313132</v>
      </c>
      <c r="C5538" t="str">
        <f t="shared" ref="C5538:C5555" si="199">"122300000X"</f>
        <v>122300000X</v>
      </c>
      <c r="D5538" t="str">
        <f>"STANFORD                 JOHN         D           "</f>
        <v xml:space="preserve">STANFORD                 JOHN         D           </v>
      </c>
      <c r="E5538" t="str">
        <f>"RIPLEY                    "</f>
        <v xml:space="preserve">RIPLEY                    </v>
      </c>
      <c r="F5538" t="str">
        <f t="shared" si="198"/>
        <v>MS</v>
      </c>
    </row>
    <row r="5539" spans="1:6" x14ac:dyDescent="0.25">
      <c r="A5539" t="str">
        <f>"000060050"</f>
        <v>000060050</v>
      </c>
      <c r="B5539" t="str">
        <f>"1912018748"</f>
        <v>1912018748</v>
      </c>
      <c r="C5539" t="str">
        <f t="shared" si="199"/>
        <v>122300000X</v>
      </c>
      <c r="D5539" t="str">
        <f>"HATHORN                  RANDY        S           "</f>
        <v xml:space="preserve">HATHORN                  RANDY        S           </v>
      </c>
      <c r="E5539" t="str">
        <f>"BASSFIELD                 "</f>
        <v xml:space="preserve">BASSFIELD                 </v>
      </c>
      <c r="F5539" t="str">
        <f t="shared" si="198"/>
        <v>MS</v>
      </c>
    </row>
    <row r="5540" spans="1:6" x14ac:dyDescent="0.25">
      <c r="A5540" t="str">
        <f>"000060061"</f>
        <v>000060061</v>
      </c>
      <c r="B5540" t="str">
        <f>"1568439107"</f>
        <v>1568439107</v>
      </c>
      <c r="C5540" t="str">
        <f t="shared" si="199"/>
        <v>122300000X</v>
      </c>
      <c r="D5540" t="str">
        <f>"CLARK                    LINDBERG                 "</f>
        <v xml:space="preserve">CLARK                    LINDBERG                 </v>
      </c>
      <c r="E5540" t="str">
        <f>"GULFPORT                  "</f>
        <v xml:space="preserve">GULFPORT                  </v>
      </c>
      <c r="F5540" t="str">
        <f t="shared" si="198"/>
        <v>MS</v>
      </c>
    </row>
    <row r="5541" spans="1:6" x14ac:dyDescent="0.25">
      <c r="A5541" t="str">
        <f>"000060076"</f>
        <v>000060076</v>
      </c>
      <c r="B5541" t="str">
        <f>"1447304324"</f>
        <v>1447304324</v>
      </c>
      <c r="C5541" t="str">
        <f t="shared" si="199"/>
        <v>122300000X</v>
      </c>
      <c r="D5541" t="str">
        <f>"CARROLL D PIERCE                                  "</f>
        <v xml:space="preserve">CARROLL D PIERCE                                  </v>
      </c>
      <c r="E5541" t="str">
        <f>"SEMINARY                  "</f>
        <v xml:space="preserve">SEMINARY                  </v>
      </c>
      <c r="F5541" t="str">
        <f t="shared" si="198"/>
        <v>MS</v>
      </c>
    </row>
    <row r="5542" spans="1:6" x14ac:dyDescent="0.25">
      <c r="A5542" t="str">
        <f>"000060078"</f>
        <v>000060078</v>
      </c>
      <c r="B5542" t="str">
        <f>"1518032432"</f>
        <v>1518032432</v>
      </c>
      <c r="C5542" t="str">
        <f t="shared" si="199"/>
        <v>122300000X</v>
      </c>
      <c r="D5542" t="str">
        <f>"QUINN                    KEISHA       D           "</f>
        <v xml:space="preserve">QUINN                    KEISHA       D           </v>
      </c>
      <c r="E5542" t="str">
        <f>"LAUREL                    "</f>
        <v xml:space="preserve">LAUREL                    </v>
      </c>
      <c r="F5542" t="str">
        <f t="shared" si="198"/>
        <v>MS</v>
      </c>
    </row>
    <row r="5543" spans="1:6" x14ac:dyDescent="0.25">
      <c r="A5543" t="str">
        <f>"000060118"</f>
        <v>000060118</v>
      </c>
      <c r="B5543" t="str">
        <f>"1346355286"</f>
        <v>1346355286</v>
      </c>
      <c r="C5543" t="str">
        <f t="shared" si="199"/>
        <v>122300000X</v>
      </c>
      <c r="D5543" t="str">
        <f>"TUMINELLO                DAVID        W           "</f>
        <v xml:space="preserve">TUMINELLO                DAVID        W           </v>
      </c>
      <c r="E5543" t="str">
        <f>"BAY SAINT LOUIS           "</f>
        <v xml:space="preserve">BAY SAINT LOUIS           </v>
      </c>
      <c r="F5543" t="str">
        <f t="shared" si="198"/>
        <v>MS</v>
      </c>
    </row>
    <row r="5544" spans="1:6" x14ac:dyDescent="0.25">
      <c r="A5544" t="str">
        <f>"000060119"</f>
        <v>000060119</v>
      </c>
      <c r="B5544" t="str">
        <f>"1134349160"</f>
        <v>1134349160</v>
      </c>
      <c r="C5544" t="str">
        <f t="shared" si="199"/>
        <v>122300000X</v>
      </c>
      <c r="D5544" t="str">
        <f>"WOLFE                    LLOYD        B           "</f>
        <v xml:space="preserve">WOLFE                    LLOYD        B           </v>
      </c>
      <c r="E5544" t="str">
        <f>"HATTIESBURG               "</f>
        <v xml:space="preserve">HATTIESBURG               </v>
      </c>
      <c r="F5544" t="str">
        <f t="shared" si="198"/>
        <v>MS</v>
      </c>
    </row>
    <row r="5545" spans="1:6" x14ac:dyDescent="0.25">
      <c r="A5545" t="str">
        <f>"000060127"</f>
        <v>000060127</v>
      </c>
      <c r="B5545" t="str">
        <f>"1396748067"</f>
        <v>1396748067</v>
      </c>
      <c r="C5545" t="str">
        <f t="shared" si="199"/>
        <v>122300000X</v>
      </c>
      <c r="D5545" t="str">
        <f>"BAINES                   GENE         M           "</f>
        <v xml:space="preserve">BAINES                   GENE         M           </v>
      </c>
      <c r="E5545" t="str">
        <f>"GREENWOOD                 "</f>
        <v xml:space="preserve">GREENWOOD                 </v>
      </c>
      <c r="F5545" t="str">
        <f t="shared" si="198"/>
        <v>MS</v>
      </c>
    </row>
    <row r="5546" spans="1:6" x14ac:dyDescent="0.25">
      <c r="A5546" t="str">
        <f>"000060140"</f>
        <v>000060140</v>
      </c>
      <c r="B5546" t="str">
        <f>"1063503126"</f>
        <v>1063503126</v>
      </c>
      <c r="C5546" t="str">
        <f t="shared" si="199"/>
        <v>122300000X</v>
      </c>
      <c r="D5546" t="str">
        <f>"LANDRY                   RALPH        J           "</f>
        <v xml:space="preserve">LANDRY                   RALPH        J           </v>
      </c>
      <c r="E5546" t="str">
        <f>"CLARKSDALE                "</f>
        <v xml:space="preserve">CLARKSDALE                </v>
      </c>
      <c r="F5546" t="str">
        <f t="shared" si="198"/>
        <v>MS</v>
      </c>
    </row>
    <row r="5547" spans="1:6" x14ac:dyDescent="0.25">
      <c r="A5547" t="str">
        <f>"000060153"</f>
        <v>000060153</v>
      </c>
      <c r="B5547" t="str">
        <f>"1245377720"</f>
        <v>1245377720</v>
      </c>
      <c r="C5547" t="str">
        <f t="shared" si="199"/>
        <v>122300000X</v>
      </c>
      <c r="D5547" t="str">
        <f>"HARRISON                 JOHN         B           "</f>
        <v xml:space="preserve">HARRISON                 JOHN         B           </v>
      </c>
      <c r="E5547" t="str">
        <f>"NEWTON                    "</f>
        <v xml:space="preserve">NEWTON                    </v>
      </c>
      <c r="F5547" t="str">
        <f t="shared" si="198"/>
        <v>MS</v>
      </c>
    </row>
    <row r="5548" spans="1:6" x14ac:dyDescent="0.25">
      <c r="A5548" t="str">
        <f>"000060154"</f>
        <v>000060154</v>
      </c>
      <c r="B5548" t="str">
        <f>"1114050440"</f>
        <v>1114050440</v>
      </c>
      <c r="C5548" t="str">
        <f t="shared" si="199"/>
        <v>122300000X</v>
      </c>
      <c r="D5548" t="str">
        <f>"HARRINGTON               MARY         T           "</f>
        <v xml:space="preserve">HARRINGTON               MARY         T           </v>
      </c>
      <c r="E5548" t="str">
        <f>"JACKSON                   "</f>
        <v xml:space="preserve">JACKSON                   </v>
      </c>
      <c r="F5548" t="str">
        <f t="shared" si="198"/>
        <v>MS</v>
      </c>
    </row>
    <row r="5549" spans="1:6" x14ac:dyDescent="0.25">
      <c r="A5549" t="str">
        <f>"000060189"</f>
        <v>000060189</v>
      </c>
      <c r="B5549" t="str">
        <f>"1326153982"</f>
        <v>1326153982</v>
      </c>
      <c r="C5549" t="str">
        <f t="shared" si="199"/>
        <v>122300000X</v>
      </c>
      <c r="D5549" t="str">
        <f>"WILSON                   RAMSEY       E           "</f>
        <v xml:space="preserve">WILSON                   RAMSEY       E           </v>
      </c>
      <c r="E5549" t="str">
        <f>"COLLINS                   "</f>
        <v xml:space="preserve">COLLINS                   </v>
      </c>
      <c r="F5549" t="str">
        <f t="shared" si="198"/>
        <v>MS</v>
      </c>
    </row>
    <row r="5550" spans="1:6" x14ac:dyDescent="0.25">
      <c r="A5550" t="str">
        <f>"000060212"</f>
        <v>000060212</v>
      </c>
      <c r="B5550" t="str">
        <f>"1306860028"</f>
        <v>1306860028</v>
      </c>
      <c r="C5550" t="str">
        <f t="shared" si="199"/>
        <v>122300000X</v>
      </c>
      <c r="D5550" t="str">
        <f>"MCCORMICK                ERIC         C           "</f>
        <v xml:space="preserve">MCCORMICK                ERIC         C           </v>
      </c>
      <c r="E5550" t="str">
        <f>"BAY SPRINGS               "</f>
        <v xml:space="preserve">BAY SPRINGS               </v>
      </c>
      <c r="F5550" t="str">
        <f t="shared" si="198"/>
        <v>MS</v>
      </c>
    </row>
    <row r="5551" spans="1:6" x14ac:dyDescent="0.25">
      <c r="A5551" t="str">
        <f>"000060237"</f>
        <v>000060237</v>
      </c>
      <c r="B5551" t="str">
        <f>"1801837265"</f>
        <v>1801837265</v>
      </c>
      <c r="C5551" t="str">
        <f t="shared" si="199"/>
        <v>122300000X</v>
      </c>
      <c r="D5551" t="str">
        <f>"BURCH                    SANDRA                   "</f>
        <v xml:space="preserve">BURCH                    SANDRA                   </v>
      </c>
      <c r="E5551" t="str">
        <f>"JACKSON                   "</f>
        <v xml:space="preserve">JACKSON                   </v>
      </c>
      <c r="F5551" t="str">
        <f t="shared" si="198"/>
        <v>MS</v>
      </c>
    </row>
    <row r="5552" spans="1:6" x14ac:dyDescent="0.25">
      <c r="A5552" t="str">
        <f>"000060249"</f>
        <v>000060249</v>
      </c>
      <c r="B5552" t="str">
        <f>"1558577841"</f>
        <v>1558577841</v>
      </c>
      <c r="C5552" t="str">
        <f t="shared" si="199"/>
        <v>122300000X</v>
      </c>
      <c r="D5552" t="str">
        <f>"BAKER                    MAC          L           "</f>
        <v xml:space="preserve">BAKER                    MAC          L           </v>
      </c>
      <c r="E5552" t="str">
        <f>"BROOKHAVEN                "</f>
        <v xml:space="preserve">BROOKHAVEN                </v>
      </c>
      <c r="F5552" t="str">
        <f t="shared" si="198"/>
        <v>MS</v>
      </c>
    </row>
    <row r="5553" spans="1:6" x14ac:dyDescent="0.25">
      <c r="A5553" t="str">
        <f>"000060268"</f>
        <v>000060268</v>
      </c>
      <c r="B5553" t="str">
        <f>"1730281809"</f>
        <v>1730281809</v>
      </c>
      <c r="C5553" t="str">
        <f t="shared" si="199"/>
        <v>122300000X</v>
      </c>
      <c r="D5553" t="str">
        <f>"HORN                     TEENA                    "</f>
        <v xml:space="preserve">HORN                     TEENA                    </v>
      </c>
      <c r="E5553" t="str">
        <f>"HOUSTON                   "</f>
        <v xml:space="preserve">HOUSTON                   </v>
      </c>
      <c r="F5553" t="str">
        <f t="shared" si="198"/>
        <v>MS</v>
      </c>
    </row>
    <row r="5554" spans="1:6" x14ac:dyDescent="0.25">
      <c r="A5554" t="str">
        <f>"000060271"</f>
        <v>000060271</v>
      </c>
      <c r="B5554" t="str">
        <f>"1255660593"</f>
        <v>1255660593</v>
      </c>
      <c r="C5554" t="str">
        <f t="shared" si="199"/>
        <v>122300000X</v>
      </c>
      <c r="D5554" t="str">
        <f>"COLEMAN                  JAMES                    "</f>
        <v xml:space="preserve">COLEMAN                  JAMES                    </v>
      </c>
      <c r="E5554" t="str">
        <f>"LIBERTY                   "</f>
        <v xml:space="preserve">LIBERTY                   </v>
      </c>
      <c r="F5554" t="str">
        <f t="shared" si="198"/>
        <v>MS</v>
      </c>
    </row>
    <row r="5555" spans="1:6" x14ac:dyDescent="0.25">
      <c r="A5555" t="str">
        <f>"000060282"</f>
        <v>000060282</v>
      </c>
      <c r="B5555" t="str">
        <f>"1104048693"</f>
        <v>1104048693</v>
      </c>
      <c r="C5555" t="str">
        <f t="shared" si="199"/>
        <v>122300000X</v>
      </c>
      <c r="D5555" t="str">
        <f>"FINCHER                  WALLACE      T           "</f>
        <v xml:space="preserve">FINCHER                  WALLACE      T           </v>
      </c>
      <c r="E5555" t="str">
        <f>"GREENWOOD                 "</f>
        <v xml:space="preserve">GREENWOOD                 </v>
      </c>
      <c r="F5555" t="str">
        <f t="shared" si="198"/>
        <v>MS</v>
      </c>
    </row>
    <row r="5556" spans="1:6" x14ac:dyDescent="0.25">
      <c r="A5556" t="str">
        <f>"000060291"</f>
        <v>000060291</v>
      </c>
      <c r="B5556" t="str">
        <f>"1538223052"</f>
        <v>1538223052</v>
      </c>
      <c r="C5556" t="str">
        <f>"1223P0221X"</f>
        <v>1223P0221X</v>
      </c>
      <c r="D5556" t="str">
        <f>"CURTIS                   DAVID        K           "</f>
        <v xml:space="preserve">CURTIS                   DAVID        K           </v>
      </c>
      <c r="E5556" t="str">
        <f>"COLUMBUS                  "</f>
        <v xml:space="preserve">COLUMBUS                  </v>
      </c>
      <c r="F5556" t="str">
        <f t="shared" si="198"/>
        <v>MS</v>
      </c>
    </row>
    <row r="5557" spans="1:6" x14ac:dyDescent="0.25">
      <c r="A5557" t="str">
        <f>"000060292"</f>
        <v>000060292</v>
      </c>
      <c r="B5557" t="str">
        <f>"1336362219"</f>
        <v>1336362219</v>
      </c>
      <c r="C5557" t="str">
        <f>"1223X0400X"</f>
        <v>1223X0400X</v>
      </c>
      <c r="D5557" t="str">
        <f>"PERRY                    ROBERT       H           "</f>
        <v xml:space="preserve">PERRY                    ROBERT       H           </v>
      </c>
      <c r="E5557" t="str">
        <f>"CORINTH                   "</f>
        <v xml:space="preserve">CORINTH                   </v>
      </c>
      <c r="F5557" t="str">
        <f t="shared" si="198"/>
        <v>MS</v>
      </c>
    </row>
    <row r="5558" spans="1:6" x14ac:dyDescent="0.25">
      <c r="A5558" t="str">
        <f>"000060299"</f>
        <v>000060299</v>
      </c>
      <c r="B5558" t="str">
        <f>"1609030642"</f>
        <v>1609030642</v>
      </c>
      <c r="C5558" t="str">
        <f>"122300000X"</f>
        <v>122300000X</v>
      </c>
      <c r="D5558" t="str">
        <f>"NASH                     KENNETH      D           "</f>
        <v xml:space="preserve">NASH                     KENNETH      D           </v>
      </c>
      <c r="E5558" t="str">
        <f>"VICKSBURG                 "</f>
        <v xml:space="preserve">VICKSBURG                 </v>
      </c>
      <c r="F5558" t="str">
        <f t="shared" si="198"/>
        <v>MS</v>
      </c>
    </row>
    <row r="5559" spans="1:6" x14ac:dyDescent="0.25">
      <c r="A5559" t="str">
        <f>"000060303"</f>
        <v>000060303</v>
      </c>
      <c r="B5559" t="str">
        <f>"1285719468"</f>
        <v>1285719468</v>
      </c>
      <c r="C5559" t="str">
        <f>"122300000X"</f>
        <v>122300000X</v>
      </c>
      <c r="D5559" t="str">
        <f>"BERG                     BRIAN        C           "</f>
        <v xml:space="preserve">BERG                     BRIAN        C           </v>
      </c>
      <c r="E5559" t="str">
        <f>"CHOCTAW                   "</f>
        <v xml:space="preserve">CHOCTAW                   </v>
      </c>
      <c r="F5559" t="str">
        <f t="shared" si="198"/>
        <v>MS</v>
      </c>
    </row>
    <row r="5560" spans="1:6" x14ac:dyDescent="0.25">
      <c r="A5560" t="str">
        <f>"000060310"</f>
        <v>000060310</v>
      </c>
      <c r="B5560" t="str">
        <f>"1093937237"</f>
        <v>1093937237</v>
      </c>
      <c r="C5560" t="str">
        <f>"122300000X"</f>
        <v>122300000X</v>
      </c>
      <c r="D5560" t="str">
        <f>"REYNOLDS                 KEVIN        M           "</f>
        <v xml:space="preserve">REYNOLDS                 KEVIN        M           </v>
      </c>
      <c r="E5560" t="str">
        <f>"FOREST                    "</f>
        <v xml:space="preserve">FOREST                    </v>
      </c>
      <c r="F5560" t="str">
        <f t="shared" si="198"/>
        <v>MS</v>
      </c>
    </row>
    <row r="5561" spans="1:6" x14ac:dyDescent="0.25">
      <c r="A5561" t="str">
        <f>"000060313"</f>
        <v>000060313</v>
      </c>
      <c r="B5561" t="str">
        <f>"1710068739"</f>
        <v>1710068739</v>
      </c>
      <c r="C5561" t="str">
        <f>"1223P0221X"</f>
        <v>1223P0221X</v>
      </c>
      <c r="D5561" t="str">
        <f>"MCCARTY                  JOHN         B           "</f>
        <v xml:space="preserve">MCCARTY                  JOHN         B           </v>
      </c>
      <c r="E5561" t="str">
        <f>"MERIDIAN                  "</f>
        <v xml:space="preserve">MERIDIAN                  </v>
      </c>
      <c r="F5561" t="str">
        <f t="shared" si="198"/>
        <v>MS</v>
      </c>
    </row>
    <row r="5562" spans="1:6" x14ac:dyDescent="0.25">
      <c r="A5562" t="str">
        <f>"000060320"</f>
        <v>000060320</v>
      </c>
      <c r="B5562" t="str">
        <f>"1811105984"</f>
        <v>1811105984</v>
      </c>
      <c r="C5562" t="str">
        <f t="shared" ref="C5562:C5589" si="200">"122300000X"</f>
        <v>122300000X</v>
      </c>
      <c r="D5562" t="str">
        <f>"DONALD                   W. MARK                  "</f>
        <v xml:space="preserve">DONALD                   W. MARK                  </v>
      </c>
      <c r="E5562" t="str">
        <f>"LOUISVILLE                "</f>
        <v xml:space="preserve">LOUISVILLE                </v>
      </c>
      <c r="F5562" t="str">
        <f t="shared" si="198"/>
        <v>MS</v>
      </c>
    </row>
    <row r="5563" spans="1:6" x14ac:dyDescent="0.25">
      <c r="A5563" t="str">
        <f>"000060323"</f>
        <v>000060323</v>
      </c>
      <c r="B5563" t="str">
        <f>"1225130040"</f>
        <v>1225130040</v>
      </c>
      <c r="C5563" t="str">
        <f t="shared" si="200"/>
        <v>122300000X</v>
      </c>
      <c r="D5563" t="str">
        <f>"HATHORN                  PAUL         I           "</f>
        <v xml:space="preserve">HATHORN                  PAUL         I           </v>
      </c>
      <c r="E5563" t="str">
        <f>"ELLISVILLE                "</f>
        <v xml:space="preserve">ELLISVILLE                </v>
      </c>
      <c r="F5563" t="str">
        <f t="shared" si="198"/>
        <v>MS</v>
      </c>
    </row>
    <row r="5564" spans="1:6" x14ac:dyDescent="0.25">
      <c r="A5564" t="str">
        <f>"000060353"</f>
        <v>000060353</v>
      </c>
      <c r="B5564" t="str">
        <f>"1235347436"</f>
        <v>1235347436</v>
      </c>
      <c r="C5564" t="str">
        <f t="shared" si="200"/>
        <v>122300000X</v>
      </c>
      <c r="D5564" t="str">
        <f>"ELLIS                    GEORGE       E           "</f>
        <v xml:space="preserve">ELLIS                    GEORGE       E           </v>
      </c>
      <c r="E5564" t="str">
        <f>"HAZLEHURST                "</f>
        <v xml:space="preserve">HAZLEHURST                </v>
      </c>
      <c r="F5564" t="str">
        <f t="shared" si="198"/>
        <v>MS</v>
      </c>
    </row>
    <row r="5565" spans="1:6" x14ac:dyDescent="0.25">
      <c r="A5565" t="str">
        <f>"000060364"</f>
        <v>000060364</v>
      </c>
      <c r="B5565" t="str">
        <f>"1861523748"</f>
        <v>1861523748</v>
      </c>
      <c r="C5565" t="str">
        <f t="shared" si="200"/>
        <v>122300000X</v>
      </c>
      <c r="D5565" t="str">
        <f>"LESLIE                   ALTUS                    "</f>
        <v xml:space="preserve">LESLIE                   ALTUS                    </v>
      </c>
      <c r="E5565" t="str">
        <f>"CLEVELAND                 "</f>
        <v xml:space="preserve">CLEVELAND                 </v>
      </c>
      <c r="F5565" t="str">
        <f t="shared" si="198"/>
        <v>MS</v>
      </c>
    </row>
    <row r="5566" spans="1:6" x14ac:dyDescent="0.25">
      <c r="A5566" t="str">
        <f>"000060402"</f>
        <v>000060402</v>
      </c>
      <c r="B5566" t="str">
        <f>"1568577039"</f>
        <v>1568577039</v>
      </c>
      <c r="C5566" t="str">
        <f t="shared" si="200"/>
        <v>122300000X</v>
      </c>
      <c r="D5566" t="str">
        <f>"STORY                    DANIEL                   "</f>
        <v xml:space="preserve">STORY                    DANIEL                   </v>
      </c>
      <c r="E5566" t="str">
        <f>"BELZONI                   "</f>
        <v xml:space="preserve">BELZONI                   </v>
      </c>
      <c r="F5566" t="str">
        <f t="shared" ref="F5566:F5629" si="201">"MS"</f>
        <v>MS</v>
      </c>
    </row>
    <row r="5567" spans="1:6" x14ac:dyDescent="0.25">
      <c r="A5567" t="str">
        <f>"000060414"</f>
        <v>000060414</v>
      </c>
      <c r="B5567" t="str">
        <f>"1043376023"</f>
        <v>1043376023</v>
      </c>
      <c r="C5567" t="str">
        <f t="shared" si="200"/>
        <v>122300000X</v>
      </c>
      <c r="D5567" t="str">
        <f>"KNIGHT                   EDWARD       S           "</f>
        <v xml:space="preserve">KNIGHT                   EDWARD       S           </v>
      </c>
      <c r="E5567" t="str">
        <f>"CORINTH                   "</f>
        <v xml:space="preserve">CORINTH                   </v>
      </c>
      <c r="F5567" t="str">
        <f t="shared" si="201"/>
        <v>MS</v>
      </c>
    </row>
    <row r="5568" spans="1:6" x14ac:dyDescent="0.25">
      <c r="A5568" t="str">
        <f>"000060419"</f>
        <v>000060419</v>
      </c>
      <c r="B5568" t="str">
        <f>"1114041464"</f>
        <v>1114041464</v>
      </c>
      <c r="C5568" t="str">
        <f t="shared" si="200"/>
        <v>122300000X</v>
      </c>
      <c r="D5568" t="str">
        <f>"ANDREWS                  JEFFREY      L           "</f>
        <v xml:space="preserve">ANDREWS                  JEFFREY      L           </v>
      </c>
      <c r="E5568" t="str">
        <f>"DREW                      "</f>
        <v xml:space="preserve">DREW                      </v>
      </c>
      <c r="F5568" t="str">
        <f t="shared" si="201"/>
        <v>MS</v>
      </c>
    </row>
    <row r="5569" spans="1:6" x14ac:dyDescent="0.25">
      <c r="A5569" t="str">
        <f>"000060430"</f>
        <v>000060430</v>
      </c>
      <c r="B5569" t="str">
        <f>"1447304357"</f>
        <v>1447304357</v>
      </c>
      <c r="C5569" t="str">
        <f t="shared" si="200"/>
        <v>122300000X</v>
      </c>
      <c r="D5569" t="str">
        <f>"FAST                     MICHAEL      D           "</f>
        <v xml:space="preserve">FAST                     MICHAEL      D           </v>
      </c>
      <c r="E5569" t="str">
        <f>"JACKSON                   "</f>
        <v xml:space="preserve">JACKSON                   </v>
      </c>
      <c r="F5569" t="str">
        <f t="shared" si="201"/>
        <v>MS</v>
      </c>
    </row>
    <row r="5570" spans="1:6" x14ac:dyDescent="0.25">
      <c r="A5570" t="str">
        <f>"000060446"</f>
        <v>000060446</v>
      </c>
      <c r="B5570" t="str">
        <f>"1578599601"</f>
        <v>1578599601</v>
      </c>
      <c r="C5570" t="str">
        <f t="shared" si="200"/>
        <v>122300000X</v>
      </c>
      <c r="D5570" t="str">
        <f>"STRAUGHTER               ROSE                     "</f>
        <v xml:space="preserve">STRAUGHTER               ROSE                     </v>
      </c>
      <c r="E5570" t="str">
        <f>"JACKSON                   "</f>
        <v xml:space="preserve">JACKSON                   </v>
      </c>
      <c r="F5570" t="str">
        <f t="shared" si="201"/>
        <v>MS</v>
      </c>
    </row>
    <row r="5571" spans="1:6" x14ac:dyDescent="0.25">
      <c r="A5571" t="str">
        <f>"000060454"</f>
        <v>000060454</v>
      </c>
      <c r="B5571" t="str">
        <f>"1174833396"</f>
        <v>1174833396</v>
      </c>
      <c r="C5571" t="str">
        <f t="shared" si="200"/>
        <v>122300000X</v>
      </c>
      <c r="D5571" t="str">
        <f>"LEWIS                    MARTHA                   "</f>
        <v xml:space="preserve">LEWIS                    MARTHA                   </v>
      </c>
      <c r="E5571" t="str">
        <f>"FLOWOOD                   "</f>
        <v xml:space="preserve">FLOWOOD                   </v>
      </c>
      <c r="F5571" t="str">
        <f t="shared" si="201"/>
        <v>MS</v>
      </c>
    </row>
    <row r="5572" spans="1:6" x14ac:dyDescent="0.25">
      <c r="A5572" t="str">
        <f>"000060456"</f>
        <v>000060456</v>
      </c>
      <c r="B5572" t="str">
        <f>"1184693723"</f>
        <v>1184693723</v>
      </c>
      <c r="C5572" t="str">
        <f t="shared" si="200"/>
        <v>122300000X</v>
      </c>
      <c r="D5572" t="str">
        <f>"ROUSE                    PAUL                     "</f>
        <v xml:space="preserve">ROUSE                    PAUL                     </v>
      </c>
      <c r="E5572" t="str">
        <f>"LEAKESVILLE               "</f>
        <v xml:space="preserve">LEAKESVILLE               </v>
      </c>
      <c r="F5572" t="str">
        <f t="shared" si="201"/>
        <v>MS</v>
      </c>
    </row>
    <row r="5573" spans="1:6" x14ac:dyDescent="0.25">
      <c r="A5573" t="str">
        <f>"000060471"</f>
        <v>000060471</v>
      </c>
      <c r="B5573" t="str">
        <f>"1982777868"</f>
        <v>1982777868</v>
      </c>
      <c r="C5573" t="str">
        <f t="shared" si="200"/>
        <v>122300000X</v>
      </c>
      <c r="D5573" t="str">
        <f>"FRENCH                   RODNEY       A           "</f>
        <v xml:space="preserve">FRENCH                   RODNEY       A           </v>
      </c>
      <c r="E5573" t="str">
        <f>"FLOWOOD                   "</f>
        <v xml:space="preserve">FLOWOOD                   </v>
      </c>
      <c r="F5573" t="str">
        <f t="shared" si="201"/>
        <v>MS</v>
      </c>
    </row>
    <row r="5574" spans="1:6" x14ac:dyDescent="0.25">
      <c r="A5574" t="str">
        <f>"000062180"</f>
        <v>000062180</v>
      </c>
      <c r="B5574" t="str">
        <f>"1669501706"</f>
        <v>1669501706</v>
      </c>
      <c r="C5574" t="str">
        <f t="shared" si="200"/>
        <v>122300000X</v>
      </c>
      <c r="D5574" t="str">
        <f>"RAGAN                    ROBERT       T           "</f>
        <v xml:space="preserve">RAGAN                    ROBERT       T           </v>
      </c>
      <c r="E5574" t="str">
        <f>"CLEVELAND                 "</f>
        <v xml:space="preserve">CLEVELAND                 </v>
      </c>
      <c r="F5574" t="str">
        <f t="shared" si="201"/>
        <v>MS</v>
      </c>
    </row>
    <row r="5575" spans="1:6" x14ac:dyDescent="0.25">
      <c r="A5575" t="str">
        <f>"000064011"</f>
        <v>000064011</v>
      </c>
      <c r="B5575" t="str">
        <f>"1902992043"</f>
        <v>1902992043</v>
      </c>
      <c r="C5575" t="str">
        <f t="shared" si="200"/>
        <v>122300000X</v>
      </c>
      <c r="D5575" t="str">
        <f>"GOODWIN                  KEN                      "</f>
        <v xml:space="preserve">GOODWIN                  KEN                      </v>
      </c>
      <c r="E5575" t="str">
        <f>"BOONEVILLE                "</f>
        <v xml:space="preserve">BOONEVILLE                </v>
      </c>
      <c r="F5575" t="str">
        <f t="shared" si="201"/>
        <v>MS</v>
      </c>
    </row>
    <row r="5576" spans="1:6" x14ac:dyDescent="0.25">
      <c r="A5576" t="str">
        <f>"000064055"</f>
        <v>000064055</v>
      </c>
      <c r="B5576" t="str">
        <f>"1699856591"</f>
        <v>1699856591</v>
      </c>
      <c r="C5576" t="str">
        <f t="shared" si="200"/>
        <v>122300000X</v>
      </c>
      <c r="D5576" t="str">
        <f>"GREER                    CHARLES      E           "</f>
        <v xml:space="preserve">GREER                    CHARLES      E           </v>
      </c>
      <c r="E5576" t="str">
        <f>"HATTIESBURG               "</f>
        <v xml:space="preserve">HATTIESBURG               </v>
      </c>
      <c r="F5576" t="str">
        <f t="shared" si="201"/>
        <v>MS</v>
      </c>
    </row>
    <row r="5577" spans="1:6" x14ac:dyDescent="0.25">
      <c r="A5577" t="str">
        <f>"000064270"</f>
        <v>000064270</v>
      </c>
      <c r="B5577" t="str">
        <f>"1275532806"</f>
        <v>1275532806</v>
      </c>
      <c r="C5577" t="str">
        <f t="shared" si="200"/>
        <v>122300000X</v>
      </c>
      <c r="D5577" t="str">
        <f>"MOORE                    TOBIE        D           "</f>
        <v xml:space="preserve">MOORE                    TOBIE        D           </v>
      </c>
      <c r="E5577" t="str">
        <f>"WOODVILLE                 "</f>
        <v xml:space="preserve">WOODVILLE                 </v>
      </c>
      <c r="F5577" t="str">
        <f t="shared" si="201"/>
        <v>MS</v>
      </c>
    </row>
    <row r="5578" spans="1:6" x14ac:dyDescent="0.25">
      <c r="A5578" t="str">
        <f>"000064640"</f>
        <v>000064640</v>
      </c>
      <c r="B5578" t="str">
        <f>"1174645188"</f>
        <v>1174645188</v>
      </c>
      <c r="C5578" t="str">
        <f t="shared" si="200"/>
        <v>122300000X</v>
      </c>
      <c r="D5578" t="str">
        <f>"JONES                    JOHN         H           "</f>
        <v xml:space="preserve">JONES                    JOHN         H           </v>
      </c>
      <c r="E5578" t="str">
        <f>"HOLLY SPRINGS             "</f>
        <v xml:space="preserve">HOLLY SPRINGS             </v>
      </c>
      <c r="F5578" t="str">
        <f t="shared" si="201"/>
        <v>MS</v>
      </c>
    </row>
    <row r="5579" spans="1:6" x14ac:dyDescent="0.25">
      <c r="A5579" t="str">
        <f>"000064725"</f>
        <v>000064725</v>
      </c>
      <c r="B5579" t="str">
        <f>"1366535338"</f>
        <v>1366535338</v>
      </c>
      <c r="C5579" t="str">
        <f t="shared" si="200"/>
        <v>122300000X</v>
      </c>
      <c r="D5579" t="str">
        <f>"WOODS                    ROGER        D           "</f>
        <v xml:space="preserve">WOODS                    ROGER        D           </v>
      </c>
      <c r="E5579" t="str">
        <f>"FOREST                    "</f>
        <v xml:space="preserve">FOREST                    </v>
      </c>
      <c r="F5579" t="str">
        <f t="shared" si="201"/>
        <v>MS</v>
      </c>
    </row>
    <row r="5580" spans="1:6" x14ac:dyDescent="0.25">
      <c r="A5580" t="str">
        <f>"000064770"</f>
        <v>000064770</v>
      </c>
      <c r="B5580" t="str">
        <f>"1467572206"</f>
        <v>1467572206</v>
      </c>
      <c r="C5580" t="str">
        <f t="shared" si="200"/>
        <v>122300000X</v>
      </c>
      <c r="D5580" t="str">
        <f>"PHILLEY                  JAMES        R           "</f>
        <v xml:space="preserve">PHILLEY                  JAMES        R           </v>
      </c>
      <c r="E5580" t="str">
        <f>"GRENADA                   "</f>
        <v xml:space="preserve">GRENADA                   </v>
      </c>
      <c r="F5580" t="str">
        <f t="shared" si="201"/>
        <v>MS</v>
      </c>
    </row>
    <row r="5581" spans="1:6" x14ac:dyDescent="0.25">
      <c r="A5581" t="str">
        <f>"000064884"</f>
        <v>000064884</v>
      </c>
      <c r="B5581" t="str">
        <f>"1538188313"</f>
        <v>1538188313</v>
      </c>
      <c r="C5581" t="str">
        <f t="shared" si="200"/>
        <v>122300000X</v>
      </c>
      <c r="D5581" t="str">
        <f>"STUARD                   JAMES        H           "</f>
        <v xml:space="preserve">STUARD                   JAMES        H           </v>
      </c>
      <c r="E5581" t="str">
        <f>"MAGEE                     "</f>
        <v xml:space="preserve">MAGEE                     </v>
      </c>
      <c r="F5581" t="str">
        <f t="shared" si="201"/>
        <v>MS</v>
      </c>
    </row>
    <row r="5582" spans="1:6" x14ac:dyDescent="0.25">
      <c r="A5582" t="str">
        <f>"000064885"</f>
        <v>000064885</v>
      </c>
      <c r="B5582" t="str">
        <f>"1437332160"</f>
        <v>1437332160</v>
      </c>
      <c r="C5582" t="str">
        <f t="shared" si="200"/>
        <v>122300000X</v>
      </c>
      <c r="D5582" t="str">
        <f>"LONG SR                  ROBERT       E           "</f>
        <v xml:space="preserve">LONG SR                  ROBERT       E           </v>
      </c>
      <c r="E5582" t="str">
        <f>"CLARKSDALE                "</f>
        <v xml:space="preserve">CLARKSDALE                </v>
      </c>
      <c r="F5582" t="str">
        <f t="shared" si="201"/>
        <v>MS</v>
      </c>
    </row>
    <row r="5583" spans="1:6" x14ac:dyDescent="0.25">
      <c r="A5583" t="str">
        <f>"000064888"</f>
        <v>000064888</v>
      </c>
      <c r="B5583" t="str">
        <f>"1720098510"</f>
        <v>1720098510</v>
      </c>
      <c r="C5583" t="str">
        <f t="shared" si="200"/>
        <v>122300000X</v>
      </c>
      <c r="D5583" t="str">
        <f>"ROBERSON                 RONAL        F           "</f>
        <v xml:space="preserve">ROBERSON                 RONAL        F           </v>
      </c>
      <c r="E5583" t="str">
        <f>"OXFORD                    "</f>
        <v xml:space="preserve">OXFORD                    </v>
      </c>
      <c r="F5583" t="str">
        <f t="shared" si="201"/>
        <v>MS</v>
      </c>
    </row>
    <row r="5584" spans="1:6" x14ac:dyDescent="0.25">
      <c r="A5584" t="str">
        <f>"000064894"</f>
        <v>000064894</v>
      </c>
      <c r="B5584" t="str">
        <f>"1184064321"</f>
        <v>1184064321</v>
      </c>
      <c r="C5584" t="str">
        <f t="shared" si="200"/>
        <v>122300000X</v>
      </c>
      <c r="D5584" t="str">
        <f>"SIMMONS                  VAN          R           "</f>
        <v xml:space="preserve">SIMMONS                  VAN          R           </v>
      </c>
      <c r="E5584" t="str">
        <f>"MCCOMB                    "</f>
        <v xml:space="preserve">MCCOMB                    </v>
      </c>
      <c r="F5584" t="str">
        <f t="shared" si="201"/>
        <v>MS</v>
      </c>
    </row>
    <row r="5585" spans="1:6" x14ac:dyDescent="0.25">
      <c r="A5585" t="str">
        <f>"000064965"</f>
        <v>000064965</v>
      </c>
      <c r="B5585" t="str">
        <f>"1063602043"</f>
        <v>1063602043</v>
      </c>
      <c r="C5585" t="str">
        <f t="shared" si="200"/>
        <v>122300000X</v>
      </c>
      <c r="D5585" t="str">
        <f>"MCCABE                   TIM          E           "</f>
        <v xml:space="preserve">MCCABE                   TIM          E           </v>
      </c>
      <c r="E5585" t="str">
        <f>"GULFPORT                  "</f>
        <v xml:space="preserve">GULFPORT                  </v>
      </c>
      <c r="F5585" t="str">
        <f t="shared" si="201"/>
        <v>MS</v>
      </c>
    </row>
    <row r="5586" spans="1:6" x14ac:dyDescent="0.25">
      <c r="A5586" t="str">
        <f>"000064972"</f>
        <v>000064972</v>
      </c>
      <c r="B5586" t="str">
        <f>"1144351792"</f>
        <v>1144351792</v>
      </c>
      <c r="C5586" t="str">
        <f t="shared" si="200"/>
        <v>122300000X</v>
      </c>
      <c r="D5586" t="str">
        <f>"GROSS II                 THOMAS       G           "</f>
        <v xml:space="preserve">GROSS II                 THOMAS       G           </v>
      </c>
      <c r="E5586" t="str">
        <f>"CARTHAGE                  "</f>
        <v xml:space="preserve">CARTHAGE                  </v>
      </c>
      <c r="F5586" t="str">
        <f t="shared" si="201"/>
        <v>MS</v>
      </c>
    </row>
    <row r="5587" spans="1:6" x14ac:dyDescent="0.25">
      <c r="A5587" t="str">
        <f>"000064973"</f>
        <v>000064973</v>
      </c>
      <c r="B5587" t="str">
        <f>"1235344631"</f>
        <v>1235344631</v>
      </c>
      <c r="C5587" t="str">
        <f t="shared" si="200"/>
        <v>122300000X</v>
      </c>
      <c r="D5587" t="str">
        <f>"ROSSETTI                 DONALD       J           "</f>
        <v xml:space="preserve">ROSSETTI                 DONALD       J           </v>
      </c>
      <c r="E5587" t="str">
        <f>"NEW ALBANY                "</f>
        <v xml:space="preserve">NEW ALBANY                </v>
      </c>
      <c r="F5587" t="str">
        <f t="shared" si="201"/>
        <v>MS</v>
      </c>
    </row>
    <row r="5588" spans="1:6" x14ac:dyDescent="0.25">
      <c r="A5588" t="str">
        <f>"000064983"</f>
        <v>000064983</v>
      </c>
      <c r="B5588" t="str">
        <f>"1467522565"</f>
        <v>1467522565</v>
      </c>
      <c r="C5588" t="str">
        <f t="shared" si="200"/>
        <v>122300000X</v>
      </c>
      <c r="D5588" t="str">
        <f>"COLEMAN                  JOHN                     "</f>
        <v xml:space="preserve">COLEMAN                  JOHN                     </v>
      </c>
      <c r="E5588" t="str">
        <f>"CANTON                    "</f>
        <v xml:space="preserve">CANTON                    </v>
      </c>
      <c r="F5588" t="str">
        <f t="shared" si="201"/>
        <v>MS</v>
      </c>
    </row>
    <row r="5589" spans="1:6" x14ac:dyDescent="0.25">
      <c r="A5589" t="str">
        <f>"000064988"</f>
        <v>000064988</v>
      </c>
      <c r="B5589" t="str">
        <f>"1174653737"</f>
        <v>1174653737</v>
      </c>
      <c r="C5589" t="str">
        <f t="shared" si="200"/>
        <v>122300000X</v>
      </c>
      <c r="D5589" t="str">
        <f>"ALFORD                   WILLIAM      L           "</f>
        <v xml:space="preserve">ALFORD                   WILLIAM      L           </v>
      </c>
      <c r="E5589" t="str">
        <f>"SENATOBIA                 "</f>
        <v xml:space="preserve">SENATOBIA                 </v>
      </c>
      <c r="F5589" t="str">
        <f t="shared" si="201"/>
        <v>MS</v>
      </c>
    </row>
    <row r="5590" spans="1:6" x14ac:dyDescent="0.25">
      <c r="A5590" t="str">
        <f>"000070313"</f>
        <v>000070313</v>
      </c>
      <c r="B5590" t="str">
        <f>"1588141725"</f>
        <v>1588141725</v>
      </c>
      <c r="C5590" t="str">
        <f>"363L00000X"</f>
        <v>363L00000X</v>
      </c>
      <c r="D5590" t="str">
        <f>"BROWN                    LACHANDA     M           "</f>
        <v xml:space="preserve">BROWN                    LACHANDA     M           </v>
      </c>
      <c r="E5590" t="str">
        <f>"GREENVILLE                "</f>
        <v xml:space="preserve">GREENVILLE                </v>
      </c>
      <c r="F5590" t="str">
        <f t="shared" si="201"/>
        <v>MS</v>
      </c>
    </row>
    <row r="5591" spans="1:6" x14ac:dyDescent="0.25">
      <c r="A5591" t="str">
        <f>"000072750"</f>
        <v>000072750</v>
      </c>
      <c r="B5591" t="str">
        <f>"1376138859"</f>
        <v>1376138859</v>
      </c>
      <c r="C5591" t="str">
        <f>"363L00000X"</f>
        <v>363L00000X</v>
      </c>
      <c r="D5591" t="str">
        <f>"CARBAJAL                 SUSAN                    "</f>
        <v xml:space="preserve">CARBAJAL                 SUSAN                    </v>
      </c>
      <c r="E5591" t="str">
        <f>"OCEAN SPRINGS             "</f>
        <v xml:space="preserve">OCEAN SPRINGS             </v>
      </c>
      <c r="F5591" t="str">
        <f t="shared" si="201"/>
        <v>MS</v>
      </c>
    </row>
    <row r="5592" spans="1:6" x14ac:dyDescent="0.25">
      <c r="A5592" t="str">
        <f>"000073841"</f>
        <v>000073841</v>
      </c>
      <c r="B5592" t="str">
        <f>"1285810143"</f>
        <v>1285810143</v>
      </c>
      <c r="C5592" t="str">
        <f>"207V00000X"</f>
        <v>207V00000X</v>
      </c>
      <c r="D5592" t="str">
        <f>"FYKE                     KRISTEN      T           "</f>
        <v xml:space="preserve">FYKE                     KRISTEN      T           </v>
      </c>
      <c r="E5592" t="str">
        <f>"STARKVILLE                "</f>
        <v xml:space="preserve">STARKVILLE                </v>
      </c>
      <c r="F5592" t="str">
        <f t="shared" si="201"/>
        <v>MS</v>
      </c>
    </row>
    <row r="5593" spans="1:6" x14ac:dyDescent="0.25">
      <c r="A5593" t="str">
        <f>"000074007"</f>
        <v>000074007</v>
      </c>
      <c r="B5593" t="str">
        <f>"1235240813"</f>
        <v>1235240813</v>
      </c>
      <c r="C5593" t="str">
        <f>"261QA1903X"</f>
        <v>261QA1903X</v>
      </c>
      <c r="D5593" t="str">
        <f>"NORTH MS AMBULATORY SURGICAL CENTER               "</f>
        <v xml:space="preserve">NORTH MS AMBULATORY SURGICAL CENTER               </v>
      </c>
      <c r="E5593" t="str">
        <f>"TUPELO                    "</f>
        <v xml:space="preserve">TUPELO                    </v>
      </c>
      <c r="F5593" t="str">
        <f t="shared" si="201"/>
        <v>MS</v>
      </c>
    </row>
    <row r="5594" spans="1:6" x14ac:dyDescent="0.25">
      <c r="A5594" t="str">
        <f>"000074067"</f>
        <v>000074067</v>
      </c>
      <c r="B5594" t="str">
        <f>"1558327213"</f>
        <v>1558327213</v>
      </c>
      <c r="C5594" t="str">
        <f>"261QA1903X"</f>
        <v>261QA1903X</v>
      </c>
      <c r="D5594" t="str">
        <f>"SURGICARE OF JACKSON                              "</f>
        <v xml:space="preserve">SURGICARE OF JACKSON                              </v>
      </c>
      <c r="E5594" t="str">
        <f>"JACKSON                   "</f>
        <v xml:space="preserve">JACKSON                   </v>
      </c>
      <c r="F5594" t="str">
        <f t="shared" si="201"/>
        <v>MS</v>
      </c>
    </row>
    <row r="5595" spans="1:6" x14ac:dyDescent="0.25">
      <c r="A5595" t="str">
        <f>"000074804"</f>
        <v>000074804</v>
      </c>
      <c r="B5595" t="str">
        <f>"1184125445"</f>
        <v>1184125445</v>
      </c>
      <c r="C5595" t="str">
        <f>"363LP0808X"</f>
        <v>363LP0808X</v>
      </c>
      <c r="D5595" t="str">
        <f>"LEE                      TAMMY                    "</f>
        <v xml:space="preserve">LEE                      TAMMY                    </v>
      </c>
      <c r="E5595" t="str">
        <f>"BILOXI                    "</f>
        <v xml:space="preserve">BILOXI                    </v>
      </c>
      <c r="F5595" t="str">
        <f t="shared" si="201"/>
        <v>MS</v>
      </c>
    </row>
    <row r="5596" spans="1:6" x14ac:dyDescent="0.25">
      <c r="A5596" t="str">
        <f>"000074850"</f>
        <v>000074850</v>
      </c>
      <c r="B5596" t="str">
        <f>"1871868166"</f>
        <v>1871868166</v>
      </c>
      <c r="C5596" t="str">
        <f>"207RC0000X"</f>
        <v>207RC0000X</v>
      </c>
      <c r="D5596" t="str">
        <f>"LAURA                    SCOTT        C           "</f>
        <v xml:space="preserve">LAURA                    SCOTT        C           </v>
      </c>
      <c r="E5596" t="str">
        <f>"BILOXI                    "</f>
        <v xml:space="preserve">BILOXI                    </v>
      </c>
      <c r="F5596" t="str">
        <f t="shared" si="201"/>
        <v>MS</v>
      </c>
    </row>
    <row r="5597" spans="1:6" x14ac:dyDescent="0.25">
      <c r="A5597" t="str">
        <f>"000076364"</f>
        <v>000076364</v>
      </c>
      <c r="B5597" t="str">
        <f>"1750570677"</f>
        <v>1750570677</v>
      </c>
      <c r="C5597" t="str">
        <f>"363L00000X"</f>
        <v>363L00000X</v>
      </c>
      <c r="D5597" t="str">
        <f>"QUINN                    MELINDA      L           "</f>
        <v xml:space="preserve">QUINN                    MELINDA      L           </v>
      </c>
      <c r="E5597" t="str">
        <f>"NEW ALBANY                "</f>
        <v xml:space="preserve">NEW ALBANY                </v>
      </c>
      <c r="F5597" t="str">
        <f t="shared" si="201"/>
        <v>MS</v>
      </c>
    </row>
    <row r="5598" spans="1:6" x14ac:dyDescent="0.25">
      <c r="A5598" t="str">
        <f>"000076366"</f>
        <v>000076366</v>
      </c>
      <c r="B5598" t="str">
        <f>"1215441589"</f>
        <v>1215441589</v>
      </c>
      <c r="C5598" t="str">
        <f>"363L00000X"</f>
        <v>363L00000X</v>
      </c>
      <c r="D5598" t="str">
        <f>"WOOD                     KRISTINA                 "</f>
        <v xml:space="preserve">WOOD                     KRISTINA                 </v>
      </c>
      <c r="E5598" t="str">
        <f>"MAGEE                     "</f>
        <v xml:space="preserve">MAGEE                     </v>
      </c>
      <c r="F5598" t="str">
        <f t="shared" si="201"/>
        <v>MS</v>
      </c>
    </row>
    <row r="5599" spans="1:6" x14ac:dyDescent="0.25">
      <c r="A5599" t="str">
        <f>"000076741"</f>
        <v>000076741</v>
      </c>
      <c r="B5599" t="str">
        <f>"1598116402"</f>
        <v>1598116402</v>
      </c>
      <c r="C5599" t="str">
        <f>"363L00000X"</f>
        <v>363L00000X</v>
      </c>
      <c r="D5599" t="str">
        <f>"WILLIS                   BRITTANY     H           "</f>
        <v xml:space="preserve">WILLIS                   BRITTANY     H           </v>
      </c>
      <c r="E5599" t="str">
        <f>"BATESVILLE                "</f>
        <v xml:space="preserve">BATESVILLE                </v>
      </c>
      <c r="F5599" t="str">
        <f t="shared" si="201"/>
        <v>MS</v>
      </c>
    </row>
    <row r="5600" spans="1:6" x14ac:dyDescent="0.25">
      <c r="A5600" t="str">
        <f>"000077253"</f>
        <v>000077253</v>
      </c>
      <c r="B5600" t="str">
        <f>"1063683472"</f>
        <v>1063683472</v>
      </c>
      <c r="C5600" t="str">
        <f>"122300000X"</f>
        <v>122300000X</v>
      </c>
      <c r="D5600" t="str">
        <f>"TULLOS                   STEPHANIE    S           "</f>
        <v xml:space="preserve">TULLOS                   STEPHANIE    S           </v>
      </c>
      <c r="E5600" t="str">
        <f>"RALEIGH                   "</f>
        <v xml:space="preserve">RALEIGH                   </v>
      </c>
      <c r="F5600" t="str">
        <f t="shared" si="201"/>
        <v>MS</v>
      </c>
    </row>
    <row r="5601" spans="1:6" x14ac:dyDescent="0.25">
      <c r="A5601" t="str">
        <f>"000077776"</f>
        <v>000077776</v>
      </c>
      <c r="B5601" t="str">
        <f>"1548927163"</f>
        <v>1548927163</v>
      </c>
      <c r="C5601" t="str">
        <f>"261QF0400X"</f>
        <v>261QF0400X</v>
      </c>
      <c r="D5601" t="str">
        <f>"COASTAL FAMILY HEALTH CENTER, INC                 "</f>
        <v xml:space="preserve">COASTAL FAMILY HEALTH CENTER, INC                 </v>
      </c>
      <c r="E5601" t="str">
        <f>"MOSS POINT                "</f>
        <v xml:space="preserve">MOSS POINT                </v>
      </c>
      <c r="F5601" t="str">
        <f t="shared" si="201"/>
        <v>MS</v>
      </c>
    </row>
    <row r="5602" spans="1:6" x14ac:dyDescent="0.25">
      <c r="A5602" t="str">
        <f>"000078516"</f>
        <v>000078516</v>
      </c>
      <c r="B5602" t="str">
        <f>"1710438577"</f>
        <v>1710438577</v>
      </c>
      <c r="C5602" t="str">
        <f>"261QM0855X"</f>
        <v>261QM0855X</v>
      </c>
      <c r="D5602" t="str">
        <f>"METHODIST CHILDRENS HOMES                         "</f>
        <v xml:space="preserve">METHODIST CHILDRENS HOMES                         </v>
      </c>
      <c r="E5602" t="str">
        <f>"JACKSON                   "</f>
        <v xml:space="preserve">JACKSON                   </v>
      </c>
      <c r="F5602" t="str">
        <f t="shared" si="201"/>
        <v>MS</v>
      </c>
    </row>
    <row r="5603" spans="1:6" x14ac:dyDescent="0.25">
      <c r="A5603" t="str">
        <f>"000079264"</f>
        <v>000079264</v>
      </c>
      <c r="B5603" t="str">
        <f>"1629483110"</f>
        <v>1629483110</v>
      </c>
      <c r="C5603" t="str">
        <f>"207R00000X"</f>
        <v>207R00000X</v>
      </c>
      <c r="D5603" t="str">
        <f>"KUMAR                    SACHIN                   "</f>
        <v xml:space="preserve">KUMAR                    SACHIN                   </v>
      </c>
      <c r="E5603" t="str">
        <f>"SOUTHAVEN                 "</f>
        <v xml:space="preserve">SOUTHAVEN                 </v>
      </c>
      <c r="F5603" t="str">
        <f t="shared" si="201"/>
        <v>MS</v>
      </c>
    </row>
    <row r="5604" spans="1:6" x14ac:dyDescent="0.25">
      <c r="A5604" t="str">
        <f>"000080075"</f>
        <v>000080075</v>
      </c>
      <c r="B5604" t="str">
        <f>"1952357154"</f>
        <v>1952357154</v>
      </c>
      <c r="C5604" t="str">
        <f>"363L00000X"</f>
        <v>363L00000X</v>
      </c>
      <c r="D5604" t="str">
        <f>"HERNANDEZ                CINDY        P           "</f>
        <v xml:space="preserve">HERNANDEZ                CINDY        P           </v>
      </c>
      <c r="E5604" t="str">
        <f>"MERIDIAN                  "</f>
        <v xml:space="preserve">MERIDIAN                  </v>
      </c>
      <c r="F5604" t="str">
        <f t="shared" si="201"/>
        <v>MS</v>
      </c>
    </row>
    <row r="5605" spans="1:6" x14ac:dyDescent="0.25">
      <c r="A5605" t="str">
        <f>"000081551"</f>
        <v>000081551</v>
      </c>
      <c r="B5605" t="str">
        <f>"1760864557"</f>
        <v>1760864557</v>
      </c>
      <c r="C5605" t="str">
        <f>"207RI0200X"</f>
        <v>207RI0200X</v>
      </c>
      <c r="D5605" t="str">
        <f>"JHAVERI                  TULIP        A           "</f>
        <v xml:space="preserve">JHAVERI                  TULIP        A           </v>
      </c>
      <c r="E5605" t="str">
        <f>"JACKSON                   "</f>
        <v xml:space="preserve">JACKSON                   </v>
      </c>
      <c r="F5605" t="str">
        <f t="shared" si="201"/>
        <v>MS</v>
      </c>
    </row>
    <row r="5606" spans="1:6" x14ac:dyDescent="0.25">
      <c r="A5606" t="str">
        <f>"000082570"</f>
        <v>000082570</v>
      </c>
      <c r="B5606" t="str">
        <f>"1871979856"</f>
        <v>1871979856</v>
      </c>
      <c r="C5606" t="str">
        <f>"363L00000X"</f>
        <v>363L00000X</v>
      </c>
      <c r="D5606" t="str">
        <f>"BALLARD                  MARIANNA     B           "</f>
        <v xml:space="preserve">BALLARD                  MARIANNA     B           </v>
      </c>
      <c r="E5606" t="str">
        <f>"STARKVILLE                "</f>
        <v xml:space="preserve">STARKVILLE                </v>
      </c>
      <c r="F5606" t="str">
        <f t="shared" si="201"/>
        <v>MS</v>
      </c>
    </row>
    <row r="5607" spans="1:6" x14ac:dyDescent="0.25">
      <c r="A5607" t="str">
        <f>"000083251"</f>
        <v>000083251</v>
      </c>
      <c r="B5607" t="str">
        <f>"1730133828"</f>
        <v>1730133828</v>
      </c>
      <c r="C5607" t="str">
        <f>"152W00000X"</f>
        <v>152W00000X</v>
      </c>
      <c r="D5607" t="str">
        <f>"CUNNINGHAM               SUSANNE      S           "</f>
        <v xml:space="preserve">CUNNINGHAM               SUSANNE      S           </v>
      </c>
      <c r="E5607" t="str">
        <f>"COLUMBUS                  "</f>
        <v xml:space="preserve">COLUMBUS                  </v>
      </c>
      <c r="F5607" t="str">
        <f t="shared" si="201"/>
        <v>MS</v>
      </c>
    </row>
    <row r="5608" spans="1:6" x14ac:dyDescent="0.25">
      <c r="A5608" t="str">
        <f>"000084891"</f>
        <v>000084891</v>
      </c>
      <c r="B5608" t="str">
        <f>"1184703118"</f>
        <v>1184703118</v>
      </c>
      <c r="C5608" t="str">
        <f>"207Y00000X"</f>
        <v>207Y00000X</v>
      </c>
      <c r="D5608" t="str">
        <f>"FULCHER                  BEVERLY      C           "</f>
        <v xml:space="preserve">FULCHER                  BEVERLY      C           </v>
      </c>
      <c r="E5608" t="str">
        <f>"FLOWOOD                   "</f>
        <v xml:space="preserve">FLOWOOD                   </v>
      </c>
      <c r="F5608" t="str">
        <f t="shared" si="201"/>
        <v>MS</v>
      </c>
    </row>
    <row r="5609" spans="1:6" x14ac:dyDescent="0.25">
      <c r="A5609" t="str">
        <f>"000085567"</f>
        <v>000085567</v>
      </c>
      <c r="B5609" t="str">
        <f>"1720306202"</f>
        <v>1720306202</v>
      </c>
      <c r="C5609" t="str">
        <f>"2085R0202X"</f>
        <v>2085R0202X</v>
      </c>
      <c r="D5609" t="str">
        <f>"LESTER                   MALISA       S           "</f>
        <v xml:space="preserve">LESTER                   MALISA       S           </v>
      </c>
      <c r="E5609" t="str">
        <f>"HATTIESBURG               "</f>
        <v xml:space="preserve">HATTIESBURG               </v>
      </c>
      <c r="F5609" t="str">
        <f t="shared" si="201"/>
        <v>MS</v>
      </c>
    </row>
    <row r="5610" spans="1:6" x14ac:dyDescent="0.25">
      <c r="A5610" t="str">
        <f>"000086795"</f>
        <v>000086795</v>
      </c>
      <c r="B5610" t="str">
        <f>"1750492203"</f>
        <v>1750492203</v>
      </c>
      <c r="C5610" t="str">
        <f>"363L00000X"</f>
        <v>363L00000X</v>
      </c>
      <c r="D5610" t="str">
        <f>"THORNTON                 KELLY        B           "</f>
        <v xml:space="preserve">THORNTON                 KELLY        B           </v>
      </c>
      <c r="E5610" t="str">
        <f>"CORINTH                   "</f>
        <v xml:space="preserve">CORINTH                   </v>
      </c>
      <c r="F5610" t="str">
        <f t="shared" si="201"/>
        <v>MS</v>
      </c>
    </row>
    <row r="5611" spans="1:6" x14ac:dyDescent="0.25">
      <c r="A5611" t="str">
        <f>"000087007"</f>
        <v>000087007</v>
      </c>
      <c r="B5611" t="str">
        <f>"1063482453"</f>
        <v>1063482453</v>
      </c>
      <c r="C5611" t="str">
        <f t="shared" ref="C5611:C5639" si="202">"152W00000X"</f>
        <v>152W00000X</v>
      </c>
      <c r="D5611" t="str">
        <f>"DAVIS                    WILLIAM      G           "</f>
        <v xml:space="preserve">DAVIS                    WILLIAM      G           </v>
      </c>
      <c r="E5611" t="str">
        <f>"LOUISVILLE                "</f>
        <v xml:space="preserve">LOUISVILLE                </v>
      </c>
      <c r="F5611" t="str">
        <f t="shared" si="201"/>
        <v>MS</v>
      </c>
    </row>
    <row r="5612" spans="1:6" x14ac:dyDescent="0.25">
      <c r="A5612" t="str">
        <f>"000087010"</f>
        <v>000087010</v>
      </c>
      <c r="B5612" t="str">
        <f>"1760451595"</f>
        <v>1760451595</v>
      </c>
      <c r="C5612" t="str">
        <f t="shared" si="202"/>
        <v>152W00000X</v>
      </c>
      <c r="D5612" t="str">
        <f>"BLACKMER                 LORI         L           "</f>
        <v xml:space="preserve">BLACKMER                 LORI         L           </v>
      </c>
      <c r="E5612" t="str">
        <f>"PICAYUNE                  "</f>
        <v xml:space="preserve">PICAYUNE                  </v>
      </c>
      <c r="F5612" t="str">
        <f t="shared" si="201"/>
        <v>MS</v>
      </c>
    </row>
    <row r="5613" spans="1:6" x14ac:dyDescent="0.25">
      <c r="A5613" t="str">
        <f>"000087013"</f>
        <v>000087013</v>
      </c>
      <c r="B5613" t="str">
        <f>"1669535761"</f>
        <v>1669535761</v>
      </c>
      <c r="C5613" t="str">
        <f t="shared" si="202"/>
        <v>152W00000X</v>
      </c>
      <c r="D5613" t="str">
        <f>"THOMAS                   ANGELA       M           "</f>
        <v xml:space="preserve">THOMAS                   ANGELA       M           </v>
      </c>
      <c r="E5613" t="str">
        <f>"KOSCIUSKO                 "</f>
        <v xml:space="preserve">KOSCIUSKO                 </v>
      </c>
      <c r="F5613" t="str">
        <f t="shared" si="201"/>
        <v>MS</v>
      </c>
    </row>
    <row r="5614" spans="1:6" x14ac:dyDescent="0.25">
      <c r="A5614" t="str">
        <f>"000087019"</f>
        <v>000087019</v>
      </c>
      <c r="B5614" t="str">
        <f>"1245203850"</f>
        <v>1245203850</v>
      </c>
      <c r="C5614" t="str">
        <f t="shared" si="202"/>
        <v>152W00000X</v>
      </c>
      <c r="D5614" t="str">
        <f>"STRIBLING                R            K           "</f>
        <v xml:space="preserve">STRIBLING                R            K           </v>
      </c>
      <c r="E5614" t="str">
        <f>"PHILADELPHIA              "</f>
        <v xml:space="preserve">PHILADELPHIA              </v>
      </c>
      <c r="F5614" t="str">
        <f t="shared" si="201"/>
        <v>MS</v>
      </c>
    </row>
    <row r="5615" spans="1:6" x14ac:dyDescent="0.25">
      <c r="A5615" t="str">
        <f>"000087039"</f>
        <v>000087039</v>
      </c>
      <c r="B5615" t="str">
        <f>"1275630626"</f>
        <v>1275630626</v>
      </c>
      <c r="C5615" t="str">
        <f t="shared" si="202"/>
        <v>152W00000X</v>
      </c>
      <c r="D5615" t="str">
        <f>"TILLMAN JR               CHARLES      P           "</f>
        <v xml:space="preserve">TILLMAN JR               CHARLES      P           </v>
      </c>
      <c r="E5615" t="str">
        <f>"EUPORA                    "</f>
        <v xml:space="preserve">EUPORA                    </v>
      </c>
      <c r="F5615" t="str">
        <f t="shared" si="201"/>
        <v>MS</v>
      </c>
    </row>
    <row r="5616" spans="1:6" x14ac:dyDescent="0.25">
      <c r="A5616" t="str">
        <f>"000087048"</f>
        <v>000087048</v>
      </c>
      <c r="B5616" t="str">
        <f>"1114958758"</f>
        <v>1114958758</v>
      </c>
      <c r="C5616" t="str">
        <f t="shared" si="202"/>
        <v>152W00000X</v>
      </c>
      <c r="D5616" t="str">
        <f>"RANDLE                   STEVE                    "</f>
        <v xml:space="preserve">RANDLE                   STEVE                    </v>
      </c>
      <c r="E5616" t="str">
        <f>"AMORY                     "</f>
        <v xml:space="preserve">AMORY                     </v>
      </c>
      <c r="F5616" t="str">
        <f t="shared" si="201"/>
        <v>MS</v>
      </c>
    </row>
    <row r="5617" spans="1:6" x14ac:dyDescent="0.25">
      <c r="A5617" t="str">
        <f>"000087049"</f>
        <v>000087049</v>
      </c>
      <c r="B5617" t="str">
        <f>"1558499640"</f>
        <v>1558499640</v>
      </c>
      <c r="C5617" t="str">
        <f t="shared" si="202"/>
        <v>152W00000X</v>
      </c>
      <c r="D5617" t="str">
        <f>"SHACKELFORD              RAYMOND      C           "</f>
        <v xml:space="preserve">SHACKELFORD              RAYMOND      C           </v>
      </c>
      <c r="E5617" t="str">
        <f>"HERNANDO                  "</f>
        <v xml:space="preserve">HERNANDO                  </v>
      </c>
      <c r="F5617" t="str">
        <f t="shared" si="201"/>
        <v>MS</v>
      </c>
    </row>
    <row r="5618" spans="1:6" x14ac:dyDescent="0.25">
      <c r="A5618" t="str">
        <f>"000087051"</f>
        <v>000087051</v>
      </c>
      <c r="B5618" t="str">
        <f>"1700834728"</f>
        <v>1700834728</v>
      </c>
      <c r="C5618" t="str">
        <f t="shared" si="202"/>
        <v>152W00000X</v>
      </c>
      <c r="D5618" t="str">
        <f>"MOORE                    JAMES        S           "</f>
        <v xml:space="preserve">MOORE                    JAMES        S           </v>
      </c>
      <c r="E5618" t="str">
        <f>"MCCOMB                    "</f>
        <v xml:space="preserve">MCCOMB                    </v>
      </c>
      <c r="F5618" t="str">
        <f t="shared" si="201"/>
        <v>MS</v>
      </c>
    </row>
    <row r="5619" spans="1:6" x14ac:dyDescent="0.25">
      <c r="A5619" t="str">
        <f>"000087058"</f>
        <v>000087058</v>
      </c>
      <c r="B5619" t="str">
        <f>"1508949355"</f>
        <v>1508949355</v>
      </c>
      <c r="C5619" t="str">
        <f t="shared" si="202"/>
        <v>152W00000X</v>
      </c>
      <c r="D5619" t="str">
        <f>"MITCHELL                 JOE          R           "</f>
        <v xml:space="preserve">MITCHELL                 JOE          R           </v>
      </c>
      <c r="E5619" t="str">
        <f>"GULFPORT                  "</f>
        <v xml:space="preserve">GULFPORT                  </v>
      </c>
      <c r="F5619" t="str">
        <f t="shared" si="201"/>
        <v>MS</v>
      </c>
    </row>
    <row r="5620" spans="1:6" x14ac:dyDescent="0.25">
      <c r="A5620" t="str">
        <f>"000087064"</f>
        <v>000087064</v>
      </c>
      <c r="B5620" t="str">
        <f>"1669524278"</f>
        <v>1669524278</v>
      </c>
      <c r="C5620" t="str">
        <f t="shared" si="202"/>
        <v>152W00000X</v>
      </c>
      <c r="D5620" t="str">
        <f>"WILLIAMS                 ANN                      "</f>
        <v xml:space="preserve">WILLIAMS                 ANN                      </v>
      </c>
      <c r="E5620" t="str">
        <f>"HATTIESBURG               "</f>
        <v xml:space="preserve">HATTIESBURG               </v>
      </c>
      <c r="F5620" t="str">
        <f t="shared" si="201"/>
        <v>MS</v>
      </c>
    </row>
    <row r="5621" spans="1:6" x14ac:dyDescent="0.25">
      <c r="A5621" t="str">
        <f>"000087081"</f>
        <v>000087081</v>
      </c>
      <c r="B5621" t="str">
        <f>"1407957079"</f>
        <v>1407957079</v>
      </c>
      <c r="C5621" t="str">
        <f t="shared" si="202"/>
        <v>152W00000X</v>
      </c>
      <c r="D5621" t="str">
        <f>"NEWMAN JR                CHARLES      S           "</f>
        <v xml:space="preserve">NEWMAN JR                CHARLES      S           </v>
      </c>
      <c r="E5621" t="str">
        <f>"BAY ST LOUIS              "</f>
        <v xml:space="preserve">BAY ST LOUIS              </v>
      </c>
      <c r="F5621" t="str">
        <f t="shared" si="201"/>
        <v>MS</v>
      </c>
    </row>
    <row r="5622" spans="1:6" x14ac:dyDescent="0.25">
      <c r="A5622" t="str">
        <f>"000087100"</f>
        <v>000087100</v>
      </c>
      <c r="B5622" t="str">
        <f>"1992817597"</f>
        <v>1992817597</v>
      </c>
      <c r="C5622" t="str">
        <f t="shared" si="202"/>
        <v>152W00000X</v>
      </c>
      <c r="D5622" t="str">
        <f>"STONE                    GLEN         H           "</f>
        <v xml:space="preserve">STONE                    GLEN         H           </v>
      </c>
      <c r="E5622" t="str">
        <f>"BATESVILLE                "</f>
        <v xml:space="preserve">BATESVILLE                </v>
      </c>
      <c r="F5622" t="str">
        <f t="shared" si="201"/>
        <v>MS</v>
      </c>
    </row>
    <row r="5623" spans="1:6" x14ac:dyDescent="0.25">
      <c r="A5623" t="str">
        <f>"000087115"</f>
        <v>000087115</v>
      </c>
      <c r="B5623" t="str">
        <f>"1093704223"</f>
        <v>1093704223</v>
      </c>
      <c r="C5623" t="str">
        <f t="shared" si="202"/>
        <v>152W00000X</v>
      </c>
      <c r="D5623" t="str">
        <f>"STRICKLAND               WILLIAM      M           "</f>
        <v xml:space="preserve">STRICKLAND               WILLIAM      M           </v>
      </c>
      <c r="E5623" t="str">
        <f>"OXFORD                    "</f>
        <v xml:space="preserve">OXFORD                    </v>
      </c>
      <c r="F5623" t="str">
        <f t="shared" si="201"/>
        <v>MS</v>
      </c>
    </row>
    <row r="5624" spans="1:6" x14ac:dyDescent="0.25">
      <c r="A5624" t="str">
        <f>"000087331"</f>
        <v>000087331</v>
      </c>
      <c r="B5624" t="str">
        <f>"1073500716"</f>
        <v>1073500716</v>
      </c>
      <c r="C5624" t="str">
        <f t="shared" si="202"/>
        <v>152W00000X</v>
      </c>
      <c r="D5624" t="str">
        <f>"JOSLIN                   TERRY        M           "</f>
        <v xml:space="preserve">JOSLIN                   TERRY        M           </v>
      </c>
      <c r="E5624" t="str">
        <f>"NEW ALBANY                "</f>
        <v xml:space="preserve">NEW ALBANY                </v>
      </c>
      <c r="F5624" t="str">
        <f t="shared" si="201"/>
        <v>MS</v>
      </c>
    </row>
    <row r="5625" spans="1:6" x14ac:dyDescent="0.25">
      <c r="A5625" t="str">
        <f>"000087670"</f>
        <v>000087670</v>
      </c>
      <c r="B5625" t="str">
        <f>"1447300629"</f>
        <v>1447300629</v>
      </c>
      <c r="C5625" t="str">
        <f t="shared" si="202"/>
        <v>152W00000X</v>
      </c>
      <c r="D5625" t="str">
        <f>"MCBRIDE                  JERRY        W           "</f>
        <v xml:space="preserve">MCBRIDE                  JERRY        W           </v>
      </c>
      <c r="E5625" t="str">
        <f>"FULTON                    "</f>
        <v xml:space="preserve">FULTON                    </v>
      </c>
      <c r="F5625" t="str">
        <f t="shared" si="201"/>
        <v>MS</v>
      </c>
    </row>
    <row r="5626" spans="1:6" x14ac:dyDescent="0.25">
      <c r="A5626" t="str">
        <f>"000087760"</f>
        <v>000087760</v>
      </c>
      <c r="B5626" t="str">
        <f>"1194927301"</f>
        <v>1194927301</v>
      </c>
      <c r="C5626" t="str">
        <f t="shared" si="202"/>
        <v>152W00000X</v>
      </c>
      <c r="D5626" t="str">
        <f>"REESE                    FRANK        E           "</f>
        <v xml:space="preserve">REESE                    FRANK        E           </v>
      </c>
      <c r="E5626" t="str">
        <f>"CLEVELAND                 "</f>
        <v xml:space="preserve">CLEVELAND                 </v>
      </c>
      <c r="F5626" t="str">
        <f t="shared" si="201"/>
        <v>MS</v>
      </c>
    </row>
    <row r="5627" spans="1:6" x14ac:dyDescent="0.25">
      <c r="A5627" t="str">
        <f>"000087765"</f>
        <v>000087765</v>
      </c>
      <c r="B5627" t="str">
        <f>"1134198328"</f>
        <v>1134198328</v>
      </c>
      <c r="C5627" t="str">
        <f t="shared" si="202"/>
        <v>152W00000X</v>
      </c>
      <c r="D5627" t="str">
        <f>"CLIFTON                  DANNY        R           "</f>
        <v xml:space="preserve">CLIFTON                  DANNY        R           </v>
      </c>
      <c r="E5627" t="str">
        <f>"LOUISVILLE                "</f>
        <v xml:space="preserve">LOUISVILLE                </v>
      </c>
      <c r="F5627" t="str">
        <f t="shared" si="201"/>
        <v>MS</v>
      </c>
    </row>
    <row r="5628" spans="1:6" x14ac:dyDescent="0.25">
      <c r="A5628" t="str">
        <f>"000087810"</f>
        <v>000087810</v>
      </c>
      <c r="B5628" t="str">
        <f>"1376637405"</f>
        <v>1376637405</v>
      </c>
      <c r="C5628" t="str">
        <f t="shared" si="202"/>
        <v>152W00000X</v>
      </c>
      <c r="D5628" t="str">
        <f>"WONG                     BRUNSWICK    R           "</f>
        <v xml:space="preserve">WONG                     BRUNSWICK    R           </v>
      </c>
      <c r="E5628" t="str">
        <f>"GREENVILLE                "</f>
        <v xml:space="preserve">GREENVILLE                </v>
      </c>
      <c r="F5628" t="str">
        <f t="shared" si="201"/>
        <v>MS</v>
      </c>
    </row>
    <row r="5629" spans="1:6" x14ac:dyDescent="0.25">
      <c r="A5629" t="str">
        <f>"000087840"</f>
        <v>000087840</v>
      </c>
      <c r="B5629" t="str">
        <f>"1124048277"</f>
        <v>1124048277</v>
      </c>
      <c r="C5629" t="str">
        <f t="shared" si="202"/>
        <v>152W00000X</v>
      </c>
      <c r="D5629" t="str">
        <f>"FORD                     REAGAN       L           "</f>
        <v xml:space="preserve">FORD                     REAGAN       L           </v>
      </c>
      <c r="E5629" t="str">
        <f>"STARKVILLE                "</f>
        <v xml:space="preserve">STARKVILLE                </v>
      </c>
      <c r="F5629" t="str">
        <f t="shared" si="201"/>
        <v>MS</v>
      </c>
    </row>
    <row r="5630" spans="1:6" x14ac:dyDescent="0.25">
      <c r="A5630" t="str">
        <f>"000087850"</f>
        <v>000087850</v>
      </c>
      <c r="B5630" t="str">
        <f>"1548301864"</f>
        <v>1548301864</v>
      </c>
      <c r="C5630" t="str">
        <f t="shared" si="202"/>
        <v>152W00000X</v>
      </c>
      <c r="D5630" t="str">
        <f>"LORD JR                  WILBURN                  "</f>
        <v xml:space="preserve">LORD JR                  WILBURN                  </v>
      </c>
      <c r="E5630" t="str">
        <f>"INDIANOLA                 "</f>
        <v xml:space="preserve">INDIANOLA                 </v>
      </c>
      <c r="F5630" t="str">
        <f t="shared" ref="F5630:F5693" si="203">"MS"</f>
        <v>MS</v>
      </c>
    </row>
    <row r="5631" spans="1:6" x14ac:dyDescent="0.25">
      <c r="A5631" t="str">
        <f>"000087860"</f>
        <v>000087860</v>
      </c>
      <c r="B5631" t="str">
        <f>"1972590859"</f>
        <v>1972590859</v>
      </c>
      <c r="C5631" t="str">
        <f t="shared" si="202"/>
        <v>152W00000X</v>
      </c>
      <c r="D5631" t="str">
        <f>"BROOKS                   JAMES        E           "</f>
        <v xml:space="preserve">BROOKS                   JAMES        E           </v>
      </c>
      <c r="E5631" t="str">
        <f>"COLUMBUS                  "</f>
        <v xml:space="preserve">COLUMBUS                  </v>
      </c>
      <c r="F5631" t="str">
        <f t="shared" si="203"/>
        <v>MS</v>
      </c>
    </row>
    <row r="5632" spans="1:6" x14ac:dyDescent="0.25">
      <c r="A5632" t="str">
        <f>"000087883"</f>
        <v>000087883</v>
      </c>
      <c r="B5632" t="str">
        <f>"1417991985"</f>
        <v>1417991985</v>
      </c>
      <c r="C5632" t="str">
        <f t="shared" si="202"/>
        <v>152W00000X</v>
      </c>
      <c r="D5632" t="str">
        <f>"JOHNSON                  LINDA                    "</f>
        <v xml:space="preserve">JOHNSON                  LINDA                    </v>
      </c>
      <c r="E5632" t="str">
        <f>"JACKSON                   "</f>
        <v xml:space="preserve">JACKSON                   </v>
      </c>
      <c r="F5632" t="str">
        <f t="shared" si="203"/>
        <v>MS</v>
      </c>
    </row>
    <row r="5633" spans="1:6" x14ac:dyDescent="0.25">
      <c r="A5633" t="str">
        <f>"000087888"</f>
        <v>000087888</v>
      </c>
      <c r="B5633" t="str">
        <f>"1245219245"</f>
        <v>1245219245</v>
      </c>
      <c r="C5633" t="str">
        <f t="shared" si="202"/>
        <v>152W00000X</v>
      </c>
      <c r="D5633" t="str">
        <f>"ROUTT                    LAWRENCE     A           "</f>
        <v xml:space="preserve">ROUTT                    LAWRENCE     A           </v>
      </c>
      <c r="E5633" t="str">
        <f>"KOSCIUSKO                 "</f>
        <v xml:space="preserve">KOSCIUSKO                 </v>
      </c>
      <c r="F5633" t="str">
        <f t="shared" si="203"/>
        <v>MS</v>
      </c>
    </row>
    <row r="5634" spans="1:6" x14ac:dyDescent="0.25">
      <c r="A5634" t="str">
        <f>"000087904"</f>
        <v>000087904</v>
      </c>
      <c r="B5634" t="str">
        <f>"1467588400"</f>
        <v>1467588400</v>
      </c>
      <c r="C5634" t="str">
        <f t="shared" si="202"/>
        <v>152W00000X</v>
      </c>
      <c r="D5634" t="str">
        <f>"PEREZ                    JEFFREY      J           "</f>
        <v xml:space="preserve">PEREZ                    JEFFREY      J           </v>
      </c>
      <c r="E5634" t="str">
        <f>"GULFPORT                  "</f>
        <v xml:space="preserve">GULFPORT                  </v>
      </c>
      <c r="F5634" t="str">
        <f t="shared" si="203"/>
        <v>MS</v>
      </c>
    </row>
    <row r="5635" spans="1:6" x14ac:dyDescent="0.25">
      <c r="A5635" t="str">
        <f>"000087908"</f>
        <v>000087908</v>
      </c>
      <c r="B5635" t="str">
        <f>"1164572848"</f>
        <v>1164572848</v>
      </c>
      <c r="C5635" t="str">
        <f t="shared" si="202"/>
        <v>152W00000X</v>
      </c>
      <c r="D5635" t="str">
        <f>"GRAHAM                   PHILIP       R           "</f>
        <v xml:space="preserve">GRAHAM                   PHILIP       R           </v>
      </c>
      <c r="E5635" t="str">
        <f>"PONTOTOC                  "</f>
        <v xml:space="preserve">PONTOTOC                  </v>
      </c>
      <c r="F5635" t="str">
        <f t="shared" si="203"/>
        <v>MS</v>
      </c>
    </row>
    <row r="5636" spans="1:6" x14ac:dyDescent="0.25">
      <c r="A5636" t="str">
        <f>"000087909"</f>
        <v>000087909</v>
      </c>
      <c r="B5636" t="str">
        <f>"1952410011"</f>
        <v>1952410011</v>
      </c>
      <c r="C5636" t="str">
        <f t="shared" si="202"/>
        <v>152W00000X</v>
      </c>
      <c r="D5636" t="str">
        <f>"ASHLEY                   WILLIAM      S           "</f>
        <v xml:space="preserve">ASHLEY                   WILLIAM      S           </v>
      </c>
      <c r="E5636" t="str">
        <f>"VICKSBURG                 "</f>
        <v xml:space="preserve">VICKSBURG                 </v>
      </c>
      <c r="F5636" t="str">
        <f t="shared" si="203"/>
        <v>MS</v>
      </c>
    </row>
    <row r="5637" spans="1:6" x14ac:dyDescent="0.25">
      <c r="A5637" t="str">
        <f>"000087916"</f>
        <v>000087916</v>
      </c>
      <c r="B5637" t="str">
        <f>"1013030964"</f>
        <v>1013030964</v>
      </c>
      <c r="C5637" t="str">
        <f t="shared" si="202"/>
        <v>152W00000X</v>
      </c>
      <c r="D5637" t="str">
        <f>"WOOD                     WILLIAM                  "</f>
        <v xml:space="preserve">WOOD                     WILLIAM                  </v>
      </c>
      <c r="E5637" t="str">
        <f>"PONTOTOC                  "</f>
        <v xml:space="preserve">PONTOTOC                  </v>
      </c>
      <c r="F5637" t="str">
        <f t="shared" si="203"/>
        <v>MS</v>
      </c>
    </row>
    <row r="5638" spans="1:6" x14ac:dyDescent="0.25">
      <c r="A5638" t="str">
        <f>"000087923"</f>
        <v>000087923</v>
      </c>
      <c r="B5638" t="str">
        <f>"1801964259"</f>
        <v>1801964259</v>
      </c>
      <c r="C5638" t="str">
        <f t="shared" si="202"/>
        <v>152W00000X</v>
      </c>
      <c r="D5638" t="str">
        <f>"DEPRIEST                 STEVE        M           "</f>
        <v xml:space="preserve">DEPRIEST                 STEVE        M           </v>
      </c>
      <c r="E5638" t="str">
        <f>"OXFORD                    "</f>
        <v xml:space="preserve">OXFORD                    </v>
      </c>
      <c r="F5638" t="str">
        <f t="shared" si="203"/>
        <v>MS</v>
      </c>
    </row>
    <row r="5639" spans="1:6" x14ac:dyDescent="0.25">
      <c r="A5639" t="str">
        <f>"000087924"</f>
        <v>000087924</v>
      </c>
      <c r="B5639" t="str">
        <f>"1326121336"</f>
        <v>1326121336</v>
      </c>
      <c r="C5639" t="str">
        <f t="shared" si="202"/>
        <v>152W00000X</v>
      </c>
      <c r="D5639" t="str">
        <f>"DODD                     JOHN         D           "</f>
        <v xml:space="preserve">DODD                     JOHN         D           </v>
      </c>
      <c r="E5639" t="str">
        <f>"CORINTH                   "</f>
        <v xml:space="preserve">CORINTH                   </v>
      </c>
      <c r="F5639" t="str">
        <f t="shared" si="203"/>
        <v>MS</v>
      </c>
    </row>
    <row r="5640" spans="1:6" x14ac:dyDescent="0.25">
      <c r="A5640" t="str">
        <f>"000088038"</f>
        <v>000088038</v>
      </c>
      <c r="B5640" t="str">
        <f>"1114025772"</f>
        <v>1114025772</v>
      </c>
      <c r="C5640" t="str">
        <f>"1223P0221X"</f>
        <v>1223P0221X</v>
      </c>
      <c r="D5640" t="str">
        <f>"DUNGEY                   STEPHANIE    P           "</f>
        <v xml:space="preserve">DUNGEY                   STEPHANIE    P           </v>
      </c>
      <c r="E5640" t="str">
        <f>"CLINTON                   "</f>
        <v xml:space="preserve">CLINTON                   </v>
      </c>
      <c r="F5640" t="str">
        <f t="shared" si="203"/>
        <v>MS</v>
      </c>
    </row>
    <row r="5641" spans="1:6" x14ac:dyDescent="0.25">
      <c r="A5641" t="str">
        <f>"000088561"</f>
        <v>000088561</v>
      </c>
      <c r="B5641" t="str">
        <f>"1104570738"</f>
        <v>1104570738</v>
      </c>
      <c r="C5641" t="str">
        <f>"363A00000X"</f>
        <v>363A00000X</v>
      </c>
      <c r="D5641" t="str">
        <f>"ADAMS                    MARY         M           "</f>
        <v xml:space="preserve">ADAMS                    MARY         M           </v>
      </c>
      <c r="E5641" t="str">
        <f>"OCEAN SPRINGS             "</f>
        <v xml:space="preserve">OCEAN SPRINGS             </v>
      </c>
      <c r="F5641" t="str">
        <f t="shared" si="203"/>
        <v>MS</v>
      </c>
    </row>
    <row r="5642" spans="1:6" x14ac:dyDescent="0.25">
      <c r="A5642" t="str">
        <f>"000089225"</f>
        <v>000089225</v>
      </c>
      <c r="B5642" t="str">
        <f>"1952497679"</f>
        <v>1952497679</v>
      </c>
      <c r="C5642" t="str">
        <f>"152W00000X"</f>
        <v>152W00000X</v>
      </c>
      <c r="D5642" t="str">
        <f>"SMITH                    MARK         P           "</f>
        <v xml:space="preserve">SMITH                    MARK         P           </v>
      </c>
      <c r="E5642" t="str">
        <f>"BROOKHAVEN                "</f>
        <v xml:space="preserve">BROOKHAVEN                </v>
      </c>
      <c r="F5642" t="str">
        <f t="shared" si="203"/>
        <v>MS</v>
      </c>
    </row>
    <row r="5643" spans="1:6" x14ac:dyDescent="0.25">
      <c r="A5643" t="str">
        <f>"000089723"</f>
        <v>000089723</v>
      </c>
      <c r="B5643" t="str">
        <f>"1407227549"</f>
        <v>1407227549</v>
      </c>
      <c r="C5643" t="str">
        <f>"363L00000X"</f>
        <v>363L00000X</v>
      </c>
      <c r="D5643" t="str">
        <f>"MCDONALD                 ROBIN        A           "</f>
        <v xml:space="preserve">MCDONALD                 ROBIN        A           </v>
      </c>
      <c r="E5643" t="str">
        <f>"TUPELO                    "</f>
        <v xml:space="preserve">TUPELO                    </v>
      </c>
      <c r="F5643" t="str">
        <f t="shared" si="203"/>
        <v>MS</v>
      </c>
    </row>
    <row r="5644" spans="1:6" x14ac:dyDescent="0.25">
      <c r="A5644" t="str">
        <f>"000096397"</f>
        <v>000096397</v>
      </c>
      <c r="B5644" t="str">
        <f>"1336176817"</f>
        <v>1336176817</v>
      </c>
      <c r="C5644" t="str">
        <f>"207RH0000X"</f>
        <v>207RH0000X</v>
      </c>
      <c r="D5644" t="str">
        <f>"ELKINS                   STEPHANIE                "</f>
        <v xml:space="preserve">ELKINS                   STEPHANIE                </v>
      </c>
      <c r="E5644" t="str">
        <f>"JACKSON                   "</f>
        <v xml:space="preserve">JACKSON                   </v>
      </c>
      <c r="F5644" t="str">
        <f t="shared" si="203"/>
        <v>MS</v>
      </c>
    </row>
    <row r="5645" spans="1:6" x14ac:dyDescent="0.25">
      <c r="A5645" t="str">
        <f>"000101399"</f>
        <v>000101399</v>
      </c>
      <c r="B5645" t="str">
        <f>"1649420084"</f>
        <v>1649420084</v>
      </c>
      <c r="C5645" t="str">
        <f>"363L00000X"</f>
        <v>363L00000X</v>
      </c>
      <c r="D5645" t="str">
        <f>"HARRIS                   ALISON       S           "</f>
        <v xml:space="preserve">HARRIS                   ALISON       S           </v>
      </c>
      <c r="E5645" t="str">
        <f>"AMORY                     "</f>
        <v xml:space="preserve">AMORY                     </v>
      </c>
      <c r="F5645" t="str">
        <f t="shared" si="203"/>
        <v>MS</v>
      </c>
    </row>
    <row r="5646" spans="1:6" x14ac:dyDescent="0.25">
      <c r="A5646" t="str">
        <f>"000101520"</f>
        <v>000101520</v>
      </c>
      <c r="B5646" t="str">
        <f>"1619483658"</f>
        <v>1619483658</v>
      </c>
      <c r="C5646" t="str">
        <f>"367500000X"</f>
        <v>367500000X</v>
      </c>
      <c r="D5646" t="str">
        <f>"SUDDERTH                 JOSEPH       M           "</f>
        <v xml:space="preserve">SUDDERTH                 JOSEPH       M           </v>
      </c>
      <c r="E5646" t="str">
        <f>"JACKSON                   "</f>
        <v xml:space="preserve">JACKSON                   </v>
      </c>
      <c r="F5646" t="str">
        <f t="shared" si="203"/>
        <v>MS</v>
      </c>
    </row>
    <row r="5647" spans="1:6" x14ac:dyDescent="0.25">
      <c r="A5647" t="str">
        <f>"000103035"</f>
        <v>000103035</v>
      </c>
      <c r="B5647" t="str">
        <f>"1578639449"</f>
        <v>1578639449</v>
      </c>
      <c r="C5647" t="str">
        <f>"207P00000X"</f>
        <v>207P00000X</v>
      </c>
      <c r="D5647" t="str">
        <f>"FERMAN                   BRETT        A           "</f>
        <v xml:space="preserve">FERMAN                   BRETT        A           </v>
      </c>
      <c r="E5647" t="str">
        <f>"MCCOMB                    "</f>
        <v xml:space="preserve">MCCOMB                    </v>
      </c>
      <c r="F5647" t="str">
        <f t="shared" si="203"/>
        <v>MS</v>
      </c>
    </row>
    <row r="5648" spans="1:6" x14ac:dyDescent="0.25">
      <c r="A5648" t="str">
        <f>"000103326"</f>
        <v>000103326</v>
      </c>
      <c r="B5648" t="str">
        <f>"1275880601"</f>
        <v>1275880601</v>
      </c>
      <c r="C5648" t="str">
        <f>"363L00000X"</f>
        <v>363L00000X</v>
      </c>
      <c r="D5648" t="str">
        <f>"CONN                     HEATHER      L           "</f>
        <v xml:space="preserve">CONN                     HEATHER      L           </v>
      </c>
      <c r="E5648" t="str">
        <f>"HATTIESBURG               "</f>
        <v xml:space="preserve">HATTIESBURG               </v>
      </c>
      <c r="F5648" t="str">
        <f t="shared" si="203"/>
        <v>MS</v>
      </c>
    </row>
    <row r="5649" spans="1:6" x14ac:dyDescent="0.25">
      <c r="A5649" t="str">
        <f>"000104005"</f>
        <v>000104005</v>
      </c>
      <c r="B5649" t="str">
        <f>"1184844466"</f>
        <v>1184844466</v>
      </c>
      <c r="C5649" t="str">
        <f>"363L00000X"</f>
        <v>363L00000X</v>
      </c>
      <c r="D5649" t="str">
        <f>"GARRETT                  KELLYE       B           "</f>
        <v xml:space="preserve">GARRETT                  KELLYE       B           </v>
      </c>
      <c r="E5649" t="str">
        <f>"BOONEVILLE                "</f>
        <v xml:space="preserve">BOONEVILLE                </v>
      </c>
      <c r="F5649" t="str">
        <f t="shared" si="203"/>
        <v>MS</v>
      </c>
    </row>
    <row r="5650" spans="1:6" x14ac:dyDescent="0.25">
      <c r="A5650" t="str">
        <f>"000107010"</f>
        <v>000107010</v>
      </c>
      <c r="B5650" t="str">
        <f>"1851781611"</f>
        <v>1851781611</v>
      </c>
      <c r="C5650" t="str">
        <f>"363L00000X"</f>
        <v>363L00000X</v>
      </c>
      <c r="D5650" t="str">
        <f>"METTS                    PAMELA       D           "</f>
        <v xml:space="preserve">METTS                    PAMELA       D           </v>
      </c>
      <c r="E5650" t="str">
        <f>"LOUISVILLE                "</f>
        <v xml:space="preserve">LOUISVILLE                </v>
      </c>
      <c r="F5650" t="str">
        <f t="shared" si="203"/>
        <v>MS</v>
      </c>
    </row>
    <row r="5651" spans="1:6" x14ac:dyDescent="0.25">
      <c r="A5651" t="str">
        <f>"000107335"</f>
        <v>000107335</v>
      </c>
      <c r="B5651" t="str">
        <f>"1417909003"</f>
        <v>1417909003</v>
      </c>
      <c r="C5651" t="str">
        <f>"367500000X"</f>
        <v>367500000X</v>
      </c>
      <c r="D5651" t="str">
        <f>"ANDERSON III             PAUL         R           "</f>
        <v xml:space="preserve">ANDERSON III             PAUL         R           </v>
      </c>
      <c r="E5651" t="str">
        <f>"BROOKHAVEN                "</f>
        <v xml:space="preserve">BROOKHAVEN                </v>
      </c>
      <c r="F5651" t="str">
        <f t="shared" si="203"/>
        <v>MS</v>
      </c>
    </row>
    <row r="5652" spans="1:6" x14ac:dyDescent="0.25">
      <c r="A5652" t="str">
        <f>"000108061"</f>
        <v>000108061</v>
      </c>
      <c r="B5652" t="str">
        <f>"1669927885"</f>
        <v>1669927885</v>
      </c>
      <c r="C5652" t="str">
        <f>"363L00000X"</f>
        <v>363L00000X</v>
      </c>
      <c r="D5652" t="str">
        <f>"PARHAM                   ALISHA       M           "</f>
        <v xml:space="preserve">PARHAM                   ALISHA       M           </v>
      </c>
      <c r="E5652" t="str">
        <f>"SMITHVILLE                "</f>
        <v xml:space="preserve">SMITHVILLE                </v>
      </c>
      <c r="F5652" t="str">
        <f t="shared" si="203"/>
        <v>MS</v>
      </c>
    </row>
    <row r="5653" spans="1:6" x14ac:dyDescent="0.25">
      <c r="A5653" t="str">
        <f>"000108319"</f>
        <v>000108319</v>
      </c>
      <c r="B5653" t="str">
        <f>"1245598325"</f>
        <v>1245598325</v>
      </c>
      <c r="C5653" t="str">
        <f>"2086S0122X"</f>
        <v>2086S0122X</v>
      </c>
      <c r="D5653" t="str">
        <f>"WALKER                   MARC         E           "</f>
        <v xml:space="preserve">WALKER                   MARC         E           </v>
      </c>
      <c r="E5653" t="str">
        <f>"BRANDON                   "</f>
        <v xml:space="preserve">BRANDON                   </v>
      </c>
      <c r="F5653" t="str">
        <f t="shared" si="203"/>
        <v>MS</v>
      </c>
    </row>
    <row r="5654" spans="1:6" x14ac:dyDescent="0.25">
      <c r="A5654" t="str">
        <f>"000108594"</f>
        <v>000108594</v>
      </c>
      <c r="B5654" t="str">
        <f>"1437622909"</f>
        <v>1437622909</v>
      </c>
      <c r="C5654" t="str">
        <f>"363L00000X"</f>
        <v>363L00000X</v>
      </c>
      <c r="D5654" t="str">
        <f>"WILLIAMS                 CAITLIN                  "</f>
        <v xml:space="preserve">WILLIAMS                 CAITLIN                  </v>
      </c>
      <c r="E5654" t="str">
        <f>"TUPELO                    "</f>
        <v xml:space="preserve">TUPELO                    </v>
      </c>
      <c r="F5654" t="str">
        <f t="shared" si="203"/>
        <v>MS</v>
      </c>
    </row>
    <row r="5655" spans="1:6" x14ac:dyDescent="0.25">
      <c r="A5655" t="str">
        <f>"000109091"</f>
        <v>000109091</v>
      </c>
      <c r="B5655" t="str">
        <f>"1417430893"</f>
        <v>1417430893</v>
      </c>
      <c r="C5655" t="str">
        <f>"363L00000X"</f>
        <v>363L00000X</v>
      </c>
      <c r="D5655" t="str">
        <f>"GRAHAM                   FOLEY        D           "</f>
        <v xml:space="preserve">GRAHAM                   FOLEY        D           </v>
      </c>
      <c r="E5655" t="str">
        <f>"STARKVILLE                "</f>
        <v xml:space="preserve">STARKVILLE                </v>
      </c>
      <c r="F5655" t="str">
        <f t="shared" si="203"/>
        <v>MS</v>
      </c>
    </row>
    <row r="5656" spans="1:6" x14ac:dyDescent="0.25">
      <c r="A5656" t="str">
        <f>"000109337"</f>
        <v>000109337</v>
      </c>
      <c r="B5656" t="str">
        <f>"1982754974"</f>
        <v>1982754974</v>
      </c>
      <c r="C5656" t="str">
        <f>"207Q00000X"</f>
        <v>207Q00000X</v>
      </c>
      <c r="D5656" t="str">
        <f>"SARTAIN                  JARRED       L           "</f>
        <v xml:space="preserve">SARTAIN                  JARRED       L           </v>
      </c>
      <c r="E5656" t="str">
        <f>"FULTON                    "</f>
        <v xml:space="preserve">FULTON                    </v>
      </c>
      <c r="F5656" t="str">
        <f t="shared" si="203"/>
        <v>MS</v>
      </c>
    </row>
    <row r="5657" spans="1:6" x14ac:dyDescent="0.25">
      <c r="A5657" t="str">
        <f>"000110020"</f>
        <v>000110020</v>
      </c>
      <c r="B5657" t="str">
        <f>"1427012657"</f>
        <v>1427012657</v>
      </c>
      <c r="C5657" t="str">
        <f>"207R00000X"</f>
        <v>207R00000X</v>
      </c>
      <c r="D5657" t="str">
        <f>"BURWELL                  JOEL         B           "</f>
        <v xml:space="preserve">BURWELL                  JOEL         B           </v>
      </c>
      <c r="E5657" t="str">
        <f>"GULFPORT                  "</f>
        <v xml:space="preserve">GULFPORT                  </v>
      </c>
      <c r="F5657" t="str">
        <f t="shared" si="203"/>
        <v>MS</v>
      </c>
    </row>
    <row r="5658" spans="1:6" x14ac:dyDescent="0.25">
      <c r="A5658" t="str">
        <f>"000110083"</f>
        <v>000110083</v>
      </c>
      <c r="B5658" t="str">
        <f>"1184665580"</f>
        <v>1184665580</v>
      </c>
      <c r="C5658" t="str">
        <f>"207RC0000X"</f>
        <v>207RC0000X</v>
      </c>
      <c r="D5658" t="str">
        <f>"COVIN                    FISHER       A           "</f>
        <v xml:space="preserve">COVIN                    FISHER       A           </v>
      </c>
      <c r="E5658" t="str">
        <f>"MCCOMB                    "</f>
        <v xml:space="preserve">MCCOMB                    </v>
      </c>
      <c r="F5658" t="str">
        <f t="shared" si="203"/>
        <v>MS</v>
      </c>
    </row>
    <row r="5659" spans="1:6" x14ac:dyDescent="0.25">
      <c r="A5659" t="str">
        <f>"000110086"</f>
        <v>000110086</v>
      </c>
      <c r="B5659" t="str">
        <f>"1508960295"</f>
        <v>1508960295</v>
      </c>
      <c r="C5659" t="str">
        <f>"367500000X"</f>
        <v>367500000X</v>
      </c>
      <c r="D5659" t="str">
        <f>"GHATAS                   AUDREY       D           "</f>
        <v xml:space="preserve">GHATAS                   AUDREY       D           </v>
      </c>
      <c r="E5659" t="str">
        <f>"HATTIESBURG               "</f>
        <v xml:space="preserve">HATTIESBURG               </v>
      </c>
      <c r="F5659" t="str">
        <f t="shared" si="203"/>
        <v>MS</v>
      </c>
    </row>
    <row r="5660" spans="1:6" x14ac:dyDescent="0.25">
      <c r="A5660" t="str">
        <f>"000110109"</f>
        <v>000110109</v>
      </c>
      <c r="B5660" t="str">
        <f>"1689729287"</f>
        <v>1689729287</v>
      </c>
      <c r="C5660" t="str">
        <f>"207L00000X"</f>
        <v>207L00000X</v>
      </c>
      <c r="D5660" t="str">
        <f>"DURFEY                   JOHN         J           "</f>
        <v xml:space="preserve">DURFEY                   JOHN         J           </v>
      </c>
      <c r="E5660" t="str">
        <f>"JACKSON                   "</f>
        <v xml:space="preserve">JACKSON                   </v>
      </c>
      <c r="F5660" t="str">
        <f t="shared" si="203"/>
        <v>MS</v>
      </c>
    </row>
    <row r="5661" spans="1:6" x14ac:dyDescent="0.25">
      <c r="A5661" t="str">
        <f>"000110112"</f>
        <v>000110112</v>
      </c>
      <c r="B5661" t="str">
        <f>"1245383033"</f>
        <v>1245383033</v>
      </c>
      <c r="C5661" t="str">
        <f>"207L00000X"</f>
        <v>207L00000X</v>
      </c>
      <c r="D5661" t="str">
        <f>"MCLEOD                   CARROLL      M           "</f>
        <v xml:space="preserve">MCLEOD                   CARROLL      M           </v>
      </c>
      <c r="E5661" t="str">
        <f>"JACKSON                   "</f>
        <v xml:space="preserve">JACKSON                   </v>
      </c>
      <c r="F5661" t="str">
        <f t="shared" si="203"/>
        <v>MS</v>
      </c>
    </row>
    <row r="5662" spans="1:6" x14ac:dyDescent="0.25">
      <c r="A5662" t="str">
        <f>"000110164"</f>
        <v>000110164</v>
      </c>
      <c r="B5662" t="str">
        <f>"1851330500"</f>
        <v>1851330500</v>
      </c>
      <c r="C5662" t="str">
        <f>"2085R0202X"</f>
        <v>2085R0202X</v>
      </c>
      <c r="D5662" t="str">
        <f>"LAWRENCE                 WILLIAM      K           "</f>
        <v xml:space="preserve">LAWRENCE                 WILLIAM      K           </v>
      </c>
      <c r="E5662" t="str">
        <f>"OXFORD                    "</f>
        <v xml:space="preserve">OXFORD                    </v>
      </c>
      <c r="F5662" t="str">
        <f t="shared" si="203"/>
        <v>MS</v>
      </c>
    </row>
    <row r="5663" spans="1:6" x14ac:dyDescent="0.25">
      <c r="A5663" t="str">
        <f>"000110173"</f>
        <v>000110173</v>
      </c>
      <c r="B5663" t="str">
        <f>"1699884288"</f>
        <v>1699884288</v>
      </c>
      <c r="C5663" t="str">
        <f>"207RP1001X"</f>
        <v>207RP1001X</v>
      </c>
      <c r="D5663" t="str">
        <f>"STOGNER                  STEVEN       W           "</f>
        <v xml:space="preserve">STOGNER                  STEVEN       W           </v>
      </c>
      <c r="E5663" t="str">
        <f>"HATTIESBURG               "</f>
        <v xml:space="preserve">HATTIESBURG               </v>
      </c>
      <c r="F5663" t="str">
        <f t="shared" si="203"/>
        <v>MS</v>
      </c>
    </row>
    <row r="5664" spans="1:6" x14ac:dyDescent="0.25">
      <c r="A5664" t="str">
        <f>"000110213"</f>
        <v>000110213</v>
      </c>
      <c r="B5664" t="str">
        <f>"1023037629"</f>
        <v>1023037629</v>
      </c>
      <c r="C5664" t="str">
        <f>"367500000X"</f>
        <v>367500000X</v>
      </c>
      <c r="D5664" t="str">
        <f>"MILLER                   GAIL         G           "</f>
        <v xml:space="preserve">MILLER                   GAIL         G           </v>
      </c>
      <c r="E5664" t="str">
        <f>"TUPELO                    "</f>
        <v xml:space="preserve">TUPELO                    </v>
      </c>
      <c r="F5664" t="str">
        <f t="shared" si="203"/>
        <v>MS</v>
      </c>
    </row>
    <row r="5665" spans="1:6" x14ac:dyDescent="0.25">
      <c r="A5665" t="str">
        <f>"000110231"</f>
        <v>000110231</v>
      </c>
      <c r="B5665" t="str">
        <f>"1750395356"</f>
        <v>1750395356</v>
      </c>
      <c r="C5665" t="str">
        <f>"207RG0100X"</f>
        <v>207RG0100X</v>
      </c>
      <c r="D5665" t="str">
        <f>"JOHNSON                  STEPHEN      P           "</f>
        <v xml:space="preserve">JOHNSON                  STEPHEN      P           </v>
      </c>
      <c r="E5665" t="str">
        <f>"LAUREL                    "</f>
        <v xml:space="preserve">LAUREL                    </v>
      </c>
      <c r="F5665" t="str">
        <f t="shared" si="203"/>
        <v>MS</v>
      </c>
    </row>
    <row r="5666" spans="1:6" x14ac:dyDescent="0.25">
      <c r="A5666" t="str">
        <f>"000110269"</f>
        <v>000110269</v>
      </c>
      <c r="B5666" t="str">
        <f>"1255351367"</f>
        <v>1255351367</v>
      </c>
      <c r="C5666" t="str">
        <f>"208800000X"</f>
        <v>208800000X</v>
      </c>
      <c r="D5666" t="str">
        <f>"DAVIS                    RONALD       D           "</f>
        <v xml:space="preserve">DAVIS                    RONALD       D           </v>
      </c>
      <c r="E5666" t="str">
        <f>"JACKSON                   "</f>
        <v xml:space="preserve">JACKSON                   </v>
      </c>
      <c r="F5666" t="str">
        <f t="shared" si="203"/>
        <v>MS</v>
      </c>
    </row>
    <row r="5667" spans="1:6" x14ac:dyDescent="0.25">
      <c r="A5667" t="str">
        <f>"000110277"</f>
        <v>000110277</v>
      </c>
      <c r="B5667" t="str">
        <f>"1700962248"</f>
        <v>1700962248</v>
      </c>
      <c r="C5667" t="str">
        <f>"207Q00000X"</f>
        <v>207Q00000X</v>
      </c>
      <c r="D5667" t="str">
        <f>"CORKERN                  ROBERT                   "</f>
        <v xml:space="preserve">CORKERN                  ROBERT                   </v>
      </c>
      <c r="E5667" t="str">
        <f>"GREENVILLE                "</f>
        <v xml:space="preserve">GREENVILLE                </v>
      </c>
      <c r="F5667" t="str">
        <f t="shared" si="203"/>
        <v>MS</v>
      </c>
    </row>
    <row r="5668" spans="1:6" x14ac:dyDescent="0.25">
      <c r="A5668" t="str">
        <f>"000110306"</f>
        <v>000110306</v>
      </c>
      <c r="B5668" t="str">
        <f>"1326082231"</f>
        <v>1326082231</v>
      </c>
      <c r="C5668" t="str">
        <f>"207RC0000X"</f>
        <v>207RC0000X</v>
      </c>
      <c r="D5668" t="str">
        <f>"STONE                    REUBEN       H           "</f>
        <v xml:space="preserve">STONE                    REUBEN       H           </v>
      </c>
      <c r="E5668" t="str">
        <f>"JACKSON                   "</f>
        <v xml:space="preserve">JACKSON                   </v>
      </c>
      <c r="F5668" t="str">
        <f t="shared" si="203"/>
        <v>MS</v>
      </c>
    </row>
    <row r="5669" spans="1:6" x14ac:dyDescent="0.25">
      <c r="A5669" t="str">
        <f>"000110316"</f>
        <v>000110316</v>
      </c>
      <c r="B5669" t="str">
        <f>"1730197054"</f>
        <v>1730197054</v>
      </c>
      <c r="C5669" t="str">
        <f>"207Q00000X"</f>
        <v>207Q00000X</v>
      </c>
      <c r="D5669" t="str">
        <f>"CROSBY                   SAMUEL       N           "</f>
        <v xml:space="preserve">CROSBY                   SAMUEL       N           </v>
      </c>
      <c r="E5669" t="str">
        <f>"HATTIESBURG               "</f>
        <v xml:space="preserve">HATTIESBURG               </v>
      </c>
      <c r="F5669" t="str">
        <f t="shared" si="203"/>
        <v>MS</v>
      </c>
    </row>
    <row r="5670" spans="1:6" x14ac:dyDescent="0.25">
      <c r="A5670" t="str">
        <f>"000110336"</f>
        <v>000110336</v>
      </c>
      <c r="B5670" t="str">
        <f>"1821124728"</f>
        <v>1821124728</v>
      </c>
      <c r="C5670" t="str">
        <f>"208800000X"</f>
        <v>208800000X</v>
      </c>
      <c r="D5670" t="str">
        <f>"PHILLIPS                 MARK         T           "</f>
        <v xml:space="preserve">PHILLIPS                 MARK         T           </v>
      </c>
      <c r="E5670" t="str">
        <f>"MERIDIAN                  "</f>
        <v xml:space="preserve">MERIDIAN                  </v>
      </c>
      <c r="F5670" t="str">
        <f t="shared" si="203"/>
        <v>MS</v>
      </c>
    </row>
    <row r="5671" spans="1:6" x14ac:dyDescent="0.25">
      <c r="A5671" t="str">
        <f>"000110402"</f>
        <v>000110402</v>
      </c>
      <c r="B5671" t="str">
        <f>"1386777589"</f>
        <v>1386777589</v>
      </c>
      <c r="C5671" t="str">
        <f>"208000000X"</f>
        <v>208000000X</v>
      </c>
      <c r="D5671" t="str">
        <f>"WILSON                   YOLANDA      W           "</f>
        <v xml:space="preserve">WILSON                   YOLANDA      W           </v>
      </c>
      <c r="E5671" t="str">
        <f>"RIDGELAND                 "</f>
        <v xml:space="preserve">RIDGELAND                 </v>
      </c>
      <c r="F5671" t="str">
        <f t="shared" si="203"/>
        <v>MS</v>
      </c>
    </row>
    <row r="5672" spans="1:6" x14ac:dyDescent="0.25">
      <c r="A5672" t="str">
        <f>"000110594"</f>
        <v>000110594</v>
      </c>
      <c r="B5672" t="str">
        <f>"1740283910"</f>
        <v>1740283910</v>
      </c>
      <c r="C5672" t="str">
        <f>"2084P0800X"</f>
        <v>2084P0800X</v>
      </c>
      <c r="D5672" t="str">
        <f>"HILL                     PAUL         B           "</f>
        <v xml:space="preserve">HILL                     PAUL         B           </v>
      </c>
      <c r="E5672" t="str">
        <f>"TUPELO                    "</f>
        <v xml:space="preserve">TUPELO                    </v>
      </c>
      <c r="F5672" t="str">
        <f t="shared" si="203"/>
        <v>MS</v>
      </c>
    </row>
    <row r="5673" spans="1:6" x14ac:dyDescent="0.25">
      <c r="A5673" t="str">
        <f>"000110596"</f>
        <v>000110596</v>
      </c>
      <c r="B5673" t="str">
        <f>"1851404495"</f>
        <v>1851404495</v>
      </c>
      <c r="C5673" t="str">
        <f>"207V00000X"</f>
        <v>207V00000X</v>
      </c>
      <c r="D5673" t="str">
        <f>"HOLLAND                  JOHN         G           "</f>
        <v xml:space="preserve">HOLLAND                  JOHN         G           </v>
      </c>
      <c r="E5673" t="str">
        <f>"HATTIESBURG               "</f>
        <v xml:space="preserve">HATTIESBURG               </v>
      </c>
      <c r="F5673" t="str">
        <f t="shared" si="203"/>
        <v>MS</v>
      </c>
    </row>
    <row r="5674" spans="1:6" x14ac:dyDescent="0.25">
      <c r="A5674" t="str">
        <f>"000110618"</f>
        <v>000110618</v>
      </c>
      <c r="B5674" t="str">
        <f>"1598754913"</f>
        <v>1598754913</v>
      </c>
      <c r="C5674" t="str">
        <f>"207Q00000X"</f>
        <v>207Q00000X</v>
      </c>
      <c r="D5674" t="str">
        <f>"JOHNSON                  KURT         D           "</f>
        <v xml:space="preserve">JOHNSON                  KURT         D           </v>
      </c>
      <c r="E5674" t="str">
        <f>"CLINTON                   "</f>
        <v xml:space="preserve">CLINTON                   </v>
      </c>
      <c r="F5674" t="str">
        <f t="shared" si="203"/>
        <v>MS</v>
      </c>
    </row>
    <row r="5675" spans="1:6" x14ac:dyDescent="0.25">
      <c r="A5675" t="str">
        <f>"000110684"</f>
        <v>000110684</v>
      </c>
      <c r="B5675" t="str">
        <f>"1093751232"</f>
        <v>1093751232</v>
      </c>
      <c r="C5675" t="str">
        <f>"208000000X"</f>
        <v>208000000X</v>
      </c>
      <c r="D5675" t="str">
        <f>"GILLESPIE                JAMES        B           "</f>
        <v xml:space="preserve">GILLESPIE                JAMES        B           </v>
      </c>
      <c r="E5675" t="str">
        <f>"GREENVILLE                "</f>
        <v xml:space="preserve">GREENVILLE                </v>
      </c>
      <c r="F5675" t="str">
        <f t="shared" si="203"/>
        <v>MS</v>
      </c>
    </row>
    <row r="5676" spans="1:6" x14ac:dyDescent="0.25">
      <c r="A5676" t="str">
        <f>"000110707"</f>
        <v>000110707</v>
      </c>
      <c r="B5676" t="str">
        <f>"1093786980"</f>
        <v>1093786980</v>
      </c>
      <c r="C5676" t="str">
        <f>"2086S0105X"</f>
        <v>2086S0105X</v>
      </c>
      <c r="D5676" t="str">
        <f>"BUCKLEY                  ROBERT       C           "</f>
        <v xml:space="preserve">BUCKLEY                  ROBERT       C           </v>
      </c>
      <c r="E5676" t="str">
        <f>"TUPELO                    "</f>
        <v xml:space="preserve">TUPELO                    </v>
      </c>
      <c r="F5676" t="str">
        <f t="shared" si="203"/>
        <v>MS</v>
      </c>
    </row>
    <row r="5677" spans="1:6" x14ac:dyDescent="0.25">
      <c r="A5677" t="str">
        <f>"000110736"</f>
        <v>000110736</v>
      </c>
      <c r="B5677" t="str">
        <f>"1669446001"</f>
        <v>1669446001</v>
      </c>
      <c r="C5677" t="str">
        <f>"207V00000X"</f>
        <v>207V00000X</v>
      </c>
      <c r="D5677" t="str">
        <f>"WEBER                    BENJAMIN     M           "</f>
        <v xml:space="preserve">WEBER                    BENJAMIN     M           </v>
      </c>
      <c r="E5677" t="str">
        <f>"HATTIESBURG               "</f>
        <v xml:space="preserve">HATTIESBURG               </v>
      </c>
      <c r="F5677" t="str">
        <f t="shared" si="203"/>
        <v>MS</v>
      </c>
    </row>
    <row r="5678" spans="1:6" x14ac:dyDescent="0.25">
      <c r="A5678" t="str">
        <f>"000110746"</f>
        <v>000110746</v>
      </c>
      <c r="B5678" t="str">
        <f>"1841290392"</f>
        <v>1841290392</v>
      </c>
      <c r="C5678" t="str">
        <f>"208800000X"</f>
        <v>208800000X</v>
      </c>
      <c r="D5678" t="str">
        <f>"BOND                     KEVIN        H           "</f>
        <v xml:space="preserve">BOND                     KEVIN        H           </v>
      </c>
      <c r="E5678" t="str">
        <f>"COLUMBUS                  "</f>
        <v xml:space="preserve">COLUMBUS                  </v>
      </c>
      <c r="F5678" t="str">
        <f t="shared" si="203"/>
        <v>MS</v>
      </c>
    </row>
    <row r="5679" spans="1:6" x14ac:dyDescent="0.25">
      <c r="A5679" t="str">
        <f>"000110748"</f>
        <v>000110748</v>
      </c>
      <c r="B5679" t="str">
        <f>"1922092881"</f>
        <v>1922092881</v>
      </c>
      <c r="C5679" t="str">
        <f>"207L00000X"</f>
        <v>207L00000X</v>
      </c>
      <c r="D5679" t="str">
        <f>"PEARSON                  ERIC         J           "</f>
        <v xml:space="preserve">PEARSON                  ERIC         J           </v>
      </c>
      <c r="E5679" t="str">
        <f>"MERIDIAN                  "</f>
        <v xml:space="preserve">MERIDIAN                  </v>
      </c>
      <c r="F5679" t="str">
        <f t="shared" si="203"/>
        <v>MS</v>
      </c>
    </row>
    <row r="5680" spans="1:6" x14ac:dyDescent="0.25">
      <c r="A5680" t="str">
        <f>"000110750"</f>
        <v>000110750</v>
      </c>
      <c r="B5680" t="str">
        <f>"1154339497"</f>
        <v>1154339497</v>
      </c>
      <c r="C5680" t="str">
        <f>"367500000X"</f>
        <v>367500000X</v>
      </c>
      <c r="D5680" t="str">
        <f>"SCOTT                    DERRICK      K           "</f>
        <v xml:space="preserve">SCOTT                    DERRICK      K           </v>
      </c>
      <c r="E5680" t="str">
        <f>"LUCEDALE                  "</f>
        <v xml:space="preserve">LUCEDALE                  </v>
      </c>
      <c r="F5680" t="str">
        <f t="shared" si="203"/>
        <v>MS</v>
      </c>
    </row>
    <row r="5681" spans="1:6" x14ac:dyDescent="0.25">
      <c r="A5681" t="str">
        <f>"000110773"</f>
        <v>000110773</v>
      </c>
      <c r="B5681" t="str">
        <f>"1922030659"</f>
        <v>1922030659</v>
      </c>
      <c r="C5681" t="str">
        <f>"2080P0202X"</f>
        <v>2080P0202X</v>
      </c>
      <c r="D5681" t="str">
        <f>"GAYMES                   CHARLES      H           "</f>
        <v xml:space="preserve">GAYMES                   CHARLES      H           </v>
      </c>
      <c r="E5681" t="str">
        <f>"JACKSON                   "</f>
        <v xml:space="preserve">JACKSON                   </v>
      </c>
      <c r="F5681" t="str">
        <f t="shared" si="203"/>
        <v>MS</v>
      </c>
    </row>
    <row r="5682" spans="1:6" x14ac:dyDescent="0.25">
      <c r="A5682" t="str">
        <f>"000110800"</f>
        <v>000110800</v>
      </c>
      <c r="B5682" t="str">
        <f>"1780618686"</f>
        <v>1780618686</v>
      </c>
      <c r="C5682" t="str">
        <f>"2084P0800X"</f>
        <v>2084P0800X</v>
      </c>
      <c r="D5682" t="str">
        <f>"RUSCH                    JAMES        A           "</f>
        <v xml:space="preserve">RUSCH                    JAMES        A           </v>
      </c>
      <c r="E5682" t="str">
        <f>"GULFPORT                  "</f>
        <v xml:space="preserve">GULFPORT                  </v>
      </c>
      <c r="F5682" t="str">
        <f t="shared" si="203"/>
        <v>MS</v>
      </c>
    </row>
    <row r="5683" spans="1:6" x14ac:dyDescent="0.25">
      <c r="A5683" t="str">
        <f>"000110853"</f>
        <v>000110853</v>
      </c>
      <c r="B5683" t="str">
        <f>"1225147135"</f>
        <v>1225147135</v>
      </c>
      <c r="C5683" t="str">
        <f>"207R00000X"</f>
        <v>207R00000X</v>
      </c>
      <c r="D5683" t="str">
        <f>"MONTALVO, JR.            RAMIRO       A           "</f>
        <v xml:space="preserve">MONTALVO, JR.            RAMIRO       A           </v>
      </c>
      <c r="E5683" t="str">
        <f>"BROOKHAVEN                "</f>
        <v xml:space="preserve">BROOKHAVEN                </v>
      </c>
      <c r="F5683" t="str">
        <f t="shared" si="203"/>
        <v>MS</v>
      </c>
    </row>
    <row r="5684" spans="1:6" x14ac:dyDescent="0.25">
      <c r="A5684" t="str">
        <f>"000110922"</f>
        <v>000110922</v>
      </c>
      <c r="B5684" t="str">
        <f>"1508813825"</f>
        <v>1508813825</v>
      </c>
      <c r="C5684" t="str">
        <f>"207V00000X"</f>
        <v>207V00000X</v>
      </c>
      <c r="D5684" t="str">
        <f>"FINAN                    MICHAEL      A           "</f>
        <v xml:space="preserve">FINAN                    MICHAEL      A           </v>
      </c>
      <c r="E5684" t="str">
        <f>"PASCAGOULA                "</f>
        <v xml:space="preserve">PASCAGOULA                </v>
      </c>
      <c r="F5684" t="str">
        <f t="shared" si="203"/>
        <v>MS</v>
      </c>
    </row>
    <row r="5685" spans="1:6" x14ac:dyDescent="0.25">
      <c r="A5685" t="str">
        <f>"000110985"</f>
        <v>000110985</v>
      </c>
      <c r="B5685" t="str">
        <f>"1225054422"</f>
        <v>1225054422</v>
      </c>
      <c r="C5685" t="str">
        <f>"367500000X"</f>
        <v>367500000X</v>
      </c>
      <c r="D5685" t="str">
        <f>"HURD                     GREGORY                  "</f>
        <v xml:space="preserve">HURD                     GREGORY                  </v>
      </c>
      <c r="E5685" t="str">
        <f>"TUPELO                    "</f>
        <v xml:space="preserve">TUPELO                    </v>
      </c>
      <c r="F5685" t="str">
        <f t="shared" si="203"/>
        <v>MS</v>
      </c>
    </row>
    <row r="5686" spans="1:6" x14ac:dyDescent="0.25">
      <c r="A5686" t="str">
        <f>"000111136"</f>
        <v>000111136</v>
      </c>
      <c r="B5686" t="str">
        <f>"1952465619"</f>
        <v>1952465619</v>
      </c>
      <c r="C5686" t="str">
        <f>"207Q00000X"</f>
        <v>207Q00000X</v>
      </c>
      <c r="D5686" t="str">
        <f>"EVANS                    ROY                      "</f>
        <v xml:space="preserve">EVANS                    ROY                      </v>
      </c>
      <c r="E5686" t="str">
        <f>"BASSFIELD                 "</f>
        <v xml:space="preserve">BASSFIELD                 </v>
      </c>
      <c r="F5686" t="str">
        <f t="shared" si="203"/>
        <v>MS</v>
      </c>
    </row>
    <row r="5687" spans="1:6" x14ac:dyDescent="0.25">
      <c r="A5687" t="str">
        <f>"000111172"</f>
        <v>000111172</v>
      </c>
      <c r="B5687" t="str">
        <f>"1275647117"</f>
        <v>1275647117</v>
      </c>
      <c r="C5687" t="str">
        <f>"207R00000X"</f>
        <v>207R00000X</v>
      </c>
      <c r="D5687" t="str">
        <f>"JOHNSON                  JEFFREY      A           "</f>
        <v xml:space="preserve">JOHNSON                  JEFFREY      A           </v>
      </c>
      <c r="E5687" t="str">
        <f>"HATTIESBURG               "</f>
        <v xml:space="preserve">HATTIESBURG               </v>
      </c>
      <c r="F5687" t="str">
        <f t="shared" si="203"/>
        <v>MS</v>
      </c>
    </row>
    <row r="5688" spans="1:6" x14ac:dyDescent="0.25">
      <c r="A5688" t="str">
        <f>"000111206"</f>
        <v>000111206</v>
      </c>
      <c r="B5688" t="str">
        <f>"1265521207"</f>
        <v>1265521207</v>
      </c>
      <c r="C5688" t="str">
        <f>"207V00000X"</f>
        <v>207V00000X</v>
      </c>
      <c r="D5688" t="str">
        <f>"VANCE                    GREGORY      A           "</f>
        <v xml:space="preserve">VANCE                    GREGORY      A           </v>
      </c>
      <c r="E5688" t="str">
        <f>"FLOWOOD                   "</f>
        <v xml:space="preserve">FLOWOOD                   </v>
      </c>
      <c r="F5688" t="str">
        <f t="shared" si="203"/>
        <v>MS</v>
      </c>
    </row>
    <row r="5689" spans="1:6" x14ac:dyDescent="0.25">
      <c r="A5689" t="str">
        <f>"000111231"</f>
        <v>000111231</v>
      </c>
      <c r="B5689" t="str">
        <f>"1780643494"</f>
        <v>1780643494</v>
      </c>
      <c r="C5689" t="str">
        <f>"207RG0100X"</f>
        <v>207RG0100X</v>
      </c>
      <c r="D5689" t="str">
        <f>"HUEY                     ROGER        L           "</f>
        <v xml:space="preserve">HUEY                     ROGER        L           </v>
      </c>
      <c r="E5689" t="str">
        <f>"TUPELO                    "</f>
        <v xml:space="preserve">TUPELO                    </v>
      </c>
      <c r="F5689" t="str">
        <f t="shared" si="203"/>
        <v>MS</v>
      </c>
    </row>
    <row r="5690" spans="1:6" x14ac:dyDescent="0.25">
      <c r="A5690" t="str">
        <f>"000111237"</f>
        <v>000111237</v>
      </c>
      <c r="B5690" t="str">
        <f>"1114982485"</f>
        <v>1114982485</v>
      </c>
      <c r="C5690" t="str">
        <f>"207RP1001X"</f>
        <v>207RP1001X</v>
      </c>
      <c r="D5690" t="str">
        <f>"FLETCHER                 GARDNER      L           "</f>
        <v xml:space="preserve">FLETCHER                 GARDNER      L           </v>
      </c>
      <c r="E5690" t="str">
        <f>"HATTIESBURG               "</f>
        <v xml:space="preserve">HATTIESBURG               </v>
      </c>
      <c r="F5690" t="str">
        <f t="shared" si="203"/>
        <v>MS</v>
      </c>
    </row>
    <row r="5691" spans="1:6" x14ac:dyDescent="0.25">
      <c r="A5691" t="str">
        <f>"000111249"</f>
        <v>000111249</v>
      </c>
      <c r="B5691" t="str">
        <f>"1407830433"</f>
        <v>1407830433</v>
      </c>
      <c r="C5691" t="str">
        <f>"207Q00000X"</f>
        <v>207Q00000X</v>
      </c>
      <c r="D5691" t="str">
        <f>"CROWLEY                  SHEILA       W           "</f>
        <v xml:space="preserve">CROWLEY                  SHEILA       W           </v>
      </c>
      <c r="E5691" t="str">
        <f>"MISSISSIPPI STATE         "</f>
        <v xml:space="preserve">MISSISSIPPI STATE         </v>
      </c>
      <c r="F5691" t="str">
        <f t="shared" si="203"/>
        <v>MS</v>
      </c>
    </row>
    <row r="5692" spans="1:6" x14ac:dyDescent="0.25">
      <c r="A5692" t="str">
        <f>"000111280"</f>
        <v>000111280</v>
      </c>
      <c r="B5692" t="str">
        <f>"1487755641"</f>
        <v>1487755641</v>
      </c>
      <c r="C5692" t="str">
        <f>"207V00000X"</f>
        <v>207V00000X</v>
      </c>
      <c r="D5692" t="str">
        <f>"BREELAND                 DONNA        G           "</f>
        <v xml:space="preserve">BREELAND                 DONNA        G           </v>
      </c>
      <c r="E5692" t="str">
        <f>"JACKSON                   "</f>
        <v xml:space="preserve">JACKSON                   </v>
      </c>
      <c r="F5692" t="str">
        <f t="shared" si="203"/>
        <v>MS</v>
      </c>
    </row>
    <row r="5693" spans="1:6" x14ac:dyDescent="0.25">
      <c r="A5693" t="str">
        <f>"000111378"</f>
        <v>000111378</v>
      </c>
      <c r="B5693" t="str">
        <f>"1669477329"</f>
        <v>1669477329</v>
      </c>
      <c r="C5693" t="str">
        <f>"207W00000X"</f>
        <v>207W00000X</v>
      </c>
      <c r="D5693" t="str">
        <f>"MCVEY                    JOHN         H           "</f>
        <v xml:space="preserve">MCVEY                    JOHN         H           </v>
      </c>
      <c r="E5693" t="str">
        <f>"MADISON                   "</f>
        <v xml:space="preserve">MADISON                   </v>
      </c>
      <c r="F5693" t="str">
        <f t="shared" si="203"/>
        <v>MS</v>
      </c>
    </row>
    <row r="5694" spans="1:6" x14ac:dyDescent="0.25">
      <c r="A5694" t="str">
        <f>"000111382"</f>
        <v>000111382</v>
      </c>
      <c r="B5694" t="str">
        <f>"1316983760"</f>
        <v>1316983760</v>
      </c>
      <c r="C5694" t="str">
        <f>"2080P0216X"</f>
        <v>2080P0216X</v>
      </c>
      <c r="D5694" t="str">
        <f>"RAY                      LINDA        I           "</f>
        <v xml:space="preserve">RAY                      LINDA        I           </v>
      </c>
      <c r="E5694" t="str">
        <f>"JACKSON                   "</f>
        <v xml:space="preserve">JACKSON                   </v>
      </c>
      <c r="F5694" t="str">
        <f t="shared" ref="F5694:F5757" si="204">"MS"</f>
        <v>MS</v>
      </c>
    </row>
    <row r="5695" spans="1:6" x14ac:dyDescent="0.25">
      <c r="A5695" t="str">
        <f>"000111435"</f>
        <v>000111435</v>
      </c>
      <c r="B5695" t="str">
        <f>"1588763197"</f>
        <v>1588763197</v>
      </c>
      <c r="C5695" t="str">
        <f>"207YX0901X"</f>
        <v>207YX0901X</v>
      </c>
      <c r="D5695" t="str">
        <f>"HOUSE III                JAMES        R           "</f>
        <v xml:space="preserve">HOUSE III                JAMES        R           </v>
      </c>
      <c r="E5695" t="str">
        <f>"FLOWOOD                   "</f>
        <v xml:space="preserve">FLOWOOD                   </v>
      </c>
      <c r="F5695" t="str">
        <f t="shared" si="204"/>
        <v>MS</v>
      </c>
    </row>
    <row r="5696" spans="1:6" x14ac:dyDescent="0.25">
      <c r="A5696" t="str">
        <f>"000111462"</f>
        <v>000111462</v>
      </c>
      <c r="B5696" t="str">
        <f>"1215041652"</f>
        <v>1215041652</v>
      </c>
      <c r="C5696" t="str">
        <f>"207P00000X"</f>
        <v>207P00000X</v>
      </c>
      <c r="D5696" t="str">
        <f>"DALE JR                  ROBERT       A           "</f>
        <v xml:space="preserve">DALE JR                  ROBERT       A           </v>
      </c>
      <c r="E5696" t="str">
        <f>"TUPELO                    "</f>
        <v xml:space="preserve">TUPELO                    </v>
      </c>
      <c r="F5696" t="str">
        <f t="shared" si="204"/>
        <v>MS</v>
      </c>
    </row>
    <row r="5697" spans="1:6" x14ac:dyDescent="0.25">
      <c r="A5697" t="str">
        <f>"000111588"</f>
        <v>000111588</v>
      </c>
      <c r="B5697" t="str">
        <f>"1881636306"</f>
        <v>1881636306</v>
      </c>
      <c r="C5697" t="str">
        <f>"363L00000X"</f>
        <v>363L00000X</v>
      </c>
      <c r="D5697" t="str">
        <f>"KILLINGS                 KAYE                     "</f>
        <v xml:space="preserve">KILLINGS                 KAYE                     </v>
      </c>
      <c r="E5697" t="str">
        <f>"JACKSON                   "</f>
        <v xml:space="preserve">JACKSON                   </v>
      </c>
      <c r="F5697" t="str">
        <f t="shared" si="204"/>
        <v>MS</v>
      </c>
    </row>
    <row r="5698" spans="1:6" x14ac:dyDescent="0.25">
      <c r="A5698" t="str">
        <f>"000111649"</f>
        <v>000111649</v>
      </c>
      <c r="B5698" t="str">
        <f>"1124097191"</f>
        <v>1124097191</v>
      </c>
      <c r="C5698" t="str">
        <f>"207Q00000X"</f>
        <v>207Q00000X</v>
      </c>
      <c r="D5698" t="str">
        <f>"FULCHER                  TODD         L           "</f>
        <v xml:space="preserve">FULCHER                  TODD         L           </v>
      </c>
      <c r="E5698" t="str">
        <f>"JACKSON                   "</f>
        <v xml:space="preserve">JACKSON                   </v>
      </c>
      <c r="F5698" t="str">
        <f t="shared" si="204"/>
        <v>MS</v>
      </c>
    </row>
    <row r="5699" spans="1:6" x14ac:dyDescent="0.25">
      <c r="A5699" t="str">
        <f>"000111744"</f>
        <v>000111744</v>
      </c>
      <c r="B5699" t="str">
        <f>"1790869626"</f>
        <v>1790869626</v>
      </c>
      <c r="C5699" t="str">
        <f>"207P00000X"</f>
        <v>207P00000X</v>
      </c>
      <c r="D5699" t="str">
        <f>"WARD                     GEORGE       L           "</f>
        <v xml:space="preserve">WARD                     GEORGE       L           </v>
      </c>
      <c r="E5699" t="str">
        <f>"GULFPORT                  "</f>
        <v xml:space="preserve">GULFPORT                  </v>
      </c>
      <c r="F5699" t="str">
        <f t="shared" si="204"/>
        <v>MS</v>
      </c>
    </row>
    <row r="5700" spans="1:6" x14ac:dyDescent="0.25">
      <c r="A5700" t="str">
        <f>"000111800"</f>
        <v>000111800</v>
      </c>
      <c r="B5700" t="str">
        <f>"1598877805"</f>
        <v>1598877805</v>
      </c>
      <c r="C5700" t="str">
        <f>"208600000X"</f>
        <v>208600000X</v>
      </c>
      <c r="D5700" t="str">
        <f>"GRIMM                    LEANDER      M           "</f>
        <v xml:space="preserve">GRIMM                    LEANDER      M           </v>
      </c>
      <c r="E5700" t="str">
        <f>"SOUTHAVEN                 "</f>
        <v xml:space="preserve">SOUTHAVEN                 </v>
      </c>
      <c r="F5700" t="str">
        <f t="shared" si="204"/>
        <v>MS</v>
      </c>
    </row>
    <row r="5701" spans="1:6" x14ac:dyDescent="0.25">
      <c r="A5701" t="str">
        <f>"000111812"</f>
        <v>000111812</v>
      </c>
      <c r="B5701" t="str">
        <f>"1053302125"</f>
        <v>1053302125</v>
      </c>
      <c r="C5701" t="str">
        <f>"207W00000X"</f>
        <v>207W00000X</v>
      </c>
      <c r="D5701" t="str">
        <f>"BRAWNER                  WILLIAM      C           "</f>
        <v xml:space="preserve">BRAWNER                  WILLIAM      C           </v>
      </c>
      <c r="E5701" t="str">
        <f>"TUPELO                    "</f>
        <v xml:space="preserve">TUPELO                    </v>
      </c>
      <c r="F5701" t="str">
        <f t="shared" si="204"/>
        <v>MS</v>
      </c>
    </row>
    <row r="5702" spans="1:6" x14ac:dyDescent="0.25">
      <c r="A5702" t="str">
        <f>"000111828"</f>
        <v>000111828</v>
      </c>
      <c r="B5702" t="str">
        <f>"1659314185"</f>
        <v>1659314185</v>
      </c>
      <c r="C5702" t="str">
        <f>"207L00000X"</f>
        <v>207L00000X</v>
      </c>
      <c r="D5702" t="str">
        <f>"SMITH                    GARY         L           "</f>
        <v xml:space="preserve">SMITH                    GARY         L           </v>
      </c>
      <c r="E5702" t="str">
        <f>"WHITFIELD                 "</f>
        <v xml:space="preserve">WHITFIELD                 </v>
      </c>
      <c r="F5702" t="str">
        <f t="shared" si="204"/>
        <v>MS</v>
      </c>
    </row>
    <row r="5703" spans="1:6" x14ac:dyDescent="0.25">
      <c r="A5703" t="str">
        <f>"000111878"</f>
        <v>000111878</v>
      </c>
      <c r="B5703" t="str">
        <f>"1316909724"</f>
        <v>1316909724</v>
      </c>
      <c r="C5703" t="str">
        <f>"207N00000X"</f>
        <v>207N00000X</v>
      </c>
      <c r="D5703" t="str">
        <f>"TERRACINA                JOSEPH       R           "</f>
        <v xml:space="preserve">TERRACINA                JOSEPH       R           </v>
      </c>
      <c r="E5703" t="str">
        <f>"GREENVILLE                "</f>
        <v xml:space="preserve">GREENVILLE                </v>
      </c>
      <c r="F5703" t="str">
        <f t="shared" si="204"/>
        <v>MS</v>
      </c>
    </row>
    <row r="5704" spans="1:6" x14ac:dyDescent="0.25">
      <c r="A5704" t="str">
        <f>"000111887"</f>
        <v>000111887</v>
      </c>
      <c r="B5704" t="str">
        <f>"1053492645"</f>
        <v>1053492645</v>
      </c>
      <c r="C5704" t="str">
        <f>"208600000X"</f>
        <v>208600000X</v>
      </c>
      <c r="D5704" t="str">
        <f>"BRAND                    WOODROW      W           "</f>
        <v xml:space="preserve">BRAND                    WOODROW      W           </v>
      </c>
      <c r="E5704" t="str">
        <f>"WEST POINT                "</f>
        <v xml:space="preserve">WEST POINT                </v>
      </c>
      <c r="F5704" t="str">
        <f t="shared" si="204"/>
        <v>MS</v>
      </c>
    </row>
    <row r="5705" spans="1:6" x14ac:dyDescent="0.25">
      <c r="A5705" t="str">
        <f>"000111924"</f>
        <v>000111924</v>
      </c>
      <c r="B5705" t="str">
        <f>"1770689267"</f>
        <v>1770689267</v>
      </c>
      <c r="C5705" t="str">
        <f>"208000000X"</f>
        <v>208000000X</v>
      </c>
      <c r="D5705" t="str">
        <f>"STONE                    VAN          D           "</f>
        <v xml:space="preserve">STONE                    VAN          D           </v>
      </c>
      <c r="E5705" t="str">
        <f>"TUPELO                    "</f>
        <v xml:space="preserve">TUPELO                    </v>
      </c>
      <c r="F5705" t="str">
        <f t="shared" si="204"/>
        <v>MS</v>
      </c>
    </row>
    <row r="5706" spans="1:6" x14ac:dyDescent="0.25">
      <c r="A5706" t="str">
        <f>"000111934"</f>
        <v>000111934</v>
      </c>
      <c r="B5706" t="str">
        <f>"1174626303"</f>
        <v>1174626303</v>
      </c>
      <c r="C5706" t="str">
        <f>"207V00000X"</f>
        <v>207V00000X</v>
      </c>
      <c r="D5706" t="str">
        <f>"MCKIEVER JR              DANIEL       J           "</f>
        <v xml:space="preserve">MCKIEVER JR              DANIEL       J           </v>
      </c>
      <c r="E5706" t="str">
        <f>"MERIDIAN                  "</f>
        <v xml:space="preserve">MERIDIAN                  </v>
      </c>
      <c r="F5706" t="str">
        <f t="shared" si="204"/>
        <v>MS</v>
      </c>
    </row>
    <row r="5707" spans="1:6" x14ac:dyDescent="0.25">
      <c r="A5707" t="str">
        <f>"000111937"</f>
        <v>000111937</v>
      </c>
      <c r="B5707" t="str">
        <f>"1053625012"</f>
        <v>1053625012</v>
      </c>
      <c r="C5707" t="str">
        <f>"2084P0800X"</f>
        <v>2084P0800X</v>
      </c>
      <c r="D5707" t="str">
        <f>"STANLEY                  FRANKIE      E           "</f>
        <v xml:space="preserve">STANLEY                  FRANKIE      E           </v>
      </c>
      <c r="E5707" t="str">
        <f>"TUPELO                    "</f>
        <v xml:space="preserve">TUPELO                    </v>
      </c>
      <c r="F5707" t="str">
        <f t="shared" si="204"/>
        <v>MS</v>
      </c>
    </row>
    <row r="5708" spans="1:6" x14ac:dyDescent="0.25">
      <c r="A5708" t="str">
        <f>"000111964"</f>
        <v>000111964</v>
      </c>
      <c r="B5708" t="str">
        <f>"1356335764"</f>
        <v>1356335764</v>
      </c>
      <c r="C5708" t="str">
        <f>"363L00000X"</f>
        <v>363L00000X</v>
      </c>
      <c r="D5708" t="str">
        <f>"TURNER                   ANITA        J           "</f>
        <v xml:space="preserve">TURNER                   ANITA        J           </v>
      </c>
      <c r="E5708" t="str">
        <f>"RIPLEY                    "</f>
        <v xml:space="preserve">RIPLEY                    </v>
      </c>
      <c r="F5708" t="str">
        <f t="shared" si="204"/>
        <v>MS</v>
      </c>
    </row>
    <row r="5709" spans="1:6" x14ac:dyDescent="0.25">
      <c r="A5709" t="str">
        <f>"000112019"</f>
        <v>000112019</v>
      </c>
      <c r="B5709" t="str">
        <f>"1659395838"</f>
        <v>1659395838</v>
      </c>
      <c r="C5709" t="str">
        <f>"208600000X"</f>
        <v>208600000X</v>
      </c>
      <c r="D5709" t="str">
        <f>"ANDY                     ORLANDO                  "</f>
        <v xml:space="preserve">ANDY                     ORLANDO                  </v>
      </c>
      <c r="E5709" t="str">
        <f>"HATTIESBURG               "</f>
        <v xml:space="preserve">HATTIESBURG               </v>
      </c>
      <c r="F5709" t="str">
        <f t="shared" si="204"/>
        <v>MS</v>
      </c>
    </row>
    <row r="5710" spans="1:6" x14ac:dyDescent="0.25">
      <c r="A5710" t="str">
        <f>"000112065"</f>
        <v>000112065</v>
      </c>
      <c r="B5710" t="str">
        <f>"1558380477"</f>
        <v>1558380477</v>
      </c>
      <c r="C5710" t="str">
        <f>"208600000X"</f>
        <v>208600000X</v>
      </c>
      <c r="D5710" t="str">
        <f>"BOWDEN                   DOUGLAS      E           "</f>
        <v xml:space="preserve">BOWDEN                   DOUGLAS      E           </v>
      </c>
      <c r="E5710" t="str">
        <f>"GREENWOOD                 "</f>
        <v xml:space="preserve">GREENWOOD                 </v>
      </c>
      <c r="F5710" t="str">
        <f t="shared" si="204"/>
        <v>MS</v>
      </c>
    </row>
    <row r="5711" spans="1:6" x14ac:dyDescent="0.25">
      <c r="A5711" t="str">
        <f>"000112101"</f>
        <v>000112101</v>
      </c>
      <c r="B5711" t="str">
        <f>"1134158579"</f>
        <v>1134158579</v>
      </c>
      <c r="C5711" t="str">
        <f>"207R00000X"</f>
        <v>207R00000X</v>
      </c>
      <c r="D5711" t="str">
        <f>"LEE                      ZINA         D           "</f>
        <v xml:space="preserve">LEE                      ZINA         D           </v>
      </c>
      <c r="E5711" t="str">
        <f>"JACKSON                   "</f>
        <v xml:space="preserve">JACKSON                   </v>
      </c>
      <c r="F5711" t="str">
        <f t="shared" si="204"/>
        <v>MS</v>
      </c>
    </row>
    <row r="5712" spans="1:6" x14ac:dyDescent="0.25">
      <c r="A5712" t="str">
        <f>"000112103"</f>
        <v>000112103</v>
      </c>
      <c r="B5712" t="str">
        <f>"1740373448"</f>
        <v>1740373448</v>
      </c>
      <c r="C5712" t="str">
        <f>"208100000X"</f>
        <v>208100000X</v>
      </c>
      <c r="D5712" t="str">
        <f>"WINKELMANN               MICHAEL      H           "</f>
        <v xml:space="preserve">WINKELMANN               MICHAEL      H           </v>
      </c>
      <c r="E5712" t="str">
        <f>"FLOWOOD                   "</f>
        <v xml:space="preserve">FLOWOOD                   </v>
      </c>
      <c r="F5712" t="str">
        <f t="shared" si="204"/>
        <v>MS</v>
      </c>
    </row>
    <row r="5713" spans="1:6" x14ac:dyDescent="0.25">
      <c r="A5713" t="str">
        <f>"000112104"</f>
        <v>000112104</v>
      </c>
      <c r="B5713" t="str">
        <f>"1902991219"</f>
        <v>1902991219</v>
      </c>
      <c r="C5713" t="str">
        <f>"208100000X"</f>
        <v>208100000X</v>
      </c>
      <c r="D5713" t="str">
        <f>"VOHRA                    RAHUL                    "</f>
        <v xml:space="preserve">VOHRA                    RAHUL                    </v>
      </c>
      <c r="E5713" t="str">
        <f>"FLOWOOD                   "</f>
        <v xml:space="preserve">FLOWOOD                   </v>
      </c>
      <c r="F5713" t="str">
        <f t="shared" si="204"/>
        <v>MS</v>
      </c>
    </row>
    <row r="5714" spans="1:6" x14ac:dyDescent="0.25">
      <c r="A5714" t="str">
        <f>"000112107"</f>
        <v>000112107</v>
      </c>
      <c r="B5714" t="str">
        <f>"1356498422"</f>
        <v>1356498422</v>
      </c>
      <c r="C5714" t="str">
        <f t="shared" ref="C5714:C5719" si="205">"207Q00000X"</f>
        <v>207Q00000X</v>
      </c>
      <c r="D5714" t="str">
        <f>"BROWN                    FELICIA      M           "</f>
        <v xml:space="preserve">BROWN                    FELICIA      M           </v>
      </c>
      <c r="E5714" t="str">
        <f>"JACKSON                   "</f>
        <v xml:space="preserve">JACKSON                   </v>
      </c>
      <c r="F5714" t="str">
        <f t="shared" si="204"/>
        <v>MS</v>
      </c>
    </row>
    <row r="5715" spans="1:6" x14ac:dyDescent="0.25">
      <c r="A5715" t="str">
        <f>"000112108"</f>
        <v>000112108</v>
      </c>
      <c r="B5715" t="str">
        <f>"1871534008"</f>
        <v>1871534008</v>
      </c>
      <c r="C5715" t="str">
        <f t="shared" si="205"/>
        <v>207Q00000X</v>
      </c>
      <c r="D5715" t="str">
        <f>"CHIARITO                 SUSAN        A           "</f>
        <v xml:space="preserve">CHIARITO                 SUSAN        A           </v>
      </c>
      <c r="E5715" t="str">
        <f>"VICKSBURG                 "</f>
        <v xml:space="preserve">VICKSBURG                 </v>
      </c>
      <c r="F5715" t="str">
        <f t="shared" si="204"/>
        <v>MS</v>
      </c>
    </row>
    <row r="5716" spans="1:6" x14ac:dyDescent="0.25">
      <c r="A5716" t="str">
        <f>"000112109"</f>
        <v>000112109</v>
      </c>
      <c r="B5716" t="str">
        <f>"1154410900"</f>
        <v>1154410900</v>
      </c>
      <c r="C5716" t="str">
        <f t="shared" si="205"/>
        <v>207Q00000X</v>
      </c>
      <c r="D5716" t="str">
        <f>"COUGHLIN                 WILLIAM      D           "</f>
        <v xml:space="preserve">COUGHLIN                 WILLIAM      D           </v>
      </c>
      <c r="E5716" t="str">
        <f>"WHITFIELD                 "</f>
        <v xml:space="preserve">WHITFIELD                 </v>
      </c>
      <c r="F5716" t="str">
        <f t="shared" si="204"/>
        <v>MS</v>
      </c>
    </row>
    <row r="5717" spans="1:6" x14ac:dyDescent="0.25">
      <c r="A5717" t="str">
        <f>"000112110"</f>
        <v>000112110</v>
      </c>
      <c r="B5717" t="str">
        <f>"1912104159"</f>
        <v>1912104159</v>
      </c>
      <c r="C5717" t="str">
        <f t="shared" si="205"/>
        <v>207Q00000X</v>
      </c>
      <c r="D5717" t="str">
        <f>"DAVIS-SULLIVAN           HURSIE       J           "</f>
        <v xml:space="preserve">DAVIS-SULLIVAN           HURSIE       J           </v>
      </c>
      <c r="E5717" t="str">
        <f>"JACKSON                   "</f>
        <v xml:space="preserve">JACKSON                   </v>
      </c>
      <c r="F5717" t="str">
        <f t="shared" si="204"/>
        <v>MS</v>
      </c>
    </row>
    <row r="5718" spans="1:6" x14ac:dyDescent="0.25">
      <c r="A5718" t="str">
        <f>"000112115"</f>
        <v>000112115</v>
      </c>
      <c r="B5718" t="str">
        <f>"1023121555"</f>
        <v>1023121555</v>
      </c>
      <c r="C5718" t="str">
        <f t="shared" si="205"/>
        <v>207Q00000X</v>
      </c>
      <c r="D5718" t="str">
        <f>"GIPSON IV                WALTER                   "</f>
        <v xml:space="preserve">GIPSON IV                WALTER                   </v>
      </c>
      <c r="E5718" t="str">
        <f>"PICAYUNE                  "</f>
        <v xml:space="preserve">PICAYUNE                  </v>
      </c>
      <c r="F5718" t="str">
        <f t="shared" si="204"/>
        <v>MS</v>
      </c>
    </row>
    <row r="5719" spans="1:6" x14ac:dyDescent="0.25">
      <c r="A5719" t="str">
        <f>"000112116"</f>
        <v>000112116</v>
      </c>
      <c r="B5719" t="str">
        <f>"1538178777"</f>
        <v>1538178777</v>
      </c>
      <c r="C5719" t="str">
        <f t="shared" si="205"/>
        <v>207Q00000X</v>
      </c>
      <c r="D5719" t="str">
        <f>"GEORGE                   ANDREW                   "</f>
        <v xml:space="preserve">GEORGE                   ANDREW                   </v>
      </c>
      <c r="E5719" t="str">
        <f>"ROLLING FORK              "</f>
        <v xml:space="preserve">ROLLING FORK              </v>
      </c>
      <c r="F5719" t="str">
        <f t="shared" si="204"/>
        <v>MS</v>
      </c>
    </row>
    <row r="5720" spans="1:6" x14ac:dyDescent="0.25">
      <c r="A5720" t="str">
        <f>"000112121"</f>
        <v>000112121</v>
      </c>
      <c r="B5720" t="str">
        <f>"1295828614"</f>
        <v>1295828614</v>
      </c>
      <c r="C5720" t="str">
        <f>"207R00000X"</f>
        <v>207R00000X</v>
      </c>
      <c r="D5720" t="str">
        <f>"LAMPTON                  BRETT        C           "</f>
        <v xml:space="preserve">LAMPTON                  BRETT        C           </v>
      </c>
      <c r="E5720" t="str">
        <f>"OXFORD                    "</f>
        <v xml:space="preserve">OXFORD                    </v>
      </c>
      <c r="F5720" t="str">
        <f t="shared" si="204"/>
        <v>MS</v>
      </c>
    </row>
    <row r="5721" spans="1:6" x14ac:dyDescent="0.25">
      <c r="A5721" t="str">
        <f>"000112122"</f>
        <v>000112122</v>
      </c>
      <c r="B5721" t="str">
        <f>"1689781007"</f>
        <v>1689781007</v>
      </c>
      <c r="C5721" t="str">
        <f>"207Q00000X"</f>
        <v>207Q00000X</v>
      </c>
      <c r="D5721" t="str">
        <f>"LAMPTON                  LUCIUS       M           "</f>
        <v xml:space="preserve">LAMPTON                  LUCIUS       M           </v>
      </c>
      <c r="E5721" t="str">
        <f>"MAGNOLIA                  "</f>
        <v xml:space="preserve">MAGNOLIA                  </v>
      </c>
      <c r="F5721" t="str">
        <f t="shared" si="204"/>
        <v>MS</v>
      </c>
    </row>
    <row r="5722" spans="1:6" x14ac:dyDescent="0.25">
      <c r="A5722" t="str">
        <f>"000112134"</f>
        <v>000112134</v>
      </c>
      <c r="B5722" t="str">
        <f>"1629034764"</f>
        <v>1629034764</v>
      </c>
      <c r="C5722" t="str">
        <f>"207Q00000X"</f>
        <v>207Q00000X</v>
      </c>
      <c r="D5722" t="str">
        <f>"STANBACK                 JOHN         E           "</f>
        <v xml:space="preserve">STANBACK                 JOHN         E           </v>
      </c>
      <c r="E5722" t="str">
        <f>"COLUMBUS                  "</f>
        <v xml:space="preserve">COLUMBUS                  </v>
      </c>
      <c r="F5722" t="str">
        <f t="shared" si="204"/>
        <v>MS</v>
      </c>
    </row>
    <row r="5723" spans="1:6" x14ac:dyDescent="0.25">
      <c r="A5723" t="str">
        <f>"000112135"</f>
        <v>000112135</v>
      </c>
      <c r="B5723" t="str">
        <f>"1417999301"</f>
        <v>1417999301</v>
      </c>
      <c r="C5723" t="str">
        <f>"207Q00000X"</f>
        <v>207Q00000X</v>
      </c>
      <c r="D5723" t="str">
        <f>"STANLEY                  MARKUS       B           "</f>
        <v xml:space="preserve">STANLEY                  MARKUS       B           </v>
      </c>
      <c r="E5723" t="str">
        <f>"VICKSBURG                 "</f>
        <v xml:space="preserve">VICKSBURG                 </v>
      </c>
      <c r="F5723" t="str">
        <f t="shared" si="204"/>
        <v>MS</v>
      </c>
    </row>
    <row r="5724" spans="1:6" x14ac:dyDescent="0.25">
      <c r="A5724" t="str">
        <f>"000112141"</f>
        <v>000112141</v>
      </c>
      <c r="B5724" t="str">
        <f>"1376671255"</f>
        <v>1376671255</v>
      </c>
      <c r="C5724" t="str">
        <f>"2080N0001X"</f>
        <v>2080N0001X</v>
      </c>
      <c r="D5724" t="str">
        <f>"WHITE                    CLINTON      B           "</f>
        <v xml:space="preserve">WHITE                    CLINTON      B           </v>
      </c>
      <c r="E5724" t="str">
        <f>"HATTIESBURG               "</f>
        <v xml:space="preserve">HATTIESBURG               </v>
      </c>
      <c r="F5724" t="str">
        <f t="shared" si="204"/>
        <v>MS</v>
      </c>
    </row>
    <row r="5725" spans="1:6" x14ac:dyDescent="0.25">
      <c r="A5725" t="str">
        <f>"000112154"</f>
        <v>000112154</v>
      </c>
      <c r="B5725" t="str">
        <f>"1790777142"</f>
        <v>1790777142</v>
      </c>
      <c r="C5725" t="str">
        <f>"207ZP0102X"</f>
        <v>207ZP0102X</v>
      </c>
      <c r="D5725" t="str">
        <f>"CAUSEY II                JACK         Q           "</f>
        <v xml:space="preserve">CAUSEY II                JACK         Q           </v>
      </c>
      <c r="E5725" t="str">
        <f>"GULFPORT                  "</f>
        <v xml:space="preserve">GULFPORT                  </v>
      </c>
      <c r="F5725" t="str">
        <f t="shared" si="204"/>
        <v>MS</v>
      </c>
    </row>
    <row r="5726" spans="1:6" x14ac:dyDescent="0.25">
      <c r="A5726" t="str">
        <f>"000112173"</f>
        <v>000112173</v>
      </c>
      <c r="B5726" t="str">
        <f>"1932189818"</f>
        <v>1932189818</v>
      </c>
      <c r="C5726" t="str">
        <f>"2086S0122X"</f>
        <v>2086S0122X</v>
      </c>
      <c r="D5726" t="str">
        <f>"CRAIG                    MARK         H           "</f>
        <v xml:space="preserve">CRAIG                    MARK         H           </v>
      </c>
      <c r="E5726" t="str">
        <f>"TUPELO                    "</f>
        <v xml:space="preserve">TUPELO                    </v>
      </c>
      <c r="F5726" t="str">
        <f t="shared" si="204"/>
        <v>MS</v>
      </c>
    </row>
    <row r="5727" spans="1:6" x14ac:dyDescent="0.25">
      <c r="A5727" t="str">
        <f>"000112194"</f>
        <v>000112194</v>
      </c>
      <c r="B5727" t="str">
        <f>"1770690091"</f>
        <v>1770690091</v>
      </c>
      <c r="C5727" t="str">
        <f>"207L00000X"</f>
        <v>207L00000X</v>
      </c>
      <c r="D5727" t="str">
        <f>"PENNINGTON               ROY          D           "</f>
        <v xml:space="preserve">PENNINGTON               ROY          D           </v>
      </c>
      <c r="E5727" t="str">
        <f>"MCCOMB                    "</f>
        <v xml:space="preserve">MCCOMB                    </v>
      </c>
      <c r="F5727" t="str">
        <f t="shared" si="204"/>
        <v>MS</v>
      </c>
    </row>
    <row r="5728" spans="1:6" x14ac:dyDescent="0.25">
      <c r="A5728" t="str">
        <f>"000112219"</f>
        <v>000112219</v>
      </c>
      <c r="B5728" t="str">
        <f>"1326041146"</f>
        <v>1326041146</v>
      </c>
      <c r="C5728" t="str">
        <f>"208100000X"</f>
        <v>208100000X</v>
      </c>
      <c r="D5728" t="str">
        <f>"CUNNINGHAM               MARK                     "</f>
        <v xml:space="preserve">CUNNINGHAM               MARK                     </v>
      </c>
      <c r="E5728" t="str">
        <f>"SOUTHAVEN                 "</f>
        <v xml:space="preserve">SOUTHAVEN                 </v>
      </c>
      <c r="F5728" t="str">
        <f t="shared" si="204"/>
        <v>MS</v>
      </c>
    </row>
    <row r="5729" spans="1:6" x14ac:dyDescent="0.25">
      <c r="A5729" t="str">
        <f>"000112220"</f>
        <v>000112220</v>
      </c>
      <c r="B5729" t="str">
        <f>"1760466262"</f>
        <v>1760466262</v>
      </c>
      <c r="C5729" t="str">
        <f>"207R00000X"</f>
        <v>207R00000X</v>
      </c>
      <c r="D5729" t="str">
        <f>"DENNIS                   LAURENCE     L           "</f>
        <v xml:space="preserve">DENNIS                   LAURENCE     L           </v>
      </c>
      <c r="E5729" t="str">
        <f>"BOONEVILLE                "</f>
        <v xml:space="preserve">BOONEVILLE                </v>
      </c>
      <c r="F5729" t="str">
        <f t="shared" si="204"/>
        <v>MS</v>
      </c>
    </row>
    <row r="5730" spans="1:6" x14ac:dyDescent="0.25">
      <c r="A5730" t="str">
        <f>"000112301"</f>
        <v>000112301</v>
      </c>
      <c r="B5730" t="str">
        <f>"1558328484"</f>
        <v>1558328484</v>
      </c>
      <c r="C5730" t="str">
        <f>"207L00000X"</f>
        <v>207L00000X</v>
      </c>
      <c r="D5730" t="str">
        <f>"TURNER IV                JOHN         L           "</f>
        <v xml:space="preserve">TURNER IV                JOHN         L           </v>
      </c>
      <c r="E5730" t="str">
        <f>"STARKVILLE                "</f>
        <v xml:space="preserve">STARKVILLE                </v>
      </c>
      <c r="F5730" t="str">
        <f t="shared" si="204"/>
        <v>MS</v>
      </c>
    </row>
    <row r="5731" spans="1:6" x14ac:dyDescent="0.25">
      <c r="A5731" t="str">
        <f>"000112356"</f>
        <v>000112356</v>
      </c>
      <c r="B5731" t="str">
        <f>"1427098565"</f>
        <v>1427098565</v>
      </c>
      <c r="C5731" t="str">
        <f>"367500000X"</f>
        <v>367500000X</v>
      </c>
      <c r="D5731" t="str">
        <f>"DENIAKOS                 NICK                     "</f>
        <v xml:space="preserve">DENIAKOS                 NICK                     </v>
      </c>
      <c r="E5731" t="str">
        <f>"LAUREL                    "</f>
        <v xml:space="preserve">LAUREL                    </v>
      </c>
      <c r="F5731" t="str">
        <f t="shared" si="204"/>
        <v>MS</v>
      </c>
    </row>
    <row r="5732" spans="1:6" x14ac:dyDescent="0.25">
      <c r="A5732" t="str">
        <f>"000112364"</f>
        <v>000112364</v>
      </c>
      <c r="B5732" t="str">
        <f>"1144263062"</f>
        <v>1144263062</v>
      </c>
      <c r="C5732" t="str">
        <f>"207L00000X"</f>
        <v>207L00000X</v>
      </c>
      <c r="D5732" t="str">
        <f>"KENNEDY JR               JOHN         L           "</f>
        <v xml:space="preserve">KENNEDY JR               JOHN         L           </v>
      </c>
      <c r="E5732" t="str">
        <f>"JACKSON                   "</f>
        <v xml:space="preserve">JACKSON                   </v>
      </c>
      <c r="F5732" t="str">
        <f t="shared" si="204"/>
        <v>MS</v>
      </c>
    </row>
    <row r="5733" spans="1:6" x14ac:dyDescent="0.25">
      <c r="A5733" t="str">
        <f>"000112370"</f>
        <v>000112370</v>
      </c>
      <c r="B5733" t="str">
        <f>"1164413407"</f>
        <v>1164413407</v>
      </c>
      <c r="C5733" t="str">
        <f>"207RC0200X"</f>
        <v>207RC0200X</v>
      </c>
      <c r="D5733" t="str">
        <f>"MCEACHERN                ROBERT       C           "</f>
        <v xml:space="preserve">MCEACHERN                ROBERT       C           </v>
      </c>
      <c r="E5733" t="str">
        <f>"TUPELO                    "</f>
        <v xml:space="preserve">TUPELO                    </v>
      </c>
      <c r="F5733" t="str">
        <f t="shared" si="204"/>
        <v>MS</v>
      </c>
    </row>
    <row r="5734" spans="1:6" x14ac:dyDescent="0.25">
      <c r="A5734" t="str">
        <f>"000112393"</f>
        <v>000112393</v>
      </c>
      <c r="B5734" t="str">
        <f>"1356314702"</f>
        <v>1356314702</v>
      </c>
      <c r="C5734" t="str">
        <f>"208000000X"</f>
        <v>208000000X</v>
      </c>
      <c r="D5734" t="str">
        <f>"BUCKLEY                  ROBERT       L           "</f>
        <v xml:space="preserve">BUCKLEY                  ROBERT       L           </v>
      </c>
      <c r="E5734" t="str">
        <f>"COLUMBUS                  "</f>
        <v xml:space="preserve">COLUMBUS                  </v>
      </c>
      <c r="F5734" t="str">
        <f t="shared" si="204"/>
        <v>MS</v>
      </c>
    </row>
    <row r="5735" spans="1:6" x14ac:dyDescent="0.25">
      <c r="A5735" t="str">
        <f>"000112394"</f>
        <v>000112394</v>
      </c>
      <c r="B5735" t="str">
        <f>"1033253877"</f>
        <v>1033253877</v>
      </c>
      <c r="C5735" t="str">
        <f>"207V00000X"</f>
        <v>207V00000X</v>
      </c>
      <c r="D5735" t="str">
        <f>"COOK                     JOHN         W           "</f>
        <v xml:space="preserve">COOK                     JOHN         W           </v>
      </c>
      <c r="E5735" t="str">
        <f>"FLOWOOD                   "</f>
        <v xml:space="preserve">FLOWOOD                   </v>
      </c>
      <c r="F5735" t="str">
        <f t="shared" si="204"/>
        <v>MS</v>
      </c>
    </row>
    <row r="5736" spans="1:6" x14ac:dyDescent="0.25">
      <c r="A5736" t="str">
        <f>"000112405"</f>
        <v>000112405</v>
      </c>
      <c r="B5736" t="str">
        <f>"1992818793"</f>
        <v>1992818793</v>
      </c>
      <c r="C5736" t="str">
        <f>"207R00000X"</f>
        <v>207R00000X</v>
      </c>
      <c r="D5736" t="str">
        <f>"PATEL                    HARILAL      R           "</f>
        <v xml:space="preserve">PATEL                    HARILAL      R           </v>
      </c>
      <c r="E5736" t="str">
        <f>"LUCEDALE                  "</f>
        <v xml:space="preserve">LUCEDALE                  </v>
      </c>
      <c r="F5736" t="str">
        <f t="shared" si="204"/>
        <v>MS</v>
      </c>
    </row>
    <row r="5737" spans="1:6" x14ac:dyDescent="0.25">
      <c r="A5737" t="str">
        <f>"000112408"</f>
        <v>000112408</v>
      </c>
      <c r="B5737" t="str">
        <f>"1457321325"</f>
        <v>1457321325</v>
      </c>
      <c r="C5737" t="str">
        <f>"207K00000X"</f>
        <v>207K00000X</v>
      </c>
      <c r="D5737" t="str">
        <f>"WALCOTT                  DEXTER       W           "</f>
        <v xml:space="preserve">WALCOTT                  DEXTER       W           </v>
      </c>
      <c r="E5737" t="str">
        <f>"OXFORD                    "</f>
        <v xml:space="preserve">OXFORD                    </v>
      </c>
      <c r="F5737" t="str">
        <f t="shared" si="204"/>
        <v>MS</v>
      </c>
    </row>
    <row r="5738" spans="1:6" x14ac:dyDescent="0.25">
      <c r="A5738" t="str">
        <f>"000112453"</f>
        <v>000112453</v>
      </c>
      <c r="B5738" t="str">
        <f>"1407837503"</f>
        <v>1407837503</v>
      </c>
      <c r="C5738" t="str">
        <f>"207R00000X"</f>
        <v>207R00000X</v>
      </c>
      <c r="D5738" t="str">
        <f>"HAIDAR                   AHMAD        A           "</f>
        <v xml:space="preserve">HAIDAR                   AHMAD        A           </v>
      </c>
      <c r="E5738" t="str">
        <f>"CARRIERE                  "</f>
        <v xml:space="preserve">CARRIERE                  </v>
      </c>
      <c r="F5738" t="str">
        <f t="shared" si="204"/>
        <v>MS</v>
      </c>
    </row>
    <row r="5739" spans="1:6" x14ac:dyDescent="0.25">
      <c r="A5739" t="str">
        <f>"000112469"</f>
        <v>000112469</v>
      </c>
      <c r="B5739" t="str">
        <f>"1760415608"</f>
        <v>1760415608</v>
      </c>
      <c r="C5739" t="str">
        <f>"207RX0202X"</f>
        <v>207RX0202X</v>
      </c>
      <c r="D5739" t="str">
        <f>"WHEELER III              BENTON       M           "</f>
        <v xml:space="preserve">WHEELER III              BENTON       M           </v>
      </c>
      <c r="E5739" t="str">
        <f>"TUPELO                    "</f>
        <v xml:space="preserve">TUPELO                    </v>
      </c>
      <c r="F5739" t="str">
        <f t="shared" si="204"/>
        <v>MS</v>
      </c>
    </row>
    <row r="5740" spans="1:6" x14ac:dyDescent="0.25">
      <c r="A5740" t="str">
        <f>"000112521"</f>
        <v>000112521</v>
      </c>
      <c r="B5740" t="str">
        <f>"1386784239"</f>
        <v>1386784239</v>
      </c>
      <c r="C5740" t="str">
        <f>"2084N0400X"</f>
        <v>2084N0400X</v>
      </c>
      <c r="D5740" t="str">
        <f>"MYERS                    MITCHELL                 "</f>
        <v xml:space="preserve">MYERS                    MITCHELL                 </v>
      </c>
      <c r="E5740" t="str">
        <f>"JACKSON                   "</f>
        <v xml:space="preserve">JACKSON                   </v>
      </c>
      <c r="F5740" t="str">
        <f t="shared" si="204"/>
        <v>MS</v>
      </c>
    </row>
    <row r="5741" spans="1:6" x14ac:dyDescent="0.25">
      <c r="A5741" t="str">
        <f>"000112585"</f>
        <v>000112585</v>
      </c>
      <c r="B5741" t="str">
        <f>"1023122942"</f>
        <v>1023122942</v>
      </c>
      <c r="C5741" t="str">
        <f>"207V00000X"</f>
        <v>207V00000X</v>
      </c>
      <c r="D5741" t="str">
        <f>"HUDSON                   JEFFREY      L           "</f>
        <v xml:space="preserve">HUDSON                   JEFFREY      L           </v>
      </c>
      <c r="E5741" t="str">
        <f>"HATTIESBURG               "</f>
        <v xml:space="preserve">HATTIESBURG               </v>
      </c>
      <c r="F5741" t="str">
        <f t="shared" si="204"/>
        <v>MS</v>
      </c>
    </row>
    <row r="5742" spans="1:6" x14ac:dyDescent="0.25">
      <c r="A5742" t="str">
        <f>"000112655"</f>
        <v>000112655</v>
      </c>
      <c r="B5742" t="str">
        <f>"1982690061"</f>
        <v>1982690061</v>
      </c>
      <c r="C5742" t="str">
        <f>"363L00000X"</f>
        <v>363L00000X</v>
      </c>
      <c r="D5742" t="str">
        <f>"WRIGHT                   LINDA        D           "</f>
        <v xml:space="preserve">WRIGHT                   LINDA        D           </v>
      </c>
      <c r="E5742" t="str">
        <f>"CLARKSDALE                "</f>
        <v xml:space="preserve">CLARKSDALE                </v>
      </c>
      <c r="F5742" t="str">
        <f t="shared" si="204"/>
        <v>MS</v>
      </c>
    </row>
    <row r="5743" spans="1:6" x14ac:dyDescent="0.25">
      <c r="A5743" t="str">
        <f>"000112659"</f>
        <v>000112659</v>
      </c>
      <c r="B5743" t="str">
        <f>"1417975731"</f>
        <v>1417975731</v>
      </c>
      <c r="C5743" t="str">
        <f>"207Q00000X"</f>
        <v>207Q00000X</v>
      </c>
      <c r="D5743" t="str">
        <f>"ARMSTRONG JR             RALPH        C           "</f>
        <v xml:space="preserve">ARMSTRONG JR             RALPH        C           </v>
      </c>
      <c r="E5743" t="str">
        <f>"GRENADA                   "</f>
        <v xml:space="preserve">GRENADA                   </v>
      </c>
      <c r="F5743" t="str">
        <f t="shared" si="204"/>
        <v>MS</v>
      </c>
    </row>
    <row r="5744" spans="1:6" x14ac:dyDescent="0.25">
      <c r="A5744" t="str">
        <f>"000112669"</f>
        <v>000112669</v>
      </c>
      <c r="B5744" t="str">
        <f>"1558345371"</f>
        <v>1558345371</v>
      </c>
      <c r="C5744" t="str">
        <f>"363L00000X"</f>
        <v>363L00000X</v>
      </c>
      <c r="D5744" t="str">
        <f>"JACKSON                  TAMMY        Z           "</f>
        <v xml:space="preserve">JACKSON                  TAMMY        Z           </v>
      </c>
      <c r="E5744" t="str">
        <f>"BALDWYN                   "</f>
        <v xml:space="preserve">BALDWYN                   </v>
      </c>
      <c r="F5744" t="str">
        <f t="shared" si="204"/>
        <v>MS</v>
      </c>
    </row>
    <row r="5745" spans="1:6" x14ac:dyDescent="0.25">
      <c r="A5745" t="str">
        <f>"000112670"</f>
        <v>000112670</v>
      </c>
      <c r="B5745" t="str">
        <f>"1467470799"</f>
        <v>1467470799</v>
      </c>
      <c r="C5745" t="str">
        <f>"207Q00000X"</f>
        <v>207Q00000X</v>
      </c>
      <c r="D5745" t="str">
        <f>"LEE                      KERRY        T           "</f>
        <v xml:space="preserve">LEE                      KERRY        T           </v>
      </c>
      <c r="E5745" t="str">
        <f>"GRENADA                   "</f>
        <v xml:space="preserve">GRENADA                   </v>
      </c>
      <c r="F5745" t="str">
        <f t="shared" si="204"/>
        <v>MS</v>
      </c>
    </row>
    <row r="5746" spans="1:6" x14ac:dyDescent="0.25">
      <c r="A5746" t="str">
        <f>"000112675"</f>
        <v>000112675</v>
      </c>
      <c r="B5746" t="str">
        <f>"1528086857"</f>
        <v>1528086857</v>
      </c>
      <c r="C5746" t="str">
        <f>"207Q00000X"</f>
        <v>207Q00000X</v>
      </c>
      <c r="D5746" t="str">
        <f>"REID                     RICHARD      C           "</f>
        <v xml:space="preserve">REID                     RICHARD      C           </v>
      </c>
      <c r="E5746" t="str">
        <f>"GRENADA                   "</f>
        <v xml:space="preserve">GRENADA                   </v>
      </c>
      <c r="F5746" t="str">
        <f t="shared" si="204"/>
        <v>MS</v>
      </c>
    </row>
    <row r="5747" spans="1:6" x14ac:dyDescent="0.25">
      <c r="A5747" t="str">
        <f>"000112727"</f>
        <v>000112727</v>
      </c>
      <c r="B5747" t="str">
        <f>"1124122700"</f>
        <v>1124122700</v>
      </c>
      <c r="C5747" t="str">
        <f>"207RC0000X"</f>
        <v>207RC0000X</v>
      </c>
      <c r="D5747" t="str">
        <f>"RUDORFER                 BENNETT      L           "</f>
        <v xml:space="preserve">RUDORFER                 BENNETT      L           </v>
      </c>
      <c r="E5747" t="str">
        <f>"OLIVE BRANCH              "</f>
        <v xml:space="preserve">OLIVE BRANCH              </v>
      </c>
      <c r="F5747" t="str">
        <f t="shared" si="204"/>
        <v>MS</v>
      </c>
    </row>
    <row r="5748" spans="1:6" x14ac:dyDescent="0.25">
      <c r="A5748" t="str">
        <f>"000112750"</f>
        <v>000112750</v>
      </c>
      <c r="B5748" t="str">
        <f>"1275695694"</f>
        <v>1275695694</v>
      </c>
      <c r="C5748" t="str">
        <f>"207R00000X"</f>
        <v>207R00000X</v>
      </c>
      <c r="D5748" t="str">
        <f>"DAYTON                   HARRY        E           "</f>
        <v xml:space="preserve">DAYTON                   HARRY        E           </v>
      </c>
      <c r="E5748" t="str">
        <f>"MERIDIAN                  "</f>
        <v xml:space="preserve">MERIDIAN                  </v>
      </c>
      <c r="F5748" t="str">
        <f t="shared" si="204"/>
        <v>MS</v>
      </c>
    </row>
    <row r="5749" spans="1:6" x14ac:dyDescent="0.25">
      <c r="A5749" t="str">
        <f>"000112774"</f>
        <v>000112774</v>
      </c>
      <c r="B5749" t="str">
        <f>"1760415087"</f>
        <v>1760415087</v>
      </c>
      <c r="C5749" t="str">
        <f>"363L00000X"</f>
        <v>363L00000X</v>
      </c>
      <c r="D5749" t="str">
        <f>"PARSONS                  MICHELLE     E           "</f>
        <v xml:space="preserve">PARSONS                  MICHELLE     E           </v>
      </c>
      <c r="E5749" t="str">
        <f>"COLUMBUS                  "</f>
        <v xml:space="preserve">COLUMBUS                  </v>
      </c>
      <c r="F5749" t="str">
        <f t="shared" si="204"/>
        <v>MS</v>
      </c>
    </row>
    <row r="5750" spans="1:6" x14ac:dyDescent="0.25">
      <c r="A5750" t="str">
        <f>"000112780"</f>
        <v>000112780</v>
      </c>
      <c r="B5750" t="str">
        <f>"1659444651"</f>
        <v>1659444651</v>
      </c>
      <c r="C5750" t="str">
        <f>"363L00000X"</f>
        <v>363L00000X</v>
      </c>
      <c r="D5750" t="str">
        <f>"GARNER                   BEVERLY      A           "</f>
        <v xml:space="preserve">GARNER                   BEVERLY      A           </v>
      </c>
      <c r="E5750" t="str">
        <f>"MACON                     "</f>
        <v xml:space="preserve">MACON                     </v>
      </c>
      <c r="F5750" t="str">
        <f t="shared" si="204"/>
        <v>MS</v>
      </c>
    </row>
    <row r="5751" spans="1:6" x14ac:dyDescent="0.25">
      <c r="A5751" t="str">
        <f>"000112817"</f>
        <v>000112817</v>
      </c>
      <c r="B5751" t="str">
        <f>"1679692396"</f>
        <v>1679692396</v>
      </c>
      <c r="C5751" t="str">
        <f>"208600000X"</f>
        <v>208600000X</v>
      </c>
      <c r="D5751" t="str">
        <f>"MARTIN                   REGINALD     W           "</f>
        <v xml:space="preserve">MARTIN                   REGINALD     W           </v>
      </c>
      <c r="E5751" t="str">
        <f>"JACKSON                   "</f>
        <v xml:space="preserve">JACKSON                   </v>
      </c>
      <c r="F5751" t="str">
        <f t="shared" si="204"/>
        <v>MS</v>
      </c>
    </row>
    <row r="5752" spans="1:6" x14ac:dyDescent="0.25">
      <c r="A5752" t="str">
        <f>"000112842"</f>
        <v>000112842</v>
      </c>
      <c r="B5752" t="str">
        <f>"1134102296"</f>
        <v>1134102296</v>
      </c>
      <c r="C5752" t="str">
        <f>"207RG0100X"</f>
        <v>207RG0100X</v>
      </c>
      <c r="D5752" t="str">
        <f>"DUNGAN                   VINCENT      C           "</f>
        <v xml:space="preserve">DUNGAN                   VINCENT      C           </v>
      </c>
      <c r="E5752" t="str">
        <f>"MERIDIAN                  "</f>
        <v xml:space="preserve">MERIDIAN                  </v>
      </c>
      <c r="F5752" t="str">
        <f t="shared" si="204"/>
        <v>MS</v>
      </c>
    </row>
    <row r="5753" spans="1:6" x14ac:dyDescent="0.25">
      <c r="A5753" t="str">
        <f>"000112860"</f>
        <v>000112860</v>
      </c>
      <c r="B5753" t="str">
        <f>"1134154339"</f>
        <v>1134154339</v>
      </c>
      <c r="C5753" t="str">
        <f>"207L00000X"</f>
        <v>207L00000X</v>
      </c>
      <c r="D5753" t="str">
        <f>"THOMPSON, JR.            ROBERT       F           "</f>
        <v xml:space="preserve">THOMPSON, JR.            ROBERT       F           </v>
      </c>
      <c r="E5753" t="str">
        <f>"TUPELO                    "</f>
        <v xml:space="preserve">TUPELO                    </v>
      </c>
      <c r="F5753" t="str">
        <f t="shared" si="204"/>
        <v>MS</v>
      </c>
    </row>
    <row r="5754" spans="1:6" x14ac:dyDescent="0.25">
      <c r="A5754" t="str">
        <f>"000112891"</f>
        <v>000112891</v>
      </c>
      <c r="B5754" t="str">
        <f>"1821038407"</f>
        <v>1821038407</v>
      </c>
      <c r="C5754" t="str">
        <f>"207P00000X"</f>
        <v>207P00000X</v>
      </c>
      <c r="D5754" t="str">
        <f>"LEWIS                    JAMES        R           "</f>
        <v xml:space="preserve">LEWIS                    JAMES        R           </v>
      </c>
      <c r="E5754" t="str">
        <f>"TUPELO                    "</f>
        <v xml:space="preserve">TUPELO                    </v>
      </c>
      <c r="F5754" t="str">
        <f t="shared" si="204"/>
        <v>MS</v>
      </c>
    </row>
    <row r="5755" spans="1:6" x14ac:dyDescent="0.25">
      <c r="A5755" t="str">
        <f>"000112954"</f>
        <v>000112954</v>
      </c>
      <c r="B5755" t="str">
        <f>"1649204629"</f>
        <v>1649204629</v>
      </c>
      <c r="C5755" t="str">
        <f>"363L00000X"</f>
        <v>363L00000X</v>
      </c>
      <c r="D5755" t="str">
        <f>"VAIL                     GENA         A           "</f>
        <v xml:space="preserve">VAIL                     GENA         A           </v>
      </c>
      <c r="E5755" t="str">
        <f>"NEW ALBANY                "</f>
        <v xml:space="preserve">NEW ALBANY                </v>
      </c>
      <c r="F5755" t="str">
        <f t="shared" si="204"/>
        <v>MS</v>
      </c>
    </row>
    <row r="5756" spans="1:6" x14ac:dyDescent="0.25">
      <c r="A5756" t="str">
        <f>"000112961"</f>
        <v>000112961</v>
      </c>
      <c r="B5756" t="str">
        <f>"1225046543"</f>
        <v>1225046543</v>
      </c>
      <c r="C5756" t="str">
        <f>"207RG0100X"</f>
        <v>207RG0100X</v>
      </c>
      <c r="D5756" t="str">
        <f>"THREADGILL               STEPHEN      T           "</f>
        <v xml:space="preserve">THREADGILL               STEPHEN      T           </v>
      </c>
      <c r="E5756" t="str">
        <f>"OXFORD                    "</f>
        <v xml:space="preserve">OXFORD                    </v>
      </c>
      <c r="F5756" t="str">
        <f t="shared" si="204"/>
        <v>MS</v>
      </c>
    </row>
    <row r="5757" spans="1:6" x14ac:dyDescent="0.25">
      <c r="A5757" t="str">
        <f>"000113106"</f>
        <v>000113106</v>
      </c>
      <c r="B5757" t="str">
        <f>"1578653218"</f>
        <v>1578653218</v>
      </c>
      <c r="C5757" t="str">
        <f>"363L00000X"</f>
        <v>363L00000X</v>
      </c>
      <c r="D5757" t="str">
        <f>"DUNCAN                   ELIZABETH    J           "</f>
        <v xml:space="preserve">DUNCAN                   ELIZABETH    J           </v>
      </c>
      <c r="E5757" t="str">
        <f>"MANTACHIE                 "</f>
        <v xml:space="preserve">MANTACHIE                 </v>
      </c>
      <c r="F5757" t="str">
        <f t="shared" si="204"/>
        <v>MS</v>
      </c>
    </row>
    <row r="5758" spans="1:6" x14ac:dyDescent="0.25">
      <c r="A5758" t="str">
        <f>"000113115"</f>
        <v>000113115</v>
      </c>
      <c r="B5758" t="str">
        <f>"1508863002"</f>
        <v>1508863002</v>
      </c>
      <c r="C5758" t="str">
        <f>"208000000X"</f>
        <v>208000000X</v>
      </c>
      <c r="D5758" t="str">
        <f>"HERNANDEZ                EDUARDO      J           "</f>
        <v xml:space="preserve">HERNANDEZ                EDUARDO      J           </v>
      </c>
      <c r="E5758" t="str">
        <f>"COLUMBIA                  "</f>
        <v xml:space="preserve">COLUMBIA                  </v>
      </c>
      <c r="F5758" t="str">
        <f t="shared" ref="F5758:F5821" si="206">"MS"</f>
        <v>MS</v>
      </c>
    </row>
    <row r="5759" spans="1:6" x14ac:dyDescent="0.25">
      <c r="A5759" t="str">
        <f>"000113141"</f>
        <v>000113141</v>
      </c>
      <c r="B5759" t="str">
        <f>"1194947754"</f>
        <v>1194947754</v>
      </c>
      <c r="C5759" t="str">
        <f>"363L00000X"</f>
        <v>363L00000X</v>
      </c>
      <c r="D5759" t="str">
        <f>"PHELON                   JACQUELINE   S           "</f>
        <v xml:space="preserve">PHELON                   JACQUELINE   S           </v>
      </c>
      <c r="E5759" t="str">
        <f>"GREENWOOD                 "</f>
        <v xml:space="preserve">GREENWOOD                 </v>
      </c>
      <c r="F5759" t="str">
        <f t="shared" si="206"/>
        <v>MS</v>
      </c>
    </row>
    <row r="5760" spans="1:6" x14ac:dyDescent="0.25">
      <c r="A5760" t="str">
        <f>"000113174"</f>
        <v>000113174</v>
      </c>
      <c r="B5760" t="str">
        <f>"1386672970"</f>
        <v>1386672970</v>
      </c>
      <c r="C5760" t="str">
        <f>"2080P0202X"</f>
        <v>2080P0202X</v>
      </c>
      <c r="D5760" t="str">
        <f>"EBEID                    MAKRAM       R           "</f>
        <v xml:space="preserve">EBEID                    MAKRAM       R           </v>
      </c>
      <c r="E5760" t="str">
        <f>"JACKSON                   "</f>
        <v xml:space="preserve">JACKSON                   </v>
      </c>
      <c r="F5760" t="str">
        <f t="shared" si="206"/>
        <v>MS</v>
      </c>
    </row>
    <row r="5761" spans="1:6" x14ac:dyDescent="0.25">
      <c r="A5761" t="str">
        <f>"000113217"</f>
        <v>000113217</v>
      </c>
      <c r="B5761" t="str">
        <f>"1902834690"</f>
        <v>1902834690</v>
      </c>
      <c r="C5761" t="str">
        <f>"207R00000X"</f>
        <v>207R00000X</v>
      </c>
      <c r="D5761" t="str">
        <f>"ARCHER                   BRIAN        S           "</f>
        <v xml:space="preserve">ARCHER                   BRIAN        S           </v>
      </c>
      <c r="E5761" t="str">
        <f>"TUPELO                    "</f>
        <v xml:space="preserve">TUPELO                    </v>
      </c>
      <c r="F5761" t="str">
        <f t="shared" si="206"/>
        <v>MS</v>
      </c>
    </row>
    <row r="5762" spans="1:6" x14ac:dyDescent="0.25">
      <c r="A5762" t="str">
        <f>"000113221"</f>
        <v>000113221</v>
      </c>
      <c r="B5762" t="str">
        <f>"1043342322"</f>
        <v>1043342322</v>
      </c>
      <c r="C5762" t="str">
        <f>"207Q00000X"</f>
        <v>207Q00000X</v>
      </c>
      <c r="D5762" t="str">
        <f>"ELLIS III                DUNK         A           "</f>
        <v xml:space="preserve">ELLIS III                DUNK         A           </v>
      </c>
      <c r="E5762" t="str">
        <f>"MOSS POINT                "</f>
        <v xml:space="preserve">MOSS POINT                </v>
      </c>
      <c r="F5762" t="str">
        <f t="shared" si="206"/>
        <v>MS</v>
      </c>
    </row>
    <row r="5763" spans="1:6" x14ac:dyDescent="0.25">
      <c r="A5763" t="str">
        <f>"000113242"</f>
        <v>000113242</v>
      </c>
      <c r="B5763" t="str">
        <f>"1578545968"</f>
        <v>1578545968</v>
      </c>
      <c r="C5763" t="str">
        <f>"207Q00000X"</f>
        <v>207Q00000X</v>
      </c>
      <c r="D5763" t="str">
        <f>"SHROCK                   MICHAEL      B           "</f>
        <v xml:space="preserve">SHROCK                   MICHAEL      B           </v>
      </c>
      <c r="E5763" t="str">
        <f>"PHILADELPHIA              "</f>
        <v xml:space="preserve">PHILADELPHIA              </v>
      </c>
      <c r="F5763" t="str">
        <f t="shared" si="206"/>
        <v>MS</v>
      </c>
    </row>
    <row r="5764" spans="1:6" x14ac:dyDescent="0.25">
      <c r="A5764" t="str">
        <f>"000113358"</f>
        <v>000113358</v>
      </c>
      <c r="B5764" t="str">
        <f>"1811088115"</f>
        <v>1811088115</v>
      </c>
      <c r="C5764" t="str">
        <f>"208D00000X"</f>
        <v>208D00000X</v>
      </c>
      <c r="D5764" t="str">
        <f>"PALMER                   HERMAN       T           "</f>
        <v xml:space="preserve">PALMER                   HERMAN       T           </v>
      </c>
      <c r="E5764" t="str">
        <f>"TUPELO                    "</f>
        <v xml:space="preserve">TUPELO                    </v>
      </c>
      <c r="F5764" t="str">
        <f t="shared" si="206"/>
        <v>MS</v>
      </c>
    </row>
    <row r="5765" spans="1:6" x14ac:dyDescent="0.25">
      <c r="A5765" t="str">
        <f>"000113366"</f>
        <v>000113366</v>
      </c>
      <c r="B5765" t="str">
        <f>"1083794556"</f>
        <v>1083794556</v>
      </c>
      <c r="C5765" t="str">
        <f>"367500000X"</f>
        <v>367500000X</v>
      </c>
      <c r="D5765" t="str">
        <f>"STONE                    RICHARD      M           "</f>
        <v xml:space="preserve">STONE                    RICHARD      M           </v>
      </c>
      <c r="E5765" t="str">
        <f>"VICKSBURG                 "</f>
        <v xml:space="preserve">VICKSBURG                 </v>
      </c>
      <c r="F5765" t="str">
        <f t="shared" si="206"/>
        <v>MS</v>
      </c>
    </row>
    <row r="5766" spans="1:6" x14ac:dyDescent="0.25">
      <c r="A5766" t="str">
        <f>"000113407"</f>
        <v>000113407</v>
      </c>
      <c r="B5766" t="str">
        <f>"1619913928"</f>
        <v>1619913928</v>
      </c>
      <c r="C5766" t="str">
        <f>"207RX0202X"</f>
        <v>207RX0202X</v>
      </c>
      <c r="D5766" t="str">
        <f>"PUNEKY                   LOUIS        V           "</f>
        <v xml:space="preserve">PUNEKY                   LOUIS        V           </v>
      </c>
      <c r="E5766" t="str">
        <f>"JACKSON                   "</f>
        <v xml:space="preserve">JACKSON                   </v>
      </c>
      <c r="F5766" t="str">
        <f t="shared" si="206"/>
        <v>MS</v>
      </c>
    </row>
    <row r="5767" spans="1:6" x14ac:dyDescent="0.25">
      <c r="A5767" t="str">
        <f>"000113408"</f>
        <v>000113408</v>
      </c>
      <c r="B5767" t="str">
        <f>"1699781948"</f>
        <v>1699781948</v>
      </c>
      <c r="C5767" t="str">
        <f>"2085R0202X"</f>
        <v>2085R0202X</v>
      </c>
      <c r="D5767" t="str">
        <f>"ELLISON JR               RICHARD      B           "</f>
        <v xml:space="preserve">ELLISON JR               RICHARD      B           </v>
      </c>
      <c r="E5767" t="str">
        <f>"JACKSON                   "</f>
        <v xml:space="preserve">JACKSON                   </v>
      </c>
      <c r="F5767" t="str">
        <f t="shared" si="206"/>
        <v>MS</v>
      </c>
    </row>
    <row r="5768" spans="1:6" x14ac:dyDescent="0.25">
      <c r="A5768" t="str">
        <f>"000113432"</f>
        <v>000113432</v>
      </c>
      <c r="B5768" t="str">
        <f>"1417970518"</f>
        <v>1417970518</v>
      </c>
      <c r="C5768" t="str">
        <f>"207R00000X"</f>
        <v>207R00000X</v>
      </c>
      <c r="D5768" t="str">
        <f>"PIDIKITI                 NANNI                    "</f>
        <v xml:space="preserve">PIDIKITI                 NANNI                    </v>
      </c>
      <c r="E5768" t="str">
        <f>"CORINTH                   "</f>
        <v xml:space="preserve">CORINTH                   </v>
      </c>
      <c r="F5768" t="str">
        <f t="shared" si="206"/>
        <v>MS</v>
      </c>
    </row>
    <row r="5769" spans="1:6" x14ac:dyDescent="0.25">
      <c r="A5769" t="str">
        <f>"000113458"</f>
        <v>000113458</v>
      </c>
      <c r="B5769" t="str">
        <f>"1417953233"</f>
        <v>1417953233</v>
      </c>
      <c r="C5769" t="str">
        <f>"207Q00000X"</f>
        <v>207Q00000X</v>
      </c>
      <c r="D5769" t="str">
        <f>"PRATT                    JOSEPH       L           "</f>
        <v xml:space="preserve">PRATT                    JOSEPH       L           </v>
      </c>
      <c r="E5769" t="str">
        <f>"CORINTH                   "</f>
        <v xml:space="preserve">CORINTH                   </v>
      </c>
      <c r="F5769" t="str">
        <f t="shared" si="206"/>
        <v>MS</v>
      </c>
    </row>
    <row r="5770" spans="1:6" x14ac:dyDescent="0.25">
      <c r="A5770" t="str">
        <f>"000113478"</f>
        <v>000113478</v>
      </c>
      <c r="B5770" t="str">
        <f>"1417932690"</f>
        <v>1417932690</v>
      </c>
      <c r="C5770" t="str">
        <f>"207L00000X"</f>
        <v>207L00000X</v>
      </c>
      <c r="D5770" t="str">
        <f>"NATIONS                  ROBIN        D           "</f>
        <v xml:space="preserve">NATIONS                  ROBIN        D           </v>
      </c>
      <c r="E5770" t="str">
        <f>"BROOKHAVEN                "</f>
        <v xml:space="preserve">BROOKHAVEN                </v>
      </c>
      <c r="F5770" t="str">
        <f t="shared" si="206"/>
        <v>MS</v>
      </c>
    </row>
    <row r="5771" spans="1:6" x14ac:dyDescent="0.25">
      <c r="A5771" t="str">
        <f>"000113498"</f>
        <v>000113498</v>
      </c>
      <c r="B5771" t="str">
        <f>"1932215464"</f>
        <v>1932215464</v>
      </c>
      <c r="C5771" t="str">
        <f>"207L00000X"</f>
        <v>207L00000X</v>
      </c>
      <c r="D5771" t="str">
        <f>"DIX                      BRIAN        R           "</f>
        <v xml:space="preserve">DIX                      BRIAN        R           </v>
      </c>
      <c r="E5771" t="str">
        <f>"GULFPORT                  "</f>
        <v xml:space="preserve">GULFPORT                  </v>
      </c>
      <c r="F5771" t="str">
        <f t="shared" si="206"/>
        <v>MS</v>
      </c>
    </row>
    <row r="5772" spans="1:6" x14ac:dyDescent="0.25">
      <c r="A5772" t="str">
        <f>"000113500"</f>
        <v>000113500</v>
      </c>
      <c r="B5772" t="str">
        <f>"1215041116"</f>
        <v>1215041116</v>
      </c>
      <c r="C5772" t="str">
        <f>"2085R0202X"</f>
        <v>2085R0202X</v>
      </c>
      <c r="D5772" t="str">
        <f>"PARKER                   BENTON       C           "</f>
        <v xml:space="preserve">PARKER                   BENTON       C           </v>
      </c>
      <c r="E5772" t="str">
        <f>"JACKSON                   "</f>
        <v xml:space="preserve">JACKSON                   </v>
      </c>
      <c r="F5772" t="str">
        <f t="shared" si="206"/>
        <v>MS</v>
      </c>
    </row>
    <row r="5773" spans="1:6" x14ac:dyDescent="0.25">
      <c r="A5773" t="str">
        <f>"000113503"</f>
        <v>000113503</v>
      </c>
      <c r="B5773" t="str">
        <f>"1093828683"</f>
        <v>1093828683</v>
      </c>
      <c r="C5773" t="str">
        <f>"207Q00000X"</f>
        <v>207Q00000X</v>
      </c>
      <c r="D5773" t="str">
        <f>"SCOTT                    SETH         A           "</f>
        <v xml:space="preserve">SCOTT                    SETH         A           </v>
      </c>
      <c r="E5773" t="str">
        <f>"LUCEDALE                  "</f>
        <v xml:space="preserve">LUCEDALE                  </v>
      </c>
      <c r="F5773" t="str">
        <f t="shared" si="206"/>
        <v>MS</v>
      </c>
    </row>
    <row r="5774" spans="1:6" x14ac:dyDescent="0.25">
      <c r="A5774" t="str">
        <f>"000113525"</f>
        <v>000113525</v>
      </c>
      <c r="B5774" t="str">
        <f>"1639125768"</f>
        <v>1639125768</v>
      </c>
      <c r="C5774" t="str">
        <f>"207L00000X"</f>
        <v>207L00000X</v>
      </c>
      <c r="D5774" t="str">
        <f>"FISHER                   JAMES        K           "</f>
        <v xml:space="preserve">FISHER                   JAMES        K           </v>
      </c>
      <c r="E5774" t="str">
        <f>"LAUREL                    "</f>
        <v xml:space="preserve">LAUREL                    </v>
      </c>
      <c r="F5774" t="str">
        <f t="shared" si="206"/>
        <v>MS</v>
      </c>
    </row>
    <row r="5775" spans="1:6" x14ac:dyDescent="0.25">
      <c r="A5775" t="str">
        <f>"000113548"</f>
        <v>000113548</v>
      </c>
      <c r="B5775" t="str">
        <f>"1093788523"</f>
        <v>1093788523</v>
      </c>
      <c r="C5775" t="str">
        <f>"207Q00000X"</f>
        <v>207Q00000X</v>
      </c>
      <c r="D5775" t="str">
        <f>"BOOTH                    DAVID        G           "</f>
        <v xml:space="preserve">BOOTH                    DAVID        G           </v>
      </c>
      <c r="E5775" t="str">
        <f>"EUPORA                    "</f>
        <v xml:space="preserve">EUPORA                    </v>
      </c>
      <c r="F5775" t="str">
        <f t="shared" si="206"/>
        <v>MS</v>
      </c>
    </row>
    <row r="5776" spans="1:6" x14ac:dyDescent="0.25">
      <c r="A5776" t="str">
        <f>"000113580"</f>
        <v>000113580</v>
      </c>
      <c r="B5776" t="str">
        <f>"1801971908"</f>
        <v>1801971908</v>
      </c>
      <c r="C5776" t="str">
        <f>"207RN0300X"</f>
        <v>207RN0300X</v>
      </c>
      <c r="D5776" t="str">
        <f>"MARTIN                   MURPHY       S           "</f>
        <v xml:space="preserve">MARTIN                   MURPHY       S           </v>
      </c>
      <c r="E5776" t="str">
        <f>"JACKSON                   "</f>
        <v xml:space="preserve">JACKSON                   </v>
      </c>
      <c r="F5776" t="str">
        <f t="shared" si="206"/>
        <v>MS</v>
      </c>
    </row>
    <row r="5777" spans="1:6" x14ac:dyDescent="0.25">
      <c r="A5777" t="str">
        <f>"000113591"</f>
        <v>000113591</v>
      </c>
      <c r="B5777" t="str">
        <f>"1801804133"</f>
        <v>1801804133</v>
      </c>
      <c r="C5777" t="str">
        <f>"207RG0100X"</f>
        <v>207RG0100X</v>
      </c>
      <c r="D5777" t="str">
        <f>"WEBB                     JOHN         H           "</f>
        <v xml:space="preserve">WEBB                     JOHN         H           </v>
      </c>
      <c r="E5777" t="str">
        <f>"OXFORD                    "</f>
        <v xml:space="preserve">OXFORD                    </v>
      </c>
      <c r="F5777" t="str">
        <f t="shared" si="206"/>
        <v>MS</v>
      </c>
    </row>
    <row r="5778" spans="1:6" x14ac:dyDescent="0.25">
      <c r="A5778" t="str">
        <f>"000113615"</f>
        <v>000113615</v>
      </c>
      <c r="B5778" t="str">
        <f>"1306894555"</f>
        <v>1306894555</v>
      </c>
      <c r="C5778" t="str">
        <f>"207Q00000X"</f>
        <v>207Q00000X</v>
      </c>
      <c r="D5778" t="str">
        <f>"MANSOUR                  SAMUEL       P           "</f>
        <v xml:space="preserve">MANSOUR                  SAMUEL       P           </v>
      </c>
      <c r="E5778" t="str">
        <f>"WINONA                    "</f>
        <v xml:space="preserve">WINONA                    </v>
      </c>
      <c r="F5778" t="str">
        <f t="shared" si="206"/>
        <v>MS</v>
      </c>
    </row>
    <row r="5779" spans="1:6" x14ac:dyDescent="0.25">
      <c r="A5779" t="str">
        <f>"000113621"</f>
        <v>000113621</v>
      </c>
      <c r="B5779" t="str">
        <f>"1629057427"</f>
        <v>1629057427</v>
      </c>
      <c r="C5779" t="str">
        <f>"207P00000X"</f>
        <v>207P00000X</v>
      </c>
      <c r="D5779" t="str">
        <f>"SMITH                    SCOTT        F           "</f>
        <v xml:space="preserve">SMITH                    SCOTT        F           </v>
      </c>
      <c r="E5779" t="str">
        <f>"MCCOMB                    "</f>
        <v xml:space="preserve">MCCOMB                    </v>
      </c>
      <c r="F5779" t="str">
        <f t="shared" si="206"/>
        <v>MS</v>
      </c>
    </row>
    <row r="5780" spans="1:6" x14ac:dyDescent="0.25">
      <c r="A5780" t="str">
        <f>"000113626"</f>
        <v>000113626</v>
      </c>
      <c r="B5780" t="str">
        <f>"1073501250"</f>
        <v>1073501250</v>
      </c>
      <c r="C5780" t="str">
        <f>"207X00000X"</f>
        <v>207X00000X</v>
      </c>
      <c r="D5780" t="str">
        <f>"FIELD                    LARRY        D           "</f>
        <v xml:space="preserve">FIELD                    LARRY        D           </v>
      </c>
      <c r="E5780" t="str">
        <f>"JACKSON                   "</f>
        <v xml:space="preserve">JACKSON                   </v>
      </c>
      <c r="F5780" t="str">
        <f t="shared" si="206"/>
        <v>MS</v>
      </c>
    </row>
    <row r="5781" spans="1:6" x14ac:dyDescent="0.25">
      <c r="A5781" t="str">
        <f>"000113652"</f>
        <v>000113652</v>
      </c>
      <c r="B5781" t="str">
        <f>"1114984374"</f>
        <v>1114984374</v>
      </c>
      <c r="C5781" t="str">
        <f>"207R00000X"</f>
        <v>207R00000X</v>
      </c>
      <c r="D5781" t="str">
        <f>"WITTY                    DAVID        H           "</f>
        <v xml:space="preserve">WITTY                    DAVID        H           </v>
      </c>
      <c r="E5781" t="str">
        <f>"STARKVILLE                "</f>
        <v xml:space="preserve">STARKVILLE                </v>
      </c>
      <c r="F5781" t="str">
        <f t="shared" si="206"/>
        <v>MS</v>
      </c>
    </row>
    <row r="5782" spans="1:6" x14ac:dyDescent="0.25">
      <c r="A5782" t="str">
        <f>"000113657"</f>
        <v>000113657</v>
      </c>
      <c r="B5782" t="str">
        <f>"1316959018"</f>
        <v>1316959018</v>
      </c>
      <c r="C5782" t="str">
        <f>"208600000X"</f>
        <v>208600000X</v>
      </c>
      <c r="D5782" t="str">
        <f>"GUIDRY                   SCOTT        P           "</f>
        <v xml:space="preserve">GUIDRY                   SCOTT        P           </v>
      </c>
      <c r="E5782" t="str">
        <f>"HATTIESBURG               "</f>
        <v xml:space="preserve">HATTIESBURG               </v>
      </c>
      <c r="F5782" t="str">
        <f t="shared" si="206"/>
        <v>MS</v>
      </c>
    </row>
    <row r="5783" spans="1:6" x14ac:dyDescent="0.25">
      <c r="A5783" t="str">
        <f>"000113668"</f>
        <v>000113668</v>
      </c>
      <c r="B5783" t="str">
        <f>"1528089794"</f>
        <v>1528089794</v>
      </c>
      <c r="C5783" t="str">
        <f>"207X00000X"</f>
        <v>207X00000X</v>
      </c>
      <c r="D5783" t="str">
        <f>"FOROPOULOS               JOHN         E           "</f>
        <v xml:space="preserve">FOROPOULOS               JOHN         E           </v>
      </c>
      <c r="E5783" t="str">
        <f>"CORINTH                   "</f>
        <v xml:space="preserve">CORINTH                   </v>
      </c>
      <c r="F5783" t="str">
        <f t="shared" si="206"/>
        <v>MS</v>
      </c>
    </row>
    <row r="5784" spans="1:6" x14ac:dyDescent="0.25">
      <c r="A5784" t="str">
        <f>"000113670"</f>
        <v>000113670</v>
      </c>
      <c r="B5784" t="str">
        <f>"1730138843"</f>
        <v>1730138843</v>
      </c>
      <c r="C5784" t="str">
        <f>"2084N0400X"</f>
        <v>2084N0400X</v>
      </c>
      <c r="D5784" t="str">
        <f>"FREDERICKS               RUTH         K           "</f>
        <v xml:space="preserve">FREDERICKS               RUTH         K           </v>
      </c>
      <c r="E5784" t="str">
        <f>"JACKSON                   "</f>
        <v xml:space="preserve">JACKSON                   </v>
      </c>
      <c r="F5784" t="str">
        <f t="shared" si="206"/>
        <v>MS</v>
      </c>
    </row>
    <row r="5785" spans="1:6" x14ac:dyDescent="0.25">
      <c r="A5785" t="str">
        <f>"000113689"</f>
        <v>000113689</v>
      </c>
      <c r="B5785" t="str">
        <f>"1659352011"</f>
        <v>1659352011</v>
      </c>
      <c r="C5785" t="str">
        <f>"2085R0202X"</f>
        <v>2085R0202X</v>
      </c>
      <c r="D5785" t="str">
        <f>"THAGGARD                 MICHAEL      S           "</f>
        <v xml:space="preserve">THAGGARD                 MICHAEL      S           </v>
      </c>
      <c r="E5785" t="str">
        <f>"MERIDIAN                  "</f>
        <v xml:space="preserve">MERIDIAN                  </v>
      </c>
      <c r="F5785" t="str">
        <f t="shared" si="206"/>
        <v>MS</v>
      </c>
    </row>
    <row r="5786" spans="1:6" x14ac:dyDescent="0.25">
      <c r="A5786" t="str">
        <f>"000113691"</f>
        <v>000113691</v>
      </c>
      <c r="B5786" t="str">
        <f>"1073555660"</f>
        <v>1073555660</v>
      </c>
      <c r="C5786" t="str">
        <f>"208000000X"</f>
        <v>208000000X</v>
      </c>
      <c r="D5786" t="str">
        <f>"WEISENBERGER             SARA         J           "</f>
        <v xml:space="preserve">WEISENBERGER             SARA         J           </v>
      </c>
      <c r="E5786" t="str">
        <f>"JACKSON                   "</f>
        <v xml:space="preserve">JACKSON                   </v>
      </c>
      <c r="F5786" t="str">
        <f t="shared" si="206"/>
        <v>MS</v>
      </c>
    </row>
    <row r="5787" spans="1:6" x14ac:dyDescent="0.25">
      <c r="A5787" t="str">
        <f>"000113701"</f>
        <v>000113701</v>
      </c>
      <c r="B5787" t="str">
        <f>"1609896703"</f>
        <v>1609896703</v>
      </c>
      <c r="C5787" t="str">
        <f>"207L00000X"</f>
        <v>207L00000X</v>
      </c>
      <c r="D5787" t="str">
        <f>"SICARD                   DAVID        L           "</f>
        <v xml:space="preserve">SICARD                   DAVID        L           </v>
      </c>
      <c r="E5787" t="str">
        <f>"HATTIESBURG               "</f>
        <v xml:space="preserve">HATTIESBURG               </v>
      </c>
      <c r="F5787" t="str">
        <f t="shared" si="206"/>
        <v>MS</v>
      </c>
    </row>
    <row r="5788" spans="1:6" x14ac:dyDescent="0.25">
      <c r="A5788" t="str">
        <f>"000113703"</f>
        <v>000113703</v>
      </c>
      <c r="B5788" t="str">
        <f>"1881600492"</f>
        <v>1881600492</v>
      </c>
      <c r="C5788" t="str">
        <f>"207Q00000X"</f>
        <v>207Q00000X</v>
      </c>
      <c r="D5788" t="str">
        <f>"RUSHING                  STEVEN       K           "</f>
        <v xml:space="preserve">RUSHING                  STEVEN       K           </v>
      </c>
      <c r="E5788" t="str">
        <f>"WINONA                    "</f>
        <v xml:space="preserve">WINONA                    </v>
      </c>
      <c r="F5788" t="str">
        <f t="shared" si="206"/>
        <v>MS</v>
      </c>
    </row>
    <row r="5789" spans="1:6" x14ac:dyDescent="0.25">
      <c r="A5789" t="str">
        <f>"000113723"</f>
        <v>000113723</v>
      </c>
      <c r="B5789" t="str">
        <f>"1649240599"</f>
        <v>1649240599</v>
      </c>
      <c r="C5789" t="str">
        <f>"207RN0300X"</f>
        <v>207RN0300X</v>
      </c>
      <c r="D5789" t="str">
        <f>"HAMILTON                 MORRIS       R           "</f>
        <v xml:space="preserve">HAMILTON                 MORRIS       R           </v>
      </c>
      <c r="E5789" t="str">
        <f>"OXFORD                    "</f>
        <v xml:space="preserve">OXFORD                    </v>
      </c>
      <c r="F5789" t="str">
        <f t="shared" si="206"/>
        <v>MS</v>
      </c>
    </row>
    <row r="5790" spans="1:6" x14ac:dyDescent="0.25">
      <c r="A5790" t="str">
        <f>"000113724"</f>
        <v>000113724</v>
      </c>
      <c r="B5790" t="str">
        <f>"1225021371"</f>
        <v>1225021371</v>
      </c>
      <c r="C5790" t="str">
        <f>"2084N0400X"</f>
        <v>2084N0400X</v>
      </c>
      <c r="D5790" t="str">
        <f>"FLETCHER                 MARK         H           "</f>
        <v xml:space="preserve">FLETCHER                 MARK         H           </v>
      </c>
      <c r="E5790" t="str">
        <f>"TUPELO                    "</f>
        <v xml:space="preserve">TUPELO                    </v>
      </c>
      <c r="F5790" t="str">
        <f t="shared" si="206"/>
        <v>MS</v>
      </c>
    </row>
    <row r="5791" spans="1:6" x14ac:dyDescent="0.25">
      <c r="A5791" t="str">
        <f>"000113727"</f>
        <v>000113727</v>
      </c>
      <c r="B5791" t="str">
        <f>"1285676908"</f>
        <v>1285676908</v>
      </c>
      <c r="C5791" t="str">
        <f>"208000000X"</f>
        <v>208000000X</v>
      </c>
      <c r="D5791" t="str">
        <f>"BOYTE                    WILLIAM      R           "</f>
        <v xml:space="preserve">BOYTE                    WILLIAM      R           </v>
      </c>
      <c r="E5791" t="str">
        <f>"HATTIESBURG               "</f>
        <v xml:space="preserve">HATTIESBURG               </v>
      </c>
      <c r="F5791" t="str">
        <f t="shared" si="206"/>
        <v>MS</v>
      </c>
    </row>
    <row r="5792" spans="1:6" x14ac:dyDescent="0.25">
      <c r="A5792" t="str">
        <f>"000113758"</f>
        <v>000113758</v>
      </c>
      <c r="B5792" t="str">
        <f>"1720060551"</f>
        <v>1720060551</v>
      </c>
      <c r="C5792" t="str">
        <f>"207V00000X"</f>
        <v>207V00000X</v>
      </c>
      <c r="D5792" t="str">
        <f>"ACOSTA                   JOSEPH       R           "</f>
        <v xml:space="preserve">ACOSTA                   JOSEPH       R           </v>
      </c>
      <c r="E5792" t="str">
        <f>"MERIDIAN                  "</f>
        <v xml:space="preserve">MERIDIAN                  </v>
      </c>
      <c r="F5792" t="str">
        <f t="shared" si="206"/>
        <v>MS</v>
      </c>
    </row>
    <row r="5793" spans="1:6" x14ac:dyDescent="0.25">
      <c r="A5793" t="str">
        <f>"000113766"</f>
        <v>000113766</v>
      </c>
      <c r="B5793" t="str">
        <f>"1760553655"</f>
        <v>1760553655</v>
      </c>
      <c r="C5793" t="str">
        <f>"207R00000X"</f>
        <v>207R00000X</v>
      </c>
      <c r="D5793" t="str">
        <f>"FLAUTT II                FRANK        H           "</f>
        <v xml:space="preserve">FLAUTT II                FRANK        H           </v>
      </c>
      <c r="E5793" t="str">
        <f>"GREENWOOD                 "</f>
        <v xml:space="preserve">GREENWOOD                 </v>
      </c>
      <c r="F5793" t="str">
        <f t="shared" si="206"/>
        <v>MS</v>
      </c>
    </row>
    <row r="5794" spans="1:6" x14ac:dyDescent="0.25">
      <c r="A5794" t="str">
        <f>"000113767"</f>
        <v>000113767</v>
      </c>
      <c r="B5794" t="str">
        <f>"1265442594"</f>
        <v>1265442594</v>
      </c>
      <c r="C5794" t="str">
        <f>"207RC0000X"</f>
        <v>207RC0000X</v>
      </c>
      <c r="D5794" t="str">
        <f>"ENGER                    ERIC         W           "</f>
        <v xml:space="preserve">ENGER                    ERIC         W           </v>
      </c>
      <c r="E5794" t="str">
        <f>"HATTIESBURG               "</f>
        <v xml:space="preserve">HATTIESBURG               </v>
      </c>
      <c r="F5794" t="str">
        <f t="shared" si="206"/>
        <v>MS</v>
      </c>
    </row>
    <row r="5795" spans="1:6" x14ac:dyDescent="0.25">
      <c r="A5795" t="str">
        <f>"000113771"</f>
        <v>000113771</v>
      </c>
      <c r="B5795" t="str">
        <f>"1235159302"</f>
        <v>1235159302</v>
      </c>
      <c r="C5795" t="str">
        <f>"207L00000X"</f>
        <v>207L00000X</v>
      </c>
      <c r="D5795" t="str">
        <f>"CAMPBELL JR              JOE          H           "</f>
        <v xml:space="preserve">CAMPBELL JR              JOE          H           </v>
      </c>
      <c r="E5795" t="str">
        <f>"HATTIESBURG               "</f>
        <v xml:space="preserve">HATTIESBURG               </v>
      </c>
      <c r="F5795" t="str">
        <f t="shared" si="206"/>
        <v>MS</v>
      </c>
    </row>
    <row r="5796" spans="1:6" x14ac:dyDescent="0.25">
      <c r="A5796" t="str">
        <f>"000113775"</f>
        <v>000113775</v>
      </c>
      <c r="B5796" t="str">
        <f>"1063513141"</f>
        <v>1063513141</v>
      </c>
      <c r="C5796" t="str">
        <f>"207T00000X"</f>
        <v>207T00000X</v>
      </c>
      <c r="D5796" t="str">
        <f>"BRENT                    CHARLES      R           "</f>
        <v xml:space="preserve">BRENT                    CHARLES      R           </v>
      </c>
      <c r="E5796" t="str">
        <f>"HATTIESBURG               "</f>
        <v xml:space="preserve">HATTIESBURG               </v>
      </c>
      <c r="F5796" t="str">
        <f t="shared" si="206"/>
        <v>MS</v>
      </c>
    </row>
    <row r="5797" spans="1:6" x14ac:dyDescent="0.25">
      <c r="A5797" t="str">
        <f>"000113804"</f>
        <v>000113804</v>
      </c>
      <c r="B5797" t="str">
        <f>"1679681894"</f>
        <v>1679681894</v>
      </c>
      <c r="C5797" t="str">
        <f>"207Q00000X"</f>
        <v>207Q00000X</v>
      </c>
      <c r="D5797" t="str">
        <f>"DELOACH                  MARK         A           "</f>
        <v xml:space="preserve">DELOACH                  MARK         A           </v>
      </c>
      <c r="E5797" t="str">
        <f>"BAY SPRINGS               "</f>
        <v xml:space="preserve">BAY SPRINGS               </v>
      </c>
      <c r="F5797" t="str">
        <f t="shared" si="206"/>
        <v>MS</v>
      </c>
    </row>
    <row r="5798" spans="1:6" x14ac:dyDescent="0.25">
      <c r="A5798" t="str">
        <f>"000113810"</f>
        <v>000113810</v>
      </c>
      <c r="B5798" t="str">
        <f>"1649249426"</f>
        <v>1649249426</v>
      </c>
      <c r="C5798" t="str">
        <f>"207Q00000X"</f>
        <v>207Q00000X</v>
      </c>
      <c r="D5798" t="str">
        <f>"HEADLEY                  MASSIE       H           "</f>
        <v xml:space="preserve">HEADLEY                  MASSIE       H           </v>
      </c>
      <c r="E5798" t="str">
        <f>"JACKSON                   "</f>
        <v xml:space="preserve">JACKSON                   </v>
      </c>
      <c r="F5798" t="str">
        <f t="shared" si="206"/>
        <v>MS</v>
      </c>
    </row>
    <row r="5799" spans="1:6" x14ac:dyDescent="0.25">
      <c r="A5799" t="str">
        <f>"000113816"</f>
        <v>000113816</v>
      </c>
      <c r="B5799" t="str">
        <f>"1679652408"</f>
        <v>1679652408</v>
      </c>
      <c r="C5799" t="str">
        <f>"207Q00000X"</f>
        <v>207Q00000X</v>
      </c>
      <c r="D5799" t="str">
        <f>"LINDER                   EDWIN        L           "</f>
        <v xml:space="preserve">LINDER                   EDWIN        L           </v>
      </c>
      <c r="E5799" t="str">
        <f>"BATESVILLE                "</f>
        <v xml:space="preserve">BATESVILLE                </v>
      </c>
      <c r="F5799" t="str">
        <f t="shared" si="206"/>
        <v>MS</v>
      </c>
    </row>
    <row r="5800" spans="1:6" x14ac:dyDescent="0.25">
      <c r="A5800" t="str">
        <f>"000113820"</f>
        <v>000113820</v>
      </c>
      <c r="B5800" t="str">
        <f>"1649252057"</f>
        <v>1649252057</v>
      </c>
      <c r="C5800" t="str">
        <f>"207Q00000X"</f>
        <v>207Q00000X</v>
      </c>
      <c r="D5800" t="str">
        <f>"MCHENRY, II              JACKIE       E           "</f>
        <v xml:space="preserve">MCHENRY, II              JACKIE       E           </v>
      </c>
      <c r="E5800" t="str">
        <f>"QUITMAN                   "</f>
        <v xml:space="preserve">QUITMAN                   </v>
      </c>
      <c r="F5800" t="str">
        <f t="shared" si="206"/>
        <v>MS</v>
      </c>
    </row>
    <row r="5801" spans="1:6" x14ac:dyDescent="0.25">
      <c r="A5801" t="str">
        <f>"000113821"</f>
        <v>000113821</v>
      </c>
      <c r="B5801" t="str">
        <f>"1346238359"</f>
        <v>1346238359</v>
      </c>
      <c r="C5801" t="str">
        <f>"207Q00000X"</f>
        <v>207Q00000X</v>
      </c>
      <c r="D5801" t="str">
        <f>"ARMSTRONG                CARLA        M           "</f>
        <v xml:space="preserve">ARMSTRONG                CARLA        M           </v>
      </c>
      <c r="E5801" t="str">
        <f>"TYLERTOWN                 "</f>
        <v xml:space="preserve">TYLERTOWN                 </v>
      </c>
      <c r="F5801" t="str">
        <f t="shared" si="206"/>
        <v>MS</v>
      </c>
    </row>
    <row r="5802" spans="1:6" x14ac:dyDescent="0.25">
      <c r="A5802" t="str">
        <f>"000113831"</f>
        <v>000113831</v>
      </c>
      <c r="B5802" t="str">
        <f>"1891805347"</f>
        <v>1891805347</v>
      </c>
      <c r="C5802" t="str">
        <f>"207V00000X"</f>
        <v>207V00000X</v>
      </c>
      <c r="D5802" t="str">
        <f>"REMLEY                   DAVID        B           "</f>
        <v xml:space="preserve">REMLEY                   DAVID        B           </v>
      </c>
      <c r="E5802" t="str">
        <f>"FLOWOOD                   "</f>
        <v xml:space="preserve">FLOWOOD                   </v>
      </c>
      <c r="F5802" t="str">
        <f t="shared" si="206"/>
        <v>MS</v>
      </c>
    </row>
    <row r="5803" spans="1:6" x14ac:dyDescent="0.25">
      <c r="A5803" t="str">
        <f>"000113836"</f>
        <v>000113836</v>
      </c>
      <c r="B5803" t="str">
        <f>"1851400410"</f>
        <v>1851400410</v>
      </c>
      <c r="C5803" t="str">
        <f>"207Q00000X"</f>
        <v>207Q00000X</v>
      </c>
      <c r="D5803" t="str">
        <f>"SIMNICHT                 KEITH        M           "</f>
        <v xml:space="preserve">SIMNICHT                 KEITH        M           </v>
      </c>
      <c r="E5803" t="str">
        <f>"HATTIESBURG               "</f>
        <v xml:space="preserve">HATTIESBURG               </v>
      </c>
      <c r="F5803" t="str">
        <f t="shared" si="206"/>
        <v>MS</v>
      </c>
    </row>
    <row r="5804" spans="1:6" x14ac:dyDescent="0.25">
      <c r="A5804" t="str">
        <f>"000113839"</f>
        <v>000113839</v>
      </c>
      <c r="B5804" t="str">
        <f>"1407968530"</f>
        <v>1407968530</v>
      </c>
      <c r="C5804" t="str">
        <f>"363L00000X"</f>
        <v>363L00000X</v>
      </c>
      <c r="D5804" t="str">
        <f>"SMITH                    TAMARA       J           "</f>
        <v xml:space="preserve">SMITH                    TAMARA       J           </v>
      </c>
      <c r="E5804" t="str">
        <f>"JACKSON                   "</f>
        <v xml:space="preserve">JACKSON                   </v>
      </c>
      <c r="F5804" t="str">
        <f t="shared" si="206"/>
        <v>MS</v>
      </c>
    </row>
    <row r="5805" spans="1:6" x14ac:dyDescent="0.25">
      <c r="A5805" t="str">
        <f>"000113842"</f>
        <v>000113842</v>
      </c>
      <c r="B5805" t="str">
        <f>"1225007537"</f>
        <v>1225007537</v>
      </c>
      <c r="C5805" t="str">
        <f>"208000000X"</f>
        <v>208000000X</v>
      </c>
      <c r="D5805" t="str">
        <f>"STEVENS                  CLAUDINE     S           "</f>
        <v xml:space="preserve">STEVENS                  CLAUDINE     S           </v>
      </c>
      <c r="E5805" t="str">
        <f>"GREENWOOD                 "</f>
        <v xml:space="preserve">GREENWOOD                 </v>
      </c>
      <c r="F5805" t="str">
        <f t="shared" si="206"/>
        <v>MS</v>
      </c>
    </row>
    <row r="5806" spans="1:6" x14ac:dyDescent="0.25">
      <c r="A5806" t="str">
        <f>"000113843"</f>
        <v>000113843</v>
      </c>
      <c r="B5806" t="str">
        <f>"1851488514"</f>
        <v>1851488514</v>
      </c>
      <c r="C5806" t="str">
        <f>"207Q00000X"</f>
        <v>207Q00000X</v>
      </c>
      <c r="D5806" t="str">
        <f>"STOKLEY                  CHARLES      T           "</f>
        <v xml:space="preserve">STOKLEY                  CHARLES      T           </v>
      </c>
      <c r="E5806" t="str">
        <f>"WAYNESBORO                "</f>
        <v xml:space="preserve">WAYNESBORO                </v>
      </c>
      <c r="F5806" t="str">
        <f t="shared" si="206"/>
        <v>MS</v>
      </c>
    </row>
    <row r="5807" spans="1:6" x14ac:dyDescent="0.25">
      <c r="A5807" t="str">
        <f>"000113871"</f>
        <v>000113871</v>
      </c>
      <c r="B5807" t="str">
        <f>"1912007949"</f>
        <v>1912007949</v>
      </c>
      <c r="C5807" t="str">
        <f>"208000000X"</f>
        <v>208000000X</v>
      </c>
      <c r="D5807" t="str">
        <f>"CROUT                    JEFFREY      D           "</f>
        <v xml:space="preserve">CROUT                    JEFFREY      D           </v>
      </c>
      <c r="E5807" t="str">
        <f>"JACKSON                   "</f>
        <v xml:space="preserve">JACKSON                   </v>
      </c>
      <c r="F5807" t="str">
        <f t="shared" si="206"/>
        <v>MS</v>
      </c>
    </row>
    <row r="5808" spans="1:6" x14ac:dyDescent="0.25">
      <c r="A5808" t="str">
        <f>"000113884"</f>
        <v>000113884</v>
      </c>
      <c r="B5808" t="str">
        <f>"1164465738"</f>
        <v>1164465738</v>
      </c>
      <c r="C5808" t="str">
        <f>"207R00000X"</f>
        <v>207R00000X</v>
      </c>
      <c r="D5808" t="str">
        <f>"CRITTENDEN               MARCUS       A           "</f>
        <v xml:space="preserve">CRITTENDEN               MARCUS       A           </v>
      </c>
      <c r="E5808" t="str">
        <f>"COLUMBUS                  "</f>
        <v xml:space="preserve">COLUMBUS                  </v>
      </c>
      <c r="F5808" t="str">
        <f t="shared" si="206"/>
        <v>MS</v>
      </c>
    </row>
    <row r="5809" spans="1:6" x14ac:dyDescent="0.25">
      <c r="A5809" t="str">
        <f>"000113908"</f>
        <v>000113908</v>
      </c>
      <c r="B5809" t="str">
        <f>"1679514863"</f>
        <v>1679514863</v>
      </c>
      <c r="C5809" t="str">
        <f>"207Q00000X"</f>
        <v>207Q00000X</v>
      </c>
      <c r="D5809" t="str">
        <f>"WHITTINGTON              KENNETH      J           "</f>
        <v xml:space="preserve">WHITTINGTON              KENNETH      J           </v>
      </c>
      <c r="E5809" t="str">
        <f>"HAZLEHURST                "</f>
        <v xml:space="preserve">HAZLEHURST                </v>
      </c>
      <c r="F5809" t="str">
        <f t="shared" si="206"/>
        <v>MS</v>
      </c>
    </row>
    <row r="5810" spans="1:6" x14ac:dyDescent="0.25">
      <c r="A5810" t="str">
        <f>"000113910"</f>
        <v>000113910</v>
      </c>
      <c r="B5810" t="str">
        <f>"1629056502"</f>
        <v>1629056502</v>
      </c>
      <c r="C5810" t="str">
        <f>"207R00000X"</f>
        <v>207R00000X</v>
      </c>
      <c r="D5810" t="str">
        <f>"ADKINS                   TODD         N           "</f>
        <v xml:space="preserve">ADKINS                   TODD         N           </v>
      </c>
      <c r="E5810" t="str">
        <f>"OXFORD                    "</f>
        <v xml:space="preserve">OXFORD                    </v>
      </c>
      <c r="F5810" t="str">
        <f t="shared" si="206"/>
        <v>MS</v>
      </c>
    </row>
    <row r="5811" spans="1:6" x14ac:dyDescent="0.25">
      <c r="A5811" t="str">
        <f>"000113930"</f>
        <v>000113930</v>
      </c>
      <c r="B5811" t="str">
        <f>"1053345157"</f>
        <v>1053345157</v>
      </c>
      <c r="C5811" t="str">
        <f>"207R00000X"</f>
        <v>207R00000X</v>
      </c>
      <c r="D5811" t="str">
        <f>"HARWELL                  JAMES        L           "</f>
        <v xml:space="preserve">HARWELL                  JAMES        L           </v>
      </c>
      <c r="E5811" t="str">
        <f>"PASCAGOULA                "</f>
        <v xml:space="preserve">PASCAGOULA                </v>
      </c>
      <c r="F5811" t="str">
        <f t="shared" si="206"/>
        <v>MS</v>
      </c>
    </row>
    <row r="5812" spans="1:6" x14ac:dyDescent="0.25">
      <c r="A5812" t="str">
        <f>"000113935"</f>
        <v>000113935</v>
      </c>
      <c r="B5812" t="str">
        <f>"1487705042"</f>
        <v>1487705042</v>
      </c>
      <c r="C5812" t="str">
        <f>"207R00000X"</f>
        <v>207R00000X</v>
      </c>
      <c r="D5812" t="str">
        <f>"NUNENMACHER              STEPHEN      J           "</f>
        <v xml:space="preserve">NUNENMACHER              STEPHEN      J           </v>
      </c>
      <c r="E5812" t="str">
        <f>"GAUTIER                   "</f>
        <v xml:space="preserve">GAUTIER                   </v>
      </c>
      <c r="F5812" t="str">
        <f t="shared" si="206"/>
        <v>MS</v>
      </c>
    </row>
    <row r="5813" spans="1:6" x14ac:dyDescent="0.25">
      <c r="A5813" t="str">
        <f>"000113937"</f>
        <v>000113937</v>
      </c>
      <c r="B5813" t="str">
        <f>"1205944659"</f>
        <v>1205944659</v>
      </c>
      <c r="C5813" t="str">
        <f>"2086S0122X"</f>
        <v>2086S0122X</v>
      </c>
      <c r="D5813" t="str">
        <f>"PECUNIA                  RICHARD      A           "</f>
        <v xml:space="preserve">PECUNIA                  RICHARD      A           </v>
      </c>
      <c r="E5813" t="str">
        <f>"HATTIESBURG               "</f>
        <v xml:space="preserve">HATTIESBURG               </v>
      </c>
      <c r="F5813" t="str">
        <f t="shared" si="206"/>
        <v>MS</v>
      </c>
    </row>
    <row r="5814" spans="1:6" x14ac:dyDescent="0.25">
      <c r="A5814" t="str">
        <f>"000113949"</f>
        <v>000113949</v>
      </c>
      <c r="B5814" t="str">
        <f>"1790754000"</f>
        <v>1790754000</v>
      </c>
      <c r="C5814" t="str">
        <f>"208000000X"</f>
        <v>208000000X</v>
      </c>
      <c r="D5814" t="str">
        <f>"BOLDON                   BILLY                    "</f>
        <v xml:space="preserve">BOLDON                   BILLY                    </v>
      </c>
      <c r="E5814" t="str">
        <f>"GREENWOOD                 "</f>
        <v xml:space="preserve">GREENWOOD                 </v>
      </c>
      <c r="F5814" t="str">
        <f t="shared" si="206"/>
        <v>MS</v>
      </c>
    </row>
    <row r="5815" spans="1:6" x14ac:dyDescent="0.25">
      <c r="A5815" t="str">
        <f>"000113993"</f>
        <v>000113993</v>
      </c>
      <c r="B5815" t="str">
        <f>"1609949692"</f>
        <v>1609949692</v>
      </c>
      <c r="C5815" t="str">
        <f>"363L00000X"</f>
        <v>363L00000X</v>
      </c>
      <c r="D5815" t="str">
        <f>"TRUESDALE                KIM          W           "</f>
        <v xml:space="preserve">TRUESDALE                KIM          W           </v>
      </c>
      <c r="E5815" t="str">
        <f>"STARKVILLE                "</f>
        <v xml:space="preserve">STARKVILLE                </v>
      </c>
      <c r="F5815" t="str">
        <f t="shared" si="206"/>
        <v>MS</v>
      </c>
    </row>
    <row r="5816" spans="1:6" x14ac:dyDescent="0.25">
      <c r="A5816" t="str">
        <f>"000113994"</f>
        <v>000113994</v>
      </c>
      <c r="B5816" t="str">
        <f>"1679678312"</f>
        <v>1679678312</v>
      </c>
      <c r="C5816" t="str">
        <f>"208000000X"</f>
        <v>208000000X</v>
      </c>
      <c r="D5816" t="str">
        <f>"VALDEZ                   MARIA        V           "</f>
        <v xml:space="preserve">VALDEZ                   MARIA        V           </v>
      </c>
      <c r="E5816" t="str">
        <f>"TUPELO                    "</f>
        <v xml:space="preserve">TUPELO                    </v>
      </c>
      <c r="F5816" t="str">
        <f t="shared" si="206"/>
        <v>MS</v>
      </c>
    </row>
    <row r="5817" spans="1:6" x14ac:dyDescent="0.25">
      <c r="A5817" t="str">
        <f>"000113996"</f>
        <v>000113996</v>
      </c>
      <c r="B5817" t="str">
        <f>"1346286598"</f>
        <v>1346286598</v>
      </c>
      <c r="C5817" t="str">
        <f>"207Q00000X"</f>
        <v>207Q00000X</v>
      </c>
      <c r="D5817" t="str">
        <f>"WILLIS                   WALTER       L           "</f>
        <v xml:space="preserve">WILLIS                   WALTER       L           </v>
      </c>
      <c r="E5817" t="str">
        <f>"CHOCTAW                   "</f>
        <v xml:space="preserve">CHOCTAW                   </v>
      </c>
      <c r="F5817" t="str">
        <f t="shared" si="206"/>
        <v>MS</v>
      </c>
    </row>
    <row r="5818" spans="1:6" x14ac:dyDescent="0.25">
      <c r="A5818" t="str">
        <f>"000114017"</f>
        <v>000114017</v>
      </c>
      <c r="B5818" t="str">
        <f>"1881709053"</f>
        <v>1881709053</v>
      </c>
      <c r="C5818" t="str">
        <f>"207Q00000X"</f>
        <v>207Q00000X</v>
      </c>
      <c r="D5818" t="str">
        <f>"JOHNS                    STEPHEN      P           "</f>
        <v xml:space="preserve">JOHNS                    STEPHEN      P           </v>
      </c>
      <c r="E5818" t="str">
        <f>"GULFPORT                  "</f>
        <v xml:space="preserve">GULFPORT                  </v>
      </c>
      <c r="F5818" t="str">
        <f t="shared" si="206"/>
        <v>MS</v>
      </c>
    </row>
    <row r="5819" spans="1:6" x14ac:dyDescent="0.25">
      <c r="A5819" t="str">
        <f>"000114030"</f>
        <v>000114030</v>
      </c>
      <c r="B5819" t="str">
        <f>"1629092846"</f>
        <v>1629092846</v>
      </c>
      <c r="C5819" t="str">
        <f>"367500000X"</f>
        <v>367500000X</v>
      </c>
      <c r="D5819" t="str">
        <f>"PITTMAN                  GLENDA                   "</f>
        <v xml:space="preserve">PITTMAN                  GLENDA                   </v>
      </c>
      <c r="E5819" t="str">
        <f>"HATTIESBURG               "</f>
        <v xml:space="preserve">HATTIESBURG               </v>
      </c>
      <c r="F5819" t="str">
        <f t="shared" si="206"/>
        <v>MS</v>
      </c>
    </row>
    <row r="5820" spans="1:6" x14ac:dyDescent="0.25">
      <c r="A5820" t="str">
        <f>"000114031"</f>
        <v>000114031</v>
      </c>
      <c r="B5820" t="str">
        <f>"1568406965"</f>
        <v>1568406965</v>
      </c>
      <c r="C5820" t="str">
        <f>"367500000X"</f>
        <v>367500000X</v>
      </c>
      <c r="D5820" t="str">
        <f>"PINSON                   ROBERT                   "</f>
        <v xml:space="preserve">PINSON                   ROBERT                   </v>
      </c>
      <c r="E5820" t="str">
        <f>"HATTIESBURG               "</f>
        <v xml:space="preserve">HATTIESBURG               </v>
      </c>
      <c r="F5820" t="str">
        <f t="shared" si="206"/>
        <v>MS</v>
      </c>
    </row>
    <row r="5821" spans="1:6" x14ac:dyDescent="0.25">
      <c r="A5821" t="str">
        <f>"000114041"</f>
        <v>000114041</v>
      </c>
      <c r="B5821" t="str">
        <f>"1023194867"</f>
        <v>1023194867</v>
      </c>
      <c r="C5821" t="str">
        <f>"208000000X"</f>
        <v>208000000X</v>
      </c>
      <c r="D5821" t="str">
        <f>"TIMM                     DAVID        A           "</f>
        <v xml:space="preserve">TIMM                     DAVID        A           </v>
      </c>
      <c r="E5821" t="str">
        <f>"NATCHEZ                   "</f>
        <v xml:space="preserve">NATCHEZ                   </v>
      </c>
      <c r="F5821" t="str">
        <f t="shared" si="206"/>
        <v>MS</v>
      </c>
    </row>
    <row r="5822" spans="1:6" x14ac:dyDescent="0.25">
      <c r="A5822" t="str">
        <f>"000114061"</f>
        <v>000114061</v>
      </c>
      <c r="B5822" t="str">
        <f>"1376506741"</f>
        <v>1376506741</v>
      </c>
      <c r="C5822" t="str">
        <f>"363L00000X"</f>
        <v>363L00000X</v>
      </c>
      <c r="D5822" t="str">
        <f>"SOUTH                    TIMOTHY      M           "</f>
        <v xml:space="preserve">SOUTH                    TIMOTHY      M           </v>
      </c>
      <c r="E5822" t="str">
        <f>"KOSCIUSKO                 "</f>
        <v xml:space="preserve">KOSCIUSKO                 </v>
      </c>
      <c r="F5822" t="str">
        <f t="shared" ref="F5822:F5885" si="207">"MS"</f>
        <v>MS</v>
      </c>
    </row>
    <row r="5823" spans="1:6" x14ac:dyDescent="0.25">
      <c r="A5823" t="str">
        <f>"000114084"</f>
        <v>000114084</v>
      </c>
      <c r="B5823" t="str">
        <f>"1205865680"</f>
        <v>1205865680</v>
      </c>
      <c r="C5823" t="str">
        <f>"207Q00000X"</f>
        <v>207Q00000X</v>
      </c>
      <c r="D5823" t="str">
        <f>"BARNES                   JOHN         R           "</f>
        <v xml:space="preserve">BARNES                   JOHN         R           </v>
      </c>
      <c r="E5823" t="str">
        <f>"VICKSBURG                 "</f>
        <v xml:space="preserve">VICKSBURG                 </v>
      </c>
      <c r="F5823" t="str">
        <f t="shared" si="207"/>
        <v>MS</v>
      </c>
    </row>
    <row r="5824" spans="1:6" x14ac:dyDescent="0.25">
      <c r="A5824" t="str">
        <f>"000114104"</f>
        <v>000114104</v>
      </c>
      <c r="B5824" t="str">
        <f>"1578678868"</f>
        <v>1578678868</v>
      </c>
      <c r="C5824" t="str">
        <f>"207RI0200X"</f>
        <v>207RI0200X</v>
      </c>
      <c r="D5824" t="str">
        <f>"EKENNA                   OKECHUKWU                "</f>
        <v xml:space="preserve">EKENNA                   OKECHUKWU                </v>
      </c>
      <c r="E5824" t="str">
        <f>"PASCAGOULA                "</f>
        <v xml:space="preserve">PASCAGOULA                </v>
      </c>
      <c r="F5824" t="str">
        <f t="shared" si="207"/>
        <v>MS</v>
      </c>
    </row>
    <row r="5825" spans="1:6" x14ac:dyDescent="0.25">
      <c r="A5825" t="str">
        <f>"000114107"</f>
        <v>000114107</v>
      </c>
      <c r="B5825" t="str">
        <f>"1154359818"</f>
        <v>1154359818</v>
      </c>
      <c r="C5825" t="str">
        <f>"207Q00000X"</f>
        <v>207Q00000X</v>
      </c>
      <c r="D5825" t="str">
        <f>"EASTERLING               STANLEY                  "</f>
        <v xml:space="preserve">EASTERLING               STANLEY                  </v>
      </c>
      <c r="E5825" t="str">
        <f>"BYRAM                     "</f>
        <v xml:space="preserve">BYRAM                     </v>
      </c>
      <c r="F5825" t="str">
        <f t="shared" si="207"/>
        <v>MS</v>
      </c>
    </row>
    <row r="5826" spans="1:6" x14ac:dyDescent="0.25">
      <c r="A5826" t="str">
        <f>"000114108"</f>
        <v>000114108</v>
      </c>
      <c r="B5826" t="str">
        <f>"1699702936"</f>
        <v>1699702936</v>
      </c>
      <c r="C5826" t="str">
        <f>"207R00000X"</f>
        <v>207R00000X</v>
      </c>
      <c r="D5826" t="str">
        <f>"EDNEY                    DANIEL       P           "</f>
        <v xml:space="preserve">EDNEY                    DANIEL       P           </v>
      </c>
      <c r="E5826" t="str">
        <f>"VICKSBURG                 "</f>
        <v xml:space="preserve">VICKSBURG                 </v>
      </c>
      <c r="F5826" t="str">
        <f t="shared" si="207"/>
        <v>MS</v>
      </c>
    </row>
    <row r="5827" spans="1:6" x14ac:dyDescent="0.25">
      <c r="A5827" t="str">
        <f>"000114112"</f>
        <v>000114112</v>
      </c>
      <c r="B5827" t="str">
        <f>"1477565166"</f>
        <v>1477565166</v>
      </c>
      <c r="C5827" t="str">
        <f>"207X00000X"</f>
        <v>207X00000X</v>
      </c>
      <c r="D5827" t="str">
        <f>"GOBER                    GREGG        A           "</f>
        <v xml:space="preserve">GOBER                    GREGG        A           </v>
      </c>
      <c r="E5827" t="str">
        <f>"GREENVILLE                "</f>
        <v xml:space="preserve">GREENVILLE                </v>
      </c>
      <c r="F5827" t="str">
        <f t="shared" si="207"/>
        <v>MS</v>
      </c>
    </row>
    <row r="5828" spans="1:6" x14ac:dyDescent="0.25">
      <c r="A5828" t="str">
        <f>"000114167"</f>
        <v>000114167</v>
      </c>
      <c r="B5828" t="str">
        <f>"1700821931"</f>
        <v>1700821931</v>
      </c>
      <c r="C5828" t="str">
        <f>"208000000X"</f>
        <v>208000000X</v>
      </c>
      <c r="D5828" t="str">
        <f>"WEILAND                  GERI         L           "</f>
        <v xml:space="preserve">WEILAND                  GERI         L           </v>
      </c>
      <c r="E5828" t="str">
        <f>"VICKSBURG                 "</f>
        <v xml:space="preserve">VICKSBURG                 </v>
      </c>
      <c r="F5828" t="str">
        <f t="shared" si="207"/>
        <v>MS</v>
      </c>
    </row>
    <row r="5829" spans="1:6" x14ac:dyDescent="0.25">
      <c r="A5829" t="str">
        <f>"000114178"</f>
        <v>000114178</v>
      </c>
      <c r="B5829" t="str">
        <f>"1912095100"</f>
        <v>1912095100</v>
      </c>
      <c r="C5829" t="str">
        <f>"2086S0122X"</f>
        <v>2086S0122X</v>
      </c>
      <c r="D5829" t="str">
        <f>"TALBOT                   PAUL         J           "</f>
        <v xml:space="preserve">TALBOT                   PAUL         J           </v>
      </c>
      <c r="E5829" t="str">
        <f>"HATTIESBURG               "</f>
        <v xml:space="preserve">HATTIESBURG               </v>
      </c>
      <c r="F5829" t="str">
        <f t="shared" si="207"/>
        <v>MS</v>
      </c>
    </row>
    <row r="5830" spans="1:6" x14ac:dyDescent="0.25">
      <c r="A5830" t="str">
        <f>"000114179"</f>
        <v>000114179</v>
      </c>
      <c r="B5830" t="str">
        <f>"1992810691"</f>
        <v>1992810691</v>
      </c>
      <c r="C5830" t="str">
        <f>"2084N0400X"</f>
        <v>2084N0400X</v>
      </c>
      <c r="D5830" t="str">
        <f>"THIEL                    ADELE        A           "</f>
        <v xml:space="preserve">THIEL                    ADELE        A           </v>
      </c>
      <c r="E5830" t="str">
        <f>"JACKSON                   "</f>
        <v xml:space="preserve">JACKSON                   </v>
      </c>
      <c r="F5830" t="str">
        <f t="shared" si="207"/>
        <v>MS</v>
      </c>
    </row>
    <row r="5831" spans="1:6" x14ac:dyDescent="0.25">
      <c r="A5831" t="str">
        <f>"000114188"</f>
        <v>000114188</v>
      </c>
      <c r="B5831" t="str">
        <f>"1871690263"</f>
        <v>1871690263</v>
      </c>
      <c r="C5831" t="str">
        <f>"363LF0000X"</f>
        <v>363LF0000X</v>
      </c>
      <c r="D5831" t="str">
        <f>"WISEMAN                  RICHARD      G           "</f>
        <v xml:space="preserve">WISEMAN                  RICHARD      G           </v>
      </c>
      <c r="E5831" t="str">
        <f>"HOLLY SPRINGS             "</f>
        <v xml:space="preserve">HOLLY SPRINGS             </v>
      </c>
      <c r="F5831" t="str">
        <f t="shared" si="207"/>
        <v>MS</v>
      </c>
    </row>
    <row r="5832" spans="1:6" x14ac:dyDescent="0.25">
      <c r="A5832" t="str">
        <f>"000114191"</f>
        <v>000114191</v>
      </c>
      <c r="B5832" t="str">
        <f>"1639190440"</f>
        <v>1639190440</v>
      </c>
      <c r="C5832" t="str">
        <f>"367500000X"</f>
        <v>367500000X</v>
      </c>
      <c r="D5832" t="str">
        <f>"GASTON                   ROBERT       L           "</f>
        <v xml:space="preserve">GASTON                   ROBERT       L           </v>
      </c>
      <c r="E5832" t="str">
        <f>"HATTIESBURG               "</f>
        <v xml:space="preserve">HATTIESBURG               </v>
      </c>
      <c r="F5832" t="str">
        <f t="shared" si="207"/>
        <v>MS</v>
      </c>
    </row>
    <row r="5833" spans="1:6" x14ac:dyDescent="0.25">
      <c r="A5833" t="str">
        <f>"000114201"</f>
        <v>000114201</v>
      </c>
      <c r="B5833" t="str">
        <f>"1932126083"</f>
        <v>1932126083</v>
      </c>
      <c r="C5833" t="str">
        <f>"207R00000X"</f>
        <v>207R00000X</v>
      </c>
      <c r="D5833" t="str">
        <f>"PAREKH                   KAMLESH      H           "</f>
        <v xml:space="preserve">PAREKH                   KAMLESH      H           </v>
      </c>
      <c r="E5833" t="str">
        <f>"SENATOBIA                 "</f>
        <v xml:space="preserve">SENATOBIA                 </v>
      </c>
      <c r="F5833" t="str">
        <f t="shared" si="207"/>
        <v>MS</v>
      </c>
    </row>
    <row r="5834" spans="1:6" x14ac:dyDescent="0.25">
      <c r="A5834" t="str">
        <f>"000114206"</f>
        <v>000114206</v>
      </c>
      <c r="B5834" t="str">
        <f>"1316980097"</f>
        <v>1316980097</v>
      </c>
      <c r="C5834" t="str">
        <f>"363L00000X"</f>
        <v>363L00000X</v>
      </c>
      <c r="D5834" t="str">
        <f>"SCOGGIN                  DONALD       T           "</f>
        <v xml:space="preserve">SCOGGIN                  DONALD       T           </v>
      </c>
      <c r="E5834" t="str">
        <f>"ELLISVILLE                "</f>
        <v xml:space="preserve">ELLISVILLE                </v>
      </c>
      <c r="F5834" t="str">
        <f t="shared" si="207"/>
        <v>MS</v>
      </c>
    </row>
    <row r="5835" spans="1:6" x14ac:dyDescent="0.25">
      <c r="A5835" t="str">
        <f>"000114228"</f>
        <v>000114228</v>
      </c>
      <c r="B5835" t="str">
        <f>"1265547301"</f>
        <v>1265547301</v>
      </c>
      <c r="C5835" t="str">
        <f>"208000000X"</f>
        <v>208000000X</v>
      </c>
      <c r="D5835" t="str">
        <f>"MCCRARY                  RICHARD      B           "</f>
        <v xml:space="preserve">MCCRARY                  RICHARD      B           </v>
      </c>
      <c r="E5835" t="str">
        <f>"GULFPORT                  "</f>
        <v xml:space="preserve">GULFPORT                  </v>
      </c>
      <c r="F5835" t="str">
        <f t="shared" si="207"/>
        <v>MS</v>
      </c>
    </row>
    <row r="5836" spans="1:6" x14ac:dyDescent="0.25">
      <c r="A5836" t="str">
        <f>"000114239"</f>
        <v>000114239</v>
      </c>
      <c r="B5836" t="str">
        <f>"1184669798"</f>
        <v>1184669798</v>
      </c>
      <c r="C5836" t="str">
        <f>"207Q00000X"</f>
        <v>207Q00000X</v>
      </c>
      <c r="D5836" t="str">
        <f>"ABRAHAM                  GEORGE                   "</f>
        <v xml:space="preserve">ABRAHAM                  GEORGE                   </v>
      </c>
      <c r="E5836" t="str">
        <f>"WATER VALLEY              "</f>
        <v xml:space="preserve">WATER VALLEY              </v>
      </c>
      <c r="F5836" t="str">
        <f t="shared" si="207"/>
        <v>MS</v>
      </c>
    </row>
    <row r="5837" spans="1:6" x14ac:dyDescent="0.25">
      <c r="A5837" t="str">
        <f>"000114253"</f>
        <v>000114253</v>
      </c>
      <c r="B5837" t="str">
        <f>"1376584052"</f>
        <v>1376584052</v>
      </c>
      <c r="C5837" t="str">
        <f>"207Q00000X"</f>
        <v>207Q00000X</v>
      </c>
      <c r="D5837" t="str">
        <f>"GIFFIN                   ROBERT       L           "</f>
        <v xml:space="preserve">GIFFIN                   ROBERT       L           </v>
      </c>
      <c r="E5837" t="str">
        <f>"VICKSBURG                 "</f>
        <v xml:space="preserve">VICKSBURG                 </v>
      </c>
      <c r="F5837" t="str">
        <f t="shared" si="207"/>
        <v>MS</v>
      </c>
    </row>
    <row r="5838" spans="1:6" x14ac:dyDescent="0.25">
      <c r="A5838" t="str">
        <f>"000114254"</f>
        <v>000114254</v>
      </c>
      <c r="B5838" t="str">
        <f>"1649297201"</f>
        <v>1649297201</v>
      </c>
      <c r="C5838" t="str">
        <f>"207V00000X"</f>
        <v>207V00000X</v>
      </c>
      <c r="D5838" t="str">
        <f>"ALI                      RASHAD       N           "</f>
        <v xml:space="preserve">ALI                      RASHAD       N           </v>
      </c>
      <c r="E5838" t="str">
        <f>"LAUREL                    "</f>
        <v xml:space="preserve">LAUREL                    </v>
      </c>
      <c r="F5838" t="str">
        <f t="shared" si="207"/>
        <v>MS</v>
      </c>
    </row>
    <row r="5839" spans="1:6" x14ac:dyDescent="0.25">
      <c r="A5839" t="str">
        <f>"000114267"</f>
        <v>000114267</v>
      </c>
      <c r="B5839" t="str">
        <f>"1689751281"</f>
        <v>1689751281</v>
      </c>
      <c r="C5839" t="str">
        <f>"363L00000X"</f>
        <v>363L00000X</v>
      </c>
      <c r="D5839" t="str">
        <f>"STOWELL                  KAYE                     "</f>
        <v xml:space="preserve">STOWELL                  KAYE                     </v>
      </c>
      <c r="E5839" t="str">
        <f>"HATTIESBURG               "</f>
        <v xml:space="preserve">HATTIESBURG               </v>
      </c>
      <c r="F5839" t="str">
        <f t="shared" si="207"/>
        <v>MS</v>
      </c>
    </row>
    <row r="5840" spans="1:6" x14ac:dyDescent="0.25">
      <c r="A5840" t="str">
        <f>"000114278"</f>
        <v>000114278</v>
      </c>
      <c r="B5840" t="str">
        <f>"1851347215"</f>
        <v>1851347215</v>
      </c>
      <c r="C5840" t="str">
        <f>"363L00000X"</f>
        <v>363L00000X</v>
      </c>
      <c r="D5840" t="str">
        <f>"TAYLOR, JR               JOE          E           "</f>
        <v xml:space="preserve">TAYLOR, JR               JOE          E           </v>
      </c>
      <c r="E5840" t="str">
        <f>"CARRIERE                  "</f>
        <v xml:space="preserve">CARRIERE                  </v>
      </c>
      <c r="F5840" t="str">
        <f t="shared" si="207"/>
        <v>MS</v>
      </c>
    </row>
    <row r="5841" spans="1:6" x14ac:dyDescent="0.25">
      <c r="A5841" t="str">
        <f>"000114294"</f>
        <v>000114294</v>
      </c>
      <c r="B5841" t="str">
        <f>"1366579047"</f>
        <v>1366579047</v>
      </c>
      <c r="C5841" t="str">
        <f>"367500000X"</f>
        <v>367500000X</v>
      </c>
      <c r="D5841" t="str">
        <f>"WILKERSON                LISA         L           "</f>
        <v xml:space="preserve">WILKERSON                LISA         L           </v>
      </c>
      <c r="E5841" t="str">
        <f>"OCEAN SPRINGS             "</f>
        <v xml:space="preserve">OCEAN SPRINGS             </v>
      </c>
      <c r="F5841" t="str">
        <f t="shared" si="207"/>
        <v>MS</v>
      </c>
    </row>
    <row r="5842" spans="1:6" x14ac:dyDescent="0.25">
      <c r="A5842" t="str">
        <f>"000114314"</f>
        <v>000114314</v>
      </c>
      <c r="B5842" t="str">
        <f>"1699735159"</f>
        <v>1699735159</v>
      </c>
      <c r="C5842" t="str">
        <f>"207Q00000X"</f>
        <v>207Q00000X</v>
      </c>
      <c r="D5842" t="str">
        <f>"MONTGOMERY               STEPHEN      Q           "</f>
        <v xml:space="preserve">MONTGOMERY               STEPHEN      Q           </v>
      </c>
      <c r="E5842" t="str">
        <f>"PONTOTOC                  "</f>
        <v xml:space="preserve">PONTOTOC                  </v>
      </c>
      <c r="F5842" t="str">
        <f t="shared" si="207"/>
        <v>MS</v>
      </c>
    </row>
    <row r="5843" spans="1:6" x14ac:dyDescent="0.25">
      <c r="A5843" t="str">
        <f>"000114322"</f>
        <v>000114322</v>
      </c>
      <c r="B5843" t="str">
        <f>"1679503023"</f>
        <v>1679503023</v>
      </c>
      <c r="C5843" t="str">
        <f>"2086S0105X"</f>
        <v>2086S0105X</v>
      </c>
      <c r="D5843" t="str">
        <f>"BRANTLEY JR              SHELBY       K           "</f>
        <v xml:space="preserve">BRANTLEY JR              SHELBY       K           </v>
      </c>
      <c r="E5843" t="str">
        <f>"FLOWOOD                   "</f>
        <v xml:space="preserve">FLOWOOD                   </v>
      </c>
      <c r="F5843" t="str">
        <f t="shared" si="207"/>
        <v>MS</v>
      </c>
    </row>
    <row r="5844" spans="1:6" x14ac:dyDescent="0.25">
      <c r="A5844" t="str">
        <f>"000114338"</f>
        <v>000114338</v>
      </c>
      <c r="B5844" t="str">
        <f>"1700851615"</f>
        <v>1700851615</v>
      </c>
      <c r="C5844" t="str">
        <f>"207Y00000X"</f>
        <v>207Y00000X</v>
      </c>
      <c r="D5844" t="str">
        <f>"LAURENZO                 JOHN                     "</f>
        <v xml:space="preserve">LAURENZO                 JOHN                     </v>
      </c>
      <c r="E5844" t="str">
        <f>"OXFORD                    "</f>
        <v xml:space="preserve">OXFORD                    </v>
      </c>
      <c r="F5844" t="str">
        <f t="shared" si="207"/>
        <v>MS</v>
      </c>
    </row>
    <row r="5845" spans="1:6" x14ac:dyDescent="0.25">
      <c r="A5845" t="str">
        <f>"000114346"</f>
        <v>000114346</v>
      </c>
      <c r="B5845" t="str">
        <f>"1457409807"</f>
        <v>1457409807</v>
      </c>
      <c r="C5845" t="str">
        <f>"363L00000X"</f>
        <v>363L00000X</v>
      </c>
      <c r="D5845" t="str">
        <f>"SULLIVAN                 JERRY                    "</f>
        <v xml:space="preserve">SULLIVAN                 JERRY                    </v>
      </c>
      <c r="E5845" t="str">
        <f>"WOODLAND                  "</f>
        <v xml:space="preserve">WOODLAND                  </v>
      </c>
      <c r="F5845" t="str">
        <f t="shared" si="207"/>
        <v>MS</v>
      </c>
    </row>
    <row r="5846" spans="1:6" x14ac:dyDescent="0.25">
      <c r="A5846" t="str">
        <f>"000114356"</f>
        <v>000114356</v>
      </c>
      <c r="B5846" t="str">
        <f>"1568533198"</f>
        <v>1568533198</v>
      </c>
      <c r="C5846" t="str">
        <f>"207R00000X"</f>
        <v>207R00000X</v>
      </c>
      <c r="D5846" t="str">
        <f>"BRANNAN                  DONALD       P           "</f>
        <v xml:space="preserve">BRANNAN                  DONALD       P           </v>
      </c>
      <c r="E5846" t="str">
        <f>"FLOWOOD                   "</f>
        <v xml:space="preserve">FLOWOOD                   </v>
      </c>
      <c r="F5846" t="str">
        <f t="shared" si="207"/>
        <v>MS</v>
      </c>
    </row>
    <row r="5847" spans="1:6" x14ac:dyDescent="0.25">
      <c r="A5847" t="str">
        <f>"000114365"</f>
        <v>000114365</v>
      </c>
      <c r="B5847" t="str">
        <f>"1376504597"</f>
        <v>1376504597</v>
      </c>
      <c r="C5847" t="str">
        <f>"363L00000X"</f>
        <v>363L00000X</v>
      </c>
      <c r="D5847" t="str">
        <f>"LOGAN                    BETTYE                   "</f>
        <v xml:space="preserve">LOGAN                    BETTYE                   </v>
      </c>
      <c r="E5847" t="str">
        <f>"COLLINS                   "</f>
        <v xml:space="preserve">COLLINS                   </v>
      </c>
      <c r="F5847" t="str">
        <f t="shared" si="207"/>
        <v>MS</v>
      </c>
    </row>
    <row r="5848" spans="1:6" x14ac:dyDescent="0.25">
      <c r="A5848" t="str">
        <f>"000114375"</f>
        <v>000114375</v>
      </c>
      <c r="B5848" t="str">
        <f>"1528176807"</f>
        <v>1528176807</v>
      </c>
      <c r="C5848" t="str">
        <f>"363L00000X"</f>
        <v>363L00000X</v>
      </c>
      <c r="D5848" t="str">
        <f>"REDMON II                SIMON        P           "</f>
        <v xml:space="preserve">REDMON II                SIMON        P           </v>
      </c>
      <c r="E5848" t="str">
        <f>"SEMINARY                  "</f>
        <v xml:space="preserve">SEMINARY                  </v>
      </c>
      <c r="F5848" t="str">
        <f t="shared" si="207"/>
        <v>MS</v>
      </c>
    </row>
    <row r="5849" spans="1:6" x14ac:dyDescent="0.25">
      <c r="A5849" t="str">
        <f>"000114381"</f>
        <v>000114381</v>
      </c>
      <c r="B5849" t="str">
        <f>"1225043599"</f>
        <v>1225043599</v>
      </c>
      <c r="C5849" t="str">
        <f>"207Q00000X"</f>
        <v>207Q00000X</v>
      </c>
      <c r="D5849" t="str">
        <f>"WESTBROOK                HOWARD       G           "</f>
        <v xml:space="preserve">WESTBROOK                HOWARD       G           </v>
      </c>
      <c r="E5849" t="str">
        <f>"OCEAN SPRINGS             "</f>
        <v xml:space="preserve">OCEAN SPRINGS             </v>
      </c>
      <c r="F5849" t="str">
        <f t="shared" si="207"/>
        <v>MS</v>
      </c>
    </row>
    <row r="5850" spans="1:6" x14ac:dyDescent="0.25">
      <c r="A5850" t="str">
        <f>"000114403"</f>
        <v>000114403</v>
      </c>
      <c r="B5850" t="str">
        <f>"1083638217"</f>
        <v>1083638217</v>
      </c>
      <c r="C5850" t="str">
        <f>"207RG0100X"</f>
        <v>207RG0100X</v>
      </c>
      <c r="D5850" t="str">
        <f>"JOHNSON                  SAMUEL       A           "</f>
        <v xml:space="preserve">JOHNSON                  SAMUEL       A           </v>
      </c>
      <c r="E5850" t="str">
        <f>"COLUMBUS                  "</f>
        <v xml:space="preserve">COLUMBUS                  </v>
      </c>
      <c r="F5850" t="str">
        <f t="shared" si="207"/>
        <v>MS</v>
      </c>
    </row>
    <row r="5851" spans="1:6" x14ac:dyDescent="0.25">
      <c r="A5851" t="str">
        <f>"000114404"</f>
        <v>000114404</v>
      </c>
      <c r="B5851" t="str">
        <f>"1205845468"</f>
        <v>1205845468</v>
      </c>
      <c r="C5851" t="str">
        <f>"2084N0400X"</f>
        <v>2084N0400X</v>
      </c>
      <c r="D5851" t="str">
        <f>"ASSAF                    MOHAMMAD     T           "</f>
        <v xml:space="preserve">ASSAF                    MOHAMMAD     T           </v>
      </c>
      <c r="E5851" t="str">
        <f>"NEW ALBANY                "</f>
        <v xml:space="preserve">NEW ALBANY                </v>
      </c>
      <c r="F5851" t="str">
        <f t="shared" si="207"/>
        <v>MS</v>
      </c>
    </row>
    <row r="5852" spans="1:6" x14ac:dyDescent="0.25">
      <c r="A5852" t="str">
        <f>"000114407"</f>
        <v>000114407</v>
      </c>
      <c r="B5852" t="str">
        <f>"1831252683"</f>
        <v>1831252683</v>
      </c>
      <c r="C5852" t="str">
        <f>"367500000X"</f>
        <v>367500000X</v>
      </c>
      <c r="D5852" t="str">
        <f>"GRANING                  SUSAN        L           "</f>
        <v xml:space="preserve">GRANING                  SUSAN        L           </v>
      </c>
      <c r="E5852" t="str">
        <f>"JACKSON                   "</f>
        <v xml:space="preserve">JACKSON                   </v>
      </c>
      <c r="F5852" t="str">
        <f t="shared" si="207"/>
        <v>MS</v>
      </c>
    </row>
    <row r="5853" spans="1:6" x14ac:dyDescent="0.25">
      <c r="A5853" t="str">
        <f>"000114408"</f>
        <v>000114408</v>
      </c>
      <c r="B5853" t="str">
        <f>"1134113087"</f>
        <v>1134113087</v>
      </c>
      <c r="C5853" t="str">
        <f>"367500000X"</f>
        <v>367500000X</v>
      </c>
      <c r="D5853" t="str">
        <f>"WILSON                   LISA         G           "</f>
        <v xml:space="preserve">WILSON                   LISA         G           </v>
      </c>
      <c r="E5853" t="str">
        <f>"NATCHEZ                   "</f>
        <v xml:space="preserve">NATCHEZ                   </v>
      </c>
      <c r="F5853" t="str">
        <f t="shared" si="207"/>
        <v>MS</v>
      </c>
    </row>
    <row r="5854" spans="1:6" x14ac:dyDescent="0.25">
      <c r="A5854" t="str">
        <f>"000114440"</f>
        <v>000114440</v>
      </c>
      <c r="B5854" t="str">
        <f>"1780677906"</f>
        <v>1780677906</v>
      </c>
      <c r="C5854" t="str">
        <f>"2085R0001X"</f>
        <v>2085R0001X</v>
      </c>
      <c r="D5854" t="str">
        <f>"CALVIN                   DOUGLAS                  "</f>
        <v xml:space="preserve">CALVIN                   DOUGLAS                  </v>
      </c>
      <c r="E5854" t="str">
        <f>"JACKSON                   "</f>
        <v xml:space="preserve">JACKSON                   </v>
      </c>
      <c r="F5854" t="str">
        <f t="shared" si="207"/>
        <v>MS</v>
      </c>
    </row>
    <row r="5855" spans="1:6" x14ac:dyDescent="0.25">
      <c r="A5855" t="str">
        <f>"000114468"</f>
        <v>000114468</v>
      </c>
      <c r="B5855" t="str">
        <f>"1093801227"</f>
        <v>1093801227</v>
      </c>
      <c r="C5855" t="str">
        <f>"207Q00000X"</f>
        <v>207Q00000X</v>
      </c>
      <c r="D5855" t="str">
        <f>"BURNETT                  WALTER       M           "</f>
        <v xml:space="preserve">BURNETT                  WALTER       M           </v>
      </c>
      <c r="E5855" t="str">
        <f>"YAZOO CITY                "</f>
        <v xml:space="preserve">YAZOO CITY                </v>
      </c>
      <c r="F5855" t="str">
        <f t="shared" si="207"/>
        <v>MS</v>
      </c>
    </row>
    <row r="5856" spans="1:6" x14ac:dyDescent="0.25">
      <c r="A5856" t="str">
        <f>"000114491"</f>
        <v>000114491</v>
      </c>
      <c r="B5856" t="str">
        <f>"1750342986"</f>
        <v>1750342986</v>
      </c>
      <c r="C5856" t="str">
        <f>"207R00000X"</f>
        <v>207R00000X</v>
      </c>
      <c r="D5856" t="str">
        <f>"LEATHERWOOD              LYNN         E           "</f>
        <v xml:space="preserve">LEATHERWOOD              LYNN         E           </v>
      </c>
      <c r="E5856" t="str">
        <f>"GULFPORT                  "</f>
        <v xml:space="preserve">GULFPORT                  </v>
      </c>
      <c r="F5856" t="str">
        <f t="shared" si="207"/>
        <v>MS</v>
      </c>
    </row>
    <row r="5857" spans="1:6" x14ac:dyDescent="0.25">
      <c r="A5857" t="str">
        <f>"000114493"</f>
        <v>000114493</v>
      </c>
      <c r="B5857" t="str">
        <f>"1356302574"</f>
        <v>1356302574</v>
      </c>
      <c r="C5857" t="str">
        <f>"207R00000X"</f>
        <v>207R00000X</v>
      </c>
      <c r="D5857" t="str">
        <f>"BENEFIELD                BOYD         P           "</f>
        <v xml:space="preserve">BENEFIELD                BOYD         P           </v>
      </c>
      <c r="E5857" t="str">
        <f>"GULFPORT                  "</f>
        <v xml:space="preserve">GULFPORT                  </v>
      </c>
      <c r="F5857" t="str">
        <f t="shared" si="207"/>
        <v>MS</v>
      </c>
    </row>
    <row r="5858" spans="1:6" x14ac:dyDescent="0.25">
      <c r="A5858" t="str">
        <f>"000114534"</f>
        <v>000114534</v>
      </c>
      <c r="B5858" t="str">
        <f>"1225142920"</f>
        <v>1225142920</v>
      </c>
      <c r="C5858" t="str">
        <f>"207ZP0102X"</f>
        <v>207ZP0102X</v>
      </c>
      <c r="D5858" t="str">
        <f>"KRATZ                    KURT         G           "</f>
        <v xml:space="preserve">KRATZ                    KURT         G           </v>
      </c>
      <c r="E5858" t="str">
        <f>"HATTIESBURG               "</f>
        <v xml:space="preserve">HATTIESBURG               </v>
      </c>
      <c r="F5858" t="str">
        <f t="shared" si="207"/>
        <v>MS</v>
      </c>
    </row>
    <row r="5859" spans="1:6" x14ac:dyDescent="0.25">
      <c r="A5859" t="str">
        <f>"000114535"</f>
        <v>000114535</v>
      </c>
      <c r="B5859" t="str">
        <f>"1043210024"</f>
        <v>1043210024</v>
      </c>
      <c r="C5859" t="str">
        <f>"207Y00000X"</f>
        <v>207Y00000X</v>
      </c>
      <c r="D5859" t="str">
        <f>"BRIDGES                  ERIC         W           "</f>
        <v xml:space="preserve">BRIDGES                  ERIC         W           </v>
      </c>
      <c r="E5859" t="str">
        <f>"JACKSON                   "</f>
        <v xml:space="preserve">JACKSON                   </v>
      </c>
      <c r="F5859" t="str">
        <f t="shared" si="207"/>
        <v>MS</v>
      </c>
    </row>
    <row r="5860" spans="1:6" x14ac:dyDescent="0.25">
      <c r="A5860" t="str">
        <f>"000114543"</f>
        <v>000114543</v>
      </c>
      <c r="B5860" t="str">
        <f>"1043234461"</f>
        <v>1043234461</v>
      </c>
      <c r="C5860" t="str">
        <f>"208000000X"</f>
        <v>208000000X</v>
      </c>
      <c r="D5860" t="str">
        <f>"GUTIERREZ                YOLANDA                  "</f>
        <v xml:space="preserve">GUTIERREZ                YOLANDA                  </v>
      </c>
      <c r="E5860" t="str">
        <f>"PASCAGOULA                "</f>
        <v xml:space="preserve">PASCAGOULA                </v>
      </c>
      <c r="F5860" t="str">
        <f t="shared" si="207"/>
        <v>MS</v>
      </c>
    </row>
    <row r="5861" spans="1:6" x14ac:dyDescent="0.25">
      <c r="A5861" t="str">
        <f>"000114577"</f>
        <v>000114577</v>
      </c>
      <c r="B5861" t="str">
        <f>"1497888341"</f>
        <v>1497888341</v>
      </c>
      <c r="C5861" t="str">
        <f>"207V00000X"</f>
        <v>207V00000X</v>
      </c>
      <c r="D5861" t="str">
        <f>"RICE                     PAUL         M           "</f>
        <v xml:space="preserve">RICE                     PAUL         M           </v>
      </c>
      <c r="E5861" t="str">
        <f>"JACKSON                   "</f>
        <v xml:space="preserve">JACKSON                   </v>
      </c>
      <c r="F5861" t="str">
        <f t="shared" si="207"/>
        <v>MS</v>
      </c>
    </row>
    <row r="5862" spans="1:6" x14ac:dyDescent="0.25">
      <c r="A5862" t="str">
        <f>"000114614"</f>
        <v>000114614</v>
      </c>
      <c r="B5862" t="str">
        <f>"1538257654"</f>
        <v>1538257654</v>
      </c>
      <c r="C5862" t="str">
        <f>"207P00000X"</f>
        <v>207P00000X</v>
      </c>
      <c r="D5862" t="str">
        <f>"WILLIAMS                 CLIFTON      D           "</f>
        <v xml:space="preserve">WILLIAMS                 CLIFTON      D           </v>
      </c>
      <c r="E5862" t="str">
        <f>"MCCOMB                    "</f>
        <v xml:space="preserve">MCCOMB                    </v>
      </c>
      <c r="F5862" t="str">
        <f t="shared" si="207"/>
        <v>MS</v>
      </c>
    </row>
    <row r="5863" spans="1:6" x14ac:dyDescent="0.25">
      <c r="A5863" t="str">
        <f>"000114618"</f>
        <v>000114618</v>
      </c>
      <c r="B5863" t="str">
        <f>"1730186750"</f>
        <v>1730186750</v>
      </c>
      <c r="C5863" t="str">
        <f>"2084P0800X"</f>
        <v>2084P0800X</v>
      </c>
      <c r="D5863" t="str">
        <f>"ROY                      ALPHONSE     K           "</f>
        <v xml:space="preserve">ROY                      ALPHONSE     K           </v>
      </c>
      <c r="E5863" t="str">
        <f>"BAY ST LOUIS              "</f>
        <v xml:space="preserve">BAY ST LOUIS              </v>
      </c>
      <c r="F5863" t="str">
        <f t="shared" si="207"/>
        <v>MS</v>
      </c>
    </row>
    <row r="5864" spans="1:6" x14ac:dyDescent="0.25">
      <c r="A5864" t="str">
        <f>"000114628"</f>
        <v>000114628</v>
      </c>
      <c r="B5864" t="str">
        <f>"1053369801"</f>
        <v>1053369801</v>
      </c>
      <c r="C5864" t="str">
        <f>"207R00000X"</f>
        <v>207R00000X</v>
      </c>
      <c r="D5864" t="str">
        <f>"CROWDER III              ROWE         S           "</f>
        <v xml:space="preserve">CROWDER III              ROWE         S           </v>
      </c>
      <c r="E5864" t="str">
        <f>"BAY ST LOUIS              "</f>
        <v xml:space="preserve">BAY ST LOUIS              </v>
      </c>
      <c r="F5864" t="str">
        <f t="shared" si="207"/>
        <v>MS</v>
      </c>
    </row>
    <row r="5865" spans="1:6" x14ac:dyDescent="0.25">
      <c r="A5865" t="str">
        <f>"000114632"</f>
        <v>000114632</v>
      </c>
      <c r="B5865" t="str">
        <f>"1104853936"</f>
        <v>1104853936</v>
      </c>
      <c r="C5865" t="str">
        <f>"207Q00000X"</f>
        <v>207Q00000X</v>
      </c>
      <c r="D5865" t="str">
        <f>"HUBACEK                  LAWRENCE     J           "</f>
        <v xml:space="preserve">HUBACEK                  LAWRENCE     J           </v>
      </c>
      <c r="E5865" t="str">
        <f>"JACKSON                   "</f>
        <v xml:space="preserve">JACKSON                   </v>
      </c>
      <c r="F5865" t="str">
        <f t="shared" si="207"/>
        <v>MS</v>
      </c>
    </row>
    <row r="5866" spans="1:6" x14ac:dyDescent="0.25">
      <c r="A5866" t="str">
        <f>"000114637"</f>
        <v>000114637</v>
      </c>
      <c r="B5866" t="str">
        <f>"1487697561"</f>
        <v>1487697561</v>
      </c>
      <c r="C5866" t="str">
        <f>"207Q00000X"</f>
        <v>207Q00000X</v>
      </c>
      <c r="D5866" t="str">
        <f>"WHEAT                    DAVID        B           "</f>
        <v xml:space="preserve">WHEAT                    DAVID        B           </v>
      </c>
      <c r="E5866" t="str">
        <f>"CLINTON                   "</f>
        <v xml:space="preserve">CLINTON                   </v>
      </c>
      <c r="F5866" t="str">
        <f t="shared" si="207"/>
        <v>MS</v>
      </c>
    </row>
    <row r="5867" spans="1:6" x14ac:dyDescent="0.25">
      <c r="A5867" t="str">
        <f>"000114640"</f>
        <v>000114640</v>
      </c>
      <c r="B5867" t="str">
        <f>"1649380940"</f>
        <v>1649380940</v>
      </c>
      <c r="C5867" t="str">
        <f>"363L00000X"</f>
        <v>363L00000X</v>
      </c>
      <c r="D5867" t="str">
        <f>"WINDHAM                  BILLY        R           "</f>
        <v xml:space="preserve">WINDHAM                  BILLY        R           </v>
      </c>
      <c r="E5867" t="str">
        <f>"HATTIESBURG               "</f>
        <v xml:space="preserve">HATTIESBURG               </v>
      </c>
      <c r="F5867" t="str">
        <f t="shared" si="207"/>
        <v>MS</v>
      </c>
    </row>
    <row r="5868" spans="1:6" x14ac:dyDescent="0.25">
      <c r="A5868" t="str">
        <f>"000114644"</f>
        <v>000114644</v>
      </c>
      <c r="B5868" t="str">
        <f>"1750363156"</f>
        <v>1750363156</v>
      </c>
      <c r="C5868" t="str">
        <f>"208000000X"</f>
        <v>208000000X</v>
      </c>
      <c r="D5868" t="str">
        <f>"ARTIGUES                 MICHAEL                  "</f>
        <v xml:space="preserve">ARTIGUES                 MICHAEL                  </v>
      </c>
      <c r="E5868" t="str">
        <f>"MCCOMB                    "</f>
        <v xml:space="preserve">MCCOMB                    </v>
      </c>
      <c r="F5868" t="str">
        <f t="shared" si="207"/>
        <v>MS</v>
      </c>
    </row>
    <row r="5869" spans="1:6" x14ac:dyDescent="0.25">
      <c r="A5869" t="str">
        <f>"000114684"</f>
        <v>000114684</v>
      </c>
      <c r="B5869" t="str">
        <f>"1700977675"</f>
        <v>1700977675</v>
      </c>
      <c r="C5869" t="str">
        <f>"363L00000X"</f>
        <v>363L00000X</v>
      </c>
      <c r="D5869" t="str">
        <f>"HOLDER                   ALISON       L           "</f>
        <v xml:space="preserve">HOLDER                   ALISON       L           </v>
      </c>
      <c r="E5869" t="str">
        <f>"BAY SPRINGS               "</f>
        <v xml:space="preserve">BAY SPRINGS               </v>
      </c>
      <c r="F5869" t="str">
        <f t="shared" si="207"/>
        <v>MS</v>
      </c>
    </row>
    <row r="5870" spans="1:6" x14ac:dyDescent="0.25">
      <c r="A5870" t="str">
        <f>"000114726"</f>
        <v>000114726</v>
      </c>
      <c r="B5870" t="str">
        <f>"1225079759"</f>
        <v>1225079759</v>
      </c>
      <c r="C5870" t="str">
        <f>"2085R0202X"</f>
        <v>2085R0202X</v>
      </c>
      <c r="D5870" t="str">
        <f>"COLEMAN                  ROBERT       M           "</f>
        <v xml:space="preserve">COLEMAN                  ROBERT       M           </v>
      </c>
      <c r="E5870" t="str">
        <f>"HATTIESBURG               "</f>
        <v xml:space="preserve">HATTIESBURG               </v>
      </c>
      <c r="F5870" t="str">
        <f t="shared" si="207"/>
        <v>MS</v>
      </c>
    </row>
    <row r="5871" spans="1:6" x14ac:dyDescent="0.25">
      <c r="A5871" t="str">
        <f>"000114733"</f>
        <v>000114733</v>
      </c>
      <c r="B5871" t="str">
        <f>"1194819045"</f>
        <v>1194819045</v>
      </c>
      <c r="C5871" t="str">
        <f>"207LP2900X"</f>
        <v>207LP2900X</v>
      </c>
      <c r="D5871" t="str">
        <f>"TSANG                    BRIAN        K           "</f>
        <v xml:space="preserve">TSANG                    BRIAN        K           </v>
      </c>
      <c r="E5871" t="str">
        <f>"BILOXI                    "</f>
        <v xml:space="preserve">BILOXI                    </v>
      </c>
      <c r="F5871" t="str">
        <f t="shared" si="207"/>
        <v>MS</v>
      </c>
    </row>
    <row r="5872" spans="1:6" x14ac:dyDescent="0.25">
      <c r="A5872" t="str">
        <f>"000114734"</f>
        <v>000114734</v>
      </c>
      <c r="B5872" t="str">
        <f>"1770585630"</f>
        <v>1770585630</v>
      </c>
      <c r="C5872" t="str">
        <f>"207Q00000X"</f>
        <v>207Q00000X</v>
      </c>
      <c r="D5872" t="str">
        <f>"DONALD, III              ROBERT       L           "</f>
        <v xml:space="preserve">DONALD, III              ROBERT       L           </v>
      </c>
      <c r="E5872" t="str">
        <f>"PASCAGOULA                "</f>
        <v xml:space="preserve">PASCAGOULA                </v>
      </c>
      <c r="F5872" t="str">
        <f t="shared" si="207"/>
        <v>MS</v>
      </c>
    </row>
    <row r="5873" spans="1:6" x14ac:dyDescent="0.25">
      <c r="A5873" t="str">
        <f>"000114771"</f>
        <v>000114771</v>
      </c>
      <c r="B5873" t="str">
        <f>"1417056235"</f>
        <v>1417056235</v>
      </c>
      <c r="C5873" t="str">
        <f>"367500000X"</f>
        <v>367500000X</v>
      </c>
      <c r="D5873" t="str">
        <f>"RAINEY                   KENNETH      W           "</f>
        <v xml:space="preserve">RAINEY                   KENNETH      W           </v>
      </c>
      <c r="E5873" t="str">
        <f>"JACKSON                   "</f>
        <v xml:space="preserve">JACKSON                   </v>
      </c>
      <c r="F5873" t="str">
        <f t="shared" si="207"/>
        <v>MS</v>
      </c>
    </row>
    <row r="5874" spans="1:6" x14ac:dyDescent="0.25">
      <c r="A5874" t="str">
        <f>"000114775"</f>
        <v>000114775</v>
      </c>
      <c r="B5874" t="str">
        <f>"1336145762"</f>
        <v>1336145762</v>
      </c>
      <c r="C5874" t="str">
        <f>"207R00000X"</f>
        <v>207R00000X</v>
      </c>
      <c r="D5874" t="str">
        <f>"RAHAT                    MUZAFFAR                 "</f>
        <v xml:space="preserve">RAHAT                    MUZAFFAR                 </v>
      </c>
      <c r="E5874" t="str">
        <f>"MERIDIAN                  "</f>
        <v xml:space="preserve">MERIDIAN                  </v>
      </c>
      <c r="F5874" t="str">
        <f t="shared" si="207"/>
        <v>MS</v>
      </c>
    </row>
    <row r="5875" spans="1:6" x14ac:dyDescent="0.25">
      <c r="A5875" t="str">
        <f>"000114780"</f>
        <v>000114780</v>
      </c>
      <c r="B5875" t="str">
        <f>"1841285764"</f>
        <v>1841285764</v>
      </c>
      <c r="C5875" t="str">
        <f>"207Q00000X"</f>
        <v>207Q00000X</v>
      </c>
      <c r="D5875" t="str">
        <f>"DOWELL                   WILLIAM      W           "</f>
        <v xml:space="preserve">DOWELL                   WILLIAM      W           </v>
      </c>
      <c r="E5875" t="str">
        <f>"INDIANOLA                 "</f>
        <v xml:space="preserve">INDIANOLA                 </v>
      </c>
      <c r="F5875" t="str">
        <f t="shared" si="207"/>
        <v>MS</v>
      </c>
    </row>
    <row r="5876" spans="1:6" x14ac:dyDescent="0.25">
      <c r="A5876" t="str">
        <f>"000114781"</f>
        <v>000114781</v>
      </c>
      <c r="B5876" t="str">
        <f>"1578654125"</f>
        <v>1578654125</v>
      </c>
      <c r="C5876" t="str">
        <f>"207Q00000X"</f>
        <v>207Q00000X</v>
      </c>
      <c r="D5876" t="str">
        <f>"DONAHOE, JR.             EDGAR        N           "</f>
        <v xml:space="preserve">DONAHOE, JR.             EDGAR        N           </v>
      </c>
      <c r="E5876" t="str">
        <f>"INDIANOLA                 "</f>
        <v xml:space="preserve">INDIANOLA                 </v>
      </c>
      <c r="F5876" t="str">
        <f t="shared" si="207"/>
        <v>MS</v>
      </c>
    </row>
    <row r="5877" spans="1:6" x14ac:dyDescent="0.25">
      <c r="A5877" t="str">
        <f>"000114800"</f>
        <v>000114800</v>
      </c>
      <c r="B5877" t="str">
        <f>"1427087592"</f>
        <v>1427087592</v>
      </c>
      <c r="C5877" t="str">
        <f>"207X00000X"</f>
        <v>207X00000X</v>
      </c>
      <c r="D5877" t="str">
        <f>"LINE, JR.                LAWRENCE     L           "</f>
        <v xml:space="preserve">LINE, JR.                LAWRENCE     L           </v>
      </c>
      <c r="E5877" t="str">
        <f>"HATTIESBURG               "</f>
        <v xml:space="preserve">HATTIESBURG               </v>
      </c>
      <c r="F5877" t="str">
        <f t="shared" si="207"/>
        <v>MS</v>
      </c>
    </row>
    <row r="5878" spans="1:6" x14ac:dyDescent="0.25">
      <c r="A5878" t="str">
        <f>"000114808"</f>
        <v>000114808</v>
      </c>
      <c r="B5878" t="str">
        <f>"1568534832"</f>
        <v>1568534832</v>
      </c>
      <c r="C5878" t="str">
        <f>"207RG0100X"</f>
        <v>207RG0100X</v>
      </c>
      <c r="D5878" t="str">
        <f>"HALL                     CHARLES      E           "</f>
        <v xml:space="preserve">HALL                     CHARLES      E           </v>
      </c>
      <c r="E5878" t="str">
        <f>"FLOWOOD                   "</f>
        <v xml:space="preserve">FLOWOOD                   </v>
      </c>
      <c r="F5878" t="str">
        <f t="shared" si="207"/>
        <v>MS</v>
      </c>
    </row>
    <row r="5879" spans="1:6" x14ac:dyDescent="0.25">
      <c r="A5879" t="str">
        <f>"000114816"</f>
        <v>000114816</v>
      </c>
      <c r="B5879" t="str">
        <f>"1417046327"</f>
        <v>1417046327</v>
      </c>
      <c r="C5879" t="str">
        <f>"2084P0800X"</f>
        <v>2084P0800X</v>
      </c>
      <c r="D5879" t="str">
        <f>"JORDAN                   TERRY        T           "</f>
        <v xml:space="preserve">JORDAN                   TERRY        T           </v>
      </c>
      <c r="E5879" t="str">
        <f>"MERIDIAN                  "</f>
        <v xml:space="preserve">MERIDIAN                  </v>
      </c>
      <c r="F5879" t="str">
        <f t="shared" si="207"/>
        <v>MS</v>
      </c>
    </row>
    <row r="5880" spans="1:6" x14ac:dyDescent="0.25">
      <c r="A5880" t="str">
        <f>"000114829"</f>
        <v>000114829</v>
      </c>
      <c r="B5880" t="str">
        <f>"1477564110"</f>
        <v>1477564110</v>
      </c>
      <c r="C5880" t="str">
        <f>"207R00000X"</f>
        <v>207R00000X</v>
      </c>
      <c r="D5880" t="str">
        <f>"JAH                      MOHAMED                  "</f>
        <v xml:space="preserve">JAH                      MOHAMED                  </v>
      </c>
      <c r="E5880" t="str">
        <f>"CHOCTAW                   "</f>
        <v xml:space="preserve">CHOCTAW                   </v>
      </c>
      <c r="F5880" t="str">
        <f t="shared" si="207"/>
        <v>MS</v>
      </c>
    </row>
    <row r="5881" spans="1:6" x14ac:dyDescent="0.25">
      <c r="A5881" t="str">
        <f>"000114830"</f>
        <v>000114830</v>
      </c>
      <c r="B5881" t="str">
        <f>"1225052863"</f>
        <v>1225052863</v>
      </c>
      <c r="C5881" t="str">
        <f>"207RG0100X"</f>
        <v>207RG0100X</v>
      </c>
      <c r="D5881" t="str">
        <f>"CEGIELSKI                CAROLYN      H           "</f>
        <v xml:space="preserve">CEGIELSKI                CAROLYN      H           </v>
      </c>
      <c r="E5881" t="str">
        <f>"LAUREL                    "</f>
        <v xml:space="preserve">LAUREL                    </v>
      </c>
      <c r="F5881" t="str">
        <f t="shared" si="207"/>
        <v>MS</v>
      </c>
    </row>
    <row r="5882" spans="1:6" x14ac:dyDescent="0.25">
      <c r="A5882" t="str">
        <f>"000114837"</f>
        <v>000114837</v>
      </c>
      <c r="B5882" t="str">
        <f>"1336160050"</f>
        <v>1336160050</v>
      </c>
      <c r="C5882" t="str">
        <f>"367500000X"</f>
        <v>367500000X</v>
      </c>
      <c r="D5882" t="str">
        <f>"WALTERS                  THOMAS       M           "</f>
        <v xml:space="preserve">WALTERS                  THOMAS       M           </v>
      </c>
      <c r="E5882" t="str">
        <f>"HATTIESBURG               "</f>
        <v xml:space="preserve">HATTIESBURG               </v>
      </c>
      <c r="F5882" t="str">
        <f t="shared" si="207"/>
        <v>MS</v>
      </c>
    </row>
    <row r="5883" spans="1:6" x14ac:dyDescent="0.25">
      <c r="A5883" t="str">
        <f>"000114839"</f>
        <v>000114839</v>
      </c>
      <c r="B5883" t="str">
        <f>"1275562464"</f>
        <v>1275562464</v>
      </c>
      <c r="C5883" t="str">
        <f>"207R00000X"</f>
        <v>207R00000X</v>
      </c>
      <c r="D5883" t="str">
        <f>"KARIM                    PARVEZ                   "</f>
        <v xml:space="preserve">KARIM                    PARVEZ                   </v>
      </c>
      <c r="E5883" t="str">
        <f>"GREENVILLE                "</f>
        <v xml:space="preserve">GREENVILLE                </v>
      </c>
      <c r="F5883" t="str">
        <f t="shared" si="207"/>
        <v>MS</v>
      </c>
    </row>
    <row r="5884" spans="1:6" x14ac:dyDescent="0.25">
      <c r="A5884" t="str">
        <f>"000114852"</f>
        <v>000114852</v>
      </c>
      <c r="B5884" t="str">
        <f>"1982600060"</f>
        <v>1982600060</v>
      </c>
      <c r="C5884" t="str">
        <f>"207RN0300X"</f>
        <v>207RN0300X</v>
      </c>
      <c r="D5884" t="str">
        <f>"HICKS                    RANDALL      D           "</f>
        <v xml:space="preserve">HICKS                    RANDALL      D           </v>
      </c>
      <c r="E5884" t="str">
        <f>"MERIDIAN                  "</f>
        <v xml:space="preserve">MERIDIAN                  </v>
      </c>
      <c r="F5884" t="str">
        <f t="shared" si="207"/>
        <v>MS</v>
      </c>
    </row>
    <row r="5885" spans="1:6" x14ac:dyDescent="0.25">
      <c r="A5885" t="str">
        <f>"000114863"</f>
        <v>000114863</v>
      </c>
      <c r="B5885" t="str">
        <f>"1902813009"</f>
        <v>1902813009</v>
      </c>
      <c r="C5885" t="str">
        <f>"367500000X"</f>
        <v>367500000X</v>
      </c>
      <c r="D5885" t="str">
        <f>"WATERS                   SANDRA       L           "</f>
        <v xml:space="preserve">WATERS                   SANDRA       L           </v>
      </c>
      <c r="E5885" t="str">
        <f>"TUPELO                    "</f>
        <v xml:space="preserve">TUPELO                    </v>
      </c>
      <c r="F5885" t="str">
        <f t="shared" si="207"/>
        <v>MS</v>
      </c>
    </row>
    <row r="5886" spans="1:6" x14ac:dyDescent="0.25">
      <c r="A5886" t="str">
        <f>"000114873"</f>
        <v>000114873</v>
      </c>
      <c r="B5886" t="str">
        <f>"1518949262"</f>
        <v>1518949262</v>
      </c>
      <c r="C5886" t="str">
        <f>"363L00000X"</f>
        <v>363L00000X</v>
      </c>
      <c r="D5886" t="str">
        <f>"BARRETT                  GLENDA       R           "</f>
        <v xml:space="preserve">BARRETT                  GLENDA       R           </v>
      </c>
      <c r="E5886" t="str">
        <f>"DECATUR                   "</f>
        <v xml:space="preserve">DECATUR                   </v>
      </c>
      <c r="F5886" t="str">
        <f t="shared" ref="F5886:F5949" si="208">"MS"</f>
        <v>MS</v>
      </c>
    </row>
    <row r="5887" spans="1:6" x14ac:dyDescent="0.25">
      <c r="A5887" t="str">
        <f>"000114888"</f>
        <v>000114888</v>
      </c>
      <c r="B5887" t="str">
        <f>"1750354247"</f>
        <v>1750354247</v>
      </c>
      <c r="C5887" t="str">
        <f>"207V00000X"</f>
        <v>207V00000X</v>
      </c>
      <c r="D5887" t="str">
        <f>"WASHBURNE                JOSEPH       F           "</f>
        <v xml:space="preserve">WASHBURNE                JOSEPH       F           </v>
      </c>
      <c r="E5887" t="str">
        <f>"HATTIESBURG               "</f>
        <v xml:space="preserve">HATTIESBURG               </v>
      </c>
      <c r="F5887" t="str">
        <f t="shared" si="208"/>
        <v>MS</v>
      </c>
    </row>
    <row r="5888" spans="1:6" x14ac:dyDescent="0.25">
      <c r="A5888" t="str">
        <f>"000114895"</f>
        <v>000114895</v>
      </c>
      <c r="B5888" t="str">
        <f>"1629049846"</f>
        <v>1629049846</v>
      </c>
      <c r="C5888" t="str">
        <f>"207RG0100X"</f>
        <v>207RG0100X</v>
      </c>
      <c r="D5888" t="str">
        <f>"PINSON                   TERRY        W           "</f>
        <v xml:space="preserve">PINSON                   TERRY        W           </v>
      </c>
      <c r="E5888" t="str">
        <f>"TUPELO                    "</f>
        <v xml:space="preserve">TUPELO                    </v>
      </c>
      <c r="F5888" t="str">
        <f t="shared" si="208"/>
        <v>MS</v>
      </c>
    </row>
    <row r="5889" spans="1:6" x14ac:dyDescent="0.25">
      <c r="A5889" t="str">
        <f>"000114903"</f>
        <v>000114903</v>
      </c>
      <c r="B5889" t="str">
        <f>"1598776338"</f>
        <v>1598776338</v>
      </c>
      <c r="C5889" t="str">
        <f>"207Y00000X"</f>
        <v>207Y00000X</v>
      </c>
      <c r="D5889" t="str">
        <f>"MCAULEY                  JAMES        R           "</f>
        <v xml:space="preserve">MCAULEY                  JAMES        R           </v>
      </c>
      <c r="E5889" t="str">
        <f>"TUPELO                    "</f>
        <v xml:space="preserve">TUPELO                    </v>
      </c>
      <c r="F5889" t="str">
        <f t="shared" si="208"/>
        <v>MS</v>
      </c>
    </row>
    <row r="5890" spans="1:6" x14ac:dyDescent="0.25">
      <c r="A5890" t="str">
        <f>"000114913"</f>
        <v>000114913</v>
      </c>
      <c r="B5890" t="str">
        <f>"1770698078"</f>
        <v>1770698078</v>
      </c>
      <c r="C5890" t="str">
        <f>"208000000X"</f>
        <v>208000000X</v>
      </c>
      <c r="D5890" t="str">
        <f>"HOLLAND                  MAUREEN      S           "</f>
        <v xml:space="preserve">HOLLAND                  MAUREEN      S           </v>
      </c>
      <c r="E5890" t="str">
        <f>"GULFPORT                  "</f>
        <v xml:space="preserve">GULFPORT                  </v>
      </c>
      <c r="F5890" t="str">
        <f t="shared" si="208"/>
        <v>MS</v>
      </c>
    </row>
    <row r="5891" spans="1:6" x14ac:dyDescent="0.25">
      <c r="A5891" t="str">
        <f>"000114916"</f>
        <v>000114916</v>
      </c>
      <c r="B5891" t="str">
        <f>"1558456764"</f>
        <v>1558456764</v>
      </c>
      <c r="C5891" t="str">
        <f>"207V00000X"</f>
        <v>207V00000X</v>
      </c>
      <c r="D5891" t="str">
        <f>"BLACKWOOD                MARK         E           "</f>
        <v xml:space="preserve">BLACKWOOD                MARK         E           </v>
      </c>
      <c r="E5891" t="str">
        <f>"CORINTH                   "</f>
        <v xml:space="preserve">CORINTH                   </v>
      </c>
      <c r="F5891" t="str">
        <f t="shared" si="208"/>
        <v>MS</v>
      </c>
    </row>
    <row r="5892" spans="1:6" x14ac:dyDescent="0.25">
      <c r="A5892" t="str">
        <f>"000114923"</f>
        <v>000114923</v>
      </c>
      <c r="B5892" t="str">
        <f>"1134174097"</f>
        <v>1134174097</v>
      </c>
      <c r="C5892" t="str">
        <f>"208000000X"</f>
        <v>208000000X</v>
      </c>
      <c r="D5892" t="str">
        <f>"FELDER                   ELIZABETH    M           "</f>
        <v xml:space="preserve">FELDER                   ELIZABETH    M           </v>
      </c>
      <c r="E5892" t="str">
        <f>"HATTIESBURG               "</f>
        <v xml:space="preserve">HATTIESBURG               </v>
      </c>
      <c r="F5892" t="str">
        <f t="shared" si="208"/>
        <v>MS</v>
      </c>
    </row>
    <row r="5893" spans="1:6" x14ac:dyDescent="0.25">
      <c r="A5893" t="str">
        <f>"000114933"</f>
        <v>000114933</v>
      </c>
      <c r="B5893" t="str">
        <f>"1790703171"</f>
        <v>1790703171</v>
      </c>
      <c r="C5893" t="str">
        <f>"208600000X"</f>
        <v>208600000X</v>
      </c>
      <c r="D5893" t="str">
        <f>"IVEY                     RICHARD      K           "</f>
        <v xml:space="preserve">IVEY                     RICHARD      K           </v>
      </c>
      <c r="E5893" t="str">
        <f>"LAUREL                    "</f>
        <v xml:space="preserve">LAUREL                    </v>
      </c>
      <c r="F5893" t="str">
        <f t="shared" si="208"/>
        <v>MS</v>
      </c>
    </row>
    <row r="5894" spans="1:6" x14ac:dyDescent="0.25">
      <c r="A5894" t="str">
        <f>"000114934"</f>
        <v>000114934</v>
      </c>
      <c r="B5894" t="str">
        <f>"1770595753"</f>
        <v>1770595753</v>
      </c>
      <c r="C5894" t="str">
        <f>"208000000X"</f>
        <v>208000000X</v>
      </c>
      <c r="D5894" t="str">
        <f>"CAIN                     ROBERT       J           "</f>
        <v xml:space="preserve">CAIN                     ROBERT       J           </v>
      </c>
      <c r="E5894" t="str">
        <f>"STARKVILLE                "</f>
        <v xml:space="preserve">STARKVILLE                </v>
      </c>
      <c r="F5894" t="str">
        <f t="shared" si="208"/>
        <v>MS</v>
      </c>
    </row>
    <row r="5895" spans="1:6" x14ac:dyDescent="0.25">
      <c r="A5895" t="str">
        <f>"000114935"</f>
        <v>000114935</v>
      </c>
      <c r="B5895" t="str">
        <f>"1588750178"</f>
        <v>1588750178</v>
      </c>
      <c r="C5895" t="str">
        <f>"207W00000X"</f>
        <v>207W00000X</v>
      </c>
      <c r="D5895" t="str">
        <f>"BORNE                    MICHAEL      J           "</f>
        <v xml:space="preserve">BORNE                    MICHAEL      J           </v>
      </c>
      <c r="E5895" t="str">
        <f>"JACKSON                   "</f>
        <v xml:space="preserve">JACKSON                   </v>
      </c>
      <c r="F5895" t="str">
        <f t="shared" si="208"/>
        <v>MS</v>
      </c>
    </row>
    <row r="5896" spans="1:6" x14ac:dyDescent="0.25">
      <c r="A5896" t="str">
        <f>"000114939"</f>
        <v>000114939</v>
      </c>
      <c r="B5896" t="str">
        <f>"1679506760"</f>
        <v>1679506760</v>
      </c>
      <c r="C5896" t="str">
        <f>"208000000X"</f>
        <v>208000000X</v>
      </c>
      <c r="D5896" t="str">
        <f>"TIBBS III                ROBERT       C           "</f>
        <v xml:space="preserve">TIBBS III                ROBERT       C           </v>
      </c>
      <c r="E5896" t="str">
        <f>"CLEVELAND                 "</f>
        <v xml:space="preserve">CLEVELAND                 </v>
      </c>
      <c r="F5896" t="str">
        <f t="shared" si="208"/>
        <v>MS</v>
      </c>
    </row>
    <row r="5897" spans="1:6" x14ac:dyDescent="0.25">
      <c r="A5897" t="str">
        <f>"000114942"</f>
        <v>000114942</v>
      </c>
      <c r="B5897" t="str">
        <f>"1598734808"</f>
        <v>1598734808</v>
      </c>
      <c r="C5897" t="str">
        <f>"208000000X"</f>
        <v>208000000X</v>
      </c>
      <c r="D5897" t="str">
        <f>"NOBLE                    MELYNDA      C           "</f>
        <v xml:space="preserve">NOBLE                    MELYNDA      C           </v>
      </c>
      <c r="E5897" t="str">
        <f>"JACKSON                   "</f>
        <v xml:space="preserve">JACKSON                   </v>
      </c>
      <c r="F5897" t="str">
        <f t="shared" si="208"/>
        <v>MS</v>
      </c>
    </row>
    <row r="5898" spans="1:6" x14ac:dyDescent="0.25">
      <c r="A5898" t="str">
        <f>"000114974"</f>
        <v>000114974</v>
      </c>
      <c r="B5898" t="str">
        <f>"1518051671"</f>
        <v>1518051671</v>
      </c>
      <c r="C5898" t="str">
        <f>"207X00000X"</f>
        <v>207X00000X</v>
      </c>
      <c r="D5898" t="str">
        <f>"JONES                    GORDON       S           "</f>
        <v xml:space="preserve">JONES                    GORDON       S           </v>
      </c>
      <c r="E5898" t="str">
        <f>"COLUMBUS                  "</f>
        <v xml:space="preserve">COLUMBUS                  </v>
      </c>
      <c r="F5898" t="str">
        <f t="shared" si="208"/>
        <v>MS</v>
      </c>
    </row>
    <row r="5899" spans="1:6" x14ac:dyDescent="0.25">
      <c r="A5899" t="str">
        <f>"000114995"</f>
        <v>000114995</v>
      </c>
      <c r="B5899" t="str">
        <f>"1225094261"</f>
        <v>1225094261</v>
      </c>
      <c r="C5899" t="str">
        <f>"207R00000X"</f>
        <v>207R00000X</v>
      </c>
      <c r="D5899" t="str">
        <f>"TAYLOR                   MAX          R           "</f>
        <v xml:space="preserve">TAYLOR                   MAX          R           </v>
      </c>
      <c r="E5899" t="str">
        <f>"TUPELO                    "</f>
        <v xml:space="preserve">TUPELO                    </v>
      </c>
      <c r="F5899" t="str">
        <f t="shared" si="208"/>
        <v>MS</v>
      </c>
    </row>
    <row r="5900" spans="1:6" x14ac:dyDescent="0.25">
      <c r="A5900" t="str">
        <f>"000115017"</f>
        <v>000115017</v>
      </c>
      <c r="B5900" t="str">
        <f>"1487609871"</f>
        <v>1487609871</v>
      </c>
      <c r="C5900" t="str">
        <f>"363L00000X"</f>
        <v>363L00000X</v>
      </c>
      <c r="D5900" t="str">
        <f>"BAILEY                   LISA         M           "</f>
        <v xml:space="preserve">BAILEY                   LISA         M           </v>
      </c>
      <c r="E5900" t="str">
        <f>"HATTIESBURG               "</f>
        <v xml:space="preserve">HATTIESBURG               </v>
      </c>
      <c r="F5900" t="str">
        <f t="shared" si="208"/>
        <v>MS</v>
      </c>
    </row>
    <row r="5901" spans="1:6" x14ac:dyDescent="0.25">
      <c r="A5901" t="str">
        <f>"000115025"</f>
        <v>000115025</v>
      </c>
      <c r="B5901" t="str">
        <f>"1033121785"</f>
        <v>1033121785</v>
      </c>
      <c r="C5901" t="str">
        <f>"207R00000X"</f>
        <v>207R00000X</v>
      </c>
      <c r="D5901" t="str">
        <f>"HABEEB                   GEORGE                   "</f>
        <v xml:space="preserve">HABEEB                   GEORGE                   </v>
      </c>
      <c r="E5901" t="str">
        <f>"VICKSBURG                 "</f>
        <v xml:space="preserve">VICKSBURG                 </v>
      </c>
      <c r="F5901" t="str">
        <f t="shared" si="208"/>
        <v>MS</v>
      </c>
    </row>
    <row r="5902" spans="1:6" x14ac:dyDescent="0.25">
      <c r="A5902" t="str">
        <f>"000115028"</f>
        <v>000115028</v>
      </c>
      <c r="B5902" t="str">
        <f>"1154431351"</f>
        <v>1154431351</v>
      </c>
      <c r="C5902" t="str">
        <f>"208000000X"</f>
        <v>208000000X</v>
      </c>
      <c r="D5902" t="str">
        <f>"GRUICH, JR.              MITCHELL     J           "</f>
        <v xml:space="preserve">GRUICH, JR.              MITCHELL     J           </v>
      </c>
      <c r="E5902" t="str">
        <f>"BILOXI                    "</f>
        <v xml:space="preserve">BILOXI                    </v>
      </c>
      <c r="F5902" t="str">
        <f t="shared" si="208"/>
        <v>MS</v>
      </c>
    </row>
    <row r="5903" spans="1:6" x14ac:dyDescent="0.25">
      <c r="A5903" t="str">
        <f>"000115047"</f>
        <v>000115047</v>
      </c>
      <c r="B5903" t="str">
        <f>"1811963408"</f>
        <v>1811963408</v>
      </c>
      <c r="C5903" t="str">
        <f>"207R00000X"</f>
        <v>207R00000X</v>
      </c>
      <c r="D5903" t="str">
        <f>"FORTENBERRY              FRANK        S           "</f>
        <v xml:space="preserve">FORTENBERRY              FRANK        S           </v>
      </c>
      <c r="E5903" t="str">
        <f>"TUPELO                    "</f>
        <v xml:space="preserve">TUPELO                    </v>
      </c>
      <c r="F5903" t="str">
        <f t="shared" si="208"/>
        <v>MS</v>
      </c>
    </row>
    <row r="5904" spans="1:6" x14ac:dyDescent="0.25">
      <c r="A5904" t="str">
        <f>"000115056"</f>
        <v>000115056</v>
      </c>
      <c r="B5904" t="str">
        <f>"1306847280"</f>
        <v>1306847280</v>
      </c>
      <c r="C5904" t="str">
        <f>"2085R0202X"</f>
        <v>2085R0202X</v>
      </c>
      <c r="D5904" t="str">
        <f>"LOVELL                   FRANK        A           "</f>
        <v xml:space="preserve">LOVELL                   FRANK        A           </v>
      </c>
      <c r="E5904" t="str">
        <f>"JACKSON                   "</f>
        <v xml:space="preserve">JACKSON                   </v>
      </c>
      <c r="F5904" t="str">
        <f t="shared" si="208"/>
        <v>MS</v>
      </c>
    </row>
    <row r="5905" spans="1:6" x14ac:dyDescent="0.25">
      <c r="A5905" t="str">
        <f>"000115062"</f>
        <v>000115062</v>
      </c>
      <c r="B5905" t="str">
        <f>"1780685578"</f>
        <v>1780685578</v>
      </c>
      <c r="C5905" t="str">
        <f>"2085R0202X"</f>
        <v>2085R0202X</v>
      </c>
      <c r="D5905" t="str">
        <f>"DIAZ                     MICHAEL      J           "</f>
        <v xml:space="preserve">DIAZ                     MICHAEL      J           </v>
      </c>
      <c r="E5905" t="str">
        <f>"JACKSON                   "</f>
        <v xml:space="preserve">JACKSON                   </v>
      </c>
      <c r="F5905" t="str">
        <f t="shared" si="208"/>
        <v>MS</v>
      </c>
    </row>
    <row r="5906" spans="1:6" x14ac:dyDescent="0.25">
      <c r="A5906" t="str">
        <f>"000115067"</f>
        <v>000115067</v>
      </c>
      <c r="B5906" t="str">
        <f>"1285657916"</f>
        <v>1285657916</v>
      </c>
      <c r="C5906" t="str">
        <f>"208000000X"</f>
        <v>208000000X</v>
      </c>
      <c r="D5906" t="str">
        <f>"HOLLAND                  CHARLES      M           "</f>
        <v xml:space="preserve">HOLLAND                  CHARLES      M           </v>
      </c>
      <c r="E5906" t="str">
        <f>"BROOKHAVEN                "</f>
        <v xml:space="preserve">BROOKHAVEN                </v>
      </c>
      <c r="F5906" t="str">
        <f t="shared" si="208"/>
        <v>MS</v>
      </c>
    </row>
    <row r="5907" spans="1:6" x14ac:dyDescent="0.25">
      <c r="A5907" t="str">
        <f>"000115076"</f>
        <v>000115076</v>
      </c>
      <c r="B5907" t="str">
        <f>"1689761280"</f>
        <v>1689761280</v>
      </c>
      <c r="C5907" t="str">
        <f>"207Q00000X"</f>
        <v>207Q00000X</v>
      </c>
      <c r="D5907" t="str">
        <f>"BROCK JR                 CHARLES      F           "</f>
        <v xml:space="preserve">BROCK JR                 CHARLES      F           </v>
      </c>
      <c r="E5907" t="str">
        <f>"CLEVELAND                 "</f>
        <v xml:space="preserve">CLEVELAND                 </v>
      </c>
      <c r="F5907" t="str">
        <f t="shared" si="208"/>
        <v>MS</v>
      </c>
    </row>
    <row r="5908" spans="1:6" x14ac:dyDescent="0.25">
      <c r="A5908" t="str">
        <f>"000115094"</f>
        <v>000115094</v>
      </c>
      <c r="B5908" t="str">
        <f>"1316906548"</f>
        <v>1316906548</v>
      </c>
      <c r="C5908" t="str">
        <f>"207Q00000X"</f>
        <v>207Q00000X</v>
      </c>
      <c r="D5908" t="str">
        <f>"BLACKWOOD                DONALD       J           "</f>
        <v xml:space="preserve">BLACKWOOD                DONALD       J           </v>
      </c>
      <c r="E5908" t="str">
        <f>"CLEVELAND                 "</f>
        <v xml:space="preserve">CLEVELAND                 </v>
      </c>
      <c r="F5908" t="str">
        <f t="shared" si="208"/>
        <v>MS</v>
      </c>
    </row>
    <row r="5909" spans="1:6" x14ac:dyDescent="0.25">
      <c r="A5909" t="str">
        <f>"000115096"</f>
        <v>000115096</v>
      </c>
      <c r="B5909" t="str">
        <f>"1922022060"</f>
        <v>1922022060</v>
      </c>
      <c r="C5909" t="str">
        <f>"207V00000X"</f>
        <v>207V00000X</v>
      </c>
      <c r="D5909" t="str">
        <f>"RAY                      MARK         A           "</f>
        <v xml:space="preserve">RAY                      MARK         A           </v>
      </c>
      <c r="E5909" t="str">
        <f>"TUPELO                    "</f>
        <v xml:space="preserve">TUPELO                    </v>
      </c>
      <c r="F5909" t="str">
        <f t="shared" si="208"/>
        <v>MS</v>
      </c>
    </row>
    <row r="5910" spans="1:6" x14ac:dyDescent="0.25">
      <c r="A5910" t="str">
        <f>"000115098"</f>
        <v>000115098</v>
      </c>
      <c r="B5910" t="str">
        <f>"1821001041"</f>
        <v>1821001041</v>
      </c>
      <c r="C5910" t="str">
        <f>"207Q00000X"</f>
        <v>207Q00000X</v>
      </c>
      <c r="D5910" t="str">
        <f>"WALLER                   RICHARD      E           "</f>
        <v xml:space="preserve">WALLER                   RICHARD      E           </v>
      </c>
      <c r="E5910" t="str">
        <f>"MARKS                     "</f>
        <v xml:space="preserve">MARKS                     </v>
      </c>
      <c r="F5910" t="str">
        <f t="shared" si="208"/>
        <v>MS</v>
      </c>
    </row>
    <row r="5911" spans="1:6" x14ac:dyDescent="0.25">
      <c r="A5911" t="str">
        <f>"000115102"</f>
        <v>000115102</v>
      </c>
      <c r="B5911" t="str">
        <f>"1912919234"</f>
        <v>1912919234</v>
      </c>
      <c r="C5911" t="str">
        <f>"207Q00000X"</f>
        <v>207Q00000X</v>
      </c>
      <c r="D5911" t="str">
        <f>"WARRINGTON, JR           JAMES        E           "</f>
        <v xml:space="preserve">WARRINGTON, JR           JAMES        E           </v>
      </c>
      <c r="E5911" t="str">
        <f>"RULEVILLE                 "</f>
        <v xml:space="preserve">RULEVILLE                 </v>
      </c>
      <c r="F5911" t="str">
        <f t="shared" si="208"/>
        <v>MS</v>
      </c>
    </row>
    <row r="5912" spans="1:6" x14ac:dyDescent="0.25">
      <c r="A5912" t="str">
        <f>"000115108"</f>
        <v>000115108</v>
      </c>
      <c r="B5912" t="str">
        <f>"1942203286"</f>
        <v>1942203286</v>
      </c>
      <c r="C5912" t="str">
        <f>"208000000X"</f>
        <v>208000000X</v>
      </c>
      <c r="D5912" t="str">
        <f>"HARDING                  ERIC         D           "</f>
        <v xml:space="preserve">HARDING                  ERIC         D           </v>
      </c>
      <c r="E5912" t="str">
        <f>"NEW ALBANY                "</f>
        <v xml:space="preserve">NEW ALBANY                </v>
      </c>
      <c r="F5912" t="str">
        <f t="shared" si="208"/>
        <v>MS</v>
      </c>
    </row>
    <row r="5913" spans="1:6" x14ac:dyDescent="0.25">
      <c r="A5913" t="str">
        <f>"000115124"</f>
        <v>000115124</v>
      </c>
      <c r="B5913" t="str">
        <f>"1841305950"</f>
        <v>1841305950</v>
      </c>
      <c r="C5913" t="str">
        <f>"207RP1001X"</f>
        <v>207RP1001X</v>
      </c>
      <c r="D5913" t="str">
        <f>"NEESE                    LEWIS                    "</f>
        <v xml:space="preserve">NEESE                    LEWIS                    </v>
      </c>
      <c r="E5913" t="str">
        <f>"HATTIESBURG               "</f>
        <v xml:space="preserve">HATTIESBURG               </v>
      </c>
      <c r="F5913" t="str">
        <f t="shared" si="208"/>
        <v>MS</v>
      </c>
    </row>
    <row r="5914" spans="1:6" x14ac:dyDescent="0.25">
      <c r="A5914" t="str">
        <f>"000115132"</f>
        <v>000115132</v>
      </c>
      <c r="B5914" t="str">
        <f>"1023129608"</f>
        <v>1023129608</v>
      </c>
      <c r="C5914" t="str">
        <f>"207R00000X"</f>
        <v>207R00000X</v>
      </c>
      <c r="D5914" t="str">
        <f>"ROBERTS                  JOSEPH       F           "</f>
        <v xml:space="preserve">ROBERTS                  JOSEPH       F           </v>
      </c>
      <c r="E5914" t="str">
        <f>"GRENADA                   "</f>
        <v xml:space="preserve">GRENADA                   </v>
      </c>
      <c r="F5914" t="str">
        <f t="shared" si="208"/>
        <v>MS</v>
      </c>
    </row>
    <row r="5915" spans="1:6" x14ac:dyDescent="0.25">
      <c r="A5915" t="str">
        <f>"000115133"</f>
        <v>000115133</v>
      </c>
      <c r="B5915" t="str">
        <f>"1003855784"</f>
        <v>1003855784</v>
      </c>
      <c r="C5915" t="str">
        <f>"207R00000X"</f>
        <v>207R00000X</v>
      </c>
      <c r="D5915" t="str">
        <f>"PACE                     SIDNEY       K           "</f>
        <v xml:space="preserve">PACE                     SIDNEY       K           </v>
      </c>
      <c r="E5915" t="str">
        <f>"TUPELO                    "</f>
        <v xml:space="preserve">TUPELO                    </v>
      </c>
      <c r="F5915" t="str">
        <f t="shared" si="208"/>
        <v>MS</v>
      </c>
    </row>
    <row r="5916" spans="1:6" x14ac:dyDescent="0.25">
      <c r="A5916" t="str">
        <f>"000115138"</f>
        <v>000115138</v>
      </c>
      <c r="B5916" t="str">
        <f>"1841371671"</f>
        <v>1841371671</v>
      </c>
      <c r="C5916" t="str">
        <f>"207V00000X"</f>
        <v>207V00000X</v>
      </c>
      <c r="D5916" t="str">
        <f>"PEARSON                  THOMAS       H           "</f>
        <v xml:space="preserve">PEARSON                  THOMAS       H           </v>
      </c>
      <c r="E5916" t="str">
        <f>"TUPELO                    "</f>
        <v xml:space="preserve">TUPELO                    </v>
      </c>
      <c r="F5916" t="str">
        <f t="shared" si="208"/>
        <v>MS</v>
      </c>
    </row>
    <row r="5917" spans="1:6" x14ac:dyDescent="0.25">
      <c r="A5917" t="str">
        <f>"000115150"</f>
        <v>000115150</v>
      </c>
      <c r="B5917" t="str">
        <f>"1760496475"</f>
        <v>1760496475</v>
      </c>
      <c r="C5917" t="str">
        <f>"207RC0000X"</f>
        <v>207RC0000X</v>
      </c>
      <c r="D5917" t="str">
        <f>"PAYMENT                  MICHAEL                  "</f>
        <v xml:space="preserve">PAYMENT                  MICHAEL                  </v>
      </c>
      <c r="E5917" t="str">
        <f>"GULFPORT                  "</f>
        <v xml:space="preserve">GULFPORT                  </v>
      </c>
      <c r="F5917" t="str">
        <f t="shared" si="208"/>
        <v>MS</v>
      </c>
    </row>
    <row r="5918" spans="1:6" x14ac:dyDescent="0.25">
      <c r="A5918" t="str">
        <f>"000115155"</f>
        <v>000115155</v>
      </c>
      <c r="B5918" t="str">
        <f>"1174530448"</f>
        <v>1174530448</v>
      </c>
      <c r="C5918" t="str">
        <f>"207N00000X"</f>
        <v>207N00000X</v>
      </c>
      <c r="D5918" t="str">
        <f>"CONERLY                  STEPHEN      L           "</f>
        <v xml:space="preserve">CONERLY                  STEPHEN      L           </v>
      </c>
      <c r="E5918" t="str">
        <f>"HATTIESBURG               "</f>
        <v xml:space="preserve">HATTIESBURG               </v>
      </c>
      <c r="F5918" t="str">
        <f t="shared" si="208"/>
        <v>MS</v>
      </c>
    </row>
    <row r="5919" spans="1:6" x14ac:dyDescent="0.25">
      <c r="A5919" t="str">
        <f>"000115162"</f>
        <v>000115162</v>
      </c>
      <c r="B5919" t="str">
        <f>"1972521185"</f>
        <v>1972521185</v>
      </c>
      <c r="C5919" t="str">
        <f>"363L00000X"</f>
        <v>363L00000X</v>
      </c>
      <c r="D5919" t="str">
        <f>"HOLLINGSHEAD             DEBORAH      S           "</f>
        <v xml:space="preserve">HOLLINGSHEAD             DEBORAH      S           </v>
      </c>
      <c r="E5919" t="str">
        <f>"MOSELLE                   "</f>
        <v xml:space="preserve">MOSELLE                   </v>
      </c>
      <c r="F5919" t="str">
        <f t="shared" si="208"/>
        <v>MS</v>
      </c>
    </row>
    <row r="5920" spans="1:6" x14ac:dyDescent="0.25">
      <c r="A5920" t="str">
        <f>"000115165"</f>
        <v>000115165</v>
      </c>
      <c r="B5920" t="str">
        <f>"1972549251"</f>
        <v>1972549251</v>
      </c>
      <c r="C5920" t="str">
        <f>"208000000X"</f>
        <v>208000000X</v>
      </c>
      <c r="D5920" t="str">
        <f>"SIDDIQUI                 OBAID        A           "</f>
        <v xml:space="preserve">SIDDIQUI                 OBAID        A           </v>
      </c>
      <c r="E5920" t="str">
        <f>"OCEAN SPRINGS             "</f>
        <v xml:space="preserve">OCEAN SPRINGS             </v>
      </c>
      <c r="F5920" t="str">
        <f t="shared" si="208"/>
        <v>MS</v>
      </c>
    </row>
    <row r="5921" spans="1:6" x14ac:dyDescent="0.25">
      <c r="A5921" t="str">
        <f>"000115183"</f>
        <v>000115183</v>
      </c>
      <c r="B5921" t="str">
        <f>"1598875304"</f>
        <v>1598875304</v>
      </c>
      <c r="C5921" t="str">
        <f>"207RC0000X"</f>
        <v>207RC0000X</v>
      </c>
      <c r="D5921" t="str">
        <f>"WILKINS                  ROBERT       G           "</f>
        <v xml:space="preserve">WILKINS                  ROBERT       G           </v>
      </c>
      <c r="E5921" t="str">
        <f>"HATTIESBURG               "</f>
        <v xml:space="preserve">HATTIESBURG               </v>
      </c>
      <c r="F5921" t="str">
        <f t="shared" si="208"/>
        <v>MS</v>
      </c>
    </row>
    <row r="5922" spans="1:6" x14ac:dyDescent="0.25">
      <c r="A5922" t="str">
        <f>"000115185"</f>
        <v>000115185</v>
      </c>
      <c r="B5922" t="str">
        <f>"1861412967"</f>
        <v>1861412967</v>
      </c>
      <c r="C5922" t="str">
        <f>"207L00000X"</f>
        <v>207L00000X</v>
      </c>
      <c r="D5922" t="str">
        <f>"MOORE                    DAVID                    "</f>
        <v xml:space="preserve">MOORE                    DAVID                    </v>
      </c>
      <c r="E5922" t="str">
        <f>"HATTIESBURG               "</f>
        <v xml:space="preserve">HATTIESBURG               </v>
      </c>
      <c r="F5922" t="str">
        <f t="shared" si="208"/>
        <v>MS</v>
      </c>
    </row>
    <row r="5923" spans="1:6" x14ac:dyDescent="0.25">
      <c r="A5923" t="str">
        <f>"000115194"</f>
        <v>000115194</v>
      </c>
      <c r="B5923" t="str">
        <f>"1144338369"</f>
        <v>1144338369</v>
      </c>
      <c r="C5923" t="str">
        <f>"207Q00000X"</f>
        <v>207Q00000X</v>
      </c>
      <c r="D5923" t="str">
        <f>"LAY JR                   A            K           "</f>
        <v xml:space="preserve">LAY JR                   A            K           </v>
      </c>
      <c r="E5923" t="str">
        <f>"BAY SPRINGS               "</f>
        <v xml:space="preserve">BAY SPRINGS               </v>
      </c>
      <c r="F5923" t="str">
        <f t="shared" si="208"/>
        <v>MS</v>
      </c>
    </row>
    <row r="5924" spans="1:6" x14ac:dyDescent="0.25">
      <c r="A5924" t="str">
        <f>"000115198"</f>
        <v>000115198</v>
      </c>
      <c r="B5924" t="str">
        <f>"1962546192"</f>
        <v>1962546192</v>
      </c>
      <c r="C5924" t="str">
        <f>"207Q00000X"</f>
        <v>207Q00000X</v>
      </c>
      <c r="D5924" t="str">
        <f>"HOLBROOK                 CHIP         D           "</f>
        <v xml:space="preserve">HOLBROOK                 CHIP         D           </v>
      </c>
      <c r="E5924" t="str">
        <f>"MENDENHALL                "</f>
        <v xml:space="preserve">MENDENHALL                </v>
      </c>
      <c r="F5924" t="str">
        <f t="shared" si="208"/>
        <v>MS</v>
      </c>
    </row>
    <row r="5925" spans="1:6" x14ac:dyDescent="0.25">
      <c r="A5925" t="str">
        <f>"000115205"</f>
        <v>000115205</v>
      </c>
      <c r="B5925" t="str">
        <f>"1881665859"</f>
        <v>1881665859</v>
      </c>
      <c r="C5925" t="str">
        <f>"207V00000X"</f>
        <v>207V00000X</v>
      </c>
      <c r="D5925" t="str">
        <f>"KELLUM                   MARK         J           "</f>
        <v xml:space="preserve">KELLUM                   MARK         J           </v>
      </c>
      <c r="E5925" t="str">
        <f>"TUPELO                    "</f>
        <v xml:space="preserve">TUPELO                    </v>
      </c>
      <c r="F5925" t="str">
        <f t="shared" si="208"/>
        <v>MS</v>
      </c>
    </row>
    <row r="5926" spans="1:6" x14ac:dyDescent="0.25">
      <c r="A5926" t="str">
        <f>"000115208"</f>
        <v>000115208</v>
      </c>
      <c r="B5926" t="str">
        <f>"1053358853"</f>
        <v>1053358853</v>
      </c>
      <c r="C5926" t="str">
        <f>"207Q00000X"</f>
        <v>207Q00000X</v>
      </c>
      <c r="D5926" t="str">
        <f>"MASTERSON                ROBERT       C           "</f>
        <v xml:space="preserve">MASTERSON                ROBERT       C           </v>
      </c>
      <c r="E5926" t="str">
        <f>"VICKSBURG                 "</f>
        <v xml:space="preserve">VICKSBURG                 </v>
      </c>
      <c r="F5926" t="str">
        <f t="shared" si="208"/>
        <v>MS</v>
      </c>
    </row>
    <row r="5927" spans="1:6" x14ac:dyDescent="0.25">
      <c r="A5927" t="str">
        <f>"000115226"</f>
        <v>000115226</v>
      </c>
      <c r="B5927" t="str">
        <f>"1205831666"</f>
        <v>1205831666</v>
      </c>
      <c r="C5927" t="str">
        <f>"207RX0202X"</f>
        <v>207RX0202X</v>
      </c>
      <c r="D5927" t="str">
        <f>"GRAHAM                   BOBBY        L           "</f>
        <v xml:space="preserve">GRAHAM                   BOBBY        L           </v>
      </c>
      <c r="E5927" t="str">
        <f>"JACKSON                   "</f>
        <v xml:space="preserve">JACKSON                   </v>
      </c>
      <c r="F5927" t="str">
        <f t="shared" si="208"/>
        <v>MS</v>
      </c>
    </row>
    <row r="5928" spans="1:6" x14ac:dyDescent="0.25">
      <c r="A5928" t="str">
        <f>"000115228"</f>
        <v>000115228</v>
      </c>
      <c r="B5928" t="str">
        <f>"1033159140"</f>
        <v>1033159140</v>
      </c>
      <c r="C5928" t="str">
        <f>"207R00000X"</f>
        <v>207R00000X</v>
      </c>
      <c r="D5928" t="str">
        <f>"AZAR                     NABIL        J           "</f>
        <v xml:space="preserve">AZAR                     NABIL        J           </v>
      </c>
      <c r="E5928" t="str">
        <f>"GULFPORT                  "</f>
        <v xml:space="preserve">GULFPORT                  </v>
      </c>
      <c r="F5928" t="str">
        <f t="shared" si="208"/>
        <v>MS</v>
      </c>
    </row>
    <row r="5929" spans="1:6" x14ac:dyDescent="0.25">
      <c r="A5929" t="str">
        <f>"000115230"</f>
        <v>000115230</v>
      </c>
      <c r="B5929" t="str">
        <f>"1487694485"</f>
        <v>1487694485</v>
      </c>
      <c r="C5929" t="str">
        <f>"367500000X"</f>
        <v>367500000X</v>
      </c>
      <c r="D5929" t="str">
        <f>"HUFF JR                  JAMES                    "</f>
        <v xml:space="preserve">HUFF JR                  JAMES                    </v>
      </c>
      <c r="E5929" t="str">
        <f>"LAUREL                    "</f>
        <v xml:space="preserve">LAUREL                    </v>
      </c>
      <c r="F5929" t="str">
        <f t="shared" si="208"/>
        <v>MS</v>
      </c>
    </row>
    <row r="5930" spans="1:6" x14ac:dyDescent="0.25">
      <c r="A5930" t="str">
        <f>"000115234"</f>
        <v>000115234</v>
      </c>
      <c r="B5930" t="str">
        <f>"1659317873"</f>
        <v>1659317873</v>
      </c>
      <c r="C5930" t="str">
        <f>"207V00000X"</f>
        <v>207V00000X</v>
      </c>
      <c r="D5930" t="str">
        <f>"MALLETT                  JOHN         H           "</f>
        <v xml:space="preserve">MALLETT                  JOHN         H           </v>
      </c>
      <c r="E5930" t="str">
        <f>"BILOXI                    "</f>
        <v xml:space="preserve">BILOXI                    </v>
      </c>
      <c r="F5930" t="str">
        <f t="shared" si="208"/>
        <v>MS</v>
      </c>
    </row>
    <row r="5931" spans="1:6" x14ac:dyDescent="0.25">
      <c r="A5931" t="str">
        <f>"000115245"</f>
        <v>000115245</v>
      </c>
      <c r="B5931" t="str">
        <f>"1578509501"</f>
        <v>1578509501</v>
      </c>
      <c r="C5931" t="str">
        <f>"207RC0000X"</f>
        <v>207RC0000X</v>
      </c>
      <c r="D5931" t="str">
        <f>"MULHOLLAND               DAVID        H           "</f>
        <v xml:space="preserve">MULHOLLAND               DAVID        H           </v>
      </c>
      <c r="E5931" t="str">
        <f>"JACKSON                   "</f>
        <v xml:space="preserve">JACKSON                   </v>
      </c>
      <c r="F5931" t="str">
        <f t="shared" si="208"/>
        <v>MS</v>
      </c>
    </row>
    <row r="5932" spans="1:6" x14ac:dyDescent="0.25">
      <c r="A5932" t="str">
        <f>"000115249"</f>
        <v>000115249</v>
      </c>
      <c r="B5932" t="str">
        <f>"1548206717"</f>
        <v>1548206717</v>
      </c>
      <c r="C5932" t="str">
        <f>"207RC0001X"</f>
        <v>207RC0001X</v>
      </c>
      <c r="D5932" t="str">
        <f>"LOTT                     JIMMY        W           "</f>
        <v xml:space="preserve">LOTT                     JIMMY        W           </v>
      </c>
      <c r="E5932" t="str">
        <f>"JACKSON                   "</f>
        <v xml:space="preserve">JACKSON                   </v>
      </c>
      <c r="F5932" t="str">
        <f t="shared" si="208"/>
        <v>MS</v>
      </c>
    </row>
    <row r="5933" spans="1:6" x14ac:dyDescent="0.25">
      <c r="A5933" t="str">
        <f>"000115267"</f>
        <v>000115267</v>
      </c>
      <c r="B5933" t="str">
        <f>"1831295807"</f>
        <v>1831295807</v>
      </c>
      <c r="C5933" t="str">
        <f>"207V00000X"</f>
        <v>207V00000X</v>
      </c>
      <c r="D5933" t="str">
        <f>"HAMNER JR                DABNEY       J           "</f>
        <v xml:space="preserve">HAMNER JR                DABNEY       J           </v>
      </c>
      <c r="E5933" t="str">
        <f>"OLIVE BRANCH              "</f>
        <v xml:space="preserve">OLIVE BRANCH              </v>
      </c>
      <c r="F5933" t="str">
        <f t="shared" si="208"/>
        <v>MS</v>
      </c>
    </row>
    <row r="5934" spans="1:6" x14ac:dyDescent="0.25">
      <c r="A5934" t="str">
        <f>"000115271"</f>
        <v>000115271</v>
      </c>
      <c r="B5934" t="str">
        <f>"1912017468"</f>
        <v>1912017468</v>
      </c>
      <c r="C5934" t="str">
        <f>"207V00000X"</f>
        <v>207V00000X</v>
      </c>
      <c r="D5934" t="str">
        <f>"SUMRALL                  DAWN         M           "</f>
        <v xml:space="preserve">SUMRALL                  DAWN         M           </v>
      </c>
      <c r="E5934" t="str">
        <f>"MCCOMB                    "</f>
        <v xml:space="preserve">MCCOMB                    </v>
      </c>
      <c r="F5934" t="str">
        <f t="shared" si="208"/>
        <v>MS</v>
      </c>
    </row>
    <row r="5935" spans="1:6" x14ac:dyDescent="0.25">
      <c r="A5935" t="str">
        <f>"000115279"</f>
        <v>000115279</v>
      </c>
      <c r="B5935" t="str">
        <f>"1508970211"</f>
        <v>1508970211</v>
      </c>
      <c r="C5935" t="str">
        <f>"207RC0000X"</f>
        <v>207RC0000X</v>
      </c>
      <c r="D5935" t="str">
        <f>"LEADER                   LAWRENCE     J           "</f>
        <v xml:space="preserve">LEADER                   LAWRENCE     J           </v>
      </c>
      <c r="E5935" t="str">
        <f>"HATTIESBURG               "</f>
        <v xml:space="preserve">HATTIESBURG               </v>
      </c>
      <c r="F5935" t="str">
        <f t="shared" si="208"/>
        <v>MS</v>
      </c>
    </row>
    <row r="5936" spans="1:6" x14ac:dyDescent="0.25">
      <c r="A5936" t="str">
        <f>"000115304"</f>
        <v>000115304</v>
      </c>
      <c r="B5936" t="str">
        <f>"1316028194"</f>
        <v>1316028194</v>
      </c>
      <c r="C5936" t="str">
        <f>"207V00000X"</f>
        <v>207V00000X</v>
      </c>
      <c r="D5936" t="str">
        <f>"AUSTIN                   JOSEPH                   "</f>
        <v xml:space="preserve">AUSTIN                   JOSEPH                   </v>
      </c>
      <c r="E5936" t="str">
        <f>"CORINTH                   "</f>
        <v xml:space="preserve">CORINTH                   </v>
      </c>
      <c r="F5936" t="str">
        <f t="shared" si="208"/>
        <v>MS</v>
      </c>
    </row>
    <row r="5937" spans="1:6" x14ac:dyDescent="0.25">
      <c r="A5937" t="str">
        <f>"000115308"</f>
        <v>000115308</v>
      </c>
      <c r="B5937" t="str">
        <f>"1841295573"</f>
        <v>1841295573</v>
      </c>
      <c r="C5937" t="str">
        <f>"207W00000X"</f>
        <v>207W00000X</v>
      </c>
      <c r="D5937" t="str">
        <f>"TOLER                    KENNETH      P           "</f>
        <v xml:space="preserve">TOLER                    KENNETH      P           </v>
      </c>
      <c r="E5937" t="str">
        <f>"MADISON                   "</f>
        <v xml:space="preserve">MADISON                   </v>
      </c>
      <c r="F5937" t="str">
        <f t="shared" si="208"/>
        <v>MS</v>
      </c>
    </row>
    <row r="5938" spans="1:6" x14ac:dyDescent="0.25">
      <c r="A5938" t="str">
        <f>"000115309"</f>
        <v>000115309</v>
      </c>
      <c r="B5938" t="str">
        <f>"1033196977"</f>
        <v>1033196977</v>
      </c>
      <c r="C5938" t="str">
        <f>"207Q00000X"</f>
        <v>207Q00000X</v>
      </c>
      <c r="D5938" t="str">
        <f>"PERRY                    WILLIAM      D           "</f>
        <v xml:space="preserve">PERRY                    WILLIAM      D           </v>
      </c>
      <c r="E5938" t="str">
        <f>"WALNUT GROVE              "</f>
        <v xml:space="preserve">WALNUT GROVE              </v>
      </c>
      <c r="F5938" t="str">
        <f t="shared" si="208"/>
        <v>MS</v>
      </c>
    </row>
    <row r="5939" spans="1:6" x14ac:dyDescent="0.25">
      <c r="A5939" t="str">
        <f>"000115316"</f>
        <v>000115316</v>
      </c>
      <c r="B5939" t="str">
        <f>"1699714311"</f>
        <v>1699714311</v>
      </c>
      <c r="C5939" t="str">
        <f>"208D00000X"</f>
        <v>208D00000X</v>
      </c>
      <c r="D5939" t="str">
        <f>"PITTS                    TERRY        C           "</f>
        <v xml:space="preserve">PITTS                    TERRY        C           </v>
      </c>
      <c r="E5939" t="str">
        <f>"LAUREL                    "</f>
        <v xml:space="preserve">LAUREL                    </v>
      </c>
      <c r="F5939" t="str">
        <f t="shared" si="208"/>
        <v>MS</v>
      </c>
    </row>
    <row r="5940" spans="1:6" x14ac:dyDescent="0.25">
      <c r="A5940" t="str">
        <f>"000115320"</f>
        <v>000115320</v>
      </c>
      <c r="B5940" t="str">
        <f>"1013013648"</f>
        <v>1013013648</v>
      </c>
      <c r="C5940" t="str">
        <f>"207W00000X"</f>
        <v>207W00000X</v>
      </c>
      <c r="D5940" t="str">
        <f>"COOPER                   TOM          S           "</f>
        <v xml:space="preserve">COOPER                   TOM          S           </v>
      </c>
      <c r="E5940" t="str">
        <f>"CLARKSDALE                "</f>
        <v xml:space="preserve">CLARKSDALE                </v>
      </c>
      <c r="F5940" t="str">
        <f t="shared" si="208"/>
        <v>MS</v>
      </c>
    </row>
    <row r="5941" spans="1:6" x14ac:dyDescent="0.25">
      <c r="A5941" t="str">
        <f>"000115324"</f>
        <v>000115324</v>
      </c>
      <c r="B5941" t="str">
        <f>"1477584308"</f>
        <v>1477584308</v>
      </c>
      <c r="C5941" t="str">
        <f>"208000000X"</f>
        <v>208000000X</v>
      </c>
      <c r="D5941" t="str">
        <f>"SIGURNJAK                KATHRYN      L           "</f>
        <v xml:space="preserve">SIGURNJAK                KATHRYN      L           </v>
      </c>
      <c r="E5941" t="str">
        <f>"BILOXI                    "</f>
        <v xml:space="preserve">BILOXI                    </v>
      </c>
      <c r="F5941" t="str">
        <f t="shared" si="208"/>
        <v>MS</v>
      </c>
    </row>
    <row r="5942" spans="1:6" x14ac:dyDescent="0.25">
      <c r="A5942" t="str">
        <f>"000115330"</f>
        <v>000115330</v>
      </c>
      <c r="B5942" t="str">
        <f>"1255390472"</f>
        <v>1255390472</v>
      </c>
      <c r="C5942" t="str">
        <f>"207Q00000X"</f>
        <v>207Q00000X</v>
      </c>
      <c r="D5942" t="str">
        <f>"TATE                     CRYSTAL                  "</f>
        <v xml:space="preserve">TATE                     CRYSTAL                  </v>
      </c>
      <c r="E5942" t="str">
        <f>"TUPELO                    "</f>
        <v xml:space="preserve">TUPELO                    </v>
      </c>
      <c r="F5942" t="str">
        <f t="shared" si="208"/>
        <v>MS</v>
      </c>
    </row>
    <row r="5943" spans="1:6" x14ac:dyDescent="0.25">
      <c r="A5943" t="str">
        <f>"000115340"</f>
        <v>000115340</v>
      </c>
      <c r="B5943" t="str">
        <f>"1285617084"</f>
        <v>1285617084</v>
      </c>
      <c r="C5943" t="str">
        <f>"207X00000X"</f>
        <v>207X00000X</v>
      </c>
      <c r="D5943" t="str">
        <f>"POMIERSKI                DAVID        A           "</f>
        <v xml:space="preserve">POMIERSKI                DAVID        A           </v>
      </c>
      <c r="E5943" t="str">
        <f>"MERIDIAN                  "</f>
        <v xml:space="preserve">MERIDIAN                  </v>
      </c>
      <c r="F5943" t="str">
        <f t="shared" si="208"/>
        <v>MS</v>
      </c>
    </row>
    <row r="5944" spans="1:6" x14ac:dyDescent="0.25">
      <c r="A5944" t="str">
        <f>"000115342"</f>
        <v>000115342</v>
      </c>
      <c r="B5944" t="str">
        <f>"1770565798"</f>
        <v>1770565798</v>
      </c>
      <c r="C5944" t="str">
        <f>"208000000X"</f>
        <v>208000000X</v>
      </c>
      <c r="D5944" t="str">
        <f>"REID                     KENNETH      J           "</f>
        <v xml:space="preserve">REID                     KENNETH      J           </v>
      </c>
      <c r="E5944" t="str">
        <f>"MERIDIAN                  "</f>
        <v xml:space="preserve">MERIDIAN                  </v>
      </c>
      <c r="F5944" t="str">
        <f t="shared" si="208"/>
        <v>MS</v>
      </c>
    </row>
    <row r="5945" spans="1:6" x14ac:dyDescent="0.25">
      <c r="A5945" t="str">
        <f>"000115344"</f>
        <v>000115344</v>
      </c>
      <c r="B5945" t="str">
        <f>"1578545984"</f>
        <v>1578545984</v>
      </c>
      <c r="C5945" t="str">
        <f>"208800000X"</f>
        <v>208800000X</v>
      </c>
      <c r="D5945" t="str">
        <f>"WADE JR                  STANLEY      A           "</f>
        <v xml:space="preserve">WADE JR                  STANLEY      A           </v>
      </c>
      <c r="E5945" t="str">
        <f>"MERIDIAN                  "</f>
        <v xml:space="preserve">MERIDIAN                  </v>
      </c>
      <c r="F5945" t="str">
        <f t="shared" si="208"/>
        <v>MS</v>
      </c>
    </row>
    <row r="5946" spans="1:6" x14ac:dyDescent="0.25">
      <c r="A5946" t="str">
        <f>"000115383"</f>
        <v>000115383</v>
      </c>
      <c r="B5946" t="str">
        <f>"1811080518"</f>
        <v>1811080518</v>
      </c>
      <c r="C5946" t="str">
        <f>"208100000X"</f>
        <v>208100000X</v>
      </c>
      <c r="D5946" t="str">
        <f>"COLLIPP                  DAVID        C           "</f>
        <v xml:space="preserve">COLLIPP                  DAVID        C           </v>
      </c>
      <c r="E5946" t="str">
        <f>"FLOWOOD                   "</f>
        <v xml:space="preserve">FLOWOOD                   </v>
      </c>
      <c r="F5946" t="str">
        <f t="shared" si="208"/>
        <v>MS</v>
      </c>
    </row>
    <row r="5947" spans="1:6" x14ac:dyDescent="0.25">
      <c r="A5947" t="str">
        <f>"000115386"</f>
        <v>000115386</v>
      </c>
      <c r="B5947" t="str">
        <f>"1225017239"</f>
        <v>1225017239</v>
      </c>
      <c r="C5947" t="str">
        <f>"207Q00000X"</f>
        <v>207Q00000X</v>
      </c>
      <c r="D5947" t="str">
        <f>"BRANDON                  STEVEN       C           "</f>
        <v xml:space="preserve">BRANDON                  STEVEN       C           </v>
      </c>
      <c r="E5947" t="str">
        <f>"STARKVILLE                "</f>
        <v xml:space="preserve">STARKVILLE                </v>
      </c>
      <c r="F5947" t="str">
        <f t="shared" si="208"/>
        <v>MS</v>
      </c>
    </row>
    <row r="5948" spans="1:6" x14ac:dyDescent="0.25">
      <c r="A5948" t="str">
        <f>"000115396"</f>
        <v>000115396</v>
      </c>
      <c r="B5948" t="str">
        <f>"1487625703"</f>
        <v>1487625703</v>
      </c>
      <c r="C5948" t="str">
        <f>"208600000X"</f>
        <v>208600000X</v>
      </c>
      <c r="D5948" t="str">
        <f>"PIGOTT                   CHARLES      G           "</f>
        <v xml:space="preserve">PIGOTT                   CHARLES      G           </v>
      </c>
      <c r="E5948" t="str">
        <f>"TUPELO                    "</f>
        <v xml:space="preserve">TUPELO                    </v>
      </c>
      <c r="F5948" t="str">
        <f t="shared" si="208"/>
        <v>MS</v>
      </c>
    </row>
    <row r="5949" spans="1:6" x14ac:dyDescent="0.25">
      <c r="A5949" t="str">
        <f>"000115412"</f>
        <v>000115412</v>
      </c>
      <c r="B5949" t="str">
        <f>"1609964683"</f>
        <v>1609964683</v>
      </c>
      <c r="C5949" t="str">
        <f>"207V00000X"</f>
        <v>207V00000X</v>
      </c>
      <c r="D5949" t="str">
        <f>"WADDELL                  DAVID        I           "</f>
        <v xml:space="preserve">WADDELL                  DAVID        I           </v>
      </c>
      <c r="E5949" t="str">
        <f>"FLOWOOD                   "</f>
        <v xml:space="preserve">FLOWOOD                   </v>
      </c>
      <c r="F5949" t="str">
        <f t="shared" si="208"/>
        <v>MS</v>
      </c>
    </row>
    <row r="5950" spans="1:6" x14ac:dyDescent="0.25">
      <c r="A5950" t="str">
        <f>"000115413"</f>
        <v>000115413</v>
      </c>
      <c r="B5950" t="str">
        <f>"1396840922"</f>
        <v>1396840922</v>
      </c>
      <c r="C5950" t="str">
        <f>"207W00000X"</f>
        <v>207W00000X</v>
      </c>
      <c r="D5950" t="str">
        <f>"PANG                     VICTOR       G           "</f>
        <v xml:space="preserve">PANG                     VICTOR       G           </v>
      </c>
      <c r="E5950" t="str">
        <f>"CLARKSDALE                "</f>
        <v xml:space="preserve">CLARKSDALE                </v>
      </c>
      <c r="F5950" t="str">
        <f t="shared" ref="F5950:F6013" si="209">"MS"</f>
        <v>MS</v>
      </c>
    </row>
    <row r="5951" spans="1:6" x14ac:dyDescent="0.25">
      <c r="A5951" t="str">
        <f>"000115424"</f>
        <v>000115424</v>
      </c>
      <c r="B5951" t="str">
        <f>"1386682011"</f>
        <v>1386682011</v>
      </c>
      <c r="C5951" t="str">
        <f>"207V00000X"</f>
        <v>207V00000X</v>
      </c>
      <c r="D5951" t="str">
        <f>"GUEDON                   DUNCAN       F           "</f>
        <v xml:space="preserve">GUEDON                   DUNCAN       F           </v>
      </c>
      <c r="E5951" t="str">
        <f>"NATCHEZ                   "</f>
        <v xml:space="preserve">NATCHEZ                   </v>
      </c>
      <c r="F5951" t="str">
        <f t="shared" si="209"/>
        <v>MS</v>
      </c>
    </row>
    <row r="5952" spans="1:6" x14ac:dyDescent="0.25">
      <c r="A5952" t="str">
        <f>"000115442"</f>
        <v>000115442</v>
      </c>
      <c r="B5952" t="str">
        <f>"1962451898"</f>
        <v>1962451898</v>
      </c>
      <c r="C5952" t="str">
        <f>"208600000X"</f>
        <v>208600000X</v>
      </c>
      <c r="D5952" t="str">
        <f>"ROOKS                    JAMES        R           "</f>
        <v xml:space="preserve">ROOKS                    JAMES        R           </v>
      </c>
      <c r="E5952" t="str">
        <f>"JACKSON                   "</f>
        <v xml:space="preserve">JACKSON                   </v>
      </c>
      <c r="F5952" t="str">
        <f t="shared" si="209"/>
        <v>MS</v>
      </c>
    </row>
    <row r="5953" spans="1:6" x14ac:dyDescent="0.25">
      <c r="A5953" t="str">
        <f>"000115455"</f>
        <v>000115455</v>
      </c>
      <c r="B5953" t="str">
        <f>"1194825513"</f>
        <v>1194825513</v>
      </c>
      <c r="C5953" t="str">
        <f>"208600000X"</f>
        <v>208600000X</v>
      </c>
      <c r="D5953" t="str">
        <f>"CLAWSON                  MARY         E           "</f>
        <v xml:space="preserve">CLAWSON                  MARY         E           </v>
      </c>
      <c r="E5953" t="str">
        <f>"BAY SPRINGS               "</f>
        <v xml:space="preserve">BAY SPRINGS               </v>
      </c>
      <c r="F5953" t="str">
        <f t="shared" si="209"/>
        <v>MS</v>
      </c>
    </row>
    <row r="5954" spans="1:6" x14ac:dyDescent="0.25">
      <c r="A5954" t="str">
        <f>"000115474"</f>
        <v>000115474</v>
      </c>
      <c r="B5954" t="str">
        <f>"1235111592"</f>
        <v>1235111592</v>
      </c>
      <c r="C5954" t="str">
        <f>"207R00000X"</f>
        <v>207R00000X</v>
      </c>
      <c r="D5954" t="str">
        <f>"AHMAD                    RAZEE        A           "</f>
        <v xml:space="preserve">AHMAD                    RAZEE        A           </v>
      </c>
      <c r="E5954" t="str">
        <f>"MERIDIAN                  "</f>
        <v xml:space="preserve">MERIDIAN                  </v>
      </c>
      <c r="F5954" t="str">
        <f t="shared" si="209"/>
        <v>MS</v>
      </c>
    </row>
    <row r="5955" spans="1:6" x14ac:dyDescent="0.25">
      <c r="A5955" t="str">
        <f>"000115495"</f>
        <v>000115495</v>
      </c>
      <c r="B5955" t="str">
        <f>"1821107491"</f>
        <v>1821107491</v>
      </c>
      <c r="C5955" t="str">
        <f>"208000000X"</f>
        <v>208000000X</v>
      </c>
      <c r="D5955" t="str">
        <f>"SORIANO                  MARIA        C           "</f>
        <v xml:space="preserve">SORIANO                  MARIA        C           </v>
      </c>
      <c r="E5955" t="str">
        <f>"HATTIESBURG               "</f>
        <v xml:space="preserve">HATTIESBURG               </v>
      </c>
      <c r="F5955" t="str">
        <f t="shared" si="209"/>
        <v>MS</v>
      </c>
    </row>
    <row r="5956" spans="1:6" x14ac:dyDescent="0.25">
      <c r="A5956" t="str">
        <f>"000115500"</f>
        <v>000115500</v>
      </c>
      <c r="B5956" t="str">
        <f>"1275503104"</f>
        <v>1275503104</v>
      </c>
      <c r="C5956" t="str">
        <f>"207RN0300X"</f>
        <v>207RN0300X</v>
      </c>
      <c r="D5956" t="str">
        <f>"HALE                     GREGORY      J           "</f>
        <v xml:space="preserve">HALE                     GREGORY      J           </v>
      </c>
      <c r="E5956" t="str">
        <f>"CORINTH                   "</f>
        <v xml:space="preserve">CORINTH                   </v>
      </c>
      <c r="F5956" t="str">
        <f t="shared" si="209"/>
        <v>MS</v>
      </c>
    </row>
    <row r="5957" spans="1:6" x14ac:dyDescent="0.25">
      <c r="A5957" t="str">
        <f>"000115502"</f>
        <v>000115502</v>
      </c>
      <c r="B5957" t="str">
        <f>"1336193135"</f>
        <v>1336193135</v>
      </c>
      <c r="C5957" t="str">
        <f>"207Q00000X"</f>
        <v>207Q00000X</v>
      </c>
      <c r="D5957" t="str">
        <f>"MCGRAW                   DAVID        B           "</f>
        <v xml:space="preserve">MCGRAW                   DAVID        B           </v>
      </c>
      <c r="E5957" t="str">
        <f>"WOODVILLE                 "</f>
        <v xml:space="preserve">WOODVILLE                 </v>
      </c>
      <c r="F5957" t="str">
        <f t="shared" si="209"/>
        <v>MS</v>
      </c>
    </row>
    <row r="5958" spans="1:6" x14ac:dyDescent="0.25">
      <c r="A5958" t="str">
        <f>"000115503"</f>
        <v>000115503</v>
      </c>
      <c r="B5958" t="str">
        <f>"1902831837"</f>
        <v>1902831837</v>
      </c>
      <c r="C5958" t="str">
        <f>"207Q00000X"</f>
        <v>207Q00000X</v>
      </c>
      <c r="D5958" t="str">
        <f>"MAULDIN                  CHRISTOPHER  L           "</f>
        <v xml:space="preserve">MAULDIN                  CHRISTOPHER  L           </v>
      </c>
      <c r="E5958" t="str">
        <f>"LAUREL                    "</f>
        <v xml:space="preserve">LAUREL                    </v>
      </c>
      <c r="F5958" t="str">
        <f t="shared" si="209"/>
        <v>MS</v>
      </c>
    </row>
    <row r="5959" spans="1:6" x14ac:dyDescent="0.25">
      <c r="A5959" t="str">
        <f>"000115504"</f>
        <v>000115504</v>
      </c>
      <c r="B5959" t="str">
        <f>"1093752115"</f>
        <v>1093752115</v>
      </c>
      <c r="C5959" t="str">
        <f>"207P00000X"</f>
        <v>207P00000X</v>
      </c>
      <c r="D5959" t="str">
        <f>"LEWIS                    ROBERT       L           "</f>
        <v xml:space="preserve">LEWIS                    ROBERT       L           </v>
      </c>
      <c r="E5959" t="str">
        <f>"WOODVILLE                 "</f>
        <v xml:space="preserve">WOODVILLE                 </v>
      </c>
      <c r="F5959" t="str">
        <f t="shared" si="209"/>
        <v>MS</v>
      </c>
    </row>
    <row r="5960" spans="1:6" x14ac:dyDescent="0.25">
      <c r="A5960" t="str">
        <f>"000115507"</f>
        <v>000115507</v>
      </c>
      <c r="B5960" t="str">
        <f>"1700868452"</f>
        <v>1700868452</v>
      </c>
      <c r="C5960" t="str">
        <f>"207Q00000X"</f>
        <v>207Q00000X</v>
      </c>
      <c r="D5960" t="str">
        <f>"BELENCHIA                RUSSELL      E           "</f>
        <v xml:space="preserve">BELENCHIA                RUSSELL      E           </v>
      </c>
      <c r="E5960" t="str">
        <f>"UNION                     "</f>
        <v xml:space="preserve">UNION                     </v>
      </c>
      <c r="F5960" t="str">
        <f t="shared" si="209"/>
        <v>MS</v>
      </c>
    </row>
    <row r="5961" spans="1:6" x14ac:dyDescent="0.25">
      <c r="A5961" t="str">
        <f>"000115515"</f>
        <v>000115515</v>
      </c>
      <c r="B5961" t="str">
        <f>"1689619405"</f>
        <v>1689619405</v>
      </c>
      <c r="C5961" t="str">
        <f>"208000000X"</f>
        <v>208000000X</v>
      </c>
      <c r="D5961" t="str">
        <f>"VIG                      VIBHA                    "</f>
        <v xml:space="preserve">VIG                      VIBHA                    </v>
      </c>
      <c r="E5961" t="str">
        <f>"CANTON                    "</f>
        <v xml:space="preserve">CANTON                    </v>
      </c>
      <c r="F5961" t="str">
        <f t="shared" si="209"/>
        <v>MS</v>
      </c>
    </row>
    <row r="5962" spans="1:6" x14ac:dyDescent="0.25">
      <c r="A5962" t="str">
        <f>"000115523"</f>
        <v>000115523</v>
      </c>
      <c r="B5962" t="str">
        <f>"1497798615"</f>
        <v>1497798615</v>
      </c>
      <c r="C5962" t="str">
        <f>"207Q00000X"</f>
        <v>207Q00000X</v>
      </c>
      <c r="D5962" t="str">
        <f>"BLACKLEDGE               THOMAS       R           "</f>
        <v xml:space="preserve">BLACKLEDGE               THOMAS       R           </v>
      </c>
      <c r="E5962" t="str">
        <f>"MAGEE                     "</f>
        <v xml:space="preserve">MAGEE                     </v>
      </c>
      <c r="F5962" t="str">
        <f t="shared" si="209"/>
        <v>MS</v>
      </c>
    </row>
    <row r="5963" spans="1:6" x14ac:dyDescent="0.25">
      <c r="A5963" t="str">
        <f>"000115525"</f>
        <v>000115525</v>
      </c>
      <c r="B5963" t="str">
        <f>"1770662942"</f>
        <v>1770662942</v>
      </c>
      <c r="C5963" t="str">
        <f>"367500000X"</f>
        <v>367500000X</v>
      </c>
      <c r="D5963" t="str">
        <f>"HARD                     SHERRY       G           "</f>
        <v xml:space="preserve">HARD                     SHERRY       G           </v>
      </c>
      <c r="E5963" t="str">
        <f>"GULFPORT                  "</f>
        <v xml:space="preserve">GULFPORT                  </v>
      </c>
      <c r="F5963" t="str">
        <f t="shared" si="209"/>
        <v>MS</v>
      </c>
    </row>
    <row r="5964" spans="1:6" x14ac:dyDescent="0.25">
      <c r="A5964" t="str">
        <f>"000115527"</f>
        <v>000115527</v>
      </c>
      <c r="B5964" t="str">
        <f>"1053414326"</f>
        <v>1053414326</v>
      </c>
      <c r="C5964" t="str">
        <f>"207RP1001X"</f>
        <v>207RP1001X</v>
      </c>
      <c r="D5964" t="str">
        <f>"EVANS                    JEFFREY      N           "</f>
        <v xml:space="preserve">EVANS                    JEFFREY      N           </v>
      </c>
      <c r="E5964" t="str">
        <f>"OXFORD                    "</f>
        <v xml:space="preserve">OXFORD                    </v>
      </c>
      <c r="F5964" t="str">
        <f t="shared" si="209"/>
        <v>MS</v>
      </c>
    </row>
    <row r="5965" spans="1:6" x14ac:dyDescent="0.25">
      <c r="A5965" t="str">
        <f>"000115528"</f>
        <v>000115528</v>
      </c>
      <c r="B5965" t="str">
        <f>"1528242724"</f>
        <v>1528242724</v>
      </c>
      <c r="C5965" t="str">
        <f>"207RH0002X"</f>
        <v>207RH0002X</v>
      </c>
      <c r="D5965" t="str">
        <f>"MANSEL                   JOHN         K           "</f>
        <v xml:space="preserve">MANSEL                   JOHN         K           </v>
      </c>
      <c r="E5965" t="str">
        <f>"JACKSON                   "</f>
        <v xml:space="preserve">JACKSON                   </v>
      </c>
      <c r="F5965" t="str">
        <f t="shared" si="209"/>
        <v>MS</v>
      </c>
    </row>
    <row r="5966" spans="1:6" x14ac:dyDescent="0.25">
      <c r="A5966" t="str">
        <f>"000115535"</f>
        <v>000115535</v>
      </c>
      <c r="B5966" t="str">
        <f>"1649380536"</f>
        <v>1649380536</v>
      </c>
      <c r="C5966" t="str">
        <f>"207RC0000X"</f>
        <v>207RC0000X</v>
      </c>
      <c r="D5966" t="str">
        <f>"LIBYS                    JAY          J           "</f>
        <v xml:space="preserve">LIBYS                    JAY          J           </v>
      </c>
      <c r="E5966" t="str">
        <f>"GULFPORT                  "</f>
        <v xml:space="preserve">GULFPORT                  </v>
      </c>
      <c r="F5966" t="str">
        <f t="shared" si="209"/>
        <v>MS</v>
      </c>
    </row>
    <row r="5967" spans="1:6" x14ac:dyDescent="0.25">
      <c r="A5967" t="str">
        <f>"000115538"</f>
        <v>000115538</v>
      </c>
      <c r="B5967" t="str">
        <f>"1326062969"</f>
        <v>1326062969</v>
      </c>
      <c r="C5967" t="str">
        <f>"208600000X"</f>
        <v>208600000X</v>
      </c>
      <c r="D5967" t="str">
        <f>"AVARA III                WILLIAM      T           "</f>
        <v xml:space="preserve">AVARA III                WILLIAM      T           </v>
      </c>
      <c r="E5967" t="str">
        <f>"OCEAN SPRINGS             "</f>
        <v xml:space="preserve">OCEAN SPRINGS             </v>
      </c>
      <c r="F5967" t="str">
        <f t="shared" si="209"/>
        <v>MS</v>
      </c>
    </row>
    <row r="5968" spans="1:6" x14ac:dyDescent="0.25">
      <c r="A5968" t="str">
        <f>"000115542"</f>
        <v>000115542</v>
      </c>
      <c r="B5968" t="str">
        <f>"1316928955"</f>
        <v>1316928955</v>
      </c>
      <c r="C5968" t="str">
        <f>"207Q00000X"</f>
        <v>207Q00000X</v>
      </c>
      <c r="D5968" t="str">
        <f>"HAVENS                   MICHAEL      R           "</f>
        <v xml:space="preserve">HAVENS                   MICHAEL      R           </v>
      </c>
      <c r="E5968" t="str">
        <f>"BATESVILLE                "</f>
        <v xml:space="preserve">BATESVILLE                </v>
      </c>
      <c r="F5968" t="str">
        <f t="shared" si="209"/>
        <v>MS</v>
      </c>
    </row>
    <row r="5969" spans="1:6" x14ac:dyDescent="0.25">
      <c r="A5969" t="str">
        <f>"000115547"</f>
        <v>000115547</v>
      </c>
      <c r="B5969" t="str">
        <f>"1548217847"</f>
        <v>1548217847</v>
      </c>
      <c r="C5969" t="str">
        <f>"208600000X"</f>
        <v>208600000X</v>
      </c>
      <c r="D5969" t="str">
        <f>"FIELD, III               RICHARD      J           "</f>
        <v xml:space="preserve">FIELD, III               RICHARD      J           </v>
      </c>
      <c r="E5969" t="str">
        <f>"CENTREVILLE               "</f>
        <v xml:space="preserve">CENTREVILLE               </v>
      </c>
      <c r="F5969" t="str">
        <f t="shared" si="209"/>
        <v>MS</v>
      </c>
    </row>
    <row r="5970" spans="1:6" x14ac:dyDescent="0.25">
      <c r="A5970" t="str">
        <f>"000115572"</f>
        <v>000115572</v>
      </c>
      <c r="B5970" t="str">
        <f>"1841347770"</f>
        <v>1841347770</v>
      </c>
      <c r="C5970" t="str">
        <f>"207R00000X"</f>
        <v>207R00000X</v>
      </c>
      <c r="D5970" t="str">
        <f>"SHEKONI                  NURUDEEN     A           "</f>
        <v xml:space="preserve">SHEKONI                  NURUDEEN     A           </v>
      </c>
      <c r="E5970" t="str">
        <f>"JACKSON                   "</f>
        <v xml:space="preserve">JACKSON                   </v>
      </c>
      <c r="F5970" t="str">
        <f t="shared" si="209"/>
        <v>MS</v>
      </c>
    </row>
    <row r="5971" spans="1:6" x14ac:dyDescent="0.25">
      <c r="A5971" t="str">
        <f>"000115576"</f>
        <v>000115576</v>
      </c>
      <c r="B5971" t="str">
        <f>"1669585774"</f>
        <v>1669585774</v>
      </c>
      <c r="C5971" t="str">
        <f>"2085R0202X"</f>
        <v>2085R0202X</v>
      </c>
      <c r="D5971" t="str">
        <f>"CARTER                   WILLIAM      L           "</f>
        <v xml:space="preserve">CARTER                   WILLIAM      L           </v>
      </c>
      <c r="E5971" t="str">
        <f>"RIDGELAND                 "</f>
        <v xml:space="preserve">RIDGELAND                 </v>
      </c>
      <c r="F5971" t="str">
        <f t="shared" si="209"/>
        <v>MS</v>
      </c>
    </row>
    <row r="5972" spans="1:6" x14ac:dyDescent="0.25">
      <c r="A5972" t="str">
        <f>"000115588"</f>
        <v>000115588</v>
      </c>
      <c r="B5972" t="str">
        <f>"1316054976"</f>
        <v>1316054976</v>
      </c>
      <c r="C5972" t="str">
        <f>"207V00000X"</f>
        <v>207V00000X</v>
      </c>
      <c r="D5972" t="str">
        <f>"SESSUMS                  JOEY         K           "</f>
        <v xml:space="preserve">SESSUMS                  JOEY         K           </v>
      </c>
      <c r="E5972" t="str">
        <f>"BROOKHAVEN                "</f>
        <v xml:space="preserve">BROOKHAVEN                </v>
      </c>
      <c r="F5972" t="str">
        <f t="shared" si="209"/>
        <v>MS</v>
      </c>
    </row>
    <row r="5973" spans="1:6" x14ac:dyDescent="0.25">
      <c r="A5973" t="str">
        <f>"000115603"</f>
        <v>000115603</v>
      </c>
      <c r="B5973" t="str">
        <f>"1255348645"</f>
        <v>1255348645</v>
      </c>
      <c r="C5973" t="str">
        <f>"208000000X"</f>
        <v>208000000X</v>
      </c>
      <c r="D5973" t="str">
        <f>"BURKS                    SCOTT        G           "</f>
        <v xml:space="preserve">BURKS                    SCOTT        G           </v>
      </c>
      <c r="E5973" t="str">
        <f>"HATTIESBURG               "</f>
        <v xml:space="preserve">HATTIESBURG               </v>
      </c>
      <c r="F5973" t="str">
        <f t="shared" si="209"/>
        <v>MS</v>
      </c>
    </row>
    <row r="5974" spans="1:6" x14ac:dyDescent="0.25">
      <c r="A5974" t="str">
        <f>"000115614"</f>
        <v>000115614</v>
      </c>
      <c r="B5974" t="str">
        <f>"1962440214"</f>
        <v>1962440214</v>
      </c>
      <c r="C5974" t="str">
        <f>"207Q00000X"</f>
        <v>207Q00000X</v>
      </c>
      <c r="D5974" t="str">
        <f>"BROOKS                   DAVID        J           "</f>
        <v xml:space="preserve">BROOKS                   DAVID        J           </v>
      </c>
      <c r="E5974" t="str">
        <f>"TUPELO                    "</f>
        <v xml:space="preserve">TUPELO                    </v>
      </c>
      <c r="F5974" t="str">
        <f t="shared" si="209"/>
        <v>MS</v>
      </c>
    </row>
    <row r="5975" spans="1:6" x14ac:dyDescent="0.25">
      <c r="A5975" t="str">
        <f>"000115622"</f>
        <v>000115622</v>
      </c>
      <c r="B5975" t="str">
        <f>"1669485983"</f>
        <v>1669485983</v>
      </c>
      <c r="C5975" t="str">
        <f>"207R00000X"</f>
        <v>207R00000X</v>
      </c>
      <c r="D5975" t="str">
        <f>"ABBOUD                   ELIAS        H           "</f>
        <v xml:space="preserve">ABBOUD                   ELIAS        H           </v>
      </c>
      <c r="E5975" t="str">
        <f>"LEXINGTON                 "</f>
        <v xml:space="preserve">LEXINGTON                 </v>
      </c>
      <c r="F5975" t="str">
        <f t="shared" si="209"/>
        <v>MS</v>
      </c>
    </row>
    <row r="5976" spans="1:6" x14ac:dyDescent="0.25">
      <c r="A5976" t="str">
        <f>"000115637"</f>
        <v>000115637</v>
      </c>
      <c r="B5976" t="str">
        <f>"1649257858"</f>
        <v>1649257858</v>
      </c>
      <c r="C5976" t="str">
        <f>"207V00000X"</f>
        <v>207V00000X</v>
      </c>
      <c r="D5976" t="str">
        <f>"MCKAY                    MICHAEL      A           "</f>
        <v xml:space="preserve">MCKAY                    MICHAEL      A           </v>
      </c>
      <c r="E5976" t="str">
        <f>"GULFPORT                  "</f>
        <v xml:space="preserve">GULFPORT                  </v>
      </c>
      <c r="F5976" t="str">
        <f t="shared" si="209"/>
        <v>MS</v>
      </c>
    </row>
    <row r="5977" spans="1:6" x14ac:dyDescent="0.25">
      <c r="A5977" t="str">
        <f>"000115653"</f>
        <v>000115653</v>
      </c>
      <c r="B5977" t="str">
        <f>"1902802333"</f>
        <v>1902802333</v>
      </c>
      <c r="C5977" t="str">
        <f>"207R00000X"</f>
        <v>207R00000X</v>
      </c>
      <c r="D5977" t="str">
        <f>"IVEY                     TIMOTHY      R           "</f>
        <v xml:space="preserve">IVEY                     TIMOTHY      R           </v>
      </c>
      <c r="E5977" t="str">
        <f>"VANCLEAVE                 "</f>
        <v xml:space="preserve">VANCLEAVE                 </v>
      </c>
      <c r="F5977" t="str">
        <f t="shared" si="209"/>
        <v>MS</v>
      </c>
    </row>
    <row r="5978" spans="1:6" x14ac:dyDescent="0.25">
      <c r="A5978" t="str">
        <f>"000115668"</f>
        <v>000115668</v>
      </c>
      <c r="B5978" t="str">
        <f>"1659443836"</f>
        <v>1659443836</v>
      </c>
      <c r="C5978" t="str">
        <f>"207R00000X"</f>
        <v>207R00000X</v>
      </c>
      <c r="D5978" t="str">
        <f>"PEEPLES                  SAMUEL       H           "</f>
        <v xml:space="preserve">PEEPLES                  SAMUEL       H           </v>
      </c>
      <c r="E5978" t="str">
        <f>"JACKSON                   "</f>
        <v xml:space="preserve">JACKSON                   </v>
      </c>
      <c r="F5978" t="str">
        <f t="shared" si="209"/>
        <v>MS</v>
      </c>
    </row>
    <row r="5979" spans="1:6" x14ac:dyDescent="0.25">
      <c r="A5979" t="str">
        <f>"000115687"</f>
        <v>000115687</v>
      </c>
      <c r="B5979" t="str">
        <f>"1467551341"</f>
        <v>1467551341</v>
      </c>
      <c r="C5979" t="str">
        <f>"208600000X"</f>
        <v>208600000X</v>
      </c>
      <c r="D5979" t="str">
        <f>"PATTERSON                STEVE        J           "</f>
        <v xml:space="preserve">PATTERSON                STEVE        J           </v>
      </c>
      <c r="E5979" t="str">
        <f>"JACKSON                   "</f>
        <v xml:space="preserve">JACKSON                   </v>
      </c>
      <c r="F5979" t="str">
        <f t="shared" si="209"/>
        <v>MS</v>
      </c>
    </row>
    <row r="5980" spans="1:6" x14ac:dyDescent="0.25">
      <c r="A5980" t="str">
        <f>"000115705"</f>
        <v>000115705</v>
      </c>
      <c r="B5980" t="str">
        <f>"1699888628"</f>
        <v>1699888628</v>
      </c>
      <c r="C5980" t="str">
        <f>"2085R0202X"</f>
        <v>2085R0202X</v>
      </c>
      <c r="D5980" t="str">
        <f>"HALTOM III               JOINER                   "</f>
        <v xml:space="preserve">HALTOM III               JOINER                   </v>
      </c>
      <c r="E5980" t="str">
        <f>"COLUMBUS                  "</f>
        <v xml:space="preserve">COLUMBUS                  </v>
      </c>
      <c r="F5980" t="str">
        <f t="shared" si="209"/>
        <v>MS</v>
      </c>
    </row>
    <row r="5981" spans="1:6" x14ac:dyDescent="0.25">
      <c r="A5981" t="str">
        <f>"000115707"</f>
        <v>000115707</v>
      </c>
      <c r="B5981" t="str">
        <f>"1720189459"</f>
        <v>1720189459</v>
      </c>
      <c r="C5981" t="str">
        <f>"363L00000X"</f>
        <v>363L00000X</v>
      </c>
      <c r="D5981" t="str">
        <f>"COXWELL                  LEAANN                   "</f>
        <v xml:space="preserve">COXWELL                  LEAANN                   </v>
      </c>
      <c r="E5981" t="str">
        <f>"JACKSON                   "</f>
        <v xml:space="preserve">JACKSON                   </v>
      </c>
      <c r="F5981" t="str">
        <f t="shared" si="209"/>
        <v>MS</v>
      </c>
    </row>
    <row r="5982" spans="1:6" x14ac:dyDescent="0.25">
      <c r="A5982" t="str">
        <f>"000115715"</f>
        <v>000115715</v>
      </c>
      <c r="B5982" t="str">
        <f>"1619987427"</f>
        <v>1619987427</v>
      </c>
      <c r="C5982" t="str">
        <f>"363L00000X"</f>
        <v>363L00000X</v>
      </c>
      <c r="D5982" t="str">
        <f>"MCGEHEE                  DEBBIE       P           "</f>
        <v xml:space="preserve">MCGEHEE                  DEBBIE       P           </v>
      </c>
      <c r="E5982" t="str">
        <f>"GRENADA                   "</f>
        <v xml:space="preserve">GRENADA                   </v>
      </c>
      <c r="F5982" t="str">
        <f t="shared" si="209"/>
        <v>MS</v>
      </c>
    </row>
    <row r="5983" spans="1:6" x14ac:dyDescent="0.25">
      <c r="A5983" t="str">
        <f>"000115718"</f>
        <v>000115718</v>
      </c>
      <c r="B5983" t="str">
        <f>"1417945668"</f>
        <v>1417945668</v>
      </c>
      <c r="C5983" t="str">
        <f>"207R00000X"</f>
        <v>207R00000X</v>
      </c>
      <c r="D5983" t="str">
        <f>"WRIGHT                   CYNTHIA      H           "</f>
        <v xml:space="preserve">WRIGHT                   CYNTHIA      H           </v>
      </c>
      <c r="E5983" t="str">
        <f>"FLOWOOD                   "</f>
        <v xml:space="preserve">FLOWOOD                   </v>
      </c>
      <c r="F5983" t="str">
        <f t="shared" si="209"/>
        <v>MS</v>
      </c>
    </row>
    <row r="5984" spans="1:6" x14ac:dyDescent="0.25">
      <c r="A5984" t="str">
        <f>"000115723"</f>
        <v>000115723</v>
      </c>
      <c r="B5984" t="str">
        <f>"1023006293"</f>
        <v>1023006293</v>
      </c>
      <c r="C5984" t="str">
        <f>"207RG0100X"</f>
        <v>207RG0100X</v>
      </c>
      <c r="D5984" t="str">
        <f>"HOGAN                    REED         B           "</f>
        <v xml:space="preserve">HOGAN                    REED         B           </v>
      </c>
      <c r="E5984" t="str">
        <f>"FLOWOOD                   "</f>
        <v xml:space="preserve">FLOWOOD                   </v>
      </c>
      <c r="F5984" t="str">
        <f t="shared" si="209"/>
        <v>MS</v>
      </c>
    </row>
    <row r="5985" spans="1:6" x14ac:dyDescent="0.25">
      <c r="A5985" t="str">
        <f>"000115732"</f>
        <v>000115732</v>
      </c>
      <c r="B5985" t="str">
        <f>"1407838154"</f>
        <v>1407838154</v>
      </c>
      <c r="C5985" t="str">
        <f>"207Q00000X"</f>
        <v>207Q00000X</v>
      </c>
      <c r="D5985" t="str">
        <f>"CADY, JR.                JAMES        D           "</f>
        <v xml:space="preserve">CADY, JR.                JAMES        D           </v>
      </c>
      <c r="E5985" t="str">
        <f>"MERIDIAN                  "</f>
        <v xml:space="preserve">MERIDIAN                  </v>
      </c>
      <c r="F5985" t="str">
        <f t="shared" si="209"/>
        <v>MS</v>
      </c>
    </row>
    <row r="5986" spans="1:6" x14ac:dyDescent="0.25">
      <c r="A5986" t="str">
        <f>"000115734"</f>
        <v>000115734</v>
      </c>
      <c r="B5986" t="str">
        <f>"1083663876"</f>
        <v>1083663876</v>
      </c>
      <c r="C5986" t="str">
        <f>"207RC0000X"</f>
        <v>207RC0000X</v>
      </c>
      <c r="D5986" t="str">
        <f>"BARKSDALE                BRYAN                    "</f>
        <v xml:space="preserve">BARKSDALE                BRYAN                    </v>
      </c>
      <c r="E5986" t="str">
        <f>"JACKSON                   "</f>
        <v xml:space="preserve">JACKSON                   </v>
      </c>
      <c r="F5986" t="str">
        <f t="shared" si="209"/>
        <v>MS</v>
      </c>
    </row>
    <row r="5987" spans="1:6" x14ac:dyDescent="0.25">
      <c r="A5987" t="str">
        <f>"000115736"</f>
        <v>000115736</v>
      </c>
      <c r="B5987" t="str">
        <f>"1659439867"</f>
        <v>1659439867</v>
      </c>
      <c r="C5987" t="str">
        <f>"207R00000X"</f>
        <v>207R00000X</v>
      </c>
      <c r="D5987" t="str">
        <f>"PORTNER                  MICHAEL      E           "</f>
        <v xml:space="preserve">PORTNER                  MICHAEL      E           </v>
      </c>
      <c r="E5987" t="str">
        <f>"CLEVELAND                 "</f>
        <v xml:space="preserve">CLEVELAND                 </v>
      </c>
      <c r="F5987" t="str">
        <f t="shared" si="209"/>
        <v>MS</v>
      </c>
    </row>
    <row r="5988" spans="1:6" x14ac:dyDescent="0.25">
      <c r="A5988" t="str">
        <f>"000115747"</f>
        <v>000115747</v>
      </c>
      <c r="B5988" t="str">
        <f>"1790891679"</f>
        <v>1790891679</v>
      </c>
      <c r="C5988" t="str">
        <f>"207V00000X"</f>
        <v>207V00000X</v>
      </c>
      <c r="D5988" t="str">
        <f>"RUSHING                  WILLIAM      R           "</f>
        <v xml:space="preserve">RUSHING                  WILLIAM      R           </v>
      </c>
      <c r="E5988" t="str">
        <f>"BROOKHAVEN                "</f>
        <v xml:space="preserve">BROOKHAVEN                </v>
      </c>
      <c r="F5988" t="str">
        <f t="shared" si="209"/>
        <v>MS</v>
      </c>
    </row>
    <row r="5989" spans="1:6" x14ac:dyDescent="0.25">
      <c r="A5989" t="str">
        <f>"000115751"</f>
        <v>000115751</v>
      </c>
      <c r="B5989" t="str">
        <f>"1447243472"</f>
        <v>1447243472</v>
      </c>
      <c r="C5989" t="str">
        <f>"207X00000X"</f>
        <v>207X00000X</v>
      </c>
      <c r="D5989" t="str">
        <f>"MARTIN                   IRVIN        L           "</f>
        <v xml:space="preserve">MARTIN                   IRVIN        L           </v>
      </c>
      <c r="E5989" t="str">
        <f>"MERIDIAN                  "</f>
        <v xml:space="preserve">MERIDIAN                  </v>
      </c>
      <c r="F5989" t="str">
        <f t="shared" si="209"/>
        <v>MS</v>
      </c>
    </row>
    <row r="5990" spans="1:6" x14ac:dyDescent="0.25">
      <c r="A5990" t="str">
        <f>"000115759"</f>
        <v>000115759</v>
      </c>
      <c r="B5990" t="str">
        <f>"1275572471"</f>
        <v>1275572471</v>
      </c>
      <c r="C5990" t="str">
        <f>"2085R0202X"</f>
        <v>2085R0202X</v>
      </c>
      <c r="D5990" t="str">
        <f>"JORDAN                   COVIN        M           "</f>
        <v xml:space="preserve">JORDAN                   COVIN        M           </v>
      </c>
      <c r="E5990" t="str">
        <f>"OXFORD                    "</f>
        <v xml:space="preserve">OXFORD                    </v>
      </c>
      <c r="F5990" t="str">
        <f t="shared" si="209"/>
        <v>MS</v>
      </c>
    </row>
    <row r="5991" spans="1:6" x14ac:dyDescent="0.25">
      <c r="A5991" t="str">
        <f>"000115762"</f>
        <v>000115762</v>
      </c>
      <c r="B5991" t="str">
        <f>"1023070067"</f>
        <v>1023070067</v>
      </c>
      <c r="C5991" t="str">
        <f>"207Q00000X"</f>
        <v>207Q00000X</v>
      </c>
      <c r="D5991" t="str">
        <f>"ALFORD                   TIMOTHY      J           "</f>
        <v xml:space="preserve">ALFORD                   TIMOTHY      J           </v>
      </c>
      <c r="E5991" t="str">
        <f>"KOSCIUSKO                 "</f>
        <v xml:space="preserve">KOSCIUSKO                 </v>
      </c>
      <c r="F5991" t="str">
        <f t="shared" si="209"/>
        <v>MS</v>
      </c>
    </row>
    <row r="5992" spans="1:6" x14ac:dyDescent="0.25">
      <c r="A5992" t="str">
        <f>"000115766"</f>
        <v>000115766</v>
      </c>
      <c r="B5992" t="str">
        <f>"1396727590"</f>
        <v>1396727590</v>
      </c>
      <c r="C5992" t="str">
        <f>"363L00000X"</f>
        <v>363L00000X</v>
      </c>
      <c r="D5992" t="str">
        <f>"PIERCE                   JENNIFER     R           "</f>
        <v xml:space="preserve">PIERCE                   JENNIFER     R           </v>
      </c>
      <c r="E5992" t="str">
        <f>"TISHOMINGO                "</f>
        <v xml:space="preserve">TISHOMINGO                </v>
      </c>
      <c r="F5992" t="str">
        <f t="shared" si="209"/>
        <v>MS</v>
      </c>
    </row>
    <row r="5993" spans="1:6" x14ac:dyDescent="0.25">
      <c r="A5993" t="str">
        <f>"000115779"</f>
        <v>000115779</v>
      </c>
      <c r="B5993" t="str">
        <f>"1487677514"</f>
        <v>1487677514</v>
      </c>
      <c r="C5993" t="str">
        <f>"207V00000X"</f>
        <v>207V00000X</v>
      </c>
      <c r="D5993" t="str">
        <f>"MILES                    JOHNNY       F           "</f>
        <v xml:space="preserve">MILES                    JOHNNY       F           </v>
      </c>
      <c r="E5993" t="str">
        <f>"TUPELO                    "</f>
        <v xml:space="preserve">TUPELO                    </v>
      </c>
      <c r="F5993" t="str">
        <f t="shared" si="209"/>
        <v>MS</v>
      </c>
    </row>
    <row r="5994" spans="1:6" x14ac:dyDescent="0.25">
      <c r="A5994" t="str">
        <f>"000115786"</f>
        <v>000115786</v>
      </c>
      <c r="B5994" t="str">
        <f>"1689780405"</f>
        <v>1689780405</v>
      </c>
      <c r="C5994" t="str">
        <f>"207L00000X"</f>
        <v>207L00000X</v>
      </c>
      <c r="D5994" t="str">
        <f>"CRASTO                   DAVID        W           "</f>
        <v xml:space="preserve">CRASTO                   DAVID        W           </v>
      </c>
      <c r="E5994" t="str">
        <f>"JACKSON                   "</f>
        <v xml:space="preserve">JACKSON                   </v>
      </c>
      <c r="F5994" t="str">
        <f t="shared" si="209"/>
        <v>MS</v>
      </c>
    </row>
    <row r="5995" spans="1:6" x14ac:dyDescent="0.25">
      <c r="A5995" t="str">
        <f>"000115809"</f>
        <v>000115809</v>
      </c>
      <c r="B5995" t="str">
        <f>"1255353652"</f>
        <v>1255353652</v>
      </c>
      <c r="C5995" t="str">
        <f>"207Q00000X"</f>
        <v>207Q00000X</v>
      </c>
      <c r="D5995" t="str">
        <f>"PATEL                    BHARAT       R           "</f>
        <v xml:space="preserve">PATEL                    BHARAT       R           </v>
      </c>
      <c r="E5995" t="str">
        <f>"LAUREL                    "</f>
        <v xml:space="preserve">LAUREL                    </v>
      </c>
      <c r="F5995" t="str">
        <f t="shared" si="209"/>
        <v>MS</v>
      </c>
    </row>
    <row r="5996" spans="1:6" x14ac:dyDescent="0.25">
      <c r="A5996" t="str">
        <f>"000115812"</f>
        <v>000115812</v>
      </c>
      <c r="B5996" t="str">
        <f>"1336121342"</f>
        <v>1336121342</v>
      </c>
      <c r="C5996" t="str">
        <f>"208000000X"</f>
        <v>208000000X</v>
      </c>
      <c r="D5996" t="str">
        <f>"MASSINGILL               SAMUEL       S           "</f>
        <v xml:space="preserve">MASSINGILL               SAMUEL       S           </v>
      </c>
      <c r="E5996" t="str">
        <f>"MERIDIAN                  "</f>
        <v xml:space="preserve">MERIDIAN                  </v>
      </c>
      <c r="F5996" t="str">
        <f t="shared" si="209"/>
        <v>MS</v>
      </c>
    </row>
    <row r="5997" spans="1:6" x14ac:dyDescent="0.25">
      <c r="A5997" t="str">
        <f>"000115830"</f>
        <v>000115830</v>
      </c>
      <c r="B5997" t="str">
        <f>"1932102951"</f>
        <v>1932102951</v>
      </c>
      <c r="C5997" t="str">
        <f>"207W00000X"</f>
        <v>207W00000X</v>
      </c>
      <c r="D5997" t="str">
        <f>"JIMENEZ                  JAIME                    "</f>
        <v xml:space="preserve">JIMENEZ                  JAIME                    </v>
      </c>
      <c r="E5997" t="str">
        <f>"HATTIESBURG               "</f>
        <v xml:space="preserve">HATTIESBURG               </v>
      </c>
      <c r="F5997" t="str">
        <f t="shared" si="209"/>
        <v>MS</v>
      </c>
    </row>
    <row r="5998" spans="1:6" x14ac:dyDescent="0.25">
      <c r="A5998" t="str">
        <f>"000115844"</f>
        <v>000115844</v>
      </c>
      <c r="B5998" t="str">
        <f>"1124045679"</f>
        <v>1124045679</v>
      </c>
      <c r="C5998" t="str">
        <f>"208D00000X"</f>
        <v>208D00000X</v>
      </c>
      <c r="D5998" t="str">
        <f>"RIZWAN                   MOHAMMAD                 "</f>
        <v xml:space="preserve">RIZWAN                   MOHAMMAD                 </v>
      </c>
      <c r="E5998" t="str">
        <f>"MERIDIAN                  "</f>
        <v xml:space="preserve">MERIDIAN                  </v>
      </c>
      <c r="F5998" t="str">
        <f t="shared" si="209"/>
        <v>MS</v>
      </c>
    </row>
    <row r="5999" spans="1:6" x14ac:dyDescent="0.25">
      <c r="A5999" t="str">
        <f>"000115846"</f>
        <v>000115846</v>
      </c>
      <c r="B5999" t="str">
        <f>"1851373674"</f>
        <v>1851373674</v>
      </c>
      <c r="C5999" t="str">
        <f>"207RC0000X"</f>
        <v>207RC0000X</v>
      </c>
      <c r="D5999" t="str">
        <f>"DAVENPORT, JR.           CHARLES      W           "</f>
        <v xml:space="preserve">DAVENPORT, JR.           CHARLES      W           </v>
      </c>
      <c r="E5999" t="str">
        <f>"MERIDIAN                  "</f>
        <v xml:space="preserve">MERIDIAN                  </v>
      </c>
      <c r="F5999" t="str">
        <f t="shared" si="209"/>
        <v>MS</v>
      </c>
    </row>
    <row r="6000" spans="1:6" x14ac:dyDescent="0.25">
      <c r="A6000" t="str">
        <f>"000115861"</f>
        <v>000115861</v>
      </c>
      <c r="B6000" t="str">
        <f>"1992787907"</f>
        <v>1992787907</v>
      </c>
      <c r="C6000" t="str">
        <f>"363L00000X"</f>
        <v>363L00000X</v>
      </c>
      <c r="D6000" t="str">
        <f>"LUTHER                   CYNTHIA      H           "</f>
        <v xml:space="preserve">LUTHER                   CYNTHIA      H           </v>
      </c>
      <c r="E6000" t="str">
        <f>"MERIDIAN                  "</f>
        <v xml:space="preserve">MERIDIAN                  </v>
      </c>
      <c r="F6000" t="str">
        <f t="shared" si="209"/>
        <v>MS</v>
      </c>
    </row>
    <row r="6001" spans="1:6" x14ac:dyDescent="0.25">
      <c r="A6001" t="str">
        <f>"000115883"</f>
        <v>000115883</v>
      </c>
      <c r="B6001" t="str">
        <f>"1609931930"</f>
        <v>1609931930</v>
      </c>
      <c r="C6001" t="str">
        <f>"367500000X"</f>
        <v>367500000X</v>
      </c>
      <c r="D6001" t="str">
        <f>"MOHAN                    JOHN                     "</f>
        <v xml:space="preserve">MOHAN                    JOHN                     </v>
      </c>
      <c r="E6001" t="str">
        <f>"BILOXI                    "</f>
        <v xml:space="preserve">BILOXI                    </v>
      </c>
      <c r="F6001" t="str">
        <f t="shared" si="209"/>
        <v>MS</v>
      </c>
    </row>
    <row r="6002" spans="1:6" x14ac:dyDescent="0.25">
      <c r="A6002" t="str">
        <f>"000115892"</f>
        <v>000115892</v>
      </c>
      <c r="B6002" t="str">
        <f>"1558369645"</f>
        <v>1558369645</v>
      </c>
      <c r="C6002" t="str">
        <f>"2085R0202X"</f>
        <v>2085R0202X</v>
      </c>
      <c r="D6002" t="str">
        <f>"PUPA                     SANDRA       H           "</f>
        <v xml:space="preserve">PUPA                     SANDRA       H           </v>
      </c>
      <c r="E6002" t="str">
        <f>"MERIDIAN                  "</f>
        <v xml:space="preserve">MERIDIAN                  </v>
      </c>
      <c r="F6002" t="str">
        <f t="shared" si="209"/>
        <v>MS</v>
      </c>
    </row>
    <row r="6003" spans="1:6" x14ac:dyDescent="0.25">
      <c r="A6003" t="str">
        <f>"000115897"</f>
        <v>000115897</v>
      </c>
      <c r="B6003" t="str">
        <f>"1043246259"</f>
        <v>1043246259</v>
      </c>
      <c r="C6003" t="str">
        <f>"207Q00000X"</f>
        <v>207Q00000X</v>
      </c>
      <c r="D6003" t="str">
        <f>"WADE                     TARENCE      E           "</f>
        <v xml:space="preserve">WADE                     TARENCE      E           </v>
      </c>
      <c r="E6003" t="str">
        <f>"GREENVILLE                "</f>
        <v xml:space="preserve">GREENVILLE                </v>
      </c>
      <c r="F6003" t="str">
        <f t="shared" si="209"/>
        <v>MS</v>
      </c>
    </row>
    <row r="6004" spans="1:6" x14ac:dyDescent="0.25">
      <c r="A6004" t="str">
        <f>"000115900"</f>
        <v>000115900</v>
      </c>
      <c r="B6004" t="str">
        <f>"1083720213"</f>
        <v>1083720213</v>
      </c>
      <c r="C6004" t="str">
        <f>"367500000X"</f>
        <v>367500000X</v>
      </c>
      <c r="D6004" t="str">
        <f>"MCLAIN                   NINA         M           "</f>
        <v xml:space="preserve">MCLAIN                   NINA         M           </v>
      </c>
      <c r="E6004" t="str">
        <f>"PHILADELPHIA              "</f>
        <v xml:space="preserve">PHILADELPHIA              </v>
      </c>
      <c r="F6004" t="str">
        <f t="shared" si="209"/>
        <v>MS</v>
      </c>
    </row>
    <row r="6005" spans="1:6" x14ac:dyDescent="0.25">
      <c r="A6005" t="str">
        <f>"000115962"</f>
        <v>000115962</v>
      </c>
      <c r="B6005" t="str">
        <f>"1912065251"</f>
        <v>1912065251</v>
      </c>
      <c r="C6005" t="str">
        <f>"207RN0300X"</f>
        <v>207RN0300X</v>
      </c>
      <c r="D6005" t="str">
        <f>"DAVIS                    GARY         M           "</f>
        <v xml:space="preserve">DAVIS                    GARY         M           </v>
      </c>
      <c r="E6005" t="str">
        <f>"JACKSON                   "</f>
        <v xml:space="preserve">JACKSON                   </v>
      </c>
      <c r="F6005" t="str">
        <f t="shared" si="209"/>
        <v>MS</v>
      </c>
    </row>
    <row r="6006" spans="1:6" x14ac:dyDescent="0.25">
      <c r="A6006" t="str">
        <f>"000115969"</f>
        <v>000115969</v>
      </c>
      <c r="B6006" t="str">
        <f>"1184610388"</f>
        <v>1184610388</v>
      </c>
      <c r="C6006" t="str">
        <f>"207ZP0101X"</f>
        <v>207ZP0101X</v>
      </c>
      <c r="D6006" t="str">
        <f>"PHILLIPPI III            FRANCIS      M           "</f>
        <v xml:space="preserve">PHILLIPPI III            FRANCIS      M           </v>
      </c>
      <c r="E6006" t="str">
        <f>"MERIDIAN                  "</f>
        <v xml:space="preserve">MERIDIAN                  </v>
      </c>
      <c r="F6006" t="str">
        <f t="shared" si="209"/>
        <v>MS</v>
      </c>
    </row>
    <row r="6007" spans="1:6" x14ac:dyDescent="0.25">
      <c r="A6007" t="str">
        <f>"000115973"</f>
        <v>000115973</v>
      </c>
      <c r="B6007" t="str">
        <f>"1659358869"</f>
        <v>1659358869</v>
      </c>
      <c r="C6007" t="str">
        <f>"207V00000X"</f>
        <v>207V00000X</v>
      </c>
      <c r="D6007" t="str">
        <f>"GADDY                    DONALD       K           "</f>
        <v xml:space="preserve">GADDY                    DONALD       K           </v>
      </c>
      <c r="E6007" t="str">
        <f>"GULFPORT                  "</f>
        <v xml:space="preserve">GULFPORT                  </v>
      </c>
      <c r="F6007" t="str">
        <f t="shared" si="209"/>
        <v>MS</v>
      </c>
    </row>
    <row r="6008" spans="1:6" x14ac:dyDescent="0.25">
      <c r="A6008" t="str">
        <f>"000115979"</f>
        <v>000115979</v>
      </c>
      <c r="B6008" t="str">
        <f>"1790729119"</f>
        <v>1790729119</v>
      </c>
      <c r="C6008" t="str">
        <f>"208000000X"</f>
        <v>208000000X</v>
      </c>
      <c r="D6008" t="str">
        <f>"JACKSON-ASSAD            LYNDA                    "</f>
        <v xml:space="preserve">JACKSON-ASSAD            LYNDA                    </v>
      </c>
      <c r="E6008" t="str">
        <f>"JACKSON                   "</f>
        <v xml:space="preserve">JACKSON                   </v>
      </c>
      <c r="F6008" t="str">
        <f t="shared" si="209"/>
        <v>MS</v>
      </c>
    </row>
    <row r="6009" spans="1:6" x14ac:dyDescent="0.25">
      <c r="A6009" t="str">
        <f>"000115992"</f>
        <v>000115992</v>
      </c>
      <c r="B6009" t="str">
        <f>"1841301116"</f>
        <v>1841301116</v>
      </c>
      <c r="C6009" t="str">
        <f>"208000000X"</f>
        <v>208000000X</v>
      </c>
      <c r="D6009" t="str">
        <f>"QUDDUS                   FAUZIA       F           "</f>
        <v xml:space="preserve">QUDDUS                   FAUZIA       F           </v>
      </c>
      <c r="E6009" t="str">
        <f>"OCEAN SPRINGS             "</f>
        <v xml:space="preserve">OCEAN SPRINGS             </v>
      </c>
      <c r="F6009" t="str">
        <f t="shared" si="209"/>
        <v>MS</v>
      </c>
    </row>
    <row r="6010" spans="1:6" x14ac:dyDescent="0.25">
      <c r="A6010" t="str">
        <f>"000115994"</f>
        <v>000115994</v>
      </c>
      <c r="B6010" t="str">
        <f>"1922042407"</f>
        <v>1922042407</v>
      </c>
      <c r="C6010" t="str">
        <f>"363L00000X"</f>
        <v>363L00000X</v>
      </c>
      <c r="D6010" t="str">
        <f>"WATSON-MCGEE             PAMELIA                  "</f>
        <v xml:space="preserve">WATSON-MCGEE             PAMELIA                  </v>
      </c>
      <c r="E6010" t="str">
        <f>"JACKSON                   "</f>
        <v xml:space="preserve">JACKSON                   </v>
      </c>
      <c r="F6010" t="str">
        <f t="shared" si="209"/>
        <v>MS</v>
      </c>
    </row>
    <row r="6011" spans="1:6" x14ac:dyDescent="0.25">
      <c r="A6011" t="str">
        <f>"000116005"</f>
        <v>000116005</v>
      </c>
      <c r="B6011" t="str">
        <f>"1205870656"</f>
        <v>1205870656</v>
      </c>
      <c r="C6011" t="str">
        <f>"2085R0202X"</f>
        <v>2085R0202X</v>
      </c>
      <c r="D6011" t="str">
        <f>"SALLOUM                  NAIM         J           "</f>
        <v xml:space="preserve">SALLOUM                  NAIM         J           </v>
      </c>
      <c r="E6011" t="str">
        <f>"HATTIESBURG               "</f>
        <v xml:space="preserve">HATTIESBURG               </v>
      </c>
      <c r="F6011" t="str">
        <f t="shared" si="209"/>
        <v>MS</v>
      </c>
    </row>
    <row r="6012" spans="1:6" x14ac:dyDescent="0.25">
      <c r="A6012" t="str">
        <f>"000116007"</f>
        <v>000116007</v>
      </c>
      <c r="B6012" t="str">
        <f>"1598715393"</f>
        <v>1598715393</v>
      </c>
      <c r="C6012" t="str">
        <f>"207Y00000X"</f>
        <v>207Y00000X</v>
      </c>
      <c r="D6012" t="str">
        <f>"WEISS JR                 RAYMOND      L           "</f>
        <v xml:space="preserve">WEISS JR                 RAYMOND      L           </v>
      </c>
      <c r="E6012" t="str">
        <f>"OCEAN SPRINGS             "</f>
        <v xml:space="preserve">OCEAN SPRINGS             </v>
      </c>
      <c r="F6012" t="str">
        <f t="shared" si="209"/>
        <v>MS</v>
      </c>
    </row>
    <row r="6013" spans="1:6" x14ac:dyDescent="0.25">
      <c r="A6013" t="str">
        <f>"000116018"</f>
        <v>000116018</v>
      </c>
      <c r="B6013" t="str">
        <f>"1215087515"</f>
        <v>1215087515</v>
      </c>
      <c r="C6013" t="str">
        <f>"207R00000X"</f>
        <v>207R00000X</v>
      </c>
      <c r="D6013" t="str">
        <f>"COSUE III                LAMBERTO     G           "</f>
        <v xml:space="preserve">COSUE III                LAMBERTO     G           </v>
      </c>
      <c r="E6013" t="str">
        <f>"RULEVILLE                 "</f>
        <v xml:space="preserve">RULEVILLE                 </v>
      </c>
      <c r="F6013" t="str">
        <f t="shared" si="209"/>
        <v>MS</v>
      </c>
    </row>
    <row r="6014" spans="1:6" x14ac:dyDescent="0.25">
      <c r="A6014" t="str">
        <f>"000116022"</f>
        <v>000116022</v>
      </c>
      <c r="B6014" t="str">
        <f>"1871607598"</f>
        <v>1871607598</v>
      </c>
      <c r="C6014" t="str">
        <f>"207R00000X"</f>
        <v>207R00000X</v>
      </c>
      <c r="D6014" t="str">
        <f>"RAFIQUE                  SYED         S           "</f>
        <v xml:space="preserve">RAFIQUE                  SYED         S           </v>
      </c>
      <c r="E6014" t="str">
        <f>"GREENWOOD                 "</f>
        <v xml:space="preserve">GREENWOOD                 </v>
      </c>
      <c r="F6014" t="str">
        <f t="shared" ref="F6014:F6077" si="210">"MS"</f>
        <v>MS</v>
      </c>
    </row>
    <row r="6015" spans="1:6" x14ac:dyDescent="0.25">
      <c r="A6015" t="str">
        <f>"000116024"</f>
        <v>000116024</v>
      </c>
      <c r="B6015" t="str">
        <f>"1558462382"</f>
        <v>1558462382</v>
      </c>
      <c r="C6015" t="str">
        <f>"207Q00000X"</f>
        <v>207Q00000X</v>
      </c>
      <c r="D6015" t="str">
        <f>"PHILLIPS                 ANDREA       L           "</f>
        <v xml:space="preserve">PHILLIPS                 ANDREA       L           </v>
      </c>
      <c r="E6015" t="str">
        <f>"JACKSON                   "</f>
        <v xml:space="preserve">JACKSON                   </v>
      </c>
      <c r="F6015" t="str">
        <f t="shared" si="210"/>
        <v>MS</v>
      </c>
    </row>
    <row r="6016" spans="1:6" x14ac:dyDescent="0.25">
      <c r="A6016" t="str">
        <f>"000116025"</f>
        <v>000116025</v>
      </c>
      <c r="B6016" t="str">
        <f>"1316986557"</f>
        <v>1316986557</v>
      </c>
      <c r="C6016" t="str">
        <f>"2085R0202X"</f>
        <v>2085R0202X</v>
      </c>
      <c r="D6016" t="str">
        <f>"NORRIS                   VIRGIL       L           "</f>
        <v xml:space="preserve">NORRIS                   VIRGIL       L           </v>
      </c>
      <c r="E6016" t="str">
        <f>"OXFORD                    "</f>
        <v xml:space="preserve">OXFORD                    </v>
      </c>
      <c r="F6016" t="str">
        <f t="shared" si="210"/>
        <v>MS</v>
      </c>
    </row>
    <row r="6017" spans="1:6" x14ac:dyDescent="0.25">
      <c r="A6017" t="str">
        <f>"000116038"</f>
        <v>000116038</v>
      </c>
      <c r="B6017" t="str">
        <f>"1609093665"</f>
        <v>1609093665</v>
      </c>
      <c r="C6017" t="str">
        <f>"363L00000X"</f>
        <v>363L00000X</v>
      </c>
      <c r="D6017" t="str">
        <f>"HIGGINBOTTOM             AMELIA                   "</f>
        <v xml:space="preserve">HIGGINBOTTOM             AMELIA                   </v>
      </c>
      <c r="E6017" t="str">
        <f>"TREMONT                   "</f>
        <v xml:space="preserve">TREMONT                   </v>
      </c>
      <c r="F6017" t="str">
        <f t="shared" si="210"/>
        <v>MS</v>
      </c>
    </row>
    <row r="6018" spans="1:6" x14ac:dyDescent="0.25">
      <c r="A6018" t="str">
        <f>"000116049"</f>
        <v>000116049</v>
      </c>
      <c r="B6018" t="str">
        <f>"1992806699"</f>
        <v>1992806699</v>
      </c>
      <c r="C6018" t="str">
        <f>"207Q00000X"</f>
        <v>207Q00000X</v>
      </c>
      <c r="D6018" t="str">
        <f>"LEE                      JOHN         P           "</f>
        <v xml:space="preserve">LEE                      JOHN         P           </v>
      </c>
      <c r="E6018" t="str">
        <f>"FOREST                    "</f>
        <v xml:space="preserve">FOREST                    </v>
      </c>
      <c r="F6018" t="str">
        <f t="shared" si="210"/>
        <v>MS</v>
      </c>
    </row>
    <row r="6019" spans="1:6" x14ac:dyDescent="0.25">
      <c r="A6019" t="str">
        <f>"000116073"</f>
        <v>000116073</v>
      </c>
      <c r="B6019" t="str">
        <f>"1669400495"</f>
        <v>1669400495</v>
      </c>
      <c r="C6019" t="str">
        <f>"2085R0202X"</f>
        <v>2085R0202X</v>
      </c>
      <c r="D6019" t="str">
        <f>"MURPHEY                  STEVEN       M           "</f>
        <v xml:space="preserve">MURPHEY                  STEVEN       M           </v>
      </c>
      <c r="E6019" t="str">
        <f>"HATTIESBURG               "</f>
        <v xml:space="preserve">HATTIESBURG               </v>
      </c>
      <c r="F6019" t="str">
        <f t="shared" si="210"/>
        <v>MS</v>
      </c>
    </row>
    <row r="6020" spans="1:6" x14ac:dyDescent="0.25">
      <c r="A6020" t="str">
        <f>"000116081"</f>
        <v>000116081</v>
      </c>
      <c r="B6020" t="str">
        <f>"1134220742"</f>
        <v>1134220742</v>
      </c>
      <c r="C6020" t="str">
        <f>"363L00000X"</f>
        <v>363L00000X</v>
      </c>
      <c r="D6020" t="str">
        <f>"SIMNICHT                 KIM          T           "</f>
        <v xml:space="preserve">SIMNICHT                 KIM          T           </v>
      </c>
      <c r="E6020" t="str">
        <f>"HATTIESBURG               "</f>
        <v xml:space="preserve">HATTIESBURG               </v>
      </c>
      <c r="F6020" t="str">
        <f t="shared" si="210"/>
        <v>MS</v>
      </c>
    </row>
    <row r="6021" spans="1:6" x14ac:dyDescent="0.25">
      <c r="A6021" t="str">
        <f>"000116097"</f>
        <v>000116097</v>
      </c>
      <c r="B6021" t="str">
        <f>"1902807050"</f>
        <v>1902807050</v>
      </c>
      <c r="C6021" t="str">
        <f>"207L00000X"</f>
        <v>207L00000X</v>
      </c>
      <c r="D6021" t="str">
        <f>"VOLLER                   ROBERT       D           "</f>
        <v xml:space="preserve">VOLLER                   ROBERT       D           </v>
      </c>
      <c r="E6021" t="str">
        <f>"COLUMBUS                  "</f>
        <v xml:space="preserve">COLUMBUS                  </v>
      </c>
      <c r="F6021" t="str">
        <f t="shared" si="210"/>
        <v>MS</v>
      </c>
    </row>
    <row r="6022" spans="1:6" x14ac:dyDescent="0.25">
      <c r="A6022" t="str">
        <f>"000116148"</f>
        <v>000116148</v>
      </c>
      <c r="B6022" t="str">
        <f>"1992736870"</f>
        <v>1992736870</v>
      </c>
      <c r="C6022" t="str">
        <f>"207R00000X"</f>
        <v>207R00000X</v>
      </c>
      <c r="D6022" t="str">
        <f>"BROWN                    BRADLEY      P           "</f>
        <v xml:space="preserve">BROWN                    BRADLEY      P           </v>
      </c>
      <c r="E6022" t="str">
        <f>"COLUMBUS                  "</f>
        <v xml:space="preserve">COLUMBUS                  </v>
      </c>
      <c r="F6022" t="str">
        <f t="shared" si="210"/>
        <v>MS</v>
      </c>
    </row>
    <row r="6023" spans="1:6" x14ac:dyDescent="0.25">
      <c r="A6023" t="str">
        <f>"000116150"</f>
        <v>000116150</v>
      </c>
      <c r="B6023" t="str">
        <f>"1841221702"</f>
        <v>1841221702</v>
      </c>
      <c r="C6023" t="str">
        <f>"207R00000X"</f>
        <v>207R00000X</v>
      </c>
      <c r="D6023" t="str">
        <f>"BROWN                    BRETT        O           "</f>
        <v xml:space="preserve">BROWN                    BRETT        O           </v>
      </c>
      <c r="E6023" t="str">
        <f>"COLUMBUS                  "</f>
        <v xml:space="preserve">COLUMBUS                  </v>
      </c>
      <c r="F6023" t="str">
        <f t="shared" si="210"/>
        <v>MS</v>
      </c>
    </row>
    <row r="6024" spans="1:6" x14ac:dyDescent="0.25">
      <c r="A6024" t="str">
        <f>"000116151"</f>
        <v>000116151</v>
      </c>
      <c r="B6024" t="str">
        <f>"1841289279"</f>
        <v>1841289279</v>
      </c>
      <c r="C6024" t="str">
        <f>"207Q00000X"</f>
        <v>207Q00000X</v>
      </c>
      <c r="D6024" t="str">
        <f>"HENDERSON                ADELAIDE     F           "</f>
        <v xml:space="preserve">HENDERSON                ADELAIDE     F           </v>
      </c>
      <c r="E6024" t="str">
        <f>"ABERDEEN                  "</f>
        <v xml:space="preserve">ABERDEEN                  </v>
      </c>
      <c r="F6024" t="str">
        <f t="shared" si="210"/>
        <v>MS</v>
      </c>
    </row>
    <row r="6025" spans="1:6" x14ac:dyDescent="0.25">
      <c r="A6025" t="str">
        <f>"000116170"</f>
        <v>000116170</v>
      </c>
      <c r="B6025" t="str">
        <f>"1053350678"</f>
        <v>1053350678</v>
      </c>
      <c r="C6025" t="str">
        <f>"2085R0202X"</f>
        <v>2085R0202X</v>
      </c>
      <c r="D6025" t="str">
        <f>"ROTH                     STUART       T           "</f>
        <v xml:space="preserve">ROTH                     STUART       T           </v>
      </c>
      <c r="E6025" t="str">
        <f>"OXFORD                    "</f>
        <v xml:space="preserve">OXFORD                    </v>
      </c>
      <c r="F6025" t="str">
        <f t="shared" si="210"/>
        <v>MS</v>
      </c>
    </row>
    <row r="6026" spans="1:6" x14ac:dyDescent="0.25">
      <c r="A6026" t="str">
        <f>"000116189"</f>
        <v>000116189</v>
      </c>
      <c r="B6026" t="str">
        <f>"1194723965"</f>
        <v>1194723965</v>
      </c>
      <c r="C6026" t="str">
        <f>"207RH0003X"</f>
        <v>207RH0003X</v>
      </c>
      <c r="D6026" t="str">
        <f>"MORGAN                   DENNIS       P           "</f>
        <v xml:space="preserve">MORGAN                   DENNIS       P           </v>
      </c>
      <c r="E6026" t="str">
        <f>"OXFORD                    "</f>
        <v xml:space="preserve">OXFORD                    </v>
      </c>
      <c r="F6026" t="str">
        <f t="shared" si="210"/>
        <v>MS</v>
      </c>
    </row>
    <row r="6027" spans="1:6" x14ac:dyDescent="0.25">
      <c r="A6027" t="str">
        <f>"000116208"</f>
        <v>000116208</v>
      </c>
      <c r="B6027" t="str">
        <f>"1689725202"</f>
        <v>1689725202</v>
      </c>
      <c r="C6027" t="str">
        <f>"208G00000X"</f>
        <v>208G00000X</v>
      </c>
      <c r="D6027" t="str">
        <f>"KENNEDY                  RONALD       E           "</f>
        <v xml:space="preserve">KENNEDY                  RONALD       E           </v>
      </c>
      <c r="E6027" t="str">
        <f>"JACKSON                   "</f>
        <v xml:space="preserve">JACKSON                   </v>
      </c>
      <c r="F6027" t="str">
        <f t="shared" si="210"/>
        <v>MS</v>
      </c>
    </row>
    <row r="6028" spans="1:6" x14ac:dyDescent="0.25">
      <c r="A6028" t="str">
        <f>"000116211"</f>
        <v>000116211</v>
      </c>
      <c r="B6028" t="str">
        <f>"1750310066"</f>
        <v>1750310066</v>
      </c>
      <c r="C6028" t="str">
        <f>"2085R0202X"</f>
        <v>2085R0202X</v>
      </c>
      <c r="D6028" t="str">
        <f>"DUFF                     KENNETH      E           "</f>
        <v xml:space="preserve">DUFF                     KENNETH      E           </v>
      </c>
      <c r="E6028" t="str">
        <f>"HATTIESBURG               "</f>
        <v xml:space="preserve">HATTIESBURG               </v>
      </c>
      <c r="F6028" t="str">
        <f t="shared" si="210"/>
        <v>MS</v>
      </c>
    </row>
    <row r="6029" spans="1:6" x14ac:dyDescent="0.25">
      <c r="A6029" t="str">
        <f>"000116212"</f>
        <v>000116212</v>
      </c>
      <c r="B6029" t="str">
        <f>"1437189099"</f>
        <v>1437189099</v>
      </c>
      <c r="C6029" t="str">
        <f>"2085R0202X"</f>
        <v>2085R0202X</v>
      </c>
      <c r="D6029" t="str">
        <f>"MOLPUS                   WILLIAM      M           "</f>
        <v xml:space="preserve">MOLPUS                   WILLIAM      M           </v>
      </c>
      <c r="E6029" t="str">
        <f>"HATTIESBURG               "</f>
        <v xml:space="preserve">HATTIESBURG               </v>
      </c>
      <c r="F6029" t="str">
        <f t="shared" si="210"/>
        <v>MS</v>
      </c>
    </row>
    <row r="6030" spans="1:6" x14ac:dyDescent="0.25">
      <c r="A6030" t="str">
        <f>"000116232"</f>
        <v>000116232</v>
      </c>
      <c r="B6030" t="str">
        <f>"1255416822"</f>
        <v>1255416822</v>
      </c>
      <c r="C6030" t="str">
        <f>"208000000X"</f>
        <v>208000000X</v>
      </c>
      <c r="D6030" t="str">
        <f>"DUGGER                   DAVID        L           "</f>
        <v xml:space="preserve">DUGGER                   DAVID        L           </v>
      </c>
      <c r="E6030" t="str">
        <f>"GAUTIER                   "</f>
        <v xml:space="preserve">GAUTIER                   </v>
      </c>
      <c r="F6030" t="str">
        <f t="shared" si="210"/>
        <v>MS</v>
      </c>
    </row>
    <row r="6031" spans="1:6" x14ac:dyDescent="0.25">
      <c r="A6031" t="str">
        <f>"000116245"</f>
        <v>000116245</v>
      </c>
      <c r="B6031" t="str">
        <f>"1144394347"</f>
        <v>1144394347</v>
      </c>
      <c r="C6031" t="str">
        <f>"207R00000X"</f>
        <v>207R00000X</v>
      </c>
      <c r="D6031" t="str">
        <f>"NAFIS                    FARHAN                   "</f>
        <v xml:space="preserve">NAFIS                    FARHAN                   </v>
      </c>
      <c r="E6031" t="str">
        <f>"YAZOO CITY                "</f>
        <v xml:space="preserve">YAZOO CITY                </v>
      </c>
      <c r="F6031" t="str">
        <f t="shared" si="210"/>
        <v>MS</v>
      </c>
    </row>
    <row r="6032" spans="1:6" x14ac:dyDescent="0.25">
      <c r="A6032" t="str">
        <f>"000116251"</f>
        <v>000116251</v>
      </c>
      <c r="B6032" t="str">
        <f>"1053428060"</f>
        <v>1053428060</v>
      </c>
      <c r="C6032" t="str">
        <f>"208000000X"</f>
        <v>208000000X</v>
      </c>
      <c r="D6032" t="str">
        <f>"METIN                    NURAY                    "</f>
        <v xml:space="preserve">METIN                    NURAY                    </v>
      </c>
      <c r="E6032" t="str">
        <f>"SENATOBIA                 "</f>
        <v xml:space="preserve">SENATOBIA                 </v>
      </c>
      <c r="F6032" t="str">
        <f t="shared" si="210"/>
        <v>MS</v>
      </c>
    </row>
    <row r="6033" spans="1:6" x14ac:dyDescent="0.25">
      <c r="A6033" t="str">
        <f>"000116263"</f>
        <v>000116263</v>
      </c>
      <c r="B6033" t="str">
        <f>"1174540066"</f>
        <v>1174540066</v>
      </c>
      <c r="C6033" t="str">
        <f>"2085R0202X"</f>
        <v>2085R0202X</v>
      </c>
      <c r="D6033" t="str">
        <f>"MESTAYER, III            ROLAND       J           "</f>
        <v xml:space="preserve">MESTAYER, III            ROLAND       J           </v>
      </c>
      <c r="E6033" t="str">
        <f>"PASCAGOULA                "</f>
        <v xml:space="preserve">PASCAGOULA                </v>
      </c>
      <c r="F6033" t="str">
        <f t="shared" si="210"/>
        <v>MS</v>
      </c>
    </row>
    <row r="6034" spans="1:6" x14ac:dyDescent="0.25">
      <c r="A6034" t="str">
        <f>"000116274"</f>
        <v>000116274</v>
      </c>
      <c r="B6034" t="str">
        <f>"1275515843"</f>
        <v>1275515843</v>
      </c>
      <c r="C6034" t="str">
        <f>"207L00000X"</f>
        <v>207L00000X</v>
      </c>
      <c r="D6034" t="str">
        <f>"GRAHAM                   LEON         J           "</f>
        <v xml:space="preserve">GRAHAM                   LEON         J           </v>
      </c>
      <c r="E6034" t="str">
        <f>"MERIDIAN                  "</f>
        <v xml:space="preserve">MERIDIAN                  </v>
      </c>
      <c r="F6034" t="str">
        <f t="shared" si="210"/>
        <v>MS</v>
      </c>
    </row>
    <row r="6035" spans="1:6" x14ac:dyDescent="0.25">
      <c r="A6035" t="str">
        <f>"000116288"</f>
        <v>000116288</v>
      </c>
      <c r="B6035" t="str">
        <f>"1346355583"</f>
        <v>1346355583</v>
      </c>
      <c r="C6035" t="str">
        <f>"363L00000X"</f>
        <v>363L00000X</v>
      </c>
      <c r="D6035" t="str">
        <f>"RANDALL                  GLYNNIS      M           "</f>
        <v xml:space="preserve">RANDALL                  GLYNNIS      M           </v>
      </c>
      <c r="E6035" t="str">
        <f>"WIGGINS                   "</f>
        <v xml:space="preserve">WIGGINS                   </v>
      </c>
      <c r="F6035" t="str">
        <f t="shared" si="210"/>
        <v>MS</v>
      </c>
    </row>
    <row r="6036" spans="1:6" x14ac:dyDescent="0.25">
      <c r="A6036" t="str">
        <f>"000116292"</f>
        <v>000116292</v>
      </c>
      <c r="B6036" t="str">
        <f>"1619903580"</f>
        <v>1619903580</v>
      </c>
      <c r="C6036" t="str">
        <f>"207Q00000X"</f>
        <v>207Q00000X</v>
      </c>
      <c r="D6036" t="str">
        <f>"ERVIN JR.                JAMES        W           "</f>
        <v xml:space="preserve">ERVIN JR.                JAMES        W           </v>
      </c>
      <c r="E6036" t="str">
        <f>"CRYSTAL SPRINGS           "</f>
        <v xml:space="preserve">CRYSTAL SPRINGS           </v>
      </c>
      <c r="F6036" t="str">
        <f t="shared" si="210"/>
        <v>MS</v>
      </c>
    </row>
    <row r="6037" spans="1:6" x14ac:dyDescent="0.25">
      <c r="A6037" t="str">
        <f>"000116294"</f>
        <v>000116294</v>
      </c>
      <c r="B6037" t="str">
        <f>"1285620633"</f>
        <v>1285620633</v>
      </c>
      <c r="C6037" t="str">
        <f>"363L00000X"</f>
        <v>363L00000X</v>
      </c>
      <c r="D6037" t="str">
        <f>"SIMMONS                  DEBRA        A           "</f>
        <v xml:space="preserve">SIMMONS                  DEBRA        A           </v>
      </c>
      <c r="E6037" t="str">
        <f>"GRENADA                   "</f>
        <v xml:space="preserve">GRENADA                   </v>
      </c>
      <c r="F6037" t="str">
        <f t="shared" si="210"/>
        <v>MS</v>
      </c>
    </row>
    <row r="6038" spans="1:6" x14ac:dyDescent="0.25">
      <c r="A6038" t="str">
        <f>"000116295"</f>
        <v>000116295</v>
      </c>
      <c r="B6038" t="str">
        <f>"1609853647"</f>
        <v>1609853647</v>
      </c>
      <c r="C6038" t="str">
        <f>"363L00000X"</f>
        <v>363L00000X</v>
      </c>
      <c r="D6038" t="str">
        <f>"REECE                    KAREN                    "</f>
        <v xml:space="preserve">REECE                    KAREN                    </v>
      </c>
      <c r="E6038" t="str">
        <f>"SEBASTOPOL                "</f>
        <v xml:space="preserve">SEBASTOPOL                </v>
      </c>
      <c r="F6038" t="str">
        <f t="shared" si="210"/>
        <v>MS</v>
      </c>
    </row>
    <row r="6039" spans="1:6" x14ac:dyDescent="0.25">
      <c r="A6039" t="str">
        <f>"000116304"</f>
        <v>000116304</v>
      </c>
      <c r="B6039" t="str">
        <f>"1194725374"</f>
        <v>1194725374</v>
      </c>
      <c r="C6039" t="str">
        <f>"207X00000X"</f>
        <v>207X00000X</v>
      </c>
      <c r="D6039" t="str">
        <f>"GEISSLER                 WILLIAM      B           "</f>
        <v xml:space="preserve">GEISSLER                 WILLIAM      B           </v>
      </c>
      <c r="E6039" t="str">
        <f>"JACKSON                   "</f>
        <v xml:space="preserve">JACKSON                   </v>
      </c>
      <c r="F6039" t="str">
        <f t="shared" si="210"/>
        <v>MS</v>
      </c>
    </row>
    <row r="6040" spans="1:6" x14ac:dyDescent="0.25">
      <c r="A6040" t="str">
        <f>"000116332"</f>
        <v>000116332</v>
      </c>
      <c r="B6040" t="str">
        <f>"1811083785"</f>
        <v>1811083785</v>
      </c>
      <c r="C6040" t="str">
        <f>"208000000X"</f>
        <v>208000000X</v>
      </c>
      <c r="D6040" t="str">
        <f>"LAWSON                   LOUISA       E           "</f>
        <v xml:space="preserve">LAWSON                   LOUISA       E           </v>
      </c>
      <c r="E6040" t="str">
        <f>"CLINTON                   "</f>
        <v xml:space="preserve">CLINTON                   </v>
      </c>
      <c r="F6040" t="str">
        <f t="shared" si="210"/>
        <v>MS</v>
      </c>
    </row>
    <row r="6041" spans="1:6" x14ac:dyDescent="0.25">
      <c r="A6041" t="str">
        <f>"000116360"</f>
        <v>000116360</v>
      </c>
      <c r="B6041" t="str">
        <f>"1700848207"</f>
        <v>1700848207</v>
      </c>
      <c r="C6041" t="str">
        <f>"207P00000X"</f>
        <v>207P00000X</v>
      </c>
      <c r="D6041" t="str">
        <f>"BREDEMEIER               GREGORY      F           "</f>
        <v xml:space="preserve">BREDEMEIER               GREGORY      F           </v>
      </c>
      <c r="E6041" t="str">
        <f>"BRANDON                   "</f>
        <v xml:space="preserve">BRANDON                   </v>
      </c>
      <c r="F6041" t="str">
        <f t="shared" si="210"/>
        <v>MS</v>
      </c>
    </row>
    <row r="6042" spans="1:6" x14ac:dyDescent="0.25">
      <c r="A6042" t="str">
        <f>"000116393"</f>
        <v>000116393</v>
      </c>
      <c r="B6042" t="str">
        <f>"1124055488"</f>
        <v>1124055488</v>
      </c>
      <c r="C6042" t="str">
        <f>"363L00000X"</f>
        <v>363L00000X</v>
      </c>
      <c r="D6042" t="str">
        <f>"CLEARMAN                 PAULA        S           "</f>
        <v xml:space="preserve">CLEARMAN                 PAULA        S           </v>
      </c>
      <c r="E6042" t="str">
        <f>"PHILADELPHIA              "</f>
        <v xml:space="preserve">PHILADELPHIA              </v>
      </c>
      <c r="F6042" t="str">
        <f t="shared" si="210"/>
        <v>MS</v>
      </c>
    </row>
    <row r="6043" spans="1:6" x14ac:dyDescent="0.25">
      <c r="A6043" t="str">
        <f>"000116401"</f>
        <v>000116401</v>
      </c>
      <c r="B6043" t="str">
        <f>"1891792842"</f>
        <v>1891792842</v>
      </c>
      <c r="C6043" t="str">
        <f>"2085R0202X"</f>
        <v>2085R0202X</v>
      </c>
      <c r="D6043" t="str">
        <f>"RUSHING                  ERIC         L           "</f>
        <v xml:space="preserve">RUSHING                  ERIC         L           </v>
      </c>
      <c r="E6043" t="str">
        <f>"JACKSON                   "</f>
        <v xml:space="preserve">JACKSON                   </v>
      </c>
      <c r="F6043" t="str">
        <f t="shared" si="210"/>
        <v>MS</v>
      </c>
    </row>
    <row r="6044" spans="1:6" x14ac:dyDescent="0.25">
      <c r="A6044" t="str">
        <f>"000116404"</f>
        <v>000116404</v>
      </c>
      <c r="B6044" t="str">
        <f>"1376643247"</f>
        <v>1376643247</v>
      </c>
      <c r="C6044" t="str">
        <f>"208800000X"</f>
        <v>208800000X</v>
      </c>
      <c r="D6044" t="str">
        <f>"CLARK                    JEFFREY      G           "</f>
        <v xml:space="preserve">CLARK                    JEFFREY      G           </v>
      </c>
      <c r="E6044" t="str">
        <f>"BROOKHAVEN                "</f>
        <v xml:space="preserve">BROOKHAVEN                </v>
      </c>
      <c r="F6044" t="str">
        <f t="shared" si="210"/>
        <v>MS</v>
      </c>
    </row>
    <row r="6045" spans="1:6" x14ac:dyDescent="0.25">
      <c r="A6045" t="str">
        <f>"000116409"</f>
        <v>000116409</v>
      </c>
      <c r="B6045" t="str">
        <f>"1093798266"</f>
        <v>1093798266</v>
      </c>
      <c r="C6045" t="str">
        <f>"367A00000X"</f>
        <v>367A00000X</v>
      </c>
      <c r="D6045" t="str">
        <f>"ODOM                     CYNTHIA      C           "</f>
        <v xml:space="preserve">ODOM                     CYNTHIA      C           </v>
      </c>
      <c r="E6045" t="str">
        <f>"WAYNESBORO                "</f>
        <v xml:space="preserve">WAYNESBORO                </v>
      </c>
      <c r="F6045" t="str">
        <f t="shared" si="210"/>
        <v>MS</v>
      </c>
    </row>
    <row r="6046" spans="1:6" x14ac:dyDescent="0.25">
      <c r="A6046" t="str">
        <f>"000116412"</f>
        <v>000116412</v>
      </c>
      <c r="B6046" t="str">
        <f>"1437122751"</f>
        <v>1437122751</v>
      </c>
      <c r="C6046" t="str">
        <f>"207Q00000X"</f>
        <v>207Q00000X</v>
      </c>
      <c r="D6046" t="str">
        <f>"CASTLE                   MONA         M           "</f>
        <v xml:space="preserve">CASTLE                   MONA         M           </v>
      </c>
      <c r="E6046" t="str">
        <f>"OXFORD                    "</f>
        <v xml:space="preserve">OXFORD                    </v>
      </c>
      <c r="F6046" t="str">
        <f t="shared" si="210"/>
        <v>MS</v>
      </c>
    </row>
    <row r="6047" spans="1:6" x14ac:dyDescent="0.25">
      <c r="A6047" t="str">
        <f>"000116430"</f>
        <v>000116430</v>
      </c>
      <c r="B6047" t="str">
        <f>"1477592632"</f>
        <v>1477592632</v>
      </c>
      <c r="C6047" t="str">
        <f>"207R00000X"</f>
        <v>207R00000X</v>
      </c>
      <c r="D6047" t="str">
        <f>"TAYLOR                   PAMI         J           "</f>
        <v xml:space="preserve">TAYLOR                   PAMI         J           </v>
      </c>
      <c r="E6047" t="str">
        <f>"TUPELO                    "</f>
        <v xml:space="preserve">TUPELO                    </v>
      </c>
      <c r="F6047" t="str">
        <f t="shared" si="210"/>
        <v>MS</v>
      </c>
    </row>
    <row r="6048" spans="1:6" x14ac:dyDescent="0.25">
      <c r="A6048" t="str">
        <f>"000116449"</f>
        <v>000116449</v>
      </c>
      <c r="B6048" t="str">
        <f>"1437193984"</f>
        <v>1437193984</v>
      </c>
      <c r="C6048" t="str">
        <f>"208D00000X"</f>
        <v>208D00000X</v>
      </c>
      <c r="D6048" t="str">
        <f>"BURGER                   ERIC                     "</f>
        <v xml:space="preserve">BURGER                   ERIC                     </v>
      </c>
      <c r="E6048" t="str">
        <f>"JACKSON                   "</f>
        <v xml:space="preserve">JACKSON                   </v>
      </c>
      <c r="F6048" t="str">
        <f t="shared" si="210"/>
        <v>MS</v>
      </c>
    </row>
    <row r="6049" spans="1:6" x14ac:dyDescent="0.25">
      <c r="A6049" t="str">
        <f>"000116454"</f>
        <v>000116454</v>
      </c>
      <c r="B6049" t="str">
        <f>"1760469340"</f>
        <v>1760469340</v>
      </c>
      <c r="C6049" t="str">
        <f>"207RP1001X"</f>
        <v>207RP1001X</v>
      </c>
      <c r="D6049" t="str">
        <f>"REID                     WILLIAM      F           "</f>
        <v xml:space="preserve">REID                     WILLIAM      F           </v>
      </c>
      <c r="E6049" t="str">
        <f>"MERIDIAN                  "</f>
        <v xml:space="preserve">MERIDIAN                  </v>
      </c>
      <c r="F6049" t="str">
        <f t="shared" si="210"/>
        <v>MS</v>
      </c>
    </row>
    <row r="6050" spans="1:6" x14ac:dyDescent="0.25">
      <c r="A6050" t="str">
        <f>"000116455"</f>
        <v>000116455</v>
      </c>
      <c r="B6050" t="str">
        <f>"1518944198"</f>
        <v>1518944198</v>
      </c>
      <c r="C6050" t="str">
        <f>"207RN0300X"</f>
        <v>207RN0300X</v>
      </c>
      <c r="D6050" t="str">
        <f>"CLARK                    ROBERT                   "</f>
        <v xml:space="preserve">CLARK                    ROBERT                   </v>
      </c>
      <c r="E6050" t="str">
        <f>"MERIDIAN                  "</f>
        <v xml:space="preserve">MERIDIAN                  </v>
      </c>
      <c r="F6050" t="str">
        <f t="shared" si="210"/>
        <v>MS</v>
      </c>
    </row>
    <row r="6051" spans="1:6" x14ac:dyDescent="0.25">
      <c r="A6051" t="str">
        <f>"000116459"</f>
        <v>000116459</v>
      </c>
      <c r="B6051" t="str">
        <f>"1831176973"</f>
        <v>1831176973</v>
      </c>
      <c r="C6051" t="str">
        <f>"207L00000X"</f>
        <v>207L00000X</v>
      </c>
      <c r="D6051" t="str">
        <f>"BRIDGEWATER              JOVIE        N           "</f>
        <v xml:space="preserve">BRIDGEWATER              JOVIE        N           </v>
      </c>
      <c r="E6051" t="str">
        <f>"SOUTHAVEN                 "</f>
        <v xml:space="preserve">SOUTHAVEN                 </v>
      </c>
      <c r="F6051" t="str">
        <f t="shared" si="210"/>
        <v>MS</v>
      </c>
    </row>
    <row r="6052" spans="1:6" x14ac:dyDescent="0.25">
      <c r="A6052" t="str">
        <f>"000116463"</f>
        <v>000116463</v>
      </c>
      <c r="B6052" t="str">
        <f>"1235178997"</f>
        <v>1235178997</v>
      </c>
      <c r="C6052" t="str">
        <f>"207Q00000X"</f>
        <v>207Q00000X</v>
      </c>
      <c r="D6052" t="str">
        <f>"HASSELL                  JOHN         F           "</f>
        <v xml:space="preserve">HASSELL                  JOHN         F           </v>
      </c>
      <c r="E6052" t="str">
        <f>"LAUREL                    "</f>
        <v xml:space="preserve">LAUREL                    </v>
      </c>
      <c r="F6052" t="str">
        <f t="shared" si="210"/>
        <v>MS</v>
      </c>
    </row>
    <row r="6053" spans="1:6" x14ac:dyDescent="0.25">
      <c r="A6053" t="str">
        <f>"000116465"</f>
        <v>000116465</v>
      </c>
      <c r="B6053" t="str">
        <f>"1295706455"</f>
        <v>1295706455</v>
      </c>
      <c r="C6053" t="str">
        <f>"207V00000X"</f>
        <v>207V00000X</v>
      </c>
      <c r="D6053" t="str">
        <f>"YOUNG                    RONALD       A           "</f>
        <v xml:space="preserve">YOUNG                    RONALD       A           </v>
      </c>
      <c r="E6053" t="str">
        <f>"TUPELO                    "</f>
        <v xml:space="preserve">TUPELO                    </v>
      </c>
      <c r="F6053" t="str">
        <f t="shared" si="210"/>
        <v>MS</v>
      </c>
    </row>
    <row r="6054" spans="1:6" x14ac:dyDescent="0.25">
      <c r="A6054" t="str">
        <f>"000116472"</f>
        <v>000116472</v>
      </c>
      <c r="B6054" t="str">
        <f>"1801837679"</f>
        <v>1801837679</v>
      </c>
      <c r="C6054" t="str">
        <f>"207R00000X"</f>
        <v>207R00000X</v>
      </c>
      <c r="D6054" t="str">
        <f>"DALY                     EDWARD       F           "</f>
        <v xml:space="preserve">DALY                     EDWARD       F           </v>
      </c>
      <c r="E6054" t="str">
        <f>"NATCHEZ                   "</f>
        <v xml:space="preserve">NATCHEZ                   </v>
      </c>
      <c r="F6054" t="str">
        <f t="shared" si="210"/>
        <v>MS</v>
      </c>
    </row>
    <row r="6055" spans="1:6" x14ac:dyDescent="0.25">
      <c r="A6055" t="str">
        <f>"000116473"</f>
        <v>000116473</v>
      </c>
      <c r="B6055" t="str">
        <f>"1417958240"</f>
        <v>1417958240</v>
      </c>
      <c r="C6055" t="str">
        <f>"207R00000X"</f>
        <v>207R00000X</v>
      </c>
      <c r="D6055" t="str">
        <f>"CLAUSEN                  HAROLD       G           "</f>
        <v xml:space="preserve">CLAUSEN                  HAROLD       G           </v>
      </c>
      <c r="E6055" t="str">
        <f>"WOODVILLE                 "</f>
        <v xml:space="preserve">WOODVILLE                 </v>
      </c>
      <c r="F6055" t="str">
        <f t="shared" si="210"/>
        <v>MS</v>
      </c>
    </row>
    <row r="6056" spans="1:6" x14ac:dyDescent="0.25">
      <c r="A6056" t="str">
        <f>"000116480"</f>
        <v>000116480</v>
      </c>
      <c r="B6056" t="str">
        <f>"1316913783"</f>
        <v>1316913783</v>
      </c>
      <c r="C6056" t="str">
        <f>"207Q00000X"</f>
        <v>207Q00000X</v>
      </c>
      <c r="D6056" t="str">
        <f>"GLASGOW                  THOMAS       S           "</f>
        <v xml:space="preserve">GLASGOW                  THOMAS       S           </v>
      </c>
      <c r="E6056" t="str">
        <f>"OXFORD                    "</f>
        <v xml:space="preserve">OXFORD                    </v>
      </c>
      <c r="F6056" t="str">
        <f t="shared" si="210"/>
        <v>MS</v>
      </c>
    </row>
    <row r="6057" spans="1:6" x14ac:dyDescent="0.25">
      <c r="A6057" t="str">
        <f>"000116484"</f>
        <v>000116484</v>
      </c>
      <c r="B6057" t="str">
        <f>"1033137658"</f>
        <v>1033137658</v>
      </c>
      <c r="C6057" t="str">
        <f>"207Q00000X"</f>
        <v>207Q00000X</v>
      </c>
      <c r="D6057" t="str">
        <f>"ADAMS                    DENNIS       U           "</f>
        <v xml:space="preserve">ADAMS                    DENNIS       U           </v>
      </c>
      <c r="E6057" t="str">
        <f>"MENDENHALL                "</f>
        <v xml:space="preserve">MENDENHALL                </v>
      </c>
      <c r="F6057" t="str">
        <f t="shared" si="210"/>
        <v>MS</v>
      </c>
    </row>
    <row r="6058" spans="1:6" x14ac:dyDescent="0.25">
      <c r="A6058" t="str">
        <f>"000116486"</f>
        <v>000116486</v>
      </c>
      <c r="B6058" t="str">
        <f>"1972694818"</f>
        <v>1972694818</v>
      </c>
      <c r="C6058" t="str">
        <f>"207Q00000X"</f>
        <v>207Q00000X</v>
      </c>
      <c r="D6058" t="str">
        <f>"WELCH                    IRMA         H           "</f>
        <v xml:space="preserve">WELCH                    IRMA         H           </v>
      </c>
      <c r="E6058" t="str">
        <f>"JACKSON                   "</f>
        <v xml:space="preserve">JACKSON                   </v>
      </c>
      <c r="F6058" t="str">
        <f t="shared" si="210"/>
        <v>MS</v>
      </c>
    </row>
    <row r="6059" spans="1:6" x14ac:dyDescent="0.25">
      <c r="A6059" t="str">
        <f>"000116489"</f>
        <v>000116489</v>
      </c>
      <c r="B6059" t="str">
        <f>"1063499002"</f>
        <v>1063499002</v>
      </c>
      <c r="C6059" t="str">
        <f>"207R00000X"</f>
        <v>207R00000X</v>
      </c>
      <c r="D6059" t="str">
        <f>"LOCK                     JAMES        W           "</f>
        <v xml:space="preserve">LOCK                     JAMES        W           </v>
      </c>
      <c r="E6059" t="str">
        <f>"WALNUT GROVE              "</f>
        <v xml:space="preserve">WALNUT GROVE              </v>
      </c>
      <c r="F6059" t="str">
        <f t="shared" si="210"/>
        <v>MS</v>
      </c>
    </row>
    <row r="6060" spans="1:6" x14ac:dyDescent="0.25">
      <c r="A6060" t="str">
        <f>"000116490"</f>
        <v>000116490</v>
      </c>
      <c r="B6060" t="str">
        <f>"1124109871"</f>
        <v>1124109871</v>
      </c>
      <c r="C6060" t="str">
        <f>"207R00000X"</f>
        <v>207R00000X</v>
      </c>
      <c r="D6060" t="str">
        <f>"WALKER-MCNAIR            ROSIE        L           "</f>
        <v xml:space="preserve">WALKER-MCNAIR            ROSIE        L           </v>
      </c>
      <c r="E6060" t="str">
        <f>"JACKSON                   "</f>
        <v xml:space="preserve">JACKSON                   </v>
      </c>
      <c r="F6060" t="str">
        <f t="shared" si="210"/>
        <v>MS</v>
      </c>
    </row>
    <row r="6061" spans="1:6" x14ac:dyDescent="0.25">
      <c r="A6061" t="str">
        <f>"000116505"</f>
        <v>000116505</v>
      </c>
      <c r="B6061" t="str">
        <f>"1881610756"</f>
        <v>1881610756</v>
      </c>
      <c r="C6061" t="str">
        <f>"363L00000X"</f>
        <v>363L00000X</v>
      </c>
      <c r="D6061" t="str">
        <f>"PICKERING                LINDA        A           "</f>
        <v xml:space="preserve">PICKERING                LINDA        A           </v>
      </c>
      <c r="E6061" t="str">
        <f>"CARTHAGE                  "</f>
        <v xml:space="preserve">CARTHAGE                  </v>
      </c>
      <c r="F6061" t="str">
        <f t="shared" si="210"/>
        <v>MS</v>
      </c>
    </row>
    <row r="6062" spans="1:6" x14ac:dyDescent="0.25">
      <c r="A6062" t="str">
        <f>"000116515"</f>
        <v>000116515</v>
      </c>
      <c r="B6062" t="str">
        <f>"1194745521"</f>
        <v>1194745521</v>
      </c>
      <c r="C6062" t="str">
        <f>"363L00000X"</f>
        <v>363L00000X</v>
      </c>
      <c r="D6062" t="str">
        <f>"MURPHY                   GEORGE       T           "</f>
        <v xml:space="preserve">MURPHY                   GEORGE       T           </v>
      </c>
      <c r="E6062" t="str">
        <f>"CLARKSDALE                "</f>
        <v xml:space="preserve">CLARKSDALE                </v>
      </c>
      <c r="F6062" t="str">
        <f t="shared" si="210"/>
        <v>MS</v>
      </c>
    </row>
    <row r="6063" spans="1:6" x14ac:dyDescent="0.25">
      <c r="A6063" t="str">
        <f>"000116521"</f>
        <v>000116521</v>
      </c>
      <c r="B6063" t="str">
        <f>"1477589356"</f>
        <v>1477589356</v>
      </c>
      <c r="C6063" t="str">
        <f>"208000000X"</f>
        <v>208000000X</v>
      </c>
      <c r="D6063" t="str">
        <f>"BROOKS                   TAMI         H           "</f>
        <v xml:space="preserve">BROOKS                   TAMI         H           </v>
      </c>
      <c r="E6063" t="str">
        <f>"STARKVILLE                "</f>
        <v xml:space="preserve">STARKVILLE                </v>
      </c>
      <c r="F6063" t="str">
        <f t="shared" si="210"/>
        <v>MS</v>
      </c>
    </row>
    <row r="6064" spans="1:6" x14ac:dyDescent="0.25">
      <c r="A6064" t="str">
        <f>"000116526"</f>
        <v>000116526</v>
      </c>
      <c r="B6064" t="str">
        <f>"1538255815"</f>
        <v>1538255815</v>
      </c>
      <c r="C6064" t="str">
        <f>"207RG0100X"</f>
        <v>207RG0100X</v>
      </c>
      <c r="D6064" t="str">
        <f>"GIOE                     SCOTT        M           "</f>
        <v xml:space="preserve">GIOE                     SCOTT        M           </v>
      </c>
      <c r="E6064" t="str">
        <f>"GULFPORT                  "</f>
        <v xml:space="preserve">GULFPORT                  </v>
      </c>
      <c r="F6064" t="str">
        <f t="shared" si="210"/>
        <v>MS</v>
      </c>
    </row>
    <row r="6065" spans="1:6" x14ac:dyDescent="0.25">
      <c r="A6065" t="str">
        <f>"000116535"</f>
        <v>000116535</v>
      </c>
      <c r="B6065" t="str">
        <f>"1801822317"</f>
        <v>1801822317</v>
      </c>
      <c r="C6065" t="str">
        <f>"2084P0800X"</f>
        <v>2084P0800X</v>
      </c>
      <c r="D6065" t="str">
        <f>"REDMANN                  GREGORY                  "</f>
        <v xml:space="preserve">REDMANN                  GREGORY                  </v>
      </c>
      <c r="E6065" t="str">
        <f>"JACKSON                   "</f>
        <v xml:space="preserve">JACKSON                   </v>
      </c>
      <c r="F6065" t="str">
        <f t="shared" si="210"/>
        <v>MS</v>
      </c>
    </row>
    <row r="6066" spans="1:6" x14ac:dyDescent="0.25">
      <c r="A6066" t="str">
        <f>"000116544"</f>
        <v>000116544</v>
      </c>
      <c r="B6066" t="str">
        <f>"1932155538"</f>
        <v>1932155538</v>
      </c>
      <c r="C6066" t="str">
        <f>"207R00000X"</f>
        <v>207R00000X</v>
      </c>
      <c r="D6066" t="str">
        <f>"LODEN                    JULIAN       D           "</f>
        <v xml:space="preserve">LODEN                    JULIAN       D           </v>
      </c>
      <c r="E6066" t="str">
        <f>"TUPELO                    "</f>
        <v xml:space="preserve">TUPELO                    </v>
      </c>
      <c r="F6066" t="str">
        <f t="shared" si="210"/>
        <v>MS</v>
      </c>
    </row>
    <row r="6067" spans="1:6" x14ac:dyDescent="0.25">
      <c r="A6067" t="str">
        <f>"000116546"</f>
        <v>000116546</v>
      </c>
      <c r="B6067" t="str">
        <f>"1871600189"</f>
        <v>1871600189</v>
      </c>
      <c r="C6067" t="str">
        <f>"208D00000X"</f>
        <v>208D00000X</v>
      </c>
      <c r="D6067" t="str">
        <f>"HILL                     CHARLES      K           "</f>
        <v xml:space="preserve">HILL                     CHARLES      K           </v>
      </c>
      <c r="E6067" t="str">
        <f>"OXFORD                    "</f>
        <v xml:space="preserve">OXFORD                    </v>
      </c>
      <c r="F6067" t="str">
        <f t="shared" si="210"/>
        <v>MS</v>
      </c>
    </row>
    <row r="6068" spans="1:6" x14ac:dyDescent="0.25">
      <c r="A6068" t="str">
        <f>"000116563"</f>
        <v>000116563</v>
      </c>
      <c r="B6068" t="str">
        <f>"1609818442"</f>
        <v>1609818442</v>
      </c>
      <c r="C6068" t="str">
        <f>"2085R0202X"</f>
        <v>2085R0202X</v>
      </c>
      <c r="D6068" t="str">
        <f>"HANEY                    WILLIAM      K           "</f>
        <v xml:space="preserve">HANEY                    WILLIAM      K           </v>
      </c>
      <c r="E6068" t="str">
        <f>"JACKSON                   "</f>
        <v xml:space="preserve">JACKSON                   </v>
      </c>
      <c r="F6068" t="str">
        <f t="shared" si="210"/>
        <v>MS</v>
      </c>
    </row>
    <row r="6069" spans="1:6" x14ac:dyDescent="0.25">
      <c r="A6069" t="str">
        <f>"000116575"</f>
        <v>000116575</v>
      </c>
      <c r="B6069" t="str">
        <f>"1629093018"</f>
        <v>1629093018</v>
      </c>
      <c r="C6069" t="str">
        <f>"207L00000X"</f>
        <v>207L00000X</v>
      </c>
      <c r="D6069" t="str">
        <f>"BEARD                    HERMAN       R           "</f>
        <v xml:space="preserve">BEARD                    HERMAN       R           </v>
      </c>
      <c r="E6069" t="str">
        <f>"FLOWOOD                   "</f>
        <v xml:space="preserve">FLOWOOD                   </v>
      </c>
      <c r="F6069" t="str">
        <f t="shared" si="210"/>
        <v>MS</v>
      </c>
    </row>
    <row r="6070" spans="1:6" x14ac:dyDescent="0.25">
      <c r="A6070" t="str">
        <f>"000116589"</f>
        <v>000116589</v>
      </c>
      <c r="B6070" t="str">
        <f>"1568486884"</f>
        <v>1568486884</v>
      </c>
      <c r="C6070" t="str">
        <f>"207W00000X"</f>
        <v>207W00000X</v>
      </c>
      <c r="D6070" t="str">
        <f>"MASON, JR                JOHN         L           "</f>
        <v xml:space="preserve">MASON, JR                JOHN         L           </v>
      </c>
      <c r="E6070" t="str">
        <f>"MERIDIAN                  "</f>
        <v xml:space="preserve">MERIDIAN                  </v>
      </c>
      <c r="F6070" t="str">
        <f t="shared" si="210"/>
        <v>MS</v>
      </c>
    </row>
    <row r="6071" spans="1:6" x14ac:dyDescent="0.25">
      <c r="A6071" t="str">
        <f>"000116599"</f>
        <v>000116599</v>
      </c>
      <c r="B6071" t="str">
        <f>"1790890499"</f>
        <v>1790890499</v>
      </c>
      <c r="C6071" t="str">
        <f>"208600000X"</f>
        <v>208600000X</v>
      </c>
      <c r="D6071" t="str">
        <f>"LEY                      PHILLIP      B           "</f>
        <v xml:space="preserve">LEY                      PHILLIP      B           </v>
      </c>
      <c r="E6071" t="str">
        <f>"FLOWOOD                   "</f>
        <v xml:space="preserve">FLOWOOD                   </v>
      </c>
      <c r="F6071" t="str">
        <f t="shared" si="210"/>
        <v>MS</v>
      </c>
    </row>
    <row r="6072" spans="1:6" x14ac:dyDescent="0.25">
      <c r="A6072" t="str">
        <f>"000116623"</f>
        <v>000116623</v>
      </c>
      <c r="B6072" t="str">
        <f>"1043314057"</f>
        <v>1043314057</v>
      </c>
      <c r="C6072" t="str">
        <f>"208600000X"</f>
        <v>208600000X</v>
      </c>
      <c r="D6072" t="str">
        <f>"STALLWORTH               GREGORY      T           "</f>
        <v xml:space="preserve">STALLWORTH               GREGORY      T           </v>
      </c>
      <c r="E6072" t="str">
        <f>"HOLLY SPRINGS             "</f>
        <v xml:space="preserve">HOLLY SPRINGS             </v>
      </c>
      <c r="F6072" t="str">
        <f t="shared" si="210"/>
        <v>MS</v>
      </c>
    </row>
    <row r="6073" spans="1:6" x14ac:dyDescent="0.25">
      <c r="A6073" t="str">
        <f>"000116633"</f>
        <v>000116633</v>
      </c>
      <c r="B6073" t="str">
        <f>"1912901513"</f>
        <v>1912901513</v>
      </c>
      <c r="C6073" t="str">
        <f>"207RX0202X"</f>
        <v>207RX0202X</v>
      </c>
      <c r="D6073" t="str">
        <f>"SHUMAKER                 GRACE        G           "</f>
        <v xml:space="preserve">SHUMAKER                 GRACE        G           </v>
      </c>
      <c r="E6073" t="str">
        <f>"JACKSON                   "</f>
        <v xml:space="preserve">JACKSON                   </v>
      </c>
      <c r="F6073" t="str">
        <f t="shared" si="210"/>
        <v>MS</v>
      </c>
    </row>
    <row r="6074" spans="1:6" x14ac:dyDescent="0.25">
      <c r="A6074" t="str">
        <f>"000116646"</f>
        <v>000116646</v>
      </c>
      <c r="B6074" t="str">
        <f>"1831242627"</f>
        <v>1831242627</v>
      </c>
      <c r="C6074" t="str">
        <f>"207L00000X"</f>
        <v>207L00000X</v>
      </c>
      <c r="D6074" t="str">
        <f>"GOLDEN                   JOE          A           "</f>
        <v xml:space="preserve">GOLDEN                   JOE          A           </v>
      </c>
      <c r="E6074" t="str">
        <f>"JACKSON                   "</f>
        <v xml:space="preserve">JACKSON                   </v>
      </c>
      <c r="F6074" t="str">
        <f t="shared" si="210"/>
        <v>MS</v>
      </c>
    </row>
    <row r="6075" spans="1:6" x14ac:dyDescent="0.25">
      <c r="A6075" t="str">
        <f>"000116647"</f>
        <v>000116647</v>
      </c>
      <c r="B6075" t="str">
        <f>"1447316732"</f>
        <v>1447316732</v>
      </c>
      <c r="C6075" t="str">
        <f>"207L00000X"</f>
        <v>207L00000X</v>
      </c>
      <c r="D6075" t="str">
        <f>"DALY                     JOHN         S           "</f>
        <v xml:space="preserve">DALY                     JOHN         S           </v>
      </c>
      <c r="E6075" t="str">
        <f>"JACKSON                   "</f>
        <v xml:space="preserve">JACKSON                   </v>
      </c>
      <c r="F6075" t="str">
        <f t="shared" si="210"/>
        <v>MS</v>
      </c>
    </row>
    <row r="6076" spans="1:6" x14ac:dyDescent="0.25">
      <c r="A6076" t="str">
        <f>"000116649"</f>
        <v>000116649</v>
      </c>
      <c r="B6076" t="str">
        <f>"1962451294"</f>
        <v>1962451294</v>
      </c>
      <c r="C6076" t="str">
        <f>"207R00000X"</f>
        <v>207R00000X</v>
      </c>
      <c r="D6076" t="str">
        <f>"JORDON                   RENIE        A           "</f>
        <v xml:space="preserve">JORDON                   RENIE        A           </v>
      </c>
      <c r="E6076" t="str">
        <f>"MCCOMB                    "</f>
        <v xml:space="preserve">MCCOMB                    </v>
      </c>
      <c r="F6076" t="str">
        <f t="shared" si="210"/>
        <v>MS</v>
      </c>
    </row>
    <row r="6077" spans="1:6" x14ac:dyDescent="0.25">
      <c r="A6077" t="str">
        <f>"000116650"</f>
        <v>000116650</v>
      </c>
      <c r="B6077" t="str">
        <f>"1760499867"</f>
        <v>1760499867</v>
      </c>
      <c r="C6077" t="str">
        <f>"207RE0101X"</f>
        <v>207RE0101X</v>
      </c>
      <c r="D6077" t="str">
        <f>"SHEPHERD                 MARK         D           "</f>
        <v xml:space="preserve">SHEPHERD                 MARK         D           </v>
      </c>
      <c r="E6077" t="str">
        <f>"TUPELO                    "</f>
        <v xml:space="preserve">TUPELO                    </v>
      </c>
      <c r="F6077" t="str">
        <f t="shared" si="210"/>
        <v>MS</v>
      </c>
    </row>
    <row r="6078" spans="1:6" x14ac:dyDescent="0.25">
      <c r="A6078" t="str">
        <f>"000116654"</f>
        <v>000116654</v>
      </c>
      <c r="B6078" t="str">
        <f>"1184629206"</f>
        <v>1184629206</v>
      </c>
      <c r="C6078" t="str">
        <f>"363L00000X"</f>
        <v>363L00000X</v>
      </c>
      <c r="D6078" t="str">
        <f>"BRISCOE                  BEVERLY      W           "</f>
        <v xml:space="preserve">BRISCOE                  BEVERLY      W           </v>
      </c>
      <c r="E6078" t="str">
        <f>"SENATOBIA                 "</f>
        <v xml:space="preserve">SENATOBIA                 </v>
      </c>
      <c r="F6078" t="str">
        <f t="shared" ref="F6078:F6141" si="211">"MS"</f>
        <v>MS</v>
      </c>
    </row>
    <row r="6079" spans="1:6" x14ac:dyDescent="0.25">
      <c r="A6079" t="str">
        <f>"000116659"</f>
        <v>000116659</v>
      </c>
      <c r="B6079" t="str">
        <f>"1972537355"</f>
        <v>1972537355</v>
      </c>
      <c r="C6079" t="str">
        <f>"208D00000X"</f>
        <v>208D00000X</v>
      </c>
      <c r="D6079" t="str">
        <f>"HOUIN JR                 JEFFREY      C           "</f>
        <v xml:space="preserve">HOUIN JR                 JEFFREY      C           </v>
      </c>
      <c r="E6079" t="str">
        <f>"TUPELO                    "</f>
        <v xml:space="preserve">TUPELO                    </v>
      </c>
      <c r="F6079" t="str">
        <f t="shared" si="211"/>
        <v>MS</v>
      </c>
    </row>
    <row r="6080" spans="1:6" x14ac:dyDescent="0.25">
      <c r="A6080" t="str">
        <f>"000116660"</f>
        <v>000116660</v>
      </c>
      <c r="B6080" t="str">
        <f>"1497848931"</f>
        <v>1497848931</v>
      </c>
      <c r="C6080" t="str">
        <f>"208000000X"</f>
        <v>208000000X</v>
      </c>
      <c r="D6080" t="str">
        <f>"SYKES                    PAMELA       O           "</f>
        <v xml:space="preserve">SYKES                    PAMELA       O           </v>
      </c>
      <c r="E6080" t="str">
        <f>"COLUMBUS                  "</f>
        <v xml:space="preserve">COLUMBUS                  </v>
      </c>
      <c r="F6080" t="str">
        <f t="shared" si="211"/>
        <v>MS</v>
      </c>
    </row>
    <row r="6081" spans="1:6" x14ac:dyDescent="0.25">
      <c r="A6081" t="str">
        <f>"000116671"</f>
        <v>000116671</v>
      </c>
      <c r="B6081" t="str">
        <f>"1073527230"</f>
        <v>1073527230</v>
      </c>
      <c r="C6081" t="str">
        <f>"152W00000X"</f>
        <v>152W00000X</v>
      </c>
      <c r="D6081" t="str">
        <f>"WALKER                   JIMMY        A           "</f>
        <v xml:space="preserve">WALKER                   JIMMY        A           </v>
      </c>
      <c r="E6081" t="str">
        <f>"COLLINS                   "</f>
        <v xml:space="preserve">COLLINS                   </v>
      </c>
      <c r="F6081" t="str">
        <f t="shared" si="211"/>
        <v>MS</v>
      </c>
    </row>
    <row r="6082" spans="1:6" x14ac:dyDescent="0.25">
      <c r="A6082" t="str">
        <f>"000116679"</f>
        <v>000116679</v>
      </c>
      <c r="B6082" t="str">
        <f>"1013068212"</f>
        <v>1013068212</v>
      </c>
      <c r="C6082" t="str">
        <f>"207R00000X"</f>
        <v>207R00000X</v>
      </c>
      <c r="D6082" t="str">
        <f>"ROTH                     RANDY        C           "</f>
        <v xml:space="preserve">ROTH                     RANDY        C           </v>
      </c>
      <c r="E6082" t="str">
        <f>"PASCAGOULA                "</f>
        <v xml:space="preserve">PASCAGOULA                </v>
      </c>
      <c r="F6082" t="str">
        <f t="shared" si="211"/>
        <v>MS</v>
      </c>
    </row>
    <row r="6083" spans="1:6" x14ac:dyDescent="0.25">
      <c r="A6083" t="str">
        <f>"000116680"</f>
        <v>000116680</v>
      </c>
      <c r="B6083" t="str">
        <f>"1841291333"</f>
        <v>1841291333</v>
      </c>
      <c r="C6083" t="str">
        <f>"207RC0000X"</f>
        <v>207RC0000X</v>
      </c>
      <c r="D6083" t="str">
        <f>"PETTY                    FRED         H           "</f>
        <v xml:space="preserve">PETTY                    FRED         H           </v>
      </c>
      <c r="E6083" t="str">
        <f>"CENTREVILLE               "</f>
        <v xml:space="preserve">CENTREVILLE               </v>
      </c>
      <c r="F6083" t="str">
        <f t="shared" si="211"/>
        <v>MS</v>
      </c>
    </row>
    <row r="6084" spans="1:6" x14ac:dyDescent="0.25">
      <c r="A6084" t="str">
        <f>"000116682"</f>
        <v>000116682</v>
      </c>
      <c r="B6084" t="str">
        <f>"1306806930"</f>
        <v>1306806930</v>
      </c>
      <c r="C6084" t="str">
        <f>"207R00000X"</f>
        <v>207R00000X</v>
      </c>
      <c r="D6084" t="str">
        <f>"MITCHELL                 SHARON       B           "</f>
        <v xml:space="preserve">MITCHELL                 SHARON       B           </v>
      </c>
      <c r="E6084" t="str">
        <f>"BALDWYN                   "</f>
        <v xml:space="preserve">BALDWYN                   </v>
      </c>
      <c r="F6084" t="str">
        <f t="shared" si="211"/>
        <v>MS</v>
      </c>
    </row>
    <row r="6085" spans="1:6" x14ac:dyDescent="0.25">
      <c r="A6085" t="str">
        <f>"000116691"</f>
        <v>000116691</v>
      </c>
      <c r="B6085" t="str">
        <f>"1366550758"</f>
        <v>1366550758</v>
      </c>
      <c r="C6085" t="str">
        <f>"207RG0100X"</f>
        <v>207RG0100X</v>
      </c>
      <c r="D6085" t="str">
        <f>"PHILLIPS                 JOSEPH                   "</f>
        <v xml:space="preserve">PHILLIPS                 JOSEPH                   </v>
      </c>
      <c r="E6085" t="str">
        <f>"HATTIESBURG               "</f>
        <v xml:space="preserve">HATTIESBURG               </v>
      </c>
      <c r="F6085" t="str">
        <f t="shared" si="211"/>
        <v>MS</v>
      </c>
    </row>
    <row r="6086" spans="1:6" x14ac:dyDescent="0.25">
      <c r="A6086" t="str">
        <f>"000116692"</f>
        <v>000116692</v>
      </c>
      <c r="B6086" t="str">
        <f>"1508975178"</f>
        <v>1508975178</v>
      </c>
      <c r="C6086" t="str">
        <f>"207Y00000X"</f>
        <v>207Y00000X</v>
      </c>
      <c r="D6086" t="str">
        <f>"SOBIESK                  JOHN                     "</f>
        <v xml:space="preserve">SOBIESK                  JOHN                     </v>
      </c>
      <c r="E6086" t="str">
        <f>"HATTIESBURG               "</f>
        <v xml:space="preserve">HATTIESBURG               </v>
      </c>
      <c r="F6086" t="str">
        <f t="shared" si="211"/>
        <v>MS</v>
      </c>
    </row>
    <row r="6087" spans="1:6" x14ac:dyDescent="0.25">
      <c r="A6087" t="str">
        <f>"000116693"</f>
        <v>000116693</v>
      </c>
      <c r="B6087" t="str">
        <f>"1730298324"</f>
        <v>1730298324</v>
      </c>
      <c r="C6087" t="str">
        <f>"207V00000X"</f>
        <v>207V00000X</v>
      </c>
      <c r="D6087" t="str">
        <f>"STEWART                  DEANNA       K           "</f>
        <v xml:space="preserve">STEWART                  DEANNA       K           </v>
      </c>
      <c r="E6087" t="str">
        <f>"HATTIESBURG               "</f>
        <v xml:space="preserve">HATTIESBURG               </v>
      </c>
      <c r="F6087" t="str">
        <f t="shared" si="211"/>
        <v>MS</v>
      </c>
    </row>
    <row r="6088" spans="1:6" x14ac:dyDescent="0.25">
      <c r="A6088" t="str">
        <f>"000116695"</f>
        <v>000116695</v>
      </c>
      <c r="B6088" t="str">
        <f>"1275632325"</f>
        <v>1275632325</v>
      </c>
      <c r="C6088" t="str">
        <f>"207Q00000X"</f>
        <v>207Q00000X</v>
      </c>
      <c r="D6088" t="str">
        <f>"RANDOLPH                 RICHARD      C           "</f>
        <v xml:space="preserve">RANDOLPH                 RICHARD      C           </v>
      </c>
      <c r="E6088" t="str">
        <f>"BRANDON                   "</f>
        <v xml:space="preserve">BRANDON                   </v>
      </c>
      <c r="F6088" t="str">
        <f t="shared" si="211"/>
        <v>MS</v>
      </c>
    </row>
    <row r="6089" spans="1:6" x14ac:dyDescent="0.25">
      <c r="A6089" t="str">
        <f>"000116725"</f>
        <v>000116725</v>
      </c>
      <c r="B6089" t="str">
        <f>"1538137989"</f>
        <v>1538137989</v>
      </c>
      <c r="C6089" t="str">
        <f>"207RR0500X"</f>
        <v>207RR0500X</v>
      </c>
      <c r="D6089" t="str">
        <f>"KING                     CHARLES      M           "</f>
        <v xml:space="preserve">KING                     CHARLES      M           </v>
      </c>
      <c r="E6089" t="str">
        <f>"TUPELO                    "</f>
        <v xml:space="preserve">TUPELO                    </v>
      </c>
      <c r="F6089" t="str">
        <f t="shared" si="211"/>
        <v>MS</v>
      </c>
    </row>
    <row r="6090" spans="1:6" x14ac:dyDescent="0.25">
      <c r="A6090" t="str">
        <f>"000116731"</f>
        <v>000116731</v>
      </c>
      <c r="B6090" t="str">
        <f>"1568444024"</f>
        <v>1568444024</v>
      </c>
      <c r="C6090" t="str">
        <f>"367A00000X"</f>
        <v>367A00000X</v>
      </c>
      <c r="D6090" t="str">
        <f>"MCLENDON                 LINDA        I           "</f>
        <v xml:space="preserve">MCLENDON                 LINDA        I           </v>
      </c>
      <c r="E6090" t="str">
        <f>"MERIDIAN                  "</f>
        <v xml:space="preserve">MERIDIAN                  </v>
      </c>
      <c r="F6090" t="str">
        <f t="shared" si="211"/>
        <v>MS</v>
      </c>
    </row>
    <row r="6091" spans="1:6" x14ac:dyDescent="0.25">
      <c r="A6091" t="str">
        <f>"000116735"</f>
        <v>000116735</v>
      </c>
      <c r="B6091" t="str">
        <f>"1215945506"</f>
        <v>1215945506</v>
      </c>
      <c r="C6091" t="str">
        <f>"207RN0300X"</f>
        <v>207RN0300X</v>
      </c>
      <c r="D6091" t="str">
        <f>"DERHGAWEN                SANJAY                   "</f>
        <v xml:space="preserve">DERHGAWEN                SANJAY                   </v>
      </c>
      <c r="E6091" t="str">
        <f>"HATTIESBURG               "</f>
        <v xml:space="preserve">HATTIESBURG               </v>
      </c>
      <c r="F6091" t="str">
        <f t="shared" si="211"/>
        <v>MS</v>
      </c>
    </row>
    <row r="6092" spans="1:6" x14ac:dyDescent="0.25">
      <c r="A6092" t="str">
        <f>"000116737"</f>
        <v>000116737</v>
      </c>
      <c r="B6092" t="str">
        <f>"1881607158"</f>
        <v>1881607158</v>
      </c>
      <c r="C6092" t="str">
        <f>"2084N0400X"</f>
        <v>2084N0400X</v>
      </c>
      <c r="D6092" t="str">
        <f>"HELVESTON                WENDELL                  "</f>
        <v xml:space="preserve">HELVESTON                WENDELL                  </v>
      </c>
      <c r="E6092" t="str">
        <f>"JACKSON                   "</f>
        <v xml:space="preserve">JACKSON                   </v>
      </c>
      <c r="F6092" t="str">
        <f t="shared" si="211"/>
        <v>MS</v>
      </c>
    </row>
    <row r="6093" spans="1:6" x14ac:dyDescent="0.25">
      <c r="A6093" t="str">
        <f>"000116745"</f>
        <v>000116745</v>
      </c>
      <c r="B6093" t="str">
        <f>"1376540229"</f>
        <v>1376540229</v>
      </c>
      <c r="C6093" t="str">
        <f>"207R00000X"</f>
        <v>207R00000X</v>
      </c>
      <c r="D6093" t="str">
        <f>"BARKLEY                  THOMAS       F           "</f>
        <v xml:space="preserve">BARKLEY                  THOMAS       F           </v>
      </c>
      <c r="E6093" t="str">
        <f>"NEW ALBANY                "</f>
        <v xml:space="preserve">NEW ALBANY                </v>
      </c>
      <c r="F6093" t="str">
        <f t="shared" si="211"/>
        <v>MS</v>
      </c>
    </row>
    <row r="6094" spans="1:6" x14ac:dyDescent="0.25">
      <c r="A6094" t="str">
        <f>"000116777"</f>
        <v>000116777</v>
      </c>
      <c r="B6094" t="str">
        <f>"1164417598"</f>
        <v>1164417598</v>
      </c>
      <c r="C6094" t="str">
        <f>"207Q00000X"</f>
        <v>207Q00000X</v>
      </c>
      <c r="D6094" t="str">
        <f>"MATTHEWS III             JAMES        C           "</f>
        <v xml:space="preserve">MATTHEWS III             JAMES        C           </v>
      </c>
      <c r="E6094" t="str">
        <f>"MERIDIAN                  "</f>
        <v xml:space="preserve">MERIDIAN                  </v>
      </c>
      <c r="F6094" t="str">
        <f t="shared" si="211"/>
        <v>MS</v>
      </c>
    </row>
    <row r="6095" spans="1:6" x14ac:dyDescent="0.25">
      <c r="A6095" t="str">
        <f>"000116829"</f>
        <v>000116829</v>
      </c>
      <c r="B6095" t="str">
        <f>"1023077732"</f>
        <v>1023077732</v>
      </c>
      <c r="C6095" t="str">
        <f>"207RG0100X"</f>
        <v>207RG0100X</v>
      </c>
      <c r="D6095" t="str">
        <f>"PHILLIPS                 JOHN         O           "</f>
        <v xml:space="preserve">PHILLIPS                 JOHN         O           </v>
      </c>
      <c r="E6095" t="str">
        <f>"TUPELO                    "</f>
        <v xml:space="preserve">TUPELO                    </v>
      </c>
      <c r="F6095" t="str">
        <f t="shared" si="211"/>
        <v>MS</v>
      </c>
    </row>
    <row r="6096" spans="1:6" x14ac:dyDescent="0.25">
      <c r="A6096" t="str">
        <f>"000116830"</f>
        <v>000116830</v>
      </c>
      <c r="B6096" t="str">
        <f>"1184667578"</f>
        <v>1184667578</v>
      </c>
      <c r="C6096" t="str">
        <f>"207P00000X"</f>
        <v>207P00000X</v>
      </c>
      <c r="D6096" t="str">
        <f>"PITCOCK                  ROBERT       V           "</f>
        <v xml:space="preserve">PITCOCK                  ROBERT       V           </v>
      </c>
      <c r="E6096" t="str">
        <f>"OXFORD                    "</f>
        <v xml:space="preserve">OXFORD                    </v>
      </c>
      <c r="F6096" t="str">
        <f t="shared" si="211"/>
        <v>MS</v>
      </c>
    </row>
    <row r="6097" spans="1:6" x14ac:dyDescent="0.25">
      <c r="A6097" t="str">
        <f>"000116831"</f>
        <v>000116831</v>
      </c>
      <c r="B6097" t="str">
        <f>"1710989678"</f>
        <v>1710989678</v>
      </c>
      <c r="C6097" t="str">
        <f>"207Q00000X"</f>
        <v>207Q00000X</v>
      </c>
      <c r="D6097" t="str">
        <f>"WILLIAMSON               TERESA       A           "</f>
        <v xml:space="preserve">WILLIAMSON               TERESA       A           </v>
      </c>
      <c r="E6097" t="str">
        <f>"PASCAGOULA                "</f>
        <v xml:space="preserve">PASCAGOULA                </v>
      </c>
      <c r="F6097" t="str">
        <f t="shared" si="211"/>
        <v>MS</v>
      </c>
    </row>
    <row r="6098" spans="1:6" x14ac:dyDescent="0.25">
      <c r="A6098" t="str">
        <f>"000116845"</f>
        <v>000116845</v>
      </c>
      <c r="B6098" t="str">
        <f>"1821104365"</f>
        <v>1821104365</v>
      </c>
      <c r="C6098" t="str">
        <f>"207LP2900X"</f>
        <v>207LP2900X</v>
      </c>
      <c r="D6098" t="str">
        <f>"OVERMYER                 KENT         T           "</f>
        <v xml:space="preserve">OVERMYER                 KENT         T           </v>
      </c>
      <c r="E6098" t="str">
        <f>"GULFPORT                  "</f>
        <v xml:space="preserve">GULFPORT                  </v>
      </c>
      <c r="F6098" t="str">
        <f t="shared" si="211"/>
        <v>MS</v>
      </c>
    </row>
    <row r="6099" spans="1:6" x14ac:dyDescent="0.25">
      <c r="A6099" t="str">
        <f>"000116901"</f>
        <v>000116901</v>
      </c>
      <c r="B6099" t="str">
        <f>"1376564021"</f>
        <v>1376564021</v>
      </c>
      <c r="C6099" t="str">
        <f>"2086S0122X"</f>
        <v>2086S0122X</v>
      </c>
      <c r="D6099" t="str">
        <f>"MANI-SUNDARAM            DEV          A           "</f>
        <v xml:space="preserve">MANI-SUNDARAM            DEV          A           </v>
      </c>
      <c r="E6099" t="str">
        <f>"FLOWOOD                   "</f>
        <v xml:space="preserve">FLOWOOD                   </v>
      </c>
      <c r="F6099" t="str">
        <f t="shared" si="211"/>
        <v>MS</v>
      </c>
    </row>
    <row r="6100" spans="1:6" x14ac:dyDescent="0.25">
      <c r="A6100" t="str">
        <f>"000116904"</f>
        <v>000116904</v>
      </c>
      <c r="B6100" t="str">
        <f>"1972691020"</f>
        <v>1972691020</v>
      </c>
      <c r="C6100" t="str">
        <f>"207X00000X"</f>
        <v>207X00000X</v>
      </c>
      <c r="D6100" t="str">
        <f>"DULSKE                   MICHAEL      G           "</f>
        <v xml:space="preserve">DULSKE                   MICHAEL      G           </v>
      </c>
      <c r="E6100" t="str">
        <f>"FLOWOOD                   "</f>
        <v xml:space="preserve">FLOWOOD                   </v>
      </c>
      <c r="F6100" t="str">
        <f t="shared" si="211"/>
        <v>MS</v>
      </c>
    </row>
    <row r="6101" spans="1:6" x14ac:dyDescent="0.25">
      <c r="A6101" t="str">
        <f>"000116916"</f>
        <v>000116916</v>
      </c>
      <c r="B6101" t="str">
        <f>"1851411425"</f>
        <v>1851411425</v>
      </c>
      <c r="C6101" t="str">
        <f>"363L00000X"</f>
        <v>363L00000X</v>
      </c>
      <c r="D6101" t="str">
        <f>"AKERS                    PAULA        S           "</f>
        <v xml:space="preserve">AKERS                    PAULA        S           </v>
      </c>
      <c r="E6101" t="str">
        <f>"OXFORD                    "</f>
        <v xml:space="preserve">OXFORD                    </v>
      </c>
      <c r="F6101" t="str">
        <f t="shared" si="211"/>
        <v>MS</v>
      </c>
    </row>
    <row r="6102" spans="1:6" x14ac:dyDescent="0.25">
      <c r="A6102" t="str">
        <f>"000116918"</f>
        <v>000116918</v>
      </c>
      <c r="B6102" t="str">
        <f>"1871596130"</f>
        <v>1871596130</v>
      </c>
      <c r="C6102" t="str">
        <f>"207W00000X"</f>
        <v>207W00000X</v>
      </c>
      <c r="D6102" t="str">
        <f>"BENNETT                  JAMES        D           "</f>
        <v xml:space="preserve">BENNETT                  JAMES        D           </v>
      </c>
      <c r="E6102" t="str">
        <f>"COLUMBUS                  "</f>
        <v xml:space="preserve">COLUMBUS                  </v>
      </c>
      <c r="F6102" t="str">
        <f t="shared" si="211"/>
        <v>MS</v>
      </c>
    </row>
    <row r="6103" spans="1:6" x14ac:dyDescent="0.25">
      <c r="A6103" t="str">
        <f>"000116922"</f>
        <v>000116922</v>
      </c>
      <c r="B6103" t="str">
        <f>"1770511420"</f>
        <v>1770511420</v>
      </c>
      <c r="C6103" t="str">
        <f>"207R00000X"</f>
        <v>207R00000X</v>
      </c>
      <c r="D6103" t="str">
        <f>"WOOTEN                   WILLIAM                  "</f>
        <v xml:space="preserve">WOOTEN                   WILLIAM                  </v>
      </c>
      <c r="E6103" t="str">
        <f>"JACKSON                   "</f>
        <v xml:space="preserve">JACKSON                   </v>
      </c>
      <c r="F6103" t="str">
        <f t="shared" si="211"/>
        <v>MS</v>
      </c>
    </row>
    <row r="6104" spans="1:6" x14ac:dyDescent="0.25">
      <c r="A6104" t="str">
        <f>"000116932"</f>
        <v>000116932</v>
      </c>
      <c r="B6104" t="str">
        <f>"1013024322"</f>
        <v>1013024322</v>
      </c>
      <c r="C6104" t="str">
        <f>"207L00000X"</f>
        <v>207L00000X</v>
      </c>
      <c r="D6104" t="str">
        <f>"RIAD                     ASHRAF       E           "</f>
        <v xml:space="preserve">RIAD                     ASHRAF       E           </v>
      </c>
      <c r="E6104" t="str">
        <f>"MCCOMB                    "</f>
        <v xml:space="preserve">MCCOMB                    </v>
      </c>
      <c r="F6104" t="str">
        <f t="shared" si="211"/>
        <v>MS</v>
      </c>
    </row>
    <row r="6105" spans="1:6" x14ac:dyDescent="0.25">
      <c r="A6105" t="str">
        <f>"000116938"</f>
        <v>000116938</v>
      </c>
      <c r="B6105" t="str">
        <f>"1366543522"</f>
        <v>1366543522</v>
      </c>
      <c r="C6105" t="str">
        <f>"207V00000X"</f>
        <v>207V00000X</v>
      </c>
      <c r="D6105" t="str">
        <f>"SULLIVAN-FORD            RHONDA       K           "</f>
        <v xml:space="preserve">SULLIVAN-FORD            RHONDA       K           </v>
      </c>
      <c r="E6105" t="str">
        <f>"FLOWOOD                   "</f>
        <v xml:space="preserve">FLOWOOD                   </v>
      </c>
      <c r="F6105" t="str">
        <f t="shared" si="211"/>
        <v>MS</v>
      </c>
    </row>
    <row r="6106" spans="1:6" x14ac:dyDescent="0.25">
      <c r="A6106" t="str">
        <f>"000116939"</f>
        <v>000116939</v>
      </c>
      <c r="B6106" t="str">
        <f>"1710092077"</f>
        <v>1710092077</v>
      </c>
      <c r="C6106" t="str">
        <f>"208000000X"</f>
        <v>208000000X</v>
      </c>
      <c r="D6106" t="str">
        <f>"GRANT                    WALTER       K           "</f>
        <v xml:space="preserve">GRANT                    WALTER       K           </v>
      </c>
      <c r="E6106" t="str">
        <f>"GULFPORT                  "</f>
        <v xml:space="preserve">GULFPORT                  </v>
      </c>
      <c r="F6106" t="str">
        <f t="shared" si="211"/>
        <v>MS</v>
      </c>
    </row>
    <row r="6107" spans="1:6" x14ac:dyDescent="0.25">
      <c r="A6107" t="str">
        <f>"000116947"</f>
        <v>000116947</v>
      </c>
      <c r="B6107" t="str">
        <f>"1467462465"</f>
        <v>1467462465</v>
      </c>
      <c r="C6107" t="str">
        <f>"207RN0300X"</f>
        <v>207RN0300X</v>
      </c>
      <c r="D6107" t="str">
        <f>"FITZPATRICK              JOHN         M           "</f>
        <v xml:space="preserve">FITZPATRICK              JOHN         M           </v>
      </c>
      <c r="E6107" t="str">
        <f>"HATTIESBURG               "</f>
        <v xml:space="preserve">HATTIESBURG               </v>
      </c>
      <c r="F6107" t="str">
        <f t="shared" si="211"/>
        <v>MS</v>
      </c>
    </row>
    <row r="6108" spans="1:6" x14ac:dyDescent="0.25">
      <c r="A6108" t="str">
        <f>"000116953"</f>
        <v>000116953</v>
      </c>
      <c r="B6108" t="str">
        <f>"1649386392"</f>
        <v>1649386392</v>
      </c>
      <c r="C6108" t="str">
        <f>"207L00000X"</f>
        <v>207L00000X</v>
      </c>
      <c r="D6108" t="str">
        <f>"JOHNSON III              WILLIAM      C           "</f>
        <v xml:space="preserve">JOHNSON III              WILLIAM      C           </v>
      </c>
      <c r="E6108" t="str">
        <f>"FLOWOOD                   "</f>
        <v xml:space="preserve">FLOWOOD                   </v>
      </c>
      <c r="F6108" t="str">
        <f t="shared" si="211"/>
        <v>MS</v>
      </c>
    </row>
    <row r="6109" spans="1:6" x14ac:dyDescent="0.25">
      <c r="A6109" t="str">
        <f>"000116958"</f>
        <v>000116958</v>
      </c>
      <c r="B6109" t="str">
        <f>"1851332209"</f>
        <v>1851332209</v>
      </c>
      <c r="C6109" t="str">
        <f>"367500000X"</f>
        <v>367500000X</v>
      </c>
      <c r="D6109" t="str">
        <f>"REID                     WILLIAM      F           "</f>
        <v xml:space="preserve">REID                     WILLIAM      F           </v>
      </c>
      <c r="E6109" t="str">
        <f>"GREENWOOD                 "</f>
        <v xml:space="preserve">GREENWOOD                 </v>
      </c>
      <c r="F6109" t="str">
        <f t="shared" si="211"/>
        <v>MS</v>
      </c>
    </row>
    <row r="6110" spans="1:6" x14ac:dyDescent="0.25">
      <c r="A6110" t="str">
        <f>"000116968"</f>
        <v>000116968</v>
      </c>
      <c r="B6110" t="str">
        <f>"1114909199"</f>
        <v>1114909199</v>
      </c>
      <c r="C6110" t="str">
        <f>"208000000X"</f>
        <v>208000000X</v>
      </c>
      <c r="D6110" t="str">
        <f>"ARAIN                    MOHAMMAD     S           "</f>
        <v xml:space="preserve">ARAIN                    MOHAMMAD     S           </v>
      </c>
      <c r="E6110" t="str">
        <f>"FOREST                    "</f>
        <v xml:space="preserve">FOREST                    </v>
      </c>
      <c r="F6110" t="str">
        <f t="shared" si="211"/>
        <v>MS</v>
      </c>
    </row>
    <row r="6111" spans="1:6" x14ac:dyDescent="0.25">
      <c r="A6111" t="str">
        <f>"000116980"</f>
        <v>000116980</v>
      </c>
      <c r="B6111" t="str">
        <f>"1780604066"</f>
        <v>1780604066</v>
      </c>
      <c r="C6111" t="str">
        <f>"363L00000X"</f>
        <v>363L00000X</v>
      </c>
      <c r="D6111" t="str">
        <f>"HEMPHILL                 PATRICIA     E           "</f>
        <v xml:space="preserve">HEMPHILL                 PATRICIA     E           </v>
      </c>
      <c r="E6111" t="str">
        <f>"GREENVILLE                "</f>
        <v xml:space="preserve">GREENVILLE                </v>
      </c>
      <c r="F6111" t="str">
        <f t="shared" si="211"/>
        <v>MS</v>
      </c>
    </row>
    <row r="6112" spans="1:6" x14ac:dyDescent="0.25">
      <c r="A6112" t="str">
        <f>"000116990"</f>
        <v>000116990</v>
      </c>
      <c r="B6112" t="str">
        <f>"1356349401"</f>
        <v>1356349401</v>
      </c>
      <c r="C6112" t="str">
        <f>"208600000X"</f>
        <v>208600000X</v>
      </c>
      <c r="D6112" t="str">
        <f>"ANTHONY                  BRIAN        T           "</f>
        <v xml:space="preserve">ANTHONY                  BRIAN        T           </v>
      </c>
      <c r="E6112" t="str">
        <f>"BAY SAINT LOUIS           "</f>
        <v xml:space="preserve">BAY SAINT LOUIS           </v>
      </c>
      <c r="F6112" t="str">
        <f t="shared" si="211"/>
        <v>MS</v>
      </c>
    </row>
    <row r="6113" spans="1:6" x14ac:dyDescent="0.25">
      <c r="A6113" t="str">
        <f>"000117005"</f>
        <v>000117005</v>
      </c>
      <c r="B6113" t="str">
        <f>"1437163763"</f>
        <v>1437163763</v>
      </c>
      <c r="C6113" t="str">
        <f>"207Q00000X"</f>
        <v>207Q00000X</v>
      </c>
      <c r="D6113" t="str">
        <f>"WASHINGTON               CLINTON      L           "</f>
        <v xml:space="preserve">WASHINGTON               CLINTON      L           </v>
      </c>
      <c r="E6113" t="str">
        <f>"SMITHVILLE                "</f>
        <v xml:space="preserve">SMITHVILLE                </v>
      </c>
      <c r="F6113" t="str">
        <f t="shared" si="211"/>
        <v>MS</v>
      </c>
    </row>
    <row r="6114" spans="1:6" x14ac:dyDescent="0.25">
      <c r="A6114" t="str">
        <f>"000117009"</f>
        <v>000117009</v>
      </c>
      <c r="B6114" t="str">
        <f>"1346247798"</f>
        <v>1346247798</v>
      </c>
      <c r="C6114" t="str">
        <f>"207R00000X"</f>
        <v>207R00000X</v>
      </c>
      <c r="D6114" t="str">
        <f>"SHANDS                   THOMAS       A           "</f>
        <v xml:space="preserve">SHANDS                   THOMAS       A           </v>
      </c>
      <c r="E6114" t="str">
        <f>"NEW ALBANY                "</f>
        <v xml:space="preserve">NEW ALBANY                </v>
      </c>
      <c r="F6114" t="str">
        <f t="shared" si="211"/>
        <v>MS</v>
      </c>
    </row>
    <row r="6115" spans="1:6" x14ac:dyDescent="0.25">
      <c r="A6115" t="str">
        <f>"000117010"</f>
        <v>000117010</v>
      </c>
      <c r="B6115" t="str">
        <f>"1487767281"</f>
        <v>1487767281</v>
      </c>
      <c r="C6115" t="str">
        <f>"207Q00000X"</f>
        <v>207Q00000X</v>
      </c>
      <c r="D6115" t="str">
        <f>"HUBER                    MIKE         S           "</f>
        <v xml:space="preserve">HUBER                    MIKE         S           </v>
      </c>
      <c r="E6115" t="str">
        <f>"LUCEDALE                  "</f>
        <v xml:space="preserve">LUCEDALE                  </v>
      </c>
      <c r="F6115" t="str">
        <f t="shared" si="211"/>
        <v>MS</v>
      </c>
    </row>
    <row r="6116" spans="1:6" x14ac:dyDescent="0.25">
      <c r="A6116" t="str">
        <f>"000117020"</f>
        <v>000117020</v>
      </c>
      <c r="B6116" t="str">
        <f>"1134113095"</f>
        <v>1134113095</v>
      </c>
      <c r="C6116" t="str">
        <f>"363L00000X"</f>
        <v>363L00000X</v>
      </c>
      <c r="D6116" t="str">
        <f>"LYLES                    RENEE        C           "</f>
        <v xml:space="preserve">LYLES                    RENEE        C           </v>
      </c>
      <c r="E6116" t="str">
        <f>"MERIDIAN                  "</f>
        <v xml:space="preserve">MERIDIAN                  </v>
      </c>
      <c r="F6116" t="str">
        <f t="shared" si="211"/>
        <v>MS</v>
      </c>
    </row>
    <row r="6117" spans="1:6" x14ac:dyDescent="0.25">
      <c r="A6117" t="str">
        <f>"000117022"</f>
        <v>000117022</v>
      </c>
      <c r="B6117" t="str">
        <f>"1598737215"</f>
        <v>1598737215</v>
      </c>
      <c r="C6117" t="str">
        <f>"208600000X"</f>
        <v>208600000X</v>
      </c>
      <c r="D6117" t="str">
        <f>"BILLUPS III              WILLIAM      A           "</f>
        <v xml:space="preserve">BILLUPS III              WILLIAM      A           </v>
      </c>
      <c r="E6117" t="str">
        <f>"MERIDIAN                  "</f>
        <v xml:space="preserve">MERIDIAN                  </v>
      </c>
      <c r="F6117" t="str">
        <f t="shared" si="211"/>
        <v>MS</v>
      </c>
    </row>
    <row r="6118" spans="1:6" x14ac:dyDescent="0.25">
      <c r="A6118" t="str">
        <f>"000117032"</f>
        <v>000117032</v>
      </c>
      <c r="B6118" t="str">
        <f>"1639118300"</f>
        <v>1639118300</v>
      </c>
      <c r="C6118" t="str">
        <f>"2085R0202X"</f>
        <v>2085R0202X</v>
      </c>
      <c r="D6118" t="str">
        <f>"SNEED JR                 THOMAS       A           "</f>
        <v xml:space="preserve">SNEED JR                 THOMAS       A           </v>
      </c>
      <c r="E6118" t="str">
        <f>"OXFORD                    "</f>
        <v xml:space="preserve">OXFORD                    </v>
      </c>
      <c r="F6118" t="str">
        <f t="shared" si="211"/>
        <v>MS</v>
      </c>
    </row>
    <row r="6119" spans="1:6" x14ac:dyDescent="0.25">
      <c r="A6119" t="str">
        <f>"000117036"</f>
        <v>000117036</v>
      </c>
      <c r="B6119" t="str">
        <f>"1912079161"</f>
        <v>1912079161</v>
      </c>
      <c r="C6119" t="str">
        <f>"207R00000X"</f>
        <v>207R00000X</v>
      </c>
      <c r="D6119" t="str">
        <f>"LEDUFF                   JEFFREY      K           "</f>
        <v xml:space="preserve">LEDUFF                   JEFFREY      K           </v>
      </c>
      <c r="E6119" t="str">
        <f>"JACKSON                   "</f>
        <v xml:space="preserve">JACKSON                   </v>
      </c>
      <c r="F6119" t="str">
        <f t="shared" si="211"/>
        <v>MS</v>
      </c>
    </row>
    <row r="6120" spans="1:6" x14ac:dyDescent="0.25">
      <c r="A6120" t="str">
        <f>"000117044"</f>
        <v>000117044</v>
      </c>
      <c r="B6120" t="str">
        <f>"1568428647"</f>
        <v>1568428647</v>
      </c>
      <c r="C6120" t="str">
        <f>"207Q00000X"</f>
        <v>207Q00000X</v>
      </c>
      <c r="D6120" t="str">
        <f>"SIMMONS                  WINNIE       S           "</f>
        <v xml:space="preserve">SIMMONS                  WINNIE       S           </v>
      </c>
      <c r="E6120" t="str">
        <f>"MABEN                     "</f>
        <v xml:space="preserve">MABEN                     </v>
      </c>
      <c r="F6120" t="str">
        <f t="shared" si="211"/>
        <v>MS</v>
      </c>
    </row>
    <row r="6121" spans="1:6" x14ac:dyDescent="0.25">
      <c r="A6121" t="str">
        <f>"000117048"</f>
        <v>000117048</v>
      </c>
      <c r="B6121" t="str">
        <f>"1154359842"</f>
        <v>1154359842</v>
      </c>
      <c r="C6121" t="str">
        <f>"207V00000X"</f>
        <v>207V00000X</v>
      </c>
      <c r="D6121" t="str">
        <f>"RAYFORD                  EDITH        F           "</f>
        <v xml:space="preserve">RAYFORD                  EDITH        F           </v>
      </c>
      <c r="E6121" t="str">
        <f>"JACKSON                   "</f>
        <v xml:space="preserve">JACKSON                   </v>
      </c>
      <c r="F6121" t="str">
        <f t="shared" si="211"/>
        <v>MS</v>
      </c>
    </row>
    <row r="6122" spans="1:6" x14ac:dyDescent="0.25">
      <c r="A6122" t="str">
        <f>"000117060"</f>
        <v>000117060</v>
      </c>
      <c r="B6122" t="str">
        <f>"1801884234"</f>
        <v>1801884234</v>
      </c>
      <c r="C6122" t="str">
        <f>"207ZP0102X"</f>
        <v>207ZP0102X</v>
      </c>
      <c r="D6122" t="str">
        <f>"HENSLEY JR               SAMUEL       D           "</f>
        <v xml:space="preserve">HENSLEY JR               SAMUEL       D           </v>
      </c>
      <c r="E6122" t="str">
        <f>"FLOWOOD                   "</f>
        <v xml:space="preserve">FLOWOOD                   </v>
      </c>
      <c r="F6122" t="str">
        <f t="shared" si="211"/>
        <v>MS</v>
      </c>
    </row>
    <row r="6123" spans="1:6" x14ac:dyDescent="0.25">
      <c r="A6123" t="str">
        <f>"000117094"</f>
        <v>000117094</v>
      </c>
      <c r="B6123" t="str">
        <f>"1649316233"</f>
        <v>1649316233</v>
      </c>
      <c r="C6123" t="str">
        <f>"363L00000X"</f>
        <v>363L00000X</v>
      </c>
      <c r="D6123" t="str">
        <f>"SANFORD                  DORIS        P           "</f>
        <v xml:space="preserve">SANFORD                  DORIS        P           </v>
      </c>
      <c r="E6123" t="str">
        <f>"LEXINGTON                 "</f>
        <v xml:space="preserve">LEXINGTON                 </v>
      </c>
      <c r="F6123" t="str">
        <f t="shared" si="211"/>
        <v>MS</v>
      </c>
    </row>
    <row r="6124" spans="1:6" x14ac:dyDescent="0.25">
      <c r="A6124" t="str">
        <f>"000117095"</f>
        <v>000117095</v>
      </c>
      <c r="B6124" t="str">
        <f>"1598735177"</f>
        <v>1598735177</v>
      </c>
      <c r="C6124" t="str">
        <f>"207Y00000X"</f>
        <v>207Y00000X</v>
      </c>
      <c r="D6124" t="str">
        <f>"RICE                     WILLIAM      L           "</f>
        <v xml:space="preserve">RICE                     WILLIAM      L           </v>
      </c>
      <c r="E6124" t="str">
        <f>"TUPELO                    "</f>
        <v xml:space="preserve">TUPELO                    </v>
      </c>
      <c r="F6124" t="str">
        <f t="shared" si="211"/>
        <v>MS</v>
      </c>
    </row>
    <row r="6125" spans="1:6" x14ac:dyDescent="0.25">
      <c r="A6125" t="str">
        <f>"000117104"</f>
        <v>000117104</v>
      </c>
      <c r="B6125" t="str">
        <f>"1679505853"</f>
        <v>1679505853</v>
      </c>
      <c r="C6125" t="str">
        <f>"207V00000X"</f>
        <v>207V00000X</v>
      </c>
      <c r="D6125" t="str">
        <f>"MCMILLAN                 TERRY                    "</f>
        <v xml:space="preserve">MCMILLAN                 TERRY                    </v>
      </c>
      <c r="E6125" t="str">
        <f>"TUPELO                    "</f>
        <v xml:space="preserve">TUPELO                    </v>
      </c>
      <c r="F6125" t="str">
        <f t="shared" si="211"/>
        <v>MS</v>
      </c>
    </row>
    <row r="6126" spans="1:6" x14ac:dyDescent="0.25">
      <c r="A6126" t="str">
        <f>"000117106"</f>
        <v>000117106</v>
      </c>
      <c r="B6126" t="str">
        <f>"1609904515"</f>
        <v>1609904515</v>
      </c>
      <c r="C6126" t="str">
        <f>"2080N0001X"</f>
        <v>2080N0001X</v>
      </c>
      <c r="D6126" t="str">
        <f>"HENDERSON III            EVERETT      R           "</f>
        <v xml:space="preserve">HENDERSON III            EVERETT      R           </v>
      </c>
      <c r="E6126" t="str">
        <f>"HATTIESBURG               "</f>
        <v xml:space="preserve">HATTIESBURG               </v>
      </c>
      <c r="F6126" t="str">
        <f t="shared" si="211"/>
        <v>MS</v>
      </c>
    </row>
    <row r="6127" spans="1:6" x14ac:dyDescent="0.25">
      <c r="A6127" t="str">
        <f>"000117115"</f>
        <v>000117115</v>
      </c>
      <c r="B6127" t="str">
        <f>"1326064601"</f>
        <v>1326064601</v>
      </c>
      <c r="C6127" t="str">
        <f>"207RC0000X"</f>
        <v>207RC0000X</v>
      </c>
      <c r="D6127" t="str">
        <f>"WATERER III              HENRY        C           "</f>
        <v xml:space="preserve">WATERER III              HENRY        C           </v>
      </c>
      <c r="E6127" t="str">
        <f>"JACKSON                   "</f>
        <v xml:space="preserve">JACKSON                   </v>
      </c>
      <c r="F6127" t="str">
        <f t="shared" si="211"/>
        <v>MS</v>
      </c>
    </row>
    <row r="6128" spans="1:6" x14ac:dyDescent="0.25">
      <c r="A6128" t="str">
        <f>"000117119"</f>
        <v>000117119</v>
      </c>
      <c r="B6128" t="str">
        <f>"1386626323"</f>
        <v>1386626323</v>
      </c>
      <c r="C6128" t="str">
        <f>"367500000X"</f>
        <v>367500000X</v>
      </c>
      <c r="D6128" t="str">
        <f>"CROLEY                   DONNIE       A           "</f>
        <v xml:space="preserve">CROLEY                   DONNIE       A           </v>
      </c>
      <c r="E6128" t="str">
        <f>"FLOWOOD                   "</f>
        <v xml:space="preserve">FLOWOOD                   </v>
      </c>
      <c r="F6128" t="str">
        <f t="shared" si="211"/>
        <v>MS</v>
      </c>
    </row>
    <row r="6129" spans="1:6" x14ac:dyDescent="0.25">
      <c r="A6129" t="str">
        <f>"000117168"</f>
        <v>000117168</v>
      </c>
      <c r="B6129" t="str">
        <f>"1164537551"</f>
        <v>1164537551</v>
      </c>
      <c r="C6129" t="str">
        <f>"2085R0202X"</f>
        <v>2085R0202X</v>
      </c>
      <c r="D6129" t="str">
        <f>"LIPMAN                   CRAIG        L           "</f>
        <v xml:space="preserve">LIPMAN                   CRAIG        L           </v>
      </c>
      <c r="E6129" t="str">
        <f>"SOUTHAVEN                 "</f>
        <v xml:space="preserve">SOUTHAVEN                 </v>
      </c>
      <c r="F6129" t="str">
        <f t="shared" si="211"/>
        <v>MS</v>
      </c>
    </row>
    <row r="6130" spans="1:6" x14ac:dyDescent="0.25">
      <c r="A6130" t="str">
        <f>"000117187"</f>
        <v>000117187</v>
      </c>
      <c r="B6130" t="str">
        <f>"1093721151"</f>
        <v>1093721151</v>
      </c>
      <c r="C6130" t="str">
        <f>"207Q00000X"</f>
        <v>207Q00000X</v>
      </c>
      <c r="D6130" t="str">
        <f>"WASHINGTON               LAURA        K           "</f>
        <v xml:space="preserve">WASHINGTON               LAURA        K           </v>
      </c>
      <c r="E6130" t="str">
        <f>"ABERDEEN                  "</f>
        <v xml:space="preserve">ABERDEEN                  </v>
      </c>
      <c r="F6130" t="str">
        <f t="shared" si="211"/>
        <v>MS</v>
      </c>
    </row>
    <row r="6131" spans="1:6" x14ac:dyDescent="0.25">
      <c r="A6131" t="str">
        <f>"000117189"</f>
        <v>000117189</v>
      </c>
      <c r="B6131" t="str">
        <f>"1568486124"</f>
        <v>1568486124</v>
      </c>
      <c r="C6131" t="str">
        <f>"363L00000X"</f>
        <v>363L00000X</v>
      </c>
      <c r="D6131" t="str">
        <f>"EASTERLING               NANCY        R           "</f>
        <v xml:space="preserve">EASTERLING               NANCY        R           </v>
      </c>
      <c r="E6131" t="str">
        <f>"COLUMBIA                  "</f>
        <v xml:space="preserve">COLUMBIA                  </v>
      </c>
      <c r="F6131" t="str">
        <f t="shared" si="211"/>
        <v>MS</v>
      </c>
    </row>
    <row r="6132" spans="1:6" x14ac:dyDescent="0.25">
      <c r="A6132" t="str">
        <f>"000117192"</f>
        <v>000117192</v>
      </c>
      <c r="B6132" t="str">
        <f>"1073622999"</f>
        <v>1073622999</v>
      </c>
      <c r="C6132" t="str">
        <f>"207R00000X"</f>
        <v>207R00000X</v>
      </c>
      <c r="D6132" t="str">
        <f>"CALCOTE                  BRYAN        S           "</f>
        <v xml:space="preserve">CALCOTE                  BRYAN        S           </v>
      </c>
      <c r="E6132" t="str">
        <f>"BROOKHAVEN                "</f>
        <v xml:space="preserve">BROOKHAVEN                </v>
      </c>
      <c r="F6132" t="str">
        <f t="shared" si="211"/>
        <v>MS</v>
      </c>
    </row>
    <row r="6133" spans="1:6" x14ac:dyDescent="0.25">
      <c r="A6133" t="str">
        <f>"000117215"</f>
        <v>000117215</v>
      </c>
      <c r="B6133" t="str">
        <f>"1124062492"</f>
        <v>1124062492</v>
      </c>
      <c r="C6133" t="str">
        <f>"2080P0204X"</f>
        <v>2080P0204X</v>
      </c>
      <c r="D6133" t="str">
        <f>"ABUSAA                   TAYSIR       M           "</f>
        <v xml:space="preserve">ABUSAA                   TAYSIR       M           </v>
      </c>
      <c r="E6133" t="str">
        <f>"JACKSON                   "</f>
        <v xml:space="preserve">JACKSON                   </v>
      </c>
      <c r="F6133" t="str">
        <f t="shared" si="211"/>
        <v>MS</v>
      </c>
    </row>
    <row r="6134" spans="1:6" x14ac:dyDescent="0.25">
      <c r="A6134" t="str">
        <f>"000117240"</f>
        <v>000117240</v>
      </c>
      <c r="B6134" t="str">
        <f>"1023064276"</f>
        <v>1023064276</v>
      </c>
      <c r="C6134" t="str">
        <f>"363L00000X"</f>
        <v>363L00000X</v>
      </c>
      <c r="D6134" t="str">
        <f>"SINGLEY                  LAURA        C           "</f>
        <v xml:space="preserve">SINGLEY                  LAURA        C           </v>
      </c>
      <c r="E6134" t="str">
        <f>"GULFPORT                  "</f>
        <v xml:space="preserve">GULFPORT                  </v>
      </c>
      <c r="F6134" t="str">
        <f t="shared" si="211"/>
        <v>MS</v>
      </c>
    </row>
    <row r="6135" spans="1:6" x14ac:dyDescent="0.25">
      <c r="A6135" t="str">
        <f>"000117256"</f>
        <v>000117256</v>
      </c>
      <c r="B6135" t="str">
        <f>"1427262591"</f>
        <v>1427262591</v>
      </c>
      <c r="C6135" t="str">
        <f>"208600000X"</f>
        <v>208600000X</v>
      </c>
      <c r="D6135" t="str">
        <f>"DIXON                    WILLIAM      N           "</f>
        <v xml:space="preserve">DIXON                    WILLIAM      N           </v>
      </c>
      <c r="E6135" t="str">
        <f>"MCCOMB                    "</f>
        <v xml:space="preserve">MCCOMB                    </v>
      </c>
      <c r="F6135" t="str">
        <f t="shared" si="211"/>
        <v>MS</v>
      </c>
    </row>
    <row r="6136" spans="1:6" x14ac:dyDescent="0.25">
      <c r="A6136" t="str">
        <f>"000117284"</f>
        <v>000117284</v>
      </c>
      <c r="B6136" t="str">
        <f>"1093733172"</f>
        <v>1093733172</v>
      </c>
      <c r="C6136" t="str">
        <f>"207X00000X"</f>
        <v>207X00000X</v>
      </c>
      <c r="D6136" t="str">
        <f>"WINTERS                  CHARLES      J           "</f>
        <v xml:space="preserve">WINTERS                  CHARLES      J           </v>
      </c>
      <c r="E6136" t="str">
        <f>"VANCLEAVE                 "</f>
        <v xml:space="preserve">VANCLEAVE                 </v>
      </c>
      <c r="F6136" t="str">
        <f t="shared" si="211"/>
        <v>MS</v>
      </c>
    </row>
    <row r="6137" spans="1:6" x14ac:dyDescent="0.25">
      <c r="A6137" t="str">
        <f>"000117288"</f>
        <v>000117288</v>
      </c>
      <c r="B6137" t="str">
        <f>"1750494472"</f>
        <v>1750494472</v>
      </c>
      <c r="C6137" t="str">
        <f>"208000000X"</f>
        <v>208000000X</v>
      </c>
      <c r="D6137" t="str">
        <f>"HENDERSON                ANITA                    "</f>
        <v xml:space="preserve">HENDERSON                ANITA                    </v>
      </c>
      <c r="E6137" t="str">
        <f>"HATTIESBURG               "</f>
        <v xml:space="preserve">HATTIESBURG               </v>
      </c>
      <c r="F6137" t="str">
        <f t="shared" si="211"/>
        <v>MS</v>
      </c>
    </row>
    <row r="6138" spans="1:6" x14ac:dyDescent="0.25">
      <c r="A6138" t="str">
        <f>"000117291"</f>
        <v>000117291</v>
      </c>
      <c r="B6138" t="str">
        <f>"1558326488"</f>
        <v>1558326488</v>
      </c>
      <c r="C6138" t="str">
        <f>"208000000X"</f>
        <v>208000000X</v>
      </c>
      <c r="D6138" t="str">
        <f>"VERMA                    SATISH       C           "</f>
        <v xml:space="preserve">VERMA                    SATISH       C           </v>
      </c>
      <c r="E6138" t="str">
        <f>"SENATOBIA                 "</f>
        <v xml:space="preserve">SENATOBIA                 </v>
      </c>
      <c r="F6138" t="str">
        <f t="shared" si="211"/>
        <v>MS</v>
      </c>
    </row>
    <row r="6139" spans="1:6" x14ac:dyDescent="0.25">
      <c r="A6139" t="str">
        <f>"000117294"</f>
        <v>000117294</v>
      </c>
      <c r="B6139" t="str">
        <f>"1104895267"</f>
        <v>1104895267</v>
      </c>
      <c r="C6139" t="str">
        <f>"207Q00000X"</f>
        <v>207Q00000X</v>
      </c>
      <c r="D6139" t="str">
        <f>"KELLY                    CHARLES                  "</f>
        <v xml:space="preserve">KELLY                    CHARLES                  </v>
      </c>
      <c r="E6139" t="str">
        <f>"FULTON                    "</f>
        <v xml:space="preserve">FULTON                    </v>
      </c>
      <c r="F6139" t="str">
        <f t="shared" si="211"/>
        <v>MS</v>
      </c>
    </row>
    <row r="6140" spans="1:6" x14ac:dyDescent="0.25">
      <c r="A6140" t="str">
        <f>"000117309"</f>
        <v>000117309</v>
      </c>
      <c r="B6140" t="str">
        <f>"1861411621"</f>
        <v>1861411621</v>
      </c>
      <c r="C6140" t="str">
        <f>"207RC0000X"</f>
        <v>207RC0000X</v>
      </c>
      <c r="D6140" t="str">
        <f>"WOLFE                    DOUGLAS      A           "</f>
        <v xml:space="preserve">WOLFE                    DOUGLAS      A           </v>
      </c>
      <c r="E6140" t="str">
        <f>"JACKSON                   "</f>
        <v xml:space="preserve">JACKSON                   </v>
      </c>
      <c r="F6140" t="str">
        <f t="shared" si="211"/>
        <v>MS</v>
      </c>
    </row>
    <row r="6141" spans="1:6" x14ac:dyDescent="0.25">
      <c r="A6141" t="str">
        <f>"000117316"</f>
        <v>000117316</v>
      </c>
      <c r="B6141" t="str">
        <f>"1285747089"</f>
        <v>1285747089</v>
      </c>
      <c r="C6141" t="str">
        <f>"208D00000X"</f>
        <v>208D00000X</v>
      </c>
      <c r="D6141" t="str">
        <f>"O'HEA                    EUGENE       K           "</f>
        <v xml:space="preserve">O'HEA                    EUGENE       K           </v>
      </c>
      <c r="E6141" t="str">
        <f>"LUCEDALE                  "</f>
        <v xml:space="preserve">LUCEDALE                  </v>
      </c>
      <c r="F6141" t="str">
        <f t="shared" si="211"/>
        <v>MS</v>
      </c>
    </row>
    <row r="6142" spans="1:6" x14ac:dyDescent="0.25">
      <c r="A6142" t="str">
        <f>"000117318"</f>
        <v>000117318</v>
      </c>
      <c r="B6142" t="str">
        <f>"1770568230"</f>
        <v>1770568230</v>
      </c>
      <c r="C6142" t="str">
        <f>"363L00000X"</f>
        <v>363L00000X</v>
      </c>
      <c r="D6142" t="str">
        <f>"DODSON                   MELISSA      C           "</f>
        <v xml:space="preserve">DODSON                   MELISSA      C           </v>
      </c>
      <c r="E6142" t="str">
        <f>"MS STATE                  "</f>
        <v xml:space="preserve">MS STATE                  </v>
      </c>
      <c r="F6142" t="str">
        <f t="shared" ref="F6142:F6205" si="212">"MS"</f>
        <v>MS</v>
      </c>
    </row>
    <row r="6143" spans="1:6" x14ac:dyDescent="0.25">
      <c r="A6143" t="str">
        <f>"000117339"</f>
        <v>000117339</v>
      </c>
      <c r="B6143" t="str">
        <f>"1851395479"</f>
        <v>1851395479</v>
      </c>
      <c r="C6143" t="str">
        <f>"208D00000X"</f>
        <v>208D00000X</v>
      </c>
      <c r="D6143" t="str">
        <f>"LAMBERT                  STEPHEN      C           "</f>
        <v xml:space="preserve">LAMBERT                  STEPHEN      C           </v>
      </c>
      <c r="E6143" t="str">
        <f>"HATTIESBURG               "</f>
        <v xml:space="preserve">HATTIESBURG               </v>
      </c>
      <c r="F6143" t="str">
        <f t="shared" si="212"/>
        <v>MS</v>
      </c>
    </row>
    <row r="6144" spans="1:6" x14ac:dyDescent="0.25">
      <c r="A6144" t="str">
        <f>"000117346"</f>
        <v>000117346</v>
      </c>
      <c r="B6144" t="str">
        <f>"1932219177"</f>
        <v>1932219177</v>
      </c>
      <c r="C6144" t="str">
        <f>"207RC0000X"</f>
        <v>207RC0000X</v>
      </c>
      <c r="D6144" t="str">
        <f>"CALHOUN                  WILLIAM      B           "</f>
        <v xml:space="preserve">CALHOUN                  WILLIAM      B           </v>
      </c>
      <c r="E6144" t="str">
        <f>"TUPELO                    "</f>
        <v xml:space="preserve">TUPELO                    </v>
      </c>
      <c r="F6144" t="str">
        <f t="shared" si="212"/>
        <v>MS</v>
      </c>
    </row>
    <row r="6145" spans="1:6" x14ac:dyDescent="0.25">
      <c r="A6145" t="str">
        <f>"000117366"</f>
        <v>000117366</v>
      </c>
      <c r="B6145" t="str">
        <f>"1841369907"</f>
        <v>1841369907</v>
      </c>
      <c r="C6145" t="str">
        <f>"207Q00000X"</f>
        <v>207Q00000X</v>
      </c>
      <c r="D6145" t="str">
        <f>"MALHOTRA                 SUNIL                    "</f>
        <v xml:space="preserve">MALHOTRA                 SUNIL                    </v>
      </c>
      <c r="E6145" t="str">
        <f>"SOUTHAVEN                 "</f>
        <v xml:space="preserve">SOUTHAVEN                 </v>
      </c>
      <c r="F6145" t="str">
        <f t="shared" si="212"/>
        <v>MS</v>
      </c>
    </row>
    <row r="6146" spans="1:6" x14ac:dyDescent="0.25">
      <c r="A6146" t="str">
        <f>"000117369"</f>
        <v>000117369</v>
      </c>
      <c r="B6146" t="str">
        <f>"1770526568"</f>
        <v>1770526568</v>
      </c>
      <c r="C6146" t="str">
        <f>"207RC0000X"</f>
        <v>207RC0000X</v>
      </c>
      <c r="D6146" t="str">
        <f>"GUYNES                   RICHARD      D           "</f>
        <v xml:space="preserve">GUYNES                   RICHARD      D           </v>
      </c>
      <c r="E6146" t="str">
        <f>"JACKSON                   "</f>
        <v xml:space="preserve">JACKSON                   </v>
      </c>
      <c r="F6146" t="str">
        <f t="shared" si="212"/>
        <v>MS</v>
      </c>
    </row>
    <row r="6147" spans="1:6" x14ac:dyDescent="0.25">
      <c r="A6147" t="str">
        <f>"000117375"</f>
        <v>000117375</v>
      </c>
      <c r="B6147" t="str">
        <f>"1679517411"</f>
        <v>1679517411</v>
      </c>
      <c r="C6147" t="str">
        <f>"207R00000X"</f>
        <v>207R00000X</v>
      </c>
      <c r="D6147" t="str">
        <f>"ROBERTSON                DENZIL       G           "</f>
        <v xml:space="preserve">ROBERTSON                DENZIL       G           </v>
      </c>
      <c r="E6147" t="str">
        <f>"FLOWOOD                   "</f>
        <v xml:space="preserve">FLOWOOD                   </v>
      </c>
      <c r="F6147" t="str">
        <f t="shared" si="212"/>
        <v>MS</v>
      </c>
    </row>
    <row r="6148" spans="1:6" x14ac:dyDescent="0.25">
      <c r="A6148" t="str">
        <f>"000117430"</f>
        <v>000117430</v>
      </c>
      <c r="B6148" t="str">
        <f>"1922047729"</f>
        <v>1922047729</v>
      </c>
      <c r="C6148" t="str">
        <f>"207R00000X"</f>
        <v>207R00000X</v>
      </c>
      <c r="D6148" t="str">
        <f>"HUSSAIN                  IRSHAD                   "</f>
        <v xml:space="preserve">HUSSAIN                  IRSHAD                   </v>
      </c>
      <c r="E6148" t="str">
        <f>"ASHLAND                   "</f>
        <v xml:space="preserve">ASHLAND                   </v>
      </c>
      <c r="F6148" t="str">
        <f t="shared" si="212"/>
        <v>MS</v>
      </c>
    </row>
    <row r="6149" spans="1:6" x14ac:dyDescent="0.25">
      <c r="A6149" t="str">
        <f>"000117431"</f>
        <v>000117431</v>
      </c>
      <c r="B6149" t="str">
        <f>"1629060041"</f>
        <v>1629060041</v>
      </c>
      <c r="C6149" t="str">
        <f>"207RX0202X"</f>
        <v>207RX0202X</v>
      </c>
      <c r="D6149" t="str">
        <f>"KRENTEL                  ROD          G           "</f>
        <v xml:space="preserve">KRENTEL                  ROD          G           </v>
      </c>
      <c r="E6149" t="str">
        <f>"GULFPORT                  "</f>
        <v xml:space="preserve">GULFPORT                  </v>
      </c>
      <c r="F6149" t="str">
        <f t="shared" si="212"/>
        <v>MS</v>
      </c>
    </row>
    <row r="6150" spans="1:6" x14ac:dyDescent="0.25">
      <c r="A6150" t="str">
        <f>"000117436"</f>
        <v>000117436</v>
      </c>
      <c r="B6150" t="str">
        <f>"1164521548"</f>
        <v>1164521548</v>
      </c>
      <c r="C6150" t="str">
        <f>"363L00000X"</f>
        <v>363L00000X</v>
      </c>
      <c r="D6150" t="str">
        <f>"SCRUGGS                  SHARON       L           "</f>
        <v xml:space="preserve">SCRUGGS                  SHARON       L           </v>
      </c>
      <c r="E6150" t="str">
        <f>"TAYLORSVILLE              "</f>
        <v xml:space="preserve">TAYLORSVILLE              </v>
      </c>
      <c r="F6150" t="str">
        <f t="shared" si="212"/>
        <v>MS</v>
      </c>
    </row>
    <row r="6151" spans="1:6" x14ac:dyDescent="0.25">
      <c r="A6151" t="str">
        <f>"000117443"</f>
        <v>000117443</v>
      </c>
      <c r="B6151" t="str">
        <f>"1497864607"</f>
        <v>1497864607</v>
      </c>
      <c r="C6151" t="str">
        <f>"207Q00000X"</f>
        <v>207Q00000X</v>
      </c>
      <c r="D6151" t="str">
        <f>"WALLER JR                FRANKLIN     W           "</f>
        <v xml:space="preserve">WALLER JR                FRANKLIN     W           </v>
      </c>
      <c r="E6151" t="str">
        <f>"COLUMBIA                  "</f>
        <v xml:space="preserve">COLUMBIA                  </v>
      </c>
      <c r="F6151" t="str">
        <f t="shared" si="212"/>
        <v>MS</v>
      </c>
    </row>
    <row r="6152" spans="1:6" x14ac:dyDescent="0.25">
      <c r="A6152" t="str">
        <f>"000117444"</f>
        <v>000117444</v>
      </c>
      <c r="B6152" t="str">
        <f>"1063509719"</f>
        <v>1063509719</v>
      </c>
      <c r="C6152" t="str">
        <f>"207Q00000X"</f>
        <v>207Q00000X</v>
      </c>
      <c r="D6152" t="str">
        <f>"TYNES                    MARSHALL     S           "</f>
        <v xml:space="preserve">TYNES                    MARSHALL     S           </v>
      </c>
      <c r="E6152" t="str">
        <f>"WAYNESBORO                "</f>
        <v xml:space="preserve">WAYNESBORO                </v>
      </c>
      <c r="F6152" t="str">
        <f t="shared" si="212"/>
        <v>MS</v>
      </c>
    </row>
    <row r="6153" spans="1:6" x14ac:dyDescent="0.25">
      <c r="A6153" t="str">
        <f>"000117446"</f>
        <v>000117446</v>
      </c>
      <c r="B6153" t="str">
        <f>"1730129404"</f>
        <v>1730129404</v>
      </c>
      <c r="C6153" t="str">
        <f>"207R00000X"</f>
        <v>207R00000X</v>
      </c>
      <c r="D6153" t="str">
        <f>"SOMJEE                   ARIF         A           "</f>
        <v xml:space="preserve">SOMJEE                   ARIF         A           </v>
      </c>
      <c r="E6153" t="str">
        <f>"ASHLAND                   "</f>
        <v xml:space="preserve">ASHLAND                   </v>
      </c>
      <c r="F6153" t="str">
        <f t="shared" si="212"/>
        <v>MS</v>
      </c>
    </row>
    <row r="6154" spans="1:6" x14ac:dyDescent="0.25">
      <c r="A6154" t="str">
        <f>"000117462"</f>
        <v>000117462</v>
      </c>
      <c r="B6154" t="str">
        <f>"1689617664"</f>
        <v>1689617664</v>
      </c>
      <c r="C6154" t="str">
        <f>"208600000X"</f>
        <v>208600000X</v>
      </c>
      <c r="D6154" t="str">
        <f>"EDMONSON                 JAMES        D           "</f>
        <v xml:space="preserve">EDMONSON                 JAMES        D           </v>
      </c>
      <c r="E6154" t="str">
        <f>"CORINTH                   "</f>
        <v xml:space="preserve">CORINTH                   </v>
      </c>
      <c r="F6154" t="str">
        <f t="shared" si="212"/>
        <v>MS</v>
      </c>
    </row>
    <row r="6155" spans="1:6" x14ac:dyDescent="0.25">
      <c r="A6155" t="str">
        <f>"000117467"</f>
        <v>000117467</v>
      </c>
      <c r="B6155" t="str">
        <f>"1285886465"</f>
        <v>1285886465</v>
      </c>
      <c r="C6155" t="str">
        <f>"208D00000X"</f>
        <v>208D00000X</v>
      </c>
      <c r="D6155" t="str">
        <f>"TRINCA                   DOMINICK                 "</f>
        <v xml:space="preserve">TRINCA                   DOMINICK                 </v>
      </c>
      <c r="E6155" t="str">
        <f>"MOUND BAYOU               "</f>
        <v xml:space="preserve">MOUND BAYOU               </v>
      </c>
      <c r="F6155" t="str">
        <f t="shared" si="212"/>
        <v>MS</v>
      </c>
    </row>
    <row r="6156" spans="1:6" x14ac:dyDescent="0.25">
      <c r="A6156" t="str">
        <f>"000117485"</f>
        <v>000117485</v>
      </c>
      <c r="B6156" t="str">
        <f>"1639207541"</f>
        <v>1639207541</v>
      </c>
      <c r="C6156" t="str">
        <f>"2080N0001X"</f>
        <v>2080N0001X</v>
      </c>
      <c r="D6156" t="str">
        <f>"STEWART                  KERRY        D           "</f>
        <v xml:space="preserve">STEWART                  KERRY        D           </v>
      </c>
      <c r="E6156" t="str">
        <f>"HATTIESBURG               "</f>
        <v xml:space="preserve">HATTIESBURG               </v>
      </c>
      <c r="F6156" t="str">
        <f t="shared" si="212"/>
        <v>MS</v>
      </c>
    </row>
    <row r="6157" spans="1:6" x14ac:dyDescent="0.25">
      <c r="A6157" t="str">
        <f>"000117488"</f>
        <v>000117488</v>
      </c>
      <c r="B6157" t="str">
        <f>"1376658443"</f>
        <v>1376658443</v>
      </c>
      <c r="C6157" t="str">
        <f>"208000000X"</f>
        <v>208000000X</v>
      </c>
      <c r="D6157" t="str">
        <f>"REEVES                   DAVID        L           "</f>
        <v xml:space="preserve">REEVES                   DAVID        L           </v>
      </c>
      <c r="E6157" t="str">
        <f>"LONG BEACH                "</f>
        <v xml:space="preserve">LONG BEACH                </v>
      </c>
      <c r="F6157" t="str">
        <f t="shared" si="212"/>
        <v>MS</v>
      </c>
    </row>
    <row r="6158" spans="1:6" x14ac:dyDescent="0.25">
      <c r="A6158" t="str">
        <f>"000117489"</f>
        <v>000117489</v>
      </c>
      <c r="B6158" t="str">
        <f>"1093726887"</f>
        <v>1093726887</v>
      </c>
      <c r="C6158" t="str">
        <f>"208000000X"</f>
        <v>208000000X</v>
      </c>
      <c r="D6158" t="str">
        <f>"NOFAL                    ASHRAF       M           "</f>
        <v xml:space="preserve">NOFAL                    ASHRAF       M           </v>
      </c>
      <c r="E6158" t="str">
        <f>"GREENVILLE                "</f>
        <v xml:space="preserve">GREENVILLE                </v>
      </c>
      <c r="F6158" t="str">
        <f t="shared" si="212"/>
        <v>MS</v>
      </c>
    </row>
    <row r="6159" spans="1:6" x14ac:dyDescent="0.25">
      <c r="A6159" t="str">
        <f>"000117509"</f>
        <v>000117509</v>
      </c>
      <c r="B6159" t="str">
        <f>"1558422576"</f>
        <v>1558422576</v>
      </c>
      <c r="C6159" t="str">
        <f>"207RX0202X"</f>
        <v>207RX0202X</v>
      </c>
      <c r="D6159" t="str">
        <f>"GIVENS                   RODERICK     C           "</f>
        <v xml:space="preserve">GIVENS                   RODERICK     C           </v>
      </c>
      <c r="E6159" t="str">
        <f>"GREENWOOD                 "</f>
        <v xml:space="preserve">GREENWOOD                 </v>
      </c>
      <c r="F6159" t="str">
        <f t="shared" si="212"/>
        <v>MS</v>
      </c>
    </row>
    <row r="6160" spans="1:6" x14ac:dyDescent="0.25">
      <c r="A6160" t="str">
        <f>"000117512"</f>
        <v>000117512</v>
      </c>
      <c r="B6160" t="str">
        <f>"1336151976"</f>
        <v>1336151976</v>
      </c>
      <c r="C6160" t="str">
        <f>"207Q00000X"</f>
        <v>207Q00000X</v>
      </c>
      <c r="D6160" t="str">
        <f>"HARLESS                  STEPHEN      L           "</f>
        <v xml:space="preserve">HARLESS                  STEPHEN      L           </v>
      </c>
      <c r="E6160" t="str">
        <f>"PURVIS                    "</f>
        <v xml:space="preserve">PURVIS                    </v>
      </c>
      <c r="F6160" t="str">
        <f t="shared" si="212"/>
        <v>MS</v>
      </c>
    </row>
    <row r="6161" spans="1:6" x14ac:dyDescent="0.25">
      <c r="A6161" t="str">
        <f>"000117557"</f>
        <v>000117557</v>
      </c>
      <c r="B6161" t="str">
        <f>"1659381044"</f>
        <v>1659381044</v>
      </c>
      <c r="C6161" t="str">
        <f>"2084P0800X"</f>
        <v>2084P0800X</v>
      </c>
      <c r="D6161" t="str">
        <f>"KHAWAJA                  AKIF         A           "</f>
        <v xml:space="preserve">KHAWAJA                  AKIF         A           </v>
      </c>
      <c r="E6161" t="str">
        <f>"JACKSON                   "</f>
        <v xml:space="preserve">JACKSON                   </v>
      </c>
      <c r="F6161" t="str">
        <f t="shared" si="212"/>
        <v>MS</v>
      </c>
    </row>
    <row r="6162" spans="1:6" x14ac:dyDescent="0.25">
      <c r="A6162" t="str">
        <f>"000117606"</f>
        <v>000117606</v>
      </c>
      <c r="B6162" t="str">
        <f>"1699790196"</f>
        <v>1699790196</v>
      </c>
      <c r="C6162" t="str">
        <f>"207RC0000X"</f>
        <v>207RC0000X</v>
      </c>
      <c r="D6162" t="str">
        <f>"ZAYED                    MAHMOUD      H           "</f>
        <v xml:space="preserve">ZAYED                    MAHMOUD      H           </v>
      </c>
      <c r="E6162" t="str">
        <f>"PASCAGOULA                "</f>
        <v xml:space="preserve">PASCAGOULA                </v>
      </c>
      <c r="F6162" t="str">
        <f t="shared" si="212"/>
        <v>MS</v>
      </c>
    </row>
    <row r="6163" spans="1:6" x14ac:dyDescent="0.25">
      <c r="A6163" t="str">
        <f>"000117625"</f>
        <v>000117625</v>
      </c>
      <c r="B6163" t="str">
        <f>"1427063791"</f>
        <v>1427063791</v>
      </c>
      <c r="C6163" t="str">
        <f>"208600000X"</f>
        <v>208600000X</v>
      </c>
      <c r="D6163" t="str">
        <f>"BAILEY                   JOHN         D           "</f>
        <v xml:space="preserve">BAILEY                   JOHN         D           </v>
      </c>
      <c r="E6163" t="str">
        <f>"PASCAGOULA                "</f>
        <v xml:space="preserve">PASCAGOULA                </v>
      </c>
      <c r="F6163" t="str">
        <f t="shared" si="212"/>
        <v>MS</v>
      </c>
    </row>
    <row r="6164" spans="1:6" x14ac:dyDescent="0.25">
      <c r="A6164" t="str">
        <f>"000117637"</f>
        <v>000117637</v>
      </c>
      <c r="B6164" t="str">
        <f>"1366426355"</f>
        <v>1366426355</v>
      </c>
      <c r="C6164" t="str">
        <f>"207Q00000X"</f>
        <v>207Q00000X</v>
      </c>
      <c r="D6164" t="str">
        <f>"PEARSON                  PHILIP       E           "</f>
        <v xml:space="preserve">PEARSON                  PHILIP       E           </v>
      </c>
      <c r="E6164" t="str">
        <f>"MISSISSIPPI STATE         "</f>
        <v xml:space="preserve">MISSISSIPPI STATE         </v>
      </c>
      <c r="F6164" t="str">
        <f t="shared" si="212"/>
        <v>MS</v>
      </c>
    </row>
    <row r="6165" spans="1:6" x14ac:dyDescent="0.25">
      <c r="A6165" t="str">
        <f>"000117659"</f>
        <v>000117659</v>
      </c>
      <c r="B6165" t="str">
        <f>"1841238557"</f>
        <v>1841238557</v>
      </c>
      <c r="C6165" t="str">
        <f>"207L00000X"</f>
        <v>207L00000X</v>
      </c>
      <c r="D6165" t="str">
        <f>"LUCORE                   PETER        M           "</f>
        <v xml:space="preserve">LUCORE                   PETER        M           </v>
      </c>
      <c r="E6165" t="str">
        <f>"GULFPORT                  "</f>
        <v xml:space="preserve">GULFPORT                  </v>
      </c>
      <c r="F6165" t="str">
        <f t="shared" si="212"/>
        <v>MS</v>
      </c>
    </row>
    <row r="6166" spans="1:6" x14ac:dyDescent="0.25">
      <c r="A6166" t="str">
        <f>"000117668"</f>
        <v>000117668</v>
      </c>
      <c r="B6166" t="str">
        <f>"1417964081"</f>
        <v>1417964081</v>
      </c>
      <c r="C6166" t="str">
        <f>"207P00000X"</f>
        <v>207P00000X</v>
      </c>
      <c r="D6166" t="str">
        <f>"GREENE                   MICHAEL      L           "</f>
        <v xml:space="preserve">GREENE                   MICHAEL      L           </v>
      </c>
      <c r="E6166" t="str">
        <f>"PEARL                     "</f>
        <v xml:space="preserve">PEARL                     </v>
      </c>
      <c r="F6166" t="str">
        <f t="shared" si="212"/>
        <v>MS</v>
      </c>
    </row>
    <row r="6167" spans="1:6" x14ac:dyDescent="0.25">
      <c r="A6167" t="str">
        <f>"000117683"</f>
        <v>000117683</v>
      </c>
      <c r="B6167" t="str">
        <f>"1245348689"</f>
        <v>1245348689</v>
      </c>
      <c r="C6167" t="str">
        <f>"363L00000X"</f>
        <v>363L00000X</v>
      </c>
      <c r="D6167" t="str">
        <f>"PARISH                   NANCI        R           "</f>
        <v xml:space="preserve">PARISH                   NANCI        R           </v>
      </c>
      <c r="E6167" t="str">
        <f>"PICAYUNE                  "</f>
        <v xml:space="preserve">PICAYUNE                  </v>
      </c>
      <c r="F6167" t="str">
        <f t="shared" si="212"/>
        <v>MS</v>
      </c>
    </row>
    <row r="6168" spans="1:6" x14ac:dyDescent="0.25">
      <c r="A6168" t="str">
        <f>"000117699"</f>
        <v>000117699</v>
      </c>
      <c r="B6168" t="str">
        <f>"1992716732"</f>
        <v>1992716732</v>
      </c>
      <c r="C6168" t="str">
        <f>"207RC0000X"</f>
        <v>207RC0000X</v>
      </c>
      <c r="D6168" t="str">
        <f>"HAHN                     KENNETH      A           "</f>
        <v xml:space="preserve">HAHN                     KENNETH      A           </v>
      </c>
      <c r="E6168" t="str">
        <f>"GREENVILLE                "</f>
        <v xml:space="preserve">GREENVILLE                </v>
      </c>
      <c r="F6168" t="str">
        <f t="shared" si="212"/>
        <v>MS</v>
      </c>
    </row>
    <row r="6169" spans="1:6" x14ac:dyDescent="0.25">
      <c r="A6169" t="str">
        <f>"000117713"</f>
        <v>000117713</v>
      </c>
      <c r="B6169" t="str">
        <f>"1750317400"</f>
        <v>1750317400</v>
      </c>
      <c r="C6169" t="str">
        <f>"363L00000X"</f>
        <v>363L00000X</v>
      </c>
      <c r="D6169" t="str">
        <f>"BELL                     NKEBA        I           "</f>
        <v xml:space="preserve">BELL                     NKEBA        I           </v>
      </c>
      <c r="E6169" t="str">
        <f>"JACKSON                   "</f>
        <v xml:space="preserve">JACKSON                   </v>
      </c>
      <c r="F6169" t="str">
        <f t="shared" si="212"/>
        <v>MS</v>
      </c>
    </row>
    <row r="6170" spans="1:6" x14ac:dyDescent="0.25">
      <c r="A6170" t="str">
        <f>"000117738"</f>
        <v>000117738</v>
      </c>
      <c r="B6170" t="str">
        <f>"1114958089"</f>
        <v>1114958089</v>
      </c>
      <c r="C6170" t="str">
        <f>"2085R0202X"</f>
        <v>2085R0202X</v>
      </c>
      <c r="D6170" t="str">
        <f>"CARTER                   JAMES        M           "</f>
        <v xml:space="preserve">CARTER                   JAMES        M           </v>
      </c>
      <c r="E6170" t="str">
        <f>"PASCAGOULA                "</f>
        <v xml:space="preserve">PASCAGOULA                </v>
      </c>
      <c r="F6170" t="str">
        <f t="shared" si="212"/>
        <v>MS</v>
      </c>
    </row>
    <row r="6171" spans="1:6" x14ac:dyDescent="0.25">
      <c r="A6171" t="str">
        <f>"000117790"</f>
        <v>000117790</v>
      </c>
      <c r="B6171" t="str">
        <f>"1912903766"</f>
        <v>1912903766</v>
      </c>
      <c r="C6171" t="str">
        <f>"363L00000X"</f>
        <v>363L00000X</v>
      </c>
      <c r="D6171" t="str">
        <f>"PARKER                   KAREN                    "</f>
        <v xml:space="preserve">PARKER                   KAREN                    </v>
      </c>
      <c r="E6171" t="str">
        <f>"HEIDELBERG                "</f>
        <v xml:space="preserve">HEIDELBERG                </v>
      </c>
      <c r="F6171" t="str">
        <f t="shared" si="212"/>
        <v>MS</v>
      </c>
    </row>
    <row r="6172" spans="1:6" x14ac:dyDescent="0.25">
      <c r="A6172" t="str">
        <f>"000117804"</f>
        <v>000117804</v>
      </c>
      <c r="B6172" t="str">
        <f>"1487762787"</f>
        <v>1487762787</v>
      </c>
      <c r="C6172" t="str">
        <f>"207Q00000X"</f>
        <v>207Q00000X</v>
      </c>
      <c r="D6172" t="str">
        <f>"PICKERING                BILLY MACK   P           "</f>
        <v xml:space="preserve">PICKERING                BILLY MACK   P           </v>
      </c>
      <c r="E6172" t="str">
        <f>"SEMINARY                  "</f>
        <v xml:space="preserve">SEMINARY                  </v>
      </c>
      <c r="F6172" t="str">
        <f t="shared" si="212"/>
        <v>MS</v>
      </c>
    </row>
    <row r="6173" spans="1:6" x14ac:dyDescent="0.25">
      <c r="A6173" t="str">
        <f>"000117805"</f>
        <v>000117805</v>
      </c>
      <c r="B6173" t="str">
        <f>"1790779486"</f>
        <v>1790779486</v>
      </c>
      <c r="C6173" t="str">
        <f>"207W00000X"</f>
        <v>207W00000X</v>
      </c>
      <c r="D6173" t="str">
        <f>"SEMPLE                   HENRY        C           "</f>
        <v xml:space="preserve">SEMPLE                   HENRY        C           </v>
      </c>
      <c r="E6173" t="str">
        <f>"PASCAGOULA                "</f>
        <v xml:space="preserve">PASCAGOULA                </v>
      </c>
      <c r="F6173" t="str">
        <f t="shared" si="212"/>
        <v>MS</v>
      </c>
    </row>
    <row r="6174" spans="1:6" x14ac:dyDescent="0.25">
      <c r="A6174" t="str">
        <f>"000117849"</f>
        <v>000117849</v>
      </c>
      <c r="B6174" t="str">
        <f>"1598716573"</f>
        <v>1598716573</v>
      </c>
      <c r="C6174" t="str">
        <f>"363L00000X"</f>
        <v>363L00000X</v>
      </c>
      <c r="D6174" t="str">
        <f>"SULLIVAN                 VALERIE      O           "</f>
        <v xml:space="preserve">SULLIVAN                 VALERIE      O           </v>
      </c>
      <c r="E6174" t="str">
        <f>"LOUISVILLE                "</f>
        <v xml:space="preserve">LOUISVILLE                </v>
      </c>
      <c r="F6174" t="str">
        <f t="shared" si="212"/>
        <v>MS</v>
      </c>
    </row>
    <row r="6175" spans="1:6" x14ac:dyDescent="0.25">
      <c r="A6175" t="str">
        <f>"000117875"</f>
        <v>000117875</v>
      </c>
      <c r="B6175" t="str">
        <f>"1629016126"</f>
        <v>1629016126</v>
      </c>
      <c r="C6175" t="str">
        <f>"207P00000X"</f>
        <v>207P00000X</v>
      </c>
      <c r="D6175" t="str">
        <f>"WREN                     CHARLES      M           "</f>
        <v xml:space="preserve">WREN                     CHARLES      M           </v>
      </c>
      <c r="E6175" t="str">
        <f>"CORINTH                   "</f>
        <v xml:space="preserve">CORINTH                   </v>
      </c>
      <c r="F6175" t="str">
        <f t="shared" si="212"/>
        <v>MS</v>
      </c>
    </row>
    <row r="6176" spans="1:6" x14ac:dyDescent="0.25">
      <c r="A6176" t="str">
        <f>"000117894"</f>
        <v>000117894</v>
      </c>
      <c r="B6176" t="str">
        <f>"1972577930"</f>
        <v>1972577930</v>
      </c>
      <c r="C6176" t="str">
        <f>"207RX0202X"</f>
        <v>207RX0202X</v>
      </c>
      <c r="D6176" t="str">
        <f>"SULTANI                  MTANIUS                  "</f>
        <v xml:space="preserve">SULTANI                  MTANIUS                  </v>
      </c>
      <c r="E6176" t="str">
        <f>"CLARKSDALE                "</f>
        <v xml:space="preserve">CLARKSDALE                </v>
      </c>
      <c r="F6176" t="str">
        <f t="shared" si="212"/>
        <v>MS</v>
      </c>
    </row>
    <row r="6177" spans="1:6" x14ac:dyDescent="0.25">
      <c r="A6177" t="str">
        <f>"000117914"</f>
        <v>000117914</v>
      </c>
      <c r="B6177" t="str">
        <f>"1558491589"</f>
        <v>1558491589</v>
      </c>
      <c r="C6177" t="str">
        <f>"2086S0129X"</f>
        <v>2086S0129X</v>
      </c>
      <c r="D6177" t="str">
        <f>"DAUTERIVE                ALTON        H           "</f>
        <v xml:space="preserve">DAUTERIVE                ALTON        H           </v>
      </c>
      <c r="E6177" t="str">
        <f>"GULFPORT                  "</f>
        <v xml:space="preserve">GULFPORT                  </v>
      </c>
      <c r="F6177" t="str">
        <f t="shared" si="212"/>
        <v>MS</v>
      </c>
    </row>
    <row r="6178" spans="1:6" x14ac:dyDescent="0.25">
      <c r="A6178" t="str">
        <f>"000117961"</f>
        <v>000117961</v>
      </c>
      <c r="B6178" t="str">
        <f>"1508959040"</f>
        <v>1508959040</v>
      </c>
      <c r="C6178" t="str">
        <f>"363L00000X"</f>
        <v>363L00000X</v>
      </c>
      <c r="D6178" t="str">
        <f>"MURPHY                   JOY          R           "</f>
        <v xml:space="preserve">MURPHY                   JOY          R           </v>
      </c>
      <c r="E6178" t="str">
        <f>"COLUMBUS                  "</f>
        <v xml:space="preserve">COLUMBUS                  </v>
      </c>
      <c r="F6178" t="str">
        <f t="shared" si="212"/>
        <v>MS</v>
      </c>
    </row>
    <row r="6179" spans="1:6" x14ac:dyDescent="0.25">
      <c r="A6179" t="str">
        <f>"000117970"</f>
        <v>000117970</v>
      </c>
      <c r="B6179" t="str">
        <f>"1346308707"</f>
        <v>1346308707</v>
      </c>
      <c r="C6179" t="str">
        <f>"367500000X"</f>
        <v>367500000X</v>
      </c>
      <c r="D6179" t="str">
        <f>"THOMPSON                 REGINA                   "</f>
        <v xml:space="preserve">THOMPSON                 REGINA                   </v>
      </c>
      <c r="E6179" t="str">
        <f>"JACKSON                   "</f>
        <v xml:space="preserve">JACKSON                   </v>
      </c>
      <c r="F6179" t="str">
        <f t="shared" si="212"/>
        <v>MS</v>
      </c>
    </row>
    <row r="6180" spans="1:6" x14ac:dyDescent="0.25">
      <c r="A6180" t="str">
        <f>"000117978"</f>
        <v>000117978</v>
      </c>
      <c r="B6180" t="str">
        <f>"1336251560"</f>
        <v>1336251560</v>
      </c>
      <c r="C6180" t="str">
        <f>"363LF0000X"</f>
        <v>363LF0000X</v>
      </c>
      <c r="D6180" t="str">
        <f>"WALLACE                  EMERSON      L           "</f>
        <v xml:space="preserve">WALLACE                  EMERSON      L           </v>
      </c>
      <c r="E6180" t="str">
        <f>"SALTILLO                  "</f>
        <v xml:space="preserve">SALTILLO                  </v>
      </c>
      <c r="F6180" t="str">
        <f t="shared" si="212"/>
        <v>MS</v>
      </c>
    </row>
    <row r="6181" spans="1:6" x14ac:dyDescent="0.25">
      <c r="A6181" t="str">
        <f>"000118006"</f>
        <v>000118006</v>
      </c>
      <c r="B6181" t="str">
        <f>"1497710685"</f>
        <v>1497710685</v>
      </c>
      <c r="C6181" t="str">
        <f>"207R00000X"</f>
        <v>207R00000X</v>
      </c>
      <c r="D6181" t="str">
        <f>"MORRIS                   JEFFREY      A           "</f>
        <v xml:space="preserve">MORRIS                   JEFFREY      A           </v>
      </c>
      <c r="E6181" t="str">
        <f>"MADISON                   "</f>
        <v xml:space="preserve">MADISON                   </v>
      </c>
      <c r="F6181" t="str">
        <f t="shared" si="212"/>
        <v>MS</v>
      </c>
    </row>
    <row r="6182" spans="1:6" x14ac:dyDescent="0.25">
      <c r="A6182" t="str">
        <f>"000118024"</f>
        <v>000118024</v>
      </c>
      <c r="B6182" t="str">
        <f>"1063527356"</f>
        <v>1063527356</v>
      </c>
      <c r="C6182" t="str">
        <f>"208000000X"</f>
        <v>208000000X</v>
      </c>
      <c r="D6182" t="str">
        <f>"HOLLAND                  JAMES        S           "</f>
        <v xml:space="preserve">HOLLAND                  JAMES        S           </v>
      </c>
      <c r="E6182" t="str">
        <f>"GULFPORT                  "</f>
        <v xml:space="preserve">GULFPORT                  </v>
      </c>
      <c r="F6182" t="str">
        <f t="shared" si="212"/>
        <v>MS</v>
      </c>
    </row>
    <row r="6183" spans="1:6" x14ac:dyDescent="0.25">
      <c r="A6183" t="str">
        <f>"000118029"</f>
        <v>000118029</v>
      </c>
      <c r="B6183" t="str">
        <f>"1629078746"</f>
        <v>1629078746</v>
      </c>
      <c r="C6183" t="str">
        <f>"2086S0129X"</f>
        <v>2086S0129X</v>
      </c>
      <c r="D6183" t="str">
        <f>"TALTON                   DAVID        S           "</f>
        <v xml:space="preserve">TALTON                   DAVID        S           </v>
      </c>
      <c r="E6183" t="str">
        <f>"TUPELO                    "</f>
        <v xml:space="preserve">TUPELO                    </v>
      </c>
      <c r="F6183" t="str">
        <f t="shared" si="212"/>
        <v>MS</v>
      </c>
    </row>
    <row r="6184" spans="1:6" x14ac:dyDescent="0.25">
      <c r="A6184" t="str">
        <f>"000118038"</f>
        <v>000118038</v>
      </c>
      <c r="B6184" t="str">
        <f>"1407856958"</f>
        <v>1407856958</v>
      </c>
      <c r="C6184" t="str">
        <f>"208800000X"</f>
        <v>208800000X</v>
      </c>
      <c r="D6184" t="str">
        <f>"FARMER II                CLARANCE     S           "</f>
        <v xml:space="preserve">FARMER II                CLARANCE     S           </v>
      </c>
      <c r="E6184" t="str">
        <f>"TUPELO                    "</f>
        <v xml:space="preserve">TUPELO                    </v>
      </c>
      <c r="F6184" t="str">
        <f t="shared" si="212"/>
        <v>MS</v>
      </c>
    </row>
    <row r="6185" spans="1:6" x14ac:dyDescent="0.25">
      <c r="A6185" t="str">
        <f>"000118046"</f>
        <v>000118046</v>
      </c>
      <c r="B6185" t="str">
        <f>"1306879739"</f>
        <v>1306879739</v>
      </c>
      <c r="C6185" t="str">
        <f>"207P00000X"</f>
        <v>207P00000X</v>
      </c>
      <c r="D6185" t="str">
        <f>"BOES                     BRET         A           "</f>
        <v xml:space="preserve">BOES                     BRET         A           </v>
      </c>
      <c r="E6185" t="str">
        <f>"MERIDIAN                  "</f>
        <v xml:space="preserve">MERIDIAN                  </v>
      </c>
      <c r="F6185" t="str">
        <f t="shared" si="212"/>
        <v>MS</v>
      </c>
    </row>
    <row r="6186" spans="1:6" x14ac:dyDescent="0.25">
      <c r="A6186" t="str">
        <f>"000118103"</f>
        <v>000118103</v>
      </c>
      <c r="B6186" t="str">
        <f>"1194713529"</f>
        <v>1194713529</v>
      </c>
      <c r="C6186" t="str">
        <f>"207RG0100X"</f>
        <v>207RG0100X</v>
      </c>
      <c r="D6186" t="str">
        <f>"REEVES                   VONDA        G           "</f>
        <v xml:space="preserve">REEVES                   VONDA        G           </v>
      </c>
      <c r="E6186" t="str">
        <f>"FLOWOOD                   "</f>
        <v xml:space="preserve">FLOWOOD                   </v>
      </c>
      <c r="F6186" t="str">
        <f t="shared" si="212"/>
        <v>MS</v>
      </c>
    </row>
    <row r="6187" spans="1:6" x14ac:dyDescent="0.25">
      <c r="A6187" t="str">
        <f>"000118107"</f>
        <v>000118107</v>
      </c>
      <c r="B6187" t="str">
        <f>"1548217904"</f>
        <v>1548217904</v>
      </c>
      <c r="C6187" t="str">
        <f>"207X00000X"</f>
        <v>207X00000X</v>
      </c>
      <c r="D6187" t="str">
        <f>"ALMAND                   JEFF         D           "</f>
        <v xml:space="preserve">ALMAND                   JEFF         D           </v>
      </c>
      <c r="E6187" t="str">
        <f>"JACKSON                   "</f>
        <v xml:space="preserve">JACKSON                   </v>
      </c>
      <c r="F6187" t="str">
        <f t="shared" si="212"/>
        <v>MS</v>
      </c>
    </row>
    <row r="6188" spans="1:6" x14ac:dyDescent="0.25">
      <c r="A6188" t="str">
        <f>"000118108"</f>
        <v>000118108</v>
      </c>
      <c r="B6188" t="str">
        <f>"1508838681"</f>
        <v>1508838681</v>
      </c>
      <c r="C6188" t="str">
        <f>"207R00000X"</f>
        <v>207R00000X</v>
      </c>
      <c r="D6188" t="str">
        <f>"LATOUR                   LYDIA        F           "</f>
        <v xml:space="preserve">LATOUR                   LYDIA        F           </v>
      </c>
      <c r="E6188" t="str">
        <f>"OCEAN SPRINGS             "</f>
        <v xml:space="preserve">OCEAN SPRINGS             </v>
      </c>
      <c r="F6188" t="str">
        <f t="shared" si="212"/>
        <v>MS</v>
      </c>
    </row>
    <row r="6189" spans="1:6" x14ac:dyDescent="0.25">
      <c r="A6189" t="str">
        <f>"000118119"</f>
        <v>000118119</v>
      </c>
      <c r="B6189" t="str">
        <f>"1376632307"</f>
        <v>1376632307</v>
      </c>
      <c r="C6189" t="str">
        <f>"208600000X"</f>
        <v>208600000X</v>
      </c>
      <c r="D6189" t="str">
        <f>"AZAR III                 GEORGE       J           "</f>
        <v xml:space="preserve">AZAR III                 GEORGE       J           </v>
      </c>
      <c r="E6189" t="str">
        <f>"HATTIESBURG               "</f>
        <v xml:space="preserve">HATTIESBURG               </v>
      </c>
      <c r="F6189" t="str">
        <f t="shared" si="212"/>
        <v>MS</v>
      </c>
    </row>
    <row r="6190" spans="1:6" x14ac:dyDescent="0.25">
      <c r="A6190" t="str">
        <f>"000118131"</f>
        <v>000118131</v>
      </c>
      <c r="B6190" t="str">
        <f>"1609896976"</f>
        <v>1609896976</v>
      </c>
      <c r="C6190" t="str">
        <f>"208600000X"</f>
        <v>208600000X</v>
      </c>
      <c r="D6190" t="str">
        <f>"MACE                     THOMAS       P           "</f>
        <v xml:space="preserve">MACE                     THOMAS       P           </v>
      </c>
      <c r="E6190" t="str">
        <f>"GULFPORT                  "</f>
        <v xml:space="preserve">GULFPORT                  </v>
      </c>
      <c r="F6190" t="str">
        <f t="shared" si="212"/>
        <v>MS</v>
      </c>
    </row>
    <row r="6191" spans="1:6" x14ac:dyDescent="0.25">
      <c r="A6191" t="str">
        <f>"000118139"</f>
        <v>000118139</v>
      </c>
      <c r="B6191" t="str">
        <f>"1457443897"</f>
        <v>1457443897</v>
      </c>
      <c r="C6191" t="str">
        <f>"207Y00000X"</f>
        <v>207Y00000X</v>
      </c>
      <c r="D6191" t="str">
        <f>"AUSTIN JR                WILLIAM      K           "</f>
        <v xml:space="preserve">AUSTIN JR                WILLIAM      K           </v>
      </c>
      <c r="E6191" t="str">
        <f>"MCCOMB                    "</f>
        <v xml:space="preserve">MCCOMB                    </v>
      </c>
      <c r="F6191" t="str">
        <f t="shared" si="212"/>
        <v>MS</v>
      </c>
    </row>
    <row r="6192" spans="1:6" x14ac:dyDescent="0.25">
      <c r="A6192" t="str">
        <f>"000118146"</f>
        <v>000118146</v>
      </c>
      <c r="B6192" t="str">
        <f>"1023074101"</f>
        <v>1023074101</v>
      </c>
      <c r="C6192" t="str">
        <f>"207V00000X"</f>
        <v>207V00000X</v>
      </c>
      <c r="D6192" t="str">
        <f>"SHIELDS                  JOHN         G           "</f>
        <v xml:space="preserve">SHIELDS                  JOHN         G           </v>
      </c>
      <c r="E6192" t="str">
        <f>"WEST POINT                "</f>
        <v xml:space="preserve">WEST POINT                </v>
      </c>
      <c r="F6192" t="str">
        <f t="shared" si="212"/>
        <v>MS</v>
      </c>
    </row>
    <row r="6193" spans="1:6" x14ac:dyDescent="0.25">
      <c r="A6193" t="str">
        <f>"000118179"</f>
        <v>000118179</v>
      </c>
      <c r="B6193" t="str">
        <f>"1689698318"</f>
        <v>1689698318</v>
      </c>
      <c r="C6193" t="str">
        <f>"207R00000X"</f>
        <v>207R00000X</v>
      </c>
      <c r="D6193" t="str">
        <f>"JOHNSON                  JEFFREY      N           "</f>
        <v xml:space="preserve">JOHNSON                  JEFFREY      N           </v>
      </c>
      <c r="E6193" t="str">
        <f>"COLUMBIA                  "</f>
        <v xml:space="preserve">COLUMBIA                  </v>
      </c>
      <c r="F6193" t="str">
        <f t="shared" si="212"/>
        <v>MS</v>
      </c>
    </row>
    <row r="6194" spans="1:6" x14ac:dyDescent="0.25">
      <c r="A6194" t="str">
        <f>"000118184"</f>
        <v>000118184</v>
      </c>
      <c r="B6194" t="str">
        <f>"1942298120"</f>
        <v>1942298120</v>
      </c>
      <c r="C6194" t="str">
        <f>"207R00000X"</f>
        <v>207R00000X</v>
      </c>
      <c r="D6194" t="str">
        <f>"KOTFILA                  RONALD       P           "</f>
        <v xml:space="preserve">KOTFILA                  RONALD       P           </v>
      </c>
      <c r="E6194" t="str">
        <f>"FLOWOOD                   "</f>
        <v xml:space="preserve">FLOWOOD                   </v>
      </c>
      <c r="F6194" t="str">
        <f t="shared" si="212"/>
        <v>MS</v>
      </c>
    </row>
    <row r="6195" spans="1:6" x14ac:dyDescent="0.25">
      <c r="A6195" t="str">
        <f>"000118187"</f>
        <v>000118187</v>
      </c>
      <c r="B6195" t="str">
        <f>"1659371128"</f>
        <v>1659371128</v>
      </c>
      <c r="C6195" t="str">
        <f>"207V00000X"</f>
        <v>207V00000X</v>
      </c>
      <c r="D6195" t="str">
        <f>"HORN                     GREGORY      W           "</f>
        <v xml:space="preserve">HORN                     GREGORY      W           </v>
      </c>
      <c r="E6195" t="str">
        <f>"OCEAN SPRINGS             "</f>
        <v xml:space="preserve">OCEAN SPRINGS             </v>
      </c>
      <c r="F6195" t="str">
        <f t="shared" si="212"/>
        <v>MS</v>
      </c>
    </row>
    <row r="6196" spans="1:6" x14ac:dyDescent="0.25">
      <c r="A6196" t="str">
        <f>"000118193"</f>
        <v>000118193</v>
      </c>
      <c r="B6196" t="str">
        <f>"1790720779"</f>
        <v>1790720779</v>
      </c>
      <c r="C6196" t="str">
        <f>"2085R0202X"</f>
        <v>2085R0202X</v>
      </c>
      <c r="D6196" t="str">
        <f>"MORRIS                   JASON        K           "</f>
        <v xml:space="preserve">MORRIS                   JASON        K           </v>
      </c>
      <c r="E6196" t="str">
        <f>"RULEVILLE                 "</f>
        <v xml:space="preserve">RULEVILLE                 </v>
      </c>
      <c r="F6196" t="str">
        <f t="shared" si="212"/>
        <v>MS</v>
      </c>
    </row>
    <row r="6197" spans="1:6" x14ac:dyDescent="0.25">
      <c r="A6197" t="str">
        <f>"000118200"</f>
        <v>000118200</v>
      </c>
      <c r="B6197" t="str">
        <f>"1487659850"</f>
        <v>1487659850</v>
      </c>
      <c r="C6197" t="str">
        <f>"207RX0202X"</f>
        <v>207RX0202X</v>
      </c>
      <c r="D6197" t="str">
        <f>"PATEL                    MANUBHAI     S           "</f>
        <v xml:space="preserve">PATEL                    MANUBHAI     S           </v>
      </c>
      <c r="E6197" t="str">
        <f>"JACKSON                   "</f>
        <v xml:space="preserve">JACKSON                   </v>
      </c>
      <c r="F6197" t="str">
        <f t="shared" si="212"/>
        <v>MS</v>
      </c>
    </row>
    <row r="6198" spans="1:6" x14ac:dyDescent="0.25">
      <c r="A6198" t="str">
        <f>"000118217"</f>
        <v>000118217</v>
      </c>
      <c r="B6198" t="str">
        <f>"1295779007"</f>
        <v>1295779007</v>
      </c>
      <c r="C6198" t="str">
        <f>"208600000X"</f>
        <v>208600000X</v>
      </c>
      <c r="D6198" t="str">
        <f>"PITRE                    BRIAN        R           "</f>
        <v xml:space="preserve">PITRE                    BRIAN        R           </v>
      </c>
      <c r="E6198" t="str">
        <f>"OCEAN SPRINGS             "</f>
        <v xml:space="preserve">OCEAN SPRINGS             </v>
      </c>
      <c r="F6198" t="str">
        <f t="shared" si="212"/>
        <v>MS</v>
      </c>
    </row>
    <row r="6199" spans="1:6" x14ac:dyDescent="0.25">
      <c r="A6199" t="str">
        <f>"000118219"</f>
        <v>000118219</v>
      </c>
      <c r="B6199" t="str">
        <f>"1093760175"</f>
        <v>1093760175</v>
      </c>
      <c r="C6199" t="str">
        <f>"207RC0000X"</f>
        <v>207RC0000X</v>
      </c>
      <c r="D6199" t="str">
        <f>"SEIBEL                   JOHN         E           "</f>
        <v xml:space="preserve">SEIBEL                   JOHN         E           </v>
      </c>
      <c r="E6199" t="str">
        <f>"GRENADA                   "</f>
        <v xml:space="preserve">GRENADA                   </v>
      </c>
      <c r="F6199" t="str">
        <f t="shared" si="212"/>
        <v>MS</v>
      </c>
    </row>
    <row r="6200" spans="1:6" x14ac:dyDescent="0.25">
      <c r="A6200" t="str">
        <f>"000118222"</f>
        <v>000118222</v>
      </c>
      <c r="B6200" t="str">
        <f>"1780792945"</f>
        <v>1780792945</v>
      </c>
      <c r="C6200" t="str">
        <f>"2086S0129X"</f>
        <v>2086S0129X</v>
      </c>
      <c r="D6200" t="str">
        <f>"ROBBINS                  ROBERT       J           "</f>
        <v xml:space="preserve">ROBBINS                  ROBERT       J           </v>
      </c>
      <c r="E6200" t="str">
        <f>"HATTIESBURG               "</f>
        <v xml:space="preserve">HATTIESBURG               </v>
      </c>
      <c r="F6200" t="str">
        <f t="shared" si="212"/>
        <v>MS</v>
      </c>
    </row>
    <row r="6201" spans="1:6" x14ac:dyDescent="0.25">
      <c r="A6201" t="str">
        <f>"000118231"</f>
        <v>000118231</v>
      </c>
      <c r="B6201" t="str">
        <f>"1548219082"</f>
        <v>1548219082</v>
      </c>
      <c r="C6201" t="str">
        <f>"207R00000X"</f>
        <v>207R00000X</v>
      </c>
      <c r="D6201" t="str">
        <f>"GOEL                     PARVESH      K           "</f>
        <v xml:space="preserve">GOEL                     PARVESH      K           </v>
      </c>
      <c r="E6201" t="str">
        <f>"CANTON                    "</f>
        <v xml:space="preserve">CANTON                    </v>
      </c>
      <c r="F6201" t="str">
        <f t="shared" si="212"/>
        <v>MS</v>
      </c>
    </row>
    <row r="6202" spans="1:6" x14ac:dyDescent="0.25">
      <c r="A6202" t="str">
        <f>"000118232"</f>
        <v>000118232</v>
      </c>
      <c r="B6202" t="str">
        <f>"1518935428"</f>
        <v>1518935428</v>
      </c>
      <c r="C6202" t="str">
        <f>"207W00000X"</f>
        <v>207W00000X</v>
      </c>
      <c r="D6202" t="str">
        <f>"PHILIPS                  DENISE       E           "</f>
        <v xml:space="preserve">PHILIPS                  DENISE       E           </v>
      </c>
      <c r="E6202" t="str">
        <f>"MADISON                   "</f>
        <v xml:space="preserve">MADISON                   </v>
      </c>
      <c r="F6202" t="str">
        <f t="shared" si="212"/>
        <v>MS</v>
      </c>
    </row>
    <row r="6203" spans="1:6" x14ac:dyDescent="0.25">
      <c r="A6203" t="str">
        <f>"000118234"</f>
        <v>000118234</v>
      </c>
      <c r="B6203" t="str">
        <f>"1902919756"</f>
        <v>1902919756</v>
      </c>
      <c r="C6203" t="str">
        <f>"2084N0400X"</f>
        <v>2084N0400X</v>
      </c>
      <c r="D6203" t="str">
        <f>"PLUNKETT                 KAREN        W           "</f>
        <v xml:space="preserve">PLUNKETT                 KAREN        W           </v>
      </c>
      <c r="E6203" t="str">
        <f>"GRENADA                   "</f>
        <v xml:space="preserve">GRENADA                   </v>
      </c>
      <c r="F6203" t="str">
        <f t="shared" si="212"/>
        <v>MS</v>
      </c>
    </row>
    <row r="6204" spans="1:6" x14ac:dyDescent="0.25">
      <c r="A6204" t="str">
        <f>"000118246"</f>
        <v>000118246</v>
      </c>
      <c r="B6204" t="str">
        <f>"1417969338"</f>
        <v>1417969338</v>
      </c>
      <c r="C6204" t="str">
        <f>"207V00000X"</f>
        <v>207V00000X</v>
      </c>
      <c r="D6204" t="str">
        <f>"KUMI                     KOFI                     "</f>
        <v xml:space="preserve">KUMI                     KOFI                     </v>
      </c>
      <c r="E6204" t="str">
        <f>"NATCHEZ                   "</f>
        <v xml:space="preserve">NATCHEZ                   </v>
      </c>
      <c r="F6204" t="str">
        <f t="shared" si="212"/>
        <v>MS</v>
      </c>
    </row>
    <row r="6205" spans="1:6" x14ac:dyDescent="0.25">
      <c r="A6205" t="str">
        <f>"000118247"</f>
        <v>000118247</v>
      </c>
      <c r="B6205" t="str">
        <f>"1609945716"</f>
        <v>1609945716</v>
      </c>
      <c r="C6205" t="str">
        <f>"207R00000X"</f>
        <v>207R00000X</v>
      </c>
      <c r="D6205" t="str">
        <f>"DEL CASTILLO-ARCEO       KATHERYN                 "</f>
        <v xml:space="preserve">DEL CASTILLO-ARCEO       KATHERYN                 </v>
      </c>
      <c r="E6205" t="str">
        <f>"JACKSON                   "</f>
        <v xml:space="preserve">JACKSON                   </v>
      </c>
      <c r="F6205" t="str">
        <f t="shared" si="212"/>
        <v>MS</v>
      </c>
    </row>
    <row r="6206" spans="1:6" x14ac:dyDescent="0.25">
      <c r="A6206" t="str">
        <f>"000118250"</f>
        <v>000118250</v>
      </c>
      <c r="B6206" t="str">
        <f>"1881603538"</f>
        <v>1881603538</v>
      </c>
      <c r="C6206" t="str">
        <f>"207RG0100X"</f>
        <v>207RG0100X</v>
      </c>
      <c r="D6206" t="str">
        <f>"HUNT                     NOEL         K           "</f>
        <v xml:space="preserve">HUNT                     NOEL         K           </v>
      </c>
      <c r="E6206" t="str">
        <f>"TUPELO                    "</f>
        <v xml:space="preserve">TUPELO                    </v>
      </c>
      <c r="F6206" t="str">
        <f t="shared" ref="F6206:F6269" si="213">"MS"</f>
        <v>MS</v>
      </c>
    </row>
    <row r="6207" spans="1:6" x14ac:dyDescent="0.25">
      <c r="A6207" t="str">
        <f>"000118261"</f>
        <v>000118261</v>
      </c>
      <c r="B6207" t="str">
        <f>"1700936002"</f>
        <v>1700936002</v>
      </c>
      <c r="C6207" t="str">
        <f>"207R00000X"</f>
        <v>207R00000X</v>
      </c>
      <c r="D6207" t="str">
        <f>"WHITECAR JR              JOHN         P           "</f>
        <v xml:space="preserve">WHITECAR JR              JOHN         P           </v>
      </c>
      <c r="E6207" t="str">
        <f>"COLUMBUS                  "</f>
        <v xml:space="preserve">COLUMBUS                  </v>
      </c>
      <c r="F6207" t="str">
        <f t="shared" si="213"/>
        <v>MS</v>
      </c>
    </row>
    <row r="6208" spans="1:6" x14ac:dyDescent="0.25">
      <c r="A6208" t="str">
        <f>"000118266"</f>
        <v>000118266</v>
      </c>
      <c r="B6208" t="str">
        <f>"1508884685"</f>
        <v>1508884685</v>
      </c>
      <c r="C6208" t="str">
        <f>"207X00000X"</f>
        <v>207X00000X</v>
      </c>
      <c r="D6208" t="str">
        <f>"NOBLIN                   JEFFERY      D           "</f>
        <v xml:space="preserve">NOBLIN                   JEFFERY      D           </v>
      </c>
      <c r="E6208" t="str">
        <f>"BILOXI                    "</f>
        <v xml:space="preserve">BILOXI                    </v>
      </c>
      <c r="F6208" t="str">
        <f t="shared" si="213"/>
        <v>MS</v>
      </c>
    </row>
    <row r="6209" spans="1:6" x14ac:dyDescent="0.25">
      <c r="A6209" t="str">
        <f>"000118271"</f>
        <v>000118271</v>
      </c>
      <c r="B6209" t="str">
        <f>"1205825643"</f>
        <v>1205825643</v>
      </c>
      <c r="C6209" t="str">
        <f>"207RN0300X"</f>
        <v>207RN0300X</v>
      </c>
      <c r="D6209" t="str">
        <f>"LANIER JR                DOUGLAS      C           "</f>
        <v xml:space="preserve">LANIER JR                DOUGLAS      C           </v>
      </c>
      <c r="E6209" t="str">
        <f>"GULFPORT                  "</f>
        <v xml:space="preserve">GULFPORT                  </v>
      </c>
      <c r="F6209" t="str">
        <f t="shared" si="213"/>
        <v>MS</v>
      </c>
    </row>
    <row r="6210" spans="1:6" x14ac:dyDescent="0.25">
      <c r="A6210" t="str">
        <f>"000118282"</f>
        <v>000118282</v>
      </c>
      <c r="B6210" t="str">
        <f>"1700893047"</f>
        <v>1700893047</v>
      </c>
      <c r="C6210" t="str">
        <f>"2085R0202X"</f>
        <v>2085R0202X</v>
      </c>
      <c r="D6210" t="str">
        <f>"VIAL                     DANIEL                   "</f>
        <v xml:space="preserve">VIAL                     DANIEL                   </v>
      </c>
      <c r="E6210" t="str">
        <f>"LAUREL                    "</f>
        <v xml:space="preserve">LAUREL                    </v>
      </c>
      <c r="F6210" t="str">
        <f t="shared" si="213"/>
        <v>MS</v>
      </c>
    </row>
    <row r="6211" spans="1:6" x14ac:dyDescent="0.25">
      <c r="A6211" t="str">
        <f>"000118294"</f>
        <v>000118294</v>
      </c>
      <c r="B6211" t="str">
        <f>"1528172244"</f>
        <v>1528172244</v>
      </c>
      <c r="C6211" t="str">
        <f>"207RI0200X"</f>
        <v>207RI0200X</v>
      </c>
      <c r="D6211" t="str">
        <f>"LIN                      ANDREW       C           "</f>
        <v xml:space="preserve">LIN                      ANDREW       C           </v>
      </c>
      <c r="E6211" t="str">
        <f>"HATTIESBURG               "</f>
        <v xml:space="preserve">HATTIESBURG               </v>
      </c>
      <c r="F6211" t="str">
        <f t="shared" si="213"/>
        <v>MS</v>
      </c>
    </row>
    <row r="6212" spans="1:6" x14ac:dyDescent="0.25">
      <c r="A6212" t="str">
        <f>"000118307"</f>
        <v>000118307</v>
      </c>
      <c r="B6212" t="str">
        <f>"1235187816"</f>
        <v>1235187816</v>
      </c>
      <c r="C6212" t="str">
        <f>"207R00000X"</f>
        <v>207R00000X</v>
      </c>
      <c r="D6212" t="str">
        <f>"SINOJIA                  GIRISH       V           "</f>
        <v xml:space="preserve">SINOJIA                  GIRISH       V           </v>
      </c>
      <c r="E6212" t="str">
        <f>"RIPLEY                    "</f>
        <v xml:space="preserve">RIPLEY                    </v>
      </c>
      <c r="F6212" t="str">
        <f t="shared" si="213"/>
        <v>MS</v>
      </c>
    </row>
    <row r="6213" spans="1:6" x14ac:dyDescent="0.25">
      <c r="A6213" t="str">
        <f>"000118311"</f>
        <v>000118311</v>
      </c>
      <c r="B6213" t="str">
        <f>"1427073170"</f>
        <v>1427073170</v>
      </c>
      <c r="C6213" t="str">
        <f>"207Q00000X"</f>
        <v>207Q00000X</v>
      </c>
      <c r="D6213" t="str">
        <f>"HUGHES JR                VERNON       T           "</f>
        <v xml:space="preserve">HUGHES JR                VERNON       T           </v>
      </c>
      <c r="E6213" t="str">
        <f>"MARKS                     "</f>
        <v xml:space="preserve">MARKS                     </v>
      </c>
      <c r="F6213" t="str">
        <f t="shared" si="213"/>
        <v>MS</v>
      </c>
    </row>
    <row r="6214" spans="1:6" x14ac:dyDescent="0.25">
      <c r="A6214" t="str">
        <f>"000118315"</f>
        <v>000118315</v>
      </c>
      <c r="B6214" t="str">
        <f>"1710095880"</f>
        <v>1710095880</v>
      </c>
      <c r="C6214" t="str">
        <f>"207RA0401X"</f>
        <v>207RA0401X</v>
      </c>
      <c r="D6214" t="str">
        <f>"LASETER                  JEFFREY      T           "</f>
        <v xml:space="preserve">LASETER                  JEFFREY      T           </v>
      </c>
      <c r="E6214" t="str">
        <f>"FLOWOOD                   "</f>
        <v xml:space="preserve">FLOWOOD                   </v>
      </c>
      <c r="F6214" t="str">
        <f t="shared" si="213"/>
        <v>MS</v>
      </c>
    </row>
    <row r="6215" spans="1:6" x14ac:dyDescent="0.25">
      <c r="A6215" t="str">
        <f>"000118318"</f>
        <v>000118318</v>
      </c>
      <c r="B6215" t="str">
        <f>"1467493247"</f>
        <v>1467493247</v>
      </c>
      <c r="C6215" t="str">
        <f>"208D00000X"</f>
        <v>208D00000X</v>
      </c>
      <c r="D6215" t="str">
        <f>"HEATH, III               CAS          E           "</f>
        <v xml:space="preserve">HEATH, III               CAS          E           </v>
      </c>
      <c r="E6215" t="str">
        <f>"JACKSON                   "</f>
        <v xml:space="preserve">JACKSON                   </v>
      </c>
      <c r="F6215" t="str">
        <f t="shared" si="213"/>
        <v>MS</v>
      </c>
    </row>
    <row r="6216" spans="1:6" x14ac:dyDescent="0.25">
      <c r="A6216" t="str">
        <f>"000118336"</f>
        <v>000118336</v>
      </c>
      <c r="B6216" t="str">
        <f>"1497789879"</f>
        <v>1497789879</v>
      </c>
      <c r="C6216" t="str">
        <f>"207R00000X"</f>
        <v>207R00000X</v>
      </c>
      <c r="D6216" t="str">
        <f>"SHEPHERD                 JINNA        M           "</f>
        <v xml:space="preserve">SHEPHERD                 JINNA        M           </v>
      </c>
      <c r="E6216" t="str">
        <f>"JACKSON                   "</f>
        <v xml:space="preserve">JACKSON                   </v>
      </c>
      <c r="F6216" t="str">
        <f t="shared" si="213"/>
        <v>MS</v>
      </c>
    </row>
    <row r="6217" spans="1:6" x14ac:dyDescent="0.25">
      <c r="A6217" t="str">
        <f>"000118342"</f>
        <v>000118342</v>
      </c>
      <c r="B6217" t="str">
        <f>"1669417705"</f>
        <v>1669417705</v>
      </c>
      <c r="C6217" t="str">
        <f>"2084N0400X"</f>
        <v>2084N0400X</v>
      </c>
      <c r="D6217" t="str">
        <f>"VOULTERS                 LEE                      "</f>
        <v xml:space="preserve">VOULTERS                 LEE                      </v>
      </c>
      <c r="E6217" t="str">
        <f>"GULFPORT                  "</f>
        <v xml:space="preserve">GULFPORT                  </v>
      </c>
      <c r="F6217" t="str">
        <f t="shared" si="213"/>
        <v>MS</v>
      </c>
    </row>
    <row r="6218" spans="1:6" x14ac:dyDescent="0.25">
      <c r="A6218" t="str">
        <f>"000118343"</f>
        <v>000118343</v>
      </c>
      <c r="B6218" t="str">
        <f>"1932158664"</f>
        <v>1932158664</v>
      </c>
      <c r="C6218" t="str">
        <f>"207R00000X"</f>
        <v>207R00000X</v>
      </c>
      <c r="D6218" t="str">
        <f>"ONG JR                   MANUEL       L           "</f>
        <v xml:space="preserve">ONG JR                   MANUEL       L           </v>
      </c>
      <c r="E6218" t="str">
        <f>"CARTHAGE                  "</f>
        <v xml:space="preserve">CARTHAGE                  </v>
      </c>
      <c r="F6218" t="str">
        <f t="shared" si="213"/>
        <v>MS</v>
      </c>
    </row>
    <row r="6219" spans="1:6" x14ac:dyDescent="0.25">
      <c r="A6219" t="str">
        <f>"000118396"</f>
        <v>000118396</v>
      </c>
      <c r="B6219" t="str">
        <f>"1558460162"</f>
        <v>1558460162</v>
      </c>
      <c r="C6219" t="str">
        <f>"207V00000X"</f>
        <v>207V00000X</v>
      </c>
      <c r="D6219" t="str">
        <f>"PAPPAS                   JOHN         F           "</f>
        <v xml:space="preserve">PAPPAS                   JOHN         F           </v>
      </c>
      <c r="E6219" t="str">
        <f>"GULFPORT                  "</f>
        <v xml:space="preserve">GULFPORT                  </v>
      </c>
      <c r="F6219" t="str">
        <f t="shared" si="213"/>
        <v>MS</v>
      </c>
    </row>
    <row r="6220" spans="1:6" x14ac:dyDescent="0.25">
      <c r="A6220" t="str">
        <f>"000118406"</f>
        <v>000118406</v>
      </c>
      <c r="B6220" t="str">
        <f>"1417969031"</f>
        <v>1417969031</v>
      </c>
      <c r="C6220" t="str">
        <f>"207P00000X"</f>
        <v>207P00000X</v>
      </c>
      <c r="D6220" t="str">
        <f>"BRACKEN                  WILLIAM      M           "</f>
        <v xml:space="preserve">BRACKEN                  WILLIAM      M           </v>
      </c>
      <c r="E6220" t="str">
        <f>"MERIDIAN                  "</f>
        <v xml:space="preserve">MERIDIAN                  </v>
      </c>
      <c r="F6220" t="str">
        <f t="shared" si="213"/>
        <v>MS</v>
      </c>
    </row>
    <row r="6221" spans="1:6" x14ac:dyDescent="0.25">
      <c r="A6221" t="str">
        <f>"000118408"</f>
        <v>000118408</v>
      </c>
      <c r="B6221" t="str">
        <f>"1306955950"</f>
        <v>1306955950</v>
      </c>
      <c r="C6221" t="str">
        <f>"208800000X"</f>
        <v>208800000X</v>
      </c>
      <c r="D6221" t="str">
        <f>"SECREST                  BRADLEY      N           "</f>
        <v xml:space="preserve">SECREST                  BRADLEY      N           </v>
      </c>
      <c r="E6221" t="str">
        <f>"HATTIESBURG               "</f>
        <v xml:space="preserve">HATTIESBURG               </v>
      </c>
      <c r="F6221" t="str">
        <f t="shared" si="213"/>
        <v>MS</v>
      </c>
    </row>
    <row r="6222" spans="1:6" x14ac:dyDescent="0.25">
      <c r="A6222" t="str">
        <f>"000118411"</f>
        <v>000118411</v>
      </c>
      <c r="B6222" t="str">
        <f>"1619087541"</f>
        <v>1619087541</v>
      </c>
      <c r="C6222" t="str">
        <f>"207R00000X"</f>
        <v>207R00000X</v>
      </c>
      <c r="D6222" t="str">
        <f>"KERGOSIEN                CHARLES      A           "</f>
        <v xml:space="preserve">KERGOSIEN                CHARLES      A           </v>
      </c>
      <c r="E6222" t="str">
        <f>"BROOKHAVEN                "</f>
        <v xml:space="preserve">BROOKHAVEN                </v>
      </c>
      <c r="F6222" t="str">
        <f t="shared" si="213"/>
        <v>MS</v>
      </c>
    </row>
    <row r="6223" spans="1:6" x14ac:dyDescent="0.25">
      <c r="A6223" t="str">
        <f>"000118412"</f>
        <v>000118412</v>
      </c>
      <c r="B6223" t="str">
        <f>"1912943945"</f>
        <v>1912943945</v>
      </c>
      <c r="C6223" t="str">
        <f>"207RI0011X"</f>
        <v>207RI0011X</v>
      </c>
      <c r="D6223" t="str">
        <f>"HAYS JR                  J. CLAY                  "</f>
        <v xml:space="preserve">HAYS JR                  J. CLAY                  </v>
      </c>
      <c r="E6223" t="str">
        <f>"JACKSON                   "</f>
        <v xml:space="preserve">JACKSON                   </v>
      </c>
      <c r="F6223" t="str">
        <f t="shared" si="213"/>
        <v>MS</v>
      </c>
    </row>
    <row r="6224" spans="1:6" x14ac:dyDescent="0.25">
      <c r="A6224" t="str">
        <f>"000118418"</f>
        <v>000118418</v>
      </c>
      <c r="B6224" t="str">
        <f>"1255338984"</f>
        <v>1255338984</v>
      </c>
      <c r="C6224" t="str">
        <f>"207R00000X"</f>
        <v>207R00000X</v>
      </c>
      <c r="D6224" t="str">
        <f>"BRAY                     GINA                     "</f>
        <v xml:space="preserve">BRAY                     GINA                     </v>
      </c>
      <c r="E6224" t="str">
        <f>"WINONA                    "</f>
        <v xml:space="preserve">WINONA                    </v>
      </c>
      <c r="F6224" t="str">
        <f t="shared" si="213"/>
        <v>MS</v>
      </c>
    </row>
    <row r="6225" spans="1:6" x14ac:dyDescent="0.25">
      <c r="A6225" t="str">
        <f>"000118447"</f>
        <v>000118447</v>
      </c>
      <c r="B6225" t="str">
        <f>"1972503456"</f>
        <v>1972503456</v>
      </c>
      <c r="C6225" t="str">
        <f>"207RG0100X"</f>
        <v>207RG0100X</v>
      </c>
      <c r="D6225" t="str">
        <f>"MCKEE                    JOHN         D           "</f>
        <v xml:space="preserve">MCKEE                    JOHN         D           </v>
      </c>
      <c r="E6225" t="str">
        <f>"OCEAN SPRINGS             "</f>
        <v xml:space="preserve">OCEAN SPRINGS             </v>
      </c>
      <c r="F6225" t="str">
        <f t="shared" si="213"/>
        <v>MS</v>
      </c>
    </row>
    <row r="6226" spans="1:6" x14ac:dyDescent="0.25">
      <c r="A6226" t="str">
        <f>"000118453"</f>
        <v>000118453</v>
      </c>
      <c r="B6226" t="str">
        <f>"1316983943"</f>
        <v>1316983943</v>
      </c>
      <c r="C6226" t="str">
        <f>"207L00000X"</f>
        <v>207L00000X</v>
      </c>
      <c r="D6226" t="str">
        <f>"DESCHER                  WILLIAM      C           "</f>
        <v xml:space="preserve">DESCHER                  WILLIAM      C           </v>
      </c>
      <c r="E6226" t="str">
        <f>"OCEAN SPRINGS             "</f>
        <v xml:space="preserve">OCEAN SPRINGS             </v>
      </c>
      <c r="F6226" t="str">
        <f t="shared" si="213"/>
        <v>MS</v>
      </c>
    </row>
    <row r="6227" spans="1:6" x14ac:dyDescent="0.25">
      <c r="A6227" t="str">
        <f>"000118511"</f>
        <v>000118511</v>
      </c>
      <c r="B6227" t="str">
        <f>"1093715641"</f>
        <v>1093715641</v>
      </c>
      <c r="C6227" t="str">
        <f>"207Q00000X"</f>
        <v>207Q00000X</v>
      </c>
      <c r="D6227" t="str">
        <f>"SHARMA                   ACHIN                    "</f>
        <v xml:space="preserve">SHARMA                   ACHIN                    </v>
      </c>
      <c r="E6227" t="str">
        <f>"HORN LAKE                 "</f>
        <v xml:space="preserve">HORN LAKE                 </v>
      </c>
      <c r="F6227" t="str">
        <f t="shared" si="213"/>
        <v>MS</v>
      </c>
    </row>
    <row r="6228" spans="1:6" x14ac:dyDescent="0.25">
      <c r="A6228" t="str">
        <f>"000118513"</f>
        <v>000118513</v>
      </c>
      <c r="B6228" t="str">
        <f>"1831148972"</f>
        <v>1831148972</v>
      </c>
      <c r="C6228" t="str">
        <f>"207R00000X"</f>
        <v>207R00000X</v>
      </c>
      <c r="D6228" t="str">
        <f>"ARCEO III                SALVADOR                 "</f>
        <v xml:space="preserve">ARCEO III                SALVADOR                 </v>
      </c>
      <c r="E6228" t="str">
        <f>"JACKSON                   "</f>
        <v xml:space="preserve">JACKSON                   </v>
      </c>
      <c r="F6228" t="str">
        <f t="shared" si="213"/>
        <v>MS</v>
      </c>
    </row>
    <row r="6229" spans="1:6" x14ac:dyDescent="0.25">
      <c r="A6229" t="str">
        <f>"000118541"</f>
        <v>000118541</v>
      </c>
      <c r="B6229" t="str">
        <f>"1891767687"</f>
        <v>1891767687</v>
      </c>
      <c r="C6229" t="str">
        <f>"207R00000X"</f>
        <v>207R00000X</v>
      </c>
      <c r="D6229" t="str">
        <f>"ALBERS                   TIMOTHY      A           "</f>
        <v xml:space="preserve">ALBERS                   TIMOTHY      A           </v>
      </c>
      <c r="E6229" t="str">
        <f>"TUPELO                    "</f>
        <v xml:space="preserve">TUPELO                    </v>
      </c>
      <c r="F6229" t="str">
        <f t="shared" si="213"/>
        <v>MS</v>
      </c>
    </row>
    <row r="6230" spans="1:6" x14ac:dyDescent="0.25">
      <c r="A6230" t="str">
        <f>"000118558"</f>
        <v>000118558</v>
      </c>
      <c r="B6230" t="str">
        <f>"1851431159"</f>
        <v>1851431159</v>
      </c>
      <c r="C6230" t="str">
        <f>"207R00000X"</f>
        <v>207R00000X</v>
      </c>
      <c r="D6230" t="str">
        <f>"WEISS                    DAVID        I           "</f>
        <v xml:space="preserve">WEISS                    DAVID        I           </v>
      </c>
      <c r="E6230" t="str">
        <f>"HATTIESBURG               "</f>
        <v xml:space="preserve">HATTIESBURG               </v>
      </c>
      <c r="F6230" t="str">
        <f t="shared" si="213"/>
        <v>MS</v>
      </c>
    </row>
    <row r="6231" spans="1:6" x14ac:dyDescent="0.25">
      <c r="A6231" t="str">
        <f>"000118573"</f>
        <v>000118573</v>
      </c>
      <c r="B6231" t="str">
        <f>"1093769648"</f>
        <v>1093769648</v>
      </c>
      <c r="C6231" t="str">
        <f>"207P00000X"</f>
        <v>207P00000X</v>
      </c>
      <c r="D6231" t="str">
        <f>"BEAZLEY                  WILLIAM      W           "</f>
        <v xml:space="preserve">BEAZLEY                  WILLIAM      W           </v>
      </c>
      <c r="E6231" t="str">
        <f>"PICAYUNE                  "</f>
        <v xml:space="preserve">PICAYUNE                  </v>
      </c>
      <c r="F6231" t="str">
        <f t="shared" si="213"/>
        <v>MS</v>
      </c>
    </row>
    <row r="6232" spans="1:6" x14ac:dyDescent="0.25">
      <c r="A6232" t="str">
        <f>"000118577"</f>
        <v>000118577</v>
      </c>
      <c r="B6232" t="str">
        <f>"1104977560"</f>
        <v>1104977560</v>
      </c>
      <c r="C6232" t="str">
        <f>"207V00000X"</f>
        <v>207V00000X</v>
      </c>
      <c r="D6232" t="str">
        <f>"OTEY                     STEPHEN      K           "</f>
        <v xml:space="preserve">OTEY                     STEPHEN      K           </v>
      </c>
      <c r="E6232" t="str">
        <f>"AMORY                     "</f>
        <v xml:space="preserve">AMORY                     </v>
      </c>
      <c r="F6232" t="str">
        <f t="shared" si="213"/>
        <v>MS</v>
      </c>
    </row>
    <row r="6233" spans="1:6" x14ac:dyDescent="0.25">
      <c r="A6233" t="str">
        <f>"000118596"</f>
        <v>000118596</v>
      </c>
      <c r="B6233" t="str">
        <f>"1780604819"</f>
        <v>1780604819</v>
      </c>
      <c r="C6233" t="str">
        <f>"208800000X"</f>
        <v>208800000X</v>
      </c>
      <c r="D6233" t="str">
        <f>"GORDON JR                FELIX                    "</f>
        <v xml:space="preserve">GORDON JR                FELIX                    </v>
      </c>
      <c r="E6233" t="str">
        <f>"JACKSON                   "</f>
        <v xml:space="preserve">JACKSON                   </v>
      </c>
      <c r="F6233" t="str">
        <f t="shared" si="213"/>
        <v>MS</v>
      </c>
    </row>
    <row r="6234" spans="1:6" x14ac:dyDescent="0.25">
      <c r="A6234" t="str">
        <f>"000118612"</f>
        <v>000118612</v>
      </c>
      <c r="B6234" t="str">
        <f>"1528219466"</f>
        <v>1528219466</v>
      </c>
      <c r="C6234" t="str">
        <f>"207T00000X"</f>
        <v>207T00000X</v>
      </c>
      <c r="D6234" t="str">
        <f>"SMITH                    TERRY        C           "</f>
        <v xml:space="preserve">SMITH                    TERRY        C           </v>
      </c>
      <c r="E6234" t="str">
        <f>"BILOXI                    "</f>
        <v xml:space="preserve">BILOXI                    </v>
      </c>
      <c r="F6234" t="str">
        <f t="shared" si="213"/>
        <v>MS</v>
      </c>
    </row>
    <row r="6235" spans="1:6" x14ac:dyDescent="0.25">
      <c r="A6235" t="str">
        <f>"000118617"</f>
        <v>000118617</v>
      </c>
      <c r="B6235" t="str">
        <f>"1972562114"</f>
        <v>1972562114</v>
      </c>
      <c r="C6235" t="str">
        <f>"363L00000X"</f>
        <v>363L00000X</v>
      </c>
      <c r="D6235" t="str">
        <f>"BARNES                   JACKIE                   "</f>
        <v xml:space="preserve">BARNES                   JACKIE                   </v>
      </c>
      <c r="E6235" t="str">
        <f>"CLEVELAND                 "</f>
        <v xml:space="preserve">CLEVELAND                 </v>
      </c>
      <c r="F6235" t="str">
        <f t="shared" si="213"/>
        <v>MS</v>
      </c>
    </row>
    <row r="6236" spans="1:6" x14ac:dyDescent="0.25">
      <c r="A6236" t="str">
        <f>"000118627"</f>
        <v>000118627</v>
      </c>
      <c r="B6236" t="str">
        <f>"1952399156"</f>
        <v>1952399156</v>
      </c>
      <c r="C6236" t="str">
        <f>"207W00000X"</f>
        <v>207W00000X</v>
      </c>
      <c r="D6236" t="str">
        <f>"PANDYA-LIPMAN            RASHMI       K           "</f>
        <v xml:space="preserve">PANDYA-LIPMAN            RASHMI       K           </v>
      </c>
      <c r="E6236" t="str">
        <f>"SOUTHAVEN                 "</f>
        <v xml:space="preserve">SOUTHAVEN                 </v>
      </c>
      <c r="F6236" t="str">
        <f t="shared" si="213"/>
        <v>MS</v>
      </c>
    </row>
    <row r="6237" spans="1:6" x14ac:dyDescent="0.25">
      <c r="A6237" t="str">
        <f>"000118632"</f>
        <v>000118632</v>
      </c>
      <c r="B6237" t="str">
        <f>"1396833398"</f>
        <v>1396833398</v>
      </c>
      <c r="C6237" t="str">
        <f>"207R00000X"</f>
        <v>207R00000X</v>
      </c>
      <c r="D6237" t="str">
        <f>"RANSOME-KUTI             OLUGBOYEGA   O           "</f>
        <v xml:space="preserve">RANSOME-KUTI             OLUGBOYEGA   O           </v>
      </c>
      <c r="E6237" t="str">
        <f>"MERIDIAN                  "</f>
        <v xml:space="preserve">MERIDIAN                  </v>
      </c>
      <c r="F6237" t="str">
        <f t="shared" si="213"/>
        <v>MS</v>
      </c>
    </row>
    <row r="6238" spans="1:6" x14ac:dyDescent="0.25">
      <c r="A6238" t="str">
        <f>"000118644"</f>
        <v>000118644</v>
      </c>
      <c r="B6238" t="str">
        <f>"1184612368"</f>
        <v>1184612368</v>
      </c>
      <c r="C6238" t="str">
        <f>"207R00000X"</f>
        <v>207R00000X</v>
      </c>
      <c r="D6238" t="str">
        <f>"WILSON                   MARK         E           "</f>
        <v xml:space="preserve">WILSON                   MARK         E           </v>
      </c>
      <c r="E6238" t="str">
        <f>"FLOWOOD                   "</f>
        <v xml:space="preserve">FLOWOOD                   </v>
      </c>
      <c r="F6238" t="str">
        <f t="shared" si="213"/>
        <v>MS</v>
      </c>
    </row>
    <row r="6239" spans="1:6" x14ac:dyDescent="0.25">
      <c r="A6239" t="str">
        <f>"000118675"</f>
        <v>000118675</v>
      </c>
      <c r="B6239" t="str">
        <f>"1861595118"</f>
        <v>1861595118</v>
      </c>
      <c r="C6239" t="str">
        <f>"207X00000X"</f>
        <v>207X00000X</v>
      </c>
      <c r="D6239" t="str">
        <f>"FIELD                    EDWARD       D           "</f>
        <v xml:space="preserve">FIELD                    EDWARD       D           </v>
      </c>
      <c r="E6239" t="str">
        <f>"OXFORD                    "</f>
        <v xml:space="preserve">OXFORD                    </v>
      </c>
      <c r="F6239" t="str">
        <f t="shared" si="213"/>
        <v>MS</v>
      </c>
    </row>
    <row r="6240" spans="1:6" x14ac:dyDescent="0.25">
      <c r="A6240" t="str">
        <f>"000118679"</f>
        <v>000118679</v>
      </c>
      <c r="B6240" t="str">
        <f>"1518906734"</f>
        <v>1518906734</v>
      </c>
      <c r="C6240" t="str">
        <f>"207Q00000X"</f>
        <v>207Q00000X</v>
      </c>
      <c r="D6240" t="str">
        <f>"DORAN JR                 DONALD       R           "</f>
        <v xml:space="preserve">DORAN JR                 DONALD       R           </v>
      </c>
      <c r="E6240" t="str">
        <f>"WIGGINS                   "</f>
        <v xml:space="preserve">WIGGINS                   </v>
      </c>
      <c r="F6240" t="str">
        <f t="shared" si="213"/>
        <v>MS</v>
      </c>
    </row>
    <row r="6241" spans="1:6" x14ac:dyDescent="0.25">
      <c r="A6241" t="str">
        <f>"000118687"</f>
        <v>000118687</v>
      </c>
      <c r="B6241" t="str">
        <f>"1770597163"</f>
        <v>1770597163</v>
      </c>
      <c r="C6241" t="str">
        <f>"207R00000X"</f>
        <v>207R00000X</v>
      </c>
      <c r="D6241" t="str">
        <f>"MCSHAN                   MAURICE                  "</f>
        <v xml:space="preserve">MCSHAN                   MAURICE                  </v>
      </c>
      <c r="E6241" t="str">
        <f>"JACKSON                   "</f>
        <v xml:space="preserve">JACKSON                   </v>
      </c>
      <c r="F6241" t="str">
        <f t="shared" si="213"/>
        <v>MS</v>
      </c>
    </row>
    <row r="6242" spans="1:6" x14ac:dyDescent="0.25">
      <c r="A6242" t="str">
        <f>"000118692"</f>
        <v>000118692</v>
      </c>
      <c r="B6242" t="str">
        <f>"1053390781"</f>
        <v>1053390781</v>
      </c>
      <c r="C6242" t="str">
        <f>"207Q00000X"</f>
        <v>207Q00000X</v>
      </c>
      <c r="D6242" t="str">
        <f>"WRIGHT                   JAMES        C           "</f>
        <v xml:space="preserve">WRIGHT                   JAMES        C           </v>
      </c>
      <c r="E6242" t="str">
        <f>"GREENVILLE                "</f>
        <v xml:space="preserve">GREENVILLE                </v>
      </c>
      <c r="F6242" t="str">
        <f t="shared" si="213"/>
        <v>MS</v>
      </c>
    </row>
    <row r="6243" spans="1:6" x14ac:dyDescent="0.25">
      <c r="A6243" t="str">
        <f>"000118697"</f>
        <v>000118697</v>
      </c>
      <c r="B6243" t="str">
        <f>"1790747269"</f>
        <v>1790747269</v>
      </c>
      <c r="C6243" t="str">
        <f>"207R00000X"</f>
        <v>207R00000X</v>
      </c>
      <c r="D6243" t="str">
        <f>"MOTAKHAVERI              GHOLAM       R           "</f>
        <v xml:space="preserve">MOTAKHAVERI              GHOLAM       R           </v>
      </c>
      <c r="E6243" t="str">
        <f>"BILOXI                    "</f>
        <v xml:space="preserve">BILOXI                    </v>
      </c>
      <c r="F6243" t="str">
        <f t="shared" si="213"/>
        <v>MS</v>
      </c>
    </row>
    <row r="6244" spans="1:6" x14ac:dyDescent="0.25">
      <c r="A6244" t="str">
        <f>"000118702"</f>
        <v>000118702</v>
      </c>
      <c r="B6244" t="str">
        <f>"1861416042"</f>
        <v>1861416042</v>
      </c>
      <c r="C6244" t="str">
        <f>"207Q00000X"</f>
        <v>207Q00000X</v>
      </c>
      <c r="D6244" t="str">
        <f>"ALEXIS                   KATHERINE    P           "</f>
        <v xml:space="preserve">ALEXIS                   KATHERINE    P           </v>
      </c>
      <c r="E6244" t="str">
        <f>"HATTIESBURG               "</f>
        <v xml:space="preserve">HATTIESBURG               </v>
      </c>
      <c r="F6244" t="str">
        <f t="shared" si="213"/>
        <v>MS</v>
      </c>
    </row>
    <row r="6245" spans="1:6" x14ac:dyDescent="0.25">
      <c r="A6245" t="str">
        <f>"000118723"</f>
        <v>000118723</v>
      </c>
      <c r="B6245" t="str">
        <f>"1073532792"</f>
        <v>1073532792</v>
      </c>
      <c r="C6245" t="str">
        <f>"207V00000X"</f>
        <v>207V00000X</v>
      </c>
      <c r="D6245" t="str">
        <f>"LIVINGSTON               MICHAEL      C           "</f>
        <v xml:space="preserve">LIVINGSTON               MICHAEL      C           </v>
      </c>
      <c r="E6245" t="str">
        <f>"JACKSON                   "</f>
        <v xml:space="preserve">JACKSON                   </v>
      </c>
      <c r="F6245" t="str">
        <f t="shared" si="213"/>
        <v>MS</v>
      </c>
    </row>
    <row r="6246" spans="1:6" x14ac:dyDescent="0.25">
      <c r="A6246" t="str">
        <f>"000118728"</f>
        <v>000118728</v>
      </c>
      <c r="B6246" t="str">
        <f>"1295845444"</f>
        <v>1295845444</v>
      </c>
      <c r="C6246" t="str">
        <f>"207RC0000X"</f>
        <v>207RC0000X</v>
      </c>
      <c r="D6246" t="str">
        <f>"BERTOLET                 BARRY        D           "</f>
        <v xml:space="preserve">BERTOLET                 BARRY        D           </v>
      </c>
      <c r="E6246" t="str">
        <f>"TUPELO                    "</f>
        <v xml:space="preserve">TUPELO                    </v>
      </c>
      <c r="F6246" t="str">
        <f t="shared" si="213"/>
        <v>MS</v>
      </c>
    </row>
    <row r="6247" spans="1:6" x14ac:dyDescent="0.25">
      <c r="A6247" t="str">
        <f>"000118735"</f>
        <v>000118735</v>
      </c>
      <c r="B6247" t="str">
        <f>"1346289477"</f>
        <v>1346289477</v>
      </c>
      <c r="C6247" t="str">
        <f>"2085R0202X"</f>
        <v>2085R0202X</v>
      </c>
      <c r="D6247" t="str">
        <f>"GUNN                     MARK         G           "</f>
        <v xml:space="preserve">GUNN                     MARK         G           </v>
      </c>
      <c r="E6247" t="str">
        <f>"OXFORD                    "</f>
        <v xml:space="preserve">OXFORD                    </v>
      </c>
      <c r="F6247" t="str">
        <f t="shared" si="213"/>
        <v>MS</v>
      </c>
    </row>
    <row r="6248" spans="1:6" x14ac:dyDescent="0.25">
      <c r="A6248" t="str">
        <f>"000118736"</f>
        <v>000118736</v>
      </c>
      <c r="B6248" t="str">
        <f>"1316939358"</f>
        <v>1316939358</v>
      </c>
      <c r="C6248" t="str">
        <f>"207X00000X"</f>
        <v>207X00000X</v>
      </c>
      <c r="D6248" t="str">
        <f>"BLACK                    ARTHUR       D           "</f>
        <v xml:space="preserve">BLACK                    ARTHUR       D           </v>
      </c>
      <c r="E6248" t="str">
        <f>"BILOXI                    "</f>
        <v xml:space="preserve">BILOXI                    </v>
      </c>
      <c r="F6248" t="str">
        <f t="shared" si="213"/>
        <v>MS</v>
      </c>
    </row>
    <row r="6249" spans="1:6" x14ac:dyDescent="0.25">
      <c r="A6249" t="str">
        <f>"000118741"</f>
        <v>000118741</v>
      </c>
      <c r="B6249" t="str">
        <f>"1679562748"</f>
        <v>1679562748</v>
      </c>
      <c r="C6249" t="str">
        <f>"207R00000X"</f>
        <v>207R00000X</v>
      </c>
      <c r="D6249" t="str">
        <f>"FRILOUX                  MARK         A           "</f>
        <v xml:space="preserve">FRILOUX                  MARK         A           </v>
      </c>
      <c r="E6249" t="str">
        <f>"ABERDEEN                  "</f>
        <v xml:space="preserve">ABERDEEN                  </v>
      </c>
      <c r="F6249" t="str">
        <f t="shared" si="213"/>
        <v>MS</v>
      </c>
    </row>
    <row r="6250" spans="1:6" x14ac:dyDescent="0.25">
      <c r="A6250" t="str">
        <f>"000118768"</f>
        <v>000118768</v>
      </c>
      <c r="B6250" t="str">
        <f>"1528171758"</f>
        <v>1528171758</v>
      </c>
      <c r="C6250" t="str">
        <f>"363L00000X"</f>
        <v>363L00000X</v>
      </c>
      <c r="D6250" t="str">
        <f>"LAMBERT                  PHILLIP      N           "</f>
        <v xml:space="preserve">LAMBERT                  PHILLIP      N           </v>
      </c>
      <c r="E6250" t="str">
        <f>"CLEVELAND                 "</f>
        <v xml:space="preserve">CLEVELAND                 </v>
      </c>
      <c r="F6250" t="str">
        <f t="shared" si="213"/>
        <v>MS</v>
      </c>
    </row>
    <row r="6251" spans="1:6" x14ac:dyDescent="0.25">
      <c r="A6251" t="str">
        <f>"000118781"</f>
        <v>000118781</v>
      </c>
      <c r="B6251" t="str">
        <f>"1962512590"</f>
        <v>1962512590</v>
      </c>
      <c r="C6251" t="str">
        <f>"207R00000X"</f>
        <v>207R00000X</v>
      </c>
      <c r="D6251" t="str">
        <f>"GAN LIM                  LEONIL       A           "</f>
        <v xml:space="preserve">GAN LIM                  LEONIL       A           </v>
      </c>
      <c r="E6251" t="str">
        <f>"TUPELO                    "</f>
        <v xml:space="preserve">TUPELO                    </v>
      </c>
      <c r="F6251" t="str">
        <f t="shared" si="213"/>
        <v>MS</v>
      </c>
    </row>
    <row r="6252" spans="1:6" x14ac:dyDescent="0.25">
      <c r="A6252" t="str">
        <f>"000118818"</f>
        <v>000118818</v>
      </c>
      <c r="B6252" t="str">
        <f>"1528154861"</f>
        <v>1528154861</v>
      </c>
      <c r="C6252" t="str">
        <f>"208000000X"</f>
        <v>208000000X</v>
      </c>
      <c r="D6252" t="str">
        <f>"ROBERTSON                AUDREY       U           "</f>
        <v xml:space="preserve">ROBERTSON                AUDREY       U           </v>
      </c>
      <c r="E6252" t="str">
        <f>"JACKSON                   "</f>
        <v xml:space="preserve">JACKSON                   </v>
      </c>
      <c r="F6252" t="str">
        <f t="shared" si="213"/>
        <v>MS</v>
      </c>
    </row>
    <row r="6253" spans="1:6" x14ac:dyDescent="0.25">
      <c r="A6253" t="str">
        <f>"000118823"</f>
        <v>000118823</v>
      </c>
      <c r="B6253" t="str">
        <f>"1912937574"</f>
        <v>1912937574</v>
      </c>
      <c r="C6253" t="str">
        <f>"207W00000X"</f>
        <v>207W00000X</v>
      </c>
      <c r="D6253" t="str">
        <f>"SCHAEFFER                ALAN         R           "</f>
        <v xml:space="preserve">SCHAEFFER                ALAN         R           </v>
      </c>
      <c r="E6253" t="str">
        <f>"SOUTHAVEN                 "</f>
        <v xml:space="preserve">SOUTHAVEN                 </v>
      </c>
      <c r="F6253" t="str">
        <f t="shared" si="213"/>
        <v>MS</v>
      </c>
    </row>
    <row r="6254" spans="1:6" x14ac:dyDescent="0.25">
      <c r="A6254" t="str">
        <f>"000118827"</f>
        <v>000118827</v>
      </c>
      <c r="B6254" t="str">
        <f>"1679687420"</f>
        <v>1679687420</v>
      </c>
      <c r="C6254" t="str">
        <f>"207W00000X"</f>
        <v>207W00000X</v>
      </c>
      <c r="D6254" t="str">
        <f>"KERSH                    JANE         E           "</f>
        <v xml:space="preserve">KERSH                    JANE         E           </v>
      </c>
      <c r="E6254" t="str">
        <f>"HATTIESBURG               "</f>
        <v xml:space="preserve">HATTIESBURG               </v>
      </c>
      <c r="F6254" t="str">
        <f t="shared" si="213"/>
        <v>MS</v>
      </c>
    </row>
    <row r="6255" spans="1:6" x14ac:dyDescent="0.25">
      <c r="A6255" t="str">
        <f>"000118829"</f>
        <v>000118829</v>
      </c>
      <c r="B6255" t="str">
        <f>"1366544603"</f>
        <v>1366544603</v>
      </c>
      <c r="C6255" t="str">
        <f>"2084P0800X"</f>
        <v>2084P0800X</v>
      </c>
      <c r="D6255" t="str">
        <f>"KUMAR                    PARVEEN                  "</f>
        <v xml:space="preserve">KUMAR                    PARVEEN                  </v>
      </c>
      <c r="E6255" t="str">
        <f>"RIDGELAND                 "</f>
        <v xml:space="preserve">RIDGELAND                 </v>
      </c>
      <c r="F6255" t="str">
        <f t="shared" si="213"/>
        <v>MS</v>
      </c>
    </row>
    <row r="6256" spans="1:6" x14ac:dyDescent="0.25">
      <c r="A6256" t="str">
        <f>"000118835"</f>
        <v>000118835</v>
      </c>
      <c r="B6256" t="str">
        <f>"1861498610"</f>
        <v>1861498610</v>
      </c>
      <c r="C6256" t="str">
        <f>"208000000X"</f>
        <v>208000000X</v>
      </c>
      <c r="D6256" t="str">
        <f>"TIBBS                    PATRICIA     A           "</f>
        <v xml:space="preserve">TIBBS                    PATRICIA     A           </v>
      </c>
      <c r="E6256" t="str">
        <f>"ELLISVILLE                "</f>
        <v xml:space="preserve">ELLISVILLE                </v>
      </c>
      <c r="F6256" t="str">
        <f t="shared" si="213"/>
        <v>MS</v>
      </c>
    </row>
    <row r="6257" spans="1:6" x14ac:dyDescent="0.25">
      <c r="A6257" t="str">
        <f>"000118863"</f>
        <v>000118863</v>
      </c>
      <c r="B6257" t="str">
        <f>"1942297858"</f>
        <v>1942297858</v>
      </c>
      <c r="C6257" t="str">
        <f>"208D00000X"</f>
        <v>208D00000X</v>
      </c>
      <c r="D6257" t="str">
        <f>"HOLMES                   KEVIN        H           "</f>
        <v xml:space="preserve">HOLMES                   KEVIN        H           </v>
      </c>
      <c r="E6257" t="str">
        <f>"COLUMBIA                  "</f>
        <v xml:space="preserve">COLUMBIA                  </v>
      </c>
      <c r="F6257" t="str">
        <f t="shared" si="213"/>
        <v>MS</v>
      </c>
    </row>
    <row r="6258" spans="1:6" x14ac:dyDescent="0.25">
      <c r="A6258" t="str">
        <f>"000118866"</f>
        <v>000118866</v>
      </c>
      <c r="B6258" t="str">
        <f>"1265409478"</f>
        <v>1265409478</v>
      </c>
      <c r="C6258" t="str">
        <f>"208000000X"</f>
        <v>208000000X</v>
      </c>
      <c r="D6258" t="str">
        <f>"WIERZBICKA               GRAZYNA                  "</f>
        <v xml:space="preserve">WIERZBICKA               GRAZYNA                  </v>
      </c>
      <c r="E6258" t="str">
        <f>"PASCAGOULA                "</f>
        <v xml:space="preserve">PASCAGOULA                </v>
      </c>
      <c r="F6258" t="str">
        <f t="shared" si="213"/>
        <v>MS</v>
      </c>
    </row>
    <row r="6259" spans="1:6" x14ac:dyDescent="0.25">
      <c r="A6259" t="str">
        <f>"000118867"</f>
        <v>000118867</v>
      </c>
      <c r="B6259" t="str">
        <f>"1740240944"</f>
        <v>1740240944</v>
      </c>
      <c r="C6259" t="str">
        <f>"363L00000X"</f>
        <v>363L00000X</v>
      </c>
      <c r="D6259" t="str">
        <f>"DOWNS                    ANNA         A           "</f>
        <v xml:space="preserve">DOWNS                    ANNA         A           </v>
      </c>
      <c r="E6259" t="str">
        <f>"GREENWOOD                 "</f>
        <v xml:space="preserve">GREENWOOD                 </v>
      </c>
      <c r="F6259" t="str">
        <f t="shared" si="213"/>
        <v>MS</v>
      </c>
    </row>
    <row r="6260" spans="1:6" x14ac:dyDescent="0.25">
      <c r="A6260" t="str">
        <f>"000118875"</f>
        <v>000118875</v>
      </c>
      <c r="B6260" t="str">
        <f>"1215951959"</f>
        <v>1215951959</v>
      </c>
      <c r="C6260" t="str">
        <f>"367500000X"</f>
        <v>367500000X</v>
      </c>
      <c r="D6260" t="str">
        <f>"MALLETTE                 MARLAND                  "</f>
        <v xml:space="preserve">MALLETTE                 MARLAND                  </v>
      </c>
      <c r="E6260" t="str">
        <f>"HATTIESBURG               "</f>
        <v xml:space="preserve">HATTIESBURG               </v>
      </c>
      <c r="F6260" t="str">
        <f t="shared" si="213"/>
        <v>MS</v>
      </c>
    </row>
    <row r="6261" spans="1:6" x14ac:dyDescent="0.25">
      <c r="A6261" t="str">
        <f>"000118902"</f>
        <v>000118902</v>
      </c>
      <c r="B6261" t="str">
        <f>"1073545042"</f>
        <v>1073545042</v>
      </c>
      <c r="C6261" t="str">
        <f>"363L00000X"</f>
        <v>363L00000X</v>
      </c>
      <c r="D6261" t="str">
        <f>"THORNTON                 MARY                     "</f>
        <v xml:space="preserve">THORNTON                 MARY                     </v>
      </c>
      <c r="E6261" t="str">
        <f>"MCCOMB                    "</f>
        <v xml:space="preserve">MCCOMB                    </v>
      </c>
      <c r="F6261" t="str">
        <f t="shared" si="213"/>
        <v>MS</v>
      </c>
    </row>
    <row r="6262" spans="1:6" x14ac:dyDescent="0.25">
      <c r="A6262" t="str">
        <f>"000118904"</f>
        <v>000118904</v>
      </c>
      <c r="B6262" t="str">
        <f>"1710092986"</f>
        <v>1710092986</v>
      </c>
      <c r="C6262" t="str">
        <f>"363L00000X"</f>
        <v>363L00000X</v>
      </c>
      <c r="D6262" t="str">
        <f>"WALKER                   KATHRYN      R           "</f>
        <v xml:space="preserve">WALKER                   KATHRYN      R           </v>
      </c>
      <c r="E6262" t="str">
        <f>"MORTON                    "</f>
        <v xml:space="preserve">MORTON                    </v>
      </c>
      <c r="F6262" t="str">
        <f t="shared" si="213"/>
        <v>MS</v>
      </c>
    </row>
    <row r="6263" spans="1:6" x14ac:dyDescent="0.25">
      <c r="A6263" t="str">
        <f>"000118926"</f>
        <v>000118926</v>
      </c>
      <c r="B6263" t="str">
        <f>"1184675134"</f>
        <v>1184675134</v>
      </c>
      <c r="C6263" t="str">
        <f>"363L00000X"</f>
        <v>363L00000X</v>
      </c>
      <c r="D6263" t="str">
        <f>"RANDLE                   JAN          S           "</f>
        <v xml:space="preserve">RANDLE                   JAN          S           </v>
      </c>
      <c r="E6263" t="str">
        <f>"LOUISVILLE                "</f>
        <v xml:space="preserve">LOUISVILLE                </v>
      </c>
      <c r="F6263" t="str">
        <f t="shared" si="213"/>
        <v>MS</v>
      </c>
    </row>
    <row r="6264" spans="1:6" x14ac:dyDescent="0.25">
      <c r="A6264" t="str">
        <f>"000118930"</f>
        <v>000118930</v>
      </c>
      <c r="B6264" t="str">
        <f>"1609849108"</f>
        <v>1609849108</v>
      </c>
      <c r="C6264" t="str">
        <f>"363L00000X"</f>
        <v>363L00000X</v>
      </c>
      <c r="D6264" t="str">
        <f>"KEITH                    JANA         R           "</f>
        <v xml:space="preserve">KEITH                    JANA         R           </v>
      </c>
      <c r="E6264" t="str">
        <f>"HATTIESBURG               "</f>
        <v xml:space="preserve">HATTIESBURG               </v>
      </c>
      <c r="F6264" t="str">
        <f t="shared" si="213"/>
        <v>MS</v>
      </c>
    </row>
    <row r="6265" spans="1:6" x14ac:dyDescent="0.25">
      <c r="A6265" t="str">
        <f>"000118938"</f>
        <v>000118938</v>
      </c>
      <c r="B6265" t="str">
        <f>"1659459246"</f>
        <v>1659459246</v>
      </c>
      <c r="C6265" t="str">
        <f>"363L00000X"</f>
        <v>363L00000X</v>
      </c>
      <c r="D6265" t="str">
        <f>"MCCLENTON                THELMA       J           "</f>
        <v xml:space="preserve">MCCLENTON                THELMA       J           </v>
      </c>
      <c r="E6265" t="str">
        <f>"ABERDEEN                  "</f>
        <v xml:space="preserve">ABERDEEN                  </v>
      </c>
      <c r="F6265" t="str">
        <f t="shared" si="213"/>
        <v>MS</v>
      </c>
    </row>
    <row r="6266" spans="1:6" x14ac:dyDescent="0.25">
      <c r="A6266" t="str">
        <f>"000118971"</f>
        <v>000118971</v>
      </c>
      <c r="B6266" t="str">
        <f>"1497702302"</f>
        <v>1497702302</v>
      </c>
      <c r="C6266" t="str">
        <f>"207R00000X"</f>
        <v>207R00000X</v>
      </c>
      <c r="D6266" t="str">
        <f>"HARRISON                 DAVID        L           "</f>
        <v xml:space="preserve">HARRISON                 DAVID        L           </v>
      </c>
      <c r="E6266" t="str">
        <f>"LAUREL                    "</f>
        <v xml:space="preserve">LAUREL                    </v>
      </c>
      <c r="F6266" t="str">
        <f t="shared" si="213"/>
        <v>MS</v>
      </c>
    </row>
    <row r="6267" spans="1:6" x14ac:dyDescent="0.25">
      <c r="A6267" t="str">
        <f>"000118979"</f>
        <v>000118979</v>
      </c>
      <c r="B6267" t="str">
        <f>"1093817306"</f>
        <v>1093817306</v>
      </c>
      <c r="C6267" t="str">
        <f>"363L00000X"</f>
        <v>363L00000X</v>
      </c>
      <c r="D6267" t="str">
        <f>"FURR                     ANGELA       E           "</f>
        <v xml:space="preserve">FURR                     ANGELA       E           </v>
      </c>
      <c r="E6267" t="str">
        <f>"HOUSTON                   "</f>
        <v xml:space="preserve">HOUSTON                   </v>
      </c>
      <c r="F6267" t="str">
        <f t="shared" si="213"/>
        <v>MS</v>
      </c>
    </row>
    <row r="6268" spans="1:6" x14ac:dyDescent="0.25">
      <c r="A6268" t="str">
        <f>"000118984"</f>
        <v>000118984</v>
      </c>
      <c r="B6268" t="str">
        <f>"1962628966"</f>
        <v>1962628966</v>
      </c>
      <c r="C6268" t="str">
        <f>"363L00000X"</f>
        <v>363L00000X</v>
      </c>
      <c r="D6268" t="str">
        <f>"SUBER                    TRACI        D           "</f>
        <v xml:space="preserve">SUBER                    TRACI        D           </v>
      </c>
      <c r="E6268" t="str">
        <f>"HATTIESBURG               "</f>
        <v xml:space="preserve">HATTIESBURG               </v>
      </c>
      <c r="F6268" t="str">
        <f t="shared" si="213"/>
        <v>MS</v>
      </c>
    </row>
    <row r="6269" spans="1:6" x14ac:dyDescent="0.25">
      <c r="A6269" t="str">
        <f>"000119012"</f>
        <v>000119012</v>
      </c>
      <c r="B6269" t="str">
        <f>"1578639183"</f>
        <v>1578639183</v>
      </c>
      <c r="C6269" t="str">
        <f>"207P00000X"</f>
        <v>207P00000X</v>
      </c>
      <c r="D6269" t="str">
        <f>"BELL                     STEPHEN      W           "</f>
        <v xml:space="preserve">BELL                     STEPHEN      W           </v>
      </c>
      <c r="E6269" t="str">
        <f>"PASCAGOULA                "</f>
        <v xml:space="preserve">PASCAGOULA                </v>
      </c>
      <c r="F6269" t="str">
        <f t="shared" si="213"/>
        <v>MS</v>
      </c>
    </row>
    <row r="6270" spans="1:6" x14ac:dyDescent="0.25">
      <c r="A6270" t="str">
        <f>"000119013"</f>
        <v>000119013</v>
      </c>
      <c r="B6270" t="str">
        <f>"1124069638"</f>
        <v>1124069638</v>
      </c>
      <c r="C6270" t="str">
        <f>"2080N0001X"</f>
        <v>2080N0001X</v>
      </c>
      <c r="D6270" t="str">
        <f>"KOSEK                    MARY         A           "</f>
        <v xml:space="preserve">KOSEK                    MARY         A           </v>
      </c>
      <c r="E6270" t="str">
        <f>"JACKSON                   "</f>
        <v xml:space="preserve">JACKSON                   </v>
      </c>
      <c r="F6270" t="str">
        <f t="shared" ref="F6270:F6333" si="214">"MS"</f>
        <v>MS</v>
      </c>
    </row>
    <row r="6271" spans="1:6" x14ac:dyDescent="0.25">
      <c r="A6271" t="str">
        <f>"000119017"</f>
        <v>000119017</v>
      </c>
      <c r="B6271" t="str">
        <f>"1619917275"</f>
        <v>1619917275</v>
      </c>
      <c r="C6271" t="str">
        <f>"207P00000X"</f>
        <v>207P00000X</v>
      </c>
      <c r="D6271" t="str">
        <f>"WALDRUP                  PHILLIP                  "</f>
        <v xml:space="preserve">WALDRUP                  PHILLIP                  </v>
      </c>
      <c r="E6271" t="str">
        <f>"OLIVE BRANCH              "</f>
        <v xml:space="preserve">OLIVE BRANCH              </v>
      </c>
      <c r="F6271" t="str">
        <f t="shared" si="214"/>
        <v>MS</v>
      </c>
    </row>
    <row r="6272" spans="1:6" x14ac:dyDescent="0.25">
      <c r="A6272" t="str">
        <f>"000119038"</f>
        <v>000119038</v>
      </c>
      <c r="B6272" t="str">
        <f>"1518908854"</f>
        <v>1518908854</v>
      </c>
      <c r="C6272" t="str">
        <f>"207RG0100X"</f>
        <v>207RG0100X</v>
      </c>
      <c r="D6272" t="str">
        <f>"DUNCAN                   ULRIC        D           "</f>
        <v xml:space="preserve">DUNCAN                   ULRIC        D           </v>
      </c>
      <c r="E6272" t="str">
        <f>"SOUTHAVEN                 "</f>
        <v xml:space="preserve">SOUTHAVEN                 </v>
      </c>
      <c r="F6272" t="str">
        <f t="shared" si="214"/>
        <v>MS</v>
      </c>
    </row>
    <row r="6273" spans="1:6" x14ac:dyDescent="0.25">
      <c r="A6273" t="str">
        <f>"000119083"</f>
        <v>000119083</v>
      </c>
      <c r="B6273" t="str">
        <f>"1487639019"</f>
        <v>1487639019</v>
      </c>
      <c r="C6273" t="str">
        <f>"363L00000X"</f>
        <v>363L00000X</v>
      </c>
      <c r="D6273" t="str">
        <f>"HODGE                    KRISTA       K           "</f>
        <v xml:space="preserve">HODGE                    KRISTA       K           </v>
      </c>
      <c r="E6273" t="str">
        <f>"CARRIERE                  "</f>
        <v xml:space="preserve">CARRIERE                  </v>
      </c>
      <c r="F6273" t="str">
        <f t="shared" si="214"/>
        <v>MS</v>
      </c>
    </row>
    <row r="6274" spans="1:6" x14ac:dyDescent="0.25">
      <c r="A6274" t="str">
        <f>"000119100"</f>
        <v>000119100</v>
      </c>
      <c r="B6274" t="str">
        <f>"1528176823"</f>
        <v>1528176823</v>
      </c>
      <c r="C6274" t="str">
        <f>"207Q00000X"</f>
        <v>207Q00000X</v>
      </c>
      <c r="D6274" t="str">
        <f>"PITTS                    LANE         J           "</f>
        <v xml:space="preserve">PITTS                    LANE         J           </v>
      </c>
      <c r="E6274" t="str">
        <f>"HATTIESBURG               "</f>
        <v xml:space="preserve">HATTIESBURG               </v>
      </c>
      <c r="F6274" t="str">
        <f t="shared" si="214"/>
        <v>MS</v>
      </c>
    </row>
    <row r="6275" spans="1:6" x14ac:dyDescent="0.25">
      <c r="A6275" t="str">
        <f>"000119144"</f>
        <v>000119144</v>
      </c>
      <c r="B6275" t="str">
        <f>"1114995537"</f>
        <v>1114995537</v>
      </c>
      <c r="C6275" t="str">
        <f>"208D00000X"</f>
        <v>208D00000X</v>
      </c>
      <c r="D6275" t="str">
        <f>"HIRSCHFIELD              WULF                     "</f>
        <v xml:space="preserve">HIRSCHFIELD              WULF                     </v>
      </c>
      <c r="E6275" t="str">
        <f>"WAYNESBORO                "</f>
        <v xml:space="preserve">WAYNESBORO                </v>
      </c>
      <c r="F6275" t="str">
        <f t="shared" si="214"/>
        <v>MS</v>
      </c>
    </row>
    <row r="6276" spans="1:6" x14ac:dyDescent="0.25">
      <c r="A6276" t="str">
        <f>"000119180"</f>
        <v>000119180</v>
      </c>
      <c r="B6276" t="str">
        <f>"1265597561"</f>
        <v>1265597561</v>
      </c>
      <c r="C6276" t="str">
        <f>"367500000X"</f>
        <v>367500000X</v>
      </c>
      <c r="D6276" t="str">
        <f>"CARTER                   THOMAS                   "</f>
        <v xml:space="preserve">CARTER                   THOMAS                   </v>
      </c>
      <c r="E6276" t="str">
        <f>"BILOXI                    "</f>
        <v xml:space="preserve">BILOXI                    </v>
      </c>
      <c r="F6276" t="str">
        <f t="shared" si="214"/>
        <v>MS</v>
      </c>
    </row>
    <row r="6277" spans="1:6" x14ac:dyDescent="0.25">
      <c r="A6277" t="str">
        <f>"000119189"</f>
        <v>000119189</v>
      </c>
      <c r="B6277" t="str">
        <f>"1124060033"</f>
        <v>1124060033</v>
      </c>
      <c r="C6277" t="str">
        <f>"2084P0800X"</f>
        <v>2084P0800X</v>
      </c>
      <c r="D6277" t="str">
        <f>"NORTON                   JOHN                     "</f>
        <v xml:space="preserve">NORTON                   JOHN                     </v>
      </c>
      <c r="E6277" t="str">
        <f>"WHITFIELD                 "</f>
        <v xml:space="preserve">WHITFIELD                 </v>
      </c>
      <c r="F6277" t="str">
        <f t="shared" si="214"/>
        <v>MS</v>
      </c>
    </row>
    <row r="6278" spans="1:6" x14ac:dyDescent="0.25">
      <c r="A6278" t="str">
        <f>"000119198"</f>
        <v>000119198</v>
      </c>
      <c r="B6278" t="str">
        <f>"1265514301"</f>
        <v>1265514301</v>
      </c>
      <c r="C6278" t="str">
        <f>"208600000X"</f>
        <v>208600000X</v>
      </c>
      <c r="D6278" t="str">
        <f>"KILLEBREW                LARRY        H           "</f>
        <v xml:space="preserve">KILLEBREW                LARRY        H           </v>
      </c>
      <c r="E6278" t="str">
        <f>"PICAYUNE                  "</f>
        <v xml:space="preserve">PICAYUNE                  </v>
      </c>
      <c r="F6278" t="str">
        <f t="shared" si="214"/>
        <v>MS</v>
      </c>
    </row>
    <row r="6279" spans="1:6" x14ac:dyDescent="0.25">
      <c r="A6279" t="str">
        <f>"000119207"</f>
        <v>000119207</v>
      </c>
      <c r="B6279" t="str">
        <f>"1902865413"</f>
        <v>1902865413</v>
      </c>
      <c r="C6279" t="str">
        <f>"261QR0401X"</f>
        <v>261QR0401X</v>
      </c>
      <c r="D6279" t="str">
        <f>"PRECISION ULTRASOUND IMAGING, INC.                "</f>
        <v xml:space="preserve">PRECISION ULTRASOUND IMAGING, INC.                </v>
      </c>
      <c r="E6279" t="str">
        <f>"FLOWOOD                   "</f>
        <v xml:space="preserve">FLOWOOD                   </v>
      </c>
      <c r="F6279" t="str">
        <f t="shared" si="214"/>
        <v>MS</v>
      </c>
    </row>
    <row r="6280" spans="1:6" x14ac:dyDescent="0.25">
      <c r="A6280" t="str">
        <f>"000119222"</f>
        <v>000119222</v>
      </c>
      <c r="B6280" t="str">
        <f>"1720007040"</f>
        <v>1720007040</v>
      </c>
      <c r="C6280" t="str">
        <f>"208000000X"</f>
        <v>208000000X</v>
      </c>
      <c r="D6280" t="str">
        <f>"BROOME                   CHARLENE     B           "</f>
        <v xml:space="preserve">BROOME                   CHARLENE     B           </v>
      </c>
      <c r="E6280" t="str">
        <f>"HATTIESBURG               "</f>
        <v xml:space="preserve">HATTIESBURG               </v>
      </c>
      <c r="F6280" t="str">
        <f t="shared" si="214"/>
        <v>MS</v>
      </c>
    </row>
    <row r="6281" spans="1:6" x14ac:dyDescent="0.25">
      <c r="A6281" t="str">
        <f>"000119246"</f>
        <v>000119246</v>
      </c>
      <c r="B6281" t="str">
        <f>"1003841073"</f>
        <v>1003841073</v>
      </c>
      <c r="C6281" t="str">
        <f>"207R00000X"</f>
        <v>207R00000X</v>
      </c>
      <c r="D6281" t="str">
        <f>"HARRISON                 JERRY        S           "</f>
        <v xml:space="preserve">HARRISON                 JERRY        S           </v>
      </c>
      <c r="E6281" t="str">
        <f>"MADISON                   "</f>
        <v xml:space="preserve">MADISON                   </v>
      </c>
      <c r="F6281" t="str">
        <f t="shared" si="214"/>
        <v>MS</v>
      </c>
    </row>
    <row r="6282" spans="1:6" x14ac:dyDescent="0.25">
      <c r="A6282" t="str">
        <f>"000119247"</f>
        <v>000119247</v>
      </c>
      <c r="B6282" t="str">
        <f>"1679688113"</f>
        <v>1679688113</v>
      </c>
      <c r="C6282" t="str">
        <f>"207Y00000X"</f>
        <v>207Y00000X</v>
      </c>
      <c r="D6282" t="str">
        <f>"BERRY                    JAMES        M           "</f>
        <v xml:space="preserve">BERRY                    JAMES        M           </v>
      </c>
      <c r="E6282" t="str">
        <f>"TUPELO                    "</f>
        <v xml:space="preserve">TUPELO                    </v>
      </c>
      <c r="F6282" t="str">
        <f t="shared" si="214"/>
        <v>MS</v>
      </c>
    </row>
    <row r="6283" spans="1:6" x14ac:dyDescent="0.25">
      <c r="A6283" t="str">
        <f>"000119264"</f>
        <v>000119264</v>
      </c>
      <c r="B6283" t="str">
        <f>"1649241878"</f>
        <v>1649241878</v>
      </c>
      <c r="C6283" t="str">
        <f>"208600000X"</f>
        <v>208600000X</v>
      </c>
      <c r="D6283" t="str">
        <f>"MCAULEY                  ROBERT       T           "</f>
        <v xml:space="preserve">MCAULEY                  ROBERT       T           </v>
      </c>
      <c r="E6283" t="str">
        <f>"OXFORD                    "</f>
        <v xml:space="preserve">OXFORD                    </v>
      </c>
      <c r="F6283" t="str">
        <f t="shared" si="214"/>
        <v>MS</v>
      </c>
    </row>
    <row r="6284" spans="1:6" x14ac:dyDescent="0.25">
      <c r="A6284" t="str">
        <f>"000119265"</f>
        <v>000119265</v>
      </c>
      <c r="B6284" t="str">
        <f>"1336246446"</f>
        <v>1336246446</v>
      </c>
      <c r="C6284" t="str">
        <f>"207W00000X"</f>
        <v>207W00000X</v>
      </c>
      <c r="D6284" t="str">
        <f>"STEVENS                  CARL         W           "</f>
        <v xml:space="preserve">STEVENS                  CARL         W           </v>
      </c>
      <c r="E6284" t="str">
        <f>"LAUREL                    "</f>
        <v xml:space="preserve">LAUREL                    </v>
      </c>
      <c r="F6284" t="str">
        <f t="shared" si="214"/>
        <v>MS</v>
      </c>
    </row>
    <row r="6285" spans="1:6" x14ac:dyDescent="0.25">
      <c r="A6285" t="str">
        <f>"000119301"</f>
        <v>000119301</v>
      </c>
      <c r="B6285" t="str">
        <f>"1053426908"</f>
        <v>1053426908</v>
      </c>
      <c r="C6285" t="str">
        <f>"208000000X"</f>
        <v>208000000X</v>
      </c>
      <c r="D6285" t="str">
        <f>"SAMMS                    CHARLES      G           "</f>
        <v xml:space="preserve">SAMMS                    CHARLES      G           </v>
      </c>
      <c r="E6285" t="str">
        <f>"GULFPORT                  "</f>
        <v xml:space="preserve">GULFPORT                  </v>
      </c>
      <c r="F6285" t="str">
        <f t="shared" si="214"/>
        <v>MS</v>
      </c>
    </row>
    <row r="6286" spans="1:6" x14ac:dyDescent="0.25">
      <c r="A6286" t="str">
        <f>"000119307"</f>
        <v>000119307</v>
      </c>
      <c r="B6286" t="str">
        <f>"1154346559"</f>
        <v>1154346559</v>
      </c>
      <c r="C6286" t="str">
        <f>"208000000X"</f>
        <v>208000000X</v>
      </c>
      <c r="D6286" t="str">
        <f>"PARVIN                   GREGORY                  "</f>
        <v xml:space="preserve">PARVIN                   GREGORY                  </v>
      </c>
      <c r="E6286" t="str">
        <f>"HATTIESBURG               "</f>
        <v xml:space="preserve">HATTIESBURG               </v>
      </c>
      <c r="F6286" t="str">
        <f t="shared" si="214"/>
        <v>MS</v>
      </c>
    </row>
    <row r="6287" spans="1:6" x14ac:dyDescent="0.25">
      <c r="A6287" t="str">
        <f>"000119309"</f>
        <v>000119309</v>
      </c>
      <c r="B6287" t="str">
        <f>"1497705453"</f>
        <v>1497705453</v>
      </c>
      <c r="C6287" t="str">
        <f>"207Q00000X"</f>
        <v>207Q00000X</v>
      </c>
      <c r="D6287" t="str">
        <f>"SUTTLE                   SAMUEL       K           "</f>
        <v xml:space="preserve">SUTTLE                   SAMUEL       K           </v>
      </c>
      <c r="E6287" t="str">
        <f>"ACKERMAN                  "</f>
        <v xml:space="preserve">ACKERMAN                  </v>
      </c>
      <c r="F6287" t="str">
        <f t="shared" si="214"/>
        <v>MS</v>
      </c>
    </row>
    <row r="6288" spans="1:6" x14ac:dyDescent="0.25">
      <c r="A6288" t="str">
        <f>"000119314"</f>
        <v>000119314</v>
      </c>
      <c r="B6288" t="str">
        <f>"1740226117"</f>
        <v>1740226117</v>
      </c>
      <c r="C6288" t="str">
        <f>"207R00000X"</f>
        <v>207R00000X</v>
      </c>
      <c r="D6288" t="str">
        <f>"RINKER                   RONALD       D           "</f>
        <v xml:space="preserve">RINKER                   RONALD       D           </v>
      </c>
      <c r="E6288" t="str">
        <f>"PASCAGOULA                "</f>
        <v xml:space="preserve">PASCAGOULA                </v>
      </c>
      <c r="F6288" t="str">
        <f t="shared" si="214"/>
        <v>MS</v>
      </c>
    </row>
    <row r="6289" spans="1:6" x14ac:dyDescent="0.25">
      <c r="A6289" t="str">
        <f>"000119323"</f>
        <v>000119323</v>
      </c>
      <c r="B6289" t="str">
        <f>"1861495111"</f>
        <v>1861495111</v>
      </c>
      <c r="C6289" t="str">
        <f>"207X00000X"</f>
        <v>207X00000X</v>
      </c>
      <c r="D6289" t="str">
        <f>"GREEN JR                 JAMES        R           "</f>
        <v xml:space="preserve">GREEN JR                 JAMES        R           </v>
      </c>
      <c r="E6289" t="str">
        <f>"COLUMBUS                  "</f>
        <v xml:space="preserve">COLUMBUS                  </v>
      </c>
      <c r="F6289" t="str">
        <f t="shared" si="214"/>
        <v>MS</v>
      </c>
    </row>
    <row r="6290" spans="1:6" x14ac:dyDescent="0.25">
      <c r="A6290" t="str">
        <f>"000119347"</f>
        <v>000119347</v>
      </c>
      <c r="B6290" t="str">
        <f>"1962518373"</f>
        <v>1962518373</v>
      </c>
      <c r="C6290" t="str">
        <f>"367500000X"</f>
        <v>367500000X</v>
      </c>
      <c r="D6290" t="str">
        <f>"KELLEY                   DEBBIE       E           "</f>
        <v xml:space="preserve">KELLEY                   DEBBIE       E           </v>
      </c>
      <c r="E6290" t="str">
        <f>"TUPELO                    "</f>
        <v xml:space="preserve">TUPELO                    </v>
      </c>
      <c r="F6290" t="str">
        <f t="shared" si="214"/>
        <v>MS</v>
      </c>
    </row>
    <row r="6291" spans="1:6" x14ac:dyDescent="0.25">
      <c r="A6291" t="str">
        <f>"000119381"</f>
        <v>000119381</v>
      </c>
      <c r="B6291" t="str">
        <f>"1427041664"</f>
        <v>1427041664</v>
      </c>
      <c r="C6291" t="str">
        <f>"2084N0400X"</f>
        <v>2084N0400X</v>
      </c>
      <c r="D6291" t="str">
        <f>"GRAFF                    JUSTIN       C           "</f>
        <v xml:space="preserve">GRAFF                    JUSTIN       C           </v>
      </c>
      <c r="E6291" t="str">
        <f>"TUPELO                    "</f>
        <v xml:space="preserve">TUPELO                    </v>
      </c>
      <c r="F6291" t="str">
        <f t="shared" si="214"/>
        <v>MS</v>
      </c>
    </row>
    <row r="6292" spans="1:6" x14ac:dyDescent="0.25">
      <c r="A6292" t="str">
        <f>"000119394"</f>
        <v>000119394</v>
      </c>
      <c r="B6292" t="str">
        <f>"1659385276"</f>
        <v>1659385276</v>
      </c>
      <c r="C6292" t="str">
        <f>"207RC0000X"</f>
        <v>207RC0000X</v>
      </c>
      <c r="D6292" t="str">
        <f>"SULLIVAN                 WILLIAM      D           "</f>
        <v xml:space="preserve">SULLIVAN                 WILLIAM      D           </v>
      </c>
      <c r="E6292" t="str">
        <f>"LAUREL                    "</f>
        <v xml:space="preserve">LAUREL                    </v>
      </c>
      <c r="F6292" t="str">
        <f t="shared" si="214"/>
        <v>MS</v>
      </c>
    </row>
    <row r="6293" spans="1:6" x14ac:dyDescent="0.25">
      <c r="A6293" t="str">
        <f>"000119396"</f>
        <v>000119396</v>
      </c>
      <c r="B6293" t="str">
        <f>"1184638033"</f>
        <v>1184638033</v>
      </c>
      <c r="C6293" t="str">
        <f>"2084N0400X"</f>
        <v>2084N0400X</v>
      </c>
      <c r="D6293" t="str">
        <f>"TANIOUS                  AREMMIA      D           "</f>
        <v xml:space="preserve">TANIOUS                  AREMMIA      D           </v>
      </c>
      <c r="E6293" t="str">
        <f>"LAUREL                    "</f>
        <v xml:space="preserve">LAUREL                    </v>
      </c>
      <c r="F6293" t="str">
        <f t="shared" si="214"/>
        <v>MS</v>
      </c>
    </row>
    <row r="6294" spans="1:6" x14ac:dyDescent="0.25">
      <c r="A6294" t="str">
        <f>"000119400"</f>
        <v>000119400</v>
      </c>
      <c r="B6294" t="str">
        <f>"1093887259"</f>
        <v>1093887259</v>
      </c>
      <c r="C6294" t="str">
        <f>"207RG0100X"</f>
        <v>207RG0100X</v>
      </c>
      <c r="D6294" t="str">
        <f>"LEE                      MAKAU        P           "</f>
        <v xml:space="preserve">LEE                      MAKAU        P           </v>
      </c>
      <c r="E6294" t="str">
        <f>"FLOWOOD                   "</f>
        <v xml:space="preserve">FLOWOOD                   </v>
      </c>
      <c r="F6294" t="str">
        <f t="shared" si="214"/>
        <v>MS</v>
      </c>
    </row>
    <row r="6295" spans="1:6" x14ac:dyDescent="0.25">
      <c r="A6295" t="str">
        <f>"000119403"</f>
        <v>000119403</v>
      </c>
      <c r="B6295" t="str">
        <f>"1326181421"</f>
        <v>1326181421</v>
      </c>
      <c r="C6295" t="str">
        <f>"207V00000X"</f>
        <v>207V00000X</v>
      </c>
      <c r="D6295" t="str">
        <f>"KELLUM                   ROY          B           "</f>
        <v xml:space="preserve">KELLUM                   ROY          B           </v>
      </c>
      <c r="E6295" t="str">
        <f>"JACKSON                   "</f>
        <v xml:space="preserve">JACKSON                   </v>
      </c>
      <c r="F6295" t="str">
        <f t="shared" si="214"/>
        <v>MS</v>
      </c>
    </row>
    <row r="6296" spans="1:6" x14ac:dyDescent="0.25">
      <c r="A6296" t="str">
        <f>"000119426"</f>
        <v>000119426</v>
      </c>
      <c r="B6296" t="str">
        <f>"1386721652"</f>
        <v>1386721652</v>
      </c>
      <c r="C6296" t="str">
        <f>"208000000X"</f>
        <v>208000000X</v>
      </c>
      <c r="D6296" t="str">
        <f>"VANNORMAN                KETURAH      M           "</f>
        <v xml:space="preserve">VANNORMAN                KETURAH      M           </v>
      </c>
      <c r="E6296" t="str">
        <f>"BRANDON                   "</f>
        <v xml:space="preserve">BRANDON                   </v>
      </c>
      <c r="F6296" t="str">
        <f t="shared" si="214"/>
        <v>MS</v>
      </c>
    </row>
    <row r="6297" spans="1:6" x14ac:dyDescent="0.25">
      <c r="A6297" t="str">
        <f>"000119434"</f>
        <v>000119434</v>
      </c>
      <c r="B6297" t="str">
        <f>"1881608495"</f>
        <v>1881608495</v>
      </c>
      <c r="C6297" t="str">
        <f>"207R00000X"</f>
        <v>207R00000X</v>
      </c>
      <c r="D6297" t="str">
        <f>"NORTON                   MARK         W           "</f>
        <v xml:space="preserve">NORTON                   MARK         W           </v>
      </c>
      <c r="E6297" t="str">
        <f>"LAUREL                    "</f>
        <v xml:space="preserve">LAUREL                    </v>
      </c>
      <c r="F6297" t="str">
        <f t="shared" si="214"/>
        <v>MS</v>
      </c>
    </row>
    <row r="6298" spans="1:6" x14ac:dyDescent="0.25">
      <c r="A6298" t="str">
        <f>"000119441"</f>
        <v>000119441</v>
      </c>
      <c r="B6298" t="str">
        <f>"1841332970"</f>
        <v>1841332970</v>
      </c>
      <c r="C6298" t="str">
        <f>"207V00000X"</f>
        <v>207V00000X</v>
      </c>
      <c r="D6298" t="str">
        <f>"TUCKER                   JAMES        M           "</f>
        <v xml:space="preserve">TUCKER                   JAMES        M           </v>
      </c>
      <c r="E6298" t="str">
        <f>"JACKSON                   "</f>
        <v xml:space="preserve">JACKSON                   </v>
      </c>
      <c r="F6298" t="str">
        <f t="shared" si="214"/>
        <v>MS</v>
      </c>
    </row>
    <row r="6299" spans="1:6" x14ac:dyDescent="0.25">
      <c r="A6299" t="str">
        <f>"000119447"</f>
        <v>000119447</v>
      </c>
      <c r="B6299" t="str">
        <f>"1811957905"</f>
        <v>1811957905</v>
      </c>
      <c r="C6299" t="str">
        <f>"363L00000X"</f>
        <v>363L00000X</v>
      </c>
      <c r="D6299" t="str">
        <f>"HAYNIE                   LISA                     "</f>
        <v xml:space="preserve">HAYNIE                   LISA                     </v>
      </c>
      <c r="E6299" t="str">
        <f>"JACKSON                   "</f>
        <v xml:space="preserve">JACKSON                   </v>
      </c>
      <c r="F6299" t="str">
        <f t="shared" si="214"/>
        <v>MS</v>
      </c>
    </row>
    <row r="6300" spans="1:6" x14ac:dyDescent="0.25">
      <c r="A6300" t="str">
        <f>"000119465"</f>
        <v>000119465</v>
      </c>
      <c r="B6300" t="str">
        <f>"1083661946"</f>
        <v>1083661946</v>
      </c>
      <c r="C6300" t="str">
        <f>"207R00000X"</f>
        <v>207R00000X</v>
      </c>
      <c r="D6300" t="str">
        <f>"ALEXANDER                BELINDA      B           "</f>
        <v xml:space="preserve">ALEXANDER                BELINDA      B           </v>
      </c>
      <c r="E6300" t="str">
        <f>"GULFPORT                  "</f>
        <v xml:space="preserve">GULFPORT                  </v>
      </c>
      <c r="F6300" t="str">
        <f t="shared" si="214"/>
        <v>MS</v>
      </c>
    </row>
    <row r="6301" spans="1:6" x14ac:dyDescent="0.25">
      <c r="A6301" t="str">
        <f>"000119484"</f>
        <v>000119484</v>
      </c>
      <c r="B6301" t="str">
        <f>"1669413233"</f>
        <v>1669413233</v>
      </c>
      <c r="C6301" t="str">
        <f>"207Q00000X"</f>
        <v>207Q00000X</v>
      </c>
      <c r="D6301" t="str">
        <f>"WATSON                   ROBERT       W           "</f>
        <v xml:space="preserve">WATSON                   ROBERT       W           </v>
      </c>
      <c r="E6301" t="str">
        <f>"PURVIS                    "</f>
        <v xml:space="preserve">PURVIS                    </v>
      </c>
      <c r="F6301" t="str">
        <f t="shared" si="214"/>
        <v>MS</v>
      </c>
    </row>
    <row r="6302" spans="1:6" x14ac:dyDescent="0.25">
      <c r="A6302" t="str">
        <f>"000119486"</f>
        <v>000119486</v>
      </c>
      <c r="B6302" t="str">
        <f>"1063504157"</f>
        <v>1063504157</v>
      </c>
      <c r="C6302" t="str">
        <f>"207RC0000X"</f>
        <v>207RC0000X</v>
      </c>
      <c r="D6302" t="str">
        <f>"HILL                     DOUGLAS      L           "</f>
        <v xml:space="preserve">HILL                     DOUGLAS      L           </v>
      </c>
      <c r="E6302" t="str">
        <f>"TUPELO                    "</f>
        <v xml:space="preserve">TUPELO                    </v>
      </c>
      <c r="F6302" t="str">
        <f t="shared" si="214"/>
        <v>MS</v>
      </c>
    </row>
    <row r="6303" spans="1:6" x14ac:dyDescent="0.25">
      <c r="A6303" t="str">
        <f>"000119489"</f>
        <v>000119489</v>
      </c>
      <c r="B6303" t="str">
        <f>"1356399513"</f>
        <v>1356399513</v>
      </c>
      <c r="C6303" t="str">
        <f>"207P00000X"</f>
        <v>207P00000X</v>
      </c>
      <c r="D6303" t="str">
        <f>"COMBEST                  FELTON       E           "</f>
        <v xml:space="preserve">COMBEST                  FELTON       E           </v>
      </c>
      <c r="E6303" t="str">
        <f>"CLEVELAND                 "</f>
        <v xml:space="preserve">CLEVELAND                 </v>
      </c>
      <c r="F6303" t="str">
        <f t="shared" si="214"/>
        <v>MS</v>
      </c>
    </row>
    <row r="6304" spans="1:6" x14ac:dyDescent="0.25">
      <c r="A6304" t="str">
        <f>"000119492"</f>
        <v>000119492</v>
      </c>
      <c r="B6304" t="str">
        <f>"1598700577"</f>
        <v>1598700577</v>
      </c>
      <c r="C6304" t="str">
        <f>"207Q00000X"</f>
        <v>207Q00000X</v>
      </c>
      <c r="D6304" t="str">
        <f>"SHOOP                    STEPHEN      B           "</f>
        <v xml:space="preserve">SHOOP                    STEPHEN      B           </v>
      </c>
      <c r="E6304" t="str">
        <f>"WHITFIELD                 "</f>
        <v xml:space="preserve">WHITFIELD                 </v>
      </c>
      <c r="F6304" t="str">
        <f t="shared" si="214"/>
        <v>MS</v>
      </c>
    </row>
    <row r="6305" spans="1:6" x14ac:dyDescent="0.25">
      <c r="A6305" t="str">
        <f>"000119495"</f>
        <v>000119495</v>
      </c>
      <c r="B6305" t="str">
        <f>"1760496467"</f>
        <v>1760496467</v>
      </c>
      <c r="C6305" t="str">
        <f>"207RC0000X"</f>
        <v>207RC0000X</v>
      </c>
      <c r="D6305" t="str">
        <f>"RAYFORD                  RICHARD                  "</f>
        <v xml:space="preserve">RAYFORD                  RICHARD                  </v>
      </c>
      <c r="E6305" t="str">
        <f>"JACKSON                   "</f>
        <v xml:space="preserve">JACKSON                   </v>
      </c>
      <c r="F6305" t="str">
        <f t="shared" si="214"/>
        <v>MS</v>
      </c>
    </row>
    <row r="6306" spans="1:6" x14ac:dyDescent="0.25">
      <c r="A6306" t="str">
        <f>"000119497"</f>
        <v>000119497</v>
      </c>
      <c r="B6306" t="str">
        <f>"1053350223"</f>
        <v>1053350223</v>
      </c>
      <c r="C6306" t="str">
        <f>"207V00000X"</f>
        <v>207V00000X</v>
      </c>
      <c r="D6306" t="str">
        <f>"DESANTIS                 ROBERT       A           "</f>
        <v xml:space="preserve">DESANTIS                 ROBERT       A           </v>
      </c>
      <c r="E6306" t="str">
        <f>"ELLISVILLE                "</f>
        <v xml:space="preserve">ELLISVILLE                </v>
      </c>
      <c r="F6306" t="str">
        <f t="shared" si="214"/>
        <v>MS</v>
      </c>
    </row>
    <row r="6307" spans="1:6" x14ac:dyDescent="0.25">
      <c r="A6307" t="str">
        <f>"000119498"</f>
        <v>000119498</v>
      </c>
      <c r="B6307" t="str">
        <f>"1710969472"</f>
        <v>1710969472</v>
      </c>
      <c r="C6307" t="str">
        <f>"207R00000X"</f>
        <v>207R00000X</v>
      </c>
      <c r="D6307" t="str">
        <f>"RUSSELL                  RON          C           "</f>
        <v xml:space="preserve">RUSSELL                  RON          C           </v>
      </c>
      <c r="E6307" t="str">
        <f>"MERIDIAN                  "</f>
        <v xml:space="preserve">MERIDIAN                  </v>
      </c>
      <c r="F6307" t="str">
        <f t="shared" si="214"/>
        <v>MS</v>
      </c>
    </row>
    <row r="6308" spans="1:6" x14ac:dyDescent="0.25">
      <c r="A6308" t="str">
        <f>"000119510"</f>
        <v>000119510</v>
      </c>
      <c r="B6308" t="str">
        <f>"1104808856"</f>
        <v>1104808856</v>
      </c>
      <c r="C6308" t="str">
        <f>"207R00000X"</f>
        <v>207R00000X</v>
      </c>
      <c r="D6308" t="str">
        <f>"BELL                     WILLIAM      S           "</f>
        <v xml:space="preserve">BELL                     WILLIAM      S           </v>
      </c>
      <c r="E6308" t="str">
        <f>"MERIDIAN                  "</f>
        <v xml:space="preserve">MERIDIAN                  </v>
      </c>
      <c r="F6308" t="str">
        <f t="shared" si="214"/>
        <v>MS</v>
      </c>
    </row>
    <row r="6309" spans="1:6" x14ac:dyDescent="0.25">
      <c r="A6309" t="str">
        <f>"000119520"</f>
        <v>000119520</v>
      </c>
      <c r="B6309" t="str">
        <f>"1316050750"</f>
        <v>1316050750</v>
      </c>
      <c r="C6309" t="str">
        <f>"207RN0300X"</f>
        <v>207RN0300X</v>
      </c>
      <c r="D6309" t="str">
        <f>"OLUTADE                  BABATUNDE    O           "</f>
        <v xml:space="preserve">OLUTADE                  BABATUNDE    O           </v>
      </c>
      <c r="E6309" t="str">
        <f>"JACKSON                   "</f>
        <v xml:space="preserve">JACKSON                   </v>
      </c>
      <c r="F6309" t="str">
        <f t="shared" si="214"/>
        <v>MS</v>
      </c>
    </row>
    <row r="6310" spans="1:6" x14ac:dyDescent="0.25">
      <c r="A6310" t="str">
        <f>"000119529"</f>
        <v>000119529</v>
      </c>
      <c r="B6310" t="str">
        <f>"1295727766"</f>
        <v>1295727766</v>
      </c>
      <c r="C6310" t="str">
        <f>"208600000X"</f>
        <v>208600000X</v>
      </c>
      <c r="D6310" t="str">
        <f>"GRAY                     LESLIE       B           "</f>
        <v xml:space="preserve">GRAY                     LESLIE       B           </v>
      </c>
      <c r="E6310" t="str">
        <f>"BILOXI                    "</f>
        <v xml:space="preserve">BILOXI                    </v>
      </c>
      <c r="F6310" t="str">
        <f t="shared" si="214"/>
        <v>MS</v>
      </c>
    </row>
    <row r="6311" spans="1:6" x14ac:dyDescent="0.25">
      <c r="A6311" t="str">
        <f>"000119541"</f>
        <v>000119541</v>
      </c>
      <c r="B6311" t="str">
        <f>"1841284767"</f>
        <v>1841284767</v>
      </c>
      <c r="C6311" t="str">
        <f>"207P00000X"</f>
        <v>207P00000X</v>
      </c>
      <c r="D6311" t="str">
        <f>"LEEK                     GRIF         A           "</f>
        <v xml:space="preserve">LEEK                     GRIF         A           </v>
      </c>
      <c r="E6311" t="str">
        <f>"HATTIESBURG               "</f>
        <v xml:space="preserve">HATTIESBURG               </v>
      </c>
      <c r="F6311" t="str">
        <f t="shared" si="214"/>
        <v>MS</v>
      </c>
    </row>
    <row r="6312" spans="1:6" x14ac:dyDescent="0.25">
      <c r="A6312" t="str">
        <f>"000119543"</f>
        <v>000119543</v>
      </c>
      <c r="B6312" t="str">
        <f>"1710971635"</f>
        <v>1710971635</v>
      </c>
      <c r="C6312" t="str">
        <f>"207P00000X"</f>
        <v>207P00000X</v>
      </c>
      <c r="D6312" t="str">
        <f>"LEEK                     LISA         L           "</f>
        <v xml:space="preserve">LEEK                     LISA         L           </v>
      </c>
      <c r="E6312" t="str">
        <f>"HATTIESBURG               "</f>
        <v xml:space="preserve">HATTIESBURG               </v>
      </c>
      <c r="F6312" t="str">
        <f t="shared" si="214"/>
        <v>MS</v>
      </c>
    </row>
    <row r="6313" spans="1:6" x14ac:dyDescent="0.25">
      <c r="A6313" t="str">
        <f>"000119549"</f>
        <v>000119549</v>
      </c>
      <c r="B6313" t="str">
        <f>"1104857036"</f>
        <v>1104857036</v>
      </c>
      <c r="C6313" t="str">
        <f>"207RI0011X"</f>
        <v>207RI0011X</v>
      </c>
      <c r="D6313" t="str">
        <f>"MCMULLAN                 MICHAEL      R           "</f>
        <v xml:space="preserve">MCMULLAN                 MICHAEL      R           </v>
      </c>
      <c r="E6313" t="str">
        <f>"JACKSON                   "</f>
        <v xml:space="preserve">JACKSON                   </v>
      </c>
      <c r="F6313" t="str">
        <f t="shared" si="214"/>
        <v>MS</v>
      </c>
    </row>
    <row r="6314" spans="1:6" x14ac:dyDescent="0.25">
      <c r="A6314" t="str">
        <f>"000119563"</f>
        <v>000119563</v>
      </c>
      <c r="B6314" t="str">
        <f>"1730196072"</f>
        <v>1730196072</v>
      </c>
      <c r="C6314" t="str">
        <f>"207R00000X"</f>
        <v>207R00000X</v>
      </c>
      <c r="D6314" t="str">
        <f>"ROGERS                   WILLIAM      B           "</f>
        <v xml:space="preserve">ROGERS                   WILLIAM      B           </v>
      </c>
      <c r="E6314" t="str">
        <f>"AMORY                     "</f>
        <v xml:space="preserve">AMORY                     </v>
      </c>
      <c r="F6314" t="str">
        <f t="shared" si="214"/>
        <v>MS</v>
      </c>
    </row>
    <row r="6315" spans="1:6" x14ac:dyDescent="0.25">
      <c r="A6315" t="str">
        <f>"000119588"</f>
        <v>000119588</v>
      </c>
      <c r="B6315" t="str">
        <f>"1174567465"</f>
        <v>1174567465</v>
      </c>
      <c r="C6315" t="str">
        <f>"2080P0206X"</f>
        <v>2080P0206X</v>
      </c>
      <c r="D6315" t="str">
        <f>"BISHOP                   PHYLLIS                  "</f>
        <v xml:space="preserve">BISHOP                   PHYLLIS                  </v>
      </c>
      <c r="E6315" t="str">
        <f>"JACKSON                   "</f>
        <v xml:space="preserve">JACKSON                   </v>
      </c>
      <c r="F6315" t="str">
        <f t="shared" si="214"/>
        <v>MS</v>
      </c>
    </row>
    <row r="6316" spans="1:6" x14ac:dyDescent="0.25">
      <c r="A6316" t="str">
        <f>"000119591"</f>
        <v>000119591</v>
      </c>
      <c r="B6316" t="str">
        <f>"1811999667"</f>
        <v>1811999667</v>
      </c>
      <c r="C6316" t="str">
        <f>"363L00000X"</f>
        <v>363L00000X</v>
      </c>
      <c r="D6316" t="str">
        <f>"HOWELL                   PHILIP                   "</f>
        <v xml:space="preserve">HOWELL                   PHILIP                   </v>
      </c>
      <c r="E6316" t="str">
        <f>"CLEVELAND                 "</f>
        <v xml:space="preserve">CLEVELAND                 </v>
      </c>
      <c r="F6316" t="str">
        <f t="shared" si="214"/>
        <v>MS</v>
      </c>
    </row>
    <row r="6317" spans="1:6" x14ac:dyDescent="0.25">
      <c r="A6317" t="str">
        <f>"000119592"</f>
        <v>000119592</v>
      </c>
      <c r="B6317" t="str">
        <f>"1023067766"</f>
        <v>1023067766</v>
      </c>
      <c r="C6317" t="str">
        <f>"363L00000X"</f>
        <v>363L00000X</v>
      </c>
      <c r="D6317" t="str">
        <f>"RICHARDSON               BETTY        G           "</f>
        <v xml:space="preserve">RICHARDSON               BETTY        G           </v>
      </c>
      <c r="E6317" t="str">
        <f>"MCCOMB                    "</f>
        <v xml:space="preserve">MCCOMB                    </v>
      </c>
      <c r="F6317" t="str">
        <f t="shared" si="214"/>
        <v>MS</v>
      </c>
    </row>
    <row r="6318" spans="1:6" x14ac:dyDescent="0.25">
      <c r="A6318" t="str">
        <f>"000119599"</f>
        <v>000119599</v>
      </c>
      <c r="B6318" t="str">
        <f>"1922106749"</f>
        <v>1922106749</v>
      </c>
      <c r="C6318" t="str">
        <f>"207R00000X"</f>
        <v>207R00000X</v>
      </c>
      <c r="D6318" t="str">
        <f>"LAYNE                    SCOTT        C           "</f>
        <v xml:space="preserve">LAYNE                    SCOTT        C           </v>
      </c>
      <c r="E6318" t="str">
        <f>"FLOWOOD                   "</f>
        <v xml:space="preserve">FLOWOOD                   </v>
      </c>
      <c r="F6318" t="str">
        <f t="shared" si="214"/>
        <v>MS</v>
      </c>
    </row>
    <row r="6319" spans="1:6" x14ac:dyDescent="0.25">
      <c r="A6319" t="str">
        <f>"000119606"</f>
        <v>000119606</v>
      </c>
      <c r="B6319" t="str">
        <f>"1902874571"</f>
        <v>1902874571</v>
      </c>
      <c r="C6319" t="str">
        <f>"207Q00000X"</f>
        <v>207Q00000X</v>
      </c>
      <c r="D6319" t="str">
        <f>"HARRIS                   WILLIAM      K           "</f>
        <v xml:space="preserve">HARRIS                   WILLIAM      K           </v>
      </c>
      <c r="E6319" t="str">
        <f>"BYRAM                     "</f>
        <v xml:space="preserve">BYRAM                     </v>
      </c>
      <c r="F6319" t="str">
        <f t="shared" si="214"/>
        <v>MS</v>
      </c>
    </row>
    <row r="6320" spans="1:6" x14ac:dyDescent="0.25">
      <c r="A6320" t="str">
        <f>"000119607"</f>
        <v>000119607</v>
      </c>
      <c r="B6320" t="str">
        <f>"1265453401"</f>
        <v>1265453401</v>
      </c>
      <c r="C6320" t="str">
        <f>"207X00000X"</f>
        <v>207X00000X</v>
      </c>
      <c r="D6320" t="str">
        <f>"MITIAS                   HANNA        M           "</f>
        <v xml:space="preserve">MITIAS                   HANNA        M           </v>
      </c>
      <c r="E6320" t="str">
        <f>"NEW ALBANY                "</f>
        <v xml:space="preserve">NEW ALBANY                </v>
      </c>
      <c r="F6320" t="str">
        <f t="shared" si="214"/>
        <v>MS</v>
      </c>
    </row>
    <row r="6321" spans="1:6" x14ac:dyDescent="0.25">
      <c r="A6321" t="str">
        <f>"000119617"</f>
        <v>000119617</v>
      </c>
      <c r="B6321" t="str">
        <f>"1285728626"</f>
        <v>1285728626</v>
      </c>
      <c r="C6321" t="str">
        <f>"207V00000X"</f>
        <v>207V00000X</v>
      </c>
      <c r="D6321" t="str">
        <f>"BAUGH                    BRADLEY      R           "</f>
        <v xml:space="preserve">BAUGH                    BRADLEY      R           </v>
      </c>
      <c r="E6321" t="str">
        <f>"CLEVELAND                 "</f>
        <v xml:space="preserve">CLEVELAND                 </v>
      </c>
      <c r="F6321" t="str">
        <f t="shared" si="214"/>
        <v>MS</v>
      </c>
    </row>
    <row r="6322" spans="1:6" x14ac:dyDescent="0.25">
      <c r="A6322" t="str">
        <f>"000119621"</f>
        <v>000119621</v>
      </c>
      <c r="B6322" t="str">
        <f>"1255475943"</f>
        <v>1255475943</v>
      </c>
      <c r="C6322" t="str">
        <f>"207L00000X"</f>
        <v>207L00000X</v>
      </c>
      <c r="D6322" t="str">
        <f>"MARSHALL                 DEREK        E           "</f>
        <v xml:space="preserve">MARSHALL                 DEREK        E           </v>
      </c>
      <c r="E6322" t="str">
        <f>"JACKSON                   "</f>
        <v xml:space="preserve">JACKSON                   </v>
      </c>
      <c r="F6322" t="str">
        <f t="shared" si="214"/>
        <v>MS</v>
      </c>
    </row>
    <row r="6323" spans="1:6" x14ac:dyDescent="0.25">
      <c r="A6323" t="str">
        <f>"000119623"</f>
        <v>000119623</v>
      </c>
      <c r="B6323" t="str">
        <f>"1578592226"</f>
        <v>1578592226</v>
      </c>
      <c r="C6323" t="str">
        <f>"2086S0122X"</f>
        <v>2086S0122X</v>
      </c>
      <c r="D6323" t="str">
        <f>"WEGENER                  ERIC         E           "</f>
        <v xml:space="preserve">WEGENER                  ERIC         E           </v>
      </c>
      <c r="E6323" t="str">
        <f>"FLOWOOD                   "</f>
        <v xml:space="preserve">FLOWOOD                   </v>
      </c>
      <c r="F6323" t="str">
        <f t="shared" si="214"/>
        <v>MS</v>
      </c>
    </row>
    <row r="6324" spans="1:6" x14ac:dyDescent="0.25">
      <c r="A6324" t="str">
        <f>"000119624"</f>
        <v>000119624</v>
      </c>
      <c r="B6324" t="str">
        <f>"1720011695"</f>
        <v>1720011695</v>
      </c>
      <c r="C6324" t="str">
        <f>"2085R0202X"</f>
        <v>2085R0202X</v>
      </c>
      <c r="D6324" t="str">
        <f>"DOHERTY                  MICHAEL                  "</f>
        <v xml:space="preserve">DOHERTY                  MICHAEL                  </v>
      </c>
      <c r="E6324" t="str">
        <f>"JACKSON                   "</f>
        <v xml:space="preserve">JACKSON                   </v>
      </c>
      <c r="F6324" t="str">
        <f t="shared" si="214"/>
        <v>MS</v>
      </c>
    </row>
    <row r="6325" spans="1:6" x14ac:dyDescent="0.25">
      <c r="A6325" t="str">
        <f>"000119625"</f>
        <v>000119625</v>
      </c>
      <c r="B6325" t="str">
        <f>"1134184534"</f>
        <v>1134184534</v>
      </c>
      <c r="C6325" t="str">
        <f>"367500000X"</f>
        <v>367500000X</v>
      </c>
      <c r="D6325" t="str">
        <f>"RAYBORN                  MICHONG      K           "</f>
        <v xml:space="preserve">RAYBORN                  MICHONG      K           </v>
      </c>
      <c r="E6325" t="str">
        <f>"HATTIESBURG               "</f>
        <v xml:space="preserve">HATTIESBURG               </v>
      </c>
      <c r="F6325" t="str">
        <f t="shared" si="214"/>
        <v>MS</v>
      </c>
    </row>
    <row r="6326" spans="1:6" x14ac:dyDescent="0.25">
      <c r="A6326" t="str">
        <f>"000119631"</f>
        <v>000119631</v>
      </c>
      <c r="B6326" t="str">
        <f>"1881615995"</f>
        <v>1881615995</v>
      </c>
      <c r="C6326" t="str">
        <f>"207RP1001X"</f>
        <v>207RP1001X</v>
      </c>
      <c r="D6326" t="str">
        <f>"MCALPIN                  BRODIE       W           "</f>
        <v xml:space="preserve">MCALPIN                  BRODIE       W           </v>
      </c>
      <c r="E6326" t="str">
        <f>"CORINTH                   "</f>
        <v xml:space="preserve">CORINTH                   </v>
      </c>
      <c r="F6326" t="str">
        <f t="shared" si="214"/>
        <v>MS</v>
      </c>
    </row>
    <row r="6327" spans="1:6" x14ac:dyDescent="0.25">
      <c r="A6327" t="str">
        <f>"000119633"</f>
        <v>000119633</v>
      </c>
      <c r="B6327" t="str">
        <f>"1043244510"</f>
        <v>1043244510</v>
      </c>
      <c r="C6327" t="str">
        <f>"207R00000X"</f>
        <v>207R00000X</v>
      </c>
      <c r="D6327" t="str">
        <f>"BARLOW                   CHRISTINA    L           "</f>
        <v xml:space="preserve">BARLOW                   CHRISTINA    L           </v>
      </c>
      <c r="E6327" t="str">
        <f>"JACKSON                   "</f>
        <v xml:space="preserve">JACKSON                   </v>
      </c>
      <c r="F6327" t="str">
        <f t="shared" si="214"/>
        <v>MS</v>
      </c>
    </row>
    <row r="6328" spans="1:6" x14ac:dyDescent="0.25">
      <c r="A6328" t="str">
        <f>"000119634"</f>
        <v>000119634</v>
      </c>
      <c r="B6328" t="str">
        <f>"1003834052"</f>
        <v>1003834052</v>
      </c>
      <c r="C6328" t="str">
        <f>"363L00000X"</f>
        <v>363L00000X</v>
      </c>
      <c r="D6328" t="str">
        <f>"BEARD                    GAIL                     "</f>
        <v xml:space="preserve">BEARD                    GAIL                     </v>
      </c>
      <c r="E6328" t="str">
        <f>"MERIDIAN                  "</f>
        <v xml:space="preserve">MERIDIAN                  </v>
      </c>
      <c r="F6328" t="str">
        <f t="shared" si="214"/>
        <v>MS</v>
      </c>
    </row>
    <row r="6329" spans="1:6" x14ac:dyDescent="0.25">
      <c r="A6329" t="str">
        <f>"000119638"</f>
        <v>000119638</v>
      </c>
      <c r="B6329" t="str">
        <f>"1053408476"</f>
        <v>1053408476</v>
      </c>
      <c r="C6329" t="str">
        <f>"207R00000X"</f>
        <v>207R00000X</v>
      </c>
      <c r="D6329" t="str">
        <f>"CLARK                    STEVEN       G           "</f>
        <v xml:space="preserve">CLARK                    STEVEN       G           </v>
      </c>
      <c r="E6329" t="str">
        <f>"CLEVELAND                 "</f>
        <v xml:space="preserve">CLEVELAND                 </v>
      </c>
      <c r="F6329" t="str">
        <f t="shared" si="214"/>
        <v>MS</v>
      </c>
    </row>
    <row r="6330" spans="1:6" x14ac:dyDescent="0.25">
      <c r="A6330" t="str">
        <f>"000119640"</f>
        <v>000119640</v>
      </c>
      <c r="B6330" t="str">
        <f>"1659366854"</f>
        <v>1659366854</v>
      </c>
      <c r="C6330" t="str">
        <f>"208000000X"</f>
        <v>208000000X</v>
      </c>
      <c r="D6330" t="str">
        <f>"GIBSON                   MICHELLE     J           "</f>
        <v xml:space="preserve">GIBSON                   MICHELLE     J           </v>
      </c>
      <c r="E6330" t="str">
        <f>"JACKSON                   "</f>
        <v xml:space="preserve">JACKSON                   </v>
      </c>
      <c r="F6330" t="str">
        <f t="shared" si="214"/>
        <v>MS</v>
      </c>
    </row>
    <row r="6331" spans="1:6" x14ac:dyDescent="0.25">
      <c r="A6331" t="str">
        <f>"000119666"</f>
        <v>000119666</v>
      </c>
      <c r="B6331" t="str">
        <f>"1851327522"</f>
        <v>1851327522</v>
      </c>
      <c r="C6331" t="str">
        <f>"207Q00000X"</f>
        <v>207Q00000X</v>
      </c>
      <c r="D6331" t="str">
        <f>"DIMITRIADES              DIMITRIOS                "</f>
        <v xml:space="preserve">DIMITRIADES              DIMITRIOS                </v>
      </c>
      <c r="E6331" t="str">
        <f>"GULFPORT                  "</f>
        <v xml:space="preserve">GULFPORT                  </v>
      </c>
      <c r="F6331" t="str">
        <f t="shared" si="214"/>
        <v>MS</v>
      </c>
    </row>
    <row r="6332" spans="1:6" x14ac:dyDescent="0.25">
      <c r="A6332" t="str">
        <f>"000119669"</f>
        <v>000119669</v>
      </c>
      <c r="B6332" t="str">
        <f>"1003836669"</f>
        <v>1003836669</v>
      </c>
      <c r="C6332" t="str">
        <f>"207R00000X"</f>
        <v>207R00000X</v>
      </c>
      <c r="D6332" t="str">
        <f>"BUCKNER                  IRENE        S           "</f>
        <v xml:space="preserve">BUCKNER                  IRENE        S           </v>
      </c>
      <c r="E6332" t="str">
        <f>"CLARKSDALE                "</f>
        <v xml:space="preserve">CLARKSDALE                </v>
      </c>
      <c r="F6332" t="str">
        <f t="shared" si="214"/>
        <v>MS</v>
      </c>
    </row>
    <row r="6333" spans="1:6" x14ac:dyDescent="0.25">
      <c r="A6333" t="str">
        <f>"000119670"</f>
        <v>000119670</v>
      </c>
      <c r="B6333" t="str">
        <f>"1164470720"</f>
        <v>1164470720</v>
      </c>
      <c r="C6333" t="str">
        <f>"207Q00000X"</f>
        <v>207Q00000X</v>
      </c>
      <c r="D6333" t="str">
        <f>"BELL                     WILLIAM                  "</f>
        <v xml:space="preserve">BELL                     WILLIAM                  </v>
      </c>
      <c r="E6333" t="str">
        <f>"TYLERTOWN                 "</f>
        <v xml:space="preserve">TYLERTOWN                 </v>
      </c>
      <c r="F6333" t="str">
        <f t="shared" si="214"/>
        <v>MS</v>
      </c>
    </row>
    <row r="6334" spans="1:6" x14ac:dyDescent="0.25">
      <c r="A6334" t="str">
        <f>"000119693"</f>
        <v>000119693</v>
      </c>
      <c r="B6334" t="str">
        <f>"1063402782"</f>
        <v>1063402782</v>
      </c>
      <c r="C6334" t="str">
        <f>"2085R0202X"</f>
        <v>2085R0202X</v>
      </c>
      <c r="D6334" t="str">
        <f>"PURVIS                   JANI         L           "</f>
        <v xml:space="preserve">PURVIS                   JANI         L           </v>
      </c>
      <c r="E6334" t="str">
        <f>"BROOKHAVEN                "</f>
        <v xml:space="preserve">BROOKHAVEN                </v>
      </c>
      <c r="F6334" t="str">
        <f t="shared" ref="F6334:F6397" si="215">"MS"</f>
        <v>MS</v>
      </c>
    </row>
    <row r="6335" spans="1:6" x14ac:dyDescent="0.25">
      <c r="A6335" t="str">
        <f>"000119694"</f>
        <v>000119694</v>
      </c>
      <c r="B6335" t="str">
        <f>"1649341256"</f>
        <v>1649341256</v>
      </c>
      <c r="C6335" t="str">
        <f>"363L00000X"</f>
        <v>363L00000X</v>
      </c>
      <c r="D6335" t="str">
        <f>"REED                     ANN          M           "</f>
        <v xml:space="preserve">REED                     ANN          M           </v>
      </c>
      <c r="E6335" t="str">
        <f>"DIAMONDHEAD               "</f>
        <v xml:space="preserve">DIAMONDHEAD               </v>
      </c>
      <c r="F6335" t="str">
        <f t="shared" si="215"/>
        <v>MS</v>
      </c>
    </row>
    <row r="6336" spans="1:6" x14ac:dyDescent="0.25">
      <c r="A6336" t="str">
        <f>"000119701"</f>
        <v>000119701</v>
      </c>
      <c r="B6336" t="str">
        <f>"1881737401"</f>
        <v>1881737401</v>
      </c>
      <c r="C6336" t="str">
        <f>"207V00000X"</f>
        <v>207V00000X</v>
      </c>
      <c r="D6336" t="str">
        <f>"NICHOLS                  KIMBERLY     P           "</f>
        <v xml:space="preserve">NICHOLS                  KIMBERLY     P           </v>
      </c>
      <c r="E6336" t="str">
        <f>"JACKSON                   "</f>
        <v xml:space="preserve">JACKSON                   </v>
      </c>
      <c r="F6336" t="str">
        <f t="shared" si="215"/>
        <v>MS</v>
      </c>
    </row>
    <row r="6337" spans="1:6" x14ac:dyDescent="0.25">
      <c r="A6337" t="str">
        <f>"000119713"</f>
        <v>000119713</v>
      </c>
      <c r="B6337" t="str">
        <f>"1063521607"</f>
        <v>1063521607</v>
      </c>
      <c r="C6337" t="str">
        <f>"207R00000X"</f>
        <v>207R00000X</v>
      </c>
      <c r="D6337" t="str">
        <f>"SCHNEIDER-REDDEN         PETRA        R           "</f>
        <v xml:space="preserve">SCHNEIDER-REDDEN         PETRA        R           </v>
      </c>
      <c r="E6337" t="str">
        <f>"HATTIESBURG               "</f>
        <v xml:space="preserve">HATTIESBURG               </v>
      </c>
      <c r="F6337" t="str">
        <f t="shared" si="215"/>
        <v>MS</v>
      </c>
    </row>
    <row r="6338" spans="1:6" x14ac:dyDescent="0.25">
      <c r="A6338" t="str">
        <f>"000119717"</f>
        <v>000119717</v>
      </c>
      <c r="B6338" t="str">
        <f>"1639110737"</f>
        <v>1639110737</v>
      </c>
      <c r="C6338" t="str">
        <f>"208D00000X"</f>
        <v>208D00000X</v>
      </c>
      <c r="D6338" t="str">
        <f>"CHEN                     YEN CHOU     J           "</f>
        <v xml:space="preserve">CHEN                     YEN CHOU     J           </v>
      </c>
      <c r="E6338" t="str">
        <f>"OCEAN SPRINGS             "</f>
        <v xml:space="preserve">OCEAN SPRINGS             </v>
      </c>
      <c r="F6338" t="str">
        <f t="shared" si="215"/>
        <v>MS</v>
      </c>
    </row>
    <row r="6339" spans="1:6" x14ac:dyDescent="0.25">
      <c r="A6339" t="str">
        <f>"000119731"</f>
        <v>000119731</v>
      </c>
      <c r="B6339" t="str">
        <f>"1851323687"</f>
        <v>1851323687</v>
      </c>
      <c r="C6339" t="str">
        <f>"2086S0122X"</f>
        <v>2086S0122X</v>
      </c>
      <c r="D6339" t="str">
        <f>"DAVIDSON                 STEPHEN      F           "</f>
        <v xml:space="preserve">DAVIDSON                 STEPHEN      F           </v>
      </c>
      <c r="E6339" t="str">
        <f>"FLOWOOD                   "</f>
        <v xml:space="preserve">FLOWOOD                   </v>
      </c>
      <c r="F6339" t="str">
        <f t="shared" si="215"/>
        <v>MS</v>
      </c>
    </row>
    <row r="6340" spans="1:6" x14ac:dyDescent="0.25">
      <c r="A6340" t="str">
        <f>"000119732"</f>
        <v>000119732</v>
      </c>
      <c r="B6340" t="str">
        <f>"1427032754"</f>
        <v>1427032754</v>
      </c>
      <c r="C6340" t="str">
        <f>"2084N0400X"</f>
        <v>2084N0400X</v>
      </c>
      <c r="D6340" t="str">
        <f>"CASSADA                  MARGARET     K           "</f>
        <v xml:space="preserve">CASSADA                  MARGARET     K           </v>
      </c>
      <c r="E6340" t="str">
        <f>"LELAND                    "</f>
        <v xml:space="preserve">LELAND                    </v>
      </c>
      <c r="F6340" t="str">
        <f t="shared" si="215"/>
        <v>MS</v>
      </c>
    </row>
    <row r="6341" spans="1:6" x14ac:dyDescent="0.25">
      <c r="A6341" t="str">
        <f>"000119740"</f>
        <v>000119740</v>
      </c>
      <c r="B6341" t="str">
        <f>"1124133400"</f>
        <v>1124133400</v>
      </c>
      <c r="C6341" t="str">
        <f>"207R00000X"</f>
        <v>207R00000X</v>
      </c>
      <c r="D6341" t="str">
        <f>"HEM                      HALVOR       W           "</f>
        <v xml:space="preserve">HEM                      HALVOR       W           </v>
      </c>
      <c r="E6341" t="str">
        <f>"LONG BEACH                "</f>
        <v xml:space="preserve">LONG BEACH                </v>
      </c>
      <c r="F6341" t="str">
        <f t="shared" si="215"/>
        <v>MS</v>
      </c>
    </row>
    <row r="6342" spans="1:6" x14ac:dyDescent="0.25">
      <c r="A6342" t="str">
        <f>"000119756"</f>
        <v>000119756</v>
      </c>
      <c r="B6342" t="str">
        <f>"1407859887"</f>
        <v>1407859887</v>
      </c>
      <c r="C6342" t="str">
        <f>"207RG0100X"</f>
        <v>207RG0100X</v>
      </c>
      <c r="D6342" t="str">
        <f>"FOX                      HENRY        C           "</f>
        <v xml:space="preserve">FOX                      HENRY        C           </v>
      </c>
      <c r="E6342" t="str">
        <f>"HATTESBURGI               "</f>
        <v xml:space="preserve">HATTESBURGI               </v>
      </c>
      <c r="F6342" t="str">
        <f t="shared" si="215"/>
        <v>MS</v>
      </c>
    </row>
    <row r="6343" spans="1:6" x14ac:dyDescent="0.25">
      <c r="A6343" t="str">
        <f>"000119757"</f>
        <v>000119757</v>
      </c>
      <c r="B6343" t="str">
        <f>"1760485148"</f>
        <v>1760485148</v>
      </c>
      <c r="C6343" t="str">
        <f>"207RG0100X"</f>
        <v>207RG0100X</v>
      </c>
      <c r="D6343" t="str">
        <f>"MORRISSETTE              CHARLES      T           "</f>
        <v xml:space="preserve">MORRISSETTE              CHARLES      T           </v>
      </c>
      <c r="E6343" t="str">
        <f>"HATTIESBURG               "</f>
        <v xml:space="preserve">HATTIESBURG               </v>
      </c>
      <c r="F6343" t="str">
        <f t="shared" si="215"/>
        <v>MS</v>
      </c>
    </row>
    <row r="6344" spans="1:6" x14ac:dyDescent="0.25">
      <c r="A6344" t="str">
        <f>"000119762"</f>
        <v>000119762</v>
      </c>
      <c r="B6344" t="str">
        <f>"1619933744"</f>
        <v>1619933744</v>
      </c>
      <c r="C6344" t="str">
        <f>"207R00000X"</f>
        <v>207R00000X</v>
      </c>
      <c r="D6344" t="str">
        <f>"SMITH, II                BOBBY        H           "</f>
        <v xml:space="preserve">SMITH, II                BOBBY        H           </v>
      </c>
      <c r="E6344" t="str">
        <f>"PHILADELPHIA              "</f>
        <v xml:space="preserve">PHILADELPHIA              </v>
      </c>
      <c r="F6344" t="str">
        <f t="shared" si="215"/>
        <v>MS</v>
      </c>
    </row>
    <row r="6345" spans="1:6" x14ac:dyDescent="0.25">
      <c r="A6345" t="str">
        <f>"000119774"</f>
        <v>000119774</v>
      </c>
      <c r="B6345" t="str">
        <f>"1780799981"</f>
        <v>1780799981</v>
      </c>
      <c r="C6345" t="str">
        <f>"208D00000X"</f>
        <v>208D00000X</v>
      </c>
      <c r="D6345" t="str">
        <f>"MAALOUF                  MOUSA                    "</f>
        <v xml:space="preserve">MAALOUF                  MOUSA                    </v>
      </c>
      <c r="E6345" t="str">
        <f>"GULFPORT                  "</f>
        <v xml:space="preserve">GULFPORT                  </v>
      </c>
      <c r="F6345" t="str">
        <f t="shared" si="215"/>
        <v>MS</v>
      </c>
    </row>
    <row r="6346" spans="1:6" x14ac:dyDescent="0.25">
      <c r="A6346" t="str">
        <f>"000119779"</f>
        <v>000119779</v>
      </c>
      <c r="B6346" t="str">
        <f>"1285679068"</f>
        <v>1285679068</v>
      </c>
      <c r="C6346" t="str">
        <f>"208000000X"</f>
        <v>208000000X</v>
      </c>
      <c r="D6346" t="str">
        <f>"NARAYANAN                MANOJ                    "</f>
        <v xml:space="preserve">NARAYANAN                MANOJ                    </v>
      </c>
      <c r="E6346" t="str">
        <f>"SOUTHAVEN                 "</f>
        <v xml:space="preserve">SOUTHAVEN                 </v>
      </c>
      <c r="F6346" t="str">
        <f t="shared" si="215"/>
        <v>MS</v>
      </c>
    </row>
    <row r="6347" spans="1:6" x14ac:dyDescent="0.25">
      <c r="A6347" t="str">
        <f>"000119784"</f>
        <v>000119784</v>
      </c>
      <c r="B6347" t="str">
        <f>"1144230038"</f>
        <v>1144230038</v>
      </c>
      <c r="C6347" t="str">
        <f>"2084P0800X"</f>
        <v>2084P0800X</v>
      </c>
      <c r="D6347" t="str">
        <f>"RICHARDSON               JOHN         D           "</f>
        <v xml:space="preserve">RICHARDSON               JOHN         D           </v>
      </c>
      <c r="E6347" t="str">
        <f>"BROOKHAVEN                "</f>
        <v xml:space="preserve">BROOKHAVEN                </v>
      </c>
      <c r="F6347" t="str">
        <f t="shared" si="215"/>
        <v>MS</v>
      </c>
    </row>
    <row r="6348" spans="1:6" x14ac:dyDescent="0.25">
      <c r="A6348" t="str">
        <f>"000119787"</f>
        <v>000119787</v>
      </c>
      <c r="B6348" t="str">
        <f>"1194758854"</f>
        <v>1194758854</v>
      </c>
      <c r="C6348" t="str">
        <f>"207RG0300X"</f>
        <v>207RG0300X</v>
      </c>
      <c r="D6348" t="str">
        <f>"GREGG                    KATHARINE    T           "</f>
        <v xml:space="preserve">GREGG                    KATHARINE    T           </v>
      </c>
      <c r="E6348" t="str">
        <f>"JACKSON                   "</f>
        <v xml:space="preserve">JACKSON                   </v>
      </c>
      <c r="F6348" t="str">
        <f t="shared" si="215"/>
        <v>MS</v>
      </c>
    </row>
    <row r="6349" spans="1:6" x14ac:dyDescent="0.25">
      <c r="A6349" t="str">
        <f>"000119790"</f>
        <v>000119790</v>
      </c>
      <c r="B6349" t="str">
        <f>"1003817982"</f>
        <v>1003817982</v>
      </c>
      <c r="C6349" t="str">
        <f>"2085R0202X"</f>
        <v>2085R0202X</v>
      </c>
      <c r="D6349" t="str">
        <f>"LAWSON                   ERIC         D           "</f>
        <v xml:space="preserve">LAWSON                   ERIC         D           </v>
      </c>
      <c r="E6349" t="str">
        <f>"GULFPORT                  "</f>
        <v xml:space="preserve">GULFPORT                  </v>
      </c>
      <c r="F6349" t="str">
        <f t="shared" si="215"/>
        <v>MS</v>
      </c>
    </row>
    <row r="6350" spans="1:6" x14ac:dyDescent="0.25">
      <c r="A6350" t="str">
        <f>"000119791"</f>
        <v>000119791</v>
      </c>
      <c r="B6350" t="str">
        <f>"1134107139"</f>
        <v>1134107139</v>
      </c>
      <c r="C6350" t="str">
        <f>"363L00000X"</f>
        <v>363L00000X</v>
      </c>
      <c r="D6350" t="str">
        <f>"ARNOLD                   KATHLEEN     C           "</f>
        <v xml:space="preserve">ARNOLD                   KATHLEEN     C           </v>
      </c>
      <c r="E6350" t="str">
        <f>"OCEAN SPRINGS             "</f>
        <v xml:space="preserve">OCEAN SPRINGS             </v>
      </c>
      <c r="F6350" t="str">
        <f t="shared" si="215"/>
        <v>MS</v>
      </c>
    </row>
    <row r="6351" spans="1:6" x14ac:dyDescent="0.25">
      <c r="A6351" t="str">
        <f>"000119796"</f>
        <v>000119796</v>
      </c>
      <c r="B6351" t="str">
        <f>"1649363656"</f>
        <v>1649363656</v>
      </c>
      <c r="C6351" t="str">
        <f>"207R00000X"</f>
        <v>207R00000X</v>
      </c>
      <c r="D6351" t="str">
        <f>"CHANG                    KI           M           "</f>
        <v xml:space="preserve">CHANG                    KI           M           </v>
      </c>
      <c r="E6351" t="str">
        <f>"SOUTHAVEN                 "</f>
        <v xml:space="preserve">SOUTHAVEN                 </v>
      </c>
      <c r="F6351" t="str">
        <f t="shared" si="215"/>
        <v>MS</v>
      </c>
    </row>
    <row r="6352" spans="1:6" x14ac:dyDescent="0.25">
      <c r="A6352" t="str">
        <f>"000119803"</f>
        <v>000119803</v>
      </c>
      <c r="B6352" t="str">
        <f>"1518964972"</f>
        <v>1518964972</v>
      </c>
      <c r="C6352" t="str">
        <f>"363L00000X"</f>
        <v>363L00000X</v>
      </c>
      <c r="D6352" t="str">
        <f>"BAGGETT MASK             BONNIE       J           "</f>
        <v xml:space="preserve">BAGGETT MASK             BONNIE       J           </v>
      </c>
      <c r="E6352" t="str">
        <f>"NEW ALBANY                "</f>
        <v xml:space="preserve">NEW ALBANY                </v>
      </c>
      <c r="F6352" t="str">
        <f t="shared" si="215"/>
        <v>MS</v>
      </c>
    </row>
    <row r="6353" spans="1:6" x14ac:dyDescent="0.25">
      <c r="A6353" t="str">
        <f>"000119820"</f>
        <v>000119820</v>
      </c>
      <c r="B6353" t="str">
        <f>"1952338659"</f>
        <v>1952338659</v>
      </c>
      <c r="C6353" t="str">
        <f>"207R00000X"</f>
        <v>207R00000X</v>
      </c>
      <c r="D6353" t="str">
        <f>"HALINSKI                 DAVID        M           "</f>
        <v xml:space="preserve">HALINSKI                 DAVID        M           </v>
      </c>
      <c r="E6353" t="str">
        <f>"VICKSBURG                 "</f>
        <v xml:space="preserve">VICKSBURG                 </v>
      </c>
      <c r="F6353" t="str">
        <f t="shared" si="215"/>
        <v>MS</v>
      </c>
    </row>
    <row r="6354" spans="1:6" x14ac:dyDescent="0.25">
      <c r="A6354" t="str">
        <f>"000119852"</f>
        <v>000119852</v>
      </c>
      <c r="B6354" t="str">
        <f>"1588627244"</f>
        <v>1588627244</v>
      </c>
      <c r="C6354" t="str">
        <f>"207N00000X"</f>
        <v>207N00000X</v>
      </c>
      <c r="D6354" t="str">
        <f>"TABOR                    ERIC         N           "</f>
        <v xml:space="preserve">TABOR                    ERIC         N           </v>
      </c>
      <c r="E6354" t="str">
        <f>"PICAYUNE                  "</f>
        <v xml:space="preserve">PICAYUNE                  </v>
      </c>
      <c r="F6354" t="str">
        <f t="shared" si="215"/>
        <v>MS</v>
      </c>
    </row>
    <row r="6355" spans="1:6" x14ac:dyDescent="0.25">
      <c r="A6355" t="str">
        <f>"000119853"</f>
        <v>000119853</v>
      </c>
      <c r="B6355" t="str">
        <f>"1225067127"</f>
        <v>1225067127</v>
      </c>
      <c r="C6355" t="str">
        <f>"208D00000X"</f>
        <v>208D00000X</v>
      </c>
      <c r="D6355" t="str">
        <f>"SIKES                    JAMES        N           "</f>
        <v xml:space="preserve">SIKES                    JAMES        N           </v>
      </c>
      <c r="E6355" t="str">
        <f>"HATTIESBURG               "</f>
        <v xml:space="preserve">HATTIESBURG               </v>
      </c>
      <c r="F6355" t="str">
        <f t="shared" si="215"/>
        <v>MS</v>
      </c>
    </row>
    <row r="6356" spans="1:6" x14ac:dyDescent="0.25">
      <c r="A6356" t="str">
        <f>"000119854"</f>
        <v>000119854</v>
      </c>
      <c r="B6356" t="str">
        <f>"1366487365"</f>
        <v>1366487365</v>
      </c>
      <c r="C6356" t="str">
        <f>"207RC0000X"</f>
        <v>207RC0000X</v>
      </c>
      <c r="D6356" t="str">
        <f>"YOUNG                    DAVID        R           "</f>
        <v xml:space="preserve">YOUNG                    DAVID        R           </v>
      </c>
      <c r="E6356" t="str">
        <f>"JACKSON                   "</f>
        <v xml:space="preserve">JACKSON                   </v>
      </c>
      <c r="F6356" t="str">
        <f t="shared" si="215"/>
        <v>MS</v>
      </c>
    </row>
    <row r="6357" spans="1:6" x14ac:dyDescent="0.25">
      <c r="A6357" t="str">
        <f>"000119862"</f>
        <v>000119862</v>
      </c>
      <c r="B6357" t="str">
        <f>"1275599656"</f>
        <v>1275599656</v>
      </c>
      <c r="C6357" t="str">
        <f>"207R00000X"</f>
        <v>207R00000X</v>
      </c>
      <c r="D6357" t="str">
        <f>"UNGO                     JAIME        R           "</f>
        <v xml:space="preserve">UNGO                     JAIME        R           </v>
      </c>
      <c r="E6357" t="str">
        <f>"TUPELO                    "</f>
        <v xml:space="preserve">TUPELO                    </v>
      </c>
      <c r="F6357" t="str">
        <f t="shared" si="215"/>
        <v>MS</v>
      </c>
    </row>
    <row r="6358" spans="1:6" x14ac:dyDescent="0.25">
      <c r="A6358" t="str">
        <f>"000119869"</f>
        <v>000119869</v>
      </c>
      <c r="B6358" t="str">
        <f>"1730293887"</f>
        <v>1730293887</v>
      </c>
      <c r="C6358" t="str">
        <f>"207RX0202X"</f>
        <v>207RX0202X</v>
      </c>
      <c r="D6358" t="str">
        <f>"JONES JR                 ROBERT       H           "</f>
        <v xml:space="preserve">JONES JR                 ROBERT       H           </v>
      </c>
      <c r="E6358" t="str">
        <f>"COLUMBUS                  "</f>
        <v xml:space="preserve">COLUMBUS                  </v>
      </c>
      <c r="F6358" t="str">
        <f t="shared" si="215"/>
        <v>MS</v>
      </c>
    </row>
    <row r="6359" spans="1:6" x14ac:dyDescent="0.25">
      <c r="A6359" t="str">
        <f>"000119879"</f>
        <v>000119879</v>
      </c>
      <c r="B6359" t="str">
        <f>"1679554323"</f>
        <v>1679554323</v>
      </c>
      <c r="C6359" t="str">
        <f>"207L00000X"</f>
        <v>207L00000X</v>
      </c>
      <c r="D6359" t="str">
        <f>"BESSELIEVRE              TODD         R           "</f>
        <v xml:space="preserve">BESSELIEVRE              TODD         R           </v>
      </c>
      <c r="E6359" t="str">
        <f>"GREENWOOD                 "</f>
        <v xml:space="preserve">GREENWOOD                 </v>
      </c>
      <c r="F6359" t="str">
        <f t="shared" si="215"/>
        <v>MS</v>
      </c>
    </row>
    <row r="6360" spans="1:6" x14ac:dyDescent="0.25">
      <c r="A6360" t="str">
        <f>"000119881"</f>
        <v>000119881</v>
      </c>
      <c r="B6360" t="str">
        <f>"1437264504"</f>
        <v>1437264504</v>
      </c>
      <c r="C6360" t="str">
        <f>"207Q00000X"</f>
        <v>207Q00000X</v>
      </c>
      <c r="D6360" t="str">
        <f>"CHANCE                   RICKEY                   "</f>
        <v xml:space="preserve">CHANCE                   RICKEY                   </v>
      </c>
      <c r="E6360" t="str">
        <f>"BILOXI                    "</f>
        <v xml:space="preserve">BILOXI                    </v>
      </c>
      <c r="F6360" t="str">
        <f t="shared" si="215"/>
        <v>MS</v>
      </c>
    </row>
    <row r="6361" spans="1:6" x14ac:dyDescent="0.25">
      <c r="A6361" t="str">
        <f>"000119913"</f>
        <v>000119913</v>
      </c>
      <c r="B6361" t="str">
        <f>"1861451510"</f>
        <v>1861451510</v>
      </c>
      <c r="C6361" t="str">
        <f>"363L00000X"</f>
        <v>363L00000X</v>
      </c>
      <c r="D6361" t="str">
        <f>"FLETCHER                 AUDWIN       B           "</f>
        <v xml:space="preserve">FLETCHER                 AUDWIN       B           </v>
      </c>
      <c r="E6361" t="str">
        <f>"JACKSON                   "</f>
        <v xml:space="preserve">JACKSON                   </v>
      </c>
      <c r="F6361" t="str">
        <f t="shared" si="215"/>
        <v>MS</v>
      </c>
    </row>
    <row r="6362" spans="1:6" x14ac:dyDescent="0.25">
      <c r="A6362" t="str">
        <f>"000119922"</f>
        <v>000119922</v>
      </c>
      <c r="B6362" t="str">
        <f>"1548365901"</f>
        <v>1548365901</v>
      </c>
      <c r="C6362" t="str">
        <f>"363L00000X"</f>
        <v>363L00000X</v>
      </c>
      <c r="D6362" t="str">
        <f>"SPEARS                   MARVELL                  "</f>
        <v xml:space="preserve">SPEARS                   MARVELL                  </v>
      </c>
      <c r="E6362" t="str">
        <f>"PORT GIBSON               "</f>
        <v xml:space="preserve">PORT GIBSON               </v>
      </c>
      <c r="F6362" t="str">
        <f t="shared" si="215"/>
        <v>MS</v>
      </c>
    </row>
    <row r="6363" spans="1:6" x14ac:dyDescent="0.25">
      <c r="A6363" t="str">
        <f>"000119927"</f>
        <v>000119927</v>
      </c>
      <c r="B6363" t="str">
        <f>"1649294042"</f>
        <v>1649294042</v>
      </c>
      <c r="C6363" t="str">
        <f>"207R00000X"</f>
        <v>207R00000X</v>
      </c>
      <c r="D6363" t="str">
        <f>"NOYES                    TIMOTHY      L           "</f>
        <v xml:space="preserve">NOYES                    TIMOTHY      L           </v>
      </c>
      <c r="E6363" t="str">
        <f>"CORINTH                   "</f>
        <v xml:space="preserve">CORINTH                   </v>
      </c>
      <c r="F6363" t="str">
        <f t="shared" si="215"/>
        <v>MS</v>
      </c>
    </row>
    <row r="6364" spans="1:6" x14ac:dyDescent="0.25">
      <c r="A6364" t="str">
        <f>"000119928"</f>
        <v>000119928</v>
      </c>
      <c r="B6364" t="str">
        <f>"1306869375"</f>
        <v>1306869375</v>
      </c>
      <c r="C6364" t="str">
        <f>"207Q00000X"</f>
        <v>207Q00000X</v>
      </c>
      <c r="D6364" t="str">
        <f>"YATES                    ERICA        L           "</f>
        <v xml:space="preserve">YATES                    ERICA        L           </v>
      </c>
      <c r="E6364" t="str">
        <f>"CORINTH                   "</f>
        <v xml:space="preserve">CORINTH                   </v>
      </c>
      <c r="F6364" t="str">
        <f t="shared" si="215"/>
        <v>MS</v>
      </c>
    </row>
    <row r="6365" spans="1:6" x14ac:dyDescent="0.25">
      <c r="A6365" t="str">
        <f>"000119935"</f>
        <v>000119935</v>
      </c>
      <c r="B6365" t="str">
        <f>"1760455257"</f>
        <v>1760455257</v>
      </c>
      <c r="C6365" t="str">
        <f>"207V00000X"</f>
        <v>207V00000X</v>
      </c>
      <c r="D6365" t="str">
        <f>"WASHBURNE                ELIZABETH    C           "</f>
        <v xml:space="preserve">WASHBURNE                ELIZABETH    C           </v>
      </c>
      <c r="E6365" t="str">
        <f>"HATTIESBURG               "</f>
        <v xml:space="preserve">HATTIESBURG               </v>
      </c>
      <c r="F6365" t="str">
        <f t="shared" si="215"/>
        <v>MS</v>
      </c>
    </row>
    <row r="6366" spans="1:6" x14ac:dyDescent="0.25">
      <c r="A6366" t="str">
        <f>"000119937"</f>
        <v>000119937</v>
      </c>
      <c r="B6366" t="str">
        <f>"1700896263"</f>
        <v>1700896263</v>
      </c>
      <c r="C6366" t="str">
        <f>"207Q00000X"</f>
        <v>207Q00000X</v>
      </c>
      <c r="D6366" t="str">
        <f>"JOHNSTON                 LEWIS        D           "</f>
        <v xml:space="preserve">JOHNSTON                 LEWIS        D           </v>
      </c>
      <c r="E6366" t="str">
        <f>"MADISON                   "</f>
        <v xml:space="preserve">MADISON                   </v>
      </c>
      <c r="F6366" t="str">
        <f t="shared" si="215"/>
        <v>MS</v>
      </c>
    </row>
    <row r="6367" spans="1:6" x14ac:dyDescent="0.25">
      <c r="A6367" t="str">
        <f>"000119981"</f>
        <v>000119981</v>
      </c>
      <c r="B6367" t="str">
        <f>"1295898724"</f>
        <v>1295898724</v>
      </c>
      <c r="C6367" t="str">
        <f>"207R00000X"</f>
        <v>207R00000X</v>
      </c>
      <c r="D6367" t="str">
        <f>"MARSHALL                 NYRON        T           "</f>
        <v xml:space="preserve">MARSHALL                 NYRON        T           </v>
      </c>
      <c r="E6367" t="str">
        <f>"GULFPORT                  "</f>
        <v xml:space="preserve">GULFPORT                  </v>
      </c>
      <c r="F6367" t="str">
        <f t="shared" si="215"/>
        <v>MS</v>
      </c>
    </row>
    <row r="6368" spans="1:6" x14ac:dyDescent="0.25">
      <c r="A6368" t="str">
        <f>"000119995"</f>
        <v>000119995</v>
      </c>
      <c r="B6368" t="str">
        <f>"1285700443"</f>
        <v>1285700443</v>
      </c>
      <c r="C6368" t="str">
        <f>"363L00000X"</f>
        <v>363L00000X</v>
      </c>
      <c r="D6368" t="str">
        <f>"MOORE                    DEBORAH      B           "</f>
        <v xml:space="preserve">MOORE                    DEBORAH      B           </v>
      </c>
      <c r="E6368" t="str">
        <f>"CORINTH                   "</f>
        <v xml:space="preserve">CORINTH                   </v>
      </c>
      <c r="F6368" t="str">
        <f t="shared" si="215"/>
        <v>MS</v>
      </c>
    </row>
    <row r="6369" spans="1:6" x14ac:dyDescent="0.25">
      <c r="A6369" t="str">
        <f>"000120013"</f>
        <v>000120013</v>
      </c>
      <c r="B6369" t="str">
        <f>"1649215526"</f>
        <v>1649215526</v>
      </c>
      <c r="C6369" t="str">
        <f>"2080P0206X"</f>
        <v>2080P0206X</v>
      </c>
      <c r="D6369" t="str">
        <f>"NOWICKI                  MICHAEL      J           "</f>
        <v xml:space="preserve">NOWICKI                  MICHAEL      J           </v>
      </c>
      <c r="E6369" t="str">
        <f>"JACKSON                   "</f>
        <v xml:space="preserve">JACKSON                   </v>
      </c>
      <c r="F6369" t="str">
        <f t="shared" si="215"/>
        <v>MS</v>
      </c>
    </row>
    <row r="6370" spans="1:6" x14ac:dyDescent="0.25">
      <c r="A6370" t="str">
        <f>"000120019"</f>
        <v>000120019</v>
      </c>
      <c r="B6370" t="str">
        <f>"1851332217"</f>
        <v>1851332217</v>
      </c>
      <c r="C6370" t="str">
        <f>"363L00000X"</f>
        <v>363L00000X</v>
      </c>
      <c r="D6370" t="str">
        <f>"ROBERTSON                CINDY        L           "</f>
        <v xml:space="preserve">ROBERTSON                CINDY        L           </v>
      </c>
      <c r="E6370" t="str">
        <f>"COLUMBUS                  "</f>
        <v xml:space="preserve">COLUMBUS                  </v>
      </c>
      <c r="F6370" t="str">
        <f t="shared" si="215"/>
        <v>MS</v>
      </c>
    </row>
    <row r="6371" spans="1:6" x14ac:dyDescent="0.25">
      <c r="A6371" t="str">
        <f>"000120078"</f>
        <v>000120078</v>
      </c>
      <c r="B6371" t="str">
        <f>"1679562730"</f>
        <v>1679562730</v>
      </c>
      <c r="C6371" t="str">
        <f>"208600000X"</f>
        <v>208600000X</v>
      </c>
      <c r="D6371" t="str">
        <f>"CARROLL JR               DAVID        R           "</f>
        <v xml:space="preserve">CARROLL JR               DAVID        R           </v>
      </c>
      <c r="E6371" t="str">
        <f>"JACKSON                   "</f>
        <v xml:space="preserve">JACKSON                   </v>
      </c>
      <c r="F6371" t="str">
        <f t="shared" si="215"/>
        <v>MS</v>
      </c>
    </row>
    <row r="6372" spans="1:6" x14ac:dyDescent="0.25">
      <c r="A6372" t="str">
        <f>"000120095"</f>
        <v>000120095</v>
      </c>
      <c r="B6372" t="str">
        <f>"1780627356"</f>
        <v>1780627356</v>
      </c>
      <c r="C6372" t="str">
        <f>"207P00000X"</f>
        <v>207P00000X</v>
      </c>
      <c r="D6372" t="str">
        <f>"RICHARDSON               HARRY        L           "</f>
        <v xml:space="preserve">RICHARDSON               HARRY        L           </v>
      </c>
      <c r="E6372" t="str">
        <f>"COLUMBUS                  "</f>
        <v xml:space="preserve">COLUMBUS                  </v>
      </c>
      <c r="F6372" t="str">
        <f t="shared" si="215"/>
        <v>MS</v>
      </c>
    </row>
    <row r="6373" spans="1:6" x14ac:dyDescent="0.25">
      <c r="A6373" t="str">
        <f>"000120110"</f>
        <v>000120110</v>
      </c>
      <c r="B6373" t="str">
        <f>"1609847441"</f>
        <v>1609847441</v>
      </c>
      <c r="C6373" t="str">
        <f>"363L00000X"</f>
        <v>363L00000X</v>
      </c>
      <c r="D6373" t="str">
        <f>"BARRETT                  PAUL WESLEY              "</f>
        <v xml:space="preserve">BARRETT                  PAUL WESLEY              </v>
      </c>
      <c r="E6373" t="str">
        <f>"COLUMBUS                  "</f>
        <v xml:space="preserve">COLUMBUS                  </v>
      </c>
      <c r="F6373" t="str">
        <f t="shared" si="215"/>
        <v>MS</v>
      </c>
    </row>
    <row r="6374" spans="1:6" x14ac:dyDescent="0.25">
      <c r="A6374" t="str">
        <f>"000120119"</f>
        <v>000120119</v>
      </c>
      <c r="B6374" t="str">
        <f>"1932111325"</f>
        <v>1932111325</v>
      </c>
      <c r="C6374" t="str">
        <f>"207P00000X"</f>
        <v>207P00000X</v>
      </c>
      <c r="D6374" t="str">
        <f>"BEHR                     CHRISTOPHER  L           "</f>
        <v xml:space="preserve">BEHR                     CHRISTOPHER  L           </v>
      </c>
      <c r="E6374" t="str">
        <f>"LOUISVILLE                "</f>
        <v xml:space="preserve">LOUISVILLE                </v>
      </c>
      <c r="F6374" t="str">
        <f t="shared" si="215"/>
        <v>MS</v>
      </c>
    </row>
    <row r="6375" spans="1:6" x14ac:dyDescent="0.25">
      <c r="A6375" t="str">
        <f>"000120136"</f>
        <v>000120136</v>
      </c>
      <c r="B6375" t="str">
        <f>"1003846353"</f>
        <v>1003846353</v>
      </c>
      <c r="C6375" t="str">
        <f>"207V00000X"</f>
        <v>207V00000X</v>
      </c>
      <c r="D6375" t="str">
        <f>"CARROLL                  CHARLES      S           "</f>
        <v xml:space="preserve">CARROLL                  CHARLES      S           </v>
      </c>
      <c r="E6375" t="str">
        <f>"FLOWOOD                   "</f>
        <v xml:space="preserve">FLOWOOD                   </v>
      </c>
      <c r="F6375" t="str">
        <f t="shared" si="215"/>
        <v>MS</v>
      </c>
    </row>
    <row r="6376" spans="1:6" x14ac:dyDescent="0.25">
      <c r="A6376" t="str">
        <f>"000120175"</f>
        <v>000120175</v>
      </c>
      <c r="B6376" t="str">
        <f>"1265479471"</f>
        <v>1265479471</v>
      </c>
      <c r="C6376" t="str">
        <f>"207VX0201X"</f>
        <v>207VX0201X</v>
      </c>
      <c r="D6376" t="str">
        <f>"MOORE JR                 JAMES        L           "</f>
        <v xml:space="preserve">MOORE JR                 JAMES        L           </v>
      </c>
      <c r="E6376" t="str">
        <f>"JACKSON                   "</f>
        <v xml:space="preserve">JACKSON                   </v>
      </c>
      <c r="F6376" t="str">
        <f t="shared" si="215"/>
        <v>MS</v>
      </c>
    </row>
    <row r="6377" spans="1:6" x14ac:dyDescent="0.25">
      <c r="A6377" t="str">
        <f>"000120177"</f>
        <v>000120177</v>
      </c>
      <c r="B6377" t="str">
        <f>"1982641189"</f>
        <v>1982641189</v>
      </c>
      <c r="C6377" t="str">
        <f>"207V00000X"</f>
        <v>207V00000X</v>
      </c>
      <c r="D6377" t="str">
        <f>"HARRIS                   ROBERT       L           "</f>
        <v xml:space="preserve">HARRIS                   ROBERT       L           </v>
      </c>
      <c r="E6377" t="str">
        <f>"FLOWOOD                   "</f>
        <v xml:space="preserve">FLOWOOD                   </v>
      </c>
      <c r="F6377" t="str">
        <f t="shared" si="215"/>
        <v>MS</v>
      </c>
    </row>
    <row r="6378" spans="1:6" x14ac:dyDescent="0.25">
      <c r="A6378" t="str">
        <f>"000120187"</f>
        <v>000120187</v>
      </c>
      <c r="B6378" t="str">
        <f>"1154310571"</f>
        <v>1154310571</v>
      </c>
      <c r="C6378" t="str">
        <f>"208600000X"</f>
        <v>208600000X</v>
      </c>
      <c r="D6378" t="str">
        <f>"HEATH                    GINA         E           "</f>
        <v xml:space="preserve">HEATH                    GINA         E           </v>
      </c>
      <c r="E6378" t="str">
        <f>"JACKSON                   "</f>
        <v xml:space="preserve">JACKSON                   </v>
      </c>
      <c r="F6378" t="str">
        <f t="shared" si="215"/>
        <v>MS</v>
      </c>
    </row>
    <row r="6379" spans="1:6" x14ac:dyDescent="0.25">
      <c r="A6379" t="str">
        <f>"000120206"</f>
        <v>000120206</v>
      </c>
      <c r="B6379" t="str">
        <f>"1639171234"</f>
        <v>1639171234</v>
      </c>
      <c r="C6379" t="str">
        <f>"363L00000X"</f>
        <v>363L00000X</v>
      </c>
      <c r="D6379" t="str">
        <f>"DEDEAUX                  WANDA        J           "</f>
        <v xml:space="preserve">DEDEAUX                  WANDA        J           </v>
      </c>
      <c r="E6379" t="str">
        <f>"PASCAGOULA                "</f>
        <v xml:space="preserve">PASCAGOULA                </v>
      </c>
      <c r="F6379" t="str">
        <f t="shared" si="215"/>
        <v>MS</v>
      </c>
    </row>
    <row r="6380" spans="1:6" x14ac:dyDescent="0.25">
      <c r="A6380" t="str">
        <f>"000120224"</f>
        <v>000120224</v>
      </c>
      <c r="B6380" t="str">
        <f>"1992777486"</f>
        <v>1992777486</v>
      </c>
      <c r="C6380" t="str">
        <f>"363L00000X"</f>
        <v>363L00000X</v>
      </c>
      <c r="D6380" t="str">
        <f>"WALKER                   CARAH        L           "</f>
        <v xml:space="preserve">WALKER                   CARAH        L           </v>
      </c>
      <c r="E6380" t="str">
        <f>"OXFORD                    "</f>
        <v xml:space="preserve">OXFORD                    </v>
      </c>
      <c r="F6380" t="str">
        <f t="shared" si="215"/>
        <v>MS</v>
      </c>
    </row>
    <row r="6381" spans="1:6" x14ac:dyDescent="0.25">
      <c r="A6381" t="str">
        <f>"000120227"</f>
        <v>000120227</v>
      </c>
      <c r="B6381" t="str">
        <f>"1235249046"</f>
        <v>1235249046</v>
      </c>
      <c r="C6381" t="str">
        <f>"207RN0300X"</f>
        <v>207RN0300X</v>
      </c>
      <c r="D6381" t="str">
        <f>"THORNTON                 JON          D           "</f>
        <v xml:space="preserve">THORNTON                 JON          D           </v>
      </c>
      <c r="E6381" t="str">
        <f>"HATTIESBURG               "</f>
        <v xml:space="preserve">HATTIESBURG               </v>
      </c>
      <c r="F6381" t="str">
        <f t="shared" si="215"/>
        <v>MS</v>
      </c>
    </row>
    <row r="6382" spans="1:6" x14ac:dyDescent="0.25">
      <c r="A6382" t="str">
        <f>"000120248"</f>
        <v>000120248</v>
      </c>
      <c r="B6382" t="str">
        <f>"1215972997"</f>
        <v>1215972997</v>
      </c>
      <c r="C6382" t="str">
        <f>"2084N0400X"</f>
        <v>2084N0400X</v>
      </c>
      <c r="D6382" t="str">
        <f>"ATHAR                    PARVEEN      A           "</f>
        <v xml:space="preserve">ATHAR                    PARVEEN      A           </v>
      </c>
      <c r="E6382" t="str">
        <f>"JACKSON                   "</f>
        <v xml:space="preserve">JACKSON                   </v>
      </c>
      <c r="F6382" t="str">
        <f t="shared" si="215"/>
        <v>MS</v>
      </c>
    </row>
    <row r="6383" spans="1:6" x14ac:dyDescent="0.25">
      <c r="A6383" t="str">
        <f>"000120264"</f>
        <v>000120264</v>
      </c>
      <c r="B6383" t="str">
        <f>"1811934011"</f>
        <v>1811934011</v>
      </c>
      <c r="C6383" t="str">
        <f>"207VE0102X"</f>
        <v>207VE0102X</v>
      </c>
      <c r="D6383" t="str">
        <f>"ISAACS                   JOHN         D           "</f>
        <v xml:space="preserve">ISAACS                   JOHN         D           </v>
      </c>
      <c r="E6383" t="str">
        <f>"JACKSON                   "</f>
        <v xml:space="preserve">JACKSON                   </v>
      </c>
      <c r="F6383" t="str">
        <f t="shared" si="215"/>
        <v>MS</v>
      </c>
    </row>
    <row r="6384" spans="1:6" x14ac:dyDescent="0.25">
      <c r="A6384" t="str">
        <f>"000120268"</f>
        <v>000120268</v>
      </c>
      <c r="B6384" t="str">
        <f>"1871632778"</f>
        <v>1871632778</v>
      </c>
      <c r="C6384" t="str">
        <f>"367500000X"</f>
        <v>367500000X</v>
      </c>
      <c r="D6384" t="str">
        <f>"SIMCOX                   JOSEPH                   "</f>
        <v xml:space="preserve">SIMCOX                   JOSEPH                   </v>
      </c>
      <c r="E6384" t="str">
        <f>"GREENWOOD                 "</f>
        <v xml:space="preserve">GREENWOOD                 </v>
      </c>
      <c r="F6384" t="str">
        <f t="shared" si="215"/>
        <v>MS</v>
      </c>
    </row>
    <row r="6385" spans="1:6" x14ac:dyDescent="0.25">
      <c r="A6385" t="str">
        <f>"000120272"</f>
        <v>000120272</v>
      </c>
      <c r="B6385" t="str">
        <f>"1003831397"</f>
        <v>1003831397</v>
      </c>
      <c r="C6385" t="str">
        <f>"207Q00000X"</f>
        <v>207Q00000X</v>
      </c>
      <c r="D6385" t="str">
        <f>"ANDERSON                 SHAWN        C           "</f>
        <v xml:space="preserve">ANDERSON                 SHAWN        C           </v>
      </c>
      <c r="E6385" t="str">
        <f>"MERIDIAN                  "</f>
        <v xml:space="preserve">MERIDIAN                  </v>
      </c>
      <c r="F6385" t="str">
        <f t="shared" si="215"/>
        <v>MS</v>
      </c>
    </row>
    <row r="6386" spans="1:6" x14ac:dyDescent="0.25">
      <c r="A6386" t="str">
        <f>"000120287"</f>
        <v>000120287</v>
      </c>
      <c r="B6386" t="str">
        <f>"1043318280"</f>
        <v>1043318280</v>
      </c>
      <c r="C6386" t="str">
        <f>"2086S0122X"</f>
        <v>2086S0122X</v>
      </c>
      <c r="D6386" t="str">
        <f>"THORNTON                 LEE          K           "</f>
        <v xml:space="preserve">THORNTON                 LEE          K           </v>
      </c>
      <c r="E6386" t="str">
        <f>"MERIDIAN                  "</f>
        <v xml:space="preserve">MERIDIAN                  </v>
      </c>
      <c r="F6386" t="str">
        <f t="shared" si="215"/>
        <v>MS</v>
      </c>
    </row>
    <row r="6387" spans="1:6" x14ac:dyDescent="0.25">
      <c r="A6387" t="str">
        <f>"000120290"</f>
        <v>000120290</v>
      </c>
      <c r="B6387" t="str">
        <f>"1871521179"</f>
        <v>1871521179</v>
      </c>
      <c r="C6387" t="str">
        <f>"363L00000X"</f>
        <v>363L00000X</v>
      </c>
      <c r="D6387" t="str">
        <f>"WREN                     ANITA        D           "</f>
        <v xml:space="preserve">WREN                     ANITA        D           </v>
      </c>
      <c r="E6387" t="str">
        <f>"JACKSON                   "</f>
        <v xml:space="preserve">JACKSON                   </v>
      </c>
      <c r="F6387" t="str">
        <f t="shared" si="215"/>
        <v>MS</v>
      </c>
    </row>
    <row r="6388" spans="1:6" x14ac:dyDescent="0.25">
      <c r="A6388" t="str">
        <f>"000120305"</f>
        <v>000120305</v>
      </c>
      <c r="B6388" t="str">
        <f>"1811030091"</f>
        <v>1811030091</v>
      </c>
      <c r="C6388" t="str">
        <f>"363L00000X"</f>
        <v>363L00000X</v>
      </c>
      <c r="D6388" t="str">
        <f>"DILLON                   PAMELA       A           "</f>
        <v xml:space="preserve">DILLON                   PAMELA       A           </v>
      </c>
      <c r="E6388" t="str">
        <f>"TYLERTOWN                 "</f>
        <v xml:space="preserve">TYLERTOWN                 </v>
      </c>
      <c r="F6388" t="str">
        <f t="shared" si="215"/>
        <v>MS</v>
      </c>
    </row>
    <row r="6389" spans="1:6" x14ac:dyDescent="0.25">
      <c r="A6389" t="str">
        <f>"000120348"</f>
        <v>000120348</v>
      </c>
      <c r="B6389" t="str">
        <f>"1356440234"</f>
        <v>1356440234</v>
      </c>
      <c r="C6389" t="str">
        <f>"208600000X"</f>
        <v>208600000X</v>
      </c>
      <c r="D6389" t="str">
        <f>"SCANLON, JR.             PATRICK      H           "</f>
        <v xml:space="preserve">SCANLON, JR.             PATRICK      H           </v>
      </c>
      <c r="E6389" t="str">
        <f>"JACKSON                   "</f>
        <v xml:space="preserve">JACKSON                   </v>
      </c>
      <c r="F6389" t="str">
        <f t="shared" si="215"/>
        <v>MS</v>
      </c>
    </row>
    <row r="6390" spans="1:6" x14ac:dyDescent="0.25">
      <c r="A6390" t="str">
        <f>"000120357"</f>
        <v>000120357</v>
      </c>
      <c r="B6390" t="str">
        <f>"1578594586"</f>
        <v>1578594586</v>
      </c>
      <c r="C6390" t="str">
        <f>"207L00000X"</f>
        <v>207L00000X</v>
      </c>
      <c r="D6390" t="str">
        <f>"BARCLAY                  VIVEK                    "</f>
        <v xml:space="preserve">BARCLAY                  VIVEK                    </v>
      </c>
      <c r="E6390" t="str">
        <f>"LAUREL                    "</f>
        <v xml:space="preserve">LAUREL                    </v>
      </c>
      <c r="F6390" t="str">
        <f t="shared" si="215"/>
        <v>MS</v>
      </c>
    </row>
    <row r="6391" spans="1:6" x14ac:dyDescent="0.25">
      <c r="A6391" t="str">
        <f>"000120367"</f>
        <v>000120367</v>
      </c>
      <c r="B6391" t="str">
        <f>"1861417065"</f>
        <v>1861417065</v>
      </c>
      <c r="C6391" t="str">
        <f>"207Q00000X"</f>
        <v>207Q00000X</v>
      </c>
      <c r="D6391" t="str">
        <f>"LOTT                     ROGER        T           "</f>
        <v xml:space="preserve">LOTT                     ROGER        T           </v>
      </c>
      <c r="E6391" t="str">
        <f>"LAUREL                    "</f>
        <v xml:space="preserve">LAUREL                    </v>
      </c>
      <c r="F6391" t="str">
        <f t="shared" si="215"/>
        <v>MS</v>
      </c>
    </row>
    <row r="6392" spans="1:6" x14ac:dyDescent="0.25">
      <c r="A6392" t="str">
        <f>"000120374"</f>
        <v>000120374</v>
      </c>
      <c r="B6392" t="str">
        <f>"1760410245"</f>
        <v>1760410245</v>
      </c>
      <c r="C6392" t="str">
        <f>"2085R0202X"</f>
        <v>2085R0202X</v>
      </c>
      <c r="D6392" t="str">
        <f>"SEID                     KELLY                    "</f>
        <v xml:space="preserve">SEID                     KELLY                    </v>
      </c>
      <c r="E6392" t="str">
        <f>"CHOCTAW                   "</f>
        <v xml:space="preserve">CHOCTAW                   </v>
      </c>
      <c r="F6392" t="str">
        <f t="shared" si="215"/>
        <v>MS</v>
      </c>
    </row>
    <row r="6393" spans="1:6" x14ac:dyDescent="0.25">
      <c r="A6393" t="str">
        <f>"000120383"</f>
        <v>000120383</v>
      </c>
      <c r="B6393" t="str">
        <f>"1336177021"</f>
        <v>1336177021</v>
      </c>
      <c r="C6393" t="str">
        <f>"363L00000X"</f>
        <v>363L00000X</v>
      </c>
      <c r="D6393" t="str">
        <f>"WILSON                   FELISA       D           "</f>
        <v xml:space="preserve">WILSON                   FELISA       D           </v>
      </c>
      <c r="E6393" t="str">
        <f>"RIDGELAND                 "</f>
        <v xml:space="preserve">RIDGELAND                 </v>
      </c>
      <c r="F6393" t="str">
        <f t="shared" si="215"/>
        <v>MS</v>
      </c>
    </row>
    <row r="6394" spans="1:6" x14ac:dyDescent="0.25">
      <c r="A6394" t="str">
        <f>"000120385"</f>
        <v>000120385</v>
      </c>
      <c r="B6394" t="str">
        <f>"1760564801"</f>
        <v>1760564801</v>
      </c>
      <c r="C6394" t="str">
        <f>"207Q00000X"</f>
        <v>207Q00000X</v>
      </c>
      <c r="D6394" t="str">
        <f>"KEIMIG                   KATHY        J           "</f>
        <v xml:space="preserve">KEIMIG                   KATHY        J           </v>
      </c>
      <c r="E6394" t="str">
        <f>"GULFPORT                  "</f>
        <v xml:space="preserve">GULFPORT                  </v>
      </c>
      <c r="F6394" t="str">
        <f t="shared" si="215"/>
        <v>MS</v>
      </c>
    </row>
    <row r="6395" spans="1:6" x14ac:dyDescent="0.25">
      <c r="A6395" t="str">
        <f>"000120400"</f>
        <v>000120400</v>
      </c>
      <c r="B6395" t="str">
        <f>"1386759603"</f>
        <v>1386759603</v>
      </c>
      <c r="C6395" t="str">
        <f>"2084N0400X"</f>
        <v>2084N0400X</v>
      </c>
      <c r="D6395" t="str">
        <f>"LYNN                     CHRISTOPHER  S           "</f>
        <v xml:space="preserve">LYNN                     CHRISTOPHER  S           </v>
      </c>
      <c r="E6395" t="str">
        <f>"HATTIESBURG               "</f>
        <v xml:space="preserve">HATTIESBURG               </v>
      </c>
      <c r="F6395" t="str">
        <f t="shared" si="215"/>
        <v>MS</v>
      </c>
    </row>
    <row r="6396" spans="1:6" x14ac:dyDescent="0.25">
      <c r="A6396" t="str">
        <f>"000120404"</f>
        <v>000120404</v>
      </c>
      <c r="B6396" t="str">
        <f>"1972510287"</f>
        <v>1972510287</v>
      </c>
      <c r="C6396" t="str">
        <f>"207Q00000X"</f>
        <v>207Q00000X</v>
      </c>
      <c r="D6396" t="str">
        <f>"CARLTON                  SCOTT        A           "</f>
        <v xml:space="preserve">CARLTON                  SCOTT        A           </v>
      </c>
      <c r="E6396" t="str">
        <f>"JACKSON                   "</f>
        <v xml:space="preserve">JACKSON                   </v>
      </c>
      <c r="F6396" t="str">
        <f t="shared" si="215"/>
        <v>MS</v>
      </c>
    </row>
    <row r="6397" spans="1:6" x14ac:dyDescent="0.25">
      <c r="A6397" t="str">
        <f>"000120423"</f>
        <v>000120423</v>
      </c>
      <c r="B6397" t="str">
        <f>"1114931300"</f>
        <v>1114931300</v>
      </c>
      <c r="C6397" t="str">
        <f>"208000000X"</f>
        <v>208000000X</v>
      </c>
      <c r="D6397" t="str">
        <f>"BENTON                   DAMEA        B           "</f>
        <v xml:space="preserve">BENTON                   DAMEA        B           </v>
      </c>
      <c r="E6397" t="str">
        <f>"HATTIESBURG               "</f>
        <v xml:space="preserve">HATTIESBURG               </v>
      </c>
      <c r="F6397" t="str">
        <f t="shared" si="215"/>
        <v>MS</v>
      </c>
    </row>
    <row r="6398" spans="1:6" x14ac:dyDescent="0.25">
      <c r="A6398" t="str">
        <f>"000120424"</f>
        <v>000120424</v>
      </c>
      <c r="B6398" t="str">
        <f>"1427166859"</f>
        <v>1427166859</v>
      </c>
      <c r="C6398" t="str">
        <f>"207R00000X"</f>
        <v>207R00000X</v>
      </c>
      <c r="D6398" t="str">
        <f>"PAPIZAN                  CHERIE                   "</f>
        <v xml:space="preserve">PAPIZAN                  CHERIE                   </v>
      </c>
      <c r="E6398" t="str">
        <f>"HATTIESBURG               "</f>
        <v xml:space="preserve">HATTIESBURG               </v>
      </c>
      <c r="F6398" t="str">
        <f t="shared" ref="F6398:F6461" si="216">"MS"</f>
        <v>MS</v>
      </c>
    </row>
    <row r="6399" spans="1:6" x14ac:dyDescent="0.25">
      <c r="A6399" t="str">
        <f>"000120425"</f>
        <v>000120425</v>
      </c>
      <c r="B6399" t="str">
        <f>"1538173398"</f>
        <v>1538173398</v>
      </c>
      <c r="C6399" t="str">
        <f>"207V00000X"</f>
        <v>207V00000X</v>
      </c>
      <c r="D6399" t="str">
        <f>"BENTON                   LOUIS        W           "</f>
        <v xml:space="preserve">BENTON                   LOUIS        W           </v>
      </c>
      <c r="E6399" t="str">
        <f>"HATTIESBURG               "</f>
        <v xml:space="preserve">HATTIESBURG               </v>
      </c>
      <c r="F6399" t="str">
        <f t="shared" si="216"/>
        <v>MS</v>
      </c>
    </row>
    <row r="6400" spans="1:6" x14ac:dyDescent="0.25">
      <c r="A6400" t="str">
        <f>"000120432"</f>
        <v>000120432</v>
      </c>
      <c r="B6400" t="str">
        <f>"1134234453"</f>
        <v>1134234453</v>
      </c>
      <c r="C6400" t="str">
        <f>"207W00000X"</f>
        <v>207W00000X</v>
      </c>
      <c r="D6400" t="str">
        <f>"LYNN                     JULIE        J           "</f>
        <v xml:space="preserve">LYNN                     JULIE        J           </v>
      </c>
      <c r="E6400" t="str">
        <f>"HATTIESBURG               "</f>
        <v xml:space="preserve">HATTIESBURG               </v>
      </c>
      <c r="F6400" t="str">
        <f t="shared" si="216"/>
        <v>MS</v>
      </c>
    </row>
    <row r="6401" spans="1:6" x14ac:dyDescent="0.25">
      <c r="A6401" t="str">
        <f>"000120441"</f>
        <v>000120441</v>
      </c>
      <c r="B6401" t="str">
        <f>"1932130127"</f>
        <v>1932130127</v>
      </c>
      <c r="C6401" t="str">
        <f>"207K00000X"</f>
        <v>207K00000X</v>
      </c>
      <c r="D6401" t="str">
        <f>"KERUT                    TIMOTHY      P           "</f>
        <v xml:space="preserve">KERUT                    TIMOTHY      P           </v>
      </c>
      <c r="E6401" t="str">
        <f>"VICKSBURG                 "</f>
        <v xml:space="preserve">VICKSBURG                 </v>
      </c>
      <c r="F6401" t="str">
        <f t="shared" si="216"/>
        <v>MS</v>
      </c>
    </row>
    <row r="6402" spans="1:6" x14ac:dyDescent="0.25">
      <c r="A6402" t="str">
        <f>"000120455"</f>
        <v>000120455</v>
      </c>
      <c r="B6402" t="str">
        <f>"1730168196"</f>
        <v>1730168196</v>
      </c>
      <c r="C6402" t="str">
        <f>"207P00000X"</f>
        <v>207P00000X</v>
      </c>
      <c r="D6402" t="str">
        <f>"WOODWARD                 STEVEN       D           "</f>
        <v xml:space="preserve">WOODWARD                 STEVEN       D           </v>
      </c>
      <c r="E6402" t="str">
        <f>"WEST POIINT               "</f>
        <v xml:space="preserve">WEST POIINT               </v>
      </c>
      <c r="F6402" t="str">
        <f t="shared" si="216"/>
        <v>MS</v>
      </c>
    </row>
    <row r="6403" spans="1:6" x14ac:dyDescent="0.25">
      <c r="A6403" t="str">
        <f>"000120459"</f>
        <v>000120459</v>
      </c>
      <c r="B6403" t="str">
        <f>"1235102674"</f>
        <v>1235102674</v>
      </c>
      <c r="C6403" t="str">
        <f>"207Q00000X"</f>
        <v>207Q00000X</v>
      </c>
      <c r="D6403" t="str">
        <f>"METTETAL                 CARY         N           "</f>
        <v xml:space="preserve">METTETAL                 CARY         N           </v>
      </c>
      <c r="E6403" t="str">
        <f>"SARDIS                    "</f>
        <v xml:space="preserve">SARDIS                    </v>
      </c>
      <c r="F6403" t="str">
        <f t="shared" si="216"/>
        <v>MS</v>
      </c>
    </row>
    <row r="6404" spans="1:6" x14ac:dyDescent="0.25">
      <c r="A6404" t="str">
        <f>"000120460"</f>
        <v>000120460</v>
      </c>
      <c r="B6404" t="str">
        <f>"1184663528"</f>
        <v>1184663528</v>
      </c>
      <c r="C6404" t="str">
        <f>"208000000X"</f>
        <v>208000000X</v>
      </c>
      <c r="D6404" t="str">
        <f>"RICKS                    BARBARA      L           "</f>
        <v xml:space="preserve">RICKS                    BARBARA      L           </v>
      </c>
      <c r="E6404" t="str">
        <f>"GREENVILLE                "</f>
        <v xml:space="preserve">GREENVILLE                </v>
      </c>
      <c r="F6404" t="str">
        <f t="shared" si="216"/>
        <v>MS</v>
      </c>
    </row>
    <row r="6405" spans="1:6" x14ac:dyDescent="0.25">
      <c r="A6405" t="str">
        <f>"000120467"</f>
        <v>000120467</v>
      </c>
      <c r="B6405" t="str">
        <f>"1164467643"</f>
        <v>1164467643</v>
      </c>
      <c r="C6405" t="str">
        <f>"207V00000X"</f>
        <v>207V00000X</v>
      </c>
      <c r="D6405" t="str">
        <f>"BOULDIN                  SHEILA       D           "</f>
        <v xml:space="preserve">BOULDIN                  SHEILA       D           </v>
      </c>
      <c r="E6405" t="str">
        <f>"JACKSON                   "</f>
        <v xml:space="preserve">JACKSON                   </v>
      </c>
      <c r="F6405" t="str">
        <f t="shared" si="216"/>
        <v>MS</v>
      </c>
    </row>
    <row r="6406" spans="1:6" x14ac:dyDescent="0.25">
      <c r="A6406" t="str">
        <f>"000120473"</f>
        <v>000120473</v>
      </c>
      <c r="B6406" t="str">
        <f>"1972523066"</f>
        <v>1972523066</v>
      </c>
      <c r="C6406" t="str">
        <f>"207L00000X"</f>
        <v>207L00000X</v>
      </c>
      <c r="D6406" t="str">
        <f>"HENDERSON                CHARLES      A           "</f>
        <v xml:space="preserve">HENDERSON                CHARLES      A           </v>
      </c>
      <c r="E6406" t="str">
        <f>"HATTIESBURG               "</f>
        <v xml:space="preserve">HATTIESBURG               </v>
      </c>
      <c r="F6406" t="str">
        <f t="shared" si="216"/>
        <v>MS</v>
      </c>
    </row>
    <row r="6407" spans="1:6" x14ac:dyDescent="0.25">
      <c r="A6407" t="str">
        <f>"000120482"</f>
        <v>000120482</v>
      </c>
      <c r="B6407" t="str">
        <f>"1417066226"</f>
        <v>1417066226</v>
      </c>
      <c r="C6407" t="str">
        <f>"207R00000X"</f>
        <v>207R00000X</v>
      </c>
      <c r="D6407" t="str">
        <f>"STONE JR                 JAMES        E           "</f>
        <v xml:space="preserve">STONE JR                 JAMES        E           </v>
      </c>
      <c r="E6407" t="str">
        <f>"TUPELO                    "</f>
        <v xml:space="preserve">TUPELO                    </v>
      </c>
      <c r="F6407" t="str">
        <f t="shared" si="216"/>
        <v>MS</v>
      </c>
    </row>
    <row r="6408" spans="1:6" x14ac:dyDescent="0.25">
      <c r="A6408" t="str">
        <f>"000120486"</f>
        <v>000120486</v>
      </c>
      <c r="B6408" t="str">
        <f>"1780615948"</f>
        <v>1780615948</v>
      </c>
      <c r="C6408" t="str">
        <f>"207L00000X"</f>
        <v>207L00000X</v>
      </c>
      <c r="D6408" t="str">
        <f>"BOLING                   GREG         H           "</f>
        <v xml:space="preserve">BOLING                   GREG         H           </v>
      </c>
      <c r="E6408" t="str">
        <f>"FLOWOOD                   "</f>
        <v xml:space="preserve">FLOWOOD                   </v>
      </c>
      <c r="F6408" t="str">
        <f t="shared" si="216"/>
        <v>MS</v>
      </c>
    </row>
    <row r="6409" spans="1:6" x14ac:dyDescent="0.25">
      <c r="A6409" t="str">
        <f>"000120504"</f>
        <v>000120504</v>
      </c>
      <c r="B6409" t="str">
        <f>"1740249515"</f>
        <v>1740249515</v>
      </c>
      <c r="C6409" t="str">
        <f>"363L00000X"</f>
        <v>363L00000X</v>
      </c>
      <c r="D6409" t="str">
        <f>"MILLER                   TERRY                    "</f>
        <v xml:space="preserve">MILLER                   TERRY                    </v>
      </c>
      <c r="E6409" t="str">
        <f>"TUPELO                    "</f>
        <v xml:space="preserve">TUPELO                    </v>
      </c>
      <c r="F6409" t="str">
        <f t="shared" si="216"/>
        <v>MS</v>
      </c>
    </row>
    <row r="6410" spans="1:6" x14ac:dyDescent="0.25">
      <c r="A6410" t="str">
        <f>"000120516"</f>
        <v>000120516</v>
      </c>
      <c r="B6410" t="str">
        <f>"1245276849"</f>
        <v>1245276849</v>
      </c>
      <c r="C6410" t="str">
        <f>"363L00000X"</f>
        <v>363L00000X</v>
      </c>
      <c r="D6410" t="str">
        <f>"INGRAM                   MALINDA      M           "</f>
        <v xml:space="preserve">INGRAM                   MALINDA      M           </v>
      </c>
      <c r="E6410" t="str">
        <f>"TUPELO                    "</f>
        <v xml:space="preserve">TUPELO                    </v>
      </c>
      <c r="F6410" t="str">
        <f t="shared" si="216"/>
        <v>MS</v>
      </c>
    </row>
    <row r="6411" spans="1:6" x14ac:dyDescent="0.25">
      <c r="A6411" t="str">
        <f>"000120520"</f>
        <v>000120520</v>
      </c>
      <c r="B6411" t="str">
        <f>"1952399016"</f>
        <v>1952399016</v>
      </c>
      <c r="C6411" t="str">
        <f>"208000000X"</f>
        <v>208000000X</v>
      </c>
      <c r="D6411" t="str">
        <f>"HUBBLE                   ANTOINETTE   M           "</f>
        <v xml:space="preserve">HUBBLE                   ANTOINETTE   M           </v>
      </c>
      <c r="E6411" t="str">
        <f>"MCCOMB                    "</f>
        <v xml:space="preserve">MCCOMB                    </v>
      </c>
      <c r="F6411" t="str">
        <f t="shared" si="216"/>
        <v>MS</v>
      </c>
    </row>
    <row r="6412" spans="1:6" x14ac:dyDescent="0.25">
      <c r="A6412" t="str">
        <f>"000120521"</f>
        <v>000120521</v>
      </c>
      <c r="B6412" t="str">
        <f>"1609959501"</f>
        <v>1609959501</v>
      </c>
      <c r="C6412" t="str">
        <f>"367500000X"</f>
        <v>367500000X</v>
      </c>
      <c r="D6412" t="str">
        <f>"CARTER                   KATHRYN      L           "</f>
        <v xml:space="preserve">CARTER                   KATHRYN      L           </v>
      </c>
      <c r="E6412" t="str">
        <f>"JACKSON                   "</f>
        <v xml:space="preserve">JACKSON                   </v>
      </c>
      <c r="F6412" t="str">
        <f t="shared" si="216"/>
        <v>MS</v>
      </c>
    </row>
    <row r="6413" spans="1:6" x14ac:dyDescent="0.25">
      <c r="A6413" t="str">
        <f>"000120557"</f>
        <v>000120557</v>
      </c>
      <c r="B6413" t="str">
        <f>"1790734960"</f>
        <v>1790734960</v>
      </c>
      <c r="C6413" t="str">
        <f>"207R00000X"</f>
        <v>207R00000X</v>
      </c>
      <c r="D6413" t="str">
        <f>"MIDDLETON III            ROBERT       M           "</f>
        <v xml:space="preserve">MIDDLETON III            ROBERT       M           </v>
      </c>
      <c r="E6413" t="str">
        <f>"JACKSON                   "</f>
        <v xml:space="preserve">JACKSON                   </v>
      </c>
      <c r="F6413" t="str">
        <f t="shared" si="216"/>
        <v>MS</v>
      </c>
    </row>
    <row r="6414" spans="1:6" x14ac:dyDescent="0.25">
      <c r="A6414" t="str">
        <f>"000120559"</f>
        <v>000120559</v>
      </c>
      <c r="B6414" t="str">
        <f>"1699781765"</f>
        <v>1699781765</v>
      </c>
      <c r="C6414" t="str">
        <f>"363L00000X"</f>
        <v>363L00000X</v>
      </c>
      <c r="D6414" t="str">
        <f>"FRANS                    ZANDRA       D           "</f>
        <v xml:space="preserve">FRANS                    ZANDRA       D           </v>
      </c>
      <c r="E6414" t="str">
        <f>"CALHOUN CITY              "</f>
        <v xml:space="preserve">CALHOUN CITY              </v>
      </c>
      <c r="F6414" t="str">
        <f t="shared" si="216"/>
        <v>MS</v>
      </c>
    </row>
    <row r="6415" spans="1:6" x14ac:dyDescent="0.25">
      <c r="A6415" t="str">
        <f>"000120573"</f>
        <v>000120573</v>
      </c>
      <c r="B6415" t="str">
        <f>"1932165073"</f>
        <v>1932165073</v>
      </c>
      <c r="C6415" t="str">
        <f>"207RP1001X"</f>
        <v>207RP1001X</v>
      </c>
      <c r="D6415" t="str">
        <f>"STEWART                  ROBERT       N           "</f>
        <v xml:space="preserve">STEWART                  ROBERT       N           </v>
      </c>
      <c r="E6415" t="str">
        <f>"TUPELO                    "</f>
        <v xml:space="preserve">TUPELO                    </v>
      </c>
      <c r="F6415" t="str">
        <f t="shared" si="216"/>
        <v>MS</v>
      </c>
    </row>
    <row r="6416" spans="1:6" x14ac:dyDescent="0.25">
      <c r="A6416" t="str">
        <f>"000120581"</f>
        <v>000120581</v>
      </c>
      <c r="B6416" t="str">
        <f>"1629186382"</f>
        <v>1629186382</v>
      </c>
      <c r="C6416" t="str">
        <f>"363L00000X"</f>
        <v>363L00000X</v>
      </c>
      <c r="D6416" t="str">
        <f>"PARKS                    CARMEN       L           "</f>
        <v xml:space="preserve">PARKS                    CARMEN       L           </v>
      </c>
      <c r="E6416" t="str">
        <f>"RIPLEY                    "</f>
        <v xml:space="preserve">RIPLEY                    </v>
      </c>
      <c r="F6416" t="str">
        <f t="shared" si="216"/>
        <v>MS</v>
      </c>
    </row>
    <row r="6417" spans="1:6" x14ac:dyDescent="0.25">
      <c r="A6417" t="str">
        <f>"000120585"</f>
        <v>000120585</v>
      </c>
      <c r="B6417" t="str">
        <f>"1205836764"</f>
        <v>1205836764</v>
      </c>
      <c r="C6417" t="str">
        <f>"208800000X"</f>
        <v>208800000X</v>
      </c>
      <c r="D6417" t="str">
        <f>"KALISH                   JONATHAN     R           "</f>
        <v xml:space="preserve">KALISH                   JONATHAN     R           </v>
      </c>
      <c r="E6417" t="str">
        <f>"TUPELO                    "</f>
        <v xml:space="preserve">TUPELO                    </v>
      </c>
      <c r="F6417" t="str">
        <f t="shared" si="216"/>
        <v>MS</v>
      </c>
    </row>
    <row r="6418" spans="1:6" x14ac:dyDescent="0.25">
      <c r="A6418" t="str">
        <f>"000120588"</f>
        <v>000120588</v>
      </c>
      <c r="B6418" t="str">
        <f>"1902998040"</f>
        <v>1902998040</v>
      </c>
      <c r="C6418" t="str">
        <f>"207W00000X"</f>
        <v>207W00000X</v>
      </c>
      <c r="D6418" t="str">
        <f>"JEFFREYS III             KIRK         R           "</f>
        <v xml:space="preserve">JEFFREYS III             KIRK         R           </v>
      </c>
      <c r="E6418" t="str">
        <f>"JACKSON                   "</f>
        <v xml:space="preserve">JACKSON                   </v>
      </c>
      <c r="F6418" t="str">
        <f t="shared" si="216"/>
        <v>MS</v>
      </c>
    </row>
    <row r="6419" spans="1:6" x14ac:dyDescent="0.25">
      <c r="A6419" t="str">
        <f>"000120591"</f>
        <v>000120591</v>
      </c>
      <c r="B6419" t="str">
        <f>"1912913757"</f>
        <v>1912913757</v>
      </c>
      <c r="C6419" t="str">
        <f>"2085R0202X"</f>
        <v>2085R0202X</v>
      </c>
      <c r="D6419" t="str">
        <f>"CHARD                    DANA                     "</f>
        <v xml:space="preserve">CHARD                    DANA                     </v>
      </c>
      <c r="E6419" t="str">
        <f>"MERIDIAN                  "</f>
        <v xml:space="preserve">MERIDIAN                  </v>
      </c>
      <c r="F6419" t="str">
        <f t="shared" si="216"/>
        <v>MS</v>
      </c>
    </row>
    <row r="6420" spans="1:6" x14ac:dyDescent="0.25">
      <c r="A6420" t="str">
        <f>"000120596"</f>
        <v>000120596</v>
      </c>
      <c r="B6420" t="str">
        <f>"1477888790"</f>
        <v>1477888790</v>
      </c>
      <c r="C6420" t="str">
        <f>"363L00000X"</f>
        <v>363L00000X</v>
      </c>
      <c r="D6420" t="str">
        <f>"HICKMAN                  TRACEY       Q           "</f>
        <v xml:space="preserve">HICKMAN                  TRACEY       Q           </v>
      </c>
      <c r="E6420" t="str">
        <f>"CORINTH                   "</f>
        <v xml:space="preserve">CORINTH                   </v>
      </c>
      <c r="F6420" t="str">
        <f t="shared" si="216"/>
        <v>MS</v>
      </c>
    </row>
    <row r="6421" spans="1:6" x14ac:dyDescent="0.25">
      <c r="A6421" t="str">
        <f>"000120599"</f>
        <v>000120599</v>
      </c>
      <c r="B6421" t="str">
        <f>"1184723280"</f>
        <v>1184723280</v>
      </c>
      <c r="C6421" t="str">
        <f>"2080P0204X"</f>
        <v>2080P0204X</v>
      </c>
      <c r="D6421" t="str">
        <f>"FAULK                    CATHERINE    C           "</f>
        <v xml:space="preserve">FAULK                    CATHERINE    C           </v>
      </c>
      <c r="E6421" t="str">
        <f>"JACKSON                   "</f>
        <v xml:space="preserve">JACKSON                   </v>
      </c>
      <c r="F6421" t="str">
        <f t="shared" si="216"/>
        <v>MS</v>
      </c>
    </row>
    <row r="6422" spans="1:6" x14ac:dyDescent="0.25">
      <c r="A6422" t="str">
        <f>"000120612"</f>
        <v>000120612</v>
      </c>
      <c r="B6422" t="str">
        <f>"1497860670"</f>
        <v>1497860670</v>
      </c>
      <c r="C6422" t="str">
        <f>"207R00000X"</f>
        <v>207R00000X</v>
      </c>
      <c r="D6422" t="str">
        <f>"LAROSA JR                DAVID        V           "</f>
        <v xml:space="preserve">LAROSA JR                DAVID        V           </v>
      </c>
      <c r="E6422" t="str">
        <f>"GULFPORT                  "</f>
        <v xml:space="preserve">GULFPORT                  </v>
      </c>
      <c r="F6422" t="str">
        <f t="shared" si="216"/>
        <v>MS</v>
      </c>
    </row>
    <row r="6423" spans="1:6" x14ac:dyDescent="0.25">
      <c r="A6423" t="str">
        <f>"000120613"</f>
        <v>000120613</v>
      </c>
      <c r="B6423" t="str">
        <f>"1295805190"</f>
        <v>1295805190</v>
      </c>
      <c r="C6423" t="str">
        <f>"208800000X"</f>
        <v>208800000X</v>
      </c>
      <c r="D6423" t="str">
        <f>"SENF II                  WILLIAM      L           "</f>
        <v xml:space="preserve">SENF II                  WILLIAM      L           </v>
      </c>
      <c r="E6423" t="str">
        <f>"CORINTH                   "</f>
        <v xml:space="preserve">CORINTH                   </v>
      </c>
      <c r="F6423" t="str">
        <f t="shared" si="216"/>
        <v>MS</v>
      </c>
    </row>
    <row r="6424" spans="1:6" x14ac:dyDescent="0.25">
      <c r="A6424" t="str">
        <f>"000120619"</f>
        <v>000120619</v>
      </c>
      <c r="B6424" t="str">
        <f>"1174620652"</f>
        <v>1174620652</v>
      </c>
      <c r="C6424" t="str">
        <f>"363L00000X"</f>
        <v>363L00000X</v>
      </c>
      <c r="D6424" t="str">
        <f>"SULLIVAN                 DEBORAH                  "</f>
        <v xml:space="preserve">SULLIVAN                 DEBORAH                  </v>
      </c>
      <c r="E6424" t="str">
        <f>"MEADVILLE                 "</f>
        <v xml:space="preserve">MEADVILLE                 </v>
      </c>
      <c r="F6424" t="str">
        <f t="shared" si="216"/>
        <v>MS</v>
      </c>
    </row>
    <row r="6425" spans="1:6" x14ac:dyDescent="0.25">
      <c r="A6425" t="str">
        <f>"000120639"</f>
        <v>000120639</v>
      </c>
      <c r="B6425" t="str">
        <f>"1417039546"</f>
        <v>1417039546</v>
      </c>
      <c r="C6425" t="str">
        <f>"207P00000X"</f>
        <v>207P00000X</v>
      </c>
      <c r="D6425" t="str">
        <f>"COUVILLON III            LARRY        C           "</f>
        <v xml:space="preserve">COUVILLON III            LARRY        C           </v>
      </c>
      <c r="E6425" t="str">
        <f>"GULFPORT                  "</f>
        <v xml:space="preserve">GULFPORT                  </v>
      </c>
      <c r="F6425" t="str">
        <f t="shared" si="216"/>
        <v>MS</v>
      </c>
    </row>
    <row r="6426" spans="1:6" x14ac:dyDescent="0.25">
      <c r="A6426" t="str">
        <f>"000120651"</f>
        <v>000120651</v>
      </c>
      <c r="B6426" t="str">
        <f>"1588699839"</f>
        <v>1588699839</v>
      </c>
      <c r="C6426" t="str">
        <f>"207RX0202X"</f>
        <v>207RX0202X</v>
      </c>
      <c r="D6426" t="str">
        <f>"CANTRELL                 JOHN         E           "</f>
        <v xml:space="preserve">CANTRELL                 JOHN         E           </v>
      </c>
      <c r="E6426" t="str">
        <f>"OXFORD                    "</f>
        <v xml:space="preserve">OXFORD                    </v>
      </c>
      <c r="F6426" t="str">
        <f t="shared" si="216"/>
        <v>MS</v>
      </c>
    </row>
    <row r="6427" spans="1:6" x14ac:dyDescent="0.25">
      <c r="A6427" t="str">
        <f>"000120653"</f>
        <v>000120653</v>
      </c>
      <c r="B6427" t="str">
        <f>"1215953401"</f>
        <v>1215953401</v>
      </c>
      <c r="C6427" t="str">
        <f>"367500000X"</f>
        <v>367500000X</v>
      </c>
      <c r="D6427" t="str">
        <f>"MARWEG                   MELANIE      P           "</f>
        <v xml:space="preserve">MARWEG                   MELANIE      P           </v>
      </c>
      <c r="E6427" t="str">
        <f>"TUPELO                    "</f>
        <v xml:space="preserve">TUPELO                    </v>
      </c>
      <c r="F6427" t="str">
        <f t="shared" si="216"/>
        <v>MS</v>
      </c>
    </row>
    <row r="6428" spans="1:6" x14ac:dyDescent="0.25">
      <c r="A6428" t="str">
        <f>"000120672"</f>
        <v>000120672</v>
      </c>
      <c r="B6428" t="str">
        <f>"1043225576"</f>
        <v>1043225576</v>
      </c>
      <c r="C6428" t="str">
        <f>"363L00000X"</f>
        <v>363L00000X</v>
      </c>
      <c r="D6428" t="str">
        <f>"JURNEY                   NINA         P           "</f>
        <v xml:space="preserve">JURNEY                   NINA         P           </v>
      </c>
      <c r="E6428" t="str">
        <f>"ABERDEEN                  "</f>
        <v xml:space="preserve">ABERDEEN                  </v>
      </c>
      <c r="F6428" t="str">
        <f t="shared" si="216"/>
        <v>MS</v>
      </c>
    </row>
    <row r="6429" spans="1:6" x14ac:dyDescent="0.25">
      <c r="A6429" t="str">
        <f>"000120712"</f>
        <v>000120712</v>
      </c>
      <c r="B6429" t="str">
        <f>"1871604611"</f>
        <v>1871604611</v>
      </c>
      <c r="C6429" t="str">
        <f>"208000000X"</f>
        <v>208000000X</v>
      </c>
      <c r="D6429" t="str">
        <f>"BRUNI                    TIMOTHY      G           "</f>
        <v xml:space="preserve">BRUNI                    TIMOTHY      G           </v>
      </c>
      <c r="E6429" t="str">
        <f>"GULFPORT                  "</f>
        <v xml:space="preserve">GULFPORT                  </v>
      </c>
      <c r="F6429" t="str">
        <f t="shared" si="216"/>
        <v>MS</v>
      </c>
    </row>
    <row r="6430" spans="1:6" x14ac:dyDescent="0.25">
      <c r="A6430" t="str">
        <f>"000120721"</f>
        <v>000120721</v>
      </c>
      <c r="B6430" t="str">
        <f>"1447286612"</f>
        <v>1447286612</v>
      </c>
      <c r="C6430" t="str">
        <f>"207RC0000X"</f>
        <v>207RC0000X</v>
      </c>
      <c r="D6430" t="str">
        <f>"BAHRO                    ABDUL        G           "</f>
        <v xml:space="preserve">BAHRO                    ABDUL        G           </v>
      </c>
      <c r="E6430" t="str">
        <f>"JACKSON                   "</f>
        <v xml:space="preserve">JACKSON                   </v>
      </c>
      <c r="F6430" t="str">
        <f t="shared" si="216"/>
        <v>MS</v>
      </c>
    </row>
    <row r="6431" spans="1:6" x14ac:dyDescent="0.25">
      <c r="A6431" t="str">
        <f>"000120737"</f>
        <v>000120737</v>
      </c>
      <c r="B6431" t="str">
        <f>"1538113899"</f>
        <v>1538113899</v>
      </c>
      <c r="C6431" t="str">
        <f>"207V00000X"</f>
        <v>207V00000X</v>
      </c>
      <c r="D6431" t="str">
        <f>"GEBHART                  LELAND       D           "</f>
        <v xml:space="preserve">GEBHART                  LELAND       D           </v>
      </c>
      <c r="E6431" t="str">
        <f>"JACKSON                   "</f>
        <v xml:space="preserve">JACKSON                   </v>
      </c>
      <c r="F6431" t="str">
        <f t="shared" si="216"/>
        <v>MS</v>
      </c>
    </row>
    <row r="6432" spans="1:6" x14ac:dyDescent="0.25">
      <c r="A6432" t="str">
        <f>"000120748"</f>
        <v>000120748</v>
      </c>
      <c r="B6432" t="str">
        <f>"1922040195"</f>
        <v>1922040195</v>
      </c>
      <c r="C6432" t="str">
        <f>"2084P0800X"</f>
        <v>2084P0800X</v>
      </c>
      <c r="D6432" t="str">
        <f>"RICHERT                  ALLEN        C           "</f>
        <v xml:space="preserve">RICHERT                  ALLEN        C           </v>
      </c>
      <c r="E6432" t="str">
        <f>"JACKSON                   "</f>
        <v xml:space="preserve">JACKSON                   </v>
      </c>
      <c r="F6432" t="str">
        <f t="shared" si="216"/>
        <v>MS</v>
      </c>
    </row>
    <row r="6433" spans="1:6" x14ac:dyDescent="0.25">
      <c r="A6433" t="str">
        <f>"000120749"</f>
        <v>000120749</v>
      </c>
      <c r="B6433" t="str">
        <f>"1265486450"</f>
        <v>1265486450</v>
      </c>
      <c r="C6433" t="str">
        <f>"207R00000X"</f>
        <v>207R00000X</v>
      </c>
      <c r="D6433" t="str">
        <f>"KPABITEY                 EMMANUEL     T           "</f>
        <v xml:space="preserve">KPABITEY                 EMMANUEL     T           </v>
      </c>
      <c r="E6433" t="str">
        <f>"CLARKSDALE                "</f>
        <v xml:space="preserve">CLARKSDALE                </v>
      </c>
      <c r="F6433" t="str">
        <f t="shared" si="216"/>
        <v>MS</v>
      </c>
    </row>
    <row r="6434" spans="1:6" x14ac:dyDescent="0.25">
      <c r="A6434" t="str">
        <f>"000120764"</f>
        <v>000120764</v>
      </c>
      <c r="B6434" t="str">
        <f>"1194745497"</f>
        <v>1194745497</v>
      </c>
      <c r="C6434" t="str">
        <f>"207Q00000X"</f>
        <v>207Q00000X</v>
      </c>
      <c r="D6434" t="str">
        <f>"BOLTON                   KIRSTEN      J           "</f>
        <v xml:space="preserve">BOLTON                   KIRSTEN      J           </v>
      </c>
      <c r="E6434" t="str">
        <f>"SALTILLO                  "</f>
        <v xml:space="preserve">SALTILLO                  </v>
      </c>
      <c r="F6434" t="str">
        <f t="shared" si="216"/>
        <v>MS</v>
      </c>
    </row>
    <row r="6435" spans="1:6" x14ac:dyDescent="0.25">
      <c r="A6435" t="str">
        <f>"000120765"</f>
        <v>000120765</v>
      </c>
      <c r="B6435" t="str">
        <f>"1851433585"</f>
        <v>1851433585</v>
      </c>
      <c r="C6435" t="str">
        <f>"207Q00000X"</f>
        <v>207Q00000X</v>
      </c>
      <c r="D6435" t="str">
        <f>"PACE                     JAMES        M           "</f>
        <v xml:space="preserve">PACE                     JAMES        M           </v>
      </c>
      <c r="E6435" t="str">
        <f>"RICHTON                   "</f>
        <v xml:space="preserve">RICHTON                   </v>
      </c>
      <c r="F6435" t="str">
        <f t="shared" si="216"/>
        <v>MS</v>
      </c>
    </row>
    <row r="6436" spans="1:6" x14ac:dyDescent="0.25">
      <c r="A6436" t="str">
        <f>"000120771"</f>
        <v>000120771</v>
      </c>
      <c r="B6436" t="str">
        <f>"1255326765"</f>
        <v>1255326765</v>
      </c>
      <c r="C6436" t="str">
        <f>"207V00000X"</f>
        <v>207V00000X</v>
      </c>
      <c r="D6436" t="str">
        <f>"HENDERSON                WILLIAM      E           "</f>
        <v xml:space="preserve">HENDERSON                WILLIAM      E           </v>
      </c>
      <c r="E6436" t="str">
        <f>"OXFORD                    "</f>
        <v xml:space="preserve">OXFORD                    </v>
      </c>
      <c r="F6436" t="str">
        <f t="shared" si="216"/>
        <v>MS</v>
      </c>
    </row>
    <row r="6437" spans="1:6" x14ac:dyDescent="0.25">
      <c r="A6437" t="str">
        <f>"000120803"</f>
        <v>000120803</v>
      </c>
      <c r="B6437" t="str">
        <f>"1083685259"</f>
        <v>1083685259</v>
      </c>
      <c r="C6437" t="str">
        <f>"207V00000X"</f>
        <v>207V00000X</v>
      </c>
      <c r="D6437" t="str">
        <f>"WEBB                     DAVID        E           "</f>
        <v xml:space="preserve">WEBB                     DAVID        E           </v>
      </c>
      <c r="E6437" t="str">
        <f>"TUPELO                    "</f>
        <v xml:space="preserve">TUPELO                    </v>
      </c>
      <c r="F6437" t="str">
        <f t="shared" si="216"/>
        <v>MS</v>
      </c>
    </row>
    <row r="6438" spans="1:6" x14ac:dyDescent="0.25">
      <c r="A6438" t="str">
        <f>"000120808"</f>
        <v>000120808</v>
      </c>
      <c r="B6438" t="str">
        <f>"1912948803"</f>
        <v>1912948803</v>
      </c>
      <c r="C6438" t="str">
        <f>"207R00000X"</f>
        <v>207R00000X</v>
      </c>
      <c r="D6438" t="str">
        <f>"MARTIN                   FREDERICK    R           "</f>
        <v xml:space="preserve">MARTIN                   FREDERICK    R           </v>
      </c>
      <c r="E6438" t="str">
        <f>"HATTIESBURG               "</f>
        <v xml:space="preserve">HATTIESBURG               </v>
      </c>
      <c r="F6438" t="str">
        <f t="shared" si="216"/>
        <v>MS</v>
      </c>
    </row>
    <row r="6439" spans="1:6" x14ac:dyDescent="0.25">
      <c r="A6439" t="str">
        <f>"000120817"</f>
        <v>000120817</v>
      </c>
      <c r="B6439" t="str">
        <f>"1841302411"</f>
        <v>1841302411</v>
      </c>
      <c r="C6439" t="str">
        <f>"2084N0400X"</f>
        <v>2084N0400X</v>
      </c>
      <c r="D6439" t="str">
        <f>"LEIS                     ANGEL        A           "</f>
        <v xml:space="preserve">LEIS                     ANGEL        A           </v>
      </c>
      <c r="E6439" t="str">
        <f>"JACKSON                   "</f>
        <v xml:space="preserve">JACKSON                   </v>
      </c>
      <c r="F6439" t="str">
        <f t="shared" si="216"/>
        <v>MS</v>
      </c>
    </row>
    <row r="6440" spans="1:6" x14ac:dyDescent="0.25">
      <c r="A6440" t="str">
        <f>"000120826"</f>
        <v>000120826</v>
      </c>
      <c r="B6440" t="str">
        <f>"1073682035"</f>
        <v>1073682035</v>
      </c>
      <c r="C6440" t="str">
        <f>"208800000X"</f>
        <v>208800000X</v>
      </c>
      <c r="D6440" t="str">
        <f>"RENFROE                  DOYLE        L           "</f>
        <v xml:space="preserve">RENFROE                  DOYLE        L           </v>
      </c>
      <c r="E6440" t="str">
        <f>"OXFORD                    "</f>
        <v xml:space="preserve">OXFORD                    </v>
      </c>
      <c r="F6440" t="str">
        <f t="shared" si="216"/>
        <v>MS</v>
      </c>
    </row>
    <row r="6441" spans="1:6" x14ac:dyDescent="0.25">
      <c r="A6441" t="str">
        <f>"000120838"</f>
        <v>000120838</v>
      </c>
      <c r="B6441" t="str">
        <f>"1619910478"</f>
        <v>1619910478</v>
      </c>
      <c r="C6441" t="str">
        <f>"207P00000X"</f>
        <v>207P00000X</v>
      </c>
      <c r="D6441" t="str">
        <f>"SHERMER                  CHESTER      D           "</f>
        <v xml:space="preserve">SHERMER                  CHESTER      D           </v>
      </c>
      <c r="E6441" t="str">
        <f>"JACKSON                   "</f>
        <v xml:space="preserve">JACKSON                   </v>
      </c>
      <c r="F6441" t="str">
        <f t="shared" si="216"/>
        <v>MS</v>
      </c>
    </row>
    <row r="6442" spans="1:6" x14ac:dyDescent="0.25">
      <c r="A6442" t="str">
        <f>"000120852"</f>
        <v>000120852</v>
      </c>
      <c r="B6442" t="str">
        <f>"1841267051"</f>
        <v>1841267051</v>
      </c>
      <c r="C6442" t="str">
        <f>"208000000X"</f>
        <v>208000000X</v>
      </c>
      <c r="D6442" t="str">
        <f>"JAMAL                    ALTAF        A           "</f>
        <v xml:space="preserve">JAMAL                    ALTAF        A           </v>
      </c>
      <c r="E6442" t="str">
        <f>"PASCAGOULA                "</f>
        <v xml:space="preserve">PASCAGOULA                </v>
      </c>
      <c r="F6442" t="str">
        <f t="shared" si="216"/>
        <v>MS</v>
      </c>
    </row>
    <row r="6443" spans="1:6" x14ac:dyDescent="0.25">
      <c r="A6443" t="str">
        <f>"000120858"</f>
        <v>000120858</v>
      </c>
      <c r="B6443" t="str">
        <f>"1912989336"</f>
        <v>1912989336</v>
      </c>
      <c r="C6443" t="str">
        <f>"363L00000X"</f>
        <v>363L00000X</v>
      </c>
      <c r="D6443" t="str">
        <f>"HENRY                    SAUNDRA      K           "</f>
        <v xml:space="preserve">HENRY                    SAUNDRA      K           </v>
      </c>
      <c r="E6443" t="str">
        <f>"NEWTON                    "</f>
        <v xml:space="preserve">NEWTON                    </v>
      </c>
      <c r="F6443" t="str">
        <f t="shared" si="216"/>
        <v>MS</v>
      </c>
    </row>
    <row r="6444" spans="1:6" x14ac:dyDescent="0.25">
      <c r="A6444" t="str">
        <f>"000120863"</f>
        <v>000120863</v>
      </c>
      <c r="B6444" t="str">
        <f>"1730192907"</f>
        <v>1730192907</v>
      </c>
      <c r="C6444" t="str">
        <f>"207RX0202X"</f>
        <v>207RX0202X</v>
      </c>
      <c r="D6444" t="str">
        <f>"HERRINGTON               JAMES        M           "</f>
        <v xml:space="preserve">HERRINGTON               JAMES        M           </v>
      </c>
      <c r="E6444" t="str">
        <f>"HATTIESBURG               "</f>
        <v xml:space="preserve">HATTIESBURG               </v>
      </c>
      <c r="F6444" t="str">
        <f t="shared" si="216"/>
        <v>MS</v>
      </c>
    </row>
    <row r="6445" spans="1:6" x14ac:dyDescent="0.25">
      <c r="A6445" t="str">
        <f>"000120874"</f>
        <v>000120874</v>
      </c>
      <c r="B6445" t="str">
        <f>"1467596155"</f>
        <v>1467596155</v>
      </c>
      <c r="C6445" t="str">
        <f>"207L00000X"</f>
        <v>207L00000X</v>
      </c>
      <c r="D6445" t="str">
        <f>"WEST                     FREDERICK    M           "</f>
        <v xml:space="preserve">WEST                     FREDERICK    M           </v>
      </c>
      <c r="E6445" t="str">
        <f>"JACKSON                   "</f>
        <v xml:space="preserve">JACKSON                   </v>
      </c>
      <c r="F6445" t="str">
        <f t="shared" si="216"/>
        <v>MS</v>
      </c>
    </row>
    <row r="6446" spans="1:6" x14ac:dyDescent="0.25">
      <c r="A6446" t="str">
        <f>"000120875"</f>
        <v>000120875</v>
      </c>
      <c r="B6446" t="str">
        <f>"1548204050"</f>
        <v>1548204050</v>
      </c>
      <c r="C6446" t="str">
        <f>"207P00000X"</f>
        <v>207P00000X</v>
      </c>
      <c r="D6446" t="str">
        <f>"PATCH                    JONATHAN     F           "</f>
        <v xml:space="preserve">PATCH                    JONATHAN     F           </v>
      </c>
      <c r="E6446" t="str">
        <f>"JACKSON                   "</f>
        <v xml:space="preserve">JACKSON                   </v>
      </c>
      <c r="F6446" t="str">
        <f t="shared" si="216"/>
        <v>MS</v>
      </c>
    </row>
    <row r="6447" spans="1:6" x14ac:dyDescent="0.25">
      <c r="A6447" t="str">
        <f>"000120899"</f>
        <v>000120899</v>
      </c>
      <c r="B6447" t="str">
        <f>"1457437477"</f>
        <v>1457437477</v>
      </c>
      <c r="C6447" t="str">
        <f>"363L00000X"</f>
        <v>363L00000X</v>
      </c>
      <c r="D6447" t="str">
        <f>"HILL                     DEBRA        W           "</f>
        <v xml:space="preserve">HILL                     DEBRA        W           </v>
      </c>
      <c r="E6447" t="str">
        <f>"PLANTERSVILLE             "</f>
        <v xml:space="preserve">PLANTERSVILLE             </v>
      </c>
      <c r="F6447" t="str">
        <f t="shared" si="216"/>
        <v>MS</v>
      </c>
    </row>
    <row r="6448" spans="1:6" x14ac:dyDescent="0.25">
      <c r="A6448" t="str">
        <f>"000120912"</f>
        <v>000120912</v>
      </c>
      <c r="B6448" t="str">
        <f>"1811928005"</f>
        <v>1811928005</v>
      </c>
      <c r="C6448" t="str">
        <f>"207R00000X"</f>
        <v>207R00000X</v>
      </c>
      <c r="D6448" t="str">
        <f>"SLIGH                    THOMAS       K           "</f>
        <v xml:space="preserve">SLIGH                    THOMAS       K           </v>
      </c>
      <c r="E6448" t="str">
        <f>"VICKSBURG                 "</f>
        <v xml:space="preserve">VICKSBURG                 </v>
      </c>
      <c r="F6448" t="str">
        <f t="shared" si="216"/>
        <v>MS</v>
      </c>
    </row>
    <row r="6449" spans="1:6" x14ac:dyDescent="0.25">
      <c r="A6449" t="str">
        <f>"000120913"</f>
        <v>000120913</v>
      </c>
      <c r="B6449" t="str">
        <f>"1013008242"</f>
        <v>1013008242</v>
      </c>
      <c r="C6449" t="str">
        <f>"207T00000X"</f>
        <v>207T00000X</v>
      </c>
      <c r="D6449" t="str">
        <f>"LANCON                   JOHN         A           "</f>
        <v xml:space="preserve">LANCON                   JOHN         A           </v>
      </c>
      <c r="E6449" t="str">
        <f>"JACKSON                   "</f>
        <v xml:space="preserve">JACKSON                   </v>
      </c>
      <c r="F6449" t="str">
        <f t="shared" si="216"/>
        <v>MS</v>
      </c>
    </row>
    <row r="6450" spans="1:6" x14ac:dyDescent="0.25">
      <c r="A6450" t="str">
        <f>"000120923"</f>
        <v>000120923</v>
      </c>
      <c r="B6450" t="str">
        <f>"1790881274"</f>
        <v>1790881274</v>
      </c>
      <c r="C6450" t="str">
        <f>"208000000X"</f>
        <v>208000000X</v>
      </c>
      <c r="D6450" t="str">
        <f>"PRICE                    AMY          S           "</f>
        <v xml:space="preserve">PRICE                    AMY          S           </v>
      </c>
      <c r="E6450" t="str">
        <f>"SALTILLO                  "</f>
        <v xml:space="preserve">SALTILLO                  </v>
      </c>
      <c r="F6450" t="str">
        <f t="shared" si="216"/>
        <v>MS</v>
      </c>
    </row>
    <row r="6451" spans="1:6" x14ac:dyDescent="0.25">
      <c r="A6451" t="str">
        <f>"000120926"</f>
        <v>000120926</v>
      </c>
      <c r="B6451" t="str">
        <f>"1669484655"</f>
        <v>1669484655</v>
      </c>
      <c r="C6451" t="str">
        <f>"207Q00000X"</f>
        <v>207Q00000X</v>
      </c>
      <c r="D6451" t="str">
        <f>"WILLIAMS                 BRIAN        K           "</f>
        <v xml:space="preserve">WILLIAMS                 BRIAN        K           </v>
      </c>
      <c r="E6451" t="str">
        <f>"WINONA                    "</f>
        <v xml:space="preserve">WINONA                    </v>
      </c>
      <c r="F6451" t="str">
        <f t="shared" si="216"/>
        <v>MS</v>
      </c>
    </row>
    <row r="6452" spans="1:6" x14ac:dyDescent="0.25">
      <c r="A6452" t="str">
        <f>"000120942"</f>
        <v>000120942</v>
      </c>
      <c r="B6452" t="str">
        <f>"1992870711"</f>
        <v>1992870711</v>
      </c>
      <c r="C6452" t="str">
        <f>"207L00000X"</f>
        <v>207L00000X</v>
      </c>
      <c r="D6452" t="str">
        <f>"UPTON JR                 CHARLES      C           "</f>
        <v xml:space="preserve">UPTON JR                 CHARLES      C           </v>
      </c>
      <c r="E6452" t="str">
        <f>"JACKSON                   "</f>
        <v xml:space="preserve">JACKSON                   </v>
      </c>
      <c r="F6452" t="str">
        <f t="shared" si="216"/>
        <v>MS</v>
      </c>
    </row>
    <row r="6453" spans="1:6" x14ac:dyDescent="0.25">
      <c r="A6453" t="str">
        <f>"000120943"</f>
        <v>000120943</v>
      </c>
      <c r="B6453" t="str">
        <f>"1932132669"</f>
        <v>1932132669</v>
      </c>
      <c r="C6453" t="str">
        <f>"207Q00000X"</f>
        <v>207Q00000X</v>
      </c>
      <c r="D6453" t="str">
        <f>"NUNEZ                    ROGER        L           "</f>
        <v xml:space="preserve">NUNEZ                    ROGER        L           </v>
      </c>
      <c r="E6453" t="str">
        <f>"LOUISVILLE                "</f>
        <v xml:space="preserve">LOUISVILLE                </v>
      </c>
      <c r="F6453" t="str">
        <f t="shared" si="216"/>
        <v>MS</v>
      </c>
    </row>
    <row r="6454" spans="1:6" x14ac:dyDescent="0.25">
      <c r="A6454" t="str">
        <f>"000120946"</f>
        <v>000120946</v>
      </c>
      <c r="B6454" t="str">
        <f>"1982717971"</f>
        <v>1982717971</v>
      </c>
      <c r="C6454" t="str">
        <f>"2085R0202X"</f>
        <v>2085R0202X</v>
      </c>
      <c r="D6454" t="str">
        <f>"USEY                     TIMOTHY      G           "</f>
        <v xml:space="preserve">USEY                     TIMOTHY      G           </v>
      </c>
      <c r="E6454" t="str">
        <f>"COLUMBUS                  "</f>
        <v xml:space="preserve">COLUMBUS                  </v>
      </c>
      <c r="F6454" t="str">
        <f t="shared" si="216"/>
        <v>MS</v>
      </c>
    </row>
    <row r="6455" spans="1:6" x14ac:dyDescent="0.25">
      <c r="A6455" t="str">
        <f>"000120961"</f>
        <v>000120961</v>
      </c>
      <c r="B6455" t="str">
        <f>"1992894653"</f>
        <v>1992894653</v>
      </c>
      <c r="C6455" t="str">
        <f>"207Y00000X"</f>
        <v>207Y00000X</v>
      </c>
      <c r="D6455" t="str">
        <f>"HARRISON                 SCOTT        E           "</f>
        <v xml:space="preserve">HARRISON                 SCOTT        E           </v>
      </c>
      <c r="E6455" t="str">
        <f>"NEW ALBANY                "</f>
        <v xml:space="preserve">NEW ALBANY                </v>
      </c>
      <c r="F6455" t="str">
        <f t="shared" si="216"/>
        <v>MS</v>
      </c>
    </row>
    <row r="6456" spans="1:6" x14ac:dyDescent="0.25">
      <c r="A6456" t="str">
        <f>"000120974"</f>
        <v>000120974</v>
      </c>
      <c r="B6456" t="str">
        <f>"1114976677"</f>
        <v>1114976677</v>
      </c>
      <c r="C6456" t="str">
        <f>"207Q00000X"</f>
        <v>207Q00000X</v>
      </c>
      <c r="D6456" t="str">
        <f>"DEAN                     DAVID        A           "</f>
        <v xml:space="preserve">DEAN                     DAVID        A           </v>
      </c>
      <c r="E6456" t="str">
        <f>"BROOKHAVEN                "</f>
        <v xml:space="preserve">BROOKHAVEN                </v>
      </c>
      <c r="F6456" t="str">
        <f t="shared" si="216"/>
        <v>MS</v>
      </c>
    </row>
    <row r="6457" spans="1:6" x14ac:dyDescent="0.25">
      <c r="A6457" t="str">
        <f>"000120975"</f>
        <v>000120975</v>
      </c>
      <c r="B6457" t="str">
        <f>"1184724718"</f>
        <v>1184724718</v>
      </c>
      <c r="C6457" t="str">
        <f>"2086S0122X"</f>
        <v>2086S0122X</v>
      </c>
      <c r="D6457" t="str">
        <f>"ELLIOTT                  MARK         S           "</f>
        <v xml:space="preserve">ELLIOTT                  MARK         S           </v>
      </c>
      <c r="E6457" t="str">
        <f>"MERIDIAN                  "</f>
        <v xml:space="preserve">MERIDIAN                  </v>
      </c>
      <c r="F6457" t="str">
        <f t="shared" si="216"/>
        <v>MS</v>
      </c>
    </row>
    <row r="6458" spans="1:6" x14ac:dyDescent="0.25">
      <c r="A6458" t="str">
        <f>"000120988"</f>
        <v>000120988</v>
      </c>
      <c r="B6458" t="str">
        <f>"1841200771"</f>
        <v>1841200771</v>
      </c>
      <c r="C6458" t="str">
        <f>"207R00000X"</f>
        <v>207R00000X</v>
      </c>
      <c r="D6458" t="str">
        <f>"BROWN                    FRANK        A           "</f>
        <v xml:space="preserve">BROWN                    FRANK        A           </v>
      </c>
      <c r="E6458" t="str">
        <f>"HOLLANDALE                "</f>
        <v xml:space="preserve">HOLLANDALE                </v>
      </c>
      <c r="F6458" t="str">
        <f t="shared" si="216"/>
        <v>MS</v>
      </c>
    </row>
    <row r="6459" spans="1:6" x14ac:dyDescent="0.25">
      <c r="A6459" t="str">
        <f>"000120998"</f>
        <v>000120998</v>
      </c>
      <c r="B6459" t="str">
        <f>"1427095579"</f>
        <v>1427095579</v>
      </c>
      <c r="C6459" t="str">
        <f>"208D00000X"</f>
        <v>208D00000X</v>
      </c>
      <c r="D6459" t="str">
        <f>"SUMRALL                  CHRYSTAL     A           "</f>
        <v xml:space="preserve">SUMRALL                  CHRYSTAL     A           </v>
      </c>
      <c r="E6459" t="str">
        <f>"LAUREL                    "</f>
        <v xml:space="preserve">LAUREL                    </v>
      </c>
      <c r="F6459" t="str">
        <f t="shared" si="216"/>
        <v>MS</v>
      </c>
    </row>
    <row r="6460" spans="1:6" x14ac:dyDescent="0.25">
      <c r="A6460" t="str">
        <f>"000121009"</f>
        <v>000121009</v>
      </c>
      <c r="B6460" t="str">
        <f>"1609815000"</f>
        <v>1609815000</v>
      </c>
      <c r="C6460" t="str">
        <f>"207P00000X"</f>
        <v>207P00000X</v>
      </c>
      <c r="D6460" t="str">
        <f>"KELLOUGH                 KENNETH      W           "</f>
        <v xml:space="preserve">KELLOUGH                 KENNETH      W           </v>
      </c>
      <c r="E6460" t="str">
        <f>"CLEVELAND                 "</f>
        <v xml:space="preserve">CLEVELAND                 </v>
      </c>
      <c r="F6460" t="str">
        <f t="shared" si="216"/>
        <v>MS</v>
      </c>
    </row>
    <row r="6461" spans="1:6" x14ac:dyDescent="0.25">
      <c r="A6461" t="str">
        <f>"000121014"</f>
        <v>000121014</v>
      </c>
      <c r="B6461" t="str">
        <f>"1578591186"</f>
        <v>1578591186</v>
      </c>
      <c r="C6461" t="str">
        <f>"207R00000X"</f>
        <v>207R00000X</v>
      </c>
      <c r="D6461" t="str">
        <f>"COMPTON                  PHILLIP      D           "</f>
        <v xml:space="preserve">COMPTON                  PHILLIP      D           </v>
      </c>
      <c r="E6461" t="str">
        <f>"GULFPORT                  "</f>
        <v xml:space="preserve">GULFPORT                  </v>
      </c>
      <c r="F6461" t="str">
        <f t="shared" si="216"/>
        <v>MS</v>
      </c>
    </row>
    <row r="6462" spans="1:6" x14ac:dyDescent="0.25">
      <c r="A6462" t="str">
        <f>"000121029"</f>
        <v>000121029</v>
      </c>
      <c r="B6462" t="str">
        <f>"1114977451"</f>
        <v>1114977451</v>
      </c>
      <c r="C6462" t="str">
        <f>"207RC0000X"</f>
        <v>207RC0000X</v>
      </c>
      <c r="D6462" t="str">
        <f>"MULLEN II                PAUL         E           "</f>
        <v xml:space="preserve">MULLEN II                PAUL         E           </v>
      </c>
      <c r="E6462" t="str">
        <f>"GULFPORT                  "</f>
        <v xml:space="preserve">GULFPORT                  </v>
      </c>
      <c r="F6462" t="str">
        <f t="shared" ref="F6462:F6525" si="217">"MS"</f>
        <v>MS</v>
      </c>
    </row>
    <row r="6463" spans="1:6" x14ac:dyDescent="0.25">
      <c r="A6463" t="str">
        <f>"000121038"</f>
        <v>000121038</v>
      </c>
      <c r="B6463" t="str">
        <f>"1619900321"</f>
        <v>1619900321</v>
      </c>
      <c r="C6463" t="str">
        <f>"207R00000X"</f>
        <v>207R00000X</v>
      </c>
      <c r="D6463" t="str">
        <f>"MOMAN                    ANDREA       M           "</f>
        <v xml:space="preserve">MOMAN                    ANDREA       M           </v>
      </c>
      <c r="E6463" t="str">
        <f>"MONTICELLO                "</f>
        <v xml:space="preserve">MONTICELLO                </v>
      </c>
      <c r="F6463" t="str">
        <f t="shared" si="217"/>
        <v>MS</v>
      </c>
    </row>
    <row r="6464" spans="1:6" x14ac:dyDescent="0.25">
      <c r="A6464" t="str">
        <f>"000121047"</f>
        <v>000121047</v>
      </c>
      <c r="B6464" t="str">
        <f>"1558536037"</f>
        <v>1558536037</v>
      </c>
      <c r="C6464" t="str">
        <f>"363L00000X"</f>
        <v>363L00000X</v>
      </c>
      <c r="D6464" t="str">
        <f>"SHEFFIELD                KIMBERLY                 "</f>
        <v xml:space="preserve">SHEFFIELD                KIMBERLY                 </v>
      </c>
      <c r="E6464" t="str">
        <f>"FLOWOOD                   "</f>
        <v xml:space="preserve">FLOWOOD                   </v>
      </c>
      <c r="F6464" t="str">
        <f t="shared" si="217"/>
        <v>MS</v>
      </c>
    </row>
    <row r="6465" spans="1:6" x14ac:dyDescent="0.25">
      <c r="A6465" t="str">
        <f>"000121060"</f>
        <v>000121060</v>
      </c>
      <c r="B6465" t="str">
        <f>"1922166867"</f>
        <v>1922166867</v>
      </c>
      <c r="C6465" t="str">
        <f>"207Q00000X"</f>
        <v>207Q00000X</v>
      </c>
      <c r="D6465" t="str">
        <f>"DUFFIELD                 DERRICK      R           "</f>
        <v xml:space="preserve">DUFFIELD                 DERRICK      R           </v>
      </c>
      <c r="E6465" t="str">
        <f>"HATTIESBURG               "</f>
        <v xml:space="preserve">HATTIESBURG               </v>
      </c>
      <c r="F6465" t="str">
        <f t="shared" si="217"/>
        <v>MS</v>
      </c>
    </row>
    <row r="6466" spans="1:6" x14ac:dyDescent="0.25">
      <c r="A6466" t="str">
        <f>"000121088"</f>
        <v>000121088</v>
      </c>
      <c r="B6466" t="str">
        <f>"1639182124"</f>
        <v>1639182124</v>
      </c>
      <c r="C6466" t="str">
        <f>"207Q00000X"</f>
        <v>207Q00000X</v>
      </c>
      <c r="D6466" t="str">
        <f>"BURN                     DEEPINDER    P           "</f>
        <v xml:space="preserve">BURN                     DEEPINDER    P           </v>
      </c>
      <c r="E6466" t="str">
        <f>"WIGGINS                   "</f>
        <v xml:space="preserve">WIGGINS                   </v>
      </c>
      <c r="F6466" t="str">
        <f t="shared" si="217"/>
        <v>MS</v>
      </c>
    </row>
    <row r="6467" spans="1:6" x14ac:dyDescent="0.25">
      <c r="A6467" t="str">
        <f>"000121091"</f>
        <v>000121091</v>
      </c>
      <c r="B6467" t="str">
        <f>"1013964782"</f>
        <v>1013964782</v>
      </c>
      <c r="C6467" t="str">
        <f>"207W00000X"</f>
        <v>207W00000X</v>
      </c>
      <c r="D6467" t="str">
        <f>"MUNGAN                   NILS         K           "</f>
        <v xml:space="preserve">MUNGAN                   NILS         K           </v>
      </c>
      <c r="E6467" t="str">
        <f>"JACKSON                   "</f>
        <v xml:space="preserve">JACKSON                   </v>
      </c>
      <c r="F6467" t="str">
        <f t="shared" si="217"/>
        <v>MS</v>
      </c>
    </row>
    <row r="6468" spans="1:6" x14ac:dyDescent="0.25">
      <c r="A6468" t="str">
        <f>"000121103"</f>
        <v>000121103</v>
      </c>
      <c r="B6468" t="str">
        <f>"1417944331"</f>
        <v>1417944331</v>
      </c>
      <c r="C6468" t="str">
        <f>"363L00000X"</f>
        <v>363L00000X</v>
      </c>
      <c r="D6468" t="str">
        <f>"THORNHILL                BRENDA       K           "</f>
        <v xml:space="preserve">THORNHILL                BRENDA       K           </v>
      </c>
      <c r="E6468" t="str">
        <f>"COLUMBIA                  "</f>
        <v xml:space="preserve">COLUMBIA                  </v>
      </c>
      <c r="F6468" t="str">
        <f t="shared" si="217"/>
        <v>MS</v>
      </c>
    </row>
    <row r="6469" spans="1:6" x14ac:dyDescent="0.25">
      <c r="A6469" t="str">
        <f>"000121104"</f>
        <v>000121104</v>
      </c>
      <c r="B6469" t="str">
        <f>"1841288057"</f>
        <v>1841288057</v>
      </c>
      <c r="C6469" t="str">
        <f>"207X00000X"</f>
        <v>207X00000X</v>
      </c>
      <c r="D6469" t="str">
        <f>"O'MARA                   JAMES        W           "</f>
        <v xml:space="preserve">O'MARA                   JAMES        W           </v>
      </c>
      <c r="E6469" t="str">
        <f>"JACKSON                   "</f>
        <v xml:space="preserve">JACKSON                   </v>
      </c>
      <c r="F6469" t="str">
        <f t="shared" si="217"/>
        <v>MS</v>
      </c>
    </row>
    <row r="6470" spans="1:6" x14ac:dyDescent="0.25">
      <c r="A6470" t="str">
        <f>"000121120"</f>
        <v>000121120</v>
      </c>
      <c r="B6470" t="str">
        <f>"1942217757"</f>
        <v>1942217757</v>
      </c>
      <c r="C6470" t="str">
        <f>"207Q00000X"</f>
        <v>207Q00000X</v>
      </c>
      <c r="D6470" t="str">
        <f>"BULLOCK                  JOHN         D           "</f>
        <v xml:space="preserve">BULLOCK                  JOHN         D           </v>
      </c>
      <c r="E6470" t="str">
        <f>"SUMRALL                   "</f>
        <v xml:space="preserve">SUMRALL                   </v>
      </c>
      <c r="F6470" t="str">
        <f t="shared" si="217"/>
        <v>MS</v>
      </c>
    </row>
    <row r="6471" spans="1:6" x14ac:dyDescent="0.25">
      <c r="A6471" t="str">
        <f>"000121130"</f>
        <v>000121130</v>
      </c>
      <c r="B6471" t="str">
        <f>"1568449536"</f>
        <v>1568449536</v>
      </c>
      <c r="C6471" t="str">
        <f>"207R00000X"</f>
        <v>207R00000X</v>
      </c>
      <c r="D6471" t="str">
        <f>"KEADY JR                 DWIGHT       S           "</f>
        <v xml:space="preserve">KEADY JR                 DWIGHT       S           </v>
      </c>
      <c r="E6471" t="str">
        <f>"PHILADELPHIA              "</f>
        <v xml:space="preserve">PHILADELPHIA              </v>
      </c>
      <c r="F6471" t="str">
        <f t="shared" si="217"/>
        <v>MS</v>
      </c>
    </row>
    <row r="6472" spans="1:6" x14ac:dyDescent="0.25">
      <c r="A6472" t="str">
        <f>"000121134"</f>
        <v>000121134</v>
      </c>
      <c r="B6472" t="str">
        <f>"1326008913"</f>
        <v>1326008913</v>
      </c>
      <c r="C6472" t="str">
        <f>"2084N0400X"</f>
        <v>2084N0400X</v>
      </c>
      <c r="D6472" t="str">
        <f>"PANDE                    RAVI                     "</f>
        <v xml:space="preserve">PANDE                    RAVI                     </v>
      </c>
      <c r="E6472" t="str">
        <f>"GREENWOOD                 "</f>
        <v xml:space="preserve">GREENWOOD                 </v>
      </c>
      <c r="F6472" t="str">
        <f t="shared" si="217"/>
        <v>MS</v>
      </c>
    </row>
    <row r="6473" spans="1:6" x14ac:dyDescent="0.25">
      <c r="A6473" t="str">
        <f>"000121159"</f>
        <v>000121159</v>
      </c>
      <c r="B6473" t="str">
        <f>"1346238540"</f>
        <v>1346238540</v>
      </c>
      <c r="C6473" t="str">
        <f>"207X00000X"</f>
        <v>207X00000X</v>
      </c>
      <c r="D6473" t="str">
        <f>"LAWIN                    PENNY        J           "</f>
        <v xml:space="preserve">LAWIN                    PENNY        J           </v>
      </c>
      <c r="E6473" t="str">
        <f>"JACKSON                   "</f>
        <v xml:space="preserve">JACKSON                   </v>
      </c>
      <c r="F6473" t="str">
        <f t="shared" si="217"/>
        <v>MS</v>
      </c>
    </row>
    <row r="6474" spans="1:6" x14ac:dyDescent="0.25">
      <c r="A6474" t="str">
        <f>"000121166"</f>
        <v>000121166</v>
      </c>
      <c r="B6474" t="str">
        <f>"1104868827"</f>
        <v>1104868827</v>
      </c>
      <c r="C6474" t="str">
        <f>"207P00000X"</f>
        <v>207P00000X</v>
      </c>
      <c r="D6474" t="str">
        <f>"ZOOG                     ERIC                     "</f>
        <v xml:space="preserve">ZOOG                     ERIC                     </v>
      </c>
      <c r="E6474" t="str">
        <f>"BRANDON                   "</f>
        <v xml:space="preserve">BRANDON                   </v>
      </c>
      <c r="F6474" t="str">
        <f t="shared" si="217"/>
        <v>MS</v>
      </c>
    </row>
    <row r="6475" spans="1:6" x14ac:dyDescent="0.25">
      <c r="A6475" t="str">
        <f>"000121176"</f>
        <v>000121176</v>
      </c>
      <c r="B6475" t="str">
        <f>"1487704375"</f>
        <v>1487704375</v>
      </c>
      <c r="C6475" t="str">
        <f>"208600000X"</f>
        <v>208600000X</v>
      </c>
      <c r="D6475" t="str">
        <f>"CLAPP JR                 ROGER        C           "</f>
        <v xml:space="preserve">CLAPP JR                 ROGER        C           </v>
      </c>
      <c r="E6475" t="str">
        <f>"STARKVILLE                "</f>
        <v xml:space="preserve">STARKVILLE                </v>
      </c>
      <c r="F6475" t="str">
        <f t="shared" si="217"/>
        <v>MS</v>
      </c>
    </row>
    <row r="6476" spans="1:6" x14ac:dyDescent="0.25">
      <c r="A6476" t="str">
        <f>"000121178"</f>
        <v>000121178</v>
      </c>
      <c r="B6476" t="str">
        <f>"1245521665"</f>
        <v>1245521665</v>
      </c>
      <c r="C6476" t="str">
        <f>"363L00000X"</f>
        <v>363L00000X</v>
      </c>
      <c r="D6476" t="str">
        <f>"DAVIDSON                 SHEILA                   "</f>
        <v xml:space="preserve">DAVIDSON                 SHEILA                   </v>
      </c>
      <c r="E6476" t="str">
        <f>"MERIDIAN                  "</f>
        <v xml:space="preserve">MERIDIAN                  </v>
      </c>
      <c r="F6476" t="str">
        <f t="shared" si="217"/>
        <v>MS</v>
      </c>
    </row>
    <row r="6477" spans="1:6" x14ac:dyDescent="0.25">
      <c r="A6477" t="str">
        <f>"000121210"</f>
        <v>000121210</v>
      </c>
      <c r="B6477" t="str">
        <f>"1881753986"</f>
        <v>1881753986</v>
      </c>
      <c r="C6477" t="str">
        <f>"207R00000X"</f>
        <v>207R00000X</v>
      </c>
      <c r="D6477" t="str">
        <f>"TAMBOLI                  KAIZAD       P           "</f>
        <v xml:space="preserve">TAMBOLI                  KAIZAD       P           </v>
      </c>
      <c r="E6477" t="str">
        <f>"GULFPORT                  "</f>
        <v xml:space="preserve">GULFPORT                  </v>
      </c>
      <c r="F6477" t="str">
        <f t="shared" si="217"/>
        <v>MS</v>
      </c>
    </row>
    <row r="6478" spans="1:6" x14ac:dyDescent="0.25">
      <c r="A6478" t="str">
        <f>"000121220"</f>
        <v>000121220</v>
      </c>
      <c r="B6478" t="str">
        <f>"1609819028"</f>
        <v>1609819028</v>
      </c>
      <c r="C6478" t="str">
        <f>"367500000X"</f>
        <v>367500000X</v>
      </c>
      <c r="D6478" t="str">
        <f>"HOLY                     KYMBERLY     A           "</f>
        <v xml:space="preserve">HOLY                     KYMBERLY     A           </v>
      </c>
      <c r="E6478" t="str">
        <f>"FLOWOOD                   "</f>
        <v xml:space="preserve">FLOWOOD                   </v>
      </c>
      <c r="F6478" t="str">
        <f t="shared" si="217"/>
        <v>MS</v>
      </c>
    </row>
    <row r="6479" spans="1:6" x14ac:dyDescent="0.25">
      <c r="A6479" t="str">
        <f>"000121244"</f>
        <v>000121244</v>
      </c>
      <c r="B6479" t="str">
        <f>"1356395974"</f>
        <v>1356395974</v>
      </c>
      <c r="C6479" t="str">
        <f>"207R00000X"</f>
        <v>207R00000X</v>
      </c>
      <c r="D6479" t="str">
        <f>"NIMO                     RICARDO      A           "</f>
        <v xml:space="preserve">NIMO                     RICARDO      A           </v>
      </c>
      <c r="E6479" t="str">
        <f>"CENTREVILLE               "</f>
        <v xml:space="preserve">CENTREVILLE               </v>
      </c>
      <c r="F6479" t="str">
        <f t="shared" si="217"/>
        <v>MS</v>
      </c>
    </row>
    <row r="6480" spans="1:6" x14ac:dyDescent="0.25">
      <c r="A6480" t="str">
        <f>"000121251"</f>
        <v>000121251</v>
      </c>
      <c r="B6480" t="str">
        <f>"1346271772"</f>
        <v>1346271772</v>
      </c>
      <c r="C6480" t="str">
        <f>"2088P0231X"</f>
        <v>2088P0231X</v>
      </c>
      <c r="D6480" t="str">
        <f>"BARRAZA                  MARK         A           "</f>
        <v xml:space="preserve">BARRAZA                  MARK         A           </v>
      </c>
      <c r="E6480" t="str">
        <f>"JACKSON                   "</f>
        <v xml:space="preserve">JACKSON                   </v>
      </c>
      <c r="F6480" t="str">
        <f t="shared" si="217"/>
        <v>MS</v>
      </c>
    </row>
    <row r="6481" spans="1:6" x14ac:dyDescent="0.25">
      <c r="A6481" t="str">
        <f>"000121255"</f>
        <v>000121255</v>
      </c>
      <c r="B6481" t="str">
        <f>"1295710598"</f>
        <v>1295710598</v>
      </c>
      <c r="C6481" t="str">
        <f>"207RP1001X"</f>
        <v>207RP1001X</v>
      </c>
      <c r="D6481" t="str">
        <f>"MILES                    JANICE       L           "</f>
        <v xml:space="preserve">MILES                    JANICE       L           </v>
      </c>
      <c r="E6481" t="str">
        <f>"MOSS POINT                "</f>
        <v xml:space="preserve">MOSS POINT                </v>
      </c>
      <c r="F6481" t="str">
        <f t="shared" si="217"/>
        <v>MS</v>
      </c>
    </row>
    <row r="6482" spans="1:6" x14ac:dyDescent="0.25">
      <c r="A6482" t="str">
        <f>"000121256"</f>
        <v>000121256</v>
      </c>
      <c r="B6482" t="str">
        <f>"1609851492"</f>
        <v>1609851492</v>
      </c>
      <c r="C6482" t="str">
        <f>"207RP1001X"</f>
        <v>207RP1001X</v>
      </c>
      <c r="D6482" t="str">
        <f>"HIEBERT                  TIMOTHY      C           "</f>
        <v xml:space="preserve">HIEBERT                  TIMOTHY      C           </v>
      </c>
      <c r="E6482" t="str">
        <f>"OCEAN SPRINGS             "</f>
        <v xml:space="preserve">OCEAN SPRINGS             </v>
      </c>
      <c r="F6482" t="str">
        <f t="shared" si="217"/>
        <v>MS</v>
      </c>
    </row>
    <row r="6483" spans="1:6" x14ac:dyDescent="0.25">
      <c r="A6483" t="str">
        <f>"000121258"</f>
        <v>000121258</v>
      </c>
      <c r="B6483" t="str">
        <f>"1285614115"</f>
        <v>1285614115</v>
      </c>
      <c r="C6483" t="str">
        <f>"367500000X"</f>
        <v>367500000X</v>
      </c>
      <c r="D6483" t="str">
        <f>"HARDY                    RACHEL       C           "</f>
        <v xml:space="preserve">HARDY                    RACHEL       C           </v>
      </c>
      <c r="E6483" t="str">
        <f>"TUPELO                    "</f>
        <v xml:space="preserve">TUPELO                    </v>
      </c>
      <c r="F6483" t="str">
        <f t="shared" si="217"/>
        <v>MS</v>
      </c>
    </row>
    <row r="6484" spans="1:6" x14ac:dyDescent="0.25">
      <c r="A6484" t="str">
        <f>"000121267"</f>
        <v>000121267</v>
      </c>
      <c r="B6484" t="str">
        <f>"1770634966"</f>
        <v>1770634966</v>
      </c>
      <c r="C6484" t="str">
        <f>"207R00000X"</f>
        <v>207R00000X</v>
      </c>
      <c r="D6484" t="str">
        <f>"PAETZ                    BRADLEY      A           "</f>
        <v xml:space="preserve">PAETZ                    BRADLEY      A           </v>
      </c>
      <c r="E6484" t="str">
        <f>"PASCAGOULA                "</f>
        <v xml:space="preserve">PASCAGOULA                </v>
      </c>
      <c r="F6484" t="str">
        <f t="shared" si="217"/>
        <v>MS</v>
      </c>
    </row>
    <row r="6485" spans="1:6" x14ac:dyDescent="0.25">
      <c r="A6485" t="str">
        <f>"000121280"</f>
        <v>000121280</v>
      </c>
      <c r="B6485" t="str">
        <f>"1477650869"</f>
        <v>1477650869</v>
      </c>
      <c r="C6485" t="str">
        <f>"363L00000X"</f>
        <v>363L00000X</v>
      </c>
      <c r="D6485" t="str">
        <f>"AREGHAN                  GLORIA                   "</f>
        <v xml:space="preserve">AREGHAN                  GLORIA                   </v>
      </c>
      <c r="E6485" t="str">
        <f>"JACKSON                   "</f>
        <v xml:space="preserve">JACKSON                   </v>
      </c>
      <c r="F6485" t="str">
        <f t="shared" si="217"/>
        <v>MS</v>
      </c>
    </row>
    <row r="6486" spans="1:6" x14ac:dyDescent="0.25">
      <c r="A6486" t="str">
        <f>"000121297"</f>
        <v>000121297</v>
      </c>
      <c r="B6486" t="str">
        <f>"1023115565"</f>
        <v>1023115565</v>
      </c>
      <c r="C6486" t="str">
        <f>"207V00000X"</f>
        <v>207V00000X</v>
      </c>
      <c r="D6486" t="str">
        <f>"BUSH                     WILLIAM      G           "</f>
        <v xml:space="preserve">BUSH                     WILLIAM      G           </v>
      </c>
      <c r="E6486" t="str">
        <f>"FLOWOOD                   "</f>
        <v xml:space="preserve">FLOWOOD                   </v>
      </c>
      <c r="F6486" t="str">
        <f t="shared" si="217"/>
        <v>MS</v>
      </c>
    </row>
    <row r="6487" spans="1:6" x14ac:dyDescent="0.25">
      <c r="A6487" t="str">
        <f>"000121343"</f>
        <v>000121343</v>
      </c>
      <c r="B6487" t="str">
        <f>"1043232986"</f>
        <v>1043232986</v>
      </c>
      <c r="C6487" t="str">
        <f>"208000000X"</f>
        <v>208000000X</v>
      </c>
      <c r="D6487" t="str">
        <f>"ADESOJI                  REMILEKUN    S           "</f>
        <v xml:space="preserve">ADESOJI                  REMILEKUN    S           </v>
      </c>
      <c r="E6487" t="str">
        <f>"SOUTHAVEN                 "</f>
        <v xml:space="preserve">SOUTHAVEN                 </v>
      </c>
      <c r="F6487" t="str">
        <f t="shared" si="217"/>
        <v>MS</v>
      </c>
    </row>
    <row r="6488" spans="1:6" x14ac:dyDescent="0.25">
      <c r="A6488" t="str">
        <f>"000121344"</f>
        <v>000121344</v>
      </c>
      <c r="B6488" t="str">
        <f>"1861414708"</f>
        <v>1861414708</v>
      </c>
      <c r="C6488" t="str">
        <f>"207R00000X"</f>
        <v>207R00000X</v>
      </c>
      <c r="D6488" t="str">
        <f>"ADESOJI                  GAFAR        A           "</f>
        <v xml:space="preserve">ADESOJI                  GAFAR        A           </v>
      </c>
      <c r="E6488" t="str">
        <f>"SOUTHAVEN                 "</f>
        <v xml:space="preserve">SOUTHAVEN                 </v>
      </c>
      <c r="F6488" t="str">
        <f t="shared" si="217"/>
        <v>MS</v>
      </c>
    </row>
    <row r="6489" spans="1:6" x14ac:dyDescent="0.25">
      <c r="A6489" t="str">
        <f>"000121377"</f>
        <v>000121377</v>
      </c>
      <c r="B6489" t="str">
        <f>"1841341369"</f>
        <v>1841341369</v>
      </c>
      <c r="C6489" t="str">
        <f>"208600000X"</f>
        <v>208600000X</v>
      </c>
      <c r="D6489" t="str">
        <f>"HORSLEY                  WILLIAM      S           "</f>
        <v xml:space="preserve">HORSLEY                  WILLIAM      S           </v>
      </c>
      <c r="E6489" t="str">
        <f>"JACKSON                   "</f>
        <v xml:space="preserve">JACKSON                   </v>
      </c>
      <c r="F6489" t="str">
        <f t="shared" si="217"/>
        <v>MS</v>
      </c>
    </row>
    <row r="6490" spans="1:6" x14ac:dyDescent="0.25">
      <c r="A6490" t="str">
        <f>"000121387"</f>
        <v>000121387</v>
      </c>
      <c r="B6490" t="str">
        <f>"1750325528"</f>
        <v>1750325528</v>
      </c>
      <c r="C6490" t="str">
        <f>"363L00000X"</f>
        <v>363L00000X</v>
      </c>
      <c r="D6490" t="str">
        <f>"CRAVEN                   KENNETH                  "</f>
        <v xml:space="preserve">CRAVEN                   KENNETH                  </v>
      </c>
      <c r="E6490" t="str">
        <f>"LAUREL                    "</f>
        <v xml:space="preserve">LAUREL                    </v>
      </c>
      <c r="F6490" t="str">
        <f t="shared" si="217"/>
        <v>MS</v>
      </c>
    </row>
    <row r="6491" spans="1:6" x14ac:dyDescent="0.25">
      <c r="A6491" t="str">
        <f>"000121393"</f>
        <v>000121393</v>
      </c>
      <c r="B6491" t="str">
        <f>"1043326986"</f>
        <v>1043326986</v>
      </c>
      <c r="C6491" t="str">
        <f>"363L00000X"</f>
        <v>363L00000X</v>
      </c>
      <c r="D6491" t="str">
        <f>"FORREST                  AMY          M           "</f>
        <v xml:space="preserve">FORREST                  AMY          M           </v>
      </c>
      <c r="E6491" t="str">
        <f>"TUPELO                    "</f>
        <v xml:space="preserve">TUPELO                    </v>
      </c>
      <c r="F6491" t="str">
        <f t="shared" si="217"/>
        <v>MS</v>
      </c>
    </row>
    <row r="6492" spans="1:6" x14ac:dyDescent="0.25">
      <c r="A6492" t="str">
        <f>"000121401"</f>
        <v>000121401</v>
      </c>
      <c r="B6492" t="str">
        <f>"1619984390"</f>
        <v>1619984390</v>
      </c>
      <c r="C6492" t="str">
        <f>"363L00000X"</f>
        <v>363L00000X</v>
      </c>
      <c r="D6492" t="str">
        <f>"HARBIN                   ANGEL        S           "</f>
        <v xml:space="preserve">HARBIN                   ANGEL        S           </v>
      </c>
      <c r="E6492" t="str">
        <f>"TUPELO                    "</f>
        <v xml:space="preserve">TUPELO                    </v>
      </c>
      <c r="F6492" t="str">
        <f t="shared" si="217"/>
        <v>MS</v>
      </c>
    </row>
    <row r="6493" spans="1:6" x14ac:dyDescent="0.25">
      <c r="A6493" t="str">
        <f>"000121402"</f>
        <v>000121402</v>
      </c>
      <c r="B6493" t="str">
        <f>"1386621936"</f>
        <v>1386621936</v>
      </c>
      <c r="C6493" t="str">
        <f>"207Q00000X"</f>
        <v>207Q00000X</v>
      </c>
      <c r="D6493" t="str">
        <f>"CLAYTON                  TODD         A           "</f>
        <v xml:space="preserve">CLAYTON                  TODD         A           </v>
      </c>
      <c r="E6493" t="str">
        <f>"JACKSON                   "</f>
        <v xml:space="preserve">JACKSON                   </v>
      </c>
      <c r="F6493" t="str">
        <f t="shared" si="217"/>
        <v>MS</v>
      </c>
    </row>
    <row r="6494" spans="1:6" x14ac:dyDescent="0.25">
      <c r="A6494" t="str">
        <f>"000121404"</f>
        <v>000121404</v>
      </c>
      <c r="B6494" t="str">
        <f>"1730166307"</f>
        <v>1730166307</v>
      </c>
      <c r="C6494" t="str">
        <f>"207RC0000X"</f>
        <v>207RC0000X</v>
      </c>
      <c r="D6494" t="str">
        <f>"BENNETT                  WESLEY       S           "</f>
        <v xml:space="preserve">BENNETT                  WESLEY       S           </v>
      </c>
      <c r="E6494" t="str">
        <f>"MERIDIAN                  "</f>
        <v xml:space="preserve">MERIDIAN                  </v>
      </c>
      <c r="F6494" t="str">
        <f t="shared" si="217"/>
        <v>MS</v>
      </c>
    </row>
    <row r="6495" spans="1:6" x14ac:dyDescent="0.25">
      <c r="A6495" t="str">
        <f>"000121407"</f>
        <v>000121407</v>
      </c>
      <c r="B6495" t="str">
        <f>"1598864274"</f>
        <v>1598864274</v>
      </c>
      <c r="C6495" t="str">
        <f>"2084P0800X"</f>
        <v>2084P0800X</v>
      </c>
      <c r="D6495" t="str">
        <f>"CULPEPPER                ROBERT       B           "</f>
        <v xml:space="preserve">CULPEPPER                ROBERT       B           </v>
      </c>
      <c r="E6495" t="str">
        <f>"GULFPORT                  "</f>
        <v xml:space="preserve">GULFPORT                  </v>
      </c>
      <c r="F6495" t="str">
        <f t="shared" si="217"/>
        <v>MS</v>
      </c>
    </row>
    <row r="6496" spans="1:6" x14ac:dyDescent="0.25">
      <c r="A6496" t="str">
        <f>"000121418"</f>
        <v>000121418</v>
      </c>
      <c r="B6496" t="str">
        <f>"1265455802"</f>
        <v>1265455802</v>
      </c>
      <c r="C6496" t="str">
        <f>"208000000X"</f>
        <v>208000000X</v>
      </c>
      <c r="D6496" t="str">
        <f>"YARBROUGH                BENJAMIN     O           "</f>
        <v xml:space="preserve">YARBROUGH                BENJAMIN     O           </v>
      </c>
      <c r="E6496" t="str">
        <f>"MEADVILLE                 "</f>
        <v xml:space="preserve">MEADVILLE                 </v>
      </c>
      <c r="F6496" t="str">
        <f t="shared" si="217"/>
        <v>MS</v>
      </c>
    </row>
    <row r="6497" spans="1:6" x14ac:dyDescent="0.25">
      <c r="A6497" t="str">
        <f>"000121431"</f>
        <v>000121431</v>
      </c>
      <c r="B6497" t="str">
        <f>"1245246099"</f>
        <v>1245246099</v>
      </c>
      <c r="C6497" t="str">
        <f>"363L00000X"</f>
        <v>363L00000X</v>
      </c>
      <c r="D6497" t="str">
        <f>"STANFORD                 TERESA       P           "</f>
        <v xml:space="preserve">STANFORD                 TERESA       P           </v>
      </c>
      <c r="E6497" t="str">
        <f>"AMORY                     "</f>
        <v xml:space="preserve">AMORY                     </v>
      </c>
      <c r="F6497" t="str">
        <f t="shared" si="217"/>
        <v>MS</v>
      </c>
    </row>
    <row r="6498" spans="1:6" x14ac:dyDescent="0.25">
      <c r="A6498" t="str">
        <f>"000121432"</f>
        <v>000121432</v>
      </c>
      <c r="B6498" t="str">
        <f>"1801809124"</f>
        <v>1801809124</v>
      </c>
      <c r="C6498" t="str">
        <f>"208000000X"</f>
        <v>208000000X</v>
      </c>
      <c r="D6498" t="str">
        <f>"MCGUIRE                  PATRICK                  "</f>
        <v xml:space="preserve">MCGUIRE                  PATRICK                  </v>
      </c>
      <c r="E6498" t="str">
        <f>"LUCEDALE                  "</f>
        <v xml:space="preserve">LUCEDALE                  </v>
      </c>
      <c r="F6498" t="str">
        <f t="shared" si="217"/>
        <v>MS</v>
      </c>
    </row>
    <row r="6499" spans="1:6" x14ac:dyDescent="0.25">
      <c r="A6499" t="str">
        <f>"000121439"</f>
        <v>000121439</v>
      </c>
      <c r="B6499" t="str">
        <f>"1376584920"</f>
        <v>1376584920</v>
      </c>
      <c r="C6499" t="str">
        <f>"207P00000X"</f>
        <v>207P00000X</v>
      </c>
      <c r="D6499" t="str">
        <f>"JACKSON                  CHRISTOPHER  L           "</f>
        <v xml:space="preserve">JACKSON                  CHRISTOPHER  L           </v>
      </c>
      <c r="E6499" t="str">
        <f>"VICKSBURG                 "</f>
        <v xml:space="preserve">VICKSBURG                 </v>
      </c>
      <c r="F6499" t="str">
        <f t="shared" si="217"/>
        <v>MS</v>
      </c>
    </row>
    <row r="6500" spans="1:6" x14ac:dyDescent="0.25">
      <c r="A6500" t="str">
        <f>"000121464"</f>
        <v>000121464</v>
      </c>
      <c r="B6500" t="str">
        <f>"1194749150"</f>
        <v>1194749150</v>
      </c>
      <c r="C6500" t="str">
        <f>"207R00000X"</f>
        <v>207R00000X</v>
      </c>
      <c r="D6500" t="str">
        <f>"MORGAN                   KERRY        D           "</f>
        <v xml:space="preserve">MORGAN                   KERRY        D           </v>
      </c>
      <c r="E6500" t="str">
        <f>"CORINTH                   "</f>
        <v xml:space="preserve">CORINTH                   </v>
      </c>
      <c r="F6500" t="str">
        <f t="shared" si="217"/>
        <v>MS</v>
      </c>
    </row>
    <row r="6501" spans="1:6" x14ac:dyDescent="0.25">
      <c r="A6501" t="str">
        <f>"000121469"</f>
        <v>000121469</v>
      </c>
      <c r="B6501" t="str">
        <f>"1386689404"</f>
        <v>1386689404</v>
      </c>
      <c r="C6501" t="str">
        <f>"207V00000X"</f>
        <v>207V00000X</v>
      </c>
      <c r="D6501" t="str">
        <f>"SAMS                     BRADLEY      C           "</f>
        <v xml:space="preserve">SAMS                     BRADLEY      C           </v>
      </c>
      <c r="E6501" t="str">
        <f>"OCEAN SPRINGS             "</f>
        <v xml:space="preserve">OCEAN SPRINGS             </v>
      </c>
      <c r="F6501" t="str">
        <f t="shared" si="217"/>
        <v>MS</v>
      </c>
    </row>
    <row r="6502" spans="1:6" x14ac:dyDescent="0.25">
      <c r="A6502" t="str">
        <f>"000121487"</f>
        <v>000121487</v>
      </c>
      <c r="B6502" t="str">
        <f>"1538140512"</f>
        <v>1538140512</v>
      </c>
      <c r="C6502" t="str">
        <f>"2084P0800X"</f>
        <v>2084P0800X</v>
      </c>
      <c r="D6502" t="str">
        <f>"RESTER                   MARK         O           "</f>
        <v xml:space="preserve">RESTER                   MARK         O           </v>
      </c>
      <c r="E6502" t="str">
        <f>"BRANDON                   "</f>
        <v xml:space="preserve">BRANDON                   </v>
      </c>
      <c r="F6502" t="str">
        <f t="shared" si="217"/>
        <v>MS</v>
      </c>
    </row>
    <row r="6503" spans="1:6" x14ac:dyDescent="0.25">
      <c r="A6503" t="str">
        <f>"000121501"</f>
        <v>000121501</v>
      </c>
      <c r="B6503" t="str">
        <f>"1992782924"</f>
        <v>1992782924</v>
      </c>
      <c r="C6503" t="str">
        <f>"207RH0003X"</f>
        <v>207RH0003X</v>
      </c>
      <c r="D6503" t="str">
        <f>"HALBROOK                 JOHN         C           "</f>
        <v xml:space="preserve">HALBROOK                 JOHN         C           </v>
      </c>
      <c r="E6503" t="str">
        <f>"MERIDIAN                  "</f>
        <v xml:space="preserve">MERIDIAN                  </v>
      </c>
      <c r="F6503" t="str">
        <f t="shared" si="217"/>
        <v>MS</v>
      </c>
    </row>
    <row r="6504" spans="1:6" x14ac:dyDescent="0.25">
      <c r="A6504" t="str">
        <f>"000121511"</f>
        <v>000121511</v>
      </c>
      <c r="B6504" t="str">
        <f>"1841315678"</f>
        <v>1841315678</v>
      </c>
      <c r="C6504" t="str">
        <f>"207Q00000X"</f>
        <v>207Q00000X</v>
      </c>
      <c r="D6504" t="str">
        <f>"WELLS                    WILLIE       L           "</f>
        <v xml:space="preserve">WELLS                    WILLIE       L           </v>
      </c>
      <c r="E6504" t="str">
        <f>"BRUCE                     "</f>
        <v xml:space="preserve">BRUCE                     </v>
      </c>
      <c r="F6504" t="str">
        <f t="shared" si="217"/>
        <v>MS</v>
      </c>
    </row>
    <row r="6505" spans="1:6" x14ac:dyDescent="0.25">
      <c r="A6505" t="str">
        <f>"000121524"</f>
        <v>000121524</v>
      </c>
      <c r="B6505" t="str">
        <f>"1255423844"</f>
        <v>1255423844</v>
      </c>
      <c r="C6505" t="str">
        <f>"367500000X"</f>
        <v>367500000X</v>
      </c>
      <c r="D6505" t="str">
        <f>"CLAYTON                  KRISTI       H           "</f>
        <v xml:space="preserve">CLAYTON                  KRISTI       H           </v>
      </c>
      <c r="E6505" t="str">
        <f>"FLOWOOD                   "</f>
        <v xml:space="preserve">FLOWOOD                   </v>
      </c>
      <c r="F6505" t="str">
        <f t="shared" si="217"/>
        <v>MS</v>
      </c>
    </row>
    <row r="6506" spans="1:6" x14ac:dyDescent="0.25">
      <c r="A6506" t="str">
        <f>"000121529"</f>
        <v>000121529</v>
      </c>
      <c r="B6506" t="str">
        <f>"1104900968"</f>
        <v>1104900968</v>
      </c>
      <c r="C6506" t="str">
        <f>"207P00000X"</f>
        <v>207P00000X</v>
      </c>
      <c r="D6506" t="str">
        <f>"ASHLEY                   JON          S           "</f>
        <v xml:space="preserve">ASHLEY                   JON          S           </v>
      </c>
      <c r="E6506" t="str">
        <f>"GRENADA                   "</f>
        <v xml:space="preserve">GRENADA                   </v>
      </c>
      <c r="F6506" t="str">
        <f t="shared" si="217"/>
        <v>MS</v>
      </c>
    </row>
    <row r="6507" spans="1:6" x14ac:dyDescent="0.25">
      <c r="A6507" t="str">
        <f>"000121537"</f>
        <v>000121537</v>
      </c>
      <c r="B6507" t="str">
        <f>"1639156235"</f>
        <v>1639156235</v>
      </c>
      <c r="C6507" t="str">
        <f>"207RG0100X"</f>
        <v>207RG0100X</v>
      </c>
      <c r="D6507" t="str">
        <f>"THOMAS                   ANTHONY      L           "</f>
        <v xml:space="preserve">THOMAS                   ANTHONY      L           </v>
      </c>
      <c r="E6507" t="str">
        <f>"MERIDIAN                  "</f>
        <v xml:space="preserve">MERIDIAN                  </v>
      </c>
      <c r="F6507" t="str">
        <f t="shared" si="217"/>
        <v>MS</v>
      </c>
    </row>
    <row r="6508" spans="1:6" x14ac:dyDescent="0.25">
      <c r="A6508" t="str">
        <f>"000121547"</f>
        <v>000121547</v>
      </c>
      <c r="B6508" t="str">
        <f>"1124067368"</f>
        <v>1124067368</v>
      </c>
      <c r="C6508" t="str">
        <f>"207RG0300X"</f>
        <v>207RG0300X</v>
      </c>
      <c r="D6508" t="str">
        <f>"STEVENS                  THOMAS       E           "</f>
        <v xml:space="preserve">STEVENS                  THOMAS       E           </v>
      </c>
      <c r="E6508" t="str">
        <f>"PASCAGOULA                "</f>
        <v xml:space="preserve">PASCAGOULA                </v>
      </c>
      <c r="F6508" t="str">
        <f t="shared" si="217"/>
        <v>MS</v>
      </c>
    </row>
    <row r="6509" spans="1:6" x14ac:dyDescent="0.25">
      <c r="A6509" t="str">
        <f>"000121561"</f>
        <v>000121561</v>
      </c>
      <c r="B6509" t="str">
        <f>"1699765818"</f>
        <v>1699765818</v>
      </c>
      <c r="C6509" t="str">
        <f>"207Q00000X"</f>
        <v>207Q00000X</v>
      </c>
      <c r="D6509" t="str">
        <f>"NEELY                    SUSAN        J           "</f>
        <v xml:space="preserve">NEELY                    SUSAN        J           </v>
      </c>
      <c r="E6509" t="str">
        <f>"GREENWOOD                 "</f>
        <v xml:space="preserve">GREENWOOD                 </v>
      </c>
      <c r="F6509" t="str">
        <f t="shared" si="217"/>
        <v>MS</v>
      </c>
    </row>
    <row r="6510" spans="1:6" x14ac:dyDescent="0.25">
      <c r="A6510" t="str">
        <f>"000121566"</f>
        <v>000121566</v>
      </c>
      <c r="B6510" t="str">
        <f>"1306814801"</f>
        <v>1306814801</v>
      </c>
      <c r="C6510" t="str">
        <f>"207Q00000X"</f>
        <v>207Q00000X</v>
      </c>
      <c r="D6510" t="str">
        <f>"JOHNSTON                 JOHN                     "</f>
        <v xml:space="preserve">JOHNSTON                 JOHN                     </v>
      </c>
      <c r="E6510" t="str">
        <f>"MERIDIAN                  "</f>
        <v xml:space="preserve">MERIDIAN                  </v>
      </c>
      <c r="F6510" t="str">
        <f t="shared" si="217"/>
        <v>MS</v>
      </c>
    </row>
    <row r="6511" spans="1:6" x14ac:dyDescent="0.25">
      <c r="A6511" t="str">
        <f>"000121570"</f>
        <v>000121570</v>
      </c>
      <c r="B6511" t="str">
        <f>"1649245549"</f>
        <v>1649245549</v>
      </c>
      <c r="C6511" t="str">
        <f>"207Y00000X"</f>
        <v>207Y00000X</v>
      </c>
      <c r="D6511" t="str">
        <f>"DYE                      BRADFORD     J           "</f>
        <v xml:space="preserve">DYE                      BRADFORD     J           </v>
      </c>
      <c r="E6511" t="str">
        <f>"OXFORD                    "</f>
        <v xml:space="preserve">OXFORD                    </v>
      </c>
      <c r="F6511" t="str">
        <f t="shared" si="217"/>
        <v>MS</v>
      </c>
    </row>
    <row r="6512" spans="1:6" x14ac:dyDescent="0.25">
      <c r="A6512" t="str">
        <f>"000121572"</f>
        <v>000121572</v>
      </c>
      <c r="B6512" t="str">
        <f>"1851471270"</f>
        <v>1851471270</v>
      </c>
      <c r="C6512" t="str">
        <f>"208800000X"</f>
        <v>208800000X</v>
      </c>
      <c r="D6512" t="str">
        <f>"AZAR                     DEBORAH      T           "</f>
        <v xml:space="preserve">AZAR                     DEBORAH      T           </v>
      </c>
      <c r="E6512" t="str">
        <f>"HATTIESBURG               "</f>
        <v xml:space="preserve">HATTIESBURG               </v>
      </c>
      <c r="F6512" t="str">
        <f t="shared" si="217"/>
        <v>MS</v>
      </c>
    </row>
    <row r="6513" spans="1:6" x14ac:dyDescent="0.25">
      <c r="A6513" t="str">
        <f>"000121596"</f>
        <v>000121596</v>
      </c>
      <c r="B6513" t="str">
        <f>"1821180514"</f>
        <v>1821180514</v>
      </c>
      <c r="C6513" t="str">
        <f>"207RC0000X"</f>
        <v>207RC0000X</v>
      </c>
      <c r="D6513" t="str">
        <f>"JOHNSON JR               JAMES        C           "</f>
        <v xml:space="preserve">JOHNSON JR               JAMES        C           </v>
      </c>
      <c r="E6513" t="str">
        <f>"TUPELO                    "</f>
        <v xml:space="preserve">TUPELO                    </v>
      </c>
      <c r="F6513" t="str">
        <f t="shared" si="217"/>
        <v>MS</v>
      </c>
    </row>
    <row r="6514" spans="1:6" x14ac:dyDescent="0.25">
      <c r="A6514" t="str">
        <f>"000121603"</f>
        <v>000121603</v>
      </c>
      <c r="B6514" t="str">
        <f>"1033260625"</f>
        <v>1033260625</v>
      </c>
      <c r="C6514" t="str">
        <f>"207P00000X"</f>
        <v>207P00000X</v>
      </c>
      <c r="D6514" t="str">
        <f>"SEYMOUR, JR              MICHAEL      M           "</f>
        <v xml:space="preserve">SEYMOUR, JR              MICHAEL      M           </v>
      </c>
      <c r="E6514" t="str">
        <f>"PASCAGOULA                "</f>
        <v xml:space="preserve">PASCAGOULA                </v>
      </c>
      <c r="F6514" t="str">
        <f t="shared" si="217"/>
        <v>MS</v>
      </c>
    </row>
    <row r="6515" spans="1:6" x14ac:dyDescent="0.25">
      <c r="A6515" t="str">
        <f>"000121619"</f>
        <v>000121619</v>
      </c>
      <c r="B6515" t="str">
        <f>"1609883446"</f>
        <v>1609883446</v>
      </c>
      <c r="C6515" t="str">
        <f>"207RC0000X"</f>
        <v>207RC0000X</v>
      </c>
      <c r="D6515" t="str">
        <f>"BELLAN III               JOHN         A           "</f>
        <v xml:space="preserve">BELLAN III               JOHN         A           </v>
      </c>
      <c r="E6515" t="str">
        <f>"JACKSON                   "</f>
        <v xml:space="preserve">JACKSON                   </v>
      </c>
      <c r="F6515" t="str">
        <f t="shared" si="217"/>
        <v>MS</v>
      </c>
    </row>
    <row r="6516" spans="1:6" x14ac:dyDescent="0.25">
      <c r="A6516" t="str">
        <f>"000121646"</f>
        <v>000121646</v>
      </c>
      <c r="B6516" t="str">
        <f>"1487601050"</f>
        <v>1487601050</v>
      </c>
      <c r="C6516" t="str">
        <f>"207P00000X"</f>
        <v>207P00000X</v>
      </c>
      <c r="D6516" t="str">
        <f>"NATIONS                  KELLY                    "</f>
        <v xml:space="preserve">NATIONS                  KELLY                    </v>
      </c>
      <c r="E6516" t="str">
        <f>"GULFPORT                  "</f>
        <v xml:space="preserve">GULFPORT                  </v>
      </c>
      <c r="F6516" t="str">
        <f t="shared" si="217"/>
        <v>MS</v>
      </c>
    </row>
    <row r="6517" spans="1:6" x14ac:dyDescent="0.25">
      <c r="A6517" t="str">
        <f>"000121654"</f>
        <v>000121654</v>
      </c>
      <c r="B6517" t="str">
        <f>"1508950502"</f>
        <v>1508950502</v>
      </c>
      <c r="C6517" t="str">
        <f>"363LF0000X"</f>
        <v>363LF0000X</v>
      </c>
      <c r="D6517" t="str">
        <f>"HILL                     KATHY        D           "</f>
        <v xml:space="preserve">HILL                     KATHY        D           </v>
      </c>
      <c r="E6517" t="str">
        <f>"PELAHATCHIE               "</f>
        <v xml:space="preserve">PELAHATCHIE               </v>
      </c>
      <c r="F6517" t="str">
        <f t="shared" si="217"/>
        <v>MS</v>
      </c>
    </row>
    <row r="6518" spans="1:6" x14ac:dyDescent="0.25">
      <c r="A6518" t="str">
        <f>"000121687"</f>
        <v>000121687</v>
      </c>
      <c r="B6518" t="str">
        <f>"1144214925"</f>
        <v>1144214925</v>
      </c>
      <c r="C6518" t="str">
        <f>"207RP1001X"</f>
        <v>207RP1001X</v>
      </c>
      <c r="D6518" t="str">
        <f>"PATEL                    RAJESH       G           "</f>
        <v xml:space="preserve">PATEL                    RAJESH       G           </v>
      </c>
      <c r="E6518" t="str">
        <f>"JACKSON                   "</f>
        <v xml:space="preserve">JACKSON                   </v>
      </c>
      <c r="F6518" t="str">
        <f t="shared" si="217"/>
        <v>MS</v>
      </c>
    </row>
    <row r="6519" spans="1:6" x14ac:dyDescent="0.25">
      <c r="A6519" t="str">
        <f>"000121690"</f>
        <v>000121690</v>
      </c>
      <c r="B6519" t="str">
        <f>"1730155946"</f>
        <v>1730155946</v>
      </c>
      <c r="C6519" t="str">
        <f>"207RC0000X"</f>
        <v>207RC0000X</v>
      </c>
      <c r="D6519" t="str">
        <f>"BOYD                     JOHN         T           "</f>
        <v xml:space="preserve">BOYD                     JOHN         T           </v>
      </c>
      <c r="E6519" t="str">
        <f>"MERIDIAN                  "</f>
        <v xml:space="preserve">MERIDIAN                  </v>
      </c>
      <c r="F6519" t="str">
        <f t="shared" si="217"/>
        <v>MS</v>
      </c>
    </row>
    <row r="6520" spans="1:6" x14ac:dyDescent="0.25">
      <c r="A6520" t="str">
        <f>"000121694"</f>
        <v>000121694</v>
      </c>
      <c r="B6520" t="str">
        <f>"1831105451"</f>
        <v>1831105451</v>
      </c>
      <c r="C6520" t="str">
        <f>"363L00000X"</f>
        <v>363L00000X</v>
      </c>
      <c r="D6520" t="str">
        <f>"DAVIS                    DEBORAH      M           "</f>
        <v xml:space="preserve">DAVIS                    DEBORAH      M           </v>
      </c>
      <c r="E6520" t="str">
        <f>"ACKERMAN                  "</f>
        <v xml:space="preserve">ACKERMAN                  </v>
      </c>
      <c r="F6520" t="str">
        <f t="shared" si="217"/>
        <v>MS</v>
      </c>
    </row>
    <row r="6521" spans="1:6" x14ac:dyDescent="0.25">
      <c r="A6521" t="str">
        <f>"000121708"</f>
        <v>000121708</v>
      </c>
      <c r="B6521" t="str">
        <f>"1962583971"</f>
        <v>1962583971</v>
      </c>
      <c r="C6521" t="str">
        <f>"363L00000X"</f>
        <v>363L00000X</v>
      </c>
      <c r="D6521" t="str">
        <f>"JACKSON                  PRISCILLA    B           "</f>
        <v xml:space="preserve">JACKSON                  PRISCILLA    B           </v>
      </c>
      <c r="E6521" t="str">
        <f>"FAYETTE                   "</f>
        <v xml:space="preserve">FAYETTE                   </v>
      </c>
      <c r="F6521" t="str">
        <f t="shared" si="217"/>
        <v>MS</v>
      </c>
    </row>
    <row r="6522" spans="1:6" x14ac:dyDescent="0.25">
      <c r="A6522" t="str">
        <f>"000121716"</f>
        <v>000121716</v>
      </c>
      <c r="B6522" t="str">
        <f>"1740226018"</f>
        <v>1740226018</v>
      </c>
      <c r="C6522" t="str">
        <f>"363L00000X"</f>
        <v>363L00000X</v>
      </c>
      <c r="D6522" t="str">
        <f>"HAMPTON                  VICKI        L           "</f>
        <v xml:space="preserve">HAMPTON                  VICKI        L           </v>
      </c>
      <c r="E6522" t="str">
        <f>"ELLISVILLE                "</f>
        <v xml:space="preserve">ELLISVILLE                </v>
      </c>
      <c r="F6522" t="str">
        <f t="shared" si="217"/>
        <v>MS</v>
      </c>
    </row>
    <row r="6523" spans="1:6" x14ac:dyDescent="0.25">
      <c r="A6523" t="str">
        <f>"000121725"</f>
        <v>000121725</v>
      </c>
      <c r="B6523" t="str">
        <f>"1326082835"</f>
        <v>1326082835</v>
      </c>
      <c r="C6523" t="str">
        <f>"207P00000X"</f>
        <v>207P00000X</v>
      </c>
      <c r="D6523" t="str">
        <f>"FARMER                   MICHAEL      C           "</f>
        <v xml:space="preserve">FARMER                   MICHAEL      C           </v>
      </c>
      <c r="E6523" t="str">
        <f>"HATTIESBURG               "</f>
        <v xml:space="preserve">HATTIESBURG               </v>
      </c>
      <c r="F6523" t="str">
        <f t="shared" si="217"/>
        <v>MS</v>
      </c>
    </row>
    <row r="6524" spans="1:6" x14ac:dyDescent="0.25">
      <c r="A6524" t="str">
        <f>"000121754"</f>
        <v>000121754</v>
      </c>
      <c r="B6524" t="str">
        <f>"1811932064"</f>
        <v>1811932064</v>
      </c>
      <c r="C6524" t="str">
        <f>"363L00000X"</f>
        <v>363L00000X</v>
      </c>
      <c r="D6524" t="str">
        <f>"BANKS                    MICHELLE     D           "</f>
        <v xml:space="preserve">BANKS                    MICHELLE     D           </v>
      </c>
      <c r="E6524" t="str">
        <f>"VICKSBURG                 "</f>
        <v xml:space="preserve">VICKSBURG                 </v>
      </c>
      <c r="F6524" t="str">
        <f t="shared" si="217"/>
        <v>MS</v>
      </c>
    </row>
    <row r="6525" spans="1:6" x14ac:dyDescent="0.25">
      <c r="A6525" t="str">
        <f>"000121759"</f>
        <v>000121759</v>
      </c>
      <c r="B6525" t="str">
        <f>"1659336196"</f>
        <v>1659336196</v>
      </c>
      <c r="C6525" t="str">
        <f>"363L00000X"</f>
        <v>363L00000X</v>
      </c>
      <c r="D6525" t="str">
        <f>"BRAME                    SUSAN                    "</f>
        <v xml:space="preserve">BRAME                    SUSAN                    </v>
      </c>
      <c r="E6525" t="str">
        <f>"OLIVE BRANCH              "</f>
        <v xml:space="preserve">OLIVE BRANCH              </v>
      </c>
      <c r="F6525" t="str">
        <f t="shared" si="217"/>
        <v>MS</v>
      </c>
    </row>
    <row r="6526" spans="1:6" x14ac:dyDescent="0.25">
      <c r="A6526" t="str">
        <f>"000121760"</f>
        <v>000121760</v>
      </c>
      <c r="B6526" t="str">
        <f>"1417913120"</f>
        <v>1417913120</v>
      </c>
      <c r="C6526" t="str">
        <f>"363L00000X"</f>
        <v>363L00000X</v>
      </c>
      <c r="D6526" t="str">
        <f>"WRIGHT                   PHYLLIS      R           "</f>
        <v xml:space="preserve">WRIGHT                   PHYLLIS      R           </v>
      </c>
      <c r="E6526" t="str">
        <f>"HOLLY SPRINGS             "</f>
        <v xml:space="preserve">HOLLY SPRINGS             </v>
      </c>
      <c r="F6526" t="str">
        <f t="shared" ref="F6526:F6589" si="218">"MS"</f>
        <v>MS</v>
      </c>
    </row>
    <row r="6527" spans="1:6" x14ac:dyDescent="0.25">
      <c r="A6527" t="str">
        <f>"000121762"</f>
        <v>000121762</v>
      </c>
      <c r="B6527" t="str">
        <f>"1982719779"</f>
        <v>1982719779</v>
      </c>
      <c r="C6527" t="str">
        <f>"207Q00000X"</f>
        <v>207Q00000X</v>
      </c>
      <c r="D6527" t="str">
        <f>"SCHEPENS                 STEVEN       M           "</f>
        <v xml:space="preserve">SCHEPENS                 STEVEN       M           </v>
      </c>
      <c r="E6527" t="str">
        <f>"GULFPORT                  "</f>
        <v xml:space="preserve">GULFPORT                  </v>
      </c>
      <c r="F6527" t="str">
        <f t="shared" si="218"/>
        <v>MS</v>
      </c>
    </row>
    <row r="6528" spans="1:6" x14ac:dyDescent="0.25">
      <c r="A6528" t="str">
        <f>"000121782"</f>
        <v>000121782</v>
      </c>
      <c r="B6528" t="str">
        <f>"1942213103"</f>
        <v>1942213103</v>
      </c>
      <c r="C6528" t="str">
        <f>"207R00000X"</f>
        <v>207R00000X</v>
      </c>
      <c r="D6528" t="str">
        <f>"HERNANDEZ                CHARLES      D           "</f>
        <v xml:space="preserve">HERNANDEZ                CHARLES      D           </v>
      </c>
      <c r="E6528" t="str">
        <f>"HATTIESBURG               "</f>
        <v xml:space="preserve">HATTIESBURG               </v>
      </c>
      <c r="F6528" t="str">
        <f t="shared" si="218"/>
        <v>MS</v>
      </c>
    </row>
    <row r="6529" spans="1:6" x14ac:dyDescent="0.25">
      <c r="A6529" t="str">
        <f>"000121789"</f>
        <v>000121789</v>
      </c>
      <c r="B6529" t="str">
        <f>"1942237953"</f>
        <v>1942237953</v>
      </c>
      <c r="C6529" t="str">
        <f>"2080N0001X"</f>
        <v>2080N0001X</v>
      </c>
      <c r="D6529" t="str">
        <f>"BHATT                    ABHAY        J           "</f>
        <v xml:space="preserve">BHATT                    ABHAY        J           </v>
      </c>
      <c r="E6529" t="str">
        <f>"JACKSON                   "</f>
        <v xml:space="preserve">JACKSON                   </v>
      </c>
      <c r="F6529" t="str">
        <f t="shared" si="218"/>
        <v>MS</v>
      </c>
    </row>
    <row r="6530" spans="1:6" x14ac:dyDescent="0.25">
      <c r="A6530" t="str">
        <f>"000121800"</f>
        <v>000121800</v>
      </c>
      <c r="B6530" t="str">
        <f>"1942239090"</f>
        <v>1942239090</v>
      </c>
      <c r="C6530" t="str">
        <f>"207X00000X"</f>
        <v>207X00000X</v>
      </c>
      <c r="D6530" t="str">
        <f>"BARBIERI, JR.            ROCCO        A           "</f>
        <v xml:space="preserve">BARBIERI, JR.            ROCCO        A           </v>
      </c>
      <c r="E6530" t="str">
        <f>"HATTIESBURG               "</f>
        <v xml:space="preserve">HATTIESBURG               </v>
      </c>
      <c r="F6530" t="str">
        <f t="shared" si="218"/>
        <v>MS</v>
      </c>
    </row>
    <row r="6531" spans="1:6" x14ac:dyDescent="0.25">
      <c r="A6531" t="str">
        <f>"000121807"</f>
        <v>000121807</v>
      </c>
      <c r="B6531" t="str">
        <f>"1710902390"</f>
        <v>1710902390</v>
      </c>
      <c r="C6531" t="str">
        <f>"207R00000X"</f>
        <v>207R00000X</v>
      </c>
      <c r="D6531" t="str">
        <f>"HARKINS                  KIMBERLY                 "</f>
        <v xml:space="preserve">HARKINS                  KIMBERLY                 </v>
      </c>
      <c r="E6531" t="str">
        <f>"JACKSON                   "</f>
        <v xml:space="preserve">JACKSON                   </v>
      </c>
      <c r="F6531" t="str">
        <f t="shared" si="218"/>
        <v>MS</v>
      </c>
    </row>
    <row r="6532" spans="1:6" x14ac:dyDescent="0.25">
      <c r="A6532" t="str">
        <f>"000121823"</f>
        <v>000121823</v>
      </c>
      <c r="B6532" t="str">
        <f>"1366523284"</f>
        <v>1366523284</v>
      </c>
      <c r="C6532" t="str">
        <f>"363L00000X"</f>
        <v>363L00000X</v>
      </c>
      <c r="D6532" t="str">
        <f>"BARNES                   JENNIFER     O           "</f>
        <v xml:space="preserve">BARNES                   JENNIFER     O           </v>
      </c>
      <c r="E6532" t="str">
        <f>"SALTILLO                  "</f>
        <v xml:space="preserve">SALTILLO                  </v>
      </c>
      <c r="F6532" t="str">
        <f t="shared" si="218"/>
        <v>MS</v>
      </c>
    </row>
    <row r="6533" spans="1:6" x14ac:dyDescent="0.25">
      <c r="A6533" t="str">
        <f>"000121824"</f>
        <v>000121824</v>
      </c>
      <c r="B6533" t="str">
        <f>"1053369355"</f>
        <v>1053369355</v>
      </c>
      <c r="C6533" t="str">
        <f>"363L00000X"</f>
        <v>363L00000X</v>
      </c>
      <c r="D6533" t="str">
        <f>"KITCHENS BOYANTON        AMANDA                   "</f>
        <v xml:space="preserve">KITCHENS BOYANTON        AMANDA                   </v>
      </c>
      <c r="E6533" t="str">
        <f>"JACKSON                   "</f>
        <v xml:space="preserve">JACKSON                   </v>
      </c>
      <c r="F6533" t="str">
        <f t="shared" si="218"/>
        <v>MS</v>
      </c>
    </row>
    <row r="6534" spans="1:6" x14ac:dyDescent="0.25">
      <c r="A6534" t="str">
        <f>"000121836"</f>
        <v>000121836</v>
      </c>
      <c r="B6534" t="str">
        <f>"1316916844"</f>
        <v>1316916844</v>
      </c>
      <c r="C6534" t="str">
        <f>"363L00000X"</f>
        <v>363L00000X</v>
      </c>
      <c r="D6534" t="str">
        <f>"TABB                     LESLIE       C           "</f>
        <v xml:space="preserve">TABB                     LESLIE       C           </v>
      </c>
      <c r="E6534" t="str">
        <f>"CLEVELAND                 "</f>
        <v xml:space="preserve">CLEVELAND                 </v>
      </c>
      <c r="F6534" t="str">
        <f t="shared" si="218"/>
        <v>MS</v>
      </c>
    </row>
    <row r="6535" spans="1:6" x14ac:dyDescent="0.25">
      <c r="A6535" t="str">
        <f>"000121838"</f>
        <v>000121838</v>
      </c>
      <c r="B6535" t="str">
        <f>"1417149253"</f>
        <v>1417149253</v>
      </c>
      <c r="C6535" t="str">
        <f>"207RN0300X"</f>
        <v>207RN0300X</v>
      </c>
      <c r="D6535" t="str">
        <f>"PATEL                    AMITA        N           "</f>
        <v xml:space="preserve">PATEL                    AMITA        N           </v>
      </c>
      <c r="E6535" t="str">
        <f>"GREENVILLE                "</f>
        <v xml:space="preserve">GREENVILLE                </v>
      </c>
      <c r="F6535" t="str">
        <f t="shared" si="218"/>
        <v>MS</v>
      </c>
    </row>
    <row r="6536" spans="1:6" x14ac:dyDescent="0.25">
      <c r="A6536" t="str">
        <f>"000121854"</f>
        <v>000121854</v>
      </c>
      <c r="B6536" t="str">
        <f>"1689622318"</f>
        <v>1689622318</v>
      </c>
      <c r="C6536" t="str">
        <f>"207RI0200X"</f>
        <v>207RI0200X</v>
      </c>
      <c r="D6536" t="str">
        <f>"MCPHERSON                ANNE         B           "</f>
        <v xml:space="preserve">MCPHERSON                ANNE         B           </v>
      </c>
      <c r="E6536" t="str">
        <f>"JACKSON                   "</f>
        <v xml:space="preserve">JACKSON                   </v>
      </c>
      <c r="F6536" t="str">
        <f t="shared" si="218"/>
        <v>MS</v>
      </c>
    </row>
    <row r="6537" spans="1:6" x14ac:dyDescent="0.25">
      <c r="A6537" t="str">
        <f>"000121860"</f>
        <v>000121860</v>
      </c>
      <c r="B6537" t="str">
        <f>"1528178415"</f>
        <v>1528178415</v>
      </c>
      <c r="C6537" t="str">
        <f>"207RC0000X"</f>
        <v>207RC0000X</v>
      </c>
      <c r="D6537" t="str">
        <f>"BETHALA                  CYRIL        V           "</f>
        <v xml:space="preserve">BETHALA                  CYRIL        V           </v>
      </c>
      <c r="E6537" t="str">
        <f>"GULFPORT                  "</f>
        <v xml:space="preserve">GULFPORT                  </v>
      </c>
      <c r="F6537" t="str">
        <f t="shared" si="218"/>
        <v>MS</v>
      </c>
    </row>
    <row r="6538" spans="1:6" x14ac:dyDescent="0.25">
      <c r="A6538" t="str">
        <f>"000121861"</f>
        <v>000121861</v>
      </c>
      <c r="B6538" t="str">
        <f>"1568411403"</f>
        <v>1568411403</v>
      </c>
      <c r="C6538" t="str">
        <f>"207RC0000X"</f>
        <v>207RC0000X</v>
      </c>
      <c r="D6538" t="str">
        <f>"RIZK                     ANTOINE      B           "</f>
        <v xml:space="preserve">RIZK                     ANTOINE      B           </v>
      </c>
      <c r="E6538" t="str">
        <f>"GULFPORT                  "</f>
        <v xml:space="preserve">GULFPORT                  </v>
      </c>
      <c r="F6538" t="str">
        <f t="shared" si="218"/>
        <v>MS</v>
      </c>
    </row>
    <row r="6539" spans="1:6" x14ac:dyDescent="0.25">
      <c r="A6539" t="str">
        <f>"000121878"</f>
        <v>000121878</v>
      </c>
      <c r="B6539" t="str">
        <f>"1346222890"</f>
        <v>1346222890</v>
      </c>
      <c r="C6539" t="str">
        <f>"207Q00000X"</f>
        <v>207Q00000X</v>
      </c>
      <c r="D6539" t="str">
        <f>"HENDERSON                EDWARD       D           "</f>
        <v xml:space="preserve">HENDERSON                EDWARD       D           </v>
      </c>
      <c r="E6539" t="str">
        <f>"COLLINSVILLE              "</f>
        <v xml:space="preserve">COLLINSVILLE              </v>
      </c>
      <c r="F6539" t="str">
        <f t="shared" si="218"/>
        <v>MS</v>
      </c>
    </row>
    <row r="6540" spans="1:6" x14ac:dyDescent="0.25">
      <c r="A6540" t="str">
        <f>"000121885"</f>
        <v>000121885</v>
      </c>
      <c r="B6540" t="str">
        <f>"1245232792"</f>
        <v>1245232792</v>
      </c>
      <c r="C6540" t="str">
        <f>"207R00000X"</f>
        <v>207R00000X</v>
      </c>
      <c r="D6540" t="str">
        <f>"ANAZIA                   VICTOR       O           "</f>
        <v xml:space="preserve">ANAZIA                   VICTOR       O           </v>
      </c>
      <c r="E6540" t="str">
        <f>"MCCOMB                    "</f>
        <v xml:space="preserve">MCCOMB                    </v>
      </c>
      <c r="F6540" t="str">
        <f t="shared" si="218"/>
        <v>MS</v>
      </c>
    </row>
    <row r="6541" spans="1:6" x14ac:dyDescent="0.25">
      <c r="A6541" t="str">
        <f>"000121888"</f>
        <v>000121888</v>
      </c>
      <c r="B6541" t="str">
        <f>"1851398309"</f>
        <v>1851398309</v>
      </c>
      <c r="C6541" t="str">
        <f>"207Q00000X"</f>
        <v>207Q00000X</v>
      </c>
      <c r="D6541" t="str">
        <f>"BASLER                   BONNIE       N           "</f>
        <v xml:space="preserve">BASLER                   BONNIE       N           </v>
      </c>
      <c r="E6541" t="str">
        <f>"TUPELO                    "</f>
        <v xml:space="preserve">TUPELO                    </v>
      </c>
      <c r="F6541" t="str">
        <f t="shared" si="218"/>
        <v>MS</v>
      </c>
    </row>
    <row r="6542" spans="1:6" x14ac:dyDescent="0.25">
      <c r="A6542" t="str">
        <f>"000121892"</f>
        <v>000121892</v>
      </c>
      <c r="B6542" t="str">
        <f>"1619925666"</f>
        <v>1619925666</v>
      </c>
      <c r="C6542" t="str">
        <f>"208000000X"</f>
        <v>208000000X</v>
      </c>
      <c r="D6542" t="str">
        <f>"RUSS                     JENNIFER     V           "</f>
        <v xml:space="preserve">RUSS                     JENNIFER     V           </v>
      </c>
      <c r="E6542" t="str">
        <f>"NATCHEZ                   "</f>
        <v xml:space="preserve">NATCHEZ                   </v>
      </c>
      <c r="F6542" t="str">
        <f t="shared" si="218"/>
        <v>MS</v>
      </c>
    </row>
    <row r="6543" spans="1:6" x14ac:dyDescent="0.25">
      <c r="A6543" t="str">
        <f>"000121913"</f>
        <v>000121913</v>
      </c>
      <c r="B6543" t="str">
        <f>"1215022470"</f>
        <v>1215022470</v>
      </c>
      <c r="C6543" t="str">
        <f>"208D00000X"</f>
        <v>208D00000X</v>
      </c>
      <c r="D6543" t="str">
        <f>"CANTRELL                 JOHN         A           "</f>
        <v xml:space="preserve">CANTRELL                 JOHN         A           </v>
      </c>
      <c r="E6543" t="str">
        <f>"STARKVILLE                "</f>
        <v xml:space="preserve">STARKVILLE                </v>
      </c>
      <c r="F6543" t="str">
        <f t="shared" si="218"/>
        <v>MS</v>
      </c>
    </row>
    <row r="6544" spans="1:6" x14ac:dyDescent="0.25">
      <c r="A6544" t="str">
        <f>"000121925"</f>
        <v>000121925</v>
      </c>
      <c r="B6544" t="str">
        <f>"1639383532"</f>
        <v>1639383532</v>
      </c>
      <c r="C6544" t="str">
        <f>"207RA0001X"</f>
        <v>207RA0001X</v>
      </c>
      <c r="D6544" t="str">
        <f>"LONG                     ROBERT       C           "</f>
        <v xml:space="preserve">LONG                     ROBERT       C           </v>
      </c>
      <c r="E6544" t="str">
        <f>"JACKSON                   "</f>
        <v xml:space="preserve">JACKSON                   </v>
      </c>
      <c r="F6544" t="str">
        <f t="shared" si="218"/>
        <v>MS</v>
      </c>
    </row>
    <row r="6545" spans="1:6" x14ac:dyDescent="0.25">
      <c r="A6545" t="str">
        <f>"000121927"</f>
        <v>000121927</v>
      </c>
      <c r="B6545" t="str">
        <f>"1497791784"</f>
        <v>1497791784</v>
      </c>
      <c r="C6545" t="str">
        <f>"207R00000X"</f>
        <v>207R00000X</v>
      </c>
      <c r="D6545" t="str">
        <f>"STEWART                  JIMMY                    "</f>
        <v xml:space="preserve">STEWART                  JIMMY                    </v>
      </c>
      <c r="E6545" t="str">
        <f>"JACKSON                   "</f>
        <v xml:space="preserve">JACKSON                   </v>
      </c>
      <c r="F6545" t="str">
        <f t="shared" si="218"/>
        <v>MS</v>
      </c>
    </row>
    <row r="6546" spans="1:6" x14ac:dyDescent="0.25">
      <c r="A6546" t="str">
        <f>"000121929"</f>
        <v>000121929</v>
      </c>
      <c r="B6546" t="str">
        <f>"1144323387"</f>
        <v>1144323387</v>
      </c>
      <c r="C6546" t="str">
        <f>"207V00000X"</f>
        <v>207V00000X</v>
      </c>
      <c r="D6546" t="str">
        <f>"NELSON                   VIRGINIA     C           "</f>
        <v xml:space="preserve">NELSON                   VIRGINIA     C           </v>
      </c>
      <c r="E6546" t="str">
        <f>"MERIDIAN                  "</f>
        <v xml:space="preserve">MERIDIAN                  </v>
      </c>
      <c r="F6546" t="str">
        <f t="shared" si="218"/>
        <v>MS</v>
      </c>
    </row>
    <row r="6547" spans="1:6" x14ac:dyDescent="0.25">
      <c r="A6547" t="str">
        <f>"000121939"</f>
        <v>000121939</v>
      </c>
      <c r="B6547" t="str">
        <f>"1427083971"</f>
        <v>1427083971</v>
      </c>
      <c r="C6547" t="str">
        <f>"207L00000X"</f>
        <v>207L00000X</v>
      </c>
      <c r="D6547" t="str">
        <f>"SANDEFUR                 MARK         V           "</f>
        <v xml:space="preserve">SANDEFUR                 MARK         V           </v>
      </c>
      <c r="E6547" t="str">
        <f>"FLOWOOD                   "</f>
        <v xml:space="preserve">FLOWOOD                   </v>
      </c>
      <c r="F6547" t="str">
        <f t="shared" si="218"/>
        <v>MS</v>
      </c>
    </row>
    <row r="6548" spans="1:6" x14ac:dyDescent="0.25">
      <c r="A6548" t="str">
        <f>"000121948"</f>
        <v>000121948</v>
      </c>
      <c r="B6548" t="str">
        <f>"1932132495"</f>
        <v>1932132495</v>
      </c>
      <c r="C6548" t="str">
        <f>"207R00000X"</f>
        <v>207R00000X</v>
      </c>
      <c r="D6548" t="str">
        <f>"EAST                     HONEY        E           "</f>
        <v xml:space="preserve">EAST                     HONEY        E           </v>
      </c>
      <c r="E6548" t="str">
        <f>"JACKSON                   "</f>
        <v xml:space="preserve">JACKSON                   </v>
      </c>
      <c r="F6548" t="str">
        <f t="shared" si="218"/>
        <v>MS</v>
      </c>
    </row>
    <row r="6549" spans="1:6" x14ac:dyDescent="0.25">
      <c r="A6549" t="str">
        <f>"000122006"</f>
        <v>000122006</v>
      </c>
      <c r="B6549" t="str">
        <f>"1912911843"</f>
        <v>1912911843</v>
      </c>
      <c r="C6549" t="str">
        <f>"207RG0100X"</f>
        <v>207RG0100X</v>
      </c>
      <c r="D6549" t="str">
        <f>"EZZELL                   JESSE        H           "</f>
        <v xml:space="preserve">EZZELL                   JESSE        H           </v>
      </c>
      <c r="E6549" t="str">
        <f>"LAUREL                    "</f>
        <v xml:space="preserve">LAUREL                    </v>
      </c>
      <c r="F6549" t="str">
        <f t="shared" si="218"/>
        <v>MS</v>
      </c>
    </row>
    <row r="6550" spans="1:6" x14ac:dyDescent="0.25">
      <c r="A6550" t="str">
        <f>"000122024"</f>
        <v>000122024</v>
      </c>
      <c r="B6550" t="str">
        <f>"1649216680"</f>
        <v>1649216680</v>
      </c>
      <c r="C6550" t="str">
        <f>"207Q00000X"</f>
        <v>207Q00000X</v>
      </c>
      <c r="D6550" t="str">
        <f>"WALKER                   ROBERT       L           "</f>
        <v xml:space="preserve">WALKER                   ROBERT       L           </v>
      </c>
      <c r="E6550" t="str">
        <f>"HAZLEHURST                "</f>
        <v xml:space="preserve">HAZLEHURST                </v>
      </c>
      <c r="F6550" t="str">
        <f t="shared" si="218"/>
        <v>MS</v>
      </c>
    </row>
    <row r="6551" spans="1:6" x14ac:dyDescent="0.25">
      <c r="A6551" t="str">
        <f>"000122025"</f>
        <v>000122025</v>
      </c>
      <c r="B6551" t="str">
        <f>"1619987914"</f>
        <v>1619987914</v>
      </c>
      <c r="C6551" t="str">
        <f>"367500000X"</f>
        <v>367500000X</v>
      </c>
      <c r="D6551" t="str">
        <f>"SMITH                    BETHANY      L           "</f>
        <v xml:space="preserve">SMITH                    BETHANY      L           </v>
      </c>
      <c r="E6551" t="str">
        <f>"HATTIESBURG               "</f>
        <v xml:space="preserve">HATTIESBURG               </v>
      </c>
      <c r="F6551" t="str">
        <f t="shared" si="218"/>
        <v>MS</v>
      </c>
    </row>
    <row r="6552" spans="1:6" x14ac:dyDescent="0.25">
      <c r="A6552" t="str">
        <f>"000122028"</f>
        <v>000122028</v>
      </c>
      <c r="B6552" t="str">
        <f>"1598837288"</f>
        <v>1598837288</v>
      </c>
      <c r="C6552" t="str">
        <f>"367500000X"</f>
        <v>367500000X</v>
      </c>
      <c r="D6552" t="str">
        <f>"WILLIAMS                 PAUL         F           "</f>
        <v xml:space="preserve">WILLIAMS                 PAUL         F           </v>
      </c>
      <c r="E6552" t="str">
        <f>"JACKSON                   "</f>
        <v xml:space="preserve">JACKSON                   </v>
      </c>
      <c r="F6552" t="str">
        <f t="shared" si="218"/>
        <v>MS</v>
      </c>
    </row>
    <row r="6553" spans="1:6" x14ac:dyDescent="0.25">
      <c r="A6553" t="str">
        <f>"000122029"</f>
        <v>000122029</v>
      </c>
      <c r="B6553" t="str">
        <f>"1669588547"</f>
        <v>1669588547</v>
      </c>
      <c r="C6553" t="str">
        <f>"207L00000X"</f>
        <v>207L00000X</v>
      </c>
      <c r="D6553" t="str">
        <f>"IRIZARRY                 LUIS         A           "</f>
        <v xml:space="preserve">IRIZARRY                 LUIS         A           </v>
      </c>
      <c r="E6553" t="str">
        <f>"HATTIESBURG               "</f>
        <v xml:space="preserve">HATTIESBURG               </v>
      </c>
      <c r="F6553" t="str">
        <f t="shared" si="218"/>
        <v>MS</v>
      </c>
    </row>
    <row r="6554" spans="1:6" x14ac:dyDescent="0.25">
      <c r="A6554" t="str">
        <f>"000122042"</f>
        <v>000122042</v>
      </c>
      <c r="B6554" t="str">
        <f>"1811929292"</f>
        <v>1811929292</v>
      </c>
      <c r="C6554" t="str">
        <f>"207R00000X"</f>
        <v>207R00000X</v>
      </c>
      <c r="D6554" t="str">
        <f>"FOLSE                    YVETTE       S           "</f>
        <v xml:space="preserve">FOLSE                    YVETTE       S           </v>
      </c>
      <c r="E6554" t="str">
        <f>"GULFPORT                  "</f>
        <v xml:space="preserve">GULFPORT                  </v>
      </c>
      <c r="F6554" t="str">
        <f t="shared" si="218"/>
        <v>MS</v>
      </c>
    </row>
    <row r="6555" spans="1:6" x14ac:dyDescent="0.25">
      <c r="A6555" t="str">
        <f>"000122046"</f>
        <v>000122046</v>
      </c>
      <c r="B6555" t="str">
        <f>"1932254547"</f>
        <v>1932254547</v>
      </c>
      <c r="C6555" t="str">
        <f>"207L00000X"</f>
        <v>207L00000X</v>
      </c>
      <c r="D6555" t="str">
        <f>"PRYOR JR                 SHAPARD      H           "</f>
        <v xml:space="preserve">PRYOR JR                 SHAPARD      H           </v>
      </c>
      <c r="E6555" t="str">
        <f>"JACKSON                   "</f>
        <v xml:space="preserve">JACKSON                   </v>
      </c>
      <c r="F6555" t="str">
        <f t="shared" si="218"/>
        <v>MS</v>
      </c>
    </row>
    <row r="6556" spans="1:6" x14ac:dyDescent="0.25">
      <c r="A6556" t="str">
        <f>"000122055"</f>
        <v>000122055</v>
      </c>
      <c r="B6556" t="str">
        <f>"1538195805"</f>
        <v>1538195805</v>
      </c>
      <c r="C6556" t="str">
        <f>"2080P0202X"</f>
        <v>2080P0202X</v>
      </c>
      <c r="D6556" t="str">
        <f>"TROUTMAN                 WILLIAM      B           "</f>
        <v xml:space="preserve">TROUTMAN                 WILLIAM      B           </v>
      </c>
      <c r="E6556" t="str">
        <f>"BILOXI                    "</f>
        <v xml:space="preserve">BILOXI                    </v>
      </c>
      <c r="F6556" t="str">
        <f t="shared" si="218"/>
        <v>MS</v>
      </c>
    </row>
    <row r="6557" spans="1:6" x14ac:dyDescent="0.25">
      <c r="A6557" t="str">
        <f>"000122062"</f>
        <v>000122062</v>
      </c>
      <c r="B6557" t="str">
        <f>"1558323964"</f>
        <v>1558323964</v>
      </c>
      <c r="C6557" t="str">
        <f>"207N00000X"</f>
        <v>207N00000X</v>
      </c>
      <c r="D6557" t="str">
        <f>"HANSEN                   DAWN         M           "</f>
        <v xml:space="preserve">HANSEN                   DAWN         M           </v>
      </c>
      <c r="E6557" t="str">
        <f>"BILOXI                    "</f>
        <v xml:space="preserve">BILOXI                    </v>
      </c>
      <c r="F6557" t="str">
        <f t="shared" si="218"/>
        <v>MS</v>
      </c>
    </row>
    <row r="6558" spans="1:6" x14ac:dyDescent="0.25">
      <c r="A6558" t="str">
        <f>"000122080"</f>
        <v>000122080</v>
      </c>
      <c r="B6558" t="str">
        <f>"1801845136"</f>
        <v>1801845136</v>
      </c>
      <c r="C6558" t="str">
        <f>"208600000X"</f>
        <v>208600000X</v>
      </c>
      <c r="D6558" t="str">
        <f>"FLATTMANN                GEOFFREY     J           "</f>
        <v xml:space="preserve">FLATTMANN                GEOFFREY     J           </v>
      </c>
      <c r="E6558" t="str">
        <f>"NATCHEZ                   "</f>
        <v xml:space="preserve">NATCHEZ                   </v>
      </c>
      <c r="F6558" t="str">
        <f t="shared" si="218"/>
        <v>MS</v>
      </c>
    </row>
    <row r="6559" spans="1:6" x14ac:dyDescent="0.25">
      <c r="A6559" t="str">
        <f>"000122091"</f>
        <v>000122091</v>
      </c>
      <c r="B6559" t="str">
        <f>"1730111063"</f>
        <v>1730111063</v>
      </c>
      <c r="C6559" t="str">
        <f>"207V00000X"</f>
        <v>207V00000X</v>
      </c>
      <c r="D6559" t="str">
        <f>"MANEJWALA                FAZAL        M           "</f>
        <v xml:space="preserve">MANEJWALA                FAZAL        M           </v>
      </c>
      <c r="E6559" t="str">
        <f>"SOUTHAVEN                 "</f>
        <v xml:space="preserve">SOUTHAVEN                 </v>
      </c>
      <c r="F6559" t="str">
        <f t="shared" si="218"/>
        <v>MS</v>
      </c>
    </row>
    <row r="6560" spans="1:6" x14ac:dyDescent="0.25">
      <c r="A6560" t="str">
        <f>"000122096"</f>
        <v>000122096</v>
      </c>
      <c r="B6560" t="str">
        <f>"1033223995"</f>
        <v>1033223995</v>
      </c>
      <c r="C6560" t="str">
        <f>"363L00000X"</f>
        <v>363L00000X</v>
      </c>
      <c r="D6560" t="str">
        <f>"JOHNSON                  MICHAEL      W           "</f>
        <v xml:space="preserve">JOHNSON                  MICHAEL      W           </v>
      </c>
      <c r="E6560" t="str">
        <f>"FOXWORTH                  "</f>
        <v xml:space="preserve">FOXWORTH                  </v>
      </c>
      <c r="F6560" t="str">
        <f t="shared" si="218"/>
        <v>MS</v>
      </c>
    </row>
    <row r="6561" spans="1:6" x14ac:dyDescent="0.25">
      <c r="A6561" t="str">
        <f>"000122130"</f>
        <v>000122130</v>
      </c>
      <c r="B6561" t="str">
        <f>"1932295995"</f>
        <v>1932295995</v>
      </c>
      <c r="C6561" t="str">
        <f>"208600000X"</f>
        <v>208600000X</v>
      </c>
      <c r="D6561" t="str">
        <f>"PEAVEY                   MICHAEL      T           "</f>
        <v xml:space="preserve">PEAVEY                   MICHAEL      T           </v>
      </c>
      <c r="E6561" t="str">
        <f>"MCCOMB                    "</f>
        <v xml:space="preserve">MCCOMB                    </v>
      </c>
      <c r="F6561" t="str">
        <f t="shared" si="218"/>
        <v>MS</v>
      </c>
    </row>
    <row r="6562" spans="1:6" x14ac:dyDescent="0.25">
      <c r="A6562" t="str">
        <f>"000122154"</f>
        <v>000122154</v>
      </c>
      <c r="B6562" t="str">
        <f>"1114008703"</f>
        <v>1114008703</v>
      </c>
      <c r="C6562" t="str">
        <f>"208600000X"</f>
        <v>208600000X</v>
      </c>
      <c r="D6562" t="str">
        <f>"HOANG                    HOAT         M           "</f>
        <v xml:space="preserve">HOANG                    HOAT         M           </v>
      </c>
      <c r="E6562" t="str">
        <f>"AMORY                     "</f>
        <v xml:space="preserve">AMORY                     </v>
      </c>
      <c r="F6562" t="str">
        <f t="shared" si="218"/>
        <v>MS</v>
      </c>
    </row>
    <row r="6563" spans="1:6" x14ac:dyDescent="0.25">
      <c r="A6563" t="str">
        <f>"000122159"</f>
        <v>000122159</v>
      </c>
      <c r="B6563" t="str">
        <f>"1629155957"</f>
        <v>1629155957</v>
      </c>
      <c r="C6563" t="str">
        <f>"367500000X"</f>
        <v>367500000X</v>
      </c>
      <c r="D6563" t="str">
        <f>"COURTNEY                 JUDY         A           "</f>
        <v xml:space="preserve">COURTNEY                 JUDY         A           </v>
      </c>
      <c r="E6563" t="str">
        <f>"HATTIESBURG               "</f>
        <v xml:space="preserve">HATTIESBURG               </v>
      </c>
      <c r="F6563" t="str">
        <f t="shared" si="218"/>
        <v>MS</v>
      </c>
    </row>
    <row r="6564" spans="1:6" x14ac:dyDescent="0.25">
      <c r="A6564" t="str">
        <f>"000122170"</f>
        <v>000122170</v>
      </c>
      <c r="B6564" t="str">
        <f>"1093819799"</f>
        <v>1093819799</v>
      </c>
      <c r="C6564" t="str">
        <f>"207RP1001X"</f>
        <v>207RP1001X</v>
      </c>
      <c r="D6564" t="str">
        <f>"WADE-HAMME               JOYCE        D           "</f>
        <v xml:space="preserve">WADE-HAMME               JOYCE        D           </v>
      </c>
      <c r="E6564" t="str">
        <f>"FLOWOOD                   "</f>
        <v xml:space="preserve">FLOWOOD                   </v>
      </c>
      <c r="F6564" t="str">
        <f t="shared" si="218"/>
        <v>MS</v>
      </c>
    </row>
    <row r="6565" spans="1:6" x14ac:dyDescent="0.25">
      <c r="A6565" t="str">
        <f>"000122193"</f>
        <v>000122193</v>
      </c>
      <c r="B6565" t="str">
        <f>"1710955984"</f>
        <v>1710955984</v>
      </c>
      <c r="C6565" t="str">
        <f>"207Q00000X"</f>
        <v>207Q00000X</v>
      </c>
      <c r="D6565" t="str">
        <f>"KOEHLER                  KEVIN        R           "</f>
        <v xml:space="preserve">KOEHLER                  KEVIN        R           </v>
      </c>
      <c r="E6565" t="str">
        <f>"TUPELO                    "</f>
        <v xml:space="preserve">TUPELO                    </v>
      </c>
      <c r="F6565" t="str">
        <f t="shared" si="218"/>
        <v>MS</v>
      </c>
    </row>
    <row r="6566" spans="1:6" x14ac:dyDescent="0.25">
      <c r="A6566" t="str">
        <f>"000122194"</f>
        <v>000122194</v>
      </c>
      <c r="B6566" t="str">
        <f>"1124017546"</f>
        <v>1124017546</v>
      </c>
      <c r="C6566" t="str">
        <f>"207Q00000X"</f>
        <v>207Q00000X</v>
      </c>
      <c r="D6566" t="str">
        <f>"GARNER                   SHUNDA       L           "</f>
        <v xml:space="preserve">GARNER                   SHUNDA       L           </v>
      </c>
      <c r="E6566" t="str">
        <f>"ACKERMAN                  "</f>
        <v xml:space="preserve">ACKERMAN                  </v>
      </c>
      <c r="F6566" t="str">
        <f t="shared" si="218"/>
        <v>MS</v>
      </c>
    </row>
    <row r="6567" spans="1:6" x14ac:dyDescent="0.25">
      <c r="A6567" t="str">
        <f>"000122201"</f>
        <v>000122201</v>
      </c>
      <c r="B6567" t="str">
        <f>"1235211129"</f>
        <v>1235211129</v>
      </c>
      <c r="C6567" t="str">
        <f>"207RA0401X"</f>
        <v>207RA0401X</v>
      </c>
      <c r="D6567" t="str">
        <f>"BOYETT                   BRENT                    "</f>
        <v xml:space="preserve">BOYETT                   BRENT                    </v>
      </c>
      <c r="E6567" t="str">
        <f>"TUPELO                    "</f>
        <v xml:space="preserve">TUPELO                    </v>
      </c>
      <c r="F6567" t="str">
        <f t="shared" si="218"/>
        <v>MS</v>
      </c>
    </row>
    <row r="6568" spans="1:6" x14ac:dyDescent="0.25">
      <c r="A6568" t="str">
        <f>"000122205"</f>
        <v>000122205</v>
      </c>
      <c r="B6568" t="str">
        <f>"1710961982"</f>
        <v>1710961982</v>
      </c>
      <c r="C6568" t="str">
        <f>"207RG0100X"</f>
        <v>207RG0100X</v>
      </c>
      <c r="D6568" t="str">
        <f>"CORDER                   FREDERICK    A           "</f>
        <v xml:space="preserve">CORDER                   FREDERICK    A           </v>
      </c>
      <c r="E6568" t="str">
        <f>"CORINTH                   "</f>
        <v xml:space="preserve">CORINTH                   </v>
      </c>
      <c r="F6568" t="str">
        <f t="shared" si="218"/>
        <v>MS</v>
      </c>
    </row>
    <row r="6569" spans="1:6" x14ac:dyDescent="0.25">
      <c r="A6569" t="str">
        <f>"000122207"</f>
        <v>000122207</v>
      </c>
      <c r="B6569" t="str">
        <f>"1518074517"</f>
        <v>1518074517</v>
      </c>
      <c r="C6569" t="str">
        <f>"208000000X"</f>
        <v>208000000X</v>
      </c>
      <c r="D6569" t="str">
        <f>"GRANADOS                 JAVEL                    "</f>
        <v xml:space="preserve">GRANADOS                 JAVEL                    </v>
      </c>
      <c r="E6569" t="str">
        <f>"SENATOBIA                 "</f>
        <v xml:space="preserve">SENATOBIA                 </v>
      </c>
      <c r="F6569" t="str">
        <f t="shared" si="218"/>
        <v>MS</v>
      </c>
    </row>
    <row r="6570" spans="1:6" x14ac:dyDescent="0.25">
      <c r="A6570" t="str">
        <f>"000122224"</f>
        <v>000122224</v>
      </c>
      <c r="B6570" t="str">
        <f>"1447261268"</f>
        <v>1447261268</v>
      </c>
      <c r="C6570" t="str">
        <f>"207Y00000X"</f>
        <v>207Y00000X</v>
      </c>
      <c r="D6570" t="str">
        <f>"YARBER                   ROBERT       H           "</f>
        <v xml:space="preserve">YARBER                   ROBERT       H           </v>
      </c>
      <c r="E6570" t="str">
        <f>"TUPELO                    "</f>
        <v xml:space="preserve">TUPELO                    </v>
      </c>
      <c r="F6570" t="str">
        <f t="shared" si="218"/>
        <v>MS</v>
      </c>
    </row>
    <row r="6571" spans="1:6" x14ac:dyDescent="0.25">
      <c r="A6571" t="str">
        <f>"000122239"</f>
        <v>000122239</v>
      </c>
      <c r="B6571" t="str">
        <f>"1770552259"</f>
        <v>1770552259</v>
      </c>
      <c r="C6571" t="str">
        <f>"207Q00000X"</f>
        <v>207Q00000X</v>
      </c>
      <c r="D6571" t="str">
        <f>"MCARTHUR III             WILLIAM      F           "</f>
        <v xml:space="preserve">MCARTHUR III             WILLIAM      F           </v>
      </c>
      <c r="E6571" t="str">
        <f>"LOUISVILLE                "</f>
        <v xml:space="preserve">LOUISVILLE                </v>
      </c>
      <c r="F6571" t="str">
        <f t="shared" si="218"/>
        <v>MS</v>
      </c>
    </row>
    <row r="6572" spans="1:6" x14ac:dyDescent="0.25">
      <c r="A6572" t="str">
        <f>"000122247"</f>
        <v>000122247</v>
      </c>
      <c r="B6572" t="str">
        <f>"1629080627"</f>
        <v>1629080627</v>
      </c>
      <c r="C6572" t="str">
        <f>"208000000X"</f>
        <v>208000000X</v>
      </c>
      <c r="D6572" t="str">
        <f>"RUFF                     PAUL         L           "</f>
        <v xml:space="preserve">RUFF                     PAUL         L           </v>
      </c>
      <c r="E6572" t="str">
        <f>"STARKVILLE                "</f>
        <v xml:space="preserve">STARKVILLE                </v>
      </c>
      <c r="F6572" t="str">
        <f t="shared" si="218"/>
        <v>MS</v>
      </c>
    </row>
    <row r="6573" spans="1:6" x14ac:dyDescent="0.25">
      <c r="A6573" t="str">
        <f>"000122266"</f>
        <v>000122266</v>
      </c>
      <c r="B6573" t="str">
        <f>"1134142334"</f>
        <v>1134142334</v>
      </c>
      <c r="C6573" t="str">
        <f>"208600000X"</f>
        <v>208600000X</v>
      </c>
      <c r="D6573" t="str">
        <f>"JOHNSON JR               MATHEW       B           "</f>
        <v xml:space="preserve">JOHNSON JR               MATHEW       B           </v>
      </c>
      <c r="E6573" t="str">
        <f>"CORINTH                   "</f>
        <v xml:space="preserve">CORINTH                   </v>
      </c>
      <c r="F6573" t="str">
        <f t="shared" si="218"/>
        <v>MS</v>
      </c>
    </row>
    <row r="6574" spans="1:6" x14ac:dyDescent="0.25">
      <c r="A6574" t="str">
        <f>"000122267"</f>
        <v>000122267</v>
      </c>
      <c r="B6574" t="str">
        <f>"1902997778"</f>
        <v>1902997778</v>
      </c>
      <c r="C6574" t="str">
        <f>"363L00000X"</f>
        <v>363L00000X</v>
      </c>
      <c r="D6574" t="str">
        <f>"ONWUBIKO                 NGOZI        O           "</f>
        <v xml:space="preserve">ONWUBIKO                 NGOZI        O           </v>
      </c>
      <c r="E6574" t="str">
        <f>"BAY SPRINGS               "</f>
        <v xml:space="preserve">BAY SPRINGS               </v>
      </c>
      <c r="F6574" t="str">
        <f t="shared" si="218"/>
        <v>MS</v>
      </c>
    </row>
    <row r="6575" spans="1:6" x14ac:dyDescent="0.25">
      <c r="A6575" t="str">
        <f>"000122269"</f>
        <v>000122269</v>
      </c>
      <c r="B6575" t="str">
        <f>"1669560827"</f>
        <v>1669560827</v>
      </c>
      <c r="C6575" t="str">
        <f>"2080P0207X"</f>
        <v>2080P0207X</v>
      </c>
      <c r="D6575" t="str">
        <f>"COX                      JENNIFER     A           "</f>
        <v xml:space="preserve">COX                      JENNIFER     A           </v>
      </c>
      <c r="E6575" t="str">
        <f>"JACKSON                   "</f>
        <v xml:space="preserve">JACKSON                   </v>
      </c>
      <c r="F6575" t="str">
        <f t="shared" si="218"/>
        <v>MS</v>
      </c>
    </row>
    <row r="6576" spans="1:6" x14ac:dyDescent="0.25">
      <c r="A6576" t="str">
        <f>"000122270"</f>
        <v>000122270</v>
      </c>
      <c r="B6576" t="str">
        <f>"1144363987"</f>
        <v>1144363987</v>
      </c>
      <c r="C6576" t="str">
        <f>"207Q00000X"</f>
        <v>207Q00000X</v>
      </c>
      <c r="D6576" t="str">
        <f>"DRAPER                   THOMAS                   "</f>
        <v xml:space="preserve">DRAPER                   THOMAS                   </v>
      </c>
      <c r="E6576" t="str">
        <f>"BOONEVILLE                "</f>
        <v xml:space="preserve">BOONEVILLE                </v>
      </c>
      <c r="F6576" t="str">
        <f t="shared" si="218"/>
        <v>MS</v>
      </c>
    </row>
    <row r="6577" spans="1:6" x14ac:dyDescent="0.25">
      <c r="A6577" t="str">
        <f>"000122271"</f>
        <v>000122271</v>
      </c>
      <c r="B6577" t="str">
        <f>"1043223639"</f>
        <v>1043223639</v>
      </c>
      <c r="C6577" t="str">
        <f>"207Q00000X"</f>
        <v>207Q00000X</v>
      </c>
      <c r="D6577" t="str">
        <f>"HARVEY                   MARTIN       D           "</f>
        <v xml:space="preserve">HARVEY                   MARTIN       D           </v>
      </c>
      <c r="E6577" t="str">
        <f>"COLLINS                   "</f>
        <v xml:space="preserve">COLLINS                   </v>
      </c>
      <c r="F6577" t="str">
        <f t="shared" si="218"/>
        <v>MS</v>
      </c>
    </row>
    <row r="6578" spans="1:6" x14ac:dyDescent="0.25">
      <c r="A6578" t="str">
        <f>"000122281"</f>
        <v>000122281</v>
      </c>
      <c r="B6578" t="str">
        <f>"1336124015"</f>
        <v>1336124015</v>
      </c>
      <c r="C6578" t="str">
        <f>"207W00000X"</f>
        <v>207W00000X</v>
      </c>
      <c r="D6578" t="str">
        <f>"MASON III                JOHN         O           "</f>
        <v xml:space="preserve">MASON III                JOHN         O           </v>
      </c>
      <c r="E6578" t="str">
        <f>"COLUMBUS                  "</f>
        <v xml:space="preserve">COLUMBUS                  </v>
      </c>
      <c r="F6578" t="str">
        <f t="shared" si="218"/>
        <v>MS</v>
      </c>
    </row>
    <row r="6579" spans="1:6" x14ac:dyDescent="0.25">
      <c r="A6579" t="str">
        <f>"000122296"</f>
        <v>000122296</v>
      </c>
      <c r="B6579" t="str">
        <f>"1902815566"</f>
        <v>1902815566</v>
      </c>
      <c r="C6579" t="str">
        <f>"207P00000X"</f>
        <v>207P00000X</v>
      </c>
      <c r="D6579" t="str">
        <f>"SHOWS                    ROBERT       M           "</f>
        <v xml:space="preserve">SHOWS                    ROBERT       M           </v>
      </c>
      <c r="E6579" t="str">
        <f>"BYRAM                     "</f>
        <v xml:space="preserve">BYRAM                     </v>
      </c>
      <c r="F6579" t="str">
        <f t="shared" si="218"/>
        <v>MS</v>
      </c>
    </row>
    <row r="6580" spans="1:6" x14ac:dyDescent="0.25">
      <c r="A6580" t="str">
        <f>"000122303"</f>
        <v>000122303</v>
      </c>
      <c r="B6580" t="str">
        <f>"1407944499"</f>
        <v>1407944499</v>
      </c>
      <c r="C6580" t="str">
        <f>"207V00000X"</f>
        <v>207V00000X</v>
      </c>
      <c r="D6580" t="str">
        <f>"GNAM III                 EDWARD       C           "</f>
        <v xml:space="preserve">GNAM III                 EDWARD       C           </v>
      </c>
      <c r="E6580" t="str">
        <f>"FLOWOOD                   "</f>
        <v xml:space="preserve">FLOWOOD                   </v>
      </c>
      <c r="F6580" t="str">
        <f t="shared" si="218"/>
        <v>MS</v>
      </c>
    </row>
    <row r="6581" spans="1:6" x14ac:dyDescent="0.25">
      <c r="A6581" t="str">
        <f>"000122307"</f>
        <v>000122307</v>
      </c>
      <c r="B6581" t="str">
        <f>"1952355653"</f>
        <v>1952355653</v>
      </c>
      <c r="C6581" t="str">
        <f>"207Q00000X"</f>
        <v>207Q00000X</v>
      </c>
      <c r="D6581" t="str">
        <f>"WALLER                   JASON        M           "</f>
        <v xml:space="preserve">WALLER                   JASON        M           </v>
      </c>
      <c r="E6581" t="str">
        <f>"OXFORD                    "</f>
        <v xml:space="preserve">OXFORD                    </v>
      </c>
      <c r="F6581" t="str">
        <f t="shared" si="218"/>
        <v>MS</v>
      </c>
    </row>
    <row r="6582" spans="1:6" x14ac:dyDescent="0.25">
      <c r="A6582" t="str">
        <f>"000122308"</f>
        <v>000122308</v>
      </c>
      <c r="B6582" t="str">
        <f>"1326121542"</f>
        <v>1326121542</v>
      </c>
      <c r="C6582" t="str">
        <f>"207RR0500X"</f>
        <v>207RR0500X</v>
      </c>
      <c r="D6582" t="str">
        <f>"SHPARAGO                 NEAL         I           "</f>
        <v xml:space="preserve">SHPARAGO                 NEAL         I           </v>
      </c>
      <c r="E6582" t="str">
        <f>"JACKSON                   "</f>
        <v xml:space="preserve">JACKSON                   </v>
      </c>
      <c r="F6582" t="str">
        <f t="shared" si="218"/>
        <v>MS</v>
      </c>
    </row>
    <row r="6583" spans="1:6" x14ac:dyDescent="0.25">
      <c r="A6583" t="str">
        <f>"000122327"</f>
        <v>000122327</v>
      </c>
      <c r="B6583" t="str">
        <f>"1972579050"</f>
        <v>1972579050</v>
      </c>
      <c r="C6583" t="str">
        <f>"363L00000X"</f>
        <v>363L00000X</v>
      </c>
      <c r="D6583" t="str">
        <f>"GLENN                    FRANCINE                 "</f>
        <v xml:space="preserve">GLENN                    FRANCINE                 </v>
      </c>
      <c r="E6583" t="str">
        <f>"COLUMBUS                  "</f>
        <v xml:space="preserve">COLUMBUS                  </v>
      </c>
      <c r="F6583" t="str">
        <f t="shared" si="218"/>
        <v>MS</v>
      </c>
    </row>
    <row r="6584" spans="1:6" x14ac:dyDescent="0.25">
      <c r="A6584" t="str">
        <f>"000122352"</f>
        <v>000122352</v>
      </c>
      <c r="B6584" t="str">
        <f>"1760426936"</f>
        <v>1760426936</v>
      </c>
      <c r="C6584" t="str">
        <f>"363L00000X"</f>
        <v>363L00000X</v>
      </c>
      <c r="D6584" t="str">
        <f>"MATTE                    DANA         W           "</f>
        <v xml:space="preserve">MATTE                    DANA         W           </v>
      </c>
      <c r="E6584" t="str">
        <f>"BROOKHAVEN                "</f>
        <v xml:space="preserve">BROOKHAVEN                </v>
      </c>
      <c r="F6584" t="str">
        <f t="shared" si="218"/>
        <v>MS</v>
      </c>
    </row>
    <row r="6585" spans="1:6" x14ac:dyDescent="0.25">
      <c r="A6585" t="str">
        <f>"000122353"</f>
        <v>000122353</v>
      </c>
      <c r="B6585" t="str">
        <f>"1033128681"</f>
        <v>1033128681</v>
      </c>
      <c r="C6585" t="str">
        <f>"207Q00000X"</f>
        <v>207Q00000X</v>
      </c>
      <c r="D6585" t="str">
        <f>"SANDERS                  MICHAEL      L           "</f>
        <v xml:space="preserve">SANDERS                  MICHAEL      L           </v>
      </c>
      <c r="E6585" t="str">
        <f>"JACKSON                   "</f>
        <v xml:space="preserve">JACKSON                   </v>
      </c>
      <c r="F6585" t="str">
        <f t="shared" si="218"/>
        <v>MS</v>
      </c>
    </row>
    <row r="6586" spans="1:6" x14ac:dyDescent="0.25">
      <c r="A6586" t="str">
        <f>"000122354"</f>
        <v>000122354</v>
      </c>
      <c r="B6586" t="str">
        <f>"1205937570"</f>
        <v>1205937570</v>
      </c>
      <c r="C6586" t="str">
        <f>"207Q00000X"</f>
        <v>207Q00000X</v>
      </c>
      <c r="D6586" t="str">
        <f>"CLOY                     JAMES        A           "</f>
        <v xml:space="preserve">CLOY                     JAMES        A           </v>
      </c>
      <c r="E6586" t="str">
        <f>"JACKSON                   "</f>
        <v xml:space="preserve">JACKSON                   </v>
      </c>
      <c r="F6586" t="str">
        <f t="shared" si="218"/>
        <v>MS</v>
      </c>
    </row>
    <row r="6587" spans="1:6" x14ac:dyDescent="0.25">
      <c r="A6587" t="str">
        <f>"000122359"</f>
        <v>000122359</v>
      </c>
      <c r="B6587" t="str">
        <f>"1376555334"</f>
        <v>1376555334</v>
      </c>
      <c r="C6587" t="str">
        <f>"207Q00000X"</f>
        <v>207Q00000X</v>
      </c>
      <c r="D6587" t="str">
        <f>"TERRY, III               JOE          W           "</f>
        <v xml:space="preserve">TERRY, III               JOE          W           </v>
      </c>
      <c r="E6587" t="str">
        <f>"MADISON                   "</f>
        <v xml:space="preserve">MADISON                   </v>
      </c>
      <c r="F6587" t="str">
        <f t="shared" si="218"/>
        <v>MS</v>
      </c>
    </row>
    <row r="6588" spans="1:6" x14ac:dyDescent="0.25">
      <c r="A6588" t="str">
        <f>"000122361"</f>
        <v>000122361</v>
      </c>
      <c r="B6588" t="str">
        <f>"1083601538"</f>
        <v>1083601538</v>
      </c>
      <c r="C6588" t="str">
        <f>"207Q00000X"</f>
        <v>207Q00000X</v>
      </c>
      <c r="D6588" t="str">
        <f>"EZE                      PLACID       M           "</f>
        <v xml:space="preserve">EZE                      PLACID       M           </v>
      </c>
      <c r="E6588" t="str">
        <f>"MOSS POINT                "</f>
        <v xml:space="preserve">MOSS POINT                </v>
      </c>
      <c r="F6588" t="str">
        <f t="shared" si="218"/>
        <v>MS</v>
      </c>
    </row>
    <row r="6589" spans="1:6" x14ac:dyDescent="0.25">
      <c r="A6589" t="str">
        <f>"000122364"</f>
        <v>000122364</v>
      </c>
      <c r="B6589" t="str">
        <f>"1104860907"</f>
        <v>1104860907</v>
      </c>
      <c r="C6589" t="str">
        <f>"363L00000X"</f>
        <v>363L00000X</v>
      </c>
      <c r="D6589" t="str">
        <f>"BROWN                    RONNIE       K           "</f>
        <v xml:space="preserve">BROWN                    RONNIE       K           </v>
      </c>
      <c r="E6589" t="str">
        <f>"JACKSON                   "</f>
        <v xml:space="preserve">JACKSON                   </v>
      </c>
      <c r="F6589" t="str">
        <f t="shared" si="218"/>
        <v>MS</v>
      </c>
    </row>
    <row r="6590" spans="1:6" x14ac:dyDescent="0.25">
      <c r="A6590" t="str">
        <f>"000122367"</f>
        <v>000122367</v>
      </c>
      <c r="B6590" t="str">
        <f>"1659333052"</f>
        <v>1659333052</v>
      </c>
      <c r="C6590" t="str">
        <f>"207R00000X"</f>
        <v>207R00000X</v>
      </c>
      <c r="D6590" t="str">
        <f>"BETHALA                  YASHASHREE   L           "</f>
        <v xml:space="preserve">BETHALA                  YASHASHREE   L           </v>
      </c>
      <c r="E6590" t="str">
        <f>"BILOXI                    "</f>
        <v xml:space="preserve">BILOXI                    </v>
      </c>
      <c r="F6590" t="str">
        <f t="shared" ref="F6590:F6653" si="219">"MS"</f>
        <v>MS</v>
      </c>
    </row>
    <row r="6591" spans="1:6" x14ac:dyDescent="0.25">
      <c r="A6591" t="str">
        <f>"000122374"</f>
        <v>000122374</v>
      </c>
      <c r="B6591" t="str">
        <f>"1477561728"</f>
        <v>1477561728</v>
      </c>
      <c r="C6591" t="str">
        <f>"207Q00000X"</f>
        <v>207Q00000X</v>
      </c>
      <c r="D6591" t="str">
        <f>"DANFORD                  JOSEPH       R           "</f>
        <v xml:space="preserve">DANFORD                  JOSEPH       R           </v>
      </c>
      <c r="E6591" t="str">
        <f>"ELLISVILLE                "</f>
        <v xml:space="preserve">ELLISVILLE                </v>
      </c>
      <c r="F6591" t="str">
        <f t="shared" si="219"/>
        <v>MS</v>
      </c>
    </row>
    <row r="6592" spans="1:6" x14ac:dyDescent="0.25">
      <c r="A6592" t="str">
        <f>"000122379"</f>
        <v>000122379</v>
      </c>
      <c r="B6592" t="str">
        <f>"1952344913"</f>
        <v>1952344913</v>
      </c>
      <c r="C6592" t="str">
        <f>"2084P0800X"</f>
        <v>2084P0800X</v>
      </c>
      <c r="D6592" t="str">
        <f>"MARLOWE                  JAMES        A           "</f>
        <v xml:space="preserve">MARLOWE                  JAMES        A           </v>
      </c>
      <c r="E6592" t="str">
        <f>"HATTIESBURG               "</f>
        <v xml:space="preserve">HATTIESBURG               </v>
      </c>
      <c r="F6592" t="str">
        <f t="shared" si="219"/>
        <v>MS</v>
      </c>
    </row>
    <row r="6593" spans="1:6" x14ac:dyDescent="0.25">
      <c r="A6593" t="str">
        <f>"000122387"</f>
        <v>000122387</v>
      </c>
      <c r="B6593" t="str">
        <f>"1790754307"</f>
        <v>1790754307</v>
      </c>
      <c r="C6593" t="str">
        <f>"207Q00000X"</f>
        <v>207Q00000X</v>
      </c>
      <c r="D6593" t="str">
        <f>"WHITTON                  WILLIAM                  "</f>
        <v xml:space="preserve">WHITTON                  WILLIAM                  </v>
      </c>
      <c r="E6593" t="str">
        <f>"MADISON                   "</f>
        <v xml:space="preserve">MADISON                   </v>
      </c>
      <c r="F6593" t="str">
        <f t="shared" si="219"/>
        <v>MS</v>
      </c>
    </row>
    <row r="6594" spans="1:6" x14ac:dyDescent="0.25">
      <c r="A6594" t="str">
        <f>"000122396"</f>
        <v>000122396</v>
      </c>
      <c r="B6594" t="str">
        <f>"1164500732"</f>
        <v>1164500732</v>
      </c>
      <c r="C6594" t="str">
        <f>"207L00000X"</f>
        <v>207L00000X</v>
      </c>
      <c r="D6594" t="str">
        <f>"RISLEY III               WALTER       P           "</f>
        <v xml:space="preserve">RISLEY III               WALTER       P           </v>
      </c>
      <c r="E6594" t="str">
        <f>"OCEAN SPRINGS             "</f>
        <v xml:space="preserve">OCEAN SPRINGS             </v>
      </c>
      <c r="F6594" t="str">
        <f t="shared" si="219"/>
        <v>MS</v>
      </c>
    </row>
    <row r="6595" spans="1:6" x14ac:dyDescent="0.25">
      <c r="A6595" t="str">
        <f>"000122401"</f>
        <v>000122401</v>
      </c>
      <c r="B6595" t="str">
        <f>"1710919964"</f>
        <v>1710919964</v>
      </c>
      <c r="C6595" t="str">
        <f>"207X00000X"</f>
        <v>207X00000X</v>
      </c>
      <c r="D6595" t="str">
        <f>"STONNINGTON              MICHAEL      J           "</f>
        <v xml:space="preserve">STONNINGTON              MICHAEL      J           </v>
      </c>
      <c r="E6595" t="str">
        <f>"GULFPORT                  "</f>
        <v xml:space="preserve">GULFPORT                  </v>
      </c>
      <c r="F6595" t="str">
        <f t="shared" si="219"/>
        <v>MS</v>
      </c>
    </row>
    <row r="6596" spans="1:6" x14ac:dyDescent="0.25">
      <c r="A6596" t="str">
        <f>"000122405"</f>
        <v>000122405</v>
      </c>
      <c r="B6596" t="str">
        <f>"1477614402"</f>
        <v>1477614402</v>
      </c>
      <c r="C6596" t="str">
        <f>"208000000X"</f>
        <v>208000000X</v>
      </c>
      <c r="D6596" t="str">
        <f>"DENNIS                   DAVID        M           "</f>
        <v xml:space="preserve">DENNIS                   DAVID        M           </v>
      </c>
      <c r="E6596" t="str">
        <f>"OXFORD                    "</f>
        <v xml:space="preserve">OXFORD                    </v>
      </c>
      <c r="F6596" t="str">
        <f t="shared" si="219"/>
        <v>MS</v>
      </c>
    </row>
    <row r="6597" spans="1:6" x14ac:dyDescent="0.25">
      <c r="A6597" t="str">
        <f>"000122432"</f>
        <v>000122432</v>
      </c>
      <c r="B6597" t="str">
        <f>"1932118965"</f>
        <v>1932118965</v>
      </c>
      <c r="C6597" t="str">
        <f>"207Q00000X"</f>
        <v>207Q00000X</v>
      </c>
      <c r="D6597" t="str">
        <f>"ROBERTS                  DAVID        F           "</f>
        <v xml:space="preserve">ROBERTS                  DAVID        F           </v>
      </c>
      <c r="E6597" t="str">
        <f>"DIAMONDHEAD               "</f>
        <v xml:space="preserve">DIAMONDHEAD               </v>
      </c>
      <c r="F6597" t="str">
        <f t="shared" si="219"/>
        <v>MS</v>
      </c>
    </row>
    <row r="6598" spans="1:6" x14ac:dyDescent="0.25">
      <c r="A6598" t="str">
        <f>"000122436"</f>
        <v>000122436</v>
      </c>
      <c r="B6598" t="str">
        <f>"1275557613"</f>
        <v>1275557613</v>
      </c>
      <c r="C6598" t="str">
        <f>"207W00000X"</f>
        <v>207W00000X</v>
      </c>
      <c r="D6598" t="str">
        <f>"WOOTEN                   DARWIN       B           "</f>
        <v xml:space="preserve">WOOTEN                   DARWIN       B           </v>
      </c>
      <c r="E6598" t="str">
        <f>"CORINTH                   "</f>
        <v xml:space="preserve">CORINTH                   </v>
      </c>
      <c r="F6598" t="str">
        <f t="shared" si="219"/>
        <v>MS</v>
      </c>
    </row>
    <row r="6599" spans="1:6" x14ac:dyDescent="0.25">
      <c r="A6599" t="str">
        <f>"000122444"</f>
        <v>000122444</v>
      </c>
      <c r="B6599" t="str">
        <f>"1568438117"</f>
        <v>1568438117</v>
      </c>
      <c r="C6599" t="str">
        <f>"207V00000X"</f>
        <v>207V00000X</v>
      </c>
      <c r="D6599" t="str">
        <f>"DELGADO                  NESTOR       K           "</f>
        <v xml:space="preserve">DELGADO                  NESTOR       K           </v>
      </c>
      <c r="E6599" t="str">
        <f>"PASCAGOULA                "</f>
        <v xml:space="preserve">PASCAGOULA                </v>
      </c>
      <c r="F6599" t="str">
        <f t="shared" si="219"/>
        <v>MS</v>
      </c>
    </row>
    <row r="6600" spans="1:6" x14ac:dyDescent="0.25">
      <c r="A6600" t="str">
        <f>"000122448"</f>
        <v>000122448</v>
      </c>
      <c r="B6600" t="str">
        <f>"1730193103"</f>
        <v>1730193103</v>
      </c>
      <c r="C6600" t="str">
        <f>"2085R0202X"</f>
        <v>2085R0202X</v>
      </c>
      <c r="D6600" t="str">
        <f>"HALFORD                  PRICE        W           "</f>
        <v xml:space="preserve">HALFORD                  PRICE        W           </v>
      </c>
      <c r="E6600" t="str">
        <f>"JACKSON                   "</f>
        <v xml:space="preserve">JACKSON                   </v>
      </c>
      <c r="F6600" t="str">
        <f t="shared" si="219"/>
        <v>MS</v>
      </c>
    </row>
    <row r="6601" spans="1:6" x14ac:dyDescent="0.25">
      <c r="A6601" t="str">
        <f>"000122454"</f>
        <v>000122454</v>
      </c>
      <c r="B6601" t="str">
        <f>"1033196605"</f>
        <v>1033196605</v>
      </c>
      <c r="C6601" t="str">
        <f>"207Q00000X"</f>
        <v>207Q00000X</v>
      </c>
      <c r="D6601" t="str">
        <f>"VEGA                     CHADLEY      T           "</f>
        <v xml:space="preserve">VEGA                     CHADLEY      T           </v>
      </c>
      <c r="E6601" t="str">
        <f>"RICHLAND                  "</f>
        <v xml:space="preserve">RICHLAND                  </v>
      </c>
      <c r="F6601" t="str">
        <f t="shared" si="219"/>
        <v>MS</v>
      </c>
    </row>
    <row r="6602" spans="1:6" x14ac:dyDescent="0.25">
      <c r="A6602" t="str">
        <f>"000122476"</f>
        <v>000122476</v>
      </c>
      <c r="B6602" t="str">
        <f>"1548263312"</f>
        <v>1548263312</v>
      </c>
      <c r="C6602" t="str">
        <f>"207W00000X"</f>
        <v>207W00000X</v>
      </c>
      <c r="D6602" t="str">
        <f>"NELSON                   KIPER        C           "</f>
        <v xml:space="preserve">NELSON                   KIPER        C           </v>
      </c>
      <c r="E6602" t="str">
        <f>"HATTIESBURG               "</f>
        <v xml:space="preserve">HATTIESBURG               </v>
      </c>
      <c r="F6602" t="str">
        <f t="shared" si="219"/>
        <v>MS</v>
      </c>
    </row>
    <row r="6603" spans="1:6" x14ac:dyDescent="0.25">
      <c r="A6603" t="str">
        <f>"000122500"</f>
        <v>000122500</v>
      </c>
      <c r="B6603" t="str">
        <f>"1053303750"</f>
        <v>1053303750</v>
      </c>
      <c r="C6603" t="str">
        <f>"207RH0003X"</f>
        <v>207RH0003X</v>
      </c>
      <c r="D6603" t="str">
        <f>"MINHAS                   SOHAIL       A           "</f>
        <v xml:space="preserve">MINHAS                   SOHAIL       A           </v>
      </c>
      <c r="E6603" t="str">
        <f>"SOUTHAVEN                 "</f>
        <v xml:space="preserve">SOUTHAVEN                 </v>
      </c>
      <c r="F6603" t="str">
        <f t="shared" si="219"/>
        <v>MS</v>
      </c>
    </row>
    <row r="6604" spans="1:6" x14ac:dyDescent="0.25">
      <c r="A6604" t="str">
        <f>"000122524"</f>
        <v>000122524</v>
      </c>
      <c r="B6604" t="str">
        <f>"1033195953"</f>
        <v>1033195953</v>
      </c>
      <c r="C6604" t="str">
        <f>"363L00000X"</f>
        <v>363L00000X</v>
      </c>
      <c r="D6604" t="str">
        <f>"DURRETT                  SANDRA       C           "</f>
        <v xml:space="preserve">DURRETT                  SANDRA       C           </v>
      </c>
      <c r="E6604" t="str">
        <f>"NEW ALBANY                "</f>
        <v xml:space="preserve">NEW ALBANY                </v>
      </c>
      <c r="F6604" t="str">
        <f t="shared" si="219"/>
        <v>MS</v>
      </c>
    </row>
    <row r="6605" spans="1:6" x14ac:dyDescent="0.25">
      <c r="A6605" t="str">
        <f>"000122554"</f>
        <v>000122554</v>
      </c>
      <c r="B6605" t="str">
        <f>"1750385365"</f>
        <v>1750385365</v>
      </c>
      <c r="C6605" t="str">
        <f>"363L00000X"</f>
        <v>363L00000X</v>
      </c>
      <c r="D6605" t="str">
        <f>"OGLESBEE                 SUSAN        R           "</f>
        <v xml:space="preserve">OGLESBEE                 SUSAN        R           </v>
      </c>
      <c r="E6605" t="str">
        <f>"HATTIESBURG               "</f>
        <v xml:space="preserve">HATTIESBURG               </v>
      </c>
      <c r="F6605" t="str">
        <f t="shared" si="219"/>
        <v>MS</v>
      </c>
    </row>
    <row r="6606" spans="1:6" x14ac:dyDescent="0.25">
      <c r="A6606" t="str">
        <f>"000122557"</f>
        <v>000122557</v>
      </c>
      <c r="B6606" t="str">
        <f>"1164441994"</f>
        <v>1164441994</v>
      </c>
      <c r="C6606" t="str">
        <f>"363L00000X"</f>
        <v>363L00000X</v>
      </c>
      <c r="D6606" t="str">
        <f>"MEADOWS                  RHONDA       B           "</f>
        <v xml:space="preserve">MEADOWS                  RHONDA       B           </v>
      </c>
      <c r="E6606" t="str">
        <f>"JACKSON                   "</f>
        <v xml:space="preserve">JACKSON                   </v>
      </c>
      <c r="F6606" t="str">
        <f t="shared" si="219"/>
        <v>MS</v>
      </c>
    </row>
    <row r="6607" spans="1:6" x14ac:dyDescent="0.25">
      <c r="A6607" t="str">
        <f>"000122565"</f>
        <v>000122565</v>
      </c>
      <c r="B6607" t="str">
        <f>"1477557098"</f>
        <v>1477557098</v>
      </c>
      <c r="C6607" t="str">
        <f>"363L00000X"</f>
        <v>363L00000X</v>
      </c>
      <c r="D6607" t="str">
        <f>"CLEARMAN                 KEVIN        C           "</f>
        <v xml:space="preserve">CLEARMAN                 KEVIN        C           </v>
      </c>
      <c r="E6607" t="str">
        <f>"HATTIESBURG               "</f>
        <v xml:space="preserve">HATTIESBURG               </v>
      </c>
      <c r="F6607" t="str">
        <f t="shared" si="219"/>
        <v>MS</v>
      </c>
    </row>
    <row r="6608" spans="1:6" x14ac:dyDescent="0.25">
      <c r="A6608" t="str">
        <f>"000122579"</f>
        <v>000122579</v>
      </c>
      <c r="B6608" t="str">
        <f>"1255446027"</f>
        <v>1255446027</v>
      </c>
      <c r="C6608" t="str">
        <f>"208000000X"</f>
        <v>208000000X</v>
      </c>
      <c r="D6608" t="str">
        <f>"SCHEPENS                 AMY          T           "</f>
        <v xml:space="preserve">SCHEPENS                 AMY          T           </v>
      </c>
      <c r="E6608" t="str">
        <f>"GULFPORT                  "</f>
        <v xml:space="preserve">GULFPORT                  </v>
      </c>
      <c r="F6608" t="str">
        <f t="shared" si="219"/>
        <v>MS</v>
      </c>
    </row>
    <row r="6609" spans="1:6" x14ac:dyDescent="0.25">
      <c r="A6609" t="str">
        <f>"000122589"</f>
        <v>000122589</v>
      </c>
      <c r="B6609" t="str">
        <f>"1437179967"</f>
        <v>1437179967</v>
      </c>
      <c r="C6609" t="str">
        <f>"207Q00000X"</f>
        <v>207Q00000X</v>
      </c>
      <c r="D6609" t="str">
        <f>"BYNUM                    PATRICK      S           "</f>
        <v xml:space="preserve">BYNUM                    PATRICK      S           </v>
      </c>
      <c r="E6609" t="str">
        <f>"PASCAGOULA                "</f>
        <v xml:space="preserve">PASCAGOULA                </v>
      </c>
      <c r="F6609" t="str">
        <f t="shared" si="219"/>
        <v>MS</v>
      </c>
    </row>
    <row r="6610" spans="1:6" x14ac:dyDescent="0.25">
      <c r="A6610" t="str">
        <f>"000122590"</f>
        <v>000122590</v>
      </c>
      <c r="B6610" t="str">
        <f>"1144363235"</f>
        <v>1144363235</v>
      </c>
      <c r="C6610" t="str">
        <f>"207V00000X"</f>
        <v>207V00000X</v>
      </c>
      <c r="D6610" t="str">
        <f>"KIMMEL                   EDRA         S           "</f>
        <v xml:space="preserve">KIMMEL                   EDRA         S           </v>
      </c>
      <c r="E6610" t="str">
        <f>"FLOWOOD                   "</f>
        <v xml:space="preserve">FLOWOOD                   </v>
      </c>
      <c r="F6610" t="str">
        <f t="shared" si="219"/>
        <v>MS</v>
      </c>
    </row>
    <row r="6611" spans="1:6" x14ac:dyDescent="0.25">
      <c r="A6611" t="str">
        <f>"000122592"</f>
        <v>000122592</v>
      </c>
      <c r="B6611" t="str">
        <f>"1124098603"</f>
        <v>1124098603</v>
      </c>
      <c r="C6611" t="str">
        <f>"207Q00000X"</f>
        <v>207Q00000X</v>
      </c>
      <c r="D6611" t="str">
        <f>"PATEL                    PRAVINCHANDRAP           "</f>
        <v xml:space="preserve">PATEL                    PRAVINCHANDRAP           </v>
      </c>
      <c r="E6611" t="str">
        <f>"COLDWATER                 "</f>
        <v xml:space="preserve">COLDWATER                 </v>
      </c>
      <c r="F6611" t="str">
        <f t="shared" si="219"/>
        <v>MS</v>
      </c>
    </row>
    <row r="6612" spans="1:6" x14ac:dyDescent="0.25">
      <c r="A6612" t="str">
        <f>"000122596"</f>
        <v>000122596</v>
      </c>
      <c r="B6612" t="str">
        <f>"1720187354"</f>
        <v>1720187354</v>
      </c>
      <c r="C6612" t="str">
        <f>"207V00000X"</f>
        <v>207V00000X</v>
      </c>
      <c r="D6612" t="str">
        <f>"TRUS                     JOANNA       M           "</f>
        <v xml:space="preserve">TRUS                     JOANNA       M           </v>
      </c>
      <c r="E6612" t="str">
        <f>"GULFPORT                  "</f>
        <v xml:space="preserve">GULFPORT                  </v>
      </c>
      <c r="F6612" t="str">
        <f t="shared" si="219"/>
        <v>MS</v>
      </c>
    </row>
    <row r="6613" spans="1:6" x14ac:dyDescent="0.25">
      <c r="A6613" t="str">
        <f>"000122601"</f>
        <v>000122601</v>
      </c>
      <c r="B6613" t="str">
        <f>"1992893911"</f>
        <v>1992893911</v>
      </c>
      <c r="C6613" t="str">
        <f>"208600000X"</f>
        <v>208600000X</v>
      </c>
      <c r="D6613" t="str">
        <f>"GIROD                    WESLEY       G           "</f>
        <v xml:space="preserve">GIROD                    WESLEY       G           </v>
      </c>
      <c r="E6613" t="str">
        <f>"HATTIESBURG               "</f>
        <v xml:space="preserve">HATTIESBURG               </v>
      </c>
      <c r="F6613" t="str">
        <f t="shared" si="219"/>
        <v>MS</v>
      </c>
    </row>
    <row r="6614" spans="1:6" x14ac:dyDescent="0.25">
      <c r="A6614" t="str">
        <f>"000122611"</f>
        <v>000122611</v>
      </c>
      <c r="B6614" t="str">
        <f>"1578582417"</f>
        <v>1578582417</v>
      </c>
      <c r="C6614" t="str">
        <f>"207RC0000X"</f>
        <v>207RC0000X</v>
      </c>
      <c r="D6614" t="str">
        <f>"LAWSON                   SAMUEL       T           "</f>
        <v xml:space="preserve">LAWSON                   SAMUEL       T           </v>
      </c>
      <c r="E6614" t="str">
        <f>"JACKSON                   "</f>
        <v xml:space="preserve">JACKSON                   </v>
      </c>
      <c r="F6614" t="str">
        <f t="shared" si="219"/>
        <v>MS</v>
      </c>
    </row>
    <row r="6615" spans="1:6" x14ac:dyDescent="0.25">
      <c r="A6615" t="str">
        <f>"000122613"</f>
        <v>000122613</v>
      </c>
      <c r="B6615" t="str">
        <f>"1699761387"</f>
        <v>1699761387</v>
      </c>
      <c r="C6615" t="str">
        <f>"207X00000X"</f>
        <v>207X00000X</v>
      </c>
      <c r="D6615" t="str">
        <f>"DABOV                    GREGORY      D           "</f>
        <v xml:space="preserve">DABOV                    GREGORY      D           </v>
      </c>
      <c r="E6615" t="str">
        <f>"SOUTHAVEN                 "</f>
        <v xml:space="preserve">SOUTHAVEN                 </v>
      </c>
      <c r="F6615" t="str">
        <f t="shared" si="219"/>
        <v>MS</v>
      </c>
    </row>
    <row r="6616" spans="1:6" x14ac:dyDescent="0.25">
      <c r="A6616" t="str">
        <f>"000122628"</f>
        <v>000122628</v>
      </c>
      <c r="B6616" t="str">
        <f>"1770699670"</f>
        <v>1770699670</v>
      </c>
      <c r="C6616" t="str">
        <f>"207Q00000X"</f>
        <v>207Q00000X</v>
      </c>
      <c r="D6616" t="str">
        <f>"SOJOURNER                DENISE       H           "</f>
        <v xml:space="preserve">SOJOURNER                DENISE       H           </v>
      </c>
      <c r="E6616" t="str">
        <f>"PONTOTOC                  "</f>
        <v xml:space="preserve">PONTOTOC                  </v>
      </c>
      <c r="F6616" t="str">
        <f t="shared" si="219"/>
        <v>MS</v>
      </c>
    </row>
    <row r="6617" spans="1:6" x14ac:dyDescent="0.25">
      <c r="A6617" t="str">
        <f>"000122638"</f>
        <v>000122638</v>
      </c>
      <c r="B6617" t="str">
        <f>"1396896130"</f>
        <v>1396896130</v>
      </c>
      <c r="C6617" t="str">
        <f>"367500000X"</f>
        <v>367500000X</v>
      </c>
      <c r="D6617" t="str">
        <f>"CUEVAS                   DARREN       A           "</f>
        <v xml:space="preserve">CUEVAS                   DARREN       A           </v>
      </c>
      <c r="E6617" t="str">
        <f>"OCEAN SPRINGS             "</f>
        <v xml:space="preserve">OCEAN SPRINGS             </v>
      </c>
      <c r="F6617" t="str">
        <f t="shared" si="219"/>
        <v>MS</v>
      </c>
    </row>
    <row r="6618" spans="1:6" x14ac:dyDescent="0.25">
      <c r="A6618" t="str">
        <f>"000122649"</f>
        <v>000122649</v>
      </c>
      <c r="B6618" t="str">
        <f>"1902940026"</f>
        <v>1902940026</v>
      </c>
      <c r="C6618" t="str">
        <f>"207V00000X"</f>
        <v>207V00000X</v>
      </c>
      <c r="D6618" t="str">
        <f>"GIBSON-MCKEE             LISA         T           "</f>
        <v xml:space="preserve">GIBSON-MCKEE             LISA         T           </v>
      </c>
      <c r="E6618" t="str">
        <f>"JACKSON                   "</f>
        <v xml:space="preserve">JACKSON                   </v>
      </c>
      <c r="F6618" t="str">
        <f t="shared" si="219"/>
        <v>MS</v>
      </c>
    </row>
    <row r="6619" spans="1:6" x14ac:dyDescent="0.25">
      <c r="A6619" t="str">
        <f>"000122660"</f>
        <v>000122660</v>
      </c>
      <c r="B6619" t="str">
        <f>"1033207360"</f>
        <v>1033207360</v>
      </c>
      <c r="C6619" t="str">
        <f>"207V00000X"</f>
        <v>207V00000X</v>
      </c>
      <c r="D6619" t="str">
        <f>"CHRISTIE                 MICHAEL      J           "</f>
        <v xml:space="preserve">CHRISTIE                 MICHAEL      J           </v>
      </c>
      <c r="E6619" t="str">
        <f>"OCEAN SPRINGS             "</f>
        <v xml:space="preserve">OCEAN SPRINGS             </v>
      </c>
      <c r="F6619" t="str">
        <f t="shared" si="219"/>
        <v>MS</v>
      </c>
    </row>
    <row r="6620" spans="1:6" x14ac:dyDescent="0.25">
      <c r="A6620" t="str">
        <f>"000122664"</f>
        <v>000122664</v>
      </c>
      <c r="B6620" t="str">
        <f>"1912933672"</f>
        <v>1912933672</v>
      </c>
      <c r="C6620" t="str">
        <f>"207Q00000X"</f>
        <v>207Q00000X</v>
      </c>
      <c r="D6620" t="str">
        <f>"CLEMENT                  LARA                     "</f>
        <v xml:space="preserve">CLEMENT                  LARA                     </v>
      </c>
      <c r="E6620" t="str">
        <f>"FLOWOOD                   "</f>
        <v xml:space="preserve">FLOWOOD                   </v>
      </c>
      <c r="F6620" t="str">
        <f t="shared" si="219"/>
        <v>MS</v>
      </c>
    </row>
    <row r="6621" spans="1:6" x14ac:dyDescent="0.25">
      <c r="A6621" t="str">
        <f>"000122708"</f>
        <v>000122708</v>
      </c>
      <c r="B6621" t="str">
        <f>"1700877537"</f>
        <v>1700877537</v>
      </c>
      <c r="C6621" t="str">
        <f>"207R00000X"</f>
        <v>207R00000X</v>
      </c>
      <c r="D6621" t="str">
        <f>"TAH-CLAYTON              BRIDGET      Y           "</f>
        <v xml:space="preserve">TAH-CLAYTON              BRIDGET      Y           </v>
      </c>
      <c r="E6621" t="str">
        <f>"MERIDIAN                  "</f>
        <v xml:space="preserve">MERIDIAN                  </v>
      </c>
      <c r="F6621" t="str">
        <f t="shared" si="219"/>
        <v>MS</v>
      </c>
    </row>
    <row r="6622" spans="1:6" x14ac:dyDescent="0.25">
      <c r="A6622" t="str">
        <f>"000122726"</f>
        <v>000122726</v>
      </c>
      <c r="B6622" t="str">
        <f>"1245274687"</f>
        <v>1245274687</v>
      </c>
      <c r="C6622" t="str">
        <f>"207P00000X"</f>
        <v>207P00000X</v>
      </c>
      <c r="D6622" t="str">
        <f>"ARON                     JAMES        L           "</f>
        <v xml:space="preserve">ARON                     JAMES        L           </v>
      </c>
      <c r="E6622" t="str">
        <f>"JACKSON                   "</f>
        <v xml:space="preserve">JACKSON                   </v>
      </c>
      <c r="F6622" t="str">
        <f t="shared" si="219"/>
        <v>MS</v>
      </c>
    </row>
    <row r="6623" spans="1:6" x14ac:dyDescent="0.25">
      <c r="A6623" t="str">
        <f>"000122737"</f>
        <v>000122737</v>
      </c>
      <c r="B6623" t="str">
        <f>"1104852037"</f>
        <v>1104852037</v>
      </c>
      <c r="C6623" t="str">
        <f>"207P00000X"</f>
        <v>207P00000X</v>
      </c>
      <c r="D6623" t="str">
        <f>"WOODS                    TRENT        A           "</f>
        <v xml:space="preserve">WOODS                    TRENT        A           </v>
      </c>
      <c r="E6623" t="str">
        <f>"HATTIESBURG               "</f>
        <v xml:space="preserve">HATTIESBURG               </v>
      </c>
      <c r="F6623" t="str">
        <f t="shared" si="219"/>
        <v>MS</v>
      </c>
    </row>
    <row r="6624" spans="1:6" x14ac:dyDescent="0.25">
      <c r="A6624" t="str">
        <f>"000122738"</f>
        <v>000122738</v>
      </c>
      <c r="B6624" t="str">
        <f>"1598797870"</f>
        <v>1598797870</v>
      </c>
      <c r="C6624" t="str">
        <f>"207Q00000X"</f>
        <v>207Q00000X</v>
      </c>
      <c r="D6624" t="str">
        <f>"WHITLOCK                 RICHARD      S           "</f>
        <v xml:space="preserve">WHITLOCK                 RICHARD      S           </v>
      </c>
      <c r="E6624" t="str">
        <f>"MOSS POINT                "</f>
        <v xml:space="preserve">MOSS POINT                </v>
      </c>
      <c r="F6624" t="str">
        <f t="shared" si="219"/>
        <v>MS</v>
      </c>
    </row>
    <row r="6625" spans="1:6" x14ac:dyDescent="0.25">
      <c r="A6625" t="str">
        <f>"000122742"</f>
        <v>000122742</v>
      </c>
      <c r="B6625" t="str">
        <f>"1699703389"</f>
        <v>1699703389</v>
      </c>
      <c r="C6625" t="str">
        <f>"207P00000X"</f>
        <v>207P00000X</v>
      </c>
      <c r="D6625" t="str">
        <f>"ANDERSON                 LISA                     "</f>
        <v xml:space="preserve">ANDERSON                 LISA                     </v>
      </c>
      <c r="E6625" t="str">
        <f>"MADISON                   "</f>
        <v xml:space="preserve">MADISON                   </v>
      </c>
      <c r="F6625" t="str">
        <f t="shared" si="219"/>
        <v>MS</v>
      </c>
    </row>
    <row r="6626" spans="1:6" x14ac:dyDescent="0.25">
      <c r="A6626" t="str">
        <f>"000122761"</f>
        <v>000122761</v>
      </c>
      <c r="B6626" t="str">
        <f>"1487708525"</f>
        <v>1487708525</v>
      </c>
      <c r="C6626" t="str">
        <f>"207Q00000X"</f>
        <v>207Q00000X</v>
      </c>
      <c r="D6626" t="str">
        <f>"ANDERSON                 TANYA R SAVAG            "</f>
        <v xml:space="preserve">ANDERSON                 TANYA R SAVAG            </v>
      </c>
      <c r="E6626" t="str">
        <f>"PORT GIBSON               "</f>
        <v xml:space="preserve">PORT GIBSON               </v>
      </c>
      <c r="F6626" t="str">
        <f t="shared" si="219"/>
        <v>MS</v>
      </c>
    </row>
    <row r="6627" spans="1:6" x14ac:dyDescent="0.25">
      <c r="A6627" t="str">
        <f>"000122762"</f>
        <v>000122762</v>
      </c>
      <c r="B6627" t="str">
        <f>"1417993668"</f>
        <v>1417993668</v>
      </c>
      <c r="C6627" t="str">
        <f>"207R00000X"</f>
        <v>207R00000X</v>
      </c>
      <c r="D6627" t="str">
        <f>"MARTIN III               LINUS        B           "</f>
        <v xml:space="preserve">MARTIN III               LINUS        B           </v>
      </c>
      <c r="E6627" t="str">
        <f>"MERIDIAN                  "</f>
        <v xml:space="preserve">MERIDIAN                  </v>
      </c>
      <c r="F6627" t="str">
        <f t="shared" si="219"/>
        <v>MS</v>
      </c>
    </row>
    <row r="6628" spans="1:6" x14ac:dyDescent="0.25">
      <c r="A6628" t="str">
        <f>"000122769"</f>
        <v>000122769</v>
      </c>
      <c r="B6628" t="str">
        <f>"1194758292"</f>
        <v>1194758292</v>
      </c>
      <c r="C6628" t="str">
        <f>"207RE0101X"</f>
        <v>207RE0101X</v>
      </c>
      <c r="D6628" t="str">
        <f>"SUBAUSTE                 JOSE                     "</f>
        <v xml:space="preserve">SUBAUSTE                 JOSE                     </v>
      </c>
      <c r="E6628" t="str">
        <f>"JACKSON                   "</f>
        <v xml:space="preserve">JACKSON                   </v>
      </c>
      <c r="F6628" t="str">
        <f t="shared" si="219"/>
        <v>MS</v>
      </c>
    </row>
    <row r="6629" spans="1:6" x14ac:dyDescent="0.25">
      <c r="A6629" t="str">
        <f>"000122793"</f>
        <v>000122793</v>
      </c>
      <c r="B6629" t="str">
        <f>"1942234232"</f>
        <v>1942234232</v>
      </c>
      <c r="C6629" t="str">
        <f>"363L00000X"</f>
        <v>363L00000X</v>
      </c>
      <c r="D6629" t="str">
        <f>"MITCHELL                 JEFFERY                  "</f>
        <v xml:space="preserve">MITCHELL                 JEFFERY                  </v>
      </c>
      <c r="E6629" t="str">
        <f>"COLLINS                   "</f>
        <v xml:space="preserve">COLLINS                   </v>
      </c>
      <c r="F6629" t="str">
        <f t="shared" si="219"/>
        <v>MS</v>
      </c>
    </row>
    <row r="6630" spans="1:6" x14ac:dyDescent="0.25">
      <c r="A6630" t="str">
        <f>"000122796"</f>
        <v>000122796</v>
      </c>
      <c r="B6630" t="str">
        <f>"1861542482"</f>
        <v>1861542482</v>
      </c>
      <c r="C6630" t="str">
        <f>"207P00000X"</f>
        <v>207P00000X</v>
      </c>
      <c r="D6630" t="str">
        <f>"EMERICK                  MATTHEW      L           "</f>
        <v xml:space="preserve">EMERICK                  MATTHEW      L           </v>
      </c>
      <c r="E6630" t="str">
        <f>"GULFPORT                  "</f>
        <v xml:space="preserve">GULFPORT                  </v>
      </c>
      <c r="F6630" t="str">
        <f t="shared" si="219"/>
        <v>MS</v>
      </c>
    </row>
    <row r="6631" spans="1:6" x14ac:dyDescent="0.25">
      <c r="A6631" t="str">
        <f>"000122805"</f>
        <v>000122805</v>
      </c>
      <c r="B6631" t="str">
        <f>"1689675399"</f>
        <v>1689675399</v>
      </c>
      <c r="C6631" t="str">
        <f>"207P00000X"</f>
        <v>207P00000X</v>
      </c>
      <c r="D6631" t="str">
        <f>"WRIGHT                   TONY         L           "</f>
        <v xml:space="preserve">WRIGHT                   TONY         L           </v>
      </c>
      <c r="E6631" t="str">
        <f>"OLIVE BRANCH              "</f>
        <v xml:space="preserve">OLIVE BRANCH              </v>
      </c>
      <c r="F6631" t="str">
        <f t="shared" si="219"/>
        <v>MS</v>
      </c>
    </row>
    <row r="6632" spans="1:6" x14ac:dyDescent="0.25">
      <c r="A6632" t="str">
        <f>"000122832"</f>
        <v>000122832</v>
      </c>
      <c r="B6632" t="str">
        <f>"1275638363"</f>
        <v>1275638363</v>
      </c>
      <c r="C6632" t="str">
        <f>"207R00000X"</f>
        <v>207R00000X</v>
      </c>
      <c r="D6632" t="str">
        <f>"WASSEF                   MAGDI        S           "</f>
        <v xml:space="preserve">WASSEF                   MAGDI        S           </v>
      </c>
      <c r="E6632" t="str">
        <f>"SOUTHAVEN                 "</f>
        <v xml:space="preserve">SOUTHAVEN                 </v>
      </c>
      <c r="F6632" t="str">
        <f t="shared" si="219"/>
        <v>MS</v>
      </c>
    </row>
    <row r="6633" spans="1:6" x14ac:dyDescent="0.25">
      <c r="A6633" t="str">
        <f>"000122875"</f>
        <v>000122875</v>
      </c>
      <c r="B6633" t="str">
        <f>"1659307296"</f>
        <v>1659307296</v>
      </c>
      <c r="C6633" t="str">
        <f>"207V00000X"</f>
        <v>207V00000X</v>
      </c>
      <c r="D6633" t="str">
        <f>"CONNELL                  NORMAN       L           "</f>
        <v xml:space="preserve">CONNELL                  NORMAN       L           </v>
      </c>
      <c r="E6633" t="str">
        <f>"CARTHAGE                  "</f>
        <v xml:space="preserve">CARTHAGE                  </v>
      </c>
      <c r="F6633" t="str">
        <f t="shared" si="219"/>
        <v>MS</v>
      </c>
    </row>
    <row r="6634" spans="1:6" x14ac:dyDescent="0.25">
      <c r="A6634" t="str">
        <f>"000122896"</f>
        <v>000122896</v>
      </c>
      <c r="B6634" t="str">
        <f>"1841384443"</f>
        <v>1841384443</v>
      </c>
      <c r="C6634" t="str">
        <f>"363L00000X"</f>
        <v>363L00000X</v>
      </c>
      <c r="D6634" t="str">
        <f>"MARTIN                   KELLEY                   "</f>
        <v xml:space="preserve">MARTIN                   KELLEY                   </v>
      </c>
      <c r="E6634" t="str">
        <f>"FLORENCE                  "</f>
        <v xml:space="preserve">FLORENCE                  </v>
      </c>
      <c r="F6634" t="str">
        <f t="shared" si="219"/>
        <v>MS</v>
      </c>
    </row>
    <row r="6635" spans="1:6" x14ac:dyDescent="0.25">
      <c r="A6635" t="str">
        <f>"000122903"</f>
        <v>000122903</v>
      </c>
      <c r="B6635" t="str">
        <f>"1003849068"</f>
        <v>1003849068</v>
      </c>
      <c r="C6635" t="str">
        <f>"208600000X"</f>
        <v>208600000X</v>
      </c>
      <c r="D6635" t="str">
        <f>"SAUL                     CHARLES                  "</f>
        <v xml:space="preserve">SAUL                     CHARLES                  </v>
      </c>
      <c r="E6635" t="str">
        <f>"LAUREL                    "</f>
        <v xml:space="preserve">LAUREL                    </v>
      </c>
      <c r="F6635" t="str">
        <f t="shared" si="219"/>
        <v>MS</v>
      </c>
    </row>
    <row r="6636" spans="1:6" x14ac:dyDescent="0.25">
      <c r="A6636" t="str">
        <f>"000122906"</f>
        <v>000122906</v>
      </c>
      <c r="B6636" t="str">
        <f>"1477557064"</f>
        <v>1477557064</v>
      </c>
      <c r="C6636" t="str">
        <f>"207RH0000X"</f>
        <v>207RH0000X</v>
      </c>
      <c r="D6636" t="str">
        <f>"JONES                    CLYDE        M           "</f>
        <v xml:space="preserve">JONES                    CLYDE        M           </v>
      </c>
      <c r="E6636" t="str">
        <f>"OXFORD                    "</f>
        <v xml:space="preserve">OXFORD                    </v>
      </c>
      <c r="F6636" t="str">
        <f t="shared" si="219"/>
        <v>MS</v>
      </c>
    </row>
    <row r="6637" spans="1:6" x14ac:dyDescent="0.25">
      <c r="A6637" t="str">
        <f>"000122908"</f>
        <v>000122908</v>
      </c>
      <c r="B6637" t="str">
        <f>"1235171265"</f>
        <v>1235171265</v>
      </c>
      <c r="C6637" t="str">
        <f>"208000000X"</f>
        <v>208000000X</v>
      </c>
      <c r="D6637" t="str">
        <f>"DONALD                   CATHERINE    A           "</f>
        <v xml:space="preserve">DONALD                   CATHERINE    A           </v>
      </c>
      <c r="E6637" t="str">
        <f>"GULFPORT                  "</f>
        <v xml:space="preserve">GULFPORT                  </v>
      </c>
      <c r="F6637" t="str">
        <f t="shared" si="219"/>
        <v>MS</v>
      </c>
    </row>
    <row r="6638" spans="1:6" x14ac:dyDescent="0.25">
      <c r="A6638" t="str">
        <f>"000122914"</f>
        <v>000122914</v>
      </c>
      <c r="B6638" t="str">
        <f>"1902938624"</f>
        <v>1902938624</v>
      </c>
      <c r="C6638" t="str">
        <f>"208D00000X"</f>
        <v>208D00000X</v>
      </c>
      <c r="D6638" t="str">
        <f>"SMOTHERS                 MARK                     "</f>
        <v xml:space="preserve">SMOTHERS                 MARK                     </v>
      </c>
      <c r="E6638" t="str">
        <f>"LEXINGTON                 "</f>
        <v xml:space="preserve">LEXINGTON                 </v>
      </c>
      <c r="F6638" t="str">
        <f t="shared" si="219"/>
        <v>MS</v>
      </c>
    </row>
    <row r="6639" spans="1:6" x14ac:dyDescent="0.25">
      <c r="A6639" t="str">
        <f>"000122917"</f>
        <v>000122917</v>
      </c>
      <c r="B6639" t="str">
        <f>"1609926161"</f>
        <v>1609926161</v>
      </c>
      <c r="C6639" t="str">
        <f>"208D00000X"</f>
        <v>208D00000X</v>
      </c>
      <c r="D6639" t="str">
        <f>"BUTTS                    DALLAS       W           "</f>
        <v xml:space="preserve">BUTTS                    DALLAS       W           </v>
      </c>
      <c r="E6639" t="str">
        <f>"BOONEVILLE                "</f>
        <v xml:space="preserve">BOONEVILLE                </v>
      </c>
      <c r="F6639" t="str">
        <f t="shared" si="219"/>
        <v>MS</v>
      </c>
    </row>
    <row r="6640" spans="1:6" x14ac:dyDescent="0.25">
      <c r="A6640" t="str">
        <f>"000122932"</f>
        <v>000122932</v>
      </c>
      <c r="B6640" t="str">
        <f>"1962507061"</f>
        <v>1962507061</v>
      </c>
      <c r="C6640" t="str">
        <f>"207R00000X"</f>
        <v>207R00000X</v>
      </c>
      <c r="D6640" t="str">
        <f>"MISSAK                   MARY         S           "</f>
        <v xml:space="preserve">MISSAK                   MARY         S           </v>
      </c>
      <c r="E6640" t="str">
        <f>"SOUTHAVEN                 "</f>
        <v xml:space="preserve">SOUTHAVEN                 </v>
      </c>
      <c r="F6640" t="str">
        <f t="shared" si="219"/>
        <v>MS</v>
      </c>
    </row>
    <row r="6641" spans="1:6" x14ac:dyDescent="0.25">
      <c r="A6641" t="str">
        <f>"000122937"</f>
        <v>000122937</v>
      </c>
      <c r="B6641" t="str">
        <f>"1265452486"</f>
        <v>1265452486</v>
      </c>
      <c r="C6641" t="str">
        <f>"207ZP0105X"</f>
        <v>207ZP0105X</v>
      </c>
      <c r="D6641" t="str">
        <f>"LUCAS                    MARSHA       G           "</f>
        <v xml:space="preserve">LUCAS                    MARSHA       G           </v>
      </c>
      <c r="E6641" t="str">
        <f>"GREENWOOD                 "</f>
        <v xml:space="preserve">GREENWOOD                 </v>
      </c>
      <c r="F6641" t="str">
        <f t="shared" si="219"/>
        <v>MS</v>
      </c>
    </row>
    <row r="6642" spans="1:6" x14ac:dyDescent="0.25">
      <c r="A6642" t="str">
        <f>"000122947"</f>
        <v>000122947</v>
      </c>
      <c r="B6642" t="str">
        <f>"1124063920"</f>
        <v>1124063920</v>
      </c>
      <c r="C6642" t="str">
        <f>"2086S0122X"</f>
        <v>2086S0122X</v>
      </c>
      <c r="D6642" t="str">
        <f>"BARRAZA                  KENNETH      R           "</f>
        <v xml:space="preserve">BARRAZA                  KENNETH      R           </v>
      </c>
      <c r="E6642" t="str">
        <f>"FLOWOOD                   "</f>
        <v xml:space="preserve">FLOWOOD                   </v>
      </c>
      <c r="F6642" t="str">
        <f t="shared" si="219"/>
        <v>MS</v>
      </c>
    </row>
    <row r="6643" spans="1:6" x14ac:dyDescent="0.25">
      <c r="A6643" t="str">
        <f>"000122948"</f>
        <v>000122948</v>
      </c>
      <c r="B6643" t="str">
        <f>"1104925882"</f>
        <v>1104925882</v>
      </c>
      <c r="C6643" t="str">
        <f>"208000000X"</f>
        <v>208000000X</v>
      </c>
      <c r="D6643" t="str">
        <f>"WENDER                   DAVID        F           "</f>
        <v xml:space="preserve">WENDER                   DAVID        F           </v>
      </c>
      <c r="E6643" t="str">
        <f>"FLOWOOD                   "</f>
        <v xml:space="preserve">FLOWOOD                   </v>
      </c>
      <c r="F6643" t="str">
        <f t="shared" si="219"/>
        <v>MS</v>
      </c>
    </row>
    <row r="6644" spans="1:6" x14ac:dyDescent="0.25">
      <c r="A6644" t="str">
        <f>"000122949"</f>
        <v>000122949</v>
      </c>
      <c r="B6644" t="str">
        <f>"1235215948"</f>
        <v>1235215948</v>
      </c>
      <c r="C6644" t="str">
        <f>"2080N0001X"</f>
        <v>2080N0001X</v>
      </c>
      <c r="D6644" t="str">
        <f>"MILLER                   CAROLD       J           "</f>
        <v xml:space="preserve">MILLER                   CAROLD       J           </v>
      </c>
      <c r="E6644" t="str">
        <f>"FLOWOOD                   "</f>
        <v xml:space="preserve">FLOWOOD                   </v>
      </c>
      <c r="F6644" t="str">
        <f t="shared" si="219"/>
        <v>MS</v>
      </c>
    </row>
    <row r="6645" spans="1:6" x14ac:dyDescent="0.25">
      <c r="A6645" t="str">
        <f>"000122982"</f>
        <v>000122982</v>
      </c>
      <c r="B6645" t="str">
        <f>"1891833828"</f>
        <v>1891833828</v>
      </c>
      <c r="C6645" t="str">
        <f>"208D00000X"</f>
        <v>208D00000X</v>
      </c>
      <c r="D6645" t="str">
        <f>"KULPA                    JANUS                    "</f>
        <v xml:space="preserve">KULPA                    JANUS                    </v>
      </c>
      <c r="E6645" t="str">
        <f>"OCEAN SPRINGS             "</f>
        <v xml:space="preserve">OCEAN SPRINGS             </v>
      </c>
      <c r="F6645" t="str">
        <f t="shared" si="219"/>
        <v>MS</v>
      </c>
    </row>
    <row r="6646" spans="1:6" x14ac:dyDescent="0.25">
      <c r="A6646" t="str">
        <f>"000122984"</f>
        <v>000122984</v>
      </c>
      <c r="B6646" t="str">
        <f>"1093891657"</f>
        <v>1093891657</v>
      </c>
      <c r="C6646" t="str">
        <f>"208000000X"</f>
        <v>208000000X</v>
      </c>
      <c r="D6646" t="str">
        <f>"TEMPLE                   DAVID        M           "</f>
        <v xml:space="preserve">TEMPLE                   DAVID        M           </v>
      </c>
      <c r="E6646" t="str">
        <f>"FLOWOOD                   "</f>
        <v xml:space="preserve">FLOWOOD                   </v>
      </c>
      <c r="F6646" t="str">
        <f t="shared" si="219"/>
        <v>MS</v>
      </c>
    </row>
    <row r="6647" spans="1:6" x14ac:dyDescent="0.25">
      <c r="A6647" t="str">
        <f>"000123002"</f>
        <v>000123002</v>
      </c>
      <c r="B6647" t="str">
        <f>"1700805363"</f>
        <v>1700805363</v>
      </c>
      <c r="C6647" t="str">
        <f>"207W00000X"</f>
        <v>207W00000X</v>
      </c>
      <c r="D6647" t="str">
        <f>"ADEN                     LESLIE       B           "</f>
        <v xml:space="preserve">ADEN                     LESLIE       B           </v>
      </c>
      <c r="E6647" t="str">
        <f>"FLOWOOD                   "</f>
        <v xml:space="preserve">FLOWOOD                   </v>
      </c>
      <c r="F6647" t="str">
        <f t="shared" si="219"/>
        <v>MS</v>
      </c>
    </row>
    <row r="6648" spans="1:6" x14ac:dyDescent="0.25">
      <c r="A6648" t="str">
        <f>"000123016"</f>
        <v>000123016</v>
      </c>
      <c r="B6648" t="str">
        <f>"1164589388"</f>
        <v>1164589388</v>
      </c>
      <c r="C6648" t="str">
        <f>"207R00000X"</f>
        <v>207R00000X</v>
      </c>
      <c r="D6648" t="str">
        <f>"LENOX                    VALERIE      R           "</f>
        <v xml:space="preserve">LENOX                    VALERIE      R           </v>
      </c>
      <c r="E6648" t="str">
        <f>"BILOXI                    "</f>
        <v xml:space="preserve">BILOXI                    </v>
      </c>
      <c r="F6648" t="str">
        <f t="shared" si="219"/>
        <v>MS</v>
      </c>
    </row>
    <row r="6649" spans="1:6" x14ac:dyDescent="0.25">
      <c r="A6649" t="str">
        <f>"000123017"</f>
        <v>000123017</v>
      </c>
      <c r="B6649" t="str">
        <f>"1093734949"</f>
        <v>1093734949</v>
      </c>
      <c r="C6649" t="str">
        <f>"207RC0000X"</f>
        <v>207RC0000X</v>
      </c>
      <c r="D6649" t="str">
        <f>"HERZOG SR                JOHN         L           "</f>
        <v xml:space="preserve">HERZOG SR                JOHN         L           </v>
      </c>
      <c r="E6649" t="str">
        <f>"GREENVILLE                "</f>
        <v xml:space="preserve">GREENVILLE                </v>
      </c>
      <c r="F6649" t="str">
        <f t="shared" si="219"/>
        <v>MS</v>
      </c>
    </row>
    <row r="6650" spans="1:6" x14ac:dyDescent="0.25">
      <c r="A6650" t="str">
        <f>"000123081"</f>
        <v>000123081</v>
      </c>
      <c r="B6650" t="str">
        <f>"1922072891"</f>
        <v>1922072891</v>
      </c>
      <c r="C6650" t="str">
        <f>"207RX0202X"</f>
        <v>207RX0202X</v>
      </c>
      <c r="D6650" t="str">
        <f>"HAYEK                    MAROUN       E           "</f>
        <v xml:space="preserve">HAYEK                    MAROUN       E           </v>
      </c>
      <c r="E6650" t="str">
        <f>"GREENVILLE                "</f>
        <v xml:space="preserve">GREENVILLE                </v>
      </c>
      <c r="F6650" t="str">
        <f t="shared" si="219"/>
        <v>MS</v>
      </c>
    </row>
    <row r="6651" spans="1:6" x14ac:dyDescent="0.25">
      <c r="A6651" t="str">
        <f>"000123083"</f>
        <v>000123083</v>
      </c>
      <c r="B6651" t="str">
        <f>"1427004704"</f>
        <v>1427004704</v>
      </c>
      <c r="C6651" t="str">
        <f>"207N00000X"</f>
        <v>207N00000X</v>
      </c>
      <c r="D6651" t="str">
        <f>"KELLEY                   MARK         C           "</f>
        <v xml:space="preserve">KELLEY                   MARK         C           </v>
      </c>
      <c r="E6651" t="str">
        <f>"CHARLESTON                "</f>
        <v xml:space="preserve">CHARLESTON                </v>
      </c>
      <c r="F6651" t="str">
        <f t="shared" si="219"/>
        <v>MS</v>
      </c>
    </row>
    <row r="6652" spans="1:6" x14ac:dyDescent="0.25">
      <c r="A6652" t="str">
        <f>"000123093"</f>
        <v>000123093</v>
      </c>
      <c r="B6652" t="str">
        <f>"1295776078"</f>
        <v>1295776078</v>
      </c>
      <c r="C6652" t="str">
        <f>"363L00000X"</f>
        <v>363L00000X</v>
      </c>
      <c r="D6652" t="str">
        <f>"TEMPLE                   KAREN        S           "</f>
        <v xml:space="preserve">TEMPLE                   KAREN        S           </v>
      </c>
      <c r="E6652" t="str">
        <f>"LAUREL                    "</f>
        <v xml:space="preserve">LAUREL                    </v>
      </c>
      <c r="F6652" t="str">
        <f t="shared" si="219"/>
        <v>MS</v>
      </c>
    </row>
    <row r="6653" spans="1:6" x14ac:dyDescent="0.25">
      <c r="A6653" t="str">
        <f>"000123102"</f>
        <v>000123102</v>
      </c>
      <c r="B6653" t="str">
        <f>"1437120730"</f>
        <v>1437120730</v>
      </c>
      <c r="C6653" t="str">
        <f>"207X00000X"</f>
        <v>207X00000X</v>
      </c>
      <c r="D6653" t="str">
        <f>"SOUTHWORTH               STEPHEN                  "</f>
        <v xml:space="preserve">SOUTHWORTH               STEPHEN                  </v>
      </c>
      <c r="E6653" t="str">
        <f>"TUPELO                    "</f>
        <v xml:space="preserve">TUPELO                    </v>
      </c>
      <c r="F6653" t="str">
        <f t="shared" si="219"/>
        <v>MS</v>
      </c>
    </row>
    <row r="6654" spans="1:6" x14ac:dyDescent="0.25">
      <c r="A6654" t="str">
        <f>"000123114"</f>
        <v>000123114</v>
      </c>
      <c r="B6654" t="str">
        <f>"1760451991"</f>
        <v>1760451991</v>
      </c>
      <c r="C6654" t="str">
        <f>"207Q00000X"</f>
        <v>207Q00000X</v>
      </c>
      <c r="D6654" t="str">
        <f>"PAYNE                    JOHN         A           "</f>
        <v xml:space="preserve">PAYNE                    JOHN         A           </v>
      </c>
      <c r="E6654" t="str">
        <f>"JACKSON                   "</f>
        <v xml:space="preserve">JACKSON                   </v>
      </c>
      <c r="F6654" t="str">
        <f t="shared" ref="F6654:F6717" si="220">"MS"</f>
        <v>MS</v>
      </c>
    </row>
    <row r="6655" spans="1:6" x14ac:dyDescent="0.25">
      <c r="A6655" t="str">
        <f>"000123126"</f>
        <v>000123126</v>
      </c>
      <c r="B6655" t="str">
        <f>"1689896763"</f>
        <v>1689896763</v>
      </c>
      <c r="C6655" t="str">
        <f>"363L00000X"</f>
        <v>363L00000X</v>
      </c>
      <c r="D6655" t="str">
        <f>"HANCOCK                  AMY          G           "</f>
        <v xml:space="preserve">HANCOCK                  AMY          G           </v>
      </c>
      <c r="E6655" t="str">
        <f>"FLORA                     "</f>
        <v xml:space="preserve">FLORA                     </v>
      </c>
      <c r="F6655" t="str">
        <f t="shared" si="220"/>
        <v>MS</v>
      </c>
    </row>
    <row r="6656" spans="1:6" x14ac:dyDescent="0.25">
      <c r="A6656" t="str">
        <f>"000123127"</f>
        <v>000123127</v>
      </c>
      <c r="B6656" t="str">
        <f>"1427148667"</f>
        <v>1427148667</v>
      </c>
      <c r="C6656" t="str">
        <f>"208D00000X"</f>
        <v>208D00000X</v>
      </c>
      <c r="D6656" t="str">
        <f>"ALDRIDGE                 EDWARD       F           "</f>
        <v xml:space="preserve">ALDRIDGE                 EDWARD       F           </v>
      </c>
      <c r="E6656" t="str">
        <f>"OCEAN SPRINGS             "</f>
        <v xml:space="preserve">OCEAN SPRINGS             </v>
      </c>
      <c r="F6656" t="str">
        <f t="shared" si="220"/>
        <v>MS</v>
      </c>
    </row>
    <row r="6657" spans="1:6" x14ac:dyDescent="0.25">
      <c r="A6657" t="str">
        <f>"000123147"</f>
        <v>000123147</v>
      </c>
      <c r="B6657" t="str">
        <f>"1083628291"</f>
        <v>1083628291</v>
      </c>
      <c r="C6657" t="str">
        <f>"207R00000X"</f>
        <v>207R00000X</v>
      </c>
      <c r="D6657" t="str">
        <f>"ROBERTS JR               JAMES        E           "</f>
        <v xml:space="preserve">ROBERTS JR               JAMES        E           </v>
      </c>
      <c r="E6657" t="str">
        <f>"BROOKHAVEN                "</f>
        <v xml:space="preserve">BROOKHAVEN                </v>
      </c>
      <c r="F6657" t="str">
        <f t="shared" si="220"/>
        <v>MS</v>
      </c>
    </row>
    <row r="6658" spans="1:6" x14ac:dyDescent="0.25">
      <c r="A6658" t="str">
        <f>"000123149"</f>
        <v>000123149</v>
      </c>
      <c r="B6658" t="str">
        <f>"1023109089"</f>
        <v>1023109089</v>
      </c>
      <c r="C6658" t="str">
        <f>"363L00000X"</f>
        <v>363L00000X</v>
      </c>
      <c r="D6658" t="str">
        <f>"ELLIOTT                  KATHRYN      B           "</f>
        <v xml:space="preserve">ELLIOTT                  KATHRYN      B           </v>
      </c>
      <c r="E6658" t="str">
        <f>"OXFORD                    "</f>
        <v xml:space="preserve">OXFORD                    </v>
      </c>
      <c r="F6658" t="str">
        <f t="shared" si="220"/>
        <v>MS</v>
      </c>
    </row>
    <row r="6659" spans="1:6" x14ac:dyDescent="0.25">
      <c r="A6659" t="str">
        <f>"000123172"</f>
        <v>000123172</v>
      </c>
      <c r="B6659" t="str">
        <f>"1568493450"</f>
        <v>1568493450</v>
      </c>
      <c r="C6659" t="str">
        <f>"2080P0202X"</f>
        <v>2080P0202X</v>
      </c>
      <c r="D6659" t="str">
        <f>"SHORES                   JENNIFER     C           "</f>
        <v xml:space="preserve">SHORES                   JENNIFER     C           </v>
      </c>
      <c r="E6659" t="str">
        <f>"MERIDIAN                  "</f>
        <v xml:space="preserve">MERIDIAN                  </v>
      </c>
      <c r="F6659" t="str">
        <f t="shared" si="220"/>
        <v>MS</v>
      </c>
    </row>
    <row r="6660" spans="1:6" x14ac:dyDescent="0.25">
      <c r="A6660" t="str">
        <f>"000123174"</f>
        <v>000123174</v>
      </c>
      <c r="B6660" t="str">
        <f>"1073507547"</f>
        <v>1073507547</v>
      </c>
      <c r="C6660" t="str">
        <f>"207V00000X"</f>
        <v>207V00000X</v>
      </c>
      <c r="D6660" t="str">
        <f>"GALLOWAY                 KEVIN        L           "</f>
        <v xml:space="preserve">GALLOWAY                 KEVIN        L           </v>
      </c>
      <c r="E6660" t="str">
        <f>"PICAYUNE                  "</f>
        <v xml:space="preserve">PICAYUNE                  </v>
      </c>
      <c r="F6660" t="str">
        <f t="shared" si="220"/>
        <v>MS</v>
      </c>
    </row>
    <row r="6661" spans="1:6" x14ac:dyDescent="0.25">
      <c r="A6661" t="str">
        <f>"000123193"</f>
        <v>000123193</v>
      </c>
      <c r="B6661" t="str">
        <f>"1902840861"</f>
        <v>1902840861</v>
      </c>
      <c r="C6661" t="str">
        <f>"207W00000X"</f>
        <v>207W00000X</v>
      </c>
      <c r="D6661" t="str">
        <f>"FARMER                   WILLIAM      D           "</f>
        <v xml:space="preserve">FARMER                   WILLIAM      D           </v>
      </c>
      <c r="E6661" t="str">
        <f>"OXFORD                    "</f>
        <v xml:space="preserve">OXFORD                    </v>
      </c>
      <c r="F6661" t="str">
        <f t="shared" si="220"/>
        <v>MS</v>
      </c>
    </row>
    <row r="6662" spans="1:6" x14ac:dyDescent="0.25">
      <c r="A6662" t="str">
        <f>"000123194"</f>
        <v>000123194</v>
      </c>
      <c r="B6662" t="str">
        <f>"1013951987"</f>
        <v>1013951987</v>
      </c>
      <c r="C6662" t="str">
        <f>"207W00000X"</f>
        <v>207W00000X</v>
      </c>
      <c r="D6662" t="str">
        <f>"RICHARDSON               RANDY        K           "</f>
        <v xml:space="preserve">RICHARDSON               RANDY        K           </v>
      </c>
      <c r="E6662" t="str">
        <f>"OXFORD                    "</f>
        <v xml:space="preserve">OXFORD                    </v>
      </c>
      <c r="F6662" t="str">
        <f t="shared" si="220"/>
        <v>MS</v>
      </c>
    </row>
    <row r="6663" spans="1:6" x14ac:dyDescent="0.25">
      <c r="A6663" t="str">
        <f>"000123206"</f>
        <v>000123206</v>
      </c>
      <c r="B6663" t="str">
        <f>"1487683231"</f>
        <v>1487683231</v>
      </c>
      <c r="C6663" t="str">
        <f>"207R00000X"</f>
        <v>207R00000X</v>
      </c>
      <c r="D6663" t="str">
        <f>"BAROUDI                  BASSAM       R           "</f>
        <v xml:space="preserve">BAROUDI                  BASSAM       R           </v>
      </c>
      <c r="E6663" t="str">
        <f>"GULFPORT                  "</f>
        <v xml:space="preserve">GULFPORT                  </v>
      </c>
      <c r="F6663" t="str">
        <f t="shared" si="220"/>
        <v>MS</v>
      </c>
    </row>
    <row r="6664" spans="1:6" x14ac:dyDescent="0.25">
      <c r="A6664" t="str">
        <f>"000123219"</f>
        <v>000123219</v>
      </c>
      <c r="B6664" t="str">
        <f>"1033154794"</f>
        <v>1033154794</v>
      </c>
      <c r="C6664" t="str">
        <f>"208000000X"</f>
        <v>208000000X</v>
      </c>
      <c r="D6664" t="str">
        <f>"FAIRCHILD                LISA         D           "</f>
        <v xml:space="preserve">FAIRCHILD                LISA         D           </v>
      </c>
      <c r="E6664" t="str">
        <f>"VICKSBURG                 "</f>
        <v xml:space="preserve">VICKSBURG                 </v>
      </c>
      <c r="F6664" t="str">
        <f t="shared" si="220"/>
        <v>MS</v>
      </c>
    </row>
    <row r="6665" spans="1:6" x14ac:dyDescent="0.25">
      <c r="A6665" t="str">
        <f>"000123240"</f>
        <v>000123240</v>
      </c>
      <c r="B6665" t="str">
        <f>"1871674713"</f>
        <v>1871674713</v>
      </c>
      <c r="C6665" t="str">
        <f>"363L00000X"</f>
        <v>363L00000X</v>
      </c>
      <c r="D6665" t="str">
        <f>"DUFFIE-MORGAN            SUSAN                    "</f>
        <v xml:space="preserve">DUFFIE-MORGAN            SUSAN                    </v>
      </c>
      <c r="E6665" t="str">
        <f>"TUPELO                    "</f>
        <v xml:space="preserve">TUPELO                    </v>
      </c>
      <c r="F6665" t="str">
        <f t="shared" si="220"/>
        <v>MS</v>
      </c>
    </row>
    <row r="6666" spans="1:6" x14ac:dyDescent="0.25">
      <c r="A6666" t="str">
        <f>"000123283"</f>
        <v>000123283</v>
      </c>
      <c r="B6666" t="str">
        <f>"1912058520"</f>
        <v>1912058520</v>
      </c>
      <c r="C6666" t="str">
        <f>"208G00000X"</f>
        <v>208G00000X</v>
      </c>
      <c r="D6666" t="str">
        <f>"HARRIS                   WILLIAM      J           "</f>
        <v xml:space="preserve">HARRIS                   WILLIAM      J           </v>
      </c>
      <c r="E6666" t="str">
        <f>"JACKSON                   "</f>
        <v xml:space="preserve">JACKSON                   </v>
      </c>
      <c r="F6666" t="str">
        <f t="shared" si="220"/>
        <v>MS</v>
      </c>
    </row>
    <row r="6667" spans="1:6" x14ac:dyDescent="0.25">
      <c r="A6667" t="str">
        <f>"000123298"</f>
        <v>000123298</v>
      </c>
      <c r="B6667" t="str">
        <f>"1356482459"</f>
        <v>1356482459</v>
      </c>
      <c r="C6667" t="str">
        <f>"2084P0800X"</f>
        <v>2084P0800X</v>
      </c>
      <c r="D6667" t="str">
        <f>"ABU-HAMDAN               KHALED       N           "</f>
        <v xml:space="preserve">ABU-HAMDAN               KHALED       N           </v>
      </c>
      <c r="E6667" t="str">
        <f>"GREENVILLE                "</f>
        <v xml:space="preserve">GREENVILLE                </v>
      </c>
      <c r="F6667" t="str">
        <f t="shared" si="220"/>
        <v>MS</v>
      </c>
    </row>
    <row r="6668" spans="1:6" x14ac:dyDescent="0.25">
      <c r="A6668" t="str">
        <f>"000123301"</f>
        <v>000123301</v>
      </c>
      <c r="B6668" t="str">
        <f>"1184684375"</f>
        <v>1184684375</v>
      </c>
      <c r="C6668" t="str">
        <f>"207X00000X"</f>
        <v>207X00000X</v>
      </c>
      <c r="D6668" t="str">
        <f>"DOTSON                   WAYNE        A           "</f>
        <v xml:space="preserve">DOTSON                   WAYNE        A           </v>
      </c>
      <c r="E6668" t="str">
        <f>"GREENVILLE                "</f>
        <v xml:space="preserve">GREENVILLE                </v>
      </c>
      <c r="F6668" t="str">
        <f t="shared" si="220"/>
        <v>MS</v>
      </c>
    </row>
    <row r="6669" spans="1:6" x14ac:dyDescent="0.25">
      <c r="A6669" t="str">
        <f>"000123304"</f>
        <v>000123304</v>
      </c>
      <c r="B6669" t="str">
        <f>"1306956297"</f>
        <v>1306956297</v>
      </c>
      <c r="C6669" t="str">
        <f>"207R00000X"</f>
        <v>207R00000X</v>
      </c>
      <c r="D6669" t="str">
        <f>"SHAH                     MANOJ        P           "</f>
        <v xml:space="preserve">SHAH                     MANOJ        P           </v>
      </c>
      <c r="E6669" t="str">
        <f>"GULFPORT                  "</f>
        <v xml:space="preserve">GULFPORT                  </v>
      </c>
      <c r="F6669" t="str">
        <f t="shared" si="220"/>
        <v>MS</v>
      </c>
    </row>
    <row r="6670" spans="1:6" x14ac:dyDescent="0.25">
      <c r="A6670" t="str">
        <f>"000123305"</f>
        <v>000123305</v>
      </c>
      <c r="B6670" t="str">
        <f>"1558311431"</f>
        <v>1558311431</v>
      </c>
      <c r="C6670" t="str">
        <f>"207Y00000X"</f>
        <v>207Y00000X</v>
      </c>
      <c r="D6670" t="str">
        <f>"WILSON                   CHARLES      J           "</f>
        <v xml:space="preserve">WILSON                   CHARLES      J           </v>
      </c>
      <c r="E6670" t="str">
        <f>"OCEAN SPRINGS             "</f>
        <v xml:space="preserve">OCEAN SPRINGS             </v>
      </c>
      <c r="F6670" t="str">
        <f t="shared" si="220"/>
        <v>MS</v>
      </c>
    </row>
    <row r="6671" spans="1:6" x14ac:dyDescent="0.25">
      <c r="A6671" t="str">
        <f>"000123315"</f>
        <v>000123315</v>
      </c>
      <c r="B6671" t="str">
        <f>"1639107147"</f>
        <v>1639107147</v>
      </c>
      <c r="C6671" t="str">
        <f>"2085R0202X"</f>
        <v>2085R0202X</v>
      </c>
      <c r="D6671" t="str">
        <f>"YOUNG                    RONALD       S           "</f>
        <v xml:space="preserve">YOUNG                    RONALD       S           </v>
      </c>
      <c r="E6671" t="str">
        <f>"HATTIESBURG               "</f>
        <v xml:space="preserve">HATTIESBURG               </v>
      </c>
      <c r="F6671" t="str">
        <f t="shared" si="220"/>
        <v>MS</v>
      </c>
    </row>
    <row r="6672" spans="1:6" x14ac:dyDescent="0.25">
      <c r="A6672" t="str">
        <f>"000123317"</f>
        <v>000123317</v>
      </c>
      <c r="B6672" t="str">
        <f>"1174517007"</f>
        <v>1174517007</v>
      </c>
      <c r="C6672" t="str">
        <f>"207P00000X"</f>
        <v>207P00000X</v>
      </c>
      <c r="D6672" t="str">
        <f>"ROBERTS                  MELISSA      B           "</f>
        <v xml:space="preserve">ROBERTS                  MELISSA      B           </v>
      </c>
      <c r="E6672" t="str">
        <f>"LUCEDALE                  "</f>
        <v xml:space="preserve">LUCEDALE                  </v>
      </c>
      <c r="F6672" t="str">
        <f t="shared" si="220"/>
        <v>MS</v>
      </c>
    </row>
    <row r="6673" spans="1:6" x14ac:dyDescent="0.25">
      <c r="A6673" t="str">
        <f>"000123404"</f>
        <v>000123404</v>
      </c>
      <c r="B6673" t="str">
        <f>"1669507943"</f>
        <v>1669507943</v>
      </c>
      <c r="C6673" t="str">
        <f>"207LP2900X"</f>
        <v>207LP2900X</v>
      </c>
      <c r="D6673" t="str">
        <f>"VANCE                    LEONEL       K           "</f>
        <v xml:space="preserve">VANCE                    LEONEL       K           </v>
      </c>
      <c r="E6673" t="str">
        <f>"MADISON                   "</f>
        <v xml:space="preserve">MADISON                   </v>
      </c>
      <c r="F6673" t="str">
        <f t="shared" si="220"/>
        <v>MS</v>
      </c>
    </row>
    <row r="6674" spans="1:6" x14ac:dyDescent="0.25">
      <c r="A6674" t="str">
        <f>"000123412"</f>
        <v>000123412</v>
      </c>
      <c r="B6674" t="str">
        <f>"1679507024"</f>
        <v>1679507024</v>
      </c>
      <c r="C6674" t="str">
        <f>"207Q00000X"</f>
        <v>207Q00000X</v>
      </c>
      <c r="D6674" t="str">
        <f>"RAHMAN                   NAIM         U           "</f>
        <v xml:space="preserve">RAHMAN                   NAIM         U           </v>
      </c>
      <c r="E6674" t="str">
        <f>"MACON                     "</f>
        <v xml:space="preserve">MACON                     </v>
      </c>
      <c r="F6674" t="str">
        <f t="shared" si="220"/>
        <v>MS</v>
      </c>
    </row>
    <row r="6675" spans="1:6" x14ac:dyDescent="0.25">
      <c r="A6675" t="str">
        <f>"000123423"</f>
        <v>000123423</v>
      </c>
      <c r="B6675" t="str">
        <f>"1700978889"</f>
        <v>1700978889</v>
      </c>
      <c r="C6675" t="str">
        <f>"207Q00000X"</f>
        <v>207Q00000X</v>
      </c>
      <c r="D6675" t="str">
        <f>"PRUITT                   CHARLES                  "</f>
        <v xml:space="preserve">PRUITT                   CHARLES                  </v>
      </c>
      <c r="E6675" t="str">
        <f>"MAGEE                     "</f>
        <v xml:space="preserve">MAGEE                     </v>
      </c>
      <c r="F6675" t="str">
        <f t="shared" si="220"/>
        <v>MS</v>
      </c>
    </row>
    <row r="6676" spans="1:6" x14ac:dyDescent="0.25">
      <c r="A6676" t="str">
        <f>"000123437"</f>
        <v>000123437</v>
      </c>
      <c r="B6676" t="str">
        <f>"1710983150"</f>
        <v>1710983150</v>
      </c>
      <c r="C6676" t="str">
        <f>"2084P0800X"</f>
        <v>2084P0800X</v>
      </c>
      <c r="D6676" t="str">
        <f>"HASHMAT                  AAMIR                    "</f>
        <v xml:space="preserve">HASHMAT                  AAMIR                    </v>
      </c>
      <c r="E6676" t="str">
        <f>"MERIDIAN                  "</f>
        <v xml:space="preserve">MERIDIAN                  </v>
      </c>
      <c r="F6676" t="str">
        <f t="shared" si="220"/>
        <v>MS</v>
      </c>
    </row>
    <row r="6677" spans="1:6" x14ac:dyDescent="0.25">
      <c r="A6677" t="str">
        <f>"000123444"</f>
        <v>000123444</v>
      </c>
      <c r="B6677" t="str">
        <f>"1184623886"</f>
        <v>1184623886</v>
      </c>
      <c r="C6677" t="str">
        <f>"207RX0202X"</f>
        <v>207RX0202X</v>
      </c>
      <c r="D6677" t="str">
        <f>"RODRIGUEZ                JACK         J           "</f>
        <v xml:space="preserve">RODRIGUEZ                JACK         J           </v>
      </c>
      <c r="E6677" t="str">
        <f>"NATCHEZ                   "</f>
        <v xml:space="preserve">NATCHEZ                   </v>
      </c>
      <c r="F6677" t="str">
        <f t="shared" si="220"/>
        <v>MS</v>
      </c>
    </row>
    <row r="6678" spans="1:6" x14ac:dyDescent="0.25">
      <c r="A6678" t="str">
        <f>"000123451"</f>
        <v>000123451</v>
      </c>
      <c r="B6678" t="str">
        <f>"1881651131"</f>
        <v>1881651131</v>
      </c>
      <c r="C6678" t="str">
        <f>"207Q00000X"</f>
        <v>207Q00000X</v>
      </c>
      <c r="D6678" t="str">
        <f>"RUNNELS SR               RUDOLPH      S           "</f>
        <v xml:space="preserve">RUNNELS SR               RUDOLPH      S           </v>
      </c>
      <c r="E6678" t="str">
        <f>"MAGEE                     "</f>
        <v xml:space="preserve">MAGEE                     </v>
      </c>
      <c r="F6678" t="str">
        <f t="shared" si="220"/>
        <v>MS</v>
      </c>
    </row>
    <row r="6679" spans="1:6" x14ac:dyDescent="0.25">
      <c r="A6679" t="str">
        <f>"000123452"</f>
        <v>000123452</v>
      </c>
      <c r="B6679" t="str">
        <f>"1619934940"</f>
        <v>1619934940</v>
      </c>
      <c r="C6679" t="str">
        <f>"207Q00000X"</f>
        <v>207Q00000X</v>
      </c>
      <c r="D6679" t="str">
        <f>"WADE JR                  FRANK        C           "</f>
        <v xml:space="preserve">WADE JR                  FRANK        C           </v>
      </c>
      <c r="E6679" t="str">
        <f>"MAGEE                     "</f>
        <v xml:space="preserve">MAGEE                     </v>
      </c>
      <c r="F6679" t="str">
        <f t="shared" si="220"/>
        <v>MS</v>
      </c>
    </row>
    <row r="6680" spans="1:6" x14ac:dyDescent="0.25">
      <c r="A6680" t="str">
        <f>"000123454"</f>
        <v>000123454</v>
      </c>
      <c r="B6680" t="str">
        <f>"1215913074"</f>
        <v>1215913074</v>
      </c>
      <c r="C6680" t="str">
        <f>"363L00000X"</f>
        <v>363L00000X</v>
      </c>
      <c r="D6680" t="str">
        <f>"RUSHING                  CYNTHIA      J           "</f>
        <v xml:space="preserve">RUSHING                  CYNTHIA      J           </v>
      </c>
      <c r="E6680" t="str">
        <f>"LOUISVILLE                "</f>
        <v xml:space="preserve">LOUISVILLE                </v>
      </c>
      <c r="F6680" t="str">
        <f t="shared" si="220"/>
        <v>MS</v>
      </c>
    </row>
    <row r="6681" spans="1:6" x14ac:dyDescent="0.25">
      <c r="A6681" t="str">
        <f>"000123456"</f>
        <v>000123456</v>
      </c>
      <c r="B6681" t="str">
        <f>"1669490736"</f>
        <v>1669490736</v>
      </c>
      <c r="C6681" t="str">
        <f>"207X00000X"</f>
        <v>207X00000X</v>
      </c>
      <c r="D6681" t="str">
        <f>"HUDSON                   JIM          K           "</f>
        <v xml:space="preserve">HUDSON                   JIM          K           </v>
      </c>
      <c r="E6681" t="str">
        <f>"SOUTHAVEN                 "</f>
        <v xml:space="preserve">SOUTHAVEN                 </v>
      </c>
      <c r="F6681" t="str">
        <f t="shared" si="220"/>
        <v>MS</v>
      </c>
    </row>
    <row r="6682" spans="1:6" x14ac:dyDescent="0.25">
      <c r="A6682" t="str">
        <f>"000123534"</f>
        <v>000123534</v>
      </c>
      <c r="B6682" t="str">
        <f>"1528060522"</f>
        <v>1528060522</v>
      </c>
      <c r="C6682" t="str">
        <f>"207ZP0105X"</f>
        <v>207ZP0105X</v>
      </c>
      <c r="D6682" t="str">
        <f>"DEAN                     ROBERT       L           "</f>
        <v xml:space="preserve">DEAN                     ROBERT       L           </v>
      </c>
      <c r="E6682" t="str">
        <f>"MERIDIAN                  "</f>
        <v xml:space="preserve">MERIDIAN                  </v>
      </c>
      <c r="F6682" t="str">
        <f t="shared" si="220"/>
        <v>MS</v>
      </c>
    </row>
    <row r="6683" spans="1:6" x14ac:dyDescent="0.25">
      <c r="A6683" t="str">
        <f>"000123546"</f>
        <v>000123546</v>
      </c>
      <c r="B6683" t="str">
        <f>"1306869102"</f>
        <v>1306869102</v>
      </c>
      <c r="C6683" t="str">
        <f>"207Q00000X"</f>
        <v>207Q00000X</v>
      </c>
      <c r="D6683" t="str">
        <f>"CAIN                     KENNETH      B           "</f>
        <v xml:space="preserve">CAIN                     KENNETH      B           </v>
      </c>
      <c r="E6683" t="str">
        <f>"LAUREL                    "</f>
        <v xml:space="preserve">LAUREL                    </v>
      </c>
      <c r="F6683" t="str">
        <f t="shared" si="220"/>
        <v>MS</v>
      </c>
    </row>
    <row r="6684" spans="1:6" x14ac:dyDescent="0.25">
      <c r="A6684" t="str">
        <f>"000123548"</f>
        <v>000123548</v>
      </c>
      <c r="B6684" t="str">
        <f>"1427189224"</f>
        <v>1427189224</v>
      </c>
      <c r="C6684" t="str">
        <f>"204E00000X"</f>
        <v>204E00000X</v>
      </c>
      <c r="D6684" t="str">
        <f>"NICHOLS                  MICHAEL      R           "</f>
        <v xml:space="preserve">NICHOLS                  MICHAEL      R           </v>
      </c>
      <c r="E6684" t="str">
        <f>"FLOWOOD                   "</f>
        <v xml:space="preserve">FLOWOOD                   </v>
      </c>
      <c r="F6684" t="str">
        <f t="shared" si="220"/>
        <v>MS</v>
      </c>
    </row>
    <row r="6685" spans="1:6" x14ac:dyDescent="0.25">
      <c r="A6685" t="str">
        <f>"000123556"</f>
        <v>000123556</v>
      </c>
      <c r="B6685" t="str">
        <f>"1518944560"</f>
        <v>1518944560</v>
      </c>
      <c r="C6685" t="str">
        <f>"363L00000X"</f>
        <v>363L00000X</v>
      </c>
      <c r="D6685" t="str">
        <f>"CLEARMAN                 SELENA       B           "</f>
        <v xml:space="preserve">CLEARMAN                 SELENA       B           </v>
      </c>
      <c r="E6685" t="str">
        <f>"HATTIESBURG               "</f>
        <v xml:space="preserve">HATTIESBURG               </v>
      </c>
      <c r="F6685" t="str">
        <f t="shared" si="220"/>
        <v>MS</v>
      </c>
    </row>
    <row r="6686" spans="1:6" x14ac:dyDescent="0.25">
      <c r="A6686" t="str">
        <f>"000123562"</f>
        <v>000123562</v>
      </c>
      <c r="B6686" t="str">
        <f>"1538169503"</f>
        <v>1538169503</v>
      </c>
      <c r="C6686" t="str">
        <f>"2086S0129X"</f>
        <v>2086S0129X</v>
      </c>
      <c r="D6686" t="str">
        <f>"SACHDEV                  VISHAL                   "</f>
        <v xml:space="preserve">SACHDEV                  VISHAL                   </v>
      </c>
      <c r="E6686" t="str">
        <f>"TUPELO                    "</f>
        <v xml:space="preserve">TUPELO                    </v>
      </c>
      <c r="F6686" t="str">
        <f t="shared" si="220"/>
        <v>MS</v>
      </c>
    </row>
    <row r="6687" spans="1:6" x14ac:dyDescent="0.25">
      <c r="A6687" t="str">
        <f>"000123578"</f>
        <v>000123578</v>
      </c>
      <c r="B6687" t="str">
        <f>"1225242100"</f>
        <v>1225242100</v>
      </c>
      <c r="C6687" t="str">
        <f>"363L00000X"</f>
        <v>363L00000X</v>
      </c>
      <c r="D6687" t="str">
        <f>"BECKUM                   MICHAEL      T           "</f>
        <v xml:space="preserve">BECKUM                   MICHAEL      T           </v>
      </c>
      <c r="E6687" t="str">
        <f>"GRENADA                   "</f>
        <v xml:space="preserve">GRENADA                   </v>
      </c>
      <c r="F6687" t="str">
        <f t="shared" si="220"/>
        <v>MS</v>
      </c>
    </row>
    <row r="6688" spans="1:6" x14ac:dyDescent="0.25">
      <c r="A6688" t="str">
        <f>"000123588"</f>
        <v>000123588</v>
      </c>
      <c r="B6688" t="str">
        <f>"1629026596"</f>
        <v>1629026596</v>
      </c>
      <c r="C6688" t="str">
        <f>"207P00000X"</f>
        <v>207P00000X</v>
      </c>
      <c r="D6688" t="str">
        <f>"KELLY                    THOMAS       J           "</f>
        <v xml:space="preserve">KELLY                    THOMAS       J           </v>
      </c>
      <c r="E6688" t="str">
        <f>"BRANDON                   "</f>
        <v xml:space="preserve">BRANDON                   </v>
      </c>
      <c r="F6688" t="str">
        <f t="shared" si="220"/>
        <v>MS</v>
      </c>
    </row>
    <row r="6689" spans="1:6" x14ac:dyDescent="0.25">
      <c r="A6689" t="str">
        <f>"000123600"</f>
        <v>000123600</v>
      </c>
      <c r="B6689" t="str">
        <f>"1649206392"</f>
        <v>1649206392</v>
      </c>
      <c r="C6689" t="str">
        <f>"207Y00000X"</f>
        <v>207Y00000X</v>
      </c>
      <c r="D6689" t="str">
        <f>"PISCIOTTA                VINCENT                  "</f>
        <v xml:space="preserve">PISCIOTTA                VINCENT                  </v>
      </c>
      <c r="E6689" t="str">
        <f>"BILOXI                    "</f>
        <v xml:space="preserve">BILOXI                    </v>
      </c>
      <c r="F6689" t="str">
        <f t="shared" si="220"/>
        <v>MS</v>
      </c>
    </row>
    <row r="6690" spans="1:6" x14ac:dyDescent="0.25">
      <c r="A6690" t="str">
        <f>"000123601"</f>
        <v>000123601</v>
      </c>
      <c r="B6690" t="str">
        <f>"1407884356"</f>
        <v>1407884356</v>
      </c>
      <c r="C6690" t="str">
        <f>"363L00000X"</f>
        <v>363L00000X</v>
      </c>
      <c r="D6690" t="str">
        <f>"GRAHAM                   ANGELA       M           "</f>
        <v xml:space="preserve">GRAHAM                   ANGELA       M           </v>
      </c>
      <c r="E6690" t="str">
        <f>"CARTHAGE                  "</f>
        <v xml:space="preserve">CARTHAGE                  </v>
      </c>
      <c r="F6690" t="str">
        <f t="shared" si="220"/>
        <v>MS</v>
      </c>
    </row>
    <row r="6691" spans="1:6" x14ac:dyDescent="0.25">
      <c r="A6691" t="str">
        <f>"000123624"</f>
        <v>000123624</v>
      </c>
      <c r="B6691" t="str">
        <f>"1043267008"</f>
        <v>1043267008</v>
      </c>
      <c r="C6691" t="str">
        <f>"2084P0800X"</f>
        <v>2084P0800X</v>
      </c>
      <c r="D6691" t="str">
        <f>"KUTNER                   RICHARD      F           "</f>
        <v xml:space="preserve">KUTNER                   RICHARD      F           </v>
      </c>
      <c r="E6691" t="str">
        <f>"GULFPORT                  "</f>
        <v xml:space="preserve">GULFPORT                  </v>
      </c>
      <c r="F6691" t="str">
        <f t="shared" si="220"/>
        <v>MS</v>
      </c>
    </row>
    <row r="6692" spans="1:6" x14ac:dyDescent="0.25">
      <c r="A6692" t="str">
        <f>"000123629"</f>
        <v>000123629</v>
      </c>
      <c r="B6692" t="str">
        <f>"1801826474"</f>
        <v>1801826474</v>
      </c>
      <c r="C6692" t="str">
        <f>"2085R0202X"</f>
        <v>2085R0202X</v>
      </c>
      <c r="D6692" t="str">
        <f>"KEELER                   SCOTT        A           "</f>
        <v xml:space="preserve">KEELER                   SCOTT        A           </v>
      </c>
      <c r="E6692" t="str">
        <f>"HATTIESBURG               "</f>
        <v xml:space="preserve">HATTIESBURG               </v>
      </c>
      <c r="F6692" t="str">
        <f t="shared" si="220"/>
        <v>MS</v>
      </c>
    </row>
    <row r="6693" spans="1:6" x14ac:dyDescent="0.25">
      <c r="A6693" t="str">
        <f>"000123643"</f>
        <v>000123643</v>
      </c>
      <c r="B6693" t="str">
        <f>"1659306124"</f>
        <v>1659306124</v>
      </c>
      <c r="C6693" t="str">
        <f>"207RS0010X"</f>
        <v>207RS0010X</v>
      </c>
      <c r="D6693" t="str">
        <f>"PILLOW                   WILLIAM      P           "</f>
        <v xml:space="preserve">PILLOW                   WILLIAM      P           </v>
      </c>
      <c r="E6693" t="str">
        <f>"TUPELO                    "</f>
        <v xml:space="preserve">TUPELO                    </v>
      </c>
      <c r="F6693" t="str">
        <f t="shared" si="220"/>
        <v>MS</v>
      </c>
    </row>
    <row r="6694" spans="1:6" x14ac:dyDescent="0.25">
      <c r="A6694" t="str">
        <f>"000123644"</f>
        <v>000123644</v>
      </c>
      <c r="B6694" t="str">
        <f>"1912979592"</f>
        <v>1912979592</v>
      </c>
      <c r="C6694" t="str">
        <f>"207K00000X"</f>
        <v>207K00000X</v>
      </c>
      <c r="D6694" t="str">
        <f>"KITCHENS                 BEN          E           "</f>
        <v xml:space="preserve">KITCHENS                 BEN          E           </v>
      </c>
      <c r="E6694" t="str">
        <f>"IUKA                      "</f>
        <v xml:space="preserve">IUKA                      </v>
      </c>
      <c r="F6694" t="str">
        <f t="shared" si="220"/>
        <v>MS</v>
      </c>
    </row>
    <row r="6695" spans="1:6" x14ac:dyDescent="0.25">
      <c r="A6695" t="str">
        <f>"000123654"</f>
        <v>000123654</v>
      </c>
      <c r="B6695" t="str">
        <f>"1114923547"</f>
        <v>1114923547</v>
      </c>
      <c r="C6695" t="str">
        <f>"207RG0100X"</f>
        <v>207RG0100X</v>
      </c>
      <c r="D6695" t="str">
        <f>"THAGGARD                 WILLIAM      G           "</f>
        <v xml:space="preserve">THAGGARD                 WILLIAM      G           </v>
      </c>
      <c r="E6695" t="str">
        <f>"MERIDIAN                  "</f>
        <v xml:space="preserve">MERIDIAN                  </v>
      </c>
      <c r="F6695" t="str">
        <f t="shared" si="220"/>
        <v>MS</v>
      </c>
    </row>
    <row r="6696" spans="1:6" x14ac:dyDescent="0.25">
      <c r="A6696" t="str">
        <f>"000123655"</f>
        <v>000123655</v>
      </c>
      <c r="B6696" t="str">
        <f>"1245232495"</f>
        <v>1245232495</v>
      </c>
      <c r="C6696" t="str">
        <f>"207Q00000X"</f>
        <v>207Q00000X</v>
      </c>
      <c r="D6696" t="str">
        <f>"HARMAN                   FRANCIS      E           "</f>
        <v xml:space="preserve">HARMAN                   FRANCIS      E           </v>
      </c>
      <c r="E6696" t="str">
        <f>"MERIDIAN                  "</f>
        <v xml:space="preserve">MERIDIAN                  </v>
      </c>
      <c r="F6696" t="str">
        <f t="shared" si="220"/>
        <v>MS</v>
      </c>
    </row>
    <row r="6697" spans="1:6" x14ac:dyDescent="0.25">
      <c r="A6697" t="str">
        <f>"000123656"</f>
        <v>000123656</v>
      </c>
      <c r="B6697" t="str">
        <f>"1255336749"</f>
        <v>1255336749</v>
      </c>
      <c r="C6697" t="str">
        <f>"207Q00000X"</f>
        <v>207Q00000X</v>
      </c>
      <c r="D6697" t="str">
        <f>"FRENCH                   TERRY        M           "</f>
        <v xml:space="preserve">FRENCH                   TERRY        M           </v>
      </c>
      <c r="E6697" t="str">
        <f>"MERIDIAN                  "</f>
        <v xml:space="preserve">MERIDIAN                  </v>
      </c>
      <c r="F6697" t="str">
        <f t="shared" si="220"/>
        <v>MS</v>
      </c>
    </row>
    <row r="6698" spans="1:6" x14ac:dyDescent="0.25">
      <c r="A6698" t="str">
        <f>"000123657"</f>
        <v>000123657</v>
      </c>
      <c r="B6698" t="str">
        <f>"1851396337"</f>
        <v>1851396337</v>
      </c>
      <c r="C6698" t="str">
        <f>"207Q00000X"</f>
        <v>207Q00000X</v>
      </c>
      <c r="D6698" t="str">
        <f>"DARSEY                   KENT         A           "</f>
        <v xml:space="preserve">DARSEY                   KENT         A           </v>
      </c>
      <c r="E6698" t="str">
        <f>"MERIDIAN                  "</f>
        <v xml:space="preserve">MERIDIAN                  </v>
      </c>
      <c r="F6698" t="str">
        <f t="shared" si="220"/>
        <v>MS</v>
      </c>
    </row>
    <row r="6699" spans="1:6" x14ac:dyDescent="0.25">
      <c r="A6699" t="str">
        <f>"000123697"</f>
        <v>000123697</v>
      </c>
      <c r="B6699" t="str">
        <f>"1952330417"</f>
        <v>1952330417</v>
      </c>
      <c r="C6699" t="str">
        <f>"207Y00000X"</f>
        <v>207Y00000X</v>
      </c>
      <c r="D6699" t="str">
        <f>"BRATTON                  CLAY R                   "</f>
        <v xml:space="preserve">BRATTON                  CLAY R                   </v>
      </c>
      <c r="E6699" t="str">
        <f>"BILOXI                    "</f>
        <v xml:space="preserve">BILOXI                    </v>
      </c>
      <c r="F6699" t="str">
        <f t="shared" si="220"/>
        <v>MS</v>
      </c>
    </row>
    <row r="6700" spans="1:6" x14ac:dyDescent="0.25">
      <c r="A6700" t="str">
        <f>"000123750"</f>
        <v>000123750</v>
      </c>
      <c r="B6700" t="str">
        <f>"1467435263"</f>
        <v>1467435263</v>
      </c>
      <c r="C6700" t="str">
        <f>"207X00000X"</f>
        <v>207X00000X</v>
      </c>
      <c r="D6700" t="str">
        <f>"WATSON                   JAMES        R           "</f>
        <v xml:space="preserve">WATSON                   JAMES        R           </v>
      </c>
      <c r="E6700" t="str">
        <f>"MERIDIAN                  "</f>
        <v xml:space="preserve">MERIDIAN                  </v>
      </c>
      <c r="F6700" t="str">
        <f t="shared" si="220"/>
        <v>MS</v>
      </c>
    </row>
    <row r="6701" spans="1:6" x14ac:dyDescent="0.25">
      <c r="A6701" t="str">
        <f>"000123762"</f>
        <v>000123762</v>
      </c>
      <c r="B6701" t="str">
        <f>"1447240494"</f>
        <v>1447240494</v>
      </c>
      <c r="C6701" t="str">
        <f>"207RG0100X"</f>
        <v>207RG0100X</v>
      </c>
      <c r="D6701" t="str">
        <f>"UNDERWOOD JR             JAMES        A           "</f>
        <v xml:space="preserve">UNDERWOOD JR             JAMES        A           </v>
      </c>
      <c r="E6701" t="str">
        <f>"FLOWOOD                   "</f>
        <v xml:space="preserve">FLOWOOD                   </v>
      </c>
      <c r="F6701" t="str">
        <f t="shared" si="220"/>
        <v>MS</v>
      </c>
    </row>
    <row r="6702" spans="1:6" x14ac:dyDescent="0.25">
      <c r="A6702" t="str">
        <f>"000123799"</f>
        <v>000123799</v>
      </c>
      <c r="B6702" t="str">
        <f>"1013939370"</f>
        <v>1013939370</v>
      </c>
      <c r="C6702" t="str">
        <f>"367500000X"</f>
        <v>367500000X</v>
      </c>
      <c r="D6702" t="str">
        <f>"JONES                    BRADLEY      W           "</f>
        <v xml:space="preserve">JONES                    BRADLEY      W           </v>
      </c>
      <c r="E6702" t="str">
        <f>"TUPELO                    "</f>
        <v xml:space="preserve">TUPELO                    </v>
      </c>
      <c r="F6702" t="str">
        <f t="shared" si="220"/>
        <v>MS</v>
      </c>
    </row>
    <row r="6703" spans="1:6" x14ac:dyDescent="0.25">
      <c r="A6703" t="str">
        <f>"000123814"</f>
        <v>000123814</v>
      </c>
      <c r="B6703" t="str">
        <f>"1558305722"</f>
        <v>1558305722</v>
      </c>
      <c r="C6703" t="str">
        <f>"207Q00000X"</f>
        <v>207Q00000X</v>
      </c>
      <c r="D6703" t="str">
        <f>"FRANK-TARSI              MARY ANNE                "</f>
        <v xml:space="preserve">FRANK-TARSI              MARY ANNE                </v>
      </c>
      <c r="E6703" t="str">
        <f>"GRENADA                   "</f>
        <v xml:space="preserve">GRENADA                   </v>
      </c>
      <c r="F6703" t="str">
        <f t="shared" si="220"/>
        <v>MS</v>
      </c>
    </row>
    <row r="6704" spans="1:6" x14ac:dyDescent="0.25">
      <c r="A6704" t="str">
        <f>"000123815"</f>
        <v>000123815</v>
      </c>
      <c r="B6704" t="str">
        <f>"1144230491"</f>
        <v>1144230491</v>
      </c>
      <c r="C6704" t="str">
        <f>"2084N0400X"</f>
        <v>2084N0400X</v>
      </c>
      <c r="D6704" t="str">
        <f>"FERNANDEZ                JOSE         P           "</f>
        <v xml:space="preserve">FERNANDEZ                JOSE         P           </v>
      </c>
      <c r="E6704" t="str">
        <f>"HATTIESBURG               "</f>
        <v xml:space="preserve">HATTIESBURG               </v>
      </c>
      <c r="F6704" t="str">
        <f t="shared" si="220"/>
        <v>MS</v>
      </c>
    </row>
    <row r="6705" spans="1:6" x14ac:dyDescent="0.25">
      <c r="A6705" t="str">
        <f>"000123829"</f>
        <v>000123829</v>
      </c>
      <c r="B6705" t="str">
        <f>"1336159607"</f>
        <v>1336159607</v>
      </c>
      <c r="C6705" t="str">
        <f>"207N00000X"</f>
        <v>207N00000X</v>
      </c>
      <c r="D6705" t="str">
        <f>"GALLARDO                 MARK         A           "</f>
        <v xml:space="preserve">GALLARDO                 MARK         A           </v>
      </c>
      <c r="E6705" t="str">
        <f>"HATTIESBURG               "</f>
        <v xml:space="preserve">HATTIESBURG               </v>
      </c>
      <c r="F6705" t="str">
        <f t="shared" si="220"/>
        <v>MS</v>
      </c>
    </row>
    <row r="6706" spans="1:6" x14ac:dyDescent="0.25">
      <c r="A6706" t="str">
        <f>"000123837"</f>
        <v>000123837</v>
      </c>
      <c r="B6706" t="str">
        <f>"1578599395"</f>
        <v>1578599395</v>
      </c>
      <c r="C6706" t="str">
        <f>"363L00000X"</f>
        <v>363L00000X</v>
      </c>
      <c r="D6706" t="str">
        <f>"CUMMINGS                 BETSY        J           "</f>
        <v xml:space="preserve">CUMMINGS                 BETSY        J           </v>
      </c>
      <c r="E6706" t="str">
        <f>"GREENVILLE                "</f>
        <v xml:space="preserve">GREENVILLE                </v>
      </c>
      <c r="F6706" t="str">
        <f t="shared" si="220"/>
        <v>MS</v>
      </c>
    </row>
    <row r="6707" spans="1:6" x14ac:dyDescent="0.25">
      <c r="A6707" t="str">
        <f>"000123842"</f>
        <v>000123842</v>
      </c>
      <c r="B6707" t="str">
        <f>"1134192594"</f>
        <v>1134192594</v>
      </c>
      <c r="C6707" t="str">
        <f>"207V00000X"</f>
        <v>207V00000X</v>
      </c>
      <c r="D6707" t="str">
        <f>"WISER                    ELDRED       J           "</f>
        <v xml:space="preserve">WISER                    ELDRED       J           </v>
      </c>
      <c r="E6707" t="str">
        <f>"HATTIESBURG               "</f>
        <v xml:space="preserve">HATTIESBURG               </v>
      </c>
      <c r="F6707" t="str">
        <f t="shared" si="220"/>
        <v>MS</v>
      </c>
    </row>
    <row r="6708" spans="1:6" x14ac:dyDescent="0.25">
      <c r="A6708" t="str">
        <f>"000123883"</f>
        <v>000123883</v>
      </c>
      <c r="B6708" t="str">
        <f>"1316048911"</f>
        <v>1316048911</v>
      </c>
      <c r="C6708" t="str">
        <f>"207T00000X"</f>
        <v>207T00000X</v>
      </c>
      <c r="D6708" t="str">
        <f>"LEE                      DAVID        C           "</f>
        <v xml:space="preserve">LEE                      DAVID        C           </v>
      </c>
      <c r="E6708" t="str">
        <f>"HATTIESBURG               "</f>
        <v xml:space="preserve">HATTIESBURG               </v>
      </c>
      <c r="F6708" t="str">
        <f t="shared" si="220"/>
        <v>MS</v>
      </c>
    </row>
    <row r="6709" spans="1:6" x14ac:dyDescent="0.25">
      <c r="A6709" t="str">
        <f>"000123887"</f>
        <v>000123887</v>
      </c>
      <c r="B6709" t="str">
        <f>"1962512525"</f>
        <v>1962512525</v>
      </c>
      <c r="C6709" t="str">
        <f>"207X00000X"</f>
        <v>207X00000X</v>
      </c>
      <c r="D6709" t="str">
        <f>"WHITEHEAD                RAYMOND                  "</f>
        <v xml:space="preserve">WHITEHEAD                RAYMOND                  </v>
      </c>
      <c r="E6709" t="str">
        <f>"HATTIESBURG               "</f>
        <v xml:space="preserve">HATTIESBURG               </v>
      </c>
      <c r="F6709" t="str">
        <f t="shared" si="220"/>
        <v>MS</v>
      </c>
    </row>
    <row r="6710" spans="1:6" x14ac:dyDescent="0.25">
      <c r="A6710" t="str">
        <f>"000123894"</f>
        <v>000123894</v>
      </c>
      <c r="B6710" t="str">
        <f>"1447210901"</f>
        <v>1447210901</v>
      </c>
      <c r="C6710" t="str">
        <f>"207X00000X"</f>
        <v>207X00000X</v>
      </c>
      <c r="D6710" t="str">
        <f>"BENNETT                  JOSEPH       S           "</f>
        <v xml:space="preserve">BENNETT                  JOSEPH       S           </v>
      </c>
      <c r="E6710" t="str">
        <f>"GREENWOOD                 "</f>
        <v xml:space="preserve">GREENWOOD                 </v>
      </c>
      <c r="F6710" t="str">
        <f t="shared" si="220"/>
        <v>MS</v>
      </c>
    </row>
    <row r="6711" spans="1:6" x14ac:dyDescent="0.25">
      <c r="A6711" t="str">
        <f>"000123912"</f>
        <v>000123912</v>
      </c>
      <c r="B6711" t="str">
        <f>"1144241910"</f>
        <v>1144241910</v>
      </c>
      <c r="C6711" t="str">
        <f>"363L00000X"</f>
        <v>363L00000X</v>
      </c>
      <c r="D6711" t="str">
        <f>"PARISH                   ANGIE        D           "</f>
        <v xml:space="preserve">PARISH                   ANGIE        D           </v>
      </c>
      <c r="E6711" t="str">
        <f>"CLEVELAND                 "</f>
        <v xml:space="preserve">CLEVELAND                 </v>
      </c>
      <c r="F6711" t="str">
        <f t="shared" si="220"/>
        <v>MS</v>
      </c>
    </row>
    <row r="6712" spans="1:6" x14ac:dyDescent="0.25">
      <c r="A6712" t="str">
        <f>"000123917"</f>
        <v>000123917</v>
      </c>
      <c r="B6712" t="str">
        <f>"1922147123"</f>
        <v>1922147123</v>
      </c>
      <c r="C6712" t="str">
        <f>"363L00000X"</f>
        <v>363L00000X</v>
      </c>
      <c r="D6712" t="str">
        <f>"CURRIE                   LYNNE        C           "</f>
        <v xml:space="preserve">CURRIE                   LYNNE        C           </v>
      </c>
      <c r="E6712" t="str">
        <f>"JACKSON                   "</f>
        <v xml:space="preserve">JACKSON                   </v>
      </c>
      <c r="F6712" t="str">
        <f t="shared" si="220"/>
        <v>MS</v>
      </c>
    </row>
    <row r="6713" spans="1:6" x14ac:dyDescent="0.25">
      <c r="A6713" t="str">
        <f>"000123919"</f>
        <v>000123919</v>
      </c>
      <c r="B6713" t="str">
        <f>"1861498024"</f>
        <v>1861498024</v>
      </c>
      <c r="C6713" t="str">
        <f>"207V00000X"</f>
        <v>207V00000X</v>
      </c>
      <c r="D6713" t="str">
        <f>"MITCHELL                 GREGORY      E           "</f>
        <v xml:space="preserve">MITCHELL                 GREGORY      E           </v>
      </c>
      <c r="E6713" t="str">
        <f>"NEW ALBANY                "</f>
        <v xml:space="preserve">NEW ALBANY                </v>
      </c>
      <c r="F6713" t="str">
        <f t="shared" si="220"/>
        <v>MS</v>
      </c>
    </row>
    <row r="6714" spans="1:6" x14ac:dyDescent="0.25">
      <c r="A6714" t="str">
        <f>"000123921"</f>
        <v>000123921</v>
      </c>
      <c r="B6714" t="str">
        <f>"1992881882"</f>
        <v>1992881882</v>
      </c>
      <c r="C6714" t="str">
        <f>"363L00000X"</f>
        <v>363L00000X</v>
      </c>
      <c r="D6714" t="str">
        <f>"GRECO                    BETHANY                  "</f>
        <v xml:space="preserve">GRECO                    BETHANY                  </v>
      </c>
      <c r="E6714" t="str">
        <f>"RULEVILLE                 "</f>
        <v xml:space="preserve">RULEVILLE                 </v>
      </c>
      <c r="F6714" t="str">
        <f t="shared" si="220"/>
        <v>MS</v>
      </c>
    </row>
    <row r="6715" spans="1:6" x14ac:dyDescent="0.25">
      <c r="A6715" t="str">
        <f>"000123944"</f>
        <v>000123944</v>
      </c>
      <c r="B6715" t="str">
        <f>"1164466082"</f>
        <v>1164466082</v>
      </c>
      <c r="C6715" t="str">
        <f>"207RC0000X"</f>
        <v>207RC0000X</v>
      </c>
      <c r="D6715" t="str">
        <f>"COTTEN                   VERNON       R           "</f>
        <v xml:space="preserve">COTTEN                   VERNON       R           </v>
      </c>
      <c r="E6715" t="str">
        <f>"JACKSON                   "</f>
        <v xml:space="preserve">JACKSON                   </v>
      </c>
      <c r="F6715" t="str">
        <f t="shared" si="220"/>
        <v>MS</v>
      </c>
    </row>
    <row r="6716" spans="1:6" x14ac:dyDescent="0.25">
      <c r="A6716" t="str">
        <f>"000123983"</f>
        <v>000123983</v>
      </c>
      <c r="B6716" t="str">
        <f>"1144337155"</f>
        <v>1144337155</v>
      </c>
      <c r="C6716" t="str">
        <f>"208000000X"</f>
        <v>208000000X</v>
      </c>
      <c r="D6716" t="str">
        <f>"KRASIN                   AUDREY       L           "</f>
        <v xml:space="preserve">KRASIN                   AUDREY       L           </v>
      </c>
      <c r="E6716" t="str">
        <f>"SENATOBIA                 "</f>
        <v xml:space="preserve">SENATOBIA                 </v>
      </c>
      <c r="F6716" t="str">
        <f t="shared" si="220"/>
        <v>MS</v>
      </c>
    </row>
    <row r="6717" spans="1:6" x14ac:dyDescent="0.25">
      <c r="A6717" t="str">
        <f>"000123984"</f>
        <v>000123984</v>
      </c>
      <c r="B6717" t="str">
        <f>"1124094453"</f>
        <v>1124094453</v>
      </c>
      <c r="C6717" t="str">
        <f>"207R00000X"</f>
        <v>207R00000X</v>
      </c>
      <c r="D6717" t="str">
        <f>"HARKINS                  DENISE       L           "</f>
        <v xml:space="preserve">HARKINS                  DENISE       L           </v>
      </c>
      <c r="E6717" t="str">
        <f>"JACKSON                   "</f>
        <v xml:space="preserve">JACKSON                   </v>
      </c>
      <c r="F6717" t="str">
        <f t="shared" si="220"/>
        <v>MS</v>
      </c>
    </row>
    <row r="6718" spans="1:6" x14ac:dyDescent="0.25">
      <c r="A6718" t="str">
        <f>"000124008"</f>
        <v>000124008</v>
      </c>
      <c r="B6718" t="str">
        <f>"1730182007"</f>
        <v>1730182007</v>
      </c>
      <c r="C6718" t="str">
        <f>"207X00000X"</f>
        <v>207X00000X</v>
      </c>
      <c r="D6718" t="str">
        <f>"DURGIN JR                HARRY        W           "</f>
        <v xml:space="preserve">DURGIN JR                HARRY        W           </v>
      </c>
      <c r="E6718" t="str">
        <f>"COLUMBUS                  "</f>
        <v xml:space="preserve">COLUMBUS                  </v>
      </c>
      <c r="F6718" t="str">
        <f t="shared" ref="F6718:F6781" si="221">"MS"</f>
        <v>MS</v>
      </c>
    </row>
    <row r="6719" spans="1:6" x14ac:dyDescent="0.25">
      <c r="A6719" t="str">
        <f>"000124013"</f>
        <v>000124013</v>
      </c>
      <c r="B6719" t="str">
        <f>"1710984539"</f>
        <v>1710984539</v>
      </c>
      <c r="C6719" t="str">
        <f>"207R00000X"</f>
        <v>207R00000X</v>
      </c>
      <c r="D6719" t="str">
        <f>"MORRISON                 GERALYNN     G           "</f>
        <v xml:space="preserve">MORRISON                 GERALYNN     G           </v>
      </c>
      <c r="E6719" t="str">
        <f>"HATTIESBURG               "</f>
        <v xml:space="preserve">HATTIESBURG               </v>
      </c>
      <c r="F6719" t="str">
        <f t="shared" si="221"/>
        <v>MS</v>
      </c>
    </row>
    <row r="6720" spans="1:6" x14ac:dyDescent="0.25">
      <c r="A6720" t="str">
        <f>"000124038"</f>
        <v>000124038</v>
      </c>
      <c r="B6720" t="str">
        <f>"1861474827"</f>
        <v>1861474827</v>
      </c>
      <c r="C6720" t="str">
        <f>"207R00000X"</f>
        <v>207R00000X</v>
      </c>
      <c r="D6720" t="str">
        <f>"DYKES                    PAUL         G           "</f>
        <v xml:space="preserve">DYKES                    PAUL         G           </v>
      </c>
      <c r="E6720" t="str">
        <f>"BROOKHAVEN                "</f>
        <v xml:space="preserve">BROOKHAVEN                </v>
      </c>
      <c r="F6720" t="str">
        <f t="shared" si="221"/>
        <v>MS</v>
      </c>
    </row>
    <row r="6721" spans="1:6" x14ac:dyDescent="0.25">
      <c r="A6721" t="str">
        <f>"000124046"</f>
        <v>000124046</v>
      </c>
      <c r="B6721" t="str">
        <f>"1841284478"</f>
        <v>1841284478</v>
      </c>
      <c r="C6721" t="str">
        <f>"207Q00000X"</f>
        <v>207Q00000X</v>
      </c>
      <c r="D6721" t="str">
        <f>"RICKS                    JANET        L           "</f>
        <v xml:space="preserve">RICKS                    JANET        L           </v>
      </c>
      <c r="E6721" t="str">
        <f>"JACKSON                   "</f>
        <v xml:space="preserve">JACKSON                   </v>
      </c>
      <c r="F6721" t="str">
        <f t="shared" si="221"/>
        <v>MS</v>
      </c>
    </row>
    <row r="6722" spans="1:6" x14ac:dyDescent="0.25">
      <c r="A6722" t="str">
        <f>"000124064"</f>
        <v>000124064</v>
      </c>
      <c r="B6722" t="str">
        <f>"1831193440"</f>
        <v>1831193440</v>
      </c>
      <c r="C6722" t="str">
        <f>"363L00000X"</f>
        <v>363L00000X</v>
      </c>
      <c r="D6722" t="str">
        <f>"GOLDEN-SIMMONS           ANITA                    "</f>
        <v xml:space="preserve">GOLDEN-SIMMONS           ANITA                    </v>
      </c>
      <c r="E6722" t="str">
        <f>"SENATOBIA                 "</f>
        <v xml:space="preserve">SENATOBIA                 </v>
      </c>
      <c r="F6722" t="str">
        <f t="shared" si="221"/>
        <v>MS</v>
      </c>
    </row>
    <row r="6723" spans="1:6" x14ac:dyDescent="0.25">
      <c r="A6723" t="str">
        <f>"000124066"</f>
        <v>000124066</v>
      </c>
      <c r="B6723" t="str">
        <f>"1336126911"</f>
        <v>1336126911</v>
      </c>
      <c r="C6723" t="str">
        <f>"207RN0300X"</f>
        <v>207RN0300X</v>
      </c>
      <c r="D6723" t="str">
        <f>"ANDY                     JOHN         C           "</f>
        <v xml:space="preserve">ANDY                     JOHN         C           </v>
      </c>
      <c r="E6723" t="str">
        <f>"MERIDIAN                  "</f>
        <v xml:space="preserve">MERIDIAN                  </v>
      </c>
      <c r="F6723" t="str">
        <f t="shared" si="221"/>
        <v>MS</v>
      </c>
    </row>
    <row r="6724" spans="1:6" x14ac:dyDescent="0.25">
      <c r="A6724" t="str">
        <f>"000124068"</f>
        <v>000124068</v>
      </c>
      <c r="B6724" t="str">
        <f>"1407833221"</f>
        <v>1407833221</v>
      </c>
      <c r="C6724" t="str">
        <f>"363L00000X"</f>
        <v>363L00000X</v>
      </c>
      <c r="D6724" t="str">
        <f>"PORTER                   WANDERFUL    E           "</f>
        <v xml:space="preserve">PORTER                   WANDERFUL    E           </v>
      </c>
      <c r="E6724" t="str">
        <f>"TUPELO                    "</f>
        <v xml:space="preserve">TUPELO                    </v>
      </c>
      <c r="F6724" t="str">
        <f t="shared" si="221"/>
        <v>MS</v>
      </c>
    </row>
    <row r="6725" spans="1:6" x14ac:dyDescent="0.25">
      <c r="A6725" t="str">
        <f>"000124069"</f>
        <v>000124069</v>
      </c>
      <c r="B6725" t="str">
        <f>"1487640108"</f>
        <v>1487640108</v>
      </c>
      <c r="C6725" t="str">
        <f>"207X00000X"</f>
        <v>207X00000X</v>
      </c>
      <c r="D6725" t="str">
        <f>"HECK JR                  ROBERT       K           "</f>
        <v xml:space="preserve">HECK JR                  ROBERT       K           </v>
      </c>
      <c r="E6725" t="str">
        <f>"SOUTHAVEN                 "</f>
        <v xml:space="preserve">SOUTHAVEN                 </v>
      </c>
      <c r="F6725" t="str">
        <f t="shared" si="221"/>
        <v>MS</v>
      </c>
    </row>
    <row r="6726" spans="1:6" x14ac:dyDescent="0.25">
      <c r="A6726" t="str">
        <f>"000124115"</f>
        <v>000124115</v>
      </c>
      <c r="B6726" t="str">
        <f>"1093726739"</f>
        <v>1093726739</v>
      </c>
      <c r="C6726" t="str">
        <f>"207R00000X"</f>
        <v>207R00000X</v>
      </c>
      <c r="D6726" t="str">
        <f>"FLEMMING                 DAVID        T           "</f>
        <v xml:space="preserve">FLEMMING                 DAVID        T           </v>
      </c>
      <c r="E6726" t="str">
        <f>"PEARL                     "</f>
        <v xml:space="preserve">PEARL                     </v>
      </c>
      <c r="F6726" t="str">
        <f t="shared" si="221"/>
        <v>MS</v>
      </c>
    </row>
    <row r="6727" spans="1:6" x14ac:dyDescent="0.25">
      <c r="A6727" t="str">
        <f>"000124120"</f>
        <v>000124120</v>
      </c>
      <c r="B6727" t="str">
        <f>"1477628063"</f>
        <v>1477628063</v>
      </c>
      <c r="C6727" t="str">
        <f>"363L00000X"</f>
        <v>363L00000X</v>
      </c>
      <c r="D6727" t="str">
        <f>"CUEVAS                   THERESA      L           "</f>
        <v xml:space="preserve">CUEVAS                   THERESA      L           </v>
      </c>
      <c r="E6727" t="str">
        <f>"GULFPORT                  "</f>
        <v xml:space="preserve">GULFPORT                  </v>
      </c>
      <c r="F6727" t="str">
        <f t="shared" si="221"/>
        <v>MS</v>
      </c>
    </row>
    <row r="6728" spans="1:6" x14ac:dyDescent="0.25">
      <c r="A6728" t="str">
        <f>"000124141"</f>
        <v>000124141</v>
      </c>
      <c r="B6728" t="str">
        <f>"1811061831"</f>
        <v>1811061831</v>
      </c>
      <c r="C6728" t="str">
        <f>"207V00000X"</f>
        <v>207V00000X</v>
      </c>
      <c r="D6728" t="str">
        <f>"DUPLANTIER               NOEL         M           "</f>
        <v xml:space="preserve">DUPLANTIER               NOEL         M           </v>
      </c>
      <c r="E6728" t="str">
        <f>"BAY ST LOUIS              "</f>
        <v xml:space="preserve">BAY ST LOUIS              </v>
      </c>
      <c r="F6728" t="str">
        <f t="shared" si="221"/>
        <v>MS</v>
      </c>
    </row>
    <row r="6729" spans="1:6" x14ac:dyDescent="0.25">
      <c r="A6729" t="str">
        <f>"000124147"</f>
        <v>000124147</v>
      </c>
      <c r="B6729" t="str">
        <f>"1346260460"</f>
        <v>1346260460</v>
      </c>
      <c r="C6729" t="str">
        <f>"207RC0000X"</f>
        <v>207RC0000X</v>
      </c>
      <c r="D6729" t="str">
        <f>"FOX                      ERVIN                    "</f>
        <v xml:space="preserve">FOX                      ERVIN                    </v>
      </c>
      <c r="E6729" t="str">
        <f>"JACKSON                   "</f>
        <v xml:space="preserve">JACKSON                   </v>
      </c>
      <c r="F6729" t="str">
        <f t="shared" si="221"/>
        <v>MS</v>
      </c>
    </row>
    <row r="6730" spans="1:6" x14ac:dyDescent="0.25">
      <c r="A6730" t="str">
        <f>"000124160"</f>
        <v>000124160</v>
      </c>
      <c r="B6730" t="str">
        <f>"1679514178"</f>
        <v>1679514178</v>
      </c>
      <c r="C6730" t="str">
        <f>"367500000X"</f>
        <v>367500000X</v>
      </c>
      <c r="D6730" t="str">
        <f>"MCCOOL                   PAMELA       Z           "</f>
        <v xml:space="preserve">MCCOOL                   PAMELA       Z           </v>
      </c>
      <c r="E6730" t="str">
        <f>"PHILADELPHIA              "</f>
        <v xml:space="preserve">PHILADELPHIA              </v>
      </c>
      <c r="F6730" t="str">
        <f t="shared" si="221"/>
        <v>MS</v>
      </c>
    </row>
    <row r="6731" spans="1:6" x14ac:dyDescent="0.25">
      <c r="A6731" t="str">
        <f>"000124165"</f>
        <v>000124165</v>
      </c>
      <c r="B6731" t="str">
        <f>"1477663318"</f>
        <v>1477663318</v>
      </c>
      <c r="C6731" t="str">
        <f>"207R00000X"</f>
        <v>207R00000X</v>
      </c>
      <c r="D6731" t="str">
        <f>"JACKSON                  DENA         W           "</f>
        <v xml:space="preserve">JACKSON                  DENA         W           </v>
      </c>
      <c r="E6731" t="str">
        <f>"BROOKHAVEN                "</f>
        <v xml:space="preserve">BROOKHAVEN                </v>
      </c>
      <c r="F6731" t="str">
        <f t="shared" si="221"/>
        <v>MS</v>
      </c>
    </row>
    <row r="6732" spans="1:6" x14ac:dyDescent="0.25">
      <c r="A6732" t="str">
        <f>"000124166"</f>
        <v>000124166</v>
      </c>
      <c r="B6732" t="str">
        <f>"1144334814"</f>
        <v>1144334814</v>
      </c>
      <c r="C6732" t="str">
        <f>"2086S0129X"</f>
        <v>2086S0129X</v>
      </c>
      <c r="D6732" t="str">
        <f>"KOT                      JAMES        B           "</f>
        <v xml:space="preserve">KOT                      JAMES        B           </v>
      </c>
      <c r="E6732" t="str">
        <f>"HATTIESBURG               "</f>
        <v xml:space="preserve">HATTIESBURG               </v>
      </c>
      <c r="F6732" t="str">
        <f t="shared" si="221"/>
        <v>MS</v>
      </c>
    </row>
    <row r="6733" spans="1:6" x14ac:dyDescent="0.25">
      <c r="A6733" t="str">
        <f>"000124167"</f>
        <v>000124167</v>
      </c>
      <c r="B6733" t="str">
        <f>"1427163724"</f>
        <v>1427163724</v>
      </c>
      <c r="C6733" t="str">
        <f>"2086S0129X"</f>
        <v>2086S0129X</v>
      </c>
      <c r="D6733" t="str">
        <f>"MCCLAIN                  LACY         C           "</f>
        <v xml:space="preserve">MCCLAIN                  LACY         C           </v>
      </c>
      <c r="E6733" t="str">
        <f>"HATTIESBURG               "</f>
        <v xml:space="preserve">HATTIESBURG               </v>
      </c>
      <c r="F6733" t="str">
        <f t="shared" si="221"/>
        <v>MS</v>
      </c>
    </row>
    <row r="6734" spans="1:6" x14ac:dyDescent="0.25">
      <c r="A6734" t="str">
        <f>"000124180"</f>
        <v>000124180</v>
      </c>
      <c r="B6734" t="str">
        <f>"1316916869"</f>
        <v>1316916869</v>
      </c>
      <c r="C6734" t="str">
        <f>"207X00000X"</f>
        <v>207X00000X</v>
      </c>
      <c r="D6734" t="str">
        <f>"WARD                     DONALD                   "</f>
        <v xml:space="preserve">WARD                     DONALD                   </v>
      </c>
      <c r="E6734" t="str">
        <f>"HATTIESBURG               "</f>
        <v xml:space="preserve">HATTIESBURG               </v>
      </c>
      <c r="F6734" t="str">
        <f t="shared" si="221"/>
        <v>MS</v>
      </c>
    </row>
    <row r="6735" spans="1:6" x14ac:dyDescent="0.25">
      <c r="A6735" t="str">
        <f>"000124186"</f>
        <v>000124186</v>
      </c>
      <c r="B6735" t="str">
        <f>"1942287867"</f>
        <v>1942287867</v>
      </c>
      <c r="C6735" t="str">
        <f>"363L00000X"</f>
        <v>363L00000X</v>
      </c>
      <c r="D6735" t="str">
        <f>"CHUNN                    KELLI                    "</f>
        <v xml:space="preserve">CHUNN                    KELLI                    </v>
      </c>
      <c r="E6735" t="str">
        <f>"MERIDIAN                  "</f>
        <v xml:space="preserve">MERIDIAN                  </v>
      </c>
      <c r="F6735" t="str">
        <f t="shared" si="221"/>
        <v>MS</v>
      </c>
    </row>
    <row r="6736" spans="1:6" x14ac:dyDescent="0.25">
      <c r="A6736" t="str">
        <f>"000124195"</f>
        <v>000124195</v>
      </c>
      <c r="B6736" t="str">
        <f>"1629128517"</f>
        <v>1629128517</v>
      </c>
      <c r="C6736" t="str">
        <f>"208600000X"</f>
        <v>208600000X</v>
      </c>
      <c r="D6736" t="str">
        <f>"GUEST                    DARYL        P           "</f>
        <v xml:space="preserve">GUEST                    DARYL        P           </v>
      </c>
      <c r="E6736" t="str">
        <f>"STARKVILLE                "</f>
        <v xml:space="preserve">STARKVILLE                </v>
      </c>
      <c r="F6736" t="str">
        <f t="shared" si="221"/>
        <v>MS</v>
      </c>
    </row>
    <row r="6737" spans="1:6" x14ac:dyDescent="0.25">
      <c r="A6737" t="str">
        <f>"000124203"</f>
        <v>000124203</v>
      </c>
      <c r="B6737" t="str">
        <f>"1770548950"</f>
        <v>1770548950</v>
      </c>
      <c r="C6737" t="str">
        <f>"207RP1001X"</f>
        <v>207RP1001X</v>
      </c>
      <c r="D6737" t="str">
        <f>"HYER JR                  JERRY        D           "</f>
        <v xml:space="preserve">HYER JR                  JERRY        D           </v>
      </c>
      <c r="E6737" t="str">
        <f>"HATTIESBURG               "</f>
        <v xml:space="preserve">HATTIESBURG               </v>
      </c>
      <c r="F6737" t="str">
        <f t="shared" si="221"/>
        <v>MS</v>
      </c>
    </row>
    <row r="6738" spans="1:6" x14ac:dyDescent="0.25">
      <c r="A6738" t="str">
        <f>"000124207"</f>
        <v>000124207</v>
      </c>
      <c r="B6738" t="str">
        <f>"1295843449"</f>
        <v>1295843449</v>
      </c>
      <c r="C6738" t="str">
        <f>"207Q00000X"</f>
        <v>207Q00000X</v>
      </c>
      <c r="D6738" t="str">
        <f>"ROBBINS                  BRETT                    "</f>
        <v xml:space="preserve">ROBBINS                  BRETT                    </v>
      </c>
      <c r="E6738" t="str">
        <f>"HATTIESBURG               "</f>
        <v xml:space="preserve">HATTIESBURG               </v>
      </c>
      <c r="F6738" t="str">
        <f t="shared" si="221"/>
        <v>MS</v>
      </c>
    </row>
    <row r="6739" spans="1:6" x14ac:dyDescent="0.25">
      <c r="A6739" t="str">
        <f>"000124216"</f>
        <v>000124216</v>
      </c>
      <c r="B6739" t="str">
        <f>"1194739656"</f>
        <v>1194739656</v>
      </c>
      <c r="C6739" t="str">
        <f>"207R00000X"</f>
        <v>207R00000X</v>
      </c>
      <c r="D6739" t="str">
        <f>"EAKES                    PATRICK      H           "</f>
        <v xml:space="preserve">EAKES                    PATRICK      H           </v>
      </c>
      <c r="E6739" t="str">
        <f>"UNION                     "</f>
        <v xml:space="preserve">UNION                     </v>
      </c>
      <c r="F6739" t="str">
        <f t="shared" si="221"/>
        <v>MS</v>
      </c>
    </row>
    <row r="6740" spans="1:6" x14ac:dyDescent="0.25">
      <c r="A6740" t="str">
        <f>"000124222"</f>
        <v>000124222</v>
      </c>
      <c r="B6740" t="str">
        <f>"1154369700"</f>
        <v>1154369700</v>
      </c>
      <c r="C6740" t="str">
        <f>"363L00000X"</f>
        <v>363L00000X</v>
      </c>
      <c r="D6740" t="str">
        <f>"LAND                     KELLY        K           "</f>
        <v xml:space="preserve">LAND                     KELLY        K           </v>
      </c>
      <c r="E6740" t="str">
        <f>"JACKSON                   "</f>
        <v xml:space="preserve">JACKSON                   </v>
      </c>
      <c r="F6740" t="str">
        <f t="shared" si="221"/>
        <v>MS</v>
      </c>
    </row>
    <row r="6741" spans="1:6" x14ac:dyDescent="0.25">
      <c r="A6741" t="str">
        <f>"000124231"</f>
        <v>000124231</v>
      </c>
      <c r="B6741" t="str">
        <f>"1245290386"</f>
        <v>1245290386</v>
      </c>
      <c r="C6741" t="str">
        <f>"207Q00000X"</f>
        <v>207Q00000X</v>
      </c>
      <c r="D6741" t="str">
        <f>"POE                      KATRINA      N           "</f>
        <v xml:space="preserve">POE                      KATRINA      N           </v>
      </c>
      <c r="E6741" t="str">
        <f>"MISSISSIPPI STATE         "</f>
        <v xml:space="preserve">MISSISSIPPI STATE         </v>
      </c>
      <c r="F6741" t="str">
        <f t="shared" si="221"/>
        <v>MS</v>
      </c>
    </row>
    <row r="6742" spans="1:6" x14ac:dyDescent="0.25">
      <c r="A6742" t="str">
        <f>"000124245"</f>
        <v>000124245</v>
      </c>
      <c r="B6742" t="str">
        <f>"1639212442"</f>
        <v>1639212442</v>
      </c>
      <c r="C6742" t="str">
        <f>"208000000X"</f>
        <v>208000000X</v>
      </c>
      <c r="D6742" t="str">
        <f>"DUPONT                   JOANNA       T           "</f>
        <v xml:space="preserve">DUPONT                   JOANNA       T           </v>
      </c>
      <c r="E6742" t="str">
        <f>"BILOXI                    "</f>
        <v xml:space="preserve">BILOXI                    </v>
      </c>
      <c r="F6742" t="str">
        <f t="shared" si="221"/>
        <v>MS</v>
      </c>
    </row>
    <row r="6743" spans="1:6" x14ac:dyDescent="0.25">
      <c r="A6743" t="str">
        <f>"000124251"</f>
        <v>000124251</v>
      </c>
      <c r="B6743" t="str">
        <f>"1346295565"</f>
        <v>1346295565</v>
      </c>
      <c r="C6743" t="str">
        <f>"207W00000X"</f>
        <v>207W00000X</v>
      </c>
      <c r="D6743" t="str">
        <f>"FLORES                   ANA          L           "</f>
        <v xml:space="preserve">FLORES                   ANA          L           </v>
      </c>
      <c r="E6743" t="str">
        <f>"CORINTH                   "</f>
        <v xml:space="preserve">CORINTH                   </v>
      </c>
      <c r="F6743" t="str">
        <f t="shared" si="221"/>
        <v>MS</v>
      </c>
    </row>
    <row r="6744" spans="1:6" x14ac:dyDescent="0.25">
      <c r="A6744" t="str">
        <f>"000124253"</f>
        <v>000124253</v>
      </c>
      <c r="B6744" t="str">
        <f>"1568533248"</f>
        <v>1568533248</v>
      </c>
      <c r="C6744" t="str">
        <f>"363L00000X"</f>
        <v>363L00000X</v>
      </c>
      <c r="D6744" t="str">
        <f>"LONG                     SHERRIE      R           "</f>
        <v xml:space="preserve">LONG                     SHERRIE      R           </v>
      </c>
      <c r="E6744" t="str">
        <f>"GREENWOOD                 "</f>
        <v xml:space="preserve">GREENWOOD                 </v>
      </c>
      <c r="F6744" t="str">
        <f t="shared" si="221"/>
        <v>MS</v>
      </c>
    </row>
    <row r="6745" spans="1:6" x14ac:dyDescent="0.25">
      <c r="A6745" t="str">
        <f>"000124254"</f>
        <v>000124254</v>
      </c>
      <c r="B6745" t="str">
        <f>"1124090618"</f>
        <v>1124090618</v>
      </c>
      <c r="C6745" t="str">
        <f>"207Q00000X"</f>
        <v>207Q00000X</v>
      </c>
      <c r="D6745" t="str">
        <f>"DUKES                    ERIK         W           "</f>
        <v xml:space="preserve">DUKES                    ERIK         W           </v>
      </c>
      <c r="E6745" t="str">
        <f>"BOONEVILLE                "</f>
        <v xml:space="preserve">BOONEVILLE                </v>
      </c>
      <c r="F6745" t="str">
        <f t="shared" si="221"/>
        <v>MS</v>
      </c>
    </row>
    <row r="6746" spans="1:6" x14ac:dyDescent="0.25">
      <c r="A6746" t="str">
        <f>"000124255"</f>
        <v>000124255</v>
      </c>
      <c r="B6746" t="str">
        <f>"1063492023"</f>
        <v>1063492023</v>
      </c>
      <c r="C6746" t="str">
        <f>"367500000X"</f>
        <v>367500000X</v>
      </c>
      <c r="D6746" t="str">
        <f>"HOLDER                   PENNEYE      M           "</f>
        <v xml:space="preserve">HOLDER                   PENNEYE      M           </v>
      </c>
      <c r="E6746" t="str">
        <f>"OXFORD                    "</f>
        <v xml:space="preserve">OXFORD                    </v>
      </c>
      <c r="F6746" t="str">
        <f t="shared" si="221"/>
        <v>MS</v>
      </c>
    </row>
    <row r="6747" spans="1:6" x14ac:dyDescent="0.25">
      <c r="A6747" t="str">
        <f>"000124264"</f>
        <v>000124264</v>
      </c>
      <c r="B6747" t="str">
        <f>"1821103185"</f>
        <v>1821103185</v>
      </c>
      <c r="C6747" t="str">
        <f>"207RC0000X"</f>
        <v>207RC0000X</v>
      </c>
      <c r="D6747" t="str">
        <f>"MARTIN                   ARTHUR       C           "</f>
        <v xml:space="preserve">MARTIN                   ARTHUR       C           </v>
      </c>
      <c r="E6747" t="str">
        <f>"HATTIESBURG               "</f>
        <v xml:space="preserve">HATTIESBURG               </v>
      </c>
      <c r="F6747" t="str">
        <f t="shared" si="221"/>
        <v>MS</v>
      </c>
    </row>
    <row r="6748" spans="1:6" x14ac:dyDescent="0.25">
      <c r="A6748" t="str">
        <f>"000124266"</f>
        <v>000124266</v>
      </c>
      <c r="B6748" t="str">
        <f>"1063403491"</f>
        <v>1063403491</v>
      </c>
      <c r="C6748" t="str">
        <f>"207Q00000X"</f>
        <v>207Q00000X</v>
      </c>
      <c r="D6748" t="str">
        <f>"WASHINGTON               CALVIN       A           "</f>
        <v xml:space="preserve">WASHINGTON               CALVIN       A           </v>
      </c>
      <c r="E6748" t="str">
        <f>"WIGGINS                   "</f>
        <v xml:space="preserve">WIGGINS                   </v>
      </c>
      <c r="F6748" t="str">
        <f t="shared" si="221"/>
        <v>MS</v>
      </c>
    </row>
    <row r="6749" spans="1:6" x14ac:dyDescent="0.25">
      <c r="A6749" t="str">
        <f>"000124267"</f>
        <v>000124267</v>
      </c>
      <c r="B6749" t="str">
        <f>"1902827603"</f>
        <v>1902827603</v>
      </c>
      <c r="C6749" t="str">
        <f>"207X00000X"</f>
        <v>207X00000X</v>
      </c>
      <c r="D6749" t="str">
        <f>"SALLOUM                  GEORGE       T           "</f>
        <v xml:space="preserve">SALLOUM                  GEORGE       T           </v>
      </c>
      <c r="E6749" t="str">
        <f>"GULFPORT                  "</f>
        <v xml:space="preserve">GULFPORT                  </v>
      </c>
      <c r="F6749" t="str">
        <f t="shared" si="221"/>
        <v>MS</v>
      </c>
    </row>
    <row r="6750" spans="1:6" x14ac:dyDescent="0.25">
      <c r="A6750" t="str">
        <f>"000124270"</f>
        <v>000124270</v>
      </c>
      <c r="B6750" t="str">
        <f>"1891717138"</f>
        <v>1891717138</v>
      </c>
      <c r="C6750" t="str">
        <f>"367500000X"</f>
        <v>367500000X</v>
      </c>
      <c r="D6750" t="str">
        <f>"GERALD                   MATTHEW      P           "</f>
        <v xml:space="preserve">GERALD                   MATTHEW      P           </v>
      </c>
      <c r="E6750" t="str">
        <f>"HATTIESBURG               "</f>
        <v xml:space="preserve">HATTIESBURG               </v>
      </c>
      <c r="F6750" t="str">
        <f t="shared" si="221"/>
        <v>MS</v>
      </c>
    </row>
    <row r="6751" spans="1:6" x14ac:dyDescent="0.25">
      <c r="A6751" t="str">
        <f>"000124288"</f>
        <v>000124288</v>
      </c>
      <c r="B6751" t="str">
        <f>"1083658702"</f>
        <v>1083658702</v>
      </c>
      <c r="C6751" t="str">
        <f>"2084P0804X"</f>
        <v>2084P0804X</v>
      </c>
      <c r="D6751" t="str">
        <f>"MILLER                   THOMAS       A           "</f>
        <v xml:space="preserve">MILLER                   THOMAS       A           </v>
      </c>
      <c r="E6751" t="str">
        <f>"HATTIESBURG               "</f>
        <v xml:space="preserve">HATTIESBURG               </v>
      </c>
      <c r="F6751" t="str">
        <f t="shared" si="221"/>
        <v>MS</v>
      </c>
    </row>
    <row r="6752" spans="1:6" x14ac:dyDescent="0.25">
      <c r="A6752" t="str">
        <f>"000124293"</f>
        <v>000124293</v>
      </c>
      <c r="B6752" t="str">
        <f>"1780657056"</f>
        <v>1780657056</v>
      </c>
      <c r="C6752" t="str">
        <f>"207R00000X"</f>
        <v>207R00000X</v>
      </c>
      <c r="D6752" t="str">
        <f>"WILLIAMS                 JAMES        B           "</f>
        <v xml:space="preserve">WILLIAMS                 JAMES        B           </v>
      </c>
      <c r="E6752" t="str">
        <f>"COLUMBUS                  "</f>
        <v xml:space="preserve">COLUMBUS                  </v>
      </c>
      <c r="F6752" t="str">
        <f t="shared" si="221"/>
        <v>MS</v>
      </c>
    </row>
    <row r="6753" spans="1:6" x14ac:dyDescent="0.25">
      <c r="A6753" t="str">
        <f>"000124295"</f>
        <v>000124295</v>
      </c>
      <c r="B6753" t="str">
        <f>"1508887753"</f>
        <v>1508887753</v>
      </c>
      <c r="C6753" t="str">
        <f>"367500000X"</f>
        <v>367500000X</v>
      </c>
      <c r="D6753" t="str">
        <f>"RHODEN                   NICOLE       S           "</f>
        <v xml:space="preserve">RHODEN                   NICOLE       S           </v>
      </c>
      <c r="E6753" t="str">
        <f>"FLOWOOD                   "</f>
        <v xml:space="preserve">FLOWOOD                   </v>
      </c>
      <c r="F6753" t="str">
        <f t="shared" si="221"/>
        <v>MS</v>
      </c>
    </row>
    <row r="6754" spans="1:6" x14ac:dyDescent="0.25">
      <c r="A6754" t="str">
        <f>"000124300"</f>
        <v>000124300</v>
      </c>
      <c r="B6754" t="str">
        <f>"1164402426"</f>
        <v>1164402426</v>
      </c>
      <c r="C6754" t="str">
        <f>"367500000X"</f>
        <v>367500000X</v>
      </c>
      <c r="D6754" t="str">
        <f>"DEWBERRY                 STEVEN       C           "</f>
        <v xml:space="preserve">DEWBERRY                 STEVEN       C           </v>
      </c>
      <c r="E6754" t="str">
        <f>"STARKVILLE                "</f>
        <v xml:space="preserve">STARKVILLE                </v>
      </c>
      <c r="F6754" t="str">
        <f t="shared" si="221"/>
        <v>MS</v>
      </c>
    </row>
    <row r="6755" spans="1:6" x14ac:dyDescent="0.25">
      <c r="A6755" t="str">
        <f>"000124305"</f>
        <v>000124305</v>
      </c>
      <c r="B6755" t="str">
        <f>"1780793331"</f>
        <v>1780793331</v>
      </c>
      <c r="C6755" t="str">
        <f>"2084N0400X"</f>
        <v>2084N0400X</v>
      </c>
      <c r="D6755" t="str">
        <f>"SCHWARTZ                 RONALD       L           "</f>
        <v xml:space="preserve">SCHWARTZ                 RONALD       L           </v>
      </c>
      <c r="E6755" t="str">
        <f>"HATTIESBURG               "</f>
        <v xml:space="preserve">HATTIESBURG               </v>
      </c>
      <c r="F6755" t="str">
        <f t="shared" si="221"/>
        <v>MS</v>
      </c>
    </row>
    <row r="6756" spans="1:6" x14ac:dyDescent="0.25">
      <c r="A6756" t="str">
        <f>"000124306"</f>
        <v>000124306</v>
      </c>
      <c r="B6756" t="str">
        <f>"1073545281"</f>
        <v>1073545281</v>
      </c>
      <c r="C6756" t="str">
        <f>"207X00000X"</f>
        <v>207X00000X</v>
      </c>
      <c r="D6756" t="str">
        <f>"PATTERSON                MICHAEL      C           "</f>
        <v xml:space="preserve">PATTERSON                MICHAEL      C           </v>
      </c>
      <c r="E6756" t="str">
        <f>"HATTIESBURG               "</f>
        <v xml:space="preserve">HATTIESBURG               </v>
      </c>
      <c r="F6756" t="str">
        <f t="shared" si="221"/>
        <v>MS</v>
      </c>
    </row>
    <row r="6757" spans="1:6" x14ac:dyDescent="0.25">
      <c r="A6757" t="str">
        <f>"000124312"</f>
        <v>000124312</v>
      </c>
      <c r="B6757" t="str">
        <f>"1881702447"</f>
        <v>1881702447</v>
      </c>
      <c r="C6757" t="str">
        <f>"207W00000X"</f>
        <v>207W00000X</v>
      </c>
      <c r="D6757" t="str">
        <f>"WILLIAMSON               TODD         D           "</f>
        <v xml:space="preserve">WILLIAMSON               TODD         D           </v>
      </c>
      <c r="E6757" t="str">
        <f>"HATTIESBURG               "</f>
        <v xml:space="preserve">HATTIESBURG               </v>
      </c>
      <c r="F6757" t="str">
        <f t="shared" si="221"/>
        <v>MS</v>
      </c>
    </row>
    <row r="6758" spans="1:6" x14ac:dyDescent="0.25">
      <c r="A6758" t="str">
        <f>"000124315"</f>
        <v>000124315</v>
      </c>
      <c r="B6758" t="str">
        <f>"1073576070"</f>
        <v>1073576070</v>
      </c>
      <c r="C6758" t="str">
        <f>"207Q00000X"</f>
        <v>207Q00000X</v>
      </c>
      <c r="D6758" t="str">
        <f>"HOLMAN                   MICHAEL      G           "</f>
        <v xml:space="preserve">HOLMAN                   MICHAEL      G           </v>
      </c>
      <c r="E6758" t="str">
        <f>"KOSCIUSKO                 "</f>
        <v xml:space="preserve">KOSCIUSKO                 </v>
      </c>
      <c r="F6758" t="str">
        <f t="shared" si="221"/>
        <v>MS</v>
      </c>
    </row>
    <row r="6759" spans="1:6" x14ac:dyDescent="0.25">
      <c r="A6759" t="str">
        <f>"000124326"</f>
        <v>000124326</v>
      </c>
      <c r="B6759" t="str">
        <f>"1831286699"</f>
        <v>1831286699</v>
      </c>
      <c r="C6759" t="str">
        <f>"207W00000X"</f>
        <v>207W00000X</v>
      </c>
      <c r="D6759" t="str">
        <f>"HERRING                  JOEL         H           "</f>
        <v xml:space="preserve">HERRING                  JOEL         H           </v>
      </c>
      <c r="E6759" t="str">
        <f>"JACKSON                   "</f>
        <v xml:space="preserve">JACKSON                   </v>
      </c>
      <c r="F6759" t="str">
        <f t="shared" si="221"/>
        <v>MS</v>
      </c>
    </row>
    <row r="6760" spans="1:6" x14ac:dyDescent="0.25">
      <c r="A6760" t="str">
        <f>"000124344"</f>
        <v>000124344</v>
      </c>
      <c r="B6760" t="str">
        <f>"1255435889"</f>
        <v>1255435889</v>
      </c>
      <c r="C6760" t="str">
        <f>"207P00000X"</f>
        <v>207P00000X</v>
      </c>
      <c r="D6760" t="str">
        <f>"AHMED                    ISRAR                    "</f>
        <v xml:space="preserve">AHMED                    ISRAR                    </v>
      </c>
      <c r="E6760" t="str">
        <f>"WINONA                    "</f>
        <v xml:space="preserve">WINONA                    </v>
      </c>
      <c r="F6760" t="str">
        <f t="shared" si="221"/>
        <v>MS</v>
      </c>
    </row>
    <row r="6761" spans="1:6" x14ac:dyDescent="0.25">
      <c r="A6761" t="str">
        <f>"000124347"</f>
        <v>000124347</v>
      </c>
      <c r="B6761" t="str">
        <f>"1588623292"</f>
        <v>1588623292</v>
      </c>
      <c r="C6761" t="str">
        <f>"207RG0100X"</f>
        <v>207RG0100X</v>
      </c>
      <c r="D6761" t="str">
        <f>"WILLIAMS                 ERNEST       Q           "</f>
        <v xml:space="preserve">WILLIAMS                 ERNEST       Q           </v>
      </c>
      <c r="E6761" t="str">
        <f>"OXFORD                    "</f>
        <v xml:space="preserve">OXFORD                    </v>
      </c>
      <c r="F6761" t="str">
        <f t="shared" si="221"/>
        <v>MS</v>
      </c>
    </row>
    <row r="6762" spans="1:6" x14ac:dyDescent="0.25">
      <c r="A6762" t="str">
        <f>"000124366"</f>
        <v>000124366</v>
      </c>
      <c r="B6762" t="str">
        <f>"1285653113"</f>
        <v>1285653113</v>
      </c>
      <c r="C6762" t="str">
        <f>"207RC0000X"</f>
        <v>207RC0000X</v>
      </c>
      <c r="D6762" t="str">
        <f>"PASSARELLI III           WILLIAM      O           "</f>
        <v xml:space="preserve">PASSARELLI III           WILLIAM      O           </v>
      </c>
      <c r="E6762" t="str">
        <f>"PASCAGOULA                "</f>
        <v xml:space="preserve">PASCAGOULA                </v>
      </c>
      <c r="F6762" t="str">
        <f t="shared" si="221"/>
        <v>MS</v>
      </c>
    </row>
    <row r="6763" spans="1:6" x14ac:dyDescent="0.25">
      <c r="A6763" t="str">
        <f>"000124377"</f>
        <v>000124377</v>
      </c>
      <c r="B6763" t="str">
        <f>"1487719738"</f>
        <v>1487719738</v>
      </c>
      <c r="C6763" t="str">
        <f>"367500000X"</f>
        <v>367500000X</v>
      </c>
      <c r="D6763" t="str">
        <f>"HARRIS                   ROBERT       C           "</f>
        <v xml:space="preserve">HARRIS                   ROBERT       C           </v>
      </c>
      <c r="E6763" t="str">
        <f>"GULFPORT                  "</f>
        <v xml:space="preserve">GULFPORT                  </v>
      </c>
      <c r="F6763" t="str">
        <f t="shared" si="221"/>
        <v>MS</v>
      </c>
    </row>
    <row r="6764" spans="1:6" x14ac:dyDescent="0.25">
      <c r="A6764" t="str">
        <f>"000124378"</f>
        <v>000124378</v>
      </c>
      <c r="B6764" t="str">
        <f>"1457364606"</f>
        <v>1457364606</v>
      </c>
      <c r="C6764" t="str">
        <f>"207Q00000X"</f>
        <v>207Q00000X</v>
      </c>
      <c r="D6764" t="str">
        <f>"WHITE JR                 JOHN         W           "</f>
        <v xml:space="preserve">WHITE JR                 JOHN         W           </v>
      </c>
      <c r="E6764" t="str">
        <f>"FULTON                    "</f>
        <v xml:space="preserve">FULTON                    </v>
      </c>
      <c r="F6764" t="str">
        <f t="shared" si="221"/>
        <v>MS</v>
      </c>
    </row>
    <row r="6765" spans="1:6" x14ac:dyDescent="0.25">
      <c r="A6765" t="str">
        <f>"000124379"</f>
        <v>000124379</v>
      </c>
      <c r="B6765" t="str">
        <f>"1538138250"</f>
        <v>1538138250</v>
      </c>
      <c r="C6765" t="str">
        <f>"363L00000X"</f>
        <v>363L00000X</v>
      </c>
      <c r="D6765" t="str">
        <f>"MCCLELLAN                SHANDRA      C           "</f>
        <v xml:space="preserve">MCCLELLAN                SHANDRA      C           </v>
      </c>
      <c r="E6765" t="str">
        <f>"GREENWOOD                 "</f>
        <v xml:space="preserve">GREENWOOD                 </v>
      </c>
      <c r="F6765" t="str">
        <f t="shared" si="221"/>
        <v>MS</v>
      </c>
    </row>
    <row r="6766" spans="1:6" x14ac:dyDescent="0.25">
      <c r="A6766" t="str">
        <f>"000124384"</f>
        <v>000124384</v>
      </c>
      <c r="B6766" t="str">
        <f>"1922049238"</f>
        <v>1922049238</v>
      </c>
      <c r="C6766" t="str">
        <f>"207Q00000X"</f>
        <v>207Q00000X</v>
      </c>
      <c r="D6766" t="str">
        <f>"LAGARDE                  THOMAS       E           "</f>
        <v xml:space="preserve">LAGARDE                  THOMAS       E           </v>
      </c>
      <c r="E6766" t="str">
        <f>"JACKSON                   "</f>
        <v xml:space="preserve">JACKSON                   </v>
      </c>
      <c r="F6766" t="str">
        <f t="shared" si="221"/>
        <v>MS</v>
      </c>
    </row>
    <row r="6767" spans="1:6" x14ac:dyDescent="0.25">
      <c r="A6767" t="str">
        <f>"000124393"</f>
        <v>000124393</v>
      </c>
      <c r="B6767" t="str">
        <f>"1992719777"</f>
        <v>1992719777</v>
      </c>
      <c r="C6767" t="str">
        <f>"207RG0100X"</f>
        <v>207RG0100X</v>
      </c>
      <c r="D6767" t="str">
        <f>"BLANCHARD                KEVIN        P           "</f>
        <v xml:space="preserve">BLANCHARD                KEVIN        P           </v>
      </c>
      <c r="E6767" t="str">
        <f>"HATTIESBURG               "</f>
        <v xml:space="preserve">HATTIESBURG               </v>
      </c>
      <c r="F6767" t="str">
        <f t="shared" si="221"/>
        <v>MS</v>
      </c>
    </row>
    <row r="6768" spans="1:6" x14ac:dyDescent="0.25">
      <c r="A6768" t="str">
        <f>"000124398"</f>
        <v>000124398</v>
      </c>
      <c r="B6768" t="str">
        <f>"1801868666"</f>
        <v>1801868666</v>
      </c>
      <c r="C6768" t="str">
        <f>"207R00000X"</f>
        <v>207R00000X</v>
      </c>
      <c r="D6768" t="str">
        <f>"ALLEN                    JOHN         W           "</f>
        <v xml:space="preserve">ALLEN                    JOHN         W           </v>
      </c>
      <c r="E6768" t="str">
        <f>"OLIVE BRANCH              "</f>
        <v xml:space="preserve">OLIVE BRANCH              </v>
      </c>
      <c r="F6768" t="str">
        <f t="shared" si="221"/>
        <v>MS</v>
      </c>
    </row>
    <row r="6769" spans="1:6" x14ac:dyDescent="0.25">
      <c r="A6769" t="str">
        <f>"000124422"</f>
        <v>000124422</v>
      </c>
      <c r="B6769" t="str">
        <f>"1326003005"</f>
        <v>1326003005</v>
      </c>
      <c r="C6769" t="str">
        <f>"207RG0100X"</f>
        <v>207RG0100X</v>
      </c>
      <c r="D6769" t="str">
        <f>"CHIEMPRABHA              ALBERT                   "</f>
        <v xml:space="preserve">CHIEMPRABHA              ALBERT                   </v>
      </c>
      <c r="E6769" t="str">
        <f>"FLOWOOD                   "</f>
        <v xml:space="preserve">FLOWOOD                   </v>
      </c>
      <c r="F6769" t="str">
        <f t="shared" si="221"/>
        <v>MS</v>
      </c>
    </row>
    <row r="6770" spans="1:6" x14ac:dyDescent="0.25">
      <c r="A6770" t="str">
        <f>"000124423"</f>
        <v>000124423</v>
      </c>
      <c r="B6770" t="str">
        <f>"1962516641"</f>
        <v>1962516641</v>
      </c>
      <c r="C6770" t="str">
        <f>"207V00000X"</f>
        <v>207V00000X</v>
      </c>
      <c r="D6770" t="str">
        <f>"KOT                      LIBBY                    "</f>
        <v xml:space="preserve">KOT                      LIBBY                    </v>
      </c>
      <c r="E6770" t="str">
        <f>"HATTIESBURG               "</f>
        <v xml:space="preserve">HATTIESBURG               </v>
      </c>
      <c r="F6770" t="str">
        <f t="shared" si="221"/>
        <v>MS</v>
      </c>
    </row>
    <row r="6771" spans="1:6" x14ac:dyDescent="0.25">
      <c r="A6771" t="str">
        <f>"000124424"</f>
        <v>000124424</v>
      </c>
      <c r="B6771" t="str">
        <f>"1205940095"</f>
        <v>1205940095</v>
      </c>
      <c r="C6771" t="str">
        <f>"207Q00000X"</f>
        <v>207Q00000X</v>
      </c>
      <c r="D6771" t="str">
        <f>"JONES                    BOBBY        G           "</f>
        <v xml:space="preserve">JONES                    BOBBY        G           </v>
      </c>
      <c r="E6771" t="str">
        <f>"SEMINARY                  "</f>
        <v xml:space="preserve">SEMINARY                  </v>
      </c>
      <c r="F6771" t="str">
        <f t="shared" si="221"/>
        <v>MS</v>
      </c>
    </row>
    <row r="6772" spans="1:6" x14ac:dyDescent="0.25">
      <c r="A6772" t="str">
        <f>"000124443"</f>
        <v>000124443</v>
      </c>
      <c r="B6772" t="str">
        <f>"1730118696"</f>
        <v>1730118696</v>
      </c>
      <c r="C6772" t="str">
        <f>"208800000X"</f>
        <v>208800000X</v>
      </c>
      <c r="D6772" t="str">
        <f>"BLALOCK                  HAROLD       J           "</f>
        <v xml:space="preserve">BLALOCK                  HAROLD       J           </v>
      </c>
      <c r="E6772" t="str">
        <f>"JACKSON                   "</f>
        <v xml:space="preserve">JACKSON                   </v>
      </c>
      <c r="F6772" t="str">
        <f t="shared" si="221"/>
        <v>MS</v>
      </c>
    </row>
    <row r="6773" spans="1:6" x14ac:dyDescent="0.25">
      <c r="A6773" t="str">
        <f>"000124445"</f>
        <v>000124445</v>
      </c>
      <c r="B6773" t="str">
        <f>"1366585143"</f>
        <v>1366585143</v>
      </c>
      <c r="C6773" t="str">
        <f>"207V00000X"</f>
        <v>207V00000X</v>
      </c>
      <c r="D6773" t="str">
        <f>"WIGGS                    CHRISTOPHER  D           "</f>
        <v xml:space="preserve">WIGGS                    CHRISTOPHER  D           </v>
      </c>
      <c r="E6773" t="str">
        <f>"FLOWOOD                   "</f>
        <v xml:space="preserve">FLOWOOD                   </v>
      </c>
      <c r="F6773" t="str">
        <f t="shared" si="221"/>
        <v>MS</v>
      </c>
    </row>
    <row r="6774" spans="1:6" x14ac:dyDescent="0.25">
      <c r="A6774" t="str">
        <f>"000124453"</f>
        <v>000124453</v>
      </c>
      <c r="B6774" t="str">
        <f>"1154318947"</f>
        <v>1154318947</v>
      </c>
      <c r="C6774" t="str">
        <f>"207X00000X"</f>
        <v>207X00000X</v>
      </c>
      <c r="D6774" t="str">
        <f>"WILLIAMS                 KEITH        D           "</f>
        <v xml:space="preserve">WILLIAMS                 KEITH        D           </v>
      </c>
      <c r="E6774" t="str">
        <f>"SOUTHAVEN                 "</f>
        <v xml:space="preserve">SOUTHAVEN                 </v>
      </c>
      <c r="F6774" t="str">
        <f t="shared" si="221"/>
        <v>MS</v>
      </c>
    </row>
    <row r="6775" spans="1:6" x14ac:dyDescent="0.25">
      <c r="A6775" t="str">
        <f>"000124463"</f>
        <v>000124463</v>
      </c>
      <c r="B6775" t="str">
        <f>"1891731055"</f>
        <v>1891731055</v>
      </c>
      <c r="C6775" t="str">
        <f>"207R00000X"</f>
        <v>207R00000X</v>
      </c>
      <c r="D6775" t="str">
        <f>"LUCAS                    PHILLIP      H           "</f>
        <v xml:space="preserve">LUCAS                    PHILLIP      H           </v>
      </c>
      <c r="E6775" t="str">
        <f>"PHILADELPHIA              "</f>
        <v xml:space="preserve">PHILADELPHIA              </v>
      </c>
      <c r="F6775" t="str">
        <f t="shared" si="221"/>
        <v>MS</v>
      </c>
    </row>
    <row r="6776" spans="1:6" x14ac:dyDescent="0.25">
      <c r="A6776" t="str">
        <f>"000124465"</f>
        <v>000124465</v>
      </c>
      <c r="B6776" t="str">
        <f>"1417058678"</f>
        <v>1417058678</v>
      </c>
      <c r="C6776" t="str">
        <f>"207V00000X"</f>
        <v>207V00000X</v>
      </c>
      <c r="D6776" t="str">
        <f>"MECK                     SHANI        K           "</f>
        <v xml:space="preserve">MECK                     SHANI        K           </v>
      </c>
      <c r="E6776" t="str">
        <f>"FLOWOOD                   "</f>
        <v xml:space="preserve">FLOWOOD                   </v>
      </c>
      <c r="F6776" t="str">
        <f t="shared" si="221"/>
        <v>MS</v>
      </c>
    </row>
    <row r="6777" spans="1:6" x14ac:dyDescent="0.25">
      <c r="A6777" t="str">
        <f>"000124472"</f>
        <v>000124472</v>
      </c>
      <c r="B6777" t="str">
        <f>"1740359892"</f>
        <v>1740359892</v>
      </c>
      <c r="C6777" t="str">
        <f>"363L00000X"</f>
        <v>363L00000X</v>
      </c>
      <c r="D6777" t="str">
        <f>"CURRY                    GENEVA                   "</f>
        <v xml:space="preserve">CURRY                    GENEVA                   </v>
      </c>
      <c r="E6777" t="str">
        <f>"GREENVILLE                "</f>
        <v xml:space="preserve">GREENVILLE                </v>
      </c>
      <c r="F6777" t="str">
        <f t="shared" si="221"/>
        <v>MS</v>
      </c>
    </row>
    <row r="6778" spans="1:6" x14ac:dyDescent="0.25">
      <c r="A6778" t="str">
        <f>"000124481"</f>
        <v>000124481</v>
      </c>
      <c r="B6778" t="str">
        <f>"1972542512"</f>
        <v>1972542512</v>
      </c>
      <c r="C6778" t="str">
        <f>"207Q00000X"</f>
        <v>207Q00000X</v>
      </c>
      <c r="D6778" t="str">
        <f>"ERWIN                    J WILLIAM                "</f>
        <v xml:space="preserve">ERWIN                    J WILLIAM                </v>
      </c>
      <c r="E6778" t="str">
        <f>"GULFPORT                  "</f>
        <v xml:space="preserve">GULFPORT                  </v>
      </c>
      <c r="F6778" t="str">
        <f t="shared" si="221"/>
        <v>MS</v>
      </c>
    </row>
    <row r="6779" spans="1:6" x14ac:dyDescent="0.25">
      <c r="A6779" t="str">
        <f>"000124491"</f>
        <v>000124491</v>
      </c>
      <c r="B6779" t="str">
        <f>"1992732127"</f>
        <v>1992732127</v>
      </c>
      <c r="C6779" t="str">
        <f>"207V00000X"</f>
        <v>207V00000X</v>
      </c>
      <c r="D6779" t="str">
        <f>"TRAVELSTEAD              MEREDITH                 "</f>
        <v xml:space="preserve">TRAVELSTEAD              MEREDITH                 </v>
      </c>
      <c r="E6779" t="str">
        <f>"JACKSON                   "</f>
        <v xml:space="preserve">JACKSON                   </v>
      </c>
      <c r="F6779" t="str">
        <f t="shared" si="221"/>
        <v>MS</v>
      </c>
    </row>
    <row r="6780" spans="1:6" x14ac:dyDescent="0.25">
      <c r="A6780" t="str">
        <f>"000124512"</f>
        <v>000124512</v>
      </c>
      <c r="B6780" t="str">
        <f>"1770674467"</f>
        <v>1770674467</v>
      </c>
      <c r="C6780" t="str">
        <f>"363L00000X"</f>
        <v>363L00000X</v>
      </c>
      <c r="D6780" t="str">
        <f>"BROWN                    SHARON       K           "</f>
        <v xml:space="preserve">BROWN                    SHARON       K           </v>
      </c>
      <c r="E6780" t="str">
        <f>"JACKSON                   "</f>
        <v xml:space="preserve">JACKSON                   </v>
      </c>
      <c r="F6780" t="str">
        <f t="shared" si="221"/>
        <v>MS</v>
      </c>
    </row>
    <row r="6781" spans="1:6" x14ac:dyDescent="0.25">
      <c r="A6781" t="str">
        <f>"000124546"</f>
        <v>000124546</v>
      </c>
      <c r="B6781" t="str">
        <f>"1376531582"</f>
        <v>1376531582</v>
      </c>
      <c r="C6781" t="str">
        <f>"207X00000X"</f>
        <v>207X00000X</v>
      </c>
      <c r="D6781" t="str">
        <f>"RAMSEY                   JAMES        R           "</f>
        <v xml:space="preserve">RAMSEY                   JAMES        R           </v>
      </c>
      <c r="E6781" t="str">
        <f>"JACKSON                   "</f>
        <v xml:space="preserve">JACKSON                   </v>
      </c>
      <c r="F6781" t="str">
        <f t="shared" si="221"/>
        <v>MS</v>
      </c>
    </row>
    <row r="6782" spans="1:6" x14ac:dyDescent="0.25">
      <c r="A6782" t="str">
        <f>"000124553"</f>
        <v>000124553</v>
      </c>
      <c r="B6782" t="str">
        <f>"1265456818"</f>
        <v>1265456818</v>
      </c>
      <c r="C6782" t="str">
        <f>"207RP1001X"</f>
        <v>207RP1001X</v>
      </c>
      <c r="D6782" t="str">
        <f>"DOBBS                    KIMBERLY     G           "</f>
        <v xml:space="preserve">DOBBS                    KIMBERLY     G           </v>
      </c>
      <c r="E6782" t="str">
        <f>"LAUREL                    "</f>
        <v xml:space="preserve">LAUREL                    </v>
      </c>
      <c r="F6782" t="str">
        <f t="shared" ref="F6782:F6845" si="222">"MS"</f>
        <v>MS</v>
      </c>
    </row>
    <row r="6783" spans="1:6" x14ac:dyDescent="0.25">
      <c r="A6783" t="str">
        <f>"000124595"</f>
        <v>000124595</v>
      </c>
      <c r="B6783" t="str">
        <f>"1699851634"</f>
        <v>1699851634</v>
      </c>
      <c r="C6783" t="str">
        <f>"363L00000X"</f>
        <v>363L00000X</v>
      </c>
      <c r="D6783" t="str">
        <f>"JOHNSON                  MARY         A           "</f>
        <v xml:space="preserve">JOHNSON                  MARY         A           </v>
      </c>
      <c r="E6783" t="str">
        <f>"CANTON                    "</f>
        <v xml:space="preserve">CANTON                    </v>
      </c>
      <c r="F6783" t="str">
        <f t="shared" si="222"/>
        <v>MS</v>
      </c>
    </row>
    <row r="6784" spans="1:6" x14ac:dyDescent="0.25">
      <c r="A6784" t="str">
        <f>"000124627"</f>
        <v>000124627</v>
      </c>
      <c r="B6784" t="str">
        <f>"1588623532"</f>
        <v>1588623532</v>
      </c>
      <c r="C6784" t="str">
        <f>"207R00000X"</f>
        <v>207R00000X</v>
      </c>
      <c r="D6784" t="str">
        <f>"CHASE                    DAVID        G           "</f>
        <v xml:space="preserve">CHASE                    DAVID        G           </v>
      </c>
      <c r="E6784" t="str">
        <f>"RIPLEY                    "</f>
        <v xml:space="preserve">RIPLEY                    </v>
      </c>
      <c r="F6784" t="str">
        <f t="shared" si="222"/>
        <v>MS</v>
      </c>
    </row>
    <row r="6785" spans="1:6" x14ac:dyDescent="0.25">
      <c r="A6785" t="str">
        <f>"000124633"</f>
        <v>000124633</v>
      </c>
      <c r="B6785" t="str">
        <f>"1497768675"</f>
        <v>1497768675</v>
      </c>
      <c r="C6785" t="str">
        <f>"363A00000X"</f>
        <v>363A00000X</v>
      </c>
      <c r="D6785" t="str">
        <f>"MCCARLEY                 CHRISTOPHER  K           "</f>
        <v xml:space="preserve">MCCARLEY                 CHRISTOPHER  K           </v>
      </c>
      <c r="E6785" t="str">
        <f>"TUPELO                    "</f>
        <v xml:space="preserve">TUPELO                    </v>
      </c>
      <c r="F6785" t="str">
        <f t="shared" si="222"/>
        <v>MS</v>
      </c>
    </row>
    <row r="6786" spans="1:6" x14ac:dyDescent="0.25">
      <c r="A6786" t="str">
        <f>"000124636"</f>
        <v>000124636</v>
      </c>
      <c r="B6786" t="str">
        <f>"1710916564"</f>
        <v>1710916564</v>
      </c>
      <c r="C6786" t="str">
        <f>"207R00000X"</f>
        <v>207R00000X</v>
      </c>
      <c r="D6786" t="str">
        <f>"TAYARA                   WAKKAS                   "</f>
        <v xml:space="preserve">TAYARA                   WAKKAS                   </v>
      </c>
      <c r="E6786" t="str">
        <f>"GULFPORT                  "</f>
        <v xml:space="preserve">GULFPORT                  </v>
      </c>
      <c r="F6786" t="str">
        <f t="shared" si="222"/>
        <v>MS</v>
      </c>
    </row>
    <row r="6787" spans="1:6" x14ac:dyDescent="0.25">
      <c r="A6787" t="str">
        <f>"000124654"</f>
        <v>000124654</v>
      </c>
      <c r="B6787" t="str">
        <f>"1861445108"</f>
        <v>1861445108</v>
      </c>
      <c r="C6787" t="str">
        <f>"207P00000X"</f>
        <v>207P00000X</v>
      </c>
      <c r="D6787" t="str">
        <f>"KERSTEN                  KEITH        A           "</f>
        <v xml:space="preserve">KERSTEN                  KEITH        A           </v>
      </c>
      <c r="E6787" t="str">
        <f>"HATTIESBURG               "</f>
        <v xml:space="preserve">HATTIESBURG               </v>
      </c>
      <c r="F6787" t="str">
        <f t="shared" si="222"/>
        <v>MS</v>
      </c>
    </row>
    <row r="6788" spans="1:6" x14ac:dyDescent="0.25">
      <c r="A6788" t="str">
        <f>"000124666"</f>
        <v>000124666</v>
      </c>
      <c r="B6788" t="str">
        <f>"1073578084"</f>
        <v>1073578084</v>
      </c>
      <c r="C6788" t="str">
        <f>"367500000X"</f>
        <v>367500000X</v>
      </c>
      <c r="D6788" t="str">
        <f>"HAWKINS                  ANCE                     "</f>
        <v xml:space="preserve">HAWKINS                  ANCE                     </v>
      </c>
      <c r="E6788" t="str">
        <f>"JACKSON                   "</f>
        <v xml:space="preserve">JACKSON                   </v>
      </c>
      <c r="F6788" t="str">
        <f t="shared" si="222"/>
        <v>MS</v>
      </c>
    </row>
    <row r="6789" spans="1:6" x14ac:dyDescent="0.25">
      <c r="A6789" t="str">
        <f>"000124670"</f>
        <v>000124670</v>
      </c>
      <c r="B6789" t="str">
        <f>"1437151859"</f>
        <v>1437151859</v>
      </c>
      <c r="C6789" t="str">
        <f>"2080C0008X"</f>
        <v>2080C0008X</v>
      </c>
      <c r="D6789" t="str">
        <f>"BENTON                   SCOTT        A           "</f>
        <v xml:space="preserve">BENTON                   SCOTT        A           </v>
      </c>
      <c r="E6789" t="str">
        <f>"JACKSON                   "</f>
        <v xml:space="preserve">JACKSON                   </v>
      </c>
      <c r="F6789" t="str">
        <f t="shared" si="222"/>
        <v>MS</v>
      </c>
    </row>
    <row r="6790" spans="1:6" x14ac:dyDescent="0.25">
      <c r="A6790" t="str">
        <f>"000124674"</f>
        <v>000124674</v>
      </c>
      <c r="B6790" t="str">
        <f>"1164520425"</f>
        <v>1164520425</v>
      </c>
      <c r="C6790" t="str">
        <f>"367500000X"</f>
        <v>367500000X</v>
      </c>
      <c r="D6790" t="str">
        <f>"ATKINS                   JOHN         B           "</f>
        <v xml:space="preserve">ATKINS                   JOHN         B           </v>
      </c>
      <c r="E6790" t="str">
        <f>"COLUMBUS                  "</f>
        <v xml:space="preserve">COLUMBUS                  </v>
      </c>
      <c r="F6790" t="str">
        <f t="shared" si="222"/>
        <v>MS</v>
      </c>
    </row>
    <row r="6791" spans="1:6" x14ac:dyDescent="0.25">
      <c r="A6791" t="str">
        <f>"000124690"</f>
        <v>000124690</v>
      </c>
      <c r="B6791" t="str">
        <f>"1376557462"</f>
        <v>1376557462</v>
      </c>
      <c r="C6791" t="str">
        <f>"207ZP0102X"</f>
        <v>207ZP0102X</v>
      </c>
      <c r="D6791" t="str">
        <f>"BRITT                    ROBERT                   "</f>
        <v xml:space="preserve">BRITT                    ROBERT                   </v>
      </c>
      <c r="E6791" t="str">
        <f>"BROOKHAVEN                "</f>
        <v xml:space="preserve">BROOKHAVEN                </v>
      </c>
      <c r="F6791" t="str">
        <f t="shared" si="222"/>
        <v>MS</v>
      </c>
    </row>
    <row r="6792" spans="1:6" x14ac:dyDescent="0.25">
      <c r="A6792" t="str">
        <f>"000124694"</f>
        <v>000124694</v>
      </c>
      <c r="B6792" t="str">
        <f>"1710947593"</f>
        <v>1710947593</v>
      </c>
      <c r="C6792" t="str">
        <f>"363L00000X"</f>
        <v>363L00000X</v>
      </c>
      <c r="D6792" t="str">
        <f>"NORWOOD                  ANNE         A           "</f>
        <v xml:space="preserve">NORWOOD                  ANNE         A           </v>
      </c>
      <c r="E6792" t="str">
        <f>"JACKSON                   "</f>
        <v xml:space="preserve">JACKSON                   </v>
      </c>
      <c r="F6792" t="str">
        <f t="shared" si="222"/>
        <v>MS</v>
      </c>
    </row>
    <row r="6793" spans="1:6" x14ac:dyDescent="0.25">
      <c r="A6793" t="str">
        <f>"000124695"</f>
        <v>000124695</v>
      </c>
      <c r="B6793" t="str">
        <f>"1962517276"</f>
        <v>1962517276</v>
      </c>
      <c r="C6793" t="str">
        <f>"207Q00000X"</f>
        <v>207Q00000X</v>
      </c>
      <c r="D6793" t="str">
        <f>"MCCLAIN                  MATTHEW      D           "</f>
        <v xml:space="preserve">MCCLAIN                  MATTHEW      D           </v>
      </c>
      <c r="E6793" t="str">
        <f>"HATTIESBURG               "</f>
        <v xml:space="preserve">HATTIESBURG               </v>
      </c>
      <c r="F6793" t="str">
        <f t="shared" si="222"/>
        <v>MS</v>
      </c>
    </row>
    <row r="6794" spans="1:6" x14ac:dyDescent="0.25">
      <c r="A6794" t="str">
        <f>"000124713"</f>
        <v>000124713</v>
      </c>
      <c r="B6794" t="str">
        <f>"1164430419"</f>
        <v>1164430419</v>
      </c>
      <c r="C6794" t="str">
        <f>"207R00000X"</f>
        <v>207R00000X</v>
      </c>
      <c r="D6794" t="str">
        <f>"SISTRUNK                 JOHN         W           "</f>
        <v xml:space="preserve">SISTRUNK                 JOHN         W           </v>
      </c>
      <c r="E6794" t="str">
        <f>"JACKSON                   "</f>
        <v xml:space="preserve">JACKSON                   </v>
      </c>
      <c r="F6794" t="str">
        <f t="shared" si="222"/>
        <v>MS</v>
      </c>
    </row>
    <row r="6795" spans="1:6" x14ac:dyDescent="0.25">
      <c r="A6795" t="str">
        <f>"000124725"</f>
        <v>000124725</v>
      </c>
      <c r="B6795" t="str">
        <f>"1326106915"</f>
        <v>1326106915</v>
      </c>
      <c r="C6795" t="str">
        <f>"363L00000X"</f>
        <v>363L00000X</v>
      </c>
      <c r="D6795" t="str">
        <f>"MCQUIRTER                ALLISON      W           "</f>
        <v xml:space="preserve">MCQUIRTER                ALLISON      W           </v>
      </c>
      <c r="E6795" t="str">
        <f>"YAZOO CITY                "</f>
        <v xml:space="preserve">YAZOO CITY                </v>
      </c>
      <c r="F6795" t="str">
        <f t="shared" si="222"/>
        <v>MS</v>
      </c>
    </row>
    <row r="6796" spans="1:6" x14ac:dyDescent="0.25">
      <c r="A6796" t="str">
        <f>"000124763"</f>
        <v>000124763</v>
      </c>
      <c r="B6796" t="str">
        <f>"1922163211"</f>
        <v>1922163211</v>
      </c>
      <c r="C6796" t="str">
        <f>"367500000X"</f>
        <v>367500000X</v>
      </c>
      <c r="D6796" t="str">
        <f>"HEBERT                   SHEILA       A           "</f>
        <v xml:space="preserve">HEBERT                   SHEILA       A           </v>
      </c>
      <c r="E6796" t="str">
        <f>"BILOXI                    "</f>
        <v xml:space="preserve">BILOXI                    </v>
      </c>
      <c r="F6796" t="str">
        <f t="shared" si="222"/>
        <v>MS</v>
      </c>
    </row>
    <row r="6797" spans="1:6" x14ac:dyDescent="0.25">
      <c r="A6797" t="str">
        <f>"000124764"</f>
        <v>000124764</v>
      </c>
      <c r="B6797" t="str">
        <f>"1770595084"</f>
        <v>1770595084</v>
      </c>
      <c r="C6797" t="str">
        <f>"363L00000X"</f>
        <v>363L00000X</v>
      </c>
      <c r="D6797" t="str">
        <f>"BLANCHARD                SYLVIA       O           "</f>
        <v xml:space="preserve">BLANCHARD                SYLVIA       O           </v>
      </c>
      <c r="E6797" t="str">
        <f>"TUPELO                    "</f>
        <v xml:space="preserve">TUPELO                    </v>
      </c>
      <c r="F6797" t="str">
        <f t="shared" si="222"/>
        <v>MS</v>
      </c>
    </row>
    <row r="6798" spans="1:6" x14ac:dyDescent="0.25">
      <c r="A6798" t="str">
        <f>"000124794"</f>
        <v>000124794</v>
      </c>
      <c r="B6798" t="str">
        <f>"1316969645"</f>
        <v>1316969645</v>
      </c>
      <c r="C6798" t="str">
        <f>"367500000X"</f>
        <v>367500000X</v>
      </c>
      <c r="D6798" t="str">
        <f>"BROWN                    RODNEY                   "</f>
        <v xml:space="preserve">BROWN                    RODNEY                   </v>
      </c>
      <c r="E6798" t="str">
        <f>"HATTIESBURG               "</f>
        <v xml:space="preserve">HATTIESBURG               </v>
      </c>
      <c r="F6798" t="str">
        <f t="shared" si="222"/>
        <v>MS</v>
      </c>
    </row>
    <row r="6799" spans="1:6" x14ac:dyDescent="0.25">
      <c r="A6799" t="str">
        <f>"000124809"</f>
        <v>000124809</v>
      </c>
      <c r="B6799" t="str">
        <f>"1548278385"</f>
        <v>1548278385</v>
      </c>
      <c r="C6799" t="str">
        <f>"207Q00000X"</f>
        <v>207Q00000X</v>
      </c>
      <c r="D6799" t="str">
        <f>"MARTIN                   SYLVIA       G           "</f>
        <v xml:space="preserve">MARTIN                   SYLVIA       G           </v>
      </c>
      <c r="E6799" t="str">
        <f>"JACKSON                   "</f>
        <v xml:space="preserve">JACKSON                   </v>
      </c>
      <c r="F6799" t="str">
        <f t="shared" si="222"/>
        <v>MS</v>
      </c>
    </row>
    <row r="6800" spans="1:6" x14ac:dyDescent="0.25">
      <c r="A6800" t="str">
        <f>"000124811"</f>
        <v>000124811</v>
      </c>
      <c r="B6800" t="str">
        <f>"1164460101"</f>
        <v>1164460101</v>
      </c>
      <c r="C6800" t="str">
        <f>"2084N0400X"</f>
        <v>2084N0400X</v>
      </c>
      <c r="D6800" t="str">
        <f>"HADIDI                   MOHAMAD      F           "</f>
        <v xml:space="preserve">HADIDI                   MOHAMAD      F           </v>
      </c>
      <c r="E6800" t="str">
        <f>"CLARKSDALE                "</f>
        <v xml:space="preserve">CLARKSDALE                </v>
      </c>
      <c r="F6800" t="str">
        <f t="shared" si="222"/>
        <v>MS</v>
      </c>
    </row>
    <row r="6801" spans="1:6" x14ac:dyDescent="0.25">
      <c r="A6801" t="str">
        <f>"000124844"</f>
        <v>000124844</v>
      </c>
      <c r="B6801" t="str">
        <f>"1295739894"</f>
        <v>1295739894</v>
      </c>
      <c r="C6801" t="str">
        <f>"207Q00000X"</f>
        <v>207Q00000X</v>
      </c>
      <c r="D6801" t="str">
        <f>"BRUCE                    ANDREA       M           "</f>
        <v xml:space="preserve">BRUCE                    ANDREA       M           </v>
      </c>
      <c r="E6801" t="str">
        <f>"COLLINS                   "</f>
        <v xml:space="preserve">COLLINS                   </v>
      </c>
      <c r="F6801" t="str">
        <f t="shared" si="222"/>
        <v>MS</v>
      </c>
    </row>
    <row r="6802" spans="1:6" x14ac:dyDescent="0.25">
      <c r="A6802" t="str">
        <f>"000124846"</f>
        <v>000124846</v>
      </c>
      <c r="B6802" t="str">
        <f>"1164537445"</f>
        <v>1164537445</v>
      </c>
      <c r="C6802" t="str">
        <f>"363L00000X"</f>
        <v>363L00000X</v>
      </c>
      <c r="D6802" t="str">
        <f>"MASSEY                   BRAD         H           "</f>
        <v xml:space="preserve">MASSEY                   BRAD         H           </v>
      </c>
      <c r="E6802" t="str">
        <f>"BASSFIELD                 "</f>
        <v xml:space="preserve">BASSFIELD                 </v>
      </c>
      <c r="F6802" t="str">
        <f t="shared" si="222"/>
        <v>MS</v>
      </c>
    </row>
    <row r="6803" spans="1:6" x14ac:dyDescent="0.25">
      <c r="A6803" t="str">
        <f>"000124847"</f>
        <v>000124847</v>
      </c>
      <c r="B6803" t="str">
        <f>"1427083625"</f>
        <v>1427083625</v>
      </c>
      <c r="C6803" t="str">
        <f>"207L00000X"</f>
        <v>207L00000X</v>
      </c>
      <c r="D6803" t="str">
        <f>"BRISTER                  STEVEN       L           "</f>
        <v xml:space="preserve">BRISTER                  STEVEN       L           </v>
      </c>
      <c r="E6803" t="str">
        <f>"TUPELO                    "</f>
        <v xml:space="preserve">TUPELO                    </v>
      </c>
      <c r="F6803" t="str">
        <f t="shared" si="222"/>
        <v>MS</v>
      </c>
    </row>
    <row r="6804" spans="1:6" x14ac:dyDescent="0.25">
      <c r="A6804" t="str">
        <f>"000124884"</f>
        <v>000124884</v>
      </c>
      <c r="B6804" t="str">
        <f>"1134231541"</f>
        <v>1134231541</v>
      </c>
      <c r="C6804" t="str">
        <f>"363L00000X"</f>
        <v>363L00000X</v>
      </c>
      <c r="D6804" t="str">
        <f>"VAUGHAN                  GENIE        B           "</f>
        <v xml:space="preserve">VAUGHAN                  GENIE        B           </v>
      </c>
      <c r="E6804" t="str">
        <f>"JAYESS                    "</f>
        <v xml:space="preserve">JAYESS                    </v>
      </c>
      <c r="F6804" t="str">
        <f t="shared" si="222"/>
        <v>MS</v>
      </c>
    </row>
    <row r="6805" spans="1:6" x14ac:dyDescent="0.25">
      <c r="A6805" t="str">
        <f>"000124898"</f>
        <v>000124898</v>
      </c>
      <c r="B6805" t="str">
        <f>"1427088814"</f>
        <v>1427088814</v>
      </c>
      <c r="C6805" t="str">
        <f>"208D00000X"</f>
        <v>208D00000X</v>
      </c>
      <c r="D6805" t="str">
        <f>"MAJOR                    STEVEN       D           "</f>
        <v xml:space="preserve">MAJOR                    STEVEN       D           </v>
      </c>
      <c r="E6805" t="str">
        <f>"SOUTHAVEN                 "</f>
        <v xml:space="preserve">SOUTHAVEN                 </v>
      </c>
      <c r="F6805" t="str">
        <f t="shared" si="222"/>
        <v>MS</v>
      </c>
    </row>
    <row r="6806" spans="1:6" x14ac:dyDescent="0.25">
      <c r="A6806" t="str">
        <f>"000124933"</f>
        <v>000124933</v>
      </c>
      <c r="B6806" t="str">
        <f>"1396740882"</f>
        <v>1396740882</v>
      </c>
      <c r="C6806" t="str">
        <f>"207Q00000X"</f>
        <v>207Q00000X</v>
      </c>
      <c r="D6806" t="str">
        <f>"PHILLIPS                 DOUGLAS      C           "</f>
        <v xml:space="preserve">PHILLIPS                 DOUGLAS      C           </v>
      </c>
      <c r="E6806" t="str">
        <f>"MERIDIAN                  "</f>
        <v xml:space="preserve">MERIDIAN                  </v>
      </c>
      <c r="F6806" t="str">
        <f t="shared" si="222"/>
        <v>MS</v>
      </c>
    </row>
    <row r="6807" spans="1:6" x14ac:dyDescent="0.25">
      <c r="A6807" t="str">
        <f>"000124941"</f>
        <v>000124941</v>
      </c>
      <c r="B6807" t="str">
        <f>"1265534648"</f>
        <v>1265534648</v>
      </c>
      <c r="C6807" t="str">
        <f>"363L00000X"</f>
        <v>363L00000X</v>
      </c>
      <c r="D6807" t="str">
        <f>"PERKINS-HEDGEPETH        MARLANA      E           "</f>
        <v xml:space="preserve">PERKINS-HEDGEPETH        MARLANA      E           </v>
      </c>
      <c r="E6807" t="str">
        <f>"ELLISVILLE                "</f>
        <v xml:space="preserve">ELLISVILLE                </v>
      </c>
      <c r="F6807" t="str">
        <f t="shared" si="222"/>
        <v>MS</v>
      </c>
    </row>
    <row r="6808" spans="1:6" x14ac:dyDescent="0.25">
      <c r="A6808" t="str">
        <f>"000124944"</f>
        <v>000124944</v>
      </c>
      <c r="B6808" t="str">
        <f>"1013999838"</f>
        <v>1013999838</v>
      </c>
      <c r="C6808" t="str">
        <f>"363L00000X"</f>
        <v>363L00000X</v>
      </c>
      <c r="D6808" t="str">
        <f>"WEAVER                   PATTI        S           "</f>
        <v xml:space="preserve">WEAVER                   PATTI        S           </v>
      </c>
      <c r="E6808" t="str">
        <f>"MERIDIAN                  "</f>
        <v xml:space="preserve">MERIDIAN                  </v>
      </c>
      <c r="F6808" t="str">
        <f t="shared" si="222"/>
        <v>MS</v>
      </c>
    </row>
    <row r="6809" spans="1:6" x14ac:dyDescent="0.25">
      <c r="A6809" t="str">
        <f>"000124973"</f>
        <v>000124973</v>
      </c>
      <c r="B6809" t="str">
        <f>"1871628180"</f>
        <v>1871628180</v>
      </c>
      <c r="C6809" t="str">
        <f>"367500000X"</f>
        <v>367500000X</v>
      </c>
      <c r="D6809" t="str">
        <f>"GREER                    GREGORY      P           "</f>
        <v xml:space="preserve">GREER                    GREGORY      P           </v>
      </c>
      <c r="E6809" t="str">
        <f>"PASCAGOULA                "</f>
        <v xml:space="preserve">PASCAGOULA                </v>
      </c>
      <c r="F6809" t="str">
        <f t="shared" si="222"/>
        <v>MS</v>
      </c>
    </row>
    <row r="6810" spans="1:6" x14ac:dyDescent="0.25">
      <c r="A6810" t="str">
        <f>"000124978"</f>
        <v>000124978</v>
      </c>
      <c r="B6810" t="str">
        <f>"1225060056"</f>
        <v>1225060056</v>
      </c>
      <c r="C6810" t="str">
        <f>"2086S0105X"</f>
        <v>2086S0105X</v>
      </c>
      <c r="D6810" t="str">
        <f>"LUCAS                    AUBREY       B           "</f>
        <v xml:space="preserve">LUCAS                    AUBREY       B           </v>
      </c>
      <c r="E6810" t="str">
        <f>"FLOWOOD                   "</f>
        <v xml:space="preserve">FLOWOOD                   </v>
      </c>
      <c r="F6810" t="str">
        <f t="shared" si="222"/>
        <v>MS</v>
      </c>
    </row>
    <row r="6811" spans="1:6" x14ac:dyDescent="0.25">
      <c r="A6811" t="str">
        <f>"000124980"</f>
        <v>000124980</v>
      </c>
      <c r="B6811" t="str">
        <f>"1023069333"</f>
        <v>1023069333</v>
      </c>
      <c r="C6811" t="str">
        <f>"367500000X"</f>
        <v>367500000X</v>
      </c>
      <c r="D6811" t="str">
        <f>"MICHEL                   JEFFREY                  "</f>
        <v xml:space="preserve">MICHEL                   JEFFREY                  </v>
      </c>
      <c r="E6811" t="str">
        <f>"BROOKHAVEN                "</f>
        <v xml:space="preserve">BROOKHAVEN                </v>
      </c>
      <c r="F6811" t="str">
        <f t="shared" si="222"/>
        <v>MS</v>
      </c>
    </row>
    <row r="6812" spans="1:6" x14ac:dyDescent="0.25">
      <c r="A6812" t="str">
        <f>"000124990"</f>
        <v>000124990</v>
      </c>
      <c r="B6812" t="str">
        <f>"1275539017"</f>
        <v>1275539017</v>
      </c>
      <c r="C6812" t="str">
        <f>"208000000X"</f>
        <v>208000000X</v>
      </c>
      <c r="D6812" t="str">
        <f>"DE ASIS                  BENARD       G           "</f>
        <v xml:space="preserve">DE ASIS                  BENARD       G           </v>
      </c>
      <c r="E6812" t="str">
        <f>"LAUREL                    "</f>
        <v xml:space="preserve">LAUREL                    </v>
      </c>
      <c r="F6812" t="str">
        <f t="shared" si="222"/>
        <v>MS</v>
      </c>
    </row>
    <row r="6813" spans="1:6" x14ac:dyDescent="0.25">
      <c r="A6813" t="str">
        <f>"000125020"</f>
        <v>000125020</v>
      </c>
      <c r="B6813" t="str">
        <f>"1023005535"</f>
        <v>1023005535</v>
      </c>
      <c r="C6813" t="str">
        <f>"208000000X"</f>
        <v>208000000X</v>
      </c>
      <c r="D6813" t="str">
        <f>"THOMPSON                 JEFFREY      D           "</f>
        <v xml:space="preserve">THOMPSON                 JEFFREY      D           </v>
      </c>
      <c r="E6813" t="str">
        <f>"OLIVE BRANCH              "</f>
        <v xml:space="preserve">OLIVE BRANCH              </v>
      </c>
      <c r="F6813" t="str">
        <f t="shared" si="222"/>
        <v>MS</v>
      </c>
    </row>
    <row r="6814" spans="1:6" x14ac:dyDescent="0.25">
      <c r="A6814" t="str">
        <f>"000125030"</f>
        <v>000125030</v>
      </c>
      <c r="B6814" t="str">
        <f>"1528040680"</f>
        <v>1528040680</v>
      </c>
      <c r="C6814" t="str">
        <f>"367500000X"</f>
        <v>367500000X</v>
      </c>
      <c r="D6814" t="str">
        <f>"SHOWS                    EMILY        A           "</f>
        <v xml:space="preserve">SHOWS                    EMILY        A           </v>
      </c>
      <c r="E6814" t="str">
        <f>"FLOWOOD                   "</f>
        <v xml:space="preserve">FLOWOOD                   </v>
      </c>
      <c r="F6814" t="str">
        <f t="shared" si="222"/>
        <v>MS</v>
      </c>
    </row>
    <row r="6815" spans="1:6" x14ac:dyDescent="0.25">
      <c r="A6815" t="str">
        <f>"000125048"</f>
        <v>000125048</v>
      </c>
      <c r="B6815" t="str">
        <f>"1508962101"</f>
        <v>1508962101</v>
      </c>
      <c r="C6815" t="str">
        <f>"363L00000X"</f>
        <v>363L00000X</v>
      </c>
      <c r="D6815" t="str">
        <f>"BLESSE                   LISA         G           "</f>
        <v xml:space="preserve">BLESSE                   LISA         G           </v>
      </c>
      <c r="E6815" t="str">
        <f>"HATTIESBURG               "</f>
        <v xml:space="preserve">HATTIESBURG               </v>
      </c>
      <c r="F6815" t="str">
        <f t="shared" si="222"/>
        <v>MS</v>
      </c>
    </row>
    <row r="6816" spans="1:6" x14ac:dyDescent="0.25">
      <c r="A6816" t="str">
        <f>"000125052"</f>
        <v>000125052</v>
      </c>
      <c r="B6816" t="str">
        <f>"1275708737"</f>
        <v>1275708737</v>
      </c>
      <c r="C6816" t="str">
        <f>"363L00000X"</f>
        <v>363L00000X</v>
      </c>
      <c r="D6816" t="str">
        <f>"SMITH                    LURETHA                  "</f>
        <v xml:space="preserve">SMITH                    LURETHA                  </v>
      </c>
      <c r="E6816" t="str">
        <f>"FLOWOOD                   "</f>
        <v xml:space="preserve">FLOWOOD                   </v>
      </c>
      <c r="F6816" t="str">
        <f t="shared" si="222"/>
        <v>MS</v>
      </c>
    </row>
    <row r="6817" spans="1:6" x14ac:dyDescent="0.25">
      <c r="A6817" t="str">
        <f>"000125062"</f>
        <v>000125062</v>
      </c>
      <c r="B6817" t="str">
        <f>"1265457709"</f>
        <v>1265457709</v>
      </c>
      <c r="C6817" t="str">
        <f>"207P00000X"</f>
        <v>207P00000X</v>
      </c>
      <c r="D6817" t="str">
        <f>"MCKENZIE                 LESLIE       K           "</f>
        <v xml:space="preserve">MCKENZIE                 LESLIE       K           </v>
      </c>
      <c r="E6817" t="str">
        <f>"JACKSON                   "</f>
        <v xml:space="preserve">JACKSON                   </v>
      </c>
      <c r="F6817" t="str">
        <f t="shared" si="222"/>
        <v>MS</v>
      </c>
    </row>
    <row r="6818" spans="1:6" x14ac:dyDescent="0.25">
      <c r="A6818" t="str">
        <f>"000125084"</f>
        <v>000125084</v>
      </c>
      <c r="B6818" t="str">
        <f>"1326063900"</f>
        <v>1326063900</v>
      </c>
      <c r="C6818" t="str">
        <f>"207Q00000X"</f>
        <v>207Q00000X</v>
      </c>
      <c r="D6818" t="str">
        <f>"KAYOMA                   JOHN                     "</f>
        <v xml:space="preserve">KAYOMA                   JOHN                     </v>
      </c>
      <c r="E6818" t="str">
        <f>"FAYETTE                   "</f>
        <v xml:space="preserve">FAYETTE                   </v>
      </c>
      <c r="F6818" t="str">
        <f t="shared" si="222"/>
        <v>MS</v>
      </c>
    </row>
    <row r="6819" spans="1:6" x14ac:dyDescent="0.25">
      <c r="A6819" t="str">
        <f>"000125087"</f>
        <v>000125087</v>
      </c>
      <c r="B6819" t="str">
        <f>"1396712915"</f>
        <v>1396712915</v>
      </c>
      <c r="C6819" t="str">
        <f>"208000000X"</f>
        <v>208000000X</v>
      </c>
      <c r="D6819" t="str">
        <f>"SHAKIR                   SHAMA                    "</f>
        <v xml:space="preserve">SHAKIR                   SHAMA                    </v>
      </c>
      <c r="E6819" t="str">
        <f>"BAY SAINT LOUIS           "</f>
        <v xml:space="preserve">BAY SAINT LOUIS           </v>
      </c>
      <c r="F6819" t="str">
        <f t="shared" si="222"/>
        <v>MS</v>
      </c>
    </row>
    <row r="6820" spans="1:6" x14ac:dyDescent="0.25">
      <c r="A6820" t="str">
        <f>"000125091"</f>
        <v>000125091</v>
      </c>
      <c r="B6820" t="str">
        <f>"1760459242"</f>
        <v>1760459242</v>
      </c>
      <c r="C6820" t="str">
        <f>"208000000X"</f>
        <v>208000000X</v>
      </c>
      <c r="D6820" t="str">
        <f>"DIXIT                    PRASHANT     P           "</f>
        <v xml:space="preserve">DIXIT                    PRASHANT     P           </v>
      </c>
      <c r="E6820" t="str">
        <f>"OCEAN SPRINGS             "</f>
        <v xml:space="preserve">OCEAN SPRINGS             </v>
      </c>
      <c r="F6820" t="str">
        <f t="shared" si="222"/>
        <v>MS</v>
      </c>
    </row>
    <row r="6821" spans="1:6" x14ac:dyDescent="0.25">
      <c r="A6821" t="str">
        <f>"000125117"</f>
        <v>000125117</v>
      </c>
      <c r="B6821" t="str">
        <f>"1912098781"</f>
        <v>1912098781</v>
      </c>
      <c r="C6821" t="str">
        <f>"207R00000X"</f>
        <v>207R00000X</v>
      </c>
      <c r="D6821" t="str">
        <f>"QURESHI                  NASEEM       A           "</f>
        <v xml:space="preserve">QURESHI                  NASEEM       A           </v>
      </c>
      <c r="E6821" t="str">
        <f>"MERIDIAN                  "</f>
        <v xml:space="preserve">MERIDIAN                  </v>
      </c>
      <c r="F6821" t="str">
        <f t="shared" si="222"/>
        <v>MS</v>
      </c>
    </row>
    <row r="6822" spans="1:6" x14ac:dyDescent="0.25">
      <c r="A6822" t="str">
        <f>"000125121"</f>
        <v>000125121</v>
      </c>
      <c r="B6822" t="str">
        <f>"1366490302"</f>
        <v>1366490302</v>
      </c>
      <c r="C6822" t="str">
        <f>"207Q00000X"</f>
        <v>207Q00000X</v>
      </c>
      <c r="D6822" t="str">
        <f>"JOUDEH                   MAAN                     "</f>
        <v xml:space="preserve">JOUDEH                   MAAN                     </v>
      </c>
      <c r="E6822" t="str">
        <f>"AMORY                     "</f>
        <v xml:space="preserve">AMORY                     </v>
      </c>
      <c r="F6822" t="str">
        <f t="shared" si="222"/>
        <v>MS</v>
      </c>
    </row>
    <row r="6823" spans="1:6" x14ac:dyDescent="0.25">
      <c r="A6823" t="str">
        <f>"000125157"</f>
        <v>000125157</v>
      </c>
      <c r="B6823" t="str">
        <f>"1992802367"</f>
        <v>1992802367</v>
      </c>
      <c r="C6823" t="str">
        <f>"363L00000X"</f>
        <v>363L00000X</v>
      </c>
      <c r="D6823" t="str">
        <f>"WATSON                   TIMOTHY      B           "</f>
        <v xml:space="preserve">WATSON                   TIMOTHY      B           </v>
      </c>
      <c r="E6823" t="str">
        <f>"AMORY                     "</f>
        <v xml:space="preserve">AMORY                     </v>
      </c>
      <c r="F6823" t="str">
        <f t="shared" si="222"/>
        <v>MS</v>
      </c>
    </row>
    <row r="6824" spans="1:6" x14ac:dyDescent="0.25">
      <c r="A6824" t="str">
        <f>"000125160"</f>
        <v>000125160</v>
      </c>
      <c r="B6824" t="str">
        <f>"1962440115"</f>
        <v>1962440115</v>
      </c>
      <c r="C6824" t="str">
        <f>"207Q00000X"</f>
        <v>207Q00000X</v>
      </c>
      <c r="D6824" t="str">
        <f>"DEES                     JASON        B           "</f>
        <v xml:space="preserve">DEES                     JASON        B           </v>
      </c>
      <c r="E6824" t="str">
        <f>"NEW ALBANY                "</f>
        <v xml:space="preserve">NEW ALBANY                </v>
      </c>
      <c r="F6824" t="str">
        <f t="shared" si="222"/>
        <v>MS</v>
      </c>
    </row>
    <row r="6825" spans="1:6" x14ac:dyDescent="0.25">
      <c r="A6825" t="str">
        <f>"000125179"</f>
        <v>000125179</v>
      </c>
      <c r="B6825" t="str">
        <f>"1942248992"</f>
        <v>1942248992</v>
      </c>
      <c r="C6825" t="str">
        <f>"2084P0804X"</f>
        <v>2084P0804X</v>
      </c>
      <c r="D6825" t="str">
        <f>"MERIDETH                 PHILIP       T           "</f>
        <v xml:space="preserve">MERIDETH                 PHILIP       T           </v>
      </c>
      <c r="E6825" t="str">
        <f>"JACKSON                   "</f>
        <v xml:space="preserve">JACKSON                   </v>
      </c>
      <c r="F6825" t="str">
        <f t="shared" si="222"/>
        <v>MS</v>
      </c>
    </row>
    <row r="6826" spans="1:6" x14ac:dyDescent="0.25">
      <c r="A6826" t="str">
        <f>"000125196"</f>
        <v>000125196</v>
      </c>
      <c r="B6826" t="str">
        <f>"1447282165"</f>
        <v>1447282165</v>
      </c>
      <c r="C6826" t="str">
        <f>"207P00000X"</f>
        <v>207P00000X</v>
      </c>
      <c r="D6826" t="str">
        <f>"SCHWAGER                 KEITH        T           "</f>
        <v xml:space="preserve">SCHWAGER                 KEITH        T           </v>
      </c>
      <c r="E6826" t="str">
        <f>"MCCOMB                    "</f>
        <v xml:space="preserve">MCCOMB                    </v>
      </c>
      <c r="F6826" t="str">
        <f t="shared" si="222"/>
        <v>MS</v>
      </c>
    </row>
    <row r="6827" spans="1:6" x14ac:dyDescent="0.25">
      <c r="A6827" t="str">
        <f>"000125197"</f>
        <v>000125197</v>
      </c>
      <c r="B6827" t="str">
        <f>"1477594851"</f>
        <v>1477594851</v>
      </c>
      <c r="C6827" t="str">
        <f>"363L00000X"</f>
        <v>363L00000X</v>
      </c>
      <c r="D6827" t="str">
        <f>"LANTRIP                  DANNY        D           "</f>
        <v xml:space="preserve">LANTRIP                  DANNY        D           </v>
      </c>
      <c r="E6827" t="str">
        <f>"EUPORA                    "</f>
        <v xml:space="preserve">EUPORA                    </v>
      </c>
      <c r="F6827" t="str">
        <f t="shared" si="222"/>
        <v>MS</v>
      </c>
    </row>
    <row r="6828" spans="1:6" x14ac:dyDescent="0.25">
      <c r="A6828" t="str">
        <f>"000125198"</f>
        <v>000125198</v>
      </c>
      <c r="B6828" t="str">
        <f>"1629050836"</f>
        <v>1629050836</v>
      </c>
      <c r="C6828" t="str">
        <f>"367500000X"</f>
        <v>367500000X</v>
      </c>
      <c r="D6828" t="str">
        <f>"JOHNSON                  MARY         P           "</f>
        <v xml:space="preserve">JOHNSON                  MARY         P           </v>
      </c>
      <c r="E6828" t="str">
        <f>"MERIDIAN                  "</f>
        <v xml:space="preserve">MERIDIAN                  </v>
      </c>
      <c r="F6828" t="str">
        <f t="shared" si="222"/>
        <v>MS</v>
      </c>
    </row>
    <row r="6829" spans="1:6" x14ac:dyDescent="0.25">
      <c r="A6829" t="str">
        <f>"000125232"</f>
        <v>000125232</v>
      </c>
      <c r="B6829" t="str">
        <f>"1396794467"</f>
        <v>1396794467</v>
      </c>
      <c r="C6829" t="str">
        <f>"207P00000X"</f>
        <v>207P00000X</v>
      </c>
      <c r="D6829" t="str">
        <f>"DUNBAR JR                MARVIN       R           "</f>
        <v xml:space="preserve">DUNBAR JR                MARVIN       R           </v>
      </c>
      <c r="E6829" t="str">
        <f>"LAUREL                    "</f>
        <v xml:space="preserve">LAUREL                    </v>
      </c>
      <c r="F6829" t="str">
        <f t="shared" si="222"/>
        <v>MS</v>
      </c>
    </row>
    <row r="6830" spans="1:6" x14ac:dyDescent="0.25">
      <c r="A6830" t="str">
        <f>"000125322"</f>
        <v>000125322</v>
      </c>
      <c r="B6830" t="str">
        <f>"1275535551"</f>
        <v>1275535551</v>
      </c>
      <c r="C6830" t="str">
        <f>"208000000X"</f>
        <v>208000000X</v>
      </c>
      <c r="D6830" t="str">
        <f>"SCOTT                    MICHAEL      S           "</f>
        <v xml:space="preserve">SCOTT                    MICHAEL      S           </v>
      </c>
      <c r="E6830" t="str">
        <f>"NEW ALBANY                "</f>
        <v xml:space="preserve">NEW ALBANY                </v>
      </c>
      <c r="F6830" t="str">
        <f t="shared" si="222"/>
        <v>MS</v>
      </c>
    </row>
    <row r="6831" spans="1:6" x14ac:dyDescent="0.25">
      <c r="A6831" t="str">
        <f>"000125324"</f>
        <v>000125324</v>
      </c>
      <c r="B6831" t="str">
        <f>"1235248451"</f>
        <v>1235248451</v>
      </c>
      <c r="C6831" t="str">
        <f>"207X00000X"</f>
        <v>207X00000X</v>
      </c>
      <c r="D6831" t="str">
        <f>"WEAVER                   JAMES        M           "</f>
        <v xml:space="preserve">WEAVER                   JAMES        M           </v>
      </c>
      <c r="E6831" t="str">
        <f>"HATTIESBURG               "</f>
        <v xml:space="preserve">HATTIESBURG               </v>
      </c>
      <c r="F6831" t="str">
        <f t="shared" si="222"/>
        <v>MS</v>
      </c>
    </row>
    <row r="6832" spans="1:6" x14ac:dyDescent="0.25">
      <c r="A6832" t="str">
        <f>"000125342"</f>
        <v>000125342</v>
      </c>
      <c r="B6832" t="str">
        <f>"1881685782"</f>
        <v>1881685782</v>
      </c>
      <c r="C6832" t="str">
        <f>"207Q00000X"</f>
        <v>207Q00000X</v>
      </c>
      <c r="D6832" t="str">
        <f>"COLEMAN                  BRANDON      L           "</f>
        <v xml:space="preserve">COLEMAN                  BRANDON      L           </v>
      </c>
      <c r="E6832" t="str">
        <f>"SUMRALL                   "</f>
        <v xml:space="preserve">SUMRALL                   </v>
      </c>
      <c r="F6832" t="str">
        <f t="shared" si="222"/>
        <v>MS</v>
      </c>
    </row>
    <row r="6833" spans="1:6" x14ac:dyDescent="0.25">
      <c r="A6833" t="str">
        <f>"000125352"</f>
        <v>000125352</v>
      </c>
      <c r="B6833" t="str">
        <f>"1871601070"</f>
        <v>1871601070</v>
      </c>
      <c r="C6833" t="str">
        <f>"208000000X"</f>
        <v>208000000X</v>
      </c>
      <c r="D6833" t="str">
        <f>"RICHARDSON               BRENTON      G           "</f>
        <v xml:space="preserve">RICHARDSON               BRENTON      G           </v>
      </c>
      <c r="E6833" t="str">
        <f>"HATTIESBURG               "</f>
        <v xml:space="preserve">HATTIESBURG               </v>
      </c>
      <c r="F6833" t="str">
        <f t="shared" si="222"/>
        <v>MS</v>
      </c>
    </row>
    <row r="6834" spans="1:6" x14ac:dyDescent="0.25">
      <c r="A6834" t="str">
        <f>"000125356"</f>
        <v>000125356</v>
      </c>
      <c r="B6834" t="str">
        <f>"1962440230"</f>
        <v>1962440230</v>
      </c>
      <c r="C6834" t="str">
        <f>"2084P0800X"</f>
        <v>2084P0800X</v>
      </c>
      <c r="D6834" t="str">
        <f>"BARNES                   MARIANNE                 "</f>
        <v xml:space="preserve">BARNES                   MARIANNE                 </v>
      </c>
      <c r="E6834" t="str">
        <f>"TUPELO                    "</f>
        <v xml:space="preserve">TUPELO                    </v>
      </c>
      <c r="F6834" t="str">
        <f t="shared" si="222"/>
        <v>MS</v>
      </c>
    </row>
    <row r="6835" spans="1:6" x14ac:dyDescent="0.25">
      <c r="A6835" t="str">
        <f>"000125362"</f>
        <v>000125362</v>
      </c>
      <c r="B6835" t="str">
        <f>"1396776514"</f>
        <v>1396776514</v>
      </c>
      <c r="C6835" t="str">
        <f>"363L00000X"</f>
        <v>363L00000X</v>
      </c>
      <c r="D6835" t="str">
        <f>"HOOVER                   DEBORAH      A           "</f>
        <v xml:space="preserve">HOOVER                   DEBORAH      A           </v>
      </c>
      <c r="E6835" t="str">
        <f>"VICKSBURG                 "</f>
        <v xml:space="preserve">VICKSBURG                 </v>
      </c>
      <c r="F6835" t="str">
        <f t="shared" si="222"/>
        <v>MS</v>
      </c>
    </row>
    <row r="6836" spans="1:6" x14ac:dyDescent="0.25">
      <c r="A6836" t="str">
        <f>"000125376"</f>
        <v>000125376</v>
      </c>
      <c r="B6836" t="str">
        <f>"1659376382"</f>
        <v>1659376382</v>
      </c>
      <c r="C6836" t="str">
        <f>"207W00000X"</f>
        <v>207W00000X</v>
      </c>
      <c r="D6836" t="str">
        <f>"WHITTINGTON              CURTIS       D           "</f>
        <v xml:space="preserve">WHITTINGTON              CURTIS       D           </v>
      </c>
      <c r="E6836" t="str">
        <f>"MADISON                   "</f>
        <v xml:space="preserve">MADISON                   </v>
      </c>
      <c r="F6836" t="str">
        <f t="shared" si="222"/>
        <v>MS</v>
      </c>
    </row>
    <row r="6837" spans="1:6" x14ac:dyDescent="0.25">
      <c r="A6837" t="str">
        <f>"000125405"</f>
        <v>000125405</v>
      </c>
      <c r="B6837" t="str">
        <f>"1972546901"</f>
        <v>1972546901</v>
      </c>
      <c r="C6837" t="str">
        <f>"207Q00000X"</f>
        <v>207Q00000X</v>
      </c>
      <c r="D6837" t="str">
        <f>"WILLIAMS                 DANURIUS     L           "</f>
        <v xml:space="preserve">WILLIAMS                 DANURIUS     L           </v>
      </c>
      <c r="E6837" t="str">
        <f>"JACKSON                   "</f>
        <v xml:space="preserve">JACKSON                   </v>
      </c>
      <c r="F6837" t="str">
        <f t="shared" si="222"/>
        <v>MS</v>
      </c>
    </row>
    <row r="6838" spans="1:6" x14ac:dyDescent="0.25">
      <c r="A6838" t="str">
        <f>"000125406"</f>
        <v>000125406</v>
      </c>
      <c r="B6838" t="str">
        <f>"1699745133"</f>
        <v>1699745133</v>
      </c>
      <c r="C6838" t="str">
        <f>"207R00000X"</f>
        <v>207R00000X</v>
      </c>
      <c r="D6838" t="str">
        <f>"MASSEY                   JONATHAN     H           "</f>
        <v xml:space="preserve">MASSEY                   JONATHAN     H           </v>
      </c>
      <c r="E6838" t="str">
        <f>"WATER VALLEY              "</f>
        <v xml:space="preserve">WATER VALLEY              </v>
      </c>
      <c r="F6838" t="str">
        <f t="shared" si="222"/>
        <v>MS</v>
      </c>
    </row>
    <row r="6839" spans="1:6" x14ac:dyDescent="0.25">
      <c r="A6839" t="str">
        <f>"000125415"</f>
        <v>000125415</v>
      </c>
      <c r="B6839" t="str">
        <f>"1700889730"</f>
        <v>1700889730</v>
      </c>
      <c r="C6839" t="str">
        <f>"207X00000X"</f>
        <v>207X00000X</v>
      </c>
      <c r="D6839" t="str">
        <f>"WEISS                    KENNETH      S           "</f>
        <v xml:space="preserve">WEISS                    KENNETH      S           </v>
      </c>
      <c r="E6839" t="str">
        <f>"SOUTHAVEN                 "</f>
        <v xml:space="preserve">SOUTHAVEN                 </v>
      </c>
      <c r="F6839" t="str">
        <f t="shared" si="222"/>
        <v>MS</v>
      </c>
    </row>
    <row r="6840" spans="1:6" x14ac:dyDescent="0.25">
      <c r="A6840" t="str">
        <f>"000125418"</f>
        <v>000125418</v>
      </c>
      <c r="B6840" t="str">
        <f>"1700890498"</f>
        <v>1700890498</v>
      </c>
      <c r="C6840" t="str">
        <f>"207RX0202X"</f>
        <v>207RX0202X</v>
      </c>
      <c r="D6840" t="str">
        <f>"BOND                     LISA                     "</f>
        <v xml:space="preserve">BOND                     LISA                     </v>
      </c>
      <c r="E6840" t="str">
        <f>"LAUREL                    "</f>
        <v xml:space="preserve">LAUREL                    </v>
      </c>
      <c r="F6840" t="str">
        <f t="shared" si="222"/>
        <v>MS</v>
      </c>
    </row>
    <row r="6841" spans="1:6" x14ac:dyDescent="0.25">
      <c r="A6841" t="str">
        <f>"000125439"</f>
        <v>000125439</v>
      </c>
      <c r="B6841" t="str">
        <f>"1346322880"</f>
        <v>1346322880</v>
      </c>
      <c r="C6841" t="str">
        <f>"207R00000X"</f>
        <v>207R00000X</v>
      </c>
      <c r="D6841" t="str">
        <f>"AULTMAN                  TRICIA       L           "</f>
        <v xml:space="preserve">AULTMAN                  TRICIA       L           </v>
      </c>
      <c r="E6841" t="str">
        <f>"PASCAGOULA                "</f>
        <v xml:space="preserve">PASCAGOULA                </v>
      </c>
      <c r="F6841" t="str">
        <f t="shared" si="222"/>
        <v>MS</v>
      </c>
    </row>
    <row r="6842" spans="1:6" x14ac:dyDescent="0.25">
      <c r="A6842" t="str">
        <f>"000125446"</f>
        <v>000125446</v>
      </c>
      <c r="B6842" t="str">
        <f>"1164434882"</f>
        <v>1164434882</v>
      </c>
      <c r="C6842" t="str">
        <f>"2084P0800X"</f>
        <v>2084P0800X</v>
      </c>
      <c r="D6842" t="str">
        <f>"RODRIQUEZ-TORRES         ALFREDO                  "</f>
        <v xml:space="preserve">RODRIQUEZ-TORRES         ALFREDO                  </v>
      </c>
      <c r="E6842" t="str">
        <f>"STARKVILLE                "</f>
        <v xml:space="preserve">STARKVILLE                </v>
      </c>
      <c r="F6842" t="str">
        <f t="shared" si="222"/>
        <v>MS</v>
      </c>
    </row>
    <row r="6843" spans="1:6" x14ac:dyDescent="0.25">
      <c r="A6843" t="str">
        <f>"000125485"</f>
        <v>000125485</v>
      </c>
      <c r="B6843" t="str">
        <f>"1457345456"</f>
        <v>1457345456</v>
      </c>
      <c r="C6843" t="str">
        <f>"207RP1001X"</f>
        <v>207RP1001X</v>
      </c>
      <c r="D6843" t="str">
        <f>"MCGEE                    ROBERT       V           "</f>
        <v xml:space="preserve">MCGEE                    ROBERT       V           </v>
      </c>
      <c r="E6843" t="str">
        <f>"JACKSON                   "</f>
        <v xml:space="preserve">JACKSON                   </v>
      </c>
      <c r="F6843" t="str">
        <f t="shared" si="222"/>
        <v>MS</v>
      </c>
    </row>
    <row r="6844" spans="1:6" x14ac:dyDescent="0.25">
      <c r="A6844" t="str">
        <f>"000125498"</f>
        <v>000125498</v>
      </c>
      <c r="B6844" t="str">
        <f>"1366451049"</f>
        <v>1366451049</v>
      </c>
      <c r="C6844" t="str">
        <f>"208000000X"</f>
        <v>208000000X</v>
      </c>
      <c r="D6844" t="str">
        <f>"FITTS                    TANYA        J           "</f>
        <v xml:space="preserve">FITTS                    TANYA        J           </v>
      </c>
      <c r="E6844" t="str">
        <f>"OXFORD                    "</f>
        <v xml:space="preserve">OXFORD                    </v>
      </c>
      <c r="F6844" t="str">
        <f t="shared" si="222"/>
        <v>MS</v>
      </c>
    </row>
    <row r="6845" spans="1:6" x14ac:dyDescent="0.25">
      <c r="A6845" t="str">
        <f>"000125504"</f>
        <v>000125504</v>
      </c>
      <c r="B6845" t="str">
        <f>"1831129295"</f>
        <v>1831129295</v>
      </c>
      <c r="C6845" t="str">
        <f>"207P00000X"</f>
        <v>207P00000X</v>
      </c>
      <c r="D6845" t="str">
        <f>"JORDAN                   ERIC         W           "</f>
        <v xml:space="preserve">JORDAN                   ERIC         W           </v>
      </c>
      <c r="E6845" t="str">
        <f>"HATTIESBURG               "</f>
        <v xml:space="preserve">HATTIESBURG               </v>
      </c>
      <c r="F6845" t="str">
        <f t="shared" si="222"/>
        <v>MS</v>
      </c>
    </row>
    <row r="6846" spans="1:6" x14ac:dyDescent="0.25">
      <c r="A6846" t="str">
        <f>"000125529"</f>
        <v>000125529</v>
      </c>
      <c r="B6846" t="str">
        <f>"1376628529"</f>
        <v>1376628529</v>
      </c>
      <c r="C6846" t="str">
        <f>"207RN0300X"</f>
        <v>207RN0300X</v>
      </c>
      <c r="D6846" t="str">
        <f>"KLEIN                    MARK                     "</f>
        <v xml:space="preserve">KLEIN                    MARK                     </v>
      </c>
      <c r="E6846" t="str">
        <f>"FLOWOOD                   "</f>
        <v xml:space="preserve">FLOWOOD                   </v>
      </c>
      <c r="F6846" t="str">
        <f t="shared" ref="F6846:F6909" si="223">"MS"</f>
        <v>MS</v>
      </c>
    </row>
    <row r="6847" spans="1:6" x14ac:dyDescent="0.25">
      <c r="A6847" t="str">
        <f>"000125550"</f>
        <v>000125550</v>
      </c>
      <c r="B6847" t="str">
        <f>"1003840240"</f>
        <v>1003840240</v>
      </c>
      <c r="C6847" t="str">
        <f>"207L00000X"</f>
        <v>207L00000X</v>
      </c>
      <c r="D6847" t="str">
        <f>"MYERS                    MATTHEW      M           "</f>
        <v xml:space="preserve">MYERS                    MATTHEW      M           </v>
      </c>
      <c r="E6847" t="str">
        <f>"TUPELO                    "</f>
        <v xml:space="preserve">TUPELO                    </v>
      </c>
      <c r="F6847" t="str">
        <f t="shared" si="223"/>
        <v>MS</v>
      </c>
    </row>
    <row r="6848" spans="1:6" x14ac:dyDescent="0.25">
      <c r="A6848" t="str">
        <f>"000125559"</f>
        <v>000125559</v>
      </c>
      <c r="B6848" t="str">
        <f>"1053387969"</f>
        <v>1053387969</v>
      </c>
      <c r="C6848" t="str">
        <f>"363L00000X"</f>
        <v>363L00000X</v>
      </c>
      <c r="D6848" t="str">
        <f>"HOWELL                   WENDY        O           "</f>
        <v xml:space="preserve">HOWELL                   WENDY        O           </v>
      </c>
      <c r="E6848" t="str">
        <f>"SALTILLO                  "</f>
        <v xml:space="preserve">SALTILLO                  </v>
      </c>
      <c r="F6848" t="str">
        <f t="shared" si="223"/>
        <v>MS</v>
      </c>
    </row>
    <row r="6849" spans="1:6" x14ac:dyDescent="0.25">
      <c r="A6849" t="str">
        <f>"000125561"</f>
        <v>000125561</v>
      </c>
      <c r="B6849" t="str">
        <f>"1730148123"</f>
        <v>1730148123</v>
      </c>
      <c r="C6849" t="str">
        <f>"363L00000X"</f>
        <v>363L00000X</v>
      </c>
      <c r="D6849" t="str">
        <f>"WILBON                   ROSIE        A           "</f>
        <v xml:space="preserve">WILBON                   ROSIE        A           </v>
      </c>
      <c r="E6849" t="str">
        <f>"MACON                     "</f>
        <v xml:space="preserve">MACON                     </v>
      </c>
      <c r="F6849" t="str">
        <f t="shared" si="223"/>
        <v>MS</v>
      </c>
    </row>
    <row r="6850" spans="1:6" x14ac:dyDescent="0.25">
      <c r="A6850" t="str">
        <f>"000125563"</f>
        <v>000125563</v>
      </c>
      <c r="B6850" t="str">
        <f>"1508815713"</f>
        <v>1508815713</v>
      </c>
      <c r="C6850" t="str">
        <f>"363L00000X"</f>
        <v>363L00000X</v>
      </c>
      <c r="D6850" t="str">
        <f>"ALDRIDGE                 MARCENIA                 "</f>
        <v xml:space="preserve">ALDRIDGE                 MARCENIA                 </v>
      </c>
      <c r="E6850" t="str">
        <f>"SUMMIT                    "</f>
        <v xml:space="preserve">SUMMIT                    </v>
      </c>
      <c r="F6850" t="str">
        <f t="shared" si="223"/>
        <v>MS</v>
      </c>
    </row>
    <row r="6851" spans="1:6" x14ac:dyDescent="0.25">
      <c r="A6851" t="str">
        <f>"000125565"</f>
        <v>000125565</v>
      </c>
      <c r="B6851" t="str">
        <f>"1346357498"</f>
        <v>1346357498</v>
      </c>
      <c r="C6851" t="str">
        <f>"208000000X"</f>
        <v>208000000X</v>
      </c>
      <c r="D6851" t="str">
        <f>"GRAYSON                  JENNIFER     L           "</f>
        <v xml:space="preserve">GRAYSON                  JENNIFER     L           </v>
      </c>
      <c r="E6851" t="str">
        <f>"BILOXI                    "</f>
        <v xml:space="preserve">BILOXI                    </v>
      </c>
      <c r="F6851" t="str">
        <f t="shared" si="223"/>
        <v>MS</v>
      </c>
    </row>
    <row r="6852" spans="1:6" x14ac:dyDescent="0.25">
      <c r="A6852" t="str">
        <f>"000125591"</f>
        <v>000125591</v>
      </c>
      <c r="B6852" t="str">
        <f>"1568474294"</f>
        <v>1568474294</v>
      </c>
      <c r="C6852" t="str">
        <f>"207RN0300X"</f>
        <v>207RN0300X</v>
      </c>
      <c r="D6852" t="str">
        <f>"HABEEB                   DANIEL       M           "</f>
        <v xml:space="preserve">HABEEB                   DANIEL       M           </v>
      </c>
      <c r="E6852" t="str">
        <f>"HATTIESBURG               "</f>
        <v xml:space="preserve">HATTIESBURG               </v>
      </c>
      <c r="F6852" t="str">
        <f t="shared" si="223"/>
        <v>MS</v>
      </c>
    </row>
    <row r="6853" spans="1:6" x14ac:dyDescent="0.25">
      <c r="A6853" t="str">
        <f>"000125593"</f>
        <v>000125593</v>
      </c>
      <c r="B6853" t="str">
        <f>"1942276845"</f>
        <v>1942276845</v>
      </c>
      <c r="C6853" t="str">
        <f>"363L00000X"</f>
        <v>363L00000X</v>
      </c>
      <c r="D6853" t="str">
        <f>"HOLCOMB                  CINDY        O           "</f>
        <v xml:space="preserve">HOLCOMB                  CINDY        O           </v>
      </c>
      <c r="E6853" t="str">
        <f>"SALTILLO                  "</f>
        <v xml:space="preserve">SALTILLO                  </v>
      </c>
      <c r="F6853" t="str">
        <f t="shared" si="223"/>
        <v>MS</v>
      </c>
    </row>
    <row r="6854" spans="1:6" x14ac:dyDescent="0.25">
      <c r="A6854" t="str">
        <f>"000125626"</f>
        <v>000125626</v>
      </c>
      <c r="B6854" t="str">
        <f>"1003892357"</f>
        <v>1003892357</v>
      </c>
      <c r="C6854" t="str">
        <f>"207K00000X"</f>
        <v>207K00000X</v>
      </c>
      <c r="D6854" t="str">
        <f>"VENARSKE                 DANIEL       L           "</f>
        <v xml:space="preserve">VENARSKE                 DANIEL       L           </v>
      </c>
      <c r="E6854" t="str">
        <f>"OXFORD                    "</f>
        <v xml:space="preserve">OXFORD                    </v>
      </c>
      <c r="F6854" t="str">
        <f t="shared" si="223"/>
        <v>MS</v>
      </c>
    </row>
    <row r="6855" spans="1:6" x14ac:dyDescent="0.25">
      <c r="A6855" t="str">
        <f>"000125640"</f>
        <v>000125640</v>
      </c>
      <c r="B6855" t="str">
        <f>"1457394389"</f>
        <v>1457394389</v>
      </c>
      <c r="C6855" t="str">
        <f>"367500000X"</f>
        <v>367500000X</v>
      </c>
      <c r="D6855" t="str">
        <f>"WIER                     STEVEN                   "</f>
        <v xml:space="preserve">WIER                     STEVEN                   </v>
      </c>
      <c r="E6855" t="str">
        <f>"JACKSON                   "</f>
        <v xml:space="preserve">JACKSON                   </v>
      </c>
      <c r="F6855" t="str">
        <f t="shared" si="223"/>
        <v>MS</v>
      </c>
    </row>
    <row r="6856" spans="1:6" x14ac:dyDescent="0.25">
      <c r="A6856" t="str">
        <f>"000125653"</f>
        <v>000125653</v>
      </c>
      <c r="B6856" t="str">
        <f>"1447278528"</f>
        <v>1447278528</v>
      </c>
      <c r="C6856" t="str">
        <f>"207Q00000X"</f>
        <v>207Q00000X</v>
      </c>
      <c r="D6856" t="str">
        <f>"UELTSCHEY                MARCUS       E           "</f>
        <v xml:space="preserve">UELTSCHEY                MARCUS       E           </v>
      </c>
      <c r="E6856" t="str">
        <f>"SALTILLO                  "</f>
        <v xml:space="preserve">SALTILLO                  </v>
      </c>
      <c r="F6856" t="str">
        <f t="shared" si="223"/>
        <v>MS</v>
      </c>
    </row>
    <row r="6857" spans="1:6" x14ac:dyDescent="0.25">
      <c r="A6857" t="str">
        <f>"000125674"</f>
        <v>000125674</v>
      </c>
      <c r="B6857" t="str">
        <f>"1427148428"</f>
        <v>1427148428</v>
      </c>
      <c r="C6857" t="str">
        <f>"367500000X"</f>
        <v>367500000X</v>
      </c>
      <c r="D6857" t="str">
        <f>"SANDERS                  CHERYL                   "</f>
        <v xml:space="preserve">SANDERS                  CHERYL                   </v>
      </c>
      <c r="E6857" t="str">
        <f>"NEW ALBANY                "</f>
        <v xml:space="preserve">NEW ALBANY                </v>
      </c>
      <c r="F6857" t="str">
        <f t="shared" si="223"/>
        <v>MS</v>
      </c>
    </row>
    <row r="6858" spans="1:6" x14ac:dyDescent="0.25">
      <c r="A6858" t="str">
        <f>"000125675"</f>
        <v>000125675</v>
      </c>
      <c r="B6858" t="str">
        <f>"1033220512"</f>
        <v>1033220512</v>
      </c>
      <c r="C6858" t="str">
        <f>"207Q00000X"</f>
        <v>207Q00000X</v>
      </c>
      <c r="D6858" t="str">
        <f>"STANFORD                 JAMES        K           "</f>
        <v xml:space="preserve">STANFORD                 JAMES        K           </v>
      </c>
      <c r="E6858" t="str">
        <f>"RIDGELAND                 "</f>
        <v xml:space="preserve">RIDGELAND                 </v>
      </c>
      <c r="F6858" t="str">
        <f t="shared" si="223"/>
        <v>MS</v>
      </c>
    </row>
    <row r="6859" spans="1:6" x14ac:dyDescent="0.25">
      <c r="A6859" t="str">
        <f>"000125681"</f>
        <v>000125681</v>
      </c>
      <c r="B6859" t="str">
        <f>"1518959584"</f>
        <v>1518959584</v>
      </c>
      <c r="C6859" t="str">
        <f>"363L00000X"</f>
        <v>363L00000X</v>
      </c>
      <c r="D6859" t="str">
        <f>"PERRIGO                  FELESHA      D           "</f>
        <v xml:space="preserve">PERRIGO                  FELESHA      D           </v>
      </c>
      <c r="E6859" t="str">
        <f>"BOONEVILLE                "</f>
        <v xml:space="preserve">BOONEVILLE                </v>
      </c>
      <c r="F6859" t="str">
        <f t="shared" si="223"/>
        <v>MS</v>
      </c>
    </row>
    <row r="6860" spans="1:6" x14ac:dyDescent="0.25">
      <c r="A6860" t="str">
        <f>"000125697"</f>
        <v>000125697</v>
      </c>
      <c r="B6860" t="str">
        <f>"1013911668"</f>
        <v>1013911668</v>
      </c>
      <c r="C6860" t="str">
        <f>"207RX0202X"</f>
        <v>207RX0202X</v>
      </c>
      <c r="D6860" t="str">
        <f>"YOUNG                    TAMMY        H           "</f>
        <v xml:space="preserve">YOUNG                    TAMMY        H           </v>
      </c>
      <c r="E6860" t="str">
        <f>"JACKSON                   "</f>
        <v xml:space="preserve">JACKSON                   </v>
      </c>
      <c r="F6860" t="str">
        <f t="shared" si="223"/>
        <v>MS</v>
      </c>
    </row>
    <row r="6861" spans="1:6" x14ac:dyDescent="0.25">
      <c r="A6861" t="str">
        <f>"000125698"</f>
        <v>000125698</v>
      </c>
      <c r="B6861" t="str">
        <f>"1487639373"</f>
        <v>1487639373</v>
      </c>
      <c r="C6861" t="str">
        <f>"208D00000X"</f>
        <v>208D00000X</v>
      </c>
      <c r="D6861" t="str">
        <f>"ORGLER JR                RAYMOND      J           "</f>
        <v xml:space="preserve">ORGLER JR                RAYMOND      J           </v>
      </c>
      <c r="E6861" t="str">
        <f>"TUPELO                    "</f>
        <v xml:space="preserve">TUPELO                    </v>
      </c>
      <c r="F6861" t="str">
        <f t="shared" si="223"/>
        <v>MS</v>
      </c>
    </row>
    <row r="6862" spans="1:6" x14ac:dyDescent="0.25">
      <c r="A6862" t="str">
        <f>"000125730"</f>
        <v>000125730</v>
      </c>
      <c r="B6862" t="str">
        <f>"1336277227"</f>
        <v>1336277227</v>
      </c>
      <c r="C6862" t="str">
        <f>"2080N0001X"</f>
        <v>2080N0001X</v>
      </c>
      <c r="D6862" t="str">
        <f>"KUHLMANN                 DAVID        M           "</f>
        <v xml:space="preserve">KUHLMANN                 DAVID        M           </v>
      </c>
      <c r="E6862" t="str">
        <f>"GULFPORT                  "</f>
        <v xml:space="preserve">GULFPORT                  </v>
      </c>
      <c r="F6862" t="str">
        <f t="shared" si="223"/>
        <v>MS</v>
      </c>
    </row>
    <row r="6863" spans="1:6" x14ac:dyDescent="0.25">
      <c r="A6863" t="str">
        <f>"000125731"</f>
        <v>000125731</v>
      </c>
      <c r="B6863" t="str">
        <f>"1669496915"</f>
        <v>1669496915</v>
      </c>
      <c r="C6863" t="str">
        <f>"363L00000X"</f>
        <v>363L00000X</v>
      </c>
      <c r="D6863" t="str">
        <f>"BLYTHE                   CAROLYN      A           "</f>
        <v xml:space="preserve">BLYTHE                   CAROLYN      A           </v>
      </c>
      <c r="E6863" t="str">
        <f>"CARRIERE                  "</f>
        <v xml:space="preserve">CARRIERE                  </v>
      </c>
      <c r="F6863" t="str">
        <f t="shared" si="223"/>
        <v>MS</v>
      </c>
    </row>
    <row r="6864" spans="1:6" x14ac:dyDescent="0.25">
      <c r="A6864" t="str">
        <f>"000125758"</f>
        <v>000125758</v>
      </c>
      <c r="B6864" t="str">
        <f>"1831184332"</f>
        <v>1831184332</v>
      </c>
      <c r="C6864" t="str">
        <f>"207V00000X"</f>
        <v>207V00000X</v>
      </c>
      <c r="D6864" t="str">
        <f>"MARTIN JR.               JERRY        K           "</f>
        <v xml:space="preserve">MARTIN JR.               JERRY        K           </v>
      </c>
      <c r="E6864" t="str">
        <f>"AMORY                     "</f>
        <v xml:space="preserve">AMORY                     </v>
      </c>
      <c r="F6864" t="str">
        <f t="shared" si="223"/>
        <v>MS</v>
      </c>
    </row>
    <row r="6865" spans="1:6" x14ac:dyDescent="0.25">
      <c r="A6865" t="str">
        <f>"000125761"</f>
        <v>000125761</v>
      </c>
      <c r="B6865" t="str">
        <f>"1306866249"</f>
        <v>1306866249</v>
      </c>
      <c r="C6865" t="str">
        <f>"207L00000X"</f>
        <v>207L00000X</v>
      </c>
      <c r="D6865" t="str">
        <f>"SINOPOLI JR              GARY         J           "</f>
        <v xml:space="preserve">SINOPOLI JR              GARY         J           </v>
      </c>
      <c r="E6865" t="str">
        <f>"OCEAN SPRINGS             "</f>
        <v xml:space="preserve">OCEAN SPRINGS             </v>
      </c>
      <c r="F6865" t="str">
        <f t="shared" si="223"/>
        <v>MS</v>
      </c>
    </row>
    <row r="6866" spans="1:6" x14ac:dyDescent="0.25">
      <c r="A6866" t="str">
        <f>"000125774"</f>
        <v>000125774</v>
      </c>
      <c r="B6866" t="str">
        <f>"1306827597"</f>
        <v>1306827597</v>
      </c>
      <c r="C6866" t="str">
        <f>"207Q00000X"</f>
        <v>207Q00000X</v>
      </c>
      <c r="D6866" t="str">
        <f>"SCOTT                    KERRY        M           "</f>
        <v xml:space="preserve">SCOTT                    KERRY        M           </v>
      </c>
      <c r="E6866" t="str">
        <f>"BILOXI                    "</f>
        <v xml:space="preserve">BILOXI                    </v>
      </c>
      <c r="F6866" t="str">
        <f t="shared" si="223"/>
        <v>MS</v>
      </c>
    </row>
    <row r="6867" spans="1:6" x14ac:dyDescent="0.25">
      <c r="A6867" t="str">
        <f>"000125781"</f>
        <v>000125781</v>
      </c>
      <c r="B6867" t="str">
        <f>"1548357981"</f>
        <v>1548357981</v>
      </c>
      <c r="C6867" t="str">
        <f>"207Q00000X"</f>
        <v>207Q00000X</v>
      </c>
      <c r="D6867" t="str">
        <f>"WEBB                     KIMBERLY     L           "</f>
        <v xml:space="preserve">WEBB                     KIMBERLY     L           </v>
      </c>
      <c r="E6867" t="str">
        <f>"WATER VALLEY              "</f>
        <v xml:space="preserve">WATER VALLEY              </v>
      </c>
      <c r="F6867" t="str">
        <f t="shared" si="223"/>
        <v>MS</v>
      </c>
    </row>
    <row r="6868" spans="1:6" x14ac:dyDescent="0.25">
      <c r="A6868" t="str">
        <f>"000125783"</f>
        <v>000125783</v>
      </c>
      <c r="B6868" t="str">
        <f>"1760453823"</f>
        <v>1760453823</v>
      </c>
      <c r="C6868" t="str">
        <f>"207Y00000X"</f>
        <v>207Y00000X</v>
      </c>
      <c r="D6868" t="str">
        <f>"CARRON                   JEFFREY      D           "</f>
        <v xml:space="preserve">CARRON                   JEFFREY      D           </v>
      </c>
      <c r="E6868" t="str">
        <f>"JACKSON                   "</f>
        <v xml:space="preserve">JACKSON                   </v>
      </c>
      <c r="F6868" t="str">
        <f t="shared" si="223"/>
        <v>MS</v>
      </c>
    </row>
    <row r="6869" spans="1:6" x14ac:dyDescent="0.25">
      <c r="A6869" t="str">
        <f>"000125784"</f>
        <v>000125784</v>
      </c>
      <c r="B6869" t="str">
        <f>"1992803779"</f>
        <v>1992803779</v>
      </c>
      <c r="C6869" t="str">
        <f>"207R00000X"</f>
        <v>207R00000X</v>
      </c>
      <c r="D6869" t="str">
        <f>"BIGGS                    JOHN                     "</f>
        <v xml:space="preserve">BIGGS                    JOHN                     </v>
      </c>
      <c r="E6869" t="str">
        <f>"FLOWOOD                   "</f>
        <v xml:space="preserve">FLOWOOD                   </v>
      </c>
      <c r="F6869" t="str">
        <f t="shared" si="223"/>
        <v>MS</v>
      </c>
    </row>
    <row r="6870" spans="1:6" x14ac:dyDescent="0.25">
      <c r="A6870" t="str">
        <f>"000125790"</f>
        <v>000125790</v>
      </c>
      <c r="B6870" t="str">
        <f>"1376520924"</f>
        <v>1376520924</v>
      </c>
      <c r="C6870" t="str">
        <f>"207Q00000X"</f>
        <v>207Q00000X</v>
      </c>
      <c r="D6870" t="str">
        <f>"GIBSON III               GARY         L           "</f>
        <v xml:space="preserve">GIBSON III               GARY         L           </v>
      </c>
      <c r="E6870" t="str">
        <f>"MERIDIAN                  "</f>
        <v xml:space="preserve">MERIDIAN                  </v>
      </c>
      <c r="F6870" t="str">
        <f t="shared" si="223"/>
        <v>MS</v>
      </c>
    </row>
    <row r="6871" spans="1:6" x14ac:dyDescent="0.25">
      <c r="A6871" t="str">
        <f>"000125793"</f>
        <v>000125793</v>
      </c>
      <c r="B6871" t="str">
        <f>"1780794594"</f>
        <v>1780794594</v>
      </c>
      <c r="C6871" t="str">
        <f>"208000000X"</f>
        <v>208000000X</v>
      </c>
      <c r="D6871" t="str">
        <f>"WHITTINGTON              MATTHEW      C           "</f>
        <v xml:space="preserve">WHITTINGTON              MATTHEW      C           </v>
      </c>
      <c r="E6871" t="str">
        <f>"HATTIESBURG               "</f>
        <v xml:space="preserve">HATTIESBURG               </v>
      </c>
      <c r="F6871" t="str">
        <f t="shared" si="223"/>
        <v>MS</v>
      </c>
    </row>
    <row r="6872" spans="1:6" x14ac:dyDescent="0.25">
      <c r="A6872" t="str">
        <f>"000125820"</f>
        <v>000125820</v>
      </c>
      <c r="B6872" t="str">
        <f>"1881623650"</f>
        <v>1881623650</v>
      </c>
      <c r="C6872" t="str">
        <f>"207Q00000X"</f>
        <v>207Q00000X</v>
      </c>
      <c r="D6872" t="str">
        <f>"DUNCOMBE                 VANESSA      L           "</f>
        <v xml:space="preserve">DUNCOMBE                 VANESSA      L           </v>
      </c>
      <c r="E6872" t="str">
        <f>"GULFPORT                  "</f>
        <v xml:space="preserve">GULFPORT                  </v>
      </c>
      <c r="F6872" t="str">
        <f t="shared" si="223"/>
        <v>MS</v>
      </c>
    </row>
    <row r="6873" spans="1:6" x14ac:dyDescent="0.25">
      <c r="A6873" t="str">
        <f>"000125825"</f>
        <v>000125825</v>
      </c>
      <c r="B6873" t="str">
        <f>"1720181530"</f>
        <v>1720181530</v>
      </c>
      <c r="C6873" t="str">
        <f>"207V00000X"</f>
        <v>207V00000X</v>
      </c>
      <c r="D6873" t="str">
        <f>"BRANTLEY                 KARA         L           "</f>
        <v xml:space="preserve">BRANTLEY                 KARA         L           </v>
      </c>
      <c r="E6873" t="str">
        <f>"JACKSON                   "</f>
        <v xml:space="preserve">JACKSON                   </v>
      </c>
      <c r="F6873" t="str">
        <f t="shared" si="223"/>
        <v>MS</v>
      </c>
    </row>
    <row r="6874" spans="1:6" x14ac:dyDescent="0.25">
      <c r="A6874" t="str">
        <f>"000125827"</f>
        <v>000125827</v>
      </c>
      <c r="B6874" t="str">
        <f>"1871538652"</f>
        <v>1871538652</v>
      </c>
      <c r="C6874" t="str">
        <f>"208600000X"</f>
        <v>208600000X</v>
      </c>
      <c r="D6874" t="str">
        <f>"DABBS                    ANDREW       P           "</f>
        <v xml:space="preserve">DABBS                    ANDREW       P           </v>
      </c>
      <c r="E6874" t="str">
        <f>"PHILADELPHIA              "</f>
        <v xml:space="preserve">PHILADELPHIA              </v>
      </c>
      <c r="F6874" t="str">
        <f t="shared" si="223"/>
        <v>MS</v>
      </c>
    </row>
    <row r="6875" spans="1:6" x14ac:dyDescent="0.25">
      <c r="A6875" t="str">
        <f>"000125831"</f>
        <v>000125831</v>
      </c>
      <c r="B6875" t="str">
        <f>"1477541514"</f>
        <v>1477541514</v>
      </c>
      <c r="C6875" t="str">
        <f>"363L00000X"</f>
        <v>363L00000X</v>
      </c>
      <c r="D6875" t="str">
        <f>"MEADOR                   CHRISTINA    L           "</f>
        <v xml:space="preserve">MEADOR                   CHRISTINA    L           </v>
      </c>
      <c r="E6875" t="str">
        <f>"CARRIERE                  "</f>
        <v xml:space="preserve">CARRIERE                  </v>
      </c>
      <c r="F6875" t="str">
        <f t="shared" si="223"/>
        <v>MS</v>
      </c>
    </row>
    <row r="6876" spans="1:6" x14ac:dyDescent="0.25">
      <c r="A6876" t="str">
        <f>"000125832"</f>
        <v>000125832</v>
      </c>
      <c r="B6876" t="str">
        <f>"1184636847"</f>
        <v>1184636847</v>
      </c>
      <c r="C6876" t="str">
        <f>"208000000X"</f>
        <v>208000000X</v>
      </c>
      <c r="D6876" t="str">
        <f>"HADEN                    LEIGH        A           "</f>
        <v xml:space="preserve">HADEN                    LEIGH        A           </v>
      </c>
      <c r="E6876" t="str">
        <f>"HATTIESBURG               "</f>
        <v xml:space="preserve">HATTIESBURG               </v>
      </c>
      <c r="F6876" t="str">
        <f t="shared" si="223"/>
        <v>MS</v>
      </c>
    </row>
    <row r="6877" spans="1:6" x14ac:dyDescent="0.25">
      <c r="A6877" t="str">
        <f>"000125851"</f>
        <v>000125851</v>
      </c>
      <c r="B6877" t="str">
        <f>"1942241922"</f>
        <v>1942241922</v>
      </c>
      <c r="C6877" t="str">
        <f>"208000000X"</f>
        <v>208000000X</v>
      </c>
      <c r="D6877" t="str">
        <f>"COLEMAN                  BRANDI                   "</f>
        <v xml:space="preserve">COLEMAN                  BRANDI                   </v>
      </c>
      <c r="E6877" t="str">
        <f>"BAY ST LOUIS              "</f>
        <v xml:space="preserve">BAY ST LOUIS              </v>
      </c>
      <c r="F6877" t="str">
        <f t="shared" si="223"/>
        <v>MS</v>
      </c>
    </row>
    <row r="6878" spans="1:6" x14ac:dyDescent="0.25">
      <c r="A6878" t="str">
        <f>"000125854"</f>
        <v>000125854</v>
      </c>
      <c r="B6878" t="str">
        <f>"1851338602"</f>
        <v>1851338602</v>
      </c>
      <c r="C6878" t="str">
        <f>"208D00000X"</f>
        <v>208D00000X</v>
      </c>
      <c r="D6878" t="str">
        <f>"MCCOY                    BRIAN        D           "</f>
        <v xml:space="preserve">MCCOY                    BRIAN        D           </v>
      </c>
      <c r="E6878" t="str">
        <f>"EUPORA                    "</f>
        <v xml:space="preserve">EUPORA                    </v>
      </c>
      <c r="F6878" t="str">
        <f t="shared" si="223"/>
        <v>MS</v>
      </c>
    </row>
    <row r="6879" spans="1:6" x14ac:dyDescent="0.25">
      <c r="A6879" t="str">
        <f>"000125856"</f>
        <v>000125856</v>
      </c>
      <c r="B6879" t="str">
        <f>"1285785931"</f>
        <v>1285785931</v>
      </c>
      <c r="C6879" t="str">
        <f>"207QA0401X"</f>
        <v>207QA0401X</v>
      </c>
      <c r="D6879" t="str">
        <f>"WOOD                     DUKE         J           "</f>
        <v xml:space="preserve">WOOD                     DUKE         J           </v>
      </c>
      <c r="E6879" t="str">
        <f>"COLUMBUS                  "</f>
        <v xml:space="preserve">COLUMBUS                  </v>
      </c>
      <c r="F6879" t="str">
        <f t="shared" si="223"/>
        <v>MS</v>
      </c>
    </row>
    <row r="6880" spans="1:6" x14ac:dyDescent="0.25">
      <c r="A6880" t="str">
        <f>"000125863"</f>
        <v>000125863</v>
      </c>
      <c r="B6880" t="str">
        <f>"1861506792"</f>
        <v>1861506792</v>
      </c>
      <c r="C6880" t="str">
        <f>"207X00000X"</f>
        <v>207X00000X</v>
      </c>
      <c r="D6880" t="str">
        <f>"HUMPHERYS                BRIAN        E           "</f>
        <v xml:space="preserve">HUMPHERYS                BRIAN        E           </v>
      </c>
      <c r="E6880" t="str">
        <f>"HATTIESBURG               "</f>
        <v xml:space="preserve">HATTIESBURG               </v>
      </c>
      <c r="F6880" t="str">
        <f t="shared" si="223"/>
        <v>MS</v>
      </c>
    </row>
    <row r="6881" spans="1:6" x14ac:dyDescent="0.25">
      <c r="A6881" t="str">
        <f>"000125865"</f>
        <v>000125865</v>
      </c>
      <c r="B6881" t="str">
        <f>"1851399638"</f>
        <v>1851399638</v>
      </c>
      <c r="C6881" t="str">
        <f>"207RH0003X"</f>
        <v>207RH0003X</v>
      </c>
      <c r="D6881" t="str">
        <f>"SULLIVAN                 DAVID        W           "</f>
        <v xml:space="preserve">SULLIVAN                 DAVID        W           </v>
      </c>
      <c r="E6881" t="str">
        <f>"SOUTHAVEN                 "</f>
        <v xml:space="preserve">SOUTHAVEN                 </v>
      </c>
      <c r="F6881" t="str">
        <f t="shared" si="223"/>
        <v>MS</v>
      </c>
    </row>
    <row r="6882" spans="1:6" x14ac:dyDescent="0.25">
      <c r="A6882" t="str">
        <f>"000125867"</f>
        <v>000125867</v>
      </c>
      <c r="B6882" t="str">
        <f>"1215966130"</f>
        <v>1215966130</v>
      </c>
      <c r="C6882" t="str">
        <f>"207X00000X"</f>
        <v>207X00000X</v>
      </c>
      <c r="D6882" t="str">
        <f>"ANTINNES                 JAMES        A           "</f>
        <v xml:space="preserve">ANTINNES                 JAMES        A           </v>
      </c>
      <c r="E6882" t="str">
        <f>"HATTIESBURG               "</f>
        <v xml:space="preserve">HATTIESBURG               </v>
      </c>
      <c r="F6882" t="str">
        <f t="shared" si="223"/>
        <v>MS</v>
      </c>
    </row>
    <row r="6883" spans="1:6" x14ac:dyDescent="0.25">
      <c r="A6883" t="str">
        <f>"000125868"</f>
        <v>000125868</v>
      </c>
      <c r="B6883" t="str">
        <f>"1881785210"</f>
        <v>1881785210</v>
      </c>
      <c r="C6883" t="str">
        <f>"207L00000X"</f>
        <v>207L00000X</v>
      </c>
      <c r="D6883" t="str">
        <f>"OSTROVSKY                OLGA                     "</f>
        <v xml:space="preserve">OSTROVSKY                OLGA                     </v>
      </c>
      <c r="E6883" t="str">
        <f>"JACKSON                   "</f>
        <v xml:space="preserve">JACKSON                   </v>
      </c>
      <c r="F6883" t="str">
        <f t="shared" si="223"/>
        <v>MS</v>
      </c>
    </row>
    <row r="6884" spans="1:6" x14ac:dyDescent="0.25">
      <c r="A6884" t="str">
        <f>"000125879"</f>
        <v>000125879</v>
      </c>
      <c r="B6884" t="str">
        <f>"1336183136"</f>
        <v>1336183136</v>
      </c>
      <c r="C6884" t="str">
        <f>"207R00000X"</f>
        <v>207R00000X</v>
      </c>
      <c r="D6884" t="str">
        <f>"WRIGHT                   CHARLETTA                "</f>
        <v xml:space="preserve">WRIGHT                   CHARLETTA                </v>
      </c>
      <c r="E6884" t="str">
        <f>"OXFORD                    "</f>
        <v xml:space="preserve">OXFORD                    </v>
      </c>
      <c r="F6884" t="str">
        <f t="shared" si="223"/>
        <v>MS</v>
      </c>
    </row>
    <row r="6885" spans="1:6" x14ac:dyDescent="0.25">
      <c r="A6885" t="str">
        <f>"000125893"</f>
        <v>000125893</v>
      </c>
      <c r="B6885" t="str">
        <f>"1194717363"</f>
        <v>1194717363</v>
      </c>
      <c r="C6885" t="str">
        <f>"207VX0201X"</f>
        <v>207VX0201X</v>
      </c>
      <c r="D6885" t="str">
        <f>"SEAGO                    DONALD       P           "</f>
        <v xml:space="preserve">SEAGO                    DONALD       P           </v>
      </c>
      <c r="E6885" t="str">
        <f>"JACKSON                   "</f>
        <v xml:space="preserve">JACKSON                   </v>
      </c>
      <c r="F6885" t="str">
        <f t="shared" si="223"/>
        <v>MS</v>
      </c>
    </row>
    <row r="6886" spans="1:6" x14ac:dyDescent="0.25">
      <c r="A6886" t="str">
        <f>"000125912"</f>
        <v>000125912</v>
      </c>
      <c r="B6886" t="str">
        <f>"1730114117"</f>
        <v>1730114117</v>
      </c>
      <c r="C6886" t="str">
        <f>"2084P0800X"</f>
        <v>2084P0800X</v>
      </c>
      <c r="D6886" t="str">
        <f>"WARREN                   ERIC         J           "</f>
        <v xml:space="preserve">WARREN                   ERIC         J           </v>
      </c>
      <c r="E6886" t="str">
        <f>"BRANDON                   "</f>
        <v xml:space="preserve">BRANDON                   </v>
      </c>
      <c r="F6886" t="str">
        <f t="shared" si="223"/>
        <v>MS</v>
      </c>
    </row>
    <row r="6887" spans="1:6" x14ac:dyDescent="0.25">
      <c r="A6887" t="str">
        <f>"000125938"</f>
        <v>000125938</v>
      </c>
      <c r="B6887" t="str">
        <f>"1518903178"</f>
        <v>1518903178</v>
      </c>
      <c r="C6887" t="str">
        <f>"208600000X"</f>
        <v>208600000X</v>
      </c>
      <c r="D6887" t="str">
        <f>"BYARS                    RICHARD      W           "</f>
        <v xml:space="preserve">BYARS                    RICHARD      W           </v>
      </c>
      <c r="E6887" t="str">
        <f>"OXFORD                    "</f>
        <v xml:space="preserve">OXFORD                    </v>
      </c>
      <c r="F6887" t="str">
        <f t="shared" si="223"/>
        <v>MS</v>
      </c>
    </row>
    <row r="6888" spans="1:6" x14ac:dyDescent="0.25">
      <c r="A6888" t="str">
        <f>"000125939"</f>
        <v>000125939</v>
      </c>
      <c r="B6888" t="str">
        <f>"1235249376"</f>
        <v>1235249376</v>
      </c>
      <c r="C6888" t="str">
        <f>"207Q00000X"</f>
        <v>207Q00000X</v>
      </c>
      <c r="D6888" t="str">
        <f>"BELL                     DAVID        W           "</f>
        <v xml:space="preserve">BELL                     DAVID        W           </v>
      </c>
      <c r="E6888" t="str">
        <f>"TUPELO                    "</f>
        <v xml:space="preserve">TUPELO                    </v>
      </c>
      <c r="F6888" t="str">
        <f t="shared" si="223"/>
        <v>MS</v>
      </c>
    </row>
    <row r="6889" spans="1:6" x14ac:dyDescent="0.25">
      <c r="A6889" t="str">
        <f>"000125971"</f>
        <v>000125971</v>
      </c>
      <c r="B6889" t="str">
        <f>"1598847253"</f>
        <v>1598847253</v>
      </c>
      <c r="C6889" t="str">
        <f>"207P00000X"</f>
        <v>207P00000X</v>
      </c>
      <c r="D6889" t="str">
        <f>"EVANS JR                 S            R           "</f>
        <v xml:space="preserve">EVANS JR                 S            R           </v>
      </c>
      <c r="E6889" t="str">
        <f>"GREENWOOD                 "</f>
        <v xml:space="preserve">GREENWOOD                 </v>
      </c>
      <c r="F6889" t="str">
        <f t="shared" si="223"/>
        <v>MS</v>
      </c>
    </row>
    <row r="6890" spans="1:6" x14ac:dyDescent="0.25">
      <c r="A6890" t="str">
        <f>"000125973"</f>
        <v>000125973</v>
      </c>
      <c r="B6890" t="str">
        <f>"1124023098"</f>
        <v>1124023098</v>
      </c>
      <c r="C6890" t="str">
        <f>"207Q00000X"</f>
        <v>207Q00000X</v>
      </c>
      <c r="D6890" t="str">
        <f>"DIAMOND                  CHAD         J           "</f>
        <v xml:space="preserve">DIAMOND                  CHAD         J           </v>
      </c>
      <c r="E6890" t="str">
        <f>"HATTIESBURG               "</f>
        <v xml:space="preserve">HATTIESBURG               </v>
      </c>
      <c r="F6890" t="str">
        <f t="shared" si="223"/>
        <v>MS</v>
      </c>
    </row>
    <row r="6891" spans="1:6" x14ac:dyDescent="0.25">
      <c r="A6891" t="str">
        <f>"000125977"</f>
        <v>000125977</v>
      </c>
      <c r="B6891" t="str">
        <f>"1811968746"</f>
        <v>1811968746</v>
      </c>
      <c r="C6891" t="str">
        <f>"207Y00000X"</f>
        <v>207Y00000X</v>
      </c>
      <c r="D6891" t="str">
        <f>"JORDAN                   JAMES        R           "</f>
        <v xml:space="preserve">JORDAN                   JAMES        R           </v>
      </c>
      <c r="E6891" t="str">
        <f>"JACKSON                   "</f>
        <v xml:space="preserve">JACKSON                   </v>
      </c>
      <c r="F6891" t="str">
        <f t="shared" si="223"/>
        <v>MS</v>
      </c>
    </row>
    <row r="6892" spans="1:6" x14ac:dyDescent="0.25">
      <c r="A6892" t="str">
        <f>"000125983"</f>
        <v>000125983</v>
      </c>
      <c r="B6892" t="str">
        <f>"1356360119"</f>
        <v>1356360119</v>
      </c>
      <c r="C6892" t="str">
        <f>"207RC0000X"</f>
        <v>207RC0000X</v>
      </c>
      <c r="D6892" t="str">
        <f>"WARNOCK JR               JAMES        L           "</f>
        <v xml:space="preserve">WARNOCK JR               JAMES        L           </v>
      </c>
      <c r="E6892" t="str">
        <f>"JACKSON                   "</f>
        <v xml:space="preserve">JACKSON                   </v>
      </c>
      <c r="F6892" t="str">
        <f t="shared" si="223"/>
        <v>MS</v>
      </c>
    </row>
    <row r="6893" spans="1:6" x14ac:dyDescent="0.25">
      <c r="A6893" t="str">
        <f>"000126003"</f>
        <v>000126003</v>
      </c>
      <c r="B6893" t="str">
        <f>"1174603096"</f>
        <v>1174603096</v>
      </c>
      <c r="C6893" t="str">
        <f>"207V00000X"</f>
        <v>207V00000X</v>
      </c>
      <c r="D6893" t="str">
        <f>"SIMON                    URELAINE     R           "</f>
        <v xml:space="preserve">SIMON                    URELAINE     R           </v>
      </c>
      <c r="E6893" t="str">
        <f>"MERIDIAN                  "</f>
        <v xml:space="preserve">MERIDIAN                  </v>
      </c>
      <c r="F6893" t="str">
        <f t="shared" si="223"/>
        <v>MS</v>
      </c>
    </row>
    <row r="6894" spans="1:6" x14ac:dyDescent="0.25">
      <c r="A6894" t="str">
        <f>"000126004"</f>
        <v>000126004</v>
      </c>
      <c r="B6894" t="str">
        <f>"1386750909"</f>
        <v>1386750909</v>
      </c>
      <c r="C6894" t="str">
        <f>"207R00000X"</f>
        <v>207R00000X</v>
      </c>
      <c r="D6894" t="str">
        <f>"DENNIS                   JEFFREY      W           "</f>
        <v xml:space="preserve">DENNIS                   JEFFREY      W           </v>
      </c>
      <c r="E6894" t="str">
        <f>"OXFORD                    "</f>
        <v xml:space="preserve">OXFORD                    </v>
      </c>
      <c r="F6894" t="str">
        <f t="shared" si="223"/>
        <v>MS</v>
      </c>
    </row>
    <row r="6895" spans="1:6" x14ac:dyDescent="0.25">
      <c r="A6895" t="str">
        <f>"000126007"</f>
        <v>000126007</v>
      </c>
      <c r="B6895" t="str">
        <f>"1053322842"</f>
        <v>1053322842</v>
      </c>
      <c r="C6895" t="str">
        <f>"207R00000X"</f>
        <v>207R00000X</v>
      </c>
      <c r="D6895" t="str">
        <f>"GARCIA                   NOEL         V           "</f>
        <v xml:space="preserve">GARCIA                   NOEL         V           </v>
      </c>
      <c r="E6895" t="str">
        <f>"TUPELO                    "</f>
        <v xml:space="preserve">TUPELO                    </v>
      </c>
      <c r="F6895" t="str">
        <f t="shared" si="223"/>
        <v>MS</v>
      </c>
    </row>
    <row r="6896" spans="1:6" x14ac:dyDescent="0.25">
      <c r="A6896" t="str">
        <f>"000126008"</f>
        <v>000126008</v>
      </c>
      <c r="B6896" t="str">
        <f>"1215942248"</f>
        <v>1215942248</v>
      </c>
      <c r="C6896" t="str">
        <f>"2085R0202X"</f>
        <v>2085R0202X</v>
      </c>
      <c r="D6896" t="str">
        <f>"LANTRIP                  BRYAN        S           "</f>
        <v xml:space="preserve">LANTRIP                  BRYAN        S           </v>
      </c>
      <c r="E6896" t="str">
        <f>"JACKSON                   "</f>
        <v xml:space="preserve">JACKSON                   </v>
      </c>
      <c r="F6896" t="str">
        <f t="shared" si="223"/>
        <v>MS</v>
      </c>
    </row>
    <row r="6897" spans="1:6" x14ac:dyDescent="0.25">
      <c r="A6897" t="str">
        <f>"000126022"</f>
        <v>000126022</v>
      </c>
      <c r="B6897" t="str">
        <f>"1679641450"</f>
        <v>1679641450</v>
      </c>
      <c r="C6897" t="str">
        <f>"207Q00000X"</f>
        <v>207Q00000X</v>
      </c>
      <c r="D6897" t="str">
        <f>"ANTHONY                  MICHAEL      D           "</f>
        <v xml:space="preserve">ANTHONY                  MICHAEL      D           </v>
      </c>
      <c r="E6897" t="str">
        <f>"STARKVILLE                "</f>
        <v xml:space="preserve">STARKVILLE                </v>
      </c>
      <c r="F6897" t="str">
        <f t="shared" si="223"/>
        <v>MS</v>
      </c>
    </row>
    <row r="6898" spans="1:6" x14ac:dyDescent="0.25">
      <c r="A6898" t="str">
        <f>"000126023"</f>
        <v>000126023</v>
      </c>
      <c r="B6898" t="str">
        <f>"1104895028"</f>
        <v>1104895028</v>
      </c>
      <c r="C6898" t="str">
        <f>"207Q00000X"</f>
        <v>207Q00000X</v>
      </c>
      <c r="D6898" t="str">
        <f>"SHEELY                   ROBERT       A           "</f>
        <v xml:space="preserve">SHEELY                   ROBERT       A           </v>
      </c>
      <c r="E6898" t="str">
        <f>"BRANDON                   "</f>
        <v xml:space="preserve">BRANDON                   </v>
      </c>
      <c r="F6898" t="str">
        <f t="shared" si="223"/>
        <v>MS</v>
      </c>
    </row>
    <row r="6899" spans="1:6" x14ac:dyDescent="0.25">
      <c r="A6899" t="str">
        <f>"000126024"</f>
        <v>000126024</v>
      </c>
      <c r="B6899" t="str">
        <f>"1235273178"</f>
        <v>1235273178</v>
      </c>
      <c r="C6899" t="str">
        <f>"207V00000X"</f>
        <v>207V00000X</v>
      </c>
      <c r="D6899" t="str">
        <f>"COLE                     KAREN        F           "</f>
        <v xml:space="preserve">COLE                     KAREN        F           </v>
      </c>
      <c r="E6899" t="str">
        <f>"JACKSON                   "</f>
        <v xml:space="preserve">JACKSON                   </v>
      </c>
      <c r="F6899" t="str">
        <f t="shared" si="223"/>
        <v>MS</v>
      </c>
    </row>
    <row r="6900" spans="1:6" x14ac:dyDescent="0.25">
      <c r="A6900" t="str">
        <f>"000126032"</f>
        <v>000126032</v>
      </c>
      <c r="B6900" t="str">
        <f>"1750301859"</f>
        <v>1750301859</v>
      </c>
      <c r="C6900" t="str">
        <f>"207L00000X"</f>
        <v>207L00000X</v>
      </c>
      <c r="D6900" t="str">
        <f>"NORTON                   TIMOTHY      W           "</f>
        <v xml:space="preserve">NORTON                   TIMOTHY      W           </v>
      </c>
      <c r="E6900" t="str">
        <f>"HATTIESBURG               "</f>
        <v xml:space="preserve">HATTIESBURG               </v>
      </c>
      <c r="F6900" t="str">
        <f t="shared" si="223"/>
        <v>MS</v>
      </c>
    </row>
    <row r="6901" spans="1:6" x14ac:dyDescent="0.25">
      <c r="A6901" t="str">
        <f>"000126035"</f>
        <v>000126035</v>
      </c>
      <c r="B6901" t="str">
        <f>"1013001189"</f>
        <v>1013001189</v>
      </c>
      <c r="C6901" t="str">
        <f>"207Q00000X"</f>
        <v>207Q00000X</v>
      </c>
      <c r="D6901" t="str">
        <f>"JONES                    MATTHEW      B           "</f>
        <v xml:space="preserve">JONES                    MATTHEW      B           </v>
      </c>
      <c r="E6901" t="str">
        <f>"LAUREL                    "</f>
        <v xml:space="preserve">LAUREL                    </v>
      </c>
      <c r="F6901" t="str">
        <f t="shared" si="223"/>
        <v>MS</v>
      </c>
    </row>
    <row r="6902" spans="1:6" x14ac:dyDescent="0.25">
      <c r="A6902" t="str">
        <f>"000126042"</f>
        <v>000126042</v>
      </c>
      <c r="B6902" t="str">
        <f>"1447299508"</f>
        <v>1447299508</v>
      </c>
      <c r="C6902" t="str">
        <f>"363L00000X"</f>
        <v>363L00000X</v>
      </c>
      <c r="D6902" t="str">
        <f>"CROSBY                   STEPHANIE    L           "</f>
        <v xml:space="preserve">CROSBY                   STEPHANIE    L           </v>
      </c>
      <c r="E6902" t="str">
        <f>"LAUREL                    "</f>
        <v xml:space="preserve">LAUREL                    </v>
      </c>
      <c r="F6902" t="str">
        <f t="shared" si="223"/>
        <v>MS</v>
      </c>
    </row>
    <row r="6903" spans="1:6" x14ac:dyDescent="0.25">
      <c r="A6903" t="str">
        <f>"000126044"</f>
        <v>000126044</v>
      </c>
      <c r="B6903" t="str">
        <f>"1699774810"</f>
        <v>1699774810</v>
      </c>
      <c r="C6903" t="str">
        <f>"363L00000X"</f>
        <v>363L00000X</v>
      </c>
      <c r="D6903" t="str">
        <f>"TAYLOR                   ANGELA       F           "</f>
        <v xml:space="preserve">TAYLOR                   ANGELA       F           </v>
      </c>
      <c r="E6903" t="str">
        <f>"TUPELO                    "</f>
        <v xml:space="preserve">TUPELO                    </v>
      </c>
      <c r="F6903" t="str">
        <f t="shared" si="223"/>
        <v>MS</v>
      </c>
    </row>
    <row r="6904" spans="1:6" x14ac:dyDescent="0.25">
      <c r="A6904" t="str">
        <f>"000126047"</f>
        <v>000126047</v>
      </c>
      <c r="B6904" t="str">
        <f>"1063584175"</f>
        <v>1063584175</v>
      </c>
      <c r="C6904" t="str">
        <f>"207R00000X"</f>
        <v>207R00000X</v>
      </c>
      <c r="D6904" t="str">
        <f>"RUSSELL                  RICHARD      L           "</f>
        <v xml:space="preserve">RUSSELL                  RICHARD      L           </v>
      </c>
      <c r="E6904" t="str">
        <f>"MADISON                   "</f>
        <v xml:space="preserve">MADISON                   </v>
      </c>
      <c r="F6904" t="str">
        <f t="shared" si="223"/>
        <v>MS</v>
      </c>
    </row>
    <row r="6905" spans="1:6" x14ac:dyDescent="0.25">
      <c r="A6905" t="str">
        <f>"000126050"</f>
        <v>000126050</v>
      </c>
      <c r="B6905" t="str">
        <f>"1598747529"</f>
        <v>1598747529</v>
      </c>
      <c r="C6905" t="str">
        <f>"208D00000X"</f>
        <v>208D00000X</v>
      </c>
      <c r="D6905" t="str">
        <f>"CAMPBELL                 MELISSA      D           "</f>
        <v xml:space="preserve">CAMPBELL                 MELISSA      D           </v>
      </c>
      <c r="E6905" t="str">
        <f>"MERIDIAN                  "</f>
        <v xml:space="preserve">MERIDIAN                  </v>
      </c>
      <c r="F6905" t="str">
        <f t="shared" si="223"/>
        <v>MS</v>
      </c>
    </row>
    <row r="6906" spans="1:6" x14ac:dyDescent="0.25">
      <c r="A6906" t="str">
        <f>"000126060"</f>
        <v>000126060</v>
      </c>
      <c r="B6906" t="str">
        <f>"1134101330"</f>
        <v>1134101330</v>
      </c>
      <c r="C6906" t="str">
        <f>"367500000X"</f>
        <v>367500000X</v>
      </c>
      <c r="D6906" t="str">
        <f>"DEAN                     MYRNA        L           "</f>
        <v xml:space="preserve">DEAN                     MYRNA        L           </v>
      </c>
      <c r="E6906" t="str">
        <f>"MERIDIAN                  "</f>
        <v xml:space="preserve">MERIDIAN                  </v>
      </c>
      <c r="F6906" t="str">
        <f t="shared" si="223"/>
        <v>MS</v>
      </c>
    </row>
    <row r="6907" spans="1:6" x14ac:dyDescent="0.25">
      <c r="A6907" t="str">
        <f>"000126078"</f>
        <v>000126078</v>
      </c>
      <c r="B6907" t="str">
        <f>"1407887391"</f>
        <v>1407887391</v>
      </c>
      <c r="C6907" t="str">
        <f>"208800000X"</f>
        <v>208800000X</v>
      </c>
      <c r="D6907" t="str">
        <f>"MILES                    DEREK                    "</f>
        <v xml:space="preserve">MILES                    DEREK                    </v>
      </c>
      <c r="E6907" t="str">
        <f>"CLEVELAND                 "</f>
        <v xml:space="preserve">CLEVELAND                 </v>
      </c>
      <c r="F6907" t="str">
        <f t="shared" si="223"/>
        <v>MS</v>
      </c>
    </row>
    <row r="6908" spans="1:6" x14ac:dyDescent="0.25">
      <c r="A6908" t="str">
        <f>"000126107"</f>
        <v>000126107</v>
      </c>
      <c r="B6908" t="str">
        <f>"1750316881"</f>
        <v>1750316881</v>
      </c>
      <c r="C6908" t="str">
        <f>"363L00000X"</f>
        <v>363L00000X</v>
      </c>
      <c r="D6908" t="str">
        <f>"COOPER                   KIM                      "</f>
        <v xml:space="preserve">COOPER                   KIM                      </v>
      </c>
      <c r="E6908" t="str">
        <f>"JACKSON                   "</f>
        <v xml:space="preserve">JACKSON                   </v>
      </c>
      <c r="F6908" t="str">
        <f t="shared" si="223"/>
        <v>MS</v>
      </c>
    </row>
    <row r="6909" spans="1:6" x14ac:dyDescent="0.25">
      <c r="A6909" t="str">
        <f>"000126109"</f>
        <v>000126109</v>
      </c>
      <c r="B6909" t="str">
        <f>"1689744278"</f>
        <v>1689744278</v>
      </c>
      <c r="C6909" t="str">
        <f>"2085R0202X"</f>
        <v>2085R0202X</v>
      </c>
      <c r="D6909" t="str">
        <f>"MILLER                   KRISTEN      H           "</f>
        <v xml:space="preserve">MILLER                   KRISTEN      H           </v>
      </c>
      <c r="E6909" t="str">
        <f>"JACKSON                   "</f>
        <v xml:space="preserve">JACKSON                   </v>
      </c>
      <c r="F6909" t="str">
        <f t="shared" si="223"/>
        <v>MS</v>
      </c>
    </row>
    <row r="6910" spans="1:6" x14ac:dyDescent="0.25">
      <c r="A6910" t="str">
        <f>"000126114"</f>
        <v>000126114</v>
      </c>
      <c r="B6910" t="str">
        <f>"1245340587"</f>
        <v>1245340587</v>
      </c>
      <c r="C6910" t="str">
        <f>"207V00000X"</f>
        <v>207V00000X</v>
      </c>
      <c r="D6910" t="str">
        <f>"NOBLES                   JAMES        A           "</f>
        <v xml:space="preserve">NOBLES                   JAMES        A           </v>
      </c>
      <c r="E6910" t="str">
        <f>"MCCOMB                    "</f>
        <v xml:space="preserve">MCCOMB                    </v>
      </c>
      <c r="F6910" t="str">
        <f t="shared" ref="F6910:F6973" si="224">"MS"</f>
        <v>MS</v>
      </c>
    </row>
    <row r="6911" spans="1:6" x14ac:dyDescent="0.25">
      <c r="A6911" t="str">
        <f>"000126128"</f>
        <v>000126128</v>
      </c>
      <c r="B6911" t="str">
        <f>"1356443220"</f>
        <v>1356443220</v>
      </c>
      <c r="C6911" t="str">
        <f>"367500000X"</f>
        <v>367500000X</v>
      </c>
      <c r="D6911" t="str">
        <f>"MARTIN                   MARY         P           "</f>
        <v xml:space="preserve">MARTIN                   MARY         P           </v>
      </c>
      <c r="E6911" t="str">
        <f>"BAY SAINT LOUIS           "</f>
        <v xml:space="preserve">BAY SAINT LOUIS           </v>
      </c>
      <c r="F6911" t="str">
        <f t="shared" si="224"/>
        <v>MS</v>
      </c>
    </row>
    <row r="6912" spans="1:6" x14ac:dyDescent="0.25">
      <c r="A6912" t="str">
        <f>"000126134"</f>
        <v>000126134</v>
      </c>
      <c r="B6912" t="str">
        <f>"1285619163"</f>
        <v>1285619163</v>
      </c>
      <c r="C6912" t="str">
        <f>"208600000X"</f>
        <v>208600000X</v>
      </c>
      <c r="D6912" t="str">
        <f>"HARRISON JR              NEWT         P           "</f>
        <v xml:space="preserve">HARRISON JR              NEWT         P           </v>
      </c>
      <c r="E6912" t="str">
        <f>"TUPELO                    "</f>
        <v xml:space="preserve">TUPELO                    </v>
      </c>
      <c r="F6912" t="str">
        <f t="shared" si="224"/>
        <v>MS</v>
      </c>
    </row>
    <row r="6913" spans="1:6" x14ac:dyDescent="0.25">
      <c r="A6913" t="str">
        <f>"000126136"</f>
        <v>000126136</v>
      </c>
      <c r="B6913" t="str">
        <f>"1962566224"</f>
        <v>1962566224</v>
      </c>
      <c r="C6913" t="str">
        <f>"363L00000X"</f>
        <v>363L00000X</v>
      </c>
      <c r="D6913" t="str">
        <f>"MARTIN                   JOHN         M           "</f>
        <v xml:space="preserve">MARTIN                   JOHN         M           </v>
      </c>
      <c r="E6913" t="str">
        <f>"VANCLEAVE                 "</f>
        <v xml:space="preserve">VANCLEAVE                 </v>
      </c>
      <c r="F6913" t="str">
        <f t="shared" si="224"/>
        <v>MS</v>
      </c>
    </row>
    <row r="6914" spans="1:6" x14ac:dyDescent="0.25">
      <c r="A6914" t="str">
        <f>"000126141"</f>
        <v>000126141</v>
      </c>
      <c r="B6914" t="str">
        <f>"1235145269"</f>
        <v>1235145269</v>
      </c>
      <c r="C6914" t="str">
        <f>"2085R0202X"</f>
        <v>2085R0202X</v>
      </c>
      <c r="D6914" t="str">
        <f>"KIM                      YONG         W           "</f>
        <v xml:space="preserve">KIM                      YONG         W           </v>
      </c>
      <c r="E6914" t="str">
        <f>"JACKSON                   "</f>
        <v xml:space="preserve">JACKSON                   </v>
      </c>
      <c r="F6914" t="str">
        <f t="shared" si="224"/>
        <v>MS</v>
      </c>
    </row>
    <row r="6915" spans="1:6" x14ac:dyDescent="0.25">
      <c r="A6915" t="str">
        <f>"000126146"</f>
        <v>000126146</v>
      </c>
      <c r="B6915" t="str">
        <f>"1083654578"</f>
        <v>1083654578</v>
      </c>
      <c r="C6915" t="str">
        <f>"207W00000X"</f>
        <v>207W00000X</v>
      </c>
      <c r="D6915" t="str">
        <f>"TANN                     THOMAS       M           "</f>
        <v xml:space="preserve">TANN                     THOMAS       M           </v>
      </c>
      <c r="E6915" t="str">
        <f>"OXFORD                    "</f>
        <v xml:space="preserve">OXFORD                    </v>
      </c>
      <c r="F6915" t="str">
        <f t="shared" si="224"/>
        <v>MS</v>
      </c>
    </row>
    <row r="6916" spans="1:6" x14ac:dyDescent="0.25">
      <c r="A6916" t="str">
        <f>"000126149"</f>
        <v>000126149</v>
      </c>
      <c r="B6916" t="str">
        <f>"1740223924"</f>
        <v>1740223924</v>
      </c>
      <c r="C6916" t="str">
        <f>"2080N0001X"</f>
        <v>2080N0001X</v>
      </c>
      <c r="D6916" t="str">
        <f>"MINK JR                  BILLY        E           "</f>
        <v xml:space="preserve">MINK JR                  BILLY        E           </v>
      </c>
      <c r="E6916" t="str">
        <f>"JACKSON                   "</f>
        <v xml:space="preserve">JACKSON                   </v>
      </c>
      <c r="F6916" t="str">
        <f t="shared" si="224"/>
        <v>MS</v>
      </c>
    </row>
    <row r="6917" spans="1:6" x14ac:dyDescent="0.25">
      <c r="A6917" t="str">
        <f>"000126157"</f>
        <v>000126157</v>
      </c>
      <c r="B6917" t="str">
        <f>"1558462218"</f>
        <v>1558462218</v>
      </c>
      <c r="C6917" t="str">
        <f>"207X00000X"</f>
        <v>207X00000X</v>
      </c>
      <c r="D6917" t="str">
        <f>"GRAHAM                   ERIC         J           "</f>
        <v xml:space="preserve">GRAHAM                   ERIC         J           </v>
      </c>
      <c r="E6917" t="str">
        <f>"GULFPORT                  "</f>
        <v xml:space="preserve">GULFPORT                  </v>
      </c>
      <c r="F6917" t="str">
        <f t="shared" si="224"/>
        <v>MS</v>
      </c>
    </row>
    <row r="6918" spans="1:6" x14ac:dyDescent="0.25">
      <c r="A6918" t="str">
        <f>"000126178"</f>
        <v>000126178</v>
      </c>
      <c r="B6918" t="str">
        <f>"1568542892"</f>
        <v>1568542892</v>
      </c>
      <c r="C6918" t="str">
        <f>"2085R0202X"</f>
        <v>2085R0202X</v>
      </c>
      <c r="D6918" t="str">
        <f>"SUTHERLAND               JAMES        W           "</f>
        <v xml:space="preserve">SUTHERLAND               JAMES        W           </v>
      </c>
      <c r="E6918" t="str">
        <f>"JACKSON                   "</f>
        <v xml:space="preserve">JACKSON                   </v>
      </c>
      <c r="F6918" t="str">
        <f t="shared" si="224"/>
        <v>MS</v>
      </c>
    </row>
    <row r="6919" spans="1:6" x14ac:dyDescent="0.25">
      <c r="A6919" t="str">
        <f>"000126181"</f>
        <v>000126181</v>
      </c>
      <c r="B6919" t="str">
        <f>"1760446447"</f>
        <v>1760446447</v>
      </c>
      <c r="C6919" t="str">
        <f>"2085R0202X"</f>
        <v>2085R0202X</v>
      </c>
      <c r="D6919" t="str">
        <f>"CHRISTIAN                RONNIE                   "</f>
        <v xml:space="preserve">CHRISTIAN                RONNIE                   </v>
      </c>
      <c r="E6919" t="str">
        <f>"CHOCTAW                   "</f>
        <v xml:space="preserve">CHOCTAW                   </v>
      </c>
      <c r="F6919" t="str">
        <f t="shared" si="224"/>
        <v>MS</v>
      </c>
    </row>
    <row r="6920" spans="1:6" x14ac:dyDescent="0.25">
      <c r="A6920" t="str">
        <f>"000126201"</f>
        <v>000126201</v>
      </c>
      <c r="B6920" t="str">
        <f>"1023118080"</f>
        <v>1023118080</v>
      </c>
      <c r="C6920" t="str">
        <f>"207V00000X"</f>
        <v>207V00000X</v>
      </c>
      <c r="D6920" t="str">
        <f>"RICHARDSON               KEVIN        M           "</f>
        <v xml:space="preserve">RICHARDSON               KEVIN        M           </v>
      </c>
      <c r="E6920" t="str">
        <f>"MCCOMB                    "</f>
        <v xml:space="preserve">MCCOMB                    </v>
      </c>
      <c r="F6920" t="str">
        <f t="shared" si="224"/>
        <v>MS</v>
      </c>
    </row>
    <row r="6921" spans="1:6" x14ac:dyDescent="0.25">
      <c r="A6921" t="str">
        <f>"000126213"</f>
        <v>000126213</v>
      </c>
      <c r="B6921" t="str">
        <f>"1417067224"</f>
        <v>1417067224</v>
      </c>
      <c r="C6921" t="str">
        <f>"367500000X"</f>
        <v>367500000X</v>
      </c>
      <c r="D6921" t="str">
        <f>"MARTIN                   TERRI                    "</f>
        <v xml:space="preserve">MARTIN                   TERRI                    </v>
      </c>
      <c r="E6921" t="str">
        <f>"HATTIESBURG               "</f>
        <v xml:space="preserve">HATTIESBURG               </v>
      </c>
      <c r="F6921" t="str">
        <f t="shared" si="224"/>
        <v>MS</v>
      </c>
    </row>
    <row r="6922" spans="1:6" x14ac:dyDescent="0.25">
      <c r="A6922" t="str">
        <f>"000126220"</f>
        <v>000126220</v>
      </c>
      <c r="B6922" t="str">
        <f>"1043326929"</f>
        <v>1043326929</v>
      </c>
      <c r="C6922" t="str">
        <f>"207V00000X"</f>
        <v>207V00000X</v>
      </c>
      <c r="D6922" t="str">
        <f>"GRAY                     LEIGH        L           "</f>
        <v xml:space="preserve">GRAY                     LEIGH        L           </v>
      </c>
      <c r="E6922" t="str">
        <f>"BROOKHAVEN                "</f>
        <v xml:space="preserve">BROOKHAVEN                </v>
      </c>
      <c r="F6922" t="str">
        <f t="shared" si="224"/>
        <v>MS</v>
      </c>
    </row>
    <row r="6923" spans="1:6" x14ac:dyDescent="0.25">
      <c r="A6923" t="str">
        <f>"000126248"</f>
        <v>000126248</v>
      </c>
      <c r="B6923" t="str">
        <f>"1508809062"</f>
        <v>1508809062</v>
      </c>
      <c r="C6923" t="str">
        <f>"207Q00000X"</f>
        <v>207Q00000X</v>
      </c>
      <c r="D6923" t="str">
        <f>"MCCOY                    KEITH        E           "</f>
        <v xml:space="preserve">MCCOY                    KEITH        E           </v>
      </c>
      <c r="E6923" t="str">
        <f>"COLUMBUS                  "</f>
        <v xml:space="preserve">COLUMBUS                  </v>
      </c>
      <c r="F6923" t="str">
        <f t="shared" si="224"/>
        <v>MS</v>
      </c>
    </row>
    <row r="6924" spans="1:6" x14ac:dyDescent="0.25">
      <c r="A6924" t="str">
        <f>"000126253"</f>
        <v>000126253</v>
      </c>
      <c r="B6924" t="str">
        <f>"1639230675"</f>
        <v>1639230675</v>
      </c>
      <c r="C6924" t="str">
        <f>"208000000X"</f>
        <v>208000000X</v>
      </c>
      <c r="D6924" t="str">
        <f>"SANFORD                  WILLIAM      D           "</f>
        <v xml:space="preserve">SANFORD                  WILLIAM      D           </v>
      </c>
      <c r="E6924" t="str">
        <f>"OXFORD                    "</f>
        <v xml:space="preserve">OXFORD                    </v>
      </c>
      <c r="F6924" t="str">
        <f t="shared" si="224"/>
        <v>MS</v>
      </c>
    </row>
    <row r="6925" spans="1:6" x14ac:dyDescent="0.25">
      <c r="A6925" t="str">
        <f>"000126269"</f>
        <v>000126269</v>
      </c>
      <c r="B6925" t="str">
        <f>"1316979826"</f>
        <v>1316979826</v>
      </c>
      <c r="C6925" t="str">
        <f>"363L00000X"</f>
        <v>363L00000X</v>
      </c>
      <c r="D6925" t="str">
        <f>"HOSKINS                  LULA         O           "</f>
        <v xml:space="preserve">HOSKINS                  LULA         O           </v>
      </c>
      <c r="E6925" t="str">
        <f>"CLARKSDALE                "</f>
        <v xml:space="preserve">CLARKSDALE                </v>
      </c>
      <c r="F6925" t="str">
        <f t="shared" si="224"/>
        <v>MS</v>
      </c>
    </row>
    <row r="6926" spans="1:6" x14ac:dyDescent="0.25">
      <c r="A6926" t="str">
        <f>"000126275"</f>
        <v>000126275</v>
      </c>
      <c r="B6926" t="str">
        <f>"1922074228"</f>
        <v>1922074228</v>
      </c>
      <c r="C6926" t="str">
        <f>"207Q00000X"</f>
        <v>207Q00000X</v>
      </c>
      <c r="D6926" t="str">
        <f>"HAIRE                    ANNE                     "</f>
        <v xml:space="preserve">HAIRE                    ANNE                     </v>
      </c>
      <c r="E6926" t="str">
        <f>"TUPELO                    "</f>
        <v xml:space="preserve">TUPELO                    </v>
      </c>
      <c r="F6926" t="str">
        <f t="shared" si="224"/>
        <v>MS</v>
      </c>
    </row>
    <row r="6927" spans="1:6" x14ac:dyDescent="0.25">
      <c r="A6927" t="str">
        <f>"000126282"</f>
        <v>000126282</v>
      </c>
      <c r="B6927" t="str">
        <f>"1013064245"</f>
        <v>1013064245</v>
      </c>
      <c r="C6927" t="str">
        <f>"363L00000X"</f>
        <v>363L00000X</v>
      </c>
      <c r="D6927" t="str">
        <f>"DRACE                    LEIGH        P           "</f>
        <v xml:space="preserve">DRACE                    LEIGH        P           </v>
      </c>
      <c r="E6927" t="str">
        <f>"POPLARVILLE               "</f>
        <v xml:space="preserve">POPLARVILLE               </v>
      </c>
      <c r="F6927" t="str">
        <f t="shared" si="224"/>
        <v>MS</v>
      </c>
    </row>
    <row r="6928" spans="1:6" x14ac:dyDescent="0.25">
      <c r="A6928" t="str">
        <f>"000126317"</f>
        <v>000126317</v>
      </c>
      <c r="B6928" t="str">
        <f>"1336231489"</f>
        <v>1336231489</v>
      </c>
      <c r="C6928" t="str">
        <f>"207W00000X"</f>
        <v>207W00000X</v>
      </c>
      <c r="D6928" t="str">
        <f>"BROWN III                JAMES        S           "</f>
        <v xml:space="preserve">BROWN III                JAMES        S           </v>
      </c>
      <c r="E6928" t="str">
        <f>"STARKVILLE                "</f>
        <v xml:space="preserve">STARKVILLE                </v>
      </c>
      <c r="F6928" t="str">
        <f t="shared" si="224"/>
        <v>MS</v>
      </c>
    </row>
    <row r="6929" spans="1:6" x14ac:dyDescent="0.25">
      <c r="A6929" t="str">
        <f>"000126340"</f>
        <v>000126340</v>
      </c>
      <c r="B6929" t="str">
        <f>"1013917103"</f>
        <v>1013917103</v>
      </c>
      <c r="C6929" t="str">
        <f>"208800000X"</f>
        <v>208800000X</v>
      </c>
      <c r="D6929" t="str">
        <f>"POSEY                    JON          T           "</f>
        <v xml:space="preserve">POSEY                    JON          T           </v>
      </c>
      <c r="E6929" t="str">
        <f>"TUPELO                    "</f>
        <v xml:space="preserve">TUPELO                    </v>
      </c>
      <c r="F6929" t="str">
        <f t="shared" si="224"/>
        <v>MS</v>
      </c>
    </row>
    <row r="6930" spans="1:6" x14ac:dyDescent="0.25">
      <c r="A6930" t="str">
        <f>"000126372"</f>
        <v>000126372</v>
      </c>
      <c r="B6930" t="str">
        <f>"1659443711"</f>
        <v>1659443711</v>
      </c>
      <c r="C6930" t="str">
        <f>"207R00000X"</f>
        <v>207R00000X</v>
      </c>
      <c r="D6930" t="str">
        <f>"SAULTERS                 ROBERT       L           "</f>
        <v xml:space="preserve">SAULTERS                 ROBERT       L           </v>
      </c>
      <c r="E6930" t="str">
        <f>"JACKSON                   "</f>
        <v xml:space="preserve">JACKSON                   </v>
      </c>
      <c r="F6930" t="str">
        <f t="shared" si="224"/>
        <v>MS</v>
      </c>
    </row>
    <row r="6931" spans="1:6" x14ac:dyDescent="0.25">
      <c r="A6931" t="str">
        <f>"000126373"</f>
        <v>000126373</v>
      </c>
      <c r="B6931" t="str">
        <f>"1386716553"</f>
        <v>1386716553</v>
      </c>
      <c r="C6931" t="str">
        <f>"207R00000X"</f>
        <v>207R00000X</v>
      </c>
      <c r="D6931" t="str">
        <f>"MORGAN                   MICHAEL      M           "</f>
        <v xml:space="preserve">MORGAN                   MICHAEL      M           </v>
      </c>
      <c r="E6931" t="str">
        <f>"MADISON                   "</f>
        <v xml:space="preserve">MADISON                   </v>
      </c>
      <c r="F6931" t="str">
        <f t="shared" si="224"/>
        <v>MS</v>
      </c>
    </row>
    <row r="6932" spans="1:6" x14ac:dyDescent="0.25">
      <c r="A6932" t="str">
        <f>"000126413"</f>
        <v>000126413</v>
      </c>
      <c r="B6932" t="str">
        <f>"1689603102"</f>
        <v>1689603102</v>
      </c>
      <c r="C6932" t="str">
        <f>"207RN0300X"</f>
        <v>207RN0300X</v>
      </c>
      <c r="D6932" t="str">
        <f>"MITTAL                   SANJEEV      K           "</f>
        <v xml:space="preserve">MITTAL                   SANJEEV      K           </v>
      </c>
      <c r="E6932" t="str">
        <f>"SOUTHAVEN                 "</f>
        <v xml:space="preserve">SOUTHAVEN                 </v>
      </c>
      <c r="F6932" t="str">
        <f t="shared" si="224"/>
        <v>MS</v>
      </c>
    </row>
    <row r="6933" spans="1:6" x14ac:dyDescent="0.25">
      <c r="A6933" t="str">
        <f>"000126440"</f>
        <v>000126440</v>
      </c>
      <c r="B6933" t="str">
        <f>"1215909171"</f>
        <v>1215909171</v>
      </c>
      <c r="C6933" t="str">
        <f>"207T00000X"</f>
        <v>207T00000X</v>
      </c>
      <c r="D6933" t="str">
        <f>"BEVERING                 CARL                     "</f>
        <v xml:space="preserve">BEVERING                 CARL                     </v>
      </c>
      <c r="E6933" t="str">
        <f>"TUPELO                    "</f>
        <v xml:space="preserve">TUPELO                    </v>
      </c>
      <c r="F6933" t="str">
        <f t="shared" si="224"/>
        <v>MS</v>
      </c>
    </row>
    <row r="6934" spans="1:6" x14ac:dyDescent="0.25">
      <c r="A6934" t="str">
        <f>"000126454"</f>
        <v>000126454</v>
      </c>
      <c r="B6934" t="str">
        <f>"1477669380"</f>
        <v>1477669380</v>
      </c>
      <c r="C6934" t="str">
        <f>"2084P0800X"</f>
        <v>2084P0800X</v>
      </c>
      <c r="D6934" t="str">
        <f>"OMOLARA                  KHARI        A           "</f>
        <v xml:space="preserve">OMOLARA                  KHARI        A           </v>
      </c>
      <c r="E6934" t="str">
        <f>"BOGUE CHITTO              "</f>
        <v xml:space="preserve">BOGUE CHITTO              </v>
      </c>
      <c r="F6934" t="str">
        <f t="shared" si="224"/>
        <v>MS</v>
      </c>
    </row>
    <row r="6935" spans="1:6" x14ac:dyDescent="0.25">
      <c r="A6935" t="str">
        <f>"000126490"</f>
        <v>000126490</v>
      </c>
      <c r="B6935" t="str">
        <f>"1083726491"</f>
        <v>1083726491</v>
      </c>
      <c r="C6935" t="str">
        <f>"363L00000X"</f>
        <v>363L00000X</v>
      </c>
      <c r="D6935" t="str">
        <f>"MERCIER                  BECKY        J           "</f>
        <v xml:space="preserve">MERCIER                  BECKY        J           </v>
      </c>
      <c r="E6935" t="str">
        <f>"OCEAN SPRINGS             "</f>
        <v xml:space="preserve">OCEAN SPRINGS             </v>
      </c>
      <c r="F6935" t="str">
        <f t="shared" si="224"/>
        <v>MS</v>
      </c>
    </row>
    <row r="6936" spans="1:6" x14ac:dyDescent="0.25">
      <c r="A6936" t="str">
        <f>"000126499"</f>
        <v>000126499</v>
      </c>
      <c r="B6936" t="str">
        <f>"1205891975"</f>
        <v>1205891975</v>
      </c>
      <c r="C6936" t="str">
        <f>"207Q00000X"</f>
        <v>207Q00000X</v>
      </c>
      <c r="D6936" t="str">
        <f>"GRIFFITH                 CHARLES      R           "</f>
        <v xml:space="preserve">GRIFFITH                 CHARLES      R           </v>
      </c>
      <c r="E6936" t="str">
        <f>"HATTIESBURG               "</f>
        <v xml:space="preserve">HATTIESBURG               </v>
      </c>
      <c r="F6936" t="str">
        <f t="shared" si="224"/>
        <v>MS</v>
      </c>
    </row>
    <row r="6937" spans="1:6" x14ac:dyDescent="0.25">
      <c r="A6937" t="str">
        <f>"000126535"</f>
        <v>000126535</v>
      </c>
      <c r="B6937" t="str">
        <f>"1023073251"</f>
        <v>1023073251</v>
      </c>
      <c r="C6937" t="str">
        <f>"2084N0400X"</f>
        <v>2084N0400X</v>
      </c>
      <c r="D6937" t="str">
        <f>"AL-SHEIKH                NABIH                    "</f>
        <v xml:space="preserve">AL-SHEIKH                NABIH                    </v>
      </c>
      <c r="E6937" t="str">
        <f>"HATTIESBURG               "</f>
        <v xml:space="preserve">HATTIESBURG               </v>
      </c>
      <c r="F6937" t="str">
        <f t="shared" si="224"/>
        <v>MS</v>
      </c>
    </row>
    <row r="6938" spans="1:6" x14ac:dyDescent="0.25">
      <c r="A6938" t="str">
        <f>"000126569"</f>
        <v>000126569</v>
      </c>
      <c r="B6938" t="str">
        <f>"1730143009"</f>
        <v>1730143009</v>
      </c>
      <c r="C6938" t="str">
        <f>"208000000X"</f>
        <v>208000000X</v>
      </c>
      <c r="D6938" t="str">
        <f>"KING                     MARY         A           "</f>
        <v xml:space="preserve">KING                     MARY         A           </v>
      </c>
      <c r="E6938" t="str">
        <f>"AMORY                     "</f>
        <v xml:space="preserve">AMORY                     </v>
      </c>
      <c r="F6938" t="str">
        <f t="shared" si="224"/>
        <v>MS</v>
      </c>
    </row>
    <row r="6939" spans="1:6" x14ac:dyDescent="0.25">
      <c r="A6939" t="str">
        <f>"000126582"</f>
        <v>000126582</v>
      </c>
      <c r="B6939" t="str">
        <f>"1376584912"</f>
        <v>1376584912</v>
      </c>
      <c r="C6939" t="str">
        <f>"207R00000X"</f>
        <v>207R00000X</v>
      </c>
      <c r="D6939" t="str">
        <f>"DUNN                     THOMAS       J           "</f>
        <v xml:space="preserve">DUNN                     THOMAS       J           </v>
      </c>
      <c r="E6939" t="str">
        <f>"COLUMBUS                  "</f>
        <v xml:space="preserve">COLUMBUS                  </v>
      </c>
      <c r="F6939" t="str">
        <f t="shared" si="224"/>
        <v>MS</v>
      </c>
    </row>
    <row r="6940" spans="1:6" x14ac:dyDescent="0.25">
      <c r="A6940" t="str">
        <f>"000126597"</f>
        <v>000126597</v>
      </c>
      <c r="B6940" t="str">
        <f>"1528153558"</f>
        <v>1528153558</v>
      </c>
      <c r="C6940" t="str">
        <f>"363A00000X"</f>
        <v>363A00000X</v>
      </c>
      <c r="D6940" t="str">
        <f>"BALLARD                  AMY          M           "</f>
        <v xml:space="preserve">BALLARD                  AMY          M           </v>
      </c>
      <c r="E6940" t="str">
        <f>"TUPELO                    "</f>
        <v xml:space="preserve">TUPELO                    </v>
      </c>
      <c r="F6940" t="str">
        <f t="shared" si="224"/>
        <v>MS</v>
      </c>
    </row>
    <row r="6941" spans="1:6" x14ac:dyDescent="0.25">
      <c r="A6941" t="str">
        <f>"000126610"</f>
        <v>000126610</v>
      </c>
      <c r="B6941" t="str">
        <f>"1700888906"</f>
        <v>1700888906</v>
      </c>
      <c r="C6941" t="str">
        <f>"207V00000X"</f>
        <v>207V00000X</v>
      </c>
      <c r="D6941" t="str">
        <f>"FROHN                    WILLIAM      E           "</f>
        <v xml:space="preserve">FROHN                    WILLIAM      E           </v>
      </c>
      <c r="E6941" t="str">
        <f>"NEW ALBANY                "</f>
        <v xml:space="preserve">NEW ALBANY                </v>
      </c>
      <c r="F6941" t="str">
        <f t="shared" si="224"/>
        <v>MS</v>
      </c>
    </row>
    <row r="6942" spans="1:6" x14ac:dyDescent="0.25">
      <c r="A6942" t="str">
        <f>"000126675"</f>
        <v>000126675</v>
      </c>
      <c r="B6942" t="str">
        <f>"1194718023"</f>
        <v>1194718023</v>
      </c>
      <c r="C6942" t="str">
        <f>"207ZP0102X"</f>
        <v>207ZP0102X</v>
      </c>
      <c r="D6942" t="str">
        <f>"KENDALL                  TODD         J           "</f>
        <v xml:space="preserve">KENDALL                  TODD         J           </v>
      </c>
      <c r="E6942" t="str">
        <f>"HATTIESBURG               "</f>
        <v xml:space="preserve">HATTIESBURG               </v>
      </c>
      <c r="F6942" t="str">
        <f t="shared" si="224"/>
        <v>MS</v>
      </c>
    </row>
    <row r="6943" spans="1:6" x14ac:dyDescent="0.25">
      <c r="A6943" t="str">
        <f>"000126681"</f>
        <v>000126681</v>
      </c>
      <c r="B6943" t="str">
        <f>"1306947577"</f>
        <v>1306947577</v>
      </c>
      <c r="C6943" t="str">
        <f>"207V00000X"</f>
        <v>207V00000X</v>
      </c>
      <c r="D6943" t="str">
        <f>"JOHNSON                  TEMEKA       L           "</f>
        <v xml:space="preserve">JOHNSON                  TEMEKA       L           </v>
      </c>
      <c r="E6943" t="str">
        <f>"FLOWOOD                   "</f>
        <v xml:space="preserve">FLOWOOD                   </v>
      </c>
      <c r="F6943" t="str">
        <f t="shared" si="224"/>
        <v>MS</v>
      </c>
    </row>
    <row r="6944" spans="1:6" x14ac:dyDescent="0.25">
      <c r="A6944" t="str">
        <f>"000126694"</f>
        <v>000126694</v>
      </c>
      <c r="B6944" t="str">
        <f>"1437130911"</f>
        <v>1437130911</v>
      </c>
      <c r="C6944" t="str">
        <f>"207RC0000X"</f>
        <v>207RC0000X</v>
      </c>
      <c r="D6944" t="str">
        <f>"HARDWICK                 JAMES        C           "</f>
        <v xml:space="preserve">HARDWICK                 JAMES        C           </v>
      </c>
      <c r="E6944" t="str">
        <f>"GULFPORT                  "</f>
        <v xml:space="preserve">GULFPORT                  </v>
      </c>
      <c r="F6944" t="str">
        <f t="shared" si="224"/>
        <v>MS</v>
      </c>
    </row>
    <row r="6945" spans="1:6" x14ac:dyDescent="0.25">
      <c r="A6945" t="str">
        <f>"000126712"</f>
        <v>000126712</v>
      </c>
      <c r="B6945" t="str">
        <f>"1124095914"</f>
        <v>1124095914</v>
      </c>
      <c r="C6945" t="str">
        <f>"363L00000X"</f>
        <v>363L00000X</v>
      </c>
      <c r="D6945" t="str">
        <f>"COOPER                   JADA         W           "</f>
        <v xml:space="preserve">COOPER                   JADA         W           </v>
      </c>
      <c r="E6945" t="str">
        <f>"GULFPORT                  "</f>
        <v xml:space="preserve">GULFPORT                  </v>
      </c>
      <c r="F6945" t="str">
        <f t="shared" si="224"/>
        <v>MS</v>
      </c>
    </row>
    <row r="6946" spans="1:6" x14ac:dyDescent="0.25">
      <c r="A6946" t="str">
        <f>"000126714"</f>
        <v>000126714</v>
      </c>
      <c r="B6946" t="str">
        <f>"1366556557"</f>
        <v>1366556557</v>
      </c>
      <c r="C6946" t="str">
        <f>"207Q00000X"</f>
        <v>207Q00000X</v>
      </c>
      <c r="D6946" t="str">
        <f>"KELLY MD                 SCOTT        M           "</f>
        <v xml:space="preserve">KELLY MD                 SCOTT        M           </v>
      </c>
      <c r="E6946" t="str">
        <f>"FLOWOOD                   "</f>
        <v xml:space="preserve">FLOWOOD                   </v>
      </c>
      <c r="F6946" t="str">
        <f t="shared" si="224"/>
        <v>MS</v>
      </c>
    </row>
    <row r="6947" spans="1:6" x14ac:dyDescent="0.25">
      <c r="A6947" t="str">
        <f>"000126719"</f>
        <v>000126719</v>
      </c>
      <c r="B6947" t="str">
        <f>"1942206149"</f>
        <v>1942206149</v>
      </c>
      <c r="C6947" t="str">
        <f>"207W00000X"</f>
        <v>207W00000X</v>
      </c>
      <c r="D6947" t="str">
        <f>"SMITH                    PHILIP       C           "</f>
        <v xml:space="preserve">SMITH                    PHILIP       C           </v>
      </c>
      <c r="E6947" t="str">
        <f>"MADISON                   "</f>
        <v xml:space="preserve">MADISON                   </v>
      </c>
      <c r="F6947" t="str">
        <f t="shared" si="224"/>
        <v>MS</v>
      </c>
    </row>
    <row r="6948" spans="1:6" x14ac:dyDescent="0.25">
      <c r="A6948" t="str">
        <f>"000126731"</f>
        <v>000126731</v>
      </c>
      <c r="B6948" t="str">
        <f>"1932164456"</f>
        <v>1932164456</v>
      </c>
      <c r="C6948" t="str">
        <f>"207Q00000X"</f>
        <v>207Q00000X</v>
      </c>
      <c r="D6948" t="str">
        <f>"OTAIGBE                  OMOLARA      Y           "</f>
        <v xml:space="preserve">OTAIGBE                  OMOLARA      Y           </v>
      </c>
      <c r="E6948" t="str">
        <f>"HATTIESBURG               "</f>
        <v xml:space="preserve">HATTIESBURG               </v>
      </c>
      <c r="F6948" t="str">
        <f t="shared" si="224"/>
        <v>MS</v>
      </c>
    </row>
    <row r="6949" spans="1:6" x14ac:dyDescent="0.25">
      <c r="A6949" t="str">
        <f>"000126737"</f>
        <v>000126737</v>
      </c>
      <c r="B6949" t="str">
        <f>"1477582096"</f>
        <v>1477582096</v>
      </c>
      <c r="C6949" t="str">
        <f>"2084N0400X"</f>
        <v>2084N0400X</v>
      </c>
      <c r="D6949" t="str">
        <f>"KWENTUS                  JOSEPH       A           "</f>
        <v xml:space="preserve">KWENTUS                  JOSEPH       A           </v>
      </c>
      <c r="E6949" t="str">
        <f>"FLOWOOD                   "</f>
        <v xml:space="preserve">FLOWOOD                   </v>
      </c>
      <c r="F6949" t="str">
        <f t="shared" si="224"/>
        <v>MS</v>
      </c>
    </row>
    <row r="6950" spans="1:6" x14ac:dyDescent="0.25">
      <c r="A6950" t="str">
        <f>"000126743"</f>
        <v>000126743</v>
      </c>
      <c r="B6950" t="str">
        <f>"1437105194"</f>
        <v>1437105194</v>
      </c>
      <c r="C6950" t="str">
        <f>"207T00000X"</f>
        <v>207T00000X</v>
      </c>
      <c r="D6950" t="str">
        <f>"MORIARITY                JOHN         L           "</f>
        <v xml:space="preserve">MORIARITY                JOHN         L           </v>
      </c>
      <c r="E6950" t="str">
        <f>"FLOWOOD                   "</f>
        <v xml:space="preserve">FLOWOOD                   </v>
      </c>
      <c r="F6950" t="str">
        <f t="shared" si="224"/>
        <v>MS</v>
      </c>
    </row>
    <row r="6951" spans="1:6" x14ac:dyDescent="0.25">
      <c r="A6951" t="str">
        <f>"000126769"</f>
        <v>000126769</v>
      </c>
      <c r="B6951" t="str">
        <f>"1346285491"</f>
        <v>1346285491</v>
      </c>
      <c r="C6951" t="str">
        <f>"207P00000X"</f>
        <v>207P00000X</v>
      </c>
      <c r="D6951" t="str">
        <f>"WEST                     BOBBIE       B           "</f>
        <v xml:space="preserve">WEST                     BOBBIE       B           </v>
      </c>
      <c r="E6951" t="str">
        <f>"PEARL                     "</f>
        <v xml:space="preserve">PEARL                     </v>
      </c>
      <c r="F6951" t="str">
        <f t="shared" si="224"/>
        <v>MS</v>
      </c>
    </row>
    <row r="6952" spans="1:6" x14ac:dyDescent="0.25">
      <c r="A6952" t="str">
        <f>"000126770"</f>
        <v>000126770</v>
      </c>
      <c r="B6952" t="str">
        <f>"1669450425"</f>
        <v>1669450425</v>
      </c>
      <c r="C6952" t="str">
        <f>"363L00000X"</f>
        <v>363L00000X</v>
      </c>
      <c r="D6952" t="str">
        <f>"BARNETT                  MELISSA      L           "</f>
        <v xml:space="preserve">BARNETT                  MELISSA      L           </v>
      </c>
      <c r="E6952" t="str">
        <f>"TUPELO                    "</f>
        <v xml:space="preserve">TUPELO                    </v>
      </c>
      <c r="F6952" t="str">
        <f t="shared" si="224"/>
        <v>MS</v>
      </c>
    </row>
    <row r="6953" spans="1:6" x14ac:dyDescent="0.25">
      <c r="A6953" t="str">
        <f>"000126773"</f>
        <v>000126773</v>
      </c>
      <c r="B6953" t="str">
        <f>"1982638110"</f>
        <v>1982638110</v>
      </c>
      <c r="C6953" t="str">
        <f>"207L00000X"</f>
        <v>207L00000X</v>
      </c>
      <c r="D6953" t="str">
        <f>"WOMACK                   BRADLEY      G           "</f>
        <v xml:space="preserve">WOMACK                   BRADLEY      G           </v>
      </c>
      <c r="E6953" t="str">
        <f>"TUPELO                    "</f>
        <v xml:space="preserve">TUPELO                    </v>
      </c>
      <c r="F6953" t="str">
        <f t="shared" si="224"/>
        <v>MS</v>
      </c>
    </row>
    <row r="6954" spans="1:6" x14ac:dyDescent="0.25">
      <c r="A6954" t="str">
        <f>"000126796"</f>
        <v>000126796</v>
      </c>
      <c r="B6954" t="str">
        <f>"1457431918"</f>
        <v>1457431918</v>
      </c>
      <c r="C6954" t="str">
        <f>"367500000X"</f>
        <v>367500000X</v>
      </c>
      <c r="D6954" t="str">
        <f>"COMBS                    MARK         J           "</f>
        <v xml:space="preserve">COMBS                    MARK         J           </v>
      </c>
      <c r="E6954" t="str">
        <f>"JACKSON                   "</f>
        <v xml:space="preserve">JACKSON                   </v>
      </c>
      <c r="F6954" t="str">
        <f t="shared" si="224"/>
        <v>MS</v>
      </c>
    </row>
    <row r="6955" spans="1:6" x14ac:dyDescent="0.25">
      <c r="A6955" t="str">
        <f>"000126802"</f>
        <v>000126802</v>
      </c>
      <c r="B6955" t="str">
        <f>"1093796500"</f>
        <v>1093796500</v>
      </c>
      <c r="C6955" t="str">
        <f>"209800000X"</f>
        <v>209800000X</v>
      </c>
      <c r="D6955" t="str">
        <f>"THOMAS                   CATHERINE    M           "</f>
        <v xml:space="preserve">THOMAS                   CATHERINE    M           </v>
      </c>
      <c r="E6955" t="str">
        <f>"HATTIESBURG               "</f>
        <v xml:space="preserve">HATTIESBURG               </v>
      </c>
      <c r="F6955" t="str">
        <f t="shared" si="224"/>
        <v>MS</v>
      </c>
    </row>
    <row r="6956" spans="1:6" x14ac:dyDescent="0.25">
      <c r="A6956" t="str">
        <f>"000126840"</f>
        <v>000126840</v>
      </c>
      <c r="B6956" t="str">
        <f>"1720048002"</f>
        <v>1720048002</v>
      </c>
      <c r="C6956" t="str">
        <f>"363A00000X"</f>
        <v>363A00000X</v>
      </c>
      <c r="D6956" t="str">
        <f>"CRAWFORD                 ALAN         G           "</f>
        <v xml:space="preserve">CRAWFORD                 ALAN         G           </v>
      </c>
      <c r="E6956" t="str">
        <f>"OCEAN SPRINGS             "</f>
        <v xml:space="preserve">OCEAN SPRINGS             </v>
      </c>
      <c r="F6956" t="str">
        <f t="shared" si="224"/>
        <v>MS</v>
      </c>
    </row>
    <row r="6957" spans="1:6" x14ac:dyDescent="0.25">
      <c r="A6957" t="str">
        <f>"000126846"</f>
        <v>000126846</v>
      </c>
      <c r="B6957" t="str">
        <f>"1821039652"</f>
        <v>1821039652</v>
      </c>
      <c r="C6957" t="str">
        <f>"367500000X"</f>
        <v>367500000X</v>
      </c>
      <c r="D6957" t="str">
        <f>"HORNADAY                 STEPHEN      D           "</f>
        <v xml:space="preserve">HORNADAY                 STEPHEN      D           </v>
      </c>
      <c r="E6957" t="str">
        <f>"JACKSON                   "</f>
        <v xml:space="preserve">JACKSON                   </v>
      </c>
      <c r="F6957" t="str">
        <f t="shared" si="224"/>
        <v>MS</v>
      </c>
    </row>
    <row r="6958" spans="1:6" x14ac:dyDescent="0.25">
      <c r="A6958" t="str">
        <f>"000126874"</f>
        <v>000126874</v>
      </c>
      <c r="B6958" t="str">
        <f>"1568564870"</f>
        <v>1568564870</v>
      </c>
      <c r="C6958" t="str">
        <f>"363L00000X"</f>
        <v>363L00000X</v>
      </c>
      <c r="D6958" t="str">
        <f>"SEARCY                   CARISSA      I           "</f>
        <v xml:space="preserve">SEARCY                   CARISSA      I           </v>
      </c>
      <c r="E6958" t="str">
        <f>"TREMONT                   "</f>
        <v xml:space="preserve">TREMONT                   </v>
      </c>
      <c r="F6958" t="str">
        <f t="shared" si="224"/>
        <v>MS</v>
      </c>
    </row>
    <row r="6959" spans="1:6" x14ac:dyDescent="0.25">
      <c r="A6959" t="str">
        <f>"000126888"</f>
        <v>000126888</v>
      </c>
      <c r="B6959" t="str">
        <f>"1073603171"</f>
        <v>1073603171</v>
      </c>
      <c r="C6959" t="str">
        <f>"207Q00000X"</f>
        <v>207Q00000X</v>
      </c>
      <c r="D6959" t="str">
        <f>"JANG                     JONATHAN     R           "</f>
        <v xml:space="preserve">JANG                     JONATHAN     R           </v>
      </c>
      <c r="E6959" t="str">
        <f>"COLUMBIA                  "</f>
        <v xml:space="preserve">COLUMBIA                  </v>
      </c>
      <c r="F6959" t="str">
        <f t="shared" si="224"/>
        <v>MS</v>
      </c>
    </row>
    <row r="6960" spans="1:6" x14ac:dyDescent="0.25">
      <c r="A6960" t="str">
        <f>"000126889"</f>
        <v>000126889</v>
      </c>
      <c r="B6960" t="str">
        <f>"1033273313"</f>
        <v>1033273313</v>
      </c>
      <c r="C6960" t="str">
        <f>"208000000X"</f>
        <v>208000000X</v>
      </c>
      <c r="D6960" t="str">
        <f>"EMERLE                   AGNES                    "</f>
        <v xml:space="preserve">EMERLE                   AGNES                    </v>
      </c>
      <c r="E6960" t="str">
        <f>"COLUMBIA                  "</f>
        <v xml:space="preserve">COLUMBIA                  </v>
      </c>
      <c r="F6960" t="str">
        <f t="shared" si="224"/>
        <v>MS</v>
      </c>
    </row>
    <row r="6961" spans="1:6" x14ac:dyDescent="0.25">
      <c r="A6961" t="str">
        <f>"000126895"</f>
        <v>000126895</v>
      </c>
      <c r="B6961" t="str">
        <f>"1083660732"</f>
        <v>1083660732</v>
      </c>
      <c r="C6961" t="str">
        <f>"207T00000X"</f>
        <v>207T00000X</v>
      </c>
      <c r="D6961" t="str">
        <f>"DAVIS                    JOHN         D           "</f>
        <v xml:space="preserve">DAVIS                    JOHN         D           </v>
      </c>
      <c r="E6961" t="str">
        <f>"FLOWOOD                   "</f>
        <v xml:space="preserve">FLOWOOD                   </v>
      </c>
      <c r="F6961" t="str">
        <f t="shared" si="224"/>
        <v>MS</v>
      </c>
    </row>
    <row r="6962" spans="1:6" x14ac:dyDescent="0.25">
      <c r="A6962" t="str">
        <f>"000126898"</f>
        <v>000126898</v>
      </c>
      <c r="B6962" t="str">
        <f>"1760587778"</f>
        <v>1760587778</v>
      </c>
      <c r="C6962" t="str">
        <f>"208800000X"</f>
        <v>208800000X</v>
      </c>
      <c r="D6962" t="str">
        <f>"CURRY                    ROBERT       L           "</f>
        <v xml:space="preserve">CURRY                    ROBERT       L           </v>
      </c>
      <c r="E6962" t="str">
        <f>"GREENVILLE                "</f>
        <v xml:space="preserve">GREENVILLE                </v>
      </c>
      <c r="F6962" t="str">
        <f t="shared" si="224"/>
        <v>MS</v>
      </c>
    </row>
    <row r="6963" spans="1:6" x14ac:dyDescent="0.25">
      <c r="A6963" t="str">
        <f>"000126910"</f>
        <v>000126910</v>
      </c>
      <c r="B6963" t="str">
        <f>"1699716241"</f>
        <v>1699716241</v>
      </c>
      <c r="C6963" t="str">
        <f>"208000000X"</f>
        <v>208000000X</v>
      </c>
      <c r="D6963" t="str">
        <f>"CHANEY                   GERALDINE    B           "</f>
        <v xml:space="preserve">CHANEY                   GERALDINE    B           </v>
      </c>
      <c r="E6963" t="str">
        <f>"RIDGELAND                 "</f>
        <v xml:space="preserve">RIDGELAND                 </v>
      </c>
      <c r="F6963" t="str">
        <f t="shared" si="224"/>
        <v>MS</v>
      </c>
    </row>
    <row r="6964" spans="1:6" x14ac:dyDescent="0.25">
      <c r="A6964" t="str">
        <f>"000126913"</f>
        <v>000126913</v>
      </c>
      <c r="B6964" t="str">
        <f>"1972517308"</f>
        <v>1972517308</v>
      </c>
      <c r="C6964" t="str">
        <f>"2084N0400X"</f>
        <v>2084N0400X</v>
      </c>
      <c r="D6964" t="str">
        <f>"USCHMANN                 HARTMUT                  "</f>
        <v xml:space="preserve">USCHMANN                 HARTMUT                  </v>
      </c>
      <c r="E6964" t="str">
        <f>"JACKSON                   "</f>
        <v xml:space="preserve">JACKSON                   </v>
      </c>
      <c r="F6964" t="str">
        <f t="shared" si="224"/>
        <v>MS</v>
      </c>
    </row>
    <row r="6965" spans="1:6" x14ac:dyDescent="0.25">
      <c r="A6965" t="str">
        <f>"000126926"</f>
        <v>000126926</v>
      </c>
      <c r="B6965" t="str">
        <f>"1821194713"</f>
        <v>1821194713</v>
      </c>
      <c r="C6965" t="str">
        <f>"207RP1001X"</f>
        <v>207RP1001X</v>
      </c>
      <c r="D6965" t="str">
        <f>"BABAR                    SARDAR       I           "</f>
        <v xml:space="preserve">BABAR                    SARDAR       I           </v>
      </c>
      <c r="E6965" t="str">
        <f>"OCEAN SPRINGS             "</f>
        <v xml:space="preserve">OCEAN SPRINGS             </v>
      </c>
      <c r="F6965" t="str">
        <f t="shared" si="224"/>
        <v>MS</v>
      </c>
    </row>
    <row r="6966" spans="1:6" x14ac:dyDescent="0.25">
      <c r="A6966" t="str">
        <f>"000126946"</f>
        <v>000126946</v>
      </c>
      <c r="B6966" t="str">
        <f>"1992726137"</f>
        <v>1992726137</v>
      </c>
      <c r="C6966" t="str">
        <f>"367500000X"</f>
        <v>367500000X</v>
      </c>
      <c r="D6966" t="str">
        <f>"LIVINGSTON               LADEAN                   "</f>
        <v xml:space="preserve">LIVINGSTON               LADEAN                   </v>
      </c>
      <c r="E6966" t="str">
        <f>"JACKSON                   "</f>
        <v xml:space="preserve">JACKSON                   </v>
      </c>
      <c r="F6966" t="str">
        <f t="shared" si="224"/>
        <v>MS</v>
      </c>
    </row>
    <row r="6967" spans="1:6" x14ac:dyDescent="0.25">
      <c r="A6967" t="str">
        <f>"000126951"</f>
        <v>000126951</v>
      </c>
      <c r="B6967" t="str">
        <f>"1497875876"</f>
        <v>1497875876</v>
      </c>
      <c r="C6967" t="str">
        <f>"363L00000X"</f>
        <v>363L00000X</v>
      </c>
      <c r="D6967" t="str">
        <f>"POUNDERS                 TERRI        L           "</f>
        <v xml:space="preserve">POUNDERS                 TERRI        L           </v>
      </c>
      <c r="E6967" t="str">
        <f>"NEW ALBANY                "</f>
        <v xml:space="preserve">NEW ALBANY                </v>
      </c>
      <c r="F6967" t="str">
        <f t="shared" si="224"/>
        <v>MS</v>
      </c>
    </row>
    <row r="6968" spans="1:6" x14ac:dyDescent="0.25">
      <c r="A6968" t="str">
        <f>"000126957"</f>
        <v>000126957</v>
      </c>
      <c r="B6968" t="str">
        <f>"1376572123"</f>
        <v>1376572123</v>
      </c>
      <c r="C6968" t="str">
        <f>"2084P0800X"</f>
        <v>2084P0800X</v>
      </c>
      <c r="D6968" t="str">
        <f>"LIPPINCOTT               CHARLES      K           "</f>
        <v xml:space="preserve">LIPPINCOTT               CHARLES      K           </v>
      </c>
      <c r="E6968" t="str">
        <f>"TUPELO                    "</f>
        <v xml:space="preserve">TUPELO                    </v>
      </c>
      <c r="F6968" t="str">
        <f t="shared" si="224"/>
        <v>MS</v>
      </c>
    </row>
    <row r="6969" spans="1:6" x14ac:dyDescent="0.25">
      <c r="A6969" t="str">
        <f>"000126966"</f>
        <v>000126966</v>
      </c>
      <c r="B6969" t="str">
        <f>"1730285602"</f>
        <v>1730285602</v>
      </c>
      <c r="C6969" t="str">
        <f>"363L00000X"</f>
        <v>363L00000X</v>
      </c>
      <c r="D6969" t="str">
        <f>"CLIFFORD                 ROSE         E           "</f>
        <v xml:space="preserve">CLIFFORD                 ROSE         E           </v>
      </c>
      <c r="E6969" t="str">
        <f>"GULFPORT                  "</f>
        <v xml:space="preserve">GULFPORT                  </v>
      </c>
      <c r="F6969" t="str">
        <f t="shared" si="224"/>
        <v>MS</v>
      </c>
    </row>
    <row r="6970" spans="1:6" x14ac:dyDescent="0.25">
      <c r="A6970" t="str">
        <f>"000127030"</f>
        <v>000127030</v>
      </c>
      <c r="B6970" t="str">
        <f>"1770531337"</f>
        <v>1770531337</v>
      </c>
      <c r="C6970" t="str">
        <f>"207LP2900X"</f>
        <v>207LP2900X</v>
      </c>
      <c r="D6970" t="str">
        <f>"PASHA                    AZHAR        M           "</f>
        <v xml:space="preserve">PASHA                    AZHAR        M           </v>
      </c>
      <c r="E6970" t="str">
        <f>"MERIDIAN                  "</f>
        <v xml:space="preserve">MERIDIAN                  </v>
      </c>
      <c r="F6970" t="str">
        <f t="shared" si="224"/>
        <v>MS</v>
      </c>
    </row>
    <row r="6971" spans="1:6" x14ac:dyDescent="0.25">
      <c r="A6971" t="str">
        <f>"000127042"</f>
        <v>000127042</v>
      </c>
      <c r="B6971" t="str">
        <f>"1790731933"</f>
        <v>1790731933</v>
      </c>
      <c r="C6971" t="str">
        <f>"207L00000X"</f>
        <v>207L00000X</v>
      </c>
      <c r="D6971" t="str">
        <f>"MORRISON                 MICHAEL      B           "</f>
        <v xml:space="preserve">MORRISON                 MICHAEL      B           </v>
      </c>
      <c r="E6971" t="str">
        <f>"OXFORD                    "</f>
        <v xml:space="preserve">OXFORD                    </v>
      </c>
      <c r="F6971" t="str">
        <f t="shared" si="224"/>
        <v>MS</v>
      </c>
    </row>
    <row r="6972" spans="1:6" x14ac:dyDescent="0.25">
      <c r="A6972" t="str">
        <f>"000127061"</f>
        <v>000127061</v>
      </c>
      <c r="B6972" t="str">
        <f>"1386658763"</f>
        <v>1386658763</v>
      </c>
      <c r="C6972" t="str">
        <f>"363L00000X"</f>
        <v>363L00000X</v>
      </c>
      <c r="D6972" t="str">
        <f>"KNOTT                    CATHERINE    W           "</f>
        <v xml:space="preserve">KNOTT                    CATHERINE    W           </v>
      </c>
      <c r="E6972" t="str">
        <f>"BROOKHAVEN                "</f>
        <v xml:space="preserve">BROOKHAVEN                </v>
      </c>
      <c r="F6972" t="str">
        <f t="shared" si="224"/>
        <v>MS</v>
      </c>
    </row>
    <row r="6973" spans="1:6" x14ac:dyDescent="0.25">
      <c r="A6973" t="str">
        <f>"000127062"</f>
        <v>000127062</v>
      </c>
      <c r="B6973" t="str">
        <f>"1255323663"</f>
        <v>1255323663</v>
      </c>
      <c r="C6973" t="str">
        <f>"2085R0001X"</f>
        <v>2085R0001X</v>
      </c>
      <c r="D6973" t="str">
        <f>"GHANDOUR                 OMAR         F           "</f>
        <v xml:space="preserve">GHANDOUR                 OMAR         F           </v>
      </c>
      <c r="E6973" t="str">
        <f>"SOUTHAVEN                 "</f>
        <v xml:space="preserve">SOUTHAVEN                 </v>
      </c>
      <c r="F6973" t="str">
        <f t="shared" si="224"/>
        <v>MS</v>
      </c>
    </row>
    <row r="6974" spans="1:6" x14ac:dyDescent="0.25">
      <c r="A6974" t="str">
        <f>"000127083"</f>
        <v>000127083</v>
      </c>
      <c r="B6974" t="str">
        <f>"1821103151"</f>
        <v>1821103151</v>
      </c>
      <c r="C6974" t="str">
        <f>"208800000X"</f>
        <v>208800000X</v>
      </c>
      <c r="D6974" t="str">
        <f>"RAYFORD                  WALTER                   "</f>
        <v xml:space="preserve">RAYFORD                  WALTER                   </v>
      </c>
      <c r="E6974" t="str">
        <f>"SOUTHAVEN                 "</f>
        <v xml:space="preserve">SOUTHAVEN                 </v>
      </c>
      <c r="F6974" t="str">
        <f t="shared" ref="F6974:F7037" si="225">"MS"</f>
        <v>MS</v>
      </c>
    </row>
    <row r="6975" spans="1:6" x14ac:dyDescent="0.25">
      <c r="A6975" t="str">
        <f>"000127085"</f>
        <v>000127085</v>
      </c>
      <c r="B6975" t="str">
        <f>"1689673071"</f>
        <v>1689673071</v>
      </c>
      <c r="C6975" t="str">
        <f>"207X00000X"</f>
        <v>207X00000X</v>
      </c>
      <c r="D6975" t="str">
        <f>"THRIFFILEY IV            JAMES                    "</f>
        <v xml:space="preserve">THRIFFILEY IV            JAMES                    </v>
      </c>
      <c r="E6975" t="str">
        <f>"GULFPORT                  "</f>
        <v xml:space="preserve">GULFPORT                  </v>
      </c>
      <c r="F6975" t="str">
        <f t="shared" si="225"/>
        <v>MS</v>
      </c>
    </row>
    <row r="6976" spans="1:6" x14ac:dyDescent="0.25">
      <c r="A6976" t="str">
        <f>"000127100"</f>
        <v>000127100</v>
      </c>
      <c r="B6976" t="str">
        <f>"1801199666"</f>
        <v>1801199666</v>
      </c>
      <c r="C6976" t="str">
        <f>"363L00000X"</f>
        <v>363L00000X</v>
      </c>
      <c r="D6976" t="str">
        <f>"DOUGLAS                  AMY          R           "</f>
        <v xml:space="preserve">DOUGLAS                  AMY          R           </v>
      </c>
      <c r="E6976" t="str">
        <f>"HATTIESBURG               "</f>
        <v xml:space="preserve">HATTIESBURG               </v>
      </c>
      <c r="F6976" t="str">
        <f t="shared" si="225"/>
        <v>MS</v>
      </c>
    </row>
    <row r="6977" spans="1:6" x14ac:dyDescent="0.25">
      <c r="A6977" t="str">
        <f>"000127101"</f>
        <v>000127101</v>
      </c>
      <c r="B6977" t="str">
        <f>"1861580557"</f>
        <v>1861580557</v>
      </c>
      <c r="C6977" t="str">
        <f>"208600000X"</f>
        <v>208600000X</v>
      </c>
      <c r="D6977" t="str">
        <f>"RENO III                 WILLIAM      L           "</f>
        <v xml:space="preserve">RENO III                 WILLIAM      L           </v>
      </c>
      <c r="E6977" t="str">
        <f>"HATTIESBURG               "</f>
        <v xml:space="preserve">HATTIESBURG               </v>
      </c>
      <c r="F6977" t="str">
        <f t="shared" si="225"/>
        <v>MS</v>
      </c>
    </row>
    <row r="6978" spans="1:6" x14ac:dyDescent="0.25">
      <c r="A6978" t="str">
        <f>"000127193"</f>
        <v>000127193</v>
      </c>
      <c r="B6978" t="str">
        <f>"1558654095"</f>
        <v>1558654095</v>
      </c>
      <c r="C6978" t="str">
        <f>"208M00000X"</f>
        <v>208M00000X</v>
      </c>
      <c r="D6978" t="str">
        <f>"BEACH                    LLAURA                   "</f>
        <v xml:space="preserve">BEACH                    LLAURA                   </v>
      </c>
      <c r="E6978" t="str">
        <f>"GRENADA                   "</f>
        <v xml:space="preserve">GRENADA                   </v>
      </c>
      <c r="F6978" t="str">
        <f t="shared" si="225"/>
        <v>MS</v>
      </c>
    </row>
    <row r="6979" spans="1:6" x14ac:dyDescent="0.25">
      <c r="A6979" t="str">
        <f>"000127324"</f>
        <v>000127324</v>
      </c>
      <c r="B6979" t="str">
        <f>"1508941782"</f>
        <v>1508941782</v>
      </c>
      <c r="C6979" t="str">
        <f>"122300000X"</f>
        <v>122300000X</v>
      </c>
      <c r="D6979" t="str">
        <f>"EVANS                    PHILIP       J           "</f>
        <v xml:space="preserve">EVANS                    PHILIP       J           </v>
      </c>
      <c r="E6979" t="str">
        <f>"CHOCTAW                   "</f>
        <v xml:space="preserve">CHOCTAW                   </v>
      </c>
      <c r="F6979" t="str">
        <f t="shared" si="225"/>
        <v>MS</v>
      </c>
    </row>
    <row r="6980" spans="1:6" x14ac:dyDescent="0.25">
      <c r="A6980" t="str">
        <f>"000127780"</f>
        <v>000127780</v>
      </c>
      <c r="B6980" t="str">
        <f>"1467550673"</f>
        <v>1467550673</v>
      </c>
      <c r="C6980" t="str">
        <f>"208D00000X"</f>
        <v>208D00000X</v>
      </c>
      <c r="D6980" t="str">
        <f>"BURNS                    BRADLEY      A           "</f>
        <v xml:space="preserve">BURNS                    BRADLEY      A           </v>
      </c>
      <c r="E6980" t="str">
        <f>"JACKSON                   "</f>
        <v xml:space="preserve">JACKSON                   </v>
      </c>
      <c r="F6980" t="str">
        <f t="shared" si="225"/>
        <v>MS</v>
      </c>
    </row>
    <row r="6981" spans="1:6" x14ac:dyDescent="0.25">
      <c r="A6981" t="str">
        <f>"000128291"</f>
        <v>000128291</v>
      </c>
      <c r="B6981" t="str">
        <f>"1780899922"</f>
        <v>1780899922</v>
      </c>
      <c r="C6981" t="str">
        <f>"207R00000X"</f>
        <v>207R00000X</v>
      </c>
      <c r="D6981" t="str">
        <f>"GRENFELL III             RAYMOND      F           "</f>
        <v xml:space="preserve">GRENFELL III             RAYMOND      F           </v>
      </c>
      <c r="E6981" t="str">
        <f>"JACKSON                   "</f>
        <v xml:space="preserve">JACKSON                   </v>
      </c>
      <c r="F6981" t="str">
        <f t="shared" si="225"/>
        <v>MS</v>
      </c>
    </row>
    <row r="6982" spans="1:6" x14ac:dyDescent="0.25">
      <c r="A6982" t="str">
        <f>"000128347"</f>
        <v>000128347</v>
      </c>
      <c r="B6982" t="str">
        <f>"1972048304"</f>
        <v>1972048304</v>
      </c>
      <c r="C6982" t="str">
        <f>"363L00000X"</f>
        <v>363L00000X</v>
      </c>
      <c r="D6982" t="str">
        <f>"PATE WILLIAM             JENNIFER     W           "</f>
        <v xml:space="preserve">PATE WILLIAM             JENNIFER     W           </v>
      </c>
      <c r="E6982" t="str">
        <f>"JACKSON                   "</f>
        <v xml:space="preserve">JACKSON                   </v>
      </c>
      <c r="F6982" t="str">
        <f t="shared" si="225"/>
        <v>MS</v>
      </c>
    </row>
    <row r="6983" spans="1:6" x14ac:dyDescent="0.25">
      <c r="A6983" t="str">
        <f>"000128392"</f>
        <v>000128392</v>
      </c>
      <c r="B6983" t="str">
        <f>"1245771559"</f>
        <v>1245771559</v>
      </c>
      <c r="C6983" t="str">
        <f>"207V00000X"</f>
        <v>207V00000X</v>
      </c>
      <c r="D6983" t="str">
        <f>"DAIGLE                   PATRICK      R           "</f>
        <v xml:space="preserve">DAIGLE                   PATRICK      R           </v>
      </c>
      <c r="E6983" t="str">
        <f>"MCCOMB                    "</f>
        <v xml:space="preserve">MCCOMB                    </v>
      </c>
      <c r="F6983" t="str">
        <f t="shared" si="225"/>
        <v>MS</v>
      </c>
    </row>
    <row r="6984" spans="1:6" x14ac:dyDescent="0.25">
      <c r="A6984" t="str">
        <f>"000129320"</f>
        <v>000129320</v>
      </c>
      <c r="B6984" t="str">
        <f>"1730183435"</f>
        <v>1730183435</v>
      </c>
      <c r="C6984" t="str">
        <f>"207P00000X"</f>
        <v>207P00000X</v>
      </c>
      <c r="D6984" t="str">
        <f>"FLORIDA                  MARLON       A           "</f>
        <v xml:space="preserve">FLORIDA                  MARLON       A           </v>
      </c>
      <c r="E6984" t="str">
        <f>"CHOCTAW                   "</f>
        <v xml:space="preserve">CHOCTAW                   </v>
      </c>
      <c r="F6984" t="str">
        <f t="shared" si="225"/>
        <v>MS</v>
      </c>
    </row>
    <row r="6985" spans="1:6" x14ac:dyDescent="0.25">
      <c r="A6985" t="str">
        <f>"000129590"</f>
        <v>000129590</v>
      </c>
      <c r="B6985" t="str">
        <f>"1255571980"</f>
        <v>1255571980</v>
      </c>
      <c r="C6985" t="str">
        <f>"363L00000X"</f>
        <v>363L00000X</v>
      </c>
      <c r="D6985" t="str">
        <f>"PITTMAN                  RAVA                     "</f>
        <v xml:space="preserve">PITTMAN                  RAVA                     </v>
      </c>
      <c r="E6985" t="str">
        <f>"VICKSBURG                 "</f>
        <v xml:space="preserve">VICKSBURG                 </v>
      </c>
      <c r="F6985" t="str">
        <f t="shared" si="225"/>
        <v>MS</v>
      </c>
    </row>
    <row r="6986" spans="1:6" x14ac:dyDescent="0.25">
      <c r="A6986" t="str">
        <f>"000130012"</f>
        <v>000130012</v>
      </c>
      <c r="B6986" t="str">
        <f>"1801331376"</f>
        <v>1801331376</v>
      </c>
      <c r="C6986" t="str">
        <f>"363L00000X"</f>
        <v>363L00000X</v>
      </c>
      <c r="D6986" t="str">
        <f>"RIVERS                   PATRICIA     C           "</f>
        <v xml:space="preserve">RIVERS                   PATRICIA     C           </v>
      </c>
      <c r="E6986" t="str">
        <f>"HATTIESBURG               "</f>
        <v xml:space="preserve">HATTIESBURG               </v>
      </c>
      <c r="F6986" t="str">
        <f t="shared" si="225"/>
        <v>MS</v>
      </c>
    </row>
    <row r="6987" spans="1:6" x14ac:dyDescent="0.25">
      <c r="A6987" t="str">
        <f>"000130503"</f>
        <v>000130503</v>
      </c>
      <c r="B6987" t="str">
        <f>"1205161080"</f>
        <v>1205161080</v>
      </c>
      <c r="C6987" t="str">
        <f>"367500000X"</f>
        <v>367500000X</v>
      </c>
      <c r="D6987" t="str">
        <f>"BARRON                   NICHOLAS     R           "</f>
        <v xml:space="preserve">BARRON                   NICHOLAS     R           </v>
      </c>
      <c r="E6987" t="str">
        <f>"TUPELO                    "</f>
        <v xml:space="preserve">TUPELO                    </v>
      </c>
      <c r="F6987" t="str">
        <f t="shared" si="225"/>
        <v>MS</v>
      </c>
    </row>
    <row r="6988" spans="1:6" x14ac:dyDescent="0.25">
      <c r="A6988" t="str">
        <f>"000130792"</f>
        <v>000130792</v>
      </c>
      <c r="B6988" t="str">
        <f>"1538431002"</f>
        <v>1538431002</v>
      </c>
      <c r="C6988" t="str">
        <f>"363L00000X"</f>
        <v>363L00000X</v>
      </c>
      <c r="D6988" t="str">
        <f>"HICKS                    BRITTANY     A           "</f>
        <v xml:space="preserve">HICKS                    BRITTANY     A           </v>
      </c>
      <c r="E6988" t="str">
        <f>"GULFPORT                  "</f>
        <v xml:space="preserve">GULFPORT                  </v>
      </c>
      <c r="F6988" t="str">
        <f t="shared" si="225"/>
        <v>MS</v>
      </c>
    </row>
    <row r="6989" spans="1:6" x14ac:dyDescent="0.25">
      <c r="A6989" t="str">
        <f>"000132262"</f>
        <v>000132262</v>
      </c>
      <c r="B6989" t="str">
        <f>"1649868357"</f>
        <v>1649868357</v>
      </c>
      <c r="C6989" t="str">
        <f>"363L00000X"</f>
        <v>363L00000X</v>
      </c>
      <c r="D6989" t="str">
        <f>"KEEN                     BRITIANI     M           "</f>
        <v xml:space="preserve">KEEN                     BRITIANI     M           </v>
      </c>
      <c r="E6989" t="str">
        <f>"RICHLAND                  "</f>
        <v xml:space="preserve">RICHLAND                  </v>
      </c>
      <c r="F6989" t="str">
        <f t="shared" si="225"/>
        <v>MS</v>
      </c>
    </row>
    <row r="6990" spans="1:6" x14ac:dyDescent="0.25">
      <c r="A6990" t="str">
        <f>"000132761"</f>
        <v>000132761</v>
      </c>
      <c r="B6990" t="str">
        <f>"1992859672"</f>
        <v>1992859672</v>
      </c>
      <c r="C6990" t="str">
        <f>"207P00000X"</f>
        <v>207P00000X</v>
      </c>
      <c r="D6990" t="str">
        <f>"MING                     JEFFREY      A           "</f>
        <v xml:space="preserve">MING                     JEFFREY      A           </v>
      </c>
      <c r="E6990" t="str">
        <f>"GREENVILLE                "</f>
        <v xml:space="preserve">GREENVILLE                </v>
      </c>
      <c r="F6990" t="str">
        <f t="shared" si="225"/>
        <v>MS</v>
      </c>
    </row>
    <row r="6991" spans="1:6" x14ac:dyDescent="0.25">
      <c r="A6991" t="str">
        <f>"000132767"</f>
        <v>000132767</v>
      </c>
      <c r="B6991" t="str">
        <f>"1740754027"</f>
        <v>1740754027</v>
      </c>
      <c r="C6991" t="str">
        <f>"363L00000X"</f>
        <v>363L00000X</v>
      </c>
      <c r="D6991" t="str">
        <f>"SHOWS                    CANDICE      B           "</f>
        <v xml:space="preserve">SHOWS                    CANDICE      B           </v>
      </c>
      <c r="E6991" t="str">
        <f>"FOXWORTH                  "</f>
        <v xml:space="preserve">FOXWORTH                  </v>
      </c>
      <c r="F6991" t="str">
        <f t="shared" si="225"/>
        <v>MS</v>
      </c>
    </row>
    <row r="6992" spans="1:6" x14ac:dyDescent="0.25">
      <c r="A6992" t="str">
        <f>"000133522"</f>
        <v>000133522</v>
      </c>
      <c r="B6992" t="str">
        <f>"1215189618"</f>
        <v>1215189618</v>
      </c>
      <c r="C6992" t="str">
        <f>"363A00000X"</f>
        <v>363A00000X</v>
      </c>
      <c r="D6992" t="str">
        <f>"WILSON                   BRANDYE      N           "</f>
        <v xml:space="preserve">WILSON                   BRANDYE      N           </v>
      </c>
      <c r="E6992" t="str">
        <f>"SOUTHAVEN                 "</f>
        <v xml:space="preserve">SOUTHAVEN                 </v>
      </c>
      <c r="F6992" t="str">
        <f t="shared" si="225"/>
        <v>MS</v>
      </c>
    </row>
    <row r="6993" spans="1:6" x14ac:dyDescent="0.25">
      <c r="A6993" t="str">
        <f>"000134216"</f>
        <v>000134216</v>
      </c>
      <c r="B6993" t="str">
        <f>"1760782981"</f>
        <v>1760782981</v>
      </c>
      <c r="C6993" t="str">
        <f>"363L00000X"</f>
        <v>363L00000X</v>
      </c>
      <c r="D6993" t="str">
        <f>"BAYS                     KATRINA                  "</f>
        <v xml:space="preserve">BAYS                     KATRINA                  </v>
      </c>
      <c r="E6993" t="str">
        <f>"LEXINGTON                 "</f>
        <v xml:space="preserve">LEXINGTON                 </v>
      </c>
      <c r="F6993" t="str">
        <f t="shared" si="225"/>
        <v>MS</v>
      </c>
    </row>
    <row r="6994" spans="1:6" x14ac:dyDescent="0.25">
      <c r="A6994" t="str">
        <f>"000134255"</f>
        <v>000134255</v>
      </c>
      <c r="B6994" t="str">
        <f>"1225451842"</f>
        <v>1225451842</v>
      </c>
      <c r="C6994" t="str">
        <f>"363A00000X"</f>
        <v>363A00000X</v>
      </c>
      <c r="D6994" t="str">
        <f>"GARNER                   MATTHEW      L           "</f>
        <v xml:space="preserve">GARNER                   MATTHEW      L           </v>
      </c>
      <c r="E6994" t="str">
        <f>"TUPELO                    "</f>
        <v xml:space="preserve">TUPELO                    </v>
      </c>
      <c r="F6994" t="str">
        <f t="shared" si="225"/>
        <v>MS</v>
      </c>
    </row>
    <row r="6995" spans="1:6" x14ac:dyDescent="0.25">
      <c r="A6995" t="str">
        <f>"000134701"</f>
        <v>000134701</v>
      </c>
      <c r="B6995" t="str">
        <f>"1437744034"</f>
        <v>1437744034</v>
      </c>
      <c r="C6995" t="str">
        <f>"363L00000X"</f>
        <v>363L00000X</v>
      </c>
      <c r="D6995" t="str">
        <f>"MILLER                   JENNIFER     B           "</f>
        <v xml:space="preserve">MILLER                   JENNIFER     B           </v>
      </c>
      <c r="E6995" t="str">
        <f>"HATTIESBURG               "</f>
        <v xml:space="preserve">HATTIESBURG               </v>
      </c>
      <c r="F6995" t="str">
        <f t="shared" si="225"/>
        <v>MS</v>
      </c>
    </row>
    <row r="6996" spans="1:6" x14ac:dyDescent="0.25">
      <c r="A6996" t="str">
        <f>"000135719"</f>
        <v>000135719</v>
      </c>
      <c r="B6996" t="str">
        <f>"1104387695"</f>
        <v>1104387695</v>
      </c>
      <c r="C6996" t="str">
        <f>"363L00000X"</f>
        <v>363L00000X</v>
      </c>
      <c r="D6996" t="str">
        <f>"MARTIN                   CHATINA      S           "</f>
        <v xml:space="preserve">MARTIN                   CHATINA      S           </v>
      </c>
      <c r="E6996" t="str">
        <f>"BYRAM                     "</f>
        <v xml:space="preserve">BYRAM                     </v>
      </c>
      <c r="F6996" t="str">
        <f t="shared" si="225"/>
        <v>MS</v>
      </c>
    </row>
    <row r="6997" spans="1:6" x14ac:dyDescent="0.25">
      <c r="A6997" t="str">
        <f>"000137757"</f>
        <v>000137757</v>
      </c>
      <c r="B6997" t="str">
        <f>"1730355967"</f>
        <v>1730355967</v>
      </c>
      <c r="C6997" t="str">
        <f>"207Q00000X"</f>
        <v>207Q00000X</v>
      </c>
      <c r="D6997" t="str">
        <f>"REYNOLDS                 JUDD         M           "</f>
        <v xml:space="preserve">REYNOLDS                 JUDD         M           </v>
      </c>
      <c r="E6997" t="str">
        <f>"PETAL                     "</f>
        <v xml:space="preserve">PETAL                     </v>
      </c>
      <c r="F6997" t="str">
        <f t="shared" si="225"/>
        <v>MS</v>
      </c>
    </row>
    <row r="6998" spans="1:6" x14ac:dyDescent="0.25">
      <c r="A6998" t="str">
        <f>"000138027"</f>
        <v>000138027</v>
      </c>
      <c r="B6998" t="str">
        <f>"1336550425"</f>
        <v>1336550425</v>
      </c>
      <c r="C6998" t="str">
        <f>"2084N0400X"</f>
        <v>2084N0400X</v>
      </c>
      <c r="D6998" t="str">
        <f>"EDWARDS                  MEGAN        B           "</f>
        <v xml:space="preserve">EDWARDS                  MEGAN        B           </v>
      </c>
      <c r="E6998" t="str">
        <f>"OXFORD                    "</f>
        <v xml:space="preserve">OXFORD                    </v>
      </c>
      <c r="F6998" t="str">
        <f t="shared" si="225"/>
        <v>MS</v>
      </c>
    </row>
    <row r="6999" spans="1:6" x14ac:dyDescent="0.25">
      <c r="A6999" t="str">
        <f>"000139786"</f>
        <v>000139786</v>
      </c>
      <c r="B6999" t="str">
        <f>"1477080836"</f>
        <v>1477080836</v>
      </c>
      <c r="C6999" t="str">
        <f>"207V00000X"</f>
        <v>207V00000X</v>
      </c>
      <c r="D6999" t="str">
        <f>"SAMPONG                  CLAUDIA      M           "</f>
        <v xml:space="preserve">SAMPONG                  CLAUDIA      M           </v>
      </c>
      <c r="E6999" t="str">
        <f>"GULFPORT                  "</f>
        <v xml:space="preserve">GULFPORT                  </v>
      </c>
      <c r="F6999" t="str">
        <f t="shared" si="225"/>
        <v>MS</v>
      </c>
    </row>
    <row r="7000" spans="1:6" x14ac:dyDescent="0.25">
      <c r="A7000" t="str">
        <f>"000150021"</f>
        <v>000150021</v>
      </c>
      <c r="B7000" t="str">
        <f>"1871751412"</f>
        <v>1871751412</v>
      </c>
      <c r="C7000" t="str">
        <f>"207Y00000X"</f>
        <v>207Y00000X</v>
      </c>
      <c r="D7000" t="str">
        <f>"HAFFEY                   TIMOTHY                  "</f>
        <v xml:space="preserve">HAFFEY                   TIMOTHY                  </v>
      </c>
      <c r="E7000" t="str">
        <f>"PASCAGOULA                "</f>
        <v xml:space="preserve">PASCAGOULA                </v>
      </c>
      <c r="F7000" t="str">
        <f t="shared" si="225"/>
        <v>MS</v>
      </c>
    </row>
    <row r="7001" spans="1:6" x14ac:dyDescent="0.25">
      <c r="A7001" t="str">
        <f>"000150271"</f>
        <v>000150271</v>
      </c>
      <c r="B7001" t="str">
        <f>"1871805820"</f>
        <v>1871805820</v>
      </c>
      <c r="C7001" t="str">
        <f>"363L00000X"</f>
        <v>363L00000X</v>
      </c>
      <c r="D7001" t="str">
        <f>"AGENT                    KIMBERLY     C           "</f>
        <v xml:space="preserve">AGENT                    KIMBERLY     C           </v>
      </c>
      <c r="E7001" t="str">
        <f>"CARTHAGE                  "</f>
        <v xml:space="preserve">CARTHAGE                  </v>
      </c>
      <c r="F7001" t="str">
        <f t="shared" si="225"/>
        <v>MS</v>
      </c>
    </row>
    <row r="7002" spans="1:6" x14ac:dyDescent="0.25">
      <c r="A7002" t="str">
        <f>"000150706"</f>
        <v>000150706</v>
      </c>
      <c r="B7002" t="str">
        <f>"1124374673"</f>
        <v>1124374673</v>
      </c>
      <c r="C7002" t="str">
        <f>"363L00000X"</f>
        <v>363L00000X</v>
      </c>
      <c r="D7002" t="str">
        <f>"ALLGOOD                  MARGARET     T           "</f>
        <v xml:space="preserve">ALLGOOD                  MARGARET     T           </v>
      </c>
      <c r="E7002" t="str">
        <f>"AMORY                     "</f>
        <v xml:space="preserve">AMORY                     </v>
      </c>
      <c r="F7002" t="str">
        <f t="shared" si="225"/>
        <v>MS</v>
      </c>
    </row>
    <row r="7003" spans="1:6" x14ac:dyDescent="0.25">
      <c r="A7003" t="str">
        <f>"000151028"</f>
        <v>000151028</v>
      </c>
      <c r="B7003" t="str">
        <f>"1588997688"</f>
        <v>1588997688</v>
      </c>
      <c r="C7003" t="str">
        <f>"152W00000X"</f>
        <v>152W00000X</v>
      </c>
      <c r="D7003" t="str">
        <f>"MONICA BALLARD OD PC                              "</f>
        <v xml:space="preserve">MONICA BALLARD OD PC                              </v>
      </c>
      <c r="E7003" t="str">
        <f>"RIPLEY                    "</f>
        <v xml:space="preserve">RIPLEY                    </v>
      </c>
      <c r="F7003" t="str">
        <f t="shared" si="225"/>
        <v>MS</v>
      </c>
    </row>
    <row r="7004" spans="1:6" x14ac:dyDescent="0.25">
      <c r="A7004" t="str">
        <f>"000151370"</f>
        <v>000151370</v>
      </c>
      <c r="B7004" t="str">
        <f>"1659456762"</f>
        <v>1659456762</v>
      </c>
      <c r="C7004" t="str">
        <f>"207Q00000X"</f>
        <v>207Q00000X</v>
      </c>
      <c r="D7004" t="str">
        <f>"ORME                     KIRBY        J           "</f>
        <v xml:space="preserve">ORME                     KIRBY        J           </v>
      </c>
      <c r="E7004" t="str">
        <f>"CLINTON                   "</f>
        <v xml:space="preserve">CLINTON                   </v>
      </c>
      <c r="F7004" t="str">
        <f t="shared" si="225"/>
        <v>MS</v>
      </c>
    </row>
    <row r="7005" spans="1:6" x14ac:dyDescent="0.25">
      <c r="A7005" t="str">
        <f>"000152807"</f>
        <v>000152807</v>
      </c>
      <c r="B7005" t="str">
        <f>"1710997077"</f>
        <v>1710997077</v>
      </c>
      <c r="C7005" t="str">
        <f>"207RG0100X"</f>
        <v>207RG0100X</v>
      </c>
      <c r="D7005" t="str">
        <f>"FINK                     SEAN         D           "</f>
        <v xml:space="preserve">FINK                     SEAN         D           </v>
      </c>
      <c r="E7005" t="str">
        <f>"HATTIESBURG               "</f>
        <v xml:space="preserve">HATTIESBURG               </v>
      </c>
      <c r="F7005" t="str">
        <f t="shared" si="225"/>
        <v>MS</v>
      </c>
    </row>
    <row r="7006" spans="1:6" x14ac:dyDescent="0.25">
      <c r="A7006" t="str">
        <f>"000153509"</f>
        <v>000153509</v>
      </c>
      <c r="B7006" t="str">
        <f>"1821092552"</f>
        <v>1821092552</v>
      </c>
      <c r="C7006" t="str">
        <f>"122300000X"</f>
        <v>122300000X</v>
      </c>
      <c r="D7006" t="str">
        <f>"BENTON DENTAL CLINIC                              "</f>
        <v xml:space="preserve">BENTON DENTAL CLINIC                              </v>
      </c>
      <c r="E7006" t="str">
        <f>"ASHLAND                   "</f>
        <v xml:space="preserve">ASHLAND                   </v>
      </c>
      <c r="F7006" t="str">
        <f t="shared" si="225"/>
        <v>MS</v>
      </c>
    </row>
    <row r="7007" spans="1:6" x14ac:dyDescent="0.25">
      <c r="A7007" t="str">
        <f>"000153511"</f>
        <v>000153511</v>
      </c>
      <c r="B7007" t="str">
        <f>"1003458944"</f>
        <v>1003458944</v>
      </c>
      <c r="C7007" t="str">
        <f>"363L00000X"</f>
        <v>363L00000X</v>
      </c>
      <c r="D7007" t="str">
        <f>"OMEDEO                   JOSEPH                   "</f>
        <v xml:space="preserve">OMEDEO                   JOSEPH                   </v>
      </c>
      <c r="E7007" t="str">
        <f>"COLDWATER                 "</f>
        <v xml:space="preserve">COLDWATER                 </v>
      </c>
      <c r="F7007" t="str">
        <f t="shared" si="225"/>
        <v>MS</v>
      </c>
    </row>
    <row r="7008" spans="1:6" x14ac:dyDescent="0.25">
      <c r="A7008" t="str">
        <f>"000153817"</f>
        <v>000153817</v>
      </c>
      <c r="B7008" t="str">
        <f>"1982185609"</f>
        <v>1982185609</v>
      </c>
      <c r="C7008" t="str">
        <f>"367500000X"</f>
        <v>367500000X</v>
      </c>
      <c r="D7008" t="str">
        <f>"HICKS                    GLORIA       S           "</f>
        <v xml:space="preserve">HICKS                    GLORIA       S           </v>
      </c>
      <c r="E7008" t="str">
        <f>"SOUTHAVEN                 "</f>
        <v xml:space="preserve">SOUTHAVEN                 </v>
      </c>
      <c r="F7008" t="str">
        <f t="shared" si="225"/>
        <v>MS</v>
      </c>
    </row>
    <row r="7009" spans="1:6" x14ac:dyDescent="0.25">
      <c r="A7009" t="str">
        <f>"000153870"</f>
        <v>000153870</v>
      </c>
      <c r="B7009" t="str">
        <f>"1477935039"</f>
        <v>1477935039</v>
      </c>
      <c r="C7009" t="str">
        <f>"122300000X"</f>
        <v>122300000X</v>
      </c>
      <c r="D7009" t="str">
        <f>"KENNY                    AMY          R           "</f>
        <v xml:space="preserve">KENNY                    AMY          R           </v>
      </c>
      <c r="E7009" t="str">
        <f>"BAY SAINT LOUIS           "</f>
        <v xml:space="preserve">BAY SAINT LOUIS           </v>
      </c>
      <c r="F7009" t="str">
        <f t="shared" si="225"/>
        <v>MS</v>
      </c>
    </row>
    <row r="7010" spans="1:6" x14ac:dyDescent="0.25">
      <c r="A7010" t="str">
        <f>"000153898"</f>
        <v>000153898</v>
      </c>
      <c r="B7010" t="str">
        <f>"1760570550"</f>
        <v>1760570550</v>
      </c>
      <c r="C7010" t="str">
        <f>"363L00000X"</f>
        <v>363L00000X</v>
      </c>
      <c r="D7010" t="str">
        <f>"MATHEWS                  LEZLIE       J           "</f>
        <v xml:space="preserve">MATHEWS                  LEZLIE       J           </v>
      </c>
      <c r="E7010" t="str">
        <f>"GULFPORT                  "</f>
        <v xml:space="preserve">GULFPORT                  </v>
      </c>
      <c r="F7010" t="str">
        <f t="shared" si="225"/>
        <v>MS</v>
      </c>
    </row>
    <row r="7011" spans="1:6" x14ac:dyDescent="0.25">
      <c r="A7011" t="str">
        <f>"000154731"</f>
        <v>000154731</v>
      </c>
      <c r="B7011" t="str">
        <f>"1124456850"</f>
        <v>1124456850</v>
      </c>
      <c r="C7011" t="str">
        <f>"363L00000X"</f>
        <v>363L00000X</v>
      </c>
      <c r="D7011" t="str">
        <f>"CARSON-GRIFFIN           AMANDA                   "</f>
        <v xml:space="preserve">CARSON-GRIFFIN           AMANDA                   </v>
      </c>
      <c r="E7011" t="str">
        <f>"VICKSBURG                 "</f>
        <v xml:space="preserve">VICKSBURG                 </v>
      </c>
      <c r="F7011" t="str">
        <f t="shared" si="225"/>
        <v>MS</v>
      </c>
    </row>
    <row r="7012" spans="1:6" x14ac:dyDescent="0.25">
      <c r="A7012" t="str">
        <f>"000154827"</f>
        <v>000154827</v>
      </c>
      <c r="B7012" t="str">
        <f>"1962649657"</f>
        <v>1962649657</v>
      </c>
      <c r="C7012" t="str">
        <f>"152W00000X"</f>
        <v>152W00000X</v>
      </c>
      <c r="D7012" t="str">
        <f>"PALADICHUK               SCOTT        S           "</f>
        <v xml:space="preserve">PALADICHUK               SCOTT        S           </v>
      </c>
      <c r="E7012" t="str">
        <f>"HATTIESBURG               "</f>
        <v xml:space="preserve">HATTIESBURG               </v>
      </c>
      <c r="F7012" t="str">
        <f t="shared" si="225"/>
        <v>MS</v>
      </c>
    </row>
    <row r="7013" spans="1:6" x14ac:dyDescent="0.25">
      <c r="A7013" t="str">
        <f>"000155335"</f>
        <v>000155335</v>
      </c>
      <c r="B7013" t="str">
        <f>"1578959052"</f>
        <v>1578959052</v>
      </c>
      <c r="C7013" t="str">
        <f>"208000000X"</f>
        <v>208000000X</v>
      </c>
      <c r="D7013" t="str">
        <f>"TOMSIC                   MARTHA       P           "</f>
        <v xml:space="preserve">TOMSIC                   MARTHA       P           </v>
      </c>
      <c r="E7013" t="str">
        <f>"NEW ALBANY                "</f>
        <v xml:space="preserve">NEW ALBANY                </v>
      </c>
      <c r="F7013" t="str">
        <f t="shared" si="225"/>
        <v>MS</v>
      </c>
    </row>
    <row r="7014" spans="1:6" x14ac:dyDescent="0.25">
      <c r="A7014" t="str">
        <f>"000156575"</f>
        <v>000156575</v>
      </c>
      <c r="B7014" t="str">
        <f>"1316259153"</f>
        <v>1316259153</v>
      </c>
      <c r="C7014" t="str">
        <f>"122300000X"</f>
        <v>122300000X</v>
      </c>
      <c r="D7014" t="str">
        <f>"HEITZMANN                CASEY        B           "</f>
        <v xml:space="preserve">HEITZMANN                CASEY        B           </v>
      </c>
      <c r="E7014" t="str">
        <f>"RIDGELAND                 "</f>
        <v xml:space="preserve">RIDGELAND                 </v>
      </c>
      <c r="F7014" t="str">
        <f t="shared" si="225"/>
        <v>MS</v>
      </c>
    </row>
    <row r="7015" spans="1:6" x14ac:dyDescent="0.25">
      <c r="A7015" t="str">
        <f>"000157767"</f>
        <v>000157767</v>
      </c>
      <c r="B7015" t="str">
        <f>"1205946845"</f>
        <v>1205946845</v>
      </c>
      <c r="C7015" t="str">
        <f>"2080P0202X"</f>
        <v>2080P0202X</v>
      </c>
      <c r="D7015" t="str">
        <f>"MOSKOWITZ                WILLIAM      B           "</f>
        <v xml:space="preserve">MOSKOWITZ                WILLIAM      B           </v>
      </c>
      <c r="E7015" t="str">
        <f>"JACKSON                   "</f>
        <v xml:space="preserve">JACKSON                   </v>
      </c>
      <c r="F7015" t="str">
        <f t="shared" si="225"/>
        <v>MS</v>
      </c>
    </row>
    <row r="7016" spans="1:6" x14ac:dyDescent="0.25">
      <c r="A7016" t="str">
        <f>"000158064"</f>
        <v>000158064</v>
      </c>
      <c r="B7016" t="str">
        <f>"1447431465"</f>
        <v>1447431465</v>
      </c>
      <c r="C7016" t="str">
        <f>"207V00000X"</f>
        <v>207V00000X</v>
      </c>
      <c r="D7016" t="str">
        <f>"BAILEY                   JENNIFER     C           "</f>
        <v xml:space="preserve">BAILEY                   JENNIFER     C           </v>
      </c>
      <c r="E7016" t="str">
        <f>"HATTIESBURG               "</f>
        <v xml:space="preserve">HATTIESBURG               </v>
      </c>
      <c r="F7016" t="str">
        <f t="shared" si="225"/>
        <v>MS</v>
      </c>
    </row>
    <row r="7017" spans="1:6" x14ac:dyDescent="0.25">
      <c r="A7017" t="str">
        <f>"000159302"</f>
        <v>000159302</v>
      </c>
      <c r="B7017" t="str">
        <f>"1346852118"</f>
        <v>1346852118</v>
      </c>
      <c r="C7017" t="str">
        <f>"363L00000X"</f>
        <v>363L00000X</v>
      </c>
      <c r="D7017" t="str">
        <f>"COLLINS                  CRISTY       L           "</f>
        <v xml:space="preserve">COLLINS                  CRISTY       L           </v>
      </c>
      <c r="E7017" t="str">
        <f>"VICKSBURG                 "</f>
        <v xml:space="preserve">VICKSBURG                 </v>
      </c>
      <c r="F7017" t="str">
        <f t="shared" si="225"/>
        <v>MS</v>
      </c>
    </row>
    <row r="7018" spans="1:6" x14ac:dyDescent="0.25">
      <c r="A7018" t="str">
        <f>"000170531"</f>
        <v>000170531</v>
      </c>
      <c r="B7018" t="str">
        <f>"1184090482"</f>
        <v>1184090482</v>
      </c>
      <c r="C7018" t="str">
        <f>"261QF0400X"</f>
        <v>261QF0400X</v>
      </c>
      <c r="D7018" t="str">
        <f>"NEWTON HEALTH CARE                                "</f>
        <v xml:space="preserve">NEWTON HEALTH CARE                                </v>
      </c>
      <c r="E7018" t="str">
        <f>"NEWTON                    "</f>
        <v xml:space="preserve">NEWTON                    </v>
      </c>
      <c r="F7018" t="str">
        <f t="shared" si="225"/>
        <v>MS</v>
      </c>
    </row>
    <row r="7019" spans="1:6" x14ac:dyDescent="0.25">
      <c r="A7019" t="str">
        <f>"000172320"</f>
        <v>000172320</v>
      </c>
      <c r="B7019" t="str">
        <f>"1609271576"</f>
        <v>1609271576</v>
      </c>
      <c r="C7019" t="str">
        <f>"363L00000X"</f>
        <v>363L00000X</v>
      </c>
      <c r="D7019" t="str">
        <f>"MINGA                    KATY                     "</f>
        <v xml:space="preserve">MINGA                    KATY                     </v>
      </c>
      <c r="E7019" t="str">
        <f>"OXFORD                    "</f>
        <v xml:space="preserve">OXFORD                    </v>
      </c>
      <c r="F7019" t="str">
        <f t="shared" si="225"/>
        <v>MS</v>
      </c>
    </row>
    <row r="7020" spans="1:6" x14ac:dyDescent="0.25">
      <c r="A7020" t="str">
        <f>"000172322"</f>
        <v>000172322</v>
      </c>
      <c r="B7020" t="str">
        <f>"1295132025"</f>
        <v>1295132025</v>
      </c>
      <c r="C7020" t="str">
        <f>"367500000X"</f>
        <v>367500000X</v>
      </c>
      <c r="D7020" t="str">
        <f>"DAMPEER                  KAYLE        P           "</f>
        <v xml:space="preserve">DAMPEER                  KAYLE        P           </v>
      </c>
      <c r="E7020" t="str">
        <f>"TUPELO                    "</f>
        <v xml:space="preserve">TUPELO                    </v>
      </c>
      <c r="F7020" t="str">
        <f t="shared" si="225"/>
        <v>MS</v>
      </c>
    </row>
    <row r="7021" spans="1:6" x14ac:dyDescent="0.25">
      <c r="A7021" t="str">
        <f>"000172872"</f>
        <v>000172872</v>
      </c>
      <c r="B7021" t="str">
        <f>"1821320201"</f>
        <v>1821320201</v>
      </c>
      <c r="C7021" t="str">
        <f>"363L00000X"</f>
        <v>363L00000X</v>
      </c>
      <c r="D7021" t="str">
        <f>"WANSLEY                  ROBERT       J           "</f>
        <v xml:space="preserve">WANSLEY                  ROBERT       J           </v>
      </c>
      <c r="E7021" t="str">
        <f>"BAY SPRINGS               "</f>
        <v xml:space="preserve">BAY SPRINGS               </v>
      </c>
      <c r="F7021" t="str">
        <f t="shared" si="225"/>
        <v>MS</v>
      </c>
    </row>
    <row r="7022" spans="1:6" x14ac:dyDescent="0.25">
      <c r="A7022" t="str">
        <f>"000173051"</f>
        <v>000173051</v>
      </c>
      <c r="B7022" t="str">
        <f>"1396150017"</f>
        <v>1396150017</v>
      </c>
      <c r="C7022" t="str">
        <f>"363L00000X"</f>
        <v>363L00000X</v>
      </c>
      <c r="D7022" t="str">
        <f>"SANDERS                  BOBBI        M           "</f>
        <v xml:space="preserve">SANDERS                  BOBBI        M           </v>
      </c>
      <c r="E7022" t="str">
        <f>"TUPELO                    "</f>
        <v xml:space="preserve">TUPELO                    </v>
      </c>
      <c r="F7022" t="str">
        <f t="shared" si="225"/>
        <v>MS</v>
      </c>
    </row>
    <row r="7023" spans="1:6" x14ac:dyDescent="0.25">
      <c r="A7023" t="str">
        <f>"000173530"</f>
        <v>000173530</v>
      </c>
      <c r="B7023" t="str">
        <f>"1407067705"</f>
        <v>1407067705</v>
      </c>
      <c r="C7023" t="str">
        <f>"2086S0122X"</f>
        <v>2086S0122X</v>
      </c>
      <c r="D7023" t="str">
        <f>"MCINTYRE                 BENJAMIN     C           "</f>
        <v xml:space="preserve">MCINTYRE                 BENJAMIN     C           </v>
      </c>
      <c r="E7023" t="str">
        <f>"JACKSON                   "</f>
        <v xml:space="preserve">JACKSON                   </v>
      </c>
      <c r="F7023" t="str">
        <f t="shared" si="225"/>
        <v>MS</v>
      </c>
    </row>
    <row r="7024" spans="1:6" x14ac:dyDescent="0.25">
      <c r="A7024" t="str">
        <f>"000175596"</f>
        <v>000175596</v>
      </c>
      <c r="B7024" t="str">
        <f>"1700056538"</f>
        <v>1700056538</v>
      </c>
      <c r="C7024" t="str">
        <f>"261QE0700X"</f>
        <v>261QE0700X</v>
      </c>
      <c r="D7024" t="str">
        <f>"RCG BELZONI                                       "</f>
        <v xml:space="preserve">RCG BELZONI                                       </v>
      </c>
      <c r="E7024" t="str">
        <f>"BELZONI                   "</f>
        <v xml:space="preserve">BELZONI                   </v>
      </c>
      <c r="F7024" t="str">
        <f t="shared" si="225"/>
        <v>MS</v>
      </c>
    </row>
    <row r="7025" spans="1:6" x14ac:dyDescent="0.25">
      <c r="A7025" t="str">
        <f>"000175800"</f>
        <v>000175800</v>
      </c>
      <c r="B7025" t="str">
        <f>"1033115597"</f>
        <v>1033115597</v>
      </c>
      <c r="C7025" t="str">
        <f>"207X00000X"</f>
        <v>207X00000X</v>
      </c>
      <c r="D7025" t="str">
        <f>"BURNS                    JEFFREY                  "</f>
        <v xml:space="preserve">BURNS                    JEFFREY                  </v>
      </c>
      <c r="E7025" t="str">
        <f>"LAUREL                    "</f>
        <v xml:space="preserve">LAUREL                    </v>
      </c>
      <c r="F7025" t="str">
        <f t="shared" si="225"/>
        <v>MS</v>
      </c>
    </row>
    <row r="7026" spans="1:6" x14ac:dyDescent="0.25">
      <c r="A7026" t="str">
        <f>"000176333"</f>
        <v>000176333</v>
      </c>
      <c r="B7026" t="str">
        <f>"1821275405"</f>
        <v>1821275405</v>
      </c>
      <c r="C7026" t="str">
        <f>"2080P0205X"</f>
        <v>2080P0205X</v>
      </c>
      <c r="D7026" t="str">
        <f>"PASHA                    SIMEEN       R           "</f>
        <v xml:space="preserve">PASHA                    SIMEEN       R           </v>
      </c>
      <c r="E7026" t="str">
        <f>"JACKSON                   "</f>
        <v xml:space="preserve">JACKSON                   </v>
      </c>
      <c r="F7026" t="str">
        <f t="shared" si="225"/>
        <v>MS</v>
      </c>
    </row>
    <row r="7027" spans="1:6" x14ac:dyDescent="0.25">
      <c r="A7027" t="str">
        <f>"000176836"</f>
        <v>000176836</v>
      </c>
      <c r="B7027" t="str">
        <f>"1386180610"</f>
        <v>1386180610</v>
      </c>
      <c r="C7027" t="str">
        <f>"363L00000X"</f>
        <v>363L00000X</v>
      </c>
      <c r="D7027" t="str">
        <f>"PENNINGTON               SONJA        N           "</f>
        <v xml:space="preserve">PENNINGTON               SONJA        N           </v>
      </c>
      <c r="E7027" t="str">
        <f>"CLARKSDALE                "</f>
        <v xml:space="preserve">CLARKSDALE                </v>
      </c>
      <c r="F7027" t="str">
        <f t="shared" si="225"/>
        <v>MS</v>
      </c>
    </row>
    <row r="7028" spans="1:6" x14ac:dyDescent="0.25">
      <c r="A7028" t="str">
        <f>"000176849"</f>
        <v>000176849</v>
      </c>
      <c r="B7028" t="str">
        <f>"1902314693"</f>
        <v>1902314693</v>
      </c>
      <c r="C7028" t="str">
        <f>"363A00000X"</f>
        <v>363A00000X</v>
      </c>
      <c r="D7028" t="str">
        <f>"ABDEEN                   SARAH        L           "</f>
        <v xml:space="preserve">ABDEEN                   SARAH        L           </v>
      </c>
      <c r="E7028" t="str">
        <f>"JACKSON                   "</f>
        <v xml:space="preserve">JACKSON                   </v>
      </c>
      <c r="F7028" t="str">
        <f t="shared" si="225"/>
        <v>MS</v>
      </c>
    </row>
    <row r="7029" spans="1:6" x14ac:dyDescent="0.25">
      <c r="A7029" t="str">
        <f>"000177866"</f>
        <v>000177866</v>
      </c>
      <c r="B7029" t="str">
        <f>"1316442171"</f>
        <v>1316442171</v>
      </c>
      <c r="C7029" t="str">
        <f>"208M00000X"</f>
        <v>208M00000X</v>
      </c>
      <c r="D7029" t="str">
        <f>"DAVIDSON                 SAMUEL       W           "</f>
        <v xml:space="preserve">DAVIDSON                 SAMUEL       W           </v>
      </c>
      <c r="E7029" t="str">
        <f>"JACKSON                   "</f>
        <v xml:space="preserve">JACKSON                   </v>
      </c>
      <c r="F7029" t="str">
        <f t="shared" si="225"/>
        <v>MS</v>
      </c>
    </row>
    <row r="7030" spans="1:6" x14ac:dyDescent="0.25">
      <c r="A7030" t="str">
        <f>"000178228"</f>
        <v>000178228</v>
      </c>
      <c r="B7030" t="str">
        <f>"1225234164"</f>
        <v>1225234164</v>
      </c>
      <c r="C7030" t="str">
        <f>"2084P0800X"</f>
        <v>2084P0800X</v>
      </c>
      <c r="D7030" t="str">
        <f>"BILAL                    SIDDEEQAH    D           "</f>
        <v xml:space="preserve">BILAL                    SIDDEEQAH    D           </v>
      </c>
      <c r="E7030" t="str">
        <f>"HATTIESBURG               "</f>
        <v xml:space="preserve">HATTIESBURG               </v>
      </c>
      <c r="F7030" t="str">
        <f t="shared" si="225"/>
        <v>MS</v>
      </c>
    </row>
    <row r="7031" spans="1:6" x14ac:dyDescent="0.25">
      <c r="A7031" t="str">
        <f>"000178235"</f>
        <v>000178235</v>
      </c>
      <c r="B7031" t="str">
        <f>"1689614513"</f>
        <v>1689614513</v>
      </c>
      <c r="C7031" t="str">
        <f>"207RP1001X"</f>
        <v>207RP1001X</v>
      </c>
      <c r="D7031" t="str">
        <f>"PERRY                    PAUL                     "</f>
        <v xml:space="preserve">PERRY                    PAUL                     </v>
      </c>
      <c r="E7031" t="str">
        <f>"TUPELO                    "</f>
        <v xml:space="preserve">TUPELO                    </v>
      </c>
      <c r="F7031" t="str">
        <f t="shared" si="225"/>
        <v>MS</v>
      </c>
    </row>
    <row r="7032" spans="1:6" x14ac:dyDescent="0.25">
      <c r="A7032" t="str">
        <f>"000179068"</f>
        <v>000179068</v>
      </c>
      <c r="B7032" t="str">
        <f>"1386119295"</f>
        <v>1386119295</v>
      </c>
      <c r="C7032" t="str">
        <f>"363L00000X"</f>
        <v>363L00000X</v>
      </c>
      <c r="D7032" t="str">
        <f>"KILGORE                  HAYDEN       S           "</f>
        <v xml:space="preserve">KILGORE                  HAYDEN       S           </v>
      </c>
      <c r="E7032" t="str">
        <f>"NOXAPATER                 "</f>
        <v xml:space="preserve">NOXAPATER                 </v>
      </c>
      <c r="F7032" t="str">
        <f t="shared" si="225"/>
        <v>MS</v>
      </c>
    </row>
    <row r="7033" spans="1:6" x14ac:dyDescent="0.25">
      <c r="A7033" t="str">
        <f>"000181071"</f>
        <v>000181071</v>
      </c>
      <c r="B7033" t="str">
        <f>"1770743031"</f>
        <v>1770743031</v>
      </c>
      <c r="C7033" t="str">
        <f>"261QA1903X"</f>
        <v>261QA1903X</v>
      </c>
      <c r="D7033" t="str">
        <f>"NEWSOUTH NEUROSPINE                               "</f>
        <v xml:space="preserve">NEWSOUTH NEUROSPINE                               </v>
      </c>
      <c r="E7033" t="str">
        <f>"FLOWOOD                   "</f>
        <v xml:space="preserve">FLOWOOD                   </v>
      </c>
      <c r="F7033" t="str">
        <f t="shared" si="225"/>
        <v>MS</v>
      </c>
    </row>
    <row r="7034" spans="1:6" x14ac:dyDescent="0.25">
      <c r="A7034" t="str">
        <f>"000181820"</f>
        <v>000181820</v>
      </c>
      <c r="B7034" t="str">
        <f>"1831388198"</f>
        <v>1831388198</v>
      </c>
      <c r="C7034" t="str">
        <f>"207N00000X"</f>
        <v>207N00000X</v>
      </c>
      <c r="D7034" t="str">
        <f>"NGUYEN                   KEONI                    "</f>
        <v xml:space="preserve">NGUYEN                   KEONI                    </v>
      </c>
      <c r="E7034" t="str">
        <f>"BILOXI                    "</f>
        <v xml:space="preserve">BILOXI                    </v>
      </c>
      <c r="F7034" t="str">
        <f t="shared" si="225"/>
        <v>MS</v>
      </c>
    </row>
    <row r="7035" spans="1:6" x14ac:dyDescent="0.25">
      <c r="A7035" t="str">
        <f>"000184823"</f>
        <v>000184823</v>
      </c>
      <c r="B7035" t="str">
        <f>"1821249525"</f>
        <v>1821249525</v>
      </c>
      <c r="C7035" t="str">
        <f>"367500000X"</f>
        <v>367500000X</v>
      </c>
      <c r="D7035" t="str">
        <f>"WILDMAN                  DANIEL       W           "</f>
        <v xml:space="preserve">WILDMAN                  DANIEL       W           </v>
      </c>
      <c r="E7035" t="str">
        <f>"MERIDIAN                  "</f>
        <v xml:space="preserve">MERIDIAN                  </v>
      </c>
      <c r="F7035" t="str">
        <f t="shared" si="225"/>
        <v>MS</v>
      </c>
    </row>
    <row r="7036" spans="1:6" x14ac:dyDescent="0.25">
      <c r="A7036" t="str">
        <f>"000185593"</f>
        <v>000185593</v>
      </c>
      <c r="B7036" t="str">
        <f>"1932773975"</f>
        <v>1932773975</v>
      </c>
      <c r="C7036" t="str">
        <f>"363L00000X"</f>
        <v>363L00000X</v>
      </c>
      <c r="D7036" t="str">
        <f>"LAXSON                   RACHEL                   "</f>
        <v xml:space="preserve">LAXSON                   RACHEL                   </v>
      </c>
      <c r="E7036" t="str">
        <f>"JACKSON                   "</f>
        <v xml:space="preserve">JACKSON                   </v>
      </c>
      <c r="F7036" t="str">
        <f t="shared" si="225"/>
        <v>MS</v>
      </c>
    </row>
    <row r="7037" spans="1:6" x14ac:dyDescent="0.25">
      <c r="A7037" t="str">
        <f>"000186219"</f>
        <v>000186219</v>
      </c>
      <c r="B7037" t="str">
        <f>"1689609794"</f>
        <v>1689609794</v>
      </c>
      <c r="C7037" t="str">
        <f>"2085R0202X"</f>
        <v>2085R0202X</v>
      </c>
      <c r="D7037" t="str">
        <f>"SORRELL                  CATHERINE    D           "</f>
        <v xml:space="preserve">SORRELL                  CATHERINE    D           </v>
      </c>
      <c r="E7037" t="str">
        <f>"RIDGELAND                 "</f>
        <v xml:space="preserve">RIDGELAND                 </v>
      </c>
      <c r="F7037" t="str">
        <f t="shared" si="225"/>
        <v>MS</v>
      </c>
    </row>
    <row r="7038" spans="1:6" x14ac:dyDescent="0.25">
      <c r="A7038" t="str">
        <f>"000186728"</f>
        <v>000186728</v>
      </c>
      <c r="B7038" t="str">
        <f>"1871256057"</f>
        <v>1871256057</v>
      </c>
      <c r="C7038" t="str">
        <f>"152W00000X"</f>
        <v>152W00000X</v>
      </c>
      <c r="D7038" t="str">
        <f>"STEVE BEATY, OD PLLC                              "</f>
        <v xml:space="preserve">STEVE BEATY, OD PLLC                              </v>
      </c>
      <c r="E7038" t="str">
        <f>"TUPELO                    "</f>
        <v xml:space="preserve">TUPELO                    </v>
      </c>
      <c r="F7038" t="str">
        <f t="shared" ref="F7038:F7101" si="226">"MS"</f>
        <v>MS</v>
      </c>
    </row>
    <row r="7039" spans="1:6" x14ac:dyDescent="0.25">
      <c r="A7039" t="str">
        <f>"000186895"</f>
        <v>000186895</v>
      </c>
      <c r="B7039" t="str">
        <f>"1033581152"</f>
        <v>1033581152</v>
      </c>
      <c r="C7039" t="str">
        <f>"363L00000X"</f>
        <v>363L00000X</v>
      </c>
      <c r="D7039" t="str">
        <f>"HOLDEN                   BELINDA      H           "</f>
        <v xml:space="preserve">HOLDEN                   BELINDA      H           </v>
      </c>
      <c r="E7039" t="str">
        <f>"GULFPORT                  "</f>
        <v xml:space="preserve">GULFPORT                  </v>
      </c>
      <c r="F7039" t="str">
        <f t="shared" si="226"/>
        <v>MS</v>
      </c>
    </row>
    <row r="7040" spans="1:6" x14ac:dyDescent="0.25">
      <c r="A7040" t="str">
        <f>"000188566"</f>
        <v>000188566</v>
      </c>
      <c r="B7040" t="str">
        <f>"1497045512"</f>
        <v>1497045512</v>
      </c>
      <c r="C7040" t="str">
        <f>"207R00000X"</f>
        <v>207R00000X</v>
      </c>
      <c r="D7040" t="str">
        <f>"ANAZIA                   GREGG        O           "</f>
        <v xml:space="preserve">ANAZIA                   GREGG        O           </v>
      </c>
      <c r="E7040" t="str">
        <f>"HATTIESBURG               "</f>
        <v xml:space="preserve">HATTIESBURG               </v>
      </c>
      <c r="F7040" t="str">
        <f t="shared" si="226"/>
        <v>MS</v>
      </c>
    </row>
    <row r="7041" spans="1:6" x14ac:dyDescent="0.25">
      <c r="A7041" t="str">
        <f>"000200336"</f>
        <v>000200336</v>
      </c>
      <c r="B7041" t="str">
        <f>"1053335372"</f>
        <v>1053335372</v>
      </c>
      <c r="C7041" t="str">
        <f>"207RP1001X"</f>
        <v>207RP1001X</v>
      </c>
      <c r="D7041" t="str">
        <f>"HOLLIDAY                 HARRY        R           "</f>
        <v xml:space="preserve">HOLLIDAY                 HARRY        R           </v>
      </c>
      <c r="E7041" t="str">
        <f>"STARKVILLE                "</f>
        <v xml:space="preserve">STARKVILLE                </v>
      </c>
      <c r="F7041" t="str">
        <f t="shared" si="226"/>
        <v>MS</v>
      </c>
    </row>
    <row r="7042" spans="1:6" x14ac:dyDescent="0.25">
      <c r="A7042" t="str">
        <f>"000200834"</f>
        <v>000200834</v>
      </c>
      <c r="B7042" t="str">
        <f>"1801375894"</f>
        <v>1801375894</v>
      </c>
      <c r="C7042" t="str">
        <f>"363L00000X"</f>
        <v>363L00000X</v>
      </c>
      <c r="D7042" t="str">
        <f>"HARPER                   TABITHA                  "</f>
        <v xml:space="preserve">HARPER                   TABITHA                  </v>
      </c>
      <c r="E7042" t="str">
        <f>"MERIDIAN                  "</f>
        <v xml:space="preserve">MERIDIAN                  </v>
      </c>
      <c r="F7042" t="str">
        <f t="shared" si="226"/>
        <v>MS</v>
      </c>
    </row>
    <row r="7043" spans="1:6" x14ac:dyDescent="0.25">
      <c r="A7043" t="str">
        <f>"000201796"</f>
        <v>000201796</v>
      </c>
      <c r="B7043" t="str">
        <f>"1831149947"</f>
        <v>1831149947</v>
      </c>
      <c r="C7043" t="str">
        <f>"363L00000X"</f>
        <v>363L00000X</v>
      </c>
      <c r="D7043" t="str">
        <f>"WHITFIELD                CARLA        M           "</f>
        <v xml:space="preserve">WHITFIELD                CARLA        M           </v>
      </c>
      <c r="E7043" t="str">
        <f>"PURVIS                    "</f>
        <v xml:space="preserve">PURVIS                    </v>
      </c>
      <c r="F7043" t="str">
        <f t="shared" si="226"/>
        <v>MS</v>
      </c>
    </row>
    <row r="7044" spans="1:6" x14ac:dyDescent="0.25">
      <c r="A7044" t="str">
        <f>"000202354"</f>
        <v>000202354</v>
      </c>
      <c r="B7044" t="str">
        <f>"1619317377"</f>
        <v>1619317377</v>
      </c>
      <c r="C7044" t="str">
        <f>"152W00000X"</f>
        <v>152W00000X</v>
      </c>
      <c r="D7044" t="str">
        <f>"CAGLE EYE CENTER                                  "</f>
        <v xml:space="preserve">CAGLE EYE CENTER                                  </v>
      </c>
      <c r="E7044" t="str">
        <f>"FULTON                    "</f>
        <v xml:space="preserve">FULTON                    </v>
      </c>
      <c r="F7044" t="str">
        <f t="shared" si="226"/>
        <v>MS</v>
      </c>
    </row>
    <row r="7045" spans="1:6" x14ac:dyDescent="0.25">
      <c r="A7045" t="str">
        <f>"000203599"</f>
        <v>000203599</v>
      </c>
      <c r="B7045" t="str">
        <f>"1164510491"</f>
        <v>1164510491</v>
      </c>
      <c r="C7045" t="str">
        <f>"2085R0202X"</f>
        <v>2085R0202X</v>
      </c>
      <c r="D7045" t="str">
        <f>"THAGGARD                 ANSON        L           "</f>
        <v xml:space="preserve">THAGGARD                 ANSON        L           </v>
      </c>
      <c r="E7045" t="str">
        <f>"JACKSON                   "</f>
        <v xml:space="preserve">JACKSON                   </v>
      </c>
      <c r="F7045" t="str">
        <f t="shared" si="226"/>
        <v>MS</v>
      </c>
    </row>
    <row r="7046" spans="1:6" x14ac:dyDescent="0.25">
      <c r="A7046" t="str">
        <f>"000203711"</f>
        <v>000203711</v>
      </c>
      <c r="B7046" t="str">
        <f>"1194768242"</f>
        <v>1194768242</v>
      </c>
      <c r="C7046" t="str">
        <f>"363L00000X"</f>
        <v>363L00000X</v>
      </c>
      <c r="D7046" t="str">
        <f>"GEORGE                   RICHARD      W           "</f>
        <v xml:space="preserve">GEORGE                   RICHARD      W           </v>
      </c>
      <c r="E7046" t="str">
        <f>"HATTIESBURG               "</f>
        <v xml:space="preserve">HATTIESBURG               </v>
      </c>
      <c r="F7046" t="str">
        <f t="shared" si="226"/>
        <v>MS</v>
      </c>
    </row>
    <row r="7047" spans="1:6" x14ac:dyDescent="0.25">
      <c r="A7047" t="str">
        <f>"000203779"</f>
        <v>000203779</v>
      </c>
      <c r="B7047" t="str">
        <f>"1801818877"</f>
        <v>1801818877</v>
      </c>
      <c r="C7047" t="str">
        <f>"208000000X"</f>
        <v>208000000X</v>
      </c>
      <c r="D7047" t="str">
        <f>"NATION                   KELLY        E           "</f>
        <v xml:space="preserve">NATION                   KELLY        E           </v>
      </c>
      <c r="E7047" t="str">
        <f>"OCEAN SPRINGS             "</f>
        <v xml:space="preserve">OCEAN SPRINGS             </v>
      </c>
      <c r="F7047" t="str">
        <f t="shared" si="226"/>
        <v>MS</v>
      </c>
    </row>
    <row r="7048" spans="1:6" x14ac:dyDescent="0.25">
      <c r="A7048" t="str">
        <f>"000204383"</f>
        <v>000204383</v>
      </c>
      <c r="B7048" t="str">
        <f>"1386136752"</f>
        <v>1386136752</v>
      </c>
      <c r="C7048" t="str">
        <f>"261QF0400X"</f>
        <v>261QF0400X</v>
      </c>
      <c r="D7048" t="str">
        <f>"ACCESS SCHOOL HEALTH-SOUTH PONTOTOC               "</f>
        <v xml:space="preserve">ACCESS SCHOOL HEALTH-SOUTH PONTOTOC               </v>
      </c>
      <c r="E7048" t="str">
        <f>"PONTOTOC                  "</f>
        <v xml:space="preserve">PONTOTOC                  </v>
      </c>
      <c r="F7048" t="str">
        <f t="shared" si="226"/>
        <v>MS</v>
      </c>
    </row>
    <row r="7049" spans="1:6" x14ac:dyDescent="0.25">
      <c r="A7049" t="str">
        <f>"000205323"</f>
        <v>000205323</v>
      </c>
      <c r="B7049" t="str">
        <f>"1992882138"</f>
        <v>1992882138</v>
      </c>
      <c r="C7049" t="str">
        <f>"207R00000X"</f>
        <v>207R00000X</v>
      </c>
      <c r="D7049" t="str">
        <f>"NERAVETLA                UJWAL        R           "</f>
        <v xml:space="preserve">NERAVETLA                UJWAL        R           </v>
      </c>
      <c r="E7049" t="str">
        <f>"HATTIESBURG               "</f>
        <v xml:space="preserve">HATTIESBURG               </v>
      </c>
      <c r="F7049" t="str">
        <f t="shared" si="226"/>
        <v>MS</v>
      </c>
    </row>
    <row r="7050" spans="1:6" x14ac:dyDescent="0.25">
      <c r="A7050" t="str">
        <f>"000206527"</f>
        <v>000206527</v>
      </c>
      <c r="B7050" t="str">
        <f>"1306107487"</f>
        <v>1306107487</v>
      </c>
      <c r="C7050" t="str">
        <f>"261QA0600X"</f>
        <v>261QA0600X</v>
      </c>
      <c r="D7050" t="str">
        <f>"ADULT DAY CARE LOVE &amp; CARE                        "</f>
        <v xml:space="preserve">ADULT DAY CARE LOVE &amp; CARE                        </v>
      </c>
      <c r="E7050" t="str">
        <f>"GREENWOOD                 "</f>
        <v xml:space="preserve">GREENWOOD                 </v>
      </c>
      <c r="F7050" t="str">
        <f t="shared" si="226"/>
        <v>MS</v>
      </c>
    </row>
    <row r="7051" spans="1:6" x14ac:dyDescent="0.25">
      <c r="A7051" t="str">
        <f>"000206713"</f>
        <v>000206713</v>
      </c>
      <c r="B7051" t="str">
        <f>"1942552328"</f>
        <v>1942552328</v>
      </c>
      <c r="C7051" t="str">
        <f>"207R00000X"</f>
        <v>207R00000X</v>
      </c>
      <c r="D7051" t="str">
        <f>"HENRIQUEZ-GONZALEZ       ROSANA       S           "</f>
        <v xml:space="preserve">HENRIQUEZ-GONZALEZ       ROSANA       S           </v>
      </c>
      <c r="E7051" t="str">
        <f>"COLUMBUS                  "</f>
        <v xml:space="preserve">COLUMBUS                  </v>
      </c>
      <c r="F7051" t="str">
        <f t="shared" si="226"/>
        <v>MS</v>
      </c>
    </row>
    <row r="7052" spans="1:6" x14ac:dyDescent="0.25">
      <c r="A7052" t="str">
        <f>"000208782"</f>
        <v>000208782</v>
      </c>
      <c r="B7052" t="str">
        <f>"1578977609"</f>
        <v>1578977609</v>
      </c>
      <c r="C7052" t="str">
        <f>"207ZB0001X"</f>
        <v>207ZB0001X</v>
      </c>
      <c r="D7052" t="str">
        <f>"JOHNSTON                 SARA                     "</f>
        <v xml:space="preserve">JOHNSTON                 SARA                     </v>
      </c>
      <c r="E7052" t="str">
        <f>"JACKSON                   "</f>
        <v xml:space="preserve">JACKSON                   </v>
      </c>
      <c r="F7052" t="str">
        <f t="shared" si="226"/>
        <v>MS</v>
      </c>
    </row>
    <row r="7053" spans="1:6" x14ac:dyDescent="0.25">
      <c r="A7053" t="str">
        <f>"000209037"</f>
        <v>000209037</v>
      </c>
      <c r="B7053" t="str">
        <f>"1134271315"</f>
        <v>1134271315</v>
      </c>
      <c r="C7053" t="str">
        <f>"363L00000X"</f>
        <v>363L00000X</v>
      </c>
      <c r="D7053" t="str">
        <f>"GUTHRIE                  EMBER                    "</f>
        <v xml:space="preserve">GUTHRIE                  EMBER                    </v>
      </c>
      <c r="E7053" t="str">
        <f>"GULFPORT                  "</f>
        <v xml:space="preserve">GULFPORT                  </v>
      </c>
      <c r="F7053" t="str">
        <f t="shared" si="226"/>
        <v>MS</v>
      </c>
    </row>
    <row r="7054" spans="1:6" x14ac:dyDescent="0.25">
      <c r="A7054" t="str">
        <f>"000209211"</f>
        <v>000209211</v>
      </c>
      <c r="B7054" t="str">
        <f>"1528031077"</f>
        <v>1528031077</v>
      </c>
      <c r="C7054" t="str">
        <f>"207RP1001X"</f>
        <v>207RP1001X</v>
      </c>
      <c r="D7054" t="str">
        <f>"EDMONSON                 WILLIAM      R           "</f>
        <v xml:space="preserve">EDMONSON                 WILLIAM      R           </v>
      </c>
      <c r="E7054" t="str">
        <f>"TUPELO                    "</f>
        <v xml:space="preserve">TUPELO                    </v>
      </c>
      <c r="F7054" t="str">
        <f t="shared" si="226"/>
        <v>MS</v>
      </c>
    </row>
    <row r="7055" spans="1:6" x14ac:dyDescent="0.25">
      <c r="A7055" t="str">
        <f>"000220021"</f>
        <v>000220021</v>
      </c>
      <c r="B7055" t="str">
        <f>"1487766234"</f>
        <v>1487766234</v>
      </c>
      <c r="C7055" t="str">
        <f t="shared" ref="C7055:C7111" si="227">"261QE0700X"</f>
        <v>261QE0700X</v>
      </c>
      <c r="D7055" t="str">
        <f>"FRESENIUS MEDICAL CARE PORT GIBSON                "</f>
        <v xml:space="preserve">FRESENIUS MEDICAL CARE PORT GIBSON                </v>
      </c>
      <c r="E7055" t="str">
        <f>"PORT GIBSON               "</f>
        <v xml:space="preserve">PORT GIBSON               </v>
      </c>
      <c r="F7055" t="str">
        <f t="shared" si="226"/>
        <v>MS</v>
      </c>
    </row>
    <row r="7056" spans="1:6" x14ac:dyDescent="0.25">
      <c r="A7056" t="str">
        <f>"000220062"</f>
        <v>000220062</v>
      </c>
      <c r="B7056" t="str">
        <f>"1104871573"</f>
        <v>1104871573</v>
      </c>
      <c r="C7056" t="str">
        <f t="shared" si="227"/>
        <v>261QE0700X</v>
      </c>
      <c r="D7056" t="str">
        <f>"JACKSON SOUTHWEST DIALYSIS                        "</f>
        <v xml:space="preserve">JACKSON SOUTHWEST DIALYSIS                        </v>
      </c>
      <c r="E7056" t="str">
        <f>"JACKSON                   "</f>
        <v xml:space="preserve">JACKSON                   </v>
      </c>
      <c r="F7056" t="str">
        <f t="shared" si="226"/>
        <v>MS</v>
      </c>
    </row>
    <row r="7057" spans="1:6" x14ac:dyDescent="0.25">
      <c r="A7057" t="str">
        <f>"000220063"</f>
        <v>000220063</v>
      </c>
      <c r="B7057" t="str">
        <f>"1437182748"</f>
        <v>1437182748</v>
      </c>
      <c r="C7057" t="str">
        <f t="shared" si="227"/>
        <v>261QE0700X</v>
      </c>
      <c r="D7057" t="str">
        <f>"WAYNESBORO DIALYSIS UNIT                          "</f>
        <v xml:space="preserve">WAYNESBORO DIALYSIS UNIT                          </v>
      </c>
      <c r="E7057" t="str">
        <f>"WAYNESBORO                "</f>
        <v xml:space="preserve">WAYNESBORO                </v>
      </c>
      <c r="F7057" t="str">
        <f t="shared" si="226"/>
        <v>MS</v>
      </c>
    </row>
    <row r="7058" spans="1:6" x14ac:dyDescent="0.25">
      <c r="A7058" t="str">
        <f>"000220082"</f>
        <v>000220082</v>
      </c>
      <c r="B7058" t="str">
        <f>"1164534996"</f>
        <v>1164534996</v>
      </c>
      <c r="C7058" t="str">
        <f t="shared" si="227"/>
        <v>261QE0700X</v>
      </c>
      <c r="D7058" t="str">
        <f>"BMA YAZOO CITY                                    "</f>
        <v xml:space="preserve">BMA YAZOO CITY                                    </v>
      </c>
      <c r="E7058" t="str">
        <f>"YAZOO CITY                "</f>
        <v xml:space="preserve">YAZOO CITY                </v>
      </c>
      <c r="F7058" t="str">
        <f t="shared" si="226"/>
        <v>MS</v>
      </c>
    </row>
    <row r="7059" spans="1:6" x14ac:dyDescent="0.25">
      <c r="A7059" t="str">
        <f>"000220105"</f>
        <v>000220105</v>
      </c>
      <c r="B7059" t="str">
        <f>"1285746032"</f>
        <v>1285746032</v>
      </c>
      <c r="C7059" t="str">
        <f t="shared" si="227"/>
        <v>261QE0700X</v>
      </c>
      <c r="D7059" t="str">
        <f>"BMA FOREST                                        "</f>
        <v xml:space="preserve">BMA FOREST                                        </v>
      </c>
      <c r="E7059" t="str">
        <f>"FOREST                    "</f>
        <v xml:space="preserve">FOREST                    </v>
      </c>
      <c r="F7059" t="str">
        <f t="shared" si="226"/>
        <v>MS</v>
      </c>
    </row>
    <row r="7060" spans="1:6" x14ac:dyDescent="0.25">
      <c r="A7060" t="str">
        <f>"000220178"</f>
        <v>000220178</v>
      </c>
      <c r="B7060" t="str">
        <f>"1710099577"</f>
        <v>1710099577</v>
      </c>
      <c r="C7060" t="str">
        <f t="shared" si="227"/>
        <v>261QE0700X</v>
      </c>
      <c r="D7060" t="str">
        <f>"BIO-MEDICAL APPLICATIONS OF MISSISSIPPI INC       "</f>
        <v xml:space="preserve">BIO-MEDICAL APPLICATIONS OF MISSISSIPPI INC       </v>
      </c>
      <c r="E7060" t="str">
        <f>"GULFPORT                  "</f>
        <v xml:space="preserve">GULFPORT                  </v>
      </c>
      <c r="F7060" t="str">
        <f t="shared" si="226"/>
        <v>MS</v>
      </c>
    </row>
    <row r="7061" spans="1:6" x14ac:dyDescent="0.25">
      <c r="A7061" t="str">
        <f>"000220236"</f>
        <v>000220236</v>
      </c>
      <c r="B7061" t="str">
        <f>"1508899824"</f>
        <v>1508899824</v>
      </c>
      <c r="C7061" t="str">
        <f t="shared" si="227"/>
        <v>261QE0700X</v>
      </c>
      <c r="D7061" t="str">
        <f>"WIGGINS DIALYSIS UNIT                             "</f>
        <v xml:space="preserve">WIGGINS DIALYSIS UNIT                             </v>
      </c>
      <c r="E7061" t="str">
        <f>"WIGGINS                   "</f>
        <v xml:space="preserve">WIGGINS                   </v>
      </c>
      <c r="F7061" t="str">
        <f t="shared" si="226"/>
        <v>MS</v>
      </c>
    </row>
    <row r="7062" spans="1:6" x14ac:dyDescent="0.25">
      <c r="A7062" t="str">
        <f>"000220329"</f>
        <v>000220329</v>
      </c>
      <c r="B7062" t="str">
        <f>"1538271390"</f>
        <v>1538271390</v>
      </c>
      <c r="C7062" t="str">
        <f t="shared" si="227"/>
        <v>261QE0700X</v>
      </c>
      <c r="D7062" t="str">
        <f>"SMKC BILOXI                                       "</f>
        <v xml:space="preserve">SMKC BILOXI                                       </v>
      </c>
      <c r="E7062" t="str">
        <f>"BILOXI                    "</f>
        <v xml:space="preserve">BILOXI                    </v>
      </c>
      <c r="F7062" t="str">
        <f t="shared" si="226"/>
        <v>MS</v>
      </c>
    </row>
    <row r="7063" spans="1:6" x14ac:dyDescent="0.25">
      <c r="A7063" t="str">
        <f>"000220330"</f>
        <v>000220330</v>
      </c>
      <c r="B7063" t="str">
        <f>"1447362207"</f>
        <v>1447362207</v>
      </c>
      <c r="C7063" t="str">
        <f t="shared" si="227"/>
        <v>261QE0700X</v>
      </c>
      <c r="D7063" t="str">
        <f>"FMC SMKC DIAMONDHEAD                              "</f>
        <v xml:space="preserve">FMC SMKC DIAMONDHEAD                              </v>
      </c>
      <c r="E7063" t="str">
        <f>"DIAMONDHEAD               "</f>
        <v xml:space="preserve">DIAMONDHEAD               </v>
      </c>
      <c r="F7063" t="str">
        <f t="shared" si="226"/>
        <v>MS</v>
      </c>
    </row>
    <row r="7064" spans="1:6" x14ac:dyDescent="0.25">
      <c r="A7064" t="str">
        <f>"000220333"</f>
        <v>000220333</v>
      </c>
      <c r="B7064" t="str">
        <f>"1356453112"</f>
        <v>1356453112</v>
      </c>
      <c r="C7064" t="str">
        <f t="shared" si="227"/>
        <v>261QE0700X</v>
      </c>
      <c r="D7064" t="str">
        <f>"SMKC ORANGE GROVE                                 "</f>
        <v xml:space="preserve">SMKC ORANGE GROVE                                 </v>
      </c>
      <c r="E7064" t="str">
        <f>"GULFPORT                  "</f>
        <v xml:space="preserve">GULFPORT                  </v>
      </c>
      <c r="F7064" t="str">
        <f t="shared" si="226"/>
        <v>MS</v>
      </c>
    </row>
    <row r="7065" spans="1:6" x14ac:dyDescent="0.25">
      <c r="A7065" t="str">
        <f>"000220350"</f>
        <v>000220350</v>
      </c>
      <c r="B7065" t="str">
        <f>"1306958178"</f>
        <v>1306958178</v>
      </c>
      <c r="C7065" t="str">
        <f t="shared" si="227"/>
        <v>261QE0700X</v>
      </c>
      <c r="D7065" t="str">
        <f>"RENAL CARE GROUP CLARKSDALE                       "</f>
        <v xml:space="preserve">RENAL CARE GROUP CLARKSDALE                       </v>
      </c>
      <c r="E7065" t="str">
        <f>"CLARKSDALE                "</f>
        <v xml:space="preserve">CLARKSDALE                </v>
      </c>
      <c r="F7065" t="str">
        <f t="shared" si="226"/>
        <v>MS</v>
      </c>
    </row>
    <row r="7066" spans="1:6" x14ac:dyDescent="0.25">
      <c r="A7066" t="str">
        <f>"000220351"</f>
        <v>000220351</v>
      </c>
      <c r="B7066" t="str">
        <f>"1083669089"</f>
        <v>1083669089</v>
      </c>
      <c r="C7066" t="str">
        <f t="shared" si="227"/>
        <v>261QE0700X</v>
      </c>
      <c r="D7066" t="str">
        <f>"CANTON RENAL CENTER                               "</f>
        <v xml:space="preserve">CANTON RENAL CENTER                               </v>
      </c>
      <c r="E7066" t="str">
        <f>"CANTON                    "</f>
        <v xml:space="preserve">CANTON                    </v>
      </c>
      <c r="F7066" t="str">
        <f t="shared" si="226"/>
        <v>MS</v>
      </c>
    </row>
    <row r="7067" spans="1:6" x14ac:dyDescent="0.25">
      <c r="A7067" t="str">
        <f>"000220353"</f>
        <v>000220353</v>
      </c>
      <c r="B7067" t="str">
        <f>"1760594519"</f>
        <v>1760594519</v>
      </c>
      <c r="C7067" t="str">
        <f t="shared" si="227"/>
        <v>261QE0700X</v>
      </c>
      <c r="D7067" t="str">
        <f>"RENAL CARE GROUP VICKSBURG                        "</f>
        <v xml:space="preserve">RENAL CARE GROUP VICKSBURG                        </v>
      </c>
      <c r="E7067" t="str">
        <f>"VICKSBURG                 "</f>
        <v xml:space="preserve">VICKSBURG                 </v>
      </c>
      <c r="F7067" t="str">
        <f t="shared" si="226"/>
        <v>MS</v>
      </c>
    </row>
    <row r="7068" spans="1:6" x14ac:dyDescent="0.25">
      <c r="A7068" t="str">
        <f>"000220354"</f>
        <v>000220354</v>
      </c>
      <c r="B7068" t="str">
        <f>"1023120870"</f>
        <v>1023120870</v>
      </c>
      <c r="C7068" t="str">
        <f t="shared" si="227"/>
        <v>261QE0700X</v>
      </c>
      <c r="D7068" t="str">
        <f>"RCG MISSISSIPPI, INC.                             "</f>
        <v xml:space="preserve">RCG MISSISSIPPI, INC.                             </v>
      </c>
      <c r="E7068" t="str">
        <f>"MCCOMB                    "</f>
        <v xml:space="preserve">MCCOMB                    </v>
      </c>
      <c r="F7068" t="str">
        <f t="shared" si="226"/>
        <v>MS</v>
      </c>
    </row>
    <row r="7069" spans="1:6" x14ac:dyDescent="0.25">
      <c r="A7069" t="str">
        <f>"000220355"</f>
        <v>000220355</v>
      </c>
      <c r="B7069" t="str">
        <f>"1710932090"</f>
        <v>1710932090</v>
      </c>
      <c r="C7069" t="str">
        <f t="shared" si="227"/>
        <v>261QE0700X</v>
      </c>
      <c r="D7069" t="str">
        <f>"JACKSON SOUTH DIALYSIS                            "</f>
        <v xml:space="preserve">JACKSON SOUTH DIALYSIS                            </v>
      </c>
      <c r="E7069" t="str">
        <f>"JACKSON                   "</f>
        <v xml:space="preserve">JACKSON                   </v>
      </c>
      <c r="F7069" t="str">
        <f t="shared" si="226"/>
        <v>MS</v>
      </c>
    </row>
    <row r="7070" spans="1:6" x14ac:dyDescent="0.25">
      <c r="A7070" t="str">
        <f>"000220356"</f>
        <v>000220356</v>
      </c>
      <c r="B7070" t="str">
        <f>"1396857140"</f>
        <v>1396857140</v>
      </c>
      <c r="C7070" t="str">
        <f t="shared" si="227"/>
        <v>261QE0700X</v>
      </c>
      <c r="D7070" t="str">
        <f>"RCG MISSISSIPPI, INC                              "</f>
        <v xml:space="preserve">RCG MISSISSIPPI, INC                              </v>
      </c>
      <c r="E7070" t="str">
        <f>"NATCHEZ                   "</f>
        <v xml:space="preserve">NATCHEZ                   </v>
      </c>
      <c r="F7070" t="str">
        <f t="shared" si="226"/>
        <v>MS</v>
      </c>
    </row>
    <row r="7071" spans="1:6" x14ac:dyDescent="0.25">
      <c r="A7071" t="str">
        <f>"000220357"</f>
        <v>000220357</v>
      </c>
      <c r="B7071" t="str">
        <f>"1588776330"</f>
        <v>1588776330</v>
      </c>
      <c r="C7071" t="str">
        <f t="shared" si="227"/>
        <v>261QE0700X</v>
      </c>
      <c r="D7071" t="str">
        <f>"RENAL CARE GROUP GREENWOOD                        "</f>
        <v xml:space="preserve">RENAL CARE GROUP GREENWOOD                        </v>
      </c>
      <c r="E7071" t="str">
        <f>"GREENWOOD                 "</f>
        <v xml:space="preserve">GREENWOOD                 </v>
      </c>
      <c r="F7071" t="str">
        <f t="shared" si="226"/>
        <v>MS</v>
      </c>
    </row>
    <row r="7072" spans="1:6" x14ac:dyDescent="0.25">
      <c r="A7072" t="str">
        <f>"000220358"</f>
        <v>000220358</v>
      </c>
      <c r="B7072" t="str">
        <f>"1306958152"</f>
        <v>1306958152</v>
      </c>
      <c r="C7072" t="str">
        <f t="shared" si="227"/>
        <v>261QE0700X</v>
      </c>
      <c r="D7072" t="str">
        <f>"RCG MISSISSIPPI, INC.                             "</f>
        <v xml:space="preserve">RCG MISSISSIPPI, INC.                             </v>
      </c>
      <c r="E7072" t="str">
        <f>"GREENVILLE                "</f>
        <v xml:space="preserve">GREENVILLE                </v>
      </c>
      <c r="F7072" t="str">
        <f t="shared" si="226"/>
        <v>MS</v>
      </c>
    </row>
    <row r="7073" spans="1:6" x14ac:dyDescent="0.25">
      <c r="A7073" t="str">
        <f>"000220359"</f>
        <v>000220359</v>
      </c>
      <c r="B7073" t="str">
        <f>"1295847044"</f>
        <v>1295847044</v>
      </c>
      <c r="C7073" t="str">
        <f t="shared" si="227"/>
        <v>261QE0700X</v>
      </c>
      <c r="D7073" t="str">
        <f>"RCG MISSISSIPPI, INC.                             "</f>
        <v xml:space="preserve">RCG MISSISSIPPI, INC.                             </v>
      </c>
      <c r="E7073" t="str">
        <f>"STARKVILLE                "</f>
        <v xml:space="preserve">STARKVILLE                </v>
      </c>
      <c r="F7073" t="str">
        <f t="shared" si="226"/>
        <v>MS</v>
      </c>
    </row>
    <row r="7074" spans="1:6" x14ac:dyDescent="0.25">
      <c r="A7074" t="str">
        <f>"000220360"</f>
        <v>000220360</v>
      </c>
      <c r="B7074" t="str">
        <f>"1316027329"</f>
        <v>1316027329</v>
      </c>
      <c r="C7074" t="str">
        <f t="shared" si="227"/>
        <v>261QE0700X</v>
      </c>
      <c r="D7074" t="str">
        <f>"RCG MISSISSIPPI, INC.                             "</f>
        <v xml:space="preserve">RCG MISSISSIPPI, INC.                             </v>
      </c>
      <c r="E7074" t="str">
        <f>"PHILADELPHIA              "</f>
        <v xml:space="preserve">PHILADELPHIA              </v>
      </c>
      <c r="F7074" t="str">
        <f t="shared" si="226"/>
        <v>MS</v>
      </c>
    </row>
    <row r="7075" spans="1:6" x14ac:dyDescent="0.25">
      <c r="A7075" t="str">
        <f>"000220361"</f>
        <v>000220361</v>
      </c>
      <c r="B7075" t="str">
        <f>"1477665255"</f>
        <v>1477665255</v>
      </c>
      <c r="C7075" t="str">
        <f t="shared" si="227"/>
        <v>261QE0700X</v>
      </c>
      <c r="D7075" t="str">
        <f>"RCG MISSISSIPPI, INC.                             "</f>
        <v xml:space="preserve">RCG MISSISSIPPI, INC.                             </v>
      </c>
      <c r="E7075" t="str">
        <f>"NEWTON                    "</f>
        <v xml:space="preserve">NEWTON                    </v>
      </c>
      <c r="F7075" t="str">
        <f t="shared" si="226"/>
        <v>MS</v>
      </c>
    </row>
    <row r="7076" spans="1:6" x14ac:dyDescent="0.25">
      <c r="A7076" t="str">
        <f>"000220362"</f>
        <v>000220362</v>
      </c>
      <c r="B7076" t="str">
        <f>"1033221882"</f>
        <v>1033221882</v>
      </c>
      <c r="C7076" t="str">
        <f t="shared" si="227"/>
        <v>261QE0700X</v>
      </c>
      <c r="D7076" t="str">
        <f>"RENAL CARE GROUP MERIDIAN                         "</f>
        <v xml:space="preserve">RENAL CARE GROUP MERIDIAN                         </v>
      </c>
      <c r="E7076" t="str">
        <f>"MERIDIAN                  "</f>
        <v xml:space="preserve">MERIDIAN                  </v>
      </c>
      <c r="F7076" t="str">
        <f t="shared" si="226"/>
        <v>MS</v>
      </c>
    </row>
    <row r="7077" spans="1:6" x14ac:dyDescent="0.25">
      <c r="A7077" t="str">
        <f>"000220364"</f>
        <v>000220364</v>
      </c>
      <c r="B7077" t="str">
        <f>"1386690956"</f>
        <v>1386690956</v>
      </c>
      <c r="C7077" t="str">
        <f t="shared" si="227"/>
        <v>261QE0700X</v>
      </c>
      <c r="D7077" t="str">
        <f>"RENAL CARE OF LEXINGTON                           "</f>
        <v xml:space="preserve">RENAL CARE OF LEXINGTON                           </v>
      </c>
      <c r="E7077" t="str">
        <f>"LEXINGTON                 "</f>
        <v xml:space="preserve">LEXINGTON                 </v>
      </c>
      <c r="F7077" t="str">
        <f t="shared" si="226"/>
        <v>MS</v>
      </c>
    </row>
    <row r="7078" spans="1:6" x14ac:dyDescent="0.25">
      <c r="A7078" t="str">
        <f>"000220365"</f>
        <v>000220365</v>
      </c>
      <c r="B7078" t="str">
        <f>"1982659264"</f>
        <v>1982659264</v>
      </c>
      <c r="C7078" t="str">
        <f t="shared" si="227"/>
        <v>261QE0700X</v>
      </c>
      <c r="D7078" t="str">
        <f>"JACKSON NORTH DIALYSIS                            "</f>
        <v xml:space="preserve">JACKSON NORTH DIALYSIS                            </v>
      </c>
      <c r="E7078" t="str">
        <f>"JACKSON                   "</f>
        <v xml:space="preserve">JACKSON                   </v>
      </c>
      <c r="F7078" t="str">
        <f t="shared" si="226"/>
        <v>MS</v>
      </c>
    </row>
    <row r="7079" spans="1:6" x14ac:dyDescent="0.25">
      <c r="A7079" t="str">
        <f>"000220366"</f>
        <v>000220366</v>
      </c>
      <c r="B7079" t="str">
        <f>"1568574390"</f>
        <v>1568574390</v>
      </c>
      <c r="C7079" t="str">
        <f t="shared" si="227"/>
        <v>261QE0700X</v>
      </c>
      <c r="D7079" t="str">
        <f>"RCG MISSISSIPPI, IN.C                             "</f>
        <v xml:space="preserve">RCG MISSISSIPPI, IN.C                             </v>
      </c>
      <c r="E7079" t="str">
        <f>"INDIANOLA                 "</f>
        <v xml:space="preserve">INDIANOLA                 </v>
      </c>
      <c r="F7079" t="str">
        <f t="shared" si="226"/>
        <v>MS</v>
      </c>
    </row>
    <row r="7080" spans="1:6" x14ac:dyDescent="0.25">
      <c r="A7080" t="str">
        <f>"000220367"</f>
        <v>000220367</v>
      </c>
      <c r="B7080" t="str">
        <f>"1841302692"</f>
        <v>1841302692</v>
      </c>
      <c r="C7080" t="str">
        <f t="shared" si="227"/>
        <v>261QE0700X</v>
      </c>
      <c r="D7080" t="str">
        <f>"RCG MISSISSIPPI, INC.                             "</f>
        <v xml:space="preserve">RCG MISSISSIPPI, INC.                             </v>
      </c>
      <c r="E7080" t="str">
        <f>"GRENADA                   "</f>
        <v xml:space="preserve">GRENADA                   </v>
      </c>
      <c r="F7080" t="str">
        <f t="shared" si="226"/>
        <v>MS</v>
      </c>
    </row>
    <row r="7081" spans="1:6" x14ac:dyDescent="0.25">
      <c r="A7081" t="str">
        <f>"000220368"</f>
        <v>000220368</v>
      </c>
      <c r="B7081" t="str">
        <f>"1669584413"</f>
        <v>1669584413</v>
      </c>
      <c r="C7081" t="str">
        <f t="shared" si="227"/>
        <v>261QE0700X</v>
      </c>
      <c r="D7081" t="str">
        <f>"RENAL CARE GROUP CLEVELAND                        "</f>
        <v xml:space="preserve">RENAL CARE GROUP CLEVELAND                        </v>
      </c>
      <c r="E7081" t="str">
        <f>"CLEVELAND                 "</f>
        <v xml:space="preserve">CLEVELAND                 </v>
      </c>
      <c r="F7081" t="str">
        <f t="shared" si="226"/>
        <v>MS</v>
      </c>
    </row>
    <row r="7082" spans="1:6" x14ac:dyDescent="0.25">
      <c r="A7082" t="str">
        <f>"000220369"</f>
        <v>000220369</v>
      </c>
      <c r="B7082" t="str">
        <f>"1851403604"</f>
        <v>1851403604</v>
      </c>
      <c r="C7082" t="str">
        <f t="shared" si="227"/>
        <v>261QE0700X</v>
      </c>
      <c r="D7082" t="str">
        <f>"RCG MISSISSIPPI, INC.                             "</f>
        <v xml:space="preserve">RCG MISSISSIPPI, INC.                             </v>
      </c>
      <c r="E7082" t="str">
        <f>"COLUMBUS                  "</f>
        <v xml:space="preserve">COLUMBUS                  </v>
      </c>
      <c r="F7082" t="str">
        <f t="shared" si="226"/>
        <v>MS</v>
      </c>
    </row>
    <row r="7083" spans="1:6" x14ac:dyDescent="0.25">
      <c r="A7083" t="str">
        <f>"000220372"</f>
        <v>000220372</v>
      </c>
      <c r="B7083" t="str">
        <f>"1356453104"</f>
        <v>1356453104</v>
      </c>
      <c r="C7083" t="str">
        <f t="shared" si="227"/>
        <v>261QE0700X</v>
      </c>
      <c r="D7083" t="str">
        <f>"BMA KOSCIUSKO                                     "</f>
        <v xml:space="preserve">BMA KOSCIUSKO                                     </v>
      </c>
      <c r="E7083" t="str">
        <f>"KOSCIUSKO                 "</f>
        <v xml:space="preserve">KOSCIUSKO                 </v>
      </c>
      <c r="F7083" t="str">
        <f t="shared" si="226"/>
        <v>MS</v>
      </c>
    </row>
    <row r="7084" spans="1:6" x14ac:dyDescent="0.25">
      <c r="A7084" t="str">
        <f>"000220416"</f>
        <v>000220416</v>
      </c>
      <c r="B7084" t="str">
        <f>"1790723831"</f>
        <v>1790723831</v>
      </c>
      <c r="C7084" t="str">
        <f t="shared" si="227"/>
        <v>261QE0700X</v>
      </c>
      <c r="D7084" t="str">
        <f>"BRANDON RENAL CENTER                              "</f>
        <v xml:space="preserve">BRANDON RENAL CENTER                              </v>
      </c>
      <c r="E7084" t="str">
        <f>"BRANDON                   "</f>
        <v xml:space="preserve">BRANDON                   </v>
      </c>
      <c r="F7084" t="str">
        <f t="shared" si="226"/>
        <v>MS</v>
      </c>
    </row>
    <row r="7085" spans="1:6" x14ac:dyDescent="0.25">
      <c r="A7085" t="str">
        <f>"000220430"</f>
        <v>000220430</v>
      </c>
      <c r="B7085" t="str">
        <f>"1538120902"</f>
        <v>1538120902</v>
      </c>
      <c r="C7085" t="str">
        <f t="shared" si="227"/>
        <v>261QE0700X</v>
      </c>
      <c r="D7085" t="str">
        <f>"SINGING RIVER DIALYSIS                            "</f>
        <v xml:space="preserve">SINGING RIVER DIALYSIS                            </v>
      </c>
      <c r="E7085" t="str">
        <f>"PASCAGOULA                "</f>
        <v xml:space="preserve">PASCAGOULA                </v>
      </c>
      <c r="F7085" t="str">
        <f t="shared" si="226"/>
        <v>MS</v>
      </c>
    </row>
    <row r="7086" spans="1:6" x14ac:dyDescent="0.25">
      <c r="A7086" t="str">
        <f>"000220431"</f>
        <v>000220431</v>
      </c>
      <c r="B7086" t="str">
        <f>"1043271414"</f>
        <v>1043271414</v>
      </c>
      <c r="C7086" t="str">
        <f t="shared" si="227"/>
        <v>261QE0700X</v>
      </c>
      <c r="D7086" t="str">
        <f>"OCEAN SPRINGS DIALYSIS                            "</f>
        <v xml:space="preserve">OCEAN SPRINGS DIALYSIS                            </v>
      </c>
      <c r="E7086" t="str">
        <f>"OCEAN SPRINGS             "</f>
        <v xml:space="preserve">OCEAN SPRINGS             </v>
      </c>
      <c r="F7086" t="str">
        <f t="shared" si="226"/>
        <v>MS</v>
      </c>
    </row>
    <row r="7087" spans="1:6" x14ac:dyDescent="0.25">
      <c r="A7087" t="str">
        <f>"000220502"</f>
        <v>000220502</v>
      </c>
      <c r="B7087" t="str">
        <f>"1669405981"</f>
        <v>1669405981</v>
      </c>
      <c r="C7087" t="str">
        <f t="shared" si="227"/>
        <v>261QE0700X</v>
      </c>
      <c r="D7087" t="str">
        <f>"BAY SPRINGS DIALYSIS UNIT                         "</f>
        <v xml:space="preserve">BAY SPRINGS DIALYSIS UNIT                         </v>
      </c>
      <c r="E7087" t="str">
        <f>"BAY SPRINGS               "</f>
        <v xml:space="preserve">BAY SPRINGS               </v>
      </c>
      <c r="F7087" t="str">
        <f t="shared" si="226"/>
        <v>MS</v>
      </c>
    </row>
    <row r="7088" spans="1:6" x14ac:dyDescent="0.25">
      <c r="A7088" t="str">
        <f>"000220506"</f>
        <v>000220506</v>
      </c>
      <c r="B7088" t="str">
        <f>"1053423814"</f>
        <v>1053423814</v>
      </c>
      <c r="C7088" t="str">
        <f t="shared" si="227"/>
        <v>261QE0700X</v>
      </c>
      <c r="D7088" t="str">
        <f>"BMA HAZLEHURST                                    "</f>
        <v xml:space="preserve">BMA HAZLEHURST                                    </v>
      </c>
      <c r="E7088" t="str">
        <f>"HAZLEHURST                "</f>
        <v xml:space="preserve">HAZLEHURST                </v>
      </c>
      <c r="F7088" t="str">
        <f t="shared" si="226"/>
        <v>MS</v>
      </c>
    </row>
    <row r="7089" spans="1:6" x14ac:dyDescent="0.25">
      <c r="A7089" t="str">
        <f>"000220521"</f>
        <v>000220521</v>
      </c>
      <c r="B7089" t="str">
        <f>"1710099544"</f>
        <v>1710099544</v>
      </c>
      <c r="C7089" t="str">
        <f t="shared" si="227"/>
        <v>261QE0700X</v>
      </c>
      <c r="D7089" t="str">
        <f>"RENAL CARE GROUP SOUTHAVEN                        "</f>
        <v xml:space="preserve">RENAL CARE GROUP SOUTHAVEN                        </v>
      </c>
      <c r="E7089" t="str">
        <f>"SOUTHAVEN                 "</f>
        <v xml:space="preserve">SOUTHAVEN                 </v>
      </c>
      <c r="F7089" t="str">
        <f t="shared" si="226"/>
        <v>MS</v>
      </c>
    </row>
    <row r="7090" spans="1:6" x14ac:dyDescent="0.25">
      <c r="A7090" t="str">
        <f>"000220525"</f>
        <v>000220525</v>
      </c>
      <c r="B7090" t="str">
        <f>"1629039086"</f>
        <v>1629039086</v>
      </c>
      <c r="C7090" t="str">
        <f t="shared" si="227"/>
        <v>261QE0700X</v>
      </c>
      <c r="D7090" t="str">
        <f>"LUCEDALE DIALYSIS                                 "</f>
        <v xml:space="preserve">LUCEDALE DIALYSIS                                 </v>
      </c>
      <c r="E7090" t="str">
        <f>"LUCEDALE                  "</f>
        <v xml:space="preserve">LUCEDALE                  </v>
      </c>
      <c r="F7090" t="str">
        <f t="shared" si="226"/>
        <v>MS</v>
      </c>
    </row>
    <row r="7091" spans="1:6" x14ac:dyDescent="0.25">
      <c r="A7091" t="str">
        <f>"000220554"</f>
        <v>000220554</v>
      </c>
      <c r="B7091" t="str">
        <f>"1457384778"</f>
        <v>1457384778</v>
      </c>
      <c r="C7091" t="str">
        <f t="shared" si="227"/>
        <v>261QE0700X</v>
      </c>
      <c r="D7091" t="str">
        <f>"COLLINS DIALYSIS UNIT                             "</f>
        <v xml:space="preserve">COLLINS DIALYSIS UNIT                             </v>
      </c>
      <c r="E7091" t="str">
        <f>"COLLINS                   "</f>
        <v xml:space="preserve">COLLINS                   </v>
      </c>
      <c r="F7091" t="str">
        <f t="shared" si="226"/>
        <v>MS</v>
      </c>
    </row>
    <row r="7092" spans="1:6" x14ac:dyDescent="0.25">
      <c r="A7092" t="str">
        <f>"000220570"</f>
        <v>000220570</v>
      </c>
      <c r="B7092" t="str">
        <f>"1821021155"</f>
        <v>1821021155</v>
      </c>
      <c r="C7092" t="str">
        <f t="shared" si="227"/>
        <v>261QE0700X</v>
      </c>
      <c r="D7092" t="str">
        <f>"TYLERTOWN DIALYSIS UNIT                           "</f>
        <v xml:space="preserve">TYLERTOWN DIALYSIS UNIT                           </v>
      </c>
      <c r="E7092" t="str">
        <f>"TYLERTOWN                 "</f>
        <v xml:space="preserve">TYLERTOWN                 </v>
      </c>
      <c r="F7092" t="str">
        <f t="shared" si="226"/>
        <v>MS</v>
      </c>
    </row>
    <row r="7093" spans="1:6" x14ac:dyDescent="0.25">
      <c r="A7093" t="str">
        <f>"000220598"</f>
        <v>000220598</v>
      </c>
      <c r="B7093" t="str">
        <f>"1356453187"</f>
        <v>1356453187</v>
      </c>
      <c r="C7093" t="str">
        <f t="shared" si="227"/>
        <v>261QE0700X</v>
      </c>
      <c r="D7093" t="str">
        <f>"RCG MISSISSIPPI, INC.                             "</f>
        <v xml:space="preserve">RCG MISSISSIPPI, INC.                             </v>
      </c>
      <c r="E7093" t="str">
        <f>"MACON                     "</f>
        <v xml:space="preserve">MACON                     </v>
      </c>
      <c r="F7093" t="str">
        <f t="shared" si="226"/>
        <v>MS</v>
      </c>
    </row>
    <row r="7094" spans="1:6" x14ac:dyDescent="0.25">
      <c r="A7094" t="str">
        <f>"000220600"</f>
        <v>000220600</v>
      </c>
      <c r="B7094" t="str">
        <f>"1942233283"</f>
        <v>1942233283</v>
      </c>
      <c r="C7094" t="str">
        <f t="shared" si="227"/>
        <v>261QE0700X</v>
      </c>
      <c r="D7094" t="str">
        <f>"RICHTON DIALYSIS UNIT                             "</f>
        <v xml:space="preserve">RICHTON DIALYSIS UNIT                             </v>
      </c>
      <c r="E7094" t="str">
        <f>"RICHTON                   "</f>
        <v xml:space="preserve">RICHTON                   </v>
      </c>
      <c r="F7094" t="str">
        <f t="shared" si="226"/>
        <v>MS</v>
      </c>
    </row>
    <row r="7095" spans="1:6" x14ac:dyDescent="0.25">
      <c r="A7095" t="str">
        <f>"000220632"</f>
        <v>000220632</v>
      </c>
      <c r="B7095" t="str">
        <f>"1235241084"</f>
        <v>1235241084</v>
      </c>
      <c r="C7095" t="str">
        <f t="shared" si="227"/>
        <v>261QE0700X</v>
      </c>
      <c r="D7095" t="str">
        <f>"BMA JACKSON                                       "</f>
        <v xml:space="preserve">BMA JACKSON                                       </v>
      </c>
      <c r="E7095" t="str">
        <f>"JACKSON                   "</f>
        <v xml:space="preserve">JACKSON                   </v>
      </c>
      <c r="F7095" t="str">
        <f t="shared" si="226"/>
        <v>MS</v>
      </c>
    </row>
    <row r="7096" spans="1:6" x14ac:dyDescent="0.25">
      <c r="A7096" t="str">
        <f>"000220634"</f>
        <v>000220634</v>
      </c>
      <c r="B7096" t="str">
        <f>"1770695520"</f>
        <v>1770695520</v>
      </c>
      <c r="C7096" t="str">
        <f t="shared" si="227"/>
        <v>261QE0700X</v>
      </c>
      <c r="D7096" t="str">
        <f>"BMA SW JACKSON                                    "</f>
        <v xml:space="preserve">BMA SW JACKSON                                    </v>
      </c>
      <c r="E7096" t="str">
        <f>"JACKSON                   "</f>
        <v xml:space="preserve">JACKSON                   </v>
      </c>
      <c r="F7096" t="str">
        <f t="shared" si="226"/>
        <v>MS</v>
      </c>
    </row>
    <row r="7097" spans="1:6" x14ac:dyDescent="0.25">
      <c r="A7097" t="str">
        <f>"000220635"</f>
        <v>000220635</v>
      </c>
      <c r="B7097" t="str">
        <f>"1912952110"</f>
        <v>1912952110</v>
      </c>
      <c r="C7097" t="str">
        <f t="shared" si="227"/>
        <v>261QE0700X</v>
      </c>
      <c r="D7097" t="str">
        <f>"RENAL CARE OF CARTHAGE                            "</f>
        <v xml:space="preserve">RENAL CARE OF CARTHAGE                            </v>
      </c>
      <c r="E7097" t="str">
        <f>"CARTHAGE                  "</f>
        <v xml:space="preserve">CARTHAGE                  </v>
      </c>
      <c r="F7097" t="str">
        <f t="shared" si="226"/>
        <v>MS</v>
      </c>
    </row>
    <row r="7098" spans="1:6" x14ac:dyDescent="0.25">
      <c r="A7098" t="str">
        <f>"000220636"</f>
        <v>000220636</v>
      </c>
      <c r="B7098" t="str">
        <f>"1205948049"</f>
        <v>1205948049</v>
      </c>
      <c r="C7098" t="str">
        <f t="shared" si="227"/>
        <v>261QE0700X</v>
      </c>
      <c r="D7098" t="str">
        <f>"BMA MAGEE                                         "</f>
        <v xml:space="preserve">BMA MAGEE                                         </v>
      </c>
      <c r="E7098" t="str">
        <f>"MAGEE                     "</f>
        <v xml:space="preserve">MAGEE                     </v>
      </c>
      <c r="F7098" t="str">
        <f t="shared" si="226"/>
        <v>MS</v>
      </c>
    </row>
    <row r="7099" spans="1:6" x14ac:dyDescent="0.25">
      <c r="A7099" t="str">
        <f>"000220637"</f>
        <v>000220637</v>
      </c>
      <c r="B7099" t="str">
        <f>"1962514711"</f>
        <v>1962514711</v>
      </c>
      <c r="C7099" t="str">
        <f t="shared" si="227"/>
        <v>261QE0700X</v>
      </c>
      <c r="D7099" t="str">
        <f>"BMA CANTON                                        "</f>
        <v xml:space="preserve">BMA CANTON                                        </v>
      </c>
      <c r="E7099" t="str">
        <f>"CANTON                    "</f>
        <v xml:space="preserve">CANTON                    </v>
      </c>
      <c r="F7099" t="str">
        <f t="shared" si="226"/>
        <v>MS</v>
      </c>
    </row>
    <row r="7100" spans="1:6" x14ac:dyDescent="0.25">
      <c r="A7100" t="str">
        <f>"000220638"</f>
        <v>000220638</v>
      </c>
      <c r="B7100" t="str">
        <f>"1649372020"</f>
        <v>1649372020</v>
      </c>
      <c r="C7100" t="str">
        <f t="shared" si="227"/>
        <v>261QE0700X</v>
      </c>
      <c r="D7100" t="str">
        <f>"SMKC NORTH GULFPORT                               "</f>
        <v xml:space="preserve">SMKC NORTH GULFPORT                               </v>
      </c>
      <c r="E7100" t="str">
        <f>"GULFPORT                  "</f>
        <v xml:space="preserve">GULFPORT                  </v>
      </c>
      <c r="F7100" t="str">
        <f t="shared" si="226"/>
        <v>MS</v>
      </c>
    </row>
    <row r="7101" spans="1:6" x14ac:dyDescent="0.25">
      <c r="A7101" t="str">
        <f>"000220644"</f>
        <v>000220644</v>
      </c>
      <c r="B7101" t="str">
        <f>"1265544092"</f>
        <v>1265544092</v>
      </c>
      <c r="C7101" t="str">
        <f t="shared" si="227"/>
        <v>261QE0700X</v>
      </c>
      <c r="D7101" t="str">
        <f>"RENAL CARE GROUP-CENTREVILLE                      "</f>
        <v xml:space="preserve">RENAL CARE GROUP-CENTREVILLE                      </v>
      </c>
      <c r="E7101" t="str">
        <f>"CENTREVILLE               "</f>
        <v xml:space="preserve">CENTREVILLE               </v>
      </c>
      <c r="F7101" t="str">
        <f t="shared" si="226"/>
        <v>MS</v>
      </c>
    </row>
    <row r="7102" spans="1:6" x14ac:dyDescent="0.25">
      <c r="A7102" t="str">
        <f>"000220685"</f>
        <v>000220685</v>
      </c>
      <c r="B7102" t="str">
        <f>"1003928870"</f>
        <v>1003928870</v>
      </c>
      <c r="C7102" t="str">
        <f t="shared" si="227"/>
        <v>261QE0700X</v>
      </c>
      <c r="D7102" t="str">
        <f>"BIO-MEDICAL APPLICATIONS OF MISSISS               "</f>
        <v xml:space="preserve">BIO-MEDICAL APPLICATIONS OF MISSISS               </v>
      </c>
      <c r="E7102" t="str">
        <f>"DIBERVILLE                "</f>
        <v xml:space="preserve">DIBERVILLE                </v>
      </c>
      <c r="F7102" t="str">
        <f t="shared" ref="F7102:F7165" si="228">"MS"</f>
        <v>MS</v>
      </c>
    </row>
    <row r="7103" spans="1:6" x14ac:dyDescent="0.25">
      <c r="A7103" t="str">
        <f>"000220722"</f>
        <v>000220722</v>
      </c>
      <c r="B7103" t="str">
        <f>"1083726814"</f>
        <v>1083726814</v>
      </c>
      <c r="C7103" t="str">
        <f t="shared" si="227"/>
        <v>261QE0700X</v>
      </c>
      <c r="D7103" t="str">
        <f>"RENAL CARE GROUP-LOUISVILLE                       "</f>
        <v xml:space="preserve">RENAL CARE GROUP-LOUISVILLE                       </v>
      </c>
      <c r="E7103" t="str">
        <f>"LOUISVILLE                "</f>
        <v xml:space="preserve">LOUISVILLE                </v>
      </c>
      <c r="F7103" t="str">
        <f t="shared" si="228"/>
        <v>MS</v>
      </c>
    </row>
    <row r="7104" spans="1:6" x14ac:dyDescent="0.25">
      <c r="A7104" t="str">
        <f>"000220771"</f>
        <v>000220771</v>
      </c>
      <c r="B7104" t="str">
        <f>"1013029867"</f>
        <v>1013029867</v>
      </c>
      <c r="C7104" t="str">
        <f t="shared" si="227"/>
        <v>261QE0700X</v>
      </c>
      <c r="D7104" t="str">
        <f>"RENAL CARE GROUP EUPORA                           "</f>
        <v xml:space="preserve">RENAL CARE GROUP EUPORA                           </v>
      </c>
      <c r="E7104" t="str">
        <f>"EUPORA                    "</f>
        <v xml:space="preserve">EUPORA                    </v>
      </c>
      <c r="F7104" t="str">
        <f t="shared" si="228"/>
        <v>MS</v>
      </c>
    </row>
    <row r="7105" spans="1:6" x14ac:dyDescent="0.25">
      <c r="A7105" t="str">
        <f>"000220772"</f>
        <v>000220772</v>
      </c>
      <c r="B7105" t="str">
        <f>"1760949572"</f>
        <v>1760949572</v>
      </c>
      <c r="C7105" t="str">
        <f t="shared" si="227"/>
        <v>261QE0700X</v>
      </c>
      <c r="D7105" t="str">
        <f>"RCG OXFORD                                        "</f>
        <v xml:space="preserve">RCG OXFORD                                        </v>
      </c>
      <c r="E7105" t="str">
        <f>"OXFORD                    "</f>
        <v xml:space="preserve">OXFORD                    </v>
      </c>
      <c r="F7105" t="str">
        <f t="shared" si="228"/>
        <v>MS</v>
      </c>
    </row>
    <row r="7106" spans="1:6" x14ac:dyDescent="0.25">
      <c r="A7106" t="str">
        <f>"000220773"</f>
        <v>000220773</v>
      </c>
      <c r="B7106" t="str">
        <f>"1801908637"</f>
        <v>1801908637</v>
      </c>
      <c r="C7106" t="str">
        <f t="shared" si="227"/>
        <v>261QE0700X</v>
      </c>
      <c r="D7106" t="str">
        <f>"RENAL CARE GROUP HOLLY SPRINGS                    "</f>
        <v xml:space="preserve">RENAL CARE GROUP HOLLY SPRINGS                    </v>
      </c>
      <c r="E7106" t="str">
        <f>"HOLLY SPRINGS             "</f>
        <v xml:space="preserve">HOLLY SPRINGS             </v>
      </c>
      <c r="F7106" t="str">
        <f t="shared" si="228"/>
        <v>MS</v>
      </c>
    </row>
    <row r="7107" spans="1:6" x14ac:dyDescent="0.25">
      <c r="A7107" t="str">
        <f>"000220774"</f>
        <v>000220774</v>
      </c>
      <c r="B7107" t="str">
        <f>"1740382126"</f>
        <v>1740382126</v>
      </c>
      <c r="C7107" t="str">
        <f t="shared" si="227"/>
        <v>261QE0700X</v>
      </c>
      <c r="D7107" t="str">
        <f>"RENAL CARE GROUP TUPELO                           "</f>
        <v xml:space="preserve">RENAL CARE GROUP TUPELO                           </v>
      </c>
      <c r="E7107" t="str">
        <f>"TUPELO                    "</f>
        <v xml:space="preserve">TUPELO                    </v>
      </c>
      <c r="F7107" t="str">
        <f t="shared" si="228"/>
        <v>MS</v>
      </c>
    </row>
    <row r="7108" spans="1:6" x14ac:dyDescent="0.25">
      <c r="A7108" t="str">
        <f>"000220775"</f>
        <v>000220775</v>
      </c>
      <c r="B7108" t="str">
        <f>"1114039963"</f>
        <v>1114039963</v>
      </c>
      <c r="C7108" t="str">
        <f t="shared" si="227"/>
        <v>261QE0700X</v>
      </c>
      <c r="D7108" t="str">
        <f>"RENAL CARE GROUP CORINTH                          "</f>
        <v xml:space="preserve">RENAL CARE GROUP CORINTH                          </v>
      </c>
      <c r="E7108" t="str">
        <f>"CORINTH                   "</f>
        <v xml:space="preserve">CORINTH                   </v>
      </c>
      <c r="F7108" t="str">
        <f t="shared" si="228"/>
        <v>MS</v>
      </c>
    </row>
    <row r="7109" spans="1:6" x14ac:dyDescent="0.25">
      <c r="A7109" t="str">
        <f>"000220776"</f>
        <v>000220776</v>
      </c>
      <c r="B7109" t="str">
        <f>"1578675328"</f>
        <v>1578675328</v>
      </c>
      <c r="C7109" t="str">
        <f t="shared" si="227"/>
        <v>261QE0700X</v>
      </c>
      <c r="D7109" t="str">
        <f>"RENAL CARE GROUP ABERDEEN                         "</f>
        <v xml:space="preserve">RENAL CARE GROUP ABERDEEN                         </v>
      </c>
      <c r="E7109" t="str">
        <f>"ABERDEEN                  "</f>
        <v xml:space="preserve">ABERDEEN                  </v>
      </c>
      <c r="F7109" t="str">
        <f t="shared" si="228"/>
        <v>MS</v>
      </c>
    </row>
    <row r="7110" spans="1:6" x14ac:dyDescent="0.25">
      <c r="A7110" t="str">
        <f>"000220777"</f>
        <v>000220777</v>
      </c>
      <c r="B7110" t="str">
        <f>"1538271366"</f>
        <v>1538271366</v>
      </c>
      <c r="C7110" t="str">
        <f t="shared" si="227"/>
        <v>261QE0700X</v>
      </c>
      <c r="D7110" t="str">
        <f>"RENAL CARE GROUP SARDIS                           "</f>
        <v xml:space="preserve">RENAL CARE GROUP SARDIS                           </v>
      </c>
      <c r="E7110" t="str">
        <f>"SARDIS                    "</f>
        <v xml:space="preserve">SARDIS                    </v>
      </c>
      <c r="F7110" t="str">
        <f t="shared" si="228"/>
        <v>MS</v>
      </c>
    </row>
    <row r="7111" spans="1:6" x14ac:dyDescent="0.25">
      <c r="A7111" t="str">
        <f>"000220826"</f>
        <v>000220826</v>
      </c>
      <c r="B7111" t="str">
        <f>"1073625760"</f>
        <v>1073625760</v>
      </c>
      <c r="C7111" t="str">
        <f t="shared" si="227"/>
        <v>261QE0700X</v>
      </c>
      <c r="D7111" t="str">
        <f>"RENAL CARE GROUP-TUNICA                           "</f>
        <v xml:space="preserve">RENAL CARE GROUP-TUNICA                           </v>
      </c>
      <c r="E7111" t="str">
        <f>"TUNICA                    "</f>
        <v xml:space="preserve">TUNICA                    </v>
      </c>
      <c r="F7111" t="str">
        <f t="shared" si="228"/>
        <v>MS</v>
      </c>
    </row>
    <row r="7112" spans="1:6" x14ac:dyDescent="0.25">
      <c r="A7112" t="str">
        <f>"000221037"</f>
        <v>000221037</v>
      </c>
      <c r="B7112" t="str">
        <f>"1083653257"</f>
        <v>1083653257</v>
      </c>
      <c r="C7112" t="str">
        <f>"363L00000X"</f>
        <v>363L00000X</v>
      </c>
      <c r="D7112" t="str">
        <f>"BELL                     DEBRA                    "</f>
        <v xml:space="preserve">BELL                     DEBRA                    </v>
      </c>
      <c r="E7112" t="str">
        <f>"CANTON                    "</f>
        <v xml:space="preserve">CANTON                    </v>
      </c>
      <c r="F7112" t="str">
        <f t="shared" si="228"/>
        <v>MS</v>
      </c>
    </row>
    <row r="7113" spans="1:6" x14ac:dyDescent="0.25">
      <c r="A7113" t="str">
        <f>"000221125"</f>
        <v>000221125</v>
      </c>
      <c r="B7113" t="str">
        <f>"1679920334"</f>
        <v>1679920334</v>
      </c>
      <c r="C7113" t="str">
        <f>"207L00000X"</f>
        <v>207L00000X</v>
      </c>
      <c r="D7113" t="str">
        <f>"ZIETHEN                  TIMOTHY      D           "</f>
        <v xml:space="preserve">ZIETHEN                  TIMOTHY      D           </v>
      </c>
      <c r="E7113" t="str">
        <f>"JACKSON                   "</f>
        <v xml:space="preserve">JACKSON                   </v>
      </c>
      <c r="F7113" t="str">
        <f t="shared" si="228"/>
        <v>MS</v>
      </c>
    </row>
    <row r="7114" spans="1:6" x14ac:dyDescent="0.25">
      <c r="A7114" t="str">
        <f>"000221281"</f>
        <v>000221281</v>
      </c>
      <c r="B7114" t="str">
        <f>"1366535874"</f>
        <v>1366535874</v>
      </c>
      <c r="C7114" t="str">
        <f>"367500000X"</f>
        <v>367500000X</v>
      </c>
      <c r="D7114" t="str">
        <f>"KELLEY                   CHRYSTAL     B           "</f>
        <v xml:space="preserve">KELLEY                   CHRYSTAL     B           </v>
      </c>
      <c r="E7114" t="str">
        <f>"OXFORD                    "</f>
        <v xml:space="preserve">OXFORD                    </v>
      </c>
      <c r="F7114" t="str">
        <f t="shared" si="228"/>
        <v>MS</v>
      </c>
    </row>
    <row r="7115" spans="1:6" x14ac:dyDescent="0.25">
      <c r="A7115" t="str">
        <f>"000221337"</f>
        <v>000221337</v>
      </c>
      <c r="B7115" t="str">
        <f>"1174068415"</f>
        <v>1174068415</v>
      </c>
      <c r="C7115" t="str">
        <f>"363L00000X"</f>
        <v>363L00000X</v>
      </c>
      <c r="D7115" t="str">
        <f>"WEBSTER                  SUZANNE      N           "</f>
        <v xml:space="preserve">WEBSTER                  SUZANNE      N           </v>
      </c>
      <c r="E7115" t="str">
        <f>"RIDGELAND                 "</f>
        <v xml:space="preserve">RIDGELAND                 </v>
      </c>
      <c r="F7115" t="str">
        <f t="shared" si="228"/>
        <v>MS</v>
      </c>
    </row>
    <row r="7116" spans="1:6" x14ac:dyDescent="0.25">
      <c r="A7116" t="str">
        <f>"000221793"</f>
        <v>000221793</v>
      </c>
      <c r="B7116" t="str">
        <f>"1194248179"</f>
        <v>1194248179</v>
      </c>
      <c r="C7116" t="str">
        <f>"363L00000X"</f>
        <v>363L00000X</v>
      </c>
      <c r="D7116" t="str">
        <f>"HILL                     AMANDA       K           "</f>
        <v xml:space="preserve">HILL                     AMANDA       K           </v>
      </c>
      <c r="E7116" t="str">
        <f>"GULFPORT                  "</f>
        <v xml:space="preserve">GULFPORT                  </v>
      </c>
      <c r="F7116" t="str">
        <f t="shared" si="228"/>
        <v>MS</v>
      </c>
    </row>
    <row r="7117" spans="1:6" x14ac:dyDescent="0.25">
      <c r="A7117" t="str">
        <f>"000222223"</f>
        <v>000222223</v>
      </c>
      <c r="B7117" t="str">
        <f>"1376001818"</f>
        <v>1376001818</v>
      </c>
      <c r="C7117" t="str">
        <f>"122300000X"</f>
        <v>122300000X</v>
      </c>
      <c r="D7117" t="str">
        <f>"MISS LOU FAMILY DENTAL CREEKSIDE                  "</f>
        <v xml:space="preserve">MISS LOU FAMILY DENTAL CREEKSIDE                  </v>
      </c>
      <c r="E7117" t="str">
        <f>"NATCHEZ                   "</f>
        <v xml:space="preserve">NATCHEZ                   </v>
      </c>
      <c r="F7117" t="str">
        <f t="shared" si="228"/>
        <v>MS</v>
      </c>
    </row>
    <row r="7118" spans="1:6" x14ac:dyDescent="0.25">
      <c r="A7118" t="str">
        <f>"000224574"</f>
        <v>000224574</v>
      </c>
      <c r="B7118" t="str">
        <f>"1750793535"</f>
        <v>1750793535</v>
      </c>
      <c r="C7118" t="str">
        <f>"207L00000X"</f>
        <v>207L00000X</v>
      </c>
      <c r="D7118" t="str">
        <f>"KJOME                    KYLE         L           "</f>
        <v xml:space="preserve">KJOME                    KYLE         L           </v>
      </c>
      <c r="E7118" t="str">
        <f>"OCEAN SPRINGS             "</f>
        <v xml:space="preserve">OCEAN SPRINGS             </v>
      </c>
      <c r="F7118" t="str">
        <f t="shared" si="228"/>
        <v>MS</v>
      </c>
    </row>
    <row r="7119" spans="1:6" x14ac:dyDescent="0.25">
      <c r="A7119" t="str">
        <f>"000225544"</f>
        <v>000225544</v>
      </c>
      <c r="B7119" t="str">
        <f>"1639552490"</f>
        <v>1639552490</v>
      </c>
      <c r="C7119" t="str">
        <f>"363L00000X"</f>
        <v>363L00000X</v>
      </c>
      <c r="D7119" t="str">
        <f>"HUMPHREYS                LAURA        B           "</f>
        <v xml:space="preserve">HUMPHREYS                LAURA        B           </v>
      </c>
      <c r="E7119" t="str">
        <f>"BILOXI                    "</f>
        <v xml:space="preserve">BILOXI                    </v>
      </c>
      <c r="F7119" t="str">
        <f t="shared" si="228"/>
        <v>MS</v>
      </c>
    </row>
    <row r="7120" spans="1:6" x14ac:dyDescent="0.25">
      <c r="A7120" t="str">
        <f>"000226232"</f>
        <v>000226232</v>
      </c>
      <c r="B7120" t="str">
        <f>"1427210616"</f>
        <v>1427210616</v>
      </c>
      <c r="C7120" t="str">
        <f>"208000000X"</f>
        <v>208000000X</v>
      </c>
      <c r="D7120" t="str">
        <f>"ARRINDELL JR             ESMOND       L           "</f>
        <v xml:space="preserve">ARRINDELL JR             ESMOND       L           </v>
      </c>
      <c r="E7120" t="str">
        <f>"SOUTHAVEN                 "</f>
        <v xml:space="preserve">SOUTHAVEN                 </v>
      </c>
      <c r="F7120" t="str">
        <f t="shared" si="228"/>
        <v>MS</v>
      </c>
    </row>
    <row r="7121" spans="1:6" x14ac:dyDescent="0.25">
      <c r="A7121" t="str">
        <f>"000226811"</f>
        <v>000226811</v>
      </c>
      <c r="B7121" t="str">
        <f>"1780115808"</f>
        <v>1780115808</v>
      </c>
      <c r="C7121" t="str">
        <f>"261QM1300X"</f>
        <v>261QM1300X</v>
      </c>
      <c r="D7121" t="str">
        <f>"RIVERS PSYCHOTHERAPY SERVICES LLC                 "</f>
        <v xml:space="preserve">RIVERS PSYCHOTHERAPY SERVICES LLC                 </v>
      </c>
      <c r="E7121" t="str">
        <f>"GULFPORT                  "</f>
        <v xml:space="preserve">GULFPORT                  </v>
      </c>
      <c r="F7121" t="str">
        <f t="shared" si="228"/>
        <v>MS</v>
      </c>
    </row>
    <row r="7122" spans="1:6" x14ac:dyDescent="0.25">
      <c r="A7122" t="str">
        <f>"000229550"</f>
        <v>000229550</v>
      </c>
      <c r="B7122" t="str">
        <f>"1558393843"</f>
        <v>1558393843</v>
      </c>
      <c r="C7122" t="str">
        <f>"363L00000X"</f>
        <v>363L00000X</v>
      </c>
      <c r="D7122" t="str">
        <f>"CARTER                   MAURICE                  "</f>
        <v xml:space="preserve">CARTER                   MAURICE                  </v>
      </c>
      <c r="E7122" t="str">
        <f>"MAGEE                     "</f>
        <v xml:space="preserve">MAGEE                     </v>
      </c>
      <c r="F7122" t="str">
        <f t="shared" si="228"/>
        <v>MS</v>
      </c>
    </row>
    <row r="7123" spans="1:6" x14ac:dyDescent="0.25">
      <c r="A7123" t="str">
        <f>"000230707"</f>
        <v>000230707</v>
      </c>
      <c r="B7123" t="str">
        <f>"1124791512"</f>
        <v>1124791512</v>
      </c>
      <c r="C7123" t="str">
        <f>"363L00000X"</f>
        <v>363L00000X</v>
      </c>
      <c r="D7123" t="str">
        <f>"RUFFIN                   STEPHANIE    C           "</f>
        <v xml:space="preserve">RUFFIN                   STEPHANIE    C           </v>
      </c>
      <c r="E7123" t="str">
        <f>"MERIDIAN                  "</f>
        <v xml:space="preserve">MERIDIAN                  </v>
      </c>
      <c r="F7123" t="str">
        <f t="shared" si="228"/>
        <v>MS</v>
      </c>
    </row>
    <row r="7124" spans="1:6" x14ac:dyDescent="0.25">
      <c r="A7124" t="str">
        <f>"000231803"</f>
        <v>000231803</v>
      </c>
      <c r="B7124" t="str">
        <f>"1265674196"</f>
        <v>1265674196</v>
      </c>
      <c r="C7124" t="str">
        <f>"207V00000X"</f>
        <v>207V00000X</v>
      </c>
      <c r="D7124" t="str">
        <f>"BUSH-COAXUM              SHARON       M           "</f>
        <v xml:space="preserve">BUSH-COAXUM              SHARON       M           </v>
      </c>
      <c r="E7124" t="str">
        <f>"GULFPORT                  "</f>
        <v xml:space="preserve">GULFPORT                  </v>
      </c>
      <c r="F7124" t="str">
        <f t="shared" si="228"/>
        <v>MS</v>
      </c>
    </row>
    <row r="7125" spans="1:6" x14ac:dyDescent="0.25">
      <c r="A7125" t="str">
        <f>"000232891"</f>
        <v>000232891</v>
      </c>
      <c r="B7125" t="str">
        <f>"1538758289"</f>
        <v>1538758289</v>
      </c>
      <c r="C7125" t="str">
        <f>"363L00000X"</f>
        <v>363L00000X</v>
      </c>
      <c r="D7125" t="str">
        <f>"MOORE                    SYLVIA       L           "</f>
        <v xml:space="preserve">MOORE                    SYLVIA       L           </v>
      </c>
      <c r="E7125" t="str">
        <f>"CORINTH                   "</f>
        <v xml:space="preserve">CORINTH                   </v>
      </c>
      <c r="F7125" t="str">
        <f t="shared" si="228"/>
        <v>MS</v>
      </c>
    </row>
    <row r="7126" spans="1:6" x14ac:dyDescent="0.25">
      <c r="A7126" t="str">
        <f>"000233368"</f>
        <v>000233368</v>
      </c>
      <c r="B7126" t="str">
        <f>"1598052185"</f>
        <v>1598052185</v>
      </c>
      <c r="C7126" t="str">
        <f>"208000000X"</f>
        <v>208000000X</v>
      </c>
      <c r="D7126" t="str">
        <f>"STANLEY                  ANZA         M           "</f>
        <v xml:space="preserve">STANLEY                  ANZA         M           </v>
      </c>
      <c r="E7126" t="str">
        <f>"JACKSON                   "</f>
        <v xml:space="preserve">JACKSON                   </v>
      </c>
      <c r="F7126" t="str">
        <f t="shared" si="228"/>
        <v>MS</v>
      </c>
    </row>
    <row r="7127" spans="1:6" x14ac:dyDescent="0.25">
      <c r="A7127" t="str">
        <f>"000233597"</f>
        <v>000233597</v>
      </c>
      <c r="B7127" t="str">
        <f>"1144527292"</f>
        <v>1144527292</v>
      </c>
      <c r="C7127" t="str">
        <f>"363L00000X"</f>
        <v>363L00000X</v>
      </c>
      <c r="D7127" t="str">
        <f>"SANDRIDGE                SHANDA       W           "</f>
        <v xml:space="preserve">SANDRIDGE                SHANDA       W           </v>
      </c>
      <c r="E7127" t="str">
        <f>"JACKSON                   "</f>
        <v xml:space="preserve">JACKSON                   </v>
      </c>
      <c r="F7127" t="str">
        <f t="shared" si="228"/>
        <v>MS</v>
      </c>
    </row>
    <row r="7128" spans="1:6" x14ac:dyDescent="0.25">
      <c r="A7128" t="str">
        <f>"000234315"</f>
        <v>000234315</v>
      </c>
      <c r="B7128" t="str">
        <f>"1124768890"</f>
        <v>1124768890</v>
      </c>
      <c r="C7128" t="str">
        <f>"207T00000X"</f>
        <v>207T00000X</v>
      </c>
      <c r="D7128" t="str">
        <f>"SANKHYAN                 MADHAV                   "</f>
        <v xml:space="preserve">SANKHYAN                 MADHAV                   </v>
      </c>
      <c r="E7128" t="str">
        <f>"JACKSON                   "</f>
        <v xml:space="preserve">JACKSON                   </v>
      </c>
      <c r="F7128" t="str">
        <f t="shared" si="228"/>
        <v>MS</v>
      </c>
    </row>
    <row r="7129" spans="1:6" x14ac:dyDescent="0.25">
      <c r="A7129" t="str">
        <f>"000234841"</f>
        <v>000234841</v>
      </c>
      <c r="B7129" t="str">
        <f>"1215583356"</f>
        <v>1215583356</v>
      </c>
      <c r="C7129" t="str">
        <f>"261QF0400X"</f>
        <v>261QF0400X</v>
      </c>
      <c r="D7129" t="str">
        <f>"DHC-LOCKARD ELEMENTARY                            "</f>
        <v xml:space="preserve">DHC-LOCKARD ELEMENTARY                            </v>
      </c>
      <c r="E7129" t="str">
        <f>"INDIANOLA                 "</f>
        <v xml:space="preserve">INDIANOLA                 </v>
      </c>
      <c r="F7129" t="str">
        <f t="shared" si="228"/>
        <v>MS</v>
      </c>
    </row>
    <row r="7130" spans="1:6" x14ac:dyDescent="0.25">
      <c r="A7130" t="str">
        <f>"000235069"</f>
        <v>000235069</v>
      </c>
      <c r="B7130" t="str">
        <f>"1316046410"</f>
        <v>1316046410</v>
      </c>
      <c r="C7130" t="str">
        <f>"208000000X"</f>
        <v>208000000X</v>
      </c>
      <c r="D7130" t="str">
        <f>"SETHI                    MANISHA                  "</f>
        <v xml:space="preserve">SETHI                    MANISHA                  </v>
      </c>
      <c r="E7130" t="str">
        <f>"RIDGELAND                 "</f>
        <v xml:space="preserve">RIDGELAND                 </v>
      </c>
      <c r="F7130" t="str">
        <f t="shared" si="228"/>
        <v>MS</v>
      </c>
    </row>
    <row r="7131" spans="1:6" x14ac:dyDescent="0.25">
      <c r="A7131" t="str">
        <f>"000236384"</f>
        <v>000236384</v>
      </c>
      <c r="B7131" t="str">
        <f>"1073569018"</f>
        <v>1073569018</v>
      </c>
      <c r="C7131" t="str">
        <f>"207RX0202X"</f>
        <v>207RX0202X</v>
      </c>
      <c r="D7131" t="str">
        <f>"FUSSELL                  STEPHANIE                "</f>
        <v xml:space="preserve">FUSSELL                  STEPHANIE                </v>
      </c>
      <c r="E7131" t="str">
        <f>"GULFPORT                  "</f>
        <v xml:space="preserve">GULFPORT                  </v>
      </c>
      <c r="F7131" t="str">
        <f t="shared" si="228"/>
        <v>MS</v>
      </c>
    </row>
    <row r="7132" spans="1:6" x14ac:dyDescent="0.25">
      <c r="A7132" t="str">
        <f>"000236566"</f>
        <v>000236566</v>
      </c>
      <c r="B7132" t="str">
        <f>"1356873723"</f>
        <v>1356873723</v>
      </c>
      <c r="C7132" t="str">
        <f>"207K00000X"</f>
        <v>207K00000X</v>
      </c>
      <c r="D7132" t="str">
        <f>"ELLIOTT                  MATTHEW      R           "</f>
        <v xml:space="preserve">ELLIOTT                  MATTHEW      R           </v>
      </c>
      <c r="E7132" t="str">
        <f>"JACKSON                   "</f>
        <v xml:space="preserve">JACKSON                   </v>
      </c>
      <c r="F7132" t="str">
        <f t="shared" si="228"/>
        <v>MS</v>
      </c>
    </row>
    <row r="7133" spans="1:6" x14ac:dyDescent="0.25">
      <c r="A7133" t="str">
        <f>"000237260"</f>
        <v>000237260</v>
      </c>
      <c r="B7133" t="str">
        <f>"1336323609"</f>
        <v>1336323609</v>
      </c>
      <c r="C7133" t="str">
        <f>"207Y00000X"</f>
        <v>207Y00000X</v>
      </c>
      <c r="D7133" t="str">
        <f>"OMORO                    SOPHIA       A           "</f>
        <v xml:space="preserve">OMORO                    SOPHIA       A           </v>
      </c>
      <c r="E7133" t="str">
        <f>"GULFPORT                  "</f>
        <v xml:space="preserve">GULFPORT                  </v>
      </c>
      <c r="F7133" t="str">
        <f t="shared" si="228"/>
        <v>MS</v>
      </c>
    </row>
    <row r="7134" spans="1:6" x14ac:dyDescent="0.25">
      <c r="A7134" t="str">
        <f>"000237390"</f>
        <v>000237390</v>
      </c>
      <c r="B7134" t="str">
        <f>"1154412534"</f>
        <v>1154412534</v>
      </c>
      <c r="C7134" t="str">
        <f>"152W00000X"</f>
        <v>152W00000X</v>
      </c>
      <c r="D7134" t="str">
        <f>"LEWIS                    RAMONICA                 "</f>
        <v xml:space="preserve">LEWIS                    RAMONICA                 </v>
      </c>
      <c r="E7134" t="str">
        <f>"CLINTON                   "</f>
        <v xml:space="preserve">CLINTON                   </v>
      </c>
      <c r="F7134" t="str">
        <f t="shared" si="228"/>
        <v>MS</v>
      </c>
    </row>
    <row r="7135" spans="1:6" x14ac:dyDescent="0.25">
      <c r="A7135" t="str">
        <f>"000238224"</f>
        <v>000238224</v>
      </c>
      <c r="B7135" t="str">
        <f>"1295281384"</f>
        <v>1295281384</v>
      </c>
      <c r="C7135" t="str">
        <f>"363L00000X"</f>
        <v>363L00000X</v>
      </c>
      <c r="D7135" t="str">
        <f>"ALLDREAD                 JESSICA      H           "</f>
        <v xml:space="preserve">ALLDREAD                 JESSICA      H           </v>
      </c>
      <c r="E7135" t="str">
        <f>"KILMICHAEL                "</f>
        <v xml:space="preserve">KILMICHAEL                </v>
      </c>
      <c r="F7135" t="str">
        <f t="shared" si="228"/>
        <v>MS</v>
      </c>
    </row>
    <row r="7136" spans="1:6" x14ac:dyDescent="0.25">
      <c r="A7136" t="str">
        <f>"000238246"</f>
        <v>000238246</v>
      </c>
      <c r="B7136" t="str">
        <f>"1063781086"</f>
        <v>1063781086</v>
      </c>
      <c r="C7136" t="str">
        <f>"122300000X"</f>
        <v>122300000X</v>
      </c>
      <c r="D7136" t="str">
        <f>"HARBORVIEW ORAL + FACIAL SURGERY CE               "</f>
        <v xml:space="preserve">HARBORVIEW ORAL + FACIAL SURGERY CE               </v>
      </c>
      <c r="E7136" t="str">
        <f>"GULFPORT                  "</f>
        <v xml:space="preserve">GULFPORT                  </v>
      </c>
      <c r="F7136" t="str">
        <f t="shared" si="228"/>
        <v>MS</v>
      </c>
    </row>
    <row r="7137" spans="1:6" x14ac:dyDescent="0.25">
      <c r="A7137" t="str">
        <f>"000238875"</f>
        <v>000238875</v>
      </c>
      <c r="B7137" t="str">
        <f>"1922395458"</f>
        <v>1922395458</v>
      </c>
      <c r="C7137" t="str">
        <f>"2084N0400X"</f>
        <v>2084N0400X</v>
      </c>
      <c r="D7137" t="str">
        <f>"GOYAL                    NITIN                    "</f>
        <v xml:space="preserve">GOYAL                    NITIN                    </v>
      </c>
      <c r="E7137" t="str">
        <f>"SOUTHAVEN                 "</f>
        <v xml:space="preserve">SOUTHAVEN                 </v>
      </c>
      <c r="F7137" t="str">
        <f t="shared" si="228"/>
        <v>MS</v>
      </c>
    </row>
    <row r="7138" spans="1:6" x14ac:dyDescent="0.25">
      <c r="A7138" t="str">
        <f>"000239042"</f>
        <v>000239042</v>
      </c>
      <c r="B7138" t="str">
        <f>"1265404214"</f>
        <v>1265404214</v>
      </c>
      <c r="C7138" t="str">
        <f>"208D00000X"</f>
        <v>208D00000X</v>
      </c>
      <c r="D7138" t="str">
        <f>"ARRIOLA                  RAYMOND      R           "</f>
        <v xml:space="preserve">ARRIOLA                  RAYMOND      R           </v>
      </c>
      <c r="E7138" t="str">
        <f>"FULTON                    "</f>
        <v xml:space="preserve">FULTON                    </v>
      </c>
      <c r="F7138" t="str">
        <f t="shared" si="228"/>
        <v>MS</v>
      </c>
    </row>
    <row r="7139" spans="1:6" x14ac:dyDescent="0.25">
      <c r="A7139" t="str">
        <f>"000239247"</f>
        <v>000239247</v>
      </c>
      <c r="B7139" t="str">
        <f>"1003840232"</f>
        <v>1003840232</v>
      </c>
      <c r="C7139" t="str">
        <f>"363L00000X"</f>
        <v>363L00000X</v>
      </c>
      <c r="D7139" t="str">
        <f>"SLACK                    KRISTI       M           "</f>
        <v xml:space="preserve">SLACK                    KRISTI       M           </v>
      </c>
      <c r="E7139" t="str">
        <f>"MARIETTA                  "</f>
        <v xml:space="preserve">MARIETTA                  </v>
      </c>
      <c r="F7139" t="str">
        <f t="shared" si="228"/>
        <v>MS</v>
      </c>
    </row>
    <row r="7140" spans="1:6" x14ac:dyDescent="0.25">
      <c r="A7140" t="str">
        <f>"000239288"</f>
        <v>000239288</v>
      </c>
      <c r="B7140" t="str">
        <f>"1447225503"</f>
        <v>1447225503</v>
      </c>
      <c r="C7140" t="str">
        <f>"261QA1903X"</f>
        <v>261QA1903X</v>
      </c>
      <c r="D7140" t="str">
        <f>"DESOTO SURGERY CENTER                             "</f>
        <v xml:space="preserve">DESOTO SURGERY CENTER                             </v>
      </c>
      <c r="E7140" t="str">
        <f>"SOUTHAVEN                 "</f>
        <v xml:space="preserve">SOUTHAVEN                 </v>
      </c>
      <c r="F7140" t="str">
        <f t="shared" si="228"/>
        <v>MS</v>
      </c>
    </row>
    <row r="7141" spans="1:6" x14ac:dyDescent="0.25">
      <c r="A7141" t="str">
        <f>"000239831"</f>
        <v>000239831</v>
      </c>
      <c r="B7141" t="str">
        <f>"1649244179"</f>
        <v>1649244179</v>
      </c>
      <c r="C7141" t="str">
        <f>"207L00000X"</f>
        <v>207L00000X</v>
      </c>
      <c r="D7141" t="str">
        <f>"TOWERY                   MARION       W           "</f>
        <v xml:space="preserve">TOWERY                   MARION       W           </v>
      </c>
      <c r="E7141" t="str">
        <f>"JACKSON                   "</f>
        <v xml:space="preserve">JACKSON                   </v>
      </c>
      <c r="F7141" t="str">
        <f t="shared" si="228"/>
        <v>MS</v>
      </c>
    </row>
    <row r="7142" spans="1:6" x14ac:dyDescent="0.25">
      <c r="A7142" t="str">
        <f>"000250771"</f>
        <v>000250771</v>
      </c>
      <c r="B7142" t="str">
        <f>"1952727315"</f>
        <v>1952727315</v>
      </c>
      <c r="C7142" t="str">
        <f>"207ZP0102X"</f>
        <v>207ZP0102X</v>
      </c>
      <c r="D7142" t="str">
        <f>"SIMS                     HILLARY      B           "</f>
        <v xml:space="preserve">SIMS                     HILLARY      B           </v>
      </c>
      <c r="E7142" t="str">
        <f>"HATTIESBURG               "</f>
        <v xml:space="preserve">HATTIESBURG               </v>
      </c>
      <c r="F7142" t="str">
        <f t="shared" si="228"/>
        <v>MS</v>
      </c>
    </row>
    <row r="7143" spans="1:6" x14ac:dyDescent="0.25">
      <c r="A7143" t="str">
        <f>"000250805"</f>
        <v>000250805</v>
      </c>
      <c r="B7143" t="str">
        <f>"1245241538"</f>
        <v>1245241538</v>
      </c>
      <c r="C7143" t="str">
        <f>"367500000X"</f>
        <v>367500000X</v>
      </c>
      <c r="D7143" t="str">
        <f>"COLEMAN                  JASON        W           "</f>
        <v xml:space="preserve">COLEMAN                  JASON        W           </v>
      </c>
      <c r="E7143" t="str">
        <f>"MERIDIAN                  "</f>
        <v xml:space="preserve">MERIDIAN                  </v>
      </c>
      <c r="F7143" t="str">
        <f t="shared" si="228"/>
        <v>MS</v>
      </c>
    </row>
    <row r="7144" spans="1:6" x14ac:dyDescent="0.25">
      <c r="A7144" t="str">
        <f>"000251528"</f>
        <v>000251528</v>
      </c>
      <c r="B7144" t="str">
        <f>"1992964266"</f>
        <v>1992964266</v>
      </c>
      <c r="C7144" t="str">
        <f>"208800000X"</f>
        <v>208800000X</v>
      </c>
      <c r="D7144" t="str">
        <f>"SHIEPIS                  CHRISTOPHER  J           "</f>
        <v xml:space="preserve">SHIEPIS                  CHRISTOPHER  J           </v>
      </c>
      <c r="E7144" t="str">
        <f>"MCCOMB                    "</f>
        <v xml:space="preserve">MCCOMB                    </v>
      </c>
      <c r="F7144" t="str">
        <f t="shared" si="228"/>
        <v>MS</v>
      </c>
    </row>
    <row r="7145" spans="1:6" x14ac:dyDescent="0.25">
      <c r="A7145" t="str">
        <f>"000251867"</f>
        <v>000251867</v>
      </c>
      <c r="B7145" t="str">
        <f>"1962852988"</f>
        <v>1962852988</v>
      </c>
      <c r="C7145" t="str">
        <f>"363L00000X"</f>
        <v>363L00000X</v>
      </c>
      <c r="D7145" t="str">
        <f>"MOORE                    LONNIE       L           "</f>
        <v xml:space="preserve">MOORE                    LONNIE       L           </v>
      </c>
      <c r="E7145" t="str">
        <f>"MARKS                     "</f>
        <v xml:space="preserve">MARKS                     </v>
      </c>
      <c r="F7145" t="str">
        <f t="shared" si="228"/>
        <v>MS</v>
      </c>
    </row>
    <row r="7146" spans="1:6" x14ac:dyDescent="0.25">
      <c r="A7146" t="str">
        <f>"000253023"</f>
        <v>000253023</v>
      </c>
      <c r="B7146" t="str">
        <f>"1649213455"</f>
        <v>1649213455</v>
      </c>
      <c r="C7146" t="str">
        <f>"208600000X"</f>
        <v>208600000X</v>
      </c>
      <c r="D7146" t="str">
        <f>"ADELEYE                  JAIYEOLA     O           "</f>
        <v xml:space="preserve">ADELEYE                  JAIYEOLA     O           </v>
      </c>
      <c r="E7146" t="str">
        <f>"CLARKSDALE                "</f>
        <v xml:space="preserve">CLARKSDALE                </v>
      </c>
      <c r="F7146" t="str">
        <f t="shared" si="228"/>
        <v>MS</v>
      </c>
    </row>
    <row r="7147" spans="1:6" x14ac:dyDescent="0.25">
      <c r="A7147" t="str">
        <f>"000254530"</f>
        <v>000254530</v>
      </c>
      <c r="B7147" t="str">
        <f>"1922597087"</f>
        <v>1922597087</v>
      </c>
      <c r="C7147" t="str">
        <f>"367500000X"</f>
        <v>367500000X</v>
      </c>
      <c r="D7147" t="str">
        <f>"CHANDLER                 JAKE         M           "</f>
        <v xml:space="preserve">CHANDLER                 JAKE         M           </v>
      </c>
      <c r="E7147" t="str">
        <f>"TUPELO                    "</f>
        <v xml:space="preserve">TUPELO                    </v>
      </c>
      <c r="F7147" t="str">
        <f t="shared" si="228"/>
        <v>MS</v>
      </c>
    </row>
    <row r="7148" spans="1:6" x14ac:dyDescent="0.25">
      <c r="A7148" t="str">
        <f>"000254591"</f>
        <v>000254591</v>
      </c>
      <c r="B7148" t="str">
        <f>"1477723914"</f>
        <v>1477723914</v>
      </c>
      <c r="C7148" t="str">
        <f>"2084P0800X"</f>
        <v>2084P0800X</v>
      </c>
      <c r="D7148" t="str">
        <f>"ANWAR                    MOHAMMAD     K           "</f>
        <v xml:space="preserve">ANWAR                    MOHAMMAD     K           </v>
      </c>
      <c r="E7148" t="str">
        <f>"MAGNOLIA                  "</f>
        <v xml:space="preserve">MAGNOLIA                  </v>
      </c>
      <c r="F7148" t="str">
        <f t="shared" si="228"/>
        <v>MS</v>
      </c>
    </row>
    <row r="7149" spans="1:6" x14ac:dyDescent="0.25">
      <c r="A7149" t="str">
        <f>"000255594"</f>
        <v>000255594</v>
      </c>
      <c r="B7149" t="str">
        <f>"1851746044"</f>
        <v>1851746044</v>
      </c>
      <c r="C7149" t="str">
        <f>"207R00000X"</f>
        <v>207R00000X</v>
      </c>
      <c r="D7149" t="str">
        <f>"DABIT                    SAM          S           "</f>
        <v xml:space="preserve">DABIT                    SAM          S           </v>
      </c>
      <c r="E7149" t="str">
        <f>"HATTIESBURG               "</f>
        <v xml:space="preserve">HATTIESBURG               </v>
      </c>
      <c r="F7149" t="str">
        <f t="shared" si="228"/>
        <v>MS</v>
      </c>
    </row>
    <row r="7150" spans="1:6" x14ac:dyDescent="0.25">
      <c r="A7150" t="str">
        <f>"000255734"</f>
        <v>000255734</v>
      </c>
      <c r="B7150" t="str">
        <f>"1255392841"</f>
        <v>1255392841</v>
      </c>
      <c r="C7150" t="str">
        <f>"207R00000X"</f>
        <v>207R00000X</v>
      </c>
      <c r="D7150" t="str">
        <f>"ECHOLS WILLIAMS          QUENYATTA                "</f>
        <v xml:space="preserve">ECHOLS WILLIAMS          QUENYATTA                </v>
      </c>
      <c r="E7150" t="str">
        <f>"HATTIESBURG               "</f>
        <v xml:space="preserve">HATTIESBURG               </v>
      </c>
      <c r="F7150" t="str">
        <f t="shared" si="228"/>
        <v>MS</v>
      </c>
    </row>
    <row r="7151" spans="1:6" x14ac:dyDescent="0.25">
      <c r="A7151" t="str">
        <f>"000257306"</f>
        <v>000257306</v>
      </c>
      <c r="B7151" t="str">
        <f>"1336609767"</f>
        <v>1336609767</v>
      </c>
      <c r="C7151" t="str">
        <f>"207P00000X"</f>
        <v>207P00000X</v>
      </c>
      <c r="D7151" t="str">
        <f>"GLENN                    ZACHERY                  "</f>
        <v xml:space="preserve">GLENN                    ZACHERY                  </v>
      </c>
      <c r="E7151" t="str">
        <f>"CARTHAGE                  "</f>
        <v xml:space="preserve">CARTHAGE                  </v>
      </c>
      <c r="F7151" t="str">
        <f t="shared" si="228"/>
        <v>MS</v>
      </c>
    </row>
    <row r="7152" spans="1:6" x14ac:dyDescent="0.25">
      <c r="A7152" t="str">
        <f>"000257732"</f>
        <v>000257732</v>
      </c>
      <c r="B7152" t="str">
        <f>"1396286209"</f>
        <v>1396286209</v>
      </c>
      <c r="C7152" t="str">
        <f>"363L00000X"</f>
        <v>363L00000X</v>
      </c>
      <c r="D7152" t="str">
        <f>"BURNETT                  TONI                     "</f>
        <v xml:space="preserve">BURNETT                  TONI                     </v>
      </c>
      <c r="E7152" t="str">
        <f>"TUPELO                    "</f>
        <v xml:space="preserve">TUPELO                    </v>
      </c>
      <c r="F7152" t="str">
        <f t="shared" si="228"/>
        <v>MS</v>
      </c>
    </row>
    <row r="7153" spans="1:6" x14ac:dyDescent="0.25">
      <c r="A7153" t="str">
        <f>"000258041"</f>
        <v>000258041</v>
      </c>
      <c r="B7153" t="str">
        <f>"1851666150"</f>
        <v>1851666150</v>
      </c>
      <c r="C7153" t="str">
        <f>"207P00000X"</f>
        <v>207P00000X</v>
      </c>
      <c r="D7153" t="str">
        <f>"KATHMANN                 BRETT        S           "</f>
        <v xml:space="preserve">KATHMANN                 BRETT        S           </v>
      </c>
      <c r="E7153" t="str">
        <f>"GULFPORT                  "</f>
        <v xml:space="preserve">GULFPORT                  </v>
      </c>
      <c r="F7153" t="str">
        <f t="shared" si="228"/>
        <v>MS</v>
      </c>
    </row>
    <row r="7154" spans="1:6" x14ac:dyDescent="0.25">
      <c r="A7154" t="str">
        <f>"000258841"</f>
        <v>000258841</v>
      </c>
      <c r="B7154" t="str">
        <f>"1669818480"</f>
        <v>1669818480</v>
      </c>
      <c r="C7154" t="str">
        <f>"261QR1300X"</f>
        <v>261QR1300X</v>
      </c>
      <c r="D7154" t="str">
        <f>"FMCH LIBERTY CLINIC                               "</f>
        <v xml:space="preserve">FMCH LIBERTY CLINIC                               </v>
      </c>
      <c r="E7154" t="str">
        <f>"LIBERTY                   "</f>
        <v xml:space="preserve">LIBERTY                   </v>
      </c>
      <c r="F7154" t="str">
        <f t="shared" si="228"/>
        <v>MS</v>
      </c>
    </row>
    <row r="7155" spans="1:6" x14ac:dyDescent="0.25">
      <c r="A7155" t="str">
        <f>"000258894"</f>
        <v>000258894</v>
      </c>
      <c r="B7155" t="str">
        <f>"1861988669"</f>
        <v>1861988669</v>
      </c>
      <c r="C7155" t="str">
        <f>"363L00000X"</f>
        <v>363L00000X</v>
      </c>
      <c r="D7155" t="str">
        <f>"BLASS-SMITH              ASHLEY       L           "</f>
        <v xml:space="preserve">BLASS-SMITH              ASHLEY       L           </v>
      </c>
      <c r="E7155" t="str">
        <f>"MERIDIAN                  "</f>
        <v xml:space="preserve">MERIDIAN                  </v>
      </c>
      <c r="F7155" t="str">
        <f t="shared" si="228"/>
        <v>MS</v>
      </c>
    </row>
    <row r="7156" spans="1:6" x14ac:dyDescent="0.25">
      <c r="A7156" t="str">
        <f>"000259215"</f>
        <v>000259215</v>
      </c>
      <c r="B7156" t="str">
        <f>"1467716837"</f>
        <v>1467716837</v>
      </c>
      <c r="C7156" t="str">
        <f>"2080P0207X"</f>
        <v>2080P0207X</v>
      </c>
      <c r="D7156" t="str">
        <f>"ARNOLD                   LAURA        A           "</f>
        <v xml:space="preserve">ARNOLD                   LAURA        A           </v>
      </c>
      <c r="E7156" t="str">
        <f>"JACKSON                   "</f>
        <v xml:space="preserve">JACKSON                   </v>
      </c>
      <c r="F7156" t="str">
        <f t="shared" si="228"/>
        <v>MS</v>
      </c>
    </row>
    <row r="7157" spans="1:6" x14ac:dyDescent="0.25">
      <c r="A7157" t="str">
        <f>"000259367"</f>
        <v>000259367</v>
      </c>
      <c r="B7157" t="str">
        <f>"1285899229"</f>
        <v>1285899229</v>
      </c>
      <c r="C7157" t="str">
        <f>"1223P0221X"</f>
        <v>1223P0221X</v>
      </c>
      <c r="D7157" t="str">
        <f>"BELKNAP                  CHARLES      L           "</f>
        <v xml:space="preserve">BELKNAP                  CHARLES      L           </v>
      </c>
      <c r="E7157" t="str">
        <f>"HATTIESBURG               "</f>
        <v xml:space="preserve">HATTIESBURG               </v>
      </c>
      <c r="F7157" t="str">
        <f t="shared" si="228"/>
        <v>MS</v>
      </c>
    </row>
    <row r="7158" spans="1:6" x14ac:dyDescent="0.25">
      <c r="A7158" t="str">
        <f>"000272896"</f>
        <v>000272896</v>
      </c>
      <c r="B7158" t="str">
        <f>"1992750780"</f>
        <v>1992750780</v>
      </c>
      <c r="C7158" t="str">
        <f>"152W00000X"</f>
        <v>152W00000X</v>
      </c>
      <c r="D7158" t="str">
        <f>"WILEY                    MARK                     "</f>
        <v xml:space="preserve">WILEY                    MARK                     </v>
      </c>
      <c r="E7158" t="str">
        <f>"RICHLAND                  "</f>
        <v xml:space="preserve">RICHLAND                  </v>
      </c>
      <c r="F7158" t="str">
        <f t="shared" si="228"/>
        <v>MS</v>
      </c>
    </row>
    <row r="7159" spans="1:6" x14ac:dyDescent="0.25">
      <c r="A7159" t="str">
        <f>"000273591"</f>
        <v>000273591</v>
      </c>
      <c r="B7159" t="str">
        <f>"1124504790"</f>
        <v>1124504790</v>
      </c>
      <c r="C7159" t="str">
        <f>"122300000X"</f>
        <v>122300000X</v>
      </c>
      <c r="D7159" t="str">
        <f>"WARE                     ADRIENNE     S           "</f>
        <v xml:space="preserve">WARE                     ADRIENNE     S           </v>
      </c>
      <c r="E7159" t="str">
        <f>"LUCEDALE                  "</f>
        <v xml:space="preserve">LUCEDALE                  </v>
      </c>
      <c r="F7159" t="str">
        <f t="shared" si="228"/>
        <v>MS</v>
      </c>
    </row>
    <row r="7160" spans="1:6" x14ac:dyDescent="0.25">
      <c r="A7160" t="str">
        <f>"000273859"</f>
        <v>000273859</v>
      </c>
      <c r="B7160" t="str">
        <f>"1508899642"</f>
        <v>1508899642</v>
      </c>
      <c r="C7160" t="str">
        <f>"208600000X"</f>
        <v>208600000X</v>
      </c>
      <c r="D7160" t="str">
        <f>"VICK                     LAURA        R           "</f>
        <v xml:space="preserve">VICK                     LAURA        R           </v>
      </c>
      <c r="E7160" t="str">
        <f>"JACKSON                   "</f>
        <v xml:space="preserve">JACKSON                   </v>
      </c>
      <c r="F7160" t="str">
        <f t="shared" si="228"/>
        <v>MS</v>
      </c>
    </row>
    <row r="7161" spans="1:6" x14ac:dyDescent="0.25">
      <c r="A7161" t="str">
        <f>"000274851"</f>
        <v>000274851</v>
      </c>
      <c r="B7161" t="str">
        <f>"1588875363"</f>
        <v>1588875363</v>
      </c>
      <c r="C7161" t="str">
        <f>"207RN0300X"</f>
        <v>207RN0300X</v>
      </c>
      <c r="D7161" t="str">
        <f>"TESSENEER                DERRICK      H           "</f>
        <v xml:space="preserve">TESSENEER                DERRICK      H           </v>
      </c>
      <c r="E7161" t="str">
        <f>"FLOWOOD                   "</f>
        <v xml:space="preserve">FLOWOOD                   </v>
      </c>
      <c r="F7161" t="str">
        <f t="shared" si="228"/>
        <v>MS</v>
      </c>
    </row>
    <row r="7162" spans="1:6" x14ac:dyDescent="0.25">
      <c r="A7162" t="str">
        <f>"000274895"</f>
        <v>000274895</v>
      </c>
      <c r="B7162" t="str">
        <f>"1831745199"</f>
        <v>1831745199</v>
      </c>
      <c r="C7162" t="str">
        <f>"152W00000X"</f>
        <v>152W00000X</v>
      </c>
      <c r="D7162" t="str">
        <f>"STRIBLING                TRENT        A           "</f>
        <v xml:space="preserve">STRIBLING                TRENT        A           </v>
      </c>
      <c r="E7162" t="str">
        <f>"PHILADELPHIA              "</f>
        <v xml:space="preserve">PHILADELPHIA              </v>
      </c>
      <c r="F7162" t="str">
        <f t="shared" si="228"/>
        <v>MS</v>
      </c>
    </row>
    <row r="7163" spans="1:6" x14ac:dyDescent="0.25">
      <c r="A7163" t="str">
        <f>"000275301"</f>
        <v>000275301</v>
      </c>
      <c r="B7163" t="str">
        <f>"1649474875"</f>
        <v>1649474875</v>
      </c>
      <c r="C7163" t="str">
        <f>"1223P0221X"</f>
        <v>1223P0221X</v>
      </c>
      <c r="D7163" t="str">
        <f>"JONES                    AMY          G           "</f>
        <v xml:space="preserve">JONES                    AMY          G           </v>
      </c>
      <c r="E7163" t="str">
        <f>"MADISON                   "</f>
        <v xml:space="preserve">MADISON                   </v>
      </c>
      <c r="F7163" t="str">
        <f t="shared" si="228"/>
        <v>MS</v>
      </c>
    </row>
    <row r="7164" spans="1:6" x14ac:dyDescent="0.25">
      <c r="A7164" t="str">
        <f>"000275315"</f>
        <v>000275315</v>
      </c>
      <c r="B7164" t="str">
        <f>"1902964877"</f>
        <v>1902964877</v>
      </c>
      <c r="C7164" t="str">
        <f>"207Q00000X"</f>
        <v>207Q00000X</v>
      </c>
      <c r="D7164" t="str">
        <f>"JONES                    OSCAR        B           "</f>
        <v xml:space="preserve">JONES                    OSCAR        B           </v>
      </c>
      <c r="E7164" t="str">
        <f>"JACKSON                   "</f>
        <v xml:space="preserve">JACKSON                   </v>
      </c>
      <c r="F7164" t="str">
        <f t="shared" si="228"/>
        <v>MS</v>
      </c>
    </row>
    <row r="7165" spans="1:6" x14ac:dyDescent="0.25">
      <c r="A7165" t="str">
        <f>"000275583"</f>
        <v>000275583</v>
      </c>
      <c r="B7165" t="str">
        <f>"1770093841"</f>
        <v>1770093841</v>
      </c>
      <c r="C7165" t="str">
        <f>"363L00000X"</f>
        <v>363L00000X</v>
      </c>
      <c r="D7165" t="str">
        <f>"JONES                    EMILY        A           "</f>
        <v xml:space="preserve">JONES                    EMILY        A           </v>
      </c>
      <c r="E7165" t="str">
        <f>"FLOWOOD                   "</f>
        <v xml:space="preserve">FLOWOOD                   </v>
      </c>
      <c r="F7165" t="str">
        <f t="shared" si="228"/>
        <v>MS</v>
      </c>
    </row>
    <row r="7166" spans="1:6" x14ac:dyDescent="0.25">
      <c r="A7166" t="str">
        <f>"000276262"</f>
        <v>000276262</v>
      </c>
      <c r="B7166" t="str">
        <f>"1497330815"</f>
        <v>1497330815</v>
      </c>
      <c r="C7166" t="str">
        <f>"261QE0700X"</f>
        <v>261QE0700X</v>
      </c>
      <c r="D7166" t="str">
        <f>"FRESENIUS KIDNEY CARE VICKSBURG HOM               "</f>
        <v xml:space="preserve">FRESENIUS KIDNEY CARE VICKSBURG HOM               </v>
      </c>
      <c r="E7166" t="str">
        <f>"VICKSBURG                 "</f>
        <v xml:space="preserve">VICKSBURG                 </v>
      </c>
      <c r="F7166" t="str">
        <f t="shared" ref="F7166:F7229" si="229">"MS"</f>
        <v>MS</v>
      </c>
    </row>
    <row r="7167" spans="1:6" x14ac:dyDescent="0.25">
      <c r="A7167" t="str">
        <f>"000276568"</f>
        <v>000276568</v>
      </c>
      <c r="B7167" t="str">
        <f>"1043317902"</f>
        <v>1043317902</v>
      </c>
      <c r="C7167" t="str">
        <f>"1223X0400X"</f>
        <v>1223X0400X</v>
      </c>
      <c r="D7167" t="str">
        <f>"LEGGETT                  BRENT        L           "</f>
        <v xml:space="preserve">LEGGETT                  BRENT        L           </v>
      </c>
      <c r="E7167" t="str">
        <f>"BROOKHAVEN                "</f>
        <v xml:space="preserve">BROOKHAVEN                </v>
      </c>
      <c r="F7167" t="str">
        <f t="shared" si="229"/>
        <v>MS</v>
      </c>
    </row>
    <row r="7168" spans="1:6" x14ac:dyDescent="0.25">
      <c r="A7168" t="str">
        <f>"000276589"</f>
        <v>000276589</v>
      </c>
      <c r="B7168" t="str">
        <f>"1821355785"</f>
        <v>1821355785</v>
      </c>
      <c r="C7168" t="str">
        <f>"122300000X"</f>
        <v>122300000X</v>
      </c>
      <c r="D7168" t="str">
        <f>"JOSEPH K SHLEWEET DDS LLC                         "</f>
        <v xml:space="preserve">JOSEPH K SHLEWEET DDS LLC                         </v>
      </c>
      <c r="E7168" t="str">
        <f>"OLIVE BRANCH              "</f>
        <v xml:space="preserve">OLIVE BRANCH              </v>
      </c>
      <c r="F7168" t="str">
        <f t="shared" si="229"/>
        <v>MS</v>
      </c>
    </row>
    <row r="7169" spans="1:6" x14ac:dyDescent="0.25">
      <c r="A7169" t="str">
        <f>"000276815"</f>
        <v>000276815</v>
      </c>
      <c r="B7169" t="str">
        <f>"1538393905"</f>
        <v>1538393905</v>
      </c>
      <c r="C7169" t="str">
        <f>"208600000X"</f>
        <v>208600000X</v>
      </c>
      <c r="D7169" t="str">
        <f>"BEASLEY                  THOMAS       B           "</f>
        <v xml:space="preserve">BEASLEY                  THOMAS       B           </v>
      </c>
      <c r="E7169" t="str">
        <f>"OLIVE BRANCH              "</f>
        <v xml:space="preserve">OLIVE BRANCH              </v>
      </c>
      <c r="F7169" t="str">
        <f t="shared" si="229"/>
        <v>MS</v>
      </c>
    </row>
    <row r="7170" spans="1:6" x14ac:dyDescent="0.25">
      <c r="A7170" t="str">
        <f>"000278007"</f>
        <v>000278007</v>
      </c>
      <c r="B7170" t="str">
        <f>"1275836447"</f>
        <v>1275836447</v>
      </c>
      <c r="C7170" t="str">
        <f>"122300000X"</f>
        <v>122300000X</v>
      </c>
      <c r="D7170" t="str">
        <f>"MAGNOLIA FAMILY DENTAL CARE                       "</f>
        <v xml:space="preserve">MAGNOLIA FAMILY DENTAL CARE                       </v>
      </c>
      <c r="E7170" t="str">
        <f>"RIDGELAND                 "</f>
        <v xml:space="preserve">RIDGELAND                 </v>
      </c>
      <c r="F7170" t="str">
        <f t="shared" si="229"/>
        <v>MS</v>
      </c>
    </row>
    <row r="7171" spans="1:6" x14ac:dyDescent="0.25">
      <c r="A7171" t="str">
        <f>"000280548"</f>
        <v>000280548</v>
      </c>
      <c r="B7171" t="str">
        <f>"1306870662"</f>
        <v>1306870662</v>
      </c>
      <c r="C7171" t="str">
        <f>"2085R0202X"</f>
        <v>2085R0202X</v>
      </c>
      <c r="D7171" t="str">
        <f>"SMITH                    CLINTON      R           "</f>
        <v xml:space="preserve">SMITH                    CLINTON      R           </v>
      </c>
      <c r="E7171" t="str">
        <f>"TUPELO                    "</f>
        <v xml:space="preserve">TUPELO                    </v>
      </c>
      <c r="F7171" t="str">
        <f t="shared" si="229"/>
        <v>MS</v>
      </c>
    </row>
    <row r="7172" spans="1:6" x14ac:dyDescent="0.25">
      <c r="A7172" t="str">
        <f>"000282078"</f>
        <v>000282078</v>
      </c>
      <c r="B7172" t="str">
        <f>"1174177612"</f>
        <v>1174177612</v>
      </c>
      <c r="C7172" t="str">
        <f>"363L00000X"</f>
        <v>363L00000X</v>
      </c>
      <c r="D7172" t="str">
        <f>"CHRISTIAN                HANNAH       P           "</f>
        <v xml:space="preserve">CHRISTIAN                HANNAH       P           </v>
      </c>
      <c r="E7172" t="str">
        <f>"FLOWOOD                   "</f>
        <v xml:space="preserve">FLOWOOD                   </v>
      </c>
      <c r="F7172" t="str">
        <f t="shared" si="229"/>
        <v>MS</v>
      </c>
    </row>
    <row r="7173" spans="1:6" x14ac:dyDescent="0.25">
      <c r="A7173" t="str">
        <f>"000282200"</f>
        <v>000282200</v>
      </c>
      <c r="B7173" t="str">
        <f>"1801522495"</f>
        <v>1801522495</v>
      </c>
      <c r="C7173" t="str">
        <f>"152W00000X"</f>
        <v>152W00000X</v>
      </c>
      <c r="D7173" t="str">
        <f>"PATTERSON                EMILY                    "</f>
        <v xml:space="preserve">PATTERSON                EMILY                    </v>
      </c>
      <c r="E7173" t="str">
        <f>"CARTHAGE                  "</f>
        <v xml:space="preserve">CARTHAGE                  </v>
      </c>
      <c r="F7173" t="str">
        <f t="shared" si="229"/>
        <v>MS</v>
      </c>
    </row>
    <row r="7174" spans="1:6" x14ac:dyDescent="0.25">
      <c r="A7174" t="str">
        <f>"000283311"</f>
        <v>000283311</v>
      </c>
      <c r="B7174" t="str">
        <f>"1861845950"</f>
        <v>1861845950</v>
      </c>
      <c r="C7174" t="str">
        <f>"363L00000X"</f>
        <v>363L00000X</v>
      </c>
      <c r="D7174" t="str">
        <f>"BURCHFIELD               CYNTHIA                  "</f>
        <v xml:space="preserve">BURCHFIELD               CYNTHIA                  </v>
      </c>
      <c r="E7174" t="str">
        <f>"SENATOBIA                 "</f>
        <v xml:space="preserve">SENATOBIA                 </v>
      </c>
      <c r="F7174" t="str">
        <f t="shared" si="229"/>
        <v>MS</v>
      </c>
    </row>
    <row r="7175" spans="1:6" x14ac:dyDescent="0.25">
      <c r="A7175" t="str">
        <f>"000283736"</f>
        <v>000283736</v>
      </c>
      <c r="B7175" t="str">
        <f>"1184286874"</f>
        <v>1184286874</v>
      </c>
      <c r="C7175" t="str">
        <f>"152W00000X"</f>
        <v>152W00000X</v>
      </c>
      <c r="D7175" t="str">
        <f>"AMIN                     PARTH                    "</f>
        <v xml:space="preserve">AMIN                     PARTH                    </v>
      </c>
      <c r="E7175" t="str">
        <f>"SOUTHAVEN                 "</f>
        <v xml:space="preserve">SOUTHAVEN                 </v>
      </c>
      <c r="F7175" t="str">
        <f t="shared" si="229"/>
        <v>MS</v>
      </c>
    </row>
    <row r="7176" spans="1:6" x14ac:dyDescent="0.25">
      <c r="A7176" t="str">
        <f>"000284059"</f>
        <v>000284059</v>
      </c>
      <c r="B7176" t="str">
        <f>"1306296496"</f>
        <v>1306296496</v>
      </c>
      <c r="C7176" t="str">
        <f>"207Q00000X"</f>
        <v>207Q00000X</v>
      </c>
      <c r="D7176" t="str">
        <f>"WRIGHT                   PRESTON      B           "</f>
        <v xml:space="preserve">WRIGHT                   PRESTON      B           </v>
      </c>
      <c r="E7176" t="str">
        <f>"CORINTH                   "</f>
        <v xml:space="preserve">CORINTH                   </v>
      </c>
      <c r="F7176" t="str">
        <f t="shared" si="229"/>
        <v>MS</v>
      </c>
    </row>
    <row r="7177" spans="1:6" x14ac:dyDescent="0.25">
      <c r="A7177" t="str">
        <f>"000285094"</f>
        <v>000285094</v>
      </c>
      <c r="B7177" t="str">
        <f>"1760613244"</f>
        <v>1760613244</v>
      </c>
      <c r="C7177" t="str">
        <f>"2085R0202X"</f>
        <v>2085R0202X</v>
      </c>
      <c r="D7177" t="str">
        <f>"MARKS                    CHRISTINA    G           "</f>
        <v xml:space="preserve">MARKS                    CHRISTINA    G           </v>
      </c>
      <c r="E7177" t="str">
        <f>"JACKSON                   "</f>
        <v xml:space="preserve">JACKSON                   </v>
      </c>
      <c r="F7177" t="str">
        <f t="shared" si="229"/>
        <v>MS</v>
      </c>
    </row>
    <row r="7178" spans="1:6" x14ac:dyDescent="0.25">
      <c r="A7178" t="str">
        <f>"000285539"</f>
        <v>000285539</v>
      </c>
      <c r="B7178" t="str">
        <f>"1184038499"</f>
        <v>1184038499</v>
      </c>
      <c r="C7178" t="str">
        <f>"363L00000X"</f>
        <v>363L00000X</v>
      </c>
      <c r="D7178" t="str">
        <f>"COCILOVA                 ASHLEY       K           "</f>
        <v xml:space="preserve">COCILOVA                 ASHLEY       K           </v>
      </c>
      <c r="E7178" t="str">
        <f>"FLOWOOD                   "</f>
        <v xml:space="preserve">FLOWOOD                   </v>
      </c>
      <c r="F7178" t="str">
        <f t="shared" si="229"/>
        <v>MS</v>
      </c>
    </row>
    <row r="7179" spans="1:6" x14ac:dyDescent="0.25">
      <c r="A7179" t="str">
        <f>"000288296"</f>
        <v>000288296</v>
      </c>
      <c r="B7179" t="str">
        <f>"1861641334"</f>
        <v>1861641334</v>
      </c>
      <c r="C7179" t="str">
        <f>"363L00000X"</f>
        <v>363L00000X</v>
      </c>
      <c r="D7179" t="str">
        <f>"DEWEY                    JENNIFER     L           "</f>
        <v xml:space="preserve">DEWEY                    JENNIFER     L           </v>
      </c>
      <c r="E7179" t="str">
        <f>"SOUTHAVEN                 "</f>
        <v xml:space="preserve">SOUTHAVEN                 </v>
      </c>
      <c r="F7179" t="str">
        <f t="shared" si="229"/>
        <v>MS</v>
      </c>
    </row>
    <row r="7180" spans="1:6" x14ac:dyDescent="0.25">
      <c r="A7180" t="str">
        <f>"000289068"</f>
        <v>000289068</v>
      </c>
      <c r="B7180" t="str">
        <f>"1245560549"</f>
        <v>1245560549</v>
      </c>
      <c r="C7180" t="str">
        <f>"367500000X"</f>
        <v>367500000X</v>
      </c>
      <c r="D7180" t="str">
        <f>"LILLIS                   LEANN        E           "</f>
        <v xml:space="preserve">LILLIS                   LEANN        E           </v>
      </c>
      <c r="E7180" t="str">
        <f>"JACKSON                   "</f>
        <v xml:space="preserve">JACKSON                   </v>
      </c>
      <c r="F7180" t="str">
        <f t="shared" si="229"/>
        <v>MS</v>
      </c>
    </row>
    <row r="7181" spans="1:6" x14ac:dyDescent="0.25">
      <c r="A7181" t="str">
        <f>"000289304"</f>
        <v>000289304</v>
      </c>
      <c r="B7181" t="str">
        <f>"1578734166"</f>
        <v>1578734166</v>
      </c>
      <c r="C7181" t="str">
        <f>"363L00000X"</f>
        <v>363L00000X</v>
      </c>
      <c r="D7181" t="str">
        <f>"BOND                     TABITHA      S           "</f>
        <v xml:space="preserve">BOND                     TABITHA      S           </v>
      </c>
      <c r="E7181" t="str">
        <f>"OCEAN SPRINGS             "</f>
        <v xml:space="preserve">OCEAN SPRINGS             </v>
      </c>
      <c r="F7181" t="str">
        <f t="shared" si="229"/>
        <v>MS</v>
      </c>
    </row>
    <row r="7182" spans="1:6" x14ac:dyDescent="0.25">
      <c r="A7182" t="str">
        <f>"000289565"</f>
        <v>000289565</v>
      </c>
      <c r="B7182" t="str">
        <f>"1730144130"</f>
        <v>1730144130</v>
      </c>
      <c r="C7182" t="str">
        <f>"367500000X"</f>
        <v>367500000X</v>
      </c>
      <c r="D7182" t="str">
        <f>"LADNER                   MONTY        R           "</f>
        <v xml:space="preserve">LADNER                   MONTY        R           </v>
      </c>
      <c r="E7182" t="str">
        <f>"HATTIESBURG               "</f>
        <v xml:space="preserve">HATTIESBURG               </v>
      </c>
      <c r="F7182" t="str">
        <f t="shared" si="229"/>
        <v>MS</v>
      </c>
    </row>
    <row r="7183" spans="1:6" x14ac:dyDescent="0.25">
      <c r="A7183" t="str">
        <f>"000300506"</f>
        <v>000300506</v>
      </c>
      <c r="B7183" t="str">
        <f>"1417517830"</f>
        <v>1417517830</v>
      </c>
      <c r="C7183" t="str">
        <f>"363L00000X"</f>
        <v>363L00000X</v>
      </c>
      <c r="D7183" t="str">
        <f>"ROULIER                  TIFFANY      A           "</f>
        <v xml:space="preserve">ROULIER                  TIFFANY      A           </v>
      </c>
      <c r="E7183" t="str">
        <f>"MERIDIAN                  "</f>
        <v xml:space="preserve">MERIDIAN                  </v>
      </c>
      <c r="F7183" t="str">
        <f t="shared" si="229"/>
        <v>MS</v>
      </c>
    </row>
    <row r="7184" spans="1:6" x14ac:dyDescent="0.25">
      <c r="A7184" t="str">
        <f>"000301780"</f>
        <v>000301780</v>
      </c>
      <c r="B7184" t="str">
        <f>"1841932548"</f>
        <v>1841932548</v>
      </c>
      <c r="C7184" t="str">
        <f>"363L00000X"</f>
        <v>363L00000X</v>
      </c>
      <c r="D7184" t="str">
        <f>"OSTROWSKI                ANGELA       K           "</f>
        <v xml:space="preserve">OSTROWSKI                ANGELA       K           </v>
      </c>
      <c r="E7184" t="str">
        <f>"GULFPORT                  "</f>
        <v xml:space="preserve">GULFPORT                  </v>
      </c>
      <c r="F7184" t="str">
        <f t="shared" si="229"/>
        <v>MS</v>
      </c>
    </row>
    <row r="7185" spans="1:6" x14ac:dyDescent="0.25">
      <c r="A7185" t="str">
        <f>"000302763"</f>
        <v>000302763</v>
      </c>
      <c r="B7185" t="str">
        <f>"1316208705"</f>
        <v>1316208705</v>
      </c>
      <c r="C7185" t="str">
        <f>"2084P0800X"</f>
        <v>2084P0800X</v>
      </c>
      <c r="D7185" t="str">
        <f>"SALERIAN                 JUSTIN                   "</f>
        <v xml:space="preserve">SALERIAN                 JUSTIN                   </v>
      </c>
      <c r="E7185" t="str">
        <f>"TUPELO                    "</f>
        <v xml:space="preserve">TUPELO                    </v>
      </c>
      <c r="F7185" t="str">
        <f t="shared" si="229"/>
        <v>MS</v>
      </c>
    </row>
    <row r="7186" spans="1:6" x14ac:dyDescent="0.25">
      <c r="A7186" t="str">
        <f>"000304573"</f>
        <v>000304573</v>
      </c>
      <c r="B7186" t="str">
        <f>"1811935927"</f>
        <v>1811935927</v>
      </c>
      <c r="C7186" t="str">
        <f>"207V00000X"</f>
        <v>207V00000X</v>
      </c>
      <c r="D7186" t="str">
        <f>"THOMPSON                 ELAINE       A           "</f>
        <v xml:space="preserve">THOMPSON                 ELAINE       A           </v>
      </c>
      <c r="E7186" t="str">
        <f>"SOUTHAVEN                 "</f>
        <v xml:space="preserve">SOUTHAVEN                 </v>
      </c>
      <c r="F7186" t="str">
        <f t="shared" si="229"/>
        <v>MS</v>
      </c>
    </row>
    <row r="7187" spans="1:6" x14ac:dyDescent="0.25">
      <c r="A7187" t="str">
        <f>"000305266"</f>
        <v>000305266</v>
      </c>
      <c r="B7187" t="str">
        <f>"1114324340"</f>
        <v>1114324340</v>
      </c>
      <c r="C7187" t="str">
        <f>"261QA0600X"</f>
        <v>261QA0600X</v>
      </c>
      <c r="D7187" t="str">
        <f>"HELPING HANDS ADULT DAY CENTER LLC                "</f>
        <v xml:space="preserve">HELPING HANDS ADULT DAY CENTER LLC                </v>
      </c>
      <c r="E7187" t="str">
        <f>"GREENVILLE                "</f>
        <v xml:space="preserve">GREENVILLE                </v>
      </c>
      <c r="F7187" t="str">
        <f t="shared" si="229"/>
        <v>MS</v>
      </c>
    </row>
    <row r="7188" spans="1:6" x14ac:dyDescent="0.25">
      <c r="A7188" t="str">
        <f>"000305308"</f>
        <v>000305308</v>
      </c>
      <c r="B7188" t="str">
        <f>"1568574457"</f>
        <v>1568574457</v>
      </c>
      <c r="C7188" t="str">
        <f>"207RN0300X"</f>
        <v>207RN0300X</v>
      </c>
      <c r="D7188" t="str">
        <f>"RILEY                    ANGELA       M           "</f>
        <v xml:space="preserve">RILEY                    ANGELA       M           </v>
      </c>
      <c r="E7188" t="str">
        <f>"COLUMBUS                  "</f>
        <v xml:space="preserve">COLUMBUS                  </v>
      </c>
      <c r="F7188" t="str">
        <f t="shared" si="229"/>
        <v>MS</v>
      </c>
    </row>
    <row r="7189" spans="1:6" x14ac:dyDescent="0.25">
      <c r="A7189" t="str">
        <f>"000306737"</f>
        <v>000306737</v>
      </c>
      <c r="B7189" t="str">
        <f>"1568117463"</f>
        <v>1568117463</v>
      </c>
      <c r="C7189" t="str">
        <f>"363L00000X"</f>
        <v>363L00000X</v>
      </c>
      <c r="D7189" t="str">
        <f>"WALTERS                  ELIZABETH    C           "</f>
        <v xml:space="preserve">WALTERS                  ELIZABETH    C           </v>
      </c>
      <c r="E7189" t="str">
        <f>"LAUREL                    "</f>
        <v xml:space="preserve">LAUREL                    </v>
      </c>
      <c r="F7189" t="str">
        <f t="shared" si="229"/>
        <v>MS</v>
      </c>
    </row>
    <row r="7190" spans="1:6" x14ac:dyDescent="0.25">
      <c r="A7190" t="str">
        <f>"000306821"</f>
        <v>000306821</v>
      </c>
      <c r="B7190" t="str">
        <f>"1689816001"</f>
        <v>1689816001</v>
      </c>
      <c r="C7190" t="str">
        <f>"261QF0400X"</f>
        <v>261QF0400X</v>
      </c>
      <c r="D7190" t="str">
        <f>"FAMILY HEALTH CARE CLINIC INC                     "</f>
        <v xml:space="preserve">FAMILY HEALTH CARE CLINIC INC                     </v>
      </c>
      <c r="E7190" t="str">
        <f>"BROOKHAVEN                "</f>
        <v xml:space="preserve">BROOKHAVEN                </v>
      </c>
      <c r="F7190" t="str">
        <f t="shared" si="229"/>
        <v>MS</v>
      </c>
    </row>
    <row r="7191" spans="1:6" x14ac:dyDescent="0.25">
      <c r="A7191" t="str">
        <f>"000308019"</f>
        <v>000308019</v>
      </c>
      <c r="B7191" t="str">
        <f>"1972536837"</f>
        <v>1972536837</v>
      </c>
      <c r="C7191" t="str">
        <f>"2085R0202X"</f>
        <v>2085R0202X</v>
      </c>
      <c r="D7191" t="str">
        <f>"FAUST                    JOHN                     "</f>
        <v xml:space="preserve">FAUST                    JOHN                     </v>
      </c>
      <c r="E7191" t="str">
        <f>"JACKSON                   "</f>
        <v xml:space="preserve">JACKSON                   </v>
      </c>
      <c r="F7191" t="str">
        <f t="shared" si="229"/>
        <v>MS</v>
      </c>
    </row>
    <row r="7192" spans="1:6" x14ac:dyDescent="0.25">
      <c r="A7192" t="str">
        <f>"000320511"</f>
        <v>000320511</v>
      </c>
      <c r="B7192" t="str">
        <f>"1174803829"</f>
        <v>1174803829</v>
      </c>
      <c r="C7192" t="str">
        <f>"363L00000X"</f>
        <v>363L00000X</v>
      </c>
      <c r="D7192" t="str">
        <f>"ALLEN                    MARIE                    "</f>
        <v xml:space="preserve">ALLEN                    MARIE                    </v>
      </c>
      <c r="E7192" t="str">
        <f>"JACKSON                   "</f>
        <v xml:space="preserve">JACKSON                   </v>
      </c>
      <c r="F7192" t="str">
        <f t="shared" si="229"/>
        <v>MS</v>
      </c>
    </row>
    <row r="7193" spans="1:6" x14ac:dyDescent="0.25">
      <c r="A7193" t="str">
        <f>"000320528"</f>
        <v>000320528</v>
      </c>
      <c r="B7193" t="str">
        <f>"1467776039"</f>
        <v>1467776039</v>
      </c>
      <c r="C7193" t="str">
        <f>"207P00000X"</f>
        <v>207P00000X</v>
      </c>
      <c r="D7193" t="str">
        <f>"WIGGINS                  MATTHEW                  "</f>
        <v xml:space="preserve">WIGGINS                  MATTHEW                  </v>
      </c>
      <c r="E7193" t="str">
        <f>"OXFORD                    "</f>
        <v xml:space="preserve">OXFORD                    </v>
      </c>
      <c r="F7193" t="str">
        <f t="shared" si="229"/>
        <v>MS</v>
      </c>
    </row>
    <row r="7194" spans="1:6" x14ac:dyDescent="0.25">
      <c r="A7194" t="str">
        <f>"000321213"</f>
        <v>000321213</v>
      </c>
      <c r="B7194" t="str">
        <f>"1760945448"</f>
        <v>1760945448</v>
      </c>
      <c r="C7194" t="str">
        <f>"363L00000X"</f>
        <v>363L00000X</v>
      </c>
      <c r="D7194" t="str">
        <f>"ELLISON                  JACQUELYN    K           "</f>
        <v xml:space="preserve">ELLISON                  JACQUELYN    K           </v>
      </c>
      <c r="E7194" t="str">
        <f>"PASCAGOULA                "</f>
        <v xml:space="preserve">PASCAGOULA                </v>
      </c>
      <c r="F7194" t="str">
        <f t="shared" si="229"/>
        <v>MS</v>
      </c>
    </row>
    <row r="7195" spans="1:6" x14ac:dyDescent="0.25">
      <c r="A7195" t="str">
        <f>"000322534"</f>
        <v>000322534</v>
      </c>
      <c r="B7195" t="str">
        <f>"1891107298"</f>
        <v>1891107298</v>
      </c>
      <c r="C7195" t="str">
        <f>"261QM3000X"</f>
        <v>261QM3000X</v>
      </c>
      <c r="D7195" t="str">
        <f>"GULF COAST PEDIATRIC CARE LLC                     "</f>
        <v xml:space="preserve">GULF COAST PEDIATRIC CARE LLC                     </v>
      </c>
      <c r="E7195" t="str">
        <f>"GULFPORT                  "</f>
        <v xml:space="preserve">GULFPORT                  </v>
      </c>
      <c r="F7195" t="str">
        <f t="shared" si="229"/>
        <v>MS</v>
      </c>
    </row>
    <row r="7196" spans="1:6" x14ac:dyDescent="0.25">
      <c r="A7196" t="str">
        <f>"000322588"</f>
        <v>000322588</v>
      </c>
      <c r="B7196" t="str">
        <f>"1346744976"</f>
        <v>1346744976</v>
      </c>
      <c r="C7196" t="str">
        <f>"152W00000X"</f>
        <v>152W00000X</v>
      </c>
      <c r="D7196" t="str">
        <f>"LEXINGTON EYE CARE CLINIC                         "</f>
        <v xml:space="preserve">LEXINGTON EYE CARE CLINIC                         </v>
      </c>
      <c r="E7196" t="str">
        <f>"LEXINGTON                 "</f>
        <v xml:space="preserve">LEXINGTON                 </v>
      </c>
      <c r="F7196" t="str">
        <f t="shared" si="229"/>
        <v>MS</v>
      </c>
    </row>
    <row r="7197" spans="1:6" x14ac:dyDescent="0.25">
      <c r="A7197" t="str">
        <f>"000323707"</f>
        <v>000323707</v>
      </c>
      <c r="B7197" t="str">
        <f>"1275754285"</f>
        <v>1275754285</v>
      </c>
      <c r="C7197" t="str">
        <f>"367500000X"</f>
        <v>367500000X</v>
      </c>
      <c r="D7197" t="str">
        <f>"SIZER JOHNSON            ADRIENNE                 "</f>
        <v xml:space="preserve">SIZER JOHNSON            ADRIENNE                 </v>
      </c>
      <c r="E7197" t="str">
        <f>"FLOWOOD                   "</f>
        <v xml:space="preserve">FLOWOOD                   </v>
      </c>
      <c r="F7197" t="str">
        <f t="shared" si="229"/>
        <v>MS</v>
      </c>
    </row>
    <row r="7198" spans="1:6" x14ac:dyDescent="0.25">
      <c r="A7198" t="str">
        <f>"000323795"</f>
        <v>000323795</v>
      </c>
      <c r="B7198" t="str">
        <f>"1659046399"</f>
        <v>1659046399</v>
      </c>
      <c r="C7198" t="str">
        <f>"363L00000X"</f>
        <v>363L00000X</v>
      </c>
      <c r="D7198" t="str">
        <f>"MARTIN                   SHALETHA                 "</f>
        <v xml:space="preserve">MARTIN                   SHALETHA                 </v>
      </c>
      <c r="E7198" t="str">
        <f>"TUNICA                    "</f>
        <v xml:space="preserve">TUNICA                    </v>
      </c>
      <c r="F7198" t="str">
        <f t="shared" si="229"/>
        <v>MS</v>
      </c>
    </row>
    <row r="7199" spans="1:6" x14ac:dyDescent="0.25">
      <c r="A7199" t="str">
        <f>"000324314"</f>
        <v>000324314</v>
      </c>
      <c r="B7199" t="str">
        <f>"1013173590"</f>
        <v>1013173590</v>
      </c>
      <c r="C7199" t="str">
        <f>"207RH0000X"</f>
        <v>207RH0000X</v>
      </c>
      <c r="D7199" t="str">
        <f>"DOUGLAS                  LAURIE       E           "</f>
        <v xml:space="preserve">DOUGLAS                  LAURIE       E           </v>
      </c>
      <c r="E7199" t="str">
        <f>"HATTIESBURG               "</f>
        <v xml:space="preserve">HATTIESBURG               </v>
      </c>
      <c r="F7199" t="str">
        <f t="shared" si="229"/>
        <v>MS</v>
      </c>
    </row>
    <row r="7200" spans="1:6" x14ac:dyDescent="0.25">
      <c r="A7200" t="str">
        <f>"000324551"</f>
        <v>000324551</v>
      </c>
      <c r="B7200" t="str">
        <f>"1609061167"</f>
        <v>1609061167</v>
      </c>
      <c r="C7200" t="str">
        <f>"207R00000X"</f>
        <v>207R00000X</v>
      </c>
      <c r="D7200" t="str">
        <f>"WEBSTER                  MARILYN      S           "</f>
        <v xml:space="preserve">WEBSTER                  MARILYN      S           </v>
      </c>
      <c r="E7200" t="str">
        <f>"HATTIESBURG               "</f>
        <v xml:space="preserve">HATTIESBURG               </v>
      </c>
      <c r="F7200" t="str">
        <f t="shared" si="229"/>
        <v>MS</v>
      </c>
    </row>
    <row r="7201" spans="1:6" x14ac:dyDescent="0.25">
      <c r="A7201" t="str">
        <f>"000325059"</f>
        <v>000325059</v>
      </c>
      <c r="B7201" t="str">
        <f>"1801277207"</f>
        <v>1801277207</v>
      </c>
      <c r="C7201" t="str">
        <f>"122300000X"</f>
        <v>122300000X</v>
      </c>
      <c r="D7201" t="str">
        <f>"JACKSON METRO DENTAL LLC                          "</f>
        <v xml:space="preserve">JACKSON METRO DENTAL LLC                          </v>
      </c>
      <c r="E7201" t="str">
        <f>"LEXINGTON                 "</f>
        <v xml:space="preserve">LEXINGTON                 </v>
      </c>
      <c r="F7201" t="str">
        <f t="shared" si="229"/>
        <v>MS</v>
      </c>
    </row>
    <row r="7202" spans="1:6" x14ac:dyDescent="0.25">
      <c r="A7202" t="str">
        <f>"000325262"</f>
        <v>000325262</v>
      </c>
      <c r="B7202" t="str">
        <f>"1649694183"</f>
        <v>1649694183</v>
      </c>
      <c r="C7202" t="str">
        <f>"363L00000X"</f>
        <v>363L00000X</v>
      </c>
      <c r="D7202" t="str">
        <f>"WRIGHT                   DENISE       M           "</f>
        <v xml:space="preserve">WRIGHT                   DENISE       M           </v>
      </c>
      <c r="E7202" t="str">
        <f>"ARCOLA                    "</f>
        <v xml:space="preserve">ARCOLA                    </v>
      </c>
      <c r="F7202" t="str">
        <f t="shared" si="229"/>
        <v>MS</v>
      </c>
    </row>
    <row r="7203" spans="1:6" x14ac:dyDescent="0.25">
      <c r="A7203" t="str">
        <f>"000327001"</f>
        <v>000327001</v>
      </c>
      <c r="B7203" t="str">
        <f>"1689013526"</f>
        <v>1689013526</v>
      </c>
      <c r="C7203" t="str">
        <f>"367500000X"</f>
        <v>367500000X</v>
      </c>
      <c r="D7203" t="str">
        <f>"BARR                     JENNI        L           "</f>
        <v xml:space="preserve">BARR                     JENNI        L           </v>
      </c>
      <c r="E7203" t="str">
        <f>"MERIDIAN                  "</f>
        <v xml:space="preserve">MERIDIAN                  </v>
      </c>
      <c r="F7203" t="str">
        <f t="shared" si="229"/>
        <v>MS</v>
      </c>
    </row>
    <row r="7204" spans="1:6" x14ac:dyDescent="0.25">
      <c r="A7204" t="str">
        <f>"000327268"</f>
        <v>000327268</v>
      </c>
      <c r="B7204" t="str">
        <f>"1801026141"</f>
        <v>1801026141</v>
      </c>
      <c r="C7204" t="str">
        <f>"207X00000X"</f>
        <v>207X00000X</v>
      </c>
      <c r="D7204" t="str">
        <f>"ROBERTSON III            GEORGE       H           "</f>
        <v xml:space="preserve">ROBERTSON III            GEORGE       H           </v>
      </c>
      <c r="E7204" t="str">
        <f>"HATTIESBURG               "</f>
        <v xml:space="preserve">HATTIESBURG               </v>
      </c>
      <c r="F7204" t="str">
        <f t="shared" si="229"/>
        <v>MS</v>
      </c>
    </row>
    <row r="7205" spans="1:6" x14ac:dyDescent="0.25">
      <c r="A7205" t="str">
        <f>"000327558"</f>
        <v>000327558</v>
      </c>
      <c r="B7205" t="str">
        <f>"1730223116"</f>
        <v>1730223116</v>
      </c>
      <c r="C7205" t="str">
        <f>"207ZP0102X"</f>
        <v>207ZP0102X</v>
      </c>
      <c r="D7205" t="str">
        <f>"MANUCHA                  VARSHA                   "</f>
        <v xml:space="preserve">MANUCHA                  VARSHA                   </v>
      </c>
      <c r="E7205" t="str">
        <f>"JACKSON                   "</f>
        <v xml:space="preserve">JACKSON                   </v>
      </c>
      <c r="F7205" t="str">
        <f t="shared" si="229"/>
        <v>MS</v>
      </c>
    </row>
    <row r="7206" spans="1:6" x14ac:dyDescent="0.25">
      <c r="A7206" t="str">
        <f>"000328388"</f>
        <v>000328388</v>
      </c>
      <c r="B7206" t="str">
        <f>"1740842426"</f>
        <v>1740842426</v>
      </c>
      <c r="C7206" t="str">
        <f>"363L00000X"</f>
        <v>363L00000X</v>
      </c>
      <c r="D7206" t="str">
        <f>"VAUGHN                   HUNTER                   "</f>
        <v xml:space="preserve">VAUGHN                   HUNTER                   </v>
      </c>
      <c r="E7206" t="str">
        <f>"FLOWOOD                   "</f>
        <v xml:space="preserve">FLOWOOD                   </v>
      </c>
      <c r="F7206" t="str">
        <f t="shared" si="229"/>
        <v>MS</v>
      </c>
    </row>
    <row r="7207" spans="1:6" x14ac:dyDescent="0.25">
      <c r="A7207" t="str">
        <f>"000328863"</f>
        <v>000328863</v>
      </c>
      <c r="B7207" t="str">
        <f>"1891285896"</f>
        <v>1891285896</v>
      </c>
      <c r="C7207" t="str">
        <f>"207L00000X"</f>
        <v>207L00000X</v>
      </c>
      <c r="D7207" t="str">
        <f>"GUICE, III               CARTER       K           "</f>
        <v xml:space="preserve">GUICE, III               CARTER       K           </v>
      </c>
      <c r="E7207" t="str">
        <f>"HATTIESBURG               "</f>
        <v xml:space="preserve">HATTIESBURG               </v>
      </c>
      <c r="F7207" t="str">
        <f t="shared" si="229"/>
        <v>MS</v>
      </c>
    </row>
    <row r="7208" spans="1:6" x14ac:dyDescent="0.25">
      <c r="A7208" t="str">
        <f>"000329578"</f>
        <v>000329578</v>
      </c>
      <c r="B7208" t="str">
        <f>"1205860418"</f>
        <v>1205860418</v>
      </c>
      <c r="C7208" t="str">
        <f>"122300000X"</f>
        <v>122300000X</v>
      </c>
      <c r="D7208" t="str">
        <f>"E LEE ENGEL DMD MS PA                             "</f>
        <v xml:space="preserve">E LEE ENGEL DMD MS PA                             </v>
      </c>
      <c r="E7208" t="str">
        <f>"GREENVILLE                "</f>
        <v xml:space="preserve">GREENVILLE                </v>
      </c>
      <c r="F7208" t="str">
        <f t="shared" si="229"/>
        <v>MS</v>
      </c>
    </row>
    <row r="7209" spans="1:6" x14ac:dyDescent="0.25">
      <c r="A7209" t="str">
        <f>"000331601"</f>
        <v>000331601</v>
      </c>
      <c r="B7209" t="str">
        <f>"1689101404"</f>
        <v>1689101404</v>
      </c>
      <c r="C7209" t="str">
        <f>"208000000X"</f>
        <v>208000000X</v>
      </c>
      <c r="D7209" t="str">
        <f>"HOOD                     MARY         K           "</f>
        <v xml:space="preserve">HOOD                     MARY         K           </v>
      </c>
      <c r="E7209" t="str">
        <f>"JACKSON                   "</f>
        <v xml:space="preserve">JACKSON                   </v>
      </c>
      <c r="F7209" t="str">
        <f t="shared" si="229"/>
        <v>MS</v>
      </c>
    </row>
    <row r="7210" spans="1:6" x14ac:dyDescent="0.25">
      <c r="A7210" t="str">
        <f>"000332362"</f>
        <v>000332362</v>
      </c>
      <c r="B7210" t="str">
        <f>"1215527486"</f>
        <v>1215527486</v>
      </c>
      <c r="C7210" t="str">
        <f>"363L00000X"</f>
        <v>363L00000X</v>
      </c>
      <c r="D7210" t="str">
        <f>"DELANEY                  LISA         M           "</f>
        <v xml:space="preserve">DELANEY                  LISA         M           </v>
      </c>
      <c r="E7210" t="str">
        <f>"HATTIESBURG               "</f>
        <v xml:space="preserve">HATTIESBURG               </v>
      </c>
      <c r="F7210" t="str">
        <f t="shared" si="229"/>
        <v>MS</v>
      </c>
    </row>
    <row r="7211" spans="1:6" x14ac:dyDescent="0.25">
      <c r="A7211" t="str">
        <f>"000333823"</f>
        <v>000333823</v>
      </c>
      <c r="B7211" t="str">
        <f>"1164696951"</f>
        <v>1164696951</v>
      </c>
      <c r="C7211" t="str">
        <f>"208000000X"</f>
        <v>208000000X</v>
      </c>
      <c r="D7211" t="str">
        <f>"COMPTON                  ASTRID       Y           "</f>
        <v xml:space="preserve">COMPTON                  ASTRID       Y           </v>
      </c>
      <c r="E7211" t="str">
        <f>"HATTIESBURG               "</f>
        <v xml:space="preserve">HATTIESBURG               </v>
      </c>
      <c r="F7211" t="str">
        <f t="shared" si="229"/>
        <v>MS</v>
      </c>
    </row>
    <row r="7212" spans="1:6" x14ac:dyDescent="0.25">
      <c r="A7212" t="str">
        <f>"000334857"</f>
        <v>000334857</v>
      </c>
      <c r="B7212" t="str">
        <f>"1437795606"</f>
        <v>1437795606</v>
      </c>
      <c r="C7212" t="str">
        <f>"363L00000X"</f>
        <v>363L00000X</v>
      </c>
      <c r="D7212" t="str">
        <f>"GARDNER                  MARY         E           "</f>
        <v xml:space="preserve">GARDNER                  MARY         E           </v>
      </c>
      <c r="E7212" t="str">
        <f>"BRANDON                   "</f>
        <v xml:space="preserve">BRANDON                   </v>
      </c>
      <c r="F7212" t="str">
        <f t="shared" si="229"/>
        <v>MS</v>
      </c>
    </row>
    <row r="7213" spans="1:6" x14ac:dyDescent="0.25">
      <c r="A7213" t="str">
        <f>"000335014"</f>
        <v>000335014</v>
      </c>
      <c r="B7213" t="str">
        <f>"1538344585"</f>
        <v>1538344585</v>
      </c>
      <c r="C7213" t="str">
        <f>"207V00000X"</f>
        <v>207V00000X</v>
      </c>
      <c r="D7213" t="str">
        <f>"SIMS                     SHANE        M           "</f>
        <v xml:space="preserve">SIMS                     SHANE        M           </v>
      </c>
      <c r="E7213" t="str">
        <f>"FLOWOOD                   "</f>
        <v xml:space="preserve">FLOWOOD                   </v>
      </c>
      <c r="F7213" t="str">
        <f t="shared" si="229"/>
        <v>MS</v>
      </c>
    </row>
    <row r="7214" spans="1:6" x14ac:dyDescent="0.25">
      <c r="A7214" t="str">
        <f>"000335839"</f>
        <v>000335839</v>
      </c>
      <c r="B7214" t="str">
        <f>"1447647946"</f>
        <v>1447647946</v>
      </c>
      <c r="C7214" t="str">
        <f>"363L00000X"</f>
        <v>363L00000X</v>
      </c>
      <c r="D7214" t="str">
        <f>"MANGUM                   CARL         H           "</f>
        <v xml:space="preserve">MANGUM                   CARL         H           </v>
      </c>
      <c r="E7214" t="str">
        <f>"JACKSON                   "</f>
        <v xml:space="preserve">JACKSON                   </v>
      </c>
      <c r="F7214" t="str">
        <f t="shared" si="229"/>
        <v>MS</v>
      </c>
    </row>
    <row r="7215" spans="1:6" x14ac:dyDescent="0.25">
      <c r="A7215" t="str">
        <f>"000336220"</f>
        <v>000336220</v>
      </c>
      <c r="B7215" t="str">
        <f>"1083266779"</f>
        <v>1083266779</v>
      </c>
      <c r="C7215" t="str">
        <f>"363L00000X"</f>
        <v>363L00000X</v>
      </c>
      <c r="D7215" t="str">
        <f>"HONTZAS                  HEATHER      W           "</f>
        <v xml:space="preserve">HONTZAS                  HEATHER      W           </v>
      </c>
      <c r="E7215" t="str">
        <f>"MADISON                   "</f>
        <v xml:space="preserve">MADISON                   </v>
      </c>
      <c r="F7215" t="str">
        <f t="shared" si="229"/>
        <v>MS</v>
      </c>
    </row>
    <row r="7216" spans="1:6" x14ac:dyDescent="0.25">
      <c r="A7216" t="str">
        <f>"000336272"</f>
        <v>000336272</v>
      </c>
      <c r="B7216" t="str">
        <f>"1598132771"</f>
        <v>1598132771</v>
      </c>
      <c r="C7216" t="str">
        <f>"363L00000X"</f>
        <v>363L00000X</v>
      </c>
      <c r="D7216" t="str">
        <f>"RUTHERFORD               KATESE                   "</f>
        <v xml:space="preserve">RUTHERFORD               KATESE                   </v>
      </c>
      <c r="E7216" t="str">
        <f>"TUPELO                    "</f>
        <v xml:space="preserve">TUPELO                    </v>
      </c>
      <c r="F7216" t="str">
        <f t="shared" si="229"/>
        <v>MS</v>
      </c>
    </row>
    <row r="7217" spans="1:6" x14ac:dyDescent="0.25">
      <c r="A7217" t="str">
        <f>"000337052"</f>
        <v>000337052</v>
      </c>
      <c r="B7217" t="str">
        <f>"1295042919"</f>
        <v>1295042919</v>
      </c>
      <c r="C7217" t="str">
        <f>"363L00000X"</f>
        <v>363L00000X</v>
      </c>
      <c r="D7217" t="str">
        <f>"SESSER                   EMILY        M           "</f>
        <v xml:space="preserve">SESSER                   EMILY        M           </v>
      </c>
      <c r="E7217" t="str">
        <f>"MISSISSIPPI STATE         "</f>
        <v xml:space="preserve">MISSISSIPPI STATE         </v>
      </c>
      <c r="F7217" t="str">
        <f t="shared" si="229"/>
        <v>MS</v>
      </c>
    </row>
    <row r="7218" spans="1:6" x14ac:dyDescent="0.25">
      <c r="A7218" t="str">
        <f>"000337566"</f>
        <v>000337566</v>
      </c>
      <c r="B7218" t="str">
        <f>"1538454855"</f>
        <v>1538454855</v>
      </c>
      <c r="C7218" t="str">
        <f>"1223G0001X"</f>
        <v>1223G0001X</v>
      </c>
      <c r="D7218" t="str">
        <f>"BRELAND                  MARK         F           "</f>
        <v xml:space="preserve">BRELAND                  MARK         F           </v>
      </c>
      <c r="E7218" t="str">
        <f>"TUPELO                    "</f>
        <v xml:space="preserve">TUPELO                    </v>
      </c>
      <c r="F7218" t="str">
        <f t="shared" si="229"/>
        <v>MS</v>
      </c>
    </row>
    <row r="7219" spans="1:6" x14ac:dyDescent="0.25">
      <c r="A7219" t="str">
        <f>"000338771"</f>
        <v>000338771</v>
      </c>
      <c r="B7219" t="str">
        <f>"1053846857"</f>
        <v>1053846857</v>
      </c>
      <c r="C7219" t="str">
        <f>"2085R0202X"</f>
        <v>2085R0202X</v>
      </c>
      <c r="D7219" t="str">
        <f>"NICHOLS                  TANNER                   "</f>
        <v xml:space="preserve">NICHOLS                  TANNER                   </v>
      </c>
      <c r="E7219" t="str">
        <f>"COLUMBUS                  "</f>
        <v xml:space="preserve">COLUMBUS                  </v>
      </c>
      <c r="F7219" t="str">
        <f t="shared" si="229"/>
        <v>MS</v>
      </c>
    </row>
    <row r="7220" spans="1:6" x14ac:dyDescent="0.25">
      <c r="A7220" t="str">
        <f>"000339060"</f>
        <v>000339060</v>
      </c>
      <c r="B7220" t="str">
        <f>"1376542233"</f>
        <v>1376542233</v>
      </c>
      <c r="C7220" t="str">
        <f>"2080N0001X"</f>
        <v>2080N0001X</v>
      </c>
      <c r="D7220" t="str">
        <f>"KLAR                     ANGELLE      L           "</f>
        <v xml:space="preserve">KLAR                     ANGELLE      L           </v>
      </c>
      <c r="E7220" t="str">
        <f>"JACKSON                   "</f>
        <v xml:space="preserve">JACKSON                   </v>
      </c>
      <c r="F7220" t="str">
        <f t="shared" si="229"/>
        <v>MS</v>
      </c>
    </row>
    <row r="7221" spans="1:6" x14ac:dyDescent="0.25">
      <c r="A7221" t="str">
        <f>"000339814"</f>
        <v>000339814</v>
      </c>
      <c r="B7221" t="str">
        <f>"1902820525"</f>
        <v>1902820525</v>
      </c>
      <c r="C7221" t="str">
        <f>"208600000X"</f>
        <v>208600000X</v>
      </c>
      <c r="D7221" t="str">
        <f>"DVORAK                   EDWARD       I           "</f>
        <v xml:space="preserve">DVORAK                   EDWARD       I           </v>
      </c>
      <c r="E7221" t="str">
        <f>"OCEAN SPRINGS             "</f>
        <v xml:space="preserve">OCEAN SPRINGS             </v>
      </c>
      <c r="F7221" t="str">
        <f t="shared" si="229"/>
        <v>MS</v>
      </c>
    </row>
    <row r="7222" spans="1:6" x14ac:dyDescent="0.25">
      <c r="A7222" t="str">
        <f>"000352259"</f>
        <v>000352259</v>
      </c>
      <c r="B7222" t="str">
        <f>"1033328471"</f>
        <v>1033328471</v>
      </c>
      <c r="C7222" t="str">
        <f>"363L00000X"</f>
        <v>363L00000X</v>
      </c>
      <c r="D7222" t="str">
        <f>"GRAVES                   CHERRY                   "</f>
        <v xml:space="preserve">GRAVES                   CHERRY                   </v>
      </c>
      <c r="E7222" t="str">
        <f>"OCEAN SPRINGS             "</f>
        <v xml:space="preserve">OCEAN SPRINGS             </v>
      </c>
      <c r="F7222" t="str">
        <f t="shared" si="229"/>
        <v>MS</v>
      </c>
    </row>
    <row r="7223" spans="1:6" x14ac:dyDescent="0.25">
      <c r="A7223" t="str">
        <f>"000353278"</f>
        <v>000353278</v>
      </c>
      <c r="B7223" t="str">
        <f>"1841613684"</f>
        <v>1841613684</v>
      </c>
      <c r="C7223" t="str">
        <f>"363L00000X"</f>
        <v>363L00000X</v>
      </c>
      <c r="D7223" t="str">
        <f>"BALLARD                  JEFFREY      S           "</f>
        <v xml:space="preserve">BALLARD                  JEFFREY      S           </v>
      </c>
      <c r="E7223" t="str">
        <f>"TUPELO                    "</f>
        <v xml:space="preserve">TUPELO                    </v>
      </c>
      <c r="F7223" t="str">
        <f t="shared" si="229"/>
        <v>MS</v>
      </c>
    </row>
    <row r="7224" spans="1:6" x14ac:dyDescent="0.25">
      <c r="A7224" t="str">
        <f>"000354253"</f>
        <v>000354253</v>
      </c>
      <c r="B7224" t="str">
        <f>"1306068820"</f>
        <v>1306068820</v>
      </c>
      <c r="C7224" t="str">
        <f>"122300000X"</f>
        <v>122300000X</v>
      </c>
      <c r="D7224" t="str">
        <f>"SCOPEL                   AMY                      "</f>
        <v xml:space="preserve">SCOPEL                   AMY                      </v>
      </c>
      <c r="E7224" t="str">
        <f>"NATCHEZ                   "</f>
        <v xml:space="preserve">NATCHEZ                   </v>
      </c>
      <c r="F7224" t="str">
        <f t="shared" si="229"/>
        <v>MS</v>
      </c>
    </row>
    <row r="7225" spans="1:6" x14ac:dyDescent="0.25">
      <c r="A7225" t="str">
        <f>"000354701"</f>
        <v>000354701</v>
      </c>
      <c r="B7225" t="str">
        <f>"1780141044"</f>
        <v>1780141044</v>
      </c>
      <c r="C7225" t="str">
        <f>"363L00000X"</f>
        <v>363L00000X</v>
      </c>
      <c r="D7225" t="str">
        <f>"KETCHUM                  LEAH                     "</f>
        <v xml:space="preserve">KETCHUM                  LEAH                     </v>
      </c>
      <c r="E7225" t="str">
        <f>"RIDGELAND                 "</f>
        <v xml:space="preserve">RIDGELAND                 </v>
      </c>
      <c r="F7225" t="str">
        <f t="shared" si="229"/>
        <v>MS</v>
      </c>
    </row>
    <row r="7226" spans="1:6" x14ac:dyDescent="0.25">
      <c r="A7226" t="str">
        <f>"000356707"</f>
        <v>000356707</v>
      </c>
      <c r="B7226" t="str">
        <f>"1801154984"</f>
        <v>1801154984</v>
      </c>
      <c r="C7226" t="str">
        <f>"207X00000X"</f>
        <v>207X00000X</v>
      </c>
      <c r="D7226" t="str">
        <f>"JEW                      NICHOLAS     B           "</f>
        <v xml:space="preserve">JEW                      NICHOLAS     B           </v>
      </c>
      <c r="E7226" t="str">
        <f>"JACKSON                   "</f>
        <v xml:space="preserve">JACKSON                   </v>
      </c>
      <c r="F7226" t="str">
        <f t="shared" si="229"/>
        <v>MS</v>
      </c>
    </row>
    <row r="7227" spans="1:6" x14ac:dyDescent="0.25">
      <c r="A7227" t="str">
        <f>"000358007"</f>
        <v>000358007</v>
      </c>
      <c r="B7227" t="str">
        <f>"1033594288"</f>
        <v>1033594288</v>
      </c>
      <c r="C7227" t="str">
        <f>"207P00000X"</f>
        <v>207P00000X</v>
      </c>
      <c r="D7227" t="str">
        <f>"WEEKS                    SHAWN                    "</f>
        <v xml:space="preserve">WEEKS                    SHAWN                    </v>
      </c>
      <c r="E7227" t="str">
        <f>"CARTHAGE                  "</f>
        <v xml:space="preserve">CARTHAGE                  </v>
      </c>
      <c r="F7227" t="str">
        <f t="shared" si="229"/>
        <v>MS</v>
      </c>
    </row>
    <row r="7228" spans="1:6" x14ac:dyDescent="0.25">
      <c r="A7228" t="str">
        <f>"000359815"</f>
        <v>000359815</v>
      </c>
      <c r="B7228" t="str">
        <f>"1669683405"</f>
        <v>1669683405</v>
      </c>
      <c r="C7228" t="str">
        <f>"207RS0010X"</f>
        <v>207RS0010X</v>
      </c>
      <c r="D7228" t="str">
        <f>"FAGAN                    BRYAN        C           "</f>
        <v xml:space="preserve">FAGAN                    BRYAN        C           </v>
      </c>
      <c r="E7228" t="str">
        <f>"TUPELO                    "</f>
        <v xml:space="preserve">TUPELO                    </v>
      </c>
      <c r="F7228" t="str">
        <f t="shared" si="229"/>
        <v>MS</v>
      </c>
    </row>
    <row r="7229" spans="1:6" x14ac:dyDescent="0.25">
      <c r="A7229" t="str">
        <f>"000359869"</f>
        <v>000359869</v>
      </c>
      <c r="B7229" t="str">
        <f>"1700550233"</f>
        <v>1700550233</v>
      </c>
      <c r="C7229" t="str">
        <f>"363L00000X"</f>
        <v>363L00000X</v>
      </c>
      <c r="D7229" t="str">
        <f>"SMITH                    JESSICA                  "</f>
        <v xml:space="preserve">SMITH                    JESSICA                  </v>
      </c>
      <c r="E7229" t="str">
        <f>"LUCEDALE                  "</f>
        <v xml:space="preserve">LUCEDALE                  </v>
      </c>
      <c r="F7229" t="str">
        <f t="shared" si="229"/>
        <v>MS</v>
      </c>
    </row>
    <row r="7230" spans="1:6" x14ac:dyDescent="0.25">
      <c r="A7230" t="str">
        <f>"000371202"</f>
        <v>000371202</v>
      </c>
      <c r="B7230" t="str">
        <f>"1336674803"</f>
        <v>1336674803</v>
      </c>
      <c r="C7230" t="str">
        <f>"207Q00000X"</f>
        <v>207Q00000X</v>
      </c>
      <c r="D7230" t="str">
        <f>"BOSARGE                  MATTHEW      K           "</f>
        <v xml:space="preserve">BOSARGE                  MATTHEW      K           </v>
      </c>
      <c r="E7230" t="str">
        <f>"PASCAGOULA                "</f>
        <v xml:space="preserve">PASCAGOULA                </v>
      </c>
      <c r="F7230" t="str">
        <f t="shared" ref="F7230:F7293" si="230">"MS"</f>
        <v>MS</v>
      </c>
    </row>
    <row r="7231" spans="1:6" x14ac:dyDescent="0.25">
      <c r="A7231" t="str">
        <f>"000371321"</f>
        <v>000371321</v>
      </c>
      <c r="B7231" t="str">
        <f>"1578557013"</f>
        <v>1578557013</v>
      </c>
      <c r="C7231" t="str">
        <f>"207RC0001X"</f>
        <v>207RC0001X</v>
      </c>
      <c r="D7231" t="str">
        <f>"HAUGLAND                 FRANK        N           "</f>
        <v xml:space="preserve">HAUGLAND                 FRANK        N           </v>
      </c>
      <c r="E7231" t="str">
        <f>"JACKSON                   "</f>
        <v xml:space="preserve">JACKSON                   </v>
      </c>
      <c r="F7231" t="str">
        <f t="shared" si="230"/>
        <v>MS</v>
      </c>
    </row>
    <row r="7232" spans="1:6" x14ac:dyDescent="0.25">
      <c r="A7232" t="str">
        <f>"000374308"</f>
        <v>000374308</v>
      </c>
      <c r="B7232" t="str">
        <f>"1811303670"</f>
        <v>1811303670</v>
      </c>
      <c r="C7232" t="str">
        <f>"363L00000X"</f>
        <v>363L00000X</v>
      </c>
      <c r="D7232" t="str">
        <f>"WALLER                   JODI         L           "</f>
        <v xml:space="preserve">WALLER                   JODI         L           </v>
      </c>
      <c r="E7232" t="str">
        <f>"SUMMIT                    "</f>
        <v xml:space="preserve">SUMMIT                    </v>
      </c>
      <c r="F7232" t="str">
        <f t="shared" si="230"/>
        <v>MS</v>
      </c>
    </row>
    <row r="7233" spans="1:6" x14ac:dyDescent="0.25">
      <c r="A7233" t="str">
        <f>"000375264"</f>
        <v>000375264</v>
      </c>
      <c r="B7233" t="str">
        <f>"1043670722"</f>
        <v>1043670722</v>
      </c>
      <c r="C7233" t="str">
        <f>"363L00000X"</f>
        <v>363L00000X</v>
      </c>
      <c r="D7233" t="str">
        <f>"PENNINGTON               CHRISTOPHER              "</f>
        <v xml:space="preserve">PENNINGTON               CHRISTOPHER              </v>
      </c>
      <c r="E7233" t="str">
        <f>"NEW ALBANY                "</f>
        <v xml:space="preserve">NEW ALBANY                </v>
      </c>
      <c r="F7233" t="str">
        <f t="shared" si="230"/>
        <v>MS</v>
      </c>
    </row>
    <row r="7234" spans="1:6" x14ac:dyDescent="0.25">
      <c r="A7234" t="str">
        <f>"000376228"</f>
        <v>000376228</v>
      </c>
      <c r="B7234" t="str">
        <f>"1245533975"</f>
        <v>1245533975</v>
      </c>
      <c r="C7234" t="str">
        <f>"122300000X"</f>
        <v>122300000X</v>
      </c>
      <c r="D7234" t="str">
        <f>"WADE                     KIMBERLY     M           "</f>
        <v xml:space="preserve">WADE                     KIMBERLY     M           </v>
      </c>
      <c r="E7234" t="str">
        <f>"JACKSON                   "</f>
        <v xml:space="preserve">JACKSON                   </v>
      </c>
      <c r="F7234" t="str">
        <f t="shared" si="230"/>
        <v>MS</v>
      </c>
    </row>
    <row r="7235" spans="1:6" x14ac:dyDescent="0.25">
      <c r="A7235" t="str">
        <f>"000376874"</f>
        <v>000376874</v>
      </c>
      <c r="B7235" t="str">
        <f>"1457509903"</f>
        <v>1457509903</v>
      </c>
      <c r="C7235" t="str">
        <f>"2084P0800X"</f>
        <v>2084P0800X</v>
      </c>
      <c r="D7235" t="str">
        <f>"KHEMKA                   MANPREET                 "</f>
        <v xml:space="preserve">KHEMKA                   MANPREET                 </v>
      </c>
      <c r="E7235" t="str">
        <f>"HATTIESBURG               "</f>
        <v xml:space="preserve">HATTIESBURG               </v>
      </c>
      <c r="F7235" t="str">
        <f t="shared" si="230"/>
        <v>MS</v>
      </c>
    </row>
    <row r="7236" spans="1:6" x14ac:dyDescent="0.25">
      <c r="A7236" t="str">
        <f>"000379397"</f>
        <v>000379397</v>
      </c>
      <c r="B7236" t="str">
        <f>"1588315238"</f>
        <v>1588315238</v>
      </c>
      <c r="C7236" t="str">
        <f>"367500000X"</f>
        <v>367500000X</v>
      </c>
      <c r="D7236" t="str">
        <f>"LEACH                    CALEB        T           "</f>
        <v xml:space="preserve">LEACH                    CALEB        T           </v>
      </c>
      <c r="E7236" t="str">
        <f>"FLOWOOD                   "</f>
        <v xml:space="preserve">FLOWOOD                   </v>
      </c>
      <c r="F7236" t="str">
        <f t="shared" si="230"/>
        <v>MS</v>
      </c>
    </row>
    <row r="7237" spans="1:6" x14ac:dyDescent="0.25">
      <c r="A7237" t="str">
        <f>"000381841"</f>
        <v>000381841</v>
      </c>
      <c r="B7237" t="str">
        <f>"1417149766"</f>
        <v>1417149766</v>
      </c>
      <c r="C7237" t="str">
        <f>"261QF0400X"</f>
        <v>261QF0400X</v>
      </c>
      <c r="D7237" t="str">
        <f>"DELTA HEALTH CENTER INC                           "</f>
        <v xml:space="preserve">DELTA HEALTH CENTER INC                           </v>
      </c>
      <c r="E7237" t="str">
        <f>"MOORHEAD                  "</f>
        <v xml:space="preserve">MOORHEAD                  </v>
      </c>
      <c r="F7237" t="str">
        <f t="shared" si="230"/>
        <v>MS</v>
      </c>
    </row>
    <row r="7238" spans="1:6" x14ac:dyDescent="0.25">
      <c r="A7238" t="str">
        <f>"000382235"</f>
        <v>000382235</v>
      </c>
      <c r="B7238" t="str">
        <f>"1427648906"</f>
        <v>1427648906</v>
      </c>
      <c r="C7238" t="str">
        <f>"367500000X"</f>
        <v>367500000X</v>
      </c>
      <c r="D7238" t="str">
        <f>"LEE                      AMY                      "</f>
        <v xml:space="preserve">LEE                      AMY                      </v>
      </c>
      <c r="E7238" t="str">
        <f>"FLOWOOD                   "</f>
        <v xml:space="preserve">FLOWOOD                   </v>
      </c>
      <c r="F7238" t="str">
        <f t="shared" si="230"/>
        <v>MS</v>
      </c>
    </row>
    <row r="7239" spans="1:6" x14ac:dyDescent="0.25">
      <c r="A7239" t="str">
        <f>"000382724"</f>
        <v>000382724</v>
      </c>
      <c r="B7239" t="str">
        <f>"1487939435"</f>
        <v>1487939435</v>
      </c>
      <c r="C7239" t="str">
        <f>"122300000X"</f>
        <v>122300000X</v>
      </c>
      <c r="D7239" t="str">
        <f>"CURTIS JR                DAVID        K           "</f>
        <v xml:space="preserve">CURTIS JR                DAVID        K           </v>
      </c>
      <c r="E7239" t="str">
        <f>"CORINTH                   "</f>
        <v xml:space="preserve">CORINTH                   </v>
      </c>
      <c r="F7239" t="str">
        <f t="shared" si="230"/>
        <v>MS</v>
      </c>
    </row>
    <row r="7240" spans="1:6" x14ac:dyDescent="0.25">
      <c r="A7240" t="str">
        <f>"000382802"</f>
        <v>000382802</v>
      </c>
      <c r="B7240" t="str">
        <f>"1255434460"</f>
        <v>1255434460</v>
      </c>
      <c r="C7240" t="str">
        <f>"152W00000X"</f>
        <v>152W00000X</v>
      </c>
      <c r="D7240" t="str">
        <f>"SANDERS                  KATHERINE    L           "</f>
        <v xml:space="preserve">SANDERS                  KATHERINE    L           </v>
      </c>
      <c r="E7240" t="str">
        <f>"DIBERVILLE                "</f>
        <v xml:space="preserve">DIBERVILLE                </v>
      </c>
      <c r="F7240" t="str">
        <f t="shared" si="230"/>
        <v>MS</v>
      </c>
    </row>
    <row r="7241" spans="1:6" x14ac:dyDescent="0.25">
      <c r="A7241" t="str">
        <f>"000383208"</f>
        <v>000383208</v>
      </c>
      <c r="B7241" t="str">
        <f>"1154670719"</f>
        <v>1154670719</v>
      </c>
      <c r="C7241" t="str">
        <f>"261QR1300X"</f>
        <v>261QR1300X</v>
      </c>
      <c r="D7241" t="str">
        <f>"LACKEY PEDIATRIC CLINIC                           "</f>
        <v xml:space="preserve">LACKEY PEDIATRIC CLINIC                           </v>
      </c>
      <c r="E7241" t="str">
        <f>"SCOTT                     "</f>
        <v xml:space="preserve">SCOTT                     </v>
      </c>
      <c r="F7241" t="str">
        <f t="shared" si="230"/>
        <v>MS</v>
      </c>
    </row>
    <row r="7242" spans="1:6" x14ac:dyDescent="0.25">
      <c r="A7242" t="str">
        <f>"000383734"</f>
        <v>000383734</v>
      </c>
      <c r="B7242" t="str">
        <f>"1083046734"</f>
        <v>1083046734</v>
      </c>
      <c r="C7242" t="str">
        <f>"367500000X"</f>
        <v>367500000X</v>
      </c>
      <c r="D7242" t="str">
        <f>"PARKER                   KERRY        J           "</f>
        <v xml:space="preserve">PARKER                   KERRY        J           </v>
      </c>
      <c r="E7242" t="str">
        <f>"MERIDIAN                  "</f>
        <v xml:space="preserve">MERIDIAN                  </v>
      </c>
      <c r="F7242" t="str">
        <f t="shared" si="230"/>
        <v>MS</v>
      </c>
    </row>
    <row r="7243" spans="1:6" x14ac:dyDescent="0.25">
      <c r="A7243" t="str">
        <f>"000384231"</f>
        <v>000384231</v>
      </c>
      <c r="B7243" t="str">
        <f>"1033522073"</f>
        <v>1033522073</v>
      </c>
      <c r="C7243" t="str">
        <f>"363L00000X"</f>
        <v>363L00000X</v>
      </c>
      <c r="D7243" t="str">
        <f>"HICKMAN                  AUBRI        B           "</f>
        <v xml:space="preserve">HICKMAN                  AUBRI        B           </v>
      </c>
      <c r="E7243" t="str">
        <f>"JACKSON                   "</f>
        <v xml:space="preserve">JACKSON                   </v>
      </c>
      <c r="F7243" t="str">
        <f t="shared" si="230"/>
        <v>MS</v>
      </c>
    </row>
    <row r="7244" spans="1:6" x14ac:dyDescent="0.25">
      <c r="A7244" t="str">
        <f>"000384560"</f>
        <v>000384560</v>
      </c>
      <c r="B7244" t="str">
        <f>"1588007488"</f>
        <v>1588007488</v>
      </c>
      <c r="C7244" t="str">
        <f>"207P00000X"</f>
        <v>207P00000X</v>
      </c>
      <c r="D7244" t="str">
        <f>"WILLIAMS                 THERON       S           "</f>
        <v xml:space="preserve">WILLIAMS                 THERON       S           </v>
      </c>
      <c r="E7244" t="str">
        <f>"SOUTHAVEN                 "</f>
        <v xml:space="preserve">SOUTHAVEN                 </v>
      </c>
      <c r="F7244" t="str">
        <f t="shared" si="230"/>
        <v>MS</v>
      </c>
    </row>
    <row r="7245" spans="1:6" x14ac:dyDescent="0.25">
      <c r="A7245" t="str">
        <f>"000384883"</f>
        <v>000384883</v>
      </c>
      <c r="B7245" t="str">
        <f>"1598406548"</f>
        <v>1598406548</v>
      </c>
      <c r="C7245" t="str">
        <f>"261QM1300X"</f>
        <v>261QM1300X</v>
      </c>
      <c r="D7245" t="str">
        <f>"FLOURISH MENTAL WELLNESS                          "</f>
        <v xml:space="preserve">FLOURISH MENTAL WELLNESS                          </v>
      </c>
      <c r="E7245" t="str">
        <f>"JACKSON                   "</f>
        <v xml:space="preserve">JACKSON                   </v>
      </c>
      <c r="F7245" t="str">
        <f t="shared" si="230"/>
        <v>MS</v>
      </c>
    </row>
    <row r="7246" spans="1:6" x14ac:dyDescent="0.25">
      <c r="A7246" t="str">
        <f>"000387587"</f>
        <v>000387587</v>
      </c>
      <c r="B7246" t="str">
        <f>"1447470299"</f>
        <v>1447470299</v>
      </c>
      <c r="C7246" t="str">
        <f>"363L00000X"</f>
        <v>363L00000X</v>
      </c>
      <c r="D7246" t="str">
        <f>"HOLT                     DEREK        L           "</f>
        <v xml:space="preserve">HOLT                     DEREK        L           </v>
      </c>
      <c r="E7246" t="str">
        <f>"JACKSON                   "</f>
        <v xml:space="preserve">JACKSON                   </v>
      </c>
      <c r="F7246" t="str">
        <f t="shared" si="230"/>
        <v>MS</v>
      </c>
    </row>
    <row r="7247" spans="1:6" x14ac:dyDescent="0.25">
      <c r="A7247" t="str">
        <f>"000387708"</f>
        <v>000387708</v>
      </c>
      <c r="B7247" t="str">
        <f>"1699290460"</f>
        <v>1699290460</v>
      </c>
      <c r="C7247" t="str">
        <f>"363L00000X"</f>
        <v>363L00000X</v>
      </c>
      <c r="D7247" t="str">
        <f>"HOLLOWAY                 JAMIE                    "</f>
        <v xml:space="preserve">HOLLOWAY                 JAMIE                    </v>
      </c>
      <c r="E7247" t="str">
        <f>"PONTOTOC                  "</f>
        <v xml:space="preserve">PONTOTOC                  </v>
      </c>
      <c r="F7247" t="str">
        <f t="shared" si="230"/>
        <v>MS</v>
      </c>
    </row>
    <row r="7248" spans="1:6" x14ac:dyDescent="0.25">
      <c r="A7248" t="str">
        <f>"000387876"</f>
        <v>000387876</v>
      </c>
      <c r="B7248" t="str">
        <f>"1255725818"</f>
        <v>1255725818</v>
      </c>
      <c r="C7248" t="str">
        <f>"208000000X"</f>
        <v>208000000X</v>
      </c>
      <c r="D7248" t="str">
        <f>"GOOGE                    AMBER        B           "</f>
        <v xml:space="preserve">GOOGE                    AMBER        B           </v>
      </c>
      <c r="E7248" t="str">
        <f>"TUPELO                    "</f>
        <v xml:space="preserve">TUPELO                    </v>
      </c>
      <c r="F7248" t="str">
        <f t="shared" si="230"/>
        <v>MS</v>
      </c>
    </row>
    <row r="7249" spans="1:6" x14ac:dyDescent="0.25">
      <c r="A7249" t="str">
        <f>"000388319"</f>
        <v>000388319</v>
      </c>
      <c r="B7249" t="str">
        <f>"1649880543"</f>
        <v>1649880543</v>
      </c>
      <c r="C7249" t="str">
        <f>"363A00000X"</f>
        <v>363A00000X</v>
      </c>
      <c r="D7249" t="str">
        <f>"BOUTWELL                 ALLISON      J           "</f>
        <v xml:space="preserve">BOUTWELL                 ALLISON      J           </v>
      </c>
      <c r="E7249" t="str">
        <f>"PETAL                     "</f>
        <v xml:space="preserve">PETAL                     </v>
      </c>
      <c r="F7249" t="str">
        <f t="shared" si="230"/>
        <v>MS</v>
      </c>
    </row>
    <row r="7250" spans="1:6" x14ac:dyDescent="0.25">
      <c r="A7250" t="str">
        <f>"000389267"</f>
        <v>000389267</v>
      </c>
      <c r="B7250" t="str">
        <f>"1245341726"</f>
        <v>1245341726</v>
      </c>
      <c r="C7250" t="str">
        <f>"207RI0011X"</f>
        <v>207RI0011X</v>
      </c>
      <c r="D7250" t="str">
        <f>"JONES III                WILLIAM      H           "</f>
        <v xml:space="preserve">JONES III                WILLIAM      H           </v>
      </c>
      <c r="E7250" t="str">
        <f>"JACKSON                   "</f>
        <v xml:space="preserve">JACKSON                   </v>
      </c>
      <c r="F7250" t="str">
        <f t="shared" si="230"/>
        <v>MS</v>
      </c>
    </row>
    <row r="7251" spans="1:6" x14ac:dyDescent="0.25">
      <c r="A7251" t="str">
        <f>"000400019"</f>
        <v>000400019</v>
      </c>
      <c r="B7251" t="str">
        <f>"1457879330"</f>
        <v>1457879330</v>
      </c>
      <c r="C7251" t="str">
        <f>"367500000X"</f>
        <v>367500000X</v>
      </c>
      <c r="D7251" t="str">
        <f>"WITCHER                  ALEX                     "</f>
        <v xml:space="preserve">WITCHER                  ALEX                     </v>
      </c>
      <c r="E7251" t="str">
        <f>"GULFPORT                  "</f>
        <v xml:space="preserve">GULFPORT                  </v>
      </c>
      <c r="F7251" t="str">
        <f t="shared" si="230"/>
        <v>MS</v>
      </c>
    </row>
    <row r="7252" spans="1:6" x14ac:dyDescent="0.25">
      <c r="A7252" t="str">
        <f>"000401036"</f>
        <v>000401036</v>
      </c>
      <c r="B7252" t="str">
        <f>"1134386592"</f>
        <v>1134386592</v>
      </c>
      <c r="C7252" t="str">
        <f>"207X00000X"</f>
        <v>207X00000X</v>
      </c>
      <c r="D7252" t="str">
        <f>"ABDUS SALAAM             SHARIF       A           "</f>
        <v xml:space="preserve">ABDUS SALAAM             SHARIF       A           </v>
      </c>
      <c r="E7252" t="str">
        <f>"OLIVE BRANCH              "</f>
        <v xml:space="preserve">OLIVE BRANCH              </v>
      </c>
      <c r="F7252" t="str">
        <f t="shared" si="230"/>
        <v>MS</v>
      </c>
    </row>
    <row r="7253" spans="1:6" x14ac:dyDescent="0.25">
      <c r="A7253" t="str">
        <f>"000406277"</f>
        <v>000406277</v>
      </c>
      <c r="B7253" t="str">
        <f>"1609356500"</f>
        <v>1609356500</v>
      </c>
      <c r="C7253" t="str">
        <f>"363L00000X"</f>
        <v>363L00000X</v>
      </c>
      <c r="D7253" t="str">
        <f>"MCREYNOLDS               ANGELA                   "</f>
        <v xml:space="preserve">MCREYNOLDS               ANGELA                   </v>
      </c>
      <c r="E7253" t="str">
        <f>"JACKSON                   "</f>
        <v xml:space="preserve">JACKSON                   </v>
      </c>
      <c r="F7253" t="str">
        <f t="shared" si="230"/>
        <v>MS</v>
      </c>
    </row>
    <row r="7254" spans="1:6" x14ac:dyDescent="0.25">
      <c r="A7254" t="str">
        <f>"000406768"</f>
        <v>000406768</v>
      </c>
      <c r="B7254" t="str">
        <f>"1831486992"</f>
        <v>1831486992</v>
      </c>
      <c r="C7254" t="str">
        <f>"208000000X"</f>
        <v>208000000X</v>
      </c>
      <c r="D7254" t="str">
        <f>"THOMAS                   KATHRYN      S           "</f>
        <v xml:space="preserve">THOMAS                   KATHRYN      S           </v>
      </c>
      <c r="E7254" t="str">
        <f>"JACKSON                   "</f>
        <v xml:space="preserve">JACKSON                   </v>
      </c>
      <c r="F7254" t="str">
        <f t="shared" si="230"/>
        <v>MS</v>
      </c>
    </row>
    <row r="7255" spans="1:6" x14ac:dyDescent="0.25">
      <c r="A7255" t="str">
        <f>"000407762"</f>
        <v>000407762</v>
      </c>
      <c r="B7255" t="str">
        <f>"1457679300"</f>
        <v>1457679300</v>
      </c>
      <c r="C7255" t="str">
        <f>"208000000X"</f>
        <v>208000000X</v>
      </c>
      <c r="D7255" t="str">
        <f>"ATKINS                   JENNIFER     L           "</f>
        <v xml:space="preserve">ATKINS                   JENNIFER     L           </v>
      </c>
      <c r="E7255" t="str">
        <f>"LUCEDALE                  "</f>
        <v xml:space="preserve">LUCEDALE                  </v>
      </c>
      <c r="F7255" t="str">
        <f t="shared" si="230"/>
        <v>MS</v>
      </c>
    </row>
    <row r="7256" spans="1:6" x14ac:dyDescent="0.25">
      <c r="A7256" t="str">
        <f>"000407812"</f>
        <v>000407812</v>
      </c>
      <c r="B7256" t="str">
        <f>"1316322233"</f>
        <v>1316322233</v>
      </c>
      <c r="C7256" t="str">
        <f>"1223P0221X"</f>
        <v>1223P0221X</v>
      </c>
      <c r="D7256" t="str">
        <f>"HOLLAND                  MARTHA                   "</f>
        <v xml:space="preserve">HOLLAND                  MARTHA                   </v>
      </c>
      <c r="E7256" t="str">
        <f>"JACKSON                   "</f>
        <v xml:space="preserve">JACKSON                   </v>
      </c>
      <c r="F7256" t="str">
        <f t="shared" si="230"/>
        <v>MS</v>
      </c>
    </row>
    <row r="7257" spans="1:6" x14ac:dyDescent="0.25">
      <c r="A7257" t="str">
        <f>"000409021"</f>
        <v>000409021</v>
      </c>
      <c r="B7257" t="str">
        <f>"1831361898"</f>
        <v>1831361898</v>
      </c>
      <c r="C7257" t="str">
        <f>"261QA0600X"</f>
        <v>261QA0600X</v>
      </c>
      <c r="D7257" t="str">
        <f>"NEW BEGINNINGS ADULT DAY CARE SERVI               "</f>
        <v xml:space="preserve">NEW BEGINNINGS ADULT DAY CARE SERVI               </v>
      </c>
      <c r="E7257" t="str">
        <f>"PHILADELPHIA              "</f>
        <v xml:space="preserve">PHILADELPHIA              </v>
      </c>
      <c r="F7257" t="str">
        <f t="shared" si="230"/>
        <v>MS</v>
      </c>
    </row>
    <row r="7258" spans="1:6" x14ac:dyDescent="0.25">
      <c r="A7258" t="str">
        <f>"000420301"</f>
        <v>000420301</v>
      </c>
      <c r="B7258" t="str">
        <f>"1508470568"</f>
        <v>1508470568</v>
      </c>
      <c r="C7258" t="str">
        <f>"363L00000X"</f>
        <v>363L00000X</v>
      </c>
      <c r="D7258" t="str">
        <f>"STEPHENS                 MICHAEL      C           "</f>
        <v xml:space="preserve">STEPHENS                 MICHAEL      C           </v>
      </c>
      <c r="E7258" t="str">
        <f>"PICAYUNE                  "</f>
        <v xml:space="preserve">PICAYUNE                  </v>
      </c>
      <c r="F7258" t="str">
        <f t="shared" si="230"/>
        <v>MS</v>
      </c>
    </row>
    <row r="7259" spans="1:6" x14ac:dyDescent="0.25">
      <c r="A7259" t="str">
        <f>"000420762"</f>
        <v>000420762</v>
      </c>
      <c r="B7259" t="str">
        <f>"1174949010"</f>
        <v>1174949010</v>
      </c>
      <c r="C7259" t="str">
        <f>"363L00000X"</f>
        <v>363L00000X</v>
      </c>
      <c r="D7259" t="str">
        <f>"WELLS                    SHAWNNA                  "</f>
        <v xml:space="preserve">WELLS                    SHAWNNA                  </v>
      </c>
      <c r="E7259" t="str">
        <f>"PASCAGOULA                "</f>
        <v xml:space="preserve">PASCAGOULA                </v>
      </c>
      <c r="F7259" t="str">
        <f t="shared" si="230"/>
        <v>MS</v>
      </c>
    </row>
    <row r="7260" spans="1:6" x14ac:dyDescent="0.25">
      <c r="A7260" t="str">
        <f>"000421582"</f>
        <v>000421582</v>
      </c>
      <c r="B7260" t="str">
        <f>"1952344483"</f>
        <v>1952344483</v>
      </c>
      <c r="C7260" t="str">
        <f>"2084P0800X"</f>
        <v>2084P0800X</v>
      </c>
      <c r="D7260" t="str">
        <f>"VANCE                    MARSHALL     P           "</f>
        <v xml:space="preserve">VANCE                    MARSHALL     P           </v>
      </c>
      <c r="E7260" t="str">
        <f>"CORINTH                   "</f>
        <v xml:space="preserve">CORINTH                   </v>
      </c>
      <c r="F7260" t="str">
        <f t="shared" si="230"/>
        <v>MS</v>
      </c>
    </row>
    <row r="7261" spans="1:6" x14ac:dyDescent="0.25">
      <c r="A7261" t="str">
        <f>"000423830"</f>
        <v>000423830</v>
      </c>
      <c r="B7261" t="str">
        <f>"1841861119"</f>
        <v>1841861119</v>
      </c>
      <c r="C7261" t="str">
        <f>"152W00000X"</f>
        <v>152W00000X</v>
      </c>
      <c r="D7261" t="str">
        <f>"JOHNSON                  TROY                     "</f>
        <v xml:space="preserve">JOHNSON                  TROY                     </v>
      </c>
      <c r="E7261" t="str">
        <f>"COLUMBUS                  "</f>
        <v xml:space="preserve">COLUMBUS                  </v>
      </c>
      <c r="F7261" t="str">
        <f t="shared" si="230"/>
        <v>MS</v>
      </c>
    </row>
    <row r="7262" spans="1:6" x14ac:dyDescent="0.25">
      <c r="A7262" t="str">
        <f>"000424220"</f>
        <v>000424220</v>
      </c>
      <c r="B7262" t="str">
        <f>"1740319839"</f>
        <v>1740319839</v>
      </c>
      <c r="C7262" t="str">
        <f>"363L00000X"</f>
        <v>363L00000X</v>
      </c>
      <c r="D7262" t="str">
        <f>"STAPLES                  CHRISTA                  "</f>
        <v xml:space="preserve">STAPLES                  CHRISTA                  </v>
      </c>
      <c r="E7262" t="str">
        <f>"COLUMBIA                  "</f>
        <v xml:space="preserve">COLUMBIA                  </v>
      </c>
      <c r="F7262" t="str">
        <f t="shared" si="230"/>
        <v>MS</v>
      </c>
    </row>
    <row r="7263" spans="1:6" x14ac:dyDescent="0.25">
      <c r="A7263" t="str">
        <f>"000424890"</f>
        <v>000424890</v>
      </c>
      <c r="B7263" t="str">
        <f>"1699857771"</f>
        <v>1699857771</v>
      </c>
      <c r="C7263" t="str">
        <f>"152W00000X"</f>
        <v>152W00000X</v>
      </c>
      <c r="D7263" t="str">
        <f>"WEBB                     SHERYLAN     A           "</f>
        <v xml:space="preserve">WEBB                     SHERYLAN     A           </v>
      </c>
      <c r="E7263" t="str">
        <f>"STARKVILLE                "</f>
        <v xml:space="preserve">STARKVILLE                </v>
      </c>
      <c r="F7263" t="str">
        <f t="shared" si="230"/>
        <v>MS</v>
      </c>
    </row>
    <row r="7264" spans="1:6" x14ac:dyDescent="0.25">
      <c r="A7264" t="str">
        <f>"000426375"</f>
        <v>000426375</v>
      </c>
      <c r="B7264" t="str">
        <f>"1265505853"</f>
        <v>1265505853</v>
      </c>
      <c r="C7264" t="str">
        <f>"363L00000X"</f>
        <v>363L00000X</v>
      </c>
      <c r="D7264" t="str">
        <f>"HARRELL                  KIMBERLY     D           "</f>
        <v xml:space="preserve">HARRELL                  KIMBERLY     D           </v>
      </c>
      <c r="E7264" t="str">
        <f>"VICKSBURG                 "</f>
        <v xml:space="preserve">VICKSBURG                 </v>
      </c>
      <c r="F7264" t="str">
        <f t="shared" si="230"/>
        <v>MS</v>
      </c>
    </row>
    <row r="7265" spans="1:6" x14ac:dyDescent="0.25">
      <c r="A7265" t="str">
        <f>"000426739"</f>
        <v>000426739</v>
      </c>
      <c r="B7265" t="str">
        <f>"1376777201"</f>
        <v>1376777201</v>
      </c>
      <c r="C7265" t="str">
        <f>"207Q00000X"</f>
        <v>207Q00000X</v>
      </c>
      <c r="D7265" t="str">
        <f>"LOWERY                   JENNIFER     D           "</f>
        <v xml:space="preserve">LOWERY                   JENNIFER     D           </v>
      </c>
      <c r="E7265" t="str">
        <f>"PONTOTOC                  "</f>
        <v xml:space="preserve">PONTOTOC                  </v>
      </c>
      <c r="F7265" t="str">
        <f t="shared" si="230"/>
        <v>MS</v>
      </c>
    </row>
    <row r="7266" spans="1:6" x14ac:dyDescent="0.25">
      <c r="A7266" t="str">
        <f>"000426797"</f>
        <v>000426797</v>
      </c>
      <c r="B7266" t="str">
        <f>"1558365429"</f>
        <v>1558365429</v>
      </c>
      <c r="C7266" t="str">
        <f>"208000000X"</f>
        <v>208000000X</v>
      </c>
      <c r="D7266" t="str">
        <f>"ODUM                     ERICA        N           "</f>
        <v xml:space="preserve">ODUM                     ERICA        N           </v>
      </c>
      <c r="E7266" t="str">
        <f>"SOUTHAVEN                 "</f>
        <v xml:space="preserve">SOUTHAVEN                 </v>
      </c>
      <c r="F7266" t="str">
        <f t="shared" si="230"/>
        <v>MS</v>
      </c>
    </row>
    <row r="7267" spans="1:6" x14ac:dyDescent="0.25">
      <c r="A7267" t="str">
        <f>"000427062"</f>
        <v>000427062</v>
      </c>
      <c r="B7267" t="str">
        <f>"1508224312"</f>
        <v>1508224312</v>
      </c>
      <c r="C7267" t="str">
        <f>"261QR1300X"</f>
        <v>261QR1300X</v>
      </c>
      <c r="D7267" t="str">
        <f>"WEST POINT PRIMARY CARE                           "</f>
        <v xml:space="preserve">WEST POINT PRIMARY CARE                           </v>
      </c>
      <c r="E7267" t="str">
        <f>"WEST POINT                "</f>
        <v xml:space="preserve">WEST POINT                </v>
      </c>
      <c r="F7267" t="str">
        <f t="shared" si="230"/>
        <v>MS</v>
      </c>
    </row>
    <row r="7268" spans="1:6" x14ac:dyDescent="0.25">
      <c r="A7268" t="str">
        <f>"000428236"</f>
        <v>000428236</v>
      </c>
      <c r="B7268" t="str">
        <f>"1740859933"</f>
        <v>1740859933</v>
      </c>
      <c r="C7268" t="str">
        <f>"122300000X"</f>
        <v>122300000X</v>
      </c>
      <c r="D7268" t="str">
        <f>"BOND                     HEATHER      N           "</f>
        <v xml:space="preserve">BOND                     HEATHER      N           </v>
      </c>
      <c r="E7268" t="str">
        <f>"WIGGINS                   "</f>
        <v xml:space="preserve">WIGGINS                   </v>
      </c>
      <c r="F7268" t="str">
        <f t="shared" si="230"/>
        <v>MS</v>
      </c>
    </row>
    <row r="7269" spans="1:6" x14ac:dyDescent="0.25">
      <c r="A7269" t="str">
        <f>"000429216"</f>
        <v>000429216</v>
      </c>
      <c r="B7269" t="str">
        <f>"1770060295"</f>
        <v>1770060295</v>
      </c>
      <c r="C7269" t="str">
        <f>"152W00000X"</f>
        <v>152W00000X</v>
      </c>
      <c r="D7269" t="str">
        <f>"MABRY                    ALYSSA       S           "</f>
        <v xml:space="preserve">MABRY                    ALYSSA       S           </v>
      </c>
      <c r="E7269" t="str">
        <f>"SARDIS                    "</f>
        <v xml:space="preserve">SARDIS                    </v>
      </c>
      <c r="F7269" t="str">
        <f t="shared" si="230"/>
        <v>MS</v>
      </c>
    </row>
    <row r="7270" spans="1:6" x14ac:dyDescent="0.25">
      <c r="A7270" t="str">
        <f>"000430027"</f>
        <v>000430027</v>
      </c>
      <c r="B7270" t="str">
        <f>"1033595509"</f>
        <v>1033595509</v>
      </c>
      <c r="C7270" t="str">
        <f>"367500000X"</f>
        <v>367500000X</v>
      </c>
      <c r="D7270" t="str">
        <f>"SKELTON                  LEE          T           "</f>
        <v xml:space="preserve">SKELTON                  LEE          T           </v>
      </c>
      <c r="E7270" t="str">
        <f>"INDIANOLA                 "</f>
        <v xml:space="preserve">INDIANOLA                 </v>
      </c>
      <c r="F7270" t="str">
        <f t="shared" si="230"/>
        <v>MS</v>
      </c>
    </row>
    <row r="7271" spans="1:6" x14ac:dyDescent="0.25">
      <c r="A7271" t="str">
        <f>"000430359"</f>
        <v>000430359</v>
      </c>
      <c r="B7271" t="str">
        <f>"1134659881"</f>
        <v>1134659881</v>
      </c>
      <c r="C7271" t="str">
        <f>"363L00000X"</f>
        <v>363L00000X</v>
      </c>
      <c r="D7271" t="str">
        <f>"SMITH                    ERICA        F           "</f>
        <v xml:space="preserve">SMITH                    ERICA        F           </v>
      </c>
      <c r="E7271" t="str">
        <f>"NATCHEZ                   "</f>
        <v xml:space="preserve">NATCHEZ                   </v>
      </c>
      <c r="F7271" t="str">
        <f t="shared" si="230"/>
        <v>MS</v>
      </c>
    </row>
    <row r="7272" spans="1:6" x14ac:dyDescent="0.25">
      <c r="A7272" t="str">
        <f>"000430372"</f>
        <v>000430372</v>
      </c>
      <c r="B7272" t="str">
        <f>"1811539158"</f>
        <v>1811539158</v>
      </c>
      <c r="C7272" t="str">
        <f>"261QM0801X"</f>
        <v>261QM0801X</v>
      </c>
      <c r="D7272" t="str">
        <f>"CHOICES COORDINATED CARE SOLUTIONS                "</f>
        <v xml:space="preserve">CHOICES COORDINATED CARE SOLUTIONS                </v>
      </c>
      <c r="E7272" t="str">
        <f>"GULFPORT                  "</f>
        <v xml:space="preserve">GULFPORT                  </v>
      </c>
      <c r="F7272" t="str">
        <f t="shared" si="230"/>
        <v>MS</v>
      </c>
    </row>
    <row r="7273" spans="1:6" x14ac:dyDescent="0.25">
      <c r="A7273" t="str">
        <f>"000430801"</f>
        <v>000430801</v>
      </c>
      <c r="B7273" t="str">
        <f>"1891159364"</f>
        <v>1891159364</v>
      </c>
      <c r="C7273" t="str">
        <f>"363L00000X"</f>
        <v>363L00000X</v>
      </c>
      <c r="D7273" t="str">
        <f>"MCCLOSKEY                LAURA        S           "</f>
        <v xml:space="preserve">MCCLOSKEY                LAURA        S           </v>
      </c>
      <c r="E7273" t="str">
        <f>"SOUTHAVEN                 "</f>
        <v xml:space="preserve">SOUTHAVEN                 </v>
      </c>
      <c r="F7273" t="str">
        <f t="shared" si="230"/>
        <v>MS</v>
      </c>
    </row>
    <row r="7274" spans="1:6" x14ac:dyDescent="0.25">
      <c r="A7274" t="str">
        <f>"000432311"</f>
        <v>000432311</v>
      </c>
      <c r="B7274" t="str">
        <f>"1427045194"</f>
        <v>1427045194</v>
      </c>
      <c r="C7274" t="str">
        <f>"208000000X"</f>
        <v>208000000X</v>
      </c>
      <c r="D7274" t="str">
        <f>"KLOEK                    SCOTT        M           "</f>
        <v xml:space="preserve">KLOEK                    SCOTT        M           </v>
      </c>
      <c r="E7274" t="str">
        <f>"SOUTHAVEN                 "</f>
        <v xml:space="preserve">SOUTHAVEN                 </v>
      </c>
      <c r="F7274" t="str">
        <f t="shared" si="230"/>
        <v>MS</v>
      </c>
    </row>
    <row r="7275" spans="1:6" x14ac:dyDescent="0.25">
      <c r="A7275" t="str">
        <f>"000432390"</f>
        <v>000432390</v>
      </c>
      <c r="B7275" t="str">
        <f>"1801282223"</f>
        <v>1801282223</v>
      </c>
      <c r="C7275" t="str">
        <f>"207X00000X"</f>
        <v>207X00000X</v>
      </c>
      <c r="D7275" t="str">
        <f>"TIPTON                   CHRISTOPHER  C           "</f>
        <v xml:space="preserve">TIPTON                   CHRISTOPHER  C           </v>
      </c>
      <c r="E7275" t="str">
        <f>"VICKSBURG                 "</f>
        <v xml:space="preserve">VICKSBURG                 </v>
      </c>
      <c r="F7275" t="str">
        <f t="shared" si="230"/>
        <v>MS</v>
      </c>
    </row>
    <row r="7276" spans="1:6" x14ac:dyDescent="0.25">
      <c r="A7276" t="str">
        <f>"000433021"</f>
        <v>000433021</v>
      </c>
      <c r="B7276" t="str">
        <f>"1023067360"</f>
        <v>1023067360</v>
      </c>
      <c r="C7276" t="str">
        <f>"207Q00000X"</f>
        <v>207Q00000X</v>
      </c>
      <c r="D7276" t="str">
        <f>"ZEIDMAN                  GLENN        E           "</f>
        <v xml:space="preserve">ZEIDMAN                  GLENN        E           </v>
      </c>
      <c r="E7276" t="str">
        <f>"MCCOMB                    "</f>
        <v xml:space="preserve">MCCOMB                    </v>
      </c>
      <c r="F7276" t="str">
        <f t="shared" si="230"/>
        <v>MS</v>
      </c>
    </row>
    <row r="7277" spans="1:6" x14ac:dyDescent="0.25">
      <c r="A7277" t="str">
        <f>"000436561"</f>
        <v>000436561</v>
      </c>
      <c r="B7277" t="str">
        <f>"1144660135"</f>
        <v>1144660135</v>
      </c>
      <c r="C7277" t="str">
        <f>"207L00000X"</f>
        <v>207L00000X</v>
      </c>
      <c r="D7277" t="str">
        <f>"BOLES                    PEGGY        L           "</f>
        <v xml:space="preserve">BOLES                    PEGGY        L           </v>
      </c>
      <c r="E7277" t="str">
        <f>"TUPELO                    "</f>
        <v xml:space="preserve">TUPELO                    </v>
      </c>
      <c r="F7277" t="str">
        <f t="shared" si="230"/>
        <v>MS</v>
      </c>
    </row>
    <row r="7278" spans="1:6" x14ac:dyDescent="0.25">
      <c r="A7278" t="str">
        <f>"000436768"</f>
        <v>000436768</v>
      </c>
      <c r="B7278" t="str">
        <f>"1740734680"</f>
        <v>1740734680</v>
      </c>
      <c r="C7278" t="str">
        <f>"363L00000X"</f>
        <v>363L00000X</v>
      </c>
      <c r="D7278" t="str">
        <f>"PERRY                    LACY         H           "</f>
        <v xml:space="preserve">PERRY                    LACY         H           </v>
      </c>
      <c r="E7278" t="str">
        <f>"CHARLESTON                "</f>
        <v xml:space="preserve">CHARLESTON                </v>
      </c>
      <c r="F7278" t="str">
        <f t="shared" si="230"/>
        <v>MS</v>
      </c>
    </row>
    <row r="7279" spans="1:6" x14ac:dyDescent="0.25">
      <c r="A7279" t="str">
        <f>"000437728"</f>
        <v>000437728</v>
      </c>
      <c r="B7279" t="str">
        <f>"1073041042"</f>
        <v>1073041042</v>
      </c>
      <c r="C7279" t="str">
        <f>"363L00000X"</f>
        <v>363L00000X</v>
      </c>
      <c r="D7279" t="str">
        <f>"POLEY                    JANICE       S           "</f>
        <v xml:space="preserve">POLEY                    JANICE       S           </v>
      </c>
      <c r="E7279" t="str">
        <f>"TUPELO                    "</f>
        <v xml:space="preserve">TUPELO                    </v>
      </c>
      <c r="F7279" t="str">
        <f t="shared" si="230"/>
        <v>MS</v>
      </c>
    </row>
    <row r="7280" spans="1:6" x14ac:dyDescent="0.25">
      <c r="A7280" t="str">
        <f>"000438883"</f>
        <v>000438883</v>
      </c>
      <c r="B7280" t="str">
        <f>"1356443451"</f>
        <v>1356443451</v>
      </c>
      <c r="C7280" t="str">
        <f>"207RC0000X"</f>
        <v>207RC0000X</v>
      </c>
      <c r="D7280" t="str">
        <f>"SZATKOWSKI               ARIE                     "</f>
        <v xml:space="preserve">SZATKOWSKI               ARIE                     </v>
      </c>
      <c r="E7280" t="str">
        <f>"SOUTHAVEN                 "</f>
        <v xml:space="preserve">SOUTHAVEN                 </v>
      </c>
      <c r="F7280" t="str">
        <f t="shared" si="230"/>
        <v>MS</v>
      </c>
    </row>
    <row r="7281" spans="1:6" x14ac:dyDescent="0.25">
      <c r="A7281" t="str">
        <f>"000451554"</f>
        <v>000451554</v>
      </c>
      <c r="B7281" t="str">
        <f>"1295056349"</f>
        <v>1295056349</v>
      </c>
      <c r="C7281" t="str">
        <f>"363L00000X"</f>
        <v>363L00000X</v>
      </c>
      <c r="D7281" t="str">
        <f>"MORGAN                   KIMBERLY                 "</f>
        <v xml:space="preserve">MORGAN                   KIMBERLY                 </v>
      </c>
      <c r="E7281" t="str">
        <f>"BILOXI                    "</f>
        <v xml:space="preserve">BILOXI                    </v>
      </c>
      <c r="F7281" t="str">
        <f t="shared" si="230"/>
        <v>MS</v>
      </c>
    </row>
    <row r="7282" spans="1:6" x14ac:dyDescent="0.25">
      <c r="A7282" t="str">
        <f>"000451720"</f>
        <v>000451720</v>
      </c>
      <c r="B7282" t="str">
        <f>"1063813335"</f>
        <v>1063813335</v>
      </c>
      <c r="C7282" t="str">
        <f>"261QR1300X"</f>
        <v>261QR1300X</v>
      </c>
      <c r="D7282" t="str">
        <f>"NEW ALBANY MEDICAL CLINIC                         "</f>
        <v xml:space="preserve">NEW ALBANY MEDICAL CLINIC                         </v>
      </c>
      <c r="E7282" t="str">
        <f>"NEW ALBANY                "</f>
        <v xml:space="preserve">NEW ALBANY                </v>
      </c>
      <c r="F7282" t="str">
        <f t="shared" si="230"/>
        <v>MS</v>
      </c>
    </row>
    <row r="7283" spans="1:6" x14ac:dyDescent="0.25">
      <c r="A7283" t="str">
        <f>"000451810"</f>
        <v>000451810</v>
      </c>
      <c r="B7283" t="str">
        <f>"1730786377"</f>
        <v>1730786377</v>
      </c>
      <c r="C7283" t="str">
        <f>"363L00000X"</f>
        <v>363L00000X</v>
      </c>
      <c r="D7283" t="str">
        <f>"NEWMAN                   CATHERINE    M           "</f>
        <v xml:space="preserve">NEWMAN                   CATHERINE    M           </v>
      </c>
      <c r="E7283" t="str">
        <f>"MCCOMB                    "</f>
        <v xml:space="preserve">MCCOMB                    </v>
      </c>
      <c r="F7283" t="str">
        <f t="shared" si="230"/>
        <v>MS</v>
      </c>
    </row>
    <row r="7284" spans="1:6" x14ac:dyDescent="0.25">
      <c r="A7284" t="str">
        <f>"000451879"</f>
        <v>000451879</v>
      </c>
      <c r="B7284" t="str">
        <f>"1306126271"</f>
        <v>1306126271</v>
      </c>
      <c r="C7284" t="str">
        <f>"363L00000X"</f>
        <v>363L00000X</v>
      </c>
      <c r="D7284" t="str">
        <f>"SAUCIER                  BONNY        A           "</f>
        <v xml:space="preserve">SAUCIER                  BONNY        A           </v>
      </c>
      <c r="E7284" t="str">
        <f>"VICKSBURG                 "</f>
        <v xml:space="preserve">VICKSBURG                 </v>
      </c>
      <c r="F7284" t="str">
        <f t="shared" si="230"/>
        <v>MS</v>
      </c>
    </row>
    <row r="7285" spans="1:6" x14ac:dyDescent="0.25">
      <c r="A7285" t="str">
        <f>"000452051"</f>
        <v>000452051</v>
      </c>
      <c r="B7285" t="str">
        <f>"1023063955"</f>
        <v>1023063955</v>
      </c>
      <c r="C7285" t="str">
        <f>"207V00000X"</f>
        <v>207V00000X</v>
      </c>
      <c r="D7285" t="str">
        <f>"MIDLER                   KAY          E           "</f>
        <v xml:space="preserve">MIDLER                   KAY          E           </v>
      </c>
      <c r="E7285" t="str">
        <f>"FLOWOOD                   "</f>
        <v xml:space="preserve">FLOWOOD                   </v>
      </c>
      <c r="F7285" t="str">
        <f t="shared" si="230"/>
        <v>MS</v>
      </c>
    </row>
    <row r="7286" spans="1:6" x14ac:dyDescent="0.25">
      <c r="A7286" t="str">
        <f>"000452299"</f>
        <v>000452299</v>
      </c>
      <c r="B7286" t="str">
        <f>"1376034660"</f>
        <v>1376034660</v>
      </c>
      <c r="C7286" t="str">
        <f>"363L00000X"</f>
        <v>363L00000X</v>
      </c>
      <c r="D7286" t="str">
        <f>"MUSA                     SIRNA                    "</f>
        <v xml:space="preserve">MUSA                     SIRNA                    </v>
      </c>
      <c r="E7286" t="str">
        <f>"JACKSON                   "</f>
        <v xml:space="preserve">JACKSON                   </v>
      </c>
      <c r="F7286" t="str">
        <f t="shared" si="230"/>
        <v>MS</v>
      </c>
    </row>
    <row r="7287" spans="1:6" x14ac:dyDescent="0.25">
      <c r="A7287" t="str">
        <f>"000453891"</f>
        <v>000453891</v>
      </c>
      <c r="B7287" t="str">
        <f>"1952965022"</f>
        <v>1952965022</v>
      </c>
      <c r="C7287" t="str">
        <f>"152W00000X"</f>
        <v>152W00000X</v>
      </c>
      <c r="D7287" t="str">
        <f>"BYHALIA VISION CENTER LLC                         "</f>
        <v xml:space="preserve">BYHALIA VISION CENTER LLC                         </v>
      </c>
      <c r="E7287" t="str">
        <f>"BYHALIA                   "</f>
        <v xml:space="preserve">BYHALIA                   </v>
      </c>
      <c r="F7287" t="str">
        <f t="shared" si="230"/>
        <v>MS</v>
      </c>
    </row>
    <row r="7288" spans="1:6" x14ac:dyDescent="0.25">
      <c r="A7288" t="str">
        <f>"000454212"</f>
        <v>000454212</v>
      </c>
      <c r="B7288" t="str">
        <f>"1386630911"</f>
        <v>1386630911</v>
      </c>
      <c r="C7288" t="str">
        <f>"207V00000X"</f>
        <v>207V00000X</v>
      </c>
      <c r="D7288" t="str">
        <f>"ADKINS                   WILLIAM      B           "</f>
        <v xml:space="preserve">ADKINS                   WILLIAM      B           </v>
      </c>
      <c r="E7288" t="str">
        <f>"SOUTHAVEN                 "</f>
        <v xml:space="preserve">SOUTHAVEN                 </v>
      </c>
      <c r="F7288" t="str">
        <f t="shared" si="230"/>
        <v>MS</v>
      </c>
    </row>
    <row r="7289" spans="1:6" x14ac:dyDescent="0.25">
      <c r="A7289" t="str">
        <f>"000454722"</f>
        <v>000454722</v>
      </c>
      <c r="B7289" t="str">
        <f>"1619516911"</f>
        <v>1619516911</v>
      </c>
      <c r="C7289" t="str">
        <f>"363L00000X"</f>
        <v>363L00000X</v>
      </c>
      <c r="D7289" t="str">
        <f>"JONES                    MORGAN       D           "</f>
        <v xml:space="preserve">JONES                    MORGAN       D           </v>
      </c>
      <c r="E7289" t="str">
        <f>"LAUREL                    "</f>
        <v xml:space="preserve">LAUREL                    </v>
      </c>
      <c r="F7289" t="str">
        <f t="shared" si="230"/>
        <v>MS</v>
      </c>
    </row>
    <row r="7290" spans="1:6" x14ac:dyDescent="0.25">
      <c r="A7290" t="str">
        <f>"000455359"</f>
        <v>000455359</v>
      </c>
      <c r="B7290" t="str">
        <f>"1497161020"</f>
        <v>1497161020</v>
      </c>
      <c r="C7290" t="str">
        <f>"207RN0300X"</f>
        <v>207RN0300X</v>
      </c>
      <c r="D7290" t="str">
        <f>"SYED                     BUSHRA                   "</f>
        <v xml:space="preserve">SYED                     BUSHRA                   </v>
      </c>
      <c r="E7290" t="str">
        <f>"JACKSON                   "</f>
        <v xml:space="preserve">JACKSON                   </v>
      </c>
      <c r="F7290" t="str">
        <f t="shared" si="230"/>
        <v>MS</v>
      </c>
    </row>
    <row r="7291" spans="1:6" x14ac:dyDescent="0.25">
      <c r="A7291" t="str">
        <f>"000455825"</f>
        <v>000455825</v>
      </c>
      <c r="B7291" t="str">
        <f>"1326522319"</f>
        <v>1326522319</v>
      </c>
      <c r="C7291" t="str">
        <f>"363L00000X"</f>
        <v>363L00000X</v>
      </c>
      <c r="D7291" t="str">
        <f>"KRATZER                  SAMMY        E           "</f>
        <v xml:space="preserve">KRATZER                  SAMMY        E           </v>
      </c>
      <c r="E7291" t="str">
        <f>"PHILADELPHIA              "</f>
        <v xml:space="preserve">PHILADELPHIA              </v>
      </c>
      <c r="F7291" t="str">
        <f t="shared" si="230"/>
        <v>MS</v>
      </c>
    </row>
    <row r="7292" spans="1:6" x14ac:dyDescent="0.25">
      <c r="A7292" t="str">
        <f>"000457372"</f>
        <v>000457372</v>
      </c>
      <c r="B7292" t="str">
        <f>"1871193722"</f>
        <v>1871193722</v>
      </c>
      <c r="C7292" t="str">
        <f>"261QF0400X"</f>
        <v>261QF0400X</v>
      </c>
      <c r="D7292" t="str">
        <f>"COASTAL FAMILY HEALTH CENTER, INC                 "</f>
        <v xml:space="preserve">COASTAL FAMILY HEALTH CENTER, INC                 </v>
      </c>
      <c r="E7292" t="str">
        <f>"VANCLEAVE                 "</f>
        <v xml:space="preserve">VANCLEAVE                 </v>
      </c>
      <c r="F7292" t="str">
        <f t="shared" si="230"/>
        <v>MS</v>
      </c>
    </row>
    <row r="7293" spans="1:6" x14ac:dyDescent="0.25">
      <c r="A7293" t="str">
        <f>"000457592"</f>
        <v>000457592</v>
      </c>
      <c r="B7293" t="str">
        <f>"1730459504"</f>
        <v>1730459504</v>
      </c>
      <c r="C7293" t="str">
        <f>"363A00000X"</f>
        <v>363A00000X</v>
      </c>
      <c r="D7293" t="str">
        <f>"BURNS                    ANNA         M           "</f>
        <v xml:space="preserve">BURNS                    ANNA         M           </v>
      </c>
      <c r="E7293" t="str">
        <f>"OXFORD                    "</f>
        <v xml:space="preserve">OXFORD                    </v>
      </c>
      <c r="F7293" t="str">
        <f t="shared" si="230"/>
        <v>MS</v>
      </c>
    </row>
    <row r="7294" spans="1:6" x14ac:dyDescent="0.25">
      <c r="A7294" t="str">
        <f>"000458263"</f>
        <v>000458263</v>
      </c>
      <c r="B7294" t="str">
        <f>"1831140557"</f>
        <v>1831140557</v>
      </c>
      <c r="C7294" t="str">
        <f>"207L00000X"</f>
        <v>207L00000X</v>
      </c>
      <c r="D7294" t="str">
        <f>"SIRAGUSA                 ROBERT                   "</f>
        <v xml:space="preserve">SIRAGUSA                 ROBERT                   </v>
      </c>
      <c r="E7294" t="str">
        <f>"OCEAN SPRINGS             "</f>
        <v xml:space="preserve">OCEAN SPRINGS             </v>
      </c>
      <c r="F7294" t="str">
        <f t="shared" ref="F7294:F7357" si="231">"MS"</f>
        <v>MS</v>
      </c>
    </row>
    <row r="7295" spans="1:6" x14ac:dyDescent="0.25">
      <c r="A7295" t="str">
        <f>"000458310"</f>
        <v>000458310</v>
      </c>
      <c r="B7295" t="str">
        <f>"1649442484"</f>
        <v>1649442484</v>
      </c>
      <c r="C7295" t="str">
        <f>"363L00000X"</f>
        <v>363L00000X</v>
      </c>
      <c r="D7295" t="str">
        <f>"RIZZO                    ELIZABETH    B           "</f>
        <v xml:space="preserve">RIZZO                    ELIZABETH    B           </v>
      </c>
      <c r="E7295" t="str">
        <f>"RULEVILLE                 "</f>
        <v xml:space="preserve">RULEVILLE                 </v>
      </c>
      <c r="F7295" t="str">
        <f t="shared" si="231"/>
        <v>MS</v>
      </c>
    </row>
    <row r="7296" spans="1:6" x14ac:dyDescent="0.25">
      <c r="A7296" t="str">
        <f>"000472206"</f>
        <v>000472206</v>
      </c>
      <c r="B7296" t="str">
        <f>"1548221427"</f>
        <v>1548221427</v>
      </c>
      <c r="C7296" t="str">
        <f>"367500000X"</f>
        <v>367500000X</v>
      </c>
      <c r="D7296" t="str">
        <f>"ROGERS                   SUSAN        D           "</f>
        <v xml:space="preserve">ROGERS                   SUSAN        D           </v>
      </c>
      <c r="E7296" t="str">
        <f>"MERIDIAN                  "</f>
        <v xml:space="preserve">MERIDIAN                  </v>
      </c>
      <c r="F7296" t="str">
        <f t="shared" si="231"/>
        <v>MS</v>
      </c>
    </row>
    <row r="7297" spans="1:6" x14ac:dyDescent="0.25">
      <c r="A7297" t="str">
        <f>"000474061"</f>
        <v>000474061</v>
      </c>
      <c r="B7297" t="str">
        <f>"1740624881"</f>
        <v>1740624881</v>
      </c>
      <c r="C7297" t="str">
        <f>"261QF0400X"</f>
        <v>261QF0400X</v>
      </c>
      <c r="D7297" t="str">
        <f>"MALLORY COMMUNITY HEALTH CENTER                   "</f>
        <v xml:space="preserve">MALLORY COMMUNITY HEALTH CENTER                   </v>
      </c>
      <c r="E7297" t="str">
        <f>"LEXINGTON                 "</f>
        <v xml:space="preserve">LEXINGTON                 </v>
      </c>
      <c r="F7297" t="str">
        <f t="shared" si="231"/>
        <v>MS</v>
      </c>
    </row>
    <row r="7298" spans="1:6" x14ac:dyDescent="0.25">
      <c r="A7298" t="str">
        <f>"000475059"</f>
        <v>000475059</v>
      </c>
      <c r="B7298" t="str">
        <f>"1427562156"</f>
        <v>1427562156</v>
      </c>
      <c r="C7298" t="str">
        <f>"363L00000X"</f>
        <v>363L00000X</v>
      </c>
      <c r="D7298" t="str">
        <f>"JACKSON                  MELISSA      B           "</f>
        <v xml:space="preserve">JACKSON                  MELISSA      B           </v>
      </c>
      <c r="E7298" t="str">
        <f>"JACKSON                   "</f>
        <v xml:space="preserve">JACKSON                   </v>
      </c>
      <c r="F7298" t="str">
        <f t="shared" si="231"/>
        <v>MS</v>
      </c>
    </row>
    <row r="7299" spans="1:6" x14ac:dyDescent="0.25">
      <c r="A7299" t="str">
        <f>"000476391"</f>
        <v>000476391</v>
      </c>
      <c r="B7299" t="str">
        <f>"1760615595"</f>
        <v>1760615595</v>
      </c>
      <c r="C7299" t="str">
        <f>"363L00000X"</f>
        <v>363L00000X</v>
      </c>
      <c r="D7299" t="str">
        <f>"LEACH                    SHELLEY      S           "</f>
        <v xml:space="preserve">LEACH                    SHELLEY      S           </v>
      </c>
      <c r="E7299" t="str">
        <f>"MENDENHALL                "</f>
        <v xml:space="preserve">MENDENHALL                </v>
      </c>
      <c r="F7299" t="str">
        <f t="shared" si="231"/>
        <v>MS</v>
      </c>
    </row>
    <row r="7300" spans="1:6" x14ac:dyDescent="0.25">
      <c r="A7300" t="str">
        <f>"000477571"</f>
        <v>000477571</v>
      </c>
      <c r="B7300" t="str">
        <f>"1215354691"</f>
        <v>1215354691</v>
      </c>
      <c r="C7300" t="str">
        <f>"363A00000X"</f>
        <v>363A00000X</v>
      </c>
      <c r="D7300" t="str">
        <f>"ENGLISH                  LAUREN       M           "</f>
        <v xml:space="preserve">ENGLISH                  LAUREN       M           </v>
      </c>
      <c r="E7300" t="str">
        <f>"HATTIESBURG               "</f>
        <v xml:space="preserve">HATTIESBURG               </v>
      </c>
      <c r="F7300" t="str">
        <f t="shared" si="231"/>
        <v>MS</v>
      </c>
    </row>
    <row r="7301" spans="1:6" x14ac:dyDescent="0.25">
      <c r="A7301" t="str">
        <f>"000477744"</f>
        <v>000477744</v>
      </c>
      <c r="B7301" t="str">
        <f>"1336591882"</f>
        <v>1336591882</v>
      </c>
      <c r="C7301" t="str">
        <f>"363L00000X"</f>
        <v>363L00000X</v>
      </c>
      <c r="D7301" t="str">
        <f>"MORDECAI                 AMANDA       J           "</f>
        <v xml:space="preserve">MORDECAI                 AMANDA       J           </v>
      </c>
      <c r="E7301" t="str">
        <f>"COLUMBUS                  "</f>
        <v xml:space="preserve">COLUMBUS                  </v>
      </c>
      <c r="F7301" t="str">
        <f t="shared" si="231"/>
        <v>MS</v>
      </c>
    </row>
    <row r="7302" spans="1:6" x14ac:dyDescent="0.25">
      <c r="A7302" t="str">
        <f>"000477762"</f>
        <v>000477762</v>
      </c>
      <c r="B7302" t="str">
        <f>"1548711120"</f>
        <v>1548711120</v>
      </c>
      <c r="C7302" t="str">
        <f>"261QF0400X"</f>
        <v>261QF0400X</v>
      </c>
      <c r="D7302" t="str">
        <f>"COASTAL FAMILY HEALTH CENTER INC                  "</f>
        <v xml:space="preserve">COASTAL FAMILY HEALTH CENTER INC                  </v>
      </c>
      <c r="E7302" t="str">
        <f>"MOSS POINT                "</f>
        <v xml:space="preserve">MOSS POINT                </v>
      </c>
      <c r="F7302" t="str">
        <f t="shared" si="231"/>
        <v>MS</v>
      </c>
    </row>
    <row r="7303" spans="1:6" x14ac:dyDescent="0.25">
      <c r="A7303" t="str">
        <f>"000478091"</f>
        <v>000478091</v>
      </c>
      <c r="B7303" t="str">
        <f>"1174132112"</f>
        <v>1174132112</v>
      </c>
      <c r="C7303" t="str">
        <f>"363L00000X"</f>
        <v>363L00000X</v>
      </c>
      <c r="D7303" t="str">
        <f>"MITCHELL                 ALISON       R           "</f>
        <v xml:space="preserve">MITCHELL                 ALISON       R           </v>
      </c>
      <c r="E7303" t="str">
        <f>"TUPELO                    "</f>
        <v xml:space="preserve">TUPELO                    </v>
      </c>
      <c r="F7303" t="str">
        <f t="shared" si="231"/>
        <v>MS</v>
      </c>
    </row>
    <row r="7304" spans="1:6" x14ac:dyDescent="0.25">
      <c r="A7304" t="str">
        <f>"000478310"</f>
        <v>000478310</v>
      </c>
      <c r="B7304" t="str">
        <f>"1063951481"</f>
        <v>1063951481</v>
      </c>
      <c r="C7304" t="str">
        <f>"207V00000X"</f>
        <v>207V00000X</v>
      </c>
      <c r="D7304" t="str">
        <f>"HOBGOOD BOSWELL          MORGAN       A           "</f>
        <v xml:space="preserve">HOBGOOD BOSWELL          MORGAN       A           </v>
      </c>
      <c r="E7304" t="str">
        <f>"MERIDIAN                  "</f>
        <v xml:space="preserve">MERIDIAN                  </v>
      </c>
      <c r="F7304" t="str">
        <f t="shared" si="231"/>
        <v>MS</v>
      </c>
    </row>
    <row r="7305" spans="1:6" x14ac:dyDescent="0.25">
      <c r="A7305" t="str">
        <f>"000478885"</f>
        <v>000478885</v>
      </c>
      <c r="B7305" t="str">
        <f>"1023664430"</f>
        <v>1023664430</v>
      </c>
      <c r="C7305" t="str">
        <f>"363L00000X"</f>
        <v>363L00000X</v>
      </c>
      <c r="D7305" t="str">
        <f>"OVERTON                  JENNIFER     E           "</f>
        <v xml:space="preserve">OVERTON                  JENNIFER     E           </v>
      </c>
      <c r="E7305" t="str">
        <f>"JACKSON                   "</f>
        <v xml:space="preserve">JACKSON                   </v>
      </c>
      <c r="F7305" t="str">
        <f t="shared" si="231"/>
        <v>MS</v>
      </c>
    </row>
    <row r="7306" spans="1:6" x14ac:dyDescent="0.25">
      <c r="A7306" t="str">
        <f>"000479777"</f>
        <v>000479777</v>
      </c>
      <c r="B7306" t="str">
        <f>"1609223205"</f>
        <v>1609223205</v>
      </c>
      <c r="C7306" t="str">
        <f>"367500000X"</f>
        <v>367500000X</v>
      </c>
      <c r="D7306" t="str">
        <f>"SULLIVAN                 SALLY                    "</f>
        <v xml:space="preserve">SULLIVAN                 SALLY                    </v>
      </c>
      <c r="E7306" t="str">
        <f>"COLUMBUS                  "</f>
        <v xml:space="preserve">COLUMBUS                  </v>
      </c>
      <c r="F7306" t="str">
        <f t="shared" si="231"/>
        <v>MS</v>
      </c>
    </row>
    <row r="7307" spans="1:6" x14ac:dyDescent="0.25">
      <c r="A7307" t="str">
        <f>"000480800"</f>
        <v>000480800</v>
      </c>
      <c r="B7307" t="str">
        <f>"1649749698"</f>
        <v>1649749698</v>
      </c>
      <c r="C7307" t="str">
        <f>"367500000X"</f>
        <v>367500000X</v>
      </c>
      <c r="D7307" t="str">
        <f>"MILES                    RYAN         M           "</f>
        <v xml:space="preserve">MILES                    RYAN         M           </v>
      </c>
      <c r="E7307" t="str">
        <f>"LAUREL                    "</f>
        <v xml:space="preserve">LAUREL                    </v>
      </c>
      <c r="F7307" t="str">
        <f t="shared" si="231"/>
        <v>MS</v>
      </c>
    </row>
    <row r="7308" spans="1:6" x14ac:dyDescent="0.25">
      <c r="A7308" t="str">
        <f>"000481340"</f>
        <v>000481340</v>
      </c>
      <c r="B7308" t="str">
        <f>"1518111574"</f>
        <v>1518111574</v>
      </c>
      <c r="C7308" t="str">
        <f>"152W00000X"</f>
        <v>152W00000X</v>
      </c>
      <c r="D7308" t="str">
        <f>"FRIER                    JILL                     "</f>
        <v xml:space="preserve">FRIER                    JILL                     </v>
      </c>
      <c r="E7308" t="str">
        <f>"VICKSBURG                 "</f>
        <v xml:space="preserve">VICKSBURG                 </v>
      </c>
      <c r="F7308" t="str">
        <f t="shared" si="231"/>
        <v>MS</v>
      </c>
    </row>
    <row r="7309" spans="1:6" x14ac:dyDescent="0.25">
      <c r="A7309" t="str">
        <f>"000483847"</f>
        <v>000483847</v>
      </c>
      <c r="B7309" t="str">
        <f>"1750645685"</f>
        <v>1750645685</v>
      </c>
      <c r="C7309" t="str">
        <f>"207L00000X"</f>
        <v>207L00000X</v>
      </c>
      <c r="D7309" t="str">
        <f>"TWYNER                   CHANNING     C           "</f>
        <v xml:space="preserve">TWYNER                   CHANNING     C           </v>
      </c>
      <c r="E7309" t="str">
        <f>"JACKSON                   "</f>
        <v xml:space="preserve">JACKSON                   </v>
      </c>
      <c r="F7309" t="str">
        <f t="shared" si="231"/>
        <v>MS</v>
      </c>
    </row>
    <row r="7310" spans="1:6" x14ac:dyDescent="0.25">
      <c r="A7310" t="str">
        <f>"000484027"</f>
        <v>000484027</v>
      </c>
      <c r="B7310" t="str">
        <f>"1285381053"</f>
        <v>1285381053</v>
      </c>
      <c r="C7310" t="str">
        <f>"363L00000X"</f>
        <v>363L00000X</v>
      </c>
      <c r="D7310" t="str">
        <f>"NOVAK                    ABBY                     "</f>
        <v xml:space="preserve">NOVAK                    ABBY                     </v>
      </c>
      <c r="E7310" t="str">
        <f>"NEWTON                    "</f>
        <v xml:space="preserve">NEWTON                    </v>
      </c>
      <c r="F7310" t="str">
        <f t="shared" si="231"/>
        <v>MS</v>
      </c>
    </row>
    <row r="7311" spans="1:6" x14ac:dyDescent="0.25">
      <c r="A7311" t="str">
        <f>"000485590"</f>
        <v>000485590</v>
      </c>
      <c r="B7311" t="str">
        <f>"1831326750"</f>
        <v>1831326750</v>
      </c>
      <c r="C7311" t="str">
        <f>"2084N0400X"</f>
        <v>2084N0400X</v>
      </c>
      <c r="D7311" t="str">
        <f>"BULIC                    SEBINA       F           "</f>
        <v xml:space="preserve">BULIC                    SEBINA       F           </v>
      </c>
      <c r="E7311" t="str">
        <f>"SOUTHAVEN                 "</f>
        <v xml:space="preserve">SOUTHAVEN                 </v>
      </c>
      <c r="F7311" t="str">
        <f t="shared" si="231"/>
        <v>MS</v>
      </c>
    </row>
    <row r="7312" spans="1:6" x14ac:dyDescent="0.25">
      <c r="A7312" t="str">
        <f>"000486201"</f>
        <v>000486201</v>
      </c>
      <c r="B7312" t="str">
        <f>"1073724910"</f>
        <v>1073724910</v>
      </c>
      <c r="C7312" t="str">
        <f>"207L00000X"</f>
        <v>207L00000X</v>
      </c>
      <c r="D7312" t="str">
        <f>"DARE                     PAUL                     "</f>
        <v xml:space="preserve">DARE                     PAUL                     </v>
      </c>
      <c r="E7312" t="str">
        <f>"JACKSON                   "</f>
        <v xml:space="preserve">JACKSON                   </v>
      </c>
      <c r="F7312" t="str">
        <f t="shared" si="231"/>
        <v>MS</v>
      </c>
    </row>
    <row r="7313" spans="1:6" x14ac:dyDescent="0.25">
      <c r="A7313" t="str">
        <f>"000486265"</f>
        <v>000486265</v>
      </c>
      <c r="B7313" t="str">
        <f>"1568653095"</f>
        <v>1568653095</v>
      </c>
      <c r="C7313" t="str">
        <f>"363L00000X"</f>
        <v>363L00000X</v>
      </c>
      <c r="D7313" t="str">
        <f>"MOSELEY                  CHARLES      W           "</f>
        <v xml:space="preserve">MOSELEY                  CHARLES      W           </v>
      </c>
      <c r="E7313" t="str">
        <f>"MERIDIAN                  "</f>
        <v xml:space="preserve">MERIDIAN                  </v>
      </c>
      <c r="F7313" t="str">
        <f t="shared" si="231"/>
        <v>MS</v>
      </c>
    </row>
    <row r="7314" spans="1:6" x14ac:dyDescent="0.25">
      <c r="A7314" t="str">
        <f>"000486396"</f>
        <v>000486396</v>
      </c>
      <c r="B7314" t="str">
        <f>"1245736818"</f>
        <v>1245736818</v>
      </c>
      <c r="C7314" t="str">
        <f>"207R00000X"</f>
        <v>207R00000X</v>
      </c>
      <c r="D7314" t="str">
        <f>"DARA                     NAVID                    "</f>
        <v xml:space="preserve">DARA                     NAVID                    </v>
      </c>
      <c r="E7314" t="str">
        <f>"COLUMBUS                  "</f>
        <v xml:space="preserve">COLUMBUS                  </v>
      </c>
      <c r="F7314" t="str">
        <f t="shared" si="231"/>
        <v>MS</v>
      </c>
    </row>
    <row r="7315" spans="1:6" x14ac:dyDescent="0.25">
      <c r="A7315" t="str">
        <f>"000486404"</f>
        <v>000486404</v>
      </c>
      <c r="B7315" t="str">
        <f>"1629403704"</f>
        <v>1629403704</v>
      </c>
      <c r="C7315" t="str">
        <f>"363L00000X"</f>
        <v>363L00000X</v>
      </c>
      <c r="D7315" t="str">
        <f>"SHOEMAKER                COREY        L           "</f>
        <v xml:space="preserve">SHOEMAKER                COREY        L           </v>
      </c>
      <c r="E7315" t="str">
        <f>"FOREST                    "</f>
        <v xml:space="preserve">FOREST                    </v>
      </c>
      <c r="F7315" t="str">
        <f t="shared" si="231"/>
        <v>MS</v>
      </c>
    </row>
    <row r="7316" spans="1:6" x14ac:dyDescent="0.25">
      <c r="A7316" t="str">
        <f>"000487016"</f>
        <v>000487016</v>
      </c>
      <c r="B7316" t="str">
        <f>"1760654990"</f>
        <v>1760654990</v>
      </c>
      <c r="C7316" t="str">
        <f>"207RN0300X"</f>
        <v>207RN0300X</v>
      </c>
      <c r="D7316" t="str">
        <f>"BEEMIDI                  VIKRAM       R           "</f>
        <v xml:space="preserve">BEEMIDI                  VIKRAM       R           </v>
      </c>
      <c r="E7316" t="str">
        <f>"CLARKSDALE                "</f>
        <v xml:space="preserve">CLARKSDALE                </v>
      </c>
      <c r="F7316" t="str">
        <f t="shared" si="231"/>
        <v>MS</v>
      </c>
    </row>
    <row r="7317" spans="1:6" x14ac:dyDescent="0.25">
      <c r="A7317" t="str">
        <f>"000488801"</f>
        <v>000488801</v>
      </c>
      <c r="B7317" t="str">
        <f>"1740293257"</f>
        <v>1740293257</v>
      </c>
      <c r="C7317" t="str">
        <f>"261QR1300X"</f>
        <v>261QR1300X</v>
      </c>
      <c r="D7317" t="str">
        <f>"WIGGINS PRIMARY CARE                              "</f>
        <v xml:space="preserve">WIGGINS PRIMARY CARE                              </v>
      </c>
      <c r="E7317" t="str">
        <f>"WIGGINS                   "</f>
        <v xml:space="preserve">WIGGINS                   </v>
      </c>
      <c r="F7317" t="str">
        <f t="shared" si="231"/>
        <v>MS</v>
      </c>
    </row>
    <row r="7318" spans="1:6" x14ac:dyDescent="0.25">
      <c r="A7318" t="str">
        <f>"000489557"</f>
        <v>000489557</v>
      </c>
      <c r="B7318" t="str">
        <f>"1205500410"</f>
        <v>1205500410</v>
      </c>
      <c r="C7318" t="str">
        <f>"363L00000X"</f>
        <v>363L00000X</v>
      </c>
      <c r="D7318" t="str">
        <f>"WESTBROOK                JAMES        L           "</f>
        <v xml:space="preserve">WESTBROOK                JAMES        L           </v>
      </c>
      <c r="E7318" t="str">
        <f>"LIBERTY                   "</f>
        <v xml:space="preserve">LIBERTY                   </v>
      </c>
      <c r="F7318" t="str">
        <f t="shared" si="231"/>
        <v>MS</v>
      </c>
    </row>
    <row r="7319" spans="1:6" x14ac:dyDescent="0.25">
      <c r="A7319" t="str">
        <f>"000489789"</f>
        <v>000489789</v>
      </c>
      <c r="B7319" t="str">
        <f>"1952833212"</f>
        <v>1952833212</v>
      </c>
      <c r="C7319" t="str">
        <f>"2085R0202X"</f>
        <v>2085R0202X</v>
      </c>
      <c r="D7319" t="str">
        <f>"MAYEUX                   ALEX         M           "</f>
        <v xml:space="preserve">MAYEUX                   ALEX         M           </v>
      </c>
      <c r="E7319" t="str">
        <f>"COLUMBUS                  "</f>
        <v xml:space="preserve">COLUMBUS                  </v>
      </c>
      <c r="F7319" t="str">
        <f t="shared" si="231"/>
        <v>MS</v>
      </c>
    </row>
    <row r="7320" spans="1:6" x14ac:dyDescent="0.25">
      <c r="A7320" t="str">
        <f>"000500036"</f>
        <v>000500036</v>
      </c>
      <c r="B7320" t="str">
        <f>"1073173514"</f>
        <v>1073173514</v>
      </c>
      <c r="C7320" t="str">
        <f>"207Q00000X"</f>
        <v>207Q00000X</v>
      </c>
      <c r="D7320" t="str">
        <f>"MCKNIGHT                 FALAN        N           "</f>
        <v xml:space="preserve">MCKNIGHT                 FALAN        N           </v>
      </c>
      <c r="E7320" t="str">
        <f>"LOUISVILLE                "</f>
        <v xml:space="preserve">LOUISVILLE                </v>
      </c>
      <c r="F7320" t="str">
        <f t="shared" si="231"/>
        <v>MS</v>
      </c>
    </row>
    <row r="7321" spans="1:6" x14ac:dyDescent="0.25">
      <c r="A7321" t="str">
        <f>"000500879"</f>
        <v>000500879</v>
      </c>
      <c r="B7321" t="str">
        <f>"1881356574"</f>
        <v>1881356574</v>
      </c>
      <c r="C7321" t="str">
        <f>"363L00000X"</f>
        <v>363L00000X</v>
      </c>
      <c r="D7321" t="str">
        <f>"CARTER                   CORETTA                  "</f>
        <v xml:space="preserve">CARTER                   CORETTA                  </v>
      </c>
      <c r="E7321" t="str">
        <f>"YAZOO CITY                "</f>
        <v xml:space="preserve">YAZOO CITY                </v>
      </c>
      <c r="F7321" t="str">
        <f t="shared" si="231"/>
        <v>MS</v>
      </c>
    </row>
    <row r="7322" spans="1:6" x14ac:dyDescent="0.25">
      <c r="A7322" t="str">
        <f>"000501056"</f>
        <v>000501056</v>
      </c>
      <c r="B7322" t="str">
        <f>"1245274281"</f>
        <v>1245274281</v>
      </c>
      <c r="C7322" t="str">
        <f>"207R00000X"</f>
        <v>207R00000X</v>
      </c>
      <c r="D7322" t="str">
        <f>"GLISSON                  JAMES        K           "</f>
        <v xml:space="preserve">GLISSON                  JAMES        K           </v>
      </c>
      <c r="E7322" t="str">
        <f>"WEST POINT                "</f>
        <v xml:space="preserve">WEST POINT                </v>
      </c>
      <c r="F7322" t="str">
        <f t="shared" si="231"/>
        <v>MS</v>
      </c>
    </row>
    <row r="7323" spans="1:6" x14ac:dyDescent="0.25">
      <c r="A7323" t="str">
        <f>"000501353"</f>
        <v>000501353</v>
      </c>
      <c r="B7323" t="str">
        <f>"1871068338"</f>
        <v>1871068338</v>
      </c>
      <c r="C7323" t="str">
        <f>"363L00000X"</f>
        <v>363L00000X</v>
      </c>
      <c r="D7323" t="str">
        <f>"SIMMONS                  SARAH        M           "</f>
        <v xml:space="preserve">SIMMONS                  SARAH        M           </v>
      </c>
      <c r="E7323" t="str">
        <f>"TUPELO                    "</f>
        <v xml:space="preserve">TUPELO                    </v>
      </c>
      <c r="F7323" t="str">
        <f t="shared" si="231"/>
        <v>MS</v>
      </c>
    </row>
    <row r="7324" spans="1:6" x14ac:dyDescent="0.25">
      <c r="A7324" t="str">
        <f>"000501525"</f>
        <v>000501525</v>
      </c>
      <c r="B7324" t="str">
        <f>"1215416250"</f>
        <v>1215416250</v>
      </c>
      <c r="C7324" t="str">
        <f>"363LP0808X"</f>
        <v>363LP0808X</v>
      </c>
      <c r="D7324" t="str">
        <f>"JONES                    CHRISTA                  "</f>
        <v xml:space="preserve">JONES                    CHRISTA                  </v>
      </c>
      <c r="E7324" t="str">
        <f>"MCCOMB                    "</f>
        <v xml:space="preserve">MCCOMB                    </v>
      </c>
      <c r="F7324" t="str">
        <f t="shared" si="231"/>
        <v>MS</v>
      </c>
    </row>
    <row r="7325" spans="1:6" x14ac:dyDescent="0.25">
      <c r="A7325" t="str">
        <f>"000502221"</f>
        <v>000502221</v>
      </c>
      <c r="B7325" t="str">
        <f>"1457950842"</f>
        <v>1457950842</v>
      </c>
      <c r="C7325" t="str">
        <f>"367500000X"</f>
        <v>367500000X</v>
      </c>
      <c r="D7325" t="str">
        <f>"ARMSTRONG                TYLER        G           "</f>
        <v xml:space="preserve">ARMSTRONG                TYLER        G           </v>
      </c>
      <c r="E7325" t="str">
        <f>"HATTIESBURG               "</f>
        <v xml:space="preserve">HATTIESBURG               </v>
      </c>
      <c r="F7325" t="str">
        <f t="shared" si="231"/>
        <v>MS</v>
      </c>
    </row>
    <row r="7326" spans="1:6" x14ac:dyDescent="0.25">
      <c r="A7326" t="str">
        <f>"000502288"</f>
        <v>000502288</v>
      </c>
      <c r="B7326" t="str">
        <f>"1548311103"</f>
        <v>1548311103</v>
      </c>
      <c r="C7326" t="str">
        <f>"207P00000X"</f>
        <v>207P00000X</v>
      </c>
      <c r="D7326" t="str">
        <f>"PATINO                   GREGORY      A           "</f>
        <v xml:space="preserve">PATINO                   GREGORY      A           </v>
      </c>
      <c r="E7326" t="str">
        <f>"GULFPORT                  "</f>
        <v xml:space="preserve">GULFPORT                  </v>
      </c>
      <c r="F7326" t="str">
        <f t="shared" si="231"/>
        <v>MS</v>
      </c>
    </row>
    <row r="7327" spans="1:6" x14ac:dyDescent="0.25">
      <c r="A7327" t="str">
        <f>"000502369"</f>
        <v>000502369</v>
      </c>
      <c r="B7327" t="str">
        <f>"1407343734"</f>
        <v>1407343734</v>
      </c>
      <c r="C7327" t="str">
        <f>"207R00000X"</f>
        <v>207R00000X</v>
      </c>
      <c r="D7327" t="str">
        <f>"JOHNSON                  KATRINA      L           "</f>
        <v xml:space="preserve">JOHNSON                  KATRINA      L           </v>
      </c>
      <c r="E7327" t="str">
        <f>"JACKSON                   "</f>
        <v xml:space="preserve">JACKSON                   </v>
      </c>
      <c r="F7327" t="str">
        <f t="shared" si="231"/>
        <v>MS</v>
      </c>
    </row>
    <row r="7328" spans="1:6" x14ac:dyDescent="0.25">
      <c r="A7328" t="str">
        <f>"000502556"</f>
        <v>000502556</v>
      </c>
      <c r="B7328" t="str">
        <f>"1477992121"</f>
        <v>1477992121</v>
      </c>
      <c r="C7328" t="str">
        <f>"122300000X"</f>
        <v>122300000X</v>
      </c>
      <c r="D7328" t="str">
        <f>"BYRD                     ADAM         D           "</f>
        <v xml:space="preserve">BYRD                     ADAM         D           </v>
      </c>
      <c r="E7328" t="str">
        <f>"FLORENCE                  "</f>
        <v xml:space="preserve">FLORENCE                  </v>
      </c>
      <c r="F7328" t="str">
        <f t="shared" si="231"/>
        <v>MS</v>
      </c>
    </row>
    <row r="7329" spans="1:6" x14ac:dyDescent="0.25">
      <c r="A7329" t="str">
        <f>"000502731"</f>
        <v>000502731</v>
      </c>
      <c r="B7329" t="str">
        <f>"1386844066"</f>
        <v>1386844066</v>
      </c>
      <c r="C7329" t="str">
        <f>"207Q00000X"</f>
        <v>207Q00000X</v>
      </c>
      <c r="D7329" t="str">
        <f>"MCKAY                    KIMBERLY     J           "</f>
        <v xml:space="preserve">MCKAY                    KIMBERLY     J           </v>
      </c>
      <c r="E7329" t="str">
        <f>"BOONEVILLE                "</f>
        <v xml:space="preserve">BOONEVILLE                </v>
      </c>
      <c r="F7329" t="str">
        <f t="shared" si="231"/>
        <v>MS</v>
      </c>
    </row>
    <row r="7330" spans="1:6" x14ac:dyDescent="0.25">
      <c r="A7330" t="str">
        <f>"000503019"</f>
        <v>000503019</v>
      </c>
      <c r="B7330" t="str">
        <f>"1245462282"</f>
        <v>1245462282</v>
      </c>
      <c r="C7330" t="str">
        <f>"363L00000X"</f>
        <v>363L00000X</v>
      </c>
      <c r="D7330" t="str">
        <f>"CAIN                     RALPH        T           "</f>
        <v xml:space="preserve">CAIN                     RALPH        T           </v>
      </c>
      <c r="E7330" t="str">
        <f>"EUPORA                    "</f>
        <v xml:space="preserve">EUPORA                    </v>
      </c>
      <c r="F7330" t="str">
        <f t="shared" si="231"/>
        <v>MS</v>
      </c>
    </row>
    <row r="7331" spans="1:6" x14ac:dyDescent="0.25">
      <c r="A7331" t="str">
        <f>"000503765"</f>
        <v>000503765</v>
      </c>
      <c r="B7331" t="str">
        <f>"1720211386"</f>
        <v>1720211386</v>
      </c>
      <c r="C7331" t="str">
        <f>"261QF0400X"</f>
        <v>261QF0400X</v>
      </c>
      <c r="D7331" t="str">
        <f>"FAMILY HEALTH CARE CLINIC INC                     "</f>
        <v xml:space="preserve">FAMILY HEALTH CARE CLINIC INC                     </v>
      </c>
      <c r="E7331" t="str">
        <f>"WOODVILLE                 "</f>
        <v xml:space="preserve">WOODVILLE                 </v>
      </c>
      <c r="F7331" t="str">
        <f t="shared" si="231"/>
        <v>MS</v>
      </c>
    </row>
    <row r="7332" spans="1:6" x14ac:dyDescent="0.25">
      <c r="A7332" t="str">
        <f>"000506300"</f>
        <v>000506300</v>
      </c>
      <c r="B7332" t="str">
        <f>"1225690100"</f>
        <v>1225690100</v>
      </c>
      <c r="C7332" t="str">
        <f>"207Q00000X"</f>
        <v>207Q00000X</v>
      </c>
      <c r="D7332" t="str">
        <f>"BROWN                    JENNIFER                 "</f>
        <v xml:space="preserve">BROWN                    JENNIFER                 </v>
      </c>
      <c r="E7332" t="str">
        <f>"MERIDIAN                  "</f>
        <v xml:space="preserve">MERIDIAN                  </v>
      </c>
      <c r="F7332" t="str">
        <f t="shared" si="231"/>
        <v>MS</v>
      </c>
    </row>
    <row r="7333" spans="1:6" x14ac:dyDescent="0.25">
      <c r="A7333" t="str">
        <f>"000507093"</f>
        <v>000507093</v>
      </c>
      <c r="B7333" t="str">
        <f>"1043294432"</f>
        <v>1043294432</v>
      </c>
      <c r="C7333" t="str">
        <f>"208600000X"</f>
        <v>208600000X</v>
      </c>
      <c r="D7333" t="str">
        <f>"DE DELVA                 PIERRE       E           "</f>
        <v xml:space="preserve">DE DELVA                 PIERRE       E           </v>
      </c>
      <c r="E7333" t="str">
        <f>"JACKSON                   "</f>
        <v xml:space="preserve">JACKSON                   </v>
      </c>
      <c r="F7333" t="str">
        <f t="shared" si="231"/>
        <v>MS</v>
      </c>
    </row>
    <row r="7334" spans="1:6" x14ac:dyDescent="0.25">
      <c r="A7334" t="str">
        <f>"000507305"</f>
        <v>000507305</v>
      </c>
      <c r="B7334" t="str">
        <f>"1598274623"</f>
        <v>1598274623</v>
      </c>
      <c r="C7334" t="str">
        <f>"363L00000X"</f>
        <v>363L00000X</v>
      </c>
      <c r="D7334" t="str">
        <f>"PRINCIOTTA               ALLISON      L           "</f>
        <v xml:space="preserve">PRINCIOTTA               ALLISON      L           </v>
      </c>
      <c r="E7334" t="str">
        <f>"JACKSON                   "</f>
        <v xml:space="preserve">JACKSON                   </v>
      </c>
      <c r="F7334" t="str">
        <f t="shared" si="231"/>
        <v>MS</v>
      </c>
    </row>
    <row r="7335" spans="1:6" x14ac:dyDescent="0.25">
      <c r="A7335" t="str">
        <f>"000508243"</f>
        <v>000508243</v>
      </c>
      <c r="B7335" t="str">
        <f>"1043327034"</f>
        <v>1043327034</v>
      </c>
      <c r="C7335" t="str">
        <f>"363L00000X"</f>
        <v>363L00000X</v>
      </c>
      <c r="D7335" t="str">
        <f>"STRINGER                 MARISA       S           "</f>
        <v xml:space="preserve">STRINGER                 MARISA       S           </v>
      </c>
      <c r="E7335" t="str">
        <f>"BILOXI                    "</f>
        <v xml:space="preserve">BILOXI                    </v>
      </c>
      <c r="F7335" t="str">
        <f t="shared" si="231"/>
        <v>MS</v>
      </c>
    </row>
    <row r="7336" spans="1:6" x14ac:dyDescent="0.25">
      <c r="A7336" t="str">
        <f>"000508798"</f>
        <v>000508798</v>
      </c>
      <c r="B7336" t="str">
        <f>"1225699325"</f>
        <v>1225699325</v>
      </c>
      <c r="C7336" t="str">
        <f>"363L00000X"</f>
        <v>363L00000X</v>
      </c>
      <c r="D7336" t="str">
        <f>"BAKER                    LAUREN       E           "</f>
        <v xml:space="preserve">BAKER                    LAUREN       E           </v>
      </c>
      <c r="E7336" t="str">
        <f>"SENATOBIA                 "</f>
        <v xml:space="preserve">SENATOBIA                 </v>
      </c>
      <c r="F7336" t="str">
        <f t="shared" si="231"/>
        <v>MS</v>
      </c>
    </row>
    <row r="7337" spans="1:6" x14ac:dyDescent="0.25">
      <c r="A7337" t="str">
        <f>"000508899"</f>
        <v>000508899</v>
      </c>
      <c r="B7337" t="str">
        <f>"1508403429"</f>
        <v>1508403429</v>
      </c>
      <c r="C7337" t="str">
        <f>"363L00000X"</f>
        <v>363L00000X</v>
      </c>
      <c r="D7337" t="str">
        <f>"MCELHENNEY               MELISSA      L           "</f>
        <v xml:space="preserve">MCELHENNEY               MELISSA      L           </v>
      </c>
      <c r="E7337" t="str">
        <f>"MERIDIAN                  "</f>
        <v xml:space="preserve">MERIDIAN                  </v>
      </c>
      <c r="F7337" t="str">
        <f t="shared" si="231"/>
        <v>MS</v>
      </c>
    </row>
    <row r="7338" spans="1:6" x14ac:dyDescent="0.25">
      <c r="A7338" t="str">
        <f>"000520368"</f>
        <v>000520368</v>
      </c>
      <c r="B7338" t="str">
        <f>"1174850721"</f>
        <v>1174850721</v>
      </c>
      <c r="C7338" t="str">
        <f>"367500000X"</f>
        <v>367500000X</v>
      </c>
      <c r="D7338" t="str">
        <f>"ADKINS                   VANESSA      R           "</f>
        <v xml:space="preserve">ADKINS                   VANESSA      R           </v>
      </c>
      <c r="E7338" t="str">
        <f>"NEW ALBANY                "</f>
        <v xml:space="preserve">NEW ALBANY                </v>
      </c>
      <c r="F7338" t="str">
        <f t="shared" si="231"/>
        <v>MS</v>
      </c>
    </row>
    <row r="7339" spans="1:6" x14ac:dyDescent="0.25">
      <c r="A7339" t="str">
        <f>"000520597"</f>
        <v>000520597</v>
      </c>
      <c r="B7339" t="str">
        <f>"1669955423"</f>
        <v>1669955423</v>
      </c>
      <c r="C7339" t="str">
        <f>"363L00000X"</f>
        <v>363L00000X</v>
      </c>
      <c r="D7339" t="str">
        <f>"LOGGINS                  TANNISHA     M           "</f>
        <v xml:space="preserve">LOGGINS                  TANNISHA     M           </v>
      </c>
      <c r="E7339" t="str">
        <f>"SOUTHAVEN                 "</f>
        <v xml:space="preserve">SOUTHAVEN                 </v>
      </c>
      <c r="F7339" t="str">
        <f t="shared" si="231"/>
        <v>MS</v>
      </c>
    </row>
    <row r="7340" spans="1:6" x14ac:dyDescent="0.25">
      <c r="A7340" t="str">
        <f>"000520851"</f>
        <v>000520851</v>
      </c>
      <c r="B7340" t="str">
        <f>"1366604100"</f>
        <v>1366604100</v>
      </c>
      <c r="C7340" t="str">
        <f>"208600000X"</f>
        <v>208600000X</v>
      </c>
      <c r="D7340" t="str">
        <f>"BASS                     ERICA        H           "</f>
        <v xml:space="preserve">BASS                     ERICA        H           </v>
      </c>
      <c r="E7340" t="str">
        <f>"MADISON                   "</f>
        <v xml:space="preserve">MADISON                   </v>
      </c>
      <c r="F7340" t="str">
        <f t="shared" si="231"/>
        <v>MS</v>
      </c>
    </row>
    <row r="7341" spans="1:6" x14ac:dyDescent="0.25">
      <c r="A7341" t="str">
        <f>"000523070"</f>
        <v>000523070</v>
      </c>
      <c r="B7341" t="str">
        <f>"1841612066"</f>
        <v>1841612066</v>
      </c>
      <c r="C7341" t="str">
        <f>"363L00000X"</f>
        <v>363L00000X</v>
      </c>
      <c r="D7341" t="str">
        <f>"DEPTA                    AMY                      "</f>
        <v xml:space="preserve">DEPTA                    AMY                      </v>
      </c>
      <c r="E7341" t="str">
        <f>"NATCHEZ                   "</f>
        <v xml:space="preserve">NATCHEZ                   </v>
      </c>
      <c r="F7341" t="str">
        <f t="shared" si="231"/>
        <v>MS</v>
      </c>
    </row>
    <row r="7342" spans="1:6" x14ac:dyDescent="0.25">
      <c r="A7342" t="str">
        <f>"000523804"</f>
        <v>000523804</v>
      </c>
      <c r="B7342" t="str">
        <f>"1558379263"</f>
        <v>1558379263</v>
      </c>
      <c r="C7342" t="str">
        <f>"2084P0804X"</f>
        <v>2084P0804X</v>
      </c>
      <c r="D7342" t="str">
        <f>"PASSER                   KEVIN        M           "</f>
        <v xml:space="preserve">PASSER                   KEVIN        M           </v>
      </c>
      <c r="E7342" t="str">
        <f>"HATTIESBURG               "</f>
        <v xml:space="preserve">HATTIESBURG               </v>
      </c>
      <c r="F7342" t="str">
        <f t="shared" si="231"/>
        <v>MS</v>
      </c>
    </row>
    <row r="7343" spans="1:6" x14ac:dyDescent="0.25">
      <c r="A7343" t="str">
        <f>"000525769"</f>
        <v>000525769</v>
      </c>
      <c r="B7343" t="str">
        <f>"1396383501"</f>
        <v>1396383501</v>
      </c>
      <c r="C7343" t="str">
        <f>"363L00000X"</f>
        <v>363L00000X</v>
      </c>
      <c r="D7343" t="str">
        <f>"GATHINGS                 FELICIA      M           "</f>
        <v xml:space="preserve">GATHINGS                 FELICIA      M           </v>
      </c>
      <c r="E7343" t="str">
        <f>"COLUMBUS                  "</f>
        <v xml:space="preserve">COLUMBUS                  </v>
      </c>
      <c r="F7343" t="str">
        <f t="shared" si="231"/>
        <v>MS</v>
      </c>
    </row>
    <row r="7344" spans="1:6" x14ac:dyDescent="0.25">
      <c r="A7344" t="str">
        <f>"000525785"</f>
        <v>000525785</v>
      </c>
      <c r="B7344" t="str">
        <f>"1023591559"</f>
        <v>1023591559</v>
      </c>
      <c r="C7344" t="str">
        <f>"363L00000X"</f>
        <v>363L00000X</v>
      </c>
      <c r="D7344" t="str">
        <f>"HODNETT                  WILLIAM      J           "</f>
        <v xml:space="preserve">HODNETT                  WILLIAM      J           </v>
      </c>
      <c r="E7344" t="str">
        <f>"RULEVILLE                 "</f>
        <v xml:space="preserve">RULEVILLE                 </v>
      </c>
      <c r="F7344" t="str">
        <f t="shared" si="231"/>
        <v>MS</v>
      </c>
    </row>
    <row r="7345" spans="1:6" x14ac:dyDescent="0.25">
      <c r="A7345" t="str">
        <f>"000525892"</f>
        <v>000525892</v>
      </c>
      <c r="B7345" t="str">
        <f>"1891084414"</f>
        <v>1891084414</v>
      </c>
      <c r="C7345" t="str">
        <f>"261QM1300X"</f>
        <v>261QM1300X</v>
      </c>
      <c r="D7345" t="str">
        <f>"MS CTR FOR AUTISM RELATED DEV DIS                 "</f>
        <v xml:space="preserve">MS CTR FOR AUTISM RELATED DEV DIS                 </v>
      </c>
      <c r="E7345" t="str">
        <f>"DIBERVILLE                "</f>
        <v xml:space="preserve">DIBERVILLE                </v>
      </c>
      <c r="F7345" t="str">
        <f t="shared" si="231"/>
        <v>MS</v>
      </c>
    </row>
    <row r="7346" spans="1:6" x14ac:dyDescent="0.25">
      <c r="A7346" t="str">
        <f>"000526064"</f>
        <v>000526064</v>
      </c>
      <c r="B7346" t="str">
        <f>"1972258119"</f>
        <v>1972258119</v>
      </c>
      <c r="C7346" t="str">
        <f>"261QA0600X"</f>
        <v>261QA0600X</v>
      </c>
      <c r="D7346" t="str">
        <f>"TOP CHOICE ADULT DAY CENTER                       "</f>
        <v xml:space="preserve">TOP CHOICE ADULT DAY CENTER                       </v>
      </c>
      <c r="E7346" t="str">
        <f>"HATTIESBURG               "</f>
        <v xml:space="preserve">HATTIESBURG               </v>
      </c>
      <c r="F7346" t="str">
        <f t="shared" si="231"/>
        <v>MS</v>
      </c>
    </row>
    <row r="7347" spans="1:6" x14ac:dyDescent="0.25">
      <c r="A7347" t="str">
        <f>"000527311"</f>
        <v>000527311</v>
      </c>
      <c r="B7347" t="str">
        <f>"1538497334"</f>
        <v>1538497334</v>
      </c>
      <c r="C7347" t="str">
        <f>"363L00000X"</f>
        <v>363L00000X</v>
      </c>
      <c r="D7347" t="str">
        <f>"MCKISSACK                MELISSA                  "</f>
        <v xml:space="preserve">MCKISSACK                MELISSA                  </v>
      </c>
      <c r="E7347" t="str">
        <f>"FLOWOOD                   "</f>
        <v xml:space="preserve">FLOWOOD                   </v>
      </c>
      <c r="F7347" t="str">
        <f t="shared" si="231"/>
        <v>MS</v>
      </c>
    </row>
    <row r="7348" spans="1:6" x14ac:dyDescent="0.25">
      <c r="A7348" t="str">
        <f>"000528891"</f>
        <v>000528891</v>
      </c>
      <c r="B7348" t="str">
        <f>"1336633791"</f>
        <v>1336633791</v>
      </c>
      <c r="C7348" t="str">
        <f>"363L00000X"</f>
        <v>363L00000X</v>
      </c>
      <c r="D7348" t="str">
        <f>"GRANTHAM                 CRYSTAL      D           "</f>
        <v xml:space="preserve">GRANTHAM                 CRYSTAL      D           </v>
      </c>
      <c r="E7348" t="str">
        <f>"RICHTON                   "</f>
        <v xml:space="preserve">RICHTON                   </v>
      </c>
      <c r="F7348" t="str">
        <f t="shared" si="231"/>
        <v>MS</v>
      </c>
    </row>
    <row r="7349" spans="1:6" x14ac:dyDescent="0.25">
      <c r="A7349" t="str">
        <f>"000529008"</f>
        <v>000529008</v>
      </c>
      <c r="B7349" t="str">
        <f>"1962854323"</f>
        <v>1962854323</v>
      </c>
      <c r="C7349" t="str">
        <f>"363L00000X"</f>
        <v>363L00000X</v>
      </c>
      <c r="D7349" t="str">
        <f>"FOSTER                   LAURIE       E           "</f>
        <v xml:space="preserve">FOSTER                   LAURIE       E           </v>
      </c>
      <c r="E7349" t="str">
        <f>"JACKSON                   "</f>
        <v xml:space="preserve">JACKSON                   </v>
      </c>
      <c r="F7349" t="str">
        <f t="shared" si="231"/>
        <v>MS</v>
      </c>
    </row>
    <row r="7350" spans="1:6" x14ac:dyDescent="0.25">
      <c r="A7350" t="str">
        <f>"000529313"</f>
        <v>000529313</v>
      </c>
      <c r="B7350" t="str">
        <f>"1831551340"</f>
        <v>1831551340</v>
      </c>
      <c r="C7350" t="str">
        <f>"208000000X"</f>
        <v>208000000X</v>
      </c>
      <c r="D7350" t="str">
        <f>"DODD                     HENRY        H           "</f>
        <v xml:space="preserve">DODD                     HENRY        H           </v>
      </c>
      <c r="E7350" t="str">
        <f>"CORINTH                   "</f>
        <v xml:space="preserve">CORINTH                   </v>
      </c>
      <c r="F7350" t="str">
        <f t="shared" si="231"/>
        <v>MS</v>
      </c>
    </row>
    <row r="7351" spans="1:6" x14ac:dyDescent="0.25">
      <c r="A7351" t="str">
        <f>"000529717"</f>
        <v>000529717</v>
      </c>
      <c r="B7351" t="str">
        <f>"1467519827"</f>
        <v>1467519827</v>
      </c>
      <c r="C7351" t="str">
        <f>"122300000X"</f>
        <v>122300000X</v>
      </c>
      <c r="D7351" t="str">
        <f>"TULLOS FAMILY DENTISTRY, PA                       "</f>
        <v xml:space="preserve">TULLOS FAMILY DENTISTRY, PA                       </v>
      </c>
      <c r="E7351" t="str">
        <f>"RALEIGH                   "</f>
        <v xml:space="preserve">RALEIGH                   </v>
      </c>
      <c r="F7351" t="str">
        <f t="shared" si="231"/>
        <v>MS</v>
      </c>
    </row>
    <row r="7352" spans="1:6" x14ac:dyDescent="0.25">
      <c r="A7352" t="str">
        <f>"000531760"</f>
        <v>000531760</v>
      </c>
      <c r="B7352" t="str">
        <f>"1942600259"</f>
        <v>1942600259</v>
      </c>
      <c r="C7352" t="str">
        <f>"363A00000X"</f>
        <v>363A00000X</v>
      </c>
      <c r="D7352" t="str">
        <f>"STRICKLAND               JOSHUA       N           "</f>
        <v xml:space="preserve">STRICKLAND               JOSHUA       N           </v>
      </c>
      <c r="E7352" t="str">
        <f>"TUPELO                    "</f>
        <v xml:space="preserve">TUPELO                    </v>
      </c>
      <c r="F7352" t="str">
        <f t="shared" si="231"/>
        <v>MS</v>
      </c>
    </row>
    <row r="7353" spans="1:6" x14ac:dyDescent="0.25">
      <c r="A7353" t="str">
        <f>"000532055"</f>
        <v>000532055</v>
      </c>
      <c r="B7353" t="str">
        <f>"1114310877"</f>
        <v>1114310877</v>
      </c>
      <c r="C7353" t="str">
        <f>"363L00000X"</f>
        <v>363L00000X</v>
      </c>
      <c r="D7353" t="str">
        <f>"WHITE                    ELIZABETH    H           "</f>
        <v xml:space="preserve">WHITE                    ELIZABETH    H           </v>
      </c>
      <c r="E7353" t="str">
        <f>"PONTOTOC                  "</f>
        <v xml:space="preserve">PONTOTOC                  </v>
      </c>
      <c r="F7353" t="str">
        <f t="shared" si="231"/>
        <v>MS</v>
      </c>
    </row>
    <row r="7354" spans="1:6" x14ac:dyDescent="0.25">
      <c r="A7354" t="str">
        <f>"000532323"</f>
        <v>000532323</v>
      </c>
      <c r="B7354" t="str">
        <f>"1205275062"</f>
        <v>1205275062</v>
      </c>
      <c r="C7354" t="str">
        <f>"363L00000X"</f>
        <v>363L00000X</v>
      </c>
      <c r="D7354" t="str">
        <f>"CASWELL                  BRIAN        W           "</f>
        <v xml:space="preserve">CASWELL                  BRIAN        W           </v>
      </c>
      <c r="E7354" t="str">
        <f>"GULFPORT                  "</f>
        <v xml:space="preserve">GULFPORT                  </v>
      </c>
      <c r="F7354" t="str">
        <f t="shared" si="231"/>
        <v>MS</v>
      </c>
    </row>
    <row r="7355" spans="1:6" x14ac:dyDescent="0.25">
      <c r="A7355" t="str">
        <f>"000532738"</f>
        <v>000532738</v>
      </c>
      <c r="B7355" t="str">
        <f>"1659721116"</f>
        <v>1659721116</v>
      </c>
      <c r="C7355" t="str">
        <f>"363L00000X"</f>
        <v>363L00000X</v>
      </c>
      <c r="D7355" t="str">
        <f>"HUNT                     ARLENE       D           "</f>
        <v xml:space="preserve">HUNT                     ARLENE       D           </v>
      </c>
      <c r="E7355" t="str">
        <f>"PORT GIBSON               "</f>
        <v xml:space="preserve">PORT GIBSON               </v>
      </c>
      <c r="F7355" t="str">
        <f t="shared" si="231"/>
        <v>MS</v>
      </c>
    </row>
    <row r="7356" spans="1:6" x14ac:dyDescent="0.25">
      <c r="A7356" t="str">
        <f>"000534863"</f>
        <v>000534863</v>
      </c>
      <c r="B7356" t="str">
        <f>"1306872171"</f>
        <v>1306872171</v>
      </c>
      <c r="C7356" t="str">
        <f>"207X00000X"</f>
        <v>207X00000X</v>
      </c>
      <c r="D7356" t="str">
        <f>"LETONOFF                 ERIC         J           "</f>
        <v xml:space="preserve">LETONOFF                 ERIC         J           </v>
      </c>
      <c r="E7356" t="str">
        <f>"GULFPORT                  "</f>
        <v xml:space="preserve">GULFPORT                  </v>
      </c>
      <c r="F7356" t="str">
        <f t="shared" si="231"/>
        <v>MS</v>
      </c>
    </row>
    <row r="7357" spans="1:6" x14ac:dyDescent="0.25">
      <c r="A7357" t="str">
        <f>"000534899"</f>
        <v>000534899</v>
      </c>
      <c r="B7357" t="str">
        <f>"1467471045"</f>
        <v>1467471045</v>
      </c>
      <c r="C7357" t="str">
        <f>"363A00000X"</f>
        <v>363A00000X</v>
      </c>
      <c r="D7357" t="str">
        <f>"LOWERY                   JASON        D           "</f>
        <v xml:space="preserve">LOWERY                   JASON        D           </v>
      </c>
      <c r="E7357" t="str">
        <f>"BILOXI                    "</f>
        <v xml:space="preserve">BILOXI                    </v>
      </c>
      <c r="F7357" t="str">
        <f t="shared" si="231"/>
        <v>MS</v>
      </c>
    </row>
    <row r="7358" spans="1:6" x14ac:dyDescent="0.25">
      <c r="A7358" t="str">
        <f>"000536890"</f>
        <v>000536890</v>
      </c>
      <c r="B7358" t="str">
        <f>"1619465705"</f>
        <v>1619465705</v>
      </c>
      <c r="C7358" t="str">
        <f>"261QF0400X"</f>
        <v>261QF0400X</v>
      </c>
      <c r="D7358" t="str">
        <f>"COASTAL FAMILY HEALTH CENTER INC                  "</f>
        <v xml:space="preserve">COASTAL FAMILY HEALTH CENTER INC                  </v>
      </c>
      <c r="E7358" t="str">
        <f>"MOSS POINT                "</f>
        <v xml:space="preserve">MOSS POINT                </v>
      </c>
      <c r="F7358" t="str">
        <f t="shared" ref="F7358:F7421" si="232">"MS"</f>
        <v>MS</v>
      </c>
    </row>
    <row r="7359" spans="1:6" x14ac:dyDescent="0.25">
      <c r="A7359" t="str">
        <f>"000537364"</f>
        <v>000537364</v>
      </c>
      <c r="B7359" t="str">
        <f>"1982198503"</f>
        <v>1982198503</v>
      </c>
      <c r="C7359" t="str">
        <f>"207Q00000X"</f>
        <v>207Q00000X</v>
      </c>
      <c r="D7359" t="str">
        <f>"LAMBERT                  BENJAMIN     J           "</f>
        <v xml:space="preserve">LAMBERT                  BENJAMIN     J           </v>
      </c>
      <c r="E7359" t="str">
        <f>"TUPELO                    "</f>
        <v xml:space="preserve">TUPELO                    </v>
      </c>
      <c r="F7359" t="str">
        <f t="shared" si="232"/>
        <v>MS</v>
      </c>
    </row>
    <row r="7360" spans="1:6" x14ac:dyDescent="0.25">
      <c r="A7360" t="str">
        <f>"000538227"</f>
        <v>000538227</v>
      </c>
      <c r="B7360" t="str">
        <f>"1356979843"</f>
        <v>1356979843</v>
      </c>
      <c r="C7360" t="str">
        <f>"208000000X"</f>
        <v>208000000X</v>
      </c>
      <c r="D7360" t="str">
        <f>"ALEXANDER                NATHAN       W           "</f>
        <v xml:space="preserve">ALEXANDER                NATHAN       W           </v>
      </c>
      <c r="E7360" t="str">
        <f>"JACKSON                   "</f>
        <v xml:space="preserve">JACKSON                   </v>
      </c>
      <c r="F7360" t="str">
        <f t="shared" si="232"/>
        <v>MS</v>
      </c>
    </row>
    <row r="7361" spans="1:6" x14ac:dyDescent="0.25">
      <c r="A7361" t="str">
        <f>"000538387"</f>
        <v>000538387</v>
      </c>
      <c r="B7361" t="str">
        <f>"1477207454"</f>
        <v>1477207454</v>
      </c>
      <c r="C7361" t="str">
        <f>"363L00000X"</f>
        <v>363L00000X</v>
      </c>
      <c r="D7361" t="str">
        <f>"TOMSON                   JENNY        R           "</f>
        <v xml:space="preserve">TOMSON                   JENNY        R           </v>
      </c>
      <c r="E7361" t="str">
        <f>"GULFPORT                  "</f>
        <v xml:space="preserve">GULFPORT                  </v>
      </c>
      <c r="F7361" t="str">
        <f t="shared" si="232"/>
        <v>MS</v>
      </c>
    </row>
    <row r="7362" spans="1:6" x14ac:dyDescent="0.25">
      <c r="A7362" t="str">
        <f>"000538564"</f>
        <v>000538564</v>
      </c>
      <c r="B7362" t="str">
        <f>"1881207918"</f>
        <v>1881207918</v>
      </c>
      <c r="C7362" t="str">
        <f>"363L00000X"</f>
        <v>363L00000X</v>
      </c>
      <c r="D7362" t="str">
        <f>"QUINN                    CINDY        R           "</f>
        <v xml:space="preserve">QUINN                    CINDY        R           </v>
      </c>
      <c r="E7362" t="str">
        <f>"MERIDIAN                  "</f>
        <v xml:space="preserve">MERIDIAN                  </v>
      </c>
      <c r="F7362" t="str">
        <f t="shared" si="232"/>
        <v>MS</v>
      </c>
    </row>
    <row r="7363" spans="1:6" x14ac:dyDescent="0.25">
      <c r="A7363" t="str">
        <f>"000538739"</f>
        <v>000538739</v>
      </c>
      <c r="B7363" t="str">
        <f>"1518417856"</f>
        <v>1518417856</v>
      </c>
      <c r="C7363" t="str">
        <f>"363L00000X"</f>
        <v>363L00000X</v>
      </c>
      <c r="D7363" t="str">
        <f>"MCCOY                    KRISTEN      C           "</f>
        <v xml:space="preserve">MCCOY                    KRISTEN      C           </v>
      </c>
      <c r="E7363" t="str">
        <f>"JACKSON                   "</f>
        <v xml:space="preserve">JACKSON                   </v>
      </c>
      <c r="F7363" t="str">
        <f t="shared" si="232"/>
        <v>MS</v>
      </c>
    </row>
    <row r="7364" spans="1:6" x14ac:dyDescent="0.25">
      <c r="A7364" t="str">
        <f>"000539067"</f>
        <v>000539067</v>
      </c>
      <c r="B7364" t="str">
        <f>"1124695739"</f>
        <v>1124695739</v>
      </c>
      <c r="C7364" t="str">
        <f>"363L00000X"</f>
        <v>363L00000X</v>
      </c>
      <c r="D7364" t="str">
        <f>"PARKER                   JESSE                    "</f>
        <v xml:space="preserve">PARKER                   JESSE                    </v>
      </c>
      <c r="E7364" t="str">
        <f>"COLUMBUS                  "</f>
        <v xml:space="preserve">COLUMBUS                  </v>
      </c>
      <c r="F7364" t="str">
        <f t="shared" si="232"/>
        <v>MS</v>
      </c>
    </row>
    <row r="7365" spans="1:6" x14ac:dyDescent="0.25">
      <c r="A7365" t="str">
        <f>"000539591"</f>
        <v>000539591</v>
      </c>
      <c r="B7365" t="str">
        <f>"1225249766"</f>
        <v>1225249766</v>
      </c>
      <c r="C7365" t="str">
        <f>"363L00000X"</f>
        <v>363L00000X</v>
      </c>
      <c r="D7365" t="str">
        <f>"COCHRAN                  CURTIS       W           "</f>
        <v xml:space="preserve">COCHRAN                  CURTIS       W           </v>
      </c>
      <c r="E7365" t="str">
        <f>"LAUREL                    "</f>
        <v xml:space="preserve">LAUREL                    </v>
      </c>
      <c r="F7365" t="str">
        <f t="shared" si="232"/>
        <v>MS</v>
      </c>
    </row>
    <row r="7366" spans="1:6" x14ac:dyDescent="0.25">
      <c r="A7366" t="str">
        <f>"000539798"</f>
        <v>000539798</v>
      </c>
      <c r="B7366" t="str">
        <f>"1699208918"</f>
        <v>1699208918</v>
      </c>
      <c r="C7366" t="str">
        <f>"207LP2900X"</f>
        <v>207LP2900X</v>
      </c>
      <c r="D7366" t="str">
        <f>"WINDHAM II               JIMMY        R           "</f>
        <v xml:space="preserve">WINDHAM II               JIMMY        R           </v>
      </c>
      <c r="E7366" t="str">
        <f>"TUPELO                    "</f>
        <v xml:space="preserve">TUPELO                    </v>
      </c>
      <c r="F7366" t="str">
        <f t="shared" si="232"/>
        <v>MS</v>
      </c>
    </row>
    <row r="7367" spans="1:6" x14ac:dyDescent="0.25">
      <c r="A7367" t="str">
        <f>"000554056"</f>
        <v>000554056</v>
      </c>
      <c r="B7367" t="str">
        <f>"1083246474"</f>
        <v>1083246474</v>
      </c>
      <c r="C7367" t="str">
        <f>"363L00000X"</f>
        <v>363L00000X</v>
      </c>
      <c r="D7367" t="str">
        <f>"GOODWIN                  JENNIFER     R           "</f>
        <v xml:space="preserve">GOODWIN                  JENNIFER     R           </v>
      </c>
      <c r="E7367" t="str">
        <f>"HATTIESBURG               "</f>
        <v xml:space="preserve">HATTIESBURG               </v>
      </c>
      <c r="F7367" t="str">
        <f t="shared" si="232"/>
        <v>MS</v>
      </c>
    </row>
    <row r="7368" spans="1:6" x14ac:dyDescent="0.25">
      <c r="A7368" t="str">
        <f>"000554591"</f>
        <v>000554591</v>
      </c>
      <c r="B7368" t="str">
        <f>"1962662825"</f>
        <v>1962662825</v>
      </c>
      <c r="C7368" t="str">
        <f>"367500000X"</f>
        <v>367500000X</v>
      </c>
      <c r="D7368" t="str">
        <f>"BENSON                   RICHARD      A           "</f>
        <v xml:space="preserve">BENSON                   RICHARD      A           </v>
      </c>
      <c r="E7368" t="str">
        <f>"FLOWOOD                   "</f>
        <v xml:space="preserve">FLOWOOD                   </v>
      </c>
      <c r="F7368" t="str">
        <f t="shared" si="232"/>
        <v>MS</v>
      </c>
    </row>
    <row r="7369" spans="1:6" x14ac:dyDescent="0.25">
      <c r="A7369" t="str">
        <f>"000554797"</f>
        <v>000554797</v>
      </c>
      <c r="B7369" t="str">
        <f>"1114314481"</f>
        <v>1114314481</v>
      </c>
      <c r="C7369" t="str">
        <f>"207X00000X"</f>
        <v>207X00000X</v>
      </c>
      <c r="D7369" t="str">
        <f>"HENNING                  PETER        R           "</f>
        <v xml:space="preserve">HENNING                  PETER        R           </v>
      </c>
      <c r="E7369" t="str">
        <f>"SOUTHAVEN                 "</f>
        <v xml:space="preserve">SOUTHAVEN                 </v>
      </c>
      <c r="F7369" t="str">
        <f t="shared" si="232"/>
        <v>MS</v>
      </c>
    </row>
    <row r="7370" spans="1:6" x14ac:dyDescent="0.25">
      <c r="A7370" t="str">
        <f>"000556217"</f>
        <v>000556217</v>
      </c>
      <c r="B7370" t="str">
        <f>"1770928707"</f>
        <v>1770928707</v>
      </c>
      <c r="C7370" t="str">
        <f>"363L00000X"</f>
        <v>363L00000X</v>
      </c>
      <c r="D7370" t="str">
        <f>"MCCARLEY                 MONICA       G           "</f>
        <v xml:space="preserve">MCCARLEY                 MONICA       G           </v>
      </c>
      <c r="E7370" t="str">
        <f>"TUPELO                    "</f>
        <v xml:space="preserve">TUPELO                    </v>
      </c>
      <c r="F7370" t="str">
        <f t="shared" si="232"/>
        <v>MS</v>
      </c>
    </row>
    <row r="7371" spans="1:6" x14ac:dyDescent="0.25">
      <c r="A7371" t="str">
        <f>"000556357"</f>
        <v>000556357</v>
      </c>
      <c r="B7371" t="str">
        <f>"1184111908"</f>
        <v>1184111908</v>
      </c>
      <c r="C7371" t="str">
        <f>"207Q00000X"</f>
        <v>207Q00000X</v>
      </c>
      <c r="D7371" t="str">
        <f>"SABRI HAMID              YUSEF                    "</f>
        <v xml:space="preserve">SABRI HAMID              YUSEF                    </v>
      </c>
      <c r="E7371" t="str">
        <f>"PONTOTOC                  "</f>
        <v xml:space="preserve">PONTOTOC                  </v>
      </c>
      <c r="F7371" t="str">
        <f t="shared" si="232"/>
        <v>MS</v>
      </c>
    </row>
    <row r="7372" spans="1:6" x14ac:dyDescent="0.25">
      <c r="A7372" t="str">
        <f>"000556891"</f>
        <v>000556891</v>
      </c>
      <c r="B7372" t="str">
        <f>"1043553944"</f>
        <v>1043553944</v>
      </c>
      <c r="C7372" t="str">
        <f>"367500000X"</f>
        <v>367500000X</v>
      </c>
      <c r="D7372" t="str">
        <f>"NIEVAS                   MARIO                    "</f>
        <v xml:space="preserve">NIEVAS                   MARIO                    </v>
      </c>
      <c r="E7372" t="str">
        <f>"GULFPORT                  "</f>
        <v xml:space="preserve">GULFPORT                  </v>
      </c>
      <c r="F7372" t="str">
        <f t="shared" si="232"/>
        <v>MS</v>
      </c>
    </row>
    <row r="7373" spans="1:6" x14ac:dyDescent="0.25">
      <c r="A7373" t="str">
        <f>"000557094"</f>
        <v>000557094</v>
      </c>
      <c r="B7373" t="str">
        <f>"1750937108"</f>
        <v>1750937108</v>
      </c>
      <c r="C7373" t="str">
        <f>"261QF0400X"</f>
        <v>261QF0400X</v>
      </c>
      <c r="D7373" t="str">
        <f>"DHC-RULEVILLE CENTRAL ELEMENTARY                  "</f>
        <v xml:space="preserve">DHC-RULEVILLE CENTRAL ELEMENTARY                  </v>
      </c>
      <c r="E7373" t="str">
        <f>"RULEVILLE                 "</f>
        <v xml:space="preserve">RULEVILLE                 </v>
      </c>
      <c r="F7373" t="str">
        <f t="shared" si="232"/>
        <v>MS</v>
      </c>
    </row>
    <row r="7374" spans="1:6" x14ac:dyDescent="0.25">
      <c r="A7374" t="str">
        <f>"000558338"</f>
        <v>000558338</v>
      </c>
      <c r="B7374" t="str">
        <f>"1861934184"</f>
        <v>1861934184</v>
      </c>
      <c r="C7374" t="str">
        <f>"363L00000X"</f>
        <v>363L00000X</v>
      </c>
      <c r="D7374" t="str">
        <f>"STURDIVANT               VICTORIA     J           "</f>
        <v xml:space="preserve">STURDIVANT               VICTORIA     J           </v>
      </c>
      <c r="E7374" t="str">
        <f>"GREENWOOD                 "</f>
        <v xml:space="preserve">GREENWOOD                 </v>
      </c>
      <c r="F7374" t="str">
        <f t="shared" si="232"/>
        <v>MS</v>
      </c>
    </row>
    <row r="7375" spans="1:6" x14ac:dyDescent="0.25">
      <c r="A7375" t="str">
        <f>"000559073"</f>
        <v>000559073</v>
      </c>
      <c r="B7375" t="str">
        <f>"1508220252"</f>
        <v>1508220252</v>
      </c>
      <c r="C7375" t="str">
        <f>"207W00000X"</f>
        <v>207W00000X</v>
      </c>
      <c r="D7375" t="str">
        <f>"REGAN JR                 CORNELIUS    E           "</f>
        <v xml:space="preserve">REGAN JR                 CORNELIUS    E           </v>
      </c>
      <c r="E7375" t="str">
        <f>"HATTIESBURG               "</f>
        <v xml:space="preserve">HATTIESBURG               </v>
      </c>
      <c r="F7375" t="str">
        <f t="shared" si="232"/>
        <v>MS</v>
      </c>
    </row>
    <row r="7376" spans="1:6" x14ac:dyDescent="0.25">
      <c r="A7376" t="str">
        <f>"000559590"</f>
        <v>000559590</v>
      </c>
      <c r="B7376" t="str">
        <f>"1205180882"</f>
        <v>1205180882</v>
      </c>
      <c r="C7376" t="str">
        <f>"261QR1300X"</f>
        <v>261QR1300X</v>
      </c>
      <c r="D7376" t="str">
        <f>"CAIN CLINIC OF EUPORA                             "</f>
        <v xml:space="preserve">CAIN CLINIC OF EUPORA                             </v>
      </c>
      <c r="E7376" t="str">
        <f>"EUPORA                    "</f>
        <v xml:space="preserve">EUPORA                    </v>
      </c>
      <c r="F7376" t="str">
        <f t="shared" si="232"/>
        <v>MS</v>
      </c>
    </row>
    <row r="7377" spans="1:6" x14ac:dyDescent="0.25">
      <c r="A7377" t="str">
        <f>"000570506"</f>
        <v>000570506</v>
      </c>
      <c r="B7377" t="str">
        <f>"1306353065"</f>
        <v>1306353065</v>
      </c>
      <c r="C7377" t="str">
        <f>"367500000X"</f>
        <v>367500000X</v>
      </c>
      <c r="D7377" t="str">
        <f>"BASS                     MEGAN        C           "</f>
        <v xml:space="preserve">BASS                     MEGAN        C           </v>
      </c>
      <c r="E7377" t="str">
        <f>"JACKSON                   "</f>
        <v xml:space="preserve">JACKSON                   </v>
      </c>
      <c r="F7377" t="str">
        <f t="shared" si="232"/>
        <v>MS</v>
      </c>
    </row>
    <row r="7378" spans="1:6" x14ac:dyDescent="0.25">
      <c r="A7378" t="str">
        <f>"000572251"</f>
        <v>000572251</v>
      </c>
      <c r="B7378" t="str">
        <f>"1750895611"</f>
        <v>1750895611</v>
      </c>
      <c r="C7378" t="str">
        <f>"261QR1300X"</f>
        <v>261QR1300X</v>
      </c>
      <c r="D7378" t="str">
        <f>"MEDICAL CENTER OF MAGEE                           "</f>
        <v xml:space="preserve">MEDICAL CENTER OF MAGEE                           </v>
      </c>
      <c r="E7378" t="str">
        <f>"MAGEE                     "</f>
        <v xml:space="preserve">MAGEE                     </v>
      </c>
      <c r="F7378" t="str">
        <f t="shared" si="232"/>
        <v>MS</v>
      </c>
    </row>
    <row r="7379" spans="1:6" x14ac:dyDescent="0.25">
      <c r="A7379" t="str">
        <f>"000572861"</f>
        <v>000572861</v>
      </c>
      <c r="B7379" t="str">
        <f>"1285838417"</f>
        <v>1285838417</v>
      </c>
      <c r="C7379" t="str">
        <f>"152W00000X"</f>
        <v>152W00000X</v>
      </c>
      <c r="D7379" t="str">
        <f>"HARRELL                  KIMBERLY     F           "</f>
        <v xml:space="preserve">HARRELL                  KIMBERLY     F           </v>
      </c>
      <c r="E7379" t="str">
        <f>"MCCOMB                    "</f>
        <v xml:space="preserve">MCCOMB                    </v>
      </c>
      <c r="F7379" t="str">
        <f t="shared" si="232"/>
        <v>MS</v>
      </c>
    </row>
    <row r="7380" spans="1:6" x14ac:dyDescent="0.25">
      <c r="A7380" t="str">
        <f>"000573859"</f>
        <v>000573859</v>
      </c>
      <c r="B7380" t="str">
        <f>"1366601593"</f>
        <v>1366601593</v>
      </c>
      <c r="C7380" t="str">
        <f>"207T00000X"</f>
        <v>207T00000X</v>
      </c>
      <c r="D7380" t="str">
        <f>"SHIFLETT                 JAMES        M           "</f>
        <v xml:space="preserve">SHIFLETT                 JAMES        M           </v>
      </c>
      <c r="E7380" t="str">
        <f>"JACKSON                   "</f>
        <v xml:space="preserve">JACKSON                   </v>
      </c>
      <c r="F7380" t="str">
        <f t="shared" si="232"/>
        <v>MS</v>
      </c>
    </row>
    <row r="7381" spans="1:6" x14ac:dyDescent="0.25">
      <c r="A7381" t="str">
        <f>"000574313"</f>
        <v>000574313</v>
      </c>
      <c r="B7381" t="str">
        <f>"1598105447"</f>
        <v>1598105447</v>
      </c>
      <c r="C7381" t="str">
        <f>"261QR1300X"</f>
        <v>261QR1300X</v>
      </c>
      <c r="D7381" t="str">
        <f>"ANDERSON CHILDRENS MEDICAL CLINIC                 "</f>
        <v xml:space="preserve">ANDERSON CHILDRENS MEDICAL CLINIC                 </v>
      </c>
      <c r="E7381" t="str">
        <f>"MERIDIAN                  "</f>
        <v xml:space="preserve">MERIDIAN                  </v>
      </c>
      <c r="F7381" t="str">
        <f t="shared" si="232"/>
        <v>MS</v>
      </c>
    </row>
    <row r="7382" spans="1:6" x14ac:dyDescent="0.25">
      <c r="A7382" t="str">
        <f>"000574531"</f>
        <v>000574531</v>
      </c>
      <c r="B7382" t="str">
        <f>"1932121662"</f>
        <v>1932121662</v>
      </c>
      <c r="C7382" t="str">
        <f>"207X00000X"</f>
        <v>207X00000X</v>
      </c>
      <c r="D7382" t="str">
        <f>"CHRISTIAN                CLAIBORNE    A           "</f>
        <v xml:space="preserve">CHRISTIAN                CLAIBORNE    A           </v>
      </c>
      <c r="E7382" t="str">
        <f>"SOUTHAVEN                 "</f>
        <v xml:space="preserve">SOUTHAVEN                 </v>
      </c>
      <c r="F7382" t="str">
        <f t="shared" si="232"/>
        <v>MS</v>
      </c>
    </row>
    <row r="7383" spans="1:6" x14ac:dyDescent="0.25">
      <c r="A7383" t="str">
        <f>"000576081"</f>
        <v>000576081</v>
      </c>
      <c r="B7383" t="str">
        <f>"1205290350"</f>
        <v>1205290350</v>
      </c>
      <c r="C7383" t="str">
        <f>"207R00000X"</f>
        <v>207R00000X</v>
      </c>
      <c r="D7383" t="str">
        <f>"ROUSSEL                  JORDAN       M           "</f>
        <v xml:space="preserve">ROUSSEL                  JORDAN       M           </v>
      </c>
      <c r="E7383" t="str">
        <f>"BILOXI                    "</f>
        <v xml:space="preserve">BILOXI                    </v>
      </c>
      <c r="F7383" t="str">
        <f t="shared" si="232"/>
        <v>MS</v>
      </c>
    </row>
    <row r="7384" spans="1:6" x14ac:dyDescent="0.25">
      <c r="A7384" t="str">
        <f>"000576763"</f>
        <v>000576763</v>
      </c>
      <c r="B7384" t="str">
        <f>"1942439542"</f>
        <v>1942439542</v>
      </c>
      <c r="C7384" t="str">
        <f>"207Q00000X"</f>
        <v>207Q00000X</v>
      </c>
      <c r="D7384" t="str">
        <f>"ROSE                     REBECCA      A           "</f>
        <v xml:space="preserve">ROSE                     REBECCA      A           </v>
      </c>
      <c r="E7384" t="str">
        <f>"BILOXI                    "</f>
        <v xml:space="preserve">BILOXI                    </v>
      </c>
      <c r="F7384" t="str">
        <f t="shared" si="232"/>
        <v>MS</v>
      </c>
    </row>
    <row r="7385" spans="1:6" x14ac:dyDescent="0.25">
      <c r="A7385" t="str">
        <f>"000576837"</f>
        <v>000576837</v>
      </c>
      <c r="B7385" t="str">
        <f>"1841259413"</f>
        <v>1841259413</v>
      </c>
      <c r="C7385" t="str">
        <f>"207R00000X"</f>
        <v>207R00000X</v>
      </c>
      <c r="D7385" t="str">
        <f>"BROWN                    BRUCE        W           "</f>
        <v xml:space="preserve">BROWN                    BRUCE        W           </v>
      </c>
      <c r="E7385" t="str">
        <f>"MERIDIAN                  "</f>
        <v xml:space="preserve">MERIDIAN                  </v>
      </c>
      <c r="F7385" t="str">
        <f t="shared" si="232"/>
        <v>MS</v>
      </c>
    </row>
    <row r="7386" spans="1:6" x14ac:dyDescent="0.25">
      <c r="A7386" t="str">
        <f>"000577519"</f>
        <v>000577519</v>
      </c>
      <c r="B7386" t="str">
        <f>"1396057139"</f>
        <v>1396057139</v>
      </c>
      <c r="C7386" t="str">
        <f>"2084N0402X"</f>
        <v>2084N0402X</v>
      </c>
      <c r="D7386" t="str">
        <f>"CONERLY                  SARAH        E           "</f>
        <v xml:space="preserve">CONERLY                  SARAH        E           </v>
      </c>
      <c r="E7386" t="str">
        <f>"JACKSON                   "</f>
        <v xml:space="preserve">JACKSON                   </v>
      </c>
      <c r="F7386" t="str">
        <f t="shared" si="232"/>
        <v>MS</v>
      </c>
    </row>
    <row r="7387" spans="1:6" x14ac:dyDescent="0.25">
      <c r="A7387" t="str">
        <f>"000578202"</f>
        <v>000578202</v>
      </c>
      <c r="B7387" t="str">
        <f>"1194755082"</f>
        <v>1194755082</v>
      </c>
      <c r="C7387" t="str">
        <f>"363L00000X"</f>
        <v>363L00000X</v>
      </c>
      <c r="D7387" t="str">
        <f>"JOLLY                    JANET        M           "</f>
        <v xml:space="preserve">JOLLY                    JANET        M           </v>
      </c>
      <c r="E7387" t="str">
        <f>"JACKSON                   "</f>
        <v xml:space="preserve">JACKSON                   </v>
      </c>
      <c r="F7387" t="str">
        <f t="shared" si="232"/>
        <v>MS</v>
      </c>
    </row>
    <row r="7388" spans="1:6" x14ac:dyDescent="0.25">
      <c r="A7388" t="str">
        <f>"000578264"</f>
        <v>000578264</v>
      </c>
      <c r="B7388" t="str">
        <f>"1215027800"</f>
        <v>1215027800</v>
      </c>
      <c r="C7388" t="str">
        <f>"208G00000X"</f>
        <v>208G00000X</v>
      </c>
      <c r="D7388" t="str">
        <f>"BURCH                    PHILLIP      T           "</f>
        <v xml:space="preserve">BURCH                    PHILLIP      T           </v>
      </c>
      <c r="E7388" t="str">
        <f>"JACKSON                   "</f>
        <v xml:space="preserve">JACKSON                   </v>
      </c>
      <c r="F7388" t="str">
        <f t="shared" si="232"/>
        <v>MS</v>
      </c>
    </row>
    <row r="7389" spans="1:6" x14ac:dyDescent="0.25">
      <c r="A7389" t="str">
        <f>"000578500"</f>
        <v>000578500</v>
      </c>
      <c r="B7389" t="str">
        <f>"1992182224"</f>
        <v>1992182224</v>
      </c>
      <c r="C7389" t="str">
        <f>"207P00000X"</f>
        <v>207P00000X</v>
      </c>
      <c r="D7389" t="str">
        <f>"HAYWOOD                  STEVEN                   "</f>
        <v xml:space="preserve">HAYWOOD                  STEVEN                   </v>
      </c>
      <c r="E7389" t="str">
        <f>"CORINTH                   "</f>
        <v xml:space="preserve">CORINTH                   </v>
      </c>
      <c r="F7389" t="str">
        <f t="shared" si="232"/>
        <v>MS</v>
      </c>
    </row>
    <row r="7390" spans="1:6" x14ac:dyDescent="0.25">
      <c r="A7390" t="str">
        <f>"000578850"</f>
        <v>000578850</v>
      </c>
      <c r="B7390" t="str">
        <f>"1730477837"</f>
        <v>1730477837</v>
      </c>
      <c r="C7390" t="str">
        <f>"207P00000X"</f>
        <v>207P00000X</v>
      </c>
      <c r="D7390" t="str">
        <f>"PANDIT                   AMIT         ANIL KUMAR  "</f>
        <v xml:space="preserve">PANDIT                   AMIT         ANIL KUMAR  </v>
      </c>
      <c r="E7390" t="str">
        <f>"JACKSON                   "</f>
        <v xml:space="preserve">JACKSON                   </v>
      </c>
      <c r="F7390" t="str">
        <f t="shared" si="232"/>
        <v>MS</v>
      </c>
    </row>
    <row r="7391" spans="1:6" x14ac:dyDescent="0.25">
      <c r="A7391" t="str">
        <f>"000579061"</f>
        <v>000579061</v>
      </c>
      <c r="B7391" t="str">
        <f>"1669721247"</f>
        <v>1669721247</v>
      </c>
      <c r="C7391" t="str">
        <f>"152W00000X"</f>
        <v>152W00000X</v>
      </c>
      <c r="D7391" t="str">
        <f>"STARKVILLE EYE CLINIC                             "</f>
        <v xml:space="preserve">STARKVILLE EYE CLINIC                             </v>
      </c>
      <c r="E7391" t="str">
        <f>"STARKVILLE                "</f>
        <v xml:space="preserve">STARKVILLE                </v>
      </c>
      <c r="F7391" t="str">
        <f t="shared" si="232"/>
        <v>MS</v>
      </c>
    </row>
    <row r="7392" spans="1:6" x14ac:dyDescent="0.25">
      <c r="A7392" t="str">
        <f>"000580255"</f>
        <v>000580255</v>
      </c>
      <c r="B7392" t="str">
        <f>"1548327463"</f>
        <v>1548327463</v>
      </c>
      <c r="C7392" t="str">
        <f>"261QF0400X"</f>
        <v>261QF0400X</v>
      </c>
      <c r="D7392" t="str">
        <f>"G A CARMICHAEL FAMILY HEALTH CENTER               "</f>
        <v xml:space="preserve">G A CARMICHAEL FAMILY HEALTH CENTER               </v>
      </c>
      <c r="E7392" t="str">
        <f>"YAZOO CITY                "</f>
        <v xml:space="preserve">YAZOO CITY                </v>
      </c>
      <c r="F7392" t="str">
        <f t="shared" si="232"/>
        <v>MS</v>
      </c>
    </row>
    <row r="7393" spans="1:6" x14ac:dyDescent="0.25">
      <c r="A7393" t="str">
        <f>"000581390"</f>
        <v>000581390</v>
      </c>
      <c r="B7393" t="str">
        <f>"1093205742"</f>
        <v>1093205742</v>
      </c>
      <c r="C7393" t="str">
        <f>"207RN0300X"</f>
        <v>207RN0300X</v>
      </c>
      <c r="D7393" t="str">
        <f>"ATARI                    MOHAMMAD                 "</f>
        <v xml:space="preserve">ATARI                    MOHAMMAD                 </v>
      </c>
      <c r="E7393" t="str">
        <f>"JACKSON                   "</f>
        <v xml:space="preserve">JACKSON                   </v>
      </c>
      <c r="F7393" t="str">
        <f t="shared" si="232"/>
        <v>MS</v>
      </c>
    </row>
    <row r="7394" spans="1:6" x14ac:dyDescent="0.25">
      <c r="A7394" t="str">
        <f>"000583006"</f>
        <v>000583006</v>
      </c>
      <c r="B7394" t="str">
        <f>"1780827543"</f>
        <v>1780827543</v>
      </c>
      <c r="C7394" t="str">
        <f>"122300000X"</f>
        <v>122300000X</v>
      </c>
      <c r="D7394" t="str">
        <f>"DAVID J CONNER DDS PA                             "</f>
        <v xml:space="preserve">DAVID J CONNER DDS PA                             </v>
      </c>
      <c r="E7394" t="str">
        <f>"LUCEDALE                  "</f>
        <v xml:space="preserve">LUCEDALE                  </v>
      </c>
      <c r="F7394" t="str">
        <f t="shared" si="232"/>
        <v>MS</v>
      </c>
    </row>
    <row r="7395" spans="1:6" x14ac:dyDescent="0.25">
      <c r="A7395" t="str">
        <f>"000583795"</f>
        <v>000583795</v>
      </c>
      <c r="B7395" t="str">
        <f>"1275645400"</f>
        <v>1275645400</v>
      </c>
      <c r="C7395" t="str">
        <f>"2084P0800X"</f>
        <v>2084P0800X</v>
      </c>
      <c r="D7395" t="str">
        <f>"RENCK                    GREGORY      R           "</f>
        <v xml:space="preserve">RENCK                    GREGORY      R           </v>
      </c>
      <c r="E7395" t="str">
        <f>"SOUTHAVEN                 "</f>
        <v xml:space="preserve">SOUTHAVEN                 </v>
      </c>
      <c r="F7395" t="str">
        <f t="shared" si="232"/>
        <v>MS</v>
      </c>
    </row>
    <row r="7396" spans="1:6" x14ac:dyDescent="0.25">
      <c r="A7396" t="str">
        <f>"000584221"</f>
        <v>000584221</v>
      </c>
      <c r="B7396" t="str">
        <f>"1619919305"</f>
        <v>1619919305</v>
      </c>
      <c r="C7396" t="str">
        <f>"207RP1001X"</f>
        <v>207RP1001X</v>
      </c>
      <c r="D7396" t="str">
        <f>"WOLLAK                   ISTVAN       D           "</f>
        <v xml:space="preserve">WOLLAK                   ISTVAN       D           </v>
      </c>
      <c r="E7396" t="str">
        <f>"SOUTHAVEN                 "</f>
        <v xml:space="preserve">SOUTHAVEN                 </v>
      </c>
      <c r="F7396" t="str">
        <f t="shared" si="232"/>
        <v>MS</v>
      </c>
    </row>
    <row r="7397" spans="1:6" x14ac:dyDescent="0.25">
      <c r="A7397" t="str">
        <f>"000584704"</f>
        <v>000584704</v>
      </c>
      <c r="B7397" t="str">
        <f>"1578011417"</f>
        <v>1578011417</v>
      </c>
      <c r="C7397" t="str">
        <f>"261QR1300X"</f>
        <v>261QR1300X</v>
      </c>
      <c r="D7397" t="str">
        <f>"UMMC GRENADA SPECIALTY PEDIATRICS                 "</f>
        <v xml:space="preserve">UMMC GRENADA SPECIALTY PEDIATRICS                 </v>
      </c>
      <c r="E7397" t="str">
        <f>"GRENADA                   "</f>
        <v xml:space="preserve">GRENADA                   </v>
      </c>
      <c r="F7397" t="str">
        <f t="shared" si="232"/>
        <v>MS</v>
      </c>
    </row>
    <row r="7398" spans="1:6" x14ac:dyDescent="0.25">
      <c r="A7398" t="str">
        <f>"000584718"</f>
        <v>000584718</v>
      </c>
      <c r="B7398" t="str">
        <f>"1316692148"</f>
        <v>1316692148</v>
      </c>
      <c r="C7398" t="str">
        <f>"363L00000X"</f>
        <v>363L00000X</v>
      </c>
      <c r="D7398" t="str">
        <f>"ROBINSON                 MEGAN                    "</f>
        <v xml:space="preserve">ROBINSON                 MEGAN                    </v>
      </c>
      <c r="E7398" t="str">
        <f>"RIPLEY                    "</f>
        <v xml:space="preserve">RIPLEY                    </v>
      </c>
      <c r="F7398" t="str">
        <f t="shared" si="232"/>
        <v>MS</v>
      </c>
    </row>
    <row r="7399" spans="1:6" x14ac:dyDescent="0.25">
      <c r="A7399" t="str">
        <f>"000586724"</f>
        <v>000586724</v>
      </c>
      <c r="B7399" t="str">
        <f>"1124663190"</f>
        <v>1124663190</v>
      </c>
      <c r="C7399" t="str">
        <f>"363L00000X"</f>
        <v>363L00000X</v>
      </c>
      <c r="D7399" t="str">
        <f>"REED                     JORDAN       L           "</f>
        <v xml:space="preserve">REED                     JORDAN       L           </v>
      </c>
      <c r="E7399" t="str">
        <f>"WHITFIELD                 "</f>
        <v xml:space="preserve">WHITFIELD                 </v>
      </c>
      <c r="F7399" t="str">
        <f t="shared" si="232"/>
        <v>MS</v>
      </c>
    </row>
    <row r="7400" spans="1:6" x14ac:dyDescent="0.25">
      <c r="A7400" t="str">
        <f>"000586821"</f>
        <v>000586821</v>
      </c>
      <c r="B7400" t="str">
        <f>"1477518793"</f>
        <v>1477518793</v>
      </c>
      <c r="C7400" t="str">
        <f>"208000000X"</f>
        <v>208000000X</v>
      </c>
      <c r="D7400" t="str">
        <f>"SHANN                    TIMOTHY      R           "</f>
        <v xml:space="preserve">SHANN                    TIMOTHY      R           </v>
      </c>
      <c r="E7400" t="str">
        <f>"BROOKHAVEN                "</f>
        <v xml:space="preserve">BROOKHAVEN                </v>
      </c>
      <c r="F7400" t="str">
        <f t="shared" si="232"/>
        <v>MS</v>
      </c>
    </row>
    <row r="7401" spans="1:6" x14ac:dyDescent="0.25">
      <c r="A7401" t="str">
        <f>"000588206"</f>
        <v>000588206</v>
      </c>
      <c r="B7401" t="str">
        <f>"1992892046"</f>
        <v>1992892046</v>
      </c>
      <c r="C7401" t="str">
        <f>"207N00000X"</f>
        <v>207N00000X</v>
      </c>
      <c r="D7401" t="str">
        <f>"MCCOWAN                  NANCYE       K           "</f>
        <v xml:space="preserve">MCCOWAN                  NANCYE       K           </v>
      </c>
      <c r="E7401" t="str">
        <f>"JACKSON                   "</f>
        <v xml:space="preserve">JACKSON                   </v>
      </c>
      <c r="F7401" t="str">
        <f t="shared" si="232"/>
        <v>MS</v>
      </c>
    </row>
    <row r="7402" spans="1:6" x14ac:dyDescent="0.25">
      <c r="A7402" t="str">
        <f>"000589766"</f>
        <v>000589766</v>
      </c>
      <c r="B7402" t="str">
        <f>"1104288257"</f>
        <v>1104288257</v>
      </c>
      <c r="C7402" t="str">
        <f>"207Q00000X"</f>
        <v>207Q00000X</v>
      </c>
      <c r="D7402" t="str">
        <f>"SHARPE                   GRIFFEN                  "</f>
        <v xml:space="preserve">SHARPE                   GRIFFEN                  </v>
      </c>
      <c r="E7402" t="str">
        <f>"TUPELO                    "</f>
        <v xml:space="preserve">TUPELO                    </v>
      </c>
      <c r="F7402" t="str">
        <f t="shared" si="232"/>
        <v>MS</v>
      </c>
    </row>
    <row r="7403" spans="1:6" x14ac:dyDescent="0.25">
      <c r="A7403" t="str">
        <f>"000600734"</f>
        <v>000600734</v>
      </c>
      <c r="B7403" t="str">
        <f>"1437406485"</f>
        <v>1437406485</v>
      </c>
      <c r="C7403" t="str">
        <f>"363L00000X"</f>
        <v>363L00000X</v>
      </c>
      <c r="D7403" t="str">
        <f>"KENDRICK                 TERESA       D           "</f>
        <v xml:space="preserve">KENDRICK                 TERESA       D           </v>
      </c>
      <c r="E7403" t="str">
        <f>"BOONEVILLE                "</f>
        <v xml:space="preserve">BOONEVILLE                </v>
      </c>
      <c r="F7403" t="str">
        <f t="shared" si="232"/>
        <v>MS</v>
      </c>
    </row>
    <row r="7404" spans="1:6" x14ac:dyDescent="0.25">
      <c r="A7404" t="str">
        <f>"000601500"</f>
        <v>000601500</v>
      </c>
      <c r="B7404" t="str">
        <f>"1437413770"</f>
        <v>1437413770</v>
      </c>
      <c r="C7404" t="str">
        <f>"363L00000X"</f>
        <v>363L00000X</v>
      </c>
      <c r="D7404" t="str">
        <f>"ALDERMAN III             JOSHUA       C           "</f>
        <v xml:space="preserve">ALDERMAN III             JOSHUA       C           </v>
      </c>
      <c r="E7404" t="str">
        <f>"MAGEE                     "</f>
        <v xml:space="preserve">MAGEE                     </v>
      </c>
      <c r="F7404" t="str">
        <f t="shared" si="232"/>
        <v>MS</v>
      </c>
    </row>
    <row r="7405" spans="1:6" x14ac:dyDescent="0.25">
      <c r="A7405" t="str">
        <f>"000602001"</f>
        <v>000602001</v>
      </c>
      <c r="B7405" t="str">
        <f>"1790725224"</f>
        <v>1790725224</v>
      </c>
      <c r="C7405" t="str">
        <f>"261QF0400X"</f>
        <v>261QF0400X</v>
      </c>
      <c r="D7405" t="str">
        <f>"MARY BETHUNE ALTERNATIVE SCHOOL                   "</f>
        <v xml:space="preserve">MARY BETHUNE ALTERNATIVE SCHOOL                   </v>
      </c>
      <c r="E7405" t="str">
        <f>"HATTIESBURG               "</f>
        <v xml:space="preserve">HATTIESBURG               </v>
      </c>
      <c r="F7405" t="str">
        <f t="shared" si="232"/>
        <v>MS</v>
      </c>
    </row>
    <row r="7406" spans="1:6" x14ac:dyDescent="0.25">
      <c r="A7406" t="str">
        <f>"000602370"</f>
        <v>000602370</v>
      </c>
      <c r="B7406" t="str">
        <f>"1316106115"</f>
        <v>1316106115</v>
      </c>
      <c r="C7406" t="str">
        <f>"122300000X"</f>
        <v>122300000X</v>
      </c>
      <c r="D7406" t="str">
        <f>"WILLIS GENERAL DENTISTRY                          "</f>
        <v xml:space="preserve">WILLIS GENERAL DENTISTRY                          </v>
      </c>
      <c r="E7406" t="str">
        <f>"FLOWOOD                   "</f>
        <v xml:space="preserve">FLOWOOD                   </v>
      </c>
      <c r="F7406" t="str">
        <f t="shared" si="232"/>
        <v>MS</v>
      </c>
    </row>
    <row r="7407" spans="1:6" x14ac:dyDescent="0.25">
      <c r="A7407" t="str">
        <f>"000602867"</f>
        <v>000602867</v>
      </c>
      <c r="B7407" t="str">
        <f>"1518273499"</f>
        <v>1518273499</v>
      </c>
      <c r="C7407" t="str">
        <f>"363L00000X"</f>
        <v>363L00000X</v>
      </c>
      <c r="D7407" t="str">
        <f>"JACKSON                  JENNIFER     L           "</f>
        <v xml:space="preserve">JACKSON                  JENNIFER     L           </v>
      </c>
      <c r="E7407" t="str">
        <f>"GULFPORT                  "</f>
        <v xml:space="preserve">GULFPORT                  </v>
      </c>
      <c r="F7407" t="str">
        <f t="shared" si="232"/>
        <v>MS</v>
      </c>
    </row>
    <row r="7408" spans="1:6" x14ac:dyDescent="0.25">
      <c r="A7408" t="str">
        <f>"000604559"</f>
        <v>000604559</v>
      </c>
      <c r="B7408" t="str">
        <f>"1750922209"</f>
        <v>1750922209</v>
      </c>
      <c r="C7408" t="str">
        <f>"363LF0000X"</f>
        <v>363LF0000X</v>
      </c>
      <c r="D7408" t="str">
        <f>"NIXON                    PAUL                     "</f>
        <v xml:space="preserve">NIXON                    PAUL                     </v>
      </c>
      <c r="E7408" t="str">
        <f>"BATESVILLE                "</f>
        <v xml:space="preserve">BATESVILLE                </v>
      </c>
      <c r="F7408" t="str">
        <f t="shared" si="232"/>
        <v>MS</v>
      </c>
    </row>
    <row r="7409" spans="1:6" x14ac:dyDescent="0.25">
      <c r="A7409" t="str">
        <f>"000604717"</f>
        <v>000604717</v>
      </c>
      <c r="B7409" t="str">
        <f>"1306272976"</f>
        <v>1306272976</v>
      </c>
      <c r="C7409" t="str">
        <f>"367500000X"</f>
        <v>367500000X</v>
      </c>
      <c r="D7409" t="str">
        <f>"GARDNER                  GRAHAM                   "</f>
        <v xml:space="preserve">GARDNER                  GRAHAM                   </v>
      </c>
      <c r="E7409" t="str">
        <f>"HATTIESBURG               "</f>
        <v xml:space="preserve">HATTIESBURG               </v>
      </c>
      <c r="F7409" t="str">
        <f t="shared" si="232"/>
        <v>MS</v>
      </c>
    </row>
    <row r="7410" spans="1:6" x14ac:dyDescent="0.25">
      <c r="A7410" t="str">
        <f>"000604803"</f>
        <v>000604803</v>
      </c>
      <c r="B7410" t="str">
        <f>"1346546777"</f>
        <v>1346546777</v>
      </c>
      <c r="C7410" t="str">
        <f>"363L00000X"</f>
        <v>363L00000X</v>
      </c>
      <c r="D7410" t="str">
        <f>"MASSEY                   CYNTHIA      B           "</f>
        <v xml:space="preserve">MASSEY                   CYNTHIA      B           </v>
      </c>
      <c r="E7410" t="str">
        <f>"CHOCTAW                   "</f>
        <v xml:space="preserve">CHOCTAW                   </v>
      </c>
      <c r="F7410" t="str">
        <f t="shared" si="232"/>
        <v>MS</v>
      </c>
    </row>
    <row r="7411" spans="1:6" x14ac:dyDescent="0.25">
      <c r="A7411" t="str">
        <f>"000608032"</f>
        <v>000608032</v>
      </c>
      <c r="B7411" t="str">
        <f>"1518451137"</f>
        <v>1518451137</v>
      </c>
      <c r="C7411" t="str">
        <f>"207Q00000X"</f>
        <v>207Q00000X</v>
      </c>
      <c r="D7411" t="str">
        <f>"TWEDT                    SAMUEL       A           "</f>
        <v xml:space="preserve">TWEDT                    SAMUEL       A           </v>
      </c>
      <c r="E7411" t="str">
        <f>"GULFPORT                  "</f>
        <v xml:space="preserve">GULFPORT                  </v>
      </c>
      <c r="F7411" t="str">
        <f t="shared" si="232"/>
        <v>MS</v>
      </c>
    </row>
    <row r="7412" spans="1:6" x14ac:dyDescent="0.25">
      <c r="A7412" t="str">
        <f>"000608072"</f>
        <v>000608072</v>
      </c>
      <c r="B7412" t="str">
        <f>"1578827739"</f>
        <v>1578827739</v>
      </c>
      <c r="C7412" t="str">
        <f>"207Q00000X"</f>
        <v>207Q00000X</v>
      </c>
      <c r="D7412" t="str">
        <f>"PREMIER FAMILY MEDICINE PLLC                      "</f>
        <v xml:space="preserve">PREMIER FAMILY MEDICINE PLLC                      </v>
      </c>
      <c r="E7412" t="str">
        <f>"CAMDEN                    "</f>
        <v xml:space="preserve">CAMDEN                    </v>
      </c>
      <c r="F7412" t="str">
        <f t="shared" si="232"/>
        <v>MS</v>
      </c>
    </row>
    <row r="7413" spans="1:6" x14ac:dyDescent="0.25">
      <c r="A7413" t="str">
        <f>"000608516"</f>
        <v>000608516</v>
      </c>
      <c r="B7413" t="str">
        <f>"1942402029"</f>
        <v>1942402029</v>
      </c>
      <c r="C7413" t="str">
        <f>"207P00000X"</f>
        <v>207P00000X</v>
      </c>
      <c r="D7413" t="str">
        <f>"BLAKENEY                 DANIELLE     D           "</f>
        <v xml:space="preserve">BLAKENEY                 DANIELLE     D           </v>
      </c>
      <c r="E7413" t="str">
        <f>"LAUREL                    "</f>
        <v xml:space="preserve">LAUREL                    </v>
      </c>
      <c r="F7413" t="str">
        <f t="shared" si="232"/>
        <v>MS</v>
      </c>
    </row>
    <row r="7414" spans="1:6" x14ac:dyDescent="0.25">
      <c r="A7414" t="str">
        <f>"000608592"</f>
        <v>000608592</v>
      </c>
      <c r="B7414" t="str">
        <f>"1821243924"</f>
        <v>1821243924</v>
      </c>
      <c r="C7414" t="str">
        <f>"363L00000X"</f>
        <v>363L00000X</v>
      </c>
      <c r="D7414" t="str">
        <f>"RIGDON                   HOLLY        C           "</f>
        <v xml:space="preserve">RIGDON                   HOLLY        C           </v>
      </c>
      <c r="E7414" t="str">
        <f>"MACON                     "</f>
        <v xml:space="preserve">MACON                     </v>
      </c>
      <c r="F7414" t="str">
        <f t="shared" si="232"/>
        <v>MS</v>
      </c>
    </row>
    <row r="7415" spans="1:6" x14ac:dyDescent="0.25">
      <c r="A7415" t="str">
        <f>"000608818"</f>
        <v>000608818</v>
      </c>
      <c r="B7415" t="str">
        <f>"1619171188"</f>
        <v>1619171188</v>
      </c>
      <c r="C7415" t="str">
        <f>"208100000X"</f>
        <v>208100000X</v>
      </c>
      <c r="D7415" t="str">
        <f>"BELL                     PARKER       L           "</f>
        <v xml:space="preserve">BELL                     PARKER       L           </v>
      </c>
      <c r="E7415" t="str">
        <f>"HATTIESBURG               "</f>
        <v xml:space="preserve">HATTIESBURG               </v>
      </c>
      <c r="F7415" t="str">
        <f t="shared" si="232"/>
        <v>MS</v>
      </c>
    </row>
    <row r="7416" spans="1:6" x14ac:dyDescent="0.25">
      <c r="A7416" t="str">
        <f>"000609293"</f>
        <v>000609293</v>
      </c>
      <c r="B7416" t="str">
        <f>"1285984005"</f>
        <v>1285984005</v>
      </c>
      <c r="C7416" t="str">
        <f>"207RP1001X"</f>
        <v>207RP1001X</v>
      </c>
      <c r="D7416" t="str">
        <f>"BONETTI LUGO             ANA          H           "</f>
        <v xml:space="preserve">BONETTI LUGO             ANA          H           </v>
      </c>
      <c r="E7416" t="str">
        <f>"COLUMBUS                  "</f>
        <v xml:space="preserve">COLUMBUS                  </v>
      </c>
      <c r="F7416" t="str">
        <f t="shared" si="232"/>
        <v>MS</v>
      </c>
    </row>
    <row r="7417" spans="1:6" x14ac:dyDescent="0.25">
      <c r="A7417" t="str">
        <f>"000620000"</f>
        <v>000620000</v>
      </c>
      <c r="B7417" t="str">
        <f>"1497868897"</f>
        <v>1497868897</v>
      </c>
      <c r="C7417" t="str">
        <f>"207X00000X"</f>
        <v>207X00000X</v>
      </c>
      <c r="D7417" t="str">
        <f>"SCHWARTZ                 LAURENCE     W           "</f>
        <v xml:space="preserve">SCHWARTZ                 LAURENCE     W           </v>
      </c>
      <c r="E7417" t="str">
        <f>"SOUTHAVEN                 "</f>
        <v xml:space="preserve">SOUTHAVEN                 </v>
      </c>
      <c r="F7417" t="str">
        <f t="shared" si="232"/>
        <v>MS</v>
      </c>
    </row>
    <row r="7418" spans="1:6" x14ac:dyDescent="0.25">
      <c r="A7418" t="str">
        <f>"000620291"</f>
        <v>000620291</v>
      </c>
      <c r="B7418" t="str">
        <f>"1245757319"</f>
        <v>1245757319</v>
      </c>
      <c r="C7418" t="str">
        <f>"261QR1300X"</f>
        <v>261QR1300X</v>
      </c>
      <c r="D7418" t="str">
        <f>"MONROE REGIONAL HOSPITAL                          "</f>
        <v xml:space="preserve">MONROE REGIONAL HOSPITAL                          </v>
      </c>
      <c r="E7418" t="str">
        <f>"ABERDEEN                  "</f>
        <v xml:space="preserve">ABERDEEN                  </v>
      </c>
      <c r="F7418" t="str">
        <f t="shared" si="232"/>
        <v>MS</v>
      </c>
    </row>
    <row r="7419" spans="1:6" x14ac:dyDescent="0.25">
      <c r="A7419" t="str">
        <f>"000620761"</f>
        <v>000620761</v>
      </c>
      <c r="B7419" t="str">
        <f>"1922422583"</f>
        <v>1922422583</v>
      </c>
      <c r="C7419" t="str">
        <f>"363A00000X"</f>
        <v>363A00000X</v>
      </c>
      <c r="D7419" t="str">
        <f>"DIXON                    JENNA        L           "</f>
        <v xml:space="preserve">DIXON                    JENNA        L           </v>
      </c>
      <c r="E7419" t="str">
        <f>"TUPELO                    "</f>
        <v xml:space="preserve">TUPELO                    </v>
      </c>
      <c r="F7419" t="str">
        <f t="shared" si="232"/>
        <v>MS</v>
      </c>
    </row>
    <row r="7420" spans="1:6" x14ac:dyDescent="0.25">
      <c r="A7420" t="str">
        <f>"000621559"</f>
        <v>000621559</v>
      </c>
      <c r="B7420" t="str">
        <f>"1932730082"</f>
        <v>1932730082</v>
      </c>
      <c r="C7420" t="str">
        <f>"363L00000X"</f>
        <v>363L00000X</v>
      </c>
      <c r="D7420" t="str">
        <f>"GLENN                    ZACH         E           "</f>
        <v xml:space="preserve">GLENN                    ZACH         E           </v>
      </c>
      <c r="E7420" t="str">
        <f>"BOONEVILLE                "</f>
        <v xml:space="preserve">BOONEVILLE                </v>
      </c>
      <c r="F7420" t="str">
        <f t="shared" si="232"/>
        <v>MS</v>
      </c>
    </row>
    <row r="7421" spans="1:6" x14ac:dyDescent="0.25">
      <c r="A7421" t="str">
        <f>"000621784"</f>
        <v>000621784</v>
      </c>
      <c r="B7421" t="str">
        <f>"1720129950"</f>
        <v>1720129950</v>
      </c>
      <c r="C7421" t="str">
        <f>"207R00000X"</f>
        <v>207R00000X</v>
      </c>
      <c r="D7421" t="str">
        <f>"SEALE                    BEN          W           "</f>
        <v xml:space="preserve">SEALE                    BEN          W           </v>
      </c>
      <c r="E7421" t="str">
        <f>"JACKSON                   "</f>
        <v xml:space="preserve">JACKSON                   </v>
      </c>
      <c r="F7421" t="str">
        <f t="shared" si="232"/>
        <v>MS</v>
      </c>
    </row>
    <row r="7422" spans="1:6" x14ac:dyDescent="0.25">
      <c r="A7422" t="str">
        <f>"000622768"</f>
        <v>000622768</v>
      </c>
      <c r="B7422" t="str">
        <f>"1649632415"</f>
        <v>1649632415</v>
      </c>
      <c r="C7422" t="str">
        <f>"207R00000X"</f>
        <v>207R00000X</v>
      </c>
      <c r="D7422" t="str">
        <f>"MEYER-FRYOUX             ELIZABETH    A           "</f>
        <v xml:space="preserve">MEYER-FRYOUX             ELIZABETH    A           </v>
      </c>
      <c r="E7422" t="str">
        <f>"JACKSON                   "</f>
        <v xml:space="preserve">JACKSON                   </v>
      </c>
      <c r="F7422" t="str">
        <f t="shared" ref="F7422:F7485" si="233">"MS"</f>
        <v>MS</v>
      </c>
    </row>
    <row r="7423" spans="1:6" x14ac:dyDescent="0.25">
      <c r="A7423" t="str">
        <f>"000623210"</f>
        <v>000623210</v>
      </c>
      <c r="B7423" t="str">
        <f>"1649201591"</f>
        <v>1649201591</v>
      </c>
      <c r="C7423" t="str">
        <f>"122300000X"</f>
        <v>122300000X</v>
      </c>
      <c r="D7423" t="str">
        <f>"PIPPEN                   SHERRY       C           "</f>
        <v xml:space="preserve">PIPPEN                   SHERRY       C           </v>
      </c>
      <c r="E7423" t="str">
        <f>"MONTICELLO                "</f>
        <v xml:space="preserve">MONTICELLO                </v>
      </c>
      <c r="F7423" t="str">
        <f t="shared" si="233"/>
        <v>MS</v>
      </c>
    </row>
    <row r="7424" spans="1:6" x14ac:dyDescent="0.25">
      <c r="A7424" t="str">
        <f>"000623301"</f>
        <v>000623301</v>
      </c>
      <c r="B7424" t="str">
        <f>"1407460157"</f>
        <v>1407460157</v>
      </c>
      <c r="C7424" t="str">
        <f>"363L00000X"</f>
        <v>363L00000X</v>
      </c>
      <c r="D7424" t="str">
        <f>"LACAP                    KIMBERLY                 "</f>
        <v xml:space="preserve">LACAP                    KIMBERLY                 </v>
      </c>
      <c r="E7424" t="str">
        <f>"BILOXI                    "</f>
        <v xml:space="preserve">BILOXI                    </v>
      </c>
      <c r="F7424" t="str">
        <f t="shared" si="233"/>
        <v>MS</v>
      </c>
    </row>
    <row r="7425" spans="1:6" x14ac:dyDescent="0.25">
      <c r="A7425" t="str">
        <f>"000623541"</f>
        <v>000623541</v>
      </c>
      <c r="B7425" t="str">
        <f>"1851993984"</f>
        <v>1851993984</v>
      </c>
      <c r="C7425" t="str">
        <f>"363L00000X"</f>
        <v>363L00000X</v>
      </c>
      <c r="D7425" t="str">
        <f>"SLAY                     CHELSI       E           "</f>
        <v xml:space="preserve">SLAY                     CHELSI       E           </v>
      </c>
      <c r="E7425" t="str">
        <f>"MERIDIAN                  "</f>
        <v xml:space="preserve">MERIDIAN                  </v>
      </c>
      <c r="F7425" t="str">
        <f t="shared" si="233"/>
        <v>MS</v>
      </c>
    </row>
    <row r="7426" spans="1:6" x14ac:dyDescent="0.25">
      <c r="A7426" t="str">
        <f>"000624281"</f>
        <v>000624281</v>
      </c>
      <c r="B7426" t="str">
        <f>"1457879801"</f>
        <v>1457879801</v>
      </c>
      <c r="C7426" t="str">
        <f>"363L00000X"</f>
        <v>363L00000X</v>
      </c>
      <c r="D7426" t="str">
        <f>"HUDDLESTON               ANDREA       L           "</f>
        <v xml:space="preserve">HUDDLESTON               ANDREA       L           </v>
      </c>
      <c r="E7426" t="str">
        <f>"CORINTH                   "</f>
        <v xml:space="preserve">CORINTH                   </v>
      </c>
      <c r="F7426" t="str">
        <f t="shared" si="233"/>
        <v>MS</v>
      </c>
    </row>
    <row r="7427" spans="1:6" x14ac:dyDescent="0.25">
      <c r="A7427" t="str">
        <f>"000624501"</f>
        <v>000624501</v>
      </c>
      <c r="B7427" t="str">
        <f>"1184753485"</f>
        <v>1184753485</v>
      </c>
      <c r="C7427" t="str">
        <f>"207X00000X"</f>
        <v>207X00000X</v>
      </c>
      <c r="D7427" t="str">
        <f>"CRAFT                    JASON        A           "</f>
        <v xml:space="preserve">CRAFT                    JASON        A           </v>
      </c>
      <c r="E7427" t="str">
        <f>"JACKSON                   "</f>
        <v xml:space="preserve">JACKSON                   </v>
      </c>
      <c r="F7427" t="str">
        <f t="shared" si="233"/>
        <v>MS</v>
      </c>
    </row>
    <row r="7428" spans="1:6" x14ac:dyDescent="0.25">
      <c r="A7428" t="str">
        <f>"000624711"</f>
        <v>000624711</v>
      </c>
      <c r="B7428" t="str">
        <f>"1003836818"</f>
        <v>1003836818</v>
      </c>
      <c r="C7428" t="str">
        <f>"207L00000X"</f>
        <v>207L00000X</v>
      </c>
      <c r="D7428" t="str">
        <f>"ANAND                    SUWARNA                  "</f>
        <v xml:space="preserve">ANAND                    SUWARNA                  </v>
      </c>
      <c r="E7428" t="str">
        <f>"JACKSON                   "</f>
        <v xml:space="preserve">JACKSON                   </v>
      </c>
      <c r="F7428" t="str">
        <f t="shared" si="233"/>
        <v>MS</v>
      </c>
    </row>
    <row r="7429" spans="1:6" x14ac:dyDescent="0.25">
      <c r="A7429" t="str">
        <f>"000625807"</f>
        <v>000625807</v>
      </c>
      <c r="B7429" t="str">
        <f>"1033571856"</f>
        <v>1033571856</v>
      </c>
      <c r="C7429" t="str">
        <f>"207P00000X"</f>
        <v>207P00000X</v>
      </c>
      <c r="D7429" t="str">
        <f>"PHAN                     LANA                     "</f>
        <v xml:space="preserve">PHAN                     LANA                     </v>
      </c>
      <c r="E7429" t="str">
        <f>"NATCHEZ                   "</f>
        <v xml:space="preserve">NATCHEZ                   </v>
      </c>
      <c r="F7429" t="str">
        <f t="shared" si="233"/>
        <v>MS</v>
      </c>
    </row>
    <row r="7430" spans="1:6" x14ac:dyDescent="0.25">
      <c r="A7430" t="str">
        <f>"000627524"</f>
        <v>000627524</v>
      </c>
      <c r="B7430" t="str">
        <f>"1457480568"</f>
        <v>1457480568</v>
      </c>
      <c r="C7430" t="str">
        <f>"363L00000X"</f>
        <v>363L00000X</v>
      </c>
      <c r="D7430" t="str">
        <f>"MAUZY                    CHERYL       L           "</f>
        <v xml:space="preserve">MAUZY                    CHERYL       L           </v>
      </c>
      <c r="E7430" t="str">
        <f>"GULFPORT                  "</f>
        <v xml:space="preserve">GULFPORT                  </v>
      </c>
      <c r="F7430" t="str">
        <f t="shared" si="233"/>
        <v>MS</v>
      </c>
    </row>
    <row r="7431" spans="1:6" x14ac:dyDescent="0.25">
      <c r="A7431" t="str">
        <f>"000629068"</f>
        <v>000629068</v>
      </c>
      <c r="B7431" t="str">
        <f>"1710328844"</f>
        <v>1710328844</v>
      </c>
      <c r="C7431" t="str">
        <f>"363L00000X"</f>
        <v>363L00000X</v>
      </c>
      <c r="D7431" t="str">
        <f>"HUGHES                   ROSALIND     N           "</f>
        <v xml:space="preserve">HUGHES                   ROSALIND     N           </v>
      </c>
      <c r="E7431" t="str">
        <f>"SOUTHAVEN                 "</f>
        <v xml:space="preserve">SOUTHAVEN                 </v>
      </c>
      <c r="F7431" t="str">
        <f t="shared" si="233"/>
        <v>MS</v>
      </c>
    </row>
    <row r="7432" spans="1:6" x14ac:dyDescent="0.25">
      <c r="A7432" t="str">
        <f>"000629072"</f>
        <v>000629072</v>
      </c>
      <c r="B7432" t="str">
        <f>"1982934311"</f>
        <v>1982934311</v>
      </c>
      <c r="C7432" t="str">
        <f>"208100000X"</f>
        <v>208100000X</v>
      </c>
      <c r="D7432" t="str">
        <f>"SILVER                   KEVIN                    "</f>
        <v xml:space="preserve">SILVER                   KEVIN                    </v>
      </c>
      <c r="E7432" t="str">
        <f>"TUPELO                    "</f>
        <v xml:space="preserve">TUPELO                    </v>
      </c>
      <c r="F7432" t="str">
        <f t="shared" si="233"/>
        <v>MS</v>
      </c>
    </row>
    <row r="7433" spans="1:6" x14ac:dyDescent="0.25">
      <c r="A7433" t="str">
        <f>"000629286"</f>
        <v>000629286</v>
      </c>
      <c r="B7433" t="str">
        <f>"1194288506"</f>
        <v>1194288506</v>
      </c>
      <c r="C7433" t="str">
        <f>"207P00000X"</f>
        <v>207P00000X</v>
      </c>
      <c r="D7433" t="str">
        <f>"CASE                     VERONICA                 "</f>
        <v xml:space="preserve">CASE                     VERONICA                 </v>
      </c>
      <c r="E7433" t="str">
        <f>"JACKSON                   "</f>
        <v xml:space="preserve">JACKSON                   </v>
      </c>
      <c r="F7433" t="str">
        <f t="shared" si="233"/>
        <v>MS</v>
      </c>
    </row>
    <row r="7434" spans="1:6" x14ac:dyDescent="0.25">
      <c r="A7434" t="str">
        <f>"000629768"</f>
        <v>000629768</v>
      </c>
      <c r="B7434" t="str">
        <f>"1023034097"</f>
        <v>1023034097</v>
      </c>
      <c r="C7434" t="str">
        <f>"208000000X"</f>
        <v>208000000X</v>
      </c>
      <c r="D7434" t="str">
        <f>"HICKS                    JASON        B           "</f>
        <v xml:space="preserve">HICKS                    JASON        B           </v>
      </c>
      <c r="E7434" t="str">
        <f>"RIDGELAND                 "</f>
        <v xml:space="preserve">RIDGELAND                 </v>
      </c>
      <c r="F7434" t="str">
        <f t="shared" si="233"/>
        <v>MS</v>
      </c>
    </row>
    <row r="7435" spans="1:6" x14ac:dyDescent="0.25">
      <c r="A7435" t="str">
        <f>"000631507"</f>
        <v>000631507</v>
      </c>
      <c r="B7435" t="str">
        <f>"1538100144"</f>
        <v>1538100144</v>
      </c>
      <c r="C7435" t="str">
        <f>"363L00000X"</f>
        <v>363L00000X</v>
      </c>
      <c r="D7435" t="str">
        <f>"MCDANIEL                 KAY          K           "</f>
        <v xml:space="preserve">MCDANIEL                 KAY          K           </v>
      </c>
      <c r="E7435" t="str">
        <f>"VICKSBURG                 "</f>
        <v xml:space="preserve">VICKSBURG                 </v>
      </c>
      <c r="F7435" t="str">
        <f t="shared" si="233"/>
        <v>MS</v>
      </c>
    </row>
    <row r="7436" spans="1:6" x14ac:dyDescent="0.25">
      <c r="A7436" t="str">
        <f>"000631556"</f>
        <v>000631556</v>
      </c>
      <c r="B7436" t="str">
        <f>"1407120280"</f>
        <v>1407120280</v>
      </c>
      <c r="C7436" t="str">
        <f>"363L00000X"</f>
        <v>363L00000X</v>
      </c>
      <c r="D7436" t="str">
        <f>"BROOKS                   SCHERUN      M           "</f>
        <v xml:space="preserve">BROOKS                   SCHERUN      M           </v>
      </c>
      <c r="E7436" t="str">
        <f>"CORINTH                   "</f>
        <v xml:space="preserve">CORINTH                   </v>
      </c>
      <c r="F7436" t="str">
        <f t="shared" si="233"/>
        <v>MS</v>
      </c>
    </row>
    <row r="7437" spans="1:6" x14ac:dyDescent="0.25">
      <c r="A7437" t="str">
        <f>"000632216"</f>
        <v>000632216</v>
      </c>
      <c r="B7437" t="str">
        <f>"1194175273"</f>
        <v>1194175273</v>
      </c>
      <c r="C7437" t="str">
        <f>"207Q00000X"</f>
        <v>207Q00000X</v>
      </c>
      <c r="D7437" t="str">
        <f>"TILLOTSON                ETHAN        L           "</f>
        <v xml:space="preserve">TILLOTSON                ETHAN        L           </v>
      </c>
      <c r="E7437" t="str">
        <f>"TUPELO                    "</f>
        <v xml:space="preserve">TUPELO                    </v>
      </c>
      <c r="F7437" t="str">
        <f t="shared" si="233"/>
        <v>MS</v>
      </c>
    </row>
    <row r="7438" spans="1:6" x14ac:dyDescent="0.25">
      <c r="A7438" t="str">
        <f>"000633054"</f>
        <v>000633054</v>
      </c>
      <c r="B7438" t="str">
        <f>"1184810525"</f>
        <v>1184810525</v>
      </c>
      <c r="C7438" t="str">
        <f>"152W00000X"</f>
        <v>152W00000X</v>
      </c>
      <c r="D7438" t="str">
        <f>"PROFESSIONAL EYECARE ASSOCIATES OF                "</f>
        <v xml:space="preserve">PROFESSIONAL EYECARE ASSOCIATES OF                </v>
      </c>
      <c r="E7438" t="str">
        <f>"YAZOO CITY                "</f>
        <v xml:space="preserve">YAZOO CITY                </v>
      </c>
      <c r="F7438" t="str">
        <f t="shared" si="233"/>
        <v>MS</v>
      </c>
    </row>
    <row r="7439" spans="1:6" x14ac:dyDescent="0.25">
      <c r="A7439" t="str">
        <f>"000633324"</f>
        <v>000633324</v>
      </c>
      <c r="B7439" t="str">
        <f>"1093280679"</f>
        <v>1093280679</v>
      </c>
      <c r="C7439" t="str">
        <f>"363L00000X"</f>
        <v>363L00000X</v>
      </c>
      <c r="D7439" t="str">
        <f>"BURAGE                   BRITTANY     C           "</f>
        <v xml:space="preserve">BURAGE                   BRITTANY     C           </v>
      </c>
      <c r="E7439" t="str">
        <f>"BROOKHAVEN                "</f>
        <v xml:space="preserve">BROOKHAVEN                </v>
      </c>
      <c r="F7439" t="str">
        <f t="shared" si="233"/>
        <v>MS</v>
      </c>
    </row>
    <row r="7440" spans="1:6" x14ac:dyDescent="0.25">
      <c r="A7440" t="str">
        <f>"000634351"</f>
        <v>000634351</v>
      </c>
      <c r="B7440" t="str">
        <f>"1073774337"</f>
        <v>1073774337</v>
      </c>
      <c r="C7440" t="str">
        <f>"207L00000X"</f>
        <v>207L00000X</v>
      </c>
      <c r="D7440" t="str">
        <f>"CORBETT                  DAVID                    "</f>
        <v xml:space="preserve">CORBETT                  DAVID                    </v>
      </c>
      <c r="E7440" t="str">
        <f>"AMORY                     "</f>
        <v xml:space="preserve">AMORY                     </v>
      </c>
      <c r="F7440" t="str">
        <f t="shared" si="233"/>
        <v>MS</v>
      </c>
    </row>
    <row r="7441" spans="1:6" x14ac:dyDescent="0.25">
      <c r="A7441" t="str">
        <f>"000634747"</f>
        <v>000634747</v>
      </c>
      <c r="B7441" t="str">
        <f>"1902089857"</f>
        <v>1902089857</v>
      </c>
      <c r="C7441" t="str">
        <f>"261QM1300X"</f>
        <v>261QM1300X</v>
      </c>
      <c r="D7441" t="str">
        <f>"BEHAVIOR, ATTENTION AND DEVELOPMENTAL DISABILITIES"</f>
        <v>BEHAVIOR, ATTENTION AND DEVELOPMENTAL DISABILITIES</v>
      </c>
      <c r="E7441" t="str">
        <f>"SOUTHAVEN                 "</f>
        <v xml:space="preserve">SOUTHAVEN                 </v>
      </c>
      <c r="F7441" t="str">
        <f t="shared" si="233"/>
        <v>MS</v>
      </c>
    </row>
    <row r="7442" spans="1:6" x14ac:dyDescent="0.25">
      <c r="A7442" t="str">
        <f>"000634749"</f>
        <v>000634749</v>
      </c>
      <c r="B7442" t="str">
        <f>"1912423989"</f>
        <v>1912423989</v>
      </c>
      <c r="C7442" t="str">
        <f>"363L00000X"</f>
        <v>363L00000X</v>
      </c>
      <c r="D7442" t="str">
        <f>"SMITH                    CARA                     "</f>
        <v xml:space="preserve">SMITH                    CARA                     </v>
      </c>
      <c r="E7442" t="str">
        <f>"JACKSON                   "</f>
        <v xml:space="preserve">JACKSON                   </v>
      </c>
      <c r="F7442" t="str">
        <f t="shared" si="233"/>
        <v>MS</v>
      </c>
    </row>
    <row r="7443" spans="1:6" x14ac:dyDescent="0.25">
      <c r="A7443" t="str">
        <f>"000634762"</f>
        <v>000634762</v>
      </c>
      <c r="B7443" t="str">
        <f>"1902257124"</f>
        <v>1902257124</v>
      </c>
      <c r="C7443" t="str">
        <f>"363L00000X"</f>
        <v>363L00000X</v>
      </c>
      <c r="D7443" t="str">
        <f>"MCLEMORE                 ADRIAN                   "</f>
        <v xml:space="preserve">MCLEMORE                 ADRIAN                   </v>
      </c>
      <c r="E7443" t="str">
        <f>"BILOXI                    "</f>
        <v xml:space="preserve">BILOXI                    </v>
      </c>
      <c r="F7443" t="str">
        <f t="shared" si="233"/>
        <v>MS</v>
      </c>
    </row>
    <row r="7444" spans="1:6" x14ac:dyDescent="0.25">
      <c r="A7444" t="str">
        <f>"000636847"</f>
        <v>000636847</v>
      </c>
      <c r="B7444" t="str">
        <f>"1447489919"</f>
        <v>1447489919</v>
      </c>
      <c r="C7444" t="str">
        <f>"122300000X"</f>
        <v>122300000X</v>
      </c>
      <c r="D7444" t="str">
        <f>"MCCRARY                  SARA JANE    D           "</f>
        <v xml:space="preserve">MCCRARY                  SARA JANE    D           </v>
      </c>
      <c r="E7444" t="str">
        <f>"JACKSON                   "</f>
        <v xml:space="preserve">JACKSON                   </v>
      </c>
      <c r="F7444" t="str">
        <f t="shared" si="233"/>
        <v>MS</v>
      </c>
    </row>
    <row r="7445" spans="1:6" x14ac:dyDescent="0.25">
      <c r="A7445" t="str">
        <f>"000637282"</f>
        <v>000637282</v>
      </c>
      <c r="B7445" t="str">
        <f>"1235646688"</f>
        <v>1235646688</v>
      </c>
      <c r="C7445" t="str">
        <f>"363L00000X"</f>
        <v>363L00000X</v>
      </c>
      <c r="D7445" t="str">
        <f>"PALMER                   CHELSEA      K           "</f>
        <v xml:space="preserve">PALMER                   CHELSEA      K           </v>
      </c>
      <c r="E7445" t="str">
        <f>"TYLERTOWN                 "</f>
        <v xml:space="preserve">TYLERTOWN                 </v>
      </c>
      <c r="F7445" t="str">
        <f t="shared" si="233"/>
        <v>MS</v>
      </c>
    </row>
    <row r="7446" spans="1:6" x14ac:dyDescent="0.25">
      <c r="A7446" t="str">
        <f>"000637388"</f>
        <v>000637388</v>
      </c>
      <c r="B7446" t="str">
        <f>"1992269088"</f>
        <v>1992269088</v>
      </c>
      <c r="C7446" t="str">
        <f>"363L00000X"</f>
        <v>363L00000X</v>
      </c>
      <c r="D7446" t="str">
        <f>"MATTHEWS                 TRESSA                   "</f>
        <v xml:space="preserve">MATTHEWS                 TRESSA                   </v>
      </c>
      <c r="E7446" t="str">
        <f>"CANTON                    "</f>
        <v xml:space="preserve">CANTON                    </v>
      </c>
      <c r="F7446" t="str">
        <f t="shared" si="233"/>
        <v>MS</v>
      </c>
    </row>
    <row r="7447" spans="1:6" x14ac:dyDescent="0.25">
      <c r="A7447" t="str">
        <f>"000638261"</f>
        <v>000638261</v>
      </c>
      <c r="B7447" t="str">
        <f>"1528309887"</f>
        <v>1528309887</v>
      </c>
      <c r="C7447" t="str">
        <f>"367500000X"</f>
        <v>367500000X</v>
      </c>
      <c r="D7447" t="str">
        <f>"SISTRUNK                 MAREEN       A           "</f>
        <v xml:space="preserve">SISTRUNK                 MAREEN       A           </v>
      </c>
      <c r="E7447" t="str">
        <f>"HATTIESBURG               "</f>
        <v xml:space="preserve">HATTIESBURG               </v>
      </c>
      <c r="F7447" t="str">
        <f t="shared" si="233"/>
        <v>MS</v>
      </c>
    </row>
    <row r="7448" spans="1:6" x14ac:dyDescent="0.25">
      <c r="A7448" t="str">
        <f>"000639073"</f>
        <v>000639073</v>
      </c>
      <c r="B7448" t="str">
        <f>"1952477168"</f>
        <v>1952477168</v>
      </c>
      <c r="C7448" t="str">
        <f>"363L00000X"</f>
        <v>363L00000X</v>
      </c>
      <c r="D7448" t="str">
        <f>"STANTON                  JENNIFER     F           "</f>
        <v xml:space="preserve">STANTON                  JENNIFER     F           </v>
      </c>
      <c r="E7448" t="str">
        <f>"NEW ALBANY                "</f>
        <v xml:space="preserve">NEW ALBANY                </v>
      </c>
      <c r="F7448" t="str">
        <f t="shared" si="233"/>
        <v>MS</v>
      </c>
    </row>
    <row r="7449" spans="1:6" x14ac:dyDescent="0.25">
      <c r="A7449" t="str">
        <f>"000639559"</f>
        <v>000639559</v>
      </c>
      <c r="B7449" t="str">
        <f>"1841417656"</f>
        <v>1841417656</v>
      </c>
      <c r="C7449" t="str">
        <f>"367500000X"</f>
        <v>367500000X</v>
      </c>
      <c r="D7449" t="str">
        <f>"POTTS                    THOMAS       R           "</f>
        <v xml:space="preserve">POTTS                    THOMAS       R           </v>
      </c>
      <c r="E7449" t="str">
        <f>"JACKSON                   "</f>
        <v xml:space="preserve">JACKSON                   </v>
      </c>
      <c r="F7449" t="str">
        <f t="shared" si="233"/>
        <v>MS</v>
      </c>
    </row>
    <row r="7450" spans="1:6" x14ac:dyDescent="0.25">
      <c r="A7450" t="str">
        <f>"000652003"</f>
        <v>000652003</v>
      </c>
      <c r="B7450" t="str">
        <f>"1487677340"</f>
        <v>1487677340</v>
      </c>
      <c r="C7450" t="str">
        <f>"208000000X"</f>
        <v>208000000X</v>
      </c>
      <c r="D7450" t="str">
        <f>"NNAWUCHI EKENNA          CHIAZO       C           "</f>
        <v xml:space="preserve">NNAWUCHI EKENNA          CHIAZO       C           </v>
      </c>
      <c r="E7450" t="str">
        <f>"PASCAGOULA                "</f>
        <v xml:space="preserve">PASCAGOULA                </v>
      </c>
      <c r="F7450" t="str">
        <f t="shared" si="233"/>
        <v>MS</v>
      </c>
    </row>
    <row r="7451" spans="1:6" x14ac:dyDescent="0.25">
      <c r="A7451" t="str">
        <f>"000652546"</f>
        <v>000652546</v>
      </c>
      <c r="B7451" t="str">
        <f>"1841601861"</f>
        <v>1841601861</v>
      </c>
      <c r="C7451" t="str">
        <f>"207RE0101X"</f>
        <v>207RE0101X</v>
      </c>
      <c r="D7451" t="str">
        <f>"MAIER                    ADRIENNE     W           "</f>
        <v xml:space="preserve">MAIER                    ADRIENNE     W           </v>
      </c>
      <c r="E7451" t="str">
        <f>"JACKSON                   "</f>
        <v xml:space="preserve">JACKSON                   </v>
      </c>
      <c r="F7451" t="str">
        <f t="shared" si="233"/>
        <v>MS</v>
      </c>
    </row>
    <row r="7452" spans="1:6" x14ac:dyDescent="0.25">
      <c r="A7452" t="str">
        <f>"000654801"</f>
        <v>000654801</v>
      </c>
      <c r="B7452" t="str">
        <f>"1285122622"</f>
        <v>1285122622</v>
      </c>
      <c r="C7452" t="str">
        <f>"207V00000X"</f>
        <v>207V00000X</v>
      </c>
      <c r="D7452" t="str">
        <f>"KIOSEFF                  DONA         M           "</f>
        <v xml:space="preserve">KIOSEFF                  DONA         M           </v>
      </c>
      <c r="E7452" t="str">
        <f>"GULFPORT                  "</f>
        <v xml:space="preserve">GULFPORT                  </v>
      </c>
      <c r="F7452" t="str">
        <f t="shared" si="233"/>
        <v>MS</v>
      </c>
    </row>
    <row r="7453" spans="1:6" x14ac:dyDescent="0.25">
      <c r="A7453" t="str">
        <f>"000656040"</f>
        <v>000656040</v>
      </c>
      <c r="B7453" t="str">
        <f>"1700051281"</f>
        <v>1700051281</v>
      </c>
      <c r="C7453" t="str">
        <f>"363L00000X"</f>
        <v>363L00000X</v>
      </c>
      <c r="D7453" t="str">
        <f>"DEARMOND                 DAWN                     "</f>
        <v xml:space="preserve">DEARMOND                 DAWN                     </v>
      </c>
      <c r="E7453" t="str">
        <f>"FLOWOOD                   "</f>
        <v xml:space="preserve">FLOWOOD                   </v>
      </c>
      <c r="F7453" t="str">
        <f t="shared" si="233"/>
        <v>MS</v>
      </c>
    </row>
    <row r="7454" spans="1:6" x14ac:dyDescent="0.25">
      <c r="A7454" t="str">
        <f>"000656244"</f>
        <v>000656244</v>
      </c>
      <c r="B7454" t="str">
        <f>"1851570006"</f>
        <v>1851570006</v>
      </c>
      <c r="C7454" t="str">
        <f>"208000000X"</f>
        <v>208000000X</v>
      </c>
      <c r="D7454" t="str">
        <f>"GRANT-SPENCER            TELITHA      K           "</f>
        <v xml:space="preserve">GRANT-SPENCER            TELITHA      K           </v>
      </c>
      <c r="E7454" t="str">
        <f>"SEBASTOPOL                "</f>
        <v xml:space="preserve">SEBASTOPOL                </v>
      </c>
      <c r="F7454" t="str">
        <f t="shared" si="233"/>
        <v>MS</v>
      </c>
    </row>
    <row r="7455" spans="1:6" x14ac:dyDescent="0.25">
      <c r="A7455" t="str">
        <f>"000658505"</f>
        <v>000658505</v>
      </c>
      <c r="B7455" t="str">
        <f>"1164980728"</f>
        <v>1164980728</v>
      </c>
      <c r="C7455" t="str">
        <f>"363L00000X"</f>
        <v>363L00000X</v>
      </c>
      <c r="D7455" t="str">
        <f>"BINFORD                  DANIEL       G           "</f>
        <v xml:space="preserve">BINFORD                  DANIEL       G           </v>
      </c>
      <c r="E7455" t="str">
        <f>"OLIVE BRANCH              "</f>
        <v xml:space="preserve">OLIVE BRANCH              </v>
      </c>
      <c r="F7455" t="str">
        <f t="shared" si="233"/>
        <v>MS</v>
      </c>
    </row>
    <row r="7456" spans="1:6" x14ac:dyDescent="0.25">
      <c r="A7456" t="str">
        <f>"000658511"</f>
        <v>000658511</v>
      </c>
      <c r="B7456" t="str">
        <f>"1730379231"</f>
        <v>1730379231</v>
      </c>
      <c r="C7456" t="str">
        <f>"207LP2900X"</f>
        <v>207LP2900X</v>
      </c>
      <c r="D7456" t="str">
        <f>"SCHLOSSER                CHARLES      E           "</f>
        <v xml:space="preserve">SCHLOSSER                CHARLES      E           </v>
      </c>
      <c r="E7456" t="str">
        <f>"GULFPORT                  "</f>
        <v xml:space="preserve">GULFPORT                  </v>
      </c>
      <c r="F7456" t="str">
        <f t="shared" si="233"/>
        <v>MS</v>
      </c>
    </row>
    <row r="7457" spans="1:6" x14ac:dyDescent="0.25">
      <c r="A7457" t="str">
        <f>"000659752"</f>
        <v>000659752</v>
      </c>
      <c r="B7457" t="str">
        <f>"1972786960"</f>
        <v>1972786960</v>
      </c>
      <c r="C7457" t="str">
        <f>"207P00000X"</f>
        <v>207P00000X</v>
      </c>
      <c r="D7457" t="str">
        <f>"MYRICK                   GREGORY      R           "</f>
        <v xml:space="preserve">MYRICK                   GREGORY      R           </v>
      </c>
      <c r="E7457" t="str">
        <f>"LUCEDALE                  "</f>
        <v xml:space="preserve">LUCEDALE                  </v>
      </c>
      <c r="F7457" t="str">
        <f t="shared" si="233"/>
        <v>MS</v>
      </c>
    </row>
    <row r="7458" spans="1:6" x14ac:dyDescent="0.25">
      <c r="A7458" t="str">
        <f>"000659851"</f>
        <v>000659851</v>
      </c>
      <c r="B7458" t="str">
        <f>"1134592777"</f>
        <v>1134592777</v>
      </c>
      <c r="C7458" t="str">
        <f>"261QF0400X"</f>
        <v>261QF0400X</v>
      </c>
      <c r="D7458" t="str">
        <f>"PECAN PARK ELEMENTARY SCHOOL-BASED                "</f>
        <v xml:space="preserve">PECAN PARK ELEMENTARY SCHOOL-BASED                </v>
      </c>
      <c r="E7458" t="str">
        <f>"JACKSON                   "</f>
        <v xml:space="preserve">JACKSON                   </v>
      </c>
      <c r="F7458" t="str">
        <f t="shared" si="233"/>
        <v>MS</v>
      </c>
    </row>
    <row r="7459" spans="1:6" x14ac:dyDescent="0.25">
      <c r="A7459" t="str">
        <f>"000660005"</f>
        <v>000660005</v>
      </c>
      <c r="B7459" t="str">
        <f>"1891842191"</f>
        <v>1891842191</v>
      </c>
      <c r="C7459" t="str">
        <f t="shared" ref="C7459:C7469" si="234">"122300000X"</f>
        <v>122300000X</v>
      </c>
      <c r="D7459" t="str">
        <f>"RONE                     ROBERT                   "</f>
        <v xml:space="preserve">RONE                     ROBERT                   </v>
      </c>
      <c r="E7459" t="str">
        <f>"CRYSTAL SPRINGS           "</f>
        <v xml:space="preserve">CRYSTAL SPRINGS           </v>
      </c>
      <c r="F7459" t="str">
        <f t="shared" si="233"/>
        <v>MS</v>
      </c>
    </row>
    <row r="7460" spans="1:6" x14ac:dyDescent="0.25">
      <c r="A7460" t="str">
        <f>"000660007"</f>
        <v>000660007</v>
      </c>
      <c r="B7460" t="str">
        <f>"1427190750"</f>
        <v>1427190750</v>
      </c>
      <c r="C7460" t="str">
        <f t="shared" si="234"/>
        <v>122300000X</v>
      </c>
      <c r="D7460" t="str">
        <f>"GANDY                    STEPHEN      R           "</f>
        <v xml:space="preserve">GANDY                    STEPHEN      R           </v>
      </c>
      <c r="E7460" t="str">
        <f>"JACKSON                   "</f>
        <v xml:space="preserve">JACKSON                   </v>
      </c>
      <c r="F7460" t="str">
        <f t="shared" si="233"/>
        <v>MS</v>
      </c>
    </row>
    <row r="7461" spans="1:6" x14ac:dyDescent="0.25">
      <c r="A7461" t="str">
        <f>"000660036"</f>
        <v>000660036</v>
      </c>
      <c r="B7461" t="str">
        <f>"1063548394"</f>
        <v>1063548394</v>
      </c>
      <c r="C7461" t="str">
        <f t="shared" si="234"/>
        <v>122300000X</v>
      </c>
      <c r="D7461" t="str">
        <f>"SLOVER                   RUSSELL      H           "</f>
        <v xml:space="preserve">SLOVER                   RUSSELL      H           </v>
      </c>
      <c r="E7461" t="str">
        <f>"MAGEE                     "</f>
        <v xml:space="preserve">MAGEE                     </v>
      </c>
      <c r="F7461" t="str">
        <f t="shared" si="233"/>
        <v>MS</v>
      </c>
    </row>
    <row r="7462" spans="1:6" x14ac:dyDescent="0.25">
      <c r="A7462" t="str">
        <f>"000660041"</f>
        <v>000660041</v>
      </c>
      <c r="B7462" t="str">
        <f>"1417048182"</f>
        <v>1417048182</v>
      </c>
      <c r="C7462" t="str">
        <f t="shared" si="234"/>
        <v>122300000X</v>
      </c>
      <c r="D7462" t="str">
        <f>"MCDANIEL                 DAVID                    "</f>
        <v xml:space="preserve">MCDANIEL                 DAVID                    </v>
      </c>
      <c r="E7462" t="str">
        <f>"INDIANOLA                 "</f>
        <v xml:space="preserve">INDIANOLA                 </v>
      </c>
      <c r="F7462" t="str">
        <f t="shared" si="233"/>
        <v>MS</v>
      </c>
    </row>
    <row r="7463" spans="1:6" x14ac:dyDescent="0.25">
      <c r="A7463" t="str">
        <f>"000660043"</f>
        <v>000660043</v>
      </c>
      <c r="B7463" t="str">
        <f>"1982918066"</f>
        <v>1982918066</v>
      </c>
      <c r="C7463" t="str">
        <f t="shared" si="234"/>
        <v>122300000X</v>
      </c>
      <c r="D7463" t="str">
        <f>"TAYLOR                   ELIZABETH                "</f>
        <v xml:space="preserve">TAYLOR                   ELIZABETH                </v>
      </c>
      <c r="E7463" t="str">
        <f>"MOSS POINT                "</f>
        <v xml:space="preserve">MOSS POINT                </v>
      </c>
      <c r="F7463" t="str">
        <f t="shared" si="233"/>
        <v>MS</v>
      </c>
    </row>
    <row r="7464" spans="1:6" x14ac:dyDescent="0.25">
      <c r="A7464" t="str">
        <f>"000660044"</f>
        <v>000660044</v>
      </c>
      <c r="B7464" t="str">
        <f>"1063678431"</f>
        <v>1063678431</v>
      </c>
      <c r="C7464" t="str">
        <f t="shared" si="234"/>
        <v>122300000X</v>
      </c>
      <c r="D7464" t="str">
        <f>"HOLLINGSWORTH            JAMES        W           "</f>
        <v xml:space="preserve">HOLLINGSWORTH            JAMES        W           </v>
      </c>
      <c r="E7464" t="str">
        <f>"NEWTON                    "</f>
        <v xml:space="preserve">NEWTON                    </v>
      </c>
      <c r="F7464" t="str">
        <f t="shared" si="233"/>
        <v>MS</v>
      </c>
    </row>
    <row r="7465" spans="1:6" x14ac:dyDescent="0.25">
      <c r="A7465" t="str">
        <f>"000660046"</f>
        <v>000660046</v>
      </c>
      <c r="B7465" t="str">
        <f>"1679657951"</f>
        <v>1679657951</v>
      </c>
      <c r="C7465" t="str">
        <f t="shared" si="234"/>
        <v>122300000X</v>
      </c>
      <c r="D7465" t="str">
        <f>"HILL                     JULIA        R           "</f>
        <v xml:space="preserve">HILL                     JULIA        R           </v>
      </c>
      <c r="E7465" t="str">
        <f>"INDIANOLA                 "</f>
        <v xml:space="preserve">INDIANOLA                 </v>
      </c>
      <c r="F7465" t="str">
        <f t="shared" si="233"/>
        <v>MS</v>
      </c>
    </row>
    <row r="7466" spans="1:6" x14ac:dyDescent="0.25">
      <c r="A7466" t="str">
        <f>"000660051"</f>
        <v>000660051</v>
      </c>
      <c r="B7466" t="str">
        <f>"1578789616"</f>
        <v>1578789616</v>
      </c>
      <c r="C7466" t="str">
        <f t="shared" si="234"/>
        <v>122300000X</v>
      </c>
      <c r="D7466" t="str">
        <f>"ROSS                     JAMIE        E           "</f>
        <v xml:space="preserve">ROSS                     JAMIE        E           </v>
      </c>
      <c r="E7466" t="str">
        <f>"MORTON                    "</f>
        <v xml:space="preserve">MORTON                    </v>
      </c>
      <c r="F7466" t="str">
        <f t="shared" si="233"/>
        <v>MS</v>
      </c>
    </row>
    <row r="7467" spans="1:6" x14ac:dyDescent="0.25">
      <c r="A7467" t="str">
        <f>"000660054"</f>
        <v>000660054</v>
      </c>
      <c r="B7467" t="str">
        <f>"1366547986"</f>
        <v>1366547986</v>
      </c>
      <c r="C7467" t="str">
        <f t="shared" si="234"/>
        <v>122300000X</v>
      </c>
      <c r="D7467" t="str">
        <f>"DILLON                   MARK         A           "</f>
        <v xml:space="preserve">DILLON                   MARK         A           </v>
      </c>
      <c r="E7467" t="str">
        <f>"TYLERTOWN                 "</f>
        <v xml:space="preserve">TYLERTOWN                 </v>
      </c>
      <c r="F7467" t="str">
        <f t="shared" si="233"/>
        <v>MS</v>
      </c>
    </row>
    <row r="7468" spans="1:6" x14ac:dyDescent="0.25">
      <c r="A7468" t="str">
        <f>"000660067"</f>
        <v>000660067</v>
      </c>
      <c r="B7468" t="str">
        <f>"1891720454"</f>
        <v>1891720454</v>
      </c>
      <c r="C7468" t="str">
        <f t="shared" si="234"/>
        <v>122300000X</v>
      </c>
      <c r="D7468" t="str">
        <f>"STIFF                    SONJA        T           "</f>
        <v xml:space="preserve">STIFF                    SONJA        T           </v>
      </c>
      <c r="E7468" t="str">
        <f>"WHITFIELD                 "</f>
        <v xml:space="preserve">WHITFIELD                 </v>
      </c>
      <c r="F7468" t="str">
        <f t="shared" si="233"/>
        <v>MS</v>
      </c>
    </row>
    <row r="7469" spans="1:6" x14ac:dyDescent="0.25">
      <c r="A7469" t="str">
        <f>"000660075"</f>
        <v>000660075</v>
      </c>
      <c r="B7469" t="str">
        <f>"1063613511"</f>
        <v>1063613511</v>
      </c>
      <c r="C7469" t="str">
        <f t="shared" si="234"/>
        <v>122300000X</v>
      </c>
      <c r="D7469" t="str">
        <f>"PULLEN                   BARNEY       L           "</f>
        <v xml:space="preserve">PULLEN                   BARNEY       L           </v>
      </c>
      <c r="E7469" t="str">
        <f>"WATER VALLEY              "</f>
        <v xml:space="preserve">WATER VALLEY              </v>
      </c>
      <c r="F7469" t="str">
        <f t="shared" si="233"/>
        <v>MS</v>
      </c>
    </row>
    <row r="7470" spans="1:6" x14ac:dyDescent="0.25">
      <c r="A7470" t="str">
        <f>"000660076"</f>
        <v>000660076</v>
      </c>
      <c r="B7470" t="str">
        <f>"1689680266"</f>
        <v>1689680266</v>
      </c>
      <c r="C7470" t="str">
        <f>"1223S0112X"</f>
        <v>1223S0112X</v>
      </c>
      <c r="D7470" t="str">
        <f>"CHRISMAN                 JAMES        L           "</f>
        <v xml:space="preserve">CHRISMAN                 JAMES        L           </v>
      </c>
      <c r="E7470" t="str">
        <f>"TUPELO                    "</f>
        <v xml:space="preserve">TUPELO                    </v>
      </c>
      <c r="F7470" t="str">
        <f t="shared" si="233"/>
        <v>MS</v>
      </c>
    </row>
    <row r="7471" spans="1:6" x14ac:dyDescent="0.25">
      <c r="A7471" t="str">
        <f>"000660080"</f>
        <v>000660080</v>
      </c>
      <c r="B7471" t="str">
        <f>"1356443410"</f>
        <v>1356443410</v>
      </c>
      <c r="C7471" t="str">
        <f>"122300000X"</f>
        <v>122300000X</v>
      </c>
      <c r="D7471" t="str">
        <f>"HILL                     RICHARD      D           "</f>
        <v xml:space="preserve">HILL                     RICHARD      D           </v>
      </c>
      <c r="E7471" t="str">
        <f>"HOUSTON                   "</f>
        <v xml:space="preserve">HOUSTON                   </v>
      </c>
      <c r="F7471" t="str">
        <f t="shared" si="233"/>
        <v>MS</v>
      </c>
    </row>
    <row r="7472" spans="1:6" x14ac:dyDescent="0.25">
      <c r="A7472" t="str">
        <f>"000660081"</f>
        <v>000660081</v>
      </c>
      <c r="B7472" t="str">
        <f>"1669586327"</f>
        <v>1669586327</v>
      </c>
      <c r="C7472" t="str">
        <f>"122300000X"</f>
        <v>122300000X</v>
      </c>
      <c r="D7472" t="str">
        <f>"SEARD-HIGGINS            TARYON       M           "</f>
        <v xml:space="preserve">SEARD-HIGGINS            TARYON       M           </v>
      </c>
      <c r="E7472" t="str">
        <f>"GREENVILLE                "</f>
        <v xml:space="preserve">GREENVILLE                </v>
      </c>
      <c r="F7472" t="str">
        <f t="shared" si="233"/>
        <v>MS</v>
      </c>
    </row>
    <row r="7473" spans="1:6" x14ac:dyDescent="0.25">
      <c r="A7473" t="str">
        <f>"000660093"</f>
        <v>000660093</v>
      </c>
      <c r="B7473" t="str">
        <f>"1447347349"</f>
        <v>1447347349</v>
      </c>
      <c r="C7473" t="str">
        <f>"122300000X"</f>
        <v>122300000X</v>
      </c>
      <c r="D7473" t="str">
        <f>"PARKER                   MARK         H           "</f>
        <v xml:space="preserve">PARKER                   MARK         H           </v>
      </c>
      <c r="E7473" t="str">
        <f>"PURVIS                    "</f>
        <v xml:space="preserve">PURVIS                    </v>
      </c>
      <c r="F7473" t="str">
        <f t="shared" si="233"/>
        <v>MS</v>
      </c>
    </row>
    <row r="7474" spans="1:6" x14ac:dyDescent="0.25">
      <c r="A7474" t="str">
        <f>"000660094"</f>
        <v>000660094</v>
      </c>
      <c r="B7474" t="str">
        <f>"1942380480"</f>
        <v>1942380480</v>
      </c>
      <c r="C7474" t="str">
        <f>"122300000X"</f>
        <v>122300000X</v>
      </c>
      <c r="D7474" t="str">
        <f>"CATHEY                   DERAN                    "</f>
        <v xml:space="preserve">CATHEY                   DERAN                    </v>
      </c>
      <c r="E7474" t="str">
        <f>"COLDWATER                 "</f>
        <v xml:space="preserve">COLDWATER                 </v>
      </c>
      <c r="F7474" t="str">
        <f t="shared" si="233"/>
        <v>MS</v>
      </c>
    </row>
    <row r="7475" spans="1:6" x14ac:dyDescent="0.25">
      <c r="A7475" t="str">
        <f>"000660095"</f>
        <v>000660095</v>
      </c>
      <c r="B7475" t="str">
        <f>"1144230327"</f>
        <v>1144230327</v>
      </c>
      <c r="C7475" t="str">
        <f>"122300000X"</f>
        <v>122300000X</v>
      </c>
      <c r="D7475" t="str">
        <f>"NEELY                    WILLIAM      T           "</f>
        <v xml:space="preserve">NEELY                    WILLIAM      T           </v>
      </c>
      <c r="E7475" t="str">
        <f>"BRANDON                   "</f>
        <v xml:space="preserve">BRANDON                   </v>
      </c>
      <c r="F7475" t="str">
        <f t="shared" si="233"/>
        <v>MS</v>
      </c>
    </row>
    <row r="7476" spans="1:6" x14ac:dyDescent="0.25">
      <c r="A7476" t="str">
        <f>"000660107"</f>
        <v>000660107</v>
      </c>
      <c r="B7476" t="str">
        <f>"1497822662"</f>
        <v>1497822662</v>
      </c>
      <c r="C7476" t="str">
        <f>"1223S0112X"</f>
        <v>1223S0112X</v>
      </c>
      <c r="D7476" t="str">
        <f>"WHITAKER                 SCOTT        D           "</f>
        <v xml:space="preserve">WHITAKER                 SCOTT        D           </v>
      </c>
      <c r="E7476" t="str">
        <f>"OXFORD                    "</f>
        <v xml:space="preserve">OXFORD                    </v>
      </c>
      <c r="F7476" t="str">
        <f t="shared" si="233"/>
        <v>MS</v>
      </c>
    </row>
    <row r="7477" spans="1:6" x14ac:dyDescent="0.25">
      <c r="A7477" t="str">
        <f>"000660112"</f>
        <v>000660112</v>
      </c>
      <c r="B7477" t="str">
        <f>"1174608368"</f>
        <v>1174608368</v>
      </c>
      <c r="C7477" t="str">
        <f>"1223P0221X"</f>
        <v>1223P0221X</v>
      </c>
      <c r="D7477" t="str">
        <f>"COOK                     HENRY        W           "</f>
        <v xml:space="preserve">COOK                     HENRY        W           </v>
      </c>
      <c r="E7477" t="str">
        <f>"BRANDON                   "</f>
        <v xml:space="preserve">BRANDON                   </v>
      </c>
      <c r="F7477" t="str">
        <f t="shared" si="233"/>
        <v>MS</v>
      </c>
    </row>
    <row r="7478" spans="1:6" x14ac:dyDescent="0.25">
      <c r="A7478" t="str">
        <f>"000660125"</f>
        <v>000660125</v>
      </c>
      <c r="B7478" t="str">
        <f>"1801899620"</f>
        <v>1801899620</v>
      </c>
      <c r="C7478" t="str">
        <f>"122300000X"</f>
        <v>122300000X</v>
      </c>
      <c r="D7478" t="str">
        <f>"COOK                     MICHAEL      S           "</f>
        <v xml:space="preserve">COOK                     MICHAEL      S           </v>
      </c>
      <c r="E7478" t="str">
        <f>"LEAKESVILLE               "</f>
        <v xml:space="preserve">LEAKESVILLE               </v>
      </c>
      <c r="F7478" t="str">
        <f t="shared" si="233"/>
        <v>MS</v>
      </c>
    </row>
    <row r="7479" spans="1:6" x14ac:dyDescent="0.25">
      <c r="A7479" t="str">
        <f>"000660133"</f>
        <v>000660133</v>
      </c>
      <c r="B7479" t="str">
        <f>"1417045386"</f>
        <v>1417045386</v>
      </c>
      <c r="C7479" t="str">
        <f>"1223S0112X"</f>
        <v>1223S0112X</v>
      </c>
      <c r="D7479" t="str">
        <f>"YORK                     BENNETT      V           "</f>
        <v xml:space="preserve">YORK                     BENNETT      V           </v>
      </c>
      <c r="E7479" t="str">
        <f>"HATTIESBURG               "</f>
        <v xml:space="preserve">HATTIESBURG               </v>
      </c>
      <c r="F7479" t="str">
        <f t="shared" si="233"/>
        <v>MS</v>
      </c>
    </row>
    <row r="7480" spans="1:6" x14ac:dyDescent="0.25">
      <c r="A7480" t="str">
        <f>"000660135"</f>
        <v>000660135</v>
      </c>
      <c r="B7480" t="str">
        <f>"1174590319"</f>
        <v>1174590319</v>
      </c>
      <c r="C7480" t="str">
        <f t="shared" ref="C7480:C7511" si="235">"122300000X"</f>
        <v>122300000X</v>
      </c>
      <c r="D7480" t="str">
        <f>"STINGLEY                 AILEAN                   "</f>
        <v xml:space="preserve">STINGLEY                 AILEAN                   </v>
      </c>
      <c r="E7480" t="str">
        <f>"BROOKHAVEN                "</f>
        <v xml:space="preserve">BROOKHAVEN                </v>
      </c>
      <c r="F7480" t="str">
        <f t="shared" si="233"/>
        <v>MS</v>
      </c>
    </row>
    <row r="7481" spans="1:6" x14ac:dyDescent="0.25">
      <c r="A7481" t="str">
        <f>"000660139"</f>
        <v>000660139</v>
      </c>
      <c r="B7481" t="str">
        <f>"1538219043"</f>
        <v>1538219043</v>
      </c>
      <c r="C7481" t="str">
        <f t="shared" si="235"/>
        <v>122300000X</v>
      </c>
      <c r="D7481" t="str">
        <f>"BENDER                   TERESA       M           "</f>
        <v xml:space="preserve">BENDER                   TERESA       M           </v>
      </c>
      <c r="E7481" t="str">
        <f>"JACKSON                   "</f>
        <v xml:space="preserve">JACKSON                   </v>
      </c>
      <c r="F7481" t="str">
        <f t="shared" si="233"/>
        <v>MS</v>
      </c>
    </row>
    <row r="7482" spans="1:6" x14ac:dyDescent="0.25">
      <c r="A7482" t="str">
        <f>"000660149"</f>
        <v>000660149</v>
      </c>
      <c r="B7482" t="str">
        <f>"1255420337"</f>
        <v>1255420337</v>
      </c>
      <c r="C7482" t="str">
        <f t="shared" si="235"/>
        <v>122300000X</v>
      </c>
      <c r="D7482" t="str">
        <f>"HARRISON                 RONNIE                   "</f>
        <v xml:space="preserve">HARRISON                 RONNIE                   </v>
      </c>
      <c r="E7482" t="str">
        <f>"LUCEDALE                  "</f>
        <v xml:space="preserve">LUCEDALE                  </v>
      </c>
      <c r="F7482" t="str">
        <f t="shared" si="233"/>
        <v>MS</v>
      </c>
    </row>
    <row r="7483" spans="1:6" x14ac:dyDescent="0.25">
      <c r="A7483" t="str">
        <f>"000660150"</f>
        <v>000660150</v>
      </c>
      <c r="B7483" t="str">
        <f>"1578715322"</f>
        <v>1578715322</v>
      </c>
      <c r="C7483" t="str">
        <f t="shared" si="235"/>
        <v>122300000X</v>
      </c>
      <c r="D7483" t="str">
        <f>"FELDER                   JOHN         T           "</f>
        <v xml:space="preserve">FELDER                   JOHN         T           </v>
      </c>
      <c r="E7483" t="str">
        <f>"MCCOMB                    "</f>
        <v xml:space="preserve">MCCOMB                    </v>
      </c>
      <c r="F7483" t="str">
        <f t="shared" si="233"/>
        <v>MS</v>
      </c>
    </row>
    <row r="7484" spans="1:6" x14ac:dyDescent="0.25">
      <c r="A7484" t="str">
        <f>"000660151"</f>
        <v>000660151</v>
      </c>
      <c r="B7484" t="str">
        <f>"1255441770"</f>
        <v>1255441770</v>
      </c>
      <c r="C7484" t="str">
        <f t="shared" si="235"/>
        <v>122300000X</v>
      </c>
      <c r="D7484" t="str">
        <f>"BAILEY JR                KENNETH      A           "</f>
        <v xml:space="preserve">BAILEY JR                KENNETH      A           </v>
      </c>
      <c r="E7484" t="str">
        <f>"JACKSON                   "</f>
        <v xml:space="preserve">JACKSON                   </v>
      </c>
      <c r="F7484" t="str">
        <f t="shared" si="233"/>
        <v>MS</v>
      </c>
    </row>
    <row r="7485" spans="1:6" x14ac:dyDescent="0.25">
      <c r="A7485" t="str">
        <f>"000660152"</f>
        <v>000660152</v>
      </c>
      <c r="B7485" t="str">
        <f>"1376672618"</f>
        <v>1376672618</v>
      </c>
      <c r="C7485" t="str">
        <f t="shared" si="235"/>
        <v>122300000X</v>
      </c>
      <c r="D7485" t="str">
        <f>"COLLIER                  JOHN         A           "</f>
        <v xml:space="preserve">COLLIER                  JOHN         A           </v>
      </c>
      <c r="E7485" t="str">
        <f>"OXFORD                    "</f>
        <v xml:space="preserve">OXFORD                    </v>
      </c>
      <c r="F7485" t="str">
        <f t="shared" si="233"/>
        <v>MS</v>
      </c>
    </row>
    <row r="7486" spans="1:6" x14ac:dyDescent="0.25">
      <c r="A7486" t="str">
        <f>"000660155"</f>
        <v>000660155</v>
      </c>
      <c r="B7486" t="str">
        <f>"1386708022"</f>
        <v>1386708022</v>
      </c>
      <c r="C7486" t="str">
        <f t="shared" si="235"/>
        <v>122300000X</v>
      </c>
      <c r="D7486" t="str">
        <f>"HODGE                    THOMAS       W           "</f>
        <v xml:space="preserve">HODGE                    THOMAS       W           </v>
      </c>
      <c r="E7486" t="str">
        <f>"BATESVILLE                "</f>
        <v xml:space="preserve">BATESVILLE                </v>
      </c>
      <c r="F7486" t="str">
        <f t="shared" ref="F7486:F7549" si="236">"MS"</f>
        <v>MS</v>
      </c>
    </row>
    <row r="7487" spans="1:6" x14ac:dyDescent="0.25">
      <c r="A7487" t="str">
        <f>"000660161"</f>
        <v>000660161</v>
      </c>
      <c r="B7487" t="str">
        <f>"1073665691"</f>
        <v>1073665691</v>
      </c>
      <c r="C7487" t="str">
        <f t="shared" si="235"/>
        <v>122300000X</v>
      </c>
      <c r="D7487" t="str">
        <f>"SMITH                    DON                      "</f>
        <v xml:space="preserve">SMITH                    DON                      </v>
      </c>
      <c r="E7487" t="str">
        <f>"KOSCIUSKO                 "</f>
        <v xml:space="preserve">KOSCIUSKO                 </v>
      </c>
      <c r="F7487" t="str">
        <f t="shared" si="236"/>
        <v>MS</v>
      </c>
    </row>
    <row r="7488" spans="1:6" x14ac:dyDescent="0.25">
      <c r="A7488" t="str">
        <f>"000660162"</f>
        <v>000660162</v>
      </c>
      <c r="B7488" t="str">
        <f>"1740388446"</f>
        <v>1740388446</v>
      </c>
      <c r="C7488" t="str">
        <f t="shared" si="235"/>
        <v>122300000X</v>
      </c>
      <c r="D7488" t="str">
        <f>"DOWNS                    LARRY        C           "</f>
        <v xml:space="preserve">DOWNS                    LARRY        C           </v>
      </c>
      <c r="E7488" t="str">
        <f>"BOONEVILLE                "</f>
        <v xml:space="preserve">BOONEVILLE                </v>
      </c>
      <c r="F7488" t="str">
        <f t="shared" si="236"/>
        <v>MS</v>
      </c>
    </row>
    <row r="7489" spans="1:6" x14ac:dyDescent="0.25">
      <c r="A7489" t="str">
        <f>"000660170"</f>
        <v>000660170</v>
      </c>
      <c r="B7489" t="str">
        <f>"1447462817"</f>
        <v>1447462817</v>
      </c>
      <c r="C7489" t="str">
        <f t="shared" si="235"/>
        <v>122300000X</v>
      </c>
      <c r="D7489" t="str">
        <f>"MCQUEEN                  MARVIN       E           "</f>
        <v xml:space="preserve">MCQUEEN                  MARVIN       E           </v>
      </c>
      <c r="E7489" t="str">
        <f>"CORINTH                   "</f>
        <v xml:space="preserve">CORINTH                   </v>
      </c>
      <c r="F7489" t="str">
        <f t="shared" si="236"/>
        <v>MS</v>
      </c>
    </row>
    <row r="7490" spans="1:6" x14ac:dyDescent="0.25">
      <c r="A7490" t="str">
        <f>"000660174"</f>
        <v>000660174</v>
      </c>
      <c r="B7490" t="str">
        <f>"1154422590"</f>
        <v>1154422590</v>
      </c>
      <c r="C7490" t="str">
        <f t="shared" si="235"/>
        <v>122300000X</v>
      </c>
      <c r="D7490" t="str">
        <f>"BRASWELL                 DAVID        R           "</f>
        <v xml:space="preserve">BRASWELL                 DAVID        R           </v>
      </c>
      <c r="E7490" t="str">
        <f>"GRENADA                   "</f>
        <v xml:space="preserve">GRENADA                   </v>
      </c>
      <c r="F7490" t="str">
        <f t="shared" si="236"/>
        <v>MS</v>
      </c>
    </row>
    <row r="7491" spans="1:6" x14ac:dyDescent="0.25">
      <c r="A7491" t="str">
        <f>"000660176"</f>
        <v>000660176</v>
      </c>
      <c r="B7491" t="str">
        <f>"1932279833"</f>
        <v>1932279833</v>
      </c>
      <c r="C7491" t="str">
        <f t="shared" si="235"/>
        <v>122300000X</v>
      </c>
      <c r="D7491" t="str">
        <f>"ROGERS                   JOEY         E           "</f>
        <v xml:space="preserve">ROGERS                   JOEY         E           </v>
      </c>
      <c r="E7491" t="str">
        <f>"COLLINS                   "</f>
        <v xml:space="preserve">COLLINS                   </v>
      </c>
      <c r="F7491" t="str">
        <f t="shared" si="236"/>
        <v>MS</v>
      </c>
    </row>
    <row r="7492" spans="1:6" x14ac:dyDescent="0.25">
      <c r="A7492" t="str">
        <f>"000660177"</f>
        <v>000660177</v>
      </c>
      <c r="B7492" t="str">
        <f>"1023102274"</f>
        <v>1023102274</v>
      </c>
      <c r="C7492" t="str">
        <f t="shared" si="235"/>
        <v>122300000X</v>
      </c>
      <c r="D7492" t="str">
        <f>"WINN III                 EUSTACE      H           "</f>
        <v xml:space="preserve">WINN III                 EUSTACE      H           </v>
      </c>
      <c r="E7492" t="str">
        <f>"GREENVILLE                "</f>
        <v xml:space="preserve">GREENVILLE                </v>
      </c>
      <c r="F7492" t="str">
        <f t="shared" si="236"/>
        <v>MS</v>
      </c>
    </row>
    <row r="7493" spans="1:6" x14ac:dyDescent="0.25">
      <c r="A7493" t="str">
        <f>"000660178"</f>
        <v>000660178</v>
      </c>
      <c r="B7493" t="str">
        <f>"1790803039"</f>
        <v>1790803039</v>
      </c>
      <c r="C7493" t="str">
        <f t="shared" si="235"/>
        <v>122300000X</v>
      </c>
      <c r="D7493" t="str">
        <f>"FIELDS                   JOHN         F           "</f>
        <v xml:space="preserve">FIELDS                   JOHN         F           </v>
      </c>
      <c r="E7493" t="str">
        <f>"COLUMBUS                  "</f>
        <v xml:space="preserve">COLUMBUS                  </v>
      </c>
      <c r="F7493" t="str">
        <f t="shared" si="236"/>
        <v>MS</v>
      </c>
    </row>
    <row r="7494" spans="1:6" x14ac:dyDescent="0.25">
      <c r="A7494" t="str">
        <f>"000660182"</f>
        <v>000660182</v>
      </c>
      <c r="B7494" t="str">
        <f>"1356416556"</f>
        <v>1356416556</v>
      </c>
      <c r="C7494" t="str">
        <f t="shared" si="235"/>
        <v>122300000X</v>
      </c>
      <c r="D7494" t="str">
        <f>"EKLUND                   NEVA                     "</f>
        <v xml:space="preserve">EKLUND                   NEVA                     </v>
      </c>
      <c r="E7494" t="str">
        <f>"CHOCTAW                   "</f>
        <v xml:space="preserve">CHOCTAW                   </v>
      </c>
      <c r="F7494" t="str">
        <f t="shared" si="236"/>
        <v>MS</v>
      </c>
    </row>
    <row r="7495" spans="1:6" x14ac:dyDescent="0.25">
      <c r="A7495" t="str">
        <f>"000660187"</f>
        <v>000660187</v>
      </c>
      <c r="B7495" t="str">
        <f>"1760601041"</f>
        <v>1760601041</v>
      </c>
      <c r="C7495" t="str">
        <f t="shared" si="235"/>
        <v>122300000X</v>
      </c>
      <c r="D7495" t="str">
        <f>"YARBROUGH                STEVEN       C           "</f>
        <v xml:space="preserve">YARBROUGH                STEVEN       C           </v>
      </c>
      <c r="E7495" t="str">
        <f>"LOUISVILLE                "</f>
        <v xml:space="preserve">LOUISVILLE                </v>
      </c>
      <c r="F7495" t="str">
        <f t="shared" si="236"/>
        <v>MS</v>
      </c>
    </row>
    <row r="7496" spans="1:6" x14ac:dyDescent="0.25">
      <c r="A7496" t="str">
        <f>"000660188"</f>
        <v>000660188</v>
      </c>
      <c r="B7496" t="str">
        <f>"1639224231"</f>
        <v>1639224231</v>
      </c>
      <c r="C7496" t="str">
        <f t="shared" si="235"/>
        <v>122300000X</v>
      </c>
      <c r="D7496" t="str">
        <f>"MITCHELL, JR             JOHN         D           "</f>
        <v xml:space="preserve">MITCHELL, JR             JOHN         D           </v>
      </c>
      <c r="E7496" t="str">
        <f>"ACKERMAN                  "</f>
        <v xml:space="preserve">ACKERMAN                  </v>
      </c>
      <c r="F7496" t="str">
        <f t="shared" si="236"/>
        <v>MS</v>
      </c>
    </row>
    <row r="7497" spans="1:6" x14ac:dyDescent="0.25">
      <c r="A7497" t="str">
        <f>"000660208"</f>
        <v>000660208</v>
      </c>
      <c r="B7497" t="str">
        <f>"1881804532"</f>
        <v>1881804532</v>
      </c>
      <c r="C7497" t="str">
        <f t="shared" si="235"/>
        <v>122300000X</v>
      </c>
      <c r="D7497" t="str">
        <f>"BOYD                     CHRIS        G           "</f>
        <v xml:space="preserve">BOYD                     CHRIS        G           </v>
      </c>
      <c r="E7497" t="str">
        <f>"MONTICELLO                "</f>
        <v xml:space="preserve">MONTICELLO                </v>
      </c>
      <c r="F7497" t="str">
        <f t="shared" si="236"/>
        <v>MS</v>
      </c>
    </row>
    <row r="7498" spans="1:6" x14ac:dyDescent="0.25">
      <c r="A7498" t="str">
        <f>"000660214"</f>
        <v>000660214</v>
      </c>
      <c r="B7498" t="str">
        <f>"1407959810"</f>
        <v>1407959810</v>
      </c>
      <c r="C7498" t="str">
        <f t="shared" si="235"/>
        <v>122300000X</v>
      </c>
      <c r="D7498" t="str">
        <f>"LEHAN                    CORNELIUS    C           "</f>
        <v xml:space="preserve">LEHAN                    CORNELIUS    C           </v>
      </c>
      <c r="E7498" t="str">
        <f>"CLINTON                   "</f>
        <v xml:space="preserve">CLINTON                   </v>
      </c>
      <c r="F7498" t="str">
        <f t="shared" si="236"/>
        <v>MS</v>
      </c>
    </row>
    <row r="7499" spans="1:6" x14ac:dyDescent="0.25">
      <c r="A7499" t="str">
        <f>"000660215"</f>
        <v>000660215</v>
      </c>
      <c r="B7499" t="str">
        <f>"1679627335"</f>
        <v>1679627335</v>
      </c>
      <c r="C7499" t="str">
        <f t="shared" si="235"/>
        <v>122300000X</v>
      </c>
      <c r="D7499" t="str">
        <f>"MINCY                    CATHERINE    J           "</f>
        <v xml:space="preserve">MINCY                    CATHERINE    J           </v>
      </c>
      <c r="E7499" t="str">
        <f>"BOONEVILLE                "</f>
        <v xml:space="preserve">BOONEVILLE                </v>
      </c>
      <c r="F7499" t="str">
        <f t="shared" si="236"/>
        <v>MS</v>
      </c>
    </row>
    <row r="7500" spans="1:6" x14ac:dyDescent="0.25">
      <c r="A7500" t="str">
        <f>"000660218"</f>
        <v>000660218</v>
      </c>
      <c r="B7500" t="str">
        <f>"1750465456"</f>
        <v>1750465456</v>
      </c>
      <c r="C7500" t="str">
        <f t="shared" si="235"/>
        <v>122300000X</v>
      </c>
      <c r="D7500" t="str">
        <f>"STRICKLAND               EDWIN        W           "</f>
        <v xml:space="preserve">STRICKLAND               EDWIN        W           </v>
      </c>
      <c r="E7500" t="str">
        <f>"WAYNESBORO                "</f>
        <v xml:space="preserve">WAYNESBORO                </v>
      </c>
      <c r="F7500" t="str">
        <f t="shared" si="236"/>
        <v>MS</v>
      </c>
    </row>
    <row r="7501" spans="1:6" x14ac:dyDescent="0.25">
      <c r="A7501" t="str">
        <f>"000660220"</f>
        <v>000660220</v>
      </c>
      <c r="B7501" t="str">
        <f>"1063427961"</f>
        <v>1063427961</v>
      </c>
      <c r="C7501" t="str">
        <f t="shared" si="235"/>
        <v>122300000X</v>
      </c>
      <c r="D7501" t="str">
        <f>"GOODLOE                  ERIKA        L           "</f>
        <v xml:space="preserve">GOODLOE                  ERIKA        L           </v>
      </c>
      <c r="E7501" t="str">
        <f>"CANTON                    "</f>
        <v xml:space="preserve">CANTON                    </v>
      </c>
      <c r="F7501" t="str">
        <f t="shared" si="236"/>
        <v>MS</v>
      </c>
    </row>
    <row r="7502" spans="1:6" x14ac:dyDescent="0.25">
      <c r="A7502" t="str">
        <f>"000660226"</f>
        <v>000660226</v>
      </c>
      <c r="B7502" t="str">
        <f>"1801968714"</f>
        <v>1801968714</v>
      </c>
      <c r="C7502" t="str">
        <f t="shared" si="235"/>
        <v>122300000X</v>
      </c>
      <c r="D7502" t="str">
        <f>"MOORE                    ANDREW       F           "</f>
        <v xml:space="preserve">MOORE                    ANDREW       F           </v>
      </c>
      <c r="E7502" t="str">
        <f>"CORINTH                   "</f>
        <v xml:space="preserve">CORINTH                   </v>
      </c>
      <c r="F7502" t="str">
        <f t="shared" si="236"/>
        <v>MS</v>
      </c>
    </row>
    <row r="7503" spans="1:6" x14ac:dyDescent="0.25">
      <c r="A7503" t="str">
        <f>"000660227"</f>
        <v>000660227</v>
      </c>
      <c r="B7503" t="str">
        <f>"1073601407"</f>
        <v>1073601407</v>
      </c>
      <c r="C7503" t="str">
        <f t="shared" si="235"/>
        <v>122300000X</v>
      </c>
      <c r="D7503" t="str">
        <f>"WHITFIELD-LUCAS          ALVERNICA                "</f>
        <v xml:space="preserve">WHITFIELD-LUCAS          ALVERNICA                </v>
      </c>
      <c r="E7503" t="str">
        <f>"PASCAGOULA                "</f>
        <v xml:space="preserve">PASCAGOULA                </v>
      </c>
      <c r="F7503" t="str">
        <f t="shared" si="236"/>
        <v>MS</v>
      </c>
    </row>
    <row r="7504" spans="1:6" x14ac:dyDescent="0.25">
      <c r="A7504" t="str">
        <f>"000660232"</f>
        <v>000660232</v>
      </c>
      <c r="B7504" t="str">
        <f>"1013921998"</f>
        <v>1013921998</v>
      </c>
      <c r="C7504" t="str">
        <f t="shared" si="235"/>
        <v>122300000X</v>
      </c>
      <c r="D7504" t="str">
        <f>"WHITLOCK JR              ACIE                     "</f>
        <v xml:space="preserve">WHITLOCK JR              ACIE                     </v>
      </c>
      <c r="E7504" t="str">
        <f>"JACKSON                   "</f>
        <v xml:space="preserve">JACKSON                   </v>
      </c>
      <c r="F7504" t="str">
        <f t="shared" si="236"/>
        <v>MS</v>
      </c>
    </row>
    <row r="7505" spans="1:6" x14ac:dyDescent="0.25">
      <c r="A7505" t="str">
        <f>"000660241"</f>
        <v>000660241</v>
      </c>
      <c r="B7505" t="str">
        <f>"1013181593"</f>
        <v>1013181593</v>
      </c>
      <c r="C7505" t="str">
        <f t="shared" si="235"/>
        <v>122300000X</v>
      </c>
      <c r="D7505" t="str">
        <f>"BOUNDS                   JAMES        A           "</f>
        <v xml:space="preserve">BOUNDS                   JAMES        A           </v>
      </c>
      <c r="E7505" t="str">
        <f>"LAUREL                    "</f>
        <v xml:space="preserve">LAUREL                    </v>
      </c>
      <c r="F7505" t="str">
        <f t="shared" si="236"/>
        <v>MS</v>
      </c>
    </row>
    <row r="7506" spans="1:6" x14ac:dyDescent="0.25">
      <c r="A7506" t="str">
        <f>"000660245"</f>
        <v>000660245</v>
      </c>
      <c r="B7506" t="str">
        <f>"1215037445"</f>
        <v>1215037445</v>
      </c>
      <c r="C7506" t="str">
        <f t="shared" si="235"/>
        <v>122300000X</v>
      </c>
      <c r="D7506" t="str">
        <f>"LOCKHART                 TAMMI        T           "</f>
        <v xml:space="preserve">LOCKHART                 TAMMI        T           </v>
      </c>
      <c r="E7506" t="str">
        <f>"STARKVILLE                "</f>
        <v xml:space="preserve">STARKVILLE                </v>
      </c>
      <c r="F7506" t="str">
        <f t="shared" si="236"/>
        <v>MS</v>
      </c>
    </row>
    <row r="7507" spans="1:6" x14ac:dyDescent="0.25">
      <c r="A7507" t="str">
        <f>"000660251"</f>
        <v>000660251</v>
      </c>
      <c r="B7507" t="str">
        <f>"1316042237"</f>
        <v>1316042237</v>
      </c>
      <c r="C7507" t="str">
        <f t="shared" si="235"/>
        <v>122300000X</v>
      </c>
      <c r="D7507" t="str">
        <f>"JOHNSON                  TIMOTHY      T           "</f>
        <v xml:space="preserve">JOHNSON                  TIMOTHY      T           </v>
      </c>
      <c r="E7507" t="str">
        <f>"CANTON                    "</f>
        <v xml:space="preserve">CANTON                    </v>
      </c>
      <c r="F7507" t="str">
        <f t="shared" si="236"/>
        <v>MS</v>
      </c>
    </row>
    <row r="7508" spans="1:6" x14ac:dyDescent="0.25">
      <c r="A7508" t="str">
        <f>"000660253"</f>
        <v>000660253</v>
      </c>
      <c r="B7508" t="str">
        <f>"1366533283"</f>
        <v>1366533283</v>
      </c>
      <c r="C7508" t="str">
        <f t="shared" si="235"/>
        <v>122300000X</v>
      </c>
      <c r="D7508" t="str">
        <f>"ROBY                     DARYL                    "</f>
        <v xml:space="preserve">ROBY                     DARYL                    </v>
      </c>
      <c r="E7508" t="str">
        <f>"DURANT                    "</f>
        <v xml:space="preserve">DURANT                    </v>
      </c>
      <c r="F7508" t="str">
        <f t="shared" si="236"/>
        <v>MS</v>
      </c>
    </row>
    <row r="7509" spans="1:6" x14ac:dyDescent="0.25">
      <c r="A7509" t="str">
        <f>"000660255"</f>
        <v>000660255</v>
      </c>
      <c r="B7509" t="str">
        <f>"1982744850"</f>
        <v>1982744850</v>
      </c>
      <c r="C7509" t="str">
        <f t="shared" si="235"/>
        <v>122300000X</v>
      </c>
      <c r="D7509" t="str">
        <f>"KAIRIT                   BRANT        H           "</f>
        <v xml:space="preserve">KAIRIT                   BRANT        H           </v>
      </c>
      <c r="E7509" t="str">
        <f>"SENATOBIA                 "</f>
        <v xml:space="preserve">SENATOBIA                 </v>
      </c>
      <c r="F7509" t="str">
        <f t="shared" si="236"/>
        <v>MS</v>
      </c>
    </row>
    <row r="7510" spans="1:6" x14ac:dyDescent="0.25">
      <c r="A7510" t="str">
        <f>"000660259"</f>
        <v>000660259</v>
      </c>
      <c r="B7510" t="str">
        <f>"1689728362"</f>
        <v>1689728362</v>
      </c>
      <c r="C7510" t="str">
        <f t="shared" si="235"/>
        <v>122300000X</v>
      </c>
      <c r="D7510" t="str">
        <f>"DIGBY                    JASON        L           "</f>
        <v xml:space="preserve">DIGBY                    JASON        L           </v>
      </c>
      <c r="E7510" t="str">
        <f>"FULTON                    "</f>
        <v xml:space="preserve">FULTON                    </v>
      </c>
      <c r="F7510" t="str">
        <f t="shared" si="236"/>
        <v>MS</v>
      </c>
    </row>
    <row r="7511" spans="1:6" x14ac:dyDescent="0.25">
      <c r="A7511" t="str">
        <f>"000660262"</f>
        <v>000660262</v>
      </c>
      <c r="B7511" t="str">
        <f>"1215076989"</f>
        <v>1215076989</v>
      </c>
      <c r="C7511" t="str">
        <f t="shared" si="235"/>
        <v>122300000X</v>
      </c>
      <c r="D7511" t="str">
        <f>"HILTON                   CLAYTON      R           "</f>
        <v xml:space="preserve">HILTON                   CLAYTON      R           </v>
      </c>
      <c r="E7511" t="str">
        <f>"GULFPORT                  "</f>
        <v xml:space="preserve">GULFPORT                  </v>
      </c>
      <c r="F7511" t="str">
        <f t="shared" si="236"/>
        <v>MS</v>
      </c>
    </row>
    <row r="7512" spans="1:6" x14ac:dyDescent="0.25">
      <c r="A7512" t="str">
        <f>"000660267"</f>
        <v>000660267</v>
      </c>
      <c r="B7512" t="str">
        <f>"1811102155"</f>
        <v>1811102155</v>
      </c>
      <c r="C7512" t="str">
        <f>"1223X0400X"</f>
        <v>1223X0400X</v>
      </c>
      <c r="D7512" t="str">
        <f>"GILILLAND                ROBERT       T           "</f>
        <v xml:space="preserve">GILILLAND                ROBERT       T           </v>
      </c>
      <c r="E7512" t="str">
        <f>"SALTILLO                  "</f>
        <v xml:space="preserve">SALTILLO                  </v>
      </c>
      <c r="F7512" t="str">
        <f t="shared" si="236"/>
        <v>MS</v>
      </c>
    </row>
    <row r="7513" spans="1:6" x14ac:dyDescent="0.25">
      <c r="A7513" t="str">
        <f>"000660274"</f>
        <v>000660274</v>
      </c>
      <c r="B7513" t="str">
        <f>"1548323579"</f>
        <v>1548323579</v>
      </c>
      <c r="C7513" t="str">
        <f>"122300000X"</f>
        <v>122300000X</v>
      </c>
      <c r="D7513" t="str">
        <f>"BYRD                     THOMAS       R           "</f>
        <v xml:space="preserve">BYRD                     THOMAS       R           </v>
      </c>
      <c r="E7513" t="str">
        <f>"FLORENCE                  "</f>
        <v xml:space="preserve">FLORENCE                  </v>
      </c>
      <c r="F7513" t="str">
        <f t="shared" si="236"/>
        <v>MS</v>
      </c>
    </row>
    <row r="7514" spans="1:6" x14ac:dyDescent="0.25">
      <c r="A7514" t="str">
        <f>"000660283"</f>
        <v>000660283</v>
      </c>
      <c r="B7514" t="str">
        <f>"1801831938"</f>
        <v>1801831938</v>
      </c>
      <c r="C7514" t="str">
        <f>"122300000X"</f>
        <v>122300000X</v>
      </c>
      <c r="D7514" t="str">
        <f>"COLEMAN JR               ALEXANDER                "</f>
        <v xml:space="preserve">COLEMAN JR               ALEXANDER                </v>
      </c>
      <c r="E7514" t="str">
        <f>"SHUBUTA                   "</f>
        <v xml:space="preserve">SHUBUTA                   </v>
      </c>
      <c r="F7514" t="str">
        <f t="shared" si="236"/>
        <v>MS</v>
      </c>
    </row>
    <row r="7515" spans="1:6" x14ac:dyDescent="0.25">
      <c r="A7515" t="str">
        <f>"000660294"</f>
        <v>000660294</v>
      </c>
      <c r="B7515" t="str">
        <f>"1689719486"</f>
        <v>1689719486</v>
      </c>
      <c r="C7515" t="str">
        <f>"1223P0300X"</f>
        <v>1223P0300X</v>
      </c>
      <c r="D7515" t="str">
        <f>"CASKEY                   CHARLES                  "</f>
        <v xml:space="preserve">CASKEY                   CHARLES                  </v>
      </c>
      <c r="E7515" t="str">
        <f>"JACKSON                   "</f>
        <v xml:space="preserve">JACKSON                   </v>
      </c>
      <c r="F7515" t="str">
        <f t="shared" si="236"/>
        <v>MS</v>
      </c>
    </row>
    <row r="7516" spans="1:6" x14ac:dyDescent="0.25">
      <c r="A7516" t="str">
        <f>"000660304"</f>
        <v>000660304</v>
      </c>
      <c r="B7516" t="str">
        <f>"1942366166"</f>
        <v>1942366166</v>
      </c>
      <c r="C7516" t="str">
        <f t="shared" ref="C7516:C7528" si="237">"122300000X"</f>
        <v>122300000X</v>
      </c>
      <c r="D7516" t="str">
        <f>"PHILLIPS                 SCOTT        M           "</f>
        <v xml:space="preserve">PHILLIPS                 SCOTT        M           </v>
      </c>
      <c r="E7516" t="str">
        <f>"JACKSON                   "</f>
        <v xml:space="preserve">JACKSON                   </v>
      </c>
      <c r="F7516" t="str">
        <f t="shared" si="236"/>
        <v>MS</v>
      </c>
    </row>
    <row r="7517" spans="1:6" x14ac:dyDescent="0.25">
      <c r="A7517" t="str">
        <f>"000660308"</f>
        <v>000660308</v>
      </c>
      <c r="B7517" t="str">
        <f>"1154531754"</f>
        <v>1154531754</v>
      </c>
      <c r="C7517" t="str">
        <f t="shared" si="237"/>
        <v>122300000X</v>
      </c>
      <c r="D7517" t="str">
        <f>"LIVINGSTON               HAROLD       M           "</f>
        <v xml:space="preserve">LIVINGSTON               HAROLD       M           </v>
      </c>
      <c r="E7517" t="str">
        <f>"JACKSON                   "</f>
        <v xml:space="preserve">JACKSON                   </v>
      </c>
      <c r="F7517" t="str">
        <f t="shared" si="236"/>
        <v>MS</v>
      </c>
    </row>
    <row r="7518" spans="1:6" x14ac:dyDescent="0.25">
      <c r="A7518" t="str">
        <f>"000660309"</f>
        <v>000660309</v>
      </c>
      <c r="B7518" t="str">
        <f>"1326244948"</f>
        <v>1326244948</v>
      </c>
      <c r="C7518" t="str">
        <f t="shared" si="237"/>
        <v>122300000X</v>
      </c>
      <c r="D7518" t="str">
        <f>"MAGEE JR                 STEVE                    "</f>
        <v xml:space="preserve">MAGEE JR                 STEVE                    </v>
      </c>
      <c r="E7518" t="str">
        <f>"JACKSON                   "</f>
        <v xml:space="preserve">JACKSON                   </v>
      </c>
      <c r="F7518" t="str">
        <f t="shared" si="236"/>
        <v>MS</v>
      </c>
    </row>
    <row r="7519" spans="1:6" x14ac:dyDescent="0.25">
      <c r="A7519" t="str">
        <f>"000660332"</f>
        <v>000660332</v>
      </c>
      <c r="B7519" t="str">
        <f>"1720154180"</f>
        <v>1720154180</v>
      </c>
      <c r="C7519" t="str">
        <f t="shared" si="237"/>
        <v>122300000X</v>
      </c>
      <c r="D7519" t="str">
        <f>"BRISTER JR               GERALD       D           "</f>
        <v xml:space="preserve">BRISTER JR               GERALD       D           </v>
      </c>
      <c r="E7519" t="str">
        <f>"PEARL                     "</f>
        <v xml:space="preserve">PEARL                     </v>
      </c>
      <c r="F7519" t="str">
        <f t="shared" si="236"/>
        <v>MS</v>
      </c>
    </row>
    <row r="7520" spans="1:6" x14ac:dyDescent="0.25">
      <c r="A7520" t="str">
        <f>"000660340"</f>
        <v>000660340</v>
      </c>
      <c r="B7520" t="str">
        <f>"1487750832"</f>
        <v>1487750832</v>
      </c>
      <c r="C7520" t="str">
        <f t="shared" si="237"/>
        <v>122300000X</v>
      </c>
      <c r="D7520" t="str">
        <f>"AKIN                     RICHARD      R           "</f>
        <v xml:space="preserve">AKIN                     RICHARD      R           </v>
      </c>
      <c r="E7520" t="str">
        <f>"HAZLEHURST                "</f>
        <v xml:space="preserve">HAZLEHURST                </v>
      </c>
      <c r="F7520" t="str">
        <f t="shared" si="236"/>
        <v>MS</v>
      </c>
    </row>
    <row r="7521" spans="1:6" x14ac:dyDescent="0.25">
      <c r="A7521" t="str">
        <f>"000660341"</f>
        <v>000660341</v>
      </c>
      <c r="B7521" t="str">
        <f>"1346399953"</f>
        <v>1346399953</v>
      </c>
      <c r="C7521" t="str">
        <f t="shared" si="237"/>
        <v>122300000X</v>
      </c>
      <c r="D7521" t="str">
        <f>"SURBER                   STEPHEN      L           "</f>
        <v xml:space="preserve">SURBER                   STEPHEN      L           </v>
      </c>
      <c r="E7521" t="str">
        <f>"ELLISVILLE                "</f>
        <v xml:space="preserve">ELLISVILLE                </v>
      </c>
      <c r="F7521" t="str">
        <f t="shared" si="236"/>
        <v>MS</v>
      </c>
    </row>
    <row r="7522" spans="1:6" x14ac:dyDescent="0.25">
      <c r="A7522" t="str">
        <f>"000660344"</f>
        <v>000660344</v>
      </c>
      <c r="B7522" t="str">
        <f>"1326066481"</f>
        <v>1326066481</v>
      </c>
      <c r="C7522" t="str">
        <f t="shared" si="237"/>
        <v>122300000X</v>
      </c>
      <c r="D7522" t="str">
        <f>"SMITH                    DUSTIN       G           "</f>
        <v xml:space="preserve">SMITH                    DUSTIN       G           </v>
      </c>
      <c r="E7522" t="str">
        <f>"PEARL                     "</f>
        <v xml:space="preserve">PEARL                     </v>
      </c>
      <c r="F7522" t="str">
        <f t="shared" si="236"/>
        <v>MS</v>
      </c>
    </row>
    <row r="7523" spans="1:6" x14ac:dyDescent="0.25">
      <c r="A7523" t="str">
        <f>"000660349"</f>
        <v>000660349</v>
      </c>
      <c r="B7523" t="str">
        <f>"1033249867"</f>
        <v>1033249867</v>
      </c>
      <c r="C7523" t="str">
        <f t="shared" si="237"/>
        <v>122300000X</v>
      </c>
      <c r="D7523" t="str">
        <f>"COLEMAN                  RODERICK     L           "</f>
        <v xml:space="preserve">COLEMAN                  RODERICK     L           </v>
      </c>
      <c r="E7523" t="str">
        <f>"VICKSBURG                 "</f>
        <v xml:space="preserve">VICKSBURG                 </v>
      </c>
      <c r="F7523" t="str">
        <f t="shared" si="236"/>
        <v>MS</v>
      </c>
    </row>
    <row r="7524" spans="1:6" x14ac:dyDescent="0.25">
      <c r="A7524" t="str">
        <f>"000660351"</f>
        <v>000660351</v>
      </c>
      <c r="B7524" t="str">
        <f>"1952420937"</f>
        <v>1952420937</v>
      </c>
      <c r="C7524" t="str">
        <f t="shared" si="237"/>
        <v>122300000X</v>
      </c>
      <c r="D7524" t="str">
        <f>"MURPHREE                 MARTIN       M           "</f>
        <v xml:space="preserve">MURPHREE                 MARTIN       M           </v>
      </c>
      <c r="E7524" t="str">
        <f>"KILN                      "</f>
        <v xml:space="preserve">KILN                      </v>
      </c>
      <c r="F7524" t="str">
        <f t="shared" si="236"/>
        <v>MS</v>
      </c>
    </row>
    <row r="7525" spans="1:6" x14ac:dyDescent="0.25">
      <c r="A7525" t="str">
        <f>"000660353"</f>
        <v>000660353</v>
      </c>
      <c r="B7525" t="str">
        <f>"1720098908"</f>
        <v>1720098908</v>
      </c>
      <c r="C7525" t="str">
        <f t="shared" si="237"/>
        <v>122300000X</v>
      </c>
      <c r="D7525" t="str">
        <f>"WILLIAMS                 BRADLEY      E           "</f>
        <v xml:space="preserve">WILLIAMS                 BRADLEY      E           </v>
      </c>
      <c r="E7525" t="str">
        <f>"PELAHATCHIE               "</f>
        <v xml:space="preserve">PELAHATCHIE               </v>
      </c>
      <c r="F7525" t="str">
        <f t="shared" si="236"/>
        <v>MS</v>
      </c>
    </row>
    <row r="7526" spans="1:6" x14ac:dyDescent="0.25">
      <c r="A7526" t="str">
        <f>"000660356"</f>
        <v>000660356</v>
      </c>
      <c r="B7526" t="str">
        <f>"1912082959"</f>
        <v>1912082959</v>
      </c>
      <c r="C7526" t="str">
        <f t="shared" si="237"/>
        <v>122300000X</v>
      </c>
      <c r="D7526" t="str">
        <f>"COBBINS                  PRESTON      L           "</f>
        <v xml:space="preserve">COBBINS                  PRESTON      L           </v>
      </c>
      <c r="E7526" t="str">
        <f>"CANTON                    "</f>
        <v xml:space="preserve">CANTON                    </v>
      </c>
      <c r="F7526" t="str">
        <f t="shared" si="236"/>
        <v>MS</v>
      </c>
    </row>
    <row r="7527" spans="1:6" x14ac:dyDescent="0.25">
      <c r="A7527" t="str">
        <f>"000660360"</f>
        <v>000660360</v>
      </c>
      <c r="B7527" t="str">
        <f>"1144348889"</f>
        <v>1144348889</v>
      </c>
      <c r="C7527" t="str">
        <f t="shared" si="237"/>
        <v>122300000X</v>
      </c>
      <c r="D7527" t="str">
        <f>"GRIFFIN III              MINOR LEONARD            "</f>
        <v xml:space="preserve">GRIFFIN III              MINOR LEONARD            </v>
      </c>
      <c r="E7527" t="str">
        <f>"HATTIESBURG               "</f>
        <v xml:space="preserve">HATTIESBURG               </v>
      </c>
      <c r="F7527" t="str">
        <f t="shared" si="236"/>
        <v>MS</v>
      </c>
    </row>
    <row r="7528" spans="1:6" x14ac:dyDescent="0.25">
      <c r="A7528" t="str">
        <f>"000660361"</f>
        <v>000660361</v>
      </c>
      <c r="B7528" t="str">
        <f>"1134289606"</f>
        <v>1134289606</v>
      </c>
      <c r="C7528" t="str">
        <f t="shared" si="237"/>
        <v>122300000X</v>
      </c>
      <c r="D7528" t="str">
        <f>"MARTIN                   WILLIAM      C           "</f>
        <v xml:space="preserve">MARTIN                   WILLIAM      C           </v>
      </c>
      <c r="E7528" t="str">
        <f>"PHILADELPHIA              "</f>
        <v xml:space="preserve">PHILADELPHIA              </v>
      </c>
      <c r="F7528" t="str">
        <f t="shared" si="236"/>
        <v>MS</v>
      </c>
    </row>
    <row r="7529" spans="1:6" x14ac:dyDescent="0.25">
      <c r="A7529" t="str">
        <f>"000660366"</f>
        <v>000660366</v>
      </c>
      <c r="B7529" t="str">
        <f>"1649373218"</f>
        <v>1649373218</v>
      </c>
      <c r="C7529" t="str">
        <f>"1223P0221X"</f>
        <v>1223P0221X</v>
      </c>
      <c r="D7529" t="str">
        <f>"SUMNER                   TRICE        W           "</f>
        <v xml:space="preserve">SUMNER                   TRICE        W           </v>
      </c>
      <c r="E7529" t="str">
        <f>"TUPELO                    "</f>
        <v xml:space="preserve">TUPELO                    </v>
      </c>
      <c r="F7529" t="str">
        <f t="shared" si="236"/>
        <v>MS</v>
      </c>
    </row>
    <row r="7530" spans="1:6" x14ac:dyDescent="0.25">
      <c r="A7530" t="str">
        <f>"000660372"</f>
        <v>000660372</v>
      </c>
      <c r="B7530" t="str">
        <f>"1548275100"</f>
        <v>1548275100</v>
      </c>
      <c r="C7530" t="str">
        <f>"1223S0112X"</f>
        <v>1223S0112X</v>
      </c>
      <c r="D7530" t="str">
        <f>"BAUER                    FREDERICK    S           "</f>
        <v xml:space="preserve">BAUER                    FREDERICK    S           </v>
      </c>
      <c r="E7530" t="str">
        <f>"CORINTH                   "</f>
        <v xml:space="preserve">CORINTH                   </v>
      </c>
      <c r="F7530" t="str">
        <f t="shared" si="236"/>
        <v>MS</v>
      </c>
    </row>
    <row r="7531" spans="1:6" x14ac:dyDescent="0.25">
      <c r="A7531" t="str">
        <f>"000660373"</f>
        <v>000660373</v>
      </c>
      <c r="B7531" t="str">
        <f>"1528160140"</f>
        <v>1528160140</v>
      </c>
      <c r="C7531" t="str">
        <f>"122300000X"</f>
        <v>122300000X</v>
      </c>
      <c r="D7531" t="str">
        <f>"GADDIS                   ANDREA       R           "</f>
        <v xml:space="preserve">GADDIS                   ANDREA       R           </v>
      </c>
      <c r="E7531" t="str">
        <f>"MERIDIAN                  "</f>
        <v xml:space="preserve">MERIDIAN                  </v>
      </c>
      <c r="F7531" t="str">
        <f t="shared" si="236"/>
        <v>MS</v>
      </c>
    </row>
    <row r="7532" spans="1:6" x14ac:dyDescent="0.25">
      <c r="A7532" t="str">
        <f>"000660374"</f>
        <v>000660374</v>
      </c>
      <c r="B7532" t="str">
        <f>"1790875912"</f>
        <v>1790875912</v>
      </c>
      <c r="C7532" t="str">
        <f>"122300000X"</f>
        <v>122300000X</v>
      </c>
      <c r="D7532" t="str">
        <f>"HIRSBERG                 BRYANT                   "</f>
        <v xml:space="preserve">HIRSBERG                 BRYANT                   </v>
      </c>
      <c r="E7532" t="str">
        <f>"CLARKSDALE                "</f>
        <v xml:space="preserve">CLARKSDALE                </v>
      </c>
      <c r="F7532" t="str">
        <f t="shared" si="236"/>
        <v>MS</v>
      </c>
    </row>
    <row r="7533" spans="1:6" x14ac:dyDescent="0.25">
      <c r="A7533" t="str">
        <f>"000660377"</f>
        <v>000660377</v>
      </c>
      <c r="B7533" t="str">
        <f>"1396853701"</f>
        <v>1396853701</v>
      </c>
      <c r="C7533" t="str">
        <f>"122300000X"</f>
        <v>122300000X</v>
      </c>
      <c r="D7533" t="str">
        <f>"GARNER                   TERRY        L           "</f>
        <v xml:space="preserve">GARNER                   TERRY        L           </v>
      </c>
      <c r="E7533" t="str">
        <f>"HATTIESBURG               "</f>
        <v xml:space="preserve">HATTIESBURG               </v>
      </c>
      <c r="F7533" t="str">
        <f t="shared" si="236"/>
        <v>MS</v>
      </c>
    </row>
    <row r="7534" spans="1:6" x14ac:dyDescent="0.25">
      <c r="A7534" t="str">
        <f>"000660385"</f>
        <v>000660385</v>
      </c>
      <c r="B7534" t="str">
        <f>"1336168111"</f>
        <v>1336168111</v>
      </c>
      <c r="C7534" t="str">
        <f>"1223S0112X"</f>
        <v>1223S0112X</v>
      </c>
      <c r="D7534" t="str">
        <f>"GRIFFIN JR               JOHN         E           "</f>
        <v xml:space="preserve">GRIFFIN JR               JOHN         E           </v>
      </c>
      <c r="E7534" t="str">
        <f>"COLUMBUS                  "</f>
        <v xml:space="preserve">COLUMBUS                  </v>
      </c>
      <c r="F7534" t="str">
        <f t="shared" si="236"/>
        <v>MS</v>
      </c>
    </row>
    <row r="7535" spans="1:6" x14ac:dyDescent="0.25">
      <c r="A7535" t="str">
        <f>"000660389"</f>
        <v>000660389</v>
      </c>
      <c r="B7535" t="str">
        <f>"1336292473"</f>
        <v>1336292473</v>
      </c>
      <c r="C7535" t="str">
        <f t="shared" ref="C7535:C7547" si="238">"122300000X"</f>
        <v>122300000X</v>
      </c>
      <c r="D7535" t="str">
        <f>"OVERSTREET               ANGELA       N           "</f>
        <v xml:space="preserve">OVERSTREET               ANGELA       N           </v>
      </c>
      <c r="E7535" t="str">
        <f>"MAGEE                     "</f>
        <v xml:space="preserve">MAGEE                     </v>
      </c>
      <c r="F7535" t="str">
        <f t="shared" si="236"/>
        <v>MS</v>
      </c>
    </row>
    <row r="7536" spans="1:6" x14ac:dyDescent="0.25">
      <c r="A7536" t="str">
        <f>"000660390"</f>
        <v>000660390</v>
      </c>
      <c r="B7536" t="str">
        <f>"1649327164"</f>
        <v>1649327164</v>
      </c>
      <c r="C7536" t="str">
        <f t="shared" si="238"/>
        <v>122300000X</v>
      </c>
      <c r="D7536" t="str">
        <f>"SMITH                    KIMBERLY     B           "</f>
        <v xml:space="preserve">SMITH                    KIMBERLY     B           </v>
      </c>
      <c r="E7536" t="str">
        <f>"MENDENHALL                "</f>
        <v xml:space="preserve">MENDENHALL                </v>
      </c>
      <c r="F7536" t="str">
        <f t="shared" si="236"/>
        <v>MS</v>
      </c>
    </row>
    <row r="7537" spans="1:6" x14ac:dyDescent="0.25">
      <c r="A7537" t="str">
        <f>"000660391"</f>
        <v>000660391</v>
      </c>
      <c r="B7537" t="str">
        <f>"1770600819"</f>
        <v>1770600819</v>
      </c>
      <c r="C7537" t="str">
        <f t="shared" si="238"/>
        <v>122300000X</v>
      </c>
      <c r="D7537" t="str">
        <f>"DIXON                    STEPHEN      T           "</f>
        <v xml:space="preserve">DIXON                    STEPHEN      T           </v>
      </c>
      <c r="E7537" t="str">
        <f>"HATTIESBURG               "</f>
        <v xml:space="preserve">HATTIESBURG               </v>
      </c>
      <c r="F7537" t="str">
        <f t="shared" si="236"/>
        <v>MS</v>
      </c>
    </row>
    <row r="7538" spans="1:6" x14ac:dyDescent="0.25">
      <c r="A7538" t="str">
        <f>"000660392"</f>
        <v>000660392</v>
      </c>
      <c r="B7538" t="str">
        <f>"1063594588"</f>
        <v>1063594588</v>
      </c>
      <c r="C7538" t="str">
        <f t="shared" si="238"/>
        <v>122300000X</v>
      </c>
      <c r="D7538" t="str">
        <f>"RUFFIN                   DENISE       R           "</f>
        <v xml:space="preserve">RUFFIN                   DENISE       R           </v>
      </c>
      <c r="E7538" t="str">
        <f>"MERIDIAN                  "</f>
        <v xml:space="preserve">MERIDIAN                  </v>
      </c>
      <c r="F7538" t="str">
        <f t="shared" si="236"/>
        <v>MS</v>
      </c>
    </row>
    <row r="7539" spans="1:6" x14ac:dyDescent="0.25">
      <c r="A7539" t="str">
        <f>"000660393"</f>
        <v>000660393</v>
      </c>
      <c r="B7539" t="str">
        <f>"1376605857"</f>
        <v>1376605857</v>
      </c>
      <c r="C7539" t="str">
        <f t="shared" si="238"/>
        <v>122300000X</v>
      </c>
      <c r="D7539" t="str">
        <f>"HAYES                    ROBERT       B           "</f>
        <v xml:space="preserve">HAYES                    ROBERT       B           </v>
      </c>
      <c r="E7539" t="str">
        <f>"PEARL                     "</f>
        <v xml:space="preserve">PEARL                     </v>
      </c>
      <c r="F7539" t="str">
        <f t="shared" si="236"/>
        <v>MS</v>
      </c>
    </row>
    <row r="7540" spans="1:6" x14ac:dyDescent="0.25">
      <c r="A7540" t="str">
        <f>"000660397"</f>
        <v>000660397</v>
      </c>
      <c r="B7540" t="str">
        <f>"1043220312"</f>
        <v>1043220312</v>
      </c>
      <c r="C7540" t="str">
        <f t="shared" si="238"/>
        <v>122300000X</v>
      </c>
      <c r="D7540" t="str">
        <f>"TUTOR                    HEATHER      K           "</f>
        <v xml:space="preserve">TUTOR                    HEATHER      K           </v>
      </c>
      <c r="E7540" t="str">
        <f>"PEARL                     "</f>
        <v xml:space="preserve">PEARL                     </v>
      </c>
      <c r="F7540" t="str">
        <f t="shared" si="236"/>
        <v>MS</v>
      </c>
    </row>
    <row r="7541" spans="1:6" x14ac:dyDescent="0.25">
      <c r="A7541" t="str">
        <f>"000660398"</f>
        <v>000660398</v>
      </c>
      <c r="B7541" t="str">
        <f>"1831256965"</f>
        <v>1831256965</v>
      </c>
      <c r="C7541" t="str">
        <f t="shared" si="238"/>
        <v>122300000X</v>
      </c>
      <c r="D7541" t="str">
        <f>"NEWMAN                   ANTHONY      D           "</f>
        <v xml:space="preserve">NEWMAN                   ANTHONY      D           </v>
      </c>
      <c r="E7541" t="str">
        <f>"JACKSON                   "</f>
        <v xml:space="preserve">JACKSON                   </v>
      </c>
      <c r="F7541" t="str">
        <f t="shared" si="236"/>
        <v>MS</v>
      </c>
    </row>
    <row r="7542" spans="1:6" x14ac:dyDescent="0.25">
      <c r="A7542" t="str">
        <f>"000660414"</f>
        <v>000660414</v>
      </c>
      <c r="B7542" t="str">
        <f>"1518026228"</f>
        <v>1518026228</v>
      </c>
      <c r="C7542" t="str">
        <f t="shared" si="238"/>
        <v>122300000X</v>
      </c>
      <c r="D7542" t="str">
        <f>"CHATTERJEE KIRK          PIA                      "</f>
        <v xml:space="preserve">CHATTERJEE KIRK          PIA                      </v>
      </c>
      <c r="E7542" t="str">
        <f>"JACKSON                   "</f>
        <v xml:space="preserve">JACKSON                   </v>
      </c>
      <c r="F7542" t="str">
        <f t="shared" si="236"/>
        <v>MS</v>
      </c>
    </row>
    <row r="7543" spans="1:6" x14ac:dyDescent="0.25">
      <c r="A7543" t="str">
        <f>"000660426"</f>
        <v>000660426</v>
      </c>
      <c r="B7543" t="str">
        <f>"1730220690"</f>
        <v>1730220690</v>
      </c>
      <c r="C7543" t="str">
        <f t="shared" si="238"/>
        <v>122300000X</v>
      </c>
      <c r="D7543" t="str">
        <f>"JENKINS                  WILLIAM      B           "</f>
        <v xml:space="preserve">JENKINS                  WILLIAM      B           </v>
      </c>
      <c r="E7543" t="str">
        <f>"INDIANOLA                 "</f>
        <v xml:space="preserve">INDIANOLA                 </v>
      </c>
      <c r="F7543" t="str">
        <f t="shared" si="236"/>
        <v>MS</v>
      </c>
    </row>
    <row r="7544" spans="1:6" x14ac:dyDescent="0.25">
      <c r="A7544" t="str">
        <f>"000660430"</f>
        <v>000660430</v>
      </c>
      <c r="B7544" t="str">
        <f>"1215201009"</f>
        <v>1215201009</v>
      </c>
      <c r="C7544" t="str">
        <f t="shared" si="238"/>
        <v>122300000X</v>
      </c>
      <c r="D7544" t="str">
        <f>"WEEMS                    MARK         A           "</f>
        <v xml:space="preserve">WEEMS                    MARK         A           </v>
      </c>
      <c r="E7544" t="str">
        <f>"GREENWOOD                 "</f>
        <v xml:space="preserve">GREENWOOD                 </v>
      </c>
      <c r="F7544" t="str">
        <f t="shared" si="236"/>
        <v>MS</v>
      </c>
    </row>
    <row r="7545" spans="1:6" x14ac:dyDescent="0.25">
      <c r="A7545" t="str">
        <f>"000660432"</f>
        <v>000660432</v>
      </c>
      <c r="B7545" t="str">
        <f>"1033131487"</f>
        <v>1033131487</v>
      </c>
      <c r="C7545" t="str">
        <f t="shared" si="238"/>
        <v>122300000X</v>
      </c>
      <c r="D7545" t="str">
        <f>"POLK                     JASON        L           "</f>
        <v xml:space="preserve">POLK                     JASON        L           </v>
      </c>
      <c r="E7545" t="str">
        <f>"RICHLAND                  "</f>
        <v xml:space="preserve">RICHLAND                  </v>
      </c>
      <c r="F7545" t="str">
        <f t="shared" si="236"/>
        <v>MS</v>
      </c>
    </row>
    <row r="7546" spans="1:6" x14ac:dyDescent="0.25">
      <c r="A7546" t="str">
        <f>"000660433"</f>
        <v>000660433</v>
      </c>
      <c r="B7546" t="str">
        <f>"1447272802"</f>
        <v>1447272802</v>
      </c>
      <c r="C7546" t="str">
        <f t="shared" si="238"/>
        <v>122300000X</v>
      </c>
      <c r="D7546" t="str">
        <f>"POLK                     LEXI                     "</f>
        <v xml:space="preserve">POLK                     LEXI                     </v>
      </c>
      <c r="E7546" t="str">
        <f>"RICHLAND                  "</f>
        <v xml:space="preserve">RICHLAND                  </v>
      </c>
      <c r="F7546" t="str">
        <f t="shared" si="236"/>
        <v>MS</v>
      </c>
    </row>
    <row r="7547" spans="1:6" x14ac:dyDescent="0.25">
      <c r="A7547" t="str">
        <f>"000660434"</f>
        <v>000660434</v>
      </c>
      <c r="B7547" t="str">
        <f>"1194825299"</f>
        <v>1194825299</v>
      </c>
      <c r="C7547" t="str">
        <f t="shared" si="238"/>
        <v>122300000X</v>
      </c>
      <c r="D7547" t="str">
        <f>"MUSGRAVE                 CLYDE        A           "</f>
        <v xml:space="preserve">MUSGRAVE                 CLYDE        A           </v>
      </c>
      <c r="E7547" t="str">
        <f>"OXFORD                    "</f>
        <v xml:space="preserve">OXFORD                    </v>
      </c>
      <c r="F7547" t="str">
        <f t="shared" si="236"/>
        <v>MS</v>
      </c>
    </row>
    <row r="7548" spans="1:6" x14ac:dyDescent="0.25">
      <c r="A7548" t="str">
        <f>"000660436"</f>
        <v>000660436</v>
      </c>
      <c r="B7548" t="str">
        <f>"1477665065"</f>
        <v>1477665065</v>
      </c>
      <c r="C7548" t="str">
        <f>"1223P0221X"</f>
        <v>1223P0221X</v>
      </c>
      <c r="D7548" t="str">
        <f>"COLEMAN                  JASON        K           "</f>
        <v xml:space="preserve">COLEMAN                  JASON        K           </v>
      </c>
      <c r="E7548" t="str">
        <f>"OXFORD                    "</f>
        <v xml:space="preserve">OXFORD                    </v>
      </c>
      <c r="F7548" t="str">
        <f t="shared" si="236"/>
        <v>MS</v>
      </c>
    </row>
    <row r="7549" spans="1:6" x14ac:dyDescent="0.25">
      <c r="A7549" t="str">
        <f>"000660438"</f>
        <v>000660438</v>
      </c>
      <c r="B7549" t="str">
        <f>"1083627509"</f>
        <v>1083627509</v>
      </c>
      <c r="C7549" t="str">
        <f>"122300000X"</f>
        <v>122300000X</v>
      </c>
      <c r="D7549" t="str">
        <f>"HOLLOWELL                ASHLEY       D           "</f>
        <v xml:space="preserve">HOLLOWELL                ASHLEY       D           </v>
      </c>
      <c r="E7549" t="str">
        <f>"CANTON                    "</f>
        <v xml:space="preserve">CANTON                    </v>
      </c>
      <c r="F7549" t="str">
        <f t="shared" si="236"/>
        <v>MS</v>
      </c>
    </row>
    <row r="7550" spans="1:6" x14ac:dyDescent="0.25">
      <c r="A7550" t="str">
        <f>"000660439"</f>
        <v>000660439</v>
      </c>
      <c r="B7550" t="str">
        <f>"1225259104"</f>
        <v>1225259104</v>
      </c>
      <c r="C7550" t="str">
        <f>"122300000X"</f>
        <v>122300000X</v>
      </c>
      <c r="D7550" t="str">
        <f>"HATHORN                  ALICIA       R           "</f>
        <v xml:space="preserve">HATHORN                  ALICIA       R           </v>
      </c>
      <c r="E7550" t="str">
        <f>"JACKSON                   "</f>
        <v xml:space="preserve">JACKSON                   </v>
      </c>
      <c r="F7550" t="str">
        <f t="shared" ref="F7550:F7613" si="239">"MS"</f>
        <v>MS</v>
      </c>
    </row>
    <row r="7551" spans="1:6" x14ac:dyDescent="0.25">
      <c r="A7551" t="str">
        <f>"000660440"</f>
        <v>000660440</v>
      </c>
      <c r="B7551" t="str">
        <f>"1275675332"</f>
        <v>1275675332</v>
      </c>
      <c r="C7551" t="str">
        <f>"122300000X"</f>
        <v>122300000X</v>
      </c>
      <c r="D7551" t="str">
        <f>"OVERSTREET               JEFFREY      W           "</f>
        <v xml:space="preserve">OVERSTREET               JEFFREY      W           </v>
      </c>
      <c r="E7551" t="str">
        <f>"MAGEE                     "</f>
        <v xml:space="preserve">MAGEE                     </v>
      </c>
      <c r="F7551" t="str">
        <f t="shared" si="239"/>
        <v>MS</v>
      </c>
    </row>
    <row r="7552" spans="1:6" x14ac:dyDescent="0.25">
      <c r="A7552" t="str">
        <f>"000660444"</f>
        <v>000660444</v>
      </c>
      <c r="B7552" t="str">
        <f>"1255439501"</f>
        <v>1255439501</v>
      </c>
      <c r="C7552" t="str">
        <f>"1223X0400X"</f>
        <v>1223X0400X</v>
      </c>
      <c r="D7552" t="str">
        <f>"TUTOR                    ALBERT       W           "</f>
        <v xml:space="preserve">TUTOR                    ALBERT       W           </v>
      </c>
      <c r="E7552" t="str">
        <f>"BRANDON                   "</f>
        <v xml:space="preserve">BRANDON                   </v>
      </c>
      <c r="F7552" t="str">
        <f t="shared" si="239"/>
        <v>MS</v>
      </c>
    </row>
    <row r="7553" spans="1:6" x14ac:dyDescent="0.25">
      <c r="A7553" t="str">
        <f>"000660446"</f>
        <v>000660446</v>
      </c>
      <c r="B7553" t="str">
        <f>"1265571491"</f>
        <v>1265571491</v>
      </c>
      <c r="C7553" t="str">
        <f>"1223P0221X"</f>
        <v>1223P0221X</v>
      </c>
      <c r="D7553" t="str">
        <f>"WATTERS                  GAYLE        M           "</f>
        <v xml:space="preserve">WATTERS                  GAYLE        M           </v>
      </c>
      <c r="E7553" t="str">
        <f>"MADISON                   "</f>
        <v xml:space="preserve">MADISON                   </v>
      </c>
      <c r="F7553" t="str">
        <f t="shared" si="239"/>
        <v>MS</v>
      </c>
    </row>
    <row r="7554" spans="1:6" x14ac:dyDescent="0.25">
      <c r="A7554" t="str">
        <f>"000660457"</f>
        <v>000660457</v>
      </c>
      <c r="B7554" t="str">
        <f>"1033126297"</f>
        <v>1033126297</v>
      </c>
      <c r="C7554" t="str">
        <f>"1223P0300X"</f>
        <v>1223P0300X</v>
      </c>
      <c r="D7554" t="str">
        <f>"MCDOUGALD                REBECCA      S           "</f>
        <v xml:space="preserve">MCDOUGALD                REBECCA      S           </v>
      </c>
      <c r="E7554" t="str">
        <f>"BOONEVILLE                "</f>
        <v xml:space="preserve">BOONEVILLE                </v>
      </c>
      <c r="F7554" t="str">
        <f t="shared" si="239"/>
        <v>MS</v>
      </c>
    </row>
    <row r="7555" spans="1:6" x14ac:dyDescent="0.25">
      <c r="A7555" t="str">
        <f>"000670222"</f>
        <v>000670222</v>
      </c>
      <c r="B7555" t="str">
        <f>"1417269275"</f>
        <v>1417269275</v>
      </c>
      <c r="C7555" t="str">
        <f>"208000000X"</f>
        <v>208000000X</v>
      </c>
      <c r="D7555" t="str">
        <f>"HERRING                  WHITNEY      P           "</f>
        <v xml:space="preserve">HERRING                  WHITNEY      P           </v>
      </c>
      <c r="E7555" t="str">
        <f>"FLOWOOD                   "</f>
        <v xml:space="preserve">FLOWOOD                   </v>
      </c>
      <c r="F7555" t="str">
        <f t="shared" si="239"/>
        <v>MS</v>
      </c>
    </row>
    <row r="7556" spans="1:6" x14ac:dyDescent="0.25">
      <c r="A7556" t="str">
        <f>"000671542"</f>
        <v>000671542</v>
      </c>
      <c r="B7556" t="str">
        <f>"1861442436"</f>
        <v>1861442436</v>
      </c>
      <c r="C7556" t="str">
        <f>"2085R0202X"</f>
        <v>2085R0202X</v>
      </c>
      <c r="D7556" t="str">
        <f>"BALFOUR                  ERIC         L           "</f>
        <v xml:space="preserve">BALFOUR                  ERIC         L           </v>
      </c>
      <c r="E7556" t="str">
        <f>"JACKSON                   "</f>
        <v xml:space="preserve">JACKSON                   </v>
      </c>
      <c r="F7556" t="str">
        <f t="shared" si="239"/>
        <v>MS</v>
      </c>
    </row>
    <row r="7557" spans="1:6" x14ac:dyDescent="0.25">
      <c r="A7557" t="str">
        <f>"000672357"</f>
        <v>000672357</v>
      </c>
      <c r="B7557" t="str">
        <f>"1376871160"</f>
        <v>1376871160</v>
      </c>
      <c r="C7557" t="str">
        <f>"363L00000X"</f>
        <v>363L00000X</v>
      </c>
      <c r="D7557" t="str">
        <f>"SHULL                    GRETCHEN     S           "</f>
        <v xml:space="preserve">SHULL                    GRETCHEN     S           </v>
      </c>
      <c r="E7557" t="str">
        <f>"JACKSON                   "</f>
        <v xml:space="preserve">JACKSON                   </v>
      </c>
      <c r="F7557" t="str">
        <f t="shared" si="239"/>
        <v>MS</v>
      </c>
    </row>
    <row r="7558" spans="1:6" x14ac:dyDescent="0.25">
      <c r="A7558" t="str">
        <f>"000672559"</f>
        <v>000672559</v>
      </c>
      <c r="B7558" t="str">
        <f>"1699972596"</f>
        <v>1699972596</v>
      </c>
      <c r="C7558" t="str">
        <f>"207R00000X"</f>
        <v>207R00000X</v>
      </c>
      <c r="D7558" t="str">
        <f>"BECKWITH                 AMANDA       B           "</f>
        <v xml:space="preserve">BECKWITH                 AMANDA       B           </v>
      </c>
      <c r="E7558" t="str">
        <f>"BATESVILLE                "</f>
        <v xml:space="preserve">BATESVILLE                </v>
      </c>
      <c r="F7558" t="str">
        <f t="shared" si="239"/>
        <v>MS</v>
      </c>
    </row>
    <row r="7559" spans="1:6" x14ac:dyDescent="0.25">
      <c r="A7559" t="str">
        <f>"000674014"</f>
        <v>000674014</v>
      </c>
      <c r="B7559" t="str">
        <f>"1326613308"</f>
        <v>1326613308</v>
      </c>
      <c r="C7559" t="str">
        <f>"152W00000X"</f>
        <v>152W00000X</v>
      </c>
      <c r="D7559" t="str">
        <f>"EDWARDS                  HUNTER       M           "</f>
        <v xml:space="preserve">EDWARDS                  HUNTER       M           </v>
      </c>
      <c r="E7559" t="str">
        <f>"HOLLY SPRINGS             "</f>
        <v xml:space="preserve">HOLLY SPRINGS             </v>
      </c>
      <c r="F7559" t="str">
        <f t="shared" si="239"/>
        <v>MS</v>
      </c>
    </row>
    <row r="7560" spans="1:6" x14ac:dyDescent="0.25">
      <c r="A7560" t="str">
        <f>"000675026"</f>
        <v>000675026</v>
      </c>
      <c r="B7560" t="str">
        <f>"1447728944"</f>
        <v>1447728944</v>
      </c>
      <c r="C7560" t="str">
        <f>"363L00000X"</f>
        <v>363L00000X</v>
      </c>
      <c r="D7560" t="str">
        <f>"ARMSTRONG                TONI                     "</f>
        <v xml:space="preserve">ARMSTRONG                TONI                     </v>
      </c>
      <c r="E7560" t="str">
        <f>"BELMONT                   "</f>
        <v xml:space="preserve">BELMONT                   </v>
      </c>
      <c r="F7560" t="str">
        <f t="shared" si="239"/>
        <v>MS</v>
      </c>
    </row>
    <row r="7561" spans="1:6" x14ac:dyDescent="0.25">
      <c r="A7561" t="str">
        <f>"000676727"</f>
        <v>000676727</v>
      </c>
      <c r="B7561" t="str">
        <f>"1548672868"</f>
        <v>1548672868</v>
      </c>
      <c r="C7561" t="str">
        <f>"207R00000X"</f>
        <v>207R00000X</v>
      </c>
      <c r="D7561" t="str">
        <f>"WRIGHT                   NATHANIEL    H           "</f>
        <v xml:space="preserve">WRIGHT                   NATHANIEL    H           </v>
      </c>
      <c r="E7561" t="str">
        <f>"JACKSON                   "</f>
        <v xml:space="preserve">JACKSON                   </v>
      </c>
      <c r="F7561" t="str">
        <f t="shared" si="239"/>
        <v>MS</v>
      </c>
    </row>
    <row r="7562" spans="1:6" x14ac:dyDescent="0.25">
      <c r="A7562" t="str">
        <f>"000676748"</f>
        <v>000676748</v>
      </c>
      <c r="B7562" t="str">
        <f>"1306435722"</f>
        <v>1306435722</v>
      </c>
      <c r="C7562" t="str">
        <f>"152W00000X"</f>
        <v>152W00000X</v>
      </c>
      <c r="D7562" t="str">
        <f>"KEATON                   BONNIE       E           "</f>
        <v xml:space="preserve">KEATON                   BONNIE       E           </v>
      </c>
      <c r="E7562" t="str">
        <f>"PICAYUNE                  "</f>
        <v xml:space="preserve">PICAYUNE                  </v>
      </c>
      <c r="F7562" t="str">
        <f t="shared" si="239"/>
        <v>MS</v>
      </c>
    </row>
    <row r="7563" spans="1:6" x14ac:dyDescent="0.25">
      <c r="A7563" t="str">
        <f>"000676779"</f>
        <v>000676779</v>
      </c>
      <c r="B7563" t="str">
        <f>"1134142821"</f>
        <v>1134142821</v>
      </c>
      <c r="C7563" t="str">
        <f>"208600000X"</f>
        <v>208600000X</v>
      </c>
      <c r="D7563" t="str">
        <f>"SUROWIEC                 WALTER       J           "</f>
        <v xml:space="preserve">SUROWIEC                 WALTER       J           </v>
      </c>
      <c r="E7563" t="str">
        <f>"GULFPORT                  "</f>
        <v xml:space="preserve">GULFPORT                  </v>
      </c>
      <c r="F7563" t="str">
        <f t="shared" si="239"/>
        <v>MS</v>
      </c>
    </row>
    <row r="7564" spans="1:6" x14ac:dyDescent="0.25">
      <c r="A7564" t="str">
        <f>"000678265"</f>
        <v>000678265</v>
      </c>
      <c r="B7564" t="str">
        <f>"1184701625"</f>
        <v>1184701625</v>
      </c>
      <c r="C7564" t="str">
        <f>"363L00000X"</f>
        <v>363L00000X</v>
      </c>
      <c r="D7564" t="str">
        <f>"DRYMON                   SARAH                    "</f>
        <v xml:space="preserve">DRYMON                   SARAH                    </v>
      </c>
      <c r="E7564" t="str">
        <f>"VANCLEAVE                 "</f>
        <v xml:space="preserve">VANCLEAVE                 </v>
      </c>
      <c r="F7564" t="str">
        <f t="shared" si="239"/>
        <v>MS</v>
      </c>
    </row>
    <row r="7565" spans="1:6" x14ac:dyDescent="0.25">
      <c r="A7565" t="str">
        <f>"000679224"</f>
        <v>000679224</v>
      </c>
      <c r="B7565" t="str">
        <f>"1508201815"</f>
        <v>1508201815</v>
      </c>
      <c r="C7565" t="str">
        <f>"207K00000X"</f>
        <v>207K00000X</v>
      </c>
      <c r="D7565" t="str">
        <f>"HINES                    BRITTANY     T           "</f>
        <v xml:space="preserve">HINES                    BRITTANY     T           </v>
      </c>
      <c r="E7565" t="str">
        <f>"JACKSON                   "</f>
        <v xml:space="preserve">JACKSON                   </v>
      </c>
      <c r="F7565" t="str">
        <f t="shared" si="239"/>
        <v>MS</v>
      </c>
    </row>
    <row r="7566" spans="1:6" x14ac:dyDescent="0.25">
      <c r="A7566" t="str">
        <f>"000680301"</f>
        <v>000680301</v>
      </c>
      <c r="B7566" t="str">
        <f>"1760905236"</f>
        <v>1760905236</v>
      </c>
      <c r="C7566" t="str">
        <f>"207R00000X"</f>
        <v>207R00000X</v>
      </c>
      <c r="D7566" t="str">
        <f>"KOMMINENI                KRISHNA      S           "</f>
        <v xml:space="preserve">KOMMINENI                KRISHNA      S           </v>
      </c>
      <c r="E7566" t="str">
        <f>"GULFPORT                  "</f>
        <v xml:space="preserve">GULFPORT                  </v>
      </c>
      <c r="F7566" t="str">
        <f t="shared" si="239"/>
        <v>MS</v>
      </c>
    </row>
    <row r="7567" spans="1:6" x14ac:dyDescent="0.25">
      <c r="A7567" t="str">
        <f>"000680358"</f>
        <v>000680358</v>
      </c>
      <c r="B7567" t="str">
        <f>"1326060070"</f>
        <v>1326060070</v>
      </c>
      <c r="C7567" t="str">
        <f>"207R00000X"</f>
        <v>207R00000X</v>
      </c>
      <c r="D7567" t="str">
        <f>"WALL                     BRIAN        K           "</f>
        <v xml:space="preserve">WALL                     BRIAN        K           </v>
      </c>
      <c r="E7567" t="str">
        <f>"BATESVILLE                "</f>
        <v xml:space="preserve">BATESVILLE                </v>
      </c>
      <c r="F7567" t="str">
        <f t="shared" si="239"/>
        <v>MS</v>
      </c>
    </row>
    <row r="7568" spans="1:6" x14ac:dyDescent="0.25">
      <c r="A7568" t="str">
        <f>"000680383"</f>
        <v>000680383</v>
      </c>
      <c r="B7568" t="str">
        <f>"1366628059"</f>
        <v>1366628059</v>
      </c>
      <c r="C7568" t="str">
        <f>"207V00000X"</f>
        <v>207V00000X</v>
      </c>
      <c r="D7568" t="str">
        <f>"BREWER                   JUSTIN       M           "</f>
        <v xml:space="preserve">BREWER                   JUSTIN       M           </v>
      </c>
      <c r="E7568" t="str">
        <f>"TUPELO                    "</f>
        <v xml:space="preserve">TUPELO                    </v>
      </c>
      <c r="F7568" t="str">
        <f t="shared" si="239"/>
        <v>MS</v>
      </c>
    </row>
    <row r="7569" spans="1:6" x14ac:dyDescent="0.25">
      <c r="A7569" t="str">
        <f>"000681588"</f>
        <v>000681588</v>
      </c>
      <c r="B7569" t="str">
        <f>"1831694629"</f>
        <v>1831694629</v>
      </c>
      <c r="C7569" t="str">
        <f>"1223P0221X"</f>
        <v>1223P0221X</v>
      </c>
      <c r="D7569" t="str">
        <f>"CAMPBELL                 JEROLD       T           "</f>
        <v xml:space="preserve">CAMPBELL                 JEROLD       T           </v>
      </c>
      <c r="E7569" t="str">
        <f>"OXFORD                    "</f>
        <v xml:space="preserve">OXFORD                    </v>
      </c>
      <c r="F7569" t="str">
        <f t="shared" si="239"/>
        <v>MS</v>
      </c>
    </row>
    <row r="7570" spans="1:6" x14ac:dyDescent="0.25">
      <c r="A7570" t="str">
        <f>"000682724"</f>
        <v>000682724</v>
      </c>
      <c r="B7570" t="str">
        <f>"1639478720"</f>
        <v>1639478720</v>
      </c>
      <c r="C7570" t="str">
        <f>"261QA0600X"</f>
        <v>261QA0600X</v>
      </c>
      <c r="D7570" t="str">
        <f>"GULF SHORES ADULT DAY CARE                        "</f>
        <v xml:space="preserve">GULF SHORES ADULT DAY CARE                        </v>
      </c>
      <c r="E7570" t="str">
        <f>"BILOXI                    "</f>
        <v xml:space="preserve">BILOXI                    </v>
      </c>
      <c r="F7570" t="str">
        <f t="shared" si="239"/>
        <v>MS</v>
      </c>
    </row>
    <row r="7571" spans="1:6" x14ac:dyDescent="0.25">
      <c r="A7571" t="str">
        <f>"000686591"</f>
        <v>000686591</v>
      </c>
      <c r="B7571" t="str">
        <f>"1265170070"</f>
        <v>1265170070</v>
      </c>
      <c r="C7571" t="str">
        <f>"261QM1300X"</f>
        <v>261QM1300X</v>
      </c>
      <c r="D7571" t="str">
        <f>"T.K. MARTIN CENTER FOR TECHNOLOGY &amp;               "</f>
        <v xml:space="preserve">T.K. MARTIN CENTER FOR TECHNOLOGY &amp;               </v>
      </c>
      <c r="E7571" t="str">
        <f>"MISSISSIPPI STATE         "</f>
        <v xml:space="preserve">MISSISSIPPI STATE         </v>
      </c>
      <c r="F7571" t="str">
        <f t="shared" si="239"/>
        <v>MS</v>
      </c>
    </row>
    <row r="7572" spans="1:6" x14ac:dyDescent="0.25">
      <c r="A7572" t="str">
        <f>"000687511"</f>
        <v>000687511</v>
      </c>
      <c r="B7572" t="str">
        <f>"1659507564"</f>
        <v>1659507564</v>
      </c>
      <c r="C7572" t="str">
        <f>"363L00000X"</f>
        <v>363L00000X</v>
      </c>
      <c r="D7572" t="str">
        <f>"KELLY                    SARAH        D           "</f>
        <v xml:space="preserve">KELLY                    SARAH        D           </v>
      </c>
      <c r="E7572" t="str">
        <f>"HATTIESBURG               "</f>
        <v xml:space="preserve">HATTIESBURG               </v>
      </c>
      <c r="F7572" t="str">
        <f t="shared" si="239"/>
        <v>MS</v>
      </c>
    </row>
    <row r="7573" spans="1:6" x14ac:dyDescent="0.25">
      <c r="A7573" t="str">
        <f>"000688568"</f>
        <v>000688568</v>
      </c>
      <c r="B7573" t="str">
        <f>"1477137065"</f>
        <v>1477137065</v>
      </c>
      <c r="C7573" t="str">
        <f>"363L00000X"</f>
        <v>363L00000X</v>
      </c>
      <c r="D7573" t="str">
        <f>"HILL                     CASEY        B           "</f>
        <v xml:space="preserve">HILL                     CASEY        B           </v>
      </c>
      <c r="E7573" t="str">
        <f>"BRANDON                   "</f>
        <v xml:space="preserve">BRANDON                   </v>
      </c>
      <c r="F7573" t="str">
        <f t="shared" si="239"/>
        <v>MS</v>
      </c>
    </row>
    <row r="7574" spans="1:6" x14ac:dyDescent="0.25">
      <c r="A7574" t="str">
        <f>"000689717"</f>
        <v>000689717</v>
      </c>
      <c r="B7574" t="str">
        <f>"1528577012"</f>
        <v>1528577012</v>
      </c>
      <c r="C7574" t="str">
        <f>"363L00000X"</f>
        <v>363L00000X</v>
      </c>
      <c r="D7574" t="str">
        <f>"HUDSON                   LISA         J           "</f>
        <v xml:space="preserve">HUDSON                   LISA         J           </v>
      </c>
      <c r="E7574" t="str">
        <f>"CALEDONIA                 "</f>
        <v xml:space="preserve">CALEDONIA                 </v>
      </c>
      <c r="F7574" t="str">
        <f t="shared" si="239"/>
        <v>MS</v>
      </c>
    </row>
    <row r="7575" spans="1:6" x14ac:dyDescent="0.25">
      <c r="A7575" t="str">
        <f>"000700291"</f>
        <v>000700291</v>
      </c>
      <c r="B7575" t="str">
        <f>"1811664147"</f>
        <v>1811664147</v>
      </c>
      <c r="C7575" t="str">
        <f>"152W00000X"</f>
        <v>152W00000X</v>
      </c>
      <c r="D7575" t="str">
        <f>"FERRELL                  LAUREN       C           "</f>
        <v xml:space="preserve">FERRELL                  LAUREN       C           </v>
      </c>
      <c r="E7575" t="str">
        <f>"CORINTH                   "</f>
        <v xml:space="preserve">CORINTH                   </v>
      </c>
      <c r="F7575" t="str">
        <f t="shared" si="239"/>
        <v>MS</v>
      </c>
    </row>
    <row r="7576" spans="1:6" x14ac:dyDescent="0.25">
      <c r="A7576" t="str">
        <f>"000701263"</f>
        <v>000701263</v>
      </c>
      <c r="B7576" t="str">
        <f>"1023690989"</f>
        <v>1023690989</v>
      </c>
      <c r="C7576" t="str">
        <f>"363L00000X"</f>
        <v>363L00000X</v>
      </c>
      <c r="D7576" t="str">
        <f>"BRELAND                  DEIRDRE      L           "</f>
        <v xml:space="preserve">BRELAND                  DEIRDRE      L           </v>
      </c>
      <c r="E7576" t="str">
        <f>"GULFPORT                  "</f>
        <v xml:space="preserve">GULFPORT                  </v>
      </c>
      <c r="F7576" t="str">
        <f t="shared" si="239"/>
        <v>MS</v>
      </c>
    </row>
    <row r="7577" spans="1:6" x14ac:dyDescent="0.25">
      <c r="A7577" t="str">
        <f>"000701279"</f>
        <v>000701279</v>
      </c>
      <c r="B7577" t="str">
        <f>"1326399973"</f>
        <v>1326399973</v>
      </c>
      <c r="C7577" t="str">
        <f>"363L00000X"</f>
        <v>363L00000X</v>
      </c>
      <c r="D7577" t="str">
        <f>"PERKINS                  SAVANNAH     R           "</f>
        <v xml:space="preserve">PERKINS                  SAVANNAH     R           </v>
      </c>
      <c r="E7577" t="str">
        <f>"STARKVILLE                "</f>
        <v xml:space="preserve">STARKVILLE                </v>
      </c>
      <c r="F7577" t="str">
        <f t="shared" si="239"/>
        <v>MS</v>
      </c>
    </row>
    <row r="7578" spans="1:6" x14ac:dyDescent="0.25">
      <c r="A7578" t="str">
        <f>"000701371"</f>
        <v>000701371</v>
      </c>
      <c r="B7578" t="str">
        <f>"1629449798"</f>
        <v>1629449798</v>
      </c>
      <c r="C7578" t="str">
        <f>"363L00000X"</f>
        <v>363L00000X</v>
      </c>
      <c r="D7578" t="str">
        <f>"YATES                    MARY         R           "</f>
        <v xml:space="preserve">YATES                    MARY         R           </v>
      </c>
      <c r="E7578" t="str">
        <f>"TUPELO                    "</f>
        <v xml:space="preserve">TUPELO                    </v>
      </c>
      <c r="F7578" t="str">
        <f t="shared" si="239"/>
        <v>MS</v>
      </c>
    </row>
    <row r="7579" spans="1:6" x14ac:dyDescent="0.25">
      <c r="A7579" t="str">
        <f>"000702041"</f>
        <v>000702041</v>
      </c>
      <c r="B7579" t="str">
        <f>"1902127152"</f>
        <v>1902127152</v>
      </c>
      <c r="C7579" t="str">
        <f>"207ZP0102X"</f>
        <v>207ZP0102X</v>
      </c>
      <c r="D7579" t="str">
        <f>"MARTELLI                 MATTHEW      G           "</f>
        <v xml:space="preserve">MARTELLI                 MATTHEW      G           </v>
      </c>
      <c r="E7579" t="str">
        <f>"MERIDIAN                  "</f>
        <v xml:space="preserve">MERIDIAN                  </v>
      </c>
      <c r="F7579" t="str">
        <f t="shared" si="239"/>
        <v>MS</v>
      </c>
    </row>
    <row r="7580" spans="1:6" x14ac:dyDescent="0.25">
      <c r="A7580" t="str">
        <f>"000704517"</f>
        <v>000704517</v>
      </c>
      <c r="B7580" t="str">
        <f>"1053374041"</f>
        <v>1053374041</v>
      </c>
      <c r="C7580" t="str">
        <f>"208600000X"</f>
        <v>208600000X</v>
      </c>
      <c r="D7580" t="str">
        <f>"WARE                     PAUL         D           "</f>
        <v xml:space="preserve">WARE                     PAUL         D           </v>
      </c>
      <c r="E7580" t="str">
        <f>"GULFPORT                  "</f>
        <v xml:space="preserve">GULFPORT                  </v>
      </c>
      <c r="F7580" t="str">
        <f t="shared" si="239"/>
        <v>MS</v>
      </c>
    </row>
    <row r="7581" spans="1:6" x14ac:dyDescent="0.25">
      <c r="A7581" t="str">
        <f>"000704858"</f>
        <v>000704858</v>
      </c>
      <c r="B7581" t="str">
        <f>"1437562196"</f>
        <v>1437562196</v>
      </c>
      <c r="C7581" t="str">
        <f>"208M00000X"</f>
        <v>208M00000X</v>
      </c>
      <c r="D7581" t="str">
        <f>"JETER                    JOSHUA       B           "</f>
        <v xml:space="preserve">JETER                    JOSHUA       B           </v>
      </c>
      <c r="E7581" t="str">
        <f>"JACKSON                   "</f>
        <v xml:space="preserve">JACKSON                   </v>
      </c>
      <c r="F7581" t="str">
        <f t="shared" si="239"/>
        <v>MS</v>
      </c>
    </row>
    <row r="7582" spans="1:6" x14ac:dyDescent="0.25">
      <c r="A7582" t="str">
        <f>"000706071"</f>
        <v>000706071</v>
      </c>
      <c r="B7582" t="str">
        <f>"1467716860"</f>
        <v>1467716860</v>
      </c>
      <c r="C7582" t="str">
        <f>"207Q00000X"</f>
        <v>207Q00000X</v>
      </c>
      <c r="D7582" t="str">
        <f>"HAILEY-SHARP             ANNA         M           "</f>
        <v xml:space="preserve">HAILEY-SHARP             ANNA         M           </v>
      </c>
      <c r="E7582" t="str">
        <f>"DE KALB                   "</f>
        <v xml:space="preserve">DE KALB                   </v>
      </c>
      <c r="F7582" t="str">
        <f t="shared" si="239"/>
        <v>MS</v>
      </c>
    </row>
    <row r="7583" spans="1:6" x14ac:dyDescent="0.25">
      <c r="A7583" t="str">
        <f>"000706872"</f>
        <v>000706872</v>
      </c>
      <c r="B7583" t="str">
        <f>"1508113606"</f>
        <v>1508113606</v>
      </c>
      <c r="C7583" t="str">
        <f>"207R00000X"</f>
        <v>207R00000X</v>
      </c>
      <c r="D7583" t="str">
        <f>"LEE                      KOSANA                   "</f>
        <v xml:space="preserve">LEE                      KOSANA                   </v>
      </c>
      <c r="E7583" t="str">
        <f>"HATTIESBURG               "</f>
        <v xml:space="preserve">HATTIESBURG               </v>
      </c>
      <c r="F7583" t="str">
        <f t="shared" si="239"/>
        <v>MS</v>
      </c>
    </row>
    <row r="7584" spans="1:6" x14ac:dyDescent="0.25">
      <c r="A7584" t="str">
        <f>"000707297"</f>
        <v>000707297</v>
      </c>
      <c r="B7584" t="str">
        <f>"1659699247"</f>
        <v>1659699247</v>
      </c>
      <c r="C7584" t="str">
        <f>"208000000X"</f>
        <v>208000000X</v>
      </c>
      <c r="D7584" t="str">
        <f>"HYSMITH                  JESSICA      H           "</f>
        <v xml:space="preserve">HYSMITH                  JESSICA      H           </v>
      </c>
      <c r="E7584" t="str">
        <f>"OLIVE BRANCH              "</f>
        <v xml:space="preserve">OLIVE BRANCH              </v>
      </c>
      <c r="F7584" t="str">
        <f t="shared" si="239"/>
        <v>MS</v>
      </c>
    </row>
    <row r="7585" spans="1:6" x14ac:dyDescent="0.25">
      <c r="A7585" t="str">
        <f>"000708001"</f>
        <v>000708001</v>
      </c>
      <c r="B7585" t="str">
        <f>"1093457988"</f>
        <v>1093457988</v>
      </c>
      <c r="C7585" t="str">
        <f>"363L00000X"</f>
        <v>363L00000X</v>
      </c>
      <c r="D7585" t="str">
        <f>"GRANBERRY                KAITLIN      G           "</f>
        <v xml:space="preserve">GRANBERRY                KAITLIN      G           </v>
      </c>
      <c r="E7585" t="str">
        <f>"HATTIESBURG               "</f>
        <v xml:space="preserve">HATTIESBURG               </v>
      </c>
      <c r="F7585" t="str">
        <f t="shared" si="239"/>
        <v>MS</v>
      </c>
    </row>
    <row r="7586" spans="1:6" x14ac:dyDescent="0.25">
      <c r="A7586" t="str">
        <f>"000709801"</f>
        <v>000709801</v>
      </c>
      <c r="B7586" t="str">
        <f>"1174139182"</f>
        <v>1174139182</v>
      </c>
      <c r="C7586" t="str">
        <f>"363L00000X"</f>
        <v>363L00000X</v>
      </c>
      <c r="D7586" t="str">
        <f>"WILLIAMS                 MICHAEL      D           "</f>
        <v xml:space="preserve">WILLIAMS                 MICHAEL      D           </v>
      </c>
      <c r="E7586" t="str">
        <f>"SOUTHAVEN                 "</f>
        <v xml:space="preserve">SOUTHAVEN                 </v>
      </c>
      <c r="F7586" t="str">
        <f t="shared" si="239"/>
        <v>MS</v>
      </c>
    </row>
    <row r="7587" spans="1:6" x14ac:dyDescent="0.25">
      <c r="A7587" t="str">
        <f>"000720740"</f>
        <v>000720740</v>
      </c>
      <c r="B7587" t="str">
        <f>"1396144135"</f>
        <v>1396144135</v>
      </c>
      <c r="C7587" t="str">
        <f>"363L00000X"</f>
        <v>363L00000X</v>
      </c>
      <c r="D7587" t="str">
        <f>"WALTERS                  LYDIA        M           "</f>
        <v xml:space="preserve">WALTERS                  LYDIA        M           </v>
      </c>
      <c r="E7587" t="str">
        <f>"PEARL                     "</f>
        <v xml:space="preserve">PEARL                     </v>
      </c>
      <c r="F7587" t="str">
        <f t="shared" si="239"/>
        <v>MS</v>
      </c>
    </row>
    <row r="7588" spans="1:6" x14ac:dyDescent="0.25">
      <c r="A7588" t="str">
        <f>"000721071"</f>
        <v>000721071</v>
      </c>
      <c r="B7588" t="str">
        <f>"1720342108"</f>
        <v>1720342108</v>
      </c>
      <c r="C7588" t="str">
        <f>"207W00000X"</f>
        <v>207W00000X</v>
      </c>
      <c r="D7588" t="str">
        <f>"WALKER                   LEE          H           "</f>
        <v xml:space="preserve">WALKER                   LEE          H           </v>
      </c>
      <c r="E7588" t="str">
        <f>"TUPELO                    "</f>
        <v xml:space="preserve">TUPELO                    </v>
      </c>
      <c r="F7588" t="str">
        <f t="shared" si="239"/>
        <v>MS</v>
      </c>
    </row>
    <row r="7589" spans="1:6" x14ac:dyDescent="0.25">
      <c r="A7589" t="str">
        <f>"000721122"</f>
        <v>000721122</v>
      </c>
      <c r="B7589" t="str">
        <f>"1225371164"</f>
        <v>1225371164</v>
      </c>
      <c r="C7589" t="str">
        <f>"207P00000X"</f>
        <v>207P00000X</v>
      </c>
      <c r="D7589" t="str">
        <f>"TAPRYAL                  SAMEER                   "</f>
        <v xml:space="preserve">TAPRYAL                  SAMEER                   </v>
      </c>
      <c r="E7589" t="str">
        <f>"GRENADA                   "</f>
        <v xml:space="preserve">GRENADA                   </v>
      </c>
      <c r="F7589" t="str">
        <f t="shared" si="239"/>
        <v>MS</v>
      </c>
    </row>
    <row r="7590" spans="1:6" x14ac:dyDescent="0.25">
      <c r="A7590" t="str">
        <f>"000721777"</f>
        <v>000721777</v>
      </c>
      <c r="B7590" t="str">
        <f>"1295342251"</f>
        <v>1295342251</v>
      </c>
      <c r="C7590" t="str">
        <f>"363L00000X"</f>
        <v>363L00000X</v>
      </c>
      <c r="D7590" t="str">
        <f>"WYATT                    JONNECIA                 "</f>
        <v xml:space="preserve">WYATT                    JONNECIA                 </v>
      </c>
      <c r="E7590" t="str">
        <f>"VICKSBURG                 "</f>
        <v xml:space="preserve">VICKSBURG                 </v>
      </c>
      <c r="F7590" t="str">
        <f t="shared" si="239"/>
        <v>MS</v>
      </c>
    </row>
    <row r="7591" spans="1:6" x14ac:dyDescent="0.25">
      <c r="A7591" t="str">
        <f>"000722066"</f>
        <v>000722066</v>
      </c>
      <c r="B7591" t="str">
        <f>"1043410202"</f>
        <v>1043410202</v>
      </c>
      <c r="C7591" t="str">
        <f>"152W00000X"</f>
        <v>152W00000X</v>
      </c>
      <c r="D7591" t="str">
        <f>"HARRELL FAMILY EYE CLINIC INC                     "</f>
        <v xml:space="preserve">HARRELL FAMILY EYE CLINIC INC                     </v>
      </c>
      <c r="E7591" t="str">
        <f>"MCCOMB                    "</f>
        <v xml:space="preserve">MCCOMB                    </v>
      </c>
      <c r="F7591" t="str">
        <f t="shared" si="239"/>
        <v>MS</v>
      </c>
    </row>
    <row r="7592" spans="1:6" x14ac:dyDescent="0.25">
      <c r="A7592" t="str">
        <f>"000722591"</f>
        <v>000722591</v>
      </c>
      <c r="B7592" t="str">
        <f>"1407354277"</f>
        <v>1407354277</v>
      </c>
      <c r="C7592" t="str">
        <f>"363A00000X"</f>
        <v>363A00000X</v>
      </c>
      <c r="D7592" t="str">
        <f>"PRICE                    HANNAH       L           "</f>
        <v xml:space="preserve">PRICE                    HANNAH       L           </v>
      </c>
      <c r="E7592" t="str">
        <f>"PETAL                     "</f>
        <v xml:space="preserve">PETAL                     </v>
      </c>
      <c r="F7592" t="str">
        <f t="shared" si="239"/>
        <v>MS</v>
      </c>
    </row>
    <row r="7593" spans="1:6" x14ac:dyDescent="0.25">
      <c r="A7593" t="str">
        <f>"000723799"</f>
        <v>000723799</v>
      </c>
      <c r="B7593" t="str">
        <f>"1932588407"</f>
        <v>1932588407</v>
      </c>
      <c r="C7593" t="str">
        <f>"207R00000X"</f>
        <v>207R00000X</v>
      </c>
      <c r="D7593" t="str">
        <f>"WILLIAMS                 BRENDAN      M           "</f>
        <v xml:space="preserve">WILLIAMS                 BRENDAN      M           </v>
      </c>
      <c r="E7593" t="str">
        <f>"SOUTHAVEN                 "</f>
        <v xml:space="preserve">SOUTHAVEN                 </v>
      </c>
      <c r="F7593" t="str">
        <f t="shared" si="239"/>
        <v>MS</v>
      </c>
    </row>
    <row r="7594" spans="1:6" x14ac:dyDescent="0.25">
      <c r="A7594" t="str">
        <f>"000723828"</f>
        <v>000723828</v>
      </c>
      <c r="B7594" t="str">
        <f>"1891134011"</f>
        <v>1891134011</v>
      </c>
      <c r="C7594" t="str">
        <f>"207RI0200X"</f>
        <v>207RI0200X</v>
      </c>
      <c r="D7594" t="str">
        <f>"BUENO RIOS               MARIA        X           "</f>
        <v xml:space="preserve">BUENO RIOS               MARIA        X           </v>
      </c>
      <c r="E7594" t="str">
        <f>"JACKSON                   "</f>
        <v xml:space="preserve">JACKSON                   </v>
      </c>
      <c r="F7594" t="str">
        <f t="shared" si="239"/>
        <v>MS</v>
      </c>
    </row>
    <row r="7595" spans="1:6" x14ac:dyDescent="0.25">
      <c r="A7595" t="str">
        <f>"000723886"</f>
        <v>000723886</v>
      </c>
      <c r="B7595" t="str">
        <f>"1407205156"</f>
        <v>1407205156</v>
      </c>
      <c r="C7595" t="str">
        <f>"207Q00000X"</f>
        <v>207Q00000X</v>
      </c>
      <c r="D7595" t="str">
        <f>"SCOTT                    CLIFTON      S           "</f>
        <v xml:space="preserve">SCOTT                    CLIFTON      S           </v>
      </c>
      <c r="E7595" t="str">
        <f>"COLUMBUS                  "</f>
        <v xml:space="preserve">COLUMBUS                  </v>
      </c>
      <c r="F7595" t="str">
        <f t="shared" si="239"/>
        <v>MS</v>
      </c>
    </row>
    <row r="7596" spans="1:6" x14ac:dyDescent="0.25">
      <c r="A7596" t="str">
        <f>"000724099"</f>
        <v>000724099</v>
      </c>
      <c r="B7596" t="str">
        <f>"1932676913"</f>
        <v>1932676913</v>
      </c>
      <c r="C7596" t="str">
        <f>"363L00000X"</f>
        <v>363L00000X</v>
      </c>
      <c r="D7596" t="str">
        <f>"LONG                     ERIC         T           "</f>
        <v xml:space="preserve">LONG                     ERIC         T           </v>
      </c>
      <c r="E7596" t="str">
        <f>"FLOWOOD                   "</f>
        <v xml:space="preserve">FLOWOOD                   </v>
      </c>
      <c r="F7596" t="str">
        <f t="shared" si="239"/>
        <v>MS</v>
      </c>
    </row>
    <row r="7597" spans="1:6" x14ac:dyDescent="0.25">
      <c r="A7597" t="str">
        <f>"000724277"</f>
        <v>000724277</v>
      </c>
      <c r="B7597" t="str">
        <f>"1548270721"</f>
        <v>1548270721</v>
      </c>
      <c r="C7597" t="str">
        <f>"207P00000X"</f>
        <v>207P00000X</v>
      </c>
      <c r="D7597" t="str">
        <f>"MARSH                    ANDREW       R           "</f>
        <v xml:space="preserve">MARSH                    ANDREW       R           </v>
      </c>
      <c r="E7597" t="str">
        <f>"GULFPORT                  "</f>
        <v xml:space="preserve">GULFPORT                  </v>
      </c>
      <c r="F7597" t="str">
        <f t="shared" si="239"/>
        <v>MS</v>
      </c>
    </row>
    <row r="7598" spans="1:6" x14ac:dyDescent="0.25">
      <c r="A7598" t="str">
        <f>"000725516"</f>
        <v>000725516</v>
      </c>
      <c r="B7598" t="str">
        <f>"1942564315"</f>
        <v>1942564315</v>
      </c>
      <c r="C7598" t="str">
        <f>"208600000X"</f>
        <v>208600000X</v>
      </c>
      <c r="D7598" t="str">
        <f>"RICHARDSON               SPENCER                  "</f>
        <v xml:space="preserve">RICHARDSON               SPENCER                  </v>
      </c>
      <c r="E7598" t="str">
        <f>"LUCEDALE                  "</f>
        <v xml:space="preserve">LUCEDALE                  </v>
      </c>
      <c r="F7598" t="str">
        <f t="shared" si="239"/>
        <v>MS</v>
      </c>
    </row>
    <row r="7599" spans="1:6" x14ac:dyDescent="0.25">
      <c r="A7599" t="str">
        <f>"000725554"</f>
        <v>000725554</v>
      </c>
      <c r="B7599" t="str">
        <f>"1598285538"</f>
        <v>1598285538</v>
      </c>
      <c r="C7599" t="str">
        <f>"122300000X"</f>
        <v>122300000X</v>
      </c>
      <c r="D7599" t="str">
        <f>"VAN GORDON               OLIVIA       K           "</f>
        <v xml:space="preserve">VAN GORDON               OLIVIA       K           </v>
      </c>
      <c r="E7599" t="str">
        <f>"GRENADA                   "</f>
        <v xml:space="preserve">GRENADA                   </v>
      </c>
      <c r="F7599" t="str">
        <f t="shared" si="239"/>
        <v>MS</v>
      </c>
    </row>
    <row r="7600" spans="1:6" x14ac:dyDescent="0.25">
      <c r="A7600" t="str">
        <f>"000725822"</f>
        <v>000725822</v>
      </c>
      <c r="B7600" t="str">
        <f>"1942267281"</f>
        <v>1942267281</v>
      </c>
      <c r="C7600" t="str">
        <f>"207Q00000X"</f>
        <v>207Q00000X</v>
      </c>
      <c r="D7600" t="str">
        <f>"BRUCE                    KAREN        H           "</f>
        <v xml:space="preserve">BRUCE                    KAREN        H           </v>
      </c>
      <c r="E7600" t="str">
        <f>"COLLINS                   "</f>
        <v xml:space="preserve">COLLINS                   </v>
      </c>
      <c r="F7600" t="str">
        <f t="shared" si="239"/>
        <v>MS</v>
      </c>
    </row>
    <row r="7601" spans="1:6" x14ac:dyDescent="0.25">
      <c r="A7601" t="str">
        <f>"000726737"</f>
        <v>000726737</v>
      </c>
      <c r="B7601" t="str">
        <f>"1629614003"</f>
        <v>1629614003</v>
      </c>
      <c r="C7601" t="str">
        <f>"363L00000X"</f>
        <v>363L00000X</v>
      </c>
      <c r="D7601" t="str">
        <f>"MITCHELL                 KANIESHIA    M           "</f>
        <v xml:space="preserve">MITCHELL                 KANIESHIA    M           </v>
      </c>
      <c r="E7601" t="str">
        <f>"GULFPORT                  "</f>
        <v xml:space="preserve">GULFPORT                  </v>
      </c>
      <c r="F7601" t="str">
        <f t="shared" si="239"/>
        <v>MS</v>
      </c>
    </row>
    <row r="7602" spans="1:6" x14ac:dyDescent="0.25">
      <c r="A7602" t="str">
        <f>"000726825"</f>
        <v>000726825</v>
      </c>
      <c r="B7602" t="str">
        <f>"1144786229"</f>
        <v>1144786229</v>
      </c>
      <c r="C7602" t="str">
        <f>"363L00000X"</f>
        <v>363L00000X</v>
      </c>
      <c r="D7602" t="str">
        <f>"LADNER                   CALLISSA                 "</f>
        <v xml:space="preserve">LADNER                   CALLISSA                 </v>
      </c>
      <c r="E7602" t="str">
        <f>"LAUREL                    "</f>
        <v xml:space="preserve">LAUREL                    </v>
      </c>
      <c r="F7602" t="str">
        <f t="shared" si="239"/>
        <v>MS</v>
      </c>
    </row>
    <row r="7603" spans="1:6" x14ac:dyDescent="0.25">
      <c r="A7603" t="str">
        <f>"000727028"</f>
        <v>000727028</v>
      </c>
      <c r="B7603" t="str">
        <f>"1902989700"</f>
        <v>1902989700</v>
      </c>
      <c r="C7603" t="str">
        <f>"367500000X"</f>
        <v>367500000X</v>
      </c>
      <c r="D7603" t="str">
        <f>"FORTENBERRY              CHRISTINA    R           "</f>
        <v xml:space="preserve">FORTENBERRY              CHRISTINA    R           </v>
      </c>
      <c r="E7603" t="str">
        <f>"MCCOMB                    "</f>
        <v xml:space="preserve">MCCOMB                    </v>
      </c>
      <c r="F7603" t="str">
        <f t="shared" si="239"/>
        <v>MS</v>
      </c>
    </row>
    <row r="7604" spans="1:6" x14ac:dyDescent="0.25">
      <c r="A7604" t="str">
        <f>"000727505"</f>
        <v>000727505</v>
      </c>
      <c r="B7604" t="str">
        <f>"1427206556"</f>
        <v>1427206556</v>
      </c>
      <c r="C7604" t="str">
        <f>"363L00000X"</f>
        <v>363L00000X</v>
      </c>
      <c r="D7604" t="str">
        <f>"RICHEY                   JANET        A           "</f>
        <v xml:space="preserve">RICHEY                   JANET        A           </v>
      </c>
      <c r="E7604" t="str">
        <f>"TUPELO                    "</f>
        <v xml:space="preserve">TUPELO                    </v>
      </c>
      <c r="F7604" t="str">
        <f t="shared" si="239"/>
        <v>MS</v>
      </c>
    </row>
    <row r="7605" spans="1:6" x14ac:dyDescent="0.25">
      <c r="A7605" t="str">
        <f>"000729049"</f>
        <v>000729049</v>
      </c>
      <c r="B7605" t="str">
        <f>"1295344224"</f>
        <v>1295344224</v>
      </c>
      <c r="C7605" t="str">
        <f>"363L00000X"</f>
        <v>363L00000X</v>
      </c>
      <c r="D7605" t="str">
        <f>"DEAN                     KENEISHA                 "</f>
        <v xml:space="preserve">DEAN                     KENEISHA                 </v>
      </c>
      <c r="E7605" t="str">
        <f>"VICKSBURG                 "</f>
        <v xml:space="preserve">VICKSBURG                 </v>
      </c>
      <c r="F7605" t="str">
        <f t="shared" si="239"/>
        <v>MS</v>
      </c>
    </row>
    <row r="7606" spans="1:6" x14ac:dyDescent="0.25">
      <c r="A7606" t="str">
        <f>"000731085"</f>
        <v>000731085</v>
      </c>
      <c r="B7606" t="str">
        <f>"1093095523"</f>
        <v>1093095523</v>
      </c>
      <c r="C7606" t="str">
        <f>"207Q00000X"</f>
        <v>207Q00000X</v>
      </c>
      <c r="D7606" t="str">
        <f>"LAUDERDALE               JESSICA                  "</f>
        <v xml:space="preserve">LAUDERDALE               JESSICA                  </v>
      </c>
      <c r="E7606" t="str">
        <f>"PONTOTOC                  "</f>
        <v xml:space="preserve">PONTOTOC                  </v>
      </c>
      <c r="F7606" t="str">
        <f t="shared" si="239"/>
        <v>MS</v>
      </c>
    </row>
    <row r="7607" spans="1:6" x14ac:dyDescent="0.25">
      <c r="A7607" t="str">
        <f>"000733373"</f>
        <v>000733373</v>
      </c>
      <c r="B7607" t="str">
        <f>"1275912065"</f>
        <v>1275912065</v>
      </c>
      <c r="C7607" t="str">
        <f>"207R00000X"</f>
        <v>207R00000X</v>
      </c>
      <c r="D7607" t="str">
        <f>"KENNARD                  JENNIFER     L           "</f>
        <v xml:space="preserve">KENNARD                  JENNIFER     L           </v>
      </c>
      <c r="E7607" t="str">
        <f>"TUPELO                    "</f>
        <v xml:space="preserve">TUPELO                    </v>
      </c>
      <c r="F7607" t="str">
        <f t="shared" si="239"/>
        <v>MS</v>
      </c>
    </row>
    <row r="7608" spans="1:6" x14ac:dyDescent="0.25">
      <c r="A7608" t="str">
        <f>"000734221"</f>
        <v>000734221</v>
      </c>
      <c r="B7608" t="str">
        <f>"1700175353"</f>
        <v>1700175353</v>
      </c>
      <c r="C7608" t="str">
        <f>"207P00000X"</f>
        <v>207P00000X</v>
      </c>
      <c r="D7608" t="str">
        <f>"CRANE                    DANIEL       K           "</f>
        <v xml:space="preserve">CRANE                    DANIEL       K           </v>
      </c>
      <c r="E7608" t="str">
        <f>"HATTIESBURG               "</f>
        <v xml:space="preserve">HATTIESBURG               </v>
      </c>
      <c r="F7608" t="str">
        <f t="shared" si="239"/>
        <v>MS</v>
      </c>
    </row>
    <row r="7609" spans="1:6" x14ac:dyDescent="0.25">
      <c r="A7609" t="str">
        <f>"000734275"</f>
        <v>000734275</v>
      </c>
      <c r="B7609" t="str">
        <f>"1508847690"</f>
        <v>1508847690</v>
      </c>
      <c r="C7609" t="str">
        <f>"261QA1903X"</f>
        <v>261QA1903X</v>
      </c>
      <c r="D7609" t="str">
        <f>"PLASTIC SURGICAL CENTER OF MISSISSI               "</f>
        <v xml:space="preserve">PLASTIC SURGICAL CENTER OF MISSISSI               </v>
      </c>
      <c r="E7609" t="str">
        <f>"FLOWOOD                   "</f>
        <v xml:space="preserve">FLOWOOD                   </v>
      </c>
      <c r="F7609" t="str">
        <f t="shared" si="239"/>
        <v>MS</v>
      </c>
    </row>
    <row r="7610" spans="1:6" x14ac:dyDescent="0.25">
      <c r="A7610" t="str">
        <f>"000736037"</f>
        <v>000736037</v>
      </c>
      <c r="B7610" t="str">
        <f>"1952569261"</f>
        <v>1952569261</v>
      </c>
      <c r="C7610" t="str">
        <f>"363A00000X"</f>
        <v>363A00000X</v>
      </c>
      <c r="D7610" t="str">
        <f>"GOODIN                   AMY          M           "</f>
        <v xml:space="preserve">GOODIN                   AMY          M           </v>
      </c>
      <c r="E7610" t="str">
        <f>"MERIDIAN                  "</f>
        <v xml:space="preserve">MERIDIAN                  </v>
      </c>
      <c r="F7610" t="str">
        <f t="shared" si="239"/>
        <v>MS</v>
      </c>
    </row>
    <row r="7611" spans="1:6" x14ac:dyDescent="0.25">
      <c r="A7611" t="str">
        <f>"000736367"</f>
        <v>000736367</v>
      </c>
      <c r="B7611" t="str">
        <f>"1164892634"</f>
        <v>1164892634</v>
      </c>
      <c r="C7611" t="str">
        <f>"261QF0400X"</f>
        <v>261QF0400X</v>
      </c>
      <c r="D7611" t="str">
        <f>"JCHC GILMER MCLAURIN SCHOOL BASED C               "</f>
        <v xml:space="preserve">JCHC GILMER MCLAURIN SCHOOL BASED C               </v>
      </c>
      <c r="E7611" t="str">
        <f>"NATCHEZ                   "</f>
        <v xml:space="preserve">NATCHEZ                   </v>
      </c>
      <c r="F7611" t="str">
        <f t="shared" si="239"/>
        <v>MS</v>
      </c>
    </row>
    <row r="7612" spans="1:6" x14ac:dyDescent="0.25">
      <c r="A7612" t="str">
        <f>"000737235"</f>
        <v>000737235</v>
      </c>
      <c r="B7612" t="str">
        <f>"1568089977"</f>
        <v>1568089977</v>
      </c>
      <c r="C7612" t="str">
        <f>"363L00000X"</f>
        <v>363L00000X</v>
      </c>
      <c r="D7612" t="str">
        <f>"HINTON                   KAITLIN                  "</f>
        <v xml:space="preserve">HINTON                   KAITLIN                  </v>
      </c>
      <c r="E7612" t="str">
        <f>"LAUREL                    "</f>
        <v xml:space="preserve">LAUREL                    </v>
      </c>
      <c r="F7612" t="str">
        <f t="shared" si="239"/>
        <v>MS</v>
      </c>
    </row>
    <row r="7613" spans="1:6" x14ac:dyDescent="0.25">
      <c r="A7613" t="str">
        <f>"000737294"</f>
        <v>000737294</v>
      </c>
      <c r="B7613" t="str">
        <f>"1346407814"</f>
        <v>1346407814</v>
      </c>
      <c r="C7613" t="str">
        <f>"207Q00000X"</f>
        <v>207Q00000X</v>
      </c>
      <c r="D7613" t="str">
        <f>"SOLTERO-DIAZ             AUGUSTO      E           "</f>
        <v xml:space="preserve">SOLTERO-DIAZ             AUGUSTO      E           </v>
      </c>
      <c r="E7613" t="str">
        <f>"TUPELO                    "</f>
        <v xml:space="preserve">TUPELO                    </v>
      </c>
      <c r="F7613" t="str">
        <f t="shared" si="239"/>
        <v>MS</v>
      </c>
    </row>
    <row r="7614" spans="1:6" x14ac:dyDescent="0.25">
      <c r="A7614" t="str">
        <f>"000737808"</f>
        <v>000737808</v>
      </c>
      <c r="B7614" t="str">
        <f>"1114508488"</f>
        <v>1114508488</v>
      </c>
      <c r="C7614" t="str">
        <f>"363L00000X"</f>
        <v>363L00000X</v>
      </c>
      <c r="D7614" t="str">
        <f>"MOORE                    TERRICA      T           "</f>
        <v xml:space="preserve">MOORE                    TERRICA      T           </v>
      </c>
      <c r="E7614" t="str">
        <f>"SENATOBIA                 "</f>
        <v xml:space="preserve">SENATOBIA                 </v>
      </c>
      <c r="F7614" t="str">
        <f t="shared" ref="F7614:F7677" si="240">"MS"</f>
        <v>MS</v>
      </c>
    </row>
    <row r="7615" spans="1:6" x14ac:dyDescent="0.25">
      <c r="A7615" t="str">
        <f>"000737837"</f>
        <v>000737837</v>
      </c>
      <c r="B7615" t="str">
        <f>"1043268709"</f>
        <v>1043268709</v>
      </c>
      <c r="C7615" t="str">
        <f>"207R00000X"</f>
        <v>207R00000X</v>
      </c>
      <c r="D7615" t="str">
        <f>"BULLOCK JR               JOHNNY       R           "</f>
        <v xml:space="preserve">BULLOCK JR               JOHNNY       R           </v>
      </c>
      <c r="E7615" t="str">
        <f>"TYLERTOWN                 "</f>
        <v xml:space="preserve">TYLERTOWN                 </v>
      </c>
      <c r="F7615" t="str">
        <f t="shared" si="240"/>
        <v>MS</v>
      </c>
    </row>
    <row r="7616" spans="1:6" x14ac:dyDescent="0.25">
      <c r="A7616" t="str">
        <f>"000737860"</f>
        <v>000737860</v>
      </c>
      <c r="B7616" t="str">
        <f>"1578898276"</f>
        <v>1578898276</v>
      </c>
      <c r="C7616" t="str">
        <f>"261QA1903X"</f>
        <v>261QA1903X</v>
      </c>
      <c r="D7616" t="str">
        <f>"SOUTHERN UROLOGY SURGERY CENTER, LL               "</f>
        <v xml:space="preserve">SOUTHERN UROLOGY SURGERY CENTER, LL               </v>
      </c>
      <c r="E7616" t="str">
        <f>"HATTIESBURG               "</f>
        <v xml:space="preserve">HATTIESBURG               </v>
      </c>
      <c r="F7616" t="str">
        <f t="shared" si="240"/>
        <v>MS</v>
      </c>
    </row>
    <row r="7617" spans="1:6" x14ac:dyDescent="0.25">
      <c r="A7617" t="str">
        <f>"000753269"</f>
        <v>000753269</v>
      </c>
      <c r="B7617" t="str">
        <f>"1578720231"</f>
        <v>1578720231</v>
      </c>
      <c r="C7617" t="str">
        <f>"363L00000X"</f>
        <v>363L00000X</v>
      </c>
      <c r="D7617" t="str">
        <f>"STERLING                 ANGELA                   "</f>
        <v xml:space="preserve">STERLING                 ANGELA                   </v>
      </c>
      <c r="E7617" t="str">
        <f>"JACKSON                   "</f>
        <v xml:space="preserve">JACKSON                   </v>
      </c>
      <c r="F7617" t="str">
        <f t="shared" si="240"/>
        <v>MS</v>
      </c>
    </row>
    <row r="7618" spans="1:6" x14ac:dyDescent="0.25">
      <c r="A7618" t="str">
        <f>"000753273"</f>
        <v>000753273</v>
      </c>
      <c r="B7618" t="str">
        <f>"1124228754"</f>
        <v>1124228754</v>
      </c>
      <c r="C7618" t="str">
        <f>"207X00000X"</f>
        <v>207X00000X</v>
      </c>
      <c r="D7618" t="str">
        <f>"KELLUM                   ROY          B           "</f>
        <v xml:space="preserve">KELLUM                   ROY          B           </v>
      </c>
      <c r="E7618" t="str">
        <f>"FLOWOOD                   "</f>
        <v xml:space="preserve">FLOWOOD                   </v>
      </c>
      <c r="F7618" t="str">
        <f t="shared" si="240"/>
        <v>MS</v>
      </c>
    </row>
    <row r="7619" spans="1:6" x14ac:dyDescent="0.25">
      <c r="A7619" t="str">
        <f>"000753295"</f>
        <v>000753295</v>
      </c>
      <c r="B7619" t="str">
        <f>"1710135629"</f>
        <v>1710135629</v>
      </c>
      <c r="C7619" t="str">
        <f>"363L00000X"</f>
        <v>363L00000X</v>
      </c>
      <c r="D7619" t="str">
        <f>"MOFFETT                  JEFFREY      R           "</f>
        <v xml:space="preserve">MOFFETT                  JEFFREY      R           </v>
      </c>
      <c r="E7619" t="str">
        <f>"LAUREL                    "</f>
        <v xml:space="preserve">LAUREL                    </v>
      </c>
      <c r="F7619" t="str">
        <f t="shared" si="240"/>
        <v>MS</v>
      </c>
    </row>
    <row r="7620" spans="1:6" x14ac:dyDescent="0.25">
      <c r="A7620" t="str">
        <f>"000754004"</f>
        <v>000754004</v>
      </c>
      <c r="B7620" t="str">
        <f>"1013001544"</f>
        <v>1013001544</v>
      </c>
      <c r="C7620" t="str">
        <f>"363L00000X"</f>
        <v>363L00000X</v>
      </c>
      <c r="D7620" t="str">
        <f>"MARTIN                   BRADFORD     S           "</f>
        <v xml:space="preserve">MARTIN                   BRADFORD     S           </v>
      </c>
      <c r="E7620" t="str">
        <f>"JACKSON                   "</f>
        <v xml:space="preserve">JACKSON                   </v>
      </c>
      <c r="F7620" t="str">
        <f t="shared" si="240"/>
        <v>MS</v>
      </c>
    </row>
    <row r="7621" spans="1:6" x14ac:dyDescent="0.25">
      <c r="A7621" t="str">
        <f>"000755381"</f>
        <v>000755381</v>
      </c>
      <c r="B7621" t="str">
        <f>"1891279030"</f>
        <v>1891279030</v>
      </c>
      <c r="C7621" t="str">
        <f>"363L00000X"</f>
        <v>363L00000X</v>
      </c>
      <c r="D7621" t="str">
        <f>"MURPHY                   HALEY        J           "</f>
        <v xml:space="preserve">MURPHY                   HALEY        J           </v>
      </c>
      <c r="E7621" t="str">
        <f>"EUPORA                    "</f>
        <v xml:space="preserve">EUPORA                    </v>
      </c>
      <c r="F7621" t="str">
        <f t="shared" si="240"/>
        <v>MS</v>
      </c>
    </row>
    <row r="7622" spans="1:6" x14ac:dyDescent="0.25">
      <c r="A7622" t="str">
        <f>"000755585"</f>
        <v>000755585</v>
      </c>
      <c r="B7622" t="str">
        <f>"1033385232"</f>
        <v>1033385232</v>
      </c>
      <c r="C7622" t="str">
        <f>"2085R0202X"</f>
        <v>2085R0202X</v>
      </c>
      <c r="D7622" t="str">
        <f>"WINFORD                  JUNE         K           "</f>
        <v xml:space="preserve">WINFORD                  JUNE         K           </v>
      </c>
      <c r="E7622" t="str">
        <f>"JACKSON                   "</f>
        <v xml:space="preserve">JACKSON                   </v>
      </c>
      <c r="F7622" t="str">
        <f t="shared" si="240"/>
        <v>MS</v>
      </c>
    </row>
    <row r="7623" spans="1:6" x14ac:dyDescent="0.25">
      <c r="A7623" t="str">
        <f>"000770129"</f>
        <v>000770129</v>
      </c>
      <c r="B7623" t="str">
        <f>"1295824100"</f>
        <v>1295824100</v>
      </c>
      <c r="C7623" t="str">
        <f>"261QA1903X"</f>
        <v>261QA1903X</v>
      </c>
      <c r="D7623" t="str">
        <f>"THE BETTER LIVING CLINIC ENDOSCOPY                "</f>
        <v xml:space="preserve">THE BETTER LIVING CLINIC ENDOSCOPY                </v>
      </c>
      <c r="E7623" t="str">
        <f>"VICKSBURG                 "</f>
        <v xml:space="preserve">VICKSBURG                 </v>
      </c>
      <c r="F7623" t="str">
        <f t="shared" si="240"/>
        <v>MS</v>
      </c>
    </row>
    <row r="7624" spans="1:6" x14ac:dyDescent="0.25">
      <c r="A7624" t="str">
        <f>"000770294"</f>
        <v>000770294</v>
      </c>
      <c r="B7624" t="str">
        <f>"1922011501"</f>
        <v>1922011501</v>
      </c>
      <c r="C7624" t="str">
        <f>"261QA1903X"</f>
        <v>261QA1903X</v>
      </c>
      <c r="D7624" t="str">
        <f>"LOWERY A. WOODALL OUTPATIENT SURGER               "</f>
        <v xml:space="preserve">LOWERY A. WOODALL OUTPATIENT SURGER               </v>
      </c>
      <c r="E7624" t="str">
        <f>"HATTIESBURG               "</f>
        <v xml:space="preserve">HATTIESBURG               </v>
      </c>
      <c r="F7624" t="str">
        <f t="shared" si="240"/>
        <v>MS</v>
      </c>
    </row>
    <row r="7625" spans="1:6" x14ac:dyDescent="0.25">
      <c r="A7625" t="str">
        <f>"000770296"</f>
        <v>000770296</v>
      </c>
      <c r="B7625" t="str">
        <f>"1578758421"</f>
        <v>1578758421</v>
      </c>
      <c r="C7625" t="str">
        <f>"261QA0600X"</f>
        <v>261QA0600X</v>
      </c>
      <c r="D7625" t="str">
        <f>"NATCHEZ SENIOR CITIZENS                           "</f>
        <v xml:space="preserve">NATCHEZ SENIOR CITIZENS                           </v>
      </c>
      <c r="E7625" t="str">
        <f>"NATCHEZ                   "</f>
        <v xml:space="preserve">NATCHEZ                   </v>
      </c>
      <c r="F7625" t="str">
        <f t="shared" si="240"/>
        <v>MS</v>
      </c>
    </row>
    <row r="7626" spans="1:6" x14ac:dyDescent="0.25">
      <c r="A7626" t="str">
        <f>"000770322"</f>
        <v>000770322</v>
      </c>
      <c r="B7626" t="str">
        <f>"1144355876"</f>
        <v>1144355876</v>
      </c>
      <c r="C7626" t="str">
        <f>"261QA0600X"</f>
        <v>261QA0600X</v>
      </c>
      <c r="D7626" t="str">
        <f>"SLA JONES ACTIVITY CENTER                         "</f>
        <v xml:space="preserve">SLA JONES ACTIVITY CENTER                         </v>
      </c>
      <c r="E7626" t="str">
        <f>"CLARKSDALE                "</f>
        <v xml:space="preserve">CLARKSDALE                </v>
      </c>
      <c r="F7626" t="str">
        <f t="shared" si="240"/>
        <v>MS</v>
      </c>
    </row>
    <row r="7627" spans="1:6" x14ac:dyDescent="0.25">
      <c r="A7627" t="str">
        <f>"000770342"</f>
        <v>000770342</v>
      </c>
      <c r="B7627" t="str">
        <f>"1699930610"</f>
        <v>1699930610</v>
      </c>
      <c r="C7627" t="str">
        <f>"261QA0600X"</f>
        <v>261QA0600X</v>
      </c>
      <c r="D7627" t="str">
        <f>"WWISCAA                                           "</f>
        <v xml:space="preserve">WWISCAA                                           </v>
      </c>
      <c r="E7627" t="str">
        <f>"GREENVILLE                "</f>
        <v xml:space="preserve">GREENVILLE                </v>
      </c>
      <c r="F7627" t="str">
        <f t="shared" si="240"/>
        <v>MS</v>
      </c>
    </row>
    <row r="7628" spans="1:6" x14ac:dyDescent="0.25">
      <c r="A7628" t="str">
        <f>"000770354"</f>
        <v>000770354</v>
      </c>
      <c r="B7628" t="str">
        <f>"1275595746"</f>
        <v>1275595746</v>
      </c>
      <c r="C7628" t="str">
        <f t="shared" ref="C7628:C7639" si="241">"261QA1903X"</f>
        <v>261QA1903X</v>
      </c>
      <c r="D7628" t="str">
        <f>"REGIONAL SURGICAL CENTRE, INC.                    "</f>
        <v xml:space="preserve">REGIONAL SURGICAL CENTRE, INC.                    </v>
      </c>
      <c r="E7628" t="str">
        <f>"GREENVILLE                "</f>
        <v xml:space="preserve">GREENVILLE                </v>
      </c>
      <c r="F7628" t="str">
        <f t="shared" si="240"/>
        <v>MS</v>
      </c>
    </row>
    <row r="7629" spans="1:6" x14ac:dyDescent="0.25">
      <c r="A7629" t="str">
        <f>"000770356"</f>
        <v>000770356</v>
      </c>
      <c r="B7629" t="str">
        <f>"1619923661"</f>
        <v>1619923661</v>
      </c>
      <c r="C7629" t="str">
        <f t="shared" si="241"/>
        <v>261QA1903X</v>
      </c>
      <c r="D7629" t="str">
        <f>"DELTA ENDOSCOPY CENTER PC                         "</f>
        <v xml:space="preserve">DELTA ENDOSCOPY CENTER PC                         </v>
      </c>
      <c r="E7629" t="str">
        <f>"SOUTHAVEN                 "</f>
        <v xml:space="preserve">SOUTHAVEN                 </v>
      </c>
      <c r="F7629" t="str">
        <f t="shared" si="240"/>
        <v>MS</v>
      </c>
    </row>
    <row r="7630" spans="1:6" x14ac:dyDescent="0.25">
      <c r="A7630" t="str">
        <f>"000770361"</f>
        <v>000770361</v>
      </c>
      <c r="B7630" t="str">
        <f>"1033190129"</f>
        <v>1033190129</v>
      </c>
      <c r="C7630" t="str">
        <f t="shared" si="241"/>
        <v>261QA1903X</v>
      </c>
      <c r="D7630" t="str">
        <f>"MAE PHYSICIANS SURGERY CENTER                     "</f>
        <v xml:space="preserve">MAE PHYSICIANS SURGERY CENTER                     </v>
      </c>
      <c r="E7630" t="str">
        <f>"JACKSON                   "</f>
        <v xml:space="preserve">JACKSON                   </v>
      </c>
      <c r="F7630" t="str">
        <f t="shared" si="240"/>
        <v>MS</v>
      </c>
    </row>
    <row r="7631" spans="1:6" x14ac:dyDescent="0.25">
      <c r="A7631" t="str">
        <f>"000770362"</f>
        <v>000770362</v>
      </c>
      <c r="B7631" t="str">
        <f>"1255303517"</f>
        <v>1255303517</v>
      </c>
      <c r="C7631" t="str">
        <f t="shared" si="241"/>
        <v>261QA1903X</v>
      </c>
      <c r="D7631" t="str">
        <f>"ST DOMINIC AMBULATORY SURGERY CENTE               "</f>
        <v xml:space="preserve">ST DOMINIC AMBULATORY SURGERY CENTE               </v>
      </c>
      <c r="E7631" t="str">
        <f>"JACKSON                   "</f>
        <v xml:space="preserve">JACKSON                   </v>
      </c>
      <c r="F7631" t="str">
        <f t="shared" si="240"/>
        <v>MS</v>
      </c>
    </row>
    <row r="7632" spans="1:6" x14ac:dyDescent="0.25">
      <c r="A7632" t="str">
        <f>"000770390"</f>
        <v>000770390</v>
      </c>
      <c r="B7632" t="str">
        <f>"1912906157"</f>
        <v>1912906157</v>
      </c>
      <c r="C7632" t="str">
        <f t="shared" si="241"/>
        <v>261QA1903X</v>
      </c>
      <c r="D7632" t="str">
        <f>"SOUTHERN SURGERY CENTER, LLC                      "</f>
        <v xml:space="preserve">SOUTHERN SURGERY CENTER, LLC                      </v>
      </c>
      <c r="E7632" t="str">
        <f>"HATTIESBURG               "</f>
        <v xml:space="preserve">HATTIESBURG               </v>
      </c>
      <c r="F7632" t="str">
        <f t="shared" si="240"/>
        <v>MS</v>
      </c>
    </row>
    <row r="7633" spans="1:6" x14ac:dyDescent="0.25">
      <c r="A7633" t="str">
        <f>"000770414"</f>
        <v>000770414</v>
      </c>
      <c r="B7633" t="str">
        <f>"1851312771"</f>
        <v>1851312771</v>
      </c>
      <c r="C7633" t="str">
        <f t="shared" si="241"/>
        <v>261QA1903X</v>
      </c>
      <c r="D7633" t="str">
        <f>"COLUMBUS ENDOSCOPY CENTER INC                     "</f>
        <v xml:space="preserve">COLUMBUS ENDOSCOPY CENTER INC                     </v>
      </c>
      <c r="E7633" t="str">
        <f>"COLUMBUS                  "</f>
        <v xml:space="preserve">COLUMBUS                  </v>
      </c>
      <c r="F7633" t="str">
        <f t="shared" si="240"/>
        <v>MS</v>
      </c>
    </row>
    <row r="7634" spans="1:6" x14ac:dyDescent="0.25">
      <c r="A7634" t="str">
        <f>"000770495"</f>
        <v>000770495</v>
      </c>
      <c r="B7634" t="str">
        <f>"1245352327"</f>
        <v>1245352327</v>
      </c>
      <c r="C7634" t="str">
        <f t="shared" si="241"/>
        <v>261QA1903X</v>
      </c>
      <c r="D7634" t="str">
        <f>"GI ASSOCIATES ENDOSCOPY CENTER                    "</f>
        <v xml:space="preserve">GI ASSOCIATES ENDOSCOPY CENTER                    </v>
      </c>
      <c r="E7634" t="str">
        <f>"FLOWOOD                   "</f>
        <v xml:space="preserve">FLOWOOD                   </v>
      </c>
      <c r="F7634" t="str">
        <f t="shared" si="240"/>
        <v>MS</v>
      </c>
    </row>
    <row r="7635" spans="1:6" x14ac:dyDescent="0.25">
      <c r="A7635" t="str">
        <f>"000770526"</f>
        <v>000770526</v>
      </c>
      <c r="B7635" t="str">
        <f>"1457350449"</f>
        <v>1457350449</v>
      </c>
      <c r="C7635" t="str">
        <f t="shared" si="241"/>
        <v>261QA1903X</v>
      </c>
      <c r="D7635" t="str">
        <f>"OXFORD SURGERY CENTER                             "</f>
        <v xml:space="preserve">OXFORD SURGERY CENTER                             </v>
      </c>
      <c r="E7635" t="str">
        <f>"OXFORD                    "</f>
        <v xml:space="preserve">OXFORD                    </v>
      </c>
      <c r="F7635" t="str">
        <f t="shared" si="240"/>
        <v>MS</v>
      </c>
    </row>
    <row r="7636" spans="1:6" x14ac:dyDescent="0.25">
      <c r="A7636" t="str">
        <f>"000770530"</f>
        <v>000770530</v>
      </c>
      <c r="B7636" t="str">
        <f>"1174689533"</f>
        <v>1174689533</v>
      </c>
      <c r="C7636" t="str">
        <f t="shared" si="241"/>
        <v>261QA1903X</v>
      </c>
      <c r="D7636" t="str">
        <f>"PAIN TREATMENT CENTER                             "</f>
        <v xml:space="preserve">PAIN TREATMENT CENTER                             </v>
      </c>
      <c r="E7636" t="str">
        <f>"HATTIESBURG               "</f>
        <v xml:space="preserve">HATTIESBURG               </v>
      </c>
      <c r="F7636" t="str">
        <f t="shared" si="240"/>
        <v>MS</v>
      </c>
    </row>
    <row r="7637" spans="1:6" x14ac:dyDescent="0.25">
      <c r="A7637" t="str">
        <f>"000770554"</f>
        <v>000770554</v>
      </c>
      <c r="B7637" t="str">
        <f>"1093736795"</f>
        <v>1093736795</v>
      </c>
      <c r="C7637" t="str">
        <f t="shared" si="241"/>
        <v>261QA1903X</v>
      </c>
      <c r="D7637" t="str">
        <f>"HATTIESBURG CLINIC AMBULATORY SURGE               "</f>
        <v xml:space="preserve">HATTIESBURG CLINIC AMBULATORY SURGE               </v>
      </c>
      <c r="E7637" t="str">
        <f>"HATTIESBURG               "</f>
        <v xml:space="preserve">HATTIESBURG               </v>
      </c>
      <c r="F7637" t="str">
        <f t="shared" si="240"/>
        <v>MS</v>
      </c>
    </row>
    <row r="7638" spans="1:6" x14ac:dyDescent="0.25">
      <c r="A7638" t="str">
        <f>"000770572"</f>
        <v>000770572</v>
      </c>
      <c r="B7638" t="str">
        <f>"1104829597"</f>
        <v>1104829597</v>
      </c>
      <c r="C7638" t="str">
        <f t="shared" si="241"/>
        <v>261QA1903X</v>
      </c>
      <c r="D7638" t="str">
        <f>"HOGAN SURGICAL CENTER,P.A.                        "</f>
        <v xml:space="preserve">HOGAN SURGICAL CENTER,P.A.                        </v>
      </c>
      <c r="E7638" t="str">
        <f>"GULFPORT                  "</f>
        <v xml:space="preserve">GULFPORT                  </v>
      </c>
      <c r="F7638" t="str">
        <f t="shared" si="240"/>
        <v>MS</v>
      </c>
    </row>
    <row r="7639" spans="1:6" x14ac:dyDescent="0.25">
      <c r="A7639" t="str">
        <f>"000770575"</f>
        <v>000770575</v>
      </c>
      <c r="B7639" t="str">
        <f>"1134157225"</f>
        <v>1134157225</v>
      </c>
      <c r="C7639" t="str">
        <f t="shared" si="241"/>
        <v>261QA1903X</v>
      </c>
      <c r="D7639" t="str">
        <f>"OCEAN SPRINGS SURGICAL AND ENDOSCOP               "</f>
        <v xml:space="preserve">OCEAN SPRINGS SURGICAL AND ENDOSCOP               </v>
      </c>
      <c r="E7639" t="str">
        <f>"OCEAN SPRINGS             "</f>
        <v xml:space="preserve">OCEAN SPRINGS             </v>
      </c>
      <c r="F7639" t="str">
        <f t="shared" si="240"/>
        <v>MS</v>
      </c>
    </row>
    <row r="7640" spans="1:6" x14ac:dyDescent="0.25">
      <c r="A7640" t="str">
        <f>"000770584"</f>
        <v>000770584</v>
      </c>
      <c r="B7640" t="str">
        <f>"1295955185"</f>
        <v>1295955185</v>
      </c>
      <c r="C7640" t="str">
        <f>"261QA0600X"</f>
        <v>261QA0600X</v>
      </c>
      <c r="D7640" t="str">
        <f>"R&amp;N ADULT DAY CARE &amp; YOUTH CTR                    "</f>
        <v xml:space="preserve">R&amp;N ADULT DAY CARE &amp; YOUTH CTR                    </v>
      </c>
      <c r="E7640" t="str">
        <f>"HOLLANDALE                "</f>
        <v xml:space="preserve">HOLLANDALE                </v>
      </c>
      <c r="F7640" t="str">
        <f t="shared" si="240"/>
        <v>MS</v>
      </c>
    </row>
    <row r="7641" spans="1:6" x14ac:dyDescent="0.25">
      <c r="A7641" t="str">
        <f>"000770586"</f>
        <v>000770586</v>
      </c>
      <c r="B7641" t="str">
        <f>"1396733945"</f>
        <v>1396733945</v>
      </c>
      <c r="C7641" t="str">
        <f t="shared" ref="C7641:C7646" si="242">"261QA1903X"</f>
        <v>261QA1903X</v>
      </c>
      <c r="D7641" t="str">
        <f>"EYELASER SURGERY CENTER OF COLUMBUS               "</f>
        <v xml:space="preserve">EYELASER SURGERY CENTER OF COLUMBUS               </v>
      </c>
      <c r="E7641" t="str">
        <f>"COLUMBUS                  "</f>
        <v xml:space="preserve">COLUMBUS                  </v>
      </c>
      <c r="F7641" t="str">
        <f t="shared" si="240"/>
        <v>MS</v>
      </c>
    </row>
    <row r="7642" spans="1:6" x14ac:dyDescent="0.25">
      <c r="A7642" t="str">
        <f>"000770597"</f>
        <v>000770597</v>
      </c>
      <c r="B7642" t="str">
        <f>"1639177751"</f>
        <v>1639177751</v>
      </c>
      <c r="C7642" t="str">
        <f t="shared" si="242"/>
        <v>261QA1903X</v>
      </c>
      <c r="D7642" t="str">
        <f>"COLEMAN CATARACT AND EYE LASER SURG               "</f>
        <v xml:space="preserve">COLEMAN CATARACT AND EYE LASER SURG               </v>
      </c>
      <c r="E7642" t="str">
        <f>"GREENWOOD                 "</f>
        <v xml:space="preserve">GREENWOOD                 </v>
      </c>
      <c r="F7642" t="str">
        <f t="shared" si="240"/>
        <v>MS</v>
      </c>
    </row>
    <row r="7643" spans="1:6" x14ac:dyDescent="0.25">
      <c r="A7643" t="str">
        <f>"000770598"</f>
        <v>000770598</v>
      </c>
      <c r="B7643" t="str">
        <f>"1336236710"</f>
        <v>1336236710</v>
      </c>
      <c r="C7643" t="str">
        <f t="shared" si="242"/>
        <v>261QA1903X</v>
      </c>
      <c r="D7643" t="str">
        <f>"THE EYE SURGERY &amp; LASER CENTER, LLC               "</f>
        <v xml:space="preserve">THE EYE SURGERY &amp; LASER CENTER, LLC               </v>
      </c>
      <c r="E7643" t="str">
        <f>"MADISON                   "</f>
        <v xml:space="preserve">MADISON                   </v>
      </c>
      <c r="F7643" t="str">
        <f t="shared" si="240"/>
        <v>MS</v>
      </c>
    </row>
    <row r="7644" spans="1:6" x14ac:dyDescent="0.25">
      <c r="A7644" t="str">
        <f>"000770601"</f>
        <v>000770601</v>
      </c>
      <c r="B7644" t="str">
        <f>"1164472031"</f>
        <v>1164472031</v>
      </c>
      <c r="C7644" t="str">
        <f t="shared" si="242"/>
        <v>261QA1903X</v>
      </c>
      <c r="D7644" t="str">
        <f>"TUPELO SURGERY CENTER LLC                         "</f>
        <v xml:space="preserve">TUPELO SURGERY CENTER LLC                         </v>
      </c>
      <c r="E7644" t="str">
        <f>"TUPELO                    "</f>
        <v xml:space="preserve">TUPELO                    </v>
      </c>
      <c r="F7644" t="str">
        <f t="shared" si="240"/>
        <v>MS</v>
      </c>
    </row>
    <row r="7645" spans="1:6" x14ac:dyDescent="0.25">
      <c r="A7645" t="str">
        <f>"000770615"</f>
        <v>000770615</v>
      </c>
      <c r="B7645" t="str">
        <f>"1740264274"</f>
        <v>1740264274</v>
      </c>
      <c r="C7645" t="str">
        <f t="shared" si="242"/>
        <v>261QA1903X</v>
      </c>
      <c r="D7645" t="str">
        <f>"MAGNOLIA ENDOSCOPY CENTER, LLC                    "</f>
        <v xml:space="preserve">MAGNOLIA ENDOSCOPY CENTER, LLC                    </v>
      </c>
      <c r="E7645" t="str">
        <f>"CORINTH                   "</f>
        <v xml:space="preserve">CORINTH                   </v>
      </c>
      <c r="F7645" t="str">
        <f t="shared" si="240"/>
        <v>MS</v>
      </c>
    </row>
    <row r="7646" spans="1:6" x14ac:dyDescent="0.25">
      <c r="A7646" t="str">
        <f>"000770617"</f>
        <v>000770617</v>
      </c>
      <c r="B7646" t="str">
        <f>"1750390548"</f>
        <v>1750390548</v>
      </c>
      <c r="C7646" t="str">
        <f t="shared" si="242"/>
        <v>261QA1903X</v>
      </c>
      <c r="D7646" t="str">
        <f>"RAYNER SURGERY CENTER                             "</f>
        <v xml:space="preserve">RAYNER SURGERY CENTER                             </v>
      </c>
      <c r="E7646" t="str">
        <f>"OXFORD                    "</f>
        <v xml:space="preserve">OXFORD                    </v>
      </c>
      <c r="F7646" t="str">
        <f t="shared" si="240"/>
        <v>MS</v>
      </c>
    </row>
    <row r="7647" spans="1:6" x14ac:dyDescent="0.25">
      <c r="A7647" t="str">
        <f>"000771257"</f>
        <v>000771257</v>
      </c>
      <c r="B7647" t="str">
        <f>"1629177688"</f>
        <v>1629177688</v>
      </c>
      <c r="C7647" t="str">
        <f>"363L00000X"</f>
        <v>363L00000X</v>
      </c>
      <c r="D7647" t="str">
        <f>"BRELAND                  TOBI         L           "</f>
        <v xml:space="preserve">BRELAND                  TOBI         L           </v>
      </c>
      <c r="E7647" t="str">
        <f>"JACKSON                   "</f>
        <v xml:space="preserve">JACKSON                   </v>
      </c>
      <c r="F7647" t="str">
        <f t="shared" si="240"/>
        <v>MS</v>
      </c>
    </row>
    <row r="7648" spans="1:6" x14ac:dyDescent="0.25">
      <c r="A7648" t="str">
        <f>"000771261"</f>
        <v>000771261</v>
      </c>
      <c r="B7648" t="str">
        <f>"1649371477"</f>
        <v>1649371477</v>
      </c>
      <c r="C7648" t="str">
        <f>"261QF0400X"</f>
        <v>261QF0400X</v>
      </c>
      <c r="D7648" t="str">
        <f>"GTR MDN HLTH CLN INC MOBILE UNIT                  "</f>
        <v xml:space="preserve">GTR MDN HLTH CLN INC MOBILE UNIT                  </v>
      </c>
      <c r="E7648" t="str">
        <f>"MERIDIAN                  "</f>
        <v xml:space="preserve">MERIDIAN                  </v>
      </c>
      <c r="F7648" t="str">
        <f t="shared" si="240"/>
        <v>MS</v>
      </c>
    </row>
    <row r="7649" spans="1:6" x14ac:dyDescent="0.25">
      <c r="A7649" t="str">
        <f>"000771500"</f>
        <v>000771500</v>
      </c>
      <c r="B7649" t="str">
        <f>"1467840736"</f>
        <v>1467840736</v>
      </c>
      <c r="C7649" t="str">
        <f>"363L00000X"</f>
        <v>363L00000X</v>
      </c>
      <c r="D7649" t="str">
        <f>"RUNNELS                  BRIDGETTE    E           "</f>
        <v xml:space="preserve">RUNNELS                  BRIDGETTE    E           </v>
      </c>
      <c r="E7649" t="str">
        <f>"HATTIESBURG               "</f>
        <v xml:space="preserve">HATTIESBURG               </v>
      </c>
      <c r="F7649" t="str">
        <f t="shared" si="240"/>
        <v>MS</v>
      </c>
    </row>
    <row r="7650" spans="1:6" x14ac:dyDescent="0.25">
      <c r="A7650" t="str">
        <f>"000772036"</f>
        <v>000772036</v>
      </c>
      <c r="B7650" t="str">
        <f>"1790714806"</f>
        <v>1790714806</v>
      </c>
      <c r="C7650" t="str">
        <f>"208M00000X"</f>
        <v>208M00000X</v>
      </c>
      <c r="D7650" t="str">
        <f>"ASHER                    FREDERICK    H           "</f>
        <v xml:space="preserve">ASHER                    FREDERICK    H           </v>
      </c>
      <c r="E7650" t="str">
        <f>"JACKSON                   "</f>
        <v xml:space="preserve">JACKSON                   </v>
      </c>
      <c r="F7650" t="str">
        <f t="shared" si="240"/>
        <v>MS</v>
      </c>
    </row>
    <row r="7651" spans="1:6" x14ac:dyDescent="0.25">
      <c r="A7651" t="str">
        <f>"000772323"</f>
        <v>000772323</v>
      </c>
      <c r="B7651" t="str">
        <f>"1265933626"</f>
        <v>1265933626</v>
      </c>
      <c r="C7651" t="str">
        <f>"207W00000X"</f>
        <v>207W00000X</v>
      </c>
      <c r="D7651" t="str">
        <f>"MATHERNE                 BLAKE        J           "</f>
        <v xml:space="preserve">MATHERNE                 BLAKE        J           </v>
      </c>
      <c r="E7651" t="str">
        <f>"OCEAN SPRINGS             "</f>
        <v xml:space="preserve">OCEAN SPRINGS             </v>
      </c>
      <c r="F7651" t="str">
        <f t="shared" si="240"/>
        <v>MS</v>
      </c>
    </row>
    <row r="7652" spans="1:6" x14ac:dyDescent="0.25">
      <c r="A7652" t="str">
        <f>"000772751"</f>
        <v>000772751</v>
      </c>
      <c r="B7652" t="str">
        <f>"1730692914"</f>
        <v>1730692914</v>
      </c>
      <c r="C7652" t="str">
        <f>"363L00000X"</f>
        <v>363L00000X</v>
      </c>
      <c r="D7652" t="str">
        <f>"HAWKINS                  KENNETH                  "</f>
        <v xml:space="preserve">HAWKINS                  KENNETH                  </v>
      </c>
      <c r="E7652" t="str">
        <f>"HERNANDO                  "</f>
        <v xml:space="preserve">HERNANDO                  </v>
      </c>
      <c r="F7652" t="str">
        <f t="shared" si="240"/>
        <v>MS</v>
      </c>
    </row>
    <row r="7653" spans="1:6" x14ac:dyDescent="0.25">
      <c r="A7653" t="str">
        <f>"000773319"</f>
        <v>000773319</v>
      </c>
      <c r="B7653" t="str">
        <f>"1437232717"</f>
        <v>1437232717</v>
      </c>
      <c r="C7653" t="str">
        <f>"207R00000X"</f>
        <v>207R00000X</v>
      </c>
      <c r="D7653" t="str">
        <f>"HULL                     CLINTON      E           "</f>
        <v xml:space="preserve">HULL                     CLINTON      E           </v>
      </c>
      <c r="E7653" t="str">
        <f>"PASCAGOULA                "</f>
        <v xml:space="preserve">PASCAGOULA                </v>
      </c>
      <c r="F7653" t="str">
        <f t="shared" si="240"/>
        <v>MS</v>
      </c>
    </row>
    <row r="7654" spans="1:6" x14ac:dyDescent="0.25">
      <c r="A7654" t="str">
        <f>"000774027"</f>
        <v>000774027</v>
      </c>
      <c r="B7654" t="str">
        <f>"1598907289"</f>
        <v>1598907289</v>
      </c>
      <c r="C7654" t="str">
        <f>"207R00000X"</f>
        <v>207R00000X</v>
      </c>
      <c r="D7654" t="str">
        <f>"SANDHU                   VARRINDER                "</f>
        <v xml:space="preserve">SANDHU                   VARRINDER                </v>
      </c>
      <c r="E7654" t="str">
        <f>"TUPELO                    "</f>
        <v xml:space="preserve">TUPELO                    </v>
      </c>
      <c r="F7654" t="str">
        <f t="shared" si="240"/>
        <v>MS</v>
      </c>
    </row>
    <row r="7655" spans="1:6" x14ac:dyDescent="0.25">
      <c r="A7655" t="str">
        <f>"000774066"</f>
        <v>000774066</v>
      </c>
      <c r="B7655" t="str">
        <f>"1982912143"</f>
        <v>1982912143</v>
      </c>
      <c r="C7655" t="str">
        <f>"207L00000X"</f>
        <v>207L00000X</v>
      </c>
      <c r="D7655" t="str">
        <f>"WADDELL                  JOHN                     "</f>
        <v xml:space="preserve">WADDELL                  JOHN                     </v>
      </c>
      <c r="E7655" t="str">
        <f>"JACKSON                   "</f>
        <v xml:space="preserve">JACKSON                   </v>
      </c>
      <c r="F7655" t="str">
        <f t="shared" si="240"/>
        <v>MS</v>
      </c>
    </row>
    <row r="7656" spans="1:6" x14ac:dyDescent="0.25">
      <c r="A7656" t="str">
        <f>"000774762"</f>
        <v>000774762</v>
      </c>
      <c r="B7656" t="str">
        <f>"1760896195"</f>
        <v>1760896195</v>
      </c>
      <c r="C7656" t="str">
        <f>"207N00000X"</f>
        <v>207N00000X</v>
      </c>
      <c r="D7656" t="str">
        <f>"OFFIAH                   MAUREEN      N           "</f>
        <v xml:space="preserve">OFFIAH                   MAUREEN      N           </v>
      </c>
      <c r="E7656" t="str">
        <f>"HATTIESBURG               "</f>
        <v xml:space="preserve">HATTIESBURG               </v>
      </c>
      <c r="F7656" t="str">
        <f t="shared" si="240"/>
        <v>MS</v>
      </c>
    </row>
    <row r="7657" spans="1:6" x14ac:dyDescent="0.25">
      <c r="A7657" t="str">
        <f>"000776741"</f>
        <v>000776741</v>
      </c>
      <c r="B7657" t="str">
        <f>"1659405793"</f>
        <v>1659405793</v>
      </c>
      <c r="C7657" t="str">
        <f>"207X00000X"</f>
        <v>207X00000X</v>
      </c>
      <c r="D7657" t="str">
        <f>"EDWARDS                  KENNY        B           "</f>
        <v xml:space="preserve">EDWARDS                  KENNY        B           </v>
      </c>
      <c r="E7657" t="str">
        <f>"COLUMBUS                  "</f>
        <v xml:space="preserve">COLUMBUS                  </v>
      </c>
      <c r="F7657" t="str">
        <f t="shared" si="240"/>
        <v>MS</v>
      </c>
    </row>
    <row r="7658" spans="1:6" x14ac:dyDescent="0.25">
      <c r="A7658" t="str">
        <f>"000776826"</f>
        <v>000776826</v>
      </c>
      <c r="B7658" t="str">
        <f>"1245279991"</f>
        <v>1245279991</v>
      </c>
      <c r="C7658" t="str">
        <f>"208100000X"</f>
        <v>208100000X</v>
      </c>
      <c r="D7658" t="str">
        <f>"DOCKERY                  JOHN         D           "</f>
        <v xml:space="preserve">DOCKERY                  JOHN         D           </v>
      </c>
      <c r="E7658" t="str">
        <f>"SOUTHAVEN                 "</f>
        <v xml:space="preserve">SOUTHAVEN                 </v>
      </c>
      <c r="F7658" t="str">
        <f t="shared" si="240"/>
        <v>MS</v>
      </c>
    </row>
    <row r="7659" spans="1:6" x14ac:dyDescent="0.25">
      <c r="A7659" t="str">
        <f>"000777571"</f>
        <v>000777571</v>
      </c>
      <c r="B7659" t="str">
        <f>"1174887319"</f>
        <v>1174887319</v>
      </c>
      <c r="C7659" t="str">
        <f>"207L00000X"</f>
        <v>207L00000X</v>
      </c>
      <c r="D7659" t="str">
        <f>"MOTANYA                  DAVID        M           "</f>
        <v xml:space="preserve">MOTANYA                  DAVID        M           </v>
      </c>
      <c r="E7659" t="str">
        <f>"HATTIESBURG               "</f>
        <v xml:space="preserve">HATTIESBURG               </v>
      </c>
      <c r="F7659" t="str">
        <f t="shared" si="240"/>
        <v>MS</v>
      </c>
    </row>
    <row r="7660" spans="1:6" x14ac:dyDescent="0.25">
      <c r="A7660" t="str">
        <f>"000778701"</f>
        <v>000778701</v>
      </c>
      <c r="B7660" t="str">
        <f>"1821520537"</f>
        <v>1821520537</v>
      </c>
      <c r="C7660" t="str">
        <f>"207Q00000X"</f>
        <v>207Q00000X</v>
      </c>
      <c r="D7660" t="str">
        <f>"MASSIHI                  LILIAN       E           "</f>
        <v xml:space="preserve">MASSIHI                  LILIAN       E           </v>
      </c>
      <c r="E7660" t="str">
        <f>"JACKSON                   "</f>
        <v xml:space="preserve">JACKSON                   </v>
      </c>
      <c r="F7660" t="str">
        <f t="shared" si="240"/>
        <v>MS</v>
      </c>
    </row>
    <row r="7661" spans="1:6" x14ac:dyDescent="0.25">
      <c r="A7661" t="str">
        <f>"000779068"</f>
        <v>000779068</v>
      </c>
      <c r="B7661" t="str">
        <f>"1659791861"</f>
        <v>1659791861</v>
      </c>
      <c r="C7661" t="str">
        <f>"207R00000X"</f>
        <v>207R00000X</v>
      </c>
      <c r="D7661" t="str">
        <f>"ADDAE                    LEONARD                  "</f>
        <v xml:space="preserve">ADDAE                    LEONARD                  </v>
      </c>
      <c r="E7661" t="str">
        <f>"NATCHEZ                   "</f>
        <v xml:space="preserve">NATCHEZ                   </v>
      </c>
      <c r="F7661" t="str">
        <f t="shared" si="240"/>
        <v>MS</v>
      </c>
    </row>
    <row r="7662" spans="1:6" x14ac:dyDescent="0.25">
      <c r="A7662" t="str">
        <f>"000780035"</f>
        <v>000780035</v>
      </c>
      <c r="B7662" t="str">
        <f>"1821097858"</f>
        <v>1821097858</v>
      </c>
      <c r="C7662" t="str">
        <f>"363L00000X"</f>
        <v>363L00000X</v>
      </c>
      <c r="D7662" t="str">
        <f>"JACKSON                  STEPHANIE    P           "</f>
        <v xml:space="preserve">JACKSON                  STEPHANIE    P           </v>
      </c>
      <c r="E7662" t="str">
        <f>"CANTON                    "</f>
        <v xml:space="preserve">CANTON                    </v>
      </c>
      <c r="F7662" t="str">
        <f t="shared" si="240"/>
        <v>MS</v>
      </c>
    </row>
    <row r="7663" spans="1:6" x14ac:dyDescent="0.25">
      <c r="A7663" t="str">
        <f>"000781517"</f>
        <v>000781517</v>
      </c>
      <c r="B7663" t="str">
        <f>"1700231032"</f>
        <v>1700231032</v>
      </c>
      <c r="C7663" t="str">
        <f>"207R00000X"</f>
        <v>207R00000X</v>
      </c>
      <c r="D7663" t="str">
        <f>"DAHLBERG                 BENJAMIN                 "</f>
        <v xml:space="preserve">DAHLBERG                 BENJAMIN                 </v>
      </c>
      <c r="E7663" t="str">
        <f>"GULFPORT                  "</f>
        <v xml:space="preserve">GULFPORT                  </v>
      </c>
      <c r="F7663" t="str">
        <f t="shared" si="240"/>
        <v>MS</v>
      </c>
    </row>
    <row r="7664" spans="1:6" x14ac:dyDescent="0.25">
      <c r="A7664" t="str">
        <f>"000781741"</f>
        <v>000781741</v>
      </c>
      <c r="B7664" t="str">
        <f>"1003285461"</f>
        <v>1003285461</v>
      </c>
      <c r="C7664" t="str">
        <f>"363L00000X"</f>
        <v>363L00000X</v>
      </c>
      <c r="D7664" t="str">
        <f>"WATSON                   TIMOTHY                  "</f>
        <v xml:space="preserve">WATSON                   TIMOTHY                  </v>
      </c>
      <c r="E7664" t="str">
        <f>"PONTOTOC                  "</f>
        <v xml:space="preserve">PONTOTOC                  </v>
      </c>
      <c r="F7664" t="str">
        <f t="shared" si="240"/>
        <v>MS</v>
      </c>
    </row>
    <row r="7665" spans="1:6" x14ac:dyDescent="0.25">
      <c r="A7665" t="str">
        <f>"000781809"</f>
        <v>000781809</v>
      </c>
      <c r="B7665" t="str">
        <f>"1447718226"</f>
        <v>1447718226</v>
      </c>
      <c r="C7665" t="str">
        <f>"363L00000X"</f>
        <v>363L00000X</v>
      </c>
      <c r="D7665" t="str">
        <f>"THOMAS                   RHETA        M           "</f>
        <v xml:space="preserve">THOMAS                   RHETA        M           </v>
      </c>
      <c r="E7665" t="str">
        <f>"MCCOMB                    "</f>
        <v xml:space="preserve">MCCOMB                    </v>
      </c>
      <c r="F7665" t="str">
        <f t="shared" si="240"/>
        <v>MS</v>
      </c>
    </row>
    <row r="7666" spans="1:6" x14ac:dyDescent="0.25">
      <c r="A7666" t="str">
        <f>"000782304"</f>
        <v>000782304</v>
      </c>
      <c r="B7666" t="str">
        <f>"1033871439"</f>
        <v>1033871439</v>
      </c>
      <c r="C7666" t="str">
        <f>"363L00000X"</f>
        <v>363L00000X</v>
      </c>
      <c r="D7666" t="str">
        <f>"TRAMEL                   CASEY                    "</f>
        <v xml:space="preserve">TRAMEL                   CASEY                    </v>
      </c>
      <c r="E7666" t="str">
        <f>"PONTOTOC                  "</f>
        <v xml:space="preserve">PONTOTOC                  </v>
      </c>
      <c r="F7666" t="str">
        <f t="shared" si="240"/>
        <v>MS</v>
      </c>
    </row>
    <row r="7667" spans="1:6" x14ac:dyDescent="0.25">
      <c r="A7667" t="str">
        <f>"000783021"</f>
        <v>000783021</v>
      </c>
      <c r="B7667" t="str">
        <f>"1720619083"</f>
        <v>1720619083</v>
      </c>
      <c r="C7667" t="str">
        <f>"363L00000X"</f>
        <v>363L00000X</v>
      </c>
      <c r="D7667" t="str">
        <f>"AKRIDGE                  LISA                     "</f>
        <v xml:space="preserve">AKRIDGE                  LISA                     </v>
      </c>
      <c r="E7667" t="str">
        <f>"WAYNESBORO                "</f>
        <v xml:space="preserve">WAYNESBORO                </v>
      </c>
      <c r="F7667" t="str">
        <f t="shared" si="240"/>
        <v>MS</v>
      </c>
    </row>
    <row r="7668" spans="1:6" x14ac:dyDescent="0.25">
      <c r="A7668" t="str">
        <f>"000783825"</f>
        <v>000783825</v>
      </c>
      <c r="B7668" t="str">
        <f>"1679900062"</f>
        <v>1679900062</v>
      </c>
      <c r="C7668" t="str">
        <f>"2084N0400X"</f>
        <v>2084N0400X</v>
      </c>
      <c r="D7668" t="str">
        <f>"PATEL                    BIRENKUMAR               "</f>
        <v xml:space="preserve">PATEL                    BIRENKUMAR               </v>
      </c>
      <c r="E7668" t="str">
        <f>"TUPELO                    "</f>
        <v xml:space="preserve">TUPELO                    </v>
      </c>
      <c r="F7668" t="str">
        <f t="shared" si="240"/>
        <v>MS</v>
      </c>
    </row>
    <row r="7669" spans="1:6" x14ac:dyDescent="0.25">
      <c r="A7669" t="str">
        <f>"000784502"</f>
        <v>000784502</v>
      </c>
      <c r="B7669" t="str">
        <f>"1750889416"</f>
        <v>1750889416</v>
      </c>
      <c r="C7669" t="str">
        <f>"363L00000X"</f>
        <v>363L00000X</v>
      </c>
      <c r="D7669" t="str">
        <f>"BOLDEN                   KATHERINE                "</f>
        <v xml:space="preserve">BOLDEN                   KATHERINE                </v>
      </c>
      <c r="E7669" t="str">
        <f>"MERIDIAN                  "</f>
        <v xml:space="preserve">MERIDIAN                  </v>
      </c>
      <c r="F7669" t="str">
        <f t="shared" si="240"/>
        <v>MS</v>
      </c>
    </row>
    <row r="7670" spans="1:6" x14ac:dyDescent="0.25">
      <c r="A7670" t="str">
        <f>"000786724"</f>
        <v>000786724</v>
      </c>
      <c r="B7670" t="str">
        <f>"1730196353"</f>
        <v>1730196353</v>
      </c>
      <c r="C7670" t="str">
        <f>"363L00000X"</f>
        <v>363L00000X</v>
      </c>
      <c r="D7670" t="str">
        <f>"WARREN                   JOANNA                   "</f>
        <v xml:space="preserve">WARREN                   JOANNA                   </v>
      </c>
      <c r="E7670" t="str">
        <f>"JACKSON                   "</f>
        <v xml:space="preserve">JACKSON                   </v>
      </c>
      <c r="F7670" t="str">
        <f t="shared" si="240"/>
        <v>MS</v>
      </c>
    </row>
    <row r="7671" spans="1:6" x14ac:dyDescent="0.25">
      <c r="A7671" t="str">
        <f>"000788278"</f>
        <v>000788278</v>
      </c>
      <c r="B7671" t="str">
        <f>"1871932194"</f>
        <v>1871932194</v>
      </c>
      <c r="C7671" t="str">
        <f>"2084P0800X"</f>
        <v>2084P0800X</v>
      </c>
      <c r="D7671" t="str">
        <f>"BHARDWAJ                 SAURABH      B           "</f>
        <v xml:space="preserve">BHARDWAJ                 SAURABH      B           </v>
      </c>
      <c r="E7671" t="str">
        <f>"JACKSON                   "</f>
        <v xml:space="preserve">JACKSON                   </v>
      </c>
      <c r="F7671" t="str">
        <f t="shared" si="240"/>
        <v>MS</v>
      </c>
    </row>
    <row r="7672" spans="1:6" x14ac:dyDescent="0.25">
      <c r="A7672" t="str">
        <f>"000788568"</f>
        <v>000788568</v>
      </c>
      <c r="B7672" t="str">
        <f>"1679961270"</f>
        <v>1679961270</v>
      </c>
      <c r="C7672" t="str">
        <f>"363L00000X"</f>
        <v>363L00000X</v>
      </c>
      <c r="D7672" t="str">
        <f>"NGUYEN                   DUC          V           "</f>
        <v xml:space="preserve">NGUYEN                   DUC          V           </v>
      </c>
      <c r="E7672" t="str">
        <f>"GULFPORT                  "</f>
        <v xml:space="preserve">GULFPORT                  </v>
      </c>
      <c r="F7672" t="str">
        <f t="shared" si="240"/>
        <v>MS</v>
      </c>
    </row>
    <row r="7673" spans="1:6" x14ac:dyDescent="0.25">
      <c r="A7673" t="str">
        <f>"000789096"</f>
        <v>000789096</v>
      </c>
      <c r="B7673" t="str">
        <f>"1891951729"</f>
        <v>1891951729</v>
      </c>
      <c r="C7673" t="str">
        <f>"122300000X"</f>
        <v>122300000X</v>
      </c>
      <c r="D7673" t="str">
        <f>"CLEVELAND DENTAL CLINIC                           "</f>
        <v xml:space="preserve">CLEVELAND DENTAL CLINIC                           </v>
      </c>
      <c r="E7673" t="str">
        <f>"CLEVELAND                 "</f>
        <v xml:space="preserve">CLEVELAND                 </v>
      </c>
      <c r="F7673" t="str">
        <f t="shared" si="240"/>
        <v>MS</v>
      </c>
    </row>
    <row r="7674" spans="1:6" x14ac:dyDescent="0.25">
      <c r="A7674" t="str">
        <f>"000789514"</f>
        <v>000789514</v>
      </c>
      <c r="B7674" t="str">
        <f>"1679981120"</f>
        <v>1679981120</v>
      </c>
      <c r="C7674" t="str">
        <f>"207Q00000X"</f>
        <v>207Q00000X</v>
      </c>
      <c r="D7674" t="str">
        <f>"BLANCO                   JORGE                    "</f>
        <v xml:space="preserve">BLANCO                   JORGE                    </v>
      </c>
      <c r="E7674" t="str">
        <f>"GREENWOOD                 "</f>
        <v xml:space="preserve">GREENWOOD                 </v>
      </c>
      <c r="F7674" t="str">
        <f t="shared" si="240"/>
        <v>MS</v>
      </c>
    </row>
    <row r="7675" spans="1:6" x14ac:dyDescent="0.25">
      <c r="A7675" t="str">
        <f>"000800310"</f>
        <v>000800310</v>
      </c>
      <c r="B7675" t="str">
        <f>"1427435643"</f>
        <v>1427435643</v>
      </c>
      <c r="C7675" t="str">
        <f>"363L00000X"</f>
        <v>363L00000X</v>
      </c>
      <c r="D7675" t="str">
        <f>"BROCK                    LAUREN                   "</f>
        <v xml:space="preserve">BROCK                    LAUREN                   </v>
      </c>
      <c r="E7675" t="str">
        <f>"COLUMBUS                  "</f>
        <v xml:space="preserve">COLUMBUS                  </v>
      </c>
      <c r="F7675" t="str">
        <f t="shared" si="240"/>
        <v>MS</v>
      </c>
    </row>
    <row r="7676" spans="1:6" x14ac:dyDescent="0.25">
      <c r="A7676" t="str">
        <f>"000800785"</f>
        <v>000800785</v>
      </c>
      <c r="B7676" t="str">
        <f>"1982609004"</f>
        <v>1982609004</v>
      </c>
      <c r="C7676" t="str">
        <f>"207Q00000X"</f>
        <v>207Q00000X</v>
      </c>
      <c r="D7676" t="str">
        <f>"HAWKINS                  CASSANDRA                "</f>
        <v xml:space="preserve">HAWKINS                  CASSANDRA                </v>
      </c>
      <c r="E7676" t="str">
        <f>"HOLLY SPRINGS             "</f>
        <v xml:space="preserve">HOLLY SPRINGS             </v>
      </c>
      <c r="F7676" t="str">
        <f t="shared" si="240"/>
        <v>MS</v>
      </c>
    </row>
    <row r="7677" spans="1:6" x14ac:dyDescent="0.25">
      <c r="A7677" t="str">
        <f>"000801328"</f>
        <v>000801328</v>
      </c>
      <c r="B7677" t="str">
        <f>"1326277427"</f>
        <v>1326277427</v>
      </c>
      <c r="C7677" t="str">
        <f>"207P00000X"</f>
        <v>207P00000X</v>
      </c>
      <c r="D7677" t="str">
        <f>"KOURY                    MICHAEL      W           "</f>
        <v xml:space="preserve">KOURY                    MICHAEL      W           </v>
      </c>
      <c r="E7677" t="str">
        <f>"VICKSBURG                 "</f>
        <v xml:space="preserve">VICKSBURG                 </v>
      </c>
      <c r="F7677" t="str">
        <f t="shared" si="240"/>
        <v>MS</v>
      </c>
    </row>
    <row r="7678" spans="1:6" x14ac:dyDescent="0.25">
      <c r="A7678" t="str">
        <f>"000802788"</f>
        <v>000802788</v>
      </c>
      <c r="B7678" t="str">
        <f>"1396050381"</f>
        <v>1396050381</v>
      </c>
      <c r="C7678" t="str">
        <f>"2085R0202X"</f>
        <v>2085R0202X</v>
      </c>
      <c r="D7678" t="str">
        <f>"SADOWSKA                 JOANNA                   "</f>
        <v xml:space="preserve">SADOWSKA                 JOANNA                   </v>
      </c>
      <c r="E7678" t="str">
        <f>"TUPELO                    "</f>
        <v xml:space="preserve">TUPELO                    </v>
      </c>
      <c r="F7678" t="str">
        <f t="shared" ref="F7678:F7741" si="243">"MS"</f>
        <v>MS</v>
      </c>
    </row>
    <row r="7679" spans="1:6" x14ac:dyDescent="0.25">
      <c r="A7679" t="str">
        <f>"000803091"</f>
        <v>000803091</v>
      </c>
      <c r="B7679" t="str">
        <f>"1902331747"</f>
        <v>1902331747</v>
      </c>
      <c r="C7679" t="str">
        <f>"2084P0800X"</f>
        <v>2084P0800X</v>
      </c>
      <c r="D7679" t="str">
        <f>"SPIOTTO, III             ERNEST                   "</f>
        <v xml:space="preserve">SPIOTTO, III             ERNEST                   </v>
      </c>
      <c r="E7679" t="str">
        <f>"SOUTHAVEN                 "</f>
        <v xml:space="preserve">SOUTHAVEN                 </v>
      </c>
      <c r="F7679" t="str">
        <f t="shared" si="243"/>
        <v>MS</v>
      </c>
    </row>
    <row r="7680" spans="1:6" x14ac:dyDescent="0.25">
      <c r="A7680" t="str">
        <f>"000803385"</f>
        <v>000803385</v>
      </c>
      <c r="B7680" t="str">
        <f>"1780911636"</f>
        <v>1780911636</v>
      </c>
      <c r="C7680" t="str">
        <f>"363L00000X"</f>
        <v>363L00000X</v>
      </c>
      <c r="D7680" t="str">
        <f>"LEWIS                    JENNIFER     A           "</f>
        <v xml:space="preserve">LEWIS                    JENNIFER     A           </v>
      </c>
      <c r="E7680" t="str">
        <f>"JACKSON                   "</f>
        <v xml:space="preserve">JACKSON                   </v>
      </c>
      <c r="F7680" t="str">
        <f t="shared" si="243"/>
        <v>MS</v>
      </c>
    </row>
    <row r="7681" spans="1:6" x14ac:dyDescent="0.25">
      <c r="A7681" t="str">
        <f>"000804004"</f>
        <v>000804004</v>
      </c>
      <c r="B7681" t="str">
        <f>"1437102597"</f>
        <v>1437102597</v>
      </c>
      <c r="C7681" t="str">
        <f>"207T00000X"</f>
        <v>207T00000X</v>
      </c>
      <c r="D7681" t="str">
        <f>"AMUNDSON                 ERIC         W           "</f>
        <v xml:space="preserve">AMUNDSON                 ERIC         W           </v>
      </c>
      <c r="E7681" t="str">
        <f>"FLOWOOD                   "</f>
        <v xml:space="preserve">FLOWOOD                   </v>
      </c>
      <c r="F7681" t="str">
        <f t="shared" si="243"/>
        <v>MS</v>
      </c>
    </row>
    <row r="7682" spans="1:6" x14ac:dyDescent="0.25">
      <c r="A7682" t="str">
        <f>"000805759"</f>
        <v>000805759</v>
      </c>
      <c r="B7682" t="str">
        <f>"1689080715"</f>
        <v>1689080715</v>
      </c>
      <c r="C7682" t="str">
        <f>"363L00000X"</f>
        <v>363L00000X</v>
      </c>
      <c r="D7682" t="str">
        <f>"SANDERS                  COURTNEY E   L           "</f>
        <v xml:space="preserve">SANDERS                  COURTNEY E   L           </v>
      </c>
      <c r="E7682" t="str">
        <f>"JACKSON                   "</f>
        <v xml:space="preserve">JACKSON                   </v>
      </c>
      <c r="F7682" t="str">
        <f t="shared" si="243"/>
        <v>MS</v>
      </c>
    </row>
    <row r="7683" spans="1:6" x14ac:dyDescent="0.25">
      <c r="A7683" t="str">
        <f>"000806548"</f>
        <v>000806548</v>
      </c>
      <c r="B7683" t="str">
        <f>"1043773815"</f>
        <v>1043773815</v>
      </c>
      <c r="C7683" t="str">
        <f>"363L00000X"</f>
        <v>363L00000X</v>
      </c>
      <c r="D7683" t="str">
        <f>"ALBRECHT                 DANA         H           "</f>
        <v xml:space="preserve">ALBRECHT                 DANA         H           </v>
      </c>
      <c r="E7683" t="str">
        <f>"DIAMONDHEAD               "</f>
        <v xml:space="preserve">DIAMONDHEAD               </v>
      </c>
      <c r="F7683" t="str">
        <f t="shared" si="243"/>
        <v>MS</v>
      </c>
    </row>
    <row r="7684" spans="1:6" x14ac:dyDescent="0.25">
      <c r="A7684" t="str">
        <f>"000807767"</f>
        <v>000807767</v>
      </c>
      <c r="B7684" t="str">
        <f>"1659618106"</f>
        <v>1659618106</v>
      </c>
      <c r="C7684" t="str">
        <f>"261QF0400X"</f>
        <v>261QF0400X</v>
      </c>
      <c r="D7684" t="str">
        <f>"JACKSON-HINDS CENTRAL MISSISSIPPI M               "</f>
        <v xml:space="preserve">JACKSON-HINDS CENTRAL MISSISSIPPI M               </v>
      </c>
      <c r="E7684" t="str">
        <f>"JACKSON                   "</f>
        <v xml:space="preserve">JACKSON                   </v>
      </c>
      <c r="F7684" t="str">
        <f t="shared" si="243"/>
        <v>MS</v>
      </c>
    </row>
    <row r="7685" spans="1:6" x14ac:dyDescent="0.25">
      <c r="A7685" t="str">
        <f>"000807896"</f>
        <v>000807896</v>
      </c>
      <c r="B7685" t="str">
        <f>"1750960183"</f>
        <v>1750960183</v>
      </c>
      <c r="C7685" t="str">
        <f>"208000000X"</f>
        <v>208000000X</v>
      </c>
      <c r="D7685" t="str">
        <f>"HART                     KYLE                     "</f>
        <v xml:space="preserve">HART                     KYLE                     </v>
      </c>
      <c r="E7685" t="str">
        <f>"JACKSON                   "</f>
        <v xml:space="preserve">JACKSON                   </v>
      </c>
      <c r="F7685" t="str">
        <f t="shared" si="243"/>
        <v>MS</v>
      </c>
    </row>
    <row r="7686" spans="1:6" x14ac:dyDescent="0.25">
      <c r="A7686" t="str">
        <f>"000809301"</f>
        <v>000809301</v>
      </c>
      <c r="B7686" t="str">
        <f>"1871250993"</f>
        <v>1871250993</v>
      </c>
      <c r="C7686" t="str">
        <f>"261QF0400X"</f>
        <v>261QF0400X</v>
      </c>
      <c r="D7686" t="str">
        <f>"COASTAL FAMILY HEALTH CENTER INC                  "</f>
        <v xml:space="preserve">COASTAL FAMILY HEALTH CENTER INC                  </v>
      </c>
      <c r="E7686" t="str">
        <f>"VANCLEAVE                 "</f>
        <v xml:space="preserve">VANCLEAVE                 </v>
      </c>
      <c r="F7686" t="str">
        <f t="shared" si="243"/>
        <v>MS</v>
      </c>
    </row>
    <row r="7687" spans="1:6" x14ac:dyDescent="0.25">
      <c r="A7687" t="str">
        <f>"000809533"</f>
        <v>000809533</v>
      </c>
      <c r="B7687" t="str">
        <f>"1437312915"</f>
        <v>1437312915</v>
      </c>
      <c r="C7687" t="str">
        <f>"207R00000X"</f>
        <v>207R00000X</v>
      </c>
      <c r="D7687" t="str">
        <f>"PORTIS                   RAYMOND                  "</f>
        <v xml:space="preserve">PORTIS                   RAYMOND                  </v>
      </c>
      <c r="E7687" t="str">
        <f>"JACKSON                   "</f>
        <v xml:space="preserve">JACKSON                   </v>
      </c>
      <c r="F7687" t="str">
        <f t="shared" si="243"/>
        <v>MS</v>
      </c>
    </row>
    <row r="7688" spans="1:6" x14ac:dyDescent="0.25">
      <c r="A7688" t="str">
        <f>"000809719"</f>
        <v>000809719</v>
      </c>
      <c r="B7688" t="str">
        <f>"1982746087"</f>
        <v>1982746087</v>
      </c>
      <c r="C7688" t="str">
        <f>"261QF0400X"</f>
        <v>261QF0400X</v>
      </c>
      <c r="D7688" t="str">
        <f>"TOUGALOO-HEALTH &amp; WELLNESS CENTER                 "</f>
        <v xml:space="preserve">TOUGALOO-HEALTH &amp; WELLNESS CENTER                 </v>
      </c>
      <c r="E7688" t="str">
        <f>"TOUGALOO                  "</f>
        <v xml:space="preserve">TOUGALOO                  </v>
      </c>
      <c r="F7688" t="str">
        <f t="shared" si="243"/>
        <v>MS</v>
      </c>
    </row>
    <row r="7689" spans="1:6" x14ac:dyDescent="0.25">
      <c r="A7689" t="str">
        <f>"000809759"</f>
        <v>000809759</v>
      </c>
      <c r="B7689" t="str">
        <f>"1720283880"</f>
        <v>1720283880</v>
      </c>
      <c r="C7689" t="str">
        <f>"152W00000X"</f>
        <v>152W00000X</v>
      </c>
      <c r="D7689" t="str">
        <f>"FAMILY VISION CLINIC INC                          "</f>
        <v xml:space="preserve">FAMILY VISION CLINIC INC                          </v>
      </c>
      <c r="E7689" t="str">
        <f>"MAGEE                     "</f>
        <v xml:space="preserve">MAGEE                     </v>
      </c>
      <c r="F7689" t="str">
        <f t="shared" si="243"/>
        <v>MS</v>
      </c>
    </row>
    <row r="7690" spans="1:6" x14ac:dyDescent="0.25">
      <c r="A7690" t="str">
        <f>"000809811"</f>
        <v>000809811</v>
      </c>
      <c r="B7690" t="str">
        <f>"1306126263"</f>
        <v>1306126263</v>
      </c>
      <c r="C7690" t="str">
        <f>"363L00000X"</f>
        <v>363L00000X</v>
      </c>
      <c r="D7690" t="str">
        <f>"JORDAN                   CHARLES      R           "</f>
        <v xml:space="preserve">JORDAN                   CHARLES      R           </v>
      </c>
      <c r="E7690" t="str">
        <f>"GREENWOOD                 "</f>
        <v xml:space="preserve">GREENWOOD                 </v>
      </c>
      <c r="F7690" t="str">
        <f t="shared" si="243"/>
        <v>MS</v>
      </c>
    </row>
    <row r="7691" spans="1:6" x14ac:dyDescent="0.25">
      <c r="A7691" t="str">
        <f>"000820014"</f>
        <v>000820014</v>
      </c>
      <c r="B7691" t="str">
        <f>"1467617076"</f>
        <v>1467617076</v>
      </c>
      <c r="C7691" t="str">
        <f>"363L00000X"</f>
        <v>363L00000X</v>
      </c>
      <c r="D7691" t="str">
        <f>"HENDRIX                  VALERIAN     K           "</f>
        <v xml:space="preserve">HENDRIX                  VALERIAN     K           </v>
      </c>
      <c r="E7691" t="str">
        <f>"OLIVE BRANCH              "</f>
        <v xml:space="preserve">OLIVE BRANCH              </v>
      </c>
      <c r="F7691" t="str">
        <f t="shared" si="243"/>
        <v>MS</v>
      </c>
    </row>
    <row r="7692" spans="1:6" x14ac:dyDescent="0.25">
      <c r="A7692" t="str">
        <f>"000820094"</f>
        <v>000820094</v>
      </c>
      <c r="B7692" t="str">
        <f>"1326460627"</f>
        <v>1326460627</v>
      </c>
      <c r="C7692" t="str">
        <f>"363L00000X"</f>
        <v>363L00000X</v>
      </c>
      <c r="D7692" t="str">
        <f>"MORGAN                   PAULA        C           "</f>
        <v xml:space="preserve">MORGAN                   PAULA        C           </v>
      </c>
      <c r="E7692" t="str">
        <f>"MERIDIAN                  "</f>
        <v xml:space="preserve">MERIDIAN                  </v>
      </c>
      <c r="F7692" t="str">
        <f t="shared" si="243"/>
        <v>MS</v>
      </c>
    </row>
    <row r="7693" spans="1:6" x14ac:dyDescent="0.25">
      <c r="A7693" t="str">
        <f>"000820364"</f>
        <v>000820364</v>
      </c>
      <c r="B7693" t="str">
        <f>"1902832538"</f>
        <v>1902832538</v>
      </c>
      <c r="C7693" t="str">
        <f>"207Q00000X"</f>
        <v>207Q00000X</v>
      </c>
      <c r="D7693" t="str">
        <f>"COTTON                   RENITA       F           "</f>
        <v xml:space="preserve">COTTON                   RENITA       F           </v>
      </c>
      <c r="E7693" t="str">
        <f>"LEXINGTON                 "</f>
        <v xml:space="preserve">LEXINGTON                 </v>
      </c>
      <c r="F7693" t="str">
        <f t="shared" si="243"/>
        <v>MS</v>
      </c>
    </row>
    <row r="7694" spans="1:6" x14ac:dyDescent="0.25">
      <c r="A7694" t="str">
        <f>"000820426"</f>
        <v>000820426</v>
      </c>
      <c r="B7694" t="str">
        <f>"1114690039"</f>
        <v>1114690039</v>
      </c>
      <c r="C7694" t="str">
        <f>"363L00000X"</f>
        <v>363L00000X</v>
      </c>
      <c r="D7694" t="str">
        <f>"EASON                    ANGELIA                  "</f>
        <v xml:space="preserve">EASON                    ANGELIA                  </v>
      </c>
      <c r="E7694" t="str">
        <f>"BELZONI                   "</f>
        <v xml:space="preserve">BELZONI                   </v>
      </c>
      <c r="F7694" t="str">
        <f t="shared" si="243"/>
        <v>MS</v>
      </c>
    </row>
    <row r="7695" spans="1:6" x14ac:dyDescent="0.25">
      <c r="A7695" t="str">
        <f>"000821858"</f>
        <v>000821858</v>
      </c>
      <c r="B7695" t="str">
        <f>"1679050223"</f>
        <v>1679050223</v>
      </c>
      <c r="C7695" t="str">
        <f>"363L00000X"</f>
        <v>363L00000X</v>
      </c>
      <c r="D7695" t="str">
        <f>"HUDSON                   THOMAS       N           "</f>
        <v xml:space="preserve">HUDSON                   THOMAS       N           </v>
      </c>
      <c r="E7695" t="str">
        <f>"HATTIESBURG               "</f>
        <v xml:space="preserve">HATTIESBURG               </v>
      </c>
      <c r="F7695" t="str">
        <f t="shared" si="243"/>
        <v>MS</v>
      </c>
    </row>
    <row r="7696" spans="1:6" x14ac:dyDescent="0.25">
      <c r="A7696" t="str">
        <f>"000823246"</f>
        <v>000823246</v>
      </c>
      <c r="B7696" t="str">
        <f>"1104182641"</f>
        <v>1104182641</v>
      </c>
      <c r="C7696" t="str">
        <f>"207R00000X"</f>
        <v>207R00000X</v>
      </c>
      <c r="D7696" t="str">
        <f>"VAUGHAN                  MICHAEL                  "</f>
        <v xml:space="preserve">VAUGHAN                  MICHAEL                  </v>
      </c>
      <c r="E7696" t="str">
        <f>"SOUTHAVEN                 "</f>
        <v xml:space="preserve">SOUTHAVEN                 </v>
      </c>
      <c r="F7696" t="str">
        <f t="shared" si="243"/>
        <v>MS</v>
      </c>
    </row>
    <row r="7697" spans="1:6" x14ac:dyDescent="0.25">
      <c r="A7697" t="str">
        <f>"000823371"</f>
        <v>000823371</v>
      </c>
      <c r="B7697" t="str">
        <f>"1376107409"</f>
        <v>1376107409</v>
      </c>
      <c r="C7697" t="str">
        <f>"363L00000X"</f>
        <v>363L00000X</v>
      </c>
      <c r="D7697" t="str">
        <f>"NEWELL                   SUSAN        L           "</f>
        <v xml:space="preserve">NEWELL                   SUSAN        L           </v>
      </c>
      <c r="E7697" t="str">
        <f>"MANTACHIE                 "</f>
        <v xml:space="preserve">MANTACHIE                 </v>
      </c>
      <c r="F7697" t="str">
        <f t="shared" si="243"/>
        <v>MS</v>
      </c>
    </row>
    <row r="7698" spans="1:6" x14ac:dyDescent="0.25">
      <c r="A7698" t="str">
        <f>"000823709"</f>
        <v>000823709</v>
      </c>
      <c r="B7698" t="str">
        <f>"1477954352"</f>
        <v>1477954352</v>
      </c>
      <c r="C7698" t="str">
        <f>"152W00000X"</f>
        <v>152W00000X</v>
      </c>
      <c r="D7698" t="str">
        <f>"BRANDON PROFESSIONAL EYECARE ASSOCI               "</f>
        <v xml:space="preserve">BRANDON PROFESSIONAL EYECARE ASSOCI               </v>
      </c>
      <c r="E7698" t="str">
        <f>"BRANDON                   "</f>
        <v xml:space="preserve">BRANDON                   </v>
      </c>
      <c r="F7698" t="str">
        <f t="shared" si="243"/>
        <v>MS</v>
      </c>
    </row>
    <row r="7699" spans="1:6" x14ac:dyDescent="0.25">
      <c r="A7699" t="str">
        <f>"000826710"</f>
        <v>000826710</v>
      </c>
      <c r="B7699" t="str">
        <f>"1366749152"</f>
        <v>1366749152</v>
      </c>
      <c r="C7699" t="str">
        <f>"363L00000X"</f>
        <v>363L00000X</v>
      </c>
      <c r="D7699" t="str">
        <f>"FARMER                   JERILYN      D           "</f>
        <v xml:space="preserve">FARMER                   JERILYN      D           </v>
      </c>
      <c r="E7699" t="str">
        <f>"OCEAN SPRINGS             "</f>
        <v xml:space="preserve">OCEAN SPRINGS             </v>
      </c>
      <c r="F7699" t="str">
        <f t="shared" si="243"/>
        <v>MS</v>
      </c>
    </row>
    <row r="7700" spans="1:6" x14ac:dyDescent="0.25">
      <c r="A7700" t="str">
        <f>"000827012"</f>
        <v>000827012</v>
      </c>
      <c r="B7700" t="str">
        <f>"1548423114"</f>
        <v>1548423114</v>
      </c>
      <c r="C7700" t="str">
        <f>"207RN0300X"</f>
        <v>207RN0300X</v>
      </c>
      <c r="D7700" t="str">
        <f>"BADERO                   OLUROTIMI    J           "</f>
        <v xml:space="preserve">BADERO                   OLUROTIMI    J           </v>
      </c>
      <c r="E7700" t="str">
        <f>"JACKSON                   "</f>
        <v xml:space="preserve">JACKSON                   </v>
      </c>
      <c r="F7700" t="str">
        <f t="shared" si="243"/>
        <v>MS</v>
      </c>
    </row>
    <row r="7701" spans="1:6" x14ac:dyDescent="0.25">
      <c r="A7701" t="str">
        <f>"000827262"</f>
        <v>000827262</v>
      </c>
      <c r="B7701" t="str">
        <f>"1871083386"</f>
        <v>1871083386</v>
      </c>
      <c r="C7701" t="str">
        <f>"363L00000X"</f>
        <v>363L00000X</v>
      </c>
      <c r="D7701" t="str">
        <f>"KRZYZKOWSKI              KENNETH      A           "</f>
        <v xml:space="preserve">KRZYZKOWSKI              KENNETH      A           </v>
      </c>
      <c r="E7701" t="str">
        <f>"SOUTHAVEN                 "</f>
        <v xml:space="preserve">SOUTHAVEN                 </v>
      </c>
      <c r="F7701" t="str">
        <f t="shared" si="243"/>
        <v>MS</v>
      </c>
    </row>
    <row r="7702" spans="1:6" x14ac:dyDescent="0.25">
      <c r="A7702" t="str">
        <f>"000827374"</f>
        <v>000827374</v>
      </c>
      <c r="B7702" t="str">
        <f>"1013965599"</f>
        <v>1013965599</v>
      </c>
      <c r="C7702" t="str">
        <f>"207R00000X"</f>
        <v>207R00000X</v>
      </c>
      <c r="D7702" t="str">
        <f>"ZEVALLOS                 GABRIEL      M           "</f>
        <v xml:space="preserve">ZEVALLOS                 GABRIEL      M           </v>
      </c>
      <c r="E7702" t="str">
        <f>"JACKSON                   "</f>
        <v xml:space="preserve">JACKSON                   </v>
      </c>
      <c r="F7702" t="str">
        <f t="shared" si="243"/>
        <v>MS</v>
      </c>
    </row>
    <row r="7703" spans="1:6" x14ac:dyDescent="0.25">
      <c r="A7703" t="str">
        <f>"000827741"</f>
        <v>000827741</v>
      </c>
      <c r="B7703" t="str">
        <f>"1104431485"</f>
        <v>1104431485</v>
      </c>
      <c r="C7703" t="str">
        <f>"363A00000X"</f>
        <v>363A00000X</v>
      </c>
      <c r="D7703" t="str">
        <f>"LEE                      JACOB        C           "</f>
        <v xml:space="preserve">LEE                      JACOB        C           </v>
      </c>
      <c r="E7703" t="str">
        <f>"JACKSON                   "</f>
        <v xml:space="preserve">JACKSON                   </v>
      </c>
      <c r="F7703" t="str">
        <f t="shared" si="243"/>
        <v>MS</v>
      </c>
    </row>
    <row r="7704" spans="1:6" x14ac:dyDescent="0.25">
      <c r="A7704" t="str">
        <f>"000828232"</f>
        <v>000828232</v>
      </c>
      <c r="B7704" t="str">
        <f>"1043691074"</f>
        <v>1043691074</v>
      </c>
      <c r="C7704" t="str">
        <f>"363L00000X"</f>
        <v>363L00000X</v>
      </c>
      <c r="D7704" t="str">
        <f>"CHANCELLOR               GAIL         S           "</f>
        <v xml:space="preserve">CHANCELLOR               GAIL         S           </v>
      </c>
      <c r="E7704" t="str">
        <f>"JACKSON                   "</f>
        <v xml:space="preserve">JACKSON                   </v>
      </c>
      <c r="F7704" t="str">
        <f t="shared" si="243"/>
        <v>MS</v>
      </c>
    </row>
    <row r="7705" spans="1:6" x14ac:dyDescent="0.25">
      <c r="A7705" t="str">
        <f>"000828856"</f>
        <v>000828856</v>
      </c>
      <c r="B7705" t="str">
        <f>"1174054605"</f>
        <v>1174054605</v>
      </c>
      <c r="C7705" t="str">
        <f>"207RC0000X"</f>
        <v>207RC0000X</v>
      </c>
      <c r="D7705" t="str">
        <f>"SKELTON                  THOMAS       N           "</f>
        <v xml:space="preserve">SKELTON                  THOMAS       N           </v>
      </c>
      <c r="E7705" t="str">
        <f>"JACKSON                   "</f>
        <v xml:space="preserve">JACKSON                   </v>
      </c>
      <c r="F7705" t="str">
        <f t="shared" si="243"/>
        <v>MS</v>
      </c>
    </row>
    <row r="7706" spans="1:6" x14ac:dyDescent="0.25">
      <c r="A7706" t="str">
        <f>"000828896"</f>
        <v>000828896</v>
      </c>
      <c r="B7706" t="str">
        <f>"1356984462"</f>
        <v>1356984462</v>
      </c>
      <c r="C7706" t="str">
        <f>"363L00000X"</f>
        <v>363L00000X</v>
      </c>
      <c r="D7706" t="str">
        <f>"BOYDSTON                 STEPHANIE    O           "</f>
        <v xml:space="preserve">BOYDSTON                 STEPHANIE    O           </v>
      </c>
      <c r="E7706" t="str">
        <f>"JACKSON                   "</f>
        <v xml:space="preserve">JACKSON                   </v>
      </c>
      <c r="F7706" t="str">
        <f t="shared" si="243"/>
        <v>MS</v>
      </c>
    </row>
    <row r="7707" spans="1:6" x14ac:dyDescent="0.25">
      <c r="A7707" t="str">
        <f>"000829262"</f>
        <v>000829262</v>
      </c>
      <c r="B7707" t="str">
        <f>"1083135958"</f>
        <v>1083135958</v>
      </c>
      <c r="C7707" t="str">
        <f>"363L00000X"</f>
        <v>363L00000X</v>
      </c>
      <c r="D7707" t="str">
        <f>"GRIFFIN                  BRITTANY     N           "</f>
        <v xml:space="preserve">GRIFFIN                  BRITTANY     N           </v>
      </c>
      <c r="E7707" t="str">
        <f>"BROOKHAVEN                "</f>
        <v xml:space="preserve">BROOKHAVEN                </v>
      </c>
      <c r="F7707" t="str">
        <f t="shared" si="243"/>
        <v>MS</v>
      </c>
    </row>
    <row r="7708" spans="1:6" x14ac:dyDescent="0.25">
      <c r="A7708" t="str">
        <f>"000829391"</f>
        <v>000829391</v>
      </c>
      <c r="B7708" t="str">
        <f>"1124663760"</f>
        <v>1124663760</v>
      </c>
      <c r="C7708" t="str">
        <f>"363L00000X"</f>
        <v>363L00000X</v>
      </c>
      <c r="D7708" t="str">
        <f>"GEE                      CINDY                    "</f>
        <v xml:space="preserve">GEE                      CINDY                    </v>
      </c>
      <c r="E7708" t="str">
        <f>"CORINTH                   "</f>
        <v xml:space="preserve">CORINTH                   </v>
      </c>
      <c r="F7708" t="str">
        <f t="shared" si="243"/>
        <v>MS</v>
      </c>
    </row>
    <row r="7709" spans="1:6" x14ac:dyDescent="0.25">
      <c r="A7709" t="str">
        <f>"000829392"</f>
        <v>000829392</v>
      </c>
      <c r="B7709" t="str">
        <f>"1780947127"</f>
        <v>1780947127</v>
      </c>
      <c r="C7709" t="str">
        <f>"122300000X"</f>
        <v>122300000X</v>
      </c>
      <c r="D7709" t="str">
        <f>"MCINNIS ROBINSON         ERICA                    "</f>
        <v xml:space="preserve">MCINNIS ROBINSON         ERICA                    </v>
      </c>
      <c r="E7709" t="str">
        <f>"HATTIESBURG               "</f>
        <v xml:space="preserve">HATTIESBURG               </v>
      </c>
      <c r="F7709" t="str">
        <f t="shared" si="243"/>
        <v>MS</v>
      </c>
    </row>
    <row r="7710" spans="1:6" x14ac:dyDescent="0.25">
      <c r="A7710" t="str">
        <f>"000831537"</f>
        <v>000831537</v>
      </c>
      <c r="B7710" t="str">
        <f>"1144518515"</f>
        <v>1144518515</v>
      </c>
      <c r="C7710" t="str">
        <f>"363L00000X"</f>
        <v>363L00000X</v>
      </c>
      <c r="D7710" t="str">
        <f>"NEWTON                   LAJUANA      Y           "</f>
        <v xml:space="preserve">NEWTON                   LAJUANA      Y           </v>
      </c>
      <c r="E7710" t="str">
        <f>"FLOWOOD                   "</f>
        <v xml:space="preserve">FLOWOOD                   </v>
      </c>
      <c r="F7710" t="str">
        <f t="shared" si="243"/>
        <v>MS</v>
      </c>
    </row>
    <row r="7711" spans="1:6" x14ac:dyDescent="0.25">
      <c r="A7711" t="str">
        <f>"000831873"</f>
        <v>000831873</v>
      </c>
      <c r="B7711" t="str">
        <f>"1518532084"</f>
        <v>1518532084</v>
      </c>
      <c r="C7711" t="str">
        <f>"363L00000X"</f>
        <v>363L00000X</v>
      </c>
      <c r="D7711" t="str">
        <f>"DUNN                     TALYN        D           "</f>
        <v xml:space="preserve">DUNN                     TALYN        D           </v>
      </c>
      <c r="E7711" t="str">
        <f>"PASCAGOULA                "</f>
        <v xml:space="preserve">PASCAGOULA                </v>
      </c>
      <c r="F7711" t="str">
        <f t="shared" si="243"/>
        <v>MS</v>
      </c>
    </row>
    <row r="7712" spans="1:6" x14ac:dyDescent="0.25">
      <c r="A7712" t="str">
        <f>"000833341"</f>
        <v>000833341</v>
      </c>
      <c r="B7712" t="str">
        <f>"1881159903"</f>
        <v>1881159903</v>
      </c>
      <c r="C7712" t="str">
        <f>"363L00000X"</f>
        <v>363L00000X</v>
      </c>
      <c r="D7712" t="str">
        <f>"TARTERA                  LINDSEY                  "</f>
        <v xml:space="preserve">TARTERA                  LINDSEY                  </v>
      </c>
      <c r="E7712" t="str">
        <f>"SOUTHAVEN                 "</f>
        <v xml:space="preserve">SOUTHAVEN                 </v>
      </c>
      <c r="F7712" t="str">
        <f t="shared" si="243"/>
        <v>MS</v>
      </c>
    </row>
    <row r="7713" spans="1:6" x14ac:dyDescent="0.25">
      <c r="A7713" t="str">
        <f>"000834230"</f>
        <v>000834230</v>
      </c>
      <c r="B7713" t="str">
        <f>"1558410035"</f>
        <v>1558410035</v>
      </c>
      <c r="C7713" t="str">
        <f>"152W00000X"</f>
        <v>152W00000X</v>
      </c>
      <c r="D7713" t="str">
        <f>"CAGLE                    LAURIE       W           "</f>
        <v xml:space="preserve">CAGLE                    LAURIE       W           </v>
      </c>
      <c r="E7713" t="str">
        <f>"FULTON                    "</f>
        <v xml:space="preserve">FULTON                    </v>
      </c>
      <c r="F7713" t="str">
        <f t="shared" si="243"/>
        <v>MS</v>
      </c>
    </row>
    <row r="7714" spans="1:6" x14ac:dyDescent="0.25">
      <c r="A7714" t="str">
        <f>"000834790"</f>
        <v>000834790</v>
      </c>
      <c r="B7714" t="str">
        <f>"1144500091"</f>
        <v>1144500091</v>
      </c>
      <c r="C7714" t="str">
        <f>"122300000X"</f>
        <v>122300000X</v>
      </c>
      <c r="D7714" t="str">
        <f>"COLENBERG-EAKINS         LATOYA       D           "</f>
        <v xml:space="preserve">COLENBERG-EAKINS         LATOYA       D           </v>
      </c>
      <c r="E7714" t="str">
        <f>"PORT GIBSON               "</f>
        <v xml:space="preserve">PORT GIBSON               </v>
      </c>
      <c r="F7714" t="str">
        <f t="shared" si="243"/>
        <v>MS</v>
      </c>
    </row>
    <row r="7715" spans="1:6" x14ac:dyDescent="0.25">
      <c r="A7715" t="str">
        <f>"000835093"</f>
        <v>000835093</v>
      </c>
      <c r="B7715" t="str">
        <f>"1124298849"</f>
        <v>1124298849</v>
      </c>
      <c r="C7715" t="str">
        <f>"363L00000X"</f>
        <v>363L00000X</v>
      </c>
      <c r="D7715" t="str">
        <f>"YOUNG                    REGINA       M           "</f>
        <v xml:space="preserve">YOUNG                    REGINA       M           </v>
      </c>
      <c r="E7715" t="str">
        <f>"FLOWOOD                   "</f>
        <v xml:space="preserve">FLOWOOD                   </v>
      </c>
      <c r="F7715" t="str">
        <f t="shared" si="243"/>
        <v>MS</v>
      </c>
    </row>
    <row r="7716" spans="1:6" x14ac:dyDescent="0.25">
      <c r="A7716" t="str">
        <f>"000836531"</f>
        <v>000836531</v>
      </c>
      <c r="B7716" t="str">
        <f>"1740601137"</f>
        <v>1740601137</v>
      </c>
      <c r="C7716" t="str">
        <f>"122300000X"</f>
        <v>122300000X</v>
      </c>
      <c r="D7716" t="str">
        <f>"LARSON                   CAMERON                  "</f>
        <v xml:space="preserve">LARSON                   CAMERON                  </v>
      </c>
      <c r="E7716" t="str">
        <f>"PASCAGOULA                "</f>
        <v xml:space="preserve">PASCAGOULA                </v>
      </c>
      <c r="F7716" t="str">
        <f t="shared" si="243"/>
        <v>MS</v>
      </c>
    </row>
    <row r="7717" spans="1:6" x14ac:dyDescent="0.25">
      <c r="A7717" t="str">
        <f>"000839845"</f>
        <v>000839845</v>
      </c>
      <c r="B7717" t="str">
        <f>"1639106636"</f>
        <v>1639106636</v>
      </c>
      <c r="C7717" t="str">
        <f>"2080P0204X"</f>
        <v>2080P0204X</v>
      </c>
      <c r="D7717" t="str">
        <f>"DILLARD                  BENJAMIN     C           "</f>
        <v xml:space="preserve">DILLARD                  BENJAMIN     C           </v>
      </c>
      <c r="E7717" t="str">
        <f>"JACKSON                   "</f>
        <v xml:space="preserve">JACKSON                   </v>
      </c>
      <c r="F7717" t="str">
        <f t="shared" si="243"/>
        <v>MS</v>
      </c>
    </row>
    <row r="7718" spans="1:6" x14ac:dyDescent="0.25">
      <c r="A7718" t="str">
        <f>"000850368"</f>
        <v>000850368</v>
      </c>
      <c r="B7718" t="str">
        <f>"1962745737"</f>
        <v>1962745737</v>
      </c>
      <c r="C7718" t="str">
        <f>"207R00000X"</f>
        <v>207R00000X</v>
      </c>
      <c r="D7718" t="str">
        <f>"PALASIEWICZ              RENATA                   "</f>
        <v xml:space="preserve">PALASIEWICZ              RENATA                   </v>
      </c>
      <c r="E7718" t="str">
        <f>"TUPELO                    "</f>
        <v xml:space="preserve">TUPELO                    </v>
      </c>
      <c r="F7718" t="str">
        <f t="shared" si="243"/>
        <v>MS</v>
      </c>
    </row>
    <row r="7719" spans="1:6" x14ac:dyDescent="0.25">
      <c r="A7719" t="str">
        <f>"000851502"</f>
        <v>000851502</v>
      </c>
      <c r="B7719" t="str">
        <f>"1851887061"</f>
        <v>1851887061</v>
      </c>
      <c r="C7719" t="str">
        <f>"207R00000X"</f>
        <v>207R00000X</v>
      </c>
      <c r="D7719" t="str">
        <f>"HAMID                    SARAH                    "</f>
        <v xml:space="preserve">HAMID                    SARAH                    </v>
      </c>
      <c r="E7719" t="str">
        <f>"GULFPORT                  "</f>
        <v xml:space="preserve">GULFPORT                  </v>
      </c>
      <c r="F7719" t="str">
        <f t="shared" si="243"/>
        <v>MS</v>
      </c>
    </row>
    <row r="7720" spans="1:6" x14ac:dyDescent="0.25">
      <c r="A7720" t="str">
        <f>"000851703"</f>
        <v>000851703</v>
      </c>
      <c r="B7720" t="str">
        <f>"1588813257"</f>
        <v>1588813257</v>
      </c>
      <c r="C7720" t="str">
        <f>"207Q00000X"</f>
        <v>207Q00000X</v>
      </c>
      <c r="D7720" t="str">
        <f>"MAZUMDER                 MANOJ        M           "</f>
        <v xml:space="preserve">MAZUMDER                 MANOJ        M           </v>
      </c>
      <c r="E7720" t="str">
        <f>"SOUTHAVEN                 "</f>
        <v xml:space="preserve">SOUTHAVEN                 </v>
      </c>
      <c r="F7720" t="str">
        <f t="shared" si="243"/>
        <v>MS</v>
      </c>
    </row>
    <row r="7721" spans="1:6" x14ac:dyDescent="0.25">
      <c r="A7721" t="str">
        <f>"000852251"</f>
        <v>000852251</v>
      </c>
      <c r="B7721" t="str">
        <f>"1841817079"</f>
        <v>1841817079</v>
      </c>
      <c r="C7721" t="str">
        <f>"122300000X"</f>
        <v>122300000X</v>
      </c>
      <c r="D7721" t="str">
        <f>"ASPIRE DENTAL                                     "</f>
        <v xml:space="preserve">ASPIRE DENTAL                                     </v>
      </c>
      <c r="E7721" t="str">
        <f>"LAUREL                    "</f>
        <v xml:space="preserve">LAUREL                    </v>
      </c>
      <c r="F7721" t="str">
        <f t="shared" si="243"/>
        <v>MS</v>
      </c>
    </row>
    <row r="7722" spans="1:6" x14ac:dyDescent="0.25">
      <c r="A7722" t="str">
        <f>"000852309"</f>
        <v>000852309</v>
      </c>
      <c r="B7722" t="str">
        <f>"1104556331"</f>
        <v>1104556331</v>
      </c>
      <c r="C7722" t="str">
        <f>"367500000X"</f>
        <v>367500000X</v>
      </c>
      <c r="D7722" t="str">
        <f>"CONN                     ZACHARY      A           "</f>
        <v xml:space="preserve">CONN                     ZACHARY      A           </v>
      </c>
      <c r="E7722" t="str">
        <f>"JACKSON                   "</f>
        <v xml:space="preserve">JACKSON                   </v>
      </c>
      <c r="F7722" t="str">
        <f t="shared" si="243"/>
        <v>MS</v>
      </c>
    </row>
    <row r="7723" spans="1:6" x14ac:dyDescent="0.25">
      <c r="A7723" t="str">
        <f>"000853074"</f>
        <v>000853074</v>
      </c>
      <c r="B7723" t="str">
        <f>"1326486499"</f>
        <v>1326486499</v>
      </c>
      <c r="C7723" t="str">
        <f>"122300000X"</f>
        <v>122300000X</v>
      </c>
      <c r="D7723" t="str">
        <f>"AULTMAN                  JEANNA       L           "</f>
        <v xml:space="preserve">AULTMAN                  JEANNA       L           </v>
      </c>
      <c r="E7723" t="str">
        <f>"SUMRALL                   "</f>
        <v xml:space="preserve">SUMRALL                   </v>
      </c>
      <c r="F7723" t="str">
        <f t="shared" si="243"/>
        <v>MS</v>
      </c>
    </row>
    <row r="7724" spans="1:6" x14ac:dyDescent="0.25">
      <c r="A7724" t="str">
        <f>"000853330"</f>
        <v>000853330</v>
      </c>
      <c r="B7724" t="str">
        <f>"1508253295"</f>
        <v>1508253295</v>
      </c>
      <c r="C7724" t="str">
        <f>"207R00000X"</f>
        <v>207R00000X</v>
      </c>
      <c r="D7724" t="str">
        <f>"HANCOCK                  MARY         G           "</f>
        <v xml:space="preserve">HANCOCK                  MARY         G           </v>
      </c>
      <c r="E7724" t="str">
        <f>"BOONEVILLE                "</f>
        <v xml:space="preserve">BOONEVILLE                </v>
      </c>
      <c r="F7724" t="str">
        <f t="shared" si="243"/>
        <v>MS</v>
      </c>
    </row>
    <row r="7725" spans="1:6" x14ac:dyDescent="0.25">
      <c r="A7725" t="str">
        <f>"000854025"</f>
        <v>000854025</v>
      </c>
      <c r="B7725" t="str">
        <f>"1457591570"</f>
        <v>1457591570</v>
      </c>
      <c r="C7725" t="str">
        <f>"207RC0001X"</f>
        <v>207RC0001X</v>
      </c>
      <c r="D7725" t="str">
        <f>"BENSLER                  JAMES        M           "</f>
        <v xml:space="preserve">BENSLER                  JAMES        M           </v>
      </c>
      <c r="E7725" t="str">
        <f>"JACKSON                   "</f>
        <v xml:space="preserve">JACKSON                   </v>
      </c>
      <c r="F7725" t="str">
        <f t="shared" si="243"/>
        <v>MS</v>
      </c>
    </row>
    <row r="7726" spans="1:6" x14ac:dyDescent="0.25">
      <c r="A7726" t="str">
        <f>"000854345"</f>
        <v>000854345</v>
      </c>
      <c r="B7726" t="str">
        <f>"1598184871"</f>
        <v>1598184871</v>
      </c>
      <c r="C7726" t="str">
        <f>"1223X0400X"</f>
        <v>1223X0400X</v>
      </c>
      <c r="D7726" t="str">
        <f>"BROWN ULMER              JESSICA                  "</f>
        <v xml:space="preserve">BROWN ULMER              JESSICA                  </v>
      </c>
      <c r="E7726" t="str">
        <f>"GULFPORT                  "</f>
        <v xml:space="preserve">GULFPORT                  </v>
      </c>
      <c r="F7726" t="str">
        <f t="shared" si="243"/>
        <v>MS</v>
      </c>
    </row>
    <row r="7727" spans="1:6" x14ac:dyDescent="0.25">
      <c r="A7727" t="str">
        <f>"000854387"</f>
        <v>000854387</v>
      </c>
      <c r="B7727" t="str">
        <f>"1356869598"</f>
        <v>1356869598</v>
      </c>
      <c r="C7727" t="str">
        <f>"363L00000X"</f>
        <v>363L00000X</v>
      </c>
      <c r="D7727" t="str">
        <f>"TAYLOR                   BRITTANY     C           "</f>
        <v xml:space="preserve">TAYLOR                   BRITTANY     C           </v>
      </c>
      <c r="E7727" t="str">
        <f>"CORINTH                   "</f>
        <v xml:space="preserve">CORINTH                   </v>
      </c>
      <c r="F7727" t="str">
        <f t="shared" si="243"/>
        <v>MS</v>
      </c>
    </row>
    <row r="7728" spans="1:6" x14ac:dyDescent="0.25">
      <c r="A7728" t="str">
        <f>"000854398"</f>
        <v>000854398</v>
      </c>
      <c r="B7728" t="str">
        <f>"1497413330"</f>
        <v>1497413330</v>
      </c>
      <c r="C7728" t="str">
        <f>"261QM1300X"</f>
        <v>261QM1300X</v>
      </c>
      <c r="D7728" t="str">
        <f>"LUMLEY HEALTH SERVICES LLC                        "</f>
        <v xml:space="preserve">LUMLEY HEALTH SERVICES LLC                        </v>
      </c>
      <c r="E7728" t="str">
        <f>"BROOKHAVEN                "</f>
        <v xml:space="preserve">BROOKHAVEN                </v>
      </c>
      <c r="F7728" t="str">
        <f t="shared" si="243"/>
        <v>MS</v>
      </c>
    </row>
    <row r="7729" spans="1:6" x14ac:dyDescent="0.25">
      <c r="A7729" t="str">
        <f>"000854539"</f>
        <v>000854539</v>
      </c>
      <c r="B7729" t="str">
        <f>"1023458452"</f>
        <v>1023458452</v>
      </c>
      <c r="C7729" t="str">
        <f>"207X00000X"</f>
        <v>207X00000X</v>
      </c>
      <c r="D7729" t="str">
        <f>"ADAMS                    JEREMY       C           "</f>
        <v xml:space="preserve">ADAMS                    JEREMY       C           </v>
      </c>
      <c r="E7729" t="str">
        <f>"TUPELO                    "</f>
        <v xml:space="preserve">TUPELO                    </v>
      </c>
      <c r="F7729" t="str">
        <f t="shared" si="243"/>
        <v>MS</v>
      </c>
    </row>
    <row r="7730" spans="1:6" x14ac:dyDescent="0.25">
      <c r="A7730" t="str">
        <f>"000855023"</f>
        <v>000855023</v>
      </c>
      <c r="B7730" t="str">
        <f>"1346782893"</f>
        <v>1346782893</v>
      </c>
      <c r="C7730" t="str">
        <f>"122300000X"</f>
        <v>122300000X</v>
      </c>
      <c r="D7730" t="str">
        <f>"MISSISSIPPI SMILES DENTISTRY LLC                  "</f>
        <v xml:space="preserve">MISSISSIPPI SMILES DENTISTRY LLC                  </v>
      </c>
      <c r="E7730" t="str">
        <f>"JACKSON                   "</f>
        <v xml:space="preserve">JACKSON                   </v>
      </c>
      <c r="F7730" t="str">
        <f t="shared" si="243"/>
        <v>MS</v>
      </c>
    </row>
    <row r="7731" spans="1:6" x14ac:dyDescent="0.25">
      <c r="A7731" t="str">
        <f>"000855316"</f>
        <v>000855316</v>
      </c>
      <c r="B7731" t="str">
        <f>"1699054700"</f>
        <v>1699054700</v>
      </c>
      <c r="C7731" t="str">
        <f>"207Q00000X"</f>
        <v>207Q00000X</v>
      </c>
      <c r="D7731" t="str">
        <f>"GABRIEL                  KIMBERLY                 "</f>
        <v xml:space="preserve">GABRIEL                  KIMBERLY                 </v>
      </c>
      <c r="E7731" t="str">
        <f>"RIDGELAND                 "</f>
        <v xml:space="preserve">RIDGELAND                 </v>
      </c>
      <c r="F7731" t="str">
        <f t="shared" si="243"/>
        <v>MS</v>
      </c>
    </row>
    <row r="7732" spans="1:6" x14ac:dyDescent="0.25">
      <c r="A7732" t="str">
        <f>"000856896"</f>
        <v>000856896</v>
      </c>
      <c r="B7732" t="str">
        <f>"1992742373"</f>
        <v>1992742373</v>
      </c>
      <c r="C7732" t="str">
        <f>"2085R0202X"</f>
        <v>2085R0202X</v>
      </c>
      <c r="D7732" t="str">
        <f>"QURESHI                  JAVED        A           "</f>
        <v xml:space="preserve">QURESHI                  JAVED        A           </v>
      </c>
      <c r="E7732" t="str">
        <f>"JACKSON                   "</f>
        <v xml:space="preserve">JACKSON                   </v>
      </c>
      <c r="F7732" t="str">
        <f t="shared" si="243"/>
        <v>MS</v>
      </c>
    </row>
    <row r="7733" spans="1:6" x14ac:dyDescent="0.25">
      <c r="A7733" t="str">
        <f>"000858278"</f>
        <v>000858278</v>
      </c>
      <c r="B7733" t="str">
        <f>"1033449186"</f>
        <v>1033449186</v>
      </c>
      <c r="C7733" t="str">
        <f>"207R00000X"</f>
        <v>207R00000X</v>
      </c>
      <c r="D7733" t="str">
        <f>"SCURTI                   CONNIE       H           "</f>
        <v xml:space="preserve">SCURTI                   CONNIE       H           </v>
      </c>
      <c r="E7733" t="str">
        <f>"COLUMBUS                  "</f>
        <v xml:space="preserve">COLUMBUS                  </v>
      </c>
      <c r="F7733" t="str">
        <f t="shared" si="243"/>
        <v>MS</v>
      </c>
    </row>
    <row r="7734" spans="1:6" x14ac:dyDescent="0.25">
      <c r="A7734" t="str">
        <f>"000858841"</f>
        <v>000858841</v>
      </c>
      <c r="B7734" t="str">
        <f>"1780101139"</f>
        <v>1780101139</v>
      </c>
      <c r="C7734" t="str">
        <f>"363L00000X"</f>
        <v>363L00000X</v>
      </c>
      <c r="D7734" t="str">
        <f>"GEORGE                   LAURA        T           "</f>
        <v xml:space="preserve">GEORGE                   LAURA        T           </v>
      </c>
      <c r="E7734" t="str">
        <f>"NEW ALBANY                "</f>
        <v xml:space="preserve">NEW ALBANY                </v>
      </c>
      <c r="F7734" t="str">
        <f t="shared" si="243"/>
        <v>MS</v>
      </c>
    </row>
    <row r="7735" spans="1:6" x14ac:dyDescent="0.25">
      <c r="A7735" t="str">
        <f>"000859802"</f>
        <v>000859802</v>
      </c>
      <c r="B7735" t="str">
        <f>"1619320439"</f>
        <v>1619320439</v>
      </c>
      <c r="C7735" t="str">
        <f>"207R00000X"</f>
        <v>207R00000X</v>
      </c>
      <c r="D7735" t="str">
        <f>"TIRMIZI                  SYED         A           "</f>
        <v xml:space="preserve">TIRMIZI                  SYED         A           </v>
      </c>
      <c r="E7735" t="str">
        <f>"TUPELO                    "</f>
        <v xml:space="preserve">TUPELO                    </v>
      </c>
      <c r="F7735" t="str">
        <f t="shared" si="243"/>
        <v>MS</v>
      </c>
    </row>
    <row r="7736" spans="1:6" x14ac:dyDescent="0.25">
      <c r="A7736" t="str">
        <f>"000870268"</f>
        <v>000870268</v>
      </c>
      <c r="B7736" t="str">
        <f>"1093122210"</f>
        <v>1093122210</v>
      </c>
      <c r="C7736" t="str">
        <f>"363A00000X"</f>
        <v>363A00000X</v>
      </c>
      <c r="D7736" t="str">
        <f>"KILDOW                   JOYCE        D           "</f>
        <v xml:space="preserve">KILDOW                   JOYCE        D           </v>
      </c>
      <c r="E7736" t="str">
        <f>"OLIVE BRANCH              "</f>
        <v xml:space="preserve">OLIVE BRANCH              </v>
      </c>
      <c r="F7736" t="str">
        <f t="shared" si="243"/>
        <v>MS</v>
      </c>
    </row>
    <row r="7737" spans="1:6" x14ac:dyDescent="0.25">
      <c r="A7737" t="str">
        <f>"000871799"</f>
        <v>000871799</v>
      </c>
      <c r="B7737" t="str">
        <f>"1851814875"</f>
        <v>1851814875</v>
      </c>
      <c r="C7737" t="str">
        <f>"363L00000X"</f>
        <v>363L00000X</v>
      </c>
      <c r="D7737" t="str">
        <f>"HUDSON                   STACI        L           "</f>
        <v xml:space="preserve">HUDSON                   STACI        L           </v>
      </c>
      <c r="E7737" t="str">
        <f>"HERNANDO                  "</f>
        <v xml:space="preserve">HERNANDO                  </v>
      </c>
      <c r="F7737" t="str">
        <f t="shared" si="243"/>
        <v>MS</v>
      </c>
    </row>
    <row r="7738" spans="1:6" x14ac:dyDescent="0.25">
      <c r="A7738" t="str">
        <f>"000872250"</f>
        <v>000872250</v>
      </c>
      <c r="B7738" t="str">
        <f>"1407980634"</f>
        <v>1407980634</v>
      </c>
      <c r="C7738" t="str">
        <f>"207Q00000X"</f>
        <v>207Q00000X</v>
      </c>
      <c r="D7738" t="str">
        <f>"RUSSELL                  TORI         H           "</f>
        <v xml:space="preserve">RUSSELL                  TORI         H           </v>
      </c>
      <c r="E7738" t="str">
        <f>"COLUMBIA                  "</f>
        <v xml:space="preserve">COLUMBIA                  </v>
      </c>
      <c r="F7738" t="str">
        <f t="shared" si="243"/>
        <v>MS</v>
      </c>
    </row>
    <row r="7739" spans="1:6" x14ac:dyDescent="0.25">
      <c r="A7739" t="str">
        <f>"000874238"</f>
        <v>000874238</v>
      </c>
      <c r="B7739" t="str">
        <f>"1982652871"</f>
        <v>1982652871</v>
      </c>
      <c r="C7739" t="str">
        <f>"207P00000X"</f>
        <v>207P00000X</v>
      </c>
      <c r="D7739" t="str">
        <f>"HOLLAND                  DANIEL                   "</f>
        <v xml:space="preserve">HOLLAND                  DANIEL                   </v>
      </c>
      <c r="E7739" t="str">
        <f>"HATTIESBURG               "</f>
        <v xml:space="preserve">HATTIESBURG               </v>
      </c>
      <c r="F7739" t="str">
        <f t="shared" si="243"/>
        <v>MS</v>
      </c>
    </row>
    <row r="7740" spans="1:6" x14ac:dyDescent="0.25">
      <c r="A7740" t="str">
        <f>"000875208"</f>
        <v>000875208</v>
      </c>
      <c r="B7740" t="str">
        <f>"1821482548"</f>
        <v>1821482548</v>
      </c>
      <c r="C7740" t="str">
        <f>"261QA0600X"</f>
        <v>261QA0600X</v>
      </c>
      <c r="D7740" t="str">
        <f>"DELTA VALLEY ADULT DAYCARE                        "</f>
        <v xml:space="preserve">DELTA VALLEY ADULT DAYCARE                        </v>
      </c>
      <c r="E7740" t="str">
        <f>"ITTA BENA                 "</f>
        <v xml:space="preserve">ITTA BENA                 </v>
      </c>
      <c r="F7740" t="str">
        <f t="shared" si="243"/>
        <v>MS</v>
      </c>
    </row>
    <row r="7741" spans="1:6" x14ac:dyDescent="0.25">
      <c r="A7741" t="str">
        <f>"000875556"</f>
        <v>000875556</v>
      </c>
      <c r="B7741" t="str">
        <f>"1790135721"</f>
        <v>1790135721</v>
      </c>
      <c r="C7741" t="str">
        <f>"363L00000X"</f>
        <v>363L00000X</v>
      </c>
      <c r="D7741" t="str">
        <f>"RUPP                     CRISTINA     M           "</f>
        <v xml:space="preserve">RUPP                     CRISTINA     M           </v>
      </c>
      <c r="E7741" t="str">
        <f>"GULFPORT                  "</f>
        <v xml:space="preserve">GULFPORT                  </v>
      </c>
      <c r="F7741" t="str">
        <f t="shared" si="243"/>
        <v>MS</v>
      </c>
    </row>
    <row r="7742" spans="1:6" x14ac:dyDescent="0.25">
      <c r="A7742" t="str">
        <f>"000876318"</f>
        <v>000876318</v>
      </c>
      <c r="B7742" t="str">
        <f>"1497799118"</f>
        <v>1497799118</v>
      </c>
      <c r="C7742" t="str">
        <f>"2085R0202X"</f>
        <v>2085R0202X</v>
      </c>
      <c r="D7742" t="str">
        <f>"HOWARD-CLAUDIO           CANDACE      M           "</f>
        <v xml:space="preserve">HOWARD-CLAUDIO           CANDACE      M           </v>
      </c>
      <c r="E7742" t="str">
        <f>"JACKSON                   "</f>
        <v xml:space="preserve">JACKSON                   </v>
      </c>
      <c r="F7742" t="str">
        <f t="shared" ref="F7742:F7805" si="244">"MS"</f>
        <v>MS</v>
      </c>
    </row>
    <row r="7743" spans="1:6" x14ac:dyDescent="0.25">
      <c r="A7743" t="str">
        <f>"000877017"</f>
        <v>000877017</v>
      </c>
      <c r="B7743" t="str">
        <f>"1295989770"</f>
        <v>1295989770</v>
      </c>
      <c r="C7743" t="str">
        <f>"207Q00000X"</f>
        <v>207Q00000X</v>
      </c>
      <c r="D7743" t="str">
        <f>"ORDONEZ                  ROBERT                   "</f>
        <v xml:space="preserve">ORDONEZ                  ROBERT                   </v>
      </c>
      <c r="E7743" t="str">
        <f>"BAY SAINT LOUIS           "</f>
        <v xml:space="preserve">BAY SAINT LOUIS           </v>
      </c>
      <c r="F7743" t="str">
        <f t="shared" si="244"/>
        <v>MS</v>
      </c>
    </row>
    <row r="7744" spans="1:6" x14ac:dyDescent="0.25">
      <c r="A7744" t="str">
        <f>"000877508"</f>
        <v>000877508</v>
      </c>
      <c r="B7744" t="str">
        <f>"1386008928"</f>
        <v>1386008928</v>
      </c>
      <c r="C7744" t="str">
        <f>"207R00000X"</f>
        <v>207R00000X</v>
      </c>
      <c r="D7744" t="str">
        <f>"KNIGHT                   JOHN         O           "</f>
        <v xml:space="preserve">KNIGHT                   JOHN         O           </v>
      </c>
      <c r="E7744" t="str">
        <f>"JACKSON                   "</f>
        <v xml:space="preserve">JACKSON                   </v>
      </c>
      <c r="F7744" t="str">
        <f t="shared" si="244"/>
        <v>MS</v>
      </c>
    </row>
    <row r="7745" spans="1:6" x14ac:dyDescent="0.25">
      <c r="A7745" t="str">
        <f>"000878825"</f>
        <v>000878825</v>
      </c>
      <c r="B7745" t="str">
        <f>"1790925758"</f>
        <v>1790925758</v>
      </c>
      <c r="C7745" t="str">
        <f>"363L00000X"</f>
        <v>363L00000X</v>
      </c>
      <c r="D7745" t="str">
        <f>"SKAGGS                   ASHLEY       E           "</f>
        <v xml:space="preserve">SKAGGS                   ASHLEY       E           </v>
      </c>
      <c r="E7745" t="str">
        <f>"BAY ST LOUIS              "</f>
        <v xml:space="preserve">BAY ST LOUIS              </v>
      </c>
      <c r="F7745" t="str">
        <f t="shared" si="244"/>
        <v>MS</v>
      </c>
    </row>
    <row r="7746" spans="1:6" x14ac:dyDescent="0.25">
      <c r="A7746" t="str">
        <f>"000878849"</f>
        <v>000878849</v>
      </c>
      <c r="B7746" t="str">
        <f>"1306167788"</f>
        <v>1306167788</v>
      </c>
      <c r="C7746" t="str">
        <f>"207R00000X"</f>
        <v>207R00000X</v>
      </c>
      <c r="D7746" t="str">
        <f>"BOGI                     SANDHYA      R           "</f>
        <v xml:space="preserve">BOGI                     SANDHYA      R           </v>
      </c>
      <c r="E7746" t="str">
        <f>"TUPELO                    "</f>
        <v xml:space="preserve">TUPELO                    </v>
      </c>
      <c r="F7746" t="str">
        <f t="shared" si="244"/>
        <v>MS</v>
      </c>
    </row>
    <row r="7747" spans="1:6" x14ac:dyDescent="0.25">
      <c r="A7747" t="str">
        <f>"000878861"</f>
        <v>000878861</v>
      </c>
      <c r="B7747" t="str">
        <f>"1255857173"</f>
        <v>1255857173</v>
      </c>
      <c r="C7747" t="str">
        <f>"363L00000X"</f>
        <v>363L00000X</v>
      </c>
      <c r="D7747" t="str">
        <f>"ARMSTRONG                LAUREN       G           "</f>
        <v xml:space="preserve">ARMSTRONG                LAUREN       G           </v>
      </c>
      <c r="E7747" t="str">
        <f>"HAZLEHURST                "</f>
        <v xml:space="preserve">HAZLEHURST                </v>
      </c>
      <c r="F7747" t="str">
        <f t="shared" si="244"/>
        <v>MS</v>
      </c>
    </row>
    <row r="7748" spans="1:6" x14ac:dyDescent="0.25">
      <c r="A7748" t="str">
        <f>"000880002"</f>
        <v>000880002</v>
      </c>
      <c r="B7748" t="str">
        <f>"1447364005"</f>
        <v>1447364005</v>
      </c>
      <c r="C7748" t="str">
        <f t="shared" ref="C7748:C7803" si="245">"152W00000X"</f>
        <v>152W00000X</v>
      </c>
      <c r="D7748" t="str">
        <f>"BROWN                    JAMES        E           "</f>
        <v xml:space="preserve">BROWN                    JAMES        E           </v>
      </c>
      <c r="E7748" t="str">
        <f>"BRUCE                     "</f>
        <v xml:space="preserve">BRUCE                     </v>
      </c>
      <c r="F7748" t="str">
        <f t="shared" si="244"/>
        <v>MS</v>
      </c>
    </row>
    <row r="7749" spans="1:6" x14ac:dyDescent="0.25">
      <c r="A7749" t="str">
        <f>"000880003"</f>
        <v>000880003</v>
      </c>
      <c r="B7749" t="str">
        <f>"1811177843"</f>
        <v>1811177843</v>
      </c>
      <c r="C7749" t="str">
        <f t="shared" si="245"/>
        <v>152W00000X</v>
      </c>
      <c r="D7749" t="str">
        <f>"HALL                     TODD                     "</f>
        <v xml:space="preserve">HALL                     TODD                     </v>
      </c>
      <c r="E7749" t="str">
        <f>"GREENWOOD                 "</f>
        <v xml:space="preserve">GREENWOOD                 </v>
      </c>
      <c r="F7749" t="str">
        <f t="shared" si="244"/>
        <v>MS</v>
      </c>
    </row>
    <row r="7750" spans="1:6" x14ac:dyDescent="0.25">
      <c r="A7750" t="str">
        <f>"000880005"</f>
        <v>000880005</v>
      </c>
      <c r="B7750" t="str">
        <f>"1972583524"</f>
        <v>1972583524</v>
      </c>
      <c r="C7750" t="str">
        <f t="shared" si="245"/>
        <v>152W00000X</v>
      </c>
      <c r="D7750" t="str">
        <f>"WEEDEN                   MICHAEL      L           "</f>
        <v xml:space="preserve">WEEDEN                   MICHAEL      L           </v>
      </c>
      <c r="E7750" t="str">
        <f>"CORINTH                   "</f>
        <v xml:space="preserve">CORINTH                   </v>
      </c>
      <c r="F7750" t="str">
        <f t="shared" si="244"/>
        <v>MS</v>
      </c>
    </row>
    <row r="7751" spans="1:6" x14ac:dyDescent="0.25">
      <c r="A7751" t="str">
        <f>"000880007"</f>
        <v>000880007</v>
      </c>
      <c r="B7751" t="str">
        <f>"1831240183"</f>
        <v>1831240183</v>
      </c>
      <c r="C7751" t="str">
        <f t="shared" si="245"/>
        <v>152W00000X</v>
      </c>
      <c r="D7751" t="str">
        <f>"HERRINGTON               LISA         E           "</f>
        <v xml:space="preserve">HERRINGTON               LISA         E           </v>
      </c>
      <c r="E7751" t="str">
        <f>"HATTIESBURG               "</f>
        <v xml:space="preserve">HATTIESBURG               </v>
      </c>
      <c r="F7751" t="str">
        <f t="shared" si="244"/>
        <v>MS</v>
      </c>
    </row>
    <row r="7752" spans="1:6" x14ac:dyDescent="0.25">
      <c r="A7752" t="str">
        <f>"000880022"</f>
        <v>000880022</v>
      </c>
      <c r="B7752" t="str">
        <f>"1346215274"</f>
        <v>1346215274</v>
      </c>
      <c r="C7752" t="str">
        <f t="shared" si="245"/>
        <v>152W00000X</v>
      </c>
      <c r="D7752" t="str">
        <f>"HAUTOT                   MARC         A           "</f>
        <v xml:space="preserve">HAUTOT                   MARC         A           </v>
      </c>
      <c r="E7752" t="str">
        <f>"PICAYUNE                  "</f>
        <v xml:space="preserve">PICAYUNE                  </v>
      </c>
      <c r="F7752" t="str">
        <f t="shared" si="244"/>
        <v>MS</v>
      </c>
    </row>
    <row r="7753" spans="1:6" x14ac:dyDescent="0.25">
      <c r="A7753" t="str">
        <f>"000880031"</f>
        <v>000880031</v>
      </c>
      <c r="B7753" t="str">
        <f>"1053404012"</f>
        <v>1053404012</v>
      </c>
      <c r="C7753" t="str">
        <f t="shared" si="245"/>
        <v>152W00000X</v>
      </c>
      <c r="D7753" t="str">
        <f>"KEA                      JOE          C           "</f>
        <v xml:space="preserve">KEA                      JOE          C           </v>
      </c>
      <c r="E7753" t="str">
        <f>"TUPELO                    "</f>
        <v xml:space="preserve">TUPELO                    </v>
      </c>
      <c r="F7753" t="str">
        <f t="shared" si="244"/>
        <v>MS</v>
      </c>
    </row>
    <row r="7754" spans="1:6" x14ac:dyDescent="0.25">
      <c r="A7754" t="str">
        <f>"000880034"</f>
        <v>000880034</v>
      </c>
      <c r="B7754" t="str">
        <f>"1023101342"</f>
        <v>1023101342</v>
      </c>
      <c r="C7754" t="str">
        <f t="shared" si="245"/>
        <v>152W00000X</v>
      </c>
      <c r="D7754" t="str">
        <f>"TURNER                   MICHAEL      G           "</f>
        <v xml:space="preserve">TURNER                   MICHAEL      G           </v>
      </c>
      <c r="E7754" t="str">
        <f>"OXFORD                    "</f>
        <v xml:space="preserve">OXFORD                    </v>
      </c>
      <c r="F7754" t="str">
        <f t="shared" si="244"/>
        <v>MS</v>
      </c>
    </row>
    <row r="7755" spans="1:6" x14ac:dyDescent="0.25">
      <c r="A7755" t="str">
        <f>"000880035"</f>
        <v>000880035</v>
      </c>
      <c r="B7755" t="str">
        <f>"1518021872"</f>
        <v>1518021872</v>
      </c>
      <c r="C7755" t="str">
        <f t="shared" si="245"/>
        <v>152W00000X</v>
      </c>
      <c r="D7755" t="str">
        <f>"POWELL                   GEORGE       A           "</f>
        <v xml:space="preserve">POWELL                   GEORGE       A           </v>
      </c>
      <c r="E7755" t="str">
        <f>"HOUSTON                   "</f>
        <v xml:space="preserve">HOUSTON                   </v>
      </c>
      <c r="F7755" t="str">
        <f t="shared" si="244"/>
        <v>MS</v>
      </c>
    </row>
    <row r="7756" spans="1:6" x14ac:dyDescent="0.25">
      <c r="A7756" t="str">
        <f>"000880040"</f>
        <v>000880040</v>
      </c>
      <c r="B7756" t="str">
        <f>"1427180553"</f>
        <v>1427180553</v>
      </c>
      <c r="C7756" t="str">
        <f t="shared" si="245"/>
        <v>152W00000X</v>
      </c>
      <c r="D7756" t="str">
        <f>"LEE                      SHERYL       W           "</f>
        <v xml:space="preserve">LEE                      SHERYL       W           </v>
      </c>
      <c r="E7756" t="str">
        <f>"BROOKHAVEN                "</f>
        <v xml:space="preserve">BROOKHAVEN                </v>
      </c>
      <c r="F7756" t="str">
        <f t="shared" si="244"/>
        <v>MS</v>
      </c>
    </row>
    <row r="7757" spans="1:6" x14ac:dyDescent="0.25">
      <c r="A7757" t="str">
        <f>"000880054"</f>
        <v>000880054</v>
      </c>
      <c r="B7757" t="str">
        <f>"1831181437"</f>
        <v>1831181437</v>
      </c>
      <c r="C7757" t="str">
        <f t="shared" si="245"/>
        <v>152W00000X</v>
      </c>
      <c r="D7757" t="str">
        <f>"MARLER                   PHILIP       W           "</f>
        <v xml:space="preserve">MARLER                   PHILIP       W           </v>
      </c>
      <c r="E7757" t="str">
        <f>"CARTHAGE                  "</f>
        <v xml:space="preserve">CARTHAGE                  </v>
      </c>
      <c r="F7757" t="str">
        <f t="shared" si="244"/>
        <v>MS</v>
      </c>
    </row>
    <row r="7758" spans="1:6" x14ac:dyDescent="0.25">
      <c r="A7758" t="str">
        <f>"000880058"</f>
        <v>000880058</v>
      </c>
      <c r="B7758" t="str">
        <f>"1083783963"</f>
        <v>1083783963</v>
      </c>
      <c r="C7758" t="str">
        <f t="shared" si="245"/>
        <v>152W00000X</v>
      </c>
      <c r="D7758" t="str">
        <f>"BARNES                   CHARLES      E           "</f>
        <v xml:space="preserve">BARNES                   CHARLES      E           </v>
      </c>
      <c r="E7758" t="str">
        <f>"MCCOMB                    "</f>
        <v xml:space="preserve">MCCOMB                    </v>
      </c>
      <c r="F7758" t="str">
        <f t="shared" si="244"/>
        <v>MS</v>
      </c>
    </row>
    <row r="7759" spans="1:6" x14ac:dyDescent="0.25">
      <c r="A7759" t="str">
        <f>"000880059"</f>
        <v>000880059</v>
      </c>
      <c r="B7759" t="str">
        <f>"1558321729"</f>
        <v>1558321729</v>
      </c>
      <c r="C7759" t="str">
        <f t="shared" si="245"/>
        <v>152W00000X</v>
      </c>
      <c r="D7759" t="str">
        <f>"PARKER                   DAVID        L           "</f>
        <v xml:space="preserve">PARKER                   DAVID        L           </v>
      </c>
      <c r="E7759" t="str">
        <f>"OLIVE BRANCH              "</f>
        <v xml:space="preserve">OLIVE BRANCH              </v>
      </c>
      <c r="F7759" t="str">
        <f t="shared" si="244"/>
        <v>MS</v>
      </c>
    </row>
    <row r="7760" spans="1:6" x14ac:dyDescent="0.25">
      <c r="A7760" t="str">
        <f>"000880060"</f>
        <v>000880060</v>
      </c>
      <c r="B7760" t="str">
        <f>"1043200553"</f>
        <v>1043200553</v>
      </c>
      <c r="C7760" t="str">
        <f t="shared" si="245"/>
        <v>152W00000X</v>
      </c>
      <c r="D7760" t="str">
        <f>"DOHERTY                  SHAWN        P           "</f>
        <v xml:space="preserve">DOHERTY                  SHAWN        P           </v>
      </c>
      <c r="E7760" t="str">
        <f>"NATCHEZ                   "</f>
        <v xml:space="preserve">NATCHEZ                   </v>
      </c>
      <c r="F7760" t="str">
        <f t="shared" si="244"/>
        <v>MS</v>
      </c>
    </row>
    <row r="7761" spans="1:6" x14ac:dyDescent="0.25">
      <c r="A7761" t="str">
        <f>"000880063"</f>
        <v>000880063</v>
      </c>
      <c r="B7761" t="str">
        <f>"1073622106"</f>
        <v>1073622106</v>
      </c>
      <c r="C7761" t="str">
        <f t="shared" si="245"/>
        <v>152W00000X</v>
      </c>
      <c r="D7761" t="str">
        <f>"HUBBARD JR               BENJAMIN                 "</f>
        <v xml:space="preserve">HUBBARD JR               BENJAMIN                 </v>
      </c>
      <c r="E7761" t="str">
        <f>"BATESVILLE                "</f>
        <v xml:space="preserve">BATESVILLE                </v>
      </c>
      <c r="F7761" t="str">
        <f t="shared" si="244"/>
        <v>MS</v>
      </c>
    </row>
    <row r="7762" spans="1:6" x14ac:dyDescent="0.25">
      <c r="A7762" t="str">
        <f>"000880066"</f>
        <v>000880066</v>
      </c>
      <c r="B7762" t="str">
        <f>"1629179791"</f>
        <v>1629179791</v>
      </c>
      <c r="C7762" t="str">
        <f t="shared" si="245"/>
        <v>152W00000X</v>
      </c>
      <c r="D7762" t="str">
        <f>"SMITH                    LEESA        H           "</f>
        <v xml:space="preserve">SMITH                    LEESA        H           </v>
      </c>
      <c r="E7762" t="str">
        <f>"GREENVILLE                "</f>
        <v xml:space="preserve">GREENVILLE                </v>
      </c>
      <c r="F7762" t="str">
        <f t="shared" si="244"/>
        <v>MS</v>
      </c>
    </row>
    <row r="7763" spans="1:6" x14ac:dyDescent="0.25">
      <c r="A7763" t="str">
        <f>"000880068"</f>
        <v>000880068</v>
      </c>
      <c r="B7763" t="str">
        <f>"1780674317"</f>
        <v>1780674317</v>
      </c>
      <c r="C7763" t="str">
        <f t="shared" si="245"/>
        <v>152W00000X</v>
      </c>
      <c r="D7763" t="str">
        <f>"DOHERTY                  PATRICK      R           "</f>
        <v xml:space="preserve">DOHERTY                  PATRICK      R           </v>
      </c>
      <c r="E7763" t="str">
        <f>"NATCHEZ                   "</f>
        <v xml:space="preserve">NATCHEZ                   </v>
      </c>
      <c r="F7763" t="str">
        <f t="shared" si="244"/>
        <v>MS</v>
      </c>
    </row>
    <row r="7764" spans="1:6" x14ac:dyDescent="0.25">
      <c r="A7764" t="str">
        <f>"000880069"</f>
        <v>000880069</v>
      </c>
      <c r="B7764" t="str">
        <f>"1598728800"</f>
        <v>1598728800</v>
      </c>
      <c r="C7764" t="str">
        <f t="shared" si="245"/>
        <v>152W00000X</v>
      </c>
      <c r="D7764" t="str">
        <f>"REED                     STEVEN       T           "</f>
        <v xml:space="preserve">REED                     STEVEN       T           </v>
      </c>
      <c r="E7764" t="str">
        <f>"MAGEE                     "</f>
        <v xml:space="preserve">MAGEE                     </v>
      </c>
      <c r="F7764" t="str">
        <f t="shared" si="244"/>
        <v>MS</v>
      </c>
    </row>
    <row r="7765" spans="1:6" x14ac:dyDescent="0.25">
      <c r="A7765" t="str">
        <f>"000880071"</f>
        <v>000880071</v>
      </c>
      <c r="B7765" t="str">
        <f>"1104815992"</f>
        <v>1104815992</v>
      </c>
      <c r="C7765" t="str">
        <f t="shared" si="245"/>
        <v>152W00000X</v>
      </c>
      <c r="D7765" t="str">
        <f>"SMITH                    EMMETT       D           "</f>
        <v xml:space="preserve">SMITH                    EMMETT       D           </v>
      </c>
      <c r="E7765" t="str">
        <f>"CLEVELAND                 "</f>
        <v xml:space="preserve">CLEVELAND                 </v>
      </c>
      <c r="F7765" t="str">
        <f t="shared" si="244"/>
        <v>MS</v>
      </c>
    </row>
    <row r="7766" spans="1:6" x14ac:dyDescent="0.25">
      <c r="A7766" t="str">
        <f>"000880072"</f>
        <v>000880072</v>
      </c>
      <c r="B7766" t="str">
        <f>"1861598765"</f>
        <v>1861598765</v>
      </c>
      <c r="C7766" t="str">
        <f t="shared" si="245"/>
        <v>152W00000X</v>
      </c>
      <c r="D7766" t="str">
        <f>"STASNEY                  KRAIG        M           "</f>
        <v xml:space="preserve">STASNEY                  KRAIG        M           </v>
      </c>
      <c r="E7766" t="str">
        <f>"PICAYUNE                  "</f>
        <v xml:space="preserve">PICAYUNE                  </v>
      </c>
      <c r="F7766" t="str">
        <f t="shared" si="244"/>
        <v>MS</v>
      </c>
    </row>
    <row r="7767" spans="1:6" x14ac:dyDescent="0.25">
      <c r="A7767" t="str">
        <f>"000880076"</f>
        <v>000880076</v>
      </c>
      <c r="B7767" t="str">
        <f>"1548347834"</f>
        <v>1548347834</v>
      </c>
      <c r="C7767" t="str">
        <f t="shared" si="245"/>
        <v>152W00000X</v>
      </c>
      <c r="D7767" t="str">
        <f>"MORENO                   ALVARO       J           "</f>
        <v xml:space="preserve">MORENO                   ALVARO       J           </v>
      </c>
      <c r="E7767" t="str">
        <f>"PETAL                     "</f>
        <v xml:space="preserve">PETAL                     </v>
      </c>
      <c r="F7767" t="str">
        <f t="shared" si="244"/>
        <v>MS</v>
      </c>
    </row>
    <row r="7768" spans="1:6" x14ac:dyDescent="0.25">
      <c r="A7768" t="str">
        <f>"000880079"</f>
        <v>000880079</v>
      </c>
      <c r="B7768" t="str">
        <f>"1184797870"</f>
        <v>1184797870</v>
      </c>
      <c r="C7768" t="str">
        <f t="shared" si="245"/>
        <v>152W00000X</v>
      </c>
      <c r="D7768" t="str">
        <f>"BARKER                   WILLIAM      F           "</f>
        <v xml:space="preserve">BARKER                   WILLIAM      F           </v>
      </c>
      <c r="E7768" t="str">
        <f>"GULFPORT                  "</f>
        <v xml:space="preserve">GULFPORT                  </v>
      </c>
      <c r="F7768" t="str">
        <f t="shared" si="244"/>
        <v>MS</v>
      </c>
    </row>
    <row r="7769" spans="1:6" x14ac:dyDescent="0.25">
      <c r="A7769" t="str">
        <f>"000880081"</f>
        <v>000880081</v>
      </c>
      <c r="B7769" t="str">
        <f>"1912120080"</f>
        <v>1912120080</v>
      </c>
      <c r="C7769" t="str">
        <f t="shared" si="245"/>
        <v>152W00000X</v>
      </c>
      <c r="D7769" t="str">
        <f>"WILLIAMS                 PHILLIP      A           "</f>
        <v xml:space="preserve">WILLIAMS                 PHILLIP      A           </v>
      </c>
      <c r="E7769" t="str">
        <f>"CORINTH                   "</f>
        <v xml:space="preserve">CORINTH                   </v>
      </c>
      <c r="F7769" t="str">
        <f t="shared" si="244"/>
        <v>MS</v>
      </c>
    </row>
    <row r="7770" spans="1:6" x14ac:dyDescent="0.25">
      <c r="A7770" t="str">
        <f>"000880083"</f>
        <v>000880083</v>
      </c>
      <c r="B7770" t="str">
        <f>"1700986452"</f>
        <v>1700986452</v>
      </c>
      <c r="C7770" t="str">
        <f t="shared" si="245"/>
        <v>152W00000X</v>
      </c>
      <c r="D7770" t="str">
        <f>"BENNETT                  ROBIN        D           "</f>
        <v xml:space="preserve">BENNETT                  ROBIN        D           </v>
      </c>
      <c r="E7770" t="str">
        <f>"NEW ALBANY                "</f>
        <v xml:space="preserve">NEW ALBANY                </v>
      </c>
      <c r="F7770" t="str">
        <f t="shared" si="244"/>
        <v>MS</v>
      </c>
    </row>
    <row r="7771" spans="1:6" x14ac:dyDescent="0.25">
      <c r="A7771" t="str">
        <f>"000880088"</f>
        <v>000880088</v>
      </c>
      <c r="B7771" t="str">
        <f>"1881817732"</f>
        <v>1881817732</v>
      </c>
      <c r="C7771" t="str">
        <f t="shared" si="245"/>
        <v>152W00000X</v>
      </c>
      <c r="D7771" t="str">
        <f>"GREENVILLE EYE CLINIC PA                          "</f>
        <v xml:space="preserve">GREENVILLE EYE CLINIC PA                          </v>
      </c>
      <c r="E7771" t="str">
        <f>"GREENVILLE                "</f>
        <v xml:space="preserve">GREENVILLE                </v>
      </c>
      <c r="F7771" t="str">
        <f t="shared" si="244"/>
        <v>MS</v>
      </c>
    </row>
    <row r="7772" spans="1:6" x14ac:dyDescent="0.25">
      <c r="A7772" t="str">
        <f>"000880093"</f>
        <v>000880093</v>
      </c>
      <c r="B7772" t="str">
        <f>"1558395806"</f>
        <v>1558395806</v>
      </c>
      <c r="C7772" t="str">
        <f t="shared" si="245"/>
        <v>152W00000X</v>
      </c>
      <c r="D7772" t="str">
        <f>"BENIGNO                  KIMBERLY     R           "</f>
        <v xml:space="preserve">BENIGNO                  KIMBERLY     R           </v>
      </c>
      <c r="E7772" t="str">
        <f>"BILOXI                    "</f>
        <v xml:space="preserve">BILOXI                    </v>
      </c>
      <c r="F7772" t="str">
        <f t="shared" si="244"/>
        <v>MS</v>
      </c>
    </row>
    <row r="7773" spans="1:6" x14ac:dyDescent="0.25">
      <c r="A7773" t="str">
        <f>"000880097"</f>
        <v>000880097</v>
      </c>
      <c r="B7773" t="str">
        <f>"1952485112"</f>
        <v>1952485112</v>
      </c>
      <c r="C7773" t="str">
        <f t="shared" si="245"/>
        <v>152W00000X</v>
      </c>
      <c r="D7773" t="str">
        <f>"BEATY                    SAMANTHA     T           "</f>
        <v xml:space="preserve">BEATY                    SAMANTHA     T           </v>
      </c>
      <c r="E7773" t="str">
        <f>"TUPELO                    "</f>
        <v xml:space="preserve">TUPELO                    </v>
      </c>
      <c r="F7773" t="str">
        <f t="shared" si="244"/>
        <v>MS</v>
      </c>
    </row>
    <row r="7774" spans="1:6" x14ac:dyDescent="0.25">
      <c r="A7774" t="str">
        <f>"000880098"</f>
        <v>000880098</v>
      </c>
      <c r="B7774" t="str">
        <f>"1649327545"</f>
        <v>1649327545</v>
      </c>
      <c r="C7774" t="str">
        <f t="shared" si="245"/>
        <v>152W00000X</v>
      </c>
      <c r="D7774" t="str">
        <f>"DAMPIER JR               ARTHUR       R           "</f>
        <v xml:space="preserve">DAMPIER JR               ARTHUR       R           </v>
      </c>
      <c r="E7774" t="str">
        <f>"RIDGELAND                 "</f>
        <v xml:space="preserve">RIDGELAND                 </v>
      </c>
      <c r="F7774" t="str">
        <f t="shared" si="244"/>
        <v>MS</v>
      </c>
    </row>
    <row r="7775" spans="1:6" x14ac:dyDescent="0.25">
      <c r="A7775" t="str">
        <f>"000880101"</f>
        <v>000880101</v>
      </c>
      <c r="B7775" t="str">
        <f>"1215951314"</f>
        <v>1215951314</v>
      </c>
      <c r="C7775" t="str">
        <f t="shared" si="245"/>
        <v>152W00000X</v>
      </c>
      <c r="D7775" t="str">
        <f>"WALLS                    CHRISTOPHER  T           "</f>
        <v xml:space="preserve">WALLS                    CHRISTOPHER  T           </v>
      </c>
      <c r="E7775" t="str">
        <f>"GRENADA                   "</f>
        <v xml:space="preserve">GRENADA                   </v>
      </c>
      <c r="F7775" t="str">
        <f t="shared" si="244"/>
        <v>MS</v>
      </c>
    </row>
    <row r="7776" spans="1:6" x14ac:dyDescent="0.25">
      <c r="A7776" t="str">
        <f>"000880103"</f>
        <v>000880103</v>
      </c>
      <c r="B7776" t="str">
        <f>"1427121268"</f>
        <v>1427121268</v>
      </c>
      <c r="C7776" t="str">
        <f t="shared" si="245"/>
        <v>152W00000X</v>
      </c>
      <c r="D7776" t="str">
        <f>"THARP                    PAMELA       D           "</f>
        <v xml:space="preserve">THARP                    PAMELA       D           </v>
      </c>
      <c r="E7776" t="str">
        <f>"JACKSON                   "</f>
        <v xml:space="preserve">JACKSON                   </v>
      </c>
      <c r="F7776" t="str">
        <f t="shared" si="244"/>
        <v>MS</v>
      </c>
    </row>
    <row r="7777" spans="1:6" x14ac:dyDescent="0.25">
      <c r="A7777" t="str">
        <f>"000880105"</f>
        <v>000880105</v>
      </c>
      <c r="B7777" t="str">
        <f>"1881767531"</f>
        <v>1881767531</v>
      </c>
      <c r="C7777" t="str">
        <f t="shared" si="245"/>
        <v>152W00000X</v>
      </c>
      <c r="D7777" t="str">
        <f>"THARP                    ROBERT       M           "</f>
        <v xml:space="preserve">THARP                    ROBERT       M           </v>
      </c>
      <c r="E7777" t="str">
        <f>"JACKSON                   "</f>
        <v xml:space="preserve">JACKSON                   </v>
      </c>
      <c r="F7777" t="str">
        <f t="shared" si="244"/>
        <v>MS</v>
      </c>
    </row>
    <row r="7778" spans="1:6" x14ac:dyDescent="0.25">
      <c r="A7778" t="str">
        <f>"000880107"</f>
        <v>000880107</v>
      </c>
      <c r="B7778" t="str">
        <f>"1508980178"</f>
        <v>1508980178</v>
      </c>
      <c r="C7778" t="str">
        <f t="shared" si="245"/>
        <v>152W00000X</v>
      </c>
      <c r="D7778" t="str">
        <f>"WARE                     MICHAEL      D           "</f>
        <v xml:space="preserve">WARE                     MICHAEL      D           </v>
      </c>
      <c r="E7778" t="str">
        <f>"NEW ALBANY                "</f>
        <v xml:space="preserve">NEW ALBANY                </v>
      </c>
      <c r="F7778" t="str">
        <f t="shared" si="244"/>
        <v>MS</v>
      </c>
    </row>
    <row r="7779" spans="1:6" x14ac:dyDescent="0.25">
      <c r="A7779" t="str">
        <f>"000880126"</f>
        <v>000880126</v>
      </c>
      <c r="B7779" t="str">
        <f>"1962509620"</f>
        <v>1962509620</v>
      </c>
      <c r="C7779" t="str">
        <f t="shared" si="245"/>
        <v>152W00000X</v>
      </c>
      <c r="D7779" t="str">
        <f>"STEWART                  TONYA        C           "</f>
        <v xml:space="preserve">STEWART                  TONYA        C           </v>
      </c>
      <c r="E7779" t="str">
        <f>"CLINTON                   "</f>
        <v xml:space="preserve">CLINTON                   </v>
      </c>
      <c r="F7779" t="str">
        <f t="shared" si="244"/>
        <v>MS</v>
      </c>
    </row>
    <row r="7780" spans="1:6" x14ac:dyDescent="0.25">
      <c r="A7780" t="str">
        <f>"000880128"</f>
        <v>000880128</v>
      </c>
      <c r="B7780" t="str">
        <f>"1396808259"</f>
        <v>1396808259</v>
      </c>
      <c r="C7780" t="str">
        <f t="shared" si="245"/>
        <v>152W00000X</v>
      </c>
      <c r="D7780" t="str">
        <f>"HUMBER IV                JAMES        F           "</f>
        <v xml:space="preserve">HUMBER IV                JAMES        F           </v>
      </c>
      <c r="E7780" t="str">
        <f>"CLARKSDALE                "</f>
        <v xml:space="preserve">CLARKSDALE                </v>
      </c>
      <c r="F7780" t="str">
        <f t="shared" si="244"/>
        <v>MS</v>
      </c>
    </row>
    <row r="7781" spans="1:6" x14ac:dyDescent="0.25">
      <c r="A7781" t="str">
        <f>"000880132"</f>
        <v>000880132</v>
      </c>
      <c r="B7781" t="str">
        <f>"1346211745"</f>
        <v>1346211745</v>
      </c>
      <c r="C7781" t="str">
        <f t="shared" si="245"/>
        <v>152W00000X</v>
      </c>
      <c r="D7781" t="str">
        <f>"BELK                     CRAIG        R           "</f>
        <v xml:space="preserve">BELK                     CRAIG        R           </v>
      </c>
      <c r="E7781" t="str">
        <f>"GULFPORT                  "</f>
        <v xml:space="preserve">GULFPORT                  </v>
      </c>
      <c r="F7781" t="str">
        <f t="shared" si="244"/>
        <v>MS</v>
      </c>
    </row>
    <row r="7782" spans="1:6" x14ac:dyDescent="0.25">
      <c r="A7782" t="str">
        <f>"000880136"</f>
        <v>000880136</v>
      </c>
      <c r="B7782" t="str">
        <f>"1679672729"</f>
        <v>1679672729</v>
      </c>
      <c r="C7782" t="str">
        <f t="shared" si="245"/>
        <v>152W00000X</v>
      </c>
      <c r="D7782" t="str">
        <f>"BLY                      KREGG        S           "</f>
        <v xml:space="preserve">BLY                      KREGG        S           </v>
      </c>
      <c r="E7782" t="str">
        <f>"VICKSBURG                 "</f>
        <v xml:space="preserve">VICKSBURG                 </v>
      </c>
      <c r="F7782" t="str">
        <f t="shared" si="244"/>
        <v>MS</v>
      </c>
    </row>
    <row r="7783" spans="1:6" x14ac:dyDescent="0.25">
      <c r="A7783" t="str">
        <f>"000880138"</f>
        <v>000880138</v>
      </c>
      <c r="B7783" t="str">
        <f>"1083660757"</f>
        <v>1083660757</v>
      </c>
      <c r="C7783" t="str">
        <f t="shared" si="245"/>
        <v>152W00000X</v>
      </c>
      <c r="D7783" t="str">
        <f>"WALKER                   HEDY         G           "</f>
        <v xml:space="preserve">WALKER                   HEDY         G           </v>
      </c>
      <c r="E7783" t="str">
        <f>"GULFPORT                  "</f>
        <v xml:space="preserve">GULFPORT                  </v>
      </c>
      <c r="F7783" t="str">
        <f t="shared" si="244"/>
        <v>MS</v>
      </c>
    </row>
    <row r="7784" spans="1:6" x14ac:dyDescent="0.25">
      <c r="A7784" t="str">
        <f>"000880146"</f>
        <v>000880146</v>
      </c>
      <c r="B7784" t="str">
        <f>"1588782577"</f>
        <v>1588782577</v>
      </c>
      <c r="C7784" t="str">
        <f t="shared" si="245"/>
        <v>152W00000X</v>
      </c>
      <c r="D7784" t="str">
        <f>"LUCAS                    JACQUELYN    D           "</f>
        <v xml:space="preserve">LUCAS                    JACQUELYN    D           </v>
      </c>
      <c r="E7784" t="str">
        <f>"WINONA                    "</f>
        <v xml:space="preserve">WINONA                    </v>
      </c>
      <c r="F7784" t="str">
        <f t="shared" si="244"/>
        <v>MS</v>
      </c>
    </row>
    <row r="7785" spans="1:6" x14ac:dyDescent="0.25">
      <c r="A7785" t="str">
        <f>"000880147"</f>
        <v>000880147</v>
      </c>
      <c r="B7785" t="str">
        <f>"1245213081"</f>
        <v>1245213081</v>
      </c>
      <c r="C7785" t="str">
        <f t="shared" si="245"/>
        <v>152W00000X</v>
      </c>
      <c r="D7785" t="str">
        <f>"SOREY                    TINA         R           "</f>
        <v xml:space="preserve">SOREY                    TINA         R           </v>
      </c>
      <c r="E7785" t="str">
        <f>"JACKSON                   "</f>
        <v xml:space="preserve">JACKSON                   </v>
      </c>
      <c r="F7785" t="str">
        <f t="shared" si="244"/>
        <v>MS</v>
      </c>
    </row>
    <row r="7786" spans="1:6" x14ac:dyDescent="0.25">
      <c r="A7786" t="str">
        <f>"000880151"</f>
        <v>000880151</v>
      </c>
      <c r="B7786" t="str">
        <f>"1902826696"</f>
        <v>1902826696</v>
      </c>
      <c r="C7786" t="str">
        <f t="shared" si="245"/>
        <v>152W00000X</v>
      </c>
      <c r="D7786" t="str">
        <f>"FORD II                  REAGAN       L           "</f>
        <v xml:space="preserve">FORD II                  REAGAN       L           </v>
      </c>
      <c r="E7786" t="str">
        <f>"COLUMBUS                  "</f>
        <v xml:space="preserve">COLUMBUS                  </v>
      </c>
      <c r="F7786" t="str">
        <f t="shared" si="244"/>
        <v>MS</v>
      </c>
    </row>
    <row r="7787" spans="1:6" x14ac:dyDescent="0.25">
      <c r="A7787" t="str">
        <f>"000880152"</f>
        <v>000880152</v>
      </c>
      <c r="B7787" t="str">
        <f>"1467423210"</f>
        <v>1467423210</v>
      </c>
      <c r="C7787" t="str">
        <f t="shared" si="245"/>
        <v>152W00000X</v>
      </c>
      <c r="D7787" t="str">
        <f>"CHEATHAM                 DAVID        W           "</f>
        <v xml:space="preserve">CHEATHAM                 DAVID        W           </v>
      </c>
      <c r="E7787" t="str">
        <f>"WEST POINT                "</f>
        <v xml:space="preserve">WEST POINT                </v>
      </c>
      <c r="F7787" t="str">
        <f t="shared" si="244"/>
        <v>MS</v>
      </c>
    </row>
    <row r="7788" spans="1:6" x14ac:dyDescent="0.25">
      <c r="A7788" t="str">
        <f>"000880157"</f>
        <v>000880157</v>
      </c>
      <c r="B7788" t="str">
        <f>"1558379206"</f>
        <v>1558379206</v>
      </c>
      <c r="C7788" t="str">
        <f t="shared" si="245"/>
        <v>152W00000X</v>
      </c>
      <c r="D7788" t="str">
        <f>"DAVIS                    EDWARD       W           "</f>
        <v xml:space="preserve">DAVIS                    EDWARD       W           </v>
      </c>
      <c r="E7788" t="str">
        <f>"LAUREL                    "</f>
        <v xml:space="preserve">LAUREL                    </v>
      </c>
      <c r="F7788" t="str">
        <f t="shared" si="244"/>
        <v>MS</v>
      </c>
    </row>
    <row r="7789" spans="1:6" x14ac:dyDescent="0.25">
      <c r="A7789" t="str">
        <f>"000880166"</f>
        <v>000880166</v>
      </c>
      <c r="B7789" t="str">
        <f>"1306925029"</f>
        <v>1306925029</v>
      </c>
      <c r="C7789" t="str">
        <f t="shared" si="245"/>
        <v>152W00000X</v>
      </c>
      <c r="D7789" t="str">
        <f>"O'BRIEN                  MICHAEL      E           "</f>
        <v xml:space="preserve">O'BRIEN                  MICHAEL      E           </v>
      </c>
      <c r="E7789" t="str">
        <f>"SOUTHAVEN                 "</f>
        <v xml:space="preserve">SOUTHAVEN                 </v>
      </c>
      <c r="F7789" t="str">
        <f t="shared" si="244"/>
        <v>MS</v>
      </c>
    </row>
    <row r="7790" spans="1:6" x14ac:dyDescent="0.25">
      <c r="A7790" t="str">
        <f>"000880170"</f>
        <v>000880170</v>
      </c>
      <c r="B7790" t="str">
        <f>"1477662138"</f>
        <v>1477662138</v>
      </c>
      <c r="C7790" t="str">
        <f t="shared" si="245"/>
        <v>152W00000X</v>
      </c>
      <c r="D7790" t="str">
        <f>"MOORE                    STACIE       L           "</f>
        <v xml:space="preserve">MOORE                    STACIE       L           </v>
      </c>
      <c r="E7790" t="str">
        <f>"WEST POINT                "</f>
        <v xml:space="preserve">WEST POINT                </v>
      </c>
      <c r="F7790" t="str">
        <f t="shared" si="244"/>
        <v>MS</v>
      </c>
    </row>
    <row r="7791" spans="1:6" x14ac:dyDescent="0.25">
      <c r="A7791" t="str">
        <f>"000880174"</f>
        <v>000880174</v>
      </c>
      <c r="B7791" t="str">
        <f>"1871653873"</f>
        <v>1871653873</v>
      </c>
      <c r="C7791" t="str">
        <f t="shared" si="245"/>
        <v>152W00000X</v>
      </c>
      <c r="D7791" t="str">
        <f>"VALENTINE                LESLIE       H           "</f>
        <v xml:space="preserve">VALENTINE                LESLIE       H           </v>
      </c>
      <c r="E7791" t="str">
        <f>"LUCEDALE                  "</f>
        <v xml:space="preserve">LUCEDALE                  </v>
      </c>
      <c r="F7791" t="str">
        <f t="shared" si="244"/>
        <v>MS</v>
      </c>
    </row>
    <row r="7792" spans="1:6" x14ac:dyDescent="0.25">
      <c r="A7792" t="str">
        <f>"000880181"</f>
        <v>000880181</v>
      </c>
      <c r="B7792" t="str">
        <f>"1043394208"</f>
        <v>1043394208</v>
      </c>
      <c r="C7792" t="str">
        <f t="shared" si="245"/>
        <v>152W00000X</v>
      </c>
      <c r="D7792" t="str">
        <f>"BEATY                    STEVEN       C           "</f>
        <v xml:space="preserve">BEATY                    STEVEN       C           </v>
      </c>
      <c r="E7792" t="str">
        <f>"TUPELO                    "</f>
        <v xml:space="preserve">TUPELO                    </v>
      </c>
      <c r="F7792" t="str">
        <f t="shared" si="244"/>
        <v>MS</v>
      </c>
    </row>
    <row r="7793" spans="1:6" x14ac:dyDescent="0.25">
      <c r="A7793" t="str">
        <f>"000880194"</f>
        <v>000880194</v>
      </c>
      <c r="B7793" t="str">
        <f>"1598758781"</f>
        <v>1598758781</v>
      </c>
      <c r="C7793" t="str">
        <f t="shared" si="245"/>
        <v>152W00000X</v>
      </c>
      <c r="D7793" t="str">
        <f>"MAY                      KRISTOPHER   A           "</f>
        <v xml:space="preserve">MAY                      KRISTOPHER   A           </v>
      </c>
      <c r="E7793" t="str">
        <f>"COLDWATER                 "</f>
        <v xml:space="preserve">COLDWATER                 </v>
      </c>
      <c r="F7793" t="str">
        <f t="shared" si="244"/>
        <v>MS</v>
      </c>
    </row>
    <row r="7794" spans="1:6" x14ac:dyDescent="0.25">
      <c r="A7794" t="str">
        <f>"000880199"</f>
        <v>000880199</v>
      </c>
      <c r="B7794" t="str">
        <f>"1033396379"</f>
        <v>1033396379</v>
      </c>
      <c r="C7794" t="str">
        <f t="shared" si="245"/>
        <v>152W00000X</v>
      </c>
      <c r="D7794" t="str">
        <f>"MARCHBANKS               GEORGE       A           "</f>
        <v xml:space="preserve">MARCHBANKS               GEORGE       A           </v>
      </c>
      <c r="E7794" t="str">
        <f>"HATTIESBURG               "</f>
        <v xml:space="preserve">HATTIESBURG               </v>
      </c>
      <c r="F7794" t="str">
        <f t="shared" si="244"/>
        <v>MS</v>
      </c>
    </row>
    <row r="7795" spans="1:6" x14ac:dyDescent="0.25">
      <c r="A7795" t="str">
        <f>"000880206"</f>
        <v>000880206</v>
      </c>
      <c r="B7795" t="str">
        <f>"1013015585"</f>
        <v>1013015585</v>
      </c>
      <c r="C7795" t="str">
        <f t="shared" si="245"/>
        <v>152W00000X</v>
      </c>
      <c r="D7795" t="str">
        <f>"EDWARDS                  STEPHEN      P           "</f>
        <v xml:space="preserve">EDWARDS                  STEPHEN      P           </v>
      </c>
      <c r="E7795" t="str">
        <f>"WATER VALLEY              "</f>
        <v xml:space="preserve">WATER VALLEY              </v>
      </c>
      <c r="F7795" t="str">
        <f t="shared" si="244"/>
        <v>MS</v>
      </c>
    </row>
    <row r="7796" spans="1:6" x14ac:dyDescent="0.25">
      <c r="A7796" t="str">
        <f>"000880207"</f>
        <v>000880207</v>
      </c>
      <c r="B7796" t="str">
        <f>"1700862042"</f>
        <v>1700862042</v>
      </c>
      <c r="C7796" t="str">
        <f t="shared" si="245"/>
        <v>152W00000X</v>
      </c>
      <c r="D7796" t="str">
        <f>"MONROE                   NICOLE       Y           "</f>
        <v xml:space="preserve">MONROE                   NICOLE       Y           </v>
      </c>
      <c r="E7796" t="str">
        <f>"OLIVE BRANCH              "</f>
        <v xml:space="preserve">OLIVE BRANCH              </v>
      </c>
      <c r="F7796" t="str">
        <f t="shared" si="244"/>
        <v>MS</v>
      </c>
    </row>
    <row r="7797" spans="1:6" x14ac:dyDescent="0.25">
      <c r="A7797" t="str">
        <f>"000880217"</f>
        <v>000880217</v>
      </c>
      <c r="B7797" t="str">
        <f>"1952432262"</f>
        <v>1952432262</v>
      </c>
      <c r="C7797" t="str">
        <f t="shared" si="245"/>
        <v>152W00000X</v>
      </c>
      <c r="D7797" t="str">
        <f>"THOMPSON                 BRADLEY      M           "</f>
        <v xml:space="preserve">THOMPSON                 BRADLEY      M           </v>
      </c>
      <c r="E7797" t="str">
        <f>"FOREST                    "</f>
        <v xml:space="preserve">FOREST                    </v>
      </c>
      <c r="F7797" t="str">
        <f t="shared" si="244"/>
        <v>MS</v>
      </c>
    </row>
    <row r="7798" spans="1:6" x14ac:dyDescent="0.25">
      <c r="A7798" t="str">
        <f>"000880221"</f>
        <v>000880221</v>
      </c>
      <c r="B7798" t="str">
        <f>"1750350070"</f>
        <v>1750350070</v>
      </c>
      <c r="C7798" t="str">
        <f t="shared" si="245"/>
        <v>152W00000X</v>
      </c>
      <c r="D7798" t="str">
        <f>"HARRINGTON               BETHANY      G           "</f>
        <v xml:space="preserve">HARRINGTON               BETHANY      G           </v>
      </c>
      <c r="E7798" t="str">
        <f>"POPLARVILLE               "</f>
        <v xml:space="preserve">POPLARVILLE               </v>
      </c>
      <c r="F7798" t="str">
        <f t="shared" si="244"/>
        <v>MS</v>
      </c>
    </row>
    <row r="7799" spans="1:6" x14ac:dyDescent="0.25">
      <c r="A7799" t="str">
        <f>"000880222"</f>
        <v>000880222</v>
      </c>
      <c r="B7799" t="str">
        <f>"1417950262"</f>
        <v>1417950262</v>
      </c>
      <c r="C7799" t="str">
        <f t="shared" si="245"/>
        <v>152W00000X</v>
      </c>
      <c r="D7799" t="str">
        <f>"MOTHERSHED               FRED         H           "</f>
        <v xml:space="preserve">MOTHERSHED               FRED         H           </v>
      </c>
      <c r="E7799" t="str">
        <f>"TUPELO                    "</f>
        <v xml:space="preserve">TUPELO                    </v>
      </c>
      <c r="F7799" t="str">
        <f t="shared" si="244"/>
        <v>MS</v>
      </c>
    </row>
    <row r="7800" spans="1:6" x14ac:dyDescent="0.25">
      <c r="A7800" t="str">
        <f>"000880223"</f>
        <v>000880223</v>
      </c>
      <c r="B7800" t="str">
        <f>"1801918826"</f>
        <v>1801918826</v>
      </c>
      <c r="C7800" t="str">
        <f t="shared" si="245"/>
        <v>152W00000X</v>
      </c>
      <c r="D7800" t="str">
        <f>"RIFFE                    JIMMY        A           "</f>
        <v xml:space="preserve">RIFFE                    JIMMY        A           </v>
      </c>
      <c r="E7800" t="str">
        <f>"OXFORD                    "</f>
        <v xml:space="preserve">OXFORD                    </v>
      </c>
      <c r="F7800" t="str">
        <f t="shared" si="244"/>
        <v>MS</v>
      </c>
    </row>
    <row r="7801" spans="1:6" x14ac:dyDescent="0.25">
      <c r="A7801" t="str">
        <f>"000880224"</f>
        <v>000880224</v>
      </c>
      <c r="B7801" t="str">
        <f>"1992822985"</f>
        <v>1992822985</v>
      </c>
      <c r="C7801" t="str">
        <f t="shared" si="245"/>
        <v>152W00000X</v>
      </c>
      <c r="D7801" t="str">
        <f>"BRITT                    LLOYD        P           "</f>
        <v xml:space="preserve">BRITT                    LLOYD        P           </v>
      </c>
      <c r="E7801" t="str">
        <f>"TUPELO                    "</f>
        <v xml:space="preserve">TUPELO                    </v>
      </c>
      <c r="F7801" t="str">
        <f t="shared" si="244"/>
        <v>MS</v>
      </c>
    </row>
    <row r="7802" spans="1:6" x14ac:dyDescent="0.25">
      <c r="A7802" t="str">
        <f>"000880226"</f>
        <v>000880226</v>
      </c>
      <c r="B7802" t="str">
        <f>"1154365542"</f>
        <v>1154365542</v>
      </c>
      <c r="C7802" t="str">
        <f t="shared" si="245"/>
        <v>152W00000X</v>
      </c>
      <c r="D7802" t="str">
        <f>"MARCEV                   DEBORAH      J           "</f>
        <v xml:space="preserve">MARCEV                   DEBORAH      J           </v>
      </c>
      <c r="E7802" t="str">
        <f>"HATTIESBURG               "</f>
        <v xml:space="preserve">HATTIESBURG               </v>
      </c>
      <c r="F7802" t="str">
        <f t="shared" si="244"/>
        <v>MS</v>
      </c>
    </row>
    <row r="7803" spans="1:6" x14ac:dyDescent="0.25">
      <c r="A7803" t="str">
        <f>"000880229"</f>
        <v>000880229</v>
      </c>
      <c r="B7803" t="str">
        <f>"1679611446"</f>
        <v>1679611446</v>
      </c>
      <c r="C7803" t="str">
        <f t="shared" si="245"/>
        <v>152W00000X</v>
      </c>
      <c r="D7803" t="str">
        <f>"SHAFFER                  CURTIS       J           "</f>
        <v xml:space="preserve">SHAFFER                  CURTIS       J           </v>
      </c>
      <c r="E7803" t="str">
        <f>"HATTIESBURG               "</f>
        <v xml:space="preserve">HATTIESBURG               </v>
      </c>
      <c r="F7803" t="str">
        <f t="shared" si="244"/>
        <v>MS</v>
      </c>
    </row>
    <row r="7804" spans="1:6" x14ac:dyDescent="0.25">
      <c r="A7804" t="str">
        <f>"000880352"</f>
        <v>000880352</v>
      </c>
      <c r="B7804" t="str">
        <f>"1891163598"</f>
        <v>1891163598</v>
      </c>
      <c r="C7804" t="str">
        <f>"363L00000X"</f>
        <v>363L00000X</v>
      </c>
      <c r="D7804" t="str">
        <f>"BOLTON                   MATTHEW      D           "</f>
        <v xml:space="preserve">BOLTON                   MATTHEW      D           </v>
      </c>
      <c r="E7804" t="str">
        <f>"HATTIESBURG               "</f>
        <v xml:space="preserve">HATTIESBURG               </v>
      </c>
      <c r="F7804" t="str">
        <f t="shared" si="244"/>
        <v>MS</v>
      </c>
    </row>
    <row r="7805" spans="1:6" x14ac:dyDescent="0.25">
      <c r="A7805" t="str">
        <f>"000880501"</f>
        <v>000880501</v>
      </c>
      <c r="B7805" t="str">
        <f>"1497925465"</f>
        <v>1497925465</v>
      </c>
      <c r="C7805" t="str">
        <f>"363L00000X"</f>
        <v>363L00000X</v>
      </c>
      <c r="D7805" t="str">
        <f>"HESS                     STACI                    "</f>
        <v xml:space="preserve">HESS                     STACI                    </v>
      </c>
      <c r="E7805" t="str">
        <f>"PICAYUNE                  "</f>
        <v xml:space="preserve">PICAYUNE                  </v>
      </c>
      <c r="F7805" t="str">
        <f t="shared" si="244"/>
        <v>MS</v>
      </c>
    </row>
    <row r="7806" spans="1:6" x14ac:dyDescent="0.25">
      <c r="A7806" t="str">
        <f>"000882542"</f>
        <v>000882542</v>
      </c>
      <c r="B7806" t="str">
        <f>"1497152458"</f>
        <v>1497152458</v>
      </c>
      <c r="C7806" t="str">
        <f>"363L00000X"</f>
        <v>363L00000X</v>
      </c>
      <c r="D7806" t="str">
        <f>"SNOW                     DONNA                    "</f>
        <v xml:space="preserve">SNOW                     DONNA                    </v>
      </c>
      <c r="E7806" t="str">
        <f>"CHOCTAW                   "</f>
        <v xml:space="preserve">CHOCTAW                   </v>
      </c>
      <c r="F7806" t="str">
        <f t="shared" ref="F7806:F7869" si="246">"MS"</f>
        <v>MS</v>
      </c>
    </row>
    <row r="7807" spans="1:6" x14ac:dyDescent="0.25">
      <c r="A7807" t="str">
        <f>"000882767"</f>
        <v>000882767</v>
      </c>
      <c r="B7807" t="str">
        <f>"1932336302"</f>
        <v>1932336302</v>
      </c>
      <c r="C7807" t="str">
        <f>"2084N0400X"</f>
        <v>2084N0400X</v>
      </c>
      <c r="D7807" t="str">
        <f>"WARREN                   PAULA        P           "</f>
        <v xml:space="preserve">WARREN                   PAULA        P           </v>
      </c>
      <c r="E7807" t="str">
        <f>"HATTIESBURG               "</f>
        <v xml:space="preserve">HATTIESBURG               </v>
      </c>
      <c r="F7807" t="str">
        <f t="shared" si="246"/>
        <v>MS</v>
      </c>
    </row>
    <row r="7808" spans="1:6" x14ac:dyDescent="0.25">
      <c r="A7808" t="str">
        <f>"000882800"</f>
        <v>000882800</v>
      </c>
      <c r="B7808" t="str">
        <f>"1235286022"</f>
        <v>1235286022</v>
      </c>
      <c r="C7808" t="str">
        <f>"208600000X"</f>
        <v>208600000X</v>
      </c>
      <c r="D7808" t="str">
        <f>"KOLLER                   FELICITAS    L           "</f>
        <v xml:space="preserve">KOLLER                   FELICITAS    L           </v>
      </c>
      <c r="E7808" t="str">
        <f>"JACKSON                   "</f>
        <v xml:space="preserve">JACKSON                   </v>
      </c>
      <c r="F7808" t="str">
        <f t="shared" si="246"/>
        <v>MS</v>
      </c>
    </row>
    <row r="7809" spans="1:6" x14ac:dyDescent="0.25">
      <c r="A7809" t="str">
        <f>"000883081"</f>
        <v>000883081</v>
      </c>
      <c r="B7809" t="str">
        <f>"1659984862"</f>
        <v>1659984862</v>
      </c>
      <c r="C7809" t="str">
        <f>"363L00000X"</f>
        <v>363L00000X</v>
      </c>
      <c r="D7809" t="str">
        <f>"HORN                     HILLARY      E           "</f>
        <v xml:space="preserve">HORN                     HILLARY      E           </v>
      </c>
      <c r="E7809" t="str">
        <f>"TUPELO                    "</f>
        <v xml:space="preserve">TUPELO                    </v>
      </c>
      <c r="F7809" t="str">
        <f t="shared" si="246"/>
        <v>MS</v>
      </c>
    </row>
    <row r="7810" spans="1:6" x14ac:dyDescent="0.25">
      <c r="A7810" t="str">
        <f>"000883707"</f>
        <v>000883707</v>
      </c>
      <c r="B7810" t="str">
        <f>"1538826151"</f>
        <v>1538826151</v>
      </c>
      <c r="C7810" t="str">
        <f>"261QF0400X"</f>
        <v>261QF0400X</v>
      </c>
      <c r="D7810" t="str">
        <f>"COASTAL FAMILY HEALTH CENTER, INC                 "</f>
        <v xml:space="preserve">COASTAL FAMILY HEALTH CENTER, INC                 </v>
      </c>
      <c r="E7810" t="str">
        <f>"BAY ST LOUIS              "</f>
        <v xml:space="preserve">BAY ST LOUIS              </v>
      </c>
      <c r="F7810" t="str">
        <f t="shared" si="246"/>
        <v>MS</v>
      </c>
    </row>
    <row r="7811" spans="1:6" x14ac:dyDescent="0.25">
      <c r="A7811" t="str">
        <f>"000884251"</f>
        <v>000884251</v>
      </c>
      <c r="B7811" t="str">
        <f>"1205986809"</f>
        <v>1205986809</v>
      </c>
      <c r="C7811" t="str">
        <f>"122300000X"</f>
        <v>122300000X</v>
      </c>
      <c r="D7811" t="str">
        <f>"FAMILY DENTAL ASSOCIATES PLLC                     "</f>
        <v xml:space="preserve">FAMILY DENTAL ASSOCIATES PLLC                     </v>
      </c>
      <c r="E7811" t="str">
        <f>"GREENWOOD                 "</f>
        <v xml:space="preserve">GREENWOOD                 </v>
      </c>
      <c r="F7811" t="str">
        <f t="shared" si="246"/>
        <v>MS</v>
      </c>
    </row>
    <row r="7812" spans="1:6" x14ac:dyDescent="0.25">
      <c r="A7812" t="str">
        <f>"000884849"</f>
        <v>000884849</v>
      </c>
      <c r="B7812" t="str">
        <f>"1922052711"</f>
        <v>1922052711</v>
      </c>
      <c r="C7812" t="str">
        <f>"2085R0202X"</f>
        <v>2085R0202X</v>
      </c>
      <c r="D7812" t="str">
        <f>"POWELL                   STELLA       K           "</f>
        <v xml:space="preserve">POWELL                   STELLA       K           </v>
      </c>
      <c r="E7812" t="str">
        <f>"JACKSON                   "</f>
        <v xml:space="preserve">JACKSON                   </v>
      </c>
      <c r="F7812" t="str">
        <f t="shared" si="246"/>
        <v>MS</v>
      </c>
    </row>
    <row r="7813" spans="1:6" x14ac:dyDescent="0.25">
      <c r="A7813" t="str">
        <f>"000886261"</f>
        <v>000886261</v>
      </c>
      <c r="B7813" t="str">
        <f>"1881034890"</f>
        <v>1881034890</v>
      </c>
      <c r="C7813" t="str">
        <f>"122300000X"</f>
        <v>122300000X</v>
      </c>
      <c r="D7813" t="str">
        <f>"JOHNSTON                 DANIEL       T           "</f>
        <v xml:space="preserve">JOHNSTON                 DANIEL       T           </v>
      </c>
      <c r="E7813" t="str">
        <f>"TUPELO                    "</f>
        <v xml:space="preserve">TUPELO                    </v>
      </c>
      <c r="F7813" t="str">
        <f t="shared" si="246"/>
        <v>MS</v>
      </c>
    </row>
    <row r="7814" spans="1:6" x14ac:dyDescent="0.25">
      <c r="A7814" t="str">
        <f>"000886302"</f>
        <v>000886302</v>
      </c>
      <c r="B7814" t="str">
        <f>"1215224886"</f>
        <v>1215224886</v>
      </c>
      <c r="C7814" t="str">
        <f>"207R00000X"</f>
        <v>207R00000X</v>
      </c>
      <c r="D7814" t="str">
        <f>"FOWLER                   AMANDA       H           "</f>
        <v xml:space="preserve">FOWLER                   AMANDA       H           </v>
      </c>
      <c r="E7814" t="str">
        <f>"FLOWOOD                   "</f>
        <v xml:space="preserve">FLOWOOD                   </v>
      </c>
      <c r="F7814" t="str">
        <f t="shared" si="246"/>
        <v>MS</v>
      </c>
    </row>
    <row r="7815" spans="1:6" x14ac:dyDescent="0.25">
      <c r="A7815" t="str">
        <f>"000886811"</f>
        <v>000886811</v>
      </c>
      <c r="B7815" t="str">
        <f>"1922235142"</f>
        <v>1922235142</v>
      </c>
      <c r="C7815" t="str">
        <f>"1223P0221X"</f>
        <v>1223P0221X</v>
      </c>
      <c r="D7815" t="str">
        <f>"TOMLINSON                SCOTT        M           "</f>
        <v xml:space="preserve">TOMLINSON                SCOTT        M           </v>
      </c>
      <c r="E7815" t="str">
        <f>"HATTIESBURG               "</f>
        <v xml:space="preserve">HATTIESBURG               </v>
      </c>
      <c r="F7815" t="str">
        <f t="shared" si="246"/>
        <v>MS</v>
      </c>
    </row>
    <row r="7816" spans="1:6" x14ac:dyDescent="0.25">
      <c r="A7816" t="str">
        <f>"000900834"</f>
        <v>000900834</v>
      </c>
      <c r="B7816" t="str">
        <f>"1770747081"</f>
        <v>1770747081</v>
      </c>
      <c r="C7816" t="str">
        <f>"208600000X"</f>
        <v>208600000X</v>
      </c>
      <c r="D7816" t="str">
        <f>"BLACKBURN                SCOTT                    "</f>
        <v xml:space="preserve">BLACKBURN                SCOTT                    </v>
      </c>
      <c r="E7816" t="str">
        <f>"GULFPORT                  "</f>
        <v xml:space="preserve">GULFPORT                  </v>
      </c>
      <c r="F7816" t="str">
        <f t="shared" si="246"/>
        <v>MS</v>
      </c>
    </row>
    <row r="7817" spans="1:6" x14ac:dyDescent="0.25">
      <c r="A7817" t="str">
        <f>"000901295"</f>
        <v>000901295</v>
      </c>
      <c r="B7817" t="str">
        <f>"1346536182"</f>
        <v>1346536182</v>
      </c>
      <c r="C7817" t="str">
        <f>"2080N0001X"</f>
        <v>2080N0001X</v>
      </c>
      <c r="D7817" t="str">
        <f>"MOORE                    REBECCA      S           "</f>
        <v xml:space="preserve">MOORE                    REBECCA      S           </v>
      </c>
      <c r="E7817" t="str">
        <f>"JACKSON                   "</f>
        <v xml:space="preserve">JACKSON                   </v>
      </c>
      <c r="F7817" t="str">
        <f t="shared" si="246"/>
        <v>MS</v>
      </c>
    </row>
    <row r="7818" spans="1:6" x14ac:dyDescent="0.25">
      <c r="A7818" t="str">
        <f>"000901748"</f>
        <v>000901748</v>
      </c>
      <c r="B7818" t="str">
        <f>"1801474549"</f>
        <v>1801474549</v>
      </c>
      <c r="C7818" t="str">
        <f>"207R00000X"</f>
        <v>207R00000X</v>
      </c>
      <c r="D7818" t="str">
        <f>"DALE                     KELLY                    "</f>
        <v xml:space="preserve">DALE                     KELLY                    </v>
      </c>
      <c r="E7818" t="str">
        <f>"JACKSON                   "</f>
        <v xml:space="preserve">JACKSON                   </v>
      </c>
      <c r="F7818" t="str">
        <f t="shared" si="246"/>
        <v>MS</v>
      </c>
    </row>
    <row r="7819" spans="1:6" x14ac:dyDescent="0.25">
      <c r="A7819" t="str">
        <f>"000901865"</f>
        <v>000901865</v>
      </c>
      <c r="B7819" t="str">
        <f>"1104595800"</f>
        <v>1104595800</v>
      </c>
      <c r="C7819" t="str">
        <f>"367500000X"</f>
        <v>367500000X</v>
      </c>
      <c r="D7819" t="str">
        <f>"CHEEK                    LAUREN                   "</f>
        <v xml:space="preserve">CHEEK                    LAUREN                   </v>
      </c>
      <c r="E7819" t="str">
        <f>"CORINTH                   "</f>
        <v xml:space="preserve">CORINTH                   </v>
      </c>
      <c r="F7819" t="str">
        <f t="shared" si="246"/>
        <v>MS</v>
      </c>
    </row>
    <row r="7820" spans="1:6" x14ac:dyDescent="0.25">
      <c r="A7820" t="str">
        <f>"000903298"</f>
        <v>000903298</v>
      </c>
      <c r="B7820" t="str">
        <f>"1750326286"</f>
        <v>1750326286</v>
      </c>
      <c r="C7820" t="str">
        <f>"363L00000X"</f>
        <v>363L00000X</v>
      </c>
      <c r="D7820" t="str">
        <f>"GUTIERREZ                APRIL        T           "</f>
        <v xml:space="preserve">GUTIERREZ                APRIL        T           </v>
      </c>
      <c r="E7820" t="str">
        <f>"JACKSON                   "</f>
        <v xml:space="preserve">JACKSON                   </v>
      </c>
      <c r="F7820" t="str">
        <f t="shared" si="246"/>
        <v>MS</v>
      </c>
    </row>
    <row r="7821" spans="1:6" x14ac:dyDescent="0.25">
      <c r="A7821" t="str">
        <f>"000903364"</f>
        <v>000903364</v>
      </c>
      <c r="B7821" t="str">
        <f>"1417356304"</f>
        <v>1417356304</v>
      </c>
      <c r="C7821" t="str">
        <f>"363L00000X"</f>
        <v>363L00000X</v>
      </c>
      <c r="D7821" t="str">
        <f>"MUNN                     DANIEL       R           "</f>
        <v xml:space="preserve">MUNN                     DANIEL       R           </v>
      </c>
      <c r="E7821" t="str">
        <f>"MERIDIAN                  "</f>
        <v xml:space="preserve">MERIDIAN                  </v>
      </c>
      <c r="F7821" t="str">
        <f t="shared" si="246"/>
        <v>MS</v>
      </c>
    </row>
    <row r="7822" spans="1:6" x14ac:dyDescent="0.25">
      <c r="A7822" t="str">
        <f>"000903734"</f>
        <v>000903734</v>
      </c>
      <c r="B7822" t="str">
        <f>"1265819825"</f>
        <v>1265819825</v>
      </c>
      <c r="C7822" t="str">
        <f>"2084P0800X"</f>
        <v>2084P0800X</v>
      </c>
      <c r="D7822" t="str">
        <f>"MISKEL                   JAYCE        D           "</f>
        <v xml:space="preserve">MISKEL                   JAYCE        D           </v>
      </c>
      <c r="E7822" t="str">
        <f>"COLUMBUS                  "</f>
        <v xml:space="preserve">COLUMBUS                  </v>
      </c>
      <c r="F7822" t="str">
        <f t="shared" si="246"/>
        <v>MS</v>
      </c>
    </row>
    <row r="7823" spans="1:6" x14ac:dyDescent="0.25">
      <c r="A7823" t="str">
        <f>"000904201"</f>
        <v>000904201</v>
      </c>
      <c r="B7823" t="str">
        <f>"1831703255"</f>
        <v>1831703255</v>
      </c>
      <c r="C7823" t="str">
        <f>"363L00000X"</f>
        <v>363L00000X</v>
      </c>
      <c r="D7823" t="str">
        <f>"BLALOCK                  ANDREA                   "</f>
        <v xml:space="preserve">BLALOCK                  ANDREA                   </v>
      </c>
      <c r="E7823" t="str">
        <f>"NATCHEZ                   "</f>
        <v xml:space="preserve">NATCHEZ                   </v>
      </c>
      <c r="F7823" t="str">
        <f t="shared" si="246"/>
        <v>MS</v>
      </c>
    </row>
    <row r="7824" spans="1:6" x14ac:dyDescent="0.25">
      <c r="A7824" t="str">
        <f>"000905368"</f>
        <v>000905368</v>
      </c>
      <c r="B7824" t="str">
        <f>"1679702302"</f>
        <v>1679702302</v>
      </c>
      <c r="C7824" t="str">
        <f>"207RI0200X"</f>
        <v>207RI0200X</v>
      </c>
      <c r="D7824" t="str">
        <f>"KHALID                   AYESHA                   "</f>
        <v xml:space="preserve">KHALID                   AYESHA                   </v>
      </c>
      <c r="E7824" t="str">
        <f>"JACKSON                   "</f>
        <v xml:space="preserve">JACKSON                   </v>
      </c>
      <c r="F7824" t="str">
        <f t="shared" si="246"/>
        <v>MS</v>
      </c>
    </row>
    <row r="7825" spans="1:6" x14ac:dyDescent="0.25">
      <c r="A7825" t="str">
        <f>"000905553"</f>
        <v>000905553</v>
      </c>
      <c r="B7825" t="str">
        <f>"1558769927"</f>
        <v>1558769927</v>
      </c>
      <c r="C7825" t="str">
        <f>"261QA0600X"</f>
        <v>261QA0600X</v>
      </c>
      <c r="D7825" t="str">
        <f>"JUST LIKE HOME ADULT DAY CARE                     "</f>
        <v xml:space="preserve">JUST LIKE HOME ADULT DAY CARE                     </v>
      </c>
      <c r="E7825" t="str">
        <f>"INDIANOLA                 "</f>
        <v xml:space="preserve">INDIANOLA                 </v>
      </c>
      <c r="F7825" t="str">
        <f t="shared" si="246"/>
        <v>MS</v>
      </c>
    </row>
    <row r="7826" spans="1:6" x14ac:dyDescent="0.25">
      <c r="A7826" t="str">
        <f>"000905855"</f>
        <v>000905855</v>
      </c>
      <c r="B7826" t="str">
        <f>"1508206558"</f>
        <v>1508206558</v>
      </c>
      <c r="C7826" t="str">
        <f>"2084P0800X"</f>
        <v>2084P0800X</v>
      </c>
      <c r="D7826" t="str">
        <f>"PROTA MARTINEZ           DEMETRIO     J           "</f>
        <v xml:space="preserve">PROTA MARTINEZ           DEMETRIO     J           </v>
      </c>
      <c r="E7826" t="str">
        <f>"TUPELO                    "</f>
        <v xml:space="preserve">TUPELO                    </v>
      </c>
      <c r="F7826" t="str">
        <f t="shared" si="246"/>
        <v>MS</v>
      </c>
    </row>
    <row r="7827" spans="1:6" x14ac:dyDescent="0.25">
      <c r="A7827" t="str">
        <f>"000906200"</f>
        <v>000906200</v>
      </c>
      <c r="B7827" t="str">
        <f>"1275629164"</f>
        <v>1275629164</v>
      </c>
      <c r="C7827" t="str">
        <f>"122300000X"</f>
        <v>122300000X</v>
      </c>
      <c r="D7827" t="str">
        <f>"PATTI                    DANIEL       J           "</f>
        <v xml:space="preserve">PATTI                    DANIEL       J           </v>
      </c>
      <c r="E7827" t="str">
        <f>"BROOKHAVEN                "</f>
        <v xml:space="preserve">BROOKHAVEN                </v>
      </c>
      <c r="F7827" t="str">
        <f t="shared" si="246"/>
        <v>MS</v>
      </c>
    </row>
    <row r="7828" spans="1:6" x14ac:dyDescent="0.25">
      <c r="A7828" t="str">
        <f>"000906512"</f>
        <v>000906512</v>
      </c>
      <c r="B7828" t="str">
        <f>"1962684555"</f>
        <v>1962684555</v>
      </c>
      <c r="C7828" t="str">
        <f>"207RH0000X"</f>
        <v>207RH0000X</v>
      </c>
      <c r="D7828" t="str">
        <f>"TULI                     PAMELA       J           "</f>
        <v xml:space="preserve">TULI                     PAMELA       J           </v>
      </c>
      <c r="E7828" t="str">
        <f>"GULFPORT                  "</f>
        <v xml:space="preserve">GULFPORT                  </v>
      </c>
      <c r="F7828" t="str">
        <f t="shared" si="246"/>
        <v>MS</v>
      </c>
    </row>
    <row r="7829" spans="1:6" x14ac:dyDescent="0.25">
      <c r="A7829" t="str">
        <f>"000906701"</f>
        <v>000906701</v>
      </c>
      <c r="B7829" t="str">
        <f>"1427693225"</f>
        <v>1427693225</v>
      </c>
      <c r="C7829" t="str">
        <f>"363L00000X"</f>
        <v>363L00000X</v>
      </c>
      <c r="D7829" t="str">
        <f>"HOLLY                    EMILY        W           "</f>
        <v xml:space="preserve">HOLLY                    EMILY        W           </v>
      </c>
      <c r="E7829" t="str">
        <f>"STARKVILLE                "</f>
        <v xml:space="preserve">STARKVILLE                </v>
      </c>
      <c r="F7829" t="str">
        <f t="shared" si="246"/>
        <v>MS</v>
      </c>
    </row>
    <row r="7830" spans="1:6" x14ac:dyDescent="0.25">
      <c r="A7830" t="str">
        <f>"000906761"</f>
        <v>000906761</v>
      </c>
      <c r="B7830" t="str">
        <f>"1710396486"</f>
        <v>1710396486</v>
      </c>
      <c r="C7830" t="str">
        <f>"207RX0202X"</f>
        <v>207RX0202X</v>
      </c>
      <c r="D7830" t="str">
        <f>"CORREA                   AMIT         K           "</f>
        <v xml:space="preserve">CORREA                   AMIT         K           </v>
      </c>
      <c r="E7830" t="str">
        <f>"TUPELO                    "</f>
        <v xml:space="preserve">TUPELO                    </v>
      </c>
      <c r="F7830" t="str">
        <f t="shared" si="246"/>
        <v>MS</v>
      </c>
    </row>
    <row r="7831" spans="1:6" x14ac:dyDescent="0.25">
      <c r="A7831" t="str">
        <f>"000907711"</f>
        <v>000907711</v>
      </c>
      <c r="B7831" t="str">
        <f>"1932202876"</f>
        <v>1932202876</v>
      </c>
      <c r="C7831" t="str">
        <f>"363L00000X"</f>
        <v>363L00000X</v>
      </c>
      <c r="D7831" t="str">
        <f>"JACKSON                  ALCHAR                   "</f>
        <v xml:space="preserve">JACKSON                  ALCHAR                   </v>
      </c>
      <c r="E7831" t="str">
        <f>"OCEAN SPRINGS             "</f>
        <v xml:space="preserve">OCEAN SPRINGS             </v>
      </c>
      <c r="F7831" t="str">
        <f t="shared" si="246"/>
        <v>MS</v>
      </c>
    </row>
    <row r="7832" spans="1:6" x14ac:dyDescent="0.25">
      <c r="A7832" t="str">
        <f>"000908812"</f>
        <v>000908812</v>
      </c>
      <c r="B7832" t="str">
        <f>"1497331508"</f>
        <v>1497331508</v>
      </c>
      <c r="C7832" t="str">
        <f>"261QM1300X"</f>
        <v>261QM1300X</v>
      </c>
      <c r="D7832" t="str">
        <f>"RESTORATION HOUSE COUNSELING                      "</f>
        <v xml:space="preserve">RESTORATION HOUSE COUNSELING                      </v>
      </c>
      <c r="E7832" t="str">
        <f>"HATTIESBURG               "</f>
        <v xml:space="preserve">HATTIESBURG               </v>
      </c>
      <c r="F7832" t="str">
        <f t="shared" si="246"/>
        <v>MS</v>
      </c>
    </row>
    <row r="7833" spans="1:6" x14ac:dyDescent="0.25">
      <c r="A7833" t="str">
        <f>"000909269"</f>
        <v>000909269</v>
      </c>
      <c r="B7833" t="str">
        <f>"1114281680"</f>
        <v>1114281680</v>
      </c>
      <c r="C7833" t="str">
        <f>"207R00000X"</f>
        <v>207R00000X</v>
      </c>
      <c r="D7833" t="str">
        <f>"POOLE                    MEGHAN       P           "</f>
        <v xml:space="preserve">POOLE                    MEGHAN       P           </v>
      </c>
      <c r="E7833" t="str">
        <f>"MADISON                   "</f>
        <v xml:space="preserve">MADISON                   </v>
      </c>
      <c r="F7833" t="str">
        <f t="shared" si="246"/>
        <v>MS</v>
      </c>
    </row>
    <row r="7834" spans="1:6" x14ac:dyDescent="0.25">
      <c r="A7834" t="str">
        <f>"000909879"</f>
        <v>000909879</v>
      </c>
      <c r="B7834" t="str">
        <f>"1013667450"</f>
        <v>1013667450</v>
      </c>
      <c r="C7834" t="str">
        <f>"208000000X"</f>
        <v>208000000X</v>
      </c>
      <c r="D7834" t="str">
        <f>"PETERMAN                 PHILLIP                  "</f>
        <v xml:space="preserve">PETERMAN                 PHILLIP                  </v>
      </c>
      <c r="E7834" t="str">
        <f>"JACKSON                   "</f>
        <v xml:space="preserve">JACKSON                   </v>
      </c>
      <c r="F7834" t="str">
        <f t="shared" si="246"/>
        <v>MS</v>
      </c>
    </row>
    <row r="7835" spans="1:6" x14ac:dyDescent="0.25">
      <c r="A7835" t="str">
        <f>"000921061"</f>
        <v>000921061</v>
      </c>
      <c r="B7835" t="str">
        <f>"1609100536"</f>
        <v>1609100536</v>
      </c>
      <c r="C7835" t="str">
        <f>"363L00000X"</f>
        <v>363L00000X</v>
      </c>
      <c r="D7835" t="str">
        <f>"LAWRENCE                 JESSICA      J           "</f>
        <v xml:space="preserve">LAWRENCE                 JESSICA      J           </v>
      </c>
      <c r="E7835" t="str">
        <f>"SOUTHAVEN                 "</f>
        <v xml:space="preserve">SOUTHAVEN                 </v>
      </c>
      <c r="F7835" t="str">
        <f t="shared" si="246"/>
        <v>MS</v>
      </c>
    </row>
    <row r="7836" spans="1:6" x14ac:dyDescent="0.25">
      <c r="A7836" t="str">
        <f>"000921108"</f>
        <v>000921108</v>
      </c>
      <c r="B7836" t="str">
        <f>"1982250353"</f>
        <v>1982250353</v>
      </c>
      <c r="C7836" t="str">
        <f>"363L00000X"</f>
        <v>363L00000X</v>
      </c>
      <c r="D7836" t="str">
        <f>"MCGEE                    JALENZA                  "</f>
        <v xml:space="preserve">MCGEE                    JALENZA                  </v>
      </c>
      <c r="E7836" t="str">
        <f>"COLUMBUS                  "</f>
        <v xml:space="preserve">COLUMBUS                  </v>
      </c>
      <c r="F7836" t="str">
        <f t="shared" si="246"/>
        <v>MS</v>
      </c>
    </row>
    <row r="7837" spans="1:6" x14ac:dyDescent="0.25">
      <c r="A7837" t="str">
        <f>"000921365"</f>
        <v>000921365</v>
      </c>
      <c r="B7837" t="str">
        <f>"1013273259"</f>
        <v>1013273259</v>
      </c>
      <c r="C7837" t="str">
        <f>"207R00000X"</f>
        <v>207R00000X</v>
      </c>
      <c r="D7837" t="str">
        <f>"LOVE                     SAMUEL       H           "</f>
        <v xml:space="preserve">LOVE                     SAMUEL       H           </v>
      </c>
      <c r="E7837" t="str">
        <f>"JACKSON                   "</f>
        <v xml:space="preserve">JACKSON                   </v>
      </c>
      <c r="F7837" t="str">
        <f t="shared" si="246"/>
        <v>MS</v>
      </c>
    </row>
    <row r="7838" spans="1:6" x14ac:dyDescent="0.25">
      <c r="A7838" t="str">
        <f>"000921568"</f>
        <v>000921568</v>
      </c>
      <c r="B7838" t="str">
        <f>"1255978367"</f>
        <v>1255978367</v>
      </c>
      <c r="C7838" t="str">
        <f>"363L00000X"</f>
        <v>363L00000X</v>
      </c>
      <c r="D7838" t="str">
        <f>"MCGEE                    TANYA                    "</f>
        <v xml:space="preserve">MCGEE                    TANYA                    </v>
      </c>
      <c r="E7838" t="str">
        <f>"JACKSON                   "</f>
        <v xml:space="preserve">JACKSON                   </v>
      </c>
      <c r="F7838" t="str">
        <f t="shared" si="246"/>
        <v>MS</v>
      </c>
    </row>
    <row r="7839" spans="1:6" x14ac:dyDescent="0.25">
      <c r="A7839" t="str">
        <f>"000922381"</f>
        <v>000922381</v>
      </c>
      <c r="B7839" t="str">
        <f>"1326785882"</f>
        <v>1326785882</v>
      </c>
      <c r="C7839" t="str">
        <f>"363LF0000X"</f>
        <v>363LF0000X</v>
      </c>
      <c r="D7839" t="str">
        <f>"QUINN-MAGEE              TIFFANY                  "</f>
        <v xml:space="preserve">QUINN-MAGEE              TIFFANY                  </v>
      </c>
      <c r="E7839" t="str">
        <f>"BILOXI                    "</f>
        <v xml:space="preserve">BILOXI                    </v>
      </c>
      <c r="F7839" t="str">
        <f t="shared" si="246"/>
        <v>MS</v>
      </c>
    </row>
    <row r="7840" spans="1:6" x14ac:dyDescent="0.25">
      <c r="A7840" t="str">
        <f>"000923007"</f>
        <v>000923007</v>
      </c>
      <c r="B7840" t="str">
        <f>"1366988230"</f>
        <v>1366988230</v>
      </c>
      <c r="C7840" t="str">
        <f>"363L00000X"</f>
        <v>363L00000X</v>
      </c>
      <c r="D7840" t="str">
        <f>"SULLIVAN                 LAUREN                   "</f>
        <v xml:space="preserve">SULLIVAN                 LAUREN                   </v>
      </c>
      <c r="E7840" t="str">
        <f>"GULFPORT                  "</f>
        <v xml:space="preserve">GULFPORT                  </v>
      </c>
      <c r="F7840" t="str">
        <f t="shared" si="246"/>
        <v>MS</v>
      </c>
    </row>
    <row r="7841" spans="1:6" x14ac:dyDescent="0.25">
      <c r="A7841" t="str">
        <f>"000924250"</f>
        <v>000924250</v>
      </c>
      <c r="B7841" t="str">
        <f>"1508530296"</f>
        <v>1508530296</v>
      </c>
      <c r="C7841" t="str">
        <f>"363L00000X"</f>
        <v>363L00000X</v>
      </c>
      <c r="D7841" t="str">
        <f>"CAPISTRAN                JENNIFER     J           "</f>
        <v xml:space="preserve">CAPISTRAN                JENNIFER     J           </v>
      </c>
      <c r="E7841" t="str">
        <f>"JACKSON                   "</f>
        <v xml:space="preserve">JACKSON                   </v>
      </c>
      <c r="F7841" t="str">
        <f t="shared" si="246"/>
        <v>MS</v>
      </c>
    </row>
    <row r="7842" spans="1:6" x14ac:dyDescent="0.25">
      <c r="A7842" t="str">
        <f>"000925081"</f>
        <v>000925081</v>
      </c>
      <c r="B7842" t="str">
        <f>"1881640142"</f>
        <v>1881640142</v>
      </c>
      <c r="C7842" t="str">
        <f>"261QR1300X"</f>
        <v>261QR1300X</v>
      </c>
      <c r="D7842" t="str">
        <f>"EAST MISSISSIPPI MEDICAL CLINIC                   "</f>
        <v xml:space="preserve">EAST MISSISSIPPI MEDICAL CLINIC                   </v>
      </c>
      <c r="E7842" t="str">
        <f>"MERIDIAN                  "</f>
        <v xml:space="preserve">MERIDIAN                  </v>
      </c>
      <c r="F7842" t="str">
        <f t="shared" si="246"/>
        <v>MS</v>
      </c>
    </row>
    <row r="7843" spans="1:6" x14ac:dyDescent="0.25">
      <c r="A7843" t="str">
        <f>"000927252"</f>
        <v>000927252</v>
      </c>
      <c r="B7843" t="str">
        <f>"1619089810"</f>
        <v>1619089810</v>
      </c>
      <c r="C7843" t="str">
        <f>"367500000X"</f>
        <v>367500000X</v>
      </c>
      <c r="D7843" t="str">
        <f>"MORGAN                   DONNA        F           "</f>
        <v xml:space="preserve">MORGAN                   DONNA        F           </v>
      </c>
      <c r="E7843" t="str">
        <f>"FLOWOOD                   "</f>
        <v xml:space="preserve">FLOWOOD                   </v>
      </c>
      <c r="F7843" t="str">
        <f t="shared" si="246"/>
        <v>MS</v>
      </c>
    </row>
    <row r="7844" spans="1:6" x14ac:dyDescent="0.25">
      <c r="A7844" t="str">
        <f>"000927564"</f>
        <v>000927564</v>
      </c>
      <c r="B7844" t="str">
        <f>"1568957439"</f>
        <v>1568957439</v>
      </c>
      <c r="C7844" t="str">
        <f>"363L00000X"</f>
        <v>363L00000X</v>
      </c>
      <c r="D7844" t="str">
        <f>"BARHAM                   KARA         L           "</f>
        <v xml:space="preserve">BARHAM                   KARA         L           </v>
      </c>
      <c r="E7844" t="str">
        <f>"HATTIESBURG               "</f>
        <v xml:space="preserve">HATTIESBURG               </v>
      </c>
      <c r="F7844" t="str">
        <f t="shared" si="246"/>
        <v>MS</v>
      </c>
    </row>
    <row r="7845" spans="1:6" x14ac:dyDescent="0.25">
      <c r="A7845" t="str">
        <f>"000927892"</f>
        <v>000927892</v>
      </c>
      <c r="B7845" t="str">
        <f>"1972544427"</f>
        <v>1972544427</v>
      </c>
      <c r="C7845" t="str">
        <f>"207P00000X"</f>
        <v>207P00000X</v>
      </c>
      <c r="D7845" t="str">
        <f>"EAKES                    DAVID        L           "</f>
        <v xml:space="preserve">EAKES                    DAVID        L           </v>
      </c>
      <c r="E7845" t="str">
        <f>"GULFPORT                  "</f>
        <v xml:space="preserve">GULFPORT                  </v>
      </c>
      <c r="F7845" t="str">
        <f t="shared" si="246"/>
        <v>MS</v>
      </c>
    </row>
    <row r="7846" spans="1:6" x14ac:dyDescent="0.25">
      <c r="A7846" t="str">
        <f>"000929801"</f>
        <v>000929801</v>
      </c>
      <c r="B7846" t="str">
        <f>"1619583143"</f>
        <v>1619583143</v>
      </c>
      <c r="C7846" t="str">
        <f>"363L00000X"</f>
        <v>363L00000X</v>
      </c>
      <c r="D7846" t="str">
        <f>"BURNEY                   LINDSEY                  "</f>
        <v xml:space="preserve">BURNEY                   LINDSEY                  </v>
      </c>
      <c r="E7846" t="str">
        <f>"FLOWOOD                   "</f>
        <v xml:space="preserve">FLOWOOD                   </v>
      </c>
      <c r="F7846" t="str">
        <f t="shared" si="246"/>
        <v>MS</v>
      </c>
    </row>
    <row r="7847" spans="1:6" x14ac:dyDescent="0.25">
      <c r="A7847" t="str">
        <f>"000930233"</f>
        <v>000930233</v>
      </c>
      <c r="B7847" t="str">
        <f>"1255654778"</f>
        <v>1255654778</v>
      </c>
      <c r="C7847" t="str">
        <f>"207Q00000X"</f>
        <v>207Q00000X</v>
      </c>
      <c r="D7847" t="str">
        <f>"GUILD                    DONALD       G           "</f>
        <v xml:space="preserve">GUILD                    DONALD       G           </v>
      </c>
      <c r="E7847" t="str">
        <f>"PHILADELPHIA              "</f>
        <v xml:space="preserve">PHILADELPHIA              </v>
      </c>
      <c r="F7847" t="str">
        <f t="shared" si="246"/>
        <v>MS</v>
      </c>
    </row>
    <row r="7848" spans="1:6" x14ac:dyDescent="0.25">
      <c r="A7848" t="str">
        <f>"000931031"</f>
        <v>000931031</v>
      </c>
      <c r="B7848" t="str">
        <f>"1063746345"</f>
        <v>1063746345</v>
      </c>
      <c r="C7848" t="str">
        <f>"363L00000X"</f>
        <v>363L00000X</v>
      </c>
      <c r="D7848" t="str">
        <f>"HALL                     VICKEY       M           "</f>
        <v xml:space="preserve">HALL                     VICKEY       M           </v>
      </c>
      <c r="E7848" t="str">
        <f>"IUKA                      "</f>
        <v xml:space="preserve">IUKA                      </v>
      </c>
      <c r="F7848" t="str">
        <f t="shared" si="246"/>
        <v>MS</v>
      </c>
    </row>
    <row r="7849" spans="1:6" x14ac:dyDescent="0.25">
      <c r="A7849" t="str">
        <f>"000931072"</f>
        <v>000931072</v>
      </c>
      <c r="B7849" t="str">
        <f>"1790081156"</f>
        <v>1790081156</v>
      </c>
      <c r="C7849" t="str">
        <f>"207Q00000X"</f>
        <v>207Q00000X</v>
      </c>
      <c r="D7849" t="str">
        <f>"ABAVARE                  CHARLES      K           "</f>
        <v xml:space="preserve">ABAVARE                  CHARLES      K           </v>
      </c>
      <c r="E7849" t="str">
        <f>"TUPELO                    "</f>
        <v xml:space="preserve">TUPELO                    </v>
      </c>
      <c r="F7849" t="str">
        <f t="shared" si="246"/>
        <v>MS</v>
      </c>
    </row>
    <row r="7850" spans="1:6" x14ac:dyDescent="0.25">
      <c r="A7850" t="str">
        <f>"000932772"</f>
        <v>000932772</v>
      </c>
      <c r="B7850" t="str">
        <f>"1336764778"</f>
        <v>1336764778</v>
      </c>
      <c r="C7850" t="str">
        <f>"363L00000X"</f>
        <v>363L00000X</v>
      </c>
      <c r="D7850" t="str">
        <f>"REED-WASHINGTON          RAQUEL                   "</f>
        <v xml:space="preserve">REED-WASHINGTON          RAQUEL                   </v>
      </c>
      <c r="E7850" t="str">
        <f>"BYHALIA                   "</f>
        <v xml:space="preserve">BYHALIA                   </v>
      </c>
      <c r="F7850" t="str">
        <f t="shared" si="246"/>
        <v>MS</v>
      </c>
    </row>
    <row r="7851" spans="1:6" x14ac:dyDescent="0.25">
      <c r="A7851" t="str">
        <f>"000933252"</f>
        <v>000933252</v>
      </c>
      <c r="B7851" t="str">
        <f>"1477876811"</f>
        <v>1477876811</v>
      </c>
      <c r="C7851" t="str">
        <f>"367500000X"</f>
        <v>367500000X</v>
      </c>
      <c r="D7851" t="str">
        <f>"FERNANDEZ                DEANNA       S           "</f>
        <v xml:space="preserve">FERNANDEZ                DEANNA       S           </v>
      </c>
      <c r="E7851" t="str">
        <f>"GULFPORT                  "</f>
        <v xml:space="preserve">GULFPORT                  </v>
      </c>
      <c r="F7851" t="str">
        <f t="shared" si="246"/>
        <v>MS</v>
      </c>
    </row>
    <row r="7852" spans="1:6" x14ac:dyDescent="0.25">
      <c r="A7852" t="str">
        <f>"000934055"</f>
        <v>000934055</v>
      </c>
      <c r="B7852" t="str">
        <f>"1427264647"</f>
        <v>1427264647</v>
      </c>
      <c r="C7852" t="str">
        <f>"208000000X"</f>
        <v>208000000X</v>
      </c>
      <c r="D7852" t="str">
        <f>"MEFFORD                  AMANDA       R           "</f>
        <v xml:space="preserve">MEFFORD                  AMANDA       R           </v>
      </c>
      <c r="E7852" t="str">
        <f>"SOUTHAVEN                 "</f>
        <v xml:space="preserve">SOUTHAVEN                 </v>
      </c>
      <c r="F7852" t="str">
        <f t="shared" si="246"/>
        <v>MS</v>
      </c>
    </row>
    <row r="7853" spans="1:6" x14ac:dyDescent="0.25">
      <c r="A7853" t="str">
        <f>"000934062"</f>
        <v>000934062</v>
      </c>
      <c r="B7853" t="str">
        <f>"1972671626"</f>
        <v>1972671626</v>
      </c>
      <c r="C7853" t="str">
        <f>"207R00000X"</f>
        <v>207R00000X</v>
      </c>
      <c r="D7853" t="str">
        <f>"HUXFORD                  CAMERON      S           "</f>
        <v xml:space="preserve">HUXFORD                  CAMERON      S           </v>
      </c>
      <c r="E7853" t="str">
        <f>"STARKVILLE                "</f>
        <v xml:space="preserve">STARKVILLE                </v>
      </c>
      <c r="F7853" t="str">
        <f t="shared" si="246"/>
        <v>MS</v>
      </c>
    </row>
    <row r="7854" spans="1:6" x14ac:dyDescent="0.25">
      <c r="A7854" t="str">
        <f>"000934557"</f>
        <v>000934557</v>
      </c>
      <c r="B7854" t="str">
        <f>"1013451780"</f>
        <v>1013451780</v>
      </c>
      <c r="C7854" t="str">
        <f>"363L00000X"</f>
        <v>363L00000X</v>
      </c>
      <c r="D7854" t="str">
        <f>"PACLEY                   KATRICE      L           "</f>
        <v xml:space="preserve">PACLEY                   KATRICE      L           </v>
      </c>
      <c r="E7854" t="str">
        <f>"JACKSON                   "</f>
        <v xml:space="preserve">JACKSON                   </v>
      </c>
      <c r="F7854" t="str">
        <f t="shared" si="246"/>
        <v>MS</v>
      </c>
    </row>
    <row r="7855" spans="1:6" x14ac:dyDescent="0.25">
      <c r="A7855" t="str">
        <f>"000934840"</f>
        <v>000934840</v>
      </c>
      <c r="B7855" t="str">
        <f>"1679141204"</f>
        <v>1679141204</v>
      </c>
      <c r="C7855" t="str">
        <f>"363L00000X"</f>
        <v>363L00000X</v>
      </c>
      <c r="D7855" t="str">
        <f>"DUNSON                   MOLLY                    "</f>
        <v xml:space="preserve">DUNSON                   MOLLY                    </v>
      </c>
      <c r="E7855" t="str">
        <f>"SOUTHAVEN                 "</f>
        <v xml:space="preserve">SOUTHAVEN                 </v>
      </c>
      <c r="F7855" t="str">
        <f t="shared" si="246"/>
        <v>MS</v>
      </c>
    </row>
    <row r="7856" spans="1:6" x14ac:dyDescent="0.25">
      <c r="A7856" t="str">
        <f>"000935316"</f>
        <v>000935316</v>
      </c>
      <c r="B7856" t="str">
        <f>"1578824553"</f>
        <v>1578824553</v>
      </c>
      <c r="C7856" t="str">
        <f>"367500000X"</f>
        <v>367500000X</v>
      </c>
      <c r="D7856" t="str">
        <f>"POMPELIA                 COLE         W           "</f>
        <v xml:space="preserve">POMPELIA                 COLE         W           </v>
      </c>
      <c r="E7856" t="str">
        <f>"MERIDIAN                  "</f>
        <v xml:space="preserve">MERIDIAN                  </v>
      </c>
      <c r="F7856" t="str">
        <f t="shared" si="246"/>
        <v>MS</v>
      </c>
    </row>
    <row r="7857" spans="1:6" x14ac:dyDescent="0.25">
      <c r="A7857" t="str">
        <f>"000935825"</f>
        <v>000935825</v>
      </c>
      <c r="B7857" t="str">
        <f>"1588152920"</f>
        <v>1588152920</v>
      </c>
      <c r="C7857" t="str">
        <f>"261QA1903X"</f>
        <v>261QA1903X</v>
      </c>
      <c r="D7857" t="str">
        <f>"SPECIALTY SURGICAL CENTER                         "</f>
        <v xml:space="preserve">SPECIALTY SURGICAL CENTER                         </v>
      </c>
      <c r="E7857" t="str">
        <f>"FLOWOOD                   "</f>
        <v xml:space="preserve">FLOWOOD                   </v>
      </c>
      <c r="F7857" t="str">
        <f t="shared" si="246"/>
        <v>MS</v>
      </c>
    </row>
    <row r="7858" spans="1:6" x14ac:dyDescent="0.25">
      <c r="A7858" t="str">
        <f>"000935892"</f>
        <v>000935892</v>
      </c>
      <c r="B7858" t="str">
        <f>"1679843544"</f>
        <v>1679843544</v>
      </c>
      <c r="C7858" t="str">
        <f>"363L00000X"</f>
        <v>363L00000X</v>
      </c>
      <c r="D7858" t="str">
        <f>"HOLMES                   LAUREN       B           "</f>
        <v xml:space="preserve">HOLMES                   LAUREN       B           </v>
      </c>
      <c r="E7858" t="str">
        <f>"MERIDIAN                  "</f>
        <v xml:space="preserve">MERIDIAN                  </v>
      </c>
      <c r="F7858" t="str">
        <f t="shared" si="246"/>
        <v>MS</v>
      </c>
    </row>
    <row r="7859" spans="1:6" x14ac:dyDescent="0.25">
      <c r="A7859" t="str">
        <f>"000936767"</f>
        <v>000936767</v>
      </c>
      <c r="B7859" t="str">
        <f>"1407390438"</f>
        <v>1407390438</v>
      </c>
      <c r="C7859" t="str">
        <f>"363L00000X"</f>
        <v>363L00000X</v>
      </c>
      <c r="D7859" t="str">
        <f>"FLETCHER                 ESQUANICKIA              "</f>
        <v xml:space="preserve">FLETCHER                 ESQUANICKIA              </v>
      </c>
      <c r="E7859" t="str">
        <f>"RICHLAND                  "</f>
        <v xml:space="preserve">RICHLAND                  </v>
      </c>
      <c r="F7859" t="str">
        <f t="shared" si="246"/>
        <v>MS</v>
      </c>
    </row>
    <row r="7860" spans="1:6" x14ac:dyDescent="0.25">
      <c r="A7860" t="str">
        <f>"000937242"</f>
        <v>000937242</v>
      </c>
      <c r="B7860" t="str">
        <f>"1003036252"</f>
        <v>1003036252</v>
      </c>
      <c r="C7860" t="str">
        <f>"207Q00000X"</f>
        <v>207Q00000X</v>
      </c>
      <c r="D7860" t="str">
        <f>"HALL-HILL                TESIA                    "</f>
        <v xml:space="preserve">HALL-HILL                TESIA                    </v>
      </c>
      <c r="E7860" t="str">
        <f>"JACKSON                   "</f>
        <v xml:space="preserve">JACKSON                   </v>
      </c>
      <c r="F7860" t="str">
        <f t="shared" si="246"/>
        <v>MS</v>
      </c>
    </row>
    <row r="7861" spans="1:6" x14ac:dyDescent="0.25">
      <c r="A7861" t="str">
        <f>"000937715"</f>
        <v>000937715</v>
      </c>
      <c r="B7861" t="str">
        <f>"1952409609"</f>
        <v>1952409609</v>
      </c>
      <c r="C7861" t="str">
        <f>"207RC0000X"</f>
        <v>207RC0000X</v>
      </c>
      <c r="D7861" t="str">
        <f>"THIELING                 CRAIG        A           "</f>
        <v xml:space="preserve">THIELING                 CRAIG        A           </v>
      </c>
      <c r="E7861" t="str">
        <f>"HATTIESBURG               "</f>
        <v xml:space="preserve">HATTIESBURG               </v>
      </c>
      <c r="F7861" t="str">
        <f t="shared" si="246"/>
        <v>MS</v>
      </c>
    </row>
    <row r="7862" spans="1:6" x14ac:dyDescent="0.25">
      <c r="A7862" t="str">
        <f>"000939715"</f>
        <v>000939715</v>
      </c>
      <c r="B7862" t="str">
        <f>"1669812962"</f>
        <v>1669812962</v>
      </c>
      <c r="C7862" t="str">
        <f>"261QR1300X"</f>
        <v>261QR1300X</v>
      </c>
      <c r="D7862" t="str">
        <f>"KEMPER CAH INC                                    "</f>
        <v xml:space="preserve">KEMPER CAH INC                                    </v>
      </c>
      <c r="E7862" t="str">
        <f>"MARION                    "</f>
        <v xml:space="preserve">MARION                    </v>
      </c>
      <c r="F7862" t="str">
        <f t="shared" si="246"/>
        <v>MS</v>
      </c>
    </row>
    <row r="7863" spans="1:6" x14ac:dyDescent="0.25">
      <c r="A7863" t="str">
        <f>"000951863"</f>
        <v>000951863</v>
      </c>
      <c r="B7863" t="str">
        <f>"1992254239"</f>
        <v>1992254239</v>
      </c>
      <c r="C7863" t="str">
        <f>"363L00000X"</f>
        <v>363L00000X</v>
      </c>
      <c r="D7863" t="str">
        <f>"LAFAYETTE                MINDY                    "</f>
        <v xml:space="preserve">LAFAYETTE                MINDY                    </v>
      </c>
      <c r="E7863" t="str">
        <f>"BATESVILLE                "</f>
        <v xml:space="preserve">BATESVILLE                </v>
      </c>
      <c r="F7863" t="str">
        <f t="shared" si="246"/>
        <v>MS</v>
      </c>
    </row>
    <row r="7864" spans="1:6" x14ac:dyDescent="0.25">
      <c r="A7864" t="str">
        <f>"000953204"</f>
        <v>000953204</v>
      </c>
      <c r="B7864" t="str">
        <f>"1477225902"</f>
        <v>1477225902</v>
      </c>
      <c r="C7864" t="str">
        <f>"363L00000X"</f>
        <v>363L00000X</v>
      </c>
      <c r="D7864" t="str">
        <f>"WILSON ROBERTS           LATORI                   "</f>
        <v xml:space="preserve">WILSON ROBERTS           LATORI                   </v>
      </c>
      <c r="E7864" t="str">
        <f>"CARTHAGE                  "</f>
        <v xml:space="preserve">CARTHAGE                  </v>
      </c>
      <c r="F7864" t="str">
        <f t="shared" si="246"/>
        <v>MS</v>
      </c>
    </row>
    <row r="7865" spans="1:6" x14ac:dyDescent="0.25">
      <c r="A7865" t="str">
        <f>"000953578"</f>
        <v>000953578</v>
      </c>
      <c r="B7865" t="str">
        <f>"1477932770"</f>
        <v>1477932770</v>
      </c>
      <c r="C7865" t="str">
        <f>"207R00000X"</f>
        <v>207R00000X</v>
      </c>
      <c r="D7865" t="str">
        <f>"BARTLETT                 ANDREW       J           "</f>
        <v xml:space="preserve">BARTLETT                 ANDREW       J           </v>
      </c>
      <c r="E7865" t="str">
        <f>"GRENADA                   "</f>
        <v xml:space="preserve">GRENADA                   </v>
      </c>
      <c r="F7865" t="str">
        <f t="shared" si="246"/>
        <v>MS</v>
      </c>
    </row>
    <row r="7866" spans="1:6" x14ac:dyDescent="0.25">
      <c r="A7866" t="str">
        <f>"000954376"</f>
        <v>000954376</v>
      </c>
      <c r="B7866" t="str">
        <f>"1780622712"</f>
        <v>1780622712</v>
      </c>
      <c r="C7866" t="str">
        <f>"363L00000X"</f>
        <v>363L00000X</v>
      </c>
      <c r="D7866" t="str">
        <f>"FLEMING                  MARY         A           "</f>
        <v xml:space="preserve">FLEMING                  MARY         A           </v>
      </c>
      <c r="E7866" t="str">
        <f>"TUPELO                    "</f>
        <v xml:space="preserve">TUPELO                    </v>
      </c>
      <c r="F7866" t="str">
        <f t="shared" si="246"/>
        <v>MS</v>
      </c>
    </row>
    <row r="7867" spans="1:6" x14ac:dyDescent="0.25">
      <c r="A7867" t="str">
        <f>"000956008"</f>
        <v>000956008</v>
      </c>
      <c r="B7867" t="str">
        <f>"1245643246"</f>
        <v>1245643246</v>
      </c>
      <c r="C7867" t="str">
        <f>"363L00000X"</f>
        <v>363L00000X</v>
      </c>
      <c r="D7867" t="str">
        <f>"SALEEM                   KYSHA                    "</f>
        <v xml:space="preserve">SALEEM                   KYSHA                    </v>
      </c>
      <c r="E7867" t="str">
        <f>"SOUTHAVEN                 "</f>
        <v xml:space="preserve">SOUTHAVEN                 </v>
      </c>
      <c r="F7867" t="str">
        <f t="shared" si="246"/>
        <v>MS</v>
      </c>
    </row>
    <row r="7868" spans="1:6" x14ac:dyDescent="0.25">
      <c r="A7868" t="str">
        <f>"000959245"</f>
        <v>000959245</v>
      </c>
      <c r="B7868" t="str">
        <f>"1760663579"</f>
        <v>1760663579</v>
      </c>
      <c r="C7868" t="str">
        <f>"207RE0101X"</f>
        <v>207RE0101X</v>
      </c>
      <c r="D7868" t="str">
        <f>"CUNNINGHAM               AMANDA       R           "</f>
        <v xml:space="preserve">CUNNINGHAM               AMANDA       R           </v>
      </c>
      <c r="E7868" t="str">
        <f>"SOUTHAVEN                 "</f>
        <v xml:space="preserve">SOUTHAVEN                 </v>
      </c>
      <c r="F7868" t="str">
        <f t="shared" si="246"/>
        <v>MS</v>
      </c>
    </row>
    <row r="7869" spans="1:6" x14ac:dyDescent="0.25">
      <c r="A7869" t="str">
        <f>"000959507"</f>
        <v>000959507</v>
      </c>
      <c r="B7869" t="str">
        <f>"1558374850"</f>
        <v>1558374850</v>
      </c>
      <c r="C7869" t="str">
        <f>"207Q00000X"</f>
        <v>207Q00000X</v>
      </c>
      <c r="D7869" t="str">
        <f>"FARMER                   WILLIAM      M           "</f>
        <v xml:space="preserve">FARMER                   WILLIAM      M           </v>
      </c>
      <c r="E7869" t="str">
        <f>"HATTIESBURG               "</f>
        <v xml:space="preserve">HATTIESBURG               </v>
      </c>
      <c r="F7869" t="str">
        <f t="shared" si="246"/>
        <v>MS</v>
      </c>
    </row>
    <row r="7870" spans="1:6" x14ac:dyDescent="0.25">
      <c r="A7870" t="str">
        <f>"000959750"</f>
        <v>000959750</v>
      </c>
      <c r="B7870" t="str">
        <f>"1376157099"</f>
        <v>1376157099</v>
      </c>
      <c r="C7870" t="str">
        <f>"363L00000X"</f>
        <v>363L00000X</v>
      </c>
      <c r="D7870" t="str">
        <f>"PARVIN                   KATHRYN      T           "</f>
        <v xml:space="preserve">PARVIN                   KATHRYN      T           </v>
      </c>
      <c r="E7870" t="str">
        <f>"JACKSON                   "</f>
        <v xml:space="preserve">JACKSON                   </v>
      </c>
      <c r="F7870" t="str">
        <f t="shared" ref="F7870:F7933" si="247">"MS"</f>
        <v>MS</v>
      </c>
    </row>
    <row r="7871" spans="1:6" x14ac:dyDescent="0.25">
      <c r="A7871" t="str">
        <f>"000959786"</f>
        <v>000959786</v>
      </c>
      <c r="B7871" t="str">
        <f>"1437645017"</f>
        <v>1437645017</v>
      </c>
      <c r="C7871" t="str">
        <f>"363L00000X"</f>
        <v>363L00000X</v>
      </c>
      <c r="D7871" t="str">
        <f>"SHORT                    KENDRIA      D           "</f>
        <v xml:space="preserve">SHORT                    KENDRIA      D           </v>
      </c>
      <c r="E7871" t="str">
        <f>"RIDGELAND                 "</f>
        <v xml:space="preserve">RIDGELAND                 </v>
      </c>
      <c r="F7871" t="str">
        <f t="shared" si="247"/>
        <v>MS</v>
      </c>
    </row>
    <row r="7872" spans="1:6" x14ac:dyDescent="0.25">
      <c r="A7872" t="str">
        <f>"000970578"</f>
        <v>000970578</v>
      </c>
      <c r="B7872" t="str">
        <f>"1194157784"</f>
        <v>1194157784</v>
      </c>
      <c r="C7872" t="str">
        <f>"363L00000X"</f>
        <v>363L00000X</v>
      </c>
      <c r="D7872" t="str">
        <f>"PRESLEY                  SARA         M           "</f>
        <v xml:space="preserve">PRESLEY                  SARA         M           </v>
      </c>
      <c r="E7872" t="str">
        <f>"JACKSON                   "</f>
        <v xml:space="preserve">JACKSON                   </v>
      </c>
      <c r="F7872" t="str">
        <f t="shared" si="247"/>
        <v>MS</v>
      </c>
    </row>
    <row r="7873" spans="1:6" x14ac:dyDescent="0.25">
      <c r="A7873" t="str">
        <f>"000974253"</f>
        <v>000974253</v>
      </c>
      <c r="B7873" t="str">
        <f>"1962437897"</f>
        <v>1962437897</v>
      </c>
      <c r="C7873" t="str">
        <f>"367500000X"</f>
        <v>367500000X</v>
      </c>
      <c r="D7873" t="str">
        <f>"PANTER                   PAIGE        A           "</f>
        <v xml:space="preserve">PANTER                   PAIGE        A           </v>
      </c>
      <c r="E7873" t="str">
        <f>"JACKSON                   "</f>
        <v xml:space="preserve">JACKSON                   </v>
      </c>
      <c r="F7873" t="str">
        <f t="shared" si="247"/>
        <v>MS</v>
      </c>
    </row>
    <row r="7874" spans="1:6" x14ac:dyDescent="0.25">
      <c r="A7874" t="str">
        <f>"000974758"</f>
        <v>000974758</v>
      </c>
      <c r="B7874" t="str">
        <f>"1598257958"</f>
        <v>1598257958</v>
      </c>
      <c r="C7874" t="str">
        <f>"261QF0400X"</f>
        <v>261QF0400X</v>
      </c>
      <c r="D7874" t="str">
        <f>"ACCESS SCHOOL HEALTH - OKOLONA HIGH               "</f>
        <v xml:space="preserve">ACCESS SCHOOL HEALTH - OKOLONA HIGH               </v>
      </c>
      <c r="E7874" t="str">
        <f>"OKOLONA                   "</f>
        <v xml:space="preserve">OKOLONA                   </v>
      </c>
      <c r="F7874" t="str">
        <f t="shared" si="247"/>
        <v>MS</v>
      </c>
    </row>
    <row r="7875" spans="1:6" x14ac:dyDescent="0.25">
      <c r="A7875" t="str">
        <f>"000974877"</f>
        <v>000974877</v>
      </c>
      <c r="B7875" t="str">
        <f>"1073733606"</f>
        <v>1073733606</v>
      </c>
      <c r="C7875" t="str">
        <f>"122300000X"</f>
        <v>122300000X</v>
      </c>
      <c r="D7875" t="str">
        <f>"MAZURKIEWICZ             MARK         R           "</f>
        <v xml:space="preserve">MAZURKIEWICZ             MARK         R           </v>
      </c>
      <c r="E7875" t="str">
        <f>"CORINTH                   "</f>
        <v xml:space="preserve">CORINTH                   </v>
      </c>
      <c r="F7875" t="str">
        <f t="shared" si="247"/>
        <v>MS</v>
      </c>
    </row>
    <row r="7876" spans="1:6" x14ac:dyDescent="0.25">
      <c r="A7876" t="str">
        <f>"000975577"</f>
        <v>000975577</v>
      </c>
      <c r="B7876" t="str">
        <f>"1659316248"</f>
        <v>1659316248</v>
      </c>
      <c r="C7876" t="str">
        <f>"367500000X"</f>
        <v>367500000X</v>
      </c>
      <c r="D7876" t="str">
        <f>"HERRINGTON               LEIGH        E           "</f>
        <v xml:space="preserve">HERRINGTON               LEIGH        E           </v>
      </c>
      <c r="E7876" t="str">
        <f>"JACKSON                   "</f>
        <v xml:space="preserve">JACKSON                   </v>
      </c>
      <c r="F7876" t="str">
        <f t="shared" si="247"/>
        <v>MS</v>
      </c>
    </row>
    <row r="7877" spans="1:6" x14ac:dyDescent="0.25">
      <c r="A7877" t="str">
        <f>"000975589"</f>
        <v>000975589</v>
      </c>
      <c r="B7877" t="str">
        <f>"1750908059"</f>
        <v>1750908059</v>
      </c>
      <c r="C7877" t="str">
        <f>"363L00000X"</f>
        <v>363L00000X</v>
      </c>
      <c r="D7877" t="str">
        <f>"RHYMES PITTS             CARMEN       R           "</f>
        <v xml:space="preserve">RHYMES PITTS             CARMEN       R           </v>
      </c>
      <c r="E7877" t="str">
        <f>"BRANDON                   "</f>
        <v xml:space="preserve">BRANDON                   </v>
      </c>
      <c r="F7877" t="str">
        <f t="shared" si="247"/>
        <v>MS</v>
      </c>
    </row>
    <row r="7878" spans="1:6" x14ac:dyDescent="0.25">
      <c r="A7878" t="str">
        <f>"000975748"</f>
        <v>000975748</v>
      </c>
      <c r="B7878" t="str">
        <f>"1679723423"</f>
        <v>1679723423</v>
      </c>
      <c r="C7878" t="str">
        <f>"363L00000X"</f>
        <v>363L00000X</v>
      </c>
      <c r="D7878" t="str">
        <f>"MUSGROVE                 ANNE         C           "</f>
        <v xml:space="preserve">MUSGROVE                 ANNE         C           </v>
      </c>
      <c r="E7878" t="str">
        <f>"GULFPORT                  "</f>
        <v xml:space="preserve">GULFPORT                  </v>
      </c>
      <c r="F7878" t="str">
        <f t="shared" si="247"/>
        <v>MS</v>
      </c>
    </row>
    <row r="7879" spans="1:6" x14ac:dyDescent="0.25">
      <c r="A7879" t="str">
        <f>"000979774"</f>
        <v>000979774</v>
      </c>
      <c r="B7879" t="str">
        <f>"1942889498"</f>
        <v>1942889498</v>
      </c>
      <c r="C7879" t="str">
        <f>"208000000X"</f>
        <v>208000000X</v>
      </c>
      <c r="D7879" t="str">
        <f>"EBEID                    MARIAM                   "</f>
        <v xml:space="preserve">EBEID                    MARIAM                   </v>
      </c>
      <c r="E7879" t="str">
        <f>"JACKSON                   "</f>
        <v xml:space="preserve">JACKSON                   </v>
      </c>
      <c r="F7879" t="str">
        <f t="shared" si="247"/>
        <v>MS</v>
      </c>
    </row>
    <row r="7880" spans="1:6" x14ac:dyDescent="0.25">
      <c r="A7880" t="str">
        <f>"000980500"</f>
        <v>000980500</v>
      </c>
      <c r="B7880" t="str">
        <f>"1407376254"</f>
        <v>1407376254</v>
      </c>
      <c r="C7880" t="str">
        <f>"363L00000X"</f>
        <v>363L00000X</v>
      </c>
      <c r="D7880" t="str">
        <f>"DIMINO                   ELIZABETH    M           "</f>
        <v xml:space="preserve">DIMINO                   ELIZABETH    M           </v>
      </c>
      <c r="E7880" t="str">
        <f>"COLUMBUS                  "</f>
        <v xml:space="preserve">COLUMBUS                  </v>
      </c>
      <c r="F7880" t="str">
        <f t="shared" si="247"/>
        <v>MS</v>
      </c>
    </row>
    <row r="7881" spans="1:6" x14ac:dyDescent="0.25">
      <c r="A7881" t="str">
        <f>"000980694"</f>
        <v>000980694</v>
      </c>
      <c r="B7881" t="str">
        <f>"1265859110"</f>
        <v>1265859110</v>
      </c>
      <c r="C7881" t="str">
        <f>"207RR0500X"</f>
        <v>207RR0500X</v>
      </c>
      <c r="D7881" t="str">
        <f>"OKEKE                    OCHEOWELLE   I           "</f>
        <v xml:space="preserve">OKEKE                    OCHEOWELLE   I           </v>
      </c>
      <c r="E7881" t="str">
        <f>"COLUMBUS                  "</f>
        <v xml:space="preserve">COLUMBUS                  </v>
      </c>
      <c r="F7881" t="str">
        <f t="shared" si="247"/>
        <v>MS</v>
      </c>
    </row>
    <row r="7882" spans="1:6" x14ac:dyDescent="0.25">
      <c r="A7882" t="str">
        <f>"000981255"</f>
        <v>000981255</v>
      </c>
      <c r="B7882" t="str">
        <f>"1851815971"</f>
        <v>1851815971</v>
      </c>
      <c r="C7882" t="str">
        <f>"207RE0101X"</f>
        <v>207RE0101X</v>
      </c>
      <c r="D7882" t="str">
        <f>"ZAINAL                   ABIR         I           "</f>
        <v xml:space="preserve">ZAINAL                   ABIR         I           </v>
      </c>
      <c r="E7882" t="str">
        <f>"COLUMBUS                  "</f>
        <v xml:space="preserve">COLUMBUS                  </v>
      </c>
      <c r="F7882" t="str">
        <f t="shared" si="247"/>
        <v>MS</v>
      </c>
    </row>
    <row r="7883" spans="1:6" x14ac:dyDescent="0.25">
      <c r="A7883" t="str">
        <f>"000982704"</f>
        <v>000982704</v>
      </c>
      <c r="B7883" t="str">
        <f>"1194880419"</f>
        <v>1194880419</v>
      </c>
      <c r="C7883" t="str">
        <f>"367500000X"</f>
        <v>367500000X</v>
      </c>
      <c r="D7883" t="str">
        <f>"PATTERSON                JOHN                     "</f>
        <v xml:space="preserve">PATTERSON                JOHN                     </v>
      </c>
      <c r="E7883" t="str">
        <f>"OCEAN SPRINGS             "</f>
        <v xml:space="preserve">OCEAN SPRINGS             </v>
      </c>
      <c r="F7883" t="str">
        <f t="shared" si="247"/>
        <v>MS</v>
      </c>
    </row>
    <row r="7884" spans="1:6" x14ac:dyDescent="0.25">
      <c r="A7884" t="str">
        <f>"000982855"</f>
        <v>000982855</v>
      </c>
      <c r="B7884" t="str">
        <f>"1235210170"</f>
        <v>1235210170</v>
      </c>
      <c r="C7884" t="str">
        <f>"363L00000X"</f>
        <v>363L00000X</v>
      </c>
      <c r="D7884" t="str">
        <f>"JENKINS-LONIDIER         LORA                     "</f>
        <v xml:space="preserve">JENKINS-LONIDIER         LORA                     </v>
      </c>
      <c r="E7884" t="str">
        <f>"JACKSON                   "</f>
        <v xml:space="preserve">JACKSON                   </v>
      </c>
      <c r="F7884" t="str">
        <f t="shared" si="247"/>
        <v>MS</v>
      </c>
    </row>
    <row r="7885" spans="1:6" x14ac:dyDescent="0.25">
      <c r="A7885" t="str">
        <f>"000983217"</f>
        <v>000983217</v>
      </c>
      <c r="B7885" t="str">
        <f>"1528495454"</f>
        <v>1528495454</v>
      </c>
      <c r="C7885" t="str">
        <f>"261QR1300X"</f>
        <v>261QR1300X</v>
      </c>
      <c r="D7885" t="str">
        <f>"UNIVERSITY OF MS MEDICAL CENTER-GRE               "</f>
        <v xml:space="preserve">UNIVERSITY OF MS MEDICAL CENTER-GRE               </v>
      </c>
      <c r="E7885" t="str">
        <f>"GRENADA                   "</f>
        <v xml:space="preserve">GRENADA                   </v>
      </c>
      <c r="F7885" t="str">
        <f t="shared" si="247"/>
        <v>MS</v>
      </c>
    </row>
    <row r="7886" spans="1:6" x14ac:dyDescent="0.25">
      <c r="A7886" t="str">
        <f>"000983228"</f>
        <v>000983228</v>
      </c>
      <c r="B7886" t="str">
        <f>"1619902814"</f>
        <v>1619902814</v>
      </c>
      <c r="C7886" t="str">
        <f>"207X00000X"</f>
        <v>207X00000X</v>
      </c>
      <c r="D7886" t="str">
        <f>"HARRISON                 DONNIS       K           "</f>
        <v xml:space="preserve">HARRISON                 DONNIS       K           </v>
      </c>
      <c r="E7886" t="str">
        <f>"VANCLEAVE                 "</f>
        <v xml:space="preserve">VANCLEAVE                 </v>
      </c>
      <c r="F7886" t="str">
        <f t="shared" si="247"/>
        <v>MS</v>
      </c>
    </row>
    <row r="7887" spans="1:6" x14ac:dyDescent="0.25">
      <c r="A7887" t="str">
        <f>"000983293"</f>
        <v>000983293</v>
      </c>
      <c r="B7887" t="str">
        <f>"1841284445"</f>
        <v>1841284445</v>
      </c>
      <c r="C7887" t="str">
        <f>"207R00000X"</f>
        <v>207R00000X</v>
      </c>
      <c r="D7887" t="str">
        <f>"PREWITT                  DARRION      J           "</f>
        <v xml:space="preserve">PREWITT                  DARRION      J           </v>
      </c>
      <c r="E7887" t="str">
        <f>"TUPELO                    "</f>
        <v xml:space="preserve">TUPELO                    </v>
      </c>
      <c r="F7887" t="str">
        <f t="shared" si="247"/>
        <v>MS</v>
      </c>
    </row>
    <row r="7888" spans="1:6" x14ac:dyDescent="0.25">
      <c r="A7888" t="str">
        <f>"000983586"</f>
        <v>000983586</v>
      </c>
      <c r="B7888" t="str">
        <f>"1457513350"</f>
        <v>1457513350</v>
      </c>
      <c r="C7888" t="str">
        <f>"207Q00000X"</f>
        <v>207Q00000X</v>
      </c>
      <c r="D7888" t="str">
        <f>"WHIPPLE                  PATRICK      D           "</f>
        <v xml:space="preserve">WHIPPLE                  PATRICK      D           </v>
      </c>
      <c r="E7888" t="str">
        <f>"CANTON                    "</f>
        <v xml:space="preserve">CANTON                    </v>
      </c>
      <c r="F7888" t="str">
        <f t="shared" si="247"/>
        <v>MS</v>
      </c>
    </row>
    <row r="7889" spans="1:6" x14ac:dyDescent="0.25">
      <c r="A7889" t="str">
        <f>"000983722"</f>
        <v>000983722</v>
      </c>
      <c r="B7889" t="str">
        <f>"1003045410"</f>
        <v>1003045410</v>
      </c>
      <c r="C7889" t="str">
        <f>"363L00000X"</f>
        <v>363L00000X</v>
      </c>
      <c r="D7889" t="str">
        <f>"HOLLOWAY                 PATSY        L           "</f>
        <v xml:space="preserve">HOLLOWAY                 PATSY        L           </v>
      </c>
      <c r="E7889" t="str">
        <f>"QUITMAN                   "</f>
        <v xml:space="preserve">QUITMAN                   </v>
      </c>
      <c r="F7889" t="str">
        <f t="shared" si="247"/>
        <v>MS</v>
      </c>
    </row>
    <row r="7890" spans="1:6" x14ac:dyDescent="0.25">
      <c r="A7890" t="str">
        <f>"000984276"</f>
        <v>000984276</v>
      </c>
      <c r="B7890" t="str">
        <f>"1750032645"</f>
        <v>1750032645</v>
      </c>
      <c r="C7890" t="str">
        <f>"363L00000X"</f>
        <v>363L00000X</v>
      </c>
      <c r="D7890" t="str">
        <f>"KELLEY                   KIMBERLY     D           "</f>
        <v xml:space="preserve">KELLEY                   KIMBERLY     D           </v>
      </c>
      <c r="E7890" t="str">
        <f>"JACKSON                   "</f>
        <v xml:space="preserve">JACKSON                   </v>
      </c>
      <c r="F7890" t="str">
        <f t="shared" si="247"/>
        <v>MS</v>
      </c>
    </row>
    <row r="7891" spans="1:6" x14ac:dyDescent="0.25">
      <c r="A7891" t="str">
        <f>"000984324"</f>
        <v>000984324</v>
      </c>
      <c r="B7891" t="str">
        <f>"1215960786"</f>
        <v>1215960786</v>
      </c>
      <c r="C7891" t="str">
        <f>"207RH0000X"</f>
        <v>207RH0000X</v>
      </c>
      <c r="D7891" t="str">
        <f>"ALNAS                    WAIL                     "</f>
        <v xml:space="preserve">ALNAS                    WAIL                     </v>
      </c>
      <c r="E7891" t="str">
        <f>"COLUMBUS                  "</f>
        <v xml:space="preserve">COLUMBUS                  </v>
      </c>
      <c r="F7891" t="str">
        <f t="shared" si="247"/>
        <v>MS</v>
      </c>
    </row>
    <row r="7892" spans="1:6" x14ac:dyDescent="0.25">
      <c r="A7892" t="str">
        <f>"000984375"</f>
        <v>000984375</v>
      </c>
      <c r="B7892" t="str">
        <f>"1194825216"</f>
        <v>1194825216</v>
      </c>
      <c r="C7892" t="str">
        <f>"208800000X"</f>
        <v>208800000X</v>
      </c>
      <c r="D7892" t="str">
        <f>"WHITE                    PAIGE        C           "</f>
        <v xml:space="preserve">WHITE                    PAIGE        C           </v>
      </c>
      <c r="E7892" t="str">
        <f>"GULFPORT                  "</f>
        <v xml:space="preserve">GULFPORT                  </v>
      </c>
      <c r="F7892" t="str">
        <f t="shared" si="247"/>
        <v>MS</v>
      </c>
    </row>
    <row r="7893" spans="1:6" x14ac:dyDescent="0.25">
      <c r="A7893" t="str">
        <f>"000985356"</f>
        <v>000985356</v>
      </c>
      <c r="B7893" t="str">
        <f>"1245312354"</f>
        <v>1245312354</v>
      </c>
      <c r="C7893" t="str">
        <f>"367500000X"</f>
        <v>367500000X</v>
      </c>
      <c r="D7893" t="str">
        <f>"JOHNSON                  THOMAS                   "</f>
        <v xml:space="preserve">JOHNSON                  THOMAS                   </v>
      </c>
      <c r="E7893" t="str">
        <f>"JACKSON                   "</f>
        <v xml:space="preserve">JACKSON                   </v>
      </c>
      <c r="F7893" t="str">
        <f t="shared" si="247"/>
        <v>MS</v>
      </c>
    </row>
    <row r="7894" spans="1:6" x14ac:dyDescent="0.25">
      <c r="A7894" t="str">
        <f>"000985779"</f>
        <v>000985779</v>
      </c>
      <c r="B7894" t="str">
        <f>"1588974828"</f>
        <v>1588974828</v>
      </c>
      <c r="C7894" t="str">
        <f>"207ZP0101X"</f>
        <v>207ZP0101X</v>
      </c>
      <c r="D7894" t="str">
        <f>"REDFIELD                 SAMANTHA     M           "</f>
        <v xml:space="preserve">REDFIELD                 SAMANTHA     M           </v>
      </c>
      <c r="E7894" t="str">
        <f>"JACKSON                   "</f>
        <v xml:space="preserve">JACKSON                   </v>
      </c>
      <c r="F7894" t="str">
        <f t="shared" si="247"/>
        <v>MS</v>
      </c>
    </row>
    <row r="7895" spans="1:6" x14ac:dyDescent="0.25">
      <c r="A7895" t="str">
        <f>"000986532"</f>
        <v>000986532</v>
      </c>
      <c r="B7895" t="str">
        <f>"1255628517"</f>
        <v>1255628517</v>
      </c>
      <c r="C7895" t="str">
        <f>"2086S0122X"</f>
        <v>2086S0122X</v>
      </c>
      <c r="D7895" t="str">
        <f>"SONGCHAROEN              SOMJADE      J           "</f>
        <v xml:space="preserve">SONGCHAROEN              SOMJADE      J           </v>
      </c>
      <c r="E7895" t="str">
        <f>"JACKSON                   "</f>
        <v xml:space="preserve">JACKSON                   </v>
      </c>
      <c r="F7895" t="str">
        <f t="shared" si="247"/>
        <v>MS</v>
      </c>
    </row>
    <row r="7896" spans="1:6" x14ac:dyDescent="0.25">
      <c r="A7896" t="str">
        <f>"000987057"</f>
        <v>000987057</v>
      </c>
      <c r="B7896" t="str">
        <f>"1003443458"</f>
        <v>1003443458</v>
      </c>
      <c r="C7896" t="str">
        <f>"363L00000X"</f>
        <v>363L00000X</v>
      </c>
      <c r="D7896" t="str">
        <f>"TAYLOR                   NICOLE                   "</f>
        <v xml:space="preserve">TAYLOR                   NICOLE                   </v>
      </c>
      <c r="E7896" t="str">
        <f>"TUPELO                    "</f>
        <v xml:space="preserve">TUPELO                    </v>
      </c>
      <c r="F7896" t="str">
        <f t="shared" si="247"/>
        <v>MS</v>
      </c>
    </row>
    <row r="7897" spans="1:6" x14ac:dyDescent="0.25">
      <c r="A7897" t="str">
        <f>"000987362"</f>
        <v>000987362</v>
      </c>
      <c r="B7897" t="str">
        <f>"1093155376"</f>
        <v>1093155376</v>
      </c>
      <c r="C7897" t="str">
        <f>"207Q00000X"</f>
        <v>207Q00000X</v>
      </c>
      <c r="D7897" t="str">
        <f>"MARYA                    ANUJ                     "</f>
        <v xml:space="preserve">MARYA                    ANUJ                     </v>
      </c>
      <c r="E7897" t="str">
        <f>"VICKSBURG                 "</f>
        <v xml:space="preserve">VICKSBURG                 </v>
      </c>
      <c r="F7897" t="str">
        <f t="shared" si="247"/>
        <v>MS</v>
      </c>
    </row>
    <row r="7898" spans="1:6" x14ac:dyDescent="0.25">
      <c r="A7898" t="str">
        <f>"000987560"</f>
        <v>000987560</v>
      </c>
      <c r="B7898" t="str">
        <f>"1336497510"</f>
        <v>1336497510</v>
      </c>
      <c r="C7898" t="str">
        <f>"152W00000X"</f>
        <v>152W00000X</v>
      </c>
      <c r="D7898" t="str">
        <f>"CHILDERS                 JENNIFER                 "</f>
        <v xml:space="preserve">CHILDERS                 JENNIFER                 </v>
      </c>
      <c r="E7898" t="str">
        <f>"MADISON                   "</f>
        <v xml:space="preserve">MADISON                   </v>
      </c>
      <c r="F7898" t="str">
        <f t="shared" si="247"/>
        <v>MS</v>
      </c>
    </row>
    <row r="7899" spans="1:6" x14ac:dyDescent="0.25">
      <c r="A7899" t="str">
        <f>"000989095"</f>
        <v>000989095</v>
      </c>
      <c r="B7899" t="str">
        <f>"1457958910"</f>
        <v>1457958910</v>
      </c>
      <c r="C7899" t="str">
        <f>"363L00000X"</f>
        <v>363L00000X</v>
      </c>
      <c r="D7899" t="str">
        <f>"TUCKER                   COURTNEY                 "</f>
        <v xml:space="preserve">TUCKER                   COURTNEY                 </v>
      </c>
      <c r="E7899" t="str">
        <f>"PASCAGOULA                "</f>
        <v xml:space="preserve">PASCAGOULA                </v>
      </c>
      <c r="F7899" t="str">
        <f t="shared" si="247"/>
        <v>MS</v>
      </c>
    </row>
    <row r="7900" spans="1:6" x14ac:dyDescent="0.25">
      <c r="A7900" t="str">
        <f>"001001724"</f>
        <v>001001724</v>
      </c>
      <c r="B7900" t="str">
        <f>"1275934580"</f>
        <v>1275934580</v>
      </c>
      <c r="C7900" t="str">
        <f>"363L00000X"</f>
        <v>363L00000X</v>
      </c>
      <c r="D7900" t="str">
        <f>"LUCKEL                   GILBERT      L           "</f>
        <v xml:space="preserve">LUCKEL                   GILBERT      L           </v>
      </c>
      <c r="E7900" t="str">
        <f>"HATTIESBURG               "</f>
        <v xml:space="preserve">HATTIESBURG               </v>
      </c>
      <c r="F7900" t="str">
        <f t="shared" si="247"/>
        <v>MS</v>
      </c>
    </row>
    <row r="7901" spans="1:6" x14ac:dyDescent="0.25">
      <c r="A7901" t="str">
        <f>"001002589"</f>
        <v>001002589</v>
      </c>
      <c r="B7901" t="str">
        <f>"1275997959"</f>
        <v>1275997959</v>
      </c>
      <c r="C7901" t="str">
        <f>"207R00000X"</f>
        <v>207R00000X</v>
      </c>
      <c r="D7901" t="str">
        <f>"MATANI                   NEDAL        M           "</f>
        <v xml:space="preserve">MATANI                   NEDAL        M           </v>
      </c>
      <c r="E7901" t="str">
        <f>"HATTIESBURG               "</f>
        <v xml:space="preserve">HATTIESBURG               </v>
      </c>
      <c r="F7901" t="str">
        <f t="shared" si="247"/>
        <v>MS</v>
      </c>
    </row>
    <row r="7902" spans="1:6" x14ac:dyDescent="0.25">
      <c r="A7902" t="str">
        <f>"001003009"</f>
        <v>001003009</v>
      </c>
      <c r="B7902" t="str">
        <f>"1730476144"</f>
        <v>1730476144</v>
      </c>
      <c r="C7902" t="str">
        <f>"207Y00000X"</f>
        <v>207Y00000X</v>
      </c>
      <c r="D7902" t="str">
        <f>"NIDA                     ANDREW       M           "</f>
        <v xml:space="preserve">NIDA                     ANDREW       M           </v>
      </c>
      <c r="E7902" t="str">
        <f>"HATTIESBURG               "</f>
        <v xml:space="preserve">HATTIESBURG               </v>
      </c>
      <c r="F7902" t="str">
        <f t="shared" si="247"/>
        <v>MS</v>
      </c>
    </row>
    <row r="7903" spans="1:6" x14ac:dyDescent="0.25">
      <c r="A7903" t="str">
        <f>"001003099"</f>
        <v>001003099</v>
      </c>
      <c r="B7903" t="str">
        <f>"1073533782"</f>
        <v>1073533782</v>
      </c>
      <c r="C7903" t="str">
        <f>"363L00000X"</f>
        <v>363L00000X</v>
      </c>
      <c r="D7903" t="str">
        <f>"BOWEN                    TIFFANY      W           "</f>
        <v xml:space="preserve">BOWEN                    TIFFANY      W           </v>
      </c>
      <c r="E7903" t="str">
        <f>"YAZOO CITY                "</f>
        <v xml:space="preserve">YAZOO CITY                </v>
      </c>
      <c r="F7903" t="str">
        <f t="shared" si="247"/>
        <v>MS</v>
      </c>
    </row>
    <row r="7904" spans="1:6" x14ac:dyDescent="0.25">
      <c r="A7904" t="str">
        <f>"001003838"</f>
        <v>001003838</v>
      </c>
      <c r="B7904" t="str">
        <f>"1750351540"</f>
        <v>1750351540</v>
      </c>
      <c r="C7904" t="str">
        <f>"363L00000X"</f>
        <v>363L00000X</v>
      </c>
      <c r="D7904" t="str">
        <f>"DECANTER                 PAULA        J           "</f>
        <v xml:space="preserve">DECANTER                 PAULA        J           </v>
      </c>
      <c r="E7904" t="str">
        <f>"MYRTLE                    "</f>
        <v xml:space="preserve">MYRTLE                    </v>
      </c>
      <c r="F7904" t="str">
        <f t="shared" si="247"/>
        <v>MS</v>
      </c>
    </row>
    <row r="7905" spans="1:6" x14ac:dyDescent="0.25">
      <c r="A7905" t="str">
        <f>"001003871"</f>
        <v>001003871</v>
      </c>
      <c r="B7905" t="str">
        <f>"1851795876"</f>
        <v>1851795876</v>
      </c>
      <c r="C7905" t="str">
        <f>"363L00000X"</f>
        <v>363L00000X</v>
      </c>
      <c r="D7905" t="str">
        <f>"JACKSON                  LINDSEY                  "</f>
        <v xml:space="preserve">JACKSON                  LINDSEY                  </v>
      </c>
      <c r="E7905" t="str">
        <f>"NATCHEZ                   "</f>
        <v xml:space="preserve">NATCHEZ                   </v>
      </c>
      <c r="F7905" t="str">
        <f t="shared" si="247"/>
        <v>MS</v>
      </c>
    </row>
    <row r="7906" spans="1:6" x14ac:dyDescent="0.25">
      <c r="A7906" t="str">
        <f>"001004021"</f>
        <v>001004021</v>
      </c>
      <c r="B7906" t="str">
        <f>"1710176961"</f>
        <v>1710176961</v>
      </c>
      <c r="C7906" t="str">
        <f>"363L00000X"</f>
        <v>363L00000X</v>
      </c>
      <c r="D7906" t="str">
        <f>"SATTERFIELD BYNUM        BRIDGET      R           "</f>
        <v xml:space="preserve">SATTERFIELD BYNUM        BRIDGET      R           </v>
      </c>
      <c r="E7906" t="str">
        <f>"GREENVILLE                "</f>
        <v xml:space="preserve">GREENVILLE                </v>
      </c>
      <c r="F7906" t="str">
        <f t="shared" si="247"/>
        <v>MS</v>
      </c>
    </row>
    <row r="7907" spans="1:6" x14ac:dyDescent="0.25">
      <c r="A7907" t="str">
        <f>"001004216"</f>
        <v>001004216</v>
      </c>
      <c r="B7907" t="str">
        <f>"1700437076"</f>
        <v>1700437076</v>
      </c>
      <c r="C7907" t="str">
        <f>"363L00000X"</f>
        <v>363L00000X</v>
      </c>
      <c r="D7907" t="str">
        <f>"RAYBURN JR               FRED         A           "</f>
        <v xml:space="preserve">RAYBURN JR               FRED         A           </v>
      </c>
      <c r="E7907" t="str">
        <f>"TUPELO                    "</f>
        <v xml:space="preserve">TUPELO                    </v>
      </c>
      <c r="F7907" t="str">
        <f t="shared" si="247"/>
        <v>MS</v>
      </c>
    </row>
    <row r="7908" spans="1:6" x14ac:dyDescent="0.25">
      <c r="A7908" t="str">
        <f>"001004803"</f>
        <v>001004803</v>
      </c>
      <c r="B7908" t="str">
        <f>"1447929120"</f>
        <v>1447929120</v>
      </c>
      <c r="C7908" t="str">
        <f>"367500000X"</f>
        <v>367500000X</v>
      </c>
      <c r="D7908" t="str">
        <f>"SCIPLE                   GEORGE       T           "</f>
        <v xml:space="preserve">SCIPLE                   GEORGE       T           </v>
      </c>
      <c r="E7908" t="str">
        <f>"MERIDIAN                  "</f>
        <v xml:space="preserve">MERIDIAN                  </v>
      </c>
      <c r="F7908" t="str">
        <f t="shared" si="247"/>
        <v>MS</v>
      </c>
    </row>
    <row r="7909" spans="1:6" x14ac:dyDescent="0.25">
      <c r="A7909" t="str">
        <f>"001006044"</f>
        <v>001006044</v>
      </c>
      <c r="B7909" t="str">
        <f>"1952395899"</f>
        <v>1952395899</v>
      </c>
      <c r="C7909" t="str">
        <f>"207P00000X"</f>
        <v>207P00000X</v>
      </c>
      <c r="D7909" t="str">
        <f>"TAVAI                    GREG                     "</f>
        <v xml:space="preserve">TAVAI                    GREG                     </v>
      </c>
      <c r="E7909" t="str">
        <f>"HATTIESBURG               "</f>
        <v xml:space="preserve">HATTIESBURG               </v>
      </c>
      <c r="F7909" t="str">
        <f t="shared" si="247"/>
        <v>MS</v>
      </c>
    </row>
    <row r="7910" spans="1:6" x14ac:dyDescent="0.25">
      <c r="A7910" t="str">
        <f>"001006292"</f>
        <v>001006292</v>
      </c>
      <c r="B7910" t="str">
        <f>"1922435130"</f>
        <v>1922435130</v>
      </c>
      <c r="C7910" t="str">
        <f>"363L00000X"</f>
        <v>363L00000X</v>
      </c>
      <c r="D7910" t="str">
        <f>"MIMS                     MARLENA      B           "</f>
        <v xml:space="preserve">MIMS                     MARLENA      B           </v>
      </c>
      <c r="E7910" t="str">
        <f>"HATTIESBURG               "</f>
        <v xml:space="preserve">HATTIESBURG               </v>
      </c>
      <c r="F7910" t="str">
        <f t="shared" si="247"/>
        <v>MS</v>
      </c>
    </row>
    <row r="7911" spans="1:6" x14ac:dyDescent="0.25">
      <c r="A7911" t="str">
        <f>"001006349"</f>
        <v>001006349</v>
      </c>
      <c r="B7911" t="str">
        <f>"1285395517"</f>
        <v>1285395517</v>
      </c>
      <c r="C7911" t="str">
        <f>"122300000X"</f>
        <v>122300000X</v>
      </c>
      <c r="D7911" t="str">
        <f>"MERIDIAN PEDIATRIC DENTAL GROUP                   "</f>
        <v xml:space="preserve">MERIDIAN PEDIATRIC DENTAL GROUP                   </v>
      </c>
      <c r="E7911" t="str">
        <f>"MERIDIAN                  "</f>
        <v xml:space="preserve">MERIDIAN                  </v>
      </c>
      <c r="F7911" t="str">
        <f t="shared" si="247"/>
        <v>MS</v>
      </c>
    </row>
    <row r="7912" spans="1:6" x14ac:dyDescent="0.25">
      <c r="A7912" t="str">
        <f>"001007710"</f>
        <v>001007710</v>
      </c>
      <c r="B7912" t="str">
        <f>"1326531229"</f>
        <v>1326531229</v>
      </c>
      <c r="C7912" t="str">
        <f>"367500000X"</f>
        <v>367500000X</v>
      </c>
      <c r="D7912" t="str">
        <f>"WALKER                   JOHN         E           "</f>
        <v xml:space="preserve">WALKER                   JOHN         E           </v>
      </c>
      <c r="E7912" t="str">
        <f>"SOUTHAVEN                 "</f>
        <v xml:space="preserve">SOUTHAVEN                 </v>
      </c>
      <c r="F7912" t="str">
        <f t="shared" si="247"/>
        <v>MS</v>
      </c>
    </row>
    <row r="7913" spans="1:6" x14ac:dyDescent="0.25">
      <c r="A7913" t="str">
        <f>"001007729"</f>
        <v>001007729</v>
      </c>
      <c r="B7913" t="str">
        <f>"1194121228"</f>
        <v>1194121228</v>
      </c>
      <c r="C7913" t="str">
        <f>"261QM0801X"</f>
        <v>261QM0801X</v>
      </c>
      <c r="D7913" t="str">
        <f>"PRECISION BEHAVIORAL AND MEDICAL GR               "</f>
        <v xml:space="preserve">PRECISION BEHAVIORAL AND MEDICAL GR               </v>
      </c>
      <c r="E7913" t="str">
        <f>"GULFPORT                  "</f>
        <v xml:space="preserve">GULFPORT                  </v>
      </c>
      <c r="F7913" t="str">
        <f t="shared" si="247"/>
        <v>MS</v>
      </c>
    </row>
    <row r="7914" spans="1:6" x14ac:dyDescent="0.25">
      <c r="A7914" t="str">
        <f>"001008098"</f>
        <v>001008098</v>
      </c>
      <c r="B7914" t="str">
        <f>"1326567694"</f>
        <v>1326567694</v>
      </c>
      <c r="C7914" t="str">
        <f>"363L00000X"</f>
        <v>363L00000X</v>
      </c>
      <c r="D7914" t="str">
        <f>"KILBURN                  VICTORIA     D           "</f>
        <v xml:space="preserve">KILBURN                  VICTORIA     D           </v>
      </c>
      <c r="E7914" t="str">
        <f>"COLUMBUS                  "</f>
        <v xml:space="preserve">COLUMBUS                  </v>
      </c>
      <c r="F7914" t="str">
        <f t="shared" si="247"/>
        <v>MS</v>
      </c>
    </row>
    <row r="7915" spans="1:6" x14ac:dyDescent="0.25">
      <c r="A7915" t="str">
        <f>"001008742"</f>
        <v>001008742</v>
      </c>
      <c r="B7915" t="str">
        <f>"1316045511"</f>
        <v>1316045511</v>
      </c>
      <c r="C7915" t="str">
        <f>"367500000X"</f>
        <v>367500000X</v>
      </c>
      <c r="D7915" t="str">
        <f>"BLACK                    CHRISTY      C           "</f>
        <v xml:space="preserve">BLACK                    CHRISTY      C           </v>
      </c>
      <c r="E7915" t="str">
        <f>"COLUMBUS                  "</f>
        <v xml:space="preserve">COLUMBUS                  </v>
      </c>
      <c r="F7915" t="str">
        <f t="shared" si="247"/>
        <v>MS</v>
      </c>
    </row>
    <row r="7916" spans="1:6" x14ac:dyDescent="0.25">
      <c r="A7916" t="str">
        <f>"001009248"</f>
        <v>001009248</v>
      </c>
      <c r="B7916" t="str">
        <f>"1639550783"</f>
        <v>1639550783</v>
      </c>
      <c r="C7916" t="str">
        <f>"207Q00000X"</f>
        <v>207Q00000X</v>
      </c>
      <c r="D7916" t="str">
        <f>"LANDRUM                  EMILY        L           "</f>
        <v xml:space="preserve">LANDRUM                  EMILY        L           </v>
      </c>
      <c r="E7916" t="str">
        <f>"STARKVILLE                "</f>
        <v xml:space="preserve">STARKVILLE                </v>
      </c>
      <c r="F7916" t="str">
        <f t="shared" si="247"/>
        <v>MS</v>
      </c>
    </row>
    <row r="7917" spans="1:6" x14ac:dyDescent="0.25">
      <c r="A7917" t="str">
        <f>"001021322"</f>
        <v>001021322</v>
      </c>
      <c r="B7917" t="str">
        <f>"1639140718"</f>
        <v>1639140718</v>
      </c>
      <c r="C7917" t="str">
        <f>"363L00000X"</f>
        <v>363L00000X</v>
      </c>
      <c r="D7917" t="str">
        <f>"CAPPLEMAN                SUSAN        D           "</f>
        <v xml:space="preserve">CAPPLEMAN                SUSAN        D           </v>
      </c>
      <c r="E7917" t="str">
        <f>"NEW ALBANY                "</f>
        <v xml:space="preserve">NEW ALBANY                </v>
      </c>
      <c r="F7917" t="str">
        <f t="shared" si="247"/>
        <v>MS</v>
      </c>
    </row>
    <row r="7918" spans="1:6" x14ac:dyDescent="0.25">
      <c r="A7918" t="str">
        <f>"001021779"</f>
        <v>001021779</v>
      </c>
      <c r="B7918" t="str">
        <f>"1104586171"</f>
        <v>1104586171</v>
      </c>
      <c r="C7918" t="str">
        <f>"363L00000X"</f>
        <v>363L00000X</v>
      </c>
      <c r="D7918" t="str">
        <f>"CHAMBERS                 ANDREW       D           "</f>
        <v xml:space="preserve">CHAMBERS                 ANDREW       D           </v>
      </c>
      <c r="E7918" t="str">
        <f>"MERIDIAN                  "</f>
        <v xml:space="preserve">MERIDIAN                  </v>
      </c>
      <c r="F7918" t="str">
        <f t="shared" si="247"/>
        <v>MS</v>
      </c>
    </row>
    <row r="7919" spans="1:6" x14ac:dyDescent="0.25">
      <c r="A7919" t="str">
        <f>"001022398"</f>
        <v>001022398</v>
      </c>
      <c r="B7919" t="str">
        <f>"1780767673"</f>
        <v>1780767673</v>
      </c>
      <c r="C7919" t="str">
        <f>"261QA1903X"</f>
        <v>261QA1903X</v>
      </c>
      <c r="D7919" t="str">
        <f>"EYE CARE SURGERY CTR OF SOUTHAVEN                 "</f>
        <v xml:space="preserve">EYE CARE SURGERY CTR OF SOUTHAVEN                 </v>
      </c>
      <c r="E7919" t="str">
        <f>"SOUTHAVEN                 "</f>
        <v xml:space="preserve">SOUTHAVEN                 </v>
      </c>
      <c r="F7919" t="str">
        <f t="shared" si="247"/>
        <v>MS</v>
      </c>
    </row>
    <row r="7920" spans="1:6" x14ac:dyDescent="0.25">
      <c r="A7920" t="str">
        <f>"001022410"</f>
        <v>001022410</v>
      </c>
      <c r="B7920" t="str">
        <f>"1528531985"</f>
        <v>1528531985</v>
      </c>
      <c r="C7920" t="str">
        <f>"363L00000X"</f>
        <v>363L00000X</v>
      </c>
      <c r="D7920" t="str">
        <f>"DOTY                     RYANE                    "</f>
        <v xml:space="preserve">DOTY                     RYANE                    </v>
      </c>
      <c r="E7920" t="str">
        <f>"VICKSBURG                 "</f>
        <v xml:space="preserve">VICKSBURG                 </v>
      </c>
      <c r="F7920" t="str">
        <f t="shared" si="247"/>
        <v>MS</v>
      </c>
    </row>
    <row r="7921" spans="1:6" x14ac:dyDescent="0.25">
      <c r="A7921" t="str">
        <f>"001022856"</f>
        <v>001022856</v>
      </c>
      <c r="B7921" t="str">
        <f>"1932463312"</f>
        <v>1932463312</v>
      </c>
      <c r="C7921" t="str">
        <f>"208000000X"</f>
        <v>208000000X</v>
      </c>
      <c r="D7921" t="str">
        <f>"PHILLIPS                 SUSIE        B           "</f>
        <v xml:space="preserve">PHILLIPS                 SUSIE        B           </v>
      </c>
      <c r="E7921" t="str">
        <f>"JACKSON                   "</f>
        <v xml:space="preserve">JACKSON                   </v>
      </c>
      <c r="F7921" t="str">
        <f t="shared" si="247"/>
        <v>MS</v>
      </c>
    </row>
    <row r="7922" spans="1:6" x14ac:dyDescent="0.25">
      <c r="A7922" t="str">
        <f>"001023393"</f>
        <v>001023393</v>
      </c>
      <c r="B7922" t="str">
        <f>"1396108007"</f>
        <v>1396108007</v>
      </c>
      <c r="C7922" t="str">
        <f>"207P00000X"</f>
        <v>207P00000X</v>
      </c>
      <c r="D7922" t="str">
        <f>"TRUMP                    DERRICK      D           "</f>
        <v xml:space="preserve">TRUMP                    DERRICK      D           </v>
      </c>
      <c r="E7922" t="str">
        <f>"MCCOMB                    "</f>
        <v xml:space="preserve">MCCOMB                    </v>
      </c>
      <c r="F7922" t="str">
        <f t="shared" si="247"/>
        <v>MS</v>
      </c>
    </row>
    <row r="7923" spans="1:6" x14ac:dyDescent="0.25">
      <c r="A7923" t="str">
        <f>"001023767"</f>
        <v>001023767</v>
      </c>
      <c r="B7923" t="str">
        <f>"1255685202"</f>
        <v>1255685202</v>
      </c>
      <c r="C7923" t="str">
        <f>"363A00000X"</f>
        <v>363A00000X</v>
      </c>
      <c r="D7923" t="str">
        <f>"HIX                      JARROD                   "</f>
        <v xml:space="preserve">HIX                      JARROD                   </v>
      </c>
      <c r="E7923" t="str">
        <f>"SENATOBIA                 "</f>
        <v xml:space="preserve">SENATOBIA                 </v>
      </c>
      <c r="F7923" t="str">
        <f t="shared" si="247"/>
        <v>MS</v>
      </c>
    </row>
    <row r="7924" spans="1:6" x14ac:dyDescent="0.25">
      <c r="A7924" t="str">
        <f>"001023864"</f>
        <v>001023864</v>
      </c>
      <c r="B7924" t="str">
        <f>"1902146624"</f>
        <v>1902146624</v>
      </c>
      <c r="C7924" t="str">
        <f>"363L00000X"</f>
        <v>363L00000X</v>
      </c>
      <c r="D7924" t="str">
        <f>"CURBOW                   CHRISTIANNE              "</f>
        <v xml:space="preserve">CURBOW                   CHRISTIANNE              </v>
      </c>
      <c r="E7924" t="str">
        <f>"TUPELO                    "</f>
        <v xml:space="preserve">TUPELO                    </v>
      </c>
      <c r="F7924" t="str">
        <f t="shared" si="247"/>
        <v>MS</v>
      </c>
    </row>
    <row r="7925" spans="1:6" x14ac:dyDescent="0.25">
      <c r="A7925" t="str">
        <f>"001024243"</f>
        <v>001024243</v>
      </c>
      <c r="B7925" t="str">
        <f>"1033534391"</f>
        <v>1033534391</v>
      </c>
      <c r="C7925" t="str">
        <f>"363A00000X"</f>
        <v>363A00000X</v>
      </c>
      <c r="D7925" t="str">
        <f>"FAISON                   BETHANY      L           "</f>
        <v xml:space="preserve">FAISON                   BETHANY      L           </v>
      </c>
      <c r="E7925" t="str">
        <f>"TUPELO                    "</f>
        <v xml:space="preserve">TUPELO                    </v>
      </c>
      <c r="F7925" t="str">
        <f t="shared" si="247"/>
        <v>MS</v>
      </c>
    </row>
    <row r="7926" spans="1:6" x14ac:dyDescent="0.25">
      <c r="A7926" t="str">
        <f>"001025068"</f>
        <v>001025068</v>
      </c>
      <c r="B7926" t="str">
        <f>"1952588998"</f>
        <v>1952588998</v>
      </c>
      <c r="C7926" t="str">
        <f>"207L00000X"</f>
        <v>207L00000X</v>
      </c>
      <c r="D7926" t="str">
        <f>"MCCLUNEY                 RICHARD      A           "</f>
        <v xml:space="preserve">MCCLUNEY                 RICHARD      A           </v>
      </c>
      <c r="E7926" t="str">
        <f>"TUPELO                    "</f>
        <v xml:space="preserve">TUPELO                    </v>
      </c>
      <c r="F7926" t="str">
        <f t="shared" si="247"/>
        <v>MS</v>
      </c>
    </row>
    <row r="7927" spans="1:6" x14ac:dyDescent="0.25">
      <c r="A7927" t="str">
        <f>"001025256"</f>
        <v>001025256</v>
      </c>
      <c r="B7927" t="str">
        <f>"1255483186"</f>
        <v>1255483186</v>
      </c>
      <c r="C7927" t="str">
        <f>"122300000X"</f>
        <v>122300000X</v>
      </c>
      <c r="D7927" t="str">
        <f>"PICAYUNE GENERAL DENTISTRY INC                    "</f>
        <v xml:space="preserve">PICAYUNE GENERAL DENTISTRY INC                    </v>
      </c>
      <c r="E7927" t="str">
        <f>"PICAYUNE                  "</f>
        <v xml:space="preserve">PICAYUNE                  </v>
      </c>
      <c r="F7927" t="str">
        <f t="shared" si="247"/>
        <v>MS</v>
      </c>
    </row>
    <row r="7928" spans="1:6" x14ac:dyDescent="0.25">
      <c r="A7928" t="str">
        <f>"001025506"</f>
        <v>001025506</v>
      </c>
      <c r="B7928" t="str">
        <f>"1588702815"</f>
        <v>1588702815</v>
      </c>
      <c r="C7928" t="str">
        <f>"122300000X"</f>
        <v>122300000X</v>
      </c>
      <c r="D7928" t="str">
        <f>"COLE                     CARLA        S           "</f>
        <v xml:space="preserve">COLE                     CARLA        S           </v>
      </c>
      <c r="E7928" t="str">
        <f>"NEW ALBANY                "</f>
        <v xml:space="preserve">NEW ALBANY                </v>
      </c>
      <c r="F7928" t="str">
        <f t="shared" si="247"/>
        <v>MS</v>
      </c>
    </row>
    <row r="7929" spans="1:6" x14ac:dyDescent="0.25">
      <c r="A7929" t="str">
        <f>"001025806"</f>
        <v>001025806</v>
      </c>
      <c r="B7929" t="str">
        <f>"1720585490"</f>
        <v>1720585490</v>
      </c>
      <c r="C7929" t="str">
        <f>"261QR1300X"</f>
        <v>261QR1300X</v>
      </c>
      <c r="D7929" t="str">
        <f>"FAMILY MEDICAL CENTER                             "</f>
        <v xml:space="preserve">FAMILY MEDICAL CENTER                             </v>
      </c>
      <c r="E7929" t="str">
        <f>"MARKS                     "</f>
        <v xml:space="preserve">MARKS                     </v>
      </c>
      <c r="F7929" t="str">
        <f t="shared" si="247"/>
        <v>MS</v>
      </c>
    </row>
    <row r="7930" spans="1:6" x14ac:dyDescent="0.25">
      <c r="A7930" t="str">
        <f>"001025832"</f>
        <v>001025832</v>
      </c>
      <c r="B7930" t="str">
        <f>"1104351758"</f>
        <v>1104351758</v>
      </c>
      <c r="C7930" t="str">
        <f>"2084P0800X"</f>
        <v>2084P0800X</v>
      </c>
      <c r="D7930" t="str">
        <f>"BAKER                    JONATHAN     D           "</f>
        <v xml:space="preserve">BAKER                    JONATHAN     D           </v>
      </c>
      <c r="E7930" t="str">
        <f>"JACKSON                   "</f>
        <v xml:space="preserve">JACKSON                   </v>
      </c>
      <c r="F7930" t="str">
        <f t="shared" si="247"/>
        <v>MS</v>
      </c>
    </row>
    <row r="7931" spans="1:6" x14ac:dyDescent="0.25">
      <c r="A7931" t="str">
        <f>"001026069"</f>
        <v>001026069</v>
      </c>
      <c r="B7931" t="str">
        <f>"1518571900"</f>
        <v>1518571900</v>
      </c>
      <c r="C7931" t="str">
        <f>"363L00000X"</f>
        <v>363L00000X</v>
      </c>
      <c r="D7931" t="str">
        <f>"ELLIS                    LAWANDA                  "</f>
        <v xml:space="preserve">ELLIS                    LAWANDA                  </v>
      </c>
      <c r="E7931" t="str">
        <f>"LAUREL                    "</f>
        <v xml:space="preserve">LAUREL                    </v>
      </c>
      <c r="F7931" t="str">
        <f t="shared" si="247"/>
        <v>MS</v>
      </c>
    </row>
    <row r="7932" spans="1:6" x14ac:dyDescent="0.25">
      <c r="A7932" t="str">
        <f>"001027800"</f>
        <v>001027800</v>
      </c>
      <c r="B7932" t="str">
        <f>"1477211589"</f>
        <v>1477211589</v>
      </c>
      <c r="C7932" t="str">
        <f>"363L00000X"</f>
        <v>363L00000X</v>
      </c>
      <c r="D7932" t="str">
        <f>"WAKEFIELD                KELLI                    "</f>
        <v xml:space="preserve">WAKEFIELD                KELLI                    </v>
      </c>
      <c r="E7932" t="str">
        <f>"RIDGELAND                 "</f>
        <v xml:space="preserve">RIDGELAND                 </v>
      </c>
      <c r="F7932" t="str">
        <f t="shared" si="247"/>
        <v>MS</v>
      </c>
    </row>
    <row r="7933" spans="1:6" x14ac:dyDescent="0.25">
      <c r="A7933" t="str">
        <f>"001027853"</f>
        <v>001027853</v>
      </c>
      <c r="B7933" t="str">
        <f>"1306511225"</f>
        <v>1306511225</v>
      </c>
      <c r="C7933" t="str">
        <f>"363L00000X"</f>
        <v>363L00000X</v>
      </c>
      <c r="D7933" t="str">
        <f>"DOUGLAS                  SHEKELA      K           "</f>
        <v xml:space="preserve">DOUGLAS                  SHEKELA      K           </v>
      </c>
      <c r="E7933" t="str">
        <f>"VICKSBURG                 "</f>
        <v xml:space="preserve">VICKSBURG                 </v>
      </c>
      <c r="F7933" t="str">
        <f t="shared" si="247"/>
        <v>MS</v>
      </c>
    </row>
    <row r="7934" spans="1:6" x14ac:dyDescent="0.25">
      <c r="A7934" t="str">
        <f>"001028007"</f>
        <v>001028007</v>
      </c>
      <c r="B7934" t="str">
        <f>"1477203131"</f>
        <v>1477203131</v>
      </c>
      <c r="C7934" t="str">
        <f>"2084P0800X"</f>
        <v>2084P0800X</v>
      </c>
      <c r="D7934" t="str">
        <f>"JILANI                   AHMAD                    "</f>
        <v xml:space="preserve">JILANI                   AHMAD                    </v>
      </c>
      <c r="E7934" t="str">
        <f>"JACKSON                   "</f>
        <v xml:space="preserve">JACKSON                   </v>
      </c>
      <c r="F7934" t="str">
        <f t="shared" ref="F7934:F7997" si="248">"MS"</f>
        <v>MS</v>
      </c>
    </row>
    <row r="7935" spans="1:6" x14ac:dyDescent="0.25">
      <c r="A7935" t="str">
        <f>"001028303"</f>
        <v>001028303</v>
      </c>
      <c r="B7935" t="str">
        <f>"1346874609"</f>
        <v>1346874609</v>
      </c>
      <c r="C7935" t="str">
        <f>"363L00000X"</f>
        <v>363L00000X</v>
      </c>
      <c r="D7935" t="str">
        <f>"WASSON-TEER              EMILY        E           "</f>
        <v xml:space="preserve">WASSON-TEER              EMILY        E           </v>
      </c>
      <c r="E7935" t="str">
        <f>"OXFORD                    "</f>
        <v xml:space="preserve">OXFORD                    </v>
      </c>
      <c r="F7935" t="str">
        <f t="shared" si="248"/>
        <v>MS</v>
      </c>
    </row>
    <row r="7936" spans="1:6" x14ac:dyDescent="0.25">
      <c r="A7936" t="str">
        <f>"001029281"</f>
        <v>001029281</v>
      </c>
      <c r="B7936" t="str">
        <f>"1235558057"</f>
        <v>1235558057</v>
      </c>
      <c r="C7936" t="str">
        <f>"207X00000X"</f>
        <v>207X00000X</v>
      </c>
      <c r="D7936" t="str">
        <f>"IBE                      IZUCHUKWU    K           "</f>
        <v xml:space="preserve">IBE                      IZUCHUKWU    K           </v>
      </c>
      <c r="E7936" t="str">
        <f>"JACKSON                   "</f>
        <v xml:space="preserve">JACKSON                   </v>
      </c>
      <c r="F7936" t="str">
        <f t="shared" si="248"/>
        <v>MS</v>
      </c>
    </row>
    <row r="7937" spans="1:6" x14ac:dyDescent="0.25">
      <c r="A7937" t="str">
        <f>"001029753"</f>
        <v>001029753</v>
      </c>
      <c r="B7937" t="str">
        <f>"1801568639"</f>
        <v>1801568639</v>
      </c>
      <c r="C7937" t="str">
        <f>"363L00000X"</f>
        <v>363L00000X</v>
      </c>
      <c r="D7937" t="str">
        <f>"DAVIS                    MARLY        J           "</f>
        <v xml:space="preserve">DAVIS                    MARLY        J           </v>
      </c>
      <c r="E7937" t="str">
        <f>"WIGGINS                   "</f>
        <v xml:space="preserve">WIGGINS                   </v>
      </c>
      <c r="F7937" t="str">
        <f t="shared" si="248"/>
        <v>MS</v>
      </c>
    </row>
    <row r="7938" spans="1:6" x14ac:dyDescent="0.25">
      <c r="A7938" t="str">
        <f>"001030384"</f>
        <v>001030384</v>
      </c>
      <c r="B7938" t="str">
        <f>"1225202864"</f>
        <v>1225202864</v>
      </c>
      <c r="C7938" t="str">
        <f>"363L00000X"</f>
        <v>363L00000X</v>
      </c>
      <c r="D7938" t="str">
        <f>"GIBBONEY                 WILLIAM      B           "</f>
        <v xml:space="preserve">GIBBONEY                 WILLIAM      B           </v>
      </c>
      <c r="E7938" t="str">
        <f>"GULFPORT                  "</f>
        <v xml:space="preserve">GULFPORT                  </v>
      </c>
      <c r="F7938" t="str">
        <f t="shared" si="248"/>
        <v>MS</v>
      </c>
    </row>
    <row r="7939" spans="1:6" x14ac:dyDescent="0.25">
      <c r="A7939" t="str">
        <f>"001030518"</f>
        <v>001030518</v>
      </c>
      <c r="B7939" t="str">
        <f>"1801979703"</f>
        <v>1801979703</v>
      </c>
      <c r="C7939" t="str">
        <f>"208000000X"</f>
        <v>208000000X</v>
      </c>
      <c r="D7939" t="str">
        <f>"LEE                      ANN          M           "</f>
        <v xml:space="preserve">LEE                      ANN          M           </v>
      </c>
      <c r="E7939" t="str">
        <f>"FLOWOOD                   "</f>
        <v xml:space="preserve">FLOWOOD                   </v>
      </c>
      <c r="F7939" t="str">
        <f t="shared" si="248"/>
        <v>MS</v>
      </c>
    </row>
    <row r="7940" spans="1:6" x14ac:dyDescent="0.25">
      <c r="A7940" t="str">
        <f>"001031064"</f>
        <v>001031064</v>
      </c>
      <c r="B7940" t="str">
        <f>"1457449589"</f>
        <v>1457449589</v>
      </c>
      <c r="C7940" t="str">
        <f>"207Q00000X"</f>
        <v>207Q00000X</v>
      </c>
      <c r="D7940" t="str">
        <f>"KENNEDY                  EDWIN        J           "</f>
        <v xml:space="preserve">KENNEDY                  EDWIN        J           </v>
      </c>
      <c r="E7940" t="str">
        <f>"FLOWOOD                   "</f>
        <v xml:space="preserve">FLOWOOD                   </v>
      </c>
      <c r="F7940" t="str">
        <f t="shared" si="248"/>
        <v>MS</v>
      </c>
    </row>
    <row r="7941" spans="1:6" x14ac:dyDescent="0.25">
      <c r="A7941" t="str">
        <f>"001032001"</f>
        <v>001032001</v>
      </c>
      <c r="B7941" t="str">
        <f>"1487966750"</f>
        <v>1487966750</v>
      </c>
      <c r="C7941" t="str">
        <f>"207Q00000X"</f>
        <v>207Q00000X</v>
      </c>
      <c r="D7941" t="str">
        <f>"HERRING JR               ROBERT       D           "</f>
        <v xml:space="preserve">HERRING JR               ROBERT       D           </v>
      </c>
      <c r="E7941" t="str">
        <f>"HATTIESBURG               "</f>
        <v xml:space="preserve">HATTIESBURG               </v>
      </c>
      <c r="F7941" t="str">
        <f t="shared" si="248"/>
        <v>MS</v>
      </c>
    </row>
    <row r="7942" spans="1:6" x14ac:dyDescent="0.25">
      <c r="A7942" t="str">
        <f>"001032005"</f>
        <v>001032005</v>
      </c>
      <c r="B7942" t="str">
        <f>"1518002070"</f>
        <v>1518002070</v>
      </c>
      <c r="C7942" t="str">
        <f>"207T00000X"</f>
        <v>207T00000X</v>
      </c>
      <c r="D7942" t="str">
        <f>"EDEN                     SONIA                    "</f>
        <v xml:space="preserve">EDEN                     SONIA                    </v>
      </c>
      <c r="E7942" t="str">
        <f>"OXFORD                    "</f>
        <v xml:space="preserve">OXFORD                    </v>
      </c>
      <c r="F7942" t="str">
        <f t="shared" si="248"/>
        <v>MS</v>
      </c>
    </row>
    <row r="7943" spans="1:6" x14ac:dyDescent="0.25">
      <c r="A7943" t="str">
        <f>"001032039"</f>
        <v>001032039</v>
      </c>
      <c r="B7943" t="str">
        <f>"1093093965"</f>
        <v>1093093965</v>
      </c>
      <c r="C7943" t="str">
        <f>"152W00000X"</f>
        <v>152W00000X</v>
      </c>
      <c r="D7943" t="str">
        <f>"TAYLOR MIDDLETON         ANNA                     "</f>
        <v xml:space="preserve">TAYLOR MIDDLETON         ANNA                     </v>
      </c>
      <c r="E7943" t="str">
        <f>"KOSCIUSKO                 "</f>
        <v xml:space="preserve">KOSCIUSKO                 </v>
      </c>
      <c r="F7943" t="str">
        <f t="shared" si="248"/>
        <v>MS</v>
      </c>
    </row>
    <row r="7944" spans="1:6" x14ac:dyDescent="0.25">
      <c r="A7944" t="str">
        <f>"001035561"</f>
        <v>001035561</v>
      </c>
      <c r="B7944" t="str">
        <f>"1760646509"</f>
        <v>1760646509</v>
      </c>
      <c r="C7944" t="str">
        <f>"1223P0221X"</f>
        <v>1223P0221X</v>
      </c>
      <c r="D7944" t="str">
        <f>"MCDONALD                 SHELLEY      W           "</f>
        <v xml:space="preserve">MCDONALD                 SHELLEY      W           </v>
      </c>
      <c r="E7944" t="str">
        <f>"MERIDIAN                  "</f>
        <v xml:space="preserve">MERIDIAN                  </v>
      </c>
      <c r="F7944" t="str">
        <f t="shared" si="248"/>
        <v>MS</v>
      </c>
    </row>
    <row r="7945" spans="1:6" x14ac:dyDescent="0.25">
      <c r="A7945" t="str">
        <f>"001037751"</f>
        <v>001037751</v>
      </c>
      <c r="B7945" t="str">
        <f>"1265806038"</f>
        <v>1265806038</v>
      </c>
      <c r="C7945" t="str">
        <f>"363L00000X"</f>
        <v>363L00000X</v>
      </c>
      <c r="D7945" t="str">
        <f>"RODRIGUEZ                SONIA        M           "</f>
        <v xml:space="preserve">RODRIGUEZ                SONIA        M           </v>
      </c>
      <c r="E7945" t="str">
        <f>"MERIDIAN                  "</f>
        <v xml:space="preserve">MERIDIAN                  </v>
      </c>
      <c r="F7945" t="str">
        <f t="shared" si="248"/>
        <v>MS</v>
      </c>
    </row>
    <row r="7946" spans="1:6" x14ac:dyDescent="0.25">
      <c r="A7946" t="str">
        <f>"001038075"</f>
        <v>001038075</v>
      </c>
      <c r="B7946" t="str">
        <f>"1033419809"</f>
        <v>1033419809</v>
      </c>
      <c r="C7946" t="str">
        <f>"363L00000X"</f>
        <v>363L00000X</v>
      </c>
      <c r="D7946" t="str">
        <f>"HARKINS                  MARY         H           "</f>
        <v xml:space="preserve">HARKINS                  MARY         H           </v>
      </c>
      <c r="E7946" t="str">
        <f>"CANTON                    "</f>
        <v xml:space="preserve">CANTON                    </v>
      </c>
      <c r="F7946" t="str">
        <f t="shared" si="248"/>
        <v>MS</v>
      </c>
    </row>
    <row r="7947" spans="1:6" x14ac:dyDescent="0.25">
      <c r="A7947" t="str">
        <f>"001039221"</f>
        <v>001039221</v>
      </c>
      <c r="B7947" t="str">
        <f>"1740533280"</f>
        <v>1740533280</v>
      </c>
      <c r="C7947" t="str">
        <f>"363A00000X"</f>
        <v>363A00000X</v>
      </c>
      <c r="D7947" t="str">
        <f>"DRODDY                   BARBRA       E           "</f>
        <v xml:space="preserve">DRODDY                   BARBRA       E           </v>
      </c>
      <c r="E7947" t="str">
        <f>"GULFPORT                  "</f>
        <v xml:space="preserve">GULFPORT                  </v>
      </c>
      <c r="F7947" t="str">
        <f t="shared" si="248"/>
        <v>MS</v>
      </c>
    </row>
    <row r="7948" spans="1:6" x14ac:dyDescent="0.25">
      <c r="A7948" t="str">
        <f>"001050651"</f>
        <v>001050651</v>
      </c>
      <c r="B7948" t="str">
        <f>"1720441355"</f>
        <v>1720441355</v>
      </c>
      <c r="C7948" t="str">
        <f>"363A00000X"</f>
        <v>363A00000X</v>
      </c>
      <c r="D7948" t="str">
        <f>"KEITH                    TIFFANY      E           "</f>
        <v xml:space="preserve">KEITH                    TIFFANY      E           </v>
      </c>
      <c r="E7948" t="str">
        <f>"LAUREL                    "</f>
        <v xml:space="preserve">LAUREL                    </v>
      </c>
      <c r="F7948" t="str">
        <f t="shared" si="248"/>
        <v>MS</v>
      </c>
    </row>
    <row r="7949" spans="1:6" x14ac:dyDescent="0.25">
      <c r="A7949" t="str">
        <f>"001050724"</f>
        <v>001050724</v>
      </c>
      <c r="B7949" t="str">
        <f>"1144669649"</f>
        <v>1144669649</v>
      </c>
      <c r="C7949" t="str">
        <f t="shared" ref="C7949:C7960" si="249">"363L00000X"</f>
        <v>363L00000X</v>
      </c>
      <c r="D7949" t="str">
        <f>"HENSON                   ASHLEY       S           "</f>
        <v xml:space="preserve">HENSON                   ASHLEY       S           </v>
      </c>
      <c r="E7949" t="str">
        <f>"TUPELO                    "</f>
        <v xml:space="preserve">TUPELO                    </v>
      </c>
      <c r="F7949" t="str">
        <f t="shared" si="248"/>
        <v>MS</v>
      </c>
    </row>
    <row r="7950" spans="1:6" x14ac:dyDescent="0.25">
      <c r="A7950" t="str">
        <f>"001051205"</f>
        <v>001051205</v>
      </c>
      <c r="B7950" t="str">
        <f>"1770113441"</f>
        <v>1770113441</v>
      </c>
      <c r="C7950" t="str">
        <f t="shared" si="249"/>
        <v>363L00000X</v>
      </c>
      <c r="D7950" t="str">
        <f>"WALLACE                  BRANDY       S           "</f>
        <v xml:space="preserve">WALLACE                  BRANDY       S           </v>
      </c>
      <c r="E7950" t="str">
        <f>"GULFPORT                  "</f>
        <v xml:space="preserve">GULFPORT                  </v>
      </c>
      <c r="F7950" t="str">
        <f t="shared" si="248"/>
        <v>MS</v>
      </c>
    </row>
    <row r="7951" spans="1:6" x14ac:dyDescent="0.25">
      <c r="A7951" t="str">
        <f>"001052572"</f>
        <v>001052572</v>
      </c>
      <c r="B7951" t="str">
        <f>"1164199097"</f>
        <v>1164199097</v>
      </c>
      <c r="C7951" t="str">
        <f t="shared" si="249"/>
        <v>363L00000X</v>
      </c>
      <c r="D7951" t="str">
        <f>"COLEMAN                  JULIAN       T           "</f>
        <v xml:space="preserve">COLEMAN                  JULIAN       T           </v>
      </c>
      <c r="E7951" t="str">
        <f>"NATCHEZ                   "</f>
        <v xml:space="preserve">NATCHEZ                   </v>
      </c>
      <c r="F7951" t="str">
        <f t="shared" si="248"/>
        <v>MS</v>
      </c>
    </row>
    <row r="7952" spans="1:6" x14ac:dyDescent="0.25">
      <c r="A7952" t="str">
        <f>"001053781"</f>
        <v>001053781</v>
      </c>
      <c r="B7952" t="str">
        <f>"1093165805"</f>
        <v>1093165805</v>
      </c>
      <c r="C7952" t="str">
        <f t="shared" si="249"/>
        <v>363L00000X</v>
      </c>
      <c r="D7952" t="str">
        <f>"HORN                     MARY         L           "</f>
        <v xml:space="preserve">HORN                     MARY         L           </v>
      </c>
      <c r="E7952" t="str">
        <f>"HOUSTON                   "</f>
        <v xml:space="preserve">HOUSTON                   </v>
      </c>
      <c r="F7952" t="str">
        <f t="shared" si="248"/>
        <v>MS</v>
      </c>
    </row>
    <row r="7953" spans="1:6" x14ac:dyDescent="0.25">
      <c r="A7953" t="str">
        <f>"001053866"</f>
        <v>001053866</v>
      </c>
      <c r="B7953" t="str">
        <f>"1750520284"</f>
        <v>1750520284</v>
      </c>
      <c r="C7953" t="str">
        <f t="shared" si="249"/>
        <v>363L00000X</v>
      </c>
      <c r="D7953" t="str">
        <f>"DUNCAN                   MARK         E           "</f>
        <v xml:space="preserve">DUNCAN                   MARK         E           </v>
      </c>
      <c r="E7953" t="str">
        <f>"JACKSON                   "</f>
        <v xml:space="preserve">JACKSON                   </v>
      </c>
      <c r="F7953" t="str">
        <f t="shared" si="248"/>
        <v>MS</v>
      </c>
    </row>
    <row r="7954" spans="1:6" x14ac:dyDescent="0.25">
      <c r="A7954" t="str">
        <f>"001054712"</f>
        <v>001054712</v>
      </c>
      <c r="B7954" t="str">
        <f>"1588124473"</f>
        <v>1588124473</v>
      </c>
      <c r="C7954" t="str">
        <f t="shared" si="249"/>
        <v>363L00000X</v>
      </c>
      <c r="D7954" t="str">
        <f>"TAYLOR                   KATHERINE    E           "</f>
        <v xml:space="preserve">TAYLOR                   KATHERINE    E           </v>
      </c>
      <c r="E7954" t="str">
        <f>"RIDGELAND                 "</f>
        <v xml:space="preserve">RIDGELAND                 </v>
      </c>
      <c r="F7954" t="str">
        <f t="shared" si="248"/>
        <v>MS</v>
      </c>
    </row>
    <row r="7955" spans="1:6" x14ac:dyDescent="0.25">
      <c r="A7955" t="str">
        <f>"001055501"</f>
        <v>001055501</v>
      </c>
      <c r="B7955" t="str">
        <f>"1508506320"</f>
        <v>1508506320</v>
      </c>
      <c r="C7955" t="str">
        <f t="shared" si="249"/>
        <v>363L00000X</v>
      </c>
      <c r="D7955" t="str">
        <f>"BAGWELL                  AMANDA                   "</f>
        <v xml:space="preserve">BAGWELL                  AMANDA                   </v>
      </c>
      <c r="E7955" t="str">
        <f>"TUPELO                    "</f>
        <v xml:space="preserve">TUPELO                    </v>
      </c>
      <c r="F7955" t="str">
        <f t="shared" si="248"/>
        <v>MS</v>
      </c>
    </row>
    <row r="7956" spans="1:6" x14ac:dyDescent="0.25">
      <c r="A7956" t="str">
        <f>"001055804"</f>
        <v>001055804</v>
      </c>
      <c r="B7956" t="str">
        <f>"1578851325"</f>
        <v>1578851325</v>
      </c>
      <c r="C7956" t="str">
        <f t="shared" si="249"/>
        <v>363L00000X</v>
      </c>
      <c r="D7956" t="str">
        <f>"TRAYLOR                  TANDALAYA    M           "</f>
        <v xml:space="preserve">TRAYLOR                  TANDALAYA    M           </v>
      </c>
      <c r="E7956" t="str">
        <f>"TUPELO                    "</f>
        <v xml:space="preserve">TUPELO                    </v>
      </c>
      <c r="F7956" t="str">
        <f t="shared" si="248"/>
        <v>MS</v>
      </c>
    </row>
    <row r="7957" spans="1:6" x14ac:dyDescent="0.25">
      <c r="A7957" t="str">
        <f>"001057053"</f>
        <v>001057053</v>
      </c>
      <c r="B7957" t="str">
        <f>"1841365152"</f>
        <v>1841365152</v>
      </c>
      <c r="C7957" t="str">
        <f t="shared" si="249"/>
        <v>363L00000X</v>
      </c>
      <c r="D7957" t="str">
        <f>"WELLS                    CATHERINE                "</f>
        <v xml:space="preserve">WELLS                    CATHERINE                </v>
      </c>
      <c r="E7957" t="str">
        <f>"JACKSON                   "</f>
        <v xml:space="preserve">JACKSON                   </v>
      </c>
      <c r="F7957" t="str">
        <f t="shared" si="248"/>
        <v>MS</v>
      </c>
    </row>
    <row r="7958" spans="1:6" x14ac:dyDescent="0.25">
      <c r="A7958" t="str">
        <f>"001058019"</f>
        <v>001058019</v>
      </c>
      <c r="B7958" t="str">
        <f>"1134785769"</f>
        <v>1134785769</v>
      </c>
      <c r="C7958" t="str">
        <f t="shared" si="249"/>
        <v>363L00000X</v>
      </c>
      <c r="D7958" t="str">
        <f>"BENNETT                  TIFFANY                  "</f>
        <v xml:space="preserve">BENNETT                  TIFFANY                  </v>
      </c>
      <c r="E7958" t="str">
        <f>"CORINTH                   "</f>
        <v xml:space="preserve">CORINTH                   </v>
      </c>
      <c r="F7958" t="str">
        <f t="shared" si="248"/>
        <v>MS</v>
      </c>
    </row>
    <row r="7959" spans="1:6" x14ac:dyDescent="0.25">
      <c r="A7959" t="str">
        <f>"001058872"</f>
        <v>001058872</v>
      </c>
      <c r="B7959" t="str">
        <f>"1326593153"</f>
        <v>1326593153</v>
      </c>
      <c r="C7959" t="str">
        <f t="shared" si="249"/>
        <v>363L00000X</v>
      </c>
      <c r="D7959" t="str">
        <f>"KIRKLAND                 SHANNON      D           "</f>
        <v xml:space="preserve">KIRKLAND                 SHANNON      D           </v>
      </c>
      <c r="E7959" t="str">
        <f>"PHILADELPHIA              "</f>
        <v xml:space="preserve">PHILADELPHIA              </v>
      </c>
      <c r="F7959" t="str">
        <f t="shared" si="248"/>
        <v>MS</v>
      </c>
    </row>
    <row r="7960" spans="1:6" x14ac:dyDescent="0.25">
      <c r="A7960" t="str">
        <f>"001059358"</f>
        <v>001059358</v>
      </c>
      <c r="B7960" t="str">
        <f>"1215554647"</f>
        <v>1215554647</v>
      </c>
      <c r="C7960" t="str">
        <f t="shared" si="249"/>
        <v>363L00000X</v>
      </c>
      <c r="D7960" t="str">
        <f>"CHASTANT-QUALLS          MEAGAN                   "</f>
        <v xml:space="preserve">CHASTANT-QUALLS          MEAGAN                   </v>
      </c>
      <c r="E7960" t="str">
        <f>"SOUTHAVEN                 "</f>
        <v xml:space="preserve">SOUTHAVEN                 </v>
      </c>
      <c r="F7960" t="str">
        <f t="shared" si="248"/>
        <v>MS</v>
      </c>
    </row>
    <row r="7961" spans="1:6" x14ac:dyDescent="0.25">
      <c r="A7961" t="str">
        <f>"001059399"</f>
        <v>001059399</v>
      </c>
      <c r="B7961" t="str">
        <f>"1407912223"</f>
        <v>1407912223</v>
      </c>
      <c r="C7961" t="str">
        <f>"207L00000X"</f>
        <v>207L00000X</v>
      </c>
      <c r="D7961" t="str">
        <f>"MEI                      SHAWN        X           "</f>
        <v xml:space="preserve">MEI                      SHAWN        X           </v>
      </c>
      <c r="E7961" t="str">
        <f>"GULFPORT                  "</f>
        <v xml:space="preserve">GULFPORT                  </v>
      </c>
      <c r="F7961" t="str">
        <f t="shared" si="248"/>
        <v>MS</v>
      </c>
    </row>
    <row r="7962" spans="1:6" x14ac:dyDescent="0.25">
      <c r="A7962" t="str">
        <f>"001059402"</f>
        <v>001059402</v>
      </c>
      <c r="B7962" t="str">
        <f>"1174006522"</f>
        <v>1174006522</v>
      </c>
      <c r="C7962" t="str">
        <f>"363L00000X"</f>
        <v>363L00000X</v>
      </c>
      <c r="D7962" t="str">
        <f>"TISDALE JR               DONALD       G           "</f>
        <v xml:space="preserve">TISDALE JR               DONALD       G           </v>
      </c>
      <c r="E7962" t="str">
        <f>"FLOWOOD                   "</f>
        <v xml:space="preserve">FLOWOOD                   </v>
      </c>
      <c r="F7962" t="str">
        <f t="shared" si="248"/>
        <v>MS</v>
      </c>
    </row>
    <row r="7963" spans="1:6" x14ac:dyDescent="0.25">
      <c r="A7963" t="str">
        <f>"001059889"</f>
        <v>001059889</v>
      </c>
      <c r="B7963" t="str">
        <f>"1639606940"</f>
        <v>1639606940</v>
      </c>
      <c r="C7963" t="str">
        <f>"261QM3000X"</f>
        <v>261QM3000X</v>
      </c>
      <c r="D7963" t="str">
        <f>"PEDIATRUST COLUMBUS LLC                           "</f>
        <v xml:space="preserve">PEDIATRUST COLUMBUS LLC                           </v>
      </c>
      <c r="E7963" t="str">
        <f>"COLUMBUS                  "</f>
        <v xml:space="preserve">COLUMBUS                  </v>
      </c>
      <c r="F7963" t="str">
        <f t="shared" si="248"/>
        <v>MS</v>
      </c>
    </row>
    <row r="7964" spans="1:6" x14ac:dyDescent="0.25">
      <c r="A7964" t="str">
        <f>"001071599"</f>
        <v>001071599</v>
      </c>
      <c r="B7964" t="str">
        <f>"1093201980"</f>
        <v>1093201980</v>
      </c>
      <c r="C7964" t="str">
        <f>"363L00000X"</f>
        <v>363L00000X</v>
      </c>
      <c r="D7964" t="str">
        <f>"MAYHUGH                  MOLLY        G           "</f>
        <v xml:space="preserve">MAYHUGH                  MOLLY        G           </v>
      </c>
      <c r="E7964" t="str">
        <f>"MONTICELLO                "</f>
        <v xml:space="preserve">MONTICELLO                </v>
      </c>
      <c r="F7964" t="str">
        <f t="shared" si="248"/>
        <v>MS</v>
      </c>
    </row>
    <row r="7965" spans="1:6" x14ac:dyDescent="0.25">
      <c r="A7965" t="str">
        <f>"001075069"</f>
        <v>001075069</v>
      </c>
      <c r="B7965" t="str">
        <f>"1952344723"</f>
        <v>1952344723</v>
      </c>
      <c r="C7965" t="str">
        <f>"207X00000X"</f>
        <v>207X00000X</v>
      </c>
      <c r="D7965" t="str">
        <f>"JEANSONNE                GREGORY      E           "</f>
        <v xml:space="preserve">JEANSONNE                GREGORY      E           </v>
      </c>
      <c r="E7965" t="str">
        <f>"CORINTH                   "</f>
        <v xml:space="preserve">CORINTH                   </v>
      </c>
      <c r="F7965" t="str">
        <f t="shared" si="248"/>
        <v>MS</v>
      </c>
    </row>
    <row r="7966" spans="1:6" x14ac:dyDescent="0.25">
      <c r="A7966" t="str">
        <f>"001075312"</f>
        <v>001075312</v>
      </c>
      <c r="B7966" t="str">
        <f>"1932409083"</f>
        <v>1932409083</v>
      </c>
      <c r="C7966" t="str">
        <f>"207V00000X"</f>
        <v>207V00000X</v>
      </c>
      <c r="D7966" t="str">
        <f>"CLAYBORN                 BARBRETTE    A           "</f>
        <v xml:space="preserve">CLAYBORN                 BARBRETTE    A           </v>
      </c>
      <c r="E7966" t="str">
        <f>"WEST POINT                "</f>
        <v xml:space="preserve">WEST POINT                </v>
      </c>
      <c r="F7966" t="str">
        <f t="shared" si="248"/>
        <v>MS</v>
      </c>
    </row>
    <row r="7967" spans="1:6" x14ac:dyDescent="0.25">
      <c r="A7967" t="str">
        <f>"001076231"</f>
        <v>001076231</v>
      </c>
      <c r="B7967" t="str">
        <f>"1972102275"</f>
        <v>1972102275</v>
      </c>
      <c r="C7967" t="str">
        <f>"367500000X"</f>
        <v>367500000X</v>
      </c>
      <c r="D7967" t="str">
        <f>"HESTER                   MATTHEW                  "</f>
        <v xml:space="preserve">HESTER                   MATTHEW                  </v>
      </c>
      <c r="E7967" t="str">
        <f>"TUPELO                    "</f>
        <v xml:space="preserve">TUPELO                    </v>
      </c>
      <c r="F7967" t="str">
        <f t="shared" si="248"/>
        <v>MS</v>
      </c>
    </row>
    <row r="7968" spans="1:6" x14ac:dyDescent="0.25">
      <c r="A7968" t="str">
        <f>"001076330"</f>
        <v>001076330</v>
      </c>
      <c r="B7968" t="str">
        <f>"1467128553"</f>
        <v>1467128553</v>
      </c>
      <c r="C7968" t="str">
        <f>"363L00000X"</f>
        <v>363L00000X</v>
      </c>
      <c r="D7968" t="str">
        <f>"SNOW                     CYNTHIA                  "</f>
        <v xml:space="preserve">SNOW                     CYNTHIA                  </v>
      </c>
      <c r="E7968" t="str">
        <f>"WAYNESBORO                "</f>
        <v xml:space="preserve">WAYNESBORO                </v>
      </c>
      <c r="F7968" t="str">
        <f t="shared" si="248"/>
        <v>MS</v>
      </c>
    </row>
    <row r="7969" spans="1:6" x14ac:dyDescent="0.25">
      <c r="A7969" t="str">
        <f>"001077076"</f>
        <v>001077076</v>
      </c>
      <c r="B7969" t="str">
        <f>"1467983601"</f>
        <v>1467983601</v>
      </c>
      <c r="C7969" t="str">
        <f>"363L00000X"</f>
        <v>363L00000X</v>
      </c>
      <c r="D7969" t="str">
        <f>"EDWARDS                  LORI                     "</f>
        <v xml:space="preserve">EDWARDS                  LORI                     </v>
      </c>
      <c r="E7969" t="str">
        <f>"GULFPORT                  "</f>
        <v xml:space="preserve">GULFPORT                  </v>
      </c>
      <c r="F7969" t="str">
        <f t="shared" si="248"/>
        <v>MS</v>
      </c>
    </row>
    <row r="7970" spans="1:6" x14ac:dyDescent="0.25">
      <c r="A7970" t="str">
        <f>"001077341"</f>
        <v>001077341</v>
      </c>
      <c r="B7970" t="str">
        <f>"1922203082"</f>
        <v>1922203082</v>
      </c>
      <c r="C7970" t="str">
        <f>"207RH0003X"</f>
        <v>207RH0003X</v>
      </c>
      <c r="D7970" t="str">
        <f>"AZMI                     SYED         S           "</f>
        <v xml:space="preserve">AZMI                     SYED         S           </v>
      </c>
      <c r="E7970" t="str">
        <f>"SOUTHAVEN                 "</f>
        <v xml:space="preserve">SOUTHAVEN                 </v>
      </c>
      <c r="F7970" t="str">
        <f t="shared" si="248"/>
        <v>MS</v>
      </c>
    </row>
    <row r="7971" spans="1:6" x14ac:dyDescent="0.25">
      <c r="A7971" t="str">
        <f>"001079220"</f>
        <v>001079220</v>
      </c>
      <c r="B7971" t="str">
        <f>"1740385632"</f>
        <v>1740385632</v>
      </c>
      <c r="C7971" t="str">
        <f>"261QA1903X"</f>
        <v>261QA1903X</v>
      </c>
      <c r="D7971" t="str">
        <f>"GULF COAST OUTPATIENT SURGERY CTR                 "</f>
        <v xml:space="preserve">GULF COAST OUTPATIENT SURGERY CTR                 </v>
      </c>
      <c r="E7971" t="str">
        <f>"BILOXI                    "</f>
        <v xml:space="preserve">BILOXI                    </v>
      </c>
      <c r="F7971" t="str">
        <f t="shared" si="248"/>
        <v>MS</v>
      </c>
    </row>
    <row r="7972" spans="1:6" x14ac:dyDescent="0.25">
      <c r="A7972" t="str">
        <f>"001080397"</f>
        <v>001080397</v>
      </c>
      <c r="B7972" t="str">
        <f>"1538199831"</f>
        <v>1538199831</v>
      </c>
      <c r="C7972" t="str">
        <f>"2084P0800X"</f>
        <v>2084P0800X</v>
      </c>
      <c r="D7972" t="str">
        <f>"VAMVAKAS                 ANGELOS      B           "</f>
        <v xml:space="preserve">VAMVAKAS                 ANGELOS      B           </v>
      </c>
      <c r="E7972" t="str">
        <f>"DIBERVILLE                "</f>
        <v xml:space="preserve">DIBERVILLE                </v>
      </c>
      <c r="F7972" t="str">
        <f t="shared" si="248"/>
        <v>MS</v>
      </c>
    </row>
    <row r="7973" spans="1:6" x14ac:dyDescent="0.25">
      <c r="A7973" t="str">
        <f>"001082264"</f>
        <v>001082264</v>
      </c>
      <c r="B7973" t="str">
        <f>"1861464760"</f>
        <v>1861464760</v>
      </c>
      <c r="C7973" t="str">
        <f>"207ZP0102X"</f>
        <v>207ZP0102X</v>
      </c>
      <c r="D7973" t="str">
        <f>"WILLIS                   TURNER                   "</f>
        <v xml:space="preserve">WILLIS                   TURNER                   </v>
      </c>
      <c r="E7973" t="str">
        <f>"MCCOMB                    "</f>
        <v xml:space="preserve">MCCOMB                    </v>
      </c>
      <c r="F7973" t="str">
        <f t="shared" si="248"/>
        <v>MS</v>
      </c>
    </row>
    <row r="7974" spans="1:6" x14ac:dyDescent="0.25">
      <c r="A7974" t="str">
        <f>"001082827"</f>
        <v>001082827</v>
      </c>
      <c r="B7974" t="str">
        <f>"1972572683"</f>
        <v>1972572683</v>
      </c>
      <c r="C7974" t="str">
        <f>"207RG0100X"</f>
        <v>207RG0100X</v>
      </c>
      <c r="D7974" t="str">
        <f>"GORTON                   SIDNEY       C           "</f>
        <v xml:space="preserve">GORTON                   SIDNEY       C           </v>
      </c>
      <c r="E7974" t="str">
        <f>"BELZONI                   "</f>
        <v xml:space="preserve">BELZONI                   </v>
      </c>
      <c r="F7974" t="str">
        <f t="shared" si="248"/>
        <v>MS</v>
      </c>
    </row>
    <row r="7975" spans="1:6" x14ac:dyDescent="0.25">
      <c r="A7975" t="str">
        <f>"001083821"</f>
        <v>001083821</v>
      </c>
      <c r="B7975" t="str">
        <f>"1750878781"</f>
        <v>1750878781</v>
      </c>
      <c r="C7975" t="str">
        <f>"261QM1300X"</f>
        <v>261QM1300X</v>
      </c>
      <c r="D7975" t="str">
        <f>"PREMIER PROFESSIONAL COUNSELING SER               "</f>
        <v xml:space="preserve">PREMIER PROFESSIONAL COUNSELING SER               </v>
      </c>
      <c r="E7975" t="str">
        <f>"GULFPORT                  "</f>
        <v xml:space="preserve">GULFPORT                  </v>
      </c>
      <c r="F7975" t="str">
        <f t="shared" si="248"/>
        <v>MS</v>
      </c>
    </row>
    <row r="7976" spans="1:6" x14ac:dyDescent="0.25">
      <c r="A7976" t="str">
        <f>"001085372"</f>
        <v>001085372</v>
      </c>
      <c r="B7976" t="str">
        <f>"1366440331"</f>
        <v>1366440331</v>
      </c>
      <c r="C7976" t="str">
        <f>"261QF0400X"</f>
        <v>261QF0400X</v>
      </c>
      <c r="D7976" t="str">
        <f>"MOBILE MEDICAL UNIT                               "</f>
        <v xml:space="preserve">MOBILE MEDICAL UNIT                               </v>
      </c>
      <c r="E7976" t="str">
        <f>"CLARKSDALE                "</f>
        <v xml:space="preserve">CLARKSDALE                </v>
      </c>
      <c r="F7976" t="str">
        <f t="shared" si="248"/>
        <v>MS</v>
      </c>
    </row>
    <row r="7977" spans="1:6" x14ac:dyDescent="0.25">
      <c r="A7977" t="str">
        <f>"001086254"</f>
        <v>001086254</v>
      </c>
      <c r="B7977" t="str">
        <f>"1538634100"</f>
        <v>1538634100</v>
      </c>
      <c r="C7977" t="str">
        <f>"363L00000X"</f>
        <v>363L00000X</v>
      </c>
      <c r="D7977" t="str">
        <f>"BROWN                    AMANDA       S           "</f>
        <v xml:space="preserve">BROWN                    AMANDA       S           </v>
      </c>
      <c r="E7977" t="str">
        <f>"JACKSON                   "</f>
        <v xml:space="preserve">JACKSON                   </v>
      </c>
      <c r="F7977" t="str">
        <f t="shared" si="248"/>
        <v>MS</v>
      </c>
    </row>
    <row r="7978" spans="1:6" x14ac:dyDescent="0.25">
      <c r="A7978" t="str">
        <f>"001087362"</f>
        <v>001087362</v>
      </c>
      <c r="B7978" t="str">
        <f>"1871235994"</f>
        <v>1871235994</v>
      </c>
      <c r="C7978" t="str">
        <f>"207X00000X"</f>
        <v>207X00000X</v>
      </c>
      <c r="D7978" t="str">
        <f>"DAVIDSON                 JOHN         C           "</f>
        <v xml:space="preserve">DAVIDSON                 JOHN         C           </v>
      </c>
      <c r="E7978" t="str">
        <f>"JACKSON                   "</f>
        <v xml:space="preserve">JACKSON                   </v>
      </c>
      <c r="F7978" t="str">
        <f t="shared" si="248"/>
        <v>MS</v>
      </c>
    </row>
    <row r="7979" spans="1:6" x14ac:dyDescent="0.25">
      <c r="A7979" t="str">
        <f>"001087836"</f>
        <v>001087836</v>
      </c>
      <c r="B7979" t="str">
        <f>"1922515634"</f>
        <v>1922515634</v>
      </c>
      <c r="C7979" t="str">
        <f>"363L00000X"</f>
        <v>363L00000X</v>
      </c>
      <c r="D7979" t="str">
        <f>"HONTZAS                  JONATHAN     T           "</f>
        <v xml:space="preserve">HONTZAS                  JONATHAN     T           </v>
      </c>
      <c r="E7979" t="str">
        <f>"JACKSON                   "</f>
        <v xml:space="preserve">JACKSON                   </v>
      </c>
      <c r="F7979" t="str">
        <f t="shared" si="248"/>
        <v>MS</v>
      </c>
    </row>
    <row r="7980" spans="1:6" x14ac:dyDescent="0.25">
      <c r="A7980" t="str">
        <f>"001100205"</f>
        <v>001100205</v>
      </c>
      <c r="B7980" t="str">
        <f>"1366853020"</f>
        <v>1366853020</v>
      </c>
      <c r="C7980" t="str">
        <f>"207W00000X"</f>
        <v>207W00000X</v>
      </c>
      <c r="D7980" t="str">
        <f>"PACE                     BENJAMIN     R           "</f>
        <v xml:space="preserve">PACE                     BENJAMIN     R           </v>
      </c>
      <c r="E7980" t="str">
        <f>"HATTIESBURG               "</f>
        <v xml:space="preserve">HATTIESBURG               </v>
      </c>
      <c r="F7980" t="str">
        <f t="shared" si="248"/>
        <v>MS</v>
      </c>
    </row>
    <row r="7981" spans="1:6" x14ac:dyDescent="0.25">
      <c r="A7981" t="str">
        <f>"001102707"</f>
        <v>001102707</v>
      </c>
      <c r="B7981" t="str">
        <f>"1124272307"</f>
        <v>1124272307</v>
      </c>
      <c r="C7981" t="str">
        <f>"207R00000X"</f>
        <v>207R00000X</v>
      </c>
      <c r="D7981" t="str">
        <f>"SCURTI                   PAUL         J           "</f>
        <v xml:space="preserve">SCURTI                   PAUL         J           </v>
      </c>
      <c r="E7981" t="str">
        <f>"COLUMBUS                  "</f>
        <v xml:space="preserve">COLUMBUS                  </v>
      </c>
      <c r="F7981" t="str">
        <f t="shared" si="248"/>
        <v>MS</v>
      </c>
    </row>
    <row r="7982" spans="1:6" x14ac:dyDescent="0.25">
      <c r="A7982" t="str">
        <f>"001104723"</f>
        <v>001104723</v>
      </c>
      <c r="B7982" t="str">
        <f>"1801536891"</f>
        <v>1801536891</v>
      </c>
      <c r="C7982" t="str">
        <f>"363L00000X"</f>
        <v>363L00000X</v>
      </c>
      <c r="D7982" t="str">
        <f>"WILSON                   LAKEISHA                 "</f>
        <v xml:space="preserve">WILSON                   LAKEISHA                 </v>
      </c>
      <c r="E7982" t="str">
        <f>"JACKSON                   "</f>
        <v xml:space="preserve">JACKSON                   </v>
      </c>
      <c r="F7982" t="str">
        <f t="shared" si="248"/>
        <v>MS</v>
      </c>
    </row>
    <row r="7983" spans="1:6" x14ac:dyDescent="0.25">
      <c r="A7983" t="str">
        <f>"001107340"</f>
        <v>001107340</v>
      </c>
      <c r="B7983" t="str">
        <f>"1578730800"</f>
        <v>1578730800</v>
      </c>
      <c r="C7983" t="str">
        <f>"152W00000X"</f>
        <v>152W00000X</v>
      </c>
      <c r="D7983" t="str">
        <f>"DELTA EYE CENTER                                  "</f>
        <v xml:space="preserve">DELTA EYE CENTER                                  </v>
      </c>
      <c r="E7983" t="str">
        <f>"INDIANOLA                 "</f>
        <v xml:space="preserve">INDIANOLA                 </v>
      </c>
      <c r="F7983" t="str">
        <f t="shared" si="248"/>
        <v>MS</v>
      </c>
    </row>
    <row r="7984" spans="1:6" x14ac:dyDescent="0.25">
      <c r="A7984" t="str">
        <f>"001107391"</f>
        <v>001107391</v>
      </c>
      <c r="B7984" t="str">
        <f>"1568907376"</f>
        <v>1568907376</v>
      </c>
      <c r="C7984" t="str">
        <f>"363L00000X"</f>
        <v>363L00000X</v>
      </c>
      <c r="D7984" t="str">
        <f>"EVANS                    ELIZABETH    L           "</f>
        <v xml:space="preserve">EVANS                    ELIZABETH    L           </v>
      </c>
      <c r="E7984" t="str">
        <f>"RULEVILLE                 "</f>
        <v xml:space="preserve">RULEVILLE                 </v>
      </c>
      <c r="F7984" t="str">
        <f t="shared" si="248"/>
        <v>MS</v>
      </c>
    </row>
    <row r="7985" spans="1:6" x14ac:dyDescent="0.25">
      <c r="A7985" t="str">
        <f>"001108387"</f>
        <v>001108387</v>
      </c>
      <c r="B7985" t="str">
        <f>"1922615293"</f>
        <v>1922615293</v>
      </c>
      <c r="C7985" t="str">
        <f>"363L00000X"</f>
        <v>363L00000X</v>
      </c>
      <c r="D7985" t="str">
        <f>"TOWNSEND                 MARIA        K           "</f>
        <v xml:space="preserve">TOWNSEND                 MARIA        K           </v>
      </c>
      <c r="E7985" t="str">
        <f>"HATTIESBURG               "</f>
        <v xml:space="preserve">HATTIESBURG               </v>
      </c>
      <c r="F7985" t="str">
        <f t="shared" si="248"/>
        <v>MS</v>
      </c>
    </row>
    <row r="7986" spans="1:6" x14ac:dyDescent="0.25">
      <c r="A7986" t="str">
        <f>"001108892"</f>
        <v>001108892</v>
      </c>
      <c r="B7986" t="str">
        <f>"1942739628"</f>
        <v>1942739628</v>
      </c>
      <c r="C7986" t="str">
        <f>"207L00000X"</f>
        <v>207L00000X</v>
      </c>
      <c r="D7986" t="str">
        <f>"SEVERNS                  ANNILIN      M           "</f>
        <v xml:space="preserve">SEVERNS                  ANNILIN      M           </v>
      </c>
      <c r="E7986" t="str">
        <f>"JACKSON                   "</f>
        <v xml:space="preserve">JACKSON                   </v>
      </c>
      <c r="F7986" t="str">
        <f t="shared" si="248"/>
        <v>MS</v>
      </c>
    </row>
    <row r="7987" spans="1:6" x14ac:dyDescent="0.25">
      <c r="A7987" t="str">
        <f>"001122215"</f>
        <v>001122215</v>
      </c>
      <c r="B7987" t="str">
        <f>"1245743269"</f>
        <v>1245743269</v>
      </c>
      <c r="C7987" t="str">
        <f>"207Q00000X"</f>
        <v>207Q00000X</v>
      </c>
      <c r="D7987" t="str">
        <f>"PARKER                   DANIELLE     M           "</f>
        <v xml:space="preserve">PARKER                   DANIELLE     M           </v>
      </c>
      <c r="E7987" t="str">
        <f>"JACKSON                   "</f>
        <v xml:space="preserve">JACKSON                   </v>
      </c>
      <c r="F7987" t="str">
        <f t="shared" si="248"/>
        <v>MS</v>
      </c>
    </row>
    <row r="7988" spans="1:6" x14ac:dyDescent="0.25">
      <c r="A7988" t="str">
        <f>"001123011"</f>
        <v>001123011</v>
      </c>
      <c r="B7988" t="str">
        <f>"1699005975"</f>
        <v>1699005975</v>
      </c>
      <c r="C7988" t="str">
        <f>"367500000X"</f>
        <v>367500000X</v>
      </c>
      <c r="D7988" t="str">
        <f>"CHAMBLEE                 ROBERT       S           "</f>
        <v xml:space="preserve">CHAMBLEE                 ROBERT       S           </v>
      </c>
      <c r="E7988" t="str">
        <f>"WEST POINT                "</f>
        <v xml:space="preserve">WEST POINT                </v>
      </c>
      <c r="F7988" t="str">
        <f t="shared" si="248"/>
        <v>MS</v>
      </c>
    </row>
    <row r="7989" spans="1:6" x14ac:dyDescent="0.25">
      <c r="A7989" t="str">
        <f>"001124399"</f>
        <v>001124399</v>
      </c>
      <c r="B7989" t="str">
        <f>"1124275862"</f>
        <v>1124275862</v>
      </c>
      <c r="C7989" t="str">
        <f>"363L00000X"</f>
        <v>363L00000X</v>
      </c>
      <c r="D7989" t="str">
        <f>"SEGREST                  LAURA        L           "</f>
        <v xml:space="preserve">SEGREST                  LAURA        L           </v>
      </c>
      <c r="E7989" t="str">
        <f>"MERIDIAN                  "</f>
        <v xml:space="preserve">MERIDIAN                  </v>
      </c>
      <c r="F7989" t="str">
        <f t="shared" si="248"/>
        <v>MS</v>
      </c>
    </row>
    <row r="7990" spans="1:6" x14ac:dyDescent="0.25">
      <c r="A7990" t="str">
        <f>"001125255"</f>
        <v>001125255</v>
      </c>
      <c r="B7990" t="str">
        <f>"1023529443"</f>
        <v>1023529443</v>
      </c>
      <c r="C7990" t="str">
        <f>"363L00000X"</f>
        <v>363L00000X</v>
      </c>
      <c r="D7990" t="str">
        <f>"MASON                    ALISHA       F           "</f>
        <v xml:space="preserve">MASON                    ALISHA       F           </v>
      </c>
      <c r="E7990" t="str">
        <f>"NEW ALBANY                "</f>
        <v xml:space="preserve">NEW ALBANY                </v>
      </c>
      <c r="F7990" t="str">
        <f t="shared" si="248"/>
        <v>MS</v>
      </c>
    </row>
    <row r="7991" spans="1:6" x14ac:dyDescent="0.25">
      <c r="A7991" t="str">
        <f>"001126843"</f>
        <v>001126843</v>
      </c>
      <c r="B7991" t="str">
        <f>"1063612422"</f>
        <v>1063612422</v>
      </c>
      <c r="C7991" t="str">
        <f>"363L00000X"</f>
        <v>363L00000X</v>
      </c>
      <c r="D7991" t="str">
        <f>"PRITCHARD                DONNA                    "</f>
        <v xml:space="preserve">PRITCHARD                DONNA                    </v>
      </c>
      <c r="E7991" t="str">
        <f>"TUPELO                    "</f>
        <v xml:space="preserve">TUPELO                    </v>
      </c>
      <c r="F7991" t="str">
        <f t="shared" si="248"/>
        <v>MS</v>
      </c>
    </row>
    <row r="7992" spans="1:6" x14ac:dyDescent="0.25">
      <c r="A7992" t="str">
        <f>"001127830"</f>
        <v>001127830</v>
      </c>
      <c r="B7992" t="str">
        <f>"1518231067"</f>
        <v>1518231067</v>
      </c>
      <c r="C7992" t="str">
        <f>"363L00000X"</f>
        <v>363L00000X</v>
      </c>
      <c r="D7992" t="str">
        <f>"SAYLORS                  SHARLA                   "</f>
        <v xml:space="preserve">SAYLORS                  SHARLA                   </v>
      </c>
      <c r="E7992" t="str">
        <f>"AMORY                     "</f>
        <v xml:space="preserve">AMORY                     </v>
      </c>
      <c r="F7992" t="str">
        <f t="shared" si="248"/>
        <v>MS</v>
      </c>
    </row>
    <row r="7993" spans="1:6" x14ac:dyDescent="0.25">
      <c r="A7993" t="str">
        <f>"001128006"</f>
        <v>001128006</v>
      </c>
      <c r="B7993" t="str">
        <f>"1912214792"</f>
        <v>1912214792</v>
      </c>
      <c r="C7993" t="str">
        <f>"261QM1300X"</f>
        <v>261QM1300X</v>
      </c>
      <c r="D7993" t="str">
        <f>"DESOTO FAMILY COUNSELING CENTER                   "</f>
        <v xml:space="preserve">DESOTO FAMILY COUNSELING CENTER                   </v>
      </c>
      <c r="E7993" t="str">
        <f>"SOUTHAVEN                 "</f>
        <v xml:space="preserve">SOUTHAVEN                 </v>
      </c>
      <c r="F7993" t="str">
        <f t="shared" si="248"/>
        <v>MS</v>
      </c>
    </row>
    <row r="7994" spans="1:6" x14ac:dyDescent="0.25">
      <c r="A7994" t="str">
        <f>"001128508"</f>
        <v>001128508</v>
      </c>
      <c r="B7994" t="str">
        <f>"1568625416"</f>
        <v>1568625416</v>
      </c>
      <c r="C7994" t="str">
        <f>"122300000X"</f>
        <v>122300000X</v>
      </c>
      <c r="D7994" t="str">
        <f>"CRAIN                    SARAH        F           "</f>
        <v xml:space="preserve">CRAIN                    SARAH        F           </v>
      </c>
      <c r="E7994" t="str">
        <f>"HORN LAKE                 "</f>
        <v xml:space="preserve">HORN LAKE                 </v>
      </c>
      <c r="F7994" t="str">
        <f t="shared" si="248"/>
        <v>MS</v>
      </c>
    </row>
    <row r="7995" spans="1:6" x14ac:dyDescent="0.25">
      <c r="A7995" t="str">
        <f>"001129307"</f>
        <v>001129307</v>
      </c>
      <c r="B7995" t="str">
        <f>"1194174755"</f>
        <v>1194174755</v>
      </c>
      <c r="C7995" t="str">
        <f>"208600000X"</f>
        <v>208600000X</v>
      </c>
      <c r="D7995" t="str">
        <f>"HOLIFIELD                JOSHUA       M           "</f>
        <v xml:space="preserve">HOLIFIELD                JOSHUA       M           </v>
      </c>
      <c r="E7995" t="str">
        <f>"LAUREL                    "</f>
        <v xml:space="preserve">LAUREL                    </v>
      </c>
      <c r="F7995" t="str">
        <f t="shared" si="248"/>
        <v>MS</v>
      </c>
    </row>
    <row r="7996" spans="1:6" x14ac:dyDescent="0.25">
      <c r="A7996" t="str">
        <f>"001130518"</f>
        <v>001130518</v>
      </c>
      <c r="B7996" t="str">
        <f>"1306881149"</f>
        <v>1306881149</v>
      </c>
      <c r="C7996" t="str">
        <f>"261QF0400X"</f>
        <v>261QF0400X</v>
      </c>
      <c r="D7996" t="str">
        <f>"SOUTH FORREST ATTENDANCE CENTER                   "</f>
        <v xml:space="preserve">SOUTH FORREST ATTENDANCE CENTER                   </v>
      </c>
      <c r="E7996" t="str">
        <f>"BROOKLYN                  "</f>
        <v xml:space="preserve">BROOKLYN                  </v>
      </c>
      <c r="F7996" t="str">
        <f t="shared" si="248"/>
        <v>MS</v>
      </c>
    </row>
    <row r="7997" spans="1:6" x14ac:dyDescent="0.25">
      <c r="A7997" t="str">
        <f>"001131260"</f>
        <v>001131260</v>
      </c>
      <c r="B7997" t="str">
        <f>"1861846313"</f>
        <v>1861846313</v>
      </c>
      <c r="C7997" t="str">
        <f>"207Q00000X"</f>
        <v>207Q00000X</v>
      </c>
      <c r="D7997" t="str">
        <f>"GREEN                    DAVID        L           "</f>
        <v xml:space="preserve">GREEN                    DAVID        L           </v>
      </c>
      <c r="E7997" t="str">
        <f>"GLUCKSTADT                "</f>
        <v xml:space="preserve">GLUCKSTADT                </v>
      </c>
      <c r="F7997" t="str">
        <f t="shared" si="248"/>
        <v>MS</v>
      </c>
    </row>
    <row r="7998" spans="1:6" x14ac:dyDescent="0.25">
      <c r="A7998" t="str">
        <f>"001131354"</f>
        <v>001131354</v>
      </c>
      <c r="B7998" t="str">
        <f>"1245871847"</f>
        <v>1245871847</v>
      </c>
      <c r="C7998" t="str">
        <f>"363L00000X"</f>
        <v>363L00000X</v>
      </c>
      <c r="D7998" t="str">
        <f>"REED                     TAMMY        Q           "</f>
        <v xml:space="preserve">REED                     TAMMY        Q           </v>
      </c>
      <c r="E7998" t="str">
        <f>"SOUTHAVEN                 "</f>
        <v xml:space="preserve">SOUTHAVEN                 </v>
      </c>
      <c r="F7998" t="str">
        <f t="shared" ref="F7998:F8061" si="250">"MS"</f>
        <v>MS</v>
      </c>
    </row>
    <row r="7999" spans="1:6" x14ac:dyDescent="0.25">
      <c r="A7999" t="str">
        <f>"001131571"</f>
        <v>001131571</v>
      </c>
      <c r="B7999" t="str">
        <f>"1013968965"</f>
        <v>1013968965</v>
      </c>
      <c r="C7999" t="str">
        <f>"152W00000X"</f>
        <v>152W00000X</v>
      </c>
      <c r="D7999" t="str">
        <f>"FRATESI                  SARAH        B           "</f>
        <v xml:space="preserve">FRATESI                  SARAH        B           </v>
      </c>
      <c r="E7999" t="str">
        <f>"ACKERMAN                  "</f>
        <v xml:space="preserve">ACKERMAN                  </v>
      </c>
      <c r="F7999" t="str">
        <f t="shared" si="250"/>
        <v>MS</v>
      </c>
    </row>
    <row r="8000" spans="1:6" x14ac:dyDescent="0.25">
      <c r="A8000" t="str">
        <f>"001131760"</f>
        <v>001131760</v>
      </c>
      <c r="B8000" t="str">
        <f>"1407363559"</f>
        <v>1407363559</v>
      </c>
      <c r="C8000" t="str">
        <f>"261QF0400X"</f>
        <v>261QF0400X</v>
      </c>
      <c r="D8000" t="str">
        <f>"FORREST COUNTY AGRICULTURAL HIGH SC               "</f>
        <v xml:space="preserve">FORREST COUNTY AGRICULTURAL HIGH SC               </v>
      </c>
      <c r="E8000" t="str">
        <f>"BROOKLYN                  "</f>
        <v xml:space="preserve">BROOKLYN                  </v>
      </c>
      <c r="F8000" t="str">
        <f t="shared" si="250"/>
        <v>MS</v>
      </c>
    </row>
    <row r="8001" spans="1:6" x14ac:dyDescent="0.25">
      <c r="A8001" t="str">
        <f>"001131860"</f>
        <v>001131860</v>
      </c>
      <c r="B8001" t="str">
        <f>"1467711408"</f>
        <v>1467711408</v>
      </c>
      <c r="C8001" t="str">
        <f>"207R00000X"</f>
        <v>207R00000X</v>
      </c>
      <c r="D8001" t="str">
        <f>"LAVENDER                 JESSICA      S           "</f>
        <v xml:space="preserve">LAVENDER                 JESSICA      S           </v>
      </c>
      <c r="E8001" t="str">
        <f>"CARTHAGE                  "</f>
        <v xml:space="preserve">CARTHAGE                  </v>
      </c>
      <c r="F8001" t="str">
        <f t="shared" si="250"/>
        <v>MS</v>
      </c>
    </row>
    <row r="8002" spans="1:6" x14ac:dyDescent="0.25">
      <c r="A8002" t="str">
        <f>"001133399"</f>
        <v>001133399</v>
      </c>
      <c r="B8002" t="str">
        <f>"1891890794"</f>
        <v>1891890794</v>
      </c>
      <c r="C8002" t="str">
        <f>"152W00000X"</f>
        <v>152W00000X</v>
      </c>
      <c r="D8002" t="str">
        <f>"PHILLIP H GRAY PA                                 "</f>
        <v xml:space="preserve">PHILLIP H GRAY PA                                 </v>
      </c>
      <c r="E8002" t="str">
        <f>"IUKA                      "</f>
        <v xml:space="preserve">IUKA                      </v>
      </c>
      <c r="F8002" t="str">
        <f t="shared" si="250"/>
        <v>MS</v>
      </c>
    </row>
    <row r="8003" spans="1:6" x14ac:dyDescent="0.25">
      <c r="A8003" t="str">
        <f>"001137367"</f>
        <v>001137367</v>
      </c>
      <c r="B8003" t="str">
        <f>"1871980995"</f>
        <v>1871980995</v>
      </c>
      <c r="C8003" t="str">
        <f>"363L00000X"</f>
        <v>363L00000X</v>
      </c>
      <c r="D8003" t="str">
        <f>"WALTON                   BILLY        R           "</f>
        <v xml:space="preserve">WALTON                   BILLY        R           </v>
      </c>
      <c r="E8003" t="str">
        <f>"WHITFIELD                 "</f>
        <v xml:space="preserve">WHITFIELD                 </v>
      </c>
      <c r="F8003" t="str">
        <f t="shared" si="250"/>
        <v>MS</v>
      </c>
    </row>
    <row r="8004" spans="1:6" x14ac:dyDescent="0.25">
      <c r="A8004" t="str">
        <f>"001139599"</f>
        <v>001139599</v>
      </c>
      <c r="B8004" t="str">
        <f>"1184381709"</f>
        <v>1184381709</v>
      </c>
      <c r="C8004" t="str">
        <f>"261QF0400X"</f>
        <v>261QF0400X</v>
      </c>
      <c r="D8004" t="str">
        <f>"COASTAL FAMILY HEALTH CENTER, INC                 "</f>
        <v xml:space="preserve">COASTAL FAMILY HEALTH CENTER, INC                 </v>
      </c>
      <c r="E8004" t="str">
        <f>"BAY ST LOUIS              "</f>
        <v xml:space="preserve">BAY ST LOUIS              </v>
      </c>
      <c r="F8004" t="str">
        <f t="shared" si="250"/>
        <v>MS</v>
      </c>
    </row>
    <row r="8005" spans="1:6" x14ac:dyDescent="0.25">
      <c r="A8005" t="str">
        <f>"001139881"</f>
        <v>001139881</v>
      </c>
      <c r="B8005" t="str">
        <f>"1831333871"</f>
        <v>1831333871</v>
      </c>
      <c r="C8005" t="str">
        <f>"363L00000X"</f>
        <v>363L00000X</v>
      </c>
      <c r="D8005" t="str">
        <f>"VINCENT                  LESLEY       R           "</f>
        <v xml:space="preserve">VINCENT                  LESLEY       R           </v>
      </c>
      <c r="E8005" t="str">
        <f>"MERIDIAN                  "</f>
        <v xml:space="preserve">MERIDIAN                  </v>
      </c>
      <c r="F8005" t="str">
        <f t="shared" si="250"/>
        <v>MS</v>
      </c>
    </row>
    <row r="8006" spans="1:6" x14ac:dyDescent="0.25">
      <c r="A8006" t="str">
        <f>"001150217"</f>
        <v>001150217</v>
      </c>
      <c r="B8006" t="str">
        <f>"1942969746"</f>
        <v>1942969746</v>
      </c>
      <c r="C8006" t="str">
        <f>"122300000X"</f>
        <v>122300000X</v>
      </c>
      <c r="D8006" t="str">
        <f>"WALNUT DENTAL CENTER                              "</f>
        <v xml:space="preserve">WALNUT DENTAL CENTER                              </v>
      </c>
      <c r="E8006" t="str">
        <f>"WALNUT                    "</f>
        <v xml:space="preserve">WALNUT                    </v>
      </c>
      <c r="F8006" t="str">
        <f t="shared" si="250"/>
        <v>MS</v>
      </c>
    </row>
    <row r="8007" spans="1:6" x14ac:dyDescent="0.25">
      <c r="A8007" t="str">
        <f>"001150361"</f>
        <v>001150361</v>
      </c>
      <c r="B8007" t="str">
        <f>"1649761685"</f>
        <v>1649761685</v>
      </c>
      <c r="C8007" t="str">
        <f>"261QR1300X"</f>
        <v>261QR1300X</v>
      </c>
      <c r="D8007" t="str">
        <f>"FOREST FAMILY PRACTICE                            "</f>
        <v xml:space="preserve">FOREST FAMILY PRACTICE                            </v>
      </c>
      <c r="E8007" t="str">
        <f>"FOREST                    "</f>
        <v xml:space="preserve">FOREST                    </v>
      </c>
      <c r="F8007" t="str">
        <f t="shared" si="250"/>
        <v>MS</v>
      </c>
    </row>
    <row r="8008" spans="1:6" x14ac:dyDescent="0.25">
      <c r="A8008" t="str">
        <f>"001150863"</f>
        <v>001150863</v>
      </c>
      <c r="B8008" t="str">
        <f>"1265015028"</f>
        <v>1265015028</v>
      </c>
      <c r="C8008" t="str">
        <f>"363L00000X"</f>
        <v>363L00000X</v>
      </c>
      <c r="D8008" t="str">
        <f>"EILAND                   MELANIE                  "</f>
        <v xml:space="preserve">EILAND                   MELANIE                  </v>
      </c>
      <c r="E8008" t="str">
        <f>"JACKSON                   "</f>
        <v xml:space="preserve">JACKSON                   </v>
      </c>
      <c r="F8008" t="str">
        <f t="shared" si="250"/>
        <v>MS</v>
      </c>
    </row>
    <row r="8009" spans="1:6" x14ac:dyDescent="0.25">
      <c r="A8009" t="str">
        <f>"001152719"</f>
        <v>001152719</v>
      </c>
      <c r="B8009" t="str">
        <f>"1912269796"</f>
        <v>1912269796</v>
      </c>
      <c r="C8009" t="str">
        <f>"208600000X"</f>
        <v>208600000X</v>
      </c>
      <c r="D8009" t="str">
        <f>"SMITH                    NATHAN       E           "</f>
        <v xml:space="preserve">SMITH                    NATHAN       E           </v>
      </c>
      <c r="E8009" t="str">
        <f>"CORINTH                   "</f>
        <v xml:space="preserve">CORINTH                   </v>
      </c>
      <c r="F8009" t="str">
        <f t="shared" si="250"/>
        <v>MS</v>
      </c>
    </row>
    <row r="8010" spans="1:6" x14ac:dyDescent="0.25">
      <c r="A8010" t="str">
        <f>"001153067"</f>
        <v>001153067</v>
      </c>
      <c r="B8010" t="str">
        <f>"1073516456"</f>
        <v>1073516456</v>
      </c>
      <c r="C8010" t="str">
        <f>"152W00000X"</f>
        <v>152W00000X</v>
      </c>
      <c r="D8010" t="str">
        <f>"WHITE                    CHRISTOPHER              "</f>
        <v xml:space="preserve">WHITE                    CHRISTOPHER              </v>
      </c>
      <c r="E8010" t="str">
        <f>"FLOWOOD                   "</f>
        <v xml:space="preserve">FLOWOOD                   </v>
      </c>
      <c r="F8010" t="str">
        <f t="shared" si="250"/>
        <v>MS</v>
      </c>
    </row>
    <row r="8011" spans="1:6" x14ac:dyDescent="0.25">
      <c r="A8011" t="str">
        <f>"001153248"</f>
        <v>001153248</v>
      </c>
      <c r="B8011" t="str">
        <f>"1982138533"</f>
        <v>1982138533</v>
      </c>
      <c r="C8011" t="str">
        <f>"363L00000X"</f>
        <v>363L00000X</v>
      </c>
      <c r="D8011" t="str">
        <f>"MCDOWELL                 ANGELIA      C           "</f>
        <v xml:space="preserve">MCDOWELL                 ANGELIA      C           </v>
      </c>
      <c r="E8011" t="str">
        <f>"CLARKSDALE                "</f>
        <v xml:space="preserve">CLARKSDALE                </v>
      </c>
      <c r="F8011" t="str">
        <f t="shared" si="250"/>
        <v>MS</v>
      </c>
    </row>
    <row r="8012" spans="1:6" x14ac:dyDescent="0.25">
      <c r="A8012" t="str">
        <f>"001154222"</f>
        <v>001154222</v>
      </c>
      <c r="B8012" t="str">
        <f>"1083170880"</f>
        <v>1083170880</v>
      </c>
      <c r="C8012" t="str">
        <f>"363L00000X"</f>
        <v>363L00000X</v>
      </c>
      <c r="D8012" t="str">
        <f>"MCMORISE                 KAYLA                    "</f>
        <v xml:space="preserve">MCMORISE                 KAYLA                    </v>
      </c>
      <c r="E8012" t="str">
        <f>"SOUTHAVEN                 "</f>
        <v xml:space="preserve">SOUTHAVEN                 </v>
      </c>
      <c r="F8012" t="str">
        <f t="shared" si="250"/>
        <v>MS</v>
      </c>
    </row>
    <row r="8013" spans="1:6" x14ac:dyDescent="0.25">
      <c r="A8013" t="str">
        <f>"001154286"</f>
        <v>001154286</v>
      </c>
      <c r="B8013" t="str">
        <f>"1851905095"</f>
        <v>1851905095</v>
      </c>
      <c r="C8013" t="str">
        <f>"2084N0400X"</f>
        <v>2084N0400X</v>
      </c>
      <c r="D8013" t="str">
        <f>"AWORI                    VIOLET                   "</f>
        <v xml:space="preserve">AWORI                    VIOLET                   </v>
      </c>
      <c r="E8013" t="str">
        <f>"JACKSON                   "</f>
        <v xml:space="preserve">JACKSON                   </v>
      </c>
      <c r="F8013" t="str">
        <f t="shared" si="250"/>
        <v>MS</v>
      </c>
    </row>
    <row r="8014" spans="1:6" x14ac:dyDescent="0.25">
      <c r="A8014" t="str">
        <f>"001154390"</f>
        <v>001154390</v>
      </c>
      <c r="B8014" t="str">
        <f>"1841951928"</f>
        <v>1841951928</v>
      </c>
      <c r="C8014" t="str">
        <f>"363L00000X"</f>
        <v>363L00000X</v>
      </c>
      <c r="D8014" t="str">
        <f>"FORTNER                  COURTNEY     R           "</f>
        <v xml:space="preserve">FORTNER                  COURTNEY     R           </v>
      </c>
      <c r="E8014" t="str">
        <f>"MARKS                     "</f>
        <v xml:space="preserve">MARKS                     </v>
      </c>
      <c r="F8014" t="str">
        <f t="shared" si="250"/>
        <v>MS</v>
      </c>
    </row>
    <row r="8015" spans="1:6" x14ac:dyDescent="0.25">
      <c r="A8015" t="str">
        <f>"001155268"</f>
        <v>001155268</v>
      </c>
      <c r="B8015" t="str">
        <f>"1649626573"</f>
        <v>1649626573</v>
      </c>
      <c r="C8015" t="str">
        <f>"122300000X"</f>
        <v>122300000X</v>
      </c>
      <c r="D8015" t="str">
        <f>"VICKSBURG FAMILY DENTAL 61N                       "</f>
        <v xml:space="preserve">VICKSBURG FAMILY DENTAL 61N                       </v>
      </c>
      <c r="E8015" t="str">
        <f>"VICKSBURG                 "</f>
        <v xml:space="preserve">VICKSBURG                 </v>
      </c>
      <c r="F8015" t="str">
        <f t="shared" si="250"/>
        <v>MS</v>
      </c>
    </row>
    <row r="8016" spans="1:6" x14ac:dyDescent="0.25">
      <c r="A8016" t="str">
        <f>"001155847"</f>
        <v>001155847</v>
      </c>
      <c r="B8016" t="str">
        <f>"1184130692"</f>
        <v>1184130692</v>
      </c>
      <c r="C8016" t="str">
        <f>"363L00000X"</f>
        <v>363L00000X</v>
      </c>
      <c r="D8016" t="str">
        <f>"DILLON                   BRADLEY      S           "</f>
        <v xml:space="preserve">DILLON                   BRADLEY      S           </v>
      </c>
      <c r="E8016" t="str">
        <f>"CORINTH                   "</f>
        <v xml:space="preserve">CORINTH                   </v>
      </c>
      <c r="F8016" t="str">
        <f t="shared" si="250"/>
        <v>MS</v>
      </c>
    </row>
    <row r="8017" spans="1:6" x14ac:dyDescent="0.25">
      <c r="A8017" t="str">
        <f>"001156759"</f>
        <v>001156759</v>
      </c>
      <c r="B8017" t="str">
        <f>"1073963187"</f>
        <v>1073963187</v>
      </c>
      <c r="C8017" t="str">
        <f>"363L00000X"</f>
        <v>363L00000X</v>
      </c>
      <c r="D8017" t="str">
        <f>"SCOTT                    OKSHOON                  "</f>
        <v xml:space="preserve">SCOTT                    OKSHOON                  </v>
      </c>
      <c r="E8017" t="str">
        <f>"JACKSON                   "</f>
        <v xml:space="preserve">JACKSON                   </v>
      </c>
      <c r="F8017" t="str">
        <f t="shared" si="250"/>
        <v>MS</v>
      </c>
    </row>
    <row r="8018" spans="1:6" x14ac:dyDescent="0.25">
      <c r="A8018" t="str">
        <f>"001156782"</f>
        <v>001156782</v>
      </c>
      <c r="B8018" t="str">
        <f>"1346260197"</f>
        <v>1346260197</v>
      </c>
      <c r="C8018" t="str">
        <f>"363L00000X"</f>
        <v>363L00000X</v>
      </c>
      <c r="D8018" t="str">
        <f>"BRITT                    JEFFREY      T           "</f>
        <v xml:space="preserve">BRITT                    JEFFREY      T           </v>
      </c>
      <c r="E8018" t="str">
        <f>"COLUMBUS                  "</f>
        <v xml:space="preserve">COLUMBUS                  </v>
      </c>
      <c r="F8018" t="str">
        <f t="shared" si="250"/>
        <v>MS</v>
      </c>
    </row>
    <row r="8019" spans="1:6" x14ac:dyDescent="0.25">
      <c r="A8019" t="str">
        <f>"001157815"</f>
        <v>001157815</v>
      </c>
      <c r="B8019" t="str">
        <f>"1922204130"</f>
        <v>1922204130</v>
      </c>
      <c r="C8019" t="str">
        <f>"2086S0129X"</f>
        <v>2086S0129X</v>
      </c>
      <c r="D8019" t="str">
        <f>"BARKER                   ANDREA       K           "</f>
        <v xml:space="preserve">BARKER                   ANDREA       K           </v>
      </c>
      <c r="E8019" t="str">
        <f>"GULFPORT                  "</f>
        <v xml:space="preserve">GULFPORT                  </v>
      </c>
      <c r="F8019" t="str">
        <f t="shared" si="250"/>
        <v>MS</v>
      </c>
    </row>
    <row r="8020" spans="1:6" x14ac:dyDescent="0.25">
      <c r="A8020" t="str">
        <f>"001158792"</f>
        <v>001158792</v>
      </c>
      <c r="B8020" t="str">
        <f>"1104253699"</f>
        <v>1104253699</v>
      </c>
      <c r="C8020" t="str">
        <f>"363L00000X"</f>
        <v>363L00000X</v>
      </c>
      <c r="D8020" t="str">
        <f>"GILLILAND                ASHLEY       C           "</f>
        <v xml:space="preserve">GILLILAND                ASHLEY       C           </v>
      </c>
      <c r="E8020" t="str">
        <f>"TUPELO                    "</f>
        <v xml:space="preserve">TUPELO                    </v>
      </c>
      <c r="F8020" t="str">
        <f t="shared" si="250"/>
        <v>MS</v>
      </c>
    </row>
    <row r="8021" spans="1:6" x14ac:dyDescent="0.25">
      <c r="A8021" t="str">
        <f>"001159366"</f>
        <v>001159366</v>
      </c>
      <c r="B8021" t="str">
        <f>"1720659758"</f>
        <v>1720659758</v>
      </c>
      <c r="C8021" t="str">
        <f>"363L00000X"</f>
        <v>363L00000X</v>
      </c>
      <c r="D8021" t="str">
        <f>"FRIERSON                 MELANIE      L           "</f>
        <v xml:space="preserve">FRIERSON                 MELANIE      L           </v>
      </c>
      <c r="E8021" t="str">
        <f>"PICAYUNE                  "</f>
        <v xml:space="preserve">PICAYUNE                  </v>
      </c>
      <c r="F8021" t="str">
        <f t="shared" si="250"/>
        <v>MS</v>
      </c>
    </row>
    <row r="8022" spans="1:6" x14ac:dyDescent="0.25">
      <c r="A8022" t="str">
        <f>"001172729"</f>
        <v>001172729</v>
      </c>
      <c r="B8022" t="str">
        <f>"1255691176"</f>
        <v>1255691176</v>
      </c>
      <c r="C8022" t="str">
        <f>"261QM1300X"</f>
        <v>261QM1300X</v>
      </c>
      <c r="D8022" t="str">
        <f>"RESOLUTION COUNSELING SERVICES PLLC               "</f>
        <v xml:space="preserve">RESOLUTION COUNSELING SERVICES PLLC               </v>
      </c>
      <c r="E8022" t="str">
        <f>"JACKSON                   "</f>
        <v xml:space="preserve">JACKSON                   </v>
      </c>
      <c r="F8022" t="str">
        <f t="shared" si="250"/>
        <v>MS</v>
      </c>
    </row>
    <row r="8023" spans="1:6" x14ac:dyDescent="0.25">
      <c r="A8023" t="str">
        <f>"001173078"</f>
        <v>001173078</v>
      </c>
      <c r="B8023" t="str">
        <f>"1912905993"</f>
        <v>1912905993</v>
      </c>
      <c r="C8023" t="str">
        <f>"261QF0400X"</f>
        <v>261QF0400X</v>
      </c>
      <c r="D8023" t="str">
        <f>"TUNICA SCHOOL BASED CLINIC                        "</f>
        <v xml:space="preserve">TUNICA SCHOOL BASED CLINIC                        </v>
      </c>
      <c r="E8023" t="str">
        <f>"TUNICA                    "</f>
        <v xml:space="preserve">TUNICA                    </v>
      </c>
      <c r="F8023" t="str">
        <f t="shared" si="250"/>
        <v>MS</v>
      </c>
    </row>
    <row r="8024" spans="1:6" x14ac:dyDescent="0.25">
      <c r="A8024" t="str">
        <f>"001173387"</f>
        <v>001173387</v>
      </c>
      <c r="B8024" t="str">
        <f>"1861692204"</f>
        <v>1861692204</v>
      </c>
      <c r="C8024" t="str">
        <f>"207Q00000X"</f>
        <v>207Q00000X</v>
      </c>
      <c r="D8024" t="str">
        <f>"ODOM-FUNCHES             RHONDA       M           "</f>
        <v xml:space="preserve">ODOM-FUNCHES             RHONDA       M           </v>
      </c>
      <c r="E8024" t="str">
        <f>"JACKSON                   "</f>
        <v xml:space="preserve">JACKSON                   </v>
      </c>
      <c r="F8024" t="str">
        <f t="shared" si="250"/>
        <v>MS</v>
      </c>
    </row>
    <row r="8025" spans="1:6" x14ac:dyDescent="0.25">
      <c r="A8025" t="str">
        <f>"001174842"</f>
        <v>001174842</v>
      </c>
      <c r="B8025" t="str">
        <f>"1225405590"</f>
        <v>1225405590</v>
      </c>
      <c r="C8025" t="str">
        <f>"363L00000X"</f>
        <v>363L00000X</v>
      </c>
      <c r="D8025" t="str">
        <f>"SCHILLING                AUDREY       C           "</f>
        <v xml:space="preserve">SCHILLING                AUDREY       C           </v>
      </c>
      <c r="E8025" t="str">
        <f>"STARKVILLE                "</f>
        <v xml:space="preserve">STARKVILLE                </v>
      </c>
      <c r="F8025" t="str">
        <f t="shared" si="250"/>
        <v>MS</v>
      </c>
    </row>
    <row r="8026" spans="1:6" x14ac:dyDescent="0.25">
      <c r="A8026" t="str">
        <f>"001175032"</f>
        <v>001175032</v>
      </c>
      <c r="B8026" t="str">
        <f>"1659757870"</f>
        <v>1659757870</v>
      </c>
      <c r="C8026" t="str">
        <f>"363L00000X"</f>
        <v>363L00000X</v>
      </c>
      <c r="D8026" t="str">
        <f>"JACKSON                  JAMES        M           "</f>
        <v xml:space="preserve">JACKSON                  JAMES        M           </v>
      </c>
      <c r="E8026" t="str">
        <f>"OCEAN SPRINGS             "</f>
        <v xml:space="preserve">OCEAN SPRINGS             </v>
      </c>
      <c r="F8026" t="str">
        <f t="shared" si="250"/>
        <v>MS</v>
      </c>
    </row>
    <row r="8027" spans="1:6" x14ac:dyDescent="0.25">
      <c r="A8027" t="str">
        <f>"001175704"</f>
        <v>001175704</v>
      </c>
      <c r="B8027" t="str">
        <f>"1669669156"</f>
        <v>1669669156</v>
      </c>
      <c r="C8027" t="str">
        <f>"152W00000X"</f>
        <v>152W00000X</v>
      </c>
      <c r="D8027" t="str">
        <f>"HEATHER M. DOWDY OD                               "</f>
        <v xml:space="preserve">HEATHER M. DOWDY OD                               </v>
      </c>
      <c r="E8027" t="str">
        <f>"SOUTHAVEN                 "</f>
        <v xml:space="preserve">SOUTHAVEN                 </v>
      </c>
      <c r="F8027" t="str">
        <f t="shared" si="250"/>
        <v>MS</v>
      </c>
    </row>
    <row r="8028" spans="1:6" x14ac:dyDescent="0.25">
      <c r="A8028" t="str">
        <f>"001181536"</f>
        <v>001181536</v>
      </c>
      <c r="B8028" t="str">
        <f>"1568804755"</f>
        <v>1568804755</v>
      </c>
      <c r="C8028" t="str">
        <f>"367500000X"</f>
        <v>367500000X</v>
      </c>
      <c r="D8028" t="str">
        <f>"BAKER                    JAMES        L           "</f>
        <v xml:space="preserve">BAKER                    JAMES        L           </v>
      </c>
      <c r="E8028" t="str">
        <f>"BATESVILLE                "</f>
        <v xml:space="preserve">BATESVILLE                </v>
      </c>
      <c r="F8028" t="str">
        <f t="shared" si="250"/>
        <v>MS</v>
      </c>
    </row>
    <row r="8029" spans="1:6" x14ac:dyDescent="0.25">
      <c r="A8029" t="str">
        <f>"001182291"</f>
        <v>001182291</v>
      </c>
      <c r="B8029" t="str">
        <f>"1649852609"</f>
        <v>1649852609</v>
      </c>
      <c r="C8029" t="str">
        <f>"363L00000X"</f>
        <v>363L00000X</v>
      </c>
      <c r="D8029" t="str">
        <f>"MILBURN                  ZETONNIA     Q           "</f>
        <v xml:space="preserve">MILBURN                  ZETONNIA     Q           </v>
      </c>
      <c r="E8029" t="str">
        <f>"ELLISVILLE                "</f>
        <v xml:space="preserve">ELLISVILLE                </v>
      </c>
      <c r="F8029" t="str">
        <f t="shared" si="250"/>
        <v>MS</v>
      </c>
    </row>
    <row r="8030" spans="1:6" x14ac:dyDescent="0.25">
      <c r="A8030" t="str">
        <f>"001182331"</f>
        <v>001182331</v>
      </c>
      <c r="B8030" t="str">
        <f>"1982803862"</f>
        <v>1982803862</v>
      </c>
      <c r="C8030" t="str">
        <f>"208000000X"</f>
        <v>208000000X</v>
      </c>
      <c r="D8030" t="str">
        <f>"BOWLING                  WILLIAM      B           "</f>
        <v xml:space="preserve">BOWLING                  WILLIAM      B           </v>
      </c>
      <c r="E8030" t="str">
        <f>"HATTIESBURG               "</f>
        <v xml:space="preserve">HATTIESBURG               </v>
      </c>
      <c r="F8030" t="str">
        <f t="shared" si="250"/>
        <v>MS</v>
      </c>
    </row>
    <row r="8031" spans="1:6" x14ac:dyDescent="0.25">
      <c r="A8031" t="str">
        <f>"001183791"</f>
        <v>001183791</v>
      </c>
      <c r="B8031" t="str">
        <f>"1336313170"</f>
        <v>1336313170</v>
      </c>
      <c r="C8031" t="str">
        <f>"207RC0200X"</f>
        <v>207RC0200X</v>
      </c>
      <c r="D8031" t="str">
        <f>"DIAS PERERA              ANTON        S           "</f>
        <v xml:space="preserve">DIAS PERERA              ANTON        S           </v>
      </c>
      <c r="E8031" t="str">
        <f>"SOUTHAVEN                 "</f>
        <v xml:space="preserve">SOUTHAVEN                 </v>
      </c>
      <c r="F8031" t="str">
        <f t="shared" si="250"/>
        <v>MS</v>
      </c>
    </row>
    <row r="8032" spans="1:6" x14ac:dyDescent="0.25">
      <c r="A8032" t="str">
        <f>"001183850"</f>
        <v>001183850</v>
      </c>
      <c r="B8032" t="str">
        <f>"1851816797"</f>
        <v>1851816797</v>
      </c>
      <c r="C8032" t="str">
        <f>"363L00000X"</f>
        <v>363L00000X</v>
      </c>
      <c r="D8032" t="str">
        <f>"STAFFORD                 CRYSTAL                  "</f>
        <v xml:space="preserve">STAFFORD                 CRYSTAL                  </v>
      </c>
      <c r="E8032" t="str">
        <f>"GULFPORT                  "</f>
        <v xml:space="preserve">GULFPORT                  </v>
      </c>
      <c r="F8032" t="str">
        <f t="shared" si="250"/>
        <v>MS</v>
      </c>
    </row>
    <row r="8033" spans="1:6" x14ac:dyDescent="0.25">
      <c r="A8033" t="str">
        <f>"001185302"</f>
        <v>001185302</v>
      </c>
      <c r="B8033" t="str">
        <f>"1972181006"</f>
        <v>1972181006</v>
      </c>
      <c r="C8033" t="str">
        <f>"363L00000X"</f>
        <v>363L00000X</v>
      </c>
      <c r="D8033" t="str">
        <f>"BAXTER                   KATRINA      M           "</f>
        <v xml:space="preserve">BAXTER                   KATRINA      M           </v>
      </c>
      <c r="E8033" t="str">
        <f>"GULFPORT                  "</f>
        <v xml:space="preserve">GULFPORT                  </v>
      </c>
      <c r="F8033" t="str">
        <f t="shared" si="250"/>
        <v>MS</v>
      </c>
    </row>
    <row r="8034" spans="1:6" x14ac:dyDescent="0.25">
      <c r="A8034" t="str">
        <f>"001188335"</f>
        <v>001188335</v>
      </c>
      <c r="B8034" t="str">
        <f>"1346680709"</f>
        <v>1346680709</v>
      </c>
      <c r="C8034" t="str">
        <f>"207X00000X"</f>
        <v>207X00000X</v>
      </c>
      <c r="D8034" t="str">
        <f>"JOHNSON JR               WILLIAM      B           "</f>
        <v xml:space="preserve">JOHNSON JR               WILLIAM      B           </v>
      </c>
      <c r="E8034" t="str">
        <f>"JACKSON                   "</f>
        <v xml:space="preserve">JACKSON                   </v>
      </c>
      <c r="F8034" t="str">
        <f t="shared" si="250"/>
        <v>MS</v>
      </c>
    </row>
    <row r="8035" spans="1:6" x14ac:dyDescent="0.25">
      <c r="A8035" t="str">
        <f>"001188743"</f>
        <v>001188743</v>
      </c>
      <c r="B8035" t="str">
        <f>"1669694063"</f>
        <v>1669694063</v>
      </c>
      <c r="C8035" t="str">
        <f>"207V00000X"</f>
        <v>207V00000X</v>
      </c>
      <c r="D8035" t="str">
        <f>"OWENS                    MICHELLE     Y           "</f>
        <v xml:space="preserve">OWENS                    MICHELLE     Y           </v>
      </c>
      <c r="E8035" t="str">
        <f>"FLOWOOD                   "</f>
        <v xml:space="preserve">FLOWOOD                   </v>
      </c>
      <c r="F8035" t="str">
        <f t="shared" si="250"/>
        <v>MS</v>
      </c>
    </row>
    <row r="8036" spans="1:6" x14ac:dyDescent="0.25">
      <c r="A8036" t="str">
        <f>"001189306"</f>
        <v>001189306</v>
      </c>
      <c r="B8036" t="str">
        <f>"1720513237"</f>
        <v>1720513237</v>
      </c>
      <c r="C8036" t="str">
        <f>"208000000X"</f>
        <v>208000000X</v>
      </c>
      <c r="D8036" t="str">
        <f>"RAGUNANTHAN              BRAVEEN                  "</f>
        <v xml:space="preserve">RAGUNANTHAN              BRAVEEN                  </v>
      </c>
      <c r="E8036" t="str">
        <f>"MOUND BAYOU               "</f>
        <v xml:space="preserve">MOUND BAYOU               </v>
      </c>
      <c r="F8036" t="str">
        <f t="shared" si="250"/>
        <v>MS</v>
      </c>
    </row>
    <row r="8037" spans="1:6" x14ac:dyDescent="0.25">
      <c r="A8037" t="str">
        <f>"001202010"</f>
        <v>001202010</v>
      </c>
      <c r="B8037" t="str">
        <f>"1205505666"</f>
        <v>1205505666</v>
      </c>
      <c r="C8037" t="str">
        <f>"363L00000X"</f>
        <v>363L00000X</v>
      </c>
      <c r="D8037" t="str">
        <f>"SMITH                    JONATHAN                 "</f>
        <v xml:space="preserve">SMITH                    JONATHAN                 </v>
      </c>
      <c r="E8037" t="str">
        <f>"WIGGINS                   "</f>
        <v xml:space="preserve">WIGGINS                   </v>
      </c>
      <c r="F8037" t="str">
        <f t="shared" si="250"/>
        <v>MS</v>
      </c>
    </row>
    <row r="8038" spans="1:6" x14ac:dyDescent="0.25">
      <c r="A8038" t="str">
        <f>"001202047"</f>
        <v>001202047</v>
      </c>
      <c r="B8038" t="str">
        <f>"1508029380"</f>
        <v>1508029380</v>
      </c>
      <c r="C8038" t="str">
        <f>"207R00000X"</f>
        <v>207R00000X</v>
      </c>
      <c r="D8038" t="str">
        <f>"HEARD                    RICHARD      K           "</f>
        <v xml:space="preserve">HEARD                    RICHARD      K           </v>
      </c>
      <c r="E8038" t="str">
        <f>"COLUMBUS                  "</f>
        <v xml:space="preserve">COLUMBUS                  </v>
      </c>
      <c r="F8038" t="str">
        <f t="shared" si="250"/>
        <v>MS</v>
      </c>
    </row>
    <row r="8039" spans="1:6" x14ac:dyDescent="0.25">
      <c r="A8039" t="str">
        <f>"001202565"</f>
        <v>001202565</v>
      </c>
      <c r="B8039" t="str">
        <f>"1659545135"</f>
        <v>1659545135</v>
      </c>
      <c r="C8039" t="str">
        <f>"122300000X"</f>
        <v>122300000X</v>
      </c>
      <c r="D8039" t="str">
        <f>"STRINGER PLATT           MICHELE                  "</f>
        <v xml:space="preserve">STRINGER PLATT           MICHELE                  </v>
      </c>
      <c r="E8039" t="str">
        <f>"GULFPORT                  "</f>
        <v xml:space="preserve">GULFPORT                  </v>
      </c>
      <c r="F8039" t="str">
        <f t="shared" si="250"/>
        <v>MS</v>
      </c>
    </row>
    <row r="8040" spans="1:6" x14ac:dyDescent="0.25">
      <c r="A8040" t="str">
        <f>"001208228"</f>
        <v>001208228</v>
      </c>
      <c r="B8040" t="str">
        <f>"1952710154"</f>
        <v>1952710154</v>
      </c>
      <c r="C8040" t="str">
        <f>"122300000X"</f>
        <v>122300000X</v>
      </c>
      <c r="D8040" t="str">
        <f>"MISSISSIPPI SMILES DENISTRY LLC                   "</f>
        <v xml:space="preserve">MISSISSIPPI SMILES DENISTRY LLC                   </v>
      </c>
      <c r="E8040" t="str">
        <f>"JACKSON                   "</f>
        <v xml:space="preserve">JACKSON                   </v>
      </c>
      <c r="F8040" t="str">
        <f t="shared" si="250"/>
        <v>MS</v>
      </c>
    </row>
    <row r="8041" spans="1:6" x14ac:dyDescent="0.25">
      <c r="A8041" t="str">
        <f>"001209507"</f>
        <v>001209507</v>
      </c>
      <c r="B8041" t="str">
        <f>"1649423237"</f>
        <v>1649423237</v>
      </c>
      <c r="C8041" t="str">
        <f>"363L00000X"</f>
        <v>363L00000X</v>
      </c>
      <c r="D8041" t="str">
        <f>"BRANTLEY                 DANA                     "</f>
        <v xml:space="preserve">BRANTLEY                 DANA                     </v>
      </c>
      <c r="E8041" t="str">
        <f>"COLUMBUS                  "</f>
        <v xml:space="preserve">COLUMBUS                  </v>
      </c>
      <c r="F8041" t="str">
        <f t="shared" si="250"/>
        <v>MS</v>
      </c>
    </row>
    <row r="8042" spans="1:6" x14ac:dyDescent="0.25">
      <c r="A8042" t="str">
        <f>"001220266"</f>
        <v>001220266</v>
      </c>
      <c r="B8042" t="str">
        <f>"1336167725"</f>
        <v>1336167725</v>
      </c>
      <c r="C8042" t="str">
        <f>"208600000X"</f>
        <v>208600000X</v>
      </c>
      <c r="D8042" t="str">
        <f>"VICK                     KENNETH      D           "</f>
        <v xml:space="preserve">VICK                     KENNETH      D           </v>
      </c>
      <c r="E8042" t="str">
        <f>"JACKSON                   "</f>
        <v xml:space="preserve">JACKSON                   </v>
      </c>
      <c r="F8042" t="str">
        <f t="shared" si="250"/>
        <v>MS</v>
      </c>
    </row>
    <row r="8043" spans="1:6" x14ac:dyDescent="0.25">
      <c r="A8043" t="str">
        <f>"001220773"</f>
        <v>001220773</v>
      </c>
      <c r="B8043" t="str">
        <f>"1073975017"</f>
        <v>1073975017</v>
      </c>
      <c r="C8043" t="str">
        <f>"208VP0000X"</f>
        <v>208VP0000X</v>
      </c>
      <c r="D8043" t="str">
        <f>"DIBBLE                   JOSHUA       E           "</f>
        <v xml:space="preserve">DIBBLE                   JOSHUA       E           </v>
      </c>
      <c r="E8043" t="str">
        <f>"GULFPORT                  "</f>
        <v xml:space="preserve">GULFPORT                  </v>
      </c>
      <c r="F8043" t="str">
        <f t="shared" si="250"/>
        <v>MS</v>
      </c>
    </row>
    <row r="8044" spans="1:6" x14ac:dyDescent="0.25">
      <c r="A8044" t="str">
        <f>"001220848"</f>
        <v>001220848</v>
      </c>
      <c r="B8044" t="str">
        <f>"1245696772"</f>
        <v>1245696772</v>
      </c>
      <c r="C8044" t="str">
        <f>"363L00000X"</f>
        <v>363L00000X</v>
      </c>
      <c r="D8044" t="str">
        <f>"KIM                      GUISEON      G           "</f>
        <v xml:space="preserve">KIM                      GUISEON      G           </v>
      </c>
      <c r="E8044" t="str">
        <f>"BAY SAINT LOUIS           "</f>
        <v xml:space="preserve">BAY SAINT LOUIS           </v>
      </c>
      <c r="F8044" t="str">
        <f t="shared" si="250"/>
        <v>MS</v>
      </c>
    </row>
    <row r="8045" spans="1:6" x14ac:dyDescent="0.25">
      <c r="A8045" t="str">
        <f>"001221571"</f>
        <v>001221571</v>
      </c>
      <c r="B8045" t="str">
        <f>"1023512464"</f>
        <v>1023512464</v>
      </c>
      <c r="C8045" t="str">
        <f>"207P00000X"</f>
        <v>207P00000X</v>
      </c>
      <c r="D8045" t="str">
        <f>"WILLIAMS                 BRADLEY                  "</f>
        <v xml:space="preserve">WILLIAMS                 BRADLEY                  </v>
      </c>
      <c r="E8045" t="str">
        <f>"CARTHAGE                  "</f>
        <v xml:space="preserve">CARTHAGE                  </v>
      </c>
      <c r="F8045" t="str">
        <f t="shared" si="250"/>
        <v>MS</v>
      </c>
    </row>
    <row r="8046" spans="1:6" x14ac:dyDescent="0.25">
      <c r="A8046" t="str">
        <f>"001222525"</f>
        <v>001222525</v>
      </c>
      <c r="B8046" t="str">
        <f>"1891959318"</f>
        <v>1891959318</v>
      </c>
      <c r="C8046" t="str">
        <f>"261QM1300X"</f>
        <v>261QM1300X</v>
      </c>
      <c r="D8046" t="str">
        <f>"JOURNEY TO NEW BEGINNINGS PLLC                    "</f>
        <v xml:space="preserve">JOURNEY TO NEW BEGINNINGS PLLC                    </v>
      </c>
      <c r="E8046" t="str">
        <f>"SOUTHAVEN                 "</f>
        <v xml:space="preserve">SOUTHAVEN                 </v>
      </c>
      <c r="F8046" t="str">
        <f t="shared" si="250"/>
        <v>MS</v>
      </c>
    </row>
    <row r="8047" spans="1:6" x14ac:dyDescent="0.25">
      <c r="A8047" t="str">
        <f>"001222596"</f>
        <v>001222596</v>
      </c>
      <c r="B8047" t="str">
        <f>"1083662100"</f>
        <v>1083662100</v>
      </c>
      <c r="C8047" t="str">
        <f>"363L00000X"</f>
        <v>363L00000X</v>
      </c>
      <c r="D8047" t="str">
        <f>"CABELL                   STEVEN                   "</f>
        <v xml:space="preserve">CABELL                   STEVEN                   </v>
      </c>
      <c r="E8047" t="str">
        <f>"RIDGELAND                 "</f>
        <v xml:space="preserve">RIDGELAND                 </v>
      </c>
      <c r="F8047" t="str">
        <f t="shared" si="250"/>
        <v>MS</v>
      </c>
    </row>
    <row r="8048" spans="1:6" x14ac:dyDescent="0.25">
      <c r="A8048" t="str">
        <f>"001224050"</f>
        <v>001224050</v>
      </c>
      <c r="B8048" t="str">
        <f>"1275664732"</f>
        <v>1275664732</v>
      </c>
      <c r="C8048" t="str">
        <f>"207R00000X"</f>
        <v>207R00000X</v>
      </c>
      <c r="D8048" t="str">
        <f>"LAUDERDALE               REBECCA      W           "</f>
        <v xml:space="preserve">LAUDERDALE               REBECCA      W           </v>
      </c>
      <c r="E8048" t="str">
        <f>"HATTIESBURG               "</f>
        <v xml:space="preserve">HATTIESBURG               </v>
      </c>
      <c r="F8048" t="str">
        <f t="shared" si="250"/>
        <v>MS</v>
      </c>
    </row>
    <row r="8049" spans="1:6" x14ac:dyDescent="0.25">
      <c r="A8049" t="str">
        <f>"001224251"</f>
        <v>001224251</v>
      </c>
      <c r="B8049" t="str">
        <f>"1215395306"</f>
        <v>1215395306</v>
      </c>
      <c r="C8049" t="str">
        <f>"363A00000X"</f>
        <v>363A00000X</v>
      </c>
      <c r="D8049" t="str">
        <f>"HENDERSON                ALLISON      C           "</f>
        <v xml:space="preserve">HENDERSON                ALLISON      C           </v>
      </c>
      <c r="E8049" t="str">
        <f>"HATTIESBURG               "</f>
        <v xml:space="preserve">HATTIESBURG               </v>
      </c>
      <c r="F8049" t="str">
        <f t="shared" si="250"/>
        <v>MS</v>
      </c>
    </row>
    <row r="8050" spans="1:6" x14ac:dyDescent="0.25">
      <c r="A8050" t="str">
        <f>"001224850"</f>
        <v>001224850</v>
      </c>
      <c r="B8050" t="str">
        <f>"1720661440"</f>
        <v>1720661440</v>
      </c>
      <c r="C8050" t="str">
        <f>"2086S0122X"</f>
        <v>2086S0122X</v>
      </c>
      <c r="D8050" t="str">
        <f>"FERSTRUM                 COLTON       J           "</f>
        <v xml:space="preserve">FERSTRUM                 COLTON       J           </v>
      </c>
      <c r="E8050" t="str">
        <f>"JACKSON                   "</f>
        <v xml:space="preserve">JACKSON                   </v>
      </c>
      <c r="F8050" t="str">
        <f t="shared" si="250"/>
        <v>MS</v>
      </c>
    </row>
    <row r="8051" spans="1:6" x14ac:dyDescent="0.25">
      <c r="A8051" t="str">
        <f>"001225512"</f>
        <v>001225512</v>
      </c>
      <c r="B8051" t="str">
        <f>"1124624895"</f>
        <v>1124624895</v>
      </c>
      <c r="C8051" t="str">
        <f>"363L00000X"</f>
        <v>363L00000X</v>
      </c>
      <c r="D8051" t="str">
        <f>"MCCOOL                   KANE                     "</f>
        <v xml:space="preserve">MCCOOL                   KANE                     </v>
      </c>
      <c r="E8051" t="str">
        <f>"STARKVILLE                "</f>
        <v xml:space="preserve">STARKVILLE                </v>
      </c>
      <c r="F8051" t="str">
        <f t="shared" si="250"/>
        <v>MS</v>
      </c>
    </row>
    <row r="8052" spans="1:6" x14ac:dyDescent="0.25">
      <c r="A8052" t="str">
        <f>"001226767"</f>
        <v>001226767</v>
      </c>
      <c r="B8052" t="str">
        <f>"1265630842"</f>
        <v>1265630842</v>
      </c>
      <c r="C8052" t="str">
        <f>"207P00000X"</f>
        <v>207P00000X</v>
      </c>
      <c r="D8052" t="str">
        <f>"CAMPROGERS               TERESA                   "</f>
        <v xml:space="preserve">CAMPROGERS               TERESA                   </v>
      </c>
      <c r="E8052" t="str">
        <f>"LAUREL                    "</f>
        <v xml:space="preserve">LAUREL                    </v>
      </c>
      <c r="F8052" t="str">
        <f t="shared" si="250"/>
        <v>MS</v>
      </c>
    </row>
    <row r="8053" spans="1:6" x14ac:dyDescent="0.25">
      <c r="A8053" t="str">
        <f>"001227851"</f>
        <v>001227851</v>
      </c>
      <c r="B8053" t="str">
        <f>"1639117245"</f>
        <v>1639117245</v>
      </c>
      <c r="C8053" t="str">
        <f>"207X00000X"</f>
        <v>207X00000X</v>
      </c>
      <c r="D8053" t="str">
        <f>"MEHRLE JR                ROBERT       K           "</f>
        <v xml:space="preserve">MEHRLE JR                ROBERT       K           </v>
      </c>
      <c r="E8053" t="str">
        <f>"JACKSON                   "</f>
        <v xml:space="preserve">JACKSON                   </v>
      </c>
      <c r="F8053" t="str">
        <f t="shared" si="250"/>
        <v>MS</v>
      </c>
    </row>
    <row r="8054" spans="1:6" x14ac:dyDescent="0.25">
      <c r="A8054" t="str">
        <f>"001228201"</f>
        <v>001228201</v>
      </c>
      <c r="B8054" t="str">
        <f>"1700340908"</f>
        <v>1700340908</v>
      </c>
      <c r="C8054" t="str">
        <f>"363L00000X"</f>
        <v>363L00000X</v>
      </c>
      <c r="D8054" t="str">
        <f>"FLOYD                    AMY          L           "</f>
        <v xml:space="preserve">FLOYD                    AMY          L           </v>
      </c>
      <c r="E8054" t="str">
        <f>"MANTACHIE                 "</f>
        <v xml:space="preserve">MANTACHIE                 </v>
      </c>
      <c r="F8054" t="str">
        <f t="shared" si="250"/>
        <v>MS</v>
      </c>
    </row>
    <row r="8055" spans="1:6" x14ac:dyDescent="0.25">
      <c r="A8055" t="str">
        <f>"001228255"</f>
        <v>001228255</v>
      </c>
      <c r="B8055" t="str">
        <f>"1356823074"</f>
        <v>1356823074</v>
      </c>
      <c r="C8055" t="str">
        <f>"363L00000X"</f>
        <v>363L00000X</v>
      </c>
      <c r="D8055" t="str">
        <f>"TUCKER                   MARQUITA                 "</f>
        <v xml:space="preserve">TUCKER                   MARQUITA                 </v>
      </c>
      <c r="E8055" t="str">
        <f>"HATTIESBURG               "</f>
        <v xml:space="preserve">HATTIESBURG               </v>
      </c>
      <c r="F8055" t="str">
        <f t="shared" si="250"/>
        <v>MS</v>
      </c>
    </row>
    <row r="8056" spans="1:6" x14ac:dyDescent="0.25">
      <c r="A8056" t="str">
        <f>"001228391"</f>
        <v>001228391</v>
      </c>
      <c r="B8056" t="str">
        <f>"1073058020"</f>
        <v>1073058020</v>
      </c>
      <c r="C8056" t="str">
        <f>"363L00000X"</f>
        <v>363L00000X</v>
      </c>
      <c r="D8056" t="str">
        <f>"SHAW                     MICHAEL      G           "</f>
        <v xml:space="preserve">SHAW                     MICHAEL      G           </v>
      </c>
      <c r="E8056" t="str">
        <f>"BRANDON                   "</f>
        <v xml:space="preserve">BRANDON                   </v>
      </c>
      <c r="F8056" t="str">
        <f t="shared" si="250"/>
        <v>MS</v>
      </c>
    </row>
    <row r="8057" spans="1:6" x14ac:dyDescent="0.25">
      <c r="A8057" t="str">
        <f>"001228810"</f>
        <v>001228810</v>
      </c>
      <c r="B8057" t="str">
        <f>"1629500111"</f>
        <v>1629500111</v>
      </c>
      <c r="C8057" t="str">
        <f>"207P00000X"</f>
        <v>207P00000X</v>
      </c>
      <c r="D8057" t="str">
        <f>"NORMAN                   JOSHUA                   "</f>
        <v xml:space="preserve">NORMAN                   JOSHUA                   </v>
      </c>
      <c r="E8057" t="str">
        <f>"JACKSON                   "</f>
        <v xml:space="preserve">JACKSON                   </v>
      </c>
      <c r="F8057" t="str">
        <f t="shared" si="250"/>
        <v>MS</v>
      </c>
    </row>
    <row r="8058" spans="1:6" x14ac:dyDescent="0.25">
      <c r="A8058" t="str">
        <f>"001230059"</f>
        <v>001230059</v>
      </c>
      <c r="B8058" t="str">
        <f>"1477227080"</f>
        <v>1477227080</v>
      </c>
      <c r="C8058" t="str">
        <f>"363L00000X"</f>
        <v>363L00000X</v>
      </c>
      <c r="D8058" t="str">
        <f>"LASSETER                 RACHEL                   "</f>
        <v xml:space="preserve">LASSETER                 RACHEL                   </v>
      </c>
      <c r="E8058" t="str">
        <f>"GULFPORT                  "</f>
        <v xml:space="preserve">GULFPORT                  </v>
      </c>
      <c r="F8058" t="str">
        <f t="shared" si="250"/>
        <v>MS</v>
      </c>
    </row>
    <row r="8059" spans="1:6" x14ac:dyDescent="0.25">
      <c r="A8059" t="str">
        <f>"001236263"</f>
        <v>001236263</v>
      </c>
      <c r="B8059" t="str">
        <f>"1588915268"</f>
        <v>1588915268</v>
      </c>
      <c r="C8059" t="str">
        <f>"261QM3000X"</f>
        <v>261QM3000X</v>
      </c>
      <c r="D8059" t="str">
        <f>"KIDS KASTLE LLC                                   "</f>
        <v xml:space="preserve">KIDS KASTLE LLC                                   </v>
      </c>
      <c r="E8059" t="str">
        <f>"FLOWOOD                   "</f>
        <v xml:space="preserve">FLOWOOD                   </v>
      </c>
      <c r="F8059" t="str">
        <f t="shared" si="250"/>
        <v>MS</v>
      </c>
    </row>
    <row r="8060" spans="1:6" x14ac:dyDescent="0.25">
      <c r="A8060" t="str">
        <f>"001237360"</f>
        <v>001237360</v>
      </c>
      <c r="B8060" t="str">
        <f>"1275995136"</f>
        <v>1275995136</v>
      </c>
      <c r="C8060" t="str">
        <f>"2085R0202X"</f>
        <v>2085R0202X</v>
      </c>
      <c r="D8060" t="str">
        <f>"ROUSE                    CHRISTOPHER              "</f>
        <v xml:space="preserve">ROUSE                    CHRISTOPHER              </v>
      </c>
      <c r="E8060" t="str">
        <f>"CLEVELAND                 "</f>
        <v xml:space="preserve">CLEVELAND                 </v>
      </c>
      <c r="F8060" t="str">
        <f t="shared" si="250"/>
        <v>MS</v>
      </c>
    </row>
    <row r="8061" spans="1:6" x14ac:dyDescent="0.25">
      <c r="A8061" t="str">
        <f>"001239255"</f>
        <v>001239255</v>
      </c>
      <c r="B8061" t="str">
        <f>"1003951724"</f>
        <v>1003951724</v>
      </c>
      <c r="C8061" t="str">
        <f>"207X00000X"</f>
        <v>207X00000X</v>
      </c>
      <c r="D8061" t="str">
        <f>"PICKERING                TREVOR       R           "</f>
        <v xml:space="preserve">PICKERING                TREVOR       R           </v>
      </c>
      <c r="E8061" t="str">
        <f>"JACKSON                   "</f>
        <v xml:space="preserve">JACKSON                   </v>
      </c>
      <c r="F8061" t="str">
        <f t="shared" si="250"/>
        <v>MS</v>
      </c>
    </row>
    <row r="8062" spans="1:6" x14ac:dyDescent="0.25">
      <c r="A8062" t="str">
        <f>"001239701"</f>
        <v>001239701</v>
      </c>
      <c r="B8062" t="str">
        <f>"1427015809"</f>
        <v>1427015809</v>
      </c>
      <c r="C8062" t="str">
        <f>"207RG0100X"</f>
        <v>207RG0100X</v>
      </c>
      <c r="D8062" t="str">
        <f>"TANG                     SHOU-JIANG               "</f>
        <v xml:space="preserve">TANG                     SHOU-JIANG               </v>
      </c>
      <c r="E8062" t="str">
        <f>"JACKSON                   "</f>
        <v xml:space="preserve">JACKSON                   </v>
      </c>
      <c r="F8062" t="str">
        <f t="shared" ref="F8062:F8125" si="251">"MS"</f>
        <v>MS</v>
      </c>
    </row>
    <row r="8063" spans="1:6" x14ac:dyDescent="0.25">
      <c r="A8063" t="str">
        <f>"001251358"</f>
        <v>001251358</v>
      </c>
      <c r="B8063" t="str">
        <f>"1972527034"</f>
        <v>1972527034</v>
      </c>
      <c r="C8063" t="str">
        <f>"122300000X"</f>
        <v>122300000X</v>
      </c>
      <c r="D8063" t="str">
        <f>"TURNER                   VALERIE      J           "</f>
        <v xml:space="preserve">TURNER                   VALERIE      J           </v>
      </c>
      <c r="E8063" t="str">
        <f>"MCCOMB                    "</f>
        <v xml:space="preserve">MCCOMB                    </v>
      </c>
      <c r="F8063" t="str">
        <f t="shared" si="251"/>
        <v>MS</v>
      </c>
    </row>
    <row r="8064" spans="1:6" x14ac:dyDescent="0.25">
      <c r="A8064" t="str">
        <f>"001251771"</f>
        <v>001251771</v>
      </c>
      <c r="B8064" t="str">
        <f>"1720599376"</f>
        <v>1720599376</v>
      </c>
      <c r="C8064" t="str">
        <f>"363L00000X"</f>
        <v>363L00000X</v>
      </c>
      <c r="D8064" t="str">
        <f>"SMITH                    SHERONDA                 "</f>
        <v xml:space="preserve">SMITH                    SHERONDA                 </v>
      </c>
      <c r="E8064" t="str">
        <f>"JACKSON                   "</f>
        <v xml:space="preserve">JACKSON                   </v>
      </c>
      <c r="F8064" t="str">
        <f t="shared" si="251"/>
        <v>MS</v>
      </c>
    </row>
    <row r="8065" spans="1:6" x14ac:dyDescent="0.25">
      <c r="A8065" t="str">
        <f>"001251863"</f>
        <v>001251863</v>
      </c>
      <c r="B8065" t="str">
        <f>"1801170287"</f>
        <v>1801170287</v>
      </c>
      <c r="C8065" t="str">
        <f>"152W00000X"</f>
        <v>152W00000X</v>
      </c>
      <c r="D8065" t="str">
        <f>"BELLIPANNI EYE CLINIC PLLC                        "</f>
        <v xml:space="preserve">BELLIPANNI EYE CLINIC PLLC                        </v>
      </c>
      <c r="E8065" t="str">
        <f>"INDIANOLA                 "</f>
        <v xml:space="preserve">INDIANOLA                 </v>
      </c>
      <c r="F8065" t="str">
        <f t="shared" si="251"/>
        <v>MS</v>
      </c>
    </row>
    <row r="8066" spans="1:6" x14ac:dyDescent="0.25">
      <c r="A8066" t="str">
        <f>"001252723"</f>
        <v>001252723</v>
      </c>
      <c r="B8066" t="str">
        <f>"1518007459"</f>
        <v>1518007459</v>
      </c>
      <c r="C8066" t="str">
        <f>"207ZP0105X"</f>
        <v>207ZP0105X</v>
      </c>
      <c r="D8066" t="str">
        <f>"COPPAGE                  ABRAM        T           "</f>
        <v xml:space="preserve">COPPAGE                  ABRAM        T           </v>
      </c>
      <c r="E8066" t="str">
        <f>"FLOWOOD                   "</f>
        <v xml:space="preserve">FLOWOOD                   </v>
      </c>
      <c r="F8066" t="str">
        <f t="shared" si="251"/>
        <v>MS</v>
      </c>
    </row>
    <row r="8067" spans="1:6" x14ac:dyDescent="0.25">
      <c r="A8067" t="str">
        <f>"001253307"</f>
        <v>001253307</v>
      </c>
      <c r="B8067" t="str">
        <f>"1528660552"</f>
        <v>1528660552</v>
      </c>
      <c r="C8067" t="str">
        <f>"363L00000X"</f>
        <v>363L00000X</v>
      </c>
      <c r="D8067" t="str">
        <f>"HUDSON                   ROBYN                    "</f>
        <v xml:space="preserve">HUDSON                   ROBYN                    </v>
      </c>
      <c r="E8067" t="str">
        <f>"BILOXI                    "</f>
        <v xml:space="preserve">BILOXI                    </v>
      </c>
      <c r="F8067" t="str">
        <f t="shared" si="251"/>
        <v>MS</v>
      </c>
    </row>
    <row r="8068" spans="1:6" x14ac:dyDescent="0.25">
      <c r="A8068" t="str">
        <f>"001253543"</f>
        <v>001253543</v>
      </c>
      <c r="B8068" t="str">
        <f>"1437541109"</f>
        <v>1437541109</v>
      </c>
      <c r="C8068" t="str">
        <f>"363L00000X"</f>
        <v>363L00000X</v>
      </c>
      <c r="D8068" t="str">
        <f>"BUFFINGTON               LAUREN                   "</f>
        <v xml:space="preserve">BUFFINGTON               LAUREN                   </v>
      </c>
      <c r="E8068" t="str">
        <f>"JACKSON                   "</f>
        <v xml:space="preserve">JACKSON                   </v>
      </c>
      <c r="F8068" t="str">
        <f t="shared" si="251"/>
        <v>MS</v>
      </c>
    </row>
    <row r="8069" spans="1:6" x14ac:dyDescent="0.25">
      <c r="A8069" t="str">
        <f>"001253870"</f>
        <v>001253870</v>
      </c>
      <c r="B8069" t="str">
        <f>"1942595202"</f>
        <v>1942595202</v>
      </c>
      <c r="C8069" t="str">
        <f>"208000000X"</f>
        <v>208000000X</v>
      </c>
      <c r="D8069" t="str">
        <f>"HOLDINESS                SAMUEL       J           "</f>
        <v xml:space="preserve">HOLDINESS                SAMUEL       J           </v>
      </c>
      <c r="E8069" t="str">
        <f>"KOSCIUSKO                 "</f>
        <v xml:space="preserve">KOSCIUSKO                 </v>
      </c>
      <c r="F8069" t="str">
        <f t="shared" si="251"/>
        <v>MS</v>
      </c>
    </row>
    <row r="8070" spans="1:6" x14ac:dyDescent="0.25">
      <c r="A8070" t="str">
        <f>"001255066"</f>
        <v>001255066</v>
      </c>
      <c r="B8070" t="str">
        <f>"1932577483"</f>
        <v>1932577483</v>
      </c>
      <c r="C8070" t="str">
        <f>"367500000X"</f>
        <v>367500000X</v>
      </c>
      <c r="D8070" t="str">
        <f>"MANCINI                  CASEY        B           "</f>
        <v xml:space="preserve">MANCINI                  CASEY        B           </v>
      </c>
      <c r="E8070" t="str">
        <f>"MERIDIAN                  "</f>
        <v xml:space="preserve">MERIDIAN                  </v>
      </c>
      <c r="F8070" t="str">
        <f t="shared" si="251"/>
        <v>MS</v>
      </c>
    </row>
    <row r="8071" spans="1:6" x14ac:dyDescent="0.25">
      <c r="A8071" t="str">
        <f>"001255511"</f>
        <v>001255511</v>
      </c>
      <c r="B8071" t="str">
        <f>"1992841365"</f>
        <v>1992841365</v>
      </c>
      <c r="C8071" t="str">
        <f>"122300000X"</f>
        <v>122300000X</v>
      </c>
      <c r="D8071" t="str">
        <f>"HODGES                   ADAM         W           "</f>
        <v xml:space="preserve">HODGES                   ADAM         W           </v>
      </c>
      <c r="E8071" t="str">
        <f>"GREENWOOD                 "</f>
        <v xml:space="preserve">GREENWOOD                 </v>
      </c>
      <c r="F8071" t="str">
        <f t="shared" si="251"/>
        <v>MS</v>
      </c>
    </row>
    <row r="8072" spans="1:6" x14ac:dyDescent="0.25">
      <c r="A8072" t="str">
        <f>"001256290"</f>
        <v>001256290</v>
      </c>
      <c r="B8072" t="str">
        <f>"1013366541"</f>
        <v>1013366541</v>
      </c>
      <c r="C8072" t="str">
        <f>"207L00000X"</f>
        <v>207L00000X</v>
      </c>
      <c r="D8072" t="str">
        <f>"RODRIQUEZ BARINAS        GLORIA       C           "</f>
        <v xml:space="preserve">RODRIQUEZ BARINAS        GLORIA       C           </v>
      </c>
      <c r="E8072" t="str">
        <f>"JACKSON                   "</f>
        <v xml:space="preserve">JACKSON                   </v>
      </c>
      <c r="F8072" t="str">
        <f t="shared" si="251"/>
        <v>MS</v>
      </c>
    </row>
    <row r="8073" spans="1:6" x14ac:dyDescent="0.25">
      <c r="A8073" t="str">
        <f>"001256594"</f>
        <v>001256594</v>
      </c>
      <c r="B8073" t="str">
        <f>"1346405875"</f>
        <v>1346405875</v>
      </c>
      <c r="C8073" t="str">
        <f>"367500000X"</f>
        <v>367500000X</v>
      </c>
      <c r="D8073" t="str">
        <f>"ILLG                     NATALIE      J           "</f>
        <v xml:space="preserve">ILLG                     NATALIE      J           </v>
      </c>
      <c r="E8073" t="str">
        <f>"BILOXI                    "</f>
        <v xml:space="preserve">BILOXI                    </v>
      </c>
      <c r="F8073" t="str">
        <f t="shared" si="251"/>
        <v>MS</v>
      </c>
    </row>
    <row r="8074" spans="1:6" x14ac:dyDescent="0.25">
      <c r="A8074" t="str">
        <f>"001256714"</f>
        <v>001256714</v>
      </c>
      <c r="B8074" t="str">
        <f>"1114470143"</f>
        <v>1114470143</v>
      </c>
      <c r="C8074" t="str">
        <f>"363L00000X"</f>
        <v>363L00000X</v>
      </c>
      <c r="D8074" t="str">
        <f>"GADDY                    JENNA        L           "</f>
        <v xml:space="preserve">GADDY                    JENNA        L           </v>
      </c>
      <c r="E8074" t="str">
        <f>"CRYSTAL SPRINGS           "</f>
        <v xml:space="preserve">CRYSTAL SPRINGS           </v>
      </c>
      <c r="F8074" t="str">
        <f t="shared" si="251"/>
        <v>MS</v>
      </c>
    </row>
    <row r="8075" spans="1:6" x14ac:dyDescent="0.25">
      <c r="A8075" t="str">
        <f>"001257147"</f>
        <v>001257147</v>
      </c>
      <c r="B8075" t="str">
        <f>"1619913761"</f>
        <v>1619913761</v>
      </c>
      <c r="C8075" t="str">
        <f>"2084N0400X"</f>
        <v>2084N0400X</v>
      </c>
      <c r="D8075" t="str">
        <f>"EVANS                    WILLIAM      J           "</f>
        <v xml:space="preserve">EVANS                    WILLIAM      J           </v>
      </c>
      <c r="E8075" t="str">
        <f>"OCEAN SPRINGS             "</f>
        <v xml:space="preserve">OCEAN SPRINGS             </v>
      </c>
      <c r="F8075" t="str">
        <f t="shared" si="251"/>
        <v>MS</v>
      </c>
    </row>
    <row r="8076" spans="1:6" x14ac:dyDescent="0.25">
      <c r="A8076" t="str">
        <f>"001257384"</f>
        <v>001257384</v>
      </c>
      <c r="B8076" t="str">
        <f>"1043851587"</f>
        <v>1043851587</v>
      </c>
      <c r="C8076" t="str">
        <f>"363L00000X"</f>
        <v>363L00000X</v>
      </c>
      <c r="D8076" t="str">
        <f>"TENNYSON                 SHADA        B           "</f>
        <v xml:space="preserve">TENNYSON                 SHADA        B           </v>
      </c>
      <c r="E8076" t="str">
        <f>"TUPELO                    "</f>
        <v xml:space="preserve">TUPELO                    </v>
      </c>
      <c r="F8076" t="str">
        <f t="shared" si="251"/>
        <v>MS</v>
      </c>
    </row>
    <row r="8077" spans="1:6" x14ac:dyDescent="0.25">
      <c r="A8077" t="str">
        <f>"001259224"</f>
        <v>001259224</v>
      </c>
      <c r="B8077" t="str">
        <f>"1548655400"</f>
        <v>1548655400</v>
      </c>
      <c r="C8077" t="str">
        <f>"2080C0008X"</f>
        <v>2080C0008X</v>
      </c>
      <c r="D8077" t="str">
        <f>"BROWNLEE                 ROSALYN      E           "</f>
        <v xml:space="preserve">BROWNLEE                 ROSALYN      E           </v>
      </c>
      <c r="E8077" t="str">
        <f>"JACKSON                   "</f>
        <v xml:space="preserve">JACKSON                   </v>
      </c>
      <c r="F8077" t="str">
        <f t="shared" si="251"/>
        <v>MS</v>
      </c>
    </row>
    <row r="8078" spans="1:6" x14ac:dyDescent="0.25">
      <c r="A8078" t="str">
        <f>"001259326"</f>
        <v>001259326</v>
      </c>
      <c r="B8078" t="str">
        <f>"1730748443"</f>
        <v>1730748443</v>
      </c>
      <c r="C8078" t="str">
        <f>"207R00000X"</f>
        <v>207R00000X</v>
      </c>
      <c r="D8078" t="str">
        <f>"OBI                      YOSHITSUGU               "</f>
        <v xml:space="preserve">OBI                      YOSHITSUGU               </v>
      </c>
      <c r="E8078" t="str">
        <f>"JACKSON                   "</f>
        <v xml:space="preserve">JACKSON                   </v>
      </c>
      <c r="F8078" t="str">
        <f t="shared" si="251"/>
        <v>MS</v>
      </c>
    </row>
    <row r="8079" spans="1:6" x14ac:dyDescent="0.25">
      <c r="A8079" t="str">
        <f>"001262603"</f>
        <v>001262603</v>
      </c>
      <c r="B8079" t="str">
        <f>"1295955672"</f>
        <v>1295955672</v>
      </c>
      <c r="C8079" t="str">
        <f>"207W00000X"</f>
        <v>207W00000X</v>
      </c>
      <c r="D8079" t="str">
        <f>"JONES                    DAVID        F           "</f>
        <v xml:space="preserve">JONES                    DAVID        F           </v>
      </c>
      <c r="E8079" t="str">
        <f>"JACKSON                   "</f>
        <v xml:space="preserve">JACKSON                   </v>
      </c>
      <c r="F8079" t="str">
        <f t="shared" si="251"/>
        <v>MS</v>
      </c>
    </row>
    <row r="8080" spans="1:6" x14ac:dyDescent="0.25">
      <c r="A8080" t="str">
        <f>"001271520"</f>
        <v>001271520</v>
      </c>
      <c r="B8080" t="str">
        <f>"1730612540"</f>
        <v>1730612540</v>
      </c>
      <c r="C8080" t="str">
        <f>"363L00000X"</f>
        <v>363L00000X</v>
      </c>
      <c r="D8080" t="str">
        <f>"WILSON                   AMBER        K           "</f>
        <v xml:space="preserve">WILSON                   AMBER        K           </v>
      </c>
      <c r="E8080" t="str">
        <f>"GULFPORT                  "</f>
        <v xml:space="preserve">GULFPORT                  </v>
      </c>
      <c r="F8080" t="str">
        <f t="shared" si="251"/>
        <v>MS</v>
      </c>
    </row>
    <row r="8081" spans="1:6" x14ac:dyDescent="0.25">
      <c r="A8081" t="str">
        <f>"001272323"</f>
        <v>001272323</v>
      </c>
      <c r="B8081" t="str">
        <f>"1649463050"</f>
        <v>1649463050</v>
      </c>
      <c r="C8081" t="str">
        <f>"363L00000X"</f>
        <v>363L00000X</v>
      </c>
      <c r="D8081" t="str">
        <f>"GREGG                    TINA         M           "</f>
        <v xml:space="preserve">GREGG                    TINA         M           </v>
      </c>
      <c r="E8081" t="str">
        <f>"FLOWOOD                   "</f>
        <v xml:space="preserve">FLOWOOD                   </v>
      </c>
      <c r="F8081" t="str">
        <f t="shared" si="251"/>
        <v>MS</v>
      </c>
    </row>
    <row r="8082" spans="1:6" x14ac:dyDescent="0.25">
      <c r="A8082" t="str">
        <f>"001273350"</f>
        <v>001273350</v>
      </c>
      <c r="B8082" t="str">
        <f>"1215038534"</f>
        <v>1215038534</v>
      </c>
      <c r="C8082" t="str">
        <f>"207Q00000X"</f>
        <v>207Q00000X</v>
      </c>
      <c r="D8082" t="str">
        <f>"PITTMAN                  SHANNON      D           "</f>
        <v xml:space="preserve">PITTMAN                  SHANNON      D           </v>
      </c>
      <c r="E8082" t="str">
        <f>"JACKSON                   "</f>
        <v xml:space="preserve">JACKSON                   </v>
      </c>
      <c r="F8082" t="str">
        <f t="shared" si="251"/>
        <v>MS</v>
      </c>
    </row>
    <row r="8083" spans="1:6" x14ac:dyDescent="0.25">
      <c r="A8083" t="str">
        <f>"001273368"</f>
        <v>001273368</v>
      </c>
      <c r="B8083" t="str">
        <f>"1275936163"</f>
        <v>1275936163</v>
      </c>
      <c r="C8083" t="str">
        <f>"363L00000X"</f>
        <v>363L00000X</v>
      </c>
      <c r="D8083" t="str">
        <f>"STEWART                  GINGER       L           "</f>
        <v xml:space="preserve">STEWART                  GINGER       L           </v>
      </c>
      <c r="E8083" t="str">
        <f>"SOUTHAVEN                 "</f>
        <v xml:space="preserve">SOUTHAVEN                 </v>
      </c>
      <c r="F8083" t="str">
        <f t="shared" si="251"/>
        <v>MS</v>
      </c>
    </row>
    <row r="8084" spans="1:6" x14ac:dyDescent="0.25">
      <c r="A8084" t="str">
        <f>"001273705"</f>
        <v>001273705</v>
      </c>
      <c r="B8084" t="str">
        <f>"1942495155"</f>
        <v>1942495155</v>
      </c>
      <c r="C8084" t="str">
        <f>"122300000X"</f>
        <v>122300000X</v>
      </c>
      <c r="D8084" t="str">
        <f>"RUSHING                  CARLA        S           "</f>
        <v xml:space="preserve">RUSHING                  CARLA        S           </v>
      </c>
      <c r="E8084" t="str">
        <f>"BRANDON                   "</f>
        <v xml:space="preserve">BRANDON                   </v>
      </c>
      <c r="F8084" t="str">
        <f t="shared" si="251"/>
        <v>MS</v>
      </c>
    </row>
    <row r="8085" spans="1:6" x14ac:dyDescent="0.25">
      <c r="A8085" t="str">
        <f>"001274206"</f>
        <v>001274206</v>
      </c>
      <c r="B8085" t="str">
        <f>"1992269617"</f>
        <v>1992269617</v>
      </c>
      <c r="C8085" t="str">
        <f>"363L00000X"</f>
        <v>363L00000X</v>
      </c>
      <c r="D8085" t="str">
        <f>"HEATHINGTON              CRYSTAL      D           "</f>
        <v xml:space="preserve">HEATHINGTON              CRYSTAL      D           </v>
      </c>
      <c r="E8085" t="str">
        <f>"GULFPORT                  "</f>
        <v xml:space="preserve">GULFPORT                  </v>
      </c>
      <c r="F8085" t="str">
        <f t="shared" si="251"/>
        <v>MS</v>
      </c>
    </row>
    <row r="8086" spans="1:6" x14ac:dyDescent="0.25">
      <c r="A8086" t="str">
        <f>"001274279"</f>
        <v>001274279</v>
      </c>
      <c r="B8086" t="str">
        <f>"1477865723"</f>
        <v>1477865723</v>
      </c>
      <c r="C8086" t="str">
        <f>"207W00000X"</f>
        <v>207W00000X</v>
      </c>
      <c r="D8086" t="str">
        <f>"CRADDOCK                 JAY          O           "</f>
        <v xml:space="preserve">CRADDOCK                 JAY          O           </v>
      </c>
      <c r="E8086" t="str">
        <f>"JACKSON                   "</f>
        <v xml:space="preserve">JACKSON                   </v>
      </c>
      <c r="F8086" t="str">
        <f t="shared" si="251"/>
        <v>MS</v>
      </c>
    </row>
    <row r="8087" spans="1:6" x14ac:dyDescent="0.25">
      <c r="A8087" t="str">
        <f>"001277099"</f>
        <v>001277099</v>
      </c>
      <c r="B8087" t="str">
        <f>"1063779130"</f>
        <v>1063779130</v>
      </c>
      <c r="C8087" t="str">
        <f>"122300000X"</f>
        <v>122300000X</v>
      </c>
      <c r="D8087" t="str">
        <f>"MANTACHIE RURAL HEALTH CARE INC                   "</f>
        <v xml:space="preserve">MANTACHIE RURAL HEALTH CARE INC                   </v>
      </c>
      <c r="E8087" t="str">
        <f>"MANTACHIE                 "</f>
        <v xml:space="preserve">MANTACHIE                 </v>
      </c>
      <c r="F8087" t="str">
        <f t="shared" si="251"/>
        <v>MS</v>
      </c>
    </row>
    <row r="8088" spans="1:6" x14ac:dyDescent="0.25">
      <c r="A8088" t="str">
        <f>"001277286"</f>
        <v>001277286</v>
      </c>
      <c r="B8088" t="str">
        <f>"1952721839"</f>
        <v>1952721839</v>
      </c>
      <c r="C8088" t="str">
        <f>"2085R0202X"</f>
        <v>2085R0202X</v>
      </c>
      <c r="D8088" t="str">
        <f>"SCHARR                   TRAVIS                   "</f>
        <v xml:space="preserve">SCHARR                   TRAVIS                   </v>
      </c>
      <c r="E8088" t="str">
        <f>"OLIVE BRANCH              "</f>
        <v xml:space="preserve">OLIVE BRANCH              </v>
      </c>
      <c r="F8088" t="str">
        <f t="shared" si="251"/>
        <v>MS</v>
      </c>
    </row>
    <row r="8089" spans="1:6" x14ac:dyDescent="0.25">
      <c r="A8089" t="str">
        <f>"001277853"</f>
        <v>001277853</v>
      </c>
      <c r="B8089" t="str">
        <f>"1962968040"</f>
        <v>1962968040</v>
      </c>
      <c r="C8089" t="str">
        <f t="shared" ref="C8089:C8095" si="252">"363L00000X"</f>
        <v>363L00000X</v>
      </c>
      <c r="D8089" t="str">
        <f>"IRBY                     JOHN         M           "</f>
        <v xml:space="preserve">IRBY                     JOHN         M           </v>
      </c>
      <c r="E8089" t="str">
        <f>"MCCOMB                    "</f>
        <v xml:space="preserve">MCCOMB                    </v>
      </c>
      <c r="F8089" t="str">
        <f t="shared" si="251"/>
        <v>MS</v>
      </c>
    </row>
    <row r="8090" spans="1:6" x14ac:dyDescent="0.25">
      <c r="A8090" t="str">
        <f>"001278001"</f>
        <v>001278001</v>
      </c>
      <c r="B8090" t="str">
        <f>"1336575315"</f>
        <v>1336575315</v>
      </c>
      <c r="C8090" t="str">
        <f t="shared" si="252"/>
        <v>363L00000X</v>
      </c>
      <c r="D8090" t="str">
        <f>"WOOD                     HOLLY        B           "</f>
        <v xml:space="preserve">WOOD                     HOLLY        B           </v>
      </c>
      <c r="E8090" t="str">
        <f>"EUPORA                    "</f>
        <v xml:space="preserve">EUPORA                    </v>
      </c>
      <c r="F8090" t="str">
        <f t="shared" si="251"/>
        <v>MS</v>
      </c>
    </row>
    <row r="8091" spans="1:6" x14ac:dyDescent="0.25">
      <c r="A8091" t="str">
        <f>"001278092"</f>
        <v>001278092</v>
      </c>
      <c r="B8091" t="str">
        <f>"1104459742"</f>
        <v>1104459742</v>
      </c>
      <c r="C8091" t="str">
        <f t="shared" si="252"/>
        <v>363L00000X</v>
      </c>
      <c r="D8091" t="str">
        <f>"MICHAEL                  AMANDA       P           "</f>
        <v xml:space="preserve">MICHAEL                  AMANDA       P           </v>
      </c>
      <c r="E8091" t="str">
        <f>"TUPELO                    "</f>
        <v xml:space="preserve">TUPELO                    </v>
      </c>
      <c r="F8091" t="str">
        <f t="shared" si="251"/>
        <v>MS</v>
      </c>
    </row>
    <row r="8092" spans="1:6" x14ac:dyDescent="0.25">
      <c r="A8092" t="str">
        <f>"001278226"</f>
        <v>001278226</v>
      </c>
      <c r="B8092" t="str">
        <f>"1104243195"</f>
        <v>1104243195</v>
      </c>
      <c r="C8092" t="str">
        <f t="shared" si="252"/>
        <v>363L00000X</v>
      </c>
      <c r="D8092" t="str">
        <f>"LEE                      MARCIE       A           "</f>
        <v xml:space="preserve">LEE                      MARCIE       A           </v>
      </c>
      <c r="E8092" t="str">
        <f>"GULFPORT                  "</f>
        <v xml:space="preserve">GULFPORT                  </v>
      </c>
      <c r="F8092" t="str">
        <f t="shared" si="251"/>
        <v>MS</v>
      </c>
    </row>
    <row r="8093" spans="1:6" x14ac:dyDescent="0.25">
      <c r="A8093" t="str">
        <f>"001279817"</f>
        <v>001279817</v>
      </c>
      <c r="B8093" t="str">
        <f>"1952949182"</f>
        <v>1952949182</v>
      </c>
      <c r="C8093" t="str">
        <f t="shared" si="252"/>
        <v>363L00000X</v>
      </c>
      <c r="D8093" t="str">
        <f>"WILSON                   BRANDY                   "</f>
        <v xml:space="preserve">WILSON                   BRANDY                   </v>
      </c>
      <c r="E8093" t="str">
        <f>"MONTICELLO                "</f>
        <v xml:space="preserve">MONTICELLO                </v>
      </c>
      <c r="F8093" t="str">
        <f t="shared" si="251"/>
        <v>MS</v>
      </c>
    </row>
    <row r="8094" spans="1:6" x14ac:dyDescent="0.25">
      <c r="A8094" t="str">
        <f>"001280290"</f>
        <v>001280290</v>
      </c>
      <c r="B8094" t="str">
        <f>"1700390184"</f>
        <v>1700390184</v>
      </c>
      <c r="C8094" t="str">
        <f t="shared" si="252"/>
        <v>363L00000X</v>
      </c>
      <c r="D8094" t="str">
        <f>"SIZER                    TRITRESHER               "</f>
        <v xml:space="preserve">SIZER                    TRITRESHER               </v>
      </c>
      <c r="E8094" t="str">
        <f>"JACKSON                   "</f>
        <v xml:space="preserve">JACKSON                   </v>
      </c>
      <c r="F8094" t="str">
        <f t="shared" si="251"/>
        <v>MS</v>
      </c>
    </row>
    <row r="8095" spans="1:6" x14ac:dyDescent="0.25">
      <c r="A8095" t="str">
        <f>"001280868"</f>
        <v>001280868</v>
      </c>
      <c r="B8095" t="str">
        <f>"1326370461"</f>
        <v>1326370461</v>
      </c>
      <c r="C8095" t="str">
        <f t="shared" si="252"/>
        <v>363L00000X</v>
      </c>
      <c r="D8095" t="str">
        <f>"PENTON                   CARLA        D           "</f>
        <v xml:space="preserve">PENTON                   CARLA        D           </v>
      </c>
      <c r="E8095" t="str">
        <f>"BAY ST LOUIS              "</f>
        <v xml:space="preserve">BAY ST LOUIS              </v>
      </c>
      <c r="F8095" t="str">
        <f t="shared" si="251"/>
        <v>MS</v>
      </c>
    </row>
    <row r="8096" spans="1:6" x14ac:dyDescent="0.25">
      <c r="A8096" t="str">
        <f>"001281539"</f>
        <v>001281539</v>
      </c>
      <c r="B8096" t="str">
        <f>"1992782544"</f>
        <v>1992782544</v>
      </c>
      <c r="C8096" t="str">
        <f>"207RN0300X"</f>
        <v>207RN0300X</v>
      </c>
      <c r="D8096" t="str">
        <f>"GOWDY JR                 OTIS                     "</f>
        <v xml:space="preserve">GOWDY JR                 OTIS                     </v>
      </c>
      <c r="E8096" t="str">
        <f>"MERIDIAN                  "</f>
        <v xml:space="preserve">MERIDIAN                  </v>
      </c>
      <c r="F8096" t="str">
        <f t="shared" si="251"/>
        <v>MS</v>
      </c>
    </row>
    <row r="8097" spans="1:6" x14ac:dyDescent="0.25">
      <c r="A8097" t="str">
        <f>"001282291"</f>
        <v>001282291</v>
      </c>
      <c r="B8097" t="str">
        <f>"1629293691"</f>
        <v>1629293691</v>
      </c>
      <c r="C8097" t="str">
        <f>"261QM1300X"</f>
        <v>261QM1300X</v>
      </c>
      <c r="D8097" t="str">
        <f>"GULF COAST FAMILY COUNSELING AGENCY               "</f>
        <v xml:space="preserve">GULF COAST FAMILY COUNSELING AGENCY               </v>
      </c>
      <c r="E8097" t="str">
        <f>"OCEAN SPRINGS             "</f>
        <v xml:space="preserve">OCEAN SPRINGS             </v>
      </c>
      <c r="F8097" t="str">
        <f t="shared" si="251"/>
        <v>MS</v>
      </c>
    </row>
    <row r="8098" spans="1:6" x14ac:dyDescent="0.25">
      <c r="A8098" t="str">
        <f>"001282362"</f>
        <v>001282362</v>
      </c>
      <c r="B8098" t="str">
        <f>"1063731628"</f>
        <v>1063731628</v>
      </c>
      <c r="C8098" t="str">
        <f>"2085R0204X"</f>
        <v>2085R0204X</v>
      </c>
      <c r="D8098" t="str">
        <f>"PATTEN                   PATRICK      P           "</f>
        <v xml:space="preserve">PATTEN                   PATRICK      P           </v>
      </c>
      <c r="E8098" t="str">
        <f>"GULFPORT                  "</f>
        <v xml:space="preserve">GULFPORT                  </v>
      </c>
      <c r="F8098" t="str">
        <f t="shared" si="251"/>
        <v>MS</v>
      </c>
    </row>
    <row r="8099" spans="1:6" x14ac:dyDescent="0.25">
      <c r="A8099" t="str">
        <f>"001282761"</f>
        <v>001282761</v>
      </c>
      <c r="B8099" t="str">
        <f>"1457543183"</f>
        <v>1457543183</v>
      </c>
      <c r="C8099" t="str">
        <f>"363L00000X"</f>
        <v>363L00000X</v>
      </c>
      <c r="D8099" t="str">
        <f>"JAKINS                   DIANE        C           "</f>
        <v xml:space="preserve">JAKINS                   DIANE        C           </v>
      </c>
      <c r="E8099" t="str">
        <f>"GULFPORT                  "</f>
        <v xml:space="preserve">GULFPORT                  </v>
      </c>
      <c r="F8099" t="str">
        <f t="shared" si="251"/>
        <v>MS</v>
      </c>
    </row>
    <row r="8100" spans="1:6" x14ac:dyDescent="0.25">
      <c r="A8100" t="str">
        <f>"001283342"</f>
        <v>001283342</v>
      </c>
      <c r="B8100" t="str">
        <f>"1750398038"</f>
        <v>1750398038</v>
      </c>
      <c r="C8100" t="str">
        <f>"363L00000X"</f>
        <v>363L00000X</v>
      </c>
      <c r="D8100" t="str">
        <f>"ALLEN                    ROBIN        M           "</f>
        <v xml:space="preserve">ALLEN                    ROBIN        M           </v>
      </c>
      <c r="E8100" t="str">
        <f>"GULFPORT                  "</f>
        <v xml:space="preserve">GULFPORT                  </v>
      </c>
      <c r="F8100" t="str">
        <f t="shared" si="251"/>
        <v>MS</v>
      </c>
    </row>
    <row r="8101" spans="1:6" x14ac:dyDescent="0.25">
      <c r="A8101" t="str">
        <f>"001285054"</f>
        <v>001285054</v>
      </c>
      <c r="B8101" t="str">
        <f>"1073937876"</f>
        <v>1073937876</v>
      </c>
      <c r="C8101" t="str">
        <f>"367500000X"</f>
        <v>367500000X</v>
      </c>
      <c r="D8101" t="str">
        <f>"NALDER                   MARY         A           "</f>
        <v xml:space="preserve">NALDER                   MARY         A           </v>
      </c>
      <c r="E8101" t="str">
        <f>"JACKSON                   "</f>
        <v xml:space="preserve">JACKSON                   </v>
      </c>
      <c r="F8101" t="str">
        <f t="shared" si="251"/>
        <v>MS</v>
      </c>
    </row>
    <row r="8102" spans="1:6" x14ac:dyDescent="0.25">
      <c r="A8102" t="str">
        <f>"001286571"</f>
        <v>001286571</v>
      </c>
      <c r="B8102" t="str">
        <f>"1730550419"</f>
        <v>1730550419</v>
      </c>
      <c r="C8102" t="str">
        <f>"363L00000X"</f>
        <v>363L00000X</v>
      </c>
      <c r="D8102" t="str">
        <f>"TAYLOR                   MAGGIE                   "</f>
        <v xml:space="preserve">TAYLOR                   MAGGIE                   </v>
      </c>
      <c r="E8102" t="str">
        <f>"WINONA                    "</f>
        <v xml:space="preserve">WINONA                    </v>
      </c>
      <c r="F8102" t="str">
        <f t="shared" si="251"/>
        <v>MS</v>
      </c>
    </row>
    <row r="8103" spans="1:6" x14ac:dyDescent="0.25">
      <c r="A8103" t="str">
        <f>"001287797"</f>
        <v>001287797</v>
      </c>
      <c r="B8103" t="str">
        <f>"1568113983"</f>
        <v>1568113983</v>
      </c>
      <c r="C8103" t="str">
        <f>"363L00000X"</f>
        <v>363L00000X</v>
      </c>
      <c r="D8103" t="str">
        <f>"CASE                     LORI                     "</f>
        <v xml:space="preserve">CASE                     LORI                     </v>
      </c>
      <c r="E8103" t="str">
        <f>"HAZLEHURST                "</f>
        <v xml:space="preserve">HAZLEHURST                </v>
      </c>
      <c r="F8103" t="str">
        <f t="shared" si="251"/>
        <v>MS</v>
      </c>
    </row>
    <row r="8104" spans="1:6" x14ac:dyDescent="0.25">
      <c r="A8104" t="str">
        <f>"001289366"</f>
        <v>001289366</v>
      </c>
      <c r="B8104" t="str">
        <f>"1942750187"</f>
        <v>1942750187</v>
      </c>
      <c r="C8104" t="str">
        <f>"363L00000X"</f>
        <v>363L00000X</v>
      </c>
      <c r="D8104" t="str">
        <f>"BURNS                    FARRIS                   "</f>
        <v xml:space="preserve">BURNS                    FARRIS                   </v>
      </c>
      <c r="E8104" t="str">
        <f>"FULTON                    "</f>
        <v xml:space="preserve">FULTON                    </v>
      </c>
      <c r="F8104" t="str">
        <f t="shared" si="251"/>
        <v>MS</v>
      </c>
    </row>
    <row r="8105" spans="1:6" x14ac:dyDescent="0.25">
      <c r="A8105" t="str">
        <f>"001289552"</f>
        <v>001289552</v>
      </c>
      <c r="B8105" t="str">
        <f>"1801989124"</f>
        <v>1801989124</v>
      </c>
      <c r="C8105" t="str">
        <f>"2084P0800X"</f>
        <v>2084P0800X</v>
      </c>
      <c r="D8105" t="str">
        <f>"ALI                      SALEEM       A           "</f>
        <v xml:space="preserve">ALI                      SALEEM       A           </v>
      </c>
      <c r="E8105" t="str">
        <f>"TUPELO                    "</f>
        <v xml:space="preserve">TUPELO                    </v>
      </c>
      <c r="F8105" t="str">
        <f t="shared" si="251"/>
        <v>MS</v>
      </c>
    </row>
    <row r="8106" spans="1:6" x14ac:dyDescent="0.25">
      <c r="A8106" t="str">
        <f>"001289839"</f>
        <v>001289839</v>
      </c>
      <c r="B8106" t="str">
        <f>"1801933031"</f>
        <v>1801933031</v>
      </c>
      <c r="C8106" t="str">
        <f>"363L00000X"</f>
        <v>363L00000X</v>
      </c>
      <c r="D8106" t="str">
        <f>"ROSS                     LOUIE        G           "</f>
        <v xml:space="preserve">ROSS                     LOUIE        G           </v>
      </c>
      <c r="E8106" t="str">
        <f>"RICHLAND                  "</f>
        <v xml:space="preserve">RICHLAND                  </v>
      </c>
      <c r="F8106" t="str">
        <f t="shared" si="251"/>
        <v>MS</v>
      </c>
    </row>
    <row r="8107" spans="1:6" x14ac:dyDescent="0.25">
      <c r="A8107" t="str">
        <f>"001301285"</f>
        <v>001301285</v>
      </c>
      <c r="B8107" t="str">
        <f>"1245279918"</f>
        <v>1245279918</v>
      </c>
      <c r="C8107" t="str">
        <f>"207Q00000X"</f>
        <v>207Q00000X</v>
      </c>
      <c r="D8107" t="str">
        <f>"SMITH                    DENNIS       E           "</f>
        <v xml:space="preserve">SMITH                    DENNIS       E           </v>
      </c>
      <c r="E8107" t="str">
        <f>"TUPELO                    "</f>
        <v xml:space="preserve">TUPELO                    </v>
      </c>
      <c r="F8107" t="str">
        <f t="shared" si="251"/>
        <v>MS</v>
      </c>
    </row>
    <row r="8108" spans="1:6" x14ac:dyDescent="0.25">
      <c r="A8108" t="str">
        <f>"001301804"</f>
        <v>001301804</v>
      </c>
      <c r="B8108" t="str">
        <f>"1891702148"</f>
        <v>1891702148</v>
      </c>
      <c r="C8108" t="str">
        <f>"207X00000X"</f>
        <v>207X00000X</v>
      </c>
      <c r="D8108" t="str">
        <f>"GRAVES                   MATTHEW      L           "</f>
        <v xml:space="preserve">GRAVES                   MATTHEW      L           </v>
      </c>
      <c r="E8108" t="str">
        <f>"JACKSON                   "</f>
        <v xml:space="preserve">JACKSON                   </v>
      </c>
      <c r="F8108" t="str">
        <f t="shared" si="251"/>
        <v>MS</v>
      </c>
    </row>
    <row r="8109" spans="1:6" x14ac:dyDescent="0.25">
      <c r="A8109" t="str">
        <f>"001301887"</f>
        <v>001301887</v>
      </c>
      <c r="B8109" t="str">
        <f>"1821209784"</f>
        <v>1821209784</v>
      </c>
      <c r="C8109" t="str">
        <f>"207RR0500X"</f>
        <v>207RR0500X</v>
      </c>
      <c r="D8109" t="str">
        <f>"EDDLEMAN                 KIRK                     "</f>
        <v xml:space="preserve">EDDLEMAN                 KIRK                     </v>
      </c>
      <c r="E8109" t="str">
        <f>"OXFORD                    "</f>
        <v xml:space="preserve">OXFORD                    </v>
      </c>
      <c r="F8109" t="str">
        <f t="shared" si="251"/>
        <v>MS</v>
      </c>
    </row>
    <row r="8110" spans="1:6" x14ac:dyDescent="0.25">
      <c r="A8110" t="str">
        <f>"001303505"</f>
        <v>001303505</v>
      </c>
      <c r="B8110" t="str">
        <f>"1104595396"</f>
        <v>1104595396</v>
      </c>
      <c r="C8110" t="str">
        <f>"363L00000X"</f>
        <v>363L00000X</v>
      </c>
      <c r="D8110" t="str">
        <f>"ELY                      JASON        K           "</f>
        <v xml:space="preserve">ELY                      JASON        K           </v>
      </c>
      <c r="E8110" t="str">
        <f>"PASCAGOULA                "</f>
        <v xml:space="preserve">PASCAGOULA                </v>
      </c>
      <c r="F8110" t="str">
        <f t="shared" si="251"/>
        <v>MS</v>
      </c>
    </row>
    <row r="8111" spans="1:6" x14ac:dyDescent="0.25">
      <c r="A8111" t="str">
        <f>"001303580"</f>
        <v>001303580</v>
      </c>
      <c r="B8111" t="str">
        <f>"1982356929"</f>
        <v>1982356929</v>
      </c>
      <c r="C8111" t="str">
        <f>"363L00000X"</f>
        <v>363L00000X</v>
      </c>
      <c r="D8111" t="str">
        <f>"HOWELL                   HALEIGH                  "</f>
        <v xml:space="preserve">HOWELL                   HALEIGH                  </v>
      </c>
      <c r="E8111" t="str">
        <f>"OCEAN SPRINGS             "</f>
        <v xml:space="preserve">OCEAN SPRINGS             </v>
      </c>
      <c r="F8111" t="str">
        <f t="shared" si="251"/>
        <v>MS</v>
      </c>
    </row>
    <row r="8112" spans="1:6" x14ac:dyDescent="0.25">
      <c r="A8112" t="str">
        <f>"001304753"</f>
        <v>001304753</v>
      </c>
      <c r="B8112" t="str">
        <f>"1225709074"</f>
        <v>1225709074</v>
      </c>
      <c r="C8112" t="str">
        <f>"122300000X"</f>
        <v>122300000X</v>
      </c>
      <c r="D8112" t="str">
        <f>"SMILE STRAIGHT ORTHODONTICS-JACKSON               "</f>
        <v xml:space="preserve">SMILE STRAIGHT ORTHODONTICS-JACKSON               </v>
      </c>
      <c r="E8112" t="str">
        <f>"RIDGELAND                 "</f>
        <v xml:space="preserve">RIDGELAND                 </v>
      </c>
      <c r="F8112" t="str">
        <f t="shared" si="251"/>
        <v>MS</v>
      </c>
    </row>
    <row r="8113" spans="1:6" x14ac:dyDescent="0.25">
      <c r="A8113" t="str">
        <f>"001306002"</f>
        <v>001306002</v>
      </c>
      <c r="B8113" t="str">
        <f>"1881037703"</f>
        <v>1881037703</v>
      </c>
      <c r="C8113" t="str">
        <f>"208600000X"</f>
        <v>208600000X</v>
      </c>
      <c r="D8113" t="str">
        <f>"LOGAN                    KARA         S           "</f>
        <v xml:space="preserve">LOGAN                    KARA         S           </v>
      </c>
      <c r="E8113" t="str">
        <f>"JACKSON                   "</f>
        <v xml:space="preserve">JACKSON                   </v>
      </c>
      <c r="F8113" t="str">
        <f t="shared" si="251"/>
        <v>MS</v>
      </c>
    </row>
    <row r="8114" spans="1:6" x14ac:dyDescent="0.25">
      <c r="A8114" t="str">
        <f>"001306756"</f>
        <v>001306756</v>
      </c>
      <c r="B8114" t="str">
        <f>"1942616446"</f>
        <v>1942616446</v>
      </c>
      <c r="C8114" t="str">
        <f>"261QA0600X"</f>
        <v>261QA0600X</v>
      </c>
      <c r="D8114" t="str">
        <f>"LIFE SAVERS ASSISTED LIVING                       "</f>
        <v xml:space="preserve">LIFE SAVERS ASSISTED LIVING                       </v>
      </c>
      <c r="E8114" t="str">
        <f>"SHAW                      "</f>
        <v xml:space="preserve">SHAW                      </v>
      </c>
      <c r="F8114" t="str">
        <f t="shared" si="251"/>
        <v>MS</v>
      </c>
    </row>
    <row r="8115" spans="1:6" x14ac:dyDescent="0.25">
      <c r="A8115" t="str">
        <f>"001309015"</f>
        <v>001309015</v>
      </c>
      <c r="B8115" t="str">
        <f>"1770794695"</f>
        <v>1770794695</v>
      </c>
      <c r="C8115" t="str">
        <f>"207R00000X"</f>
        <v>207R00000X</v>
      </c>
      <c r="D8115" t="str">
        <f>"CROSS                    JOHN         L           "</f>
        <v xml:space="preserve">CROSS                    JOHN         L           </v>
      </c>
      <c r="E8115" t="str">
        <f>"JACKSON                   "</f>
        <v xml:space="preserve">JACKSON                   </v>
      </c>
      <c r="F8115" t="str">
        <f t="shared" si="251"/>
        <v>MS</v>
      </c>
    </row>
    <row r="8116" spans="1:6" x14ac:dyDescent="0.25">
      <c r="A8116" t="str">
        <f>"001321241"</f>
        <v>001321241</v>
      </c>
      <c r="B8116" t="str">
        <f>"1699042754"</f>
        <v>1699042754</v>
      </c>
      <c r="C8116" t="str">
        <f>"363L00000X"</f>
        <v>363L00000X</v>
      </c>
      <c r="D8116" t="str">
        <f>"MORGAN                   MELISSA                  "</f>
        <v xml:space="preserve">MORGAN                   MELISSA                  </v>
      </c>
      <c r="E8116" t="str">
        <f>"RIPLEY                    "</f>
        <v xml:space="preserve">RIPLEY                    </v>
      </c>
      <c r="F8116" t="str">
        <f t="shared" si="251"/>
        <v>MS</v>
      </c>
    </row>
    <row r="8117" spans="1:6" x14ac:dyDescent="0.25">
      <c r="A8117" t="str">
        <f>"001322061"</f>
        <v>001322061</v>
      </c>
      <c r="B8117" t="str">
        <f>"1770974016"</f>
        <v>1770974016</v>
      </c>
      <c r="C8117" t="str">
        <f>"363A00000X"</f>
        <v>363A00000X</v>
      </c>
      <c r="D8117" t="str">
        <f>"CARROLL                  JILLIAN      F           "</f>
        <v xml:space="preserve">CARROLL                  JILLIAN      F           </v>
      </c>
      <c r="E8117" t="str">
        <f>"LAUREL                    "</f>
        <v xml:space="preserve">LAUREL                    </v>
      </c>
      <c r="F8117" t="str">
        <f t="shared" si="251"/>
        <v>MS</v>
      </c>
    </row>
    <row r="8118" spans="1:6" x14ac:dyDescent="0.25">
      <c r="A8118" t="str">
        <f>"001322560"</f>
        <v>001322560</v>
      </c>
      <c r="B8118" t="str">
        <f>"1326584822"</f>
        <v>1326584822</v>
      </c>
      <c r="C8118" t="str">
        <f>"363L00000X"</f>
        <v>363L00000X</v>
      </c>
      <c r="D8118" t="str">
        <f>"TRAHAN                   JONATHAN     K           "</f>
        <v xml:space="preserve">TRAHAN                   JONATHAN     K           </v>
      </c>
      <c r="E8118" t="str">
        <f>"PICAYUNE                  "</f>
        <v xml:space="preserve">PICAYUNE                  </v>
      </c>
      <c r="F8118" t="str">
        <f t="shared" si="251"/>
        <v>MS</v>
      </c>
    </row>
    <row r="8119" spans="1:6" x14ac:dyDescent="0.25">
      <c r="A8119" t="str">
        <f>"001323003"</f>
        <v>001323003</v>
      </c>
      <c r="B8119" t="str">
        <f>"1467525865"</f>
        <v>1467525865</v>
      </c>
      <c r="C8119" t="str">
        <f>"363L00000X"</f>
        <v>363L00000X</v>
      </c>
      <c r="D8119" t="str">
        <f>"MELTON                   JASON        G           "</f>
        <v xml:space="preserve">MELTON                   JASON        G           </v>
      </c>
      <c r="E8119" t="str">
        <f>"OXFORD                    "</f>
        <v xml:space="preserve">OXFORD                    </v>
      </c>
      <c r="F8119" t="str">
        <f t="shared" si="251"/>
        <v>MS</v>
      </c>
    </row>
    <row r="8120" spans="1:6" x14ac:dyDescent="0.25">
      <c r="A8120" t="str">
        <f>"001323094"</f>
        <v>001323094</v>
      </c>
      <c r="B8120" t="str">
        <f>"1639740509"</f>
        <v>1639740509</v>
      </c>
      <c r="C8120" t="str">
        <f>"363L00000X"</f>
        <v>363L00000X</v>
      </c>
      <c r="D8120" t="str">
        <f>"HOLLY                    JENNIFER                 "</f>
        <v xml:space="preserve">HOLLY                    JENNIFER                 </v>
      </c>
      <c r="E8120" t="str">
        <f>"JACKSON                   "</f>
        <v xml:space="preserve">JACKSON                   </v>
      </c>
      <c r="F8120" t="str">
        <f t="shared" si="251"/>
        <v>MS</v>
      </c>
    </row>
    <row r="8121" spans="1:6" x14ac:dyDescent="0.25">
      <c r="A8121" t="str">
        <f>"001323301"</f>
        <v>001323301</v>
      </c>
      <c r="B8121" t="str">
        <f>"1689758120"</f>
        <v>1689758120</v>
      </c>
      <c r="C8121" t="str">
        <f>"207X00000X"</f>
        <v>207X00000X</v>
      </c>
      <c r="D8121" t="str">
        <f>"MCCALLUM                 DANIEL       M           "</f>
        <v xml:space="preserve">MCCALLUM                 DANIEL       M           </v>
      </c>
      <c r="E8121" t="str">
        <f>"LAUREL                    "</f>
        <v xml:space="preserve">LAUREL                    </v>
      </c>
      <c r="F8121" t="str">
        <f t="shared" si="251"/>
        <v>MS</v>
      </c>
    </row>
    <row r="8122" spans="1:6" x14ac:dyDescent="0.25">
      <c r="A8122" t="str">
        <f>"001324352"</f>
        <v>001324352</v>
      </c>
      <c r="B8122" t="str">
        <f>"1588194708"</f>
        <v>1588194708</v>
      </c>
      <c r="C8122" t="str">
        <f>"363L00000X"</f>
        <v>363L00000X</v>
      </c>
      <c r="D8122" t="str">
        <f>"JOHNSON                  HANNAH                   "</f>
        <v xml:space="preserve">JOHNSON                  HANNAH                   </v>
      </c>
      <c r="E8122" t="str">
        <f>"PHILADELPHIA              "</f>
        <v xml:space="preserve">PHILADELPHIA              </v>
      </c>
      <c r="F8122" t="str">
        <f t="shared" si="251"/>
        <v>MS</v>
      </c>
    </row>
    <row r="8123" spans="1:6" x14ac:dyDescent="0.25">
      <c r="A8123" t="str">
        <f>"001326372"</f>
        <v>001326372</v>
      </c>
      <c r="B8123" t="str">
        <f>"1346627544"</f>
        <v>1346627544</v>
      </c>
      <c r="C8123" t="str">
        <f>"2080P0202X"</f>
        <v>2080P0202X</v>
      </c>
      <c r="D8123" t="str">
        <f>"WILSON                   LUCAS                    "</f>
        <v xml:space="preserve">WILSON                   LUCAS                    </v>
      </c>
      <c r="E8123" t="str">
        <f>"JACKSON                   "</f>
        <v xml:space="preserve">JACKSON                   </v>
      </c>
      <c r="F8123" t="str">
        <f t="shared" si="251"/>
        <v>MS</v>
      </c>
    </row>
    <row r="8124" spans="1:6" x14ac:dyDescent="0.25">
      <c r="A8124" t="str">
        <f>"001326881"</f>
        <v>001326881</v>
      </c>
      <c r="B8124" t="str">
        <f>"1477030062"</f>
        <v>1477030062</v>
      </c>
      <c r="C8124" t="str">
        <f>"363L00000X"</f>
        <v>363L00000X</v>
      </c>
      <c r="D8124" t="str">
        <f>"HOWSE                    MELANIE      R           "</f>
        <v xml:space="preserve">HOWSE                    MELANIE      R           </v>
      </c>
      <c r="E8124" t="str">
        <f>"MERIDIAN                  "</f>
        <v xml:space="preserve">MERIDIAN                  </v>
      </c>
      <c r="F8124" t="str">
        <f t="shared" si="251"/>
        <v>MS</v>
      </c>
    </row>
    <row r="8125" spans="1:6" x14ac:dyDescent="0.25">
      <c r="A8125" t="str">
        <f>"001327701"</f>
        <v>001327701</v>
      </c>
      <c r="B8125" t="str">
        <f>"1366083040"</f>
        <v>1366083040</v>
      </c>
      <c r="C8125" t="str">
        <f>"363L00000X"</f>
        <v>363L00000X</v>
      </c>
      <c r="D8125" t="str">
        <f>"RICHBURG                 KYLA         A           "</f>
        <v xml:space="preserve">RICHBURG                 KYLA         A           </v>
      </c>
      <c r="E8125" t="str">
        <f>"PASCAGOULA                "</f>
        <v xml:space="preserve">PASCAGOULA                </v>
      </c>
      <c r="F8125" t="str">
        <f t="shared" si="251"/>
        <v>MS</v>
      </c>
    </row>
    <row r="8126" spans="1:6" x14ac:dyDescent="0.25">
      <c r="A8126" t="str">
        <f>"001328069"</f>
        <v>001328069</v>
      </c>
      <c r="B8126" t="str">
        <f>"1386284909"</f>
        <v>1386284909</v>
      </c>
      <c r="C8126" t="str">
        <f>"363A00000X"</f>
        <v>363A00000X</v>
      </c>
      <c r="D8126" t="str">
        <f>"JACOBS                   CRESS        S           "</f>
        <v xml:space="preserve">JACOBS                   CRESS        S           </v>
      </c>
      <c r="E8126" t="str">
        <f>"FLOWOOD                   "</f>
        <v xml:space="preserve">FLOWOOD                   </v>
      </c>
      <c r="F8126" t="str">
        <f t="shared" ref="F8126:F8189" si="253">"MS"</f>
        <v>MS</v>
      </c>
    </row>
    <row r="8127" spans="1:6" x14ac:dyDescent="0.25">
      <c r="A8127" t="str">
        <f>"001328565"</f>
        <v>001328565</v>
      </c>
      <c r="B8127" t="str">
        <f>"1043980691"</f>
        <v>1043980691</v>
      </c>
      <c r="C8127" t="str">
        <f>"363L00000X"</f>
        <v>363L00000X</v>
      </c>
      <c r="D8127" t="str">
        <f>"CRAFT                    MICAH        K           "</f>
        <v xml:space="preserve">CRAFT                    MICAH        K           </v>
      </c>
      <c r="E8127" t="str">
        <f>"TYLERTOWN                 "</f>
        <v xml:space="preserve">TYLERTOWN                 </v>
      </c>
      <c r="F8127" t="str">
        <f t="shared" si="253"/>
        <v>MS</v>
      </c>
    </row>
    <row r="8128" spans="1:6" x14ac:dyDescent="0.25">
      <c r="A8128" t="str">
        <f>"001329390"</f>
        <v>001329390</v>
      </c>
      <c r="B8128" t="str">
        <f>"1962844597"</f>
        <v>1962844597</v>
      </c>
      <c r="C8128" t="str">
        <f>"152W00000X"</f>
        <v>152W00000X</v>
      </c>
      <c r="D8128" t="str">
        <f>"FULTON                   AUBREY       V           "</f>
        <v xml:space="preserve">FULTON                   AUBREY       V           </v>
      </c>
      <c r="E8128" t="str">
        <f>"COLUMBIA                  "</f>
        <v xml:space="preserve">COLUMBIA                  </v>
      </c>
      <c r="F8128" t="str">
        <f t="shared" si="253"/>
        <v>MS</v>
      </c>
    </row>
    <row r="8129" spans="1:6" x14ac:dyDescent="0.25">
      <c r="A8129" t="str">
        <f>"001329566"</f>
        <v>001329566</v>
      </c>
      <c r="B8129" t="str">
        <f>"1891159604"</f>
        <v>1891159604</v>
      </c>
      <c r="C8129" t="str">
        <f>"207R00000X"</f>
        <v>207R00000X</v>
      </c>
      <c r="D8129" t="str">
        <f>"TUCKER                   CHRISTOPHER  E           "</f>
        <v xml:space="preserve">TUCKER                   CHRISTOPHER  E           </v>
      </c>
      <c r="E8129" t="str">
        <f>"CORINTH                   "</f>
        <v xml:space="preserve">CORINTH                   </v>
      </c>
      <c r="F8129" t="str">
        <f t="shared" si="253"/>
        <v>MS</v>
      </c>
    </row>
    <row r="8130" spans="1:6" x14ac:dyDescent="0.25">
      <c r="A8130" t="str">
        <f>"001329581"</f>
        <v>001329581</v>
      </c>
      <c r="B8130" t="str">
        <f>"1487116604"</f>
        <v>1487116604</v>
      </c>
      <c r="C8130" t="str">
        <f>"207P00000X"</f>
        <v>207P00000X</v>
      </c>
      <c r="D8130" t="str">
        <f>"BENEKE                   LAURA LEE    S           "</f>
        <v xml:space="preserve">BENEKE                   LAURA LEE    S           </v>
      </c>
      <c r="E8130" t="str">
        <f>"JACKSON                   "</f>
        <v xml:space="preserve">JACKSON                   </v>
      </c>
      <c r="F8130" t="str">
        <f t="shared" si="253"/>
        <v>MS</v>
      </c>
    </row>
    <row r="8131" spans="1:6" x14ac:dyDescent="0.25">
      <c r="A8131" t="str">
        <f>"001329753"</f>
        <v>001329753</v>
      </c>
      <c r="B8131" t="str">
        <f>"1386227320"</f>
        <v>1386227320</v>
      </c>
      <c r="C8131" t="str">
        <f>"363A00000X"</f>
        <v>363A00000X</v>
      </c>
      <c r="D8131" t="str">
        <f>"COX                      JUSTIN       T           "</f>
        <v xml:space="preserve">COX                      JUSTIN       T           </v>
      </c>
      <c r="E8131" t="str">
        <f>"JACKSON                   "</f>
        <v xml:space="preserve">JACKSON                   </v>
      </c>
      <c r="F8131" t="str">
        <f t="shared" si="253"/>
        <v>MS</v>
      </c>
    </row>
    <row r="8132" spans="1:6" x14ac:dyDescent="0.25">
      <c r="A8132" t="str">
        <f>"001334321"</f>
        <v>001334321</v>
      </c>
      <c r="B8132" t="str">
        <f>"1518470780"</f>
        <v>1518470780</v>
      </c>
      <c r="C8132" t="str">
        <f>"363L00000X"</f>
        <v>363L00000X</v>
      </c>
      <c r="D8132" t="str">
        <f>"EICHWURTZLE              ASHLEY       P           "</f>
        <v xml:space="preserve">EICHWURTZLE              ASHLEY       P           </v>
      </c>
      <c r="E8132" t="str">
        <f>"FLOWOOD                   "</f>
        <v xml:space="preserve">FLOWOOD                   </v>
      </c>
      <c r="F8132" t="str">
        <f t="shared" si="253"/>
        <v>MS</v>
      </c>
    </row>
    <row r="8133" spans="1:6" x14ac:dyDescent="0.25">
      <c r="A8133" t="str">
        <f>"001334344"</f>
        <v>001334344</v>
      </c>
      <c r="B8133" t="str">
        <f>"1861663460"</f>
        <v>1861663460</v>
      </c>
      <c r="C8133" t="str">
        <f>"363L00000X"</f>
        <v>363L00000X</v>
      </c>
      <c r="D8133" t="str">
        <f>"LAMBERT                  VICKI        M           "</f>
        <v xml:space="preserve">LAMBERT                  VICKI        M           </v>
      </c>
      <c r="E8133" t="str">
        <f>"BALDWYN                   "</f>
        <v xml:space="preserve">BALDWYN                   </v>
      </c>
      <c r="F8133" t="str">
        <f t="shared" si="253"/>
        <v>MS</v>
      </c>
    </row>
    <row r="8134" spans="1:6" x14ac:dyDescent="0.25">
      <c r="A8134" t="str">
        <f>"001334796"</f>
        <v>001334796</v>
      </c>
      <c r="B8134" t="str">
        <f>"1326620220"</f>
        <v>1326620220</v>
      </c>
      <c r="C8134" t="str">
        <f>"363L00000X"</f>
        <v>363L00000X</v>
      </c>
      <c r="D8134" t="str">
        <f>"BOND                     GARRETT      C           "</f>
        <v xml:space="preserve">BOND                     GARRETT      C           </v>
      </c>
      <c r="E8134" t="str">
        <f>"HATTIESBURG               "</f>
        <v xml:space="preserve">HATTIESBURG               </v>
      </c>
      <c r="F8134" t="str">
        <f t="shared" si="253"/>
        <v>MS</v>
      </c>
    </row>
    <row r="8135" spans="1:6" x14ac:dyDescent="0.25">
      <c r="A8135" t="str">
        <f>"001334882"</f>
        <v>001334882</v>
      </c>
      <c r="B8135" t="str">
        <f>"1205341849"</f>
        <v>1205341849</v>
      </c>
      <c r="C8135" t="str">
        <f>"363L00000X"</f>
        <v>363L00000X</v>
      </c>
      <c r="D8135" t="str">
        <f>"VAUGHN                   JOY          S           "</f>
        <v xml:space="preserve">VAUGHN                   JOY          S           </v>
      </c>
      <c r="E8135" t="str">
        <f>"VICKSBURG                 "</f>
        <v xml:space="preserve">VICKSBURG                 </v>
      </c>
      <c r="F8135" t="str">
        <f t="shared" si="253"/>
        <v>MS</v>
      </c>
    </row>
    <row r="8136" spans="1:6" x14ac:dyDescent="0.25">
      <c r="A8136" t="str">
        <f>"001336372"</f>
        <v>001336372</v>
      </c>
      <c r="B8136" t="str">
        <f>"1134159866"</f>
        <v>1134159866</v>
      </c>
      <c r="C8136" t="str">
        <f>"207V00000X"</f>
        <v>207V00000X</v>
      </c>
      <c r="D8136" t="str">
        <f>"MILAM                    SHELI        D           "</f>
        <v xml:space="preserve">MILAM                    SHELI        D           </v>
      </c>
      <c r="E8136" t="str">
        <f>"OCEAN SPRINGS             "</f>
        <v xml:space="preserve">OCEAN SPRINGS             </v>
      </c>
      <c r="F8136" t="str">
        <f t="shared" si="253"/>
        <v>MS</v>
      </c>
    </row>
    <row r="8137" spans="1:6" x14ac:dyDescent="0.25">
      <c r="A8137" t="str">
        <f>"001337064"</f>
        <v>001337064</v>
      </c>
      <c r="B8137" t="str">
        <f>"1851757413"</f>
        <v>1851757413</v>
      </c>
      <c r="C8137" t="str">
        <f>"363L00000X"</f>
        <v>363L00000X</v>
      </c>
      <c r="D8137" t="str">
        <f>"THORNTON                 KELLIE       J           "</f>
        <v xml:space="preserve">THORNTON                 KELLIE       J           </v>
      </c>
      <c r="E8137" t="str">
        <f>"TUPELO                    "</f>
        <v xml:space="preserve">TUPELO                    </v>
      </c>
      <c r="F8137" t="str">
        <f t="shared" si="253"/>
        <v>MS</v>
      </c>
    </row>
    <row r="8138" spans="1:6" x14ac:dyDescent="0.25">
      <c r="A8138" t="str">
        <f>"001337887"</f>
        <v>001337887</v>
      </c>
      <c r="B8138" t="str">
        <f>"1235692302"</f>
        <v>1235692302</v>
      </c>
      <c r="C8138" t="str">
        <f>"207P00000X"</f>
        <v>207P00000X</v>
      </c>
      <c r="D8138" t="str">
        <f>"TREADWAY                 BRENT        A           "</f>
        <v xml:space="preserve">TREADWAY                 BRENT        A           </v>
      </c>
      <c r="E8138" t="str">
        <f>"JACKSON                   "</f>
        <v xml:space="preserve">JACKSON                   </v>
      </c>
      <c r="F8138" t="str">
        <f t="shared" si="253"/>
        <v>MS</v>
      </c>
    </row>
    <row r="8139" spans="1:6" x14ac:dyDescent="0.25">
      <c r="A8139" t="str">
        <f>"001338257"</f>
        <v>001338257</v>
      </c>
      <c r="B8139" t="str">
        <f>"1134719743"</f>
        <v>1134719743</v>
      </c>
      <c r="C8139" t="str">
        <f>"363L00000X"</f>
        <v>363L00000X</v>
      </c>
      <c r="D8139" t="str">
        <f>"ROBERTS                  JADE         A           "</f>
        <v xml:space="preserve">ROBERTS                  JADE         A           </v>
      </c>
      <c r="E8139" t="str">
        <f>"CLINTON                   "</f>
        <v xml:space="preserve">CLINTON                   </v>
      </c>
      <c r="F8139" t="str">
        <f t="shared" si="253"/>
        <v>MS</v>
      </c>
    </row>
    <row r="8140" spans="1:6" x14ac:dyDescent="0.25">
      <c r="A8140" t="str">
        <f>"001338520"</f>
        <v>001338520</v>
      </c>
      <c r="B8140" t="str">
        <f>"1659607232"</f>
        <v>1659607232</v>
      </c>
      <c r="C8140" t="str">
        <f>"363L00000X"</f>
        <v>363L00000X</v>
      </c>
      <c r="D8140" t="str">
        <f>"FOSTER                   CINNAMON     C           "</f>
        <v xml:space="preserve">FOSTER                   CINNAMON     C           </v>
      </c>
      <c r="E8140" t="str">
        <f>"WATER VALLEY              "</f>
        <v xml:space="preserve">WATER VALLEY              </v>
      </c>
      <c r="F8140" t="str">
        <f t="shared" si="253"/>
        <v>MS</v>
      </c>
    </row>
    <row r="8141" spans="1:6" x14ac:dyDescent="0.25">
      <c r="A8141" t="str">
        <f>"001338820"</f>
        <v>001338820</v>
      </c>
      <c r="B8141" t="str">
        <f>"1720247950"</f>
        <v>1720247950</v>
      </c>
      <c r="C8141" t="str">
        <f>"207P00000X"</f>
        <v>207P00000X</v>
      </c>
      <c r="D8141" t="str">
        <f>"SNODGRESS                ALEXANDER                "</f>
        <v xml:space="preserve">SNODGRESS                ALEXANDER                </v>
      </c>
      <c r="E8141" t="str">
        <f>"CARTHAGE                  "</f>
        <v xml:space="preserve">CARTHAGE                  </v>
      </c>
      <c r="F8141" t="str">
        <f t="shared" si="253"/>
        <v>MS</v>
      </c>
    </row>
    <row r="8142" spans="1:6" x14ac:dyDescent="0.25">
      <c r="A8142" t="str">
        <f>"001338861"</f>
        <v>001338861</v>
      </c>
      <c r="B8142" t="str">
        <f>"1013058536"</f>
        <v>1013058536</v>
      </c>
      <c r="C8142" t="str">
        <f>"207L00000X"</f>
        <v>207L00000X</v>
      </c>
      <c r="D8142" t="str">
        <f>"KING                     JOSEPH       D           "</f>
        <v xml:space="preserve">KING                     JOSEPH       D           </v>
      </c>
      <c r="E8142" t="str">
        <f>"JACKSON                   "</f>
        <v xml:space="preserve">JACKSON                   </v>
      </c>
      <c r="F8142" t="str">
        <f t="shared" si="253"/>
        <v>MS</v>
      </c>
    </row>
    <row r="8143" spans="1:6" x14ac:dyDescent="0.25">
      <c r="A8143" t="str">
        <f>"001339557"</f>
        <v>001339557</v>
      </c>
      <c r="B8143" t="str">
        <f>"1376576884"</f>
        <v>1376576884</v>
      </c>
      <c r="C8143" t="str">
        <f>"152W00000X"</f>
        <v>152W00000X</v>
      </c>
      <c r="D8143" t="str">
        <f>"DESOTO EYECARE, INC.                              "</f>
        <v xml:space="preserve">DESOTO EYECARE, INC.                              </v>
      </c>
      <c r="E8143" t="str">
        <f>"SOUTHAVEN                 "</f>
        <v xml:space="preserve">SOUTHAVEN                 </v>
      </c>
      <c r="F8143" t="str">
        <f t="shared" si="253"/>
        <v>MS</v>
      </c>
    </row>
    <row r="8144" spans="1:6" x14ac:dyDescent="0.25">
      <c r="A8144" t="str">
        <f>"001353809"</f>
        <v>001353809</v>
      </c>
      <c r="B8144" t="str">
        <f>"1952814469"</f>
        <v>1952814469</v>
      </c>
      <c r="C8144" t="str">
        <f>"261QF0400X"</f>
        <v>261QF0400X</v>
      </c>
      <c r="D8144" t="str">
        <f>"SEMRHI SUPPORT SERVICES CENTER                    "</f>
        <v xml:space="preserve">SEMRHI SUPPORT SERVICES CENTER                    </v>
      </c>
      <c r="E8144" t="str">
        <f>"HATTIESBURG               "</f>
        <v xml:space="preserve">HATTIESBURG               </v>
      </c>
      <c r="F8144" t="str">
        <f t="shared" si="253"/>
        <v>MS</v>
      </c>
    </row>
    <row r="8145" spans="1:6" x14ac:dyDescent="0.25">
      <c r="A8145" t="str">
        <f>"001353850"</f>
        <v>001353850</v>
      </c>
      <c r="B8145" t="str">
        <f>"1336789387"</f>
        <v>1336789387</v>
      </c>
      <c r="C8145" t="str">
        <f>"363L00000X"</f>
        <v>363L00000X</v>
      </c>
      <c r="D8145" t="str">
        <f>"BRILEY                   MICHELLE     G           "</f>
        <v xml:space="preserve">BRILEY                   MICHELLE     G           </v>
      </c>
      <c r="E8145" t="str">
        <f>"ABERDEEN                  "</f>
        <v xml:space="preserve">ABERDEEN                  </v>
      </c>
      <c r="F8145" t="str">
        <f t="shared" si="253"/>
        <v>MS</v>
      </c>
    </row>
    <row r="8146" spans="1:6" x14ac:dyDescent="0.25">
      <c r="A8146" t="str">
        <f>"001354355"</f>
        <v>001354355</v>
      </c>
      <c r="B8146" t="str">
        <f>"1013283688"</f>
        <v>1013283688</v>
      </c>
      <c r="C8146" t="str">
        <f>"261QA0600X"</f>
        <v>261QA0600X</v>
      </c>
      <c r="D8146" t="str">
        <f>"PORT CITY ADULT DAYCARE INC                       "</f>
        <v xml:space="preserve">PORT CITY ADULT DAYCARE INC                       </v>
      </c>
      <c r="E8146" t="str">
        <f>"GREENVILLE                "</f>
        <v xml:space="preserve">GREENVILLE                </v>
      </c>
      <c r="F8146" t="str">
        <f t="shared" si="253"/>
        <v>MS</v>
      </c>
    </row>
    <row r="8147" spans="1:6" x14ac:dyDescent="0.25">
      <c r="A8147" t="str">
        <f>"001354773"</f>
        <v>001354773</v>
      </c>
      <c r="B8147" t="str">
        <f>"1538297593"</f>
        <v>1538297593</v>
      </c>
      <c r="C8147" t="str">
        <f>"207R00000X"</f>
        <v>207R00000X</v>
      </c>
      <c r="D8147" t="str">
        <f>"ROBERTSON                DONALD       C           "</f>
        <v xml:space="preserve">ROBERTSON                DONALD       C           </v>
      </c>
      <c r="E8147" t="str">
        <f>"IUKA                      "</f>
        <v xml:space="preserve">IUKA                      </v>
      </c>
      <c r="F8147" t="str">
        <f t="shared" si="253"/>
        <v>MS</v>
      </c>
    </row>
    <row r="8148" spans="1:6" x14ac:dyDescent="0.25">
      <c r="A8148" t="str">
        <f>"001355079"</f>
        <v>001355079</v>
      </c>
      <c r="B8148" t="str">
        <f>"1366708778"</f>
        <v>1366708778</v>
      </c>
      <c r="C8148" t="str">
        <f>"207V00000X"</f>
        <v>207V00000X</v>
      </c>
      <c r="D8148" t="str">
        <f>"VU                       ANH          P           "</f>
        <v xml:space="preserve">VU                       ANH          P           </v>
      </c>
      <c r="E8148" t="str">
        <f>"MCCOMB                    "</f>
        <v xml:space="preserve">MCCOMB                    </v>
      </c>
      <c r="F8148" t="str">
        <f t="shared" si="253"/>
        <v>MS</v>
      </c>
    </row>
    <row r="8149" spans="1:6" x14ac:dyDescent="0.25">
      <c r="A8149" t="str">
        <f>"001356059"</f>
        <v>001356059</v>
      </c>
      <c r="B8149" t="str">
        <f>"1114538527"</f>
        <v>1114538527</v>
      </c>
      <c r="C8149" t="str">
        <f>"152W00000X"</f>
        <v>152W00000X</v>
      </c>
      <c r="D8149" t="str">
        <f>"MARTIN                   LAUREN       E           "</f>
        <v xml:space="preserve">MARTIN                   LAUREN       E           </v>
      </c>
      <c r="E8149" t="str">
        <f>"PASCAGOULA                "</f>
        <v xml:space="preserve">PASCAGOULA                </v>
      </c>
      <c r="F8149" t="str">
        <f t="shared" si="253"/>
        <v>MS</v>
      </c>
    </row>
    <row r="8150" spans="1:6" x14ac:dyDescent="0.25">
      <c r="A8150" t="str">
        <f>"001356261"</f>
        <v>001356261</v>
      </c>
      <c r="B8150" t="str">
        <f>"1184806150"</f>
        <v>1184806150</v>
      </c>
      <c r="C8150" t="str">
        <f>"363L00000X"</f>
        <v>363L00000X</v>
      </c>
      <c r="D8150" t="str">
        <f>"WILLIAMS                 MARY         A           "</f>
        <v xml:space="preserve">WILLIAMS                 MARY         A           </v>
      </c>
      <c r="E8150" t="str">
        <f>"CLARKSDALE                "</f>
        <v xml:space="preserve">CLARKSDALE                </v>
      </c>
      <c r="F8150" t="str">
        <f t="shared" si="253"/>
        <v>MS</v>
      </c>
    </row>
    <row r="8151" spans="1:6" x14ac:dyDescent="0.25">
      <c r="A8151" t="str">
        <f>"001357572"</f>
        <v>001357572</v>
      </c>
      <c r="B8151" t="str">
        <f>"1689605826"</f>
        <v>1689605826</v>
      </c>
      <c r="C8151" t="str">
        <f>"261QA1903X"</f>
        <v>261QA1903X</v>
      </c>
      <c r="D8151" t="str">
        <f>"LAUREL SURGERY &amp; ENDOSCOPY CTR LLC                "</f>
        <v xml:space="preserve">LAUREL SURGERY &amp; ENDOSCOPY CTR LLC                </v>
      </c>
      <c r="E8151" t="str">
        <f>"LAUREL                    "</f>
        <v xml:space="preserve">LAUREL                    </v>
      </c>
      <c r="F8151" t="str">
        <f t="shared" si="253"/>
        <v>MS</v>
      </c>
    </row>
    <row r="8152" spans="1:6" x14ac:dyDescent="0.25">
      <c r="A8152" t="str">
        <f>"001357700"</f>
        <v>001357700</v>
      </c>
      <c r="B8152" t="str">
        <f>"1013559426"</f>
        <v>1013559426</v>
      </c>
      <c r="C8152" t="str">
        <f>"363L00000X"</f>
        <v>363L00000X</v>
      </c>
      <c r="D8152" t="str">
        <f>"MCGEE                    JESSICA                  "</f>
        <v xml:space="preserve">MCGEE                    JESSICA                  </v>
      </c>
      <c r="E8152" t="str">
        <f>"CHARLESTON                "</f>
        <v xml:space="preserve">CHARLESTON                </v>
      </c>
      <c r="F8152" t="str">
        <f t="shared" si="253"/>
        <v>MS</v>
      </c>
    </row>
    <row r="8153" spans="1:6" x14ac:dyDescent="0.25">
      <c r="A8153" t="str">
        <f>"001359781"</f>
        <v>001359781</v>
      </c>
      <c r="B8153" t="str">
        <f>"1720281694"</f>
        <v>1720281694</v>
      </c>
      <c r="C8153" t="str">
        <f>"122300000X"</f>
        <v>122300000X</v>
      </c>
      <c r="D8153" t="str">
        <f>"HUXFORD                  MARY         P           "</f>
        <v xml:space="preserve">HUXFORD                  MARY         P           </v>
      </c>
      <c r="E8153" t="str">
        <f>"STARKVILLE                "</f>
        <v xml:space="preserve">STARKVILLE                </v>
      </c>
      <c r="F8153" t="str">
        <f t="shared" si="253"/>
        <v>MS</v>
      </c>
    </row>
    <row r="8154" spans="1:6" x14ac:dyDescent="0.25">
      <c r="A8154" t="str">
        <f>"001371061"</f>
        <v>001371061</v>
      </c>
      <c r="B8154" t="str">
        <f>"1922074806"</f>
        <v>1922074806</v>
      </c>
      <c r="C8154" t="str">
        <f>"207Q00000X"</f>
        <v>207Q00000X</v>
      </c>
      <c r="D8154" t="str">
        <f>"JACKSON                  JOSEPH       F           "</f>
        <v xml:space="preserve">JACKSON                  JOSEPH       F           </v>
      </c>
      <c r="E8154" t="str">
        <f>"OKOLONA                   "</f>
        <v xml:space="preserve">OKOLONA                   </v>
      </c>
      <c r="F8154" t="str">
        <f t="shared" si="253"/>
        <v>MS</v>
      </c>
    </row>
    <row r="8155" spans="1:6" x14ac:dyDescent="0.25">
      <c r="A8155" t="str">
        <f>"001371312"</f>
        <v>001371312</v>
      </c>
      <c r="B8155" t="str">
        <f>"1790318608"</f>
        <v>1790318608</v>
      </c>
      <c r="C8155" t="str">
        <f>"122300000X"</f>
        <v>122300000X</v>
      </c>
      <c r="D8155" t="str">
        <f>"SMILE STRAIGHT ORTHODONTICS                       "</f>
        <v xml:space="preserve">SMILE STRAIGHT ORTHODONTICS                       </v>
      </c>
      <c r="E8155" t="str">
        <f>"MERIDIAN                  "</f>
        <v xml:space="preserve">MERIDIAN                  </v>
      </c>
      <c r="F8155" t="str">
        <f t="shared" si="253"/>
        <v>MS</v>
      </c>
    </row>
    <row r="8156" spans="1:6" x14ac:dyDescent="0.25">
      <c r="A8156" t="str">
        <f>"001372214"</f>
        <v>001372214</v>
      </c>
      <c r="B8156" t="str">
        <f>"1891249389"</f>
        <v>1891249389</v>
      </c>
      <c r="C8156" t="str">
        <f>"363L00000X"</f>
        <v>363L00000X</v>
      </c>
      <c r="D8156" t="str">
        <f>"HILL                     AMBER                    "</f>
        <v xml:space="preserve">HILL                     AMBER                    </v>
      </c>
      <c r="E8156" t="str">
        <f>"FLOWOOD                   "</f>
        <v xml:space="preserve">FLOWOOD                   </v>
      </c>
      <c r="F8156" t="str">
        <f t="shared" si="253"/>
        <v>MS</v>
      </c>
    </row>
    <row r="8157" spans="1:6" x14ac:dyDescent="0.25">
      <c r="A8157" t="str">
        <f>"001374059"</f>
        <v>001374059</v>
      </c>
      <c r="B8157" t="str">
        <f>"1013096825"</f>
        <v>1013096825</v>
      </c>
      <c r="C8157" t="str">
        <f>"152W00000X"</f>
        <v>152W00000X</v>
      </c>
      <c r="D8157" t="str">
        <f>"LOOSE                    GREGORY      D           "</f>
        <v xml:space="preserve">LOOSE                    GREGORY      D           </v>
      </c>
      <c r="E8157" t="str">
        <f>"WIGGINS                   "</f>
        <v xml:space="preserve">WIGGINS                   </v>
      </c>
      <c r="F8157" t="str">
        <f t="shared" si="253"/>
        <v>MS</v>
      </c>
    </row>
    <row r="8158" spans="1:6" x14ac:dyDescent="0.25">
      <c r="A8158" t="str">
        <f>"001374098"</f>
        <v>001374098</v>
      </c>
      <c r="B8158" t="str">
        <f>"1578655767"</f>
        <v>1578655767</v>
      </c>
      <c r="C8158" t="str">
        <f>"122300000X"</f>
        <v>122300000X</v>
      </c>
      <c r="D8158" t="str">
        <f>"KEEL JR                  M BERT                   "</f>
        <v xml:space="preserve">KEEL JR                  M BERT                   </v>
      </c>
      <c r="E8158" t="str">
        <f>"BAY ST LOUIS              "</f>
        <v xml:space="preserve">BAY ST LOUIS              </v>
      </c>
      <c r="F8158" t="str">
        <f t="shared" si="253"/>
        <v>MS</v>
      </c>
    </row>
    <row r="8159" spans="1:6" x14ac:dyDescent="0.25">
      <c r="A8159" t="str">
        <f>"001374519"</f>
        <v>001374519</v>
      </c>
      <c r="B8159" t="str">
        <f>"1760430029"</f>
        <v>1760430029</v>
      </c>
      <c r="C8159" t="str">
        <f>"2085R0202X"</f>
        <v>2085R0202X</v>
      </c>
      <c r="D8159" t="str">
        <f>"LESCHAK                  STEPHEN      A           "</f>
        <v xml:space="preserve">LESCHAK                  STEPHEN      A           </v>
      </c>
      <c r="E8159" t="str">
        <f>"JACKSON                   "</f>
        <v xml:space="preserve">JACKSON                   </v>
      </c>
      <c r="F8159" t="str">
        <f t="shared" si="253"/>
        <v>MS</v>
      </c>
    </row>
    <row r="8160" spans="1:6" x14ac:dyDescent="0.25">
      <c r="A8160" t="str">
        <f>"001375274"</f>
        <v>001375274</v>
      </c>
      <c r="B8160" t="str">
        <f>"1619186541"</f>
        <v>1619186541</v>
      </c>
      <c r="C8160" t="str">
        <f>"208000000X"</f>
        <v>208000000X</v>
      </c>
      <c r="D8160" t="str">
        <f>"DIDION                   LISA         A           "</f>
        <v xml:space="preserve">DIDION                   LISA         A           </v>
      </c>
      <c r="E8160" t="str">
        <f>"JACKSON                   "</f>
        <v xml:space="preserve">JACKSON                   </v>
      </c>
      <c r="F8160" t="str">
        <f t="shared" si="253"/>
        <v>MS</v>
      </c>
    </row>
    <row r="8161" spans="1:6" x14ac:dyDescent="0.25">
      <c r="A8161" t="str">
        <f>"001375761"</f>
        <v>001375761</v>
      </c>
      <c r="B8161" t="str">
        <f>"1598299810"</f>
        <v>1598299810</v>
      </c>
      <c r="C8161" t="str">
        <f>"207W00000X"</f>
        <v>207W00000X</v>
      </c>
      <c r="D8161" t="str">
        <f>"TUCKER                   WADE                     "</f>
        <v xml:space="preserve">TUCKER                   WADE                     </v>
      </c>
      <c r="E8161" t="str">
        <f>"HATTIESBURG               "</f>
        <v xml:space="preserve">HATTIESBURG               </v>
      </c>
      <c r="F8161" t="str">
        <f t="shared" si="253"/>
        <v>MS</v>
      </c>
    </row>
    <row r="8162" spans="1:6" x14ac:dyDescent="0.25">
      <c r="A8162" t="str">
        <f>"001377283"</f>
        <v>001377283</v>
      </c>
      <c r="B8162" t="str">
        <f>"1275761900"</f>
        <v>1275761900</v>
      </c>
      <c r="C8162" t="str">
        <f>"207P00000X"</f>
        <v>207P00000X</v>
      </c>
      <c r="D8162" t="str">
        <f>"PATEL                    NEAL         N           "</f>
        <v xml:space="preserve">PATEL                    NEAL         N           </v>
      </c>
      <c r="E8162" t="str">
        <f>"TUPELO                    "</f>
        <v xml:space="preserve">TUPELO                    </v>
      </c>
      <c r="F8162" t="str">
        <f t="shared" si="253"/>
        <v>MS</v>
      </c>
    </row>
    <row r="8163" spans="1:6" x14ac:dyDescent="0.25">
      <c r="A8163" t="str">
        <f>"001377321"</f>
        <v>001377321</v>
      </c>
      <c r="B8163" t="str">
        <f>"1154722569"</f>
        <v>1154722569</v>
      </c>
      <c r="C8163" t="str">
        <f>"363L00000X"</f>
        <v>363L00000X</v>
      </c>
      <c r="D8163" t="str">
        <f>"ROBERTS                  CHRISTINE    H           "</f>
        <v xml:space="preserve">ROBERTS                  CHRISTINE    H           </v>
      </c>
      <c r="E8163" t="str">
        <f>"JACKSON                   "</f>
        <v xml:space="preserve">JACKSON                   </v>
      </c>
      <c r="F8163" t="str">
        <f t="shared" si="253"/>
        <v>MS</v>
      </c>
    </row>
    <row r="8164" spans="1:6" x14ac:dyDescent="0.25">
      <c r="A8164" t="str">
        <f>"001380410"</f>
        <v>001380410</v>
      </c>
      <c r="B8164" t="str">
        <f>"1013115088"</f>
        <v>1013115088</v>
      </c>
      <c r="C8164" t="str">
        <f>"207V00000X"</f>
        <v>207V00000X</v>
      </c>
      <c r="D8164" t="str">
        <f>"CANIZARO                 ASHLEY       M           "</f>
        <v xml:space="preserve">CANIZARO                 ASHLEY       M           </v>
      </c>
      <c r="E8164" t="str">
        <f>"JACKSON                   "</f>
        <v xml:space="preserve">JACKSON                   </v>
      </c>
      <c r="F8164" t="str">
        <f t="shared" si="253"/>
        <v>MS</v>
      </c>
    </row>
    <row r="8165" spans="1:6" x14ac:dyDescent="0.25">
      <c r="A8165" t="str">
        <f>"001381553"</f>
        <v>001381553</v>
      </c>
      <c r="B8165" t="str">
        <f>"1396951620"</f>
        <v>1396951620</v>
      </c>
      <c r="C8165" t="str">
        <f>"208600000X"</f>
        <v>208600000X</v>
      </c>
      <c r="D8165" t="str">
        <f>"CULNAN                   DEREK        M           "</f>
        <v xml:space="preserve">CULNAN                   DEREK        M           </v>
      </c>
      <c r="E8165" t="str">
        <f>"JACKSON                   "</f>
        <v xml:space="preserve">JACKSON                   </v>
      </c>
      <c r="F8165" t="str">
        <f t="shared" si="253"/>
        <v>MS</v>
      </c>
    </row>
    <row r="8166" spans="1:6" x14ac:dyDescent="0.25">
      <c r="A8166" t="str">
        <f>"001382599"</f>
        <v>001382599</v>
      </c>
      <c r="B8166" t="str">
        <f>"1679095772"</f>
        <v>1679095772</v>
      </c>
      <c r="C8166" t="str">
        <f>"207RE0101X"</f>
        <v>207RE0101X</v>
      </c>
      <c r="D8166" t="str">
        <f>"NALLA                    RAVEENA                  "</f>
        <v xml:space="preserve">NALLA                    RAVEENA                  </v>
      </c>
      <c r="E8166" t="str">
        <f>"OXFORD                    "</f>
        <v xml:space="preserve">OXFORD                    </v>
      </c>
      <c r="F8166" t="str">
        <f t="shared" si="253"/>
        <v>MS</v>
      </c>
    </row>
    <row r="8167" spans="1:6" x14ac:dyDescent="0.25">
      <c r="A8167" t="str">
        <f>"001382721"</f>
        <v>001382721</v>
      </c>
      <c r="B8167" t="str">
        <f>"1235694191"</f>
        <v>1235694191</v>
      </c>
      <c r="C8167" t="str">
        <f>"261QM1300X"</f>
        <v>261QM1300X</v>
      </c>
      <c r="D8167" t="str">
        <f>"JOAN S WALDROUP LCSW PLLC                         "</f>
        <v xml:space="preserve">JOAN S WALDROUP LCSW PLLC                         </v>
      </c>
      <c r="E8167" t="str">
        <f>"BILOXI                    "</f>
        <v xml:space="preserve">BILOXI                    </v>
      </c>
      <c r="F8167" t="str">
        <f t="shared" si="253"/>
        <v>MS</v>
      </c>
    </row>
    <row r="8168" spans="1:6" x14ac:dyDescent="0.25">
      <c r="A8168" t="str">
        <f>"001384321"</f>
        <v>001384321</v>
      </c>
      <c r="B8168" t="str">
        <f>"1114280591"</f>
        <v>1114280591</v>
      </c>
      <c r="C8168" t="str">
        <f>"207Q00000X"</f>
        <v>207Q00000X</v>
      </c>
      <c r="D8168" t="str">
        <f>"HALL                     RASHEEDA     C           "</f>
        <v xml:space="preserve">HALL                     RASHEEDA     C           </v>
      </c>
      <c r="E8168" t="str">
        <f>"LIBERTY                   "</f>
        <v xml:space="preserve">LIBERTY                   </v>
      </c>
      <c r="F8168" t="str">
        <f t="shared" si="253"/>
        <v>MS</v>
      </c>
    </row>
    <row r="8169" spans="1:6" x14ac:dyDescent="0.25">
      <c r="A8169" t="str">
        <f>"001386207"</f>
        <v>001386207</v>
      </c>
      <c r="B8169" t="str">
        <f>"1568667723"</f>
        <v>1568667723</v>
      </c>
      <c r="C8169" t="str">
        <f>"208000000X"</f>
        <v>208000000X</v>
      </c>
      <c r="D8169" t="str">
        <f>"FOWLER                   BLAKLEY      A           "</f>
        <v xml:space="preserve">FOWLER                   BLAKLEY      A           </v>
      </c>
      <c r="E8169" t="str">
        <f>"CORINTH                   "</f>
        <v xml:space="preserve">CORINTH                   </v>
      </c>
      <c r="F8169" t="str">
        <f t="shared" si="253"/>
        <v>MS</v>
      </c>
    </row>
    <row r="8170" spans="1:6" x14ac:dyDescent="0.25">
      <c r="A8170" t="str">
        <f>"001386328"</f>
        <v>001386328</v>
      </c>
      <c r="B8170" t="str">
        <f>"1861902660"</f>
        <v>1861902660</v>
      </c>
      <c r="C8170" t="str">
        <f>"207P00000X"</f>
        <v>207P00000X</v>
      </c>
      <c r="D8170" t="str">
        <f>"JOHNSTON                 ADAM                     "</f>
        <v xml:space="preserve">JOHNSTON                 ADAM                     </v>
      </c>
      <c r="E8170" t="str">
        <f>"SENATOBIA                 "</f>
        <v xml:space="preserve">SENATOBIA                 </v>
      </c>
      <c r="F8170" t="str">
        <f t="shared" si="253"/>
        <v>MS</v>
      </c>
    </row>
    <row r="8171" spans="1:6" x14ac:dyDescent="0.25">
      <c r="A8171" t="str">
        <f>"001386537"</f>
        <v>001386537</v>
      </c>
      <c r="B8171" t="str">
        <f>"1801153705"</f>
        <v>1801153705</v>
      </c>
      <c r="C8171" t="str">
        <f>"207R00000X"</f>
        <v>207R00000X</v>
      </c>
      <c r="D8171" t="str">
        <f>"YAHYA                    FAZAL                    "</f>
        <v xml:space="preserve">YAHYA                    FAZAL                    </v>
      </c>
      <c r="E8171" t="str">
        <f>"SOUTHAVEN                 "</f>
        <v xml:space="preserve">SOUTHAVEN                 </v>
      </c>
      <c r="F8171" t="str">
        <f t="shared" si="253"/>
        <v>MS</v>
      </c>
    </row>
    <row r="8172" spans="1:6" x14ac:dyDescent="0.25">
      <c r="A8172" t="str">
        <f>"001386556"</f>
        <v>001386556</v>
      </c>
      <c r="B8172" t="str">
        <f>"1215432463"</f>
        <v>1215432463</v>
      </c>
      <c r="C8172" t="str">
        <f>"122300000X"</f>
        <v>122300000X</v>
      </c>
      <c r="D8172" t="str">
        <f>"SMILE COUNTRY ORTHODONTICS                        "</f>
        <v xml:space="preserve">SMILE COUNTRY ORTHODONTICS                        </v>
      </c>
      <c r="E8172" t="str">
        <f>"LAUREL                    "</f>
        <v xml:space="preserve">LAUREL                    </v>
      </c>
      <c r="F8172" t="str">
        <f t="shared" si="253"/>
        <v>MS</v>
      </c>
    </row>
    <row r="8173" spans="1:6" x14ac:dyDescent="0.25">
      <c r="A8173" t="str">
        <f>"001386766"</f>
        <v>001386766</v>
      </c>
      <c r="B8173" t="str">
        <f>"1295173508"</f>
        <v>1295173508</v>
      </c>
      <c r="C8173" t="str">
        <f>"363A00000X"</f>
        <v>363A00000X</v>
      </c>
      <c r="D8173" t="str">
        <f>"MCALPIN                  LINDSAY      J           "</f>
        <v xml:space="preserve">MCALPIN                  LINDSAY      J           </v>
      </c>
      <c r="E8173" t="str">
        <f>"JACKSON                   "</f>
        <v xml:space="preserve">JACKSON                   </v>
      </c>
      <c r="F8173" t="str">
        <f t="shared" si="253"/>
        <v>MS</v>
      </c>
    </row>
    <row r="8174" spans="1:6" x14ac:dyDescent="0.25">
      <c r="A8174" t="str">
        <f>"001387076"</f>
        <v>001387076</v>
      </c>
      <c r="B8174" t="str">
        <f>"1912647728"</f>
        <v>1912647728</v>
      </c>
      <c r="C8174" t="str">
        <f>"208000000X"</f>
        <v>208000000X</v>
      </c>
      <c r="D8174" t="str">
        <f>"EDWARDS                  LACI         M           "</f>
        <v xml:space="preserve">EDWARDS                  LACI         M           </v>
      </c>
      <c r="E8174" t="str">
        <f>"JACKSON                   "</f>
        <v xml:space="preserve">JACKSON                   </v>
      </c>
      <c r="F8174" t="str">
        <f t="shared" si="253"/>
        <v>MS</v>
      </c>
    </row>
    <row r="8175" spans="1:6" x14ac:dyDescent="0.25">
      <c r="A8175" t="str">
        <f>"001388221"</f>
        <v>001388221</v>
      </c>
      <c r="B8175" t="str">
        <f>"1538655717"</f>
        <v>1538655717</v>
      </c>
      <c r="C8175" t="str">
        <f>"363L00000X"</f>
        <v>363L00000X</v>
      </c>
      <c r="D8175" t="str">
        <f>"MUIRHEAD                 RICHARD      L           "</f>
        <v xml:space="preserve">MUIRHEAD                 RICHARD      L           </v>
      </c>
      <c r="E8175" t="str">
        <f>"GULFPORT                  "</f>
        <v xml:space="preserve">GULFPORT                  </v>
      </c>
      <c r="F8175" t="str">
        <f t="shared" si="253"/>
        <v>MS</v>
      </c>
    </row>
    <row r="8176" spans="1:6" x14ac:dyDescent="0.25">
      <c r="A8176" t="str">
        <f>"001389094"</f>
        <v>001389094</v>
      </c>
      <c r="B8176" t="str">
        <f>"1396842027"</f>
        <v>1396842027</v>
      </c>
      <c r="C8176" t="str">
        <f>"261QF0400X"</f>
        <v>261QF0400X</v>
      </c>
      <c r="D8176" t="str">
        <f>"OKTIBBEHA FAMILY MEDICAL CENTER                   "</f>
        <v xml:space="preserve">OKTIBBEHA FAMILY MEDICAL CENTER                   </v>
      </c>
      <c r="E8176" t="str">
        <f>"STARKVILLE                "</f>
        <v xml:space="preserve">STARKVILLE                </v>
      </c>
      <c r="F8176" t="str">
        <f t="shared" si="253"/>
        <v>MS</v>
      </c>
    </row>
    <row r="8177" spans="1:6" x14ac:dyDescent="0.25">
      <c r="A8177" t="str">
        <f>"001400061"</f>
        <v>001400061</v>
      </c>
      <c r="B8177" t="str">
        <f>"1770055279"</f>
        <v>1770055279</v>
      </c>
      <c r="C8177" t="str">
        <f>"367500000X"</f>
        <v>367500000X</v>
      </c>
      <c r="D8177" t="str">
        <f>"NOWELL                   MADISON      C           "</f>
        <v xml:space="preserve">NOWELL                   MADISON      C           </v>
      </c>
      <c r="E8177" t="str">
        <f>"JACKSON                   "</f>
        <v xml:space="preserve">JACKSON                   </v>
      </c>
      <c r="F8177" t="str">
        <f t="shared" si="253"/>
        <v>MS</v>
      </c>
    </row>
    <row r="8178" spans="1:6" x14ac:dyDescent="0.25">
      <c r="A8178" t="str">
        <f>"001401770"</f>
        <v>001401770</v>
      </c>
      <c r="B8178" t="str">
        <f>"1407115397"</f>
        <v>1407115397</v>
      </c>
      <c r="C8178" t="str">
        <f>"207ZP0102X"</f>
        <v>207ZP0102X</v>
      </c>
      <c r="D8178" t="str">
        <f>"JONES                    JASON        K           "</f>
        <v xml:space="preserve">JONES                    JASON        K           </v>
      </c>
      <c r="E8178" t="str">
        <f>"FLOWOOD                   "</f>
        <v xml:space="preserve">FLOWOOD                   </v>
      </c>
      <c r="F8178" t="str">
        <f t="shared" si="253"/>
        <v>MS</v>
      </c>
    </row>
    <row r="8179" spans="1:6" x14ac:dyDescent="0.25">
      <c r="A8179" t="str">
        <f>"001404828"</f>
        <v>001404828</v>
      </c>
      <c r="B8179" t="str">
        <f>"1891357588"</f>
        <v>1891357588</v>
      </c>
      <c r="C8179" t="str">
        <f>"363L00000X"</f>
        <v>363L00000X</v>
      </c>
      <c r="D8179" t="str">
        <f>"BOYD                     DYLAN        W           "</f>
        <v xml:space="preserve">BOYD                     DYLAN        W           </v>
      </c>
      <c r="E8179" t="str">
        <f>"HATTIESBURG               "</f>
        <v xml:space="preserve">HATTIESBURG               </v>
      </c>
      <c r="F8179" t="str">
        <f t="shared" si="253"/>
        <v>MS</v>
      </c>
    </row>
    <row r="8180" spans="1:6" x14ac:dyDescent="0.25">
      <c r="A8180" t="str">
        <f>"001407213"</f>
        <v>001407213</v>
      </c>
      <c r="B8180" t="str">
        <f>"1750843710"</f>
        <v>1750843710</v>
      </c>
      <c r="C8180" t="str">
        <f>"207Q00000X"</f>
        <v>207Q00000X</v>
      </c>
      <c r="D8180" t="str">
        <f>"BOONE                    MEGUMI       D           "</f>
        <v xml:space="preserve">BOONE                    MEGUMI       D           </v>
      </c>
      <c r="E8180" t="str">
        <f>"SEMINARY                  "</f>
        <v xml:space="preserve">SEMINARY                  </v>
      </c>
      <c r="F8180" t="str">
        <f t="shared" si="253"/>
        <v>MS</v>
      </c>
    </row>
    <row r="8181" spans="1:6" x14ac:dyDescent="0.25">
      <c r="A8181" t="str">
        <f>"001407364"</f>
        <v>001407364</v>
      </c>
      <c r="B8181" t="str">
        <f>"1023420478"</f>
        <v>1023420478</v>
      </c>
      <c r="C8181" t="str">
        <f>"207L00000X"</f>
        <v>207L00000X</v>
      </c>
      <c r="D8181" t="str">
        <f>"SPRUILL                  KRISTEN      S           "</f>
        <v xml:space="preserve">SPRUILL                  KRISTEN      S           </v>
      </c>
      <c r="E8181" t="str">
        <f>"HATTIESBURG               "</f>
        <v xml:space="preserve">HATTIESBURG               </v>
      </c>
      <c r="F8181" t="str">
        <f t="shared" si="253"/>
        <v>MS</v>
      </c>
    </row>
    <row r="8182" spans="1:6" x14ac:dyDescent="0.25">
      <c r="A8182" t="str">
        <f>"001409375"</f>
        <v>001409375</v>
      </c>
      <c r="B8182" t="str">
        <f>"1609274604"</f>
        <v>1609274604</v>
      </c>
      <c r="C8182" t="str">
        <f>"363L00000X"</f>
        <v>363L00000X</v>
      </c>
      <c r="D8182" t="str">
        <f>"MILLER                   AMANDA       N           "</f>
        <v xml:space="preserve">MILLER                   AMANDA       N           </v>
      </c>
      <c r="E8182" t="str">
        <f>"GULFPORT                  "</f>
        <v xml:space="preserve">GULFPORT                  </v>
      </c>
      <c r="F8182" t="str">
        <f t="shared" si="253"/>
        <v>MS</v>
      </c>
    </row>
    <row r="8183" spans="1:6" x14ac:dyDescent="0.25">
      <c r="A8183" t="str">
        <f>"001409841"</f>
        <v>001409841</v>
      </c>
      <c r="B8183" t="str">
        <f>"1063866937"</f>
        <v>1063866937</v>
      </c>
      <c r="C8183" t="str">
        <f>"363L00000X"</f>
        <v>363L00000X</v>
      </c>
      <c r="D8183" t="str">
        <f>"WHITMAN                  NICOLE                   "</f>
        <v xml:space="preserve">WHITMAN                  NICOLE                   </v>
      </c>
      <c r="E8183" t="str">
        <f>"BILOXI                    "</f>
        <v xml:space="preserve">BILOXI                    </v>
      </c>
      <c r="F8183" t="str">
        <f t="shared" si="253"/>
        <v>MS</v>
      </c>
    </row>
    <row r="8184" spans="1:6" x14ac:dyDescent="0.25">
      <c r="A8184" t="str">
        <f>"001421264"</f>
        <v>001421264</v>
      </c>
      <c r="B8184" t="str">
        <f>"1851622120"</f>
        <v>1851622120</v>
      </c>
      <c r="C8184" t="str">
        <f>"363L00000X"</f>
        <v>363L00000X</v>
      </c>
      <c r="D8184" t="str">
        <f>"AUSTIN                   MARSHA                   "</f>
        <v xml:space="preserve">AUSTIN                   MARSHA                   </v>
      </c>
      <c r="E8184" t="str">
        <f>"JACKSON                   "</f>
        <v xml:space="preserve">JACKSON                   </v>
      </c>
      <c r="F8184" t="str">
        <f t="shared" si="253"/>
        <v>MS</v>
      </c>
    </row>
    <row r="8185" spans="1:6" x14ac:dyDescent="0.25">
      <c r="A8185" t="str">
        <f>"001421748"</f>
        <v>001421748</v>
      </c>
      <c r="B8185" t="str">
        <f>"1801318498"</f>
        <v>1801318498</v>
      </c>
      <c r="C8185" t="str">
        <f>"363L00000X"</f>
        <v>363L00000X</v>
      </c>
      <c r="D8185" t="str">
        <f>"DENETTE                  MICHELLE                 "</f>
        <v xml:space="preserve">DENETTE                  MICHELLE                 </v>
      </c>
      <c r="E8185" t="str">
        <f>"GULFPORT                  "</f>
        <v xml:space="preserve">GULFPORT                  </v>
      </c>
      <c r="F8185" t="str">
        <f t="shared" si="253"/>
        <v>MS</v>
      </c>
    </row>
    <row r="8186" spans="1:6" x14ac:dyDescent="0.25">
      <c r="A8186" t="str">
        <f>"001424264"</f>
        <v>001424264</v>
      </c>
      <c r="B8186" t="str">
        <f>"1396988655"</f>
        <v>1396988655</v>
      </c>
      <c r="C8186" t="str">
        <f>"367500000X"</f>
        <v>367500000X</v>
      </c>
      <c r="D8186" t="str">
        <f>"WILKINS                  LEILA        M           "</f>
        <v xml:space="preserve">WILKINS                  LEILA        M           </v>
      </c>
      <c r="E8186" t="str">
        <f>"JACKSON                   "</f>
        <v xml:space="preserve">JACKSON                   </v>
      </c>
      <c r="F8186" t="str">
        <f t="shared" si="253"/>
        <v>MS</v>
      </c>
    </row>
    <row r="8187" spans="1:6" x14ac:dyDescent="0.25">
      <c r="A8187" t="str">
        <f>"001426024"</f>
        <v>001426024</v>
      </c>
      <c r="B8187" t="str">
        <f>"1720179401"</f>
        <v>1720179401</v>
      </c>
      <c r="C8187" t="str">
        <f>"208VP0000X"</f>
        <v>208VP0000X</v>
      </c>
      <c r="D8187" t="str">
        <f>"BURNS                    ROBERT       B           "</f>
        <v xml:space="preserve">BURNS                    ROBERT       B           </v>
      </c>
      <c r="E8187" t="str">
        <f>"PASCAGOULA                "</f>
        <v xml:space="preserve">PASCAGOULA                </v>
      </c>
      <c r="F8187" t="str">
        <f t="shared" si="253"/>
        <v>MS</v>
      </c>
    </row>
    <row r="8188" spans="1:6" x14ac:dyDescent="0.25">
      <c r="A8188" t="str">
        <f>"001427849"</f>
        <v>001427849</v>
      </c>
      <c r="B8188" t="str">
        <f>"1508238791"</f>
        <v>1508238791</v>
      </c>
      <c r="C8188" t="str">
        <f>"363L00000X"</f>
        <v>363L00000X</v>
      </c>
      <c r="D8188" t="str">
        <f>"SPENCER                  LATASHA      S           "</f>
        <v xml:space="preserve">SPENCER                  LATASHA      S           </v>
      </c>
      <c r="E8188" t="str">
        <f>"JACKSON                   "</f>
        <v xml:space="preserve">JACKSON                   </v>
      </c>
      <c r="F8188" t="str">
        <f t="shared" si="253"/>
        <v>MS</v>
      </c>
    </row>
    <row r="8189" spans="1:6" x14ac:dyDescent="0.25">
      <c r="A8189" t="str">
        <f>"001428215"</f>
        <v>001428215</v>
      </c>
      <c r="B8189" t="str">
        <f>"1649391616"</f>
        <v>1649391616</v>
      </c>
      <c r="C8189" t="str">
        <f>"207Y00000X"</f>
        <v>207Y00000X</v>
      </c>
      <c r="D8189" t="str">
        <f>"LEE                      CHRISTOPHER  E           "</f>
        <v xml:space="preserve">LEE                      CHRISTOPHER  E           </v>
      </c>
      <c r="E8189" t="str">
        <f>"JACKSON                   "</f>
        <v xml:space="preserve">JACKSON                   </v>
      </c>
      <c r="F8189" t="str">
        <f t="shared" si="253"/>
        <v>MS</v>
      </c>
    </row>
    <row r="8190" spans="1:6" x14ac:dyDescent="0.25">
      <c r="A8190" t="str">
        <f>"001429351"</f>
        <v>001429351</v>
      </c>
      <c r="B8190" t="str">
        <f>"1700979960"</f>
        <v>1700979960</v>
      </c>
      <c r="C8190" t="str">
        <f>"261QF0400X"</f>
        <v>261QF0400X</v>
      </c>
      <c r="D8190" t="str">
        <f>"COASTAL FAMILY HEALTH CENTER                      "</f>
        <v xml:space="preserve">COASTAL FAMILY HEALTH CENTER                      </v>
      </c>
      <c r="E8190" t="str">
        <f>"LEAKESVILLE               "</f>
        <v xml:space="preserve">LEAKESVILLE               </v>
      </c>
      <c r="F8190" t="str">
        <f t="shared" ref="F8190:F8253" si="254">"MS"</f>
        <v>MS</v>
      </c>
    </row>
    <row r="8191" spans="1:6" x14ac:dyDescent="0.25">
      <c r="A8191" t="str">
        <f>"001429835"</f>
        <v>001429835</v>
      </c>
      <c r="B8191" t="str">
        <f>"1427451210"</f>
        <v>1427451210</v>
      </c>
      <c r="C8191" t="str">
        <f>"363L00000X"</f>
        <v>363L00000X</v>
      </c>
      <c r="D8191" t="str">
        <f>"MCCULLOUGH               JEN          D           "</f>
        <v xml:space="preserve">MCCULLOUGH               JEN          D           </v>
      </c>
      <c r="E8191" t="str">
        <f>"COLUMBUS                  "</f>
        <v xml:space="preserve">COLUMBUS                  </v>
      </c>
      <c r="F8191" t="str">
        <f t="shared" si="254"/>
        <v>MS</v>
      </c>
    </row>
    <row r="8192" spans="1:6" x14ac:dyDescent="0.25">
      <c r="A8192" t="str">
        <f>"001431862"</f>
        <v>001431862</v>
      </c>
      <c r="B8192" t="str">
        <f>"1922460575"</f>
        <v>1922460575</v>
      </c>
      <c r="C8192" t="str">
        <f>"207Q00000X"</f>
        <v>207Q00000X</v>
      </c>
      <c r="D8192" t="str">
        <f>"JONES                    BRIAN                    "</f>
        <v xml:space="preserve">JONES                    BRIAN                    </v>
      </c>
      <c r="E8192" t="str">
        <f>"JACKSON                   "</f>
        <v xml:space="preserve">JACKSON                   </v>
      </c>
      <c r="F8192" t="str">
        <f t="shared" si="254"/>
        <v>MS</v>
      </c>
    </row>
    <row r="8193" spans="1:6" x14ac:dyDescent="0.25">
      <c r="A8193" t="str">
        <f>"001432705"</f>
        <v>001432705</v>
      </c>
      <c r="B8193" t="str">
        <f>"1033421375"</f>
        <v>1033421375</v>
      </c>
      <c r="C8193" t="str">
        <f>"208000000X"</f>
        <v>208000000X</v>
      </c>
      <c r="D8193" t="str">
        <f>"HUDSON                   SHAMIKA      B           "</f>
        <v xml:space="preserve">HUDSON                   SHAMIKA      B           </v>
      </c>
      <c r="E8193" t="str">
        <f>"RIDGELAND                 "</f>
        <v xml:space="preserve">RIDGELAND                 </v>
      </c>
      <c r="F8193" t="str">
        <f t="shared" si="254"/>
        <v>MS</v>
      </c>
    </row>
    <row r="8194" spans="1:6" x14ac:dyDescent="0.25">
      <c r="A8194" t="str">
        <f>"001434793"</f>
        <v>001434793</v>
      </c>
      <c r="B8194" t="str">
        <f>"1245802909"</f>
        <v>1245802909</v>
      </c>
      <c r="C8194" t="str">
        <f>"363L00000X"</f>
        <v>363L00000X</v>
      </c>
      <c r="D8194" t="str">
        <f>"WALL                     ANNA         C           "</f>
        <v xml:space="preserve">WALL                     ANNA         C           </v>
      </c>
      <c r="E8194" t="str">
        <f>"HATTIESBURG               "</f>
        <v xml:space="preserve">HATTIESBURG               </v>
      </c>
      <c r="F8194" t="str">
        <f t="shared" si="254"/>
        <v>MS</v>
      </c>
    </row>
    <row r="8195" spans="1:6" x14ac:dyDescent="0.25">
      <c r="A8195" t="str">
        <f>"001435098"</f>
        <v>001435098</v>
      </c>
      <c r="B8195" t="str">
        <f>"1164630349"</f>
        <v>1164630349</v>
      </c>
      <c r="C8195" t="str">
        <f>"207V00000X"</f>
        <v>207V00000X</v>
      </c>
      <c r="D8195" t="str">
        <f>"FLANTROY                 KESHA        M           "</f>
        <v xml:space="preserve">FLANTROY                 KESHA        M           </v>
      </c>
      <c r="E8195" t="str">
        <f>"JACKSON                   "</f>
        <v xml:space="preserve">JACKSON                   </v>
      </c>
      <c r="F8195" t="str">
        <f t="shared" si="254"/>
        <v>MS</v>
      </c>
    </row>
    <row r="8196" spans="1:6" x14ac:dyDescent="0.25">
      <c r="A8196" t="str">
        <f>"001435206"</f>
        <v>001435206</v>
      </c>
      <c r="B8196" t="str">
        <f>"1730265083"</f>
        <v>1730265083</v>
      </c>
      <c r="C8196" t="str">
        <f>"122300000X"</f>
        <v>122300000X</v>
      </c>
      <c r="D8196" t="str">
        <f>"COLLINS FAMILY DENTAL CARE, PA                    "</f>
        <v xml:space="preserve">COLLINS FAMILY DENTAL CARE, PA                    </v>
      </c>
      <c r="E8196" t="str">
        <f>"COLLINS                   "</f>
        <v xml:space="preserve">COLLINS                   </v>
      </c>
      <c r="F8196" t="str">
        <f t="shared" si="254"/>
        <v>MS</v>
      </c>
    </row>
    <row r="8197" spans="1:6" x14ac:dyDescent="0.25">
      <c r="A8197" t="str">
        <f>"001436739"</f>
        <v>001436739</v>
      </c>
      <c r="B8197" t="str">
        <f>"1316089634"</f>
        <v>1316089634</v>
      </c>
      <c r="C8197" t="str">
        <f>"1223S0112X"</f>
        <v>1223S0112X</v>
      </c>
      <c r="D8197" t="str">
        <f>"SEAGO                    DAVID        E           "</f>
        <v xml:space="preserve">SEAGO                    DAVID        E           </v>
      </c>
      <c r="E8197" t="str">
        <f>"FLOWOOD                   "</f>
        <v xml:space="preserve">FLOWOOD                   </v>
      </c>
      <c r="F8197" t="str">
        <f t="shared" si="254"/>
        <v>MS</v>
      </c>
    </row>
    <row r="8198" spans="1:6" x14ac:dyDescent="0.25">
      <c r="A8198" t="str">
        <f>"001437099"</f>
        <v>001437099</v>
      </c>
      <c r="B8198" t="str">
        <f>"1518526516"</f>
        <v>1518526516</v>
      </c>
      <c r="C8198" t="str">
        <f>"122300000X"</f>
        <v>122300000X</v>
      </c>
      <c r="D8198" t="str">
        <f>"HARRISON                 NATHAN       B           "</f>
        <v xml:space="preserve">HARRISON                 NATHAN       B           </v>
      </c>
      <c r="E8198" t="str">
        <f>"NEWTON                    "</f>
        <v xml:space="preserve">NEWTON                    </v>
      </c>
      <c r="F8198" t="str">
        <f t="shared" si="254"/>
        <v>MS</v>
      </c>
    </row>
    <row r="8199" spans="1:6" x14ac:dyDescent="0.25">
      <c r="A8199" t="str">
        <f>"001437332"</f>
        <v>001437332</v>
      </c>
      <c r="B8199" t="str">
        <f>"1033510391"</f>
        <v>1033510391</v>
      </c>
      <c r="C8199" t="str">
        <f>"261QM1300X"</f>
        <v>261QM1300X</v>
      </c>
      <c r="D8199" t="str">
        <f>"THE JOURNEY RESOURCE CENTER, LLC                  "</f>
        <v xml:space="preserve">THE JOURNEY RESOURCE CENTER, LLC                  </v>
      </c>
      <c r="E8199" t="str">
        <f>"TUPELO                    "</f>
        <v xml:space="preserve">TUPELO                    </v>
      </c>
      <c r="F8199" t="str">
        <f t="shared" si="254"/>
        <v>MS</v>
      </c>
    </row>
    <row r="8200" spans="1:6" x14ac:dyDescent="0.25">
      <c r="A8200" t="str">
        <f>"001437504"</f>
        <v>001437504</v>
      </c>
      <c r="B8200" t="str">
        <f>"1356558357"</f>
        <v>1356558357</v>
      </c>
      <c r="C8200" t="str">
        <f>"207R00000X"</f>
        <v>207R00000X</v>
      </c>
      <c r="D8200" t="str">
        <f>"WIENER                   HILLEL       E           "</f>
        <v xml:space="preserve">WIENER                   HILLEL       E           </v>
      </c>
      <c r="E8200" t="str">
        <f>"SOUTHAVEN                 "</f>
        <v xml:space="preserve">SOUTHAVEN                 </v>
      </c>
      <c r="F8200" t="str">
        <f t="shared" si="254"/>
        <v>MS</v>
      </c>
    </row>
    <row r="8201" spans="1:6" x14ac:dyDescent="0.25">
      <c r="A8201" t="str">
        <f>"001438064"</f>
        <v>001438064</v>
      </c>
      <c r="B8201" t="str">
        <f>"1508363060"</f>
        <v>1508363060</v>
      </c>
      <c r="C8201" t="str">
        <f>"261QR1300X"</f>
        <v>261QR1300X</v>
      </c>
      <c r="D8201" t="str">
        <f>"WARRINGTON CLINIC                                 "</f>
        <v xml:space="preserve">WARRINGTON CLINIC                                 </v>
      </c>
      <c r="E8201" t="str">
        <f>"CLARKSDALE                "</f>
        <v xml:space="preserve">CLARKSDALE                </v>
      </c>
      <c r="F8201" t="str">
        <f t="shared" si="254"/>
        <v>MS</v>
      </c>
    </row>
    <row r="8202" spans="1:6" x14ac:dyDescent="0.25">
      <c r="A8202" t="str">
        <f>"001438857"</f>
        <v>001438857</v>
      </c>
      <c r="B8202" t="str">
        <f>"1891228144"</f>
        <v>1891228144</v>
      </c>
      <c r="C8202" t="str">
        <f>"2084P0800X"</f>
        <v>2084P0800X</v>
      </c>
      <c r="D8202" t="str">
        <f>"LEMPA                    BRIAN        K           "</f>
        <v xml:space="preserve">LEMPA                    BRIAN        K           </v>
      </c>
      <c r="E8202" t="str">
        <f>"HATTIESBURG               "</f>
        <v xml:space="preserve">HATTIESBURG               </v>
      </c>
      <c r="F8202" t="str">
        <f t="shared" si="254"/>
        <v>MS</v>
      </c>
    </row>
    <row r="8203" spans="1:6" x14ac:dyDescent="0.25">
      <c r="A8203" t="str">
        <f>"001439212"</f>
        <v>001439212</v>
      </c>
      <c r="B8203" t="str">
        <f>"1063731032"</f>
        <v>1063731032</v>
      </c>
      <c r="C8203" t="str">
        <f>"363A00000X"</f>
        <v>363A00000X</v>
      </c>
      <c r="D8203" t="str">
        <f>"KNUTSON                  STACY        N           "</f>
        <v xml:space="preserve">KNUTSON                  STACY        N           </v>
      </c>
      <c r="E8203" t="str">
        <f>"BILOXI                    "</f>
        <v xml:space="preserve">BILOXI                    </v>
      </c>
      <c r="F8203" t="str">
        <f t="shared" si="254"/>
        <v>MS</v>
      </c>
    </row>
    <row r="8204" spans="1:6" x14ac:dyDescent="0.25">
      <c r="A8204" t="str">
        <f>"001439854"</f>
        <v>001439854</v>
      </c>
      <c r="B8204" t="str">
        <f>"1740712884"</f>
        <v>1740712884</v>
      </c>
      <c r="C8204" t="str">
        <f>"208000000X"</f>
        <v>208000000X</v>
      </c>
      <c r="D8204" t="str">
        <f>"VILLARREAL               ASHLEY       M           "</f>
        <v xml:space="preserve">VILLARREAL               ASHLEY       M           </v>
      </c>
      <c r="E8204" t="str">
        <f>"JACKSON                   "</f>
        <v xml:space="preserve">JACKSON                   </v>
      </c>
      <c r="F8204" t="str">
        <f t="shared" si="254"/>
        <v>MS</v>
      </c>
    </row>
    <row r="8205" spans="1:6" x14ac:dyDescent="0.25">
      <c r="A8205" t="str">
        <f>"001450274"</f>
        <v>001450274</v>
      </c>
      <c r="B8205" t="str">
        <f>"1023320280"</f>
        <v>1023320280</v>
      </c>
      <c r="C8205" t="str">
        <f>"207R00000X"</f>
        <v>207R00000X</v>
      </c>
      <c r="D8205" t="str">
        <f>"SWIFT                    CHRISTOPHER  W           "</f>
        <v xml:space="preserve">SWIFT                    CHRISTOPHER  W           </v>
      </c>
      <c r="E8205" t="str">
        <f>"MERIDIAN                  "</f>
        <v xml:space="preserve">MERIDIAN                  </v>
      </c>
      <c r="F8205" t="str">
        <f t="shared" si="254"/>
        <v>MS</v>
      </c>
    </row>
    <row r="8206" spans="1:6" x14ac:dyDescent="0.25">
      <c r="A8206" t="str">
        <f>"001451753"</f>
        <v>001451753</v>
      </c>
      <c r="B8206" t="str">
        <f>"1598029068"</f>
        <v>1598029068</v>
      </c>
      <c r="C8206" t="str">
        <f>"2085R0202X"</f>
        <v>2085R0202X</v>
      </c>
      <c r="D8206" t="str">
        <f>"WILLIAMS                 JASON        H           "</f>
        <v xml:space="preserve">WILLIAMS                 JASON        H           </v>
      </c>
      <c r="E8206" t="str">
        <f>"JACKSON                   "</f>
        <v xml:space="preserve">JACKSON                   </v>
      </c>
      <c r="F8206" t="str">
        <f t="shared" si="254"/>
        <v>MS</v>
      </c>
    </row>
    <row r="8207" spans="1:6" x14ac:dyDescent="0.25">
      <c r="A8207" t="str">
        <f>"001452240"</f>
        <v>001452240</v>
      </c>
      <c r="B8207" t="str">
        <f>"1780849109"</f>
        <v>1780849109</v>
      </c>
      <c r="C8207" t="str">
        <f>"363L00000X"</f>
        <v>363L00000X</v>
      </c>
      <c r="D8207" t="str">
        <f>"MCLENDON                 KILEY        S           "</f>
        <v xml:space="preserve">MCLENDON                 KILEY        S           </v>
      </c>
      <c r="E8207" t="str">
        <f>"MONTICELLO                "</f>
        <v xml:space="preserve">MONTICELLO                </v>
      </c>
      <c r="F8207" t="str">
        <f t="shared" si="254"/>
        <v>MS</v>
      </c>
    </row>
    <row r="8208" spans="1:6" x14ac:dyDescent="0.25">
      <c r="A8208" t="str">
        <f>"001453589"</f>
        <v>001453589</v>
      </c>
      <c r="B8208" t="str">
        <f>"1861710188"</f>
        <v>1861710188</v>
      </c>
      <c r="C8208" t="str">
        <f>"207P00000X"</f>
        <v>207P00000X</v>
      </c>
      <c r="D8208" t="str">
        <f>"LAMBERT                  ROBERT       B           "</f>
        <v xml:space="preserve">LAMBERT                  ROBERT       B           </v>
      </c>
      <c r="E8208" t="str">
        <f>"BROOKHAVEN                "</f>
        <v xml:space="preserve">BROOKHAVEN                </v>
      </c>
      <c r="F8208" t="str">
        <f t="shared" si="254"/>
        <v>MS</v>
      </c>
    </row>
    <row r="8209" spans="1:6" x14ac:dyDescent="0.25">
      <c r="A8209" t="str">
        <f>"001454202"</f>
        <v>001454202</v>
      </c>
      <c r="B8209" t="str">
        <f>"1013103613"</f>
        <v>1013103613</v>
      </c>
      <c r="C8209" t="str">
        <f>"363L00000X"</f>
        <v>363L00000X</v>
      </c>
      <c r="D8209" t="str">
        <f>"BRUMFIELD                EMILY        K           "</f>
        <v xml:space="preserve">BRUMFIELD                EMILY        K           </v>
      </c>
      <c r="E8209" t="str">
        <f>"JACKSON                   "</f>
        <v xml:space="preserve">JACKSON                   </v>
      </c>
      <c r="F8209" t="str">
        <f t="shared" si="254"/>
        <v>MS</v>
      </c>
    </row>
    <row r="8210" spans="1:6" x14ac:dyDescent="0.25">
      <c r="A8210" t="str">
        <f>"001454732"</f>
        <v>001454732</v>
      </c>
      <c r="B8210" t="str">
        <f>"1043245244"</f>
        <v>1043245244</v>
      </c>
      <c r="C8210" t="str">
        <f>"367500000X"</f>
        <v>367500000X</v>
      </c>
      <c r="D8210" t="str">
        <f>"CARTER                   DONALD       R           "</f>
        <v xml:space="preserve">CARTER                   DONALD       R           </v>
      </c>
      <c r="E8210" t="str">
        <f>"TUPELO                    "</f>
        <v xml:space="preserve">TUPELO                    </v>
      </c>
      <c r="F8210" t="str">
        <f t="shared" si="254"/>
        <v>MS</v>
      </c>
    </row>
    <row r="8211" spans="1:6" x14ac:dyDescent="0.25">
      <c r="A8211" t="str">
        <f>"001455251"</f>
        <v>001455251</v>
      </c>
      <c r="B8211" t="str">
        <f>"1487097002"</f>
        <v>1487097002</v>
      </c>
      <c r="C8211" t="str">
        <f>"208D00000X"</f>
        <v>208D00000X</v>
      </c>
      <c r="D8211" t="str">
        <f>"FRAGA                    CHARLES      H           "</f>
        <v xml:space="preserve">FRAGA                    CHARLES      H           </v>
      </c>
      <c r="E8211" t="str">
        <f>"OLIVE BRANCH              "</f>
        <v xml:space="preserve">OLIVE BRANCH              </v>
      </c>
      <c r="F8211" t="str">
        <f t="shared" si="254"/>
        <v>MS</v>
      </c>
    </row>
    <row r="8212" spans="1:6" x14ac:dyDescent="0.25">
      <c r="A8212" t="str">
        <f>"001455588"</f>
        <v>001455588</v>
      </c>
      <c r="B8212" t="str">
        <f>"1457094211"</f>
        <v>1457094211</v>
      </c>
      <c r="C8212" t="str">
        <f>"207P00000X"</f>
        <v>207P00000X</v>
      </c>
      <c r="D8212" t="str">
        <f>"JONES                    RACHEL       A           "</f>
        <v xml:space="preserve">JONES                    RACHEL       A           </v>
      </c>
      <c r="E8212" t="str">
        <f>"JACKSON                   "</f>
        <v xml:space="preserve">JACKSON                   </v>
      </c>
      <c r="F8212" t="str">
        <f t="shared" si="254"/>
        <v>MS</v>
      </c>
    </row>
    <row r="8213" spans="1:6" x14ac:dyDescent="0.25">
      <c r="A8213" t="str">
        <f>"001456514"</f>
        <v>001456514</v>
      </c>
      <c r="B8213" t="str">
        <f>"1841846904"</f>
        <v>1841846904</v>
      </c>
      <c r="C8213" t="str">
        <f>"261QM1300X"</f>
        <v>261QM1300X</v>
      </c>
      <c r="D8213" t="str">
        <f>"THE PSYCHOSOCIAL BOUTIQUE, PLLC                   "</f>
        <v xml:space="preserve">THE PSYCHOSOCIAL BOUTIQUE, PLLC                   </v>
      </c>
      <c r="E8213" t="str">
        <f>"GRENADA                   "</f>
        <v xml:space="preserve">GRENADA                   </v>
      </c>
      <c r="F8213" t="str">
        <f t="shared" si="254"/>
        <v>MS</v>
      </c>
    </row>
    <row r="8214" spans="1:6" x14ac:dyDescent="0.25">
      <c r="A8214" t="str">
        <f>"001456556"</f>
        <v>001456556</v>
      </c>
      <c r="B8214" t="str">
        <f>"1467012203"</f>
        <v>1467012203</v>
      </c>
      <c r="C8214" t="str">
        <f>"363L00000X"</f>
        <v>363L00000X</v>
      </c>
      <c r="D8214" t="str">
        <f>"BOSTON                   MEREDITH     C           "</f>
        <v xml:space="preserve">BOSTON                   MEREDITH     C           </v>
      </c>
      <c r="E8214" t="str">
        <f>"JACKSON                   "</f>
        <v xml:space="preserve">JACKSON                   </v>
      </c>
      <c r="F8214" t="str">
        <f t="shared" si="254"/>
        <v>MS</v>
      </c>
    </row>
    <row r="8215" spans="1:6" x14ac:dyDescent="0.25">
      <c r="A8215" t="str">
        <f>"001458811"</f>
        <v>001458811</v>
      </c>
      <c r="B8215" t="str">
        <f>"1982017521"</f>
        <v>1982017521</v>
      </c>
      <c r="C8215" t="str">
        <f>"207RG0100X"</f>
        <v>207RG0100X</v>
      </c>
      <c r="D8215" t="str">
        <f>"BATTE                    KEVIN        J           "</f>
        <v xml:space="preserve">BATTE                    KEVIN        J           </v>
      </c>
      <c r="E8215" t="str">
        <f>"OXFORD                    "</f>
        <v xml:space="preserve">OXFORD                    </v>
      </c>
      <c r="F8215" t="str">
        <f t="shared" si="254"/>
        <v>MS</v>
      </c>
    </row>
    <row r="8216" spans="1:6" x14ac:dyDescent="0.25">
      <c r="A8216" t="str">
        <f>"001459051"</f>
        <v>001459051</v>
      </c>
      <c r="B8216" t="str">
        <f>"1689234635"</f>
        <v>1689234635</v>
      </c>
      <c r="C8216" t="str">
        <f>"363L00000X"</f>
        <v>363L00000X</v>
      </c>
      <c r="D8216" t="str">
        <f>"CUEVAS                   HOLLY        W           "</f>
        <v xml:space="preserve">CUEVAS                   HOLLY        W           </v>
      </c>
      <c r="E8216" t="str">
        <f>"BILOXI                    "</f>
        <v xml:space="preserve">BILOXI                    </v>
      </c>
      <c r="F8216" t="str">
        <f t="shared" si="254"/>
        <v>MS</v>
      </c>
    </row>
    <row r="8217" spans="1:6" x14ac:dyDescent="0.25">
      <c r="A8217" t="str">
        <f>"001459341"</f>
        <v>001459341</v>
      </c>
      <c r="B8217" t="str">
        <f>"1659733632"</f>
        <v>1659733632</v>
      </c>
      <c r="C8217" t="str">
        <f>"207LP3000X"</f>
        <v>207LP3000X</v>
      </c>
      <c r="D8217" t="str">
        <f>"ADAMS                    SARAH        A           "</f>
        <v xml:space="preserve">ADAMS                    SARAH        A           </v>
      </c>
      <c r="E8217" t="str">
        <f>"JACKSON                   "</f>
        <v xml:space="preserve">JACKSON                   </v>
      </c>
      <c r="F8217" t="str">
        <f t="shared" si="254"/>
        <v>MS</v>
      </c>
    </row>
    <row r="8218" spans="1:6" x14ac:dyDescent="0.25">
      <c r="A8218" t="str">
        <f>"001459735"</f>
        <v>001459735</v>
      </c>
      <c r="B8218" t="str">
        <f>"1528235173"</f>
        <v>1528235173</v>
      </c>
      <c r="C8218" t="str">
        <f>"367500000X"</f>
        <v>367500000X</v>
      </c>
      <c r="D8218" t="str">
        <f>"BAKER                    TRACEY                   "</f>
        <v xml:space="preserve">BAKER                    TRACEY                   </v>
      </c>
      <c r="E8218" t="str">
        <f>"STARKVILLE                "</f>
        <v xml:space="preserve">STARKVILLE                </v>
      </c>
      <c r="F8218" t="str">
        <f t="shared" si="254"/>
        <v>MS</v>
      </c>
    </row>
    <row r="8219" spans="1:6" x14ac:dyDescent="0.25">
      <c r="A8219" t="str">
        <f>"001459854"</f>
        <v>001459854</v>
      </c>
      <c r="B8219" t="str">
        <f>"1952570723"</f>
        <v>1952570723</v>
      </c>
      <c r="C8219" t="str">
        <f>"363L00000X"</f>
        <v>363L00000X</v>
      </c>
      <c r="D8219" t="str">
        <f>"EASON HINTON             RONDA                    "</f>
        <v xml:space="preserve">EASON HINTON             RONDA                    </v>
      </c>
      <c r="E8219" t="str">
        <f>"LUMBERTON                 "</f>
        <v xml:space="preserve">LUMBERTON                 </v>
      </c>
      <c r="F8219" t="str">
        <f t="shared" si="254"/>
        <v>MS</v>
      </c>
    </row>
    <row r="8220" spans="1:6" x14ac:dyDescent="0.25">
      <c r="A8220" t="str">
        <f>"001470851"</f>
        <v>001470851</v>
      </c>
      <c r="B8220" t="str">
        <f>"1538624580"</f>
        <v>1538624580</v>
      </c>
      <c r="C8220" t="str">
        <f>"363L00000X"</f>
        <v>363L00000X</v>
      </c>
      <c r="D8220" t="str">
        <f>"PRATHER                  JESSICA      G           "</f>
        <v xml:space="preserve">PRATHER                  JESSICA      G           </v>
      </c>
      <c r="E8220" t="str">
        <f>"CORINTH                   "</f>
        <v xml:space="preserve">CORINTH                   </v>
      </c>
      <c r="F8220" t="str">
        <f t="shared" si="254"/>
        <v>MS</v>
      </c>
    </row>
    <row r="8221" spans="1:6" x14ac:dyDescent="0.25">
      <c r="A8221" t="str">
        <f>"001473008"</f>
        <v>001473008</v>
      </c>
      <c r="B8221" t="str">
        <f>"1568459345"</f>
        <v>1568459345</v>
      </c>
      <c r="C8221" t="str">
        <f>"207X00000X"</f>
        <v>207X00000X</v>
      </c>
      <c r="D8221" t="str">
        <f>"MIHALKO                  MARC         J           "</f>
        <v xml:space="preserve">MIHALKO                  MARC         J           </v>
      </c>
      <c r="E8221" t="str">
        <f>"SOUTHAVEN                 "</f>
        <v xml:space="preserve">SOUTHAVEN                 </v>
      </c>
      <c r="F8221" t="str">
        <f t="shared" si="254"/>
        <v>MS</v>
      </c>
    </row>
    <row r="8222" spans="1:6" x14ac:dyDescent="0.25">
      <c r="A8222" t="str">
        <f>"001475071"</f>
        <v>001475071</v>
      </c>
      <c r="B8222" t="str">
        <f>"1801250626"</f>
        <v>1801250626</v>
      </c>
      <c r="C8222" t="str">
        <f>"207RH0003X"</f>
        <v>207RH0003X</v>
      </c>
      <c r="D8222" t="str">
        <f>"WYNN                     CARRIE       S           "</f>
        <v xml:space="preserve">WYNN                     CARRIE       S           </v>
      </c>
      <c r="E8222" t="str">
        <f>"JACKSON                   "</f>
        <v xml:space="preserve">JACKSON                   </v>
      </c>
      <c r="F8222" t="str">
        <f t="shared" si="254"/>
        <v>MS</v>
      </c>
    </row>
    <row r="8223" spans="1:6" x14ac:dyDescent="0.25">
      <c r="A8223" t="str">
        <f>"001477212"</f>
        <v>001477212</v>
      </c>
      <c r="B8223" t="str">
        <f>"1942609664"</f>
        <v>1942609664</v>
      </c>
      <c r="C8223" t="str">
        <f>"363L00000X"</f>
        <v>363L00000X</v>
      </c>
      <c r="D8223" t="str">
        <f>"DEBAR                    KELLEY       E           "</f>
        <v xml:space="preserve">DEBAR                    KELLEY       E           </v>
      </c>
      <c r="E8223" t="str">
        <f>"LUCEDALE                  "</f>
        <v xml:space="preserve">LUCEDALE                  </v>
      </c>
      <c r="F8223" t="str">
        <f t="shared" si="254"/>
        <v>MS</v>
      </c>
    </row>
    <row r="8224" spans="1:6" x14ac:dyDescent="0.25">
      <c r="A8224" t="str">
        <f>"001477249"</f>
        <v>001477249</v>
      </c>
      <c r="B8224" t="str">
        <f>"1972084895"</f>
        <v>1972084895</v>
      </c>
      <c r="C8224" t="str">
        <f>"363L00000X"</f>
        <v>363L00000X</v>
      </c>
      <c r="D8224" t="str">
        <f>"GILLESPIE                TIFFANY      A           "</f>
        <v xml:space="preserve">GILLESPIE                TIFFANY      A           </v>
      </c>
      <c r="E8224" t="str">
        <f>"TUPELO                    "</f>
        <v xml:space="preserve">TUPELO                    </v>
      </c>
      <c r="F8224" t="str">
        <f t="shared" si="254"/>
        <v>MS</v>
      </c>
    </row>
    <row r="8225" spans="1:6" x14ac:dyDescent="0.25">
      <c r="A8225" t="str">
        <f>"001477740"</f>
        <v>001477740</v>
      </c>
      <c r="B8225" t="str">
        <f>"1437523958"</f>
        <v>1437523958</v>
      </c>
      <c r="C8225" t="str">
        <f>"367500000X"</f>
        <v>367500000X</v>
      </c>
      <c r="D8225" t="str">
        <f>"SULLIVAN                 JAMES        L           "</f>
        <v xml:space="preserve">SULLIVAN                 JAMES        L           </v>
      </c>
      <c r="E8225" t="str">
        <f>"HATTIESBURG               "</f>
        <v xml:space="preserve">HATTIESBURG               </v>
      </c>
      <c r="F8225" t="str">
        <f t="shared" si="254"/>
        <v>MS</v>
      </c>
    </row>
    <row r="8226" spans="1:6" x14ac:dyDescent="0.25">
      <c r="A8226" t="str">
        <f>"001478512"</f>
        <v>001478512</v>
      </c>
      <c r="B8226" t="str">
        <f>"1285171074"</f>
        <v>1285171074</v>
      </c>
      <c r="C8226" t="str">
        <f>"363L00000X"</f>
        <v>363L00000X</v>
      </c>
      <c r="D8226" t="str">
        <f>"TEMPLE                   RACHEL       R           "</f>
        <v xml:space="preserve">TEMPLE                   RACHEL       R           </v>
      </c>
      <c r="E8226" t="str">
        <f>"MERIDIAN                  "</f>
        <v xml:space="preserve">MERIDIAN                  </v>
      </c>
      <c r="F8226" t="str">
        <f t="shared" si="254"/>
        <v>MS</v>
      </c>
    </row>
    <row r="8227" spans="1:6" x14ac:dyDescent="0.25">
      <c r="A8227" t="str">
        <f>"001478770"</f>
        <v>001478770</v>
      </c>
      <c r="B8227" t="str">
        <f>"1184039240"</f>
        <v>1184039240</v>
      </c>
      <c r="C8227" t="str">
        <f>"207Q00000X"</f>
        <v>207Q00000X</v>
      </c>
      <c r="D8227" t="str">
        <f>"LEE                      JOHN         R           "</f>
        <v xml:space="preserve">LEE                      JOHN         R           </v>
      </c>
      <c r="E8227" t="str">
        <f>"OCEAN SPRINGS             "</f>
        <v xml:space="preserve">OCEAN SPRINGS             </v>
      </c>
      <c r="F8227" t="str">
        <f t="shared" si="254"/>
        <v>MS</v>
      </c>
    </row>
    <row r="8228" spans="1:6" x14ac:dyDescent="0.25">
      <c r="A8228" t="str">
        <f>"001480311"</f>
        <v>001480311</v>
      </c>
      <c r="B8228" t="str">
        <f>"1821265356"</f>
        <v>1821265356</v>
      </c>
      <c r="C8228" t="str">
        <f>"207R00000X"</f>
        <v>207R00000X</v>
      </c>
      <c r="D8228" t="str">
        <f>"AMIN                     SUMAIYA                  "</f>
        <v xml:space="preserve">AMIN                     SUMAIYA                  </v>
      </c>
      <c r="E8228" t="str">
        <f>"SOUTHAVEN                 "</f>
        <v xml:space="preserve">SOUTHAVEN                 </v>
      </c>
      <c r="F8228" t="str">
        <f t="shared" si="254"/>
        <v>MS</v>
      </c>
    </row>
    <row r="8229" spans="1:6" x14ac:dyDescent="0.25">
      <c r="A8229" t="str">
        <f>"001480317"</f>
        <v>001480317</v>
      </c>
      <c r="B8229" t="str">
        <f>"1124392469"</f>
        <v>1124392469</v>
      </c>
      <c r="C8229" t="str">
        <f>"363L00000X"</f>
        <v>363L00000X</v>
      </c>
      <c r="D8229" t="str">
        <f>"THORNTON                 LAURA        F           "</f>
        <v xml:space="preserve">THORNTON                 LAURA        F           </v>
      </c>
      <c r="E8229" t="str">
        <f>"JACKSON                   "</f>
        <v xml:space="preserve">JACKSON                   </v>
      </c>
      <c r="F8229" t="str">
        <f t="shared" si="254"/>
        <v>MS</v>
      </c>
    </row>
    <row r="8230" spans="1:6" x14ac:dyDescent="0.25">
      <c r="A8230" t="str">
        <f>"001482584"</f>
        <v>001482584</v>
      </c>
      <c r="B8230" t="str">
        <f>"1124522909"</f>
        <v>1124522909</v>
      </c>
      <c r="C8230" t="str">
        <f>"363L00000X"</f>
        <v>363L00000X</v>
      </c>
      <c r="D8230" t="str">
        <f>"MCGEE                    DODIE        D           "</f>
        <v xml:space="preserve">MCGEE                    DODIE        D           </v>
      </c>
      <c r="E8230" t="str">
        <f>"RAYMOND                   "</f>
        <v xml:space="preserve">RAYMOND                   </v>
      </c>
      <c r="F8230" t="str">
        <f t="shared" si="254"/>
        <v>MS</v>
      </c>
    </row>
    <row r="8231" spans="1:6" x14ac:dyDescent="0.25">
      <c r="A8231" t="str">
        <f>"001484222"</f>
        <v>001484222</v>
      </c>
      <c r="B8231" t="str">
        <f>"1174076749"</f>
        <v>1174076749</v>
      </c>
      <c r="C8231" t="str">
        <f>"207R00000X"</f>
        <v>207R00000X</v>
      </c>
      <c r="D8231" t="str">
        <f>"BULUKU                   GABRIEL      M           "</f>
        <v xml:space="preserve">BULUKU                   GABRIEL      M           </v>
      </c>
      <c r="E8231" t="str">
        <f>"JACKSON                   "</f>
        <v xml:space="preserve">JACKSON                   </v>
      </c>
      <c r="F8231" t="str">
        <f t="shared" si="254"/>
        <v>MS</v>
      </c>
    </row>
    <row r="8232" spans="1:6" x14ac:dyDescent="0.25">
      <c r="A8232" t="str">
        <f>"001484281"</f>
        <v>001484281</v>
      </c>
      <c r="B8232" t="str">
        <f>"1487853859"</f>
        <v>1487853859</v>
      </c>
      <c r="C8232" t="str">
        <f>"2085R0202X"</f>
        <v>2085R0202X</v>
      </c>
      <c r="D8232" t="str">
        <f>"NICHOLS                  TODD                     "</f>
        <v xml:space="preserve">NICHOLS                  TODD                     </v>
      </c>
      <c r="E8232" t="str">
        <f>"JACKSON                   "</f>
        <v xml:space="preserve">JACKSON                   </v>
      </c>
      <c r="F8232" t="str">
        <f t="shared" si="254"/>
        <v>MS</v>
      </c>
    </row>
    <row r="8233" spans="1:6" x14ac:dyDescent="0.25">
      <c r="A8233" t="str">
        <f>"001484711"</f>
        <v>001484711</v>
      </c>
      <c r="B8233" t="str">
        <f>"1164953188"</f>
        <v>1164953188</v>
      </c>
      <c r="C8233" t="str">
        <f>"1223S0112X"</f>
        <v>1223S0112X</v>
      </c>
      <c r="D8233" t="str">
        <f>"OWEN JR                  JAMES        A           "</f>
        <v xml:space="preserve">OWEN JR                  JAMES        A           </v>
      </c>
      <c r="E8233" t="str">
        <f>"HATTIESBURG               "</f>
        <v xml:space="preserve">HATTIESBURG               </v>
      </c>
      <c r="F8233" t="str">
        <f t="shared" si="254"/>
        <v>MS</v>
      </c>
    </row>
    <row r="8234" spans="1:6" x14ac:dyDescent="0.25">
      <c r="A8234" t="str">
        <f>"001485011"</f>
        <v>001485011</v>
      </c>
      <c r="B8234" t="str">
        <f>"1316697725"</f>
        <v>1316697725</v>
      </c>
      <c r="C8234" t="str">
        <f>"207R00000X"</f>
        <v>207R00000X</v>
      </c>
      <c r="D8234" t="str">
        <f>"PRICE                    LAUREN                   "</f>
        <v xml:space="preserve">PRICE                    LAUREN                   </v>
      </c>
      <c r="E8234" t="str">
        <f>"JACKSON                   "</f>
        <v xml:space="preserve">JACKSON                   </v>
      </c>
      <c r="F8234" t="str">
        <f t="shared" si="254"/>
        <v>MS</v>
      </c>
    </row>
    <row r="8235" spans="1:6" x14ac:dyDescent="0.25">
      <c r="A8235" t="str">
        <f>"001485213"</f>
        <v>001485213</v>
      </c>
      <c r="B8235" t="str">
        <f>"1437240215"</f>
        <v>1437240215</v>
      </c>
      <c r="C8235" t="str">
        <f>"152W00000X"</f>
        <v>152W00000X</v>
      </c>
      <c r="D8235" t="str">
        <f>"BAHL                     ALEXANDRIA   A           "</f>
        <v xml:space="preserve">BAHL                     ALEXANDRIA   A           </v>
      </c>
      <c r="E8235" t="str">
        <f>"CANTON                    "</f>
        <v xml:space="preserve">CANTON                    </v>
      </c>
      <c r="F8235" t="str">
        <f t="shared" si="254"/>
        <v>MS</v>
      </c>
    </row>
    <row r="8236" spans="1:6" x14ac:dyDescent="0.25">
      <c r="A8236" t="str">
        <f>"001487036"</f>
        <v>001487036</v>
      </c>
      <c r="B8236" t="str">
        <f>"1841315546"</f>
        <v>1841315546</v>
      </c>
      <c r="C8236" t="str">
        <f>"2084P0800X"</f>
        <v>2084P0800X</v>
      </c>
      <c r="D8236" t="str">
        <f>"BEVILL                   KRISTEN      B           "</f>
        <v xml:space="preserve">BEVILL                   KRISTEN      B           </v>
      </c>
      <c r="E8236" t="str">
        <f>"JACKSON                   "</f>
        <v xml:space="preserve">JACKSON                   </v>
      </c>
      <c r="F8236" t="str">
        <f t="shared" si="254"/>
        <v>MS</v>
      </c>
    </row>
    <row r="8237" spans="1:6" x14ac:dyDescent="0.25">
      <c r="A8237" t="str">
        <f>"001487317"</f>
        <v>001487317</v>
      </c>
      <c r="B8237" t="str">
        <f>"1295267680"</f>
        <v>1295267680</v>
      </c>
      <c r="C8237" t="str">
        <f>"207R00000X"</f>
        <v>207R00000X</v>
      </c>
      <c r="D8237" t="str">
        <f>"ROSS                     RANDOLPH     J           "</f>
        <v xml:space="preserve">ROSS                     RANDOLPH     J           </v>
      </c>
      <c r="E8237" t="str">
        <f>"JACKSON                   "</f>
        <v xml:space="preserve">JACKSON                   </v>
      </c>
      <c r="F8237" t="str">
        <f t="shared" si="254"/>
        <v>MS</v>
      </c>
    </row>
    <row r="8238" spans="1:6" x14ac:dyDescent="0.25">
      <c r="A8238" t="str">
        <f>"001489305"</f>
        <v>001489305</v>
      </c>
      <c r="B8238" t="str">
        <f>"1407854938"</f>
        <v>1407854938</v>
      </c>
      <c r="C8238" t="str">
        <f>"363L00000X"</f>
        <v>363L00000X</v>
      </c>
      <c r="D8238" t="str">
        <f>"JETT                     KATHERINE    M           "</f>
        <v xml:space="preserve">JETT                     KATHERINE    M           </v>
      </c>
      <c r="E8238" t="str">
        <f>"JACKSON                   "</f>
        <v xml:space="preserve">JACKSON                   </v>
      </c>
      <c r="F8238" t="str">
        <f t="shared" si="254"/>
        <v>MS</v>
      </c>
    </row>
    <row r="8239" spans="1:6" x14ac:dyDescent="0.25">
      <c r="A8239" t="str">
        <f>"001489800"</f>
        <v>001489800</v>
      </c>
      <c r="B8239" t="str">
        <f>"1164956892"</f>
        <v>1164956892</v>
      </c>
      <c r="C8239" t="str">
        <f>"208600000X"</f>
        <v>208600000X</v>
      </c>
      <c r="D8239" t="str">
        <f>"HAWES                    CASEY        C           "</f>
        <v xml:space="preserve">HAWES                    CASEY        C           </v>
      </c>
      <c r="E8239" t="str">
        <f>"JACKSON                   "</f>
        <v xml:space="preserve">JACKSON                   </v>
      </c>
      <c r="F8239" t="str">
        <f t="shared" si="254"/>
        <v>MS</v>
      </c>
    </row>
    <row r="8240" spans="1:6" x14ac:dyDescent="0.25">
      <c r="A8240" t="str">
        <f>"001500371"</f>
        <v>001500371</v>
      </c>
      <c r="B8240" t="str">
        <f>"1538242144"</f>
        <v>1538242144</v>
      </c>
      <c r="C8240" t="str">
        <f>"363A00000X"</f>
        <v>363A00000X</v>
      </c>
      <c r="D8240" t="str">
        <f>"MCELHANEY                SHEENA       T           "</f>
        <v xml:space="preserve">MCELHANEY                SHEENA       T           </v>
      </c>
      <c r="E8240" t="str">
        <f>"HATTIESBURG               "</f>
        <v xml:space="preserve">HATTIESBURG               </v>
      </c>
      <c r="F8240" t="str">
        <f t="shared" si="254"/>
        <v>MS</v>
      </c>
    </row>
    <row r="8241" spans="1:6" x14ac:dyDescent="0.25">
      <c r="A8241" t="str">
        <f>"001503594"</f>
        <v>001503594</v>
      </c>
      <c r="B8241" t="str">
        <f>"1679141030"</f>
        <v>1679141030</v>
      </c>
      <c r="C8241" t="str">
        <f>"367500000X"</f>
        <v>367500000X</v>
      </c>
      <c r="D8241" t="str">
        <f>"LITTLE                   LAUREN                   "</f>
        <v xml:space="preserve">LITTLE                   LAUREN                   </v>
      </c>
      <c r="E8241" t="str">
        <f>"JACKSON                   "</f>
        <v xml:space="preserve">JACKSON                   </v>
      </c>
      <c r="F8241" t="str">
        <f t="shared" si="254"/>
        <v>MS</v>
      </c>
    </row>
    <row r="8242" spans="1:6" x14ac:dyDescent="0.25">
      <c r="A8242" t="str">
        <f>"001504256"</f>
        <v>001504256</v>
      </c>
      <c r="B8242" t="str">
        <f>"1356870141"</f>
        <v>1356870141</v>
      </c>
      <c r="C8242" t="str">
        <f>"363L00000X"</f>
        <v>363L00000X</v>
      </c>
      <c r="D8242" t="str">
        <f>"TUCKER                   MEGAN                    "</f>
        <v xml:space="preserve">TUCKER                   MEGAN                    </v>
      </c>
      <c r="E8242" t="str">
        <f>"COLUMBIA                  "</f>
        <v xml:space="preserve">COLUMBIA                  </v>
      </c>
      <c r="F8242" t="str">
        <f t="shared" si="254"/>
        <v>MS</v>
      </c>
    </row>
    <row r="8243" spans="1:6" x14ac:dyDescent="0.25">
      <c r="A8243" t="str">
        <f>"001505507"</f>
        <v>001505507</v>
      </c>
      <c r="B8243" t="str">
        <f>"1386203354"</f>
        <v>1386203354</v>
      </c>
      <c r="C8243" t="str">
        <f>"363L00000X"</f>
        <v>363L00000X</v>
      </c>
      <c r="D8243" t="str">
        <f>"COX                      ROBERT       F           "</f>
        <v xml:space="preserve">COX                      ROBERT       F           </v>
      </c>
      <c r="E8243" t="str">
        <f>"RULEVILLE                 "</f>
        <v xml:space="preserve">RULEVILLE                 </v>
      </c>
      <c r="F8243" t="str">
        <f t="shared" si="254"/>
        <v>MS</v>
      </c>
    </row>
    <row r="8244" spans="1:6" x14ac:dyDescent="0.25">
      <c r="A8244" t="str">
        <f>"001506043"</f>
        <v>001506043</v>
      </c>
      <c r="B8244" t="str">
        <f>"1326489345"</f>
        <v>1326489345</v>
      </c>
      <c r="C8244" t="str">
        <f>"1223X0400X"</f>
        <v>1223X0400X</v>
      </c>
      <c r="D8244" t="str">
        <f>"BROWN III                EDWARD       V           "</f>
        <v xml:space="preserve">BROWN III                EDWARD       V           </v>
      </c>
      <c r="E8244" t="str">
        <f>"GULFPORT                  "</f>
        <v xml:space="preserve">GULFPORT                  </v>
      </c>
      <c r="F8244" t="str">
        <f t="shared" si="254"/>
        <v>MS</v>
      </c>
    </row>
    <row r="8245" spans="1:6" x14ac:dyDescent="0.25">
      <c r="A8245" t="str">
        <f>"001506717"</f>
        <v>001506717</v>
      </c>
      <c r="B8245" t="str">
        <f>"1871835942"</f>
        <v>1871835942</v>
      </c>
      <c r="C8245" t="str">
        <f>"207R00000X"</f>
        <v>207R00000X</v>
      </c>
      <c r="D8245" t="str">
        <f>"LEE                      JENNIFER     J           "</f>
        <v xml:space="preserve">LEE                      JENNIFER     J           </v>
      </c>
      <c r="E8245" t="str">
        <f>"OLIVE BRANCH              "</f>
        <v xml:space="preserve">OLIVE BRANCH              </v>
      </c>
      <c r="F8245" t="str">
        <f t="shared" si="254"/>
        <v>MS</v>
      </c>
    </row>
    <row r="8246" spans="1:6" x14ac:dyDescent="0.25">
      <c r="A8246" t="str">
        <f>"001506817"</f>
        <v>001506817</v>
      </c>
      <c r="B8246" t="str">
        <f>"1750571741"</f>
        <v>1750571741</v>
      </c>
      <c r="C8246" t="str">
        <f>"152W00000X"</f>
        <v>152W00000X</v>
      </c>
      <c r="D8246" t="str">
        <f>"CRAWFORD JONES           KARMEN       L           "</f>
        <v xml:space="preserve">CRAWFORD JONES           KARMEN       L           </v>
      </c>
      <c r="E8246" t="str">
        <f>"RIDGELAND                 "</f>
        <v xml:space="preserve">RIDGELAND                 </v>
      </c>
      <c r="F8246" t="str">
        <f t="shared" si="254"/>
        <v>MS</v>
      </c>
    </row>
    <row r="8247" spans="1:6" x14ac:dyDescent="0.25">
      <c r="A8247" t="str">
        <f>"001507367"</f>
        <v>001507367</v>
      </c>
      <c r="B8247" t="str">
        <f>"1053506683"</f>
        <v>1053506683</v>
      </c>
      <c r="C8247" t="str">
        <f>"152W00000X"</f>
        <v>152W00000X</v>
      </c>
      <c r="D8247" t="str">
        <f>"CORINTH EYE CLINIC INC                            "</f>
        <v xml:space="preserve">CORINTH EYE CLINIC INC                            </v>
      </c>
      <c r="E8247" t="str">
        <f>"CORINTH                   "</f>
        <v xml:space="preserve">CORINTH                   </v>
      </c>
      <c r="F8247" t="str">
        <f t="shared" si="254"/>
        <v>MS</v>
      </c>
    </row>
    <row r="8248" spans="1:6" x14ac:dyDescent="0.25">
      <c r="A8248" t="str">
        <f>"001508569"</f>
        <v>001508569</v>
      </c>
      <c r="B8248" t="str">
        <f>"1831532746"</f>
        <v>1831532746</v>
      </c>
      <c r="C8248" t="str">
        <f>"207R00000X"</f>
        <v>207R00000X</v>
      </c>
      <c r="D8248" t="str">
        <f>"MA                       JINGYUAN                 "</f>
        <v xml:space="preserve">MA                       JINGYUAN                 </v>
      </c>
      <c r="E8248" t="str">
        <f>"JACKSON                   "</f>
        <v xml:space="preserve">JACKSON                   </v>
      </c>
      <c r="F8248" t="str">
        <f t="shared" si="254"/>
        <v>MS</v>
      </c>
    </row>
    <row r="8249" spans="1:6" x14ac:dyDescent="0.25">
      <c r="A8249" t="str">
        <f>"001508845"</f>
        <v>001508845</v>
      </c>
      <c r="B8249" t="str">
        <f>"1003131285"</f>
        <v>1003131285</v>
      </c>
      <c r="C8249" t="str">
        <f>"2084P0800X"</f>
        <v>2084P0800X</v>
      </c>
      <c r="D8249" t="str">
        <f>"SKELTON                  ANDREA                   "</f>
        <v xml:space="preserve">SKELTON                  ANDREA                   </v>
      </c>
      <c r="E8249" t="str">
        <f>"MERIDIAN                  "</f>
        <v xml:space="preserve">MERIDIAN                  </v>
      </c>
      <c r="F8249" t="str">
        <f t="shared" si="254"/>
        <v>MS</v>
      </c>
    </row>
    <row r="8250" spans="1:6" x14ac:dyDescent="0.25">
      <c r="A8250" t="str">
        <f>"001509089"</f>
        <v>001509089</v>
      </c>
      <c r="B8250" t="str">
        <f>"1962676379"</f>
        <v>1962676379</v>
      </c>
      <c r="C8250" t="str">
        <f>"208000000X"</f>
        <v>208000000X</v>
      </c>
      <c r="D8250" t="str">
        <f>"CARVER                   LAURA        J           "</f>
        <v xml:space="preserve">CARVER                   LAURA        J           </v>
      </c>
      <c r="E8250" t="str">
        <f>"OLIVE BRANCH              "</f>
        <v xml:space="preserve">OLIVE BRANCH              </v>
      </c>
      <c r="F8250" t="str">
        <f t="shared" si="254"/>
        <v>MS</v>
      </c>
    </row>
    <row r="8251" spans="1:6" x14ac:dyDescent="0.25">
      <c r="A8251" t="str">
        <f>"001509235"</f>
        <v>001509235</v>
      </c>
      <c r="B8251" t="str">
        <f>"1881694347"</f>
        <v>1881694347</v>
      </c>
      <c r="C8251" t="str">
        <f>"208800000X"</f>
        <v>208800000X</v>
      </c>
      <c r="D8251" t="str">
        <f>"FARABAUGH                PAUL         B           "</f>
        <v xml:space="preserve">FARABAUGH                PAUL         B           </v>
      </c>
      <c r="E8251" t="str">
        <f>"TUPELO                    "</f>
        <v xml:space="preserve">TUPELO                    </v>
      </c>
      <c r="F8251" t="str">
        <f t="shared" si="254"/>
        <v>MS</v>
      </c>
    </row>
    <row r="8252" spans="1:6" x14ac:dyDescent="0.25">
      <c r="A8252" t="str">
        <f>"001509718"</f>
        <v>001509718</v>
      </c>
      <c r="B8252" t="str">
        <f>"1952665655"</f>
        <v>1952665655</v>
      </c>
      <c r="C8252" t="str">
        <f>"207R00000X"</f>
        <v>207R00000X</v>
      </c>
      <c r="D8252" t="str">
        <f>"ROSEN                    SCOTT        S           "</f>
        <v xml:space="preserve">ROSEN                    SCOTT        S           </v>
      </c>
      <c r="E8252" t="str">
        <f>"SOUTHAVEN                 "</f>
        <v xml:space="preserve">SOUTHAVEN                 </v>
      </c>
      <c r="F8252" t="str">
        <f t="shared" si="254"/>
        <v>MS</v>
      </c>
    </row>
    <row r="8253" spans="1:6" x14ac:dyDescent="0.25">
      <c r="A8253" t="str">
        <f>"001520532"</f>
        <v>001520532</v>
      </c>
      <c r="B8253" t="str">
        <f>"1366713083"</f>
        <v>1366713083</v>
      </c>
      <c r="C8253" t="str">
        <f>"367500000X"</f>
        <v>367500000X</v>
      </c>
      <c r="D8253" t="str">
        <f>"FREY                     RONIT        N           "</f>
        <v xml:space="preserve">FREY                     RONIT        N           </v>
      </c>
      <c r="E8253" t="str">
        <f>"MERIDIAN                  "</f>
        <v xml:space="preserve">MERIDIAN                  </v>
      </c>
      <c r="F8253" t="str">
        <f t="shared" si="254"/>
        <v>MS</v>
      </c>
    </row>
    <row r="8254" spans="1:6" x14ac:dyDescent="0.25">
      <c r="A8254" t="str">
        <f>"001521000"</f>
        <v>001521000</v>
      </c>
      <c r="B8254" t="str">
        <f>"1225220239"</f>
        <v>1225220239</v>
      </c>
      <c r="C8254" t="str">
        <f>"363L00000X"</f>
        <v>363L00000X</v>
      </c>
      <c r="D8254" t="str">
        <f>"SKINNER                  ANGELA       K           "</f>
        <v xml:space="preserve">SKINNER                  ANGELA       K           </v>
      </c>
      <c r="E8254" t="str">
        <f>"PHILADELPHIA              "</f>
        <v xml:space="preserve">PHILADELPHIA              </v>
      </c>
      <c r="F8254" t="str">
        <f t="shared" ref="F8254:F8317" si="255">"MS"</f>
        <v>MS</v>
      </c>
    </row>
    <row r="8255" spans="1:6" x14ac:dyDescent="0.25">
      <c r="A8255" t="str">
        <f>"001521319"</f>
        <v>001521319</v>
      </c>
      <c r="B8255" t="str">
        <f>"1699757872"</f>
        <v>1699757872</v>
      </c>
      <c r="C8255" t="str">
        <f>"367500000X"</f>
        <v>367500000X</v>
      </c>
      <c r="D8255" t="str">
        <f>"BUTLER                   ERIC         L           "</f>
        <v xml:space="preserve">BUTLER                   ERIC         L           </v>
      </c>
      <c r="E8255" t="str">
        <f>"MERIDIAN                  "</f>
        <v xml:space="preserve">MERIDIAN                  </v>
      </c>
      <c r="F8255" t="str">
        <f t="shared" si="255"/>
        <v>MS</v>
      </c>
    </row>
    <row r="8256" spans="1:6" x14ac:dyDescent="0.25">
      <c r="A8256" t="str">
        <f>"001522027"</f>
        <v>001522027</v>
      </c>
      <c r="B8256" t="str">
        <f>"1194148130"</f>
        <v>1194148130</v>
      </c>
      <c r="C8256" t="str">
        <f>"363A00000X"</f>
        <v>363A00000X</v>
      </c>
      <c r="D8256" t="str">
        <f>"NOWELL                   GAVIN        W           "</f>
        <v xml:space="preserve">NOWELL                   GAVIN        W           </v>
      </c>
      <c r="E8256" t="str">
        <f>"JACKSON                   "</f>
        <v xml:space="preserve">JACKSON                   </v>
      </c>
      <c r="F8256" t="str">
        <f t="shared" si="255"/>
        <v>MS</v>
      </c>
    </row>
    <row r="8257" spans="1:6" x14ac:dyDescent="0.25">
      <c r="A8257" t="str">
        <f>"001522859"</f>
        <v>001522859</v>
      </c>
      <c r="B8257" t="str">
        <f>"1225083942"</f>
        <v>1225083942</v>
      </c>
      <c r="C8257" t="str">
        <f>"2085R0202X"</f>
        <v>2085R0202X</v>
      </c>
      <c r="D8257" t="str">
        <f>"HARDIN                   ROBERT       H           "</f>
        <v xml:space="preserve">HARDIN                   ROBERT       H           </v>
      </c>
      <c r="E8257" t="str">
        <f>"RIDGELAND                 "</f>
        <v xml:space="preserve">RIDGELAND                 </v>
      </c>
      <c r="F8257" t="str">
        <f t="shared" si="255"/>
        <v>MS</v>
      </c>
    </row>
    <row r="8258" spans="1:6" x14ac:dyDescent="0.25">
      <c r="A8258" t="str">
        <f>"001523734"</f>
        <v>001523734</v>
      </c>
      <c r="B8258" t="str">
        <f>"1467479964"</f>
        <v>1467479964</v>
      </c>
      <c r="C8258" t="str">
        <f>"367500000X"</f>
        <v>367500000X</v>
      </c>
      <c r="D8258" t="str">
        <f>"BENGE                    MICHAEL      R           "</f>
        <v xml:space="preserve">BENGE                    MICHAEL      R           </v>
      </c>
      <c r="E8258" t="str">
        <f>"TUPELO                    "</f>
        <v xml:space="preserve">TUPELO                    </v>
      </c>
      <c r="F8258" t="str">
        <f t="shared" si="255"/>
        <v>MS</v>
      </c>
    </row>
    <row r="8259" spans="1:6" x14ac:dyDescent="0.25">
      <c r="A8259" t="str">
        <f>"001524351"</f>
        <v>001524351</v>
      </c>
      <c r="B8259" t="str">
        <f>"1770173114"</f>
        <v>1770173114</v>
      </c>
      <c r="C8259" t="str">
        <f>"363L00000X"</f>
        <v>363L00000X</v>
      </c>
      <c r="D8259" t="str">
        <f>"MILLER                   LINDSEY      S           "</f>
        <v xml:space="preserve">MILLER                   LINDSEY      S           </v>
      </c>
      <c r="E8259" t="str">
        <f>"HATTIESBURG               "</f>
        <v xml:space="preserve">HATTIESBURG               </v>
      </c>
      <c r="F8259" t="str">
        <f t="shared" si="255"/>
        <v>MS</v>
      </c>
    </row>
    <row r="8260" spans="1:6" x14ac:dyDescent="0.25">
      <c r="A8260" t="str">
        <f>"001524745"</f>
        <v>001524745</v>
      </c>
      <c r="B8260" t="str">
        <f>"1750438255"</f>
        <v>1750438255</v>
      </c>
      <c r="C8260" t="str">
        <f>"122300000X"</f>
        <v>122300000X</v>
      </c>
      <c r="D8260" t="str">
        <f>"DAVIS                    ANDREA       L           "</f>
        <v xml:space="preserve">DAVIS                    ANDREA       L           </v>
      </c>
      <c r="E8260" t="str">
        <f>"GULFPORT                  "</f>
        <v xml:space="preserve">GULFPORT                  </v>
      </c>
      <c r="F8260" t="str">
        <f t="shared" si="255"/>
        <v>MS</v>
      </c>
    </row>
    <row r="8261" spans="1:6" x14ac:dyDescent="0.25">
      <c r="A8261" t="str">
        <f>"001525725"</f>
        <v>001525725</v>
      </c>
      <c r="B8261" t="str">
        <f>"1487094058"</f>
        <v>1487094058</v>
      </c>
      <c r="C8261" t="str">
        <f>"261QA1903X"</f>
        <v>261QA1903X</v>
      </c>
      <c r="D8261" t="str">
        <f>"COMPREHENSIVE PAIN CENTER FOR SURGE               "</f>
        <v xml:space="preserve">COMPREHENSIVE PAIN CENTER FOR SURGE               </v>
      </c>
      <c r="E8261" t="str">
        <f>"MADISON                   "</f>
        <v xml:space="preserve">MADISON                   </v>
      </c>
      <c r="F8261" t="str">
        <f t="shared" si="255"/>
        <v>MS</v>
      </c>
    </row>
    <row r="8262" spans="1:6" x14ac:dyDescent="0.25">
      <c r="A8262" t="str">
        <f>"001526357"</f>
        <v>001526357</v>
      </c>
      <c r="B8262" t="str">
        <f>"1194047829"</f>
        <v>1194047829</v>
      </c>
      <c r="C8262" t="str">
        <f>"363L00000X"</f>
        <v>363L00000X</v>
      </c>
      <c r="D8262" t="str">
        <f>"DRANE                    LUCINDA      B           "</f>
        <v xml:space="preserve">DRANE                    LUCINDA      B           </v>
      </c>
      <c r="E8262" t="str">
        <f>"NATCHEZ                   "</f>
        <v xml:space="preserve">NATCHEZ                   </v>
      </c>
      <c r="F8262" t="str">
        <f t="shared" si="255"/>
        <v>MS</v>
      </c>
    </row>
    <row r="8263" spans="1:6" x14ac:dyDescent="0.25">
      <c r="A8263" t="str">
        <f>"001527542"</f>
        <v>001527542</v>
      </c>
      <c r="B8263" t="str">
        <f>"1730538539"</f>
        <v>1730538539</v>
      </c>
      <c r="C8263" t="str">
        <f>"363L00000X"</f>
        <v>363L00000X</v>
      </c>
      <c r="D8263" t="str">
        <f>"BLANTON                  BRANDY                   "</f>
        <v xml:space="preserve">BLANTON                  BRANDY                   </v>
      </c>
      <c r="E8263" t="str">
        <f>"COLUMBUS                  "</f>
        <v xml:space="preserve">COLUMBUS                  </v>
      </c>
      <c r="F8263" t="str">
        <f t="shared" si="255"/>
        <v>MS</v>
      </c>
    </row>
    <row r="8264" spans="1:6" x14ac:dyDescent="0.25">
      <c r="A8264" t="str">
        <f>"001528361"</f>
        <v>001528361</v>
      </c>
      <c r="B8264" t="str">
        <f>"1659315042"</f>
        <v>1659315042</v>
      </c>
      <c r="C8264" t="str">
        <f>"207X00000X"</f>
        <v>207X00000X</v>
      </c>
      <c r="D8264" t="str">
        <f>"SMITH                    JUDITH       W           "</f>
        <v xml:space="preserve">SMITH                    JUDITH       W           </v>
      </c>
      <c r="E8264" t="str">
        <f>"BILOXI                    "</f>
        <v xml:space="preserve">BILOXI                    </v>
      </c>
      <c r="F8264" t="str">
        <f t="shared" si="255"/>
        <v>MS</v>
      </c>
    </row>
    <row r="8265" spans="1:6" x14ac:dyDescent="0.25">
      <c r="A8265" t="str">
        <f>"001528564"</f>
        <v>001528564</v>
      </c>
      <c r="B8265" t="str">
        <f>"1003099839"</f>
        <v>1003099839</v>
      </c>
      <c r="C8265" t="str">
        <f>"122300000X"</f>
        <v>122300000X</v>
      </c>
      <c r="D8265" t="str">
        <f>"BENDER DENTAL ASSOC, PC                           "</f>
        <v xml:space="preserve">BENDER DENTAL ASSOC, PC                           </v>
      </c>
      <c r="E8265" t="str">
        <f>"JACKSON                   "</f>
        <v xml:space="preserve">JACKSON                   </v>
      </c>
      <c r="F8265" t="str">
        <f t="shared" si="255"/>
        <v>MS</v>
      </c>
    </row>
    <row r="8266" spans="1:6" x14ac:dyDescent="0.25">
      <c r="A8266" t="str">
        <f>"001529099"</f>
        <v>001529099</v>
      </c>
      <c r="B8266" t="str">
        <f>"1740347483"</f>
        <v>1740347483</v>
      </c>
      <c r="C8266" t="str">
        <f>"363L00000X"</f>
        <v>363L00000X</v>
      </c>
      <c r="D8266" t="str">
        <f>"EDWARDS HAGER            HEATHER      H           "</f>
        <v xml:space="preserve">EDWARDS HAGER            HEATHER      H           </v>
      </c>
      <c r="E8266" t="str">
        <f>"WIGGINS                   "</f>
        <v xml:space="preserve">WIGGINS                   </v>
      </c>
      <c r="F8266" t="str">
        <f t="shared" si="255"/>
        <v>MS</v>
      </c>
    </row>
    <row r="8267" spans="1:6" x14ac:dyDescent="0.25">
      <c r="A8267" t="str">
        <f>"001531320"</f>
        <v>001531320</v>
      </c>
      <c r="B8267" t="str">
        <f>"1265904593"</f>
        <v>1265904593</v>
      </c>
      <c r="C8267" t="str">
        <f>"363A00000X"</f>
        <v>363A00000X</v>
      </c>
      <c r="D8267" t="str">
        <f>"BURKHALTER               MATTHEW                  "</f>
        <v xml:space="preserve">BURKHALTER               MATTHEW                  </v>
      </c>
      <c r="E8267" t="str">
        <f>"FOREST                    "</f>
        <v xml:space="preserve">FOREST                    </v>
      </c>
      <c r="F8267" t="str">
        <f t="shared" si="255"/>
        <v>MS</v>
      </c>
    </row>
    <row r="8268" spans="1:6" x14ac:dyDescent="0.25">
      <c r="A8268" t="str">
        <f>"001532506"</f>
        <v>001532506</v>
      </c>
      <c r="B8268" t="str">
        <f>"1437169844"</f>
        <v>1437169844</v>
      </c>
      <c r="C8268" t="str">
        <f>"207R00000X"</f>
        <v>207R00000X</v>
      </c>
      <c r="D8268" t="str">
        <f>"WATTERS                  CARTER       L           "</f>
        <v xml:space="preserve">WATTERS                  CARTER       L           </v>
      </c>
      <c r="E8268" t="str">
        <f>"JACKSON                   "</f>
        <v xml:space="preserve">JACKSON                   </v>
      </c>
      <c r="F8268" t="str">
        <f t="shared" si="255"/>
        <v>MS</v>
      </c>
    </row>
    <row r="8269" spans="1:6" x14ac:dyDescent="0.25">
      <c r="A8269" t="str">
        <f>"001532539"</f>
        <v>001532539</v>
      </c>
      <c r="B8269" t="str">
        <f>"1063970325"</f>
        <v>1063970325</v>
      </c>
      <c r="C8269" t="str">
        <f>"363L00000X"</f>
        <v>363L00000X</v>
      </c>
      <c r="D8269" t="str">
        <f>"SCHAFER                  KAYLA                    "</f>
        <v xml:space="preserve">SCHAFER                  KAYLA                    </v>
      </c>
      <c r="E8269" t="str">
        <f>"TUPELO                    "</f>
        <v xml:space="preserve">TUPELO                    </v>
      </c>
      <c r="F8269" t="str">
        <f t="shared" si="255"/>
        <v>MS</v>
      </c>
    </row>
    <row r="8270" spans="1:6" x14ac:dyDescent="0.25">
      <c r="A8270" t="str">
        <f>"001532554"</f>
        <v>001532554</v>
      </c>
      <c r="B8270" t="str">
        <f>"1568843332"</f>
        <v>1568843332</v>
      </c>
      <c r="C8270" t="str">
        <f>"207Q00000X"</f>
        <v>207Q00000X</v>
      </c>
      <c r="D8270" t="str">
        <f>"STEELE                   JORDAN       W           "</f>
        <v xml:space="preserve">STEELE                   JORDAN       W           </v>
      </c>
      <c r="E8270" t="str">
        <f>"TUPELO                    "</f>
        <v xml:space="preserve">TUPELO                    </v>
      </c>
      <c r="F8270" t="str">
        <f t="shared" si="255"/>
        <v>MS</v>
      </c>
    </row>
    <row r="8271" spans="1:6" x14ac:dyDescent="0.25">
      <c r="A8271" t="str">
        <f>"001533525"</f>
        <v>001533525</v>
      </c>
      <c r="B8271" t="str">
        <f>"1033870605"</f>
        <v>1033870605</v>
      </c>
      <c r="C8271" t="str">
        <f>"363L00000X"</f>
        <v>363L00000X</v>
      </c>
      <c r="D8271" t="str">
        <f>"TADLOCK                  ADRIENNE                 "</f>
        <v xml:space="preserve">TADLOCK                  ADRIENNE                 </v>
      </c>
      <c r="E8271" t="str">
        <f>"JACKSON                   "</f>
        <v xml:space="preserve">JACKSON                   </v>
      </c>
      <c r="F8271" t="str">
        <f t="shared" si="255"/>
        <v>MS</v>
      </c>
    </row>
    <row r="8272" spans="1:6" x14ac:dyDescent="0.25">
      <c r="A8272" t="str">
        <f>"001533818"</f>
        <v>001533818</v>
      </c>
      <c r="B8272" t="str">
        <f>"1568792885"</f>
        <v>1568792885</v>
      </c>
      <c r="C8272" t="str">
        <f>"363L00000X"</f>
        <v>363L00000X</v>
      </c>
      <c r="D8272" t="str">
        <f>"DOOLITTLE                CAROL                    "</f>
        <v xml:space="preserve">DOOLITTLE                CAROL                    </v>
      </c>
      <c r="E8272" t="str">
        <f>"GREENVILLE                "</f>
        <v xml:space="preserve">GREENVILLE                </v>
      </c>
      <c r="F8272" t="str">
        <f t="shared" si="255"/>
        <v>MS</v>
      </c>
    </row>
    <row r="8273" spans="1:6" x14ac:dyDescent="0.25">
      <c r="A8273" t="str">
        <f>"001535219"</f>
        <v>001535219</v>
      </c>
      <c r="B8273" t="str">
        <f>"1487684767"</f>
        <v>1487684767</v>
      </c>
      <c r="C8273" t="str">
        <f>"367500000X"</f>
        <v>367500000X</v>
      </c>
      <c r="D8273" t="str">
        <f>"WELBORN                  LEA          E           "</f>
        <v xml:space="preserve">WELBORN                  LEA          E           </v>
      </c>
      <c r="E8273" t="str">
        <f>"OXFORD                    "</f>
        <v xml:space="preserve">OXFORD                    </v>
      </c>
      <c r="F8273" t="str">
        <f t="shared" si="255"/>
        <v>MS</v>
      </c>
    </row>
    <row r="8274" spans="1:6" x14ac:dyDescent="0.25">
      <c r="A8274" t="str">
        <f>"001535298"</f>
        <v>001535298</v>
      </c>
      <c r="B8274" t="str">
        <f>"1821754631"</f>
        <v>1821754631</v>
      </c>
      <c r="C8274" t="str">
        <f>"363L00000X"</f>
        <v>363L00000X</v>
      </c>
      <c r="D8274" t="str">
        <f>"THURMAN                  JESSALYNN    D           "</f>
        <v xml:space="preserve">THURMAN                  JESSALYNN    D           </v>
      </c>
      <c r="E8274" t="str">
        <f>"FLOWOOD                   "</f>
        <v xml:space="preserve">FLOWOOD                   </v>
      </c>
      <c r="F8274" t="str">
        <f t="shared" si="255"/>
        <v>MS</v>
      </c>
    </row>
    <row r="8275" spans="1:6" x14ac:dyDescent="0.25">
      <c r="A8275" t="str">
        <f>"001535753"</f>
        <v>001535753</v>
      </c>
      <c r="B8275" t="str">
        <f>"1619598174"</f>
        <v>1619598174</v>
      </c>
      <c r="C8275" t="str">
        <f>"363L00000X"</f>
        <v>363L00000X</v>
      </c>
      <c r="D8275" t="str">
        <f>"KELLUM                   BRITTANY     A           "</f>
        <v xml:space="preserve">KELLUM                   BRITTANY     A           </v>
      </c>
      <c r="E8275" t="str">
        <f>"SOUTHAVEN                 "</f>
        <v xml:space="preserve">SOUTHAVEN                 </v>
      </c>
      <c r="F8275" t="str">
        <f t="shared" si="255"/>
        <v>MS</v>
      </c>
    </row>
    <row r="8276" spans="1:6" x14ac:dyDescent="0.25">
      <c r="A8276" t="str">
        <f>"001536281"</f>
        <v>001536281</v>
      </c>
      <c r="B8276" t="str">
        <f>"1588002554"</f>
        <v>1588002554</v>
      </c>
      <c r="C8276" t="str">
        <f>"207Q00000X"</f>
        <v>207Q00000X</v>
      </c>
      <c r="D8276" t="str">
        <f>"MADDOX                   BRIAN        C           "</f>
        <v xml:space="preserve">MADDOX                   BRIAN        C           </v>
      </c>
      <c r="E8276" t="str">
        <f>"OCEAN SPRINGS             "</f>
        <v xml:space="preserve">OCEAN SPRINGS             </v>
      </c>
      <c r="F8276" t="str">
        <f t="shared" si="255"/>
        <v>MS</v>
      </c>
    </row>
    <row r="8277" spans="1:6" x14ac:dyDescent="0.25">
      <c r="A8277" t="str">
        <f>"001537021"</f>
        <v>001537021</v>
      </c>
      <c r="B8277" t="str">
        <f>"1225219405"</f>
        <v>1225219405</v>
      </c>
      <c r="C8277" t="str">
        <f>"2085R0202X"</f>
        <v>2085R0202X</v>
      </c>
      <c r="D8277" t="str">
        <f>"QUIN                     STEVEN       B           "</f>
        <v xml:space="preserve">QUIN                     STEVEN       B           </v>
      </c>
      <c r="E8277" t="str">
        <f>"LAUREL                    "</f>
        <v xml:space="preserve">LAUREL                    </v>
      </c>
      <c r="F8277" t="str">
        <f t="shared" si="255"/>
        <v>MS</v>
      </c>
    </row>
    <row r="8278" spans="1:6" x14ac:dyDescent="0.25">
      <c r="A8278" t="str">
        <f>"001537093"</f>
        <v>001537093</v>
      </c>
      <c r="B8278" t="str">
        <f>"1164856894"</f>
        <v>1164856894</v>
      </c>
      <c r="C8278" t="str">
        <f>"363L00000X"</f>
        <v>363L00000X</v>
      </c>
      <c r="D8278" t="str">
        <f>"TOTTY                    KATHERINE    B           "</f>
        <v xml:space="preserve">TOTTY                    KATHERINE    B           </v>
      </c>
      <c r="E8278" t="str">
        <f>"JACKSON                   "</f>
        <v xml:space="preserve">JACKSON                   </v>
      </c>
      <c r="F8278" t="str">
        <f t="shared" si="255"/>
        <v>MS</v>
      </c>
    </row>
    <row r="8279" spans="1:6" x14ac:dyDescent="0.25">
      <c r="A8279" t="str">
        <f>"001537372"</f>
        <v>001537372</v>
      </c>
      <c r="B8279" t="str">
        <f>"1275502403"</f>
        <v>1275502403</v>
      </c>
      <c r="C8279" t="str">
        <f>"207R00000X"</f>
        <v>207R00000X</v>
      </c>
      <c r="D8279" t="str">
        <f>"MENEFEE                  DERRECK      F           "</f>
        <v xml:space="preserve">MENEFEE                  DERRECK      F           </v>
      </c>
      <c r="E8279" t="str">
        <f>"TUPELO                    "</f>
        <v xml:space="preserve">TUPELO                    </v>
      </c>
      <c r="F8279" t="str">
        <f t="shared" si="255"/>
        <v>MS</v>
      </c>
    </row>
    <row r="8280" spans="1:6" x14ac:dyDescent="0.25">
      <c r="A8280" t="str">
        <f>"001538051"</f>
        <v>001538051</v>
      </c>
      <c r="B8280" t="str">
        <f>"1982964565"</f>
        <v>1982964565</v>
      </c>
      <c r="C8280" t="str">
        <f>"363L00000X"</f>
        <v>363L00000X</v>
      </c>
      <c r="D8280" t="str">
        <f>"BLACKWELL                CHRISTOPHER  W           "</f>
        <v xml:space="preserve">BLACKWELL                CHRISTOPHER  W           </v>
      </c>
      <c r="E8280" t="str">
        <f>"TYLERTOWN                 "</f>
        <v xml:space="preserve">TYLERTOWN                 </v>
      </c>
      <c r="F8280" t="str">
        <f t="shared" si="255"/>
        <v>MS</v>
      </c>
    </row>
    <row r="8281" spans="1:6" x14ac:dyDescent="0.25">
      <c r="A8281" t="str">
        <f>"001539051"</f>
        <v>001539051</v>
      </c>
      <c r="B8281" t="str">
        <f>"1992145361"</f>
        <v>1992145361</v>
      </c>
      <c r="C8281" t="str">
        <f>"207W00000X"</f>
        <v>207W00000X</v>
      </c>
      <c r="D8281" t="str">
        <f>"STEVENS                  CLAYTON      A           "</f>
        <v xml:space="preserve">STEVENS                  CLAYTON      A           </v>
      </c>
      <c r="E8281" t="str">
        <f>"BILOXI                    "</f>
        <v xml:space="preserve">BILOXI                    </v>
      </c>
      <c r="F8281" t="str">
        <f t="shared" si="255"/>
        <v>MS</v>
      </c>
    </row>
    <row r="8282" spans="1:6" x14ac:dyDescent="0.25">
      <c r="A8282" t="str">
        <f>"001550738"</f>
        <v>001550738</v>
      </c>
      <c r="B8282" t="str">
        <f>"1760727481"</f>
        <v>1760727481</v>
      </c>
      <c r="C8282" t="str">
        <f>"152W00000X"</f>
        <v>152W00000X</v>
      </c>
      <c r="D8282" t="str">
        <f>"DODD EYE CLINIC P C                               "</f>
        <v xml:space="preserve">DODD EYE CLINIC P C                               </v>
      </c>
      <c r="E8282" t="str">
        <f>"CORINTH                   "</f>
        <v xml:space="preserve">CORINTH                   </v>
      </c>
      <c r="F8282" t="str">
        <f t="shared" si="255"/>
        <v>MS</v>
      </c>
    </row>
    <row r="8283" spans="1:6" x14ac:dyDescent="0.25">
      <c r="A8283" t="str">
        <f>"001550883"</f>
        <v>001550883</v>
      </c>
      <c r="B8283" t="str">
        <f>"1750776290"</f>
        <v>1750776290</v>
      </c>
      <c r="C8283" t="str">
        <f>"207R00000X"</f>
        <v>207R00000X</v>
      </c>
      <c r="D8283" t="str">
        <f>"CLARK                    CAITLIN                  "</f>
        <v xml:space="preserve">CLARK                    CAITLIN                  </v>
      </c>
      <c r="E8283" t="str">
        <f>"TUPELO                    "</f>
        <v xml:space="preserve">TUPELO                    </v>
      </c>
      <c r="F8283" t="str">
        <f t="shared" si="255"/>
        <v>MS</v>
      </c>
    </row>
    <row r="8284" spans="1:6" x14ac:dyDescent="0.25">
      <c r="A8284" t="str">
        <f>"001553380"</f>
        <v>001553380</v>
      </c>
      <c r="B8284" t="str">
        <f>"1003059874"</f>
        <v>1003059874</v>
      </c>
      <c r="C8284" t="str">
        <f>"207Q00000X"</f>
        <v>207Q00000X</v>
      </c>
      <c r="D8284" t="str">
        <f>"AMOS                     AARON        A           "</f>
        <v xml:space="preserve">AMOS                     AARON        A           </v>
      </c>
      <c r="E8284" t="str">
        <f>"OLIVE BRANCH              "</f>
        <v xml:space="preserve">OLIVE BRANCH              </v>
      </c>
      <c r="F8284" t="str">
        <f t="shared" si="255"/>
        <v>MS</v>
      </c>
    </row>
    <row r="8285" spans="1:6" x14ac:dyDescent="0.25">
      <c r="A8285" t="str">
        <f>"001556397"</f>
        <v>001556397</v>
      </c>
      <c r="B8285" t="str">
        <f>"1538459078"</f>
        <v>1538459078</v>
      </c>
      <c r="C8285" t="str">
        <f>"363L00000X"</f>
        <v>363L00000X</v>
      </c>
      <c r="D8285" t="str">
        <f>"GALBRAITH                LEAURA       B           "</f>
        <v xml:space="preserve">GALBRAITH                LEAURA       B           </v>
      </c>
      <c r="E8285" t="str">
        <f>"NEW ALBANY                "</f>
        <v xml:space="preserve">NEW ALBANY                </v>
      </c>
      <c r="F8285" t="str">
        <f t="shared" si="255"/>
        <v>MS</v>
      </c>
    </row>
    <row r="8286" spans="1:6" x14ac:dyDescent="0.25">
      <c r="A8286" t="str">
        <f>"001556745"</f>
        <v>001556745</v>
      </c>
      <c r="B8286" t="str">
        <f>"1336699578"</f>
        <v>1336699578</v>
      </c>
      <c r="C8286" t="str">
        <f>"363L00000X"</f>
        <v>363L00000X</v>
      </c>
      <c r="D8286" t="str">
        <f>"MORDECAI                 JENNA                    "</f>
        <v xml:space="preserve">MORDECAI                 JENNA                    </v>
      </c>
      <c r="E8286" t="str">
        <f>"TUPELO                    "</f>
        <v xml:space="preserve">TUPELO                    </v>
      </c>
      <c r="F8286" t="str">
        <f t="shared" si="255"/>
        <v>MS</v>
      </c>
    </row>
    <row r="8287" spans="1:6" x14ac:dyDescent="0.25">
      <c r="A8287" t="str">
        <f>"001557733"</f>
        <v>001557733</v>
      </c>
      <c r="B8287" t="str">
        <f>"1861087215"</f>
        <v>1861087215</v>
      </c>
      <c r="C8287" t="str">
        <f>"363L00000X"</f>
        <v>363L00000X</v>
      </c>
      <c r="D8287" t="str">
        <f>"PITTMAN                  HOPE         V           "</f>
        <v xml:space="preserve">PITTMAN                  HOPE         V           </v>
      </c>
      <c r="E8287" t="str">
        <f>"HATTIESBURG               "</f>
        <v xml:space="preserve">HATTIESBURG               </v>
      </c>
      <c r="F8287" t="str">
        <f t="shared" si="255"/>
        <v>MS</v>
      </c>
    </row>
    <row r="8288" spans="1:6" x14ac:dyDescent="0.25">
      <c r="A8288" t="str">
        <f>"001557888"</f>
        <v>001557888</v>
      </c>
      <c r="B8288" t="str">
        <f>"1366437055"</f>
        <v>1366437055</v>
      </c>
      <c r="C8288" t="str">
        <f>"367500000X"</f>
        <v>367500000X</v>
      </c>
      <c r="D8288" t="str">
        <f>"CASHWELL                 MATTHEW                  "</f>
        <v xml:space="preserve">CASHWELL                 MATTHEW                  </v>
      </c>
      <c r="E8288" t="str">
        <f>"LUCEDALE                  "</f>
        <v xml:space="preserve">LUCEDALE                  </v>
      </c>
      <c r="F8288" t="str">
        <f t="shared" si="255"/>
        <v>MS</v>
      </c>
    </row>
    <row r="8289" spans="1:6" x14ac:dyDescent="0.25">
      <c r="A8289" t="str">
        <f>"001558201"</f>
        <v>001558201</v>
      </c>
      <c r="B8289" t="str">
        <f>"1043827900"</f>
        <v>1043827900</v>
      </c>
      <c r="C8289" t="str">
        <f>"363L00000X"</f>
        <v>363L00000X</v>
      </c>
      <c r="D8289" t="str">
        <f>"ODOM                     CARLA                    "</f>
        <v xml:space="preserve">ODOM                     CARLA                    </v>
      </c>
      <c r="E8289" t="str">
        <f>"TYLERTOWN                 "</f>
        <v xml:space="preserve">TYLERTOWN                 </v>
      </c>
      <c r="F8289" t="str">
        <f t="shared" si="255"/>
        <v>MS</v>
      </c>
    </row>
    <row r="8290" spans="1:6" x14ac:dyDescent="0.25">
      <c r="A8290" t="str">
        <f>"001558324"</f>
        <v>001558324</v>
      </c>
      <c r="B8290" t="str">
        <f>"1134659428"</f>
        <v>1134659428</v>
      </c>
      <c r="C8290" t="str">
        <f>"207Q00000X"</f>
        <v>207Q00000X</v>
      </c>
      <c r="D8290" t="str">
        <f>"ZEPPONI                  TIMOTHY      B           "</f>
        <v xml:space="preserve">ZEPPONI                  TIMOTHY      B           </v>
      </c>
      <c r="E8290" t="str">
        <f>"GREENVILLE                "</f>
        <v xml:space="preserve">GREENVILLE                </v>
      </c>
      <c r="F8290" t="str">
        <f t="shared" si="255"/>
        <v>MS</v>
      </c>
    </row>
    <row r="8291" spans="1:6" x14ac:dyDescent="0.25">
      <c r="A8291" t="str">
        <f>"001559597"</f>
        <v>001559597</v>
      </c>
      <c r="B8291" t="str">
        <f>"1023586609"</f>
        <v>1023586609</v>
      </c>
      <c r="C8291" t="str">
        <f>"261QF0400X"</f>
        <v>261QF0400X</v>
      </c>
      <c r="D8291" t="str">
        <f>"RAYMOND ELEMENTARY SCHOOL                         "</f>
        <v xml:space="preserve">RAYMOND ELEMENTARY SCHOOL                         </v>
      </c>
      <c r="E8291" t="str">
        <f>"RAYMOND                   "</f>
        <v xml:space="preserve">RAYMOND                   </v>
      </c>
      <c r="F8291" t="str">
        <f t="shared" si="255"/>
        <v>MS</v>
      </c>
    </row>
    <row r="8292" spans="1:6" x14ac:dyDescent="0.25">
      <c r="A8292" t="str">
        <f>"001559728"</f>
        <v>001559728</v>
      </c>
      <c r="B8292" t="str">
        <f>"1215486444"</f>
        <v>1215486444</v>
      </c>
      <c r="C8292" t="str">
        <f>"367500000X"</f>
        <v>367500000X</v>
      </c>
      <c r="D8292" t="str">
        <f>"CLARK                    STEPHANIE    N           "</f>
        <v xml:space="preserve">CLARK                    STEPHANIE    N           </v>
      </c>
      <c r="E8292" t="str">
        <f>"GULFPORT                  "</f>
        <v xml:space="preserve">GULFPORT                  </v>
      </c>
      <c r="F8292" t="str">
        <f t="shared" si="255"/>
        <v>MS</v>
      </c>
    </row>
    <row r="8293" spans="1:6" x14ac:dyDescent="0.25">
      <c r="A8293" t="str">
        <f>"001570870"</f>
        <v>001570870</v>
      </c>
      <c r="B8293" t="str">
        <f>"1225521982"</f>
        <v>1225521982</v>
      </c>
      <c r="C8293" t="str">
        <f>"363L00000X"</f>
        <v>363L00000X</v>
      </c>
      <c r="D8293" t="str">
        <f>"DESCHAMP                 GABRIELLE    F           "</f>
        <v xml:space="preserve">DESCHAMP                 GABRIELLE    F           </v>
      </c>
      <c r="E8293" t="str">
        <f>"DIAMONDHEAD               "</f>
        <v xml:space="preserve">DIAMONDHEAD               </v>
      </c>
      <c r="F8293" t="str">
        <f t="shared" si="255"/>
        <v>MS</v>
      </c>
    </row>
    <row r="8294" spans="1:6" x14ac:dyDescent="0.25">
      <c r="A8294" t="str">
        <f>"001570890"</f>
        <v>001570890</v>
      </c>
      <c r="B8294" t="str">
        <f>"1871640292"</f>
        <v>1871640292</v>
      </c>
      <c r="C8294" t="str">
        <f>"363L00000X"</f>
        <v>363L00000X</v>
      </c>
      <c r="D8294" t="str">
        <f>"BROCK                    DOREEN                   "</f>
        <v xml:space="preserve">BROCK                    DOREEN                   </v>
      </c>
      <c r="E8294" t="str">
        <f>"BILOXI                    "</f>
        <v xml:space="preserve">BILOXI                    </v>
      </c>
      <c r="F8294" t="str">
        <f t="shared" si="255"/>
        <v>MS</v>
      </c>
    </row>
    <row r="8295" spans="1:6" x14ac:dyDescent="0.25">
      <c r="A8295" t="str">
        <f>"001571266"</f>
        <v>001571266</v>
      </c>
      <c r="B8295" t="str">
        <f>"1831849686"</f>
        <v>1831849686</v>
      </c>
      <c r="C8295" t="str">
        <f>"207R00000X"</f>
        <v>207R00000X</v>
      </c>
      <c r="D8295" t="str">
        <f>"SKELTON                  JEFFERSON                "</f>
        <v xml:space="preserve">SKELTON                  JEFFERSON                </v>
      </c>
      <c r="E8295" t="str">
        <f>"JACKSON                   "</f>
        <v xml:space="preserve">JACKSON                   </v>
      </c>
      <c r="F8295" t="str">
        <f t="shared" si="255"/>
        <v>MS</v>
      </c>
    </row>
    <row r="8296" spans="1:6" x14ac:dyDescent="0.25">
      <c r="A8296" t="str">
        <f>"001571758"</f>
        <v>001571758</v>
      </c>
      <c r="B8296" t="str">
        <f>"1164062295"</f>
        <v>1164062295</v>
      </c>
      <c r="C8296" t="str">
        <f>"363L00000X"</f>
        <v>363L00000X</v>
      </c>
      <c r="D8296" t="str">
        <f>"BROOKS                   ASHLEY       S           "</f>
        <v xml:space="preserve">BROOKS                   ASHLEY       S           </v>
      </c>
      <c r="E8296" t="str">
        <f>"LAUREL                    "</f>
        <v xml:space="preserve">LAUREL                    </v>
      </c>
      <c r="F8296" t="str">
        <f t="shared" si="255"/>
        <v>MS</v>
      </c>
    </row>
    <row r="8297" spans="1:6" x14ac:dyDescent="0.25">
      <c r="A8297" t="str">
        <f>"001572033"</f>
        <v>001572033</v>
      </c>
      <c r="B8297" t="str">
        <f>"1548271448"</f>
        <v>1548271448</v>
      </c>
      <c r="C8297" t="str">
        <f>"207Y00000X"</f>
        <v>207Y00000X</v>
      </c>
      <c r="D8297" t="str">
        <f>"SIMMONS                  RYAN         C           "</f>
        <v xml:space="preserve">SIMMONS                  RYAN         C           </v>
      </c>
      <c r="E8297" t="str">
        <f>"TUPELO                    "</f>
        <v xml:space="preserve">TUPELO                    </v>
      </c>
      <c r="F8297" t="str">
        <f t="shared" si="255"/>
        <v>MS</v>
      </c>
    </row>
    <row r="8298" spans="1:6" x14ac:dyDescent="0.25">
      <c r="A8298" t="str">
        <f>"001572511"</f>
        <v>001572511</v>
      </c>
      <c r="B8298" t="str">
        <f>"1275804270"</f>
        <v>1275804270</v>
      </c>
      <c r="C8298" t="str">
        <f>"363L00000X"</f>
        <v>363L00000X</v>
      </c>
      <c r="D8298" t="str">
        <f>"TANNER                   ANTHONY      T           "</f>
        <v xml:space="preserve">TANNER                   ANTHONY      T           </v>
      </c>
      <c r="E8298" t="str">
        <f>"HURLEY                    "</f>
        <v xml:space="preserve">HURLEY                    </v>
      </c>
      <c r="F8298" t="str">
        <f t="shared" si="255"/>
        <v>MS</v>
      </c>
    </row>
    <row r="8299" spans="1:6" x14ac:dyDescent="0.25">
      <c r="A8299" t="str">
        <f>"001573005"</f>
        <v>001573005</v>
      </c>
      <c r="B8299" t="str">
        <f>"1447450010"</f>
        <v>1447450010</v>
      </c>
      <c r="C8299" t="str">
        <f>"2085R0202X"</f>
        <v>2085R0202X</v>
      </c>
      <c r="D8299" t="str">
        <f>"SONES                    WILLIAM                  "</f>
        <v xml:space="preserve">SONES                    WILLIAM                  </v>
      </c>
      <c r="E8299" t="str">
        <f>"BROOKHAVEN                "</f>
        <v xml:space="preserve">BROOKHAVEN                </v>
      </c>
      <c r="F8299" t="str">
        <f t="shared" si="255"/>
        <v>MS</v>
      </c>
    </row>
    <row r="8300" spans="1:6" x14ac:dyDescent="0.25">
      <c r="A8300" t="str">
        <f>"001573550"</f>
        <v>001573550</v>
      </c>
      <c r="B8300" t="str">
        <f>"1790780716"</f>
        <v>1790780716</v>
      </c>
      <c r="C8300" t="str">
        <f>"207R00000X"</f>
        <v>207R00000X</v>
      </c>
      <c r="D8300" t="str">
        <f>"QU                       GUANGZHI                 "</f>
        <v xml:space="preserve">QU                       GUANGZHI                 </v>
      </c>
      <c r="E8300" t="str">
        <f>"JACKSON                   "</f>
        <v xml:space="preserve">JACKSON                   </v>
      </c>
      <c r="F8300" t="str">
        <f t="shared" si="255"/>
        <v>MS</v>
      </c>
    </row>
    <row r="8301" spans="1:6" x14ac:dyDescent="0.25">
      <c r="A8301" t="str">
        <f>"001573743"</f>
        <v>001573743</v>
      </c>
      <c r="B8301" t="str">
        <f>"1730671538"</f>
        <v>1730671538</v>
      </c>
      <c r="C8301" t="str">
        <f>"363L00000X"</f>
        <v>363L00000X</v>
      </c>
      <c r="D8301" t="str">
        <f>"COOLEY                   ERIN                     "</f>
        <v xml:space="preserve">COOLEY                   ERIN                     </v>
      </c>
      <c r="E8301" t="str">
        <f>"MERIDIAN                  "</f>
        <v xml:space="preserve">MERIDIAN                  </v>
      </c>
      <c r="F8301" t="str">
        <f t="shared" si="255"/>
        <v>MS</v>
      </c>
    </row>
    <row r="8302" spans="1:6" x14ac:dyDescent="0.25">
      <c r="A8302" t="str">
        <f>"001573760"</f>
        <v>001573760</v>
      </c>
      <c r="B8302" t="str">
        <f>"1942891395"</f>
        <v>1942891395</v>
      </c>
      <c r="C8302" t="str">
        <f>"363A00000X"</f>
        <v>363A00000X</v>
      </c>
      <c r="D8302" t="str">
        <f>"CURRAN                   ERIN         E           "</f>
        <v xml:space="preserve">CURRAN                   ERIN         E           </v>
      </c>
      <c r="E8302" t="str">
        <f>"MADISON                   "</f>
        <v xml:space="preserve">MADISON                   </v>
      </c>
      <c r="F8302" t="str">
        <f t="shared" si="255"/>
        <v>MS</v>
      </c>
    </row>
    <row r="8303" spans="1:6" x14ac:dyDescent="0.25">
      <c r="A8303" t="str">
        <f>"001573825"</f>
        <v>001573825</v>
      </c>
      <c r="B8303" t="str">
        <f>"1841699758"</f>
        <v>1841699758</v>
      </c>
      <c r="C8303" t="str">
        <f>"363L00000X"</f>
        <v>363L00000X</v>
      </c>
      <c r="D8303" t="str">
        <f>"PERRYMAN                 CINDA                    "</f>
        <v xml:space="preserve">PERRYMAN                 CINDA                    </v>
      </c>
      <c r="E8303" t="str">
        <f>"FAYETTE                   "</f>
        <v xml:space="preserve">FAYETTE                   </v>
      </c>
      <c r="F8303" t="str">
        <f t="shared" si="255"/>
        <v>MS</v>
      </c>
    </row>
    <row r="8304" spans="1:6" x14ac:dyDescent="0.25">
      <c r="A8304" t="str">
        <f>"001574210"</f>
        <v>001574210</v>
      </c>
      <c r="B8304" t="str">
        <f>"1447786801"</f>
        <v>1447786801</v>
      </c>
      <c r="C8304" t="str">
        <f>"363L00000X"</f>
        <v>363L00000X</v>
      </c>
      <c r="D8304" t="str">
        <f>"TYNES                    LESLIE       R           "</f>
        <v xml:space="preserve">TYNES                    LESLIE       R           </v>
      </c>
      <c r="E8304" t="str">
        <f>"JACKSON                   "</f>
        <v xml:space="preserve">JACKSON                   </v>
      </c>
      <c r="F8304" t="str">
        <f t="shared" si="255"/>
        <v>MS</v>
      </c>
    </row>
    <row r="8305" spans="1:6" x14ac:dyDescent="0.25">
      <c r="A8305" t="str">
        <f>"001574265"</f>
        <v>001574265</v>
      </c>
      <c r="B8305" t="str">
        <f>"1063656650"</f>
        <v>1063656650</v>
      </c>
      <c r="C8305" t="str">
        <f>"208600000X"</f>
        <v>208600000X</v>
      </c>
      <c r="D8305" t="str">
        <f>"MARTIN                   CHRISTOPHER  L           "</f>
        <v xml:space="preserve">MARTIN                   CHRISTOPHER  L           </v>
      </c>
      <c r="E8305" t="str">
        <f>"NATCHEZ                   "</f>
        <v xml:space="preserve">NATCHEZ                   </v>
      </c>
      <c r="F8305" t="str">
        <f t="shared" si="255"/>
        <v>MS</v>
      </c>
    </row>
    <row r="8306" spans="1:6" x14ac:dyDescent="0.25">
      <c r="A8306" t="str">
        <f>"001575382"</f>
        <v>001575382</v>
      </c>
      <c r="B8306" t="str">
        <f>"1649576539"</f>
        <v>1649576539</v>
      </c>
      <c r="C8306" t="str">
        <f>"2086S0122X"</f>
        <v>2086S0122X</v>
      </c>
      <c r="D8306" t="str">
        <f>"WALKER                   WILLIAM      B           "</f>
        <v xml:space="preserve">WALKER                   WILLIAM      B           </v>
      </c>
      <c r="E8306" t="str">
        <f>"MORTON                    "</f>
        <v xml:space="preserve">MORTON                    </v>
      </c>
      <c r="F8306" t="str">
        <f t="shared" si="255"/>
        <v>MS</v>
      </c>
    </row>
    <row r="8307" spans="1:6" x14ac:dyDescent="0.25">
      <c r="A8307" t="str">
        <f>"001578795"</f>
        <v>001578795</v>
      </c>
      <c r="B8307" t="str">
        <f>"1174861058"</f>
        <v>1174861058</v>
      </c>
      <c r="C8307" t="str">
        <f>"363A00000X"</f>
        <v>363A00000X</v>
      </c>
      <c r="D8307" t="str">
        <f>"GRANT                    CARRIE       J           "</f>
        <v xml:space="preserve">GRANT                    CARRIE       J           </v>
      </c>
      <c r="E8307" t="str">
        <f>"OCEAN SPRINGS             "</f>
        <v xml:space="preserve">OCEAN SPRINGS             </v>
      </c>
      <c r="F8307" t="str">
        <f t="shared" si="255"/>
        <v>MS</v>
      </c>
    </row>
    <row r="8308" spans="1:6" x14ac:dyDescent="0.25">
      <c r="A8308" t="str">
        <f>"001581003"</f>
        <v>001581003</v>
      </c>
      <c r="B8308" t="str">
        <f>"1972113439"</f>
        <v>1972113439</v>
      </c>
      <c r="C8308" t="str">
        <f>"363L00000X"</f>
        <v>363L00000X</v>
      </c>
      <c r="D8308" t="str">
        <f>"GIANGROSSO               JONATHAN     A           "</f>
        <v xml:space="preserve">GIANGROSSO               JONATHAN     A           </v>
      </c>
      <c r="E8308" t="str">
        <f>"MAGEE                     "</f>
        <v xml:space="preserve">MAGEE                     </v>
      </c>
      <c r="F8308" t="str">
        <f t="shared" si="255"/>
        <v>MS</v>
      </c>
    </row>
    <row r="8309" spans="1:6" x14ac:dyDescent="0.25">
      <c r="A8309" t="str">
        <f>"001581030"</f>
        <v>001581030</v>
      </c>
      <c r="B8309" t="str">
        <f>"1417208422"</f>
        <v>1417208422</v>
      </c>
      <c r="C8309" t="str">
        <f>"261QA0600X"</f>
        <v>261QA0600X</v>
      </c>
      <c r="D8309" t="str">
        <f>"LIVING STONE ADULT DAYCARE                        "</f>
        <v xml:space="preserve">LIVING STONE ADULT DAYCARE                        </v>
      </c>
      <c r="E8309" t="str">
        <f>"LEXINGTON                 "</f>
        <v xml:space="preserve">LEXINGTON                 </v>
      </c>
      <c r="F8309" t="str">
        <f t="shared" si="255"/>
        <v>MS</v>
      </c>
    </row>
    <row r="8310" spans="1:6" x14ac:dyDescent="0.25">
      <c r="A8310" t="str">
        <f>"001582501"</f>
        <v>001582501</v>
      </c>
      <c r="B8310" t="str">
        <f>"1962177519"</f>
        <v>1962177519</v>
      </c>
      <c r="C8310" t="str">
        <f>"363L00000X"</f>
        <v>363L00000X</v>
      </c>
      <c r="D8310" t="str">
        <f>"BASS                     JENNIFER     O           "</f>
        <v xml:space="preserve">BASS                     JENNIFER     O           </v>
      </c>
      <c r="E8310" t="str">
        <f>"MCCOMB                    "</f>
        <v xml:space="preserve">MCCOMB                    </v>
      </c>
      <c r="F8310" t="str">
        <f t="shared" si="255"/>
        <v>MS</v>
      </c>
    </row>
    <row r="8311" spans="1:6" x14ac:dyDescent="0.25">
      <c r="A8311" t="str">
        <f>"001583745"</f>
        <v>001583745</v>
      </c>
      <c r="B8311" t="str">
        <f>"1760682090"</f>
        <v>1760682090</v>
      </c>
      <c r="C8311" t="str">
        <f>"208D00000X"</f>
        <v>208D00000X</v>
      </c>
      <c r="D8311" t="str">
        <f>"BRASHIER                 MATTHEW      S           "</f>
        <v xml:space="preserve">BRASHIER                 MATTHEW      S           </v>
      </c>
      <c r="E8311" t="str">
        <f>"BILOXI                    "</f>
        <v xml:space="preserve">BILOXI                    </v>
      </c>
      <c r="F8311" t="str">
        <f t="shared" si="255"/>
        <v>MS</v>
      </c>
    </row>
    <row r="8312" spans="1:6" x14ac:dyDescent="0.25">
      <c r="A8312" t="str">
        <f>"001584295"</f>
        <v>001584295</v>
      </c>
      <c r="B8312" t="str">
        <f>"1326320896"</f>
        <v>1326320896</v>
      </c>
      <c r="C8312" t="str">
        <f>"152W00000X"</f>
        <v>152W00000X</v>
      </c>
      <c r="D8312" t="str">
        <f>"JONES                    TRAKENA      C           "</f>
        <v xml:space="preserve">JONES                    TRAKENA      C           </v>
      </c>
      <c r="E8312" t="str">
        <f>"MADISON                   "</f>
        <v xml:space="preserve">MADISON                   </v>
      </c>
      <c r="F8312" t="str">
        <f t="shared" si="255"/>
        <v>MS</v>
      </c>
    </row>
    <row r="8313" spans="1:6" x14ac:dyDescent="0.25">
      <c r="A8313" t="str">
        <f>"001584783"</f>
        <v>001584783</v>
      </c>
      <c r="B8313" t="str">
        <f>"1598042525"</f>
        <v>1598042525</v>
      </c>
      <c r="C8313" t="str">
        <f>"363L00000X"</f>
        <v>363L00000X</v>
      </c>
      <c r="D8313" t="str">
        <f>"THOMPSON                 EMILY        O           "</f>
        <v xml:space="preserve">THOMPSON                 EMILY        O           </v>
      </c>
      <c r="E8313" t="str">
        <f>"BROOKHAVEN                "</f>
        <v xml:space="preserve">BROOKHAVEN                </v>
      </c>
      <c r="F8313" t="str">
        <f t="shared" si="255"/>
        <v>MS</v>
      </c>
    </row>
    <row r="8314" spans="1:6" x14ac:dyDescent="0.25">
      <c r="A8314" t="str">
        <f>"001585512"</f>
        <v>001585512</v>
      </c>
      <c r="B8314" t="str">
        <f>"1154403962"</f>
        <v>1154403962</v>
      </c>
      <c r="C8314" t="str">
        <f>"207V00000X"</f>
        <v>207V00000X</v>
      </c>
      <c r="D8314" t="str">
        <f>"KUMAR                    ALOK                     "</f>
        <v xml:space="preserve">KUMAR                    ALOK                     </v>
      </c>
      <c r="E8314" t="str">
        <f>"SOUTHAVEN                 "</f>
        <v xml:space="preserve">SOUTHAVEN                 </v>
      </c>
      <c r="F8314" t="str">
        <f t="shared" si="255"/>
        <v>MS</v>
      </c>
    </row>
    <row r="8315" spans="1:6" x14ac:dyDescent="0.25">
      <c r="A8315" t="str">
        <f>"001585562"</f>
        <v>001585562</v>
      </c>
      <c r="B8315" t="str">
        <f>"1649653775"</f>
        <v>1649653775</v>
      </c>
      <c r="C8315" t="str">
        <f>"363L00000X"</f>
        <v>363L00000X</v>
      </c>
      <c r="D8315" t="str">
        <f>"COOPER                   HANNAH       M           "</f>
        <v xml:space="preserve">COOPER                   HANNAH       M           </v>
      </c>
      <c r="E8315" t="str">
        <f>"CARTHAGE                  "</f>
        <v xml:space="preserve">CARTHAGE                  </v>
      </c>
      <c r="F8315" t="str">
        <f t="shared" si="255"/>
        <v>MS</v>
      </c>
    </row>
    <row r="8316" spans="1:6" x14ac:dyDescent="0.25">
      <c r="A8316" t="str">
        <f>"001586524"</f>
        <v>001586524</v>
      </c>
      <c r="B8316" t="str">
        <f>"1609865682"</f>
        <v>1609865682</v>
      </c>
      <c r="C8316" t="str">
        <f>"207R00000X"</f>
        <v>207R00000X</v>
      </c>
      <c r="D8316" t="str">
        <f>"CARLSON                  MATTHEW      A           "</f>
        <v xml:space="preserve">CARLSON                  MATTHEW      A           </v>
      </c>
      <c r="E8316" t="str">
        <f>"GULFPORT                  "</f>
        <v xml:space="preserve">GULFPORT                  </v>
      </c>
      <c r="F8316" t="str">
        <f t="shared" si="255"/>
        <v>MS</v>
      </c>
    </row>
    <row r="8317" spans="1:6" x14ac:dyDescent="0.25">
      <c r="A8317" t="str">
        <f>"001588596"</f>
        <v>001588596</v>
      </c>
      <c r="B8317" t="str">
        <f>"1003146606"</f>
        <v>1003146606</v>
      </c>
      <c r="C8317" t="str">
        <f>"367500000X"</f>
        <v>367500000X</v>
      </c>
      <c r="D8317" t="str">
        <f>"CHILDRESS                EMILY        S           "</f>
        <v xml:space="preserve">CHILDRESS                EMILY        S           </v>
      </c>
      <c r="E8317" t="str">
        <f>"JACKSON                   "</f>
        <v xml:space="preserve">JACKSON                   </v>
      </c>
      <c r="F8317" t="str">
        <f t="shared" si="255"/>
        <v>MS</v>
      </c>
    </row>
    <row r="8318" spans="1:6" x14ac:dyDescent="0.25">
      <c r="A8318" t="str">
        <f>"001589776"</f>
        <v>001589776</v>
      </c>
      <c r="B8318" t="str">
        <f>"1972633923"</f>
        <v>1972633923</v>
      </c>
      <c r="C8318" t="str">
        <f>"208100000X"</f>
        <v>208100000X</v>
      </c>
      <c r="D8318" t="str">
        <f>"TRUSSELL                 BRIAN        S           "</f>
        <v xml:space="preserve">TRUSSELL                 BRIAN        S           </v>
      </c>
      <c r="E8318" t="str">
        <f>"ELLISVILLE                "</f>
        <v xml:space="preserve">ELLISVILLE                </v>
      </c>
      <c r="F8318" t="str">
        <f t="shared" ref="F8318:F8381" si="256">"MS"</f>
        <v>MS</v>
      </c>
    </row>
    <row r="8319" spans="1:6" x14ac:dyDescent="0.25">
      <c r="A8319" t="str">
        <f>"001600720"</f>
        <v>001600720</v>
      </c>
      <c r="B8319" t="str">
        <f>"1588840706"</f>
        <v>1588840706</v>
      </c>
      <c r="C8319" t="str">
        <f>"207ZP0102X"</f>
        <v>207ZP0102X</v>
      </c>
      <c r="D8319" t="str">
        <f>"PERRIZO                  KARLA        M           "</f>
        <v xml:space="preserve">PERRIZO                  KARLA        M           </v>
      </c>
      <c r="E8319" t="str">
        <f>"HATTIESBURG               "</f>
        <v xml:space="preserve">HATTIESBURG               </v>
      </c>
      <c r="F8319" t="str">
        <f t="shared" si="256"/>
        <v>MS</v>
      </c>
    </row>
    <row r="8320" spans="1:6" x14ac:dyDescent="0.25">
      <c r="A8320" t="str">
        <f>"001601106"</f>
        <v>001601106</v>
      </c>
      <c r="B8320" t="str">
        <f>"1912581257"</f>
        <v>1912581257</v>
      </c>
      <c r="C8320" t="str">
        <f>"363L00000X"</f>
        <v>363L00000X</v>
      </c>
      <c r="D8320" t="str">
        <f>"HARPER                   SHELBY       L           "</f>
        <v xml:space="preserve">HARPER                   SHELBY       L           </v>
      </c>
      <c r="E8320" t="str">
        <f>"MERIDIAN                  "</f>
        <v xml:space="preserve">MERIDIAN                  </v>
      </c>
      <c r="F8320" t="str">
        <f t="shared" si="256"/>
        <v>MS</v>
      </c>
    </row>
    <row r="8321" spans="1:6" x14ac:dyDescent="0.25">
      <c r="A8321" t="str">
        <f>"001601520"</f>
        <v>001601520</v>
      </c>
      <c r="B8321" t="str">
        <f>"1225256613"</f>
        <v>1225256613</v>
      </c>
      <c r="C8321" t="str">
        <f>"208000000X"</f>
        <v>208000000X</v>
      </c>
      <c r="D8321" t="str">
        <f>"OGILVIE                  CHRISHANA                "</f>
        <v xml:space="preserve">OGILVIE                  CHRISHANA                </v>
      </c>
      <c r="E8321" t="str">
        <f>"OLIVE BRANCH              "</f>
        <v xml:space="preserve">OLIVE BRANCH              </v>
      </c>
      <c r="F8321" t="str">
        <f t="shared" si="256"/>
        <v>MS</v>
      </c>
    </row>
    <row r="8322" spans="1:6" x14ac:dyDescent="0.25">
      <c r="A8322" t="str">
        <f>"001601853"</f>
        <v>001601853</v>
      </c>
      <c r="B8322" t="str">
        <f>"1891153441"</f>
        <v>1891153441</v>
      </c>
      <c r="C8322" t="str">
        <f>"363L00000X"</f>
        <v>363L00000X</v>
      </c>
      <c r="D8322" t="str">
        <f>"PRICE                    D            W           "</f>
        <v xml:space="preserve">PRICE                    D            W           </v>
      </c>
      <c r="E8322" t="str">
        <f>"BROOKHAVEN                "</f>
        <v xml:space="preserve">BROOKHAVEN                </v>
      </c>
      <c r="F8322" t="str">
        <f t="shared" si="256"/>
        <v>MS</v>
      </c>
    </row>
    <row r="8323" spans="1:6" x14ac:dyDescent="0.25">
      <c r="A8323" t="str">
        <f>"001602323"</f>
        <v>001602323</v>
      </c>
      <c r="B8323" t="str">
        <f>"1942677828"</f>
        <v>1942677828</v>
      </c>
      <c r="C8323" t="str">
        <f>"122300000X"</f>
        <v>122300000X</v>
      </c>
      <c r="D8323" t="str">
        <f>"MEDICAL ANALYSIS DENTISTRY PLLC                   "</f>
        <v xml:space="preserve">MEDICAL ANALYSIS DENTISTRY PLLC                   </v>
      </c>
      <c r="E8323" t="str">
        <f>"BILOXI                    "</f>
        <v xml:space="preserve">BILOXI                    </v>
      </c>
      <c r="F8323" t="str">
        <f t="shared" si="256"/>
        <v>MS</v>
      </c>
    </row>
    <row r="8324" spans="1:6" x14ac:dyDescent="0.25">
      <c r="A8324" t="str">
        <f>"001603559"</f>
        <v>001603559</v>
      </c>
      <c r="B8324" t="str">
        <f>"1154420925"</f>
        <v>1154420925</v>
      </c>
      <c r="C8324" t="str">
        <f>"367500000X"</f>
        <v>367500000X</v>
      </c>
      <c r="D8324" t="str">
        <f>"GAMBLE                   ANTONIO      A           "</f>
        <v xml:space="preserve">GAMBLE                   ANTONIO      A           </v>
      </c>
      <c r="E8324" t="str">
        <f>"JACKSON                   "</f>
        <v xml:space="preserve">JACKSON                   </v>
      </c>
      <c r="F8324" t="str">
        <f t="shared" si="256"/>
        <v>MS</v>
      </c>
    </row>
    <row r="8325" spans="1:6" x14ac:dyDescent="0.25">
      <c r="A8325" t="str">
        <f>"001603810"</f>
        <v>001603810</v>
      </c>
      <c r="B8325" t="str">
        <f>"1699156950"</f>
        <v>1699156950</v>
      </c>
      <c r="C8325" t="str">
        <f>"207W00000X"</f>
        <v>207W00000X</v>
      </c>
      <c r="D8325" t="str">
        <f>"MOORE                    LEE          E           "</f>
        <v xml:space="preserve">MOORE                    LEE          E           </v>
      </c>
      <c r="E8325" t="str">
        <f>"MADISON                   "</f>
        <v xml:space="preserve">MADISON                   </v>
      </c>
      <c r="F8325" t="str">
        <f t="shared" si="256"/>
        <v>MS</v>
      </c>
    </row>
    <row r="8326" spans="1:6" x14ac:dyDescent="0.25">
      <c r="A8326" t="str">
        <f>"001603878"</f>
        <v>001603878</v>
      </c>
      <c r="B8326" t="str">
        <f>"1063844249"</f>
        <v>1063844249</v>
      </c>
      <c r="C8326" t="str">
        <f>"363L00000X"</f>
        <v>363L00000X</v>
      </c>
      <c r="D8326" t="str">
        <f>"PAXTON                   BOBBY        L           "</f>
        <v xml:space="preserve">PAXTON                   BOBBY        L           </v>
      </c>
      <c r="E8326" t="str">
        <f>"INDIANOLA                 "</f>
        <v xml:space="preserve">INDIANOLA                 </v>
      </c>
      <c r="F8326" t="str">
        <f t="shared" si="256"/>
        <v>MS</v>
      </c>
    </row>
    <row r="8327" spans="1:6" x14ac:dyDescent="0.25">
      <c r="A8327" t="str">
        <f>"001604356"</f>
        <v>001604356</v>
      </c>
      <c r="B8327" t="str">
        <f>"1003281916"</f>
        <v>1003281916</v>
      </c>
      <c r="C8327" t="str">
        <f>"363L00000X"</f>
        <v>363L00000X</v>
      </c>
      <c r="D8327" t="str">
        <f>"FOREMAN                  JENNIFER     N           "</f>
        <v xml:space="preserve">FOREMAN                  JENNIFER     N           </v>
      </c>
      <c r="E8327" t="str">
        <f>"JACKSON                   "</f>
        <v xml:space="preserve">JACKSON                   </v>
      </c>
      <c r="F8327" t="str">
        <f t="shared" si="256"/>
        <v>MS</v>
      </c>
    </row>
    <row r="8328" spans="1:6" x14ac:dyDescent="0.25">
      <c r="A8328" t="str">
        <f>"001604539"</f>
        <v>001604539</v>
      </c>
      <c r="B8328" t="str">
        <f>"1780793059"</f>
        <v>1780793059</v>
      </c>
      <c r="C8328" t="str">
        <f>"207RX0202X"</f>
        <v>207RX0202X</v>
      </c>
      <c r="D8328" t="str">
        <f>"VOSS                     JOHN         D           "</f>
        <v xml:space="preserve">VOSS                     JOHN         D           </v>
      </c>
      <c r="E8328" t="str">
        <f>"MERIDIAN                  "</f>
        <v xml:space="preserve">MERIDIAN                  </v>
      </c>
      <c r="F8328" t="str">
        <f t="shared" si="256"/>
        <v>MS</v>
      </c>
    </row>
    <row r="8329" spans="1:6" x14ac:dyDescent="0.25">
      <c r="A8329" t="str">
        <f>"001605297"</f>
        <v>001605297</v>
      </c>
      <c r="B8329" t="str">
        <f>"1306431135"</f>
        <v>1306431135</v>
      </c>
      <c r="C8329" t="str">
        <f>"363LF0000X"</f>
        <v>363LF0000X</v>
      </c>
      <c r="D8329" t="str">
        <f>"SHIRAH                   KYLEIGH      M           "</f>
        <v xml:space="preserve">SHIRAH                   KYLEIGH      M           </v>
      </c>
      <c r="E8329" t="str">
        <f>"WAYNESBORO                "</f>
        <v xml:space="preserve">WAYNESBORO                </v>
      </c>
      <c r="F8329" t="str">
        <f t="shared" si="256"/>
        <v>MS</v>
      </c>
    </row>
    <row r="8330" spans="1:6" x14ac:dyDescent="0.25">
      <c r="A8330" t="str">
        <f>"001606536"</f>
        <v>001606536</v>
      </c>
      <c r="B8330" t="str">
        <f>"1720550221"</f>
        <v>1720550221</v>
      </c>
      <c r="C8330" t="str">
        <f>"363L00000X"</f>
        <v>363L00000X</v>
      </c>
      <c r="D8330" t="str">
        <f>"LE                       NHUNG        T           "</f>
        <v xml:space="preserve">LE                       NHUNG        T           </v>
      </c>
      <c r="E8330" t="str">
        <f>"OCEAN SPRINGS             "</f>
        <v xml:space="preserve">OCEAN SPRINGS             </v>
      </c>
      <c r="F8330" t="str">
        <f t="shared" si="256"/>
        <v>MS</v>
      </c>
    </row>
    <row r="8331" spans="1:6" x14ac:dyDescent="0.25">
      <c r="A8331" t="str">
        <f>"001606865"</f>
        <v>001606865</v>
      </c>
      <c r="B8331" t="str">
        <f>"1861894768"</f>
        <v>1861894768</v>
      </c>
      <c r="C8331" t="str">
        <f>"261QE0700X"</f>
        <v>261QE0700X</v>
      </c>
      <c r="D8331" t="str">
        <f>"LOWNDES COUNTY DIALYSIS                           "</f>
        <v xml:space="preserve">LOWNDES COUNTY DIALYSIS                           </v>
      </c>
      <c r="E8331" t="str">
        <f>"COLUMBUS                  "</f>
        <v xml:space="preserve">COLUMBUS                  </v>
      </c>
      <c r="F8331" t="str">
        <f t="shared" si="256"/>
        <v>MS</v>
      </c>
    </row>
    <row r="8332" spans="1:6" x14ac:dyDescent="0.25">
      <c r="A8332" t="str">
        <f>"001607351"</f>
        <v>001607351</v>
      </c>
      <c r="B8332" t="str">
        <f>"1093265415"</f>
        <v>1093265415</v>
      </c>
      <c r="C8332" t="str">
        <f>"363L00000X"</f>
        <v>363L00000X</v>
      </c>
      <c r="D8332" t="str">
        <f>"SUTHERLAND               KATHERINE    C           "</f>
        <v xml:space="preserve">SUTHERLAND               KATHERINE    C           </v>
      </c>
      <c r="E8332" t="str">
        <f>"JACKSON                   "</f>
        <v xml:space="preserve">JACKSON                   </v>
      </c>
      <c r="F8332" t="str">
        <f t="shared" si="256"/>
        <v>MS</v>
      </c>
    </row>
    <row r="8333" spans="1:6" x14ac:dyDescent="0.25">
      <c r="A8333" t="str">
        <f>"001608334"</f>
        <v>001608334</v>
      </c>
      <c r="B8333" t="str">
        <f>"1396267878"</f>
        <v>1396267878</v>
      </c>
      <c r="C8333" t="str">
        <f>"261QE0700X"</f>
        <v>261QE0700X</v>
      </c>
      <c r="D8333" t="str">
        <f>"FRESENIUS MEDICAL CARE WEST HINDS C               "</f>
        <v xml:space="preserve">FRESENIUS MEDICAL CARE WEST HINDS C               </v>
      </c>
      <c r="E8333" t="str">
        <f>"CLINTON                   "</f>
        <v xml:space="preserve">CLINTON                   </v>
      </c>
      <c r="F8333" t="str">
        <f t="shared" si="256"/>
        <v>MS</v>
      </c>
    </row>
    <row r="8334" spans="1:6" x14ac:dyDescent="0.25">
      <c r="A8334" t="str">
        <f>"001608351"</f>
        <v>001608351</v>
      </c>
      <c r="B8334" t="str">
        <f>"1700426707"</f>
        <v>1700426707</v>
      </c>
      <c r="C8334" t="str">
        <f>"363L00000X"</f>
        <v>363L00000X</v>
      </c>
      <c r="D8334" t="str">
        <f>"JOHNSON                  JULIA        O           "</f>
        <v xml:space="preserve">JOHNSON                  JULIA        O           </v>
      </c>
      <c r="E8334" t="str">
        <f>"WINONA                    "</f>
        <v xml:space="preserve">WINONA                    </v>
      </c>
      <c r="F8334" t="str">
        <f t="shared" si="256"/>
        <v>MS</v>
      </c>
    </row>
    <row r="8335" spans="1:6" x14ac:dyDescent="0.25">
      <c r="A8335" t="str">
        <f>"001620521"</f>
        <v>001620521</v>
      </c>
      <c r="B8335" t="str">
        <f>"1528042801"</f>
        <v>1528042801</v>
      </c>
      <c r="C8335" t="str">
        <f>"122300000X"</f>
        <v>122300000X</v>
      </c>
      <c r="D8335" t="str">
        <f>"FRANKLIN                 BRAD         A           "</f>
        <v xml:space="preserve">FRANKLIN                 BRAD         A           </v>
      </c>
      <c r="E8335" t="str">
        <f>"FLORA                     "</f>
        <v xml:space="preserve">FLORA                     </v>
      </c>
      <c r="F8335" t="str">
        <f t="shared" si="256"/>
        <v>MS</v>
      </c>
    </row>
    <row r="8336" spans="1:6" x14ac:dyDescent="0.25">
      <c r="A8336" t="str">
        <f>"001620749"</f>
        <v>001620749</v>
      </c>
      <c r="B8336" t="str">
        <f>"1093198731"</f>
        <v>1093198731</v>
      </c>
      <c r="C8336" t="str">
        <f>"261QM3000X"</f>
        <v>261QM3000X</v>
      </c>
      <c r="D8336" t="str">
        <f>"CARING HANDS PRESCRIBED PEDIATRIC E               "</f>
        <v xml:space="preserve">CARING HANDS PRESCRIBED PEDIATRIC E               </v>
      </c>
      <c r="E8336" t="str">
        <f>"RIDGELAND                 "</f>
        <v xml:space="preserve">RIDGELAND                 </v>
      </c>
      <c r="F8336" t="str">
        <f t="shared" si="256"/>
        <v>MS</v>
      </c>
    </row>
    <row r="8337" spans="1:6" x14ac:dyDescent="0.25">
      <c r="A8337" t="str">
        <f>"001621574"</f>
        <v>001621574</v>
      </c>
      <c r="B8337" t="str">
        <f>"1467650721"</f>
        <v>1467650721</v>
      </c>
      <c r="C8337" t="str">
        <f>"207P00000X"</f>
        <v>207P00000X</v>
      </c>
      <c r="D8337" t="str">
        <f>"MCCARTER                 JOHN         M           "</f>
        <v xml:space="preserve">MCCARTER                 JOHN         M           </v>
      </c>
      <c r="E8337" t="str">
        <f>"JACKSON                   "</f>
        <v xml:space="preserve">JACKSON                   </v>
      </c>
      <c r="F8337" t="str">
        <f t="shared" si="256"/>
        <v>MS</v>
      </c>
    </row>
    <row r="8338" spans="1:6" x14ac:dyDescent="0.25">
      <c r="A8338" t="str">
        <f>"001621770"</f>
        <v>001621770</v>
      </c>
      <c r="B8338" t="str">
        <f>"1164504890"</f>
        <v>1164504890</v>
      </c>
      <c r="C8338" t="str">
        <f>"363L00000X"</f>
        <v>363L00000X</v>
      </c>
      <c r="D8338" t="str">
        <f>"HARRISON                 MEGAN        M           "</f>
        <v xml:space="preserve">HARRISON                 MEGAN        M           </v>
      </c>
      <c r="E8338" t="str">
        <f>"NEW ALBANY                "</f>
        <v xml:space="preserve">NEW ALBANY                </v>
      </c>
      <c r="F8338" t="str">
        <f t="shared" si="256"/>
        <v>MS</v>
      </c>
    </row>
    <row r="8339" spans="1:6" x14ac:dyDescent="0.25">
      <c r="A8339" t="str">
        <f>"001624232"</f>
        <v>001624232</v>
      </c>
      <c r="B8339" t="str">
        <f>"1700142403"</f>
        <v>1700142403</v>
      </c>
      <c r="C8339" t="str">
        <f>"363L00000X"</f>
        <v>363L00000X</v>
      </c>
      <c r="D8339" t="str">
        <f>"CLEARMAN                 TINA         D           "</f>
        <v xml:space="preserve">CLEARMAN                 TINA         D           </v>
      </c>
      <c r="E8339" t="str">
        <f>"MERIDIAN                  "</f>
        <v xml:space="preserve">MERIDIAN                  </v>
      </c>
      <c r="F8339" t="str">
        <f t="shared" si="256"/>
        <v>MS</v>
      </c>
    </row>
    <row r="8340" spans="1:6" x14ac:dyDescent="0.25">
      <c r="A8340" t="str">
        <f>"001624598"</f>
        <v>001624598</v>
      </c>
      <c r="B8340" t="str">
        <f>"1417425620"</f>
        <v>1417425620</v>
      </c>
      <c r="C8340" t="str">
        <f>"363L00000X"</f>
        <v>363L00000X</v>
      </c>
      <c r="D8340" t="str">
        <f>"HILL                     RAEDENA                  "</f>
        <v xml:space="preserve">HILL                     RAEDENA                  </v>
      </c>
      <c r="E8340" t="str">
        <f>"BATESVILLE                "</f>
        <v xml:space="preserve">BATESVILLE                </v>
      </c>
      <c r="F8340" t="str">
        <f t="shared" si="256"/>
        <v>MS</v>
      </c>
    </row>
    <row r="8341" spans="1:6" x14ac:dyDescent="0.25">
      <c r="A8341" t="str">
        <f>"001624895"</f>
        <v>001624895</v>
      </c>
      <c r="B8341" t="str">
        <f>"1811957624"</f>
        <v>1811957624</v>
      </c>
      <c r="C8341" t="str">
        <f>"152W00000X"</f>
        <v>152W00000X</v>
      </c>
      <c r="D8341" t="str">
        <f>"DAVID L. PRUDHOMME, O.D.                          "</f>
        <v xml:space="preserve">DAVID L. PRUDHOMME, O.D.                          </v>
      </c>
      <c r="E8341" t="str">
        <f>"VICKSBURG                 "</f>
        <v xml:space="preserve">VICKSBURG                 </v>
      </c>
      <c r="F8341" t="str">
        <f t="shared" si="256"/>
        <v>MS</v>
      </c>
    </row>
    <row r="8342" spans="1:6" x14ac:dyDescent="0.25">
      <c r="A8342" t="str">
        <f>"001625292"</f>
        <v>001625292</v>
      </c>
      <c r="B8342" t="str">
        <f>"1861508558"</f>
        <v>1861508558</v>
      </c>
      <c r="C8342" t="str">
        <f>"363L00000X"</f>
        <v>363L00000X</v>
      </c>
      <c r="D8342" t="str">
        <f>"FITTS                    TERESA       L           "</f>
        <v xml:space="preserve">FITTS                    TERESA       L           </v>
      </c>
      <c r="E8342" t="str">
        <f>"CALHOUN CITY              "</f>
        <v xml:space="preserve">CALHOUN CITY              </v>
      </c>
      <c r="F8342" t="str">
        <f t="shared" si="256"/>
        <v>MS</v>
      </c>
    </row>
    <row r="8343" spans="1:6" x14ac:dyDescent="0.25">
      <c r="A8343" t="str">
        <f>"001625888"</f>
        <v>001625888</v>
      </c>
      <c r="B8343" t="str">
        <f>"1952747149"</f>
        <v>1952747149</v>
      </c>
      <c r="C8343" t="str">
        <f>"207L00000X"</f>
        <v>207L00000X</v>
      </c>
      <c r="D8343" t="str">
        <f>"GENTRY                   JAMES        H           "</f>
        <v xml:space="preserve">GENTRY                   JAMES        H           </v>
      </c>
      <c r="E8343" t="str">
        <f>"GULFPORT                  "</f>
        <v xml:space="preserve">GULFPORT                  </v>
      </c>
      <c r="F8343" t="str">
        <f t="shared" si="256"/>
        <v>MS</v>
      </c>
    </row>
    <row r="8344" spans="1:6" x14ac:dyDescent="0.25">
      <c r="A8344" t="str">
        <f>"001625891"</f>
        <v>001625891</v>
      </c>
      <c r="B8344" t="str">
        <f>"1306044912"</f>
        <v>1306044912</v>
      </c>
      <c r="C8344" t="str">
        <f>"207L00000X"</f>
        <v>207L00000X</v>
      </c>
      <c r="D8344" t="str">
        <f>"VERSTEEGH                TODD         A           "</f>
        <v xml:space="preserve">VERSTEEGH                TODD         A           </v>
      </c>
      <c r="E8344" t="str">
        <f>"JACKSON                   "</f>
        <v xml:space="preserve">JACKSON                   </v>
      </c>
      <c r="F8344" t="str">
        <f t="shared" si="256"/>
        <v>MS</v>
      </c>
    </row>
    <row r="8345" spans="1:6" x14ac:dyDescent="0.25">
      <c r="A8345" t="str">
        <f>"001626828"</f>
        <v>001626828</v>
      </c>
      <c r="B8345" t="str">
        <f>"1518214915"</f>
        <v>1518214915</v>
      </c>
      <c r="C8345" t="str">
        <f>"1223X0400X"</f>
        <v>1223X0400X</v>
      </c>
      <c r="D8345" t="str">
        <f>"RAHAIM                   JAMES        A           "</f>
        <v xml:space="preserve">RAHAIM                   JAMES        A           </v>
      </c>
      <c r="E8345" t="str">
        <f>"DIBERVILLE                "</f>
        <v xml:space="preserve">DIBERVILLE                </v>
      </c>
      <c r="F8345" t="str">
        <f t="shared" si="256"/>
        <v>MS</v>
      </c>
    </row>
    <row r="8346" spans="1:6" x14ac:dyDescent="0.25">
      <c r="A8346" t="str">
        <f>"001629366"</f>
        <v>001629366</v>
      </c>
      <c r="B8346" t="str">
        <f>"1679063176"</f>
        <v>1679063176</v>
      </c>
      <c r="C8346" t="str">
        <f>"122300000X"</f>
        <v>122300000X</v>
      </c>
      <c r="D8346" t="str">
        <f>"FAMILY DENTAL CARE                                "</f>
        <v xml:space="preserve">FAMILY DENTAL CARE                                </v>
      </c>
      <c r="E8346" t="str">
        <f>"INDIANOLA                 "</f>
        <v xml:space="preserve">INDIANOLA                 </v>
      </c>
      <c r="F8346" t="str">
        <f t="shared" si="256"/>
        <v>MS</v>
      </c>
    </row>
    <row r="8347" spans="1:6" x14ac:dyDescent="0.25">
      <c r="A8347" t="str">
        <f>"001630304"</f>
        <v>001630304</v>
      </c>
      <c r="B8347" t="str">
        <f>"1851872303"</f>
        <v>1851872303</v>
      </c>
      <c r="C8347" t="str">
        <f>"152W00000X"</f>
        <v>152W00000X</v>
      </c>
      <c r="D8347" t="str">
        <f>"SMITH                    ROBERT       S           "</f>
        <v xml:space="preserve">SMITH                    ROBERT       S           </v>
      </c>
      <c r="E8347" t="str">
        <f>"MERIDIAN                  "</f>
        <v xml:space="preserve">MERIDIAN                  </v>
      </c>
      <c r="F8347" t="str">
        <f t="shared" si="256"/>
        <v>MS</v>
      </c>
    </row>
    <row r="8348" spans="1:6" x14ac:dyDescent="0.25">
      <c r="A8348" t="str">
        <f>"001630582"</f>
        <v>001630582</v>
      </c>
      <c r="B8348" t="str">
        <f>"1447814322"</f>
        <v>1447814322</v>
      </c>
      <c r="C8348" t="str">
        <f>"207R00000X"</f>
        <v>207R00000X</v>
      </c>
      <c r="D8348" t="str">
        <f>"BROWN                    ROBERT       L           "</f>
        <v xml:space="preserve">BROWN                    ROBERT       L           </v>
      </c>
      <c r="E8348" t="str">
        <f>"COLUMBUS                  "</f>
        <v xml:space="preserve">COLUMBUS                  </v>
      </c>
      <c r="F8348" t="str">
        <f t="shared" si="256"/>
        <v>MS</v>
      </c>
    </row>
    <row r="8349" spans="1:6" x14ac:dyDescent="0.25">
      <c r="A8349" t="str">
        <f>"001632203"</f>
        <v>001632203</v>
      </c>
      <c r="B8349" t="str">
        <f>"1902578685"</f>
        <v>1902578685</v>
      </c>
      <c r="C8349" t="str">
        <f>"363L00000X"</f>
        <v>363L00000X</v>
      </c>
      <c r="D8349" t="str">
        <f>"STUART                   SETH         B           "</f>
        <v xml:space="preserve">STUART                   SETH         B           </v>
      </c>
      <c r="E8349" t="str">
        <f>"JACKSON                   "</f>
        <v xml:space="preserve">JACKSON                   </v>
      </c>
      <c r="F8349" t="str">
        <f t="shared" si="256"/>
        <v>MS</v>
      </c>
    </row>
    <row r="8350" spans="1:6" x14ac:dyDescent="0.25">
      <c r="A8350" t="str">
        <f>"001634398"</f>
        <v>001634398</v>
      </c>
      <c r="B8350" t="str">
        <f>"1710262746"</f>
        <v>1710262746</v>
      </c>
      <c r="C8350" t="str">
        <f>"363L00000X"</f>
        <v>363L00000X</v>
      </c>
      <c r="D8350" t="str">
        <f>"MITCHENER                REBECCA      A           "</f>
        <v xml:space="preserve">MITCHENER                REBECCA      A           </v>
      </c>
      <c r="E8350" t="str">
        <f>"WEST POINT                "</f>
        <v xml:space="preserve">WEST POINT                </v>
      </c>
      <c r="F8350" t="str">
        <f t="shared" si="256"/>
        <v>MS</v>
      </c>
    </row>
    <row r="8351" spans="1:6" x14ac:dyDescent="0.25">
      <c r="A8351" t="str">
        <f>"001634855"</f>
        <v>001634855</v>
      </c>
      <c r="B8351" t="str">
        <f>"1679815609"</f>
        <v>1679815609</v>
      </c>
      <c r="C8351" t="str">
        <f>"363L00000X"</f>
        <v>363L00000X</v>
      </c>
      <c r="D8351" t="str">
        <f>"MEADOWS                  ANGELA                   "</f>
        <v xml:space="preserve">MEADOWS                  ANGELA                   </v>
      </c>
      <c r="E8351" t="str">
        <f>"BILOXI                    "</f>
        <v xml:space="preserve">BILOXI                    </v>
      </c>
      <c r="F8351" t="str">
        <f t="shared" si="256"/>
        <v>MS</v>
      </c>
    </row>
    <row r="8352" spans="1:6" x14ac:dyDescent="0.25">
      <c r="A8352" t="str">
        <f>"001635257"</f>
        <v>001635257</v>
      </c>
      <c r="B8352" t="str">
        <f>"1285280180"</f>
        <v>1285280180</v>
      </c>
      <c r="C8352" t="str">
        <f>"261QF0400X"</f>
        <v>261QF0400X</v>
      </c>
      <c r="D8352" t="str">
        <f>"DHC-MOORHEAD CENTRAL SCHOOL                       "</f>
        <v xml:space="preserve">DHC-MOORHEAD CENTRAL SCHOOL                       </v>
      </c>
      <c r="E8352" t="str">
        <f>"MOORHEAD                  "</f>
        <v xml:space="preserve">MOORHEAD                  </v>
      </c>
      <c r="F8352" t="str">
        <f t="shared" si="256"/>
        <v>MS</v>
      </c>
    </row>
    <row r="8353" spans="1:6" x14ac:dyDescent="0.25">
      <c r="A8353" t="str">
        <f>"001636822"</f>
        <v>001636822</v>
      </c>
      <c r="B8353" t="str">
        <f>"1346357092"</f>
        <v>1346357092</v>
      </c>
      <c r="C8353" t="str">
        <f>"207R00000X"</f>
        <v>207R00000X</v>
      </c>
      <c r="D8353" t="str">
        <f>"THAKARE                  PRADEEP      V           "</f>
        <v xml:space="preserve">THAKARE                  PRADEEP      V           </v>
      </c>
      <c r="E8353" t="str">
        <f>"GREENVILLE                "</f>
        <v xml:space="preserve">GREENVILLE                </v>
      </c>
      <c r="F8353" t="str">
        <f t="shared" si="256"/>
        <v>MS</v>
      </c>
    </row>
    <row r="8354" spans="1:6" x14ac:dyDescent="0.25">
      <c r="A8354" t="str">
        <f>"001638309"</f>
        <v>001638309</v>
      </c>
      <c r="B8354" t="str">
        <f>"1982195137"</f>
        <v>1982195137</v>
      </c>
      <c r="C8354" t="str">
        <f>"363L00000X"</f>
        <v>363L00000X</v>
      </c>
      <c r="D8354" t="str">
        <f>"WINDHAM                  ERICA        C           "</f>
        <v xml:space="preserve">WINDHAM                  ERICA        C           </v>
      </c>
      <c r="E8354" t="str">
        <f>"LAUREL                    "</f>
        <v xml:space="preserve">LAUREL                    </v>
      </c>
      <c r="F8354" t="str">
        <f t="shared" si="256"/>
        <v>MS</v>
      </c>
    </row>
    <row r="8355" spans="1:6" x14ac:dyDescent="0.25">
      <c r="A8355" t="str">
        <f>"001639092"</f>
        <v>001639092</v>
      </c>
      <c r="B8355" t="str">
        <f>"1962639104"</f>
        <v>1962639104</v>
      </c>
      <c r="C8355" t="str">
        <f>"207V00000X"</f>
        <v>207V00000X</v>
      </c>
      <c r="D8355" t="str">
        <f>"HAYGOOD                  CHRISTEN                 "</f>
        <v xml:space="preserve">HAYGOOD                  CHRISTEN                 </v>
      </c>
      <c r="E8355" t="str">
        <f>"JACKSON                   "</f>
        <v xml:space="preserve">JACKSON                   </v>
      </c>
      <c r="F8355" t="str">
        <f t="shared" si="256"/>
        <v>MS</v>
      </c>
    </row>
    <row r="8356" spans="1:6" x14ac:dyDescent="0.25">
      <c r="A8356" t="str">
        <f>"001639881"</f>
        <v>001639881</v>
      </c>
      <c r="B8356" t="str">
        <f>"1689710402"</f>
        <v>1689710402</v>
      </c>
      <c r="C8356" t="str">
        <f>"363L00000X"</f>
        <v>363L00000X</v>
      </c>
      <c r="D8356" t="str">
        <f>"FREDRICKSON              JENNIFER     B           "</f>
        <v xml:space="preserve">FREDRICKSON              JENNIFER     B           </v>
      </c>
      <c r="E8356" t="str">
        <f>"SOUTHAVEN                 "</f>
        <v xml:space="preserve">SOUTHAVEN                 </v>
      </c>
      <c r="F8356" t="str">
        <f t="shared" si="256"/>
        <v>MS</v>
      </c>
    </row>
    <row r="8357" spans="1:6" x14ac:dyDescent="0.25">
      <c r="A8357" t="str">
        <f>"001650760"</f>
        <v>001650760</v>
      </c>
      <c r="B8357" t="str">
        <f>"1902381775"</f>
        <v>1902381775</v>
      </c>
      <c r="C8357" t="str">
        <f>"363L00000X"</f>
        <v>363L00000X</v>
      </c>
      <c r="D8357" t="str">
        <f>"GLOVER                   STEPHANIE                "</f>
        <v xml:space="preserve">GLOVER                   STEPHANIE                </v>
      </c>
      <c r="E8357" t="str">
        <f>"TUPELO                    "</f>
        <v xml:space="preserve">TUPELO                    </v>
      </c>
      <c r="F8357" t="str">
        <f t="shared" si="256"/>
        <v>MS</v>
      </c>
    </row>
    <row r="8358" spans="1:6" x14ac:dyDescent="0.25">
      <c r="A8358" t="str">
        <f>"001653027"</f>
        <v>001653027</v>
      </c>
      <c r="B8358" t="str">
        <f>"1659671089"</f>
        <v>1659671089</v>
      </c>
      <c r="C8358" t="str">
        <f>"363L00000X"</f>
        <v>363L00000X</v>
      </c>
      <c r="D8358" t="str">
        <f>"CLARKE                   JENNIFER     R           "</f>
        <v xml:space="preserve">CLARKE                   JENNIFER     R           </v>
      </c>
      <c r="E8358" t="str">
        <f>"GULFPORT                  "</f>
        <v xml:space="preserve">GULFPORT                  </v>
      </c>
      <c r="F8358" t="str">
        <f t="shared" si="256"/>
        <v>MS</v>
      </c>
    </row>
    <row r="8359" spans="1:6" x14ac:dyDescent="0.25">
      <c r="A8359" t="str">
        <f>"001653826"</f>
        <v>001653826</v>
      </c>
      <c r="B8359" t="str">
        <f>"1710909858"</f>
        <v>1710909858</v>
      </c>
      <c r="C8359" t="str">
        <f>"367500000X"</f>
        <v>367500000X</v>
      </c>
      <c r="D8359" t="str">
        <f>"WALKER                   JENNIFER     N           "</f>
        <v xml:space="preserve">WALKER                   JENNIFER     N           </v>
      </c>
      <c r="E8359" t="str">
        <f>"HATTIESBURG               "</f>
        <v xml:space="preserve">HATTIESBURG               </v>
      </c>
      <c r="F8359" t="str">
        <f t="shared" si="256"/>
        <v>MS</v>
      </c>
    </row>
    <row r="8360" spans="1:6" x14ac:dyDescent="0.25">
      <c r="A8360" t="str">
        <f>"001655295"</f>
        <v>001655295</v>
      </c>
      <c r="B8360" t="str">
        <f>"1215498241"</f>
        <v>1215498241</v>
      </c>
      <c r="C8360" t="str">
        <f>"2085R0202X"</f>
        <v>2085R0202X</v>
      </c>
      <c r="D8360" t="str">
        <f>"PITRE                    DAVID        M           "</f>
        <v xml:space="preserve">PITRE                    DAVID        M           </v>
      </c>
      <c r="E8360" t="str">
        <f>"JACKSON                   "</f>
        <v xml:space="preserve">JACKSON                   </v>
      </c>
      <c r="F8360" t="str">
        <f t="shared" si="256"/>
        <v>MS</v>
      </c>
    </row>
    <row r="8361" spans="1:6" x14ac:dyDescent="0.25">
      <c r="A8361" t="str">
        <f>"001655363"</f>
        <v>001655363</v>
      </c>
      <c r="B8361" t="str">
        <f>"1104218304"</f>
        <v>1104218304</v>
      </c>
      <c r="C8361" t="str">
        <f>"363L00000X"</f>
        <v>363L00000X</v>
      </c>
      <c r="D8361" t="str">
        <f>"SONES                    CHRISTOPHER  L           "</f>
        <v xml:space="preserve">SONES                    CHRISTOPHER  L           </v>
      </c>
      <c r="E8361" t="str">
        <f>"COLUMBIA                  "</f>
        <v xml:space="preserve">COLUMBIA                  </v>
      </c>
      <c r="F8361" t="str">
        <f t="shared" si="256"/>
        <v>MS</v>
      </c>
    </row>
    <row r="8362" spans="1:6" x14ac:dyDescent="0.25">
      <c r="A8362" t="str">
        <f>"001656530"</f>
        <v>001656530</v>
      </c>
      <c r="B8362" t="str">
        <f>"1093721037"</f>
        <v>1093721037</v>
      </c>
      <c r="C8362" t="str">
        <f>"363L00000X"</f>
        <v>363L00000X</v>
      </c>
      <c r="D8362" t="str">
        <f>"WHITLEY                  DEAN         E           "</f>
        <v xml:space="preserve">WHITLEY                  DEAN         E           </v>
      </c>
      <c r="E8362" t="str">
        <f>"MADISON                   "</f>
        <v xml:space="preserve">MADISON                   </v>
      </c>
      <c r="F8362" t="str">
        <f t="shared" si="256"/>
        <v>MS</v>
      </c>
    </row>
    <row r="8363" spans="1:6" x14ac:dyDescent="0.25">
      <c r="A8363" t="str">
        <f>"001656892"</f>
        <v>001656892</v>
      </c>
      <c r="B8363" t="str">
        <f>"1902181399"</f>
        <v>1902181399</v>
      </c>
      <c r="C8363" t="str">
        <f>"367500000X"</f>
        <v>367500000X</v>
      </c>
      <c r="D8363" t="str">
        <f>"WYATT                    JEFFREY                  "</f>
        <v xml:space="preserve">WYATT                    JEFFREY                  </v>
      </c>
      <c r="E8363" t="str">
        <f>"HATTIESBURG               "</f>
        <v xml:space="preserve">HATTIESBURG               </v>
      </c>
      <c r="F8363" t="str">
        <f t="shared" si="256"/>
        <v>MS</v>
      </c>
    </row>
    <row r="8364" spans="1:6" x14ac:dyDescent="0.25">
      <c r="A8364" t="str">
        <f>"001657061"</f>
        <v>001657061</v>
      </c>
      <c r="B8364" t="str">
        <f>"1013330109"</f>
        <v>1013330109</v>
      </c>
      <c r="C8364" t="str">
        <f>"363L00000X"</f>
        <v>363L00000X</v>
      </c>
      <c r="D8364" t="str">
        <f>"KING                     TINA         M           "</f>
        <v xml:space="preserve">KING                     TINA         M           </v>
      </c>
      <c r="E8364" t="str">
        <f>"TUPELO                    "</f>
        <v xml:space="preserve">TUPELO                    </v>
      </c>
      <c r="F8364" t="str">
        <f t="shared" si="256"/>
        <v>MS</v>
      </c>
    </row>
    <row r="8365" spans="1:6" x14ac:dyDescent="0.25">
      <c r="A8365" t="str">
        <f>"001657556"</f>
        <v>001657556</v>
      </c>
      <c r="B8365" t="str">
        <f>"1851703201"</f>
        <v>1851703201</v>
      </c>
      <c r="C8365" t="str">
        <f>"207R00000X"</f>
        <v>207R00000X</v>
      </c>
      <c r="D8365" t="str">
        <f>"LIDDELL                  THOMPSON     W           "</f>
        <v xml:space="preserve">LIDDELL                  THOMPSON     W           </v>
      </c>
      <c r="E8365" t="str">
        <f>"HATTIESBURG               "</f>
        <v xml:space="preserve">HATTIESBURG               </v>
      </c>
      <c r="F8365" t="str">
        <f t="shared" si="256"/>
        <v>MS</v>
      </c>
    </row>
    <row r="8366" spans="1:6" x14ac:dyDescent="0.25">
      <c r="A8366" t="str">
        <f>"001657767"</f>
        <v>001657767</v>
      </c>
      <c r="B8366" t="str">
        <f>"1235220823"</f>
        <v>1235220823</v>
      </c>
      <c r="C8366" t="str">
        <f>"363L00000X"</f>
        <v>363L00000X</v>
      </c>
      <c r="D8366" t="str">
        <f>"MCNEER                   MARY         E           "</f>
        <v xml:space="preserve">MCNEER                   MARY         E           </v>
      </c>
      <c r="E8366" t="str">
        <f>"INDIANOLA                 "</f>
        <v xml:space="preserve">INDIANOLA                 </v>
      </c>
      <c r="F8366" t="str">
        <f t="shared" si="256"/>
        <v>MS</v>
      </c>
    </row>
    <row r="8367" spans="1:6" x14ac:dyDescent="0.25">
      <c r="A8367" t="str">
        <f>"001658012"</f>
        <v>001658012</v>
      </c>
      <c r="B8367" t="str">
        <f>"1275828030"</f>
        <v>1275828030</v>
      </c>
      <c r="C8367" t="str">
        <f>"363L00000X"</f>
        <v>363L00000X</v>
      </c>
      <c r="D8367" t="str">
        <f>"PIBURN                   KATHRYN      A           "</f>
        <v xml:space="preserve">PIBURN                   KATHRYN      A           </v>
      </c>
      <c r="E8367" t="str">
        <f>"BRANDON                   "</f>
        <v xml:space="preserve">BRANDON                   </v>
      </c>
      <c r="F8367" t="str">
        <f t="shared" si="256"/>
        <v>MS</v>
      </c>
    </row>
    <row r="8368" spans="1:6" x14ac:dyDescent="0.25">
      <c r="A8368" t="str">
        <f>"001670076"</f>
        <v>001670076</v>
      </c>
      <c r="B8368" t="str">
        <f>"1720326473"</f>
        <v>1720326473</v>
      </c>
      <c r="C8368" t="str">
        <f>"261QM0801X"</f>
        <v>261QM0801X</v>
      </c>
      <c r="D8368" t="str">
        <f>"MARION COUNSELING SERVICES PLLC                   "</f>
        <v xml:space="preserve">MARION COUNSELING SERVICES PLLC                   </v>
      </c>
      <c r="E8368" t="str">
        <f>"JACKSON                   "</f>
        <v xml:space="preserve">JACKSON                   </v>
      </c>
      <c r="F8368" t="str">
        <f t="shared" si="256"/>
        <v>MS</v>
      </c>
    </row>
    <row r="8369" spans="1:6" x14ac:dyDescent="0.25">
      <c r="A8369" t="str">
        <f>"001671306"</f>
        <v>001671306</v>
      </c>
      <c r="B8369" t="str">
        <f>"1609187152"</f>
        <v>1609187152</v>
      </c>
      <c r="C8369" t="str">
        <f>"363L00000X"</f>
        <v>363L00000X</v>
      </c>
      <c r="D8369" t="str">
        <f>"HOLLINGSWORTH            REBECCA      E           "</f>
        <v xml:space="preserve">HOLLINGSWORTH            REBECCA      E           </v>
      </c>
      <c r="E8369" t="str">
        <f>"HATTIESBURG               "</f>
        <v xml:space="preserve">HATTIESBURG               </v>
      </c>
      <c r="F8369" t="str">
        <f t="shared" si="256"/>
        <v>MS</v>
      </c>
    </row>
    <row r="8370" spans="1:6" x14ac:dyDescent="0.25">
      <c r="A8370" t="str">
        <f>"001671319"</f>
        <v>001671319</v>
      </c>
      <c r="B8370" t="str">
        <f>"1174878052"</f>
        <v>1174878052</v>
      </c>
      <c r="C8370" t="str">
        <f>"152W00000X"</f>
        <v>152W00000X</v>
      </c>
      <c r="D8370" t="str">
        <f>"NAIL JR                  JOHN         P           "</f>
        <v xml:space="preserve">NAIL JR                  JOHN         P           </v>
      </c>
      <c r="E8370" t="str">
        <f>"COLUMBUS                  "</f>
        <v xml:space="preserve">COLUMBUS                  </v>
      </c>
      <c r="F8370" t="str">
        <f t="shared" si="256"/>
        <v>MS</v>
      </c>
    </row>
    <row r="8371" spans="1:6" x14ac:dyDescent="0.25">
      <c r="A8371" t="str">
        <f>"001671517"</f>
        <v>001671517</v>
      </c>
      <c r="B8371" t="str">
        <f>"1053517896"</f>
        <v>1053517896</v>
      </c>
      <c r="C8371" t="str">
        <f>"2085R0202X"</f>
        <v>2085R0202X</v>
      </c>
      <c r="D8371" t="str">
        <f>"KIRSCH                   DAVID                    "</f>
        <v xml:space="preserve">KIRSCH                   DAVID                    </v>
      </c>
      <c r="E8371" t="str">
        <f>"CLEVELAND                 "</f>
        <v xml:space="preserve">CLEVELAND                 </v>
      </c>
      <c r="F8371" t="str">
        <f t="shared" si="256"/>
        <v>MS</v>
      </c>
    </row>
    <row r="8372" spans="1:6" x14ac:dyDescent="0.25">
      <c r="A8372" t="str">
        <f>"001672508"</f>
        <v>001672508</v>
      </c>
      <c r="B8372" t="str">
        <f>"1619345402"</f>
        <v>1619345402</v>
      </c>
      <c r="C8372" t="str">
        <f>"363L00000X"</f>
        <v>363L00000X</v>
      </c>
      <c r="D8372" t="str">
        <f>"BENNETT                  ASHLYNN      M           "</f>
        <v xml:space="preserve">BENNETT                  ASHLYNN      M           </v>
      </c>
      <c r="E8372" t="str">
        <f>"LAUREL                    "</f>
        <v xml:space="preserve">LAUREL                    </v>
      </c>
      <c r="F8372" t="str">
        <f t="shared" si="256"/>
        <v>MS</v>
      </c>
    </row>
    <row r="8373" spans="1:6" x14ac:dyDescent="0.25">
      <c r="A8373" t="str">
        <f>"001672767"</f>
        <v>001672767</v>
      </c>
      <c r="B8373" t="str">
        <f>"1003205238"</f>
        <v>1003205238</v>
      </c>
      <c r="C8373" t="str">
        <f>"367500000X"</f>
        <v>367500000X</v>
      </c>
      <c r="D8373" t="str">
        <f>"MCREYNOLDS               MICHAEL      J           "</f>
        <v xml:space="preserve">MCREYNOLDS               MICHAEL      J           </v>
      </c>
      <c r="E8373" t="str">
        <f>"VICKSBURG                 "</f>
        <v xml:space="preserve">VICKSBURG                 </v>
      </c>
      <c r="F8373" t="str">
        <f t="shared" si="256"/>
        <v>MS</v>
      </c>
    </row>
    <row r="8374" spans="1:6" x14ac:dyDescent="0.25">
      <c r="A8374" t="str">
        <f>"001673369"</f>
        <v>001673369</v>
      </c>
      <c r="B8374" t="str">
        <f>"1598736605"</f>
        <v>1598736605</v>
      </c>
      <c r="C8374" t="str">
        <f>"207Q00000X"</f>
        <v>207Q00000X</v>
      </c>
      <c r="D8374" t="str">
        <f>"LINDSEY                  MELANIE      M           "</f>
        <v xml:space="preserve">LINDSEY                  MELANIE      M           </v>
      </c>
      <c r="E8374" t="str">
        <f>"HATTIESBURG               "</f>
        <v xml:space="preserve">HATTIESBURG               </v>
      </c>
      <c r="F8374" t="str">
        <f t="shared" si="256"/>
        <v>MS</v>
      </c>
    </row>
    <row r="8375" spans="1:6" x14ac:dyDescent="0.25">
      <c r="A8375" t="str">
        <f>"001673578"</f>
        <v>001673578</v>
      </c>
      <c r="B8375" t="str">
        <f>"1477905628"</f>
        <v>1477905628</v>
      </c>
      <c r="C8375" t="str">
        <f>"207ZP0102X"</f>
        <v>207ZP0102X</v>
      </c>
      <c r="D8375" t="str">
        <f>"HASSAN                   MUHAMMAD     M           "</f>
        <v xml:space="preserve">HASSAN                   MUHAMMAD     M           </v>
      </c>
      <c r="E8375" t="str">
        <f>"JACKSON                   "</f>
        <v xml:space="preserve">JACKSON                   </v>
      </c>
      <c r="F8375" t="str">
        <f t="shared" si="256"/>
        <v>MS</v>
      </c>
    </row>
    <row r="8376" spans="1:6" x14ac:dyDescent="0.25">
      <c r="A8376" t="str">
        <f>"001674806"</f>
        <v>001674806</v>
      </c>
      <c r="B8376" t="str">
        <f>"1467050419"</f>
        <v>1467050419</v>
      </c>
      <c r="C8376" t="str">
        <f>"363L00000X"</f>
        <v>363L00000X</v>
      </c>
      <c r="D8376" t="str">
        <f>"PARKER                   VENTASHA     S           "</f>
        <v xml:space="preserve">PARKER                   VENTASHA     S           </v>
      </c>
      <c r="E8376" t="str">
        <f>"PEARL                     "</f>
        <v xml:space="preserve">PEARL                     </v>
      </c>
      <c r="F8376" t="str">
        <f t="shared" si="256"/>
        <v>MS</v>
      </c>
    </row>
    <row r="8377" spans="1:6" x14ac:dyDescent="0.25">
      <c r="A8377" t="str">
        <f>"001675200"</f>
        <v>001675200</v>
      </c>
      <c r="B8377" t="str">
        <f>"1073005450"</f>
        <v>1073005450</v>
      </c>
      <c r="C8377" t="str">
        <f>"261QF0400X"</f>
        <v>261QF0400X</v>
      </c>
      <c r="D8377" t="str">
        <f>"ACCESS SCHOOL HEALTH - HATLEY                     "</f>
        <v xml:space="preserve">ACCESS SCHOOL HEALTH - HATLEY                     </v>
      </c>
      <c r="E8377" t="str">
        <f>"AMORY                     "</f>
        <v xml:space="preserve">AMORY                     </v>
      </c>
      <c r="F8377" t="str">
        <f t="shared" si="256"/>
        <v>MS</v>
      </c>
    </row>
    <row r="8378" spans="1:6" x14ac:dyDescent="0.25">
      <c r="A8378" t="str">
        <f>"001678204"</f>
        <v>001678204</v>
      </c>
      <c r="B8378" t="str">
        <f>"1548741374"</f>
        <v>1548741374</v>
      </c>
      <c r="C8378" t="str">
        <f>"363L00000X"</f>
        <v>363L00000X</v>
      </c>
      <c r="D8378" t="str">
        <f>"JOHNSON                  TERRY        C           "</f>
        <v xml:space="preserve">JOHNSON                  TERRY        C           </v>
      </c>
      <c r="E8378" t="str">
        <f>"VICKSBURG                 "</f>
        <v xml:space="preserve">VICKSBURG                 </v>
      </c>
      <c r="F8378" t="str">
        <f t="shared" si="256"/>
        <v>MS</v>
      </c>
    </row>
    <row r="8379" spans="1:6" x14ac:dyDescent="0.25">
      <c r="A8379" t="str">
        <f>"001678295"</f>
        <v>001678295</v>
      </c>
      <c r="B8379" t="str">
        <f>"1285256271"</f>
        <v>1285256271</v>
      </c>
      <c r="C8379" t="str">
        <f>"261QM1300X"</f>
        <v>261QM1300X</v>
      </c>
      <c r="D8379" t="str">
        <f>"AMARIS MEDICAL GROUP LLC                          "</f>
        <v xml:space="preserve">AMARIS MEDICAL GROUP LLC                          </v>
      </c>
      <c r="E8379" t="str">
        <f>"KOSCIUSKO                 "</f>
        <v xml:space="preserve">KOSCIUSKO                 </v>
      </c>
      <c r="F8379" t="str">
        <f t="shared" si="256"/>
        <v>MS</v>
      </c>
    </row>
    <row r="8380" spans="1:6" x14ac:dyDescent="0.25">
      <c r="A8380" t="str">
        <f>"001679382"</f>
        <v>001679382</v>
      </c>
      <c r="B8380" t="str">
        <f>"1467983403"</f>
        <v>1467983403</v>
      </c>
      <c r="C8380" t="str">
        <f>"207L00000X"</f>
        <v>207L00000X</v>
      </c>
      <c r="D8380" t="str">
        <f>"MARTINI                  ADRIANA      S           "</f>
        <v xml:space="preserve">MARTINI                  ADRIANA      S           </v>
      </c>
      <c r="E8380" t="str">
        <f>"JACKSON                   "</f>
        <v xml:space="preserve">JACKSON                   </v>
      </c>
      <c r="F8380" t="str">
        <f t="shared" si="256"/>
        <v>MS</v>
      </c>
    </row>
    <row r="8381" spans="1:6" x14ac:dyDescent="0.25">
      <c r="A8381" t="str">
        <f>"001679741"</f>
        <v>001679741</v>
      </c>
      <c r="B8381" t="str">
        <f>"1447450622"</f>
        <v>1447450622</v>
      </c>
      <c r="C8381" t="str">
        <f>"207RP1001X"</f>
        <v>207RP1001X</v>
      </c>
      <c r="D8381" t="str">
        <f>"GARDNER                  JENNIFER     R           "</f>
        <v xml:space="preserve">GARDNER                  JENNIFER     R           </v>
      </c>
      <c r="E8381" t="str">
        <f>"OXFORD                    "</f>
        <v xml:space="preserve">OXFORD                    </v>
      </c>
      <c r="F8381" t="str">
        <f t="shared" si="256"/>
        <v>MS</v>
      </c>
    </row>
    <row r="8382" spans="1:6" x14ac:dyDescent="0.25">
      <c r="A8382" t="str">
        <f>"001680060"</f>
        <v>001680060</v>
      </c>
      <c r="B8382" t="str">
        <f>"1700210432"</f>
        <v>1700210432</v>
      </c>
      <c r="C8382" t="str">
        <f>"363L00000X"</f>
        <v>363L00000X</v>
      </c>
      <c r="D8382" t="str">
        <f>"BLYTHE                   RAYMOND      P           "</f>
        <v xml:space="preserve">BLYTHE                   RAYMOND      P           </v>
      </c>
      <c r="E8382" t="str">
        <f>"GULFPORT                  "</f>
        <v xml:space="preserve">GULFPORT                  </v>
      </c>
      <c r="F8382" t="str">
        <f t="shared" ref="F8382:F8445" si="257">"MS"</f>
        <v>MS</v>
      </c>
    </row>
    <row r="8383" spans="1:6" x14ac:dyDescent="0.25">
      <c r="A8383" t="str">
        <f>"001680750"</f>
        <v>001680750</v>
      </c>
      <c r="B8383" t="str">
        <f>"1376993394"</f>
        <v>1376993394</v>
      </c>
      <c r="C8383" t="str">
        <f>"363L00000X"</f>
        <v>363L00000X</v>
      </c>
      <c r="D8383" t="str">
        <f>"KIJONKA                  ERIN         H           "</f>
        <v xml:space="preserve">KIJONKA                  ERIN         H           </v>
      </c>
      <c r="E8383" t="str">
        <f>"GULFPORT                  "</f>
        <v xml:space="preserve">GULFPORT                  </v>
      </c>
      <c r="F8383" t="str">
        <f t="shared" si="257"/>
        <v>MS</v>
      </c>
    </row>
    <row r="8384" spans="1:6" x14ac:dyDescent="0.25">
      <c r="A8384" t="str">
        <f>"001680755"</f>
        <v>001680755</v>
      </c>
      <c r="B8384" t="str">
        <f>"1780086249"</f>
        <v>1780086249</v>
      </c>
      <c r="C8384" t="str">
        <f>"363AS0400X"</f>
        <v>363AS0400X</v>
      </c>
      <c r="D8384" t="str">
        <f>"THAMES                   ABBY         M           "</f>
        <v xml:space="preserve">THAMES                   ABBY         M           </v>
      </c>
      <c r="E8384" t="str">
        <f>"MERIDIAN                  "</f>
        <v xml:space="preserve">MERIDIAN                  </v>
      </c>
      <c r="F8384" t="str">
        <f t="shared" si="257"/>
        <v>MS</v>
      </c>
    </row>
    <row r="8385" spans="1:6" x14ac:dyDescent="0.25">
      <c r="A8385" t="str">
        <f>"001680795"</f>
        <v>001680795</v>
      </c>
      <c r="B8385" t="str">
        <f>"1699779686"</f>
        <v>1699779686</v>
      </c>
      <c r="C8385" t="str">
        <f>"2086S0129X"</f>
        <v>2086S0129X</v>
      </c>
      <c r="D8385" t="str">
        <f>"LEVY                     PAUL         S           "</f>
        <v xml:space="preserve">LEVY                     PAUL         S           </v>
      </c>
      <c r="E8385" t="str">
        <f>"OXFORD                    "</f>
        <v xml:space="preserve">OXFORD                    </v>
      </c>
      <c r="F8385" t="str">
        <f t="shared" si="257"/>
        <v>MS</v>
      </c>
    </row>
    <row r="8386" spans="1:6" x14ac:dyDescent="0.25">
      <c r="A8386" t="str">
        <f>"001680815"</f>
        <v>001680815</v>
      </c>
      <c r="B8386" t="str">
        <f>"1407594443"</f>
        <v>1407594443</v>
      </c>
      <c r="C8386" t="str">
        <f>"363L00000X"</f>
        <v>363L00000X</v>
      </c>
      <c r="D8386" t="str">
        <f>"WARD                     ERIN                     "</f>
        <v xml:space="preserve">WARD                     ERIN                     </v>
      </c>
      <c r="E8386" t="str">
        <f>"TUPELO                    "</f>
        <v xml:space="preserve">TUPELO                    </v>
      </c>
      <c r="F8386" t="str">
        <f t="shared" si="257"/>
        <v>MS</v>
      </c>
    </row>
    <row r="8387" spans="1:6" x14ac:dyDescent="0.25">
      <c r="A8387" t="str">
        <f>"001681015"</f>
        <v>001681015</v>
      </c>
      <c r="B8387" t="str">
        <f>"1629627542"</f>
        <v>1629627542</v>
      </c>
      <c r="C8387" t="str">
        <f>"363L00000X"</f>
        <v>363L00000X</v>
      </c>
      <c r="D8387" t="str">
        <f>"FARMER                   HANNAH       S           "</f>
        <v xml:space="preserve">FARMER                   HANNAH       S           </v>
      </c>
      <c r="E8387" t="str">
        <f>"RULEVILLE                 "</f>
        <v xml:space="preserve">RULEVILLE                 </v>
      </c>
      <c r="F8387" t="str">
        <f t="shared" si="257"/>
        <v>MS</v>
      </c>
    </row>
    <row r="8388" spans="1:6" x14ac:dyDescent="0.25">
      <c r="A8388" t="str">
        <f>"001681707"</f>
        <v>001681707</v>
      </c>
      <c r="B8388" t="str">
        <f>"1821153388"</f>
        <v>1821153388</v>
      </c>
      <c r="C8388" t="str">
        <f>"363LF0000X"</f>
        <v>363LF0000X</v>
      </c>
      <c r="D8388" t="str">
        <f>"KURTS                    JENNY        C           "</f>
        <v xml:space="preserve">KURTS                    JENNY        C           </v>
      </c>
      <c r="E8388" t="str">
        <f>"CLEVELAND                 "</f>
        <v xml:space="preserve">CLEVELAND                 </v>
      </c>
      <c r="F8388" t="str">
        <f t="shared" si="257"/>
        <v>MS</v>
      </c>
    </row>
    <row r="8389" spans="1:6" x14ac:dyDescent="0.25">
      <c r="A8389" t="str">
        <f>"001682070"</f>
        <v>001682070</v>
      </c>
      <c r="B8389" t="str">
        <f>"1538582531"</f>
        <v>1538582531</v>
      </c>
      <c r="C8389" t="str">
        <f>"363L00000X"</f>
        <v>363L00000X</v>
      </c>
      <c r="D8389" t="str">
        <f>"ROBERTS                  MARCELLA     M           "</f>
        <v xml:space="preserve">ROBERTS                  MARCELLA     M           </v>
      </c>
      <c r="E8389" t="str">
        <f>"WESSON                    "</f>
        <v xml:space="preserve">WESSON                    </v>
      </c>
      <c r="F8389" t="str">
        <f t="shared" si="257"/>
        <v>MS</v>
      </c>
    </row>
    <row r="8390" spans="1:6" x14ac:dyDescent="0.25">
      <c r="A8390" t="str">
        <f>"001682232"</f>
        <v>001682232</v>
      </c>
      <c r="B8390" t="str">
        <f>"1447547047"</f>
        <v>1447547047</v>
      </c>
      <c r="C8390" t="str">
        <f>"207V00000X"</f>
        <v>207V00000X</v>
      </c>
      <c r="D8390" t="str">
        <f>"BENNETT                  ALLISON      D           "</f>
        <v xml:space="preserve">BENNETT                  ALLISON      D           </v>
      </c>
      <c r="E8390" t="str">
        <f>"STARKVILLE                "</f>
        <v xml:space="preserve">STARKVILLE                </v>
      </c>
      <c r="F8390" t="str">
        <f t="shared" si="257"/>
        <v>MS</v>
      </c>
    </row>
    <row r="8391" spans="1:6" x14ac:dyDescent="0.25">
      <c r="A8391" t="str">
        <f>"001682365"</f>
        <v>001682365</v>
      </c>
      <c r="B8391" t="str">
        <f>"1902876238"</f>
        <v>1902876238</v>
      </c>
      <c r="C8391" t="str">
        <f>"363L00000X"</f>
        <v>363L00000X</v>
      </c>
      <c r="D8391" t="str">
        <f>"STROUPE                  WANDA        S           "</f>
        <v xml:space="preserve">STROUPE                  WANDA        S           </v>
      </c>
      <c r="E8391" t="str">
        <f>"RIPLEY                    "</f>
        <v xml:space="preserve">RIPLEY                    </v>
      </c>
      <c r="F8391" t="str">
        <f t="shared" si="257"/>
        <v>MS</v>
      </c>
    </row>
    <row r="8392" spans="1:6" x14ac:dyDescent="0.25">
      <c r="A8392" t="str">
        <f>"001682868"</f>
        <v>001682868</v>
      </c>
      <c r="B8392" t="str">
        <f>"1477073393"</f>
        <v>1477073393</v>
      </c>
      <c r="C8392" t="str">
        <f>"363L00000X"</f>
        <v>363L00000X</v>
      </c>
      <c r="D8392" t="str">
        <f>"ODOM                     SONDRA       D           "</f>
        <v xml:space="preserve">ODOM                     SONDRA       D           </v>
      </c>
      <c r="E8392" t="str">
        <f>"MERIDIAN                  "</f>
        <v xml:space="preserve">MERIDIAN                  </v>
      </c>
      <c r="F8392" t="str">
        <f t="shared" si="257"/>
        <v>MS</v>
      </c>
    </row>
    <row r="8393" spans="1:6" x14ac:dyDescent="0.25">
      <c r="A8393" t="str">
        <f>"001683301"</f>
        <v>001683301</v>
      </c>
      <c r="B8393" t="str">
        <f>"1932874260"</f>
        <v>1932874260</v>
      </c>
      <c r="C8393" t="str">
        <f>"122300000X"</f>
        <v>122300000X</v>
      </c>
      <c r="D8393" t="str">
        <f>"KINCAID DENTAL CENTER PLLC                        "</f>
        <v xml:space="preserve">KINCAID DENTAL CENTER PLLC                        </v>
      </c>
      <c r="E8393" t="str">
        <f>"GLUCKSTADT                "</f>
        <v xml:space="preserve">GLUCKSTADT                </v>
      </c>
      <c r="F8393" t="str">
        <f t="shared" si="257"/>
        <v>MS</v>
      </c>
    </row>
    <row r="8394" spans="1:6" x14ac:dyDescent="0.25">
      <c r="A8394" t="str">
        <f>"001684879"</f>
        <v>001684879</v>
      </c>
      <c r="B8394" t="str">
        <f>"1114581923"</f>
        <v>1114581923</v>
      </c>
      <c r="C8394" t="str">
        <f>"207Q00000X"</f>
        <v>207Q00000X</v>
      </c>
      <c r="D8394" t="str">
        <f>"HUDSON                   HELEN        R           "</f>
        <v xml:space="preserve">HUDSON                   HELEN        R           </v>
      </c>
      <c r="E8394" t="str">
        <f>"HATTIESBURG               "</f>
        <v xml:space="preserve">HATTIESBURG               </v>
      </c>
      <c r="F8394" t="str">
        <f t="shared" si="257"/>
        <v>MS</v>
      </c>
    </row>
    <row r="8395" spans="1:6" x14ac:dyDescent="0.25">
      <c r="A8395" t="str">
        <f>"001685009"</f>
        <v>001685009</v>
      </c>
      <c r="B8395" t="str">
        <f>"1407089907"</f>
        <v>1407089907</v>
      </c>
      <c r="C8395" t="str">
        <f>"363L00000X"</f>
        <v>363L00000X</v>
      </c>
      <c r="D8395" t="str">
        <f>"MOORE                    WILLIAM      W           "</f>
        <v xml:space="preserve">MOORE                    WILLIAM      W           </v>
      </c>
      <c r="E8395" t="str">
        <f>"GAUTIER                   "</f>
        <v xml:space="preserve">GAUTIER                   </v>
      </c>
      <c r="F8395" t="str">
        <f t="shared" si="257"/>
        <v>MS</v>
      </c>
    </row>
    <row r="8396" spans="1:6" x14ac:dyDescent="0.25">
      <c r="A8396" t="str">
        <f>"001686042"</f>
        <v>001686042</v>
      </c>
      <c r="B8396" t="str">
        <f>"1538775317"</f>
        <v>1538775317</v>
      </c>
      <c r="C8396" t="str">
        <f>"367500000X"</f>
        <v>367500000X</v>
      </c>
      <c r="D8396" t="str">
        <f>"BALLARD                  ANDREW                   "</f>
        <v xml:space="preserve">BALLARD                  ANDREW                   </v>
      </c>
      <c r="E8396" t="str">
        <f>"TUPELO                    "</f>
        <v xml:space="preserve">TUPELO                    </v>
      </c>
      <c r="F8396" t="str">
        <f t="shared" si="257"/>
        <v>MS</v>
      </c>
    </row>
    <row r="8397" spans="1:6" x14ac:dyDescent="0.25">
      <c r="A8397" t="str">
        <f>"001687283"</f>
        <v>001687283</v>
      </c>
      <c r="B8397" t="str">
        <f>"1265868145"</f>
        <v>1265868145</v>
      </c>
      <c r="C8397" t="str">
        <f>"363L00000X"</f>
        <v>363L00000X</v>
      </c>
      <c r="D8397" t="str">
        <f>"MCDANIEL                 KASSIA       E           "</f>
        <v xml:space="preserve">MCDANIEL                 KASSIA       E           </v>
      </c>
      <c r="E8397" t="str">
        <f>"JACKSON                   "</f>
        <v xml:space="preserve">JACKSON                   </v>
      </c>
      <c r="F8397" t="str">
        <f t="shared" si="257"/>
        <v>MS</v>
      </c>
    </row>
    <row r="8398" spans="1:6" x14ac:dyDescent="0.25">
      <c r="A8398" t="str">
        <f>"001687839"</f>
        <v>001687839</v>
      </c>
      <c r="B8398" t="str">
        <f>"1114330347"</f>
        <v>1114330347</v>
      </c>
      <c r="C8398" t="str">
        <f>"261QR1300X"</f>
        <v>261QR1300X</v>
      </c>
      <c r="D8398" t="str">
        <f>"OCHSNER CHILDREN'S HEALTH CENTER                  "</f>
        <v xml:space="preserve">OCHSNER CHILDREN'S HEALTH CENTER                  </v>
      </c>
      <c r="E8398" t="str">
        <f>"MERIDIAN                  "</f>
        <v xml:space="preserve">MERIDIAN                  </v>
      </c>
      <c r="F8398" t="str">
        <f t="shared" si="257"/>
        <v>MS</v>
      </c>
    </row>
    <row r="8399" spans="1:6" x14ac:dyDescent="0.25">
      <c r="A8399" t="str">
        <f>"001688010"</f>
        <v>001688010</v>
      </c>
      <c r="B8399" t="str">
        <f>"1093912826"</f>
        <v>1093912826</v>
      </c>
      <c r="C8399" t="str">
        <f>"208D00000X"</f>
        <v>208D00000X</v>
      </c>
      <c r="D8399" t="str">
        <f>"DEAN                     MALCOLM      S           "</f>
        <v xml:space="preserve">DEAN                     MALCOLM      S           </v>
      </c>
      <c r="E8399" t="str">
        <f>"GULFPORT                  "</f>
        <v xml:space="preserve">GULFPORT                  </v>
      </c>
      <c r="F8399" t="str">
        <f t="shared" si="257"/>
        <v>MS</v>
      </c>
    </row>
    <row r="8400" spans="1:6" x14ac:dyDescent="0.25">
      <c r="A8400" t="str">
        <f>"001689087"</f>
        <v>001689087</v>
      </c>
      <c r="B8400" t="str">
        <f>"1518988328"</f>
        <v>1518988328</v>
      </c>
      <c r="C8400" t="str">
        <f>"2085R0202X"</f>
        <v>2085R0202X</v>
      </c>
      <c r="D8400" t="str">
        <f>"GRAY                     JIM          P           "</f>
        <v xml:space="preserve">GRAY                     JIM          P           </v>
      </c>
      <c r="E8400" t="str">
        <f>"GULFPORT                  "</f>
        <v xml:space="preserve">GULFPORT                  </v>
      </c>
      <c r="F8400" t="str">
        <f t="shared" si="257"/>
        <v>MS</v>
      </c>
    </row>
    <row r="8401" spans="1:6" x14ac:dyDescent="0.25">
      <c r="A8401" t="str">
        <f>"001689827"</f>
        <v>001689827</v>
      </c>
      <c r="B8401" t="str">
        <f>"1629417324"</f>
        <v>1629417324</v>
      </c>
      <c r="C8401" t="str">
        <f>"261QR1300X"</f>
        <v>261QR1300X</v>
      </c>
      <c r="D8401" t="str">
        <f>"WINSTON MEDICAL CLINIC LLC                        "</f>
        <v xml:space="preserve">WINSTON MEDICAL CLINIC LLC                        </v>
      </c>
      <c r="E8401" t="str">
        <f>"LOUISVILLE                "</f>
        <v xml:space="preserve">LOUISVILLE                </v>
      </c>
      <c r="F8401" t="str">
        <f t="shared" si="257"/>
        <v>MS</v>
      </c>
    </row>
    <row r="8402" spans="1:6" x14ac:dyDescent="0.25">
      <c r="A8402" t="str">
        <f>"001700380"</f>
        <v>001700380</v>
      </c>
      <c r="B8402" t="str">
        <f>"1962950303"</f>
        <v>1962950303</v>
      </c>
      <c r="C8402" t="str">
        <f>"363L00000X"</f>
        <v>363L00000X</v>
      </c>
      <c r="D8402" t="str">
        <f>"REAVES                   ASHLEY       D           "</f>
        <v xml:space="preserve">REAVES                   ASHLEY       D           </v>
      </c>
      <c r="E8402" t="str">
        <f>"GULFPORT                  "</f>
        <v xml:space="preserve">GULFPORT                  </v>
      </c>
      <c r="F8402" t="str">
        <f t="shared" si="257"/>
        <v>MS</v>
      </c>
    </row>
    <row r="8403" spans="1:6" x14ac:dyDescent="0.25">
      <c r="A8403" t="str">
        <f>"001702830"</f>
        <v>001702830</v>
      </c>
      <c r="B8403" t="str">
        <f>"1962464883"</f>
        <v>1962464883</v>
      </c>
      <c r="C8403" t="str">
        <f>"363L00000X"</f>
        <v>363L00000X</v>
      </c>
      <c r="D8403" t="str">
        <f>"SMITH                    REBEKAH      A           "</f>
        <v xml:space="preserve">SMITH                    REBEKAH      A           </v>
      </c>
      <c r="E8403" t="str">
        <f>"BOONEVILLE                "</f>
        <v xml:space="preserve">BOONEVILLE                </v>
      </c>
      <c r="F8403" t="str">
        <f t="shared" si="257"/>
        <v>MS</v>
      </c>
    </row>
    <row r="8404" spans="1:6" x14ac:dyDescent="0.25">
      <c r="A8404" t="str">
        <f>"001703226"</f>
        <v>001703226</v>
      </c>
      <c r="B8404" t="str">
        <f>"1477995009"</f>
        <v>1477995009</v>
      </c>
      <c r="C8404" t="str">
        <f>"152W00000X"</f>
        <v>152W00000X</v>
      </c>
      <c r="D8404" t="str">
        <f>"ROGERS                   BRITTANY     N           "</f>
        <v xml:space="preserve">ROGERS                   BRITTANY     N           </v>
      </c>
      <c r="E8404" t="str">
        <f>"RIDGELAND                 "</f>
        <v xml:space="preserve">RIDGELAND                 </v>
      </c>
      <c r="F8404" t="str">
        <f t="shared" si="257"/>
        <v>MS</v>
      </c>
    </row>
    <row r="8405" spans="1:6" x14ac:dyDescent="0.25">
      <c r="A8405" t="str">
        <f>"001704260"</f>
        <v>001704260</v>
      </c>
      <c r="B8405" t="str">
        <f>"1770715450"</f>
        <v>1770715450</v>
      </c>
      <c r="C8405" t="str">
        <f>"261QR1300X"</f>
        <v>261QR1300X</v>
      </c>
      <c r="D8405" t="str">
        <f>"PEARL RIVER FAMILY CLINIC                         "</f>
        <v xml:space="preserve">PEARL RIVER FAMILY CLINIC                         </v>
      </c>
      <c r="E8405" t="str">
        <f>"POPULARVILLE              "</f>
        <v xml:space="preserve">POPULARVILLE              </v>
      </c>
      <c r="F8405" t="str">
        <f t="shared" si="257"/>
        <v>MS</v>
      </c>
    </row>
    <row r="8406" spans="1:6" x14ac:dyDescent="0.25">
      <c r="A8406" t="str">
        <f>"001704766"</f>
        <v>001704766</v>
      </c>
      <c r="B8406" t="str">
        <f>"1962901587"</f>
        <v>1962901587</v>
      </c>
      <c r="C8406" t="str">
        <f>"363L00000X"</f>
        <v>363L00000X</v>
      </c>
      <c r="D8406" t="str">
        <f>"IVISON                   HANNAH       F           "</f>
        <v xml:space="preserve">IVISON                   HANNAH       F           </v>
      </c>
      <c r="E8406" t="str">
        <f>"JACKSON                   "</f>
        <v xml:space="preserve">JACKSON                   </v>
      </c>
      <c r="F8406" t="str">
        <f t="shared" si="257"/>
        <v>MS</v>
      </c>
    </row>
    <row r="8407" spans="1:6" x14ac:dyDescent="0.25">
      <c r="A8407" t="str">
        <f>"001704800"</f>
        <v>001704800</v>
      </c>
      <c r="B8407" t="str">
        <f>"1336393891"</f>
        <v>1336393891</v>
      </c>
      <c r="C8407" t="str">
        <f>"207Y00000X"</f>
        <v>207Y00000X</v>
      </c>
      <c r="D8407" t="str">
        <f>"ROBERTS                  JESS                     "</f>
        <v xml:space="preserve">ROBERTS                  JESS                     </v>
      </c>
      <c r="E8407" t="str">
        <f>"MADISON                   "</f>
        <v xml:space="preserve">MADISON                   </v>
      </c>
      <c r="F8407" t="str">
        <f t="shared" si="257"/>
        <v>MS</v>
      </c>
    </row>
    <row r="8408" spans="1:6" x14ac:dyDescent="0.25">
      <c r="A8408" t="str">
        <f>"001704876"</f>
        <v>001704876</v>
      </c>
      <c r="B8408" t="str">
        <f>"1376724799"</f>
        <v>1376724799</v>
      </c>
      <c r="C8408" t="str">
        <f>"363L00000X"</f>
        <v>363L00000X</v>
      </c>
      <c r="D8408" t="str">
        <f>"JONES                    DIETRICHE    S           "</f>
        <v xml:space="preserve">JONES                    DIETRICHE    S           </v>
      </c>
      <c r="E8408" t="str">
        <f>"TUPELO                    "</f>
        <v xml:space="preserve">TUPELO                    </v>
      </c>
      <c r="F8408" t="str">
        <f t="shared" si="257"/>
        <v>MS</v>
      </c>
    </row>
    <row r="8409" spans="1:6" x14ac:dyDescent="0.25">
      <c r="A8409" t="str">
        <f>"001705300"</f>
        <v>001705300</v>
      </c>
      <c r="B8409" t="str">
        <f>"1790795110"</f>
        <v>1790795110</v>
      </c>
      <c r="C8409" t="str">
        <f>"207T00000X"</f>
        <v>207T00000X</v>
      </c>
      <c r="D8409" t="str">
        <f>"HOLADAY                  HOWARD       R           "</f>
        <v xml:space="preserve">HOLADAY                  HOWARD       R           </v>
      </c>
      <c r="E8409" t="str">
        <f>"JACKSON                   "</f>
        <v xml:space="preserve">JACKSON                   </v>
      </c>
      <c r="F8409" t="str">
        <f t="shared" si="257"/>
        <v>MS</v>
      </c>
    </row>
    <row r="8410" spans="1:6" x14ac:dyDescent="0.25">
      <c r="A8410" t="str">
        <f>"001706040"</f>
        <v>001706040</v>
      </c>
      <c r="B8410" t="str">
        <f>"1538394366"</f>
        <v>1538394366</v>
      </c>
      <c r="C8410" t="str">
        <f>"367500000X"</f>
        <v>367500000X</v>
      </c>
      <c r="D8410" t="str">
        <f>"MCCOY                    ANGELA       D           "</f>
        <v xml:space="preserve">MCCOY                    ANGELA       D           </v>
      </c>
      <c r="E8410" t="str">
        <f>"MERIDIAN                  "</f>
        <v xml:space="preserve">MERIDIAN                  </v>
      </c>
      <c r="F8410" t="str">
        <f t="shared" si="257"/>
        <v>MS</v>
      </c>
    </row>
    <row r="8411" spans="1:6" x14ac:dyDescent="0.25">
      <c r="A8411" t="str">
        <f>"001706092"</f>
        <v>001706092</v>
      </c>
      <c r="B8411" t="str">
        <f>"1508077587"</f>
        <v>1508077587</v>
      </c>
      <c r="C8411" t="str">
        <f>"207P00000X"</f>
        <v>207P00000X</v>
      </c>
      <c r="D8411" t="str">
        <f>"BELL                     ERIC                     "</f>
        <v xml:space="preserve">BELL                     ERIC                     </v>
      </c>
      <c r="E8411" t="str">
        <f>"FLOWOOD                   "</f>
        <v xml:space="preserve">FLOWOOD                   </v>
      </c>
      <c r="F8411" t="str">
        <f t="shared" si="257"/>
        <v>MS</v>
      </c>
    </row>
    <row r="8412" spans="1:6" x14ac:dyDescent="0.25">
      <c r="A8412" t="str">
        <f>"001706241"</f>
        <v>001706241</v>
      </c>
      <c r="B8412" t="str">
        <f>"1144517715"</f>
        <v>1144517715</v>
      </c>
      <c r="C8412" t="str">
        <f>"207RH0002X"</f>
        <v>207RH0002X</v>
      </c>
      <c r="D8412" t="str">
        <f>"GRAHAM                   JACOB        M           "</f>
        <v xml:space="preserve">GRAHAM                   JACOB        M           </v>
      </c>
      <c r="E8412" t="str">
        <f>"LAUREL                    "</f>
        <v xml:space="preserve">LAUREL                    </v>
      </c>
      <c r="F8412" t="str">
        <f t="shared" si="257"/>
        <v>MS</v>
      </c>
    </row>
    <row r="8413" spans="1:6" x14ac:dyDescent="0.25">
      <c r="A8413" t="str">
        <f>"001708389"</f>
        <v>001708389</v>
      </c>
      <c r="B8413" t="str">
        <f>"1821511361"</f>
        <v>1821511361</v>
      </c>
      <c r="C8413" t="str">
        <f>"152W00000X"</f>
        <v>152W00000X</v>
      </c>
      <c r="D8413" t="str">
        <f>"TAYLOR                   SIDNEY       D           "</f>
        <v xml:space="preserve">TAYLOR                   SIDNEY       D           </v>
      </c>
      <c r="E8413" t="str">
        <f>"COLDWATER                 "</f>
        <v xml:space="preserve">COLDWATER                 </v>
      </c>
      <c r="F8413" t="str">
        <f t="shared" si="257"/>
        <v>MS</v>
      </c>
    </row>
    <row r="8414" spans="1:6" x14ac:dyDescent="0.25">
      <c r="A8414" t="str">
        <f>"001709597"</f>
        <v>001709597</v>
      </c>
      <c r="B8414" t="str">
        <f>"1851841092"</f>
        <v>1851841092</v>
      </c>
      <c r="C8414" t="str">
        <f>"363L00000X"</f>
        <v>363L00000X</v>
      </c>
      <c r="D8414" t="str">
        <f>"ASHFORD                  NANCY                    "</f>
        <v xml:space="preserve">ASHFORD                  NANCY                    </v>
      </c>
      <c r="E8414" t="str">
        <f>"COLUMBUS                  "</f>
        <v xml:space="preserve">COLUMBUS                  </v>
      </c>
      <c r="F8414" t="str">
        <f t="shared" si="257"/>
        <v>MS</v>
      </c>
    </row>
    <row r="8415" spans="1:6" x14ac:dyDescent="0.25">
      <c r="A8415" t="str">
        <f>"001709774"</f>
        <v>001709774</v>
      </c>
      <c r="B8415" t="str">
        <f>"1326008400"</f>
        <v>1326008400</v>
      </c>
      <c r="C8415" t="str">
        <f>"207V00000X"</f>
        <v>207V00000X</v>
      </c>
      <c r="D8415" t="str">
        <f>"FARMER                   KIMBERLEY    J           "</f>
        <v xml:space="preserve">FARMER                   KIMBERLEY    J           </v>
      </c>
      <c r="E8415" t="str">
        <f>"GRENADA                   "</f>
        <v xml:space="preserve">GRENADA                   </v>
      </c>
      <c r="F8415" t="str">
        <f t="shared" si="257"/>
        <v>MS</v>
      </c>
    </row>
    <row r="8416" spans="1:6" x14ac:dyDescent="0.25">
      <c r="A8416" t="str">
        <f>"001709891"</f>
        <v>001709891</v>
      </c>
      <c r="B8416" t="str">
        <f>"1548883481"</f>
        <v>1548883481</v>
      </c>
      <c r="C8416" t="str">
        <f>"261QR1300X"</f>
        <v>261QR1300X</v>
      </c>
      <c r="D8416" t="str">
        <f>"TYLER HOLMES CARROLLTON CLINIC                    "</f>
        <v xml:space="preserve">TYLER HOLMES CARROLLTON CLINIC                    </v>
      </c>
      <c r="E8416" t="str">
        <f>"NORTH CARROLLTON          "</f>
        <v xml:space="preserve">NORTH CARROLLTON          </v>
      </c>
      <c r="F8416" t="str">
        <f t="shared" si="257"/>
        <v>MS</v>
      </c>
    </row>
    <row r="8417" spans="1:6" x14ac:dyDescent="0.25">
      <c r="A8417" t="str">
        <f>"001721241"</f>
        <v>001721241</v>
      </c>
      <c r="B8417" t="str">
        <f>"1437383718"</f>
        <v>1437383718</v>
      </c>
      <c r="C8417" t="str">
        <f>"207Q00000X"</f>
        <v>207Q00000X</v>
      </c>
      <c r="D8417" t="str">
        <f>"OSTRANDER                TROY         J           "</f>
        <v xml:space="preserve">OSTRANDER                TROY         J           </v>
      </c>
      <c r="E8417" t="str">
        <f>"TUPELO                    "</f>
        <v xml:space="preserve">TUPELO                    </v>
      </c>
      <c r="F8417" t="str">
        <f t="shared" si="257"/>
        <v>MS</v>
      </c>
    </row>
    <row r="8418" spans="1:6" x14ac:dyDescent="0.25">
      <c r="A8418" t="str">
        <f>"001722300"</f>
        <v>001722300</v>
      </c>
      <c r="B8418" t="str">
        <f>"1306108477"</f>
        <v>1306108477</v>
      </c>
      <c r="C8418" t="str">
        <f>"367500000X"</f>
        <v>367500000X</v>
      </c>
      <c r="D8418" t="str">
        <f>"PYLE                     WENDY        J           "</f>
        <v xml:space="preserve">PYLE                     WENDY        J           </v>
      </c>
      <c r="E8418" t="str">
        <f>"JACKSON                   "</f>
        <v xml:space="preserve">JACKSON                   </v>
      </c>
      <c r="F8418" t="str">
        <f t="shared" si="257"/>
        <v>MS</v>
      </c>
    </row>
    <row r="8419" spans="1:6" x14ac:dyDescent="0.25">
      <c r="A8419" t="str">
        <f>"001722545"</f>
        <v>001722545</v>
      </c>
      <c r="B8419" t="str">
        <f>"1235532391"</f>
        <v>1235532391</v>
      </c>
      <c r="C8419" t="str">
        <f>"363L00000X"</f>
        <v>363L00000X</v>
      </c>
      <c r="D8419" t="str">
        <f>"MAY                      BROOKE       N           "</f>
        <v xml:space="preserve">MAY                      BROOKE       N           </v>
      </c>
      <c r="E8419" t="str">
        <f>"SOUTHAVEN                 "</f>
        <v xml:space="preserve">SOUTHAVEN                 </v>
      </c>
      <c r="F8419" t="str">
        <f t="shared" si="257"/>
        <v>MS</v>
      </c>
    </row>
    <row r="8420" spans="1:6" x14ac:dyDescent="0.25">
      <c r="A8420" t="str">
        <f>"001722884"</f>
        <v>001722884</v>
      </c>
      <c r="B8420" t="str">
        <f>"1568407625"</f>
        <v>1568407625</v>
      </c>
      <c r="C8420" t="str">
        <f>"2085R0202X"</f>
        <v>2085R0202X</v>
      </c>
      <c r="D8420" t="str">
        <f>"BUEHLER                  MICHAEL      A           "</f>
        <v xml:space="preserve">BUEHLER                  MICHAEL      A           </v>
      </c>
      <c r="E8420" t="str">
        <f>"STARKVILLE                "</f>
        <v xml:space="preserve">STARKVILLE                </v>
      </c>
      <c r="F8420" t="str">
        <f t="shared" si="257"/>
        <v>MS</v>
      </c>
    </row>
    <row r="8421" spans="1:6" x14ac:dyDescent="0.25">
      <c r="A8421" t="str">
        <f>"001723595"</f>
        <v>001723595</v>
      </c>
      <c r="B8421" t="str">
        <f>"1962153197"</f>
        <v>1962153197</v>
      </c>
      <c r="C8421" t="str">
        <f>"261QM1300X"</f>
        <v>261QM1300X</v>
      </c>
      <c r="D8421" t="str">
        <f>"ERIN KING COUNSELING LLC                          "</f>
        <v xml:space="preserve">ERIN KING COUNSELING LLC                          </v>
      </c>
      <c r="E8421" t="str">
        <f>"BROOKHAVEN                "</f>
        <v xml:space="preserve">BROOKHAVEN                </v>
      </c>
      <c r="F8421" t="str">
        <f t="shared" si="257"/>
        <v>MS</v>
      </c>
    </row>
    <row r="8422" spans="1:6" x14ac:dyDescent="0.25">
      <c r="A8422" t="str">
        <f>"001724525"</f>
        <v>001724525</v>
      </c>
      <c r="B8422" t="str">
        <f>"1053707083"</f>
        <v>1053707083</v>
      </c>
      <c r="C8422" t="str">
        <f>"122300000X"</f>
        <v>122300000X</v>
      </c>
      <c r="D8422" t="str">
        <f>"DENTAL GROUP OF MAGEE                             "</f>
        <v xml:space="preserve">DENTAL GROUP OF MAGEE                             </v>
      </c>
      <c r="E8422" t="str">
        <f>"MAGEE                     "</f>
        <v xml:space="preserve">MAGEE                     </v>
      </c>
      <c r="F8422" t="str">
        <f t="shared" si="257"/>
        <v>MS</v>
      </c>
    </row>
    <row r="8423" spans="1:6" x14ac:dyDescent="0.25">
      <c r="A8423" t="str">
        <f>"001726582"</f>
        <v>001726582</v>
      </c>
      <c r="B8423" t="str">
        <f>"1467753772"</f>
        <v>1467753772</v>
      </c>
      <c r="C8423" t="str">
        <f>"363L00000X"</f>
        <v>363L00000X</v>
      </c>
      <c r="D8423" t="str">
        <f>"DELASKI                  DANA         M           "</f>
        <v xml:space="preserve">DELASKI                  DANA         M           </v>
      </c>
      <c r="E8423" t="str">
        <f>"JACKSON                   "</f>
        <v xml:space="preserve">JACKSON                   </v>
      </c>
      <c r="F8423" t="str">
        <f t="shared" si="257"/>
        <v>MS</v>
      </c>
    </row>
    <row r="8424" spans="1:6" x14ac:dyDescent="0.25">
      <c r="A8424" t="str">
        <f>"001726590"</f>
        <v>001726590</v>
      </c>
      <c r="B8424" t="str">
        <f>"1285845933"</f>
        <v>1285845933</v>
      </c>
      <c r="C8424" t="str">
        <f>"207R00000X"</f>
        <v>207R00000X</v>
      </c>
      <c r="D8424" t="str">
        <f>"KABIR                    AZAD         A           "</f>
        <v xml:space="preserve">KABIR                    AZAD         A           </v>
      </c>
      <c r="E8424" t="str">
        <f>"BILOXI                    "</f>
        <v xml:space="preserve">BILOXI                    </v>
      </c>
      <c r="F8424" t="str">
        <f t="shared" si="257"/>
        <v>MS</v>
      </c>
    </row>
    <row r="8425" spans="1:6" x14ac:dyDescent="0.25">
      <c r="A8425" t="str">
        <f>"001727545"</f>
        <v>001727545</v>
      </c>
      <c r="B8425" t="str">
        <f>"1891463576"</f>
        <v>1891463576</v>
      </c>
      <c r="C8425" t="str">
        <f>"363L00000X"</f>
        <v>363L00000X</v>
      </c>
      <c r="D8425" t="str">
        <f>"HOLLINGSWORTH            JENNIFER                 "</f>
        <v xml:space="preserve">HOLLINGSWORTH            JENNIFER                 </v>
      </c>
      <c r="E8425" t="str">
        <f>"HATTIESBURG               "</f>
        <v xml:space="preserve">HATTIESBURG               </v>
      </c>
      <c r="F8425" t="str">
        <f t="shared" si="257"/>
        <v>MS</v>
      </c>
    </row>
    <row r="8426" spans="1:6" x14ac:dyDescent="0.25">
      <c r="A8426" t="str">
        <f>"001728342"</f>
        <v>001728342</v>
      </c>
      <c r="B8426" t="str">
        <f>"1386169050"</f>
        <v>1386169050</v>
      </c>
      <c r="C8426" t="str">
        <f>"261QM1300X"</f>
        <v>261QM1300X</v>
      </c>
      <c r="D8426" t="str">
        <f>"IMPACT BEHAVIORAL COUNSELING, LLC                 "</f>
        <v xml:space="preserve">IMPACT BEHAVIORAL COUNSELING, LLC                 </v>
      </c>
      <c r="E8426" t="str">
        <f>"JACKSON                   "</f>
        <v xml:space="preserve">JACKSON                   </v>
      </c>
      <c r="F8426" t="str">
        <f t="shared" si="257"/>
        <v>MS</v>
      </c>
    </row>
    <row r="8427" spans="1:6" x14ac:dyDescent="0.25">
      <c r="A8427" t="str">
        <f>"001729236"</f>
        <v>001729236</v>
      </c>
      <c r="B8427" t="str">
        <f>"1891103313"</f>
        <v>1891103313</v>
      </c>
      <c r="C8427" t="str">
        <f>"363L00000X"</f>
        <v>363L00000X</v>
      </c>
      <c r="D8427" t="str">
        <f>"HODGE                    CONNIE       J           "</f>
        <v xml:space="preserve">HODGE                    CONNIE       J           </v>
      </c>
      <c r="E8427" t="str">
        <f>"SOUTHAVEN                 "</f>
        <v xml:space="preserve">SOUTHAVEN                 </v>
      </c>
      <c r="F8427" t="str">
        <f t="shared" si="257"/>
        <v>MS</v>
      </c>
    </row>
    <row r="8428" spans="1:6" x14ac:dyDescent="0.25">
      <c r="A8428" t="str">
        <f>"001729277"</f>
        <v>001729277</v>
      </c>
      <c r="B8428" t="str">
        <f>"1992286777"</f>
        <v>1992286777</v>
      </c>
      <c r="C8428" t="str">
        <f>"363L00000X"</f>
        <v>363L00000X</v>
      </c>
      <c r="D8428" t="str">
        <f>"ONEAL                    CARLY                    "</f>
        <v xml:space="preserve">ONEAL                    CARLY                    </v>
      </c>
      <c r="E8428" t="str">
        <f>"MANTACHIE                 "</f>
        <v xml:space="preserve">MANTACHIE                 </v>
      </c>
      <c r="F8428" t="str">
        <f t="shared" si="257"/>
        <v>MS</v>
      </c>
    </row>
    <row r="8429" spans="1:6" x14ac:dyDescent="0.25">
      <c r="A8429" t="str">
        <f>"001729377"</f>
        <v>001729377</v>
      </c>
      <c r="B8429" t="str">
        <f>"1528026309"</f>
        <v>1528026309</v>
      </c>
      <c r="C8429" t="str">
        <f>"152W00000X"</f>
        <v>152W00000X</v>
      </c>
      <c r="D8429" t="str">
        <f>"MOORE VISION                                      "</f>
        <v xml:space="preserve">MOORE VISION                                      </v>
      </c>
      <c r="E8429" t="str">
        <f>"MCCOMB                    "</f>
        <v xml:space="preserve">MCCOMB                    </v>
      </c>
      <c r="F8429" t="str">
        <f t="shared" si="257"/>
        <v>MS</v>
      </c>
    </row>
    <row r="8430" spans="1:6" x14ac:dyDescent="0.25">
      <c r="A8430" t="str">
        <f>"001729816"</f>
        <v>001729816</v>
      </c>
      <c r="B8430" t="str">
        <f>"1841551496"</f>
        <v>1841551496</v>
      </c>
      <c r="C8430" t="str">
        <f>"207Q00000X"</f>
        <v>207Q00000X</v>
      </c>
      <c r="D8430" t="str">
        <f>"PHILLIPPI                DINO         R           "</f>
        <v xml:space="preserve">PHILLIPPI                DINO         R           </v>
      </c>
      <c r="E8430" t="str">
        <f>"JACKSON                   "</f>
        <v xml:space="preserve">JACKSON                   </v>
      </c>
      <c r="F8430" t="str">
        <f t="shared" si="257"/>
        <v>MS</v>
      </c>
    </row>
    <row r="8431" spans="1:6" x14ac:dyDescent="0.25">
      <c r="A8431" t="str">
        <f>"001730061"</f>
        <v>001730061</v>
      </c>
      <c r="B8431" t="str">
        <f>"1265015218"</f>
        <v>1265015218</v>
      </c>
      <c r="C8431" t="str">
        <f>"363L00000X"</f>
        <v>363L00000X</v>
      </c>
      <c r="D8431" t="str">
        <f>"FREEMAN                  ANGELA       R           "</f>
        <v xml:space="preserve">FREEMAN                  ANGELA       R           </v>
      </c>
      <c r="E8431" t="str">
        <f>"LAUREL                    "</f>
        <v xml:space="preserve">LAUREL                    </v>
      </c>
      <c r="F8431" t="str">
        <f t="shared" si="257"/>
        <v>MS</v>
      </c>
    </row>
    <row r="8432" spans="1:6" x14ac:dyDescent="0.25">
      <c r="A8432" t="str">
        <f>"001730365"</f>
        <v>001730365</v>
      </c>
      <c r="B8432" t="str">
        <f>"1134633076"</f>
        <v>1134633076</v>
      </c>
      <c r="C8432" t="str">
        <f>"367500000X"</f>
        <v>367500000X</v>
      </c>
      <c r="D8432" t="str">
        <f>"CARMICHAEL               BRANDI       R           "</f>
        <v xml:space="preserve">CARMICHAEL               BRANDI       R           </v>
      </c>
      <c r="E8432" t="str">
        <f>"MERIDIAN                  "</f>
        <v xml:space="preserve">MERIDIAN                  </v>
      </c>
      <c r="F8432" t="str">
        <f t="shared" si="257"/>
        <v>MS</v>
      </c>
    </row>
    <row r="8433" spans="1:6" x14ac:dyDescent="0.25">
      <c r="A8433" t="str">
        <f>"001731062"</f>
        <v>001731062</v>
      </c>
      <c r="B8433" t="str">
        <f>"1649546342"</f>
        <v>1649546342</v>
      </c>
      <c r="C8433" t="str">
        <f>"261QR1300X"</f>
        <v>261QR1300X</v>
      </c>
      <c r="D8433" t="str">
        <f>"BMC LEAKE SEBASTOPOL PRIMARY CARE                 "</f>
        <v xml:space="preserve">BMC LEAKE SEBASTOPOL PRIMARY CARE                 </v>
      </c>
      <c r="E8433" t="str">
        <f>"WALNUT GROVE              "</f>
        <v xml:space="preserve">WALNUT GROVE              </v>
      </c>
      <c r="F8433" t="str">
        <f t="shared" si="257"/>
        <v>MS</v>
      </c>
    </row>
    <row r="8434" spans="1:6" x14ac:dyDescent="0.25">
      <c r="A8434" t="str">
        <f>"001731372"</f>
        <v>001731372</v>
      </c>
      <c r="B8434" t="str">
        <f>"1295815462"</f>
        <v>1295815462</v>
      </c>
      <c r="C8434" t="str">
        <f>"207Q00000X"</f>
        <v>207Q00000X</v>
      </c>
      <c r="D8434" t="str">
        <f>"WITHERS                  JAMES        J           "</f>
        <v xml:space="preserve">WITHERS                  JAMES        J           </v>
      </c>
      <c r="E8434" t="str">
        <f>"KOSCIUSKO                 "</f>
        <v xml:space="preserve">KOSCIUSKO                 </v>
      </c>
      <c r="F8434" t="str">
        <f t="shared" si="257"/>
        <v>MS</v>
      </c>
    </row>
    <row r="8435" spans="1:6" x14ac:dyDescent="0.25">
      <c r="A8435" t="str">
        <f>"001731857"</f>
        <v>001731857</v>
      </c>
      <c r="B8435" t="str">
        <f>"1477039121"</f>
        <v>1477039121</v>
      </c>
      <c r="C8435" t="str">
        <f>"363L00000X"</f>
        <v>363L00000X</v>
      </c>
      <c r="D8435" t="str">
        <f>"SALVO                    CATHRYN                  "</f>
        <v xml:space="preserve">SALVO                    CATHRYN                  </v>
      </c>
      <c r="E8435" t="str">
        <f>"JACKSON                   "</f>
        <v xml:space="preserve">JACKSON                   </v>
      </c>
      <c r="F8435" t="str">
        <f t="shared" si="257"/>
        <v>MS</v>
      </c>
    </row>
    <row r="8436" spans="1:6" x14ac:dyDescent="0.25">
      <c r="A8436" t="str">
        <f>"001733711"</f>
        <v>001733711</v>
      </c>
      <c r="B8436" t="str">
        <f>"1083655724"</f>
        <v>1083655724</v>
      </c>
      <c r="C8436" t="str">
        <f>"363L00000X"</f>
        <v>363L00000X</v>
      </c>
      <c r="D8436" t="str">
        <f>"ELGIN                    LISA         B           "</f>
        <v xml:space="preserve">ELGIN                    LISA         B           </v>
      </c>
      <c r="E8436" t="str">
        <f>"ABERDEEN                  "</f>
        <v xml:space="preserve">ABERDEEN                  </v>
      </c>
      <c r="F8436" t="str">
        <f t="shared" si="257"/>
        <v>MS</v>
      </c>
    </row>
    <row r="8437" spans="1:6" x14ac:dyDescent="0.25">
      <c r="A8437" t="str">
        <f>"001733887"</f>
        <v>001733887</v>
      </c>
      <c r="B8437" t="str">
        <f>"1003921172"</f>
        <v>1003921172</v>
      </c>
      <c r="C8437" t="str">
        <f>"207Q00000X"</f>
        <v>207Q00000X</v>
      </c>
      <c r="D8437" t="str">
        <f>"WILDE JR                 JAMES        O           "</f>
        <v xml:space="preserve">WILDE JR                 JAMES        O           </v>
      </c>
      <c r="E8437" t="str">
        <f>"CHARLESTON                "</f>
        <v xml:space="preserve">CHARLESTON                </v>
      </c>
      <c r="F8437" t="str">
        <f t="shared" si="257"/>
        <v>MS</v>
      </c>
    </row>
    <row r="8438" spans="1:6" x14ac:dyDescent="0.25">
      <c r="A8438" t="str">
        <f>"001734596"</f>
        <v>001734596</v>
      </c>
      <c r="B8438" t="str">
        <f>"1164151247"</f>
        <v>1164151247</v>
      </c>
      <c r="C8438" t="str">
        <f>"122300000X"</f>
        <v>122300000X</v>
      </c>
      <c r="D8438" t="str">
        <f>"JACKSON                  CALLEN       D           "</f>
        <v xml:space="preserve">JACKSON                  CALLEN       D           </v>
      </c>
      <c r="E8438" t="str">
        <f>"JACKSON                   "</f>
        <v xml:space="preserve">JACKSON                   </v>
      </c>
      <c r="F8438" t="str">
        <f t="shared" si="257"/>
        <v>MS</v>
      </c>
    </row>
    <row r="8439" spans="1:6" x14ac:dyDescent="0.25">
      <c r="A8439" t="str">
        <f>"001734599"</f>
        <v>001734599</v>
      </c>
      <c r="B8439" t="str">
        <f>"1487020806"</f>
        <v>1487020806</v>
      </c>
      <c r="C8439" t="str">
        <f>"207RN0300X"</f>
        <v>207RN0300X</v>
      </c>
      <c r="D8439" t="str">
        <f>"MAIBAM                   AMITA                    "</f>
        <v xml:space="preserve">MAIBAM                   AMITA                    </v>
      </c>
      <c r="E8439" t="str">
        <f>"TUPELO                    "</f>
        <v xml:space="preserve">TUPELO                    </v>
      </c>
      <c r="F8439" t="str">
        <f t="shared" si="257"/>
        <v>MS</v>
      </c>
    </row>
    <row r="8440" spans="1:6" x14ac:dyDescent="0.25">
      <c r="A8440" t="str">
        <f>"001734890"</f>
        <v>001734890</v>
      </c>
      <c r="B8440" t="str">
        <f>"1922599752"</f>
        <v>1922599752</v>
      </c>
      <c r="C8440" t="str">
        <f>"363L00000X"</f>
        <v>363L00000X</v>
      </c>
      <c r="D8440" t="str">
        <f>"WILLIAMS                 MEGAN                    "</f>
        <v xml:space="preserve">WILLIAMS                 MEGAN                    </v>
      </c>
      <c r="E8440" t="str">
        <f>"TUPELO                    "</f>
        <v xml:space="preserve">TUPELO                    </v>
      </c>
      <c r="F8440" t="str">
        <f t="shared" si="257"/>
        <v>MS</v>
      </c>
    </row>
    <row r="8441" spans="1:6" x14ac:dyDescent="0.25">
      <c r="A8441" t="str">
        <f>"001735317"</f>
        <v>001735317</v>
      </c>
      <c r="B8441" t="str">
        <f>"1982909453"</f>
        <v>1982909453</v>
      </c>
      <c r="C8441" t="str">
        <f>"363L00000X"</f>
        <v>363L00000X</v>
      </c>
      <c r="D8441" t="str">
        <f>"MATTHEWS                 SANDRA       A           "</f>
        <v xml:space="preserve">MATTHEWS                 SANDRA       A           </v>
      </c>
      <c r="E8441" t="str">
        <f>"GULFPORT                  "</f>
        <v xml:space="preserve">GULFPORT                  </v>
      </c>
      <c r="F8441" t="str">
        <f t="shared" si="257"/>
        <v>MS</v>
      </c>
    </row>
    <row r="8442" spans="1:6" x14ac:dyDescent="0.25">
      <c r="A8442" t="str">
        <f>"001735381"</f>
        <v>001735381</v>
      </c>
      <c r="B8442" t="str">
        <f>"1255642815"</f>
        <v>1255642815</v>
      </c>
      <c r="C8442" t="str">
        <f>"207P00000X"</f>
        <v>207P00000X</v>
      </c>
      <c r="D8442" t="str">
        <f>"PAINE                    PHILIP                   "</f>
        <v xml:space="preserve">PAINE                    PHILIP                   </v>
      </c>
      <c r="E8442" t="str">
        <f>"OXFORD                    "</f>
        <v xml:space="preserve">OXFORD                    </v>
      </c>
      <c r="F8442" t="str">
        <f t="shared" si="257"/>
        <v>MS</v>
      </c>
    </row>
    <row r="8443" spans="1:6" x14ac:dyDescent="0.25">
      <c r="A8443" t="str">
        <f>"001736257"</f>
        <v>001736257</v>
      </c>
      <c r="B8443" t="str">
        <f>"1194395020"</f>
        <v>1194395020</v>
      </c>
      <c r="C8443" t="str">
        <f>"363LF0000X"</f>
        <v>363LF0000X</v>
      </c>
      <c r="D8443" t="str">
        <f>"OFLARITY                 JENNIFER                 "</f>
        <v xml:space="preserve">OFLARITY                 JENNIFER                 </v>
      </c>
      <c r="E8443" t="str">
        <f>"JACKSON                   "</f>
        <v xml:space="preserve">JACKSON                   </v>
      </c>
      <c r="F8443" t="str">
        <f t="shared" si="257"/>
        <v>MS</v>
      </c>
    </row>
    <row r="8444" spans="1:6" x14ac:dyDescent="0.25">
      <c r="A8444" t="str">
        <f>"001736503"</f>
        <v>001736503</v>
      </c>
      <c r="B8444" t="str">
        <f>"1164731931"</f>
        <v>1164731931</v>
      </c>
      <c r="C8444" t="str">
        <f>"363L00000X"</f>
        <v>363L00000X</v>
      </c>
      <c r="D8444" t="str">
        <f>"BUTTS                    LATIA        M           "</f>
        <v xml:space="preserve">BUTTS                    LATIA        M           </v>
      </c>
      <c r="E8444" t="str">
        <f>"NEW ALBANY                "</f>
        <v xml:space="preserve">NEW ALBANY                </v>
      </c>
      <c r="F8444" t="str">
        <f t="shared" si="257"/>
        <v>MS</v>
      </c>
    </row>
    <row r="8445" spans="1:6" x14ac:dyDescent="0.25">
      <c r="A8445" t="str">
        <f>"001738856"</f>
        <v>001738856</v>
      </c>
      <c r="B8445" t="str">
        <f>"1982707337"</f>
        <v>1982707337</v>
      </c>
      <c r="C8445" t="str">
        <f>"122300000X"</f>
        <v>122300000X</v>
      </c>
      <c r="D8445" t="str">
        <f>"RUDER II                 JOSEPH       E           "</f>
        <v xml:space="preserve">RUDER II                 JOSEPH       E           </v>
      </c>
      <c r="E8445" t="str">
        <f>"ABERDEEN                  "</f>
        <v xml:space="preserve">ABERDEEN                  </v>
      </c>
      <c r="F8445" t="str">
        <f t="shared" si="257"/>
        <v>MS</v>
      </c>
    </row>
    <row r="8446" spans="1:6" x14ac:dyDescent="0.25">
      <c r="A8446" t="str">
        <f>"001739283"</f>
        <v>001739283</v>
      </c>
      <c r="B8446" t="str">
        <f>"1255391728"</f>
        <v>1255391728</v>
      </c>
      <c r="C8446" t="str">
        <f>"207R00000X"</f>
        <v>207R00000X</v>
      </c>
      <c r="D8446" t="str">
        <f>"SHAHSHAHAN               ALI                      "</f>
        <v xml:space="preserve">SHAHSHAHAN               ALI                      </v>
      </c>
      <c r="E8446" t="str">
        <f>"HATTIESBURG               "</f>
        <v xml:space="preserve">HATTIESBURG               </v>
      </c>
      <c r="F8446" t="str">
        <f t="shared" ref="F8446:F8509" si="258">"MS"</f>
        <v>MS</v>
      </c>
    </row>
    <row r="8447" spans="1:6" x14ac:dyDescent="0.25">
      <c r="A8447" t="str">
        <f>"001751316"</f>
        <v>001751316</v>
      </c>
      <c r="B8447" t="str">
        <f>"1437600277"</f>
        <v>1437600277</v>
      </c>
      <c r="C8447" t="str">
        <f>"363L00000X"</f>
        <v>363L00000X</v>
      </c>
      <c r="D8447" t="str">
        <f>"DUPREE                   JESSICA      L           "</f>
        <v xml:space="preserve">DUPREE                   JESSICA      L           </v>
      </c>
      <c r="E8447" t="str">
        <f>"SENATOBIA                 "</f>
        <v xml:space="preserve">SENATOBIA                 </v>
      </c>
      <c r="F8447" t="str">
        <f t="shared" si="258"/>
        <v>MS</v>
      </c>
    </row>
    <row r="8448" spans="1:6" x14ac:dyDescent="0.25">
      <c r="A8448" t="str">
        <f>"001751806"</f>
        <v>001751806</v>
      </c>
      <c r="B8448" t="str">
        <f>"1013522788"</f>
        <v>1013522788</v>
      </c>
      <c r="C8448" t="str">
        <f>"363L00000X"</f>
        <v>363L00000X</v>
      </c>
      <c r="D8448" t="str">
        <f>"SHEPPEARD                CHASITY      A           "</f>
        <v xml:space="preserve">SHEPPEARD                CHASITY      A           </v>
      </c>
      <c r="E8448" t="str">
        <f>"GREENVILLE                "</f>
        <v xml:space="preserve">GREENVILLE                </v>
      </c>
      <c r="F8448" t="str">
        <f t="shared" si="258"/>
        <v>MS</v>
      </c>
    </row>
    <row r="8449" spans="1:6" x14ac:dyDescent="0.25">
      <c r="A8449" t="str">
        <f>"001753371"</f>
        <v>001753371</v>
      </c>
      <c r="B8449" t="str">
        <f>"1245696848"</f>
        <v>1245696848</v>
      </c>
      <c r="C8449" t="str">
        <f>"363L00000X"</f>
        <v>363L00000X</v>
      </c>
      <c r="D8449" t="str">
        <f>"FOSTER                   KRISTIN      R           "</f>
        <v xml:space="preserve">FOSTER                   KRISTIN      R           </v>
      </c>
      <c r="E8449" t="str">
        <f>"NATCHEZ                   "</f>
        <v xml:space="preserve">NATCHEZ                   </v>
      </c>
      <c r="F8449" t="str">
        <f t="shared" si="258"/>
        <v>MS</v>
      </c>
    </row>
    <row r="8450" spans="1:6" x14ac:dyDescent="0.25">
      <c r="A8450" t="str">
        <f>"001755224"</f>
        <v>001755224</v>
      </c>
      <c r="B8450" t="str">
        <f>"1437680469"</f>
        <v>1437680469</v>
      </c>
      <c r="C8450" t="str">
        <f>"207R00000X"</f>
        <v>207R00000X</v>
      </c>
      <c r="D8450" t="str">
        <f>"FORD                     WILLIAM      T           "</f>
        <v xml:space="preserve">FORD                     WILLIAM      T           </v>
      </c>
      <c r="E8450" t="str">
        <f>"COLUMBUS                  "</f>
        <v xml:space="preserve">COLUMBUS                  </v>
      </c>
      <c r="F8450" t="str">
        <f t="shared" si="258"/>
        <v>MS</v>
      </c>
    </row>
    <row r="8451" spans="1:6" x14ac:dyDescent="0.25">
      <c r="A8451" t="str">
        <f>"001755393"</f>
        <v>001755393</v>
      </c>
      <c r="B8451" t="str">
        <f>"1073630307"</f>
        <v>1073630307</v>
      </c>
      <c r="C8451" t="str">
        <f>"363L00000X"</f>
        <v>363L00000X</v>
      </c>
      <c r="D8451" t="str">
        <f>"GARRIS                   BRANDI       R           "</f>
        <v xml:space="preserve">GARRIS                   BRANDI       R           </v>
      </c>
      <c r="E8451" t="str">
        <f>"LAUREL                    "</f>
        <v xml:space="preserve">LAUREL                    </v>
      </c>
      <c r="F8451" t="str">
        <f t="shared" si="258"/>
        <v>MS</v>
      </c>
    </row>
    <row r="8452" spans="1:6" x14ac:dyDescent="0.25">
      <c r="A8452" t="str">
        <f>"001755582"</f>
        <v>001755582</v>
      </c>
      <c r="B8452" t="str">
        <f>"1174843742"</f>
        <v>1174843742</v>
      </c>
      <c r="C8452" t="str">
        <f>"363L00000X"</f>
        <v>363L00000X</v>
      </c>
      <c r="D8452" t="str">
        <f>"GREEN                    CHARLOTTE    R           "</f>
        <v xml:space="preserve">GREEN                    CHARLOTTE    R           </v>
      </c>
      <c r="E8452" t="str">
        <f>"TUPELO                    "</f>
        <v xml:space="preserve">TUPELO                    </v>
      </c>
      <c r="F8452" t="str">
        <f t="shared" si="258"/>
        <v>MS</v>
      </c>
    </row>
    <row r="8453" spans="1:6" x14ac:dyDescent="0.25">
      <c r="A8453" t="str">
        <f>"001756861"</f>
        <v>001756861</v>
      </c>
      <c r="B8453" t="str">
        <f>"1962899344"</f>
        <v>1962899344</v>
      </c>
      <c r="C8453" t="str">
        <f>"207P00000X"</f>
        <v>207P00000X</v>
      </c>
      <c r="D8453" t="str">
        <f>"MCCAY                    BRADLEY      S           "</f>
        <v xml:space="preserve">MCCAY                    BRADLEY      S           </v>
      </c>
      <c r="E8453" t="str">
        <f>"FLOWOOD                   "</f>
        <v xml:space="preserve">FLOWOOD                   </v>
      </c>
      <c r="F8453" t="str">
        <f t="shared" si="258"/>
        <v>MS</v>
      </c>
    </row>
    <row r="8454" spans="1:6" x14ac:dyDescent="0.25">
      <c r="A8454" t="str">
        <f>"001757501"</f>
        <v>001757501</v>
      </c>
      <c r="B8454" t="str">
        <f>"1679779995"</f>
        <v>1679779995</v>
      </c>
      <c r="C8454" t="str">
        <f>"152W00000X"</f>
        <v>152W00000X</v>
      </c>
      <c r="D8454" t="str">
        <f>"SHANNON                  TERRI        F           "</f>
        <v xml:space="preserve">SHANNON                  TERRI        F           </v>
      </c>
      <c r="E8454" t="str">
        <f>"OCEAN SPRINGS             "</f>
        <v xml:space="preserve">OCEAN SPRINGS             </v>
      </c>
      <c r="F8454" t="str">
        <f t="shared" si="258"/>
        <v>MS</v>
      </c>
    </row>
    <row r="8455" spans="1:6" x14ac:dyDescent="0.25">
      <c r="A8455" t="str">
        <f>"001758267"</f>
        <v>001758267</v>
      </c>
      <c r="B8455" t="str">
        <f>"1134502115"</f>
        <v>1134502115</v>
      </c>
      <c r="C8455" t="str">
        <f>"207R00000X"</f>
        <v>207R00000X</v>
      </c>
      <c r="D8455" t="str">
        <f>"ATHOTA                   SRIHARSHA    C           "</f>
        <v xml:space="preserve">ATHOTA                   SRIHARSHA    C           </v>
      </c>
      <c r="E8455" t="str">
        <f>"HATTIESBURG               "</f>
        <v xml:space="preserve">HATTIESBURG               </v>
      </c>
      <c r="F8455" t="str">
        <f t="shared" si="258"/>
        <v>MS</v>
      </c>
    </row>
    <row r="8456" spans="1:6" x14ac:dyDescent="0.25">
      <c r="A8456" t="str">
        <f>"001758324"</f>
        <v>001758324</v>
      </c>
      <c r="B8456" t="str">
        <f>"1669594974"</f>
        <v>1669594974</v>
      </c>
      <c r="C8456" t="str">
        <f>"207K00000X"</f>
        <v>207K00000X</v>
      </c>
      <c r="D8456" t="str">
        <f>"MURRAY                   MARK         G           "</f>
        <v xml:space="preserve">MURRAY                   MARK         G           </v>
      </c>
      <c r="E8456" t="str">
        <f>"OXFORD                    "</f>
        <v xml:space="preserve">OXFORD                    </v>
      </c>
      <c r="F8456" t="str">
        <f t="shared" si="258"/>
        <v>MS</v>
      </c>
    </row>
    <row r="8457" spans="1:6" x14ac:dyDescent="0.25">
      <c r="A8457" t="str">
        <f>"001770838"</f>
        <v>001770838</v>
      </c>
      <c r="B8457" t="str">
        <f>"1164459749"</f>
        <v>1164459749</v>
      </c>
      <c r="C8457" t="str">
        <f>"207P00000X"</f>
        <v>207P00000X</v>
      </c>
      <c r="D8457" t="str">
        <f>"STERN                    NEIL         D           "</f>
        <v xml:space="preserve">STERN                    NEIL         D           </v>
      </c>
      <c r="E8457" t="str">
        <f>"CLEVELAND                 "</f>
        <v xml:space="preserve">CLEVELAND                 </v>
      </c>
      <c r="F8457" t="str">
        <f t="shared" si="258"/>
        <v>MS</v>
      </c>
    </row>
    <row r="8458" spans="1:6" x14ac:dyDescent="0.25">
      <c r="A8458" t="str">
        <f>"001771892"</f>
        <v>001771892</v>
      </c>
      <c r="B8458" t="str">
        <f>"1538555347"</f>
        <v>1538555347</v>
      </c>
      <c r="C8458" t="str">
        <f>"261QR1300X"</f>
        <v>261QR1300X</v>
      </c>
      <c r="D8458" t="str">
        <f>"LOUISVILLE MEDICAL CLINIC                         "</f>
        <v xml:space="preserve">LOUISVILLE MEDICAL CLINIC                         </v>
      </c>
      <c r="E8458" t="str">
        <f>"LOUISVILLE                "</f>
        <v xml:space="preserve">LOUISVILLE                </v>
      </c>
      <c r="F8458" t="str">
        <f t="shared" si="258"/>
        <v>MS</v>
      </c>
    </row>
    <row r="8459" spans="1:6" x14ac:dyDescent="0.25">
      <c r="A8459" t="str">
        <f>"001772548"</f>
        <v>001772548</v>
      </c>
      <c r="B8459" t="str">
        <f>"1306821723"</f>
        <v>1306821723</v>
      </c>
      <c r="C8459" t="str">
        <f>"207Q00000X"</f>
        <v>207Q00000X</v>
      </c>
      <c r="D8459" t="str">
        <f>"OMONUWA                  SMITH        T           "</f>
        <v xml:space="preserve">OMONUWA                  SMITH        T           </v>
      </c>
      <c r="E8459" t="str">
        <f>"MERIDIAN                  "</f>
        <v xml:space="preserve">MERIDIAN                  </v>
      </c>
      <c r="F8459" t="str">
        <f t="shared" si="258"/>
        <v>MS</v>
      </c>
    </row>
    <row r="8460" spans="1:6" x14ac:dyDescent="0.25">
      <c r="A8460" t="str">
        <f>"001772838"</f>
        <v>001772838</v>
      </c>
      <c r="B8460" t="str">
        <f>"1700892346"</f>
        <v>1700892346</v>
      </c>
      <c r="C8460" t="str">
        <f>"363L00000X"</f>
        <v>363L00000X</v>
      </c>
      <c r="D8460" t="str">
        <f>"RICHARD                  JOSEPH       H           "</f>
        <v xml:space="preserve">RICHARD                  JOSEPH       H           </v>
      </c>
      <c r="E8460" t="str">
        <f>"MCCOMB                    "</f>
        <v xml:space="preserve">MCCOMB                    </v>
      </c>
      <c r="F8460" t="str">
        <f t="shared" si="258"/>
        <v>MS</v>
      </c>
    </row>
    <row r="8461" spans="1:6" x14ac:dyDescent="0.25">
      <c r="A8461" t="str">
        <f>"001773773"</f>
        <v>001773773</v>
      </c>
      <c r="B8461" t="str">
        <f>"1275624868"</f>
        <v>1275624868</v>
      </c>
      <c r="C8461" t="str">
        <f>"363L00000X"</f>
        <v>363L00000X</v>
      </c>
      <c r="D8461" t="str">
        <f>"JANOUS                   CARRIE       S           "</f>
        <v xml:space="preserve">JANOUS                   CARRIE       S           </v>
      </c>
      <c r="E8461" t="str">
        <f>"GREENVILLE                "</f>
        <v xml:space="preserve">GREENVILLE                </v>
      </c>
      <c r="F8461" t="str">
        <f t="shared" si="258"/>
        <v>MS</v>
      </c>
    </row>
    <row r="8462" spans="1:6" x14ac:dyDescent="0.25">
      <c r="A8462" t="str">
        <f>"001774886"</f>
        <v>001774886</v>
      </c>
      <c r="B8462" t="str">
        <f>"1639634751"</f>
        <v>1639634751</v>
      </c>
      <c r="C8462" t="str">
        <f>"363L00000X"</f>
        <v>363L00000X</v>
      </c>
      <c r="D8462" t="str">
        <f>"HAMPTON                  GRACE        F           "</f>
        <v xml:space="preserve">HAMPTON                  GRACE        F           </v>
      </c>
      <c r="E8462" t="str">
        <f>"JACKSON                   "</f>
        <v xml:space="preserve">JACKSON                   </v>
      </c>
      <c r="F8462" t="str">
        <f t="shared" si="258"/>
        <v>MS</v>
      </c>
    </row>
    <row r="8463" spans="1:6" x14ac:dyDescent="0.25">
      <c r="A8463" t="str">
        <f>"001775857"</f>
        <v>001775857</v>
      </c>
      <c r="B8463" t="str">
        <f>"1598123739"</f>
        <v>1598123739</v>
      </c>
      <c r="C8463" t="str">
        <f>"363A00000X"</f>
        <v>363A00000X</v>
      </c>
      <c r="D8463" t="str">
        <f>"NORWOOD                  KIMBERLY     P           "</f>
        <v xml:space="preserve">NORWOOD                  KIMBERLY     P           </v>
      </c>
      <c r="E8463" t="str">
        <f>"JACKSON                   "</f>
        <v xml:space="preserve">JACKSON                   </v>
      </c>
      <c r="F8463" t="str">
        <f t="shared" si="258"/>
        <v>MS</v>
      </c>
    </row>
    <row r="8464" spans="1:6" x14ac:dyDescent="0.25">
      <c r="A8464" t="str">
        <f>"001776582"</f>
        <v>001776582</v>
      </c>
      <c r="B8464" t="str">
        <f>"1376065540"</f>
        <v>1376065540</v>
      </c>
      <c r="C8464" t="str">
        <f>"363L00000X"</f>
        <v>363L00000X</v>
      </c>
      <c r="D8464" t="str">
        <f>"MOONEY                   TONY         R           "</f>
        <v xml:space="preserve">MOONEY                   TONY         R           </v>
      </c>
      <c r="E8464" t="str">
        <f>"TUPELO                    "</f>
        <v xml:space="preserve">TUPELO                    </v>
      </c>
      <c r="F8464" t="str">
        <f t="shared" si="258"/>
        <v>MS</v>
      </c>
    </row>
    <row r="8465" spans="1:6" x14ac:dyDescent="0.25">
      <c r="A8465" t="str">
        <f>"001777725"</f>
        <v>001777725</v>
      </c>
      <c r="B8465" t="str">
        <f>"1699975425"</f>
        <v>1699975425</v>
      </c>
      <c r="C8465" t="str">
        <f>"207Q00000X"</f>
        <v>207Q00000X</v>
      </c>
      <c r="D8465" t="str">
        <f>"ELDRED                   EDWARD                   "</f>
        <v xml:space="preserve">ELDRED                   EDWARD                   </v>
      </c>
      <c r="E8465" t="str">
        <f>"OLIVE BRANCH              "</f>
        <v xml:space="preserve">OLIVE BRANCH              </v>
      </c>
      <c r="F8465" t="str">
        <f t="shared" si="258"/>
        <v>MS</v>
      </c>
    </row>
    <row r="8466" spans="1:6" x14ac:dyDescent="0.25">
      <c r="A8466" t="str">
        <f>"001778834"</f>
        <v>001778834</v>
      </c>
      <c r="B8466" t="str">
        <f>"1598960437"</f>
        <v>1598960437</v>
      </c>
      <c r="C8466" t="str">
        <f>"207V00000X"</f>
        <v>207V00000X</v>
      </c>
      <c r="D8466" t="str">
        <f>"MCADORY                  JANE         E           "</f>
        <v xml:space="preserve">MCADORY                  JANE         E           </v>
      </c>
      <c r="E8466" t="str">
        <f>"SOUTHAVEN                 "</f>
        <v xml:space="preserve">SOUTHAVEN                 </v>
      </c>
      <c r="F8466" t="str">
        <f t="shared" si="258"/>
        <v>MS</v>
      </c>
    </row>
    <row r="8467" spans="1:6" x14ac:dyDescent="0.25">
      <c r="A8467" t="str">
        <f>"001779746"</f>
        <v>001779746</v>
      </c>
      <c r="B8467" t="str">
        <f>"1699238147"</f>
        <v>1699238147</v>
      </c>
      <c r="C8467" t="str">
        <f>"207Q00000X"</f>
        <v>207Q00000X</v>
      </c>
      <c r="D8467" t="str">
        <f>"TURAY                    ACHMED                   "</f>
        <v xml:space="preserve">TURAY                    ACHMED                   </v>
      </c>
      <c r="E8467" t="str">
        <f>"WINONA                    "</f>
        <v xml:space="preserve">WINONA                    </v>
      </c>
      <c r="F8467" t="str">
        <f t="shared" si="258"/>
        <v>MS</v>
      </c>
    </row>
    <row r="8468" spans="1:6" x14ac:dyDescent="0.25">
      <c r="A8468" t="str">
        <f>"001779804"</f>
        <v>001779804</v>
      </c>
      <c r="B8468" t="str">
        <f>"1043399876"</f>
        <v>1043399876</v>
      </c>
      <c r="C8468" t="str">
        <f>"208000000X"</f>
        <v>208000000X</v>
      </c>
      <c r="D8468" t="str">
        <f>"SMITH                    SAMUEL       A           "</f>
        <v xml:space="preserve">SMITH                    SAMUEL       A           </v>
      </c>
      <c r="E8468" t="str">
        <f>"FLOWOOD                   "</f>
        <v xml:space="preserve">FLOWOOD                   </v>
      </c>
      <c r="F8468" t="str">
        <f t="shared" si="258"/>
        <v>MS</v>
      </c>
    </row>
    <row r="8469" spans="1:6" x14ac:dyDescent="0.25">
      <c r="A8469" t="str">
        <f>"001781592"</f>
        <v>001781592</v>
      </c>
      <c r="B8469" t="str">
        <f>"1073279097"</f>
        <v>1073279097</v>
      </c>
      <c r="C8469" t="str">
        <f>"261QM1300X"</f>
        <v>261QM1300X</v>
      </c>
      <c r="D8469" t="str">
        <f>"GREEN BEHAVIORAL SERVICES LLC                     "</f>
        <v xml:space="preserve">GREEN BEHAVIORAL SERVICES LLC                     </v>
      </c>
      <c r="E8469" t="str">
        <f>"JACKSON                   "</f>
        <v xml:space="preserve">JACKSON                   </v>
      </c>
      <c r="F8469" t="str">
        <f t="shared" si="258"/>
        <v>MS</v>
      </c>
    </row>
    <row r="8470" spans="1:6" x14ac:dyDescent="0.25">
      <c r="A8470" t="str">
        <f>"001781716"</f>
        <v>001781716</v>
      </c>
      <c r="B8470" t="str">
        <f>"1003334301"</f>
        <v>1003334301</v>
      </c>
      <c r="C8470" t="str">
        <f>"363L00000X"</f>
        <v>363L00000X</v>
      </c>
      <c r="D8470" t="str">
        <f>"SIMPSON                  AMANDA       D           "</f>
        <v xml:space="preserve">SIMPSON                  AMANDA       D           </v>
      </c>
      <c r="E8470" t="str">
        <f>"MERIDIAN                  "</f>
        <v xml:space="preserve">MERIDIAN                  </v>
      </c>
      <c r="F8470" t="str">
        <f t="shared" si="258"/>
        <v>MS</v>
      </c>
    </row>
    <row r="8471" spans="1:6" x14ac:dyDescent="0.25">
      <c r="A8471" t="str">
        <f>"001782843"</f>
        <v>001782843</v>
      </c>
      <c r="B8471" t="str">
        <f>"1013360957"</f>
        <v>1013360957</v>
      </c>
      <c r="C8471" t="str">
        <f>"152W00000X"</f>
        <v>152W00000X</v>
      </c>
      <c r="D8471" t="str">
        <f>"OTT                      DILLON       E           "</f>
        <v xml:space="preserve">OTT                      DILLON       E           </v>
      </c>
      <c r="E8471" t="str">
        <f>"ABERDEEN                  "</f>
        <v xml:space="preserve">ABERDEEN                  </v>
      </c>
      <c r="F8471" t="str">
        <f t="shared" si="258"/>
        <v>MS</v>
      </c>
    </row>
    <row r="8472" spans="1:6" x14ac:dyDescent="0.25">
      <c r="A8472" t="str">
        <f>"001783376"</f>
        <v>001783376</v>
      </c>
      <c r="B8472" t="str">
        <f>"1982632063"</f>
        <v>1982632063</v>
      </c>
      <c r="C8472" t="str">
        <f>"207RP1001X"</f>
        <v>207RP1001X</v>
      </c>
      <c r="D8472" t="str">
        <f>"AJAGBE                   OLUKUNLE     A           "</f>
        <v xml:space="preserve">AJAGBE                   OLUKUNLE     A           </v>
      </c>
      <c r="E8472" t="str">
        <f>"MCCOMB                    "</f>
        <v xml:space="preserve">MCCOMB                    </v>
      </c>
      <c r="F8472" t="str">
        <f t="shared" si="258"/>
        <v>MS</v>
      </c>
    </row>
    <row r="8473" spans="1:6" x14ac:dyDescent="0.25">
      <c r="A8473" t="str">
        <f>"001783753"</f>
        <v>001783753</v>
      </c>
      <c r="B8473" t="str">
        <f>"1821501388"</f>
        <v>1821501388</v>
      </c>
      <c r="C8473" t="str">
        <f>"363L00000X"</f>
        <v>363L00000X</v>
      </c>
      <c r="D8473" t="str">
        <f>"BUTLER                   KEIELLA                  "</f>
        <v xml:space="preserve">BUTLER                   KEIELLA                  </v>
      </c>
      <c r="E8473" t="str">
        <f>"JACKSON                   "</f>
        <v xml:space="preserve">JACKSON                   </v>
      </c>
      <c r="F8473" t="str">
        <f t="shared" si="258"/>
        <v>MS</v>
      </c>
    </row>
    <row r="8474" spans="1:6" x14ac:dyDescent="0.25">
      <c r="A8474" t="str">
        <f>"001784238"</f>
        <v>001784238</v>
      </c>
      <c r="B8474" t="str">
        <f>"1336376953"</f>
        <v>1336376953</v>
      </c>
      <c r="C8474" t="str">
        <f>"2084P0800X"</f>
        <v>2084P0800X</v>
      </c>
      <c r="D8474" t="str">
        <f>"KINGET                   HOLLY        M           "</f>
        <v xml:space="preserve">KINGET                   HOLLY        M           </v>
      </c>
      <c r="E8474" t="str">
        <f>"HATTIESBURG               "</f>
        <v xml:space="preserve">HATTIESBURG               </v>
      </c>
      <c r="F8474" t="str">
        <f t="shared" si="258"/>
        <v>MS</v>
      </c>
    </row>
    <row r="8475" spans="1:6" x14ac:dyDescent="0.25">
      <c r="A8475" t="str">
        <f>"001785008"</f>
        <v>001785008</v>
      </c>
      <c r="B8475" t="str">
        <f>"1255988580"</f>
        <v>1255988580</v>
      </c>
      <c r="C8475" t="str">
        <f>"363L00000X"</f>
        <v>363L00000X</v>
      </c>
      <c r="D8475" t="str">
        <f>"JENKINS                  ADRIANA                  "</f>
        <v xml:space="preserve">JENKINS                  ADRIANA                  </v>
      </c>
      <c r="E8475" t="str">
        <f>"PHILADELPHIA              "</f>
        <v xml:space="preserve">PHILADELPHIA              </v>
      </c>
      <c r="F8475" t="str">
        <f t="shared" si="258"/>
        <v>MS</v>
      </c>
    </row>
    <row r="8476" spans="1:6" x14ac:dyDescent="0.25">
      <c r="A8476" t="str">
        <f>"001785738"</f>
        <v>001785738</v>
      </c>
      <c r="B8476" t="str">
        <f>"1215476650"</f>
        <v>1215476650</v>
      </c>
      <c r="C8476" t="str">
        <f>"363A00000X"</f>
        <v>363A00000X</v>
      </c>
      <c r="D8476" t="str">
        <f>"THOMPSON                 DEANDRIA     M           "</f>
        <v xml:space="preserve">THOMPSON                 DEANDRIA     M           </v>
      </c>
      <c r="E8476" t="str">
        <f>"JACKSON                   "</f>
        <v xml:space="preserve">JACKSON                   </v>
      </c>
      <c r="F8476" t="str">
        <f t="shared" si="258"/>
        <v>MS</v>
      </c>
    </row>
    <row r="8477" spans="1:6" x14ac:dyDescent="0.25">
      <c r="A8477" t="str">
        <f>"001785821"</f>
        <v>001785821</v>
      </c>
      <c r="B8477" t="str">
        <f>"1154671303"</f>
        <v>1154671303</v>
      </c>
      <c r="C8477" t="str">
        <f>"363L00000X"</f>
        <v>363L00000X</v>
      </c>
      <c r="D8477" t="str">
        <f>"HESTER                   KRISTI       H           "</f>
        <v xml:space="preserve">HESTER                   KRISTI       H           </v>
      </c>
      <c r="E8477" t="str">
        <f>"MEADVILLE                 "</f>
        <v xml:space="preserve">MEADVILLE                 </v>
      </c>
      <c r="F8477" t="str">
        <f t="shared" si="258"/>
        <v>MS</v>
      </c>
    </row>
    <row r="8478" spans="1:6" x14ac:dyDescent="0.25">
      <c r="A8478" t="str">
        <f>"001786739"</f>
        <v>001786739</v>
      </c>
      <c r="B8478" t="str">
        <f>"1558559823"</f>
        <v>1558559823</v>
      </c>
      <c r="C8478" t="str">
        <f>"363L00000X"</f>
        <v>363L00000X</v>
      </c>
      <c r="D8478" t="str">
        <f>"BOOKERT                  RITHA        G           "</f>
        <v xml:space="preserve">BOOKERT                  RITHA        G           </v>
      </c>
      <c r="E8478" t="str">
        <f>"RICHLAND                  "</f>
        <v xml:space="preserve">RICHLAND                  </v>
      </c>
      <c r="F8478" t="str">
        <f t="shared" si="258"/>
        <v>MS</v>
      </c>
    </row>
    <row r="8479" spans="1:6" x14ac:dyDescent="0.25">
      <c r="A8479" t="str">
        <f>"001787021"</f>
        <v>001787021</v>
      </c>
      <c r="B8479" t="str">
        <f>"1710253877"</f>
        <v>1710253877</v>
      </c>
      <c r="C8479" t="str">
        <f>"363L00000X"</f>
        <v>363L00000X</v>
      </c>
      <c r="D8479" t="str">
        <f>"ROBINSON                 CARLEY       B           "</f>
        <v xml:space="preserve">ROBINSON                 CARLEY       B           </v>
      </c>
      <c r="E8479" t="str">
        <f>"ELLISVILLE                "</f>
        <v xml:space="preserve">ELLISVILLE                </v>
      </c>
      <c r="F8479" t="str">
        <f t="shared" si="258"/>
        <v>MS</v>
      </c>
    </row>
    <row r="8480" spans="1:6" x14ac:dyDescent="0.25">
      <c r="A8480" t="str">
        <f>"001789237"</f>
        <v>001789237</v>
      </c>
      <c r="B8480" t="str">
        <f>"1396245056"</f>
        <v>1396245056</v>
      </c>
      <c r="C8480" t="str">
        <f>"363L00000X"</f>
        <v>363L00000X</v>
      </c>
      <c r="D8480" t="str">
        <f>"CALVIN                   ANGELA                   "</f>
        <v xml:space="preserve">CALVIN                   ANGELA                   </v>
      </c>
      <c r="E8480" t="str">
        <f>"VICKSBURG                 "</f>
        <v xml:space="preserve">VICKSBURG                 </v>
      </c>
      <c r="F8480" t="str">
        <f t="shared" si="258"/>
        <v>MS</v>
      </c>
    </row>
    <row r="8481" spans="1:6" x14ac:dyDescent="0.25">
      <c r="A8481" t="str">
        <f>"001802226"</f>
        <v>001802226</v>
      </c>
      <c r="B8481" t="str">
        <f>"1083647960"</f>
        <v>1083647960</v>
      </c>
      <c r="C8481" t="str">
        <f>"363A00000X"</f>
        <v>363A00000X</v>
      </c>
      <c r="D8481" t="str">
        <f>"DAVIS                    CLIFTON      H           "</f>
        <v xml:space="preserve">DAVIS                    CLIFTON      H           </v>
      </c>
      <c r="E8481" t="str">
        <f>"HATTIESBURG               "</f>
        <v xml:space="preserve">HATTIESBURG               </v>
      </c>
      <c r="F8481" t="str">
        <f t="shared" si="258"/>
        <v>MS</v>
      </c>
    </row>
    <row r="8482" spans="1:6" x14ac:dyDescent="0.25">
      <c r="A8482" t="str">
        <f>"001802284"</f>
        <v>001802284</v>
      </c>
      <c r="B8482" t="str">
        <f>"1457970964"</f>
        <v>1457970964</v>
      </c>
      <c r="C8482" t="str">
        <f>"208000000X"</f>
        <v>208000000X</v>
      </c>
      <c r="D8482" t="str">
        <f>"MAY                      ROSALYNN     G           "</f>
        <v xml:space="preserve">MAY                      ROSALYNN     G           </v>
      </c>
      <c r="E8482" t="str">
        <f>"JACKSON                   "</f>
        <v xml:space="preserve">JACKSON                   </v>
      </c>
      <c r="F8482" t="str">
        <f t="shared" si="258"/>
        <v>MS</v>
      </c>
    </row>
    <row r="8483" spans="1:6" x14ac:dyDescent="0.25">
      <c r="A8483" t="str">
        <f>"001802340"</f>
        <v>001802340</v>
      </c>
      <c r="B8483" t="str">
        <f>"1275789935"</f>
        <v>1275789935</v>
      </c>
      <c r="C8483" t="str">
        <f>"363L00000X"</f>
        <v>363L00000X</v>
      </c>
      <c r="D8483" t="str">
        <f>"LOTT                     TIPPINI                  "</f>
        <v xml:space="preserve">LOTT                     TIPPINI                  </v>
      </c>
      <c r="E8483" t="str">
        <f>"OAKLAND                   "</f>
        <v xml:space="preserve">OAKLAND                   </v>
      </c>
      <c r="F8483" t="str">
        <f t="shared" si="258"/>
        <v>MS</v>
      </c>
    </row>
    <row r="8484" spans="1:6" x14ac:dyDescent="0.25">
      <c r="A8484" t="str">
        <f>"001804792"</f>
        <v>001804792</v>
      </c>
      <c r="B8484" t="str">
        <f>"1184202327"</f>
        <v>1184202327</v>
      </c>
      <c r="C8484" t="str">
        <f>"363L00000X"</f>
        <v>363L00000X</v>
      </c>
      <c r="D8484" t="str">
        <f>"GLASS                    CHARITY      R           "</f>
        <v xml:space="preserve">GLASS                    CHARITY      R           </v>
      </c>
      <c r="E8484" t="str">
        <f>"TUPELO                    "</f>
        <v xml:space="preserve">TUPELO                    </v>
      </c>
      <c r="F8484" t="str">
        <f t="shared" si="258"/>
        <v>MS</v>
      </c>
    </row>
    <row r="8485" spans="1:6" x14ac:dyDescent="0.25">
      <c r="A8485" t="str">
        <f>"001805219"</f>
        <v>001805219</v>
      </c>
      <c r="B8485" t="str">
        <f>"1063017093"</f>
        <v>1063017093</v>
      </c>
      <c r="C8485" t="str">
        <f>"363L00000X"</f>
        <v>363L00000X</v>
      </c>
      <c r="D8485" t="str">
        <f>"CAIN                     SIERRA       G           "</f>
        <v xml:space="preserve">CAIN                     SIERRA       G           </v>
      </c>
      <c r="E8485" t="str">
        <f>"UNION                     "</f>
        <v xml:space="preserve">UNION                     </v>
      </c>
      <c r="F8485" t="str">
        <f t="shared" si="258"/>
        <v>MS</v>
      </c>
    </row>
    <row r="8486" spans="1:6" x14ac:dyDescent="0.25">
      <c r="A8486" t="str">
        <f>"001806237"</f>
        <v>001806237</v>
      </c>
      <c r="B8486" t="str">
        <f>"1235183674"</f>
        <v>1235183674</v>
      </c>
      <c r="C8486" t="str">
        <f>"367500000X"</f>
        <v>367500000X</v>
      </c>
      <c r="D8486" t="str">
        <f>"CALLAN                   ERIC         W           "</f>
        <v xml:space="preserve">CALLAN                   ERIC         W           </v>
      </c>
      <c r="E8486" t="str">
        <f>"CORINTH                   "</f>
        <v xml:space="preserve">CORINTH                   </v>
      </c>
      <c r="F8486" t="str">
        <f t="shared" si="258"/>
        <v>MS</v>
      </c>
    </row>
    <row r="8487" spans="1:6" x14ac:dyDescent="0.25">
      <c r="A8487" t="str">
        <f>"001808332"</f>
        <v>001808332</v>
      </c>
      <c r="B8487" t="str">
        <f>"1154586089"</f>
        <v>1154586089</v>
      </c>
      <c r="C8487" t="str">
        <f>"152W00000X"</f>
        <v>152W00000X</v>
      </c>
      <c r="D8487" t="str">
        <f>"FLEMING                  EMILY        K           "</f>
        <v xml:space="preserve">FLEMING                  EMILY        K           </v>
      </c>
      <c r="E8487" t="str">
        <f>"LOUISVILLE                "</f>
        <v xml:space="preserve">LOUISVILLE                </v>
      </c>
      <c r="F8487" t="str">
        <f t="shared" si="258"/>
        <v>MS</v>
      </c>
    </row>
    <row r="8488" spans="1:6" x14ac:dyDescent="0.25">
      <c r="A8488" t="str">
        <f>"001808562"</f>
        <v>001808562</v>
      </c>
      <c r="B8488" t="str">
        <f>"1609226109"</f>
        <v>1609226109</v>
      </c>
      <c r="C8488" t="str">
        <f>"363L00000X"</f>
        <v>363L00000X</v>
      </c>
      <c r="D8488" t="str">
        <f>"LOFTIN                   SHANNON      H           "</f>
        <v xml:space="preserve">LOFTIN                   SHANNON      H           </v>
      </c>
      <c r="E8488" t="str">
        <f>"MONTICELLO                "</f>
        <v xml:space="preserve">MONTICELLO                </v>
      </c>
      <c r="F8488" t="str">
        <f t="shared" si="258"/>
        <v>MS</v>
      </c>
    </row>
    <row r="8489" spans="1:6" x14ac:dyDescent="0.25">
      <c r="A8489" t="str">
        <f>"001809068"</f>
        <v>001809068</v>
      </c>
      <c r="B8489" t="str">
        <f>"1033346168"</f>
        <v>1033346168</v>
      </c>
      <c r="C8489" t="str">
        <f>"207X00000X"</f>
        <v>207X00000X</v>
      </c>
      <c r="D8489" t="str">
        <f>"CULPEPPER                JAY          M           "</f>
        <v xml:space="preserve">CULPEPPER                JAY          M           </v>
      </c>
      <c r="E8489" t="str">
        <f>"GREENWOOD                 "</f>
        <v xml:space="preserve">GREENWOOD                 </v>
      </c>
      <c r="F8489" t="str">
        <f t="shared" si="258"/>
        <v>MS</v>
      </c>
    </row>
    <row r="8490" spans="1:6" x14ac:dyDescent="0.25">
      <c r="A8490" t="str">
        <f>"001822291"</f>
        <v>001822291</v>
      </c>
      <c r="B8490" t="str">
        <f>"1720289127"</f>
        <v>1720289127</v>
      </c>
      <c r="C8490" t="str">
        <f>"207ZP0102X"</f>
        <v>207ZP0102X</v>
      </c>
      <c r="D8490" t="str">
        <f>"ROBERTS                  MARIGNY      B           "</f>
        <v xml:space="preserve">ROBERTS                  MARIGNY      B           </v>
      </c>
      <c r="E8490" t="str">
        <f>"SOUTHAVEN                 "</f>
        <v xml:space="preserve">SOUTHAVEN                 </v>
      </c>
      <c r="F8490" t="str">
        <f t="shared" si="258"/>
        <v>MS</v>
      </c>
    </row>
    <row r="8491" spans="1:6" x14ac:dyDescent="0.25">
      <c r="A8491" t="str">
        <f>"001822752"</f>
        <v>001822752</v>
      </c>
      <c r="B8491" t="str">
        <f>"1376868158"</f>
        <v>1376868158</v>
      </c>
      <c r="C8491" t="str">
        <f>"207Y00000X"</f>
        <v>207Y00000X</v>
      </c>
      <c r="D8491" t="str">
        <f>"RASMUSSEN                ERIK                     "</f>
        <v xml:space="preserve">RASMUSSEN                ERIK                     </v>
      </c>
      <c r="E8491" t="str">
        <f>"PASCAGOULA                "</f>
        <v xml:space="preserve">PASCAGOULA                </v>
      </c>
      <c r="F8491" t="str">
        <f t="shared" si="258"/>
        <v>MS</v>
      </c>
    </row>
    <row r="8492" spans="1:6" x14ac:dyDescent="0.25">
      <c r="A8492" t="str">
        <f>"001823221"</f>
        <v>001823221</v>
      </c>
      <c r="B8492" t="str">
        <f>"1902017924"</f>
        <v>1902017924</v>
      </c>
      <c r="C8492" t="str">
        <f>"207W00000X"</f>
        <v>207W00000X</v>
      </c>
      <c r="D8492" t="str">
        <f>"LEWIS                    KYLE         T           "</f>
        <v xml:space="preserve">LEWIS                    KYLE         T           </v>
      </c>
      <c r="E8492" t="str">
        <f>"JACKSON                   "</f>
        <v xml:space="preserve">JACKSON                   </v>
      </c>
      <c r="F8492" t="str">
        <f t="shared" si="258"/>
        <v>MS</v>
      </c>
    </row>
    <row r="8493" spans="1:6" x14ac:dyDescent="0.25">
      <c r="A8493" t="str">
        <f>"001823766"</f>
        <v>001823766</v>
      </c>
      <c r="B8493" t="str">
        <f>"1184040172"</f>
        <v>1184040172</v>
      </c>
      <c r="C8493" t="str">
        <f>"152W00000X"</f>
        <v>152W00000X</v>
      </c>
      <c r="D8493" t="str">
        <f>"BURNS                    ASHLEY       D           "</f>
        <v xml:space="preserve">BURNS                    ASHLEY       D           </v>
      </c>
      <c r="E8493" t="str">
        <f>"BILOXI                    "</f>
        <v xml:space="preserve">BILOXI                    </v>
      </c>
      <c r="F8493" t="str">
        <f t="shared" si="258"/>
        <v>MS</v>
      </c>
    </row>
    <row r="8494" spans="1:6" x14ac:dyDescent="0.25">
      <c r="A8494" t="str">
        <f>"001823854"</f>
        <v>001823854</v>
      </c>
      <c r="B8494" t="str">
        <f>"1508040551"</f>
        <v>1508040551</v>
      </c>
      <c r="C8494" t="str">
        <f>"363L00000X"</f>
        <v>363L00000X</v>
      </c>
      <c r="D8494" t="str">
        <f>"MCCRARY                  ELIZABETH    B           "</f>
        <v xml:space="preserve">MCCRARY                  ELIZABETH    B           </v>
      </c>
      <c r="E8494" t="str">
        <f>"HATTIESBURG               "</f>
        <v xml:space="preserve">HATTIESBURG               </v>
      </c>
      <c r="F8494" t="str">
        <f t="shared" si="258"/>
        <v>MS</v>
      </c>
    </row>
    <row r="8495" spans="1:6" x14ac:dyDescent="0.25">
      <c r="A8495" t="str">
        <f>"001827278"</f>
        <v>001827278</v>
      </c>
      <c r="B8495" t="str">
        <f>"1396964623"</f>
        <v>1396964623</v>
      </c>
      <c r="C8495" t="str">
        <f>"207X00000X"</f>
        <v>207X00000X</v>
      </c>
      <c r="D8495" t="str">
        <f>"HAND                     KAREN        E           "</f>
        <v xml:space="preserve">HAND                     KAREN        E           </v>
      </c>
      <c r="E8495" t="str">
        <f>"GULFPORT                  "</f>
        <v xml:space="preserve">GULFPORT                  </v>
      </c>
      <c r="F8495" t="str">
        <f t="shared" si="258"/>
        <v>MS</v>
      </c>
    </row>
    <row r="8496" spans="1:6" x14ac:dyDescent="0.25">
      <c r="A8496" t="str">
        <f>"001828029"</f>
        <v>001828029</v>
      </c>
      <c r="B8496" t="str">
        <f>"1518226398"</f>
        <v>1518226398</v>
      </c>
      <c r="C8496" t="str">
        <f>"207X00000X"</f>
        <v>207X00000X</v>
      </c>
      <c r="D8496" t="str">
        <f>"WODOWSKI                 ANDREW       J           "</f>
        <v xml:space="preserve">WODOWSKI                 ANDREW       J           </v>
      </c>
      <c r="E8496" t="str">
        <f>"SOUTHAVEN                 "</f>
        <v xml:space="preserve">SOUTHAVEN                 </v>
      </c>
      <c r="F8496" t="str">
        <f t="shared" si="258"/>
        <v>MS</v>
      </c>
    </row>
    <row r="8497" spans="1:6" x14ac:dyDescent="0.25">
      <c r="A8497" t="str">
        <f>"001828765"</f>
        <v>001828765</v>
      </c>
      <c r="B8497" t="str">
        <f>"1013366012"</f>
        <v>1013366012</v>
      </c>
      <c r="C8497" t="str">
        <f>"261QA0600X"</f>
        <v>261QA0600X</v>
      </c>
      <c r="D8497" t="str">
        <f>"COOKS ADULT DAYCARE LLC                           "</f>
        <v xml:space="preserve">COOKS ADULT DAYCARE LLC                           </v>
      </c>
      <c r="E8497" t="str">
        <f>"NEW ALBANY                "</f>
        <v xml:space="preserve">NEW ALBANY                </v>
      </c>
      <c r="F8497" t="str">
        <f t="shared" si="258"/>
        <v>MS</v>
      </c>
    </row>
    <row r="8498" spans="1:6" x14ac:dyDescent="0.25">
      <c r="A8498" t="str">
        <f>"001829851"</f>
        <v>001829851</v>
      </c>
      <c r="B8498" t="str">
        <f>"1770103053"</f>
        <v>1770103053</v>
      </c>
      <c r="C8498" t="str">
        <f>"363LP0808X"</f>
        <v>363LP0808X</v>
      </c>
      <c r="D8498" t="str">
        <f>"CARTER                   HALLIE       B           "</f>
        <v xml:space="preserve">CARTER                   HALLIE       B           </v>
      </c>
      <c r="E8498" t="str">
        <f>"SMITHVILLE                "</f>
        <v xml:space="preserve">SMITHVILLE                </v>
      </c>
      <c r="F8498" t="str">
        <f t="shared" si="258"/>
        <v>MS</v>
      </c>
    </row>
    <row r="8499" spans="1:6" x14ac:dyDescent="0.25">
      <c r="A8499" t="str">
        <f>"001830009"</f>
        <v>001830009</v>
      </c>
      <c r="B8499" t="str">
        <f>"1922574425"</f>
        <v>1922574425</v>
      </c>
      <c r="C8499" t="str">
        <f>"261QR1300X"</f>
        <v>261QR1300X</v>
      </c>
      <c r="D8499" t="str">
        <f>"HIGHLAND PEDIATRIC AND PRIMARY CARE               "</f>
        <v xml:space="preserve">HIGHLAND PEDIATRIC AND PRIMARY CARE               </v>
      </c>
      <c r="E8499" t="str">
        <f>"PICAYUNE                  "</f>
        <v xml:space="preserve">PICAYUNE                  </v>
      </c>
      <c r="F8499" t="str">
        <f t="shared" si="258"/>
        <v>MS</v>
      </c>
    </row>
    <row r="8500" spans="1:6" x14ac:dyDescent="0.25">
      <c r="A8500" t="str">
        <f>"001832094"</f>
        <v>001832094</v>
      </c>
      <c r="B8500" t="str">
        <f>"1528734282"</f>
        <v>1528734282</v>
      </c>
      <c r="C8500" t="str">
        <f>"363LF0000X"</f>
        <v>363LF0000X</v>
      </c>
      <c r="D8500" t="str">
        <f>"LESSARD                  REBECCA      P           "</f>
        <v xml:space="preserve">LESSARD                  REBECCA      P           </v>
      </c>
      <c r="E8500" t="str">
        <f>"JACKSON                   "</f>
        <v xml:space="preserve">JACKSON                   </v>
      </c>
      <c r="F8500" t="str">
        <f t="shared" si="258"/>
        <v>MS</v>
      </c>
    </row>
    <row r="8501" spans="1:6" x14ac:dyDescent="0.25">
      <c r="A8501" t="str">
        <f>"001832507"</f>
        <v>001832507</v>
      </c>
      <c r="B8501" t="str">
        <f>"1770241465"</f>
        <v>1770241465</v>
      </c>
      <c r="C8501" t="str">
        <f>"122300000X"</f>
        <v>122300000X</v>
      </c>
      <c r="D8501" t="str">
        <f>"HALL                     EMILY        D           "</f>
        <v xml:space="preserve">HALL                     EMILY        D           </v>
      </c>
      <c r="E8501" t="str">
        <f>"NATCHEZ                   "</f>
        <v xml:space="preserve">NATCHEZ                   </v>
      </c>
      <c r="F8501" t="str">
        <f t="shared" si="258"/>
        <v>MS</v>
      </c>
    </row>
    <row r="8502" spans="1:6" x14ac:dyDescent="0.25">
      <c r="A8502" t="str">
        <f>"001833256"</f>
        <v>001833256</v>
      </c>
      <c r="B8502" t="str">
        <f>"1750857769"</f>
        <v>1750857769</v>
      </c>
      <c r="C8502" t="str">
        <f>"363L00000X"</f>
        <v>363L00000X</v>
      </c>
      <c r="D8502" t="str">
        <f>"BONE                     LINDA                    "</f>
        <v xml:space="preserve">BONE                     LINDA                    </v>
      </c>
      <c r="E8502" t="str">
        <f>"VICKSBURG                 "</f>
        <v xml:space="preserve">VICKSBURG                 </v>
      </c>
      <c r="F8502" t="str">
        <f t="shared" si="258"/>
        <v>MS</v>
      </c>
    </row>
    <row r="8503" spans="1:6" x14ac:dyDescent="0.25">
      <c r="A8503" t="str">
        <f>"001835344"</f>
        <v>001835344</v>
      </c>
      <c r="B8503" t="str">
        <f>"1821447657"</f>
        <v>1821447657</v>
      </c>
      <c r="C8503" t="str">
        <f>"122300000X"</f>
        <v>122300000X</v>
      </c>
      <c r="D8503" t="str">
        <f>"BUCKNER                  TENNISHA     N           "</f>
        <v xml:space="preserve">BUCKNER                  TENNISHA     N           </v>
      </c>
      <c r="E8503" t="str">
        <f>"TUPELO                    "</f>
        <v xml:space="preserve">TUPELO                    </v>
      </c>
      <c r="F8503" t="str">
        <f t="shared" si="258"/>
        <v>MS</v>
      </c>
    </row>
    <row r="8504" spans="1:6" x14ac:dyDescent="0.25">
      <c r="A8504" t="str">
        <f>"001836508"</f>
        <v>001836508</v>
      </c>
      <c r="B8504" t="str">
        <f>"1144626946"</f>
        <v>1144626946</v>
      </c>
      <c r="C8504" t="str">
        <f>"207Q00000X"</f>
        <v>207Q00000X</v>
      </c>
      <c r="D8504" t="str">
        <f>"TASSIN                   VERONICA                 "</f>
        <v xml:space="preserve">TASSIN                   VERONICA                 </v>
      </c>
      <c r="E8504" t="str">
        <f>"MERIDIAN                  "</f>
        <v xml:space="preserve">MERIDIAN                  </v>
      </c>
      <c r="F8504" t="str">
        <f t="shared" si="258"/>
        <v>MS</v>
      </c>
    </row>
    <row r="8505" spans="1:6" x14ac:dyDescent="0.25">
      <c r="A8505" t="str">
        <f>"001837825"</f>
        <v>001837825</v>
      </c>
      <c r="B8505" t="str">
        <f>"1366774879"</f>
        <v>1366774879</v>
      </c>
      <c r="C8505" t="str">
        <f>"363L00000X"</f>
        <v>363L00000X</v>
      </c>
      <c r="D8505" t="str">
        <f>"JURICH HENDERSON         JENNIFER                 "</f>
        <v xml:space="preserve">JURICH HENDERSON         JENNIFER                 </v>
      </c>
      <c r="E8505" t="str">
        <f>"BILOXI                    "</f>
        <v xml:space="preserve">BILOXI                    </v>
      </c>
      <c r="F8505" t="str">
        <f t="shared" si="258"/>
        <v>MS</v>
      </c>
    </row>
    <row r="8506" spans="1:6" x14ac:dyDescent="0.25">
      <c r="A8506" t="str">
        <f>"001838295"</f>
        <v>001838295</v>
      </c>
      <c r="B8506" t="str">
        <f>"1467780551"</f>
        <v>1467780551</v>
      </c>
      <c r="C8506" t="str">
        <f>"2084N0400X"</f>
        <v>2084N0400X</v>
      </c>
      <c r="D8506" t="str">
        <f>"VARADE                   PREET        M           "</f>
        <v xml:space="preserve">VARADE                   PREET        M           </v>
      </c>
      <c r="E8506" t="str">
        <f>"SOUTHAVEN                 "</f>
        <v xml:space="preserve">SOUTHAVEN                 </v>
      </c>
      <c r="F8506" t="str">
        <f t="shared" si="258"/>
        <v>MS</v>
      </c>
    </row>
    <row r="8507" spans="1:6" x14ac:dyDescent="0.25">
      <c r="A8507" t="str">
        <f>"001838356"</f>
        <v>001838356</v>
      </c>
      <c r="B8507" t="str">
        <f>"1730139775"</f>
        <v>1730139775</v>
      </c>
      <c r="C8507" t="str">
        <f>"207Q00000X"</f>
        <v>207Q00000X</v>
      </c>
      <c r="D8507" t="str">
        <f>"LIMAYLLA                 LUCY         M           "</f>
        <v xml:space="preserve">LIMAYLLA                 LUCY         M           </v>
      </c>
      <c r="E8507" t="str">
        <f>"MERIDIAN                  "</f>
        <v xml:space="preserve">MERIDIAN                  </v>
      </c>
      <c r="F8507" t="str">
        <f t="shared" si="258"/>
        <v>MS</v>
      </c>
    </row>
    <row r="8508" spans="1:6" x14ac:dyDescent="0.25">
      <c r="A8508" t="str">
        <f>"001839260"</f>
        <v>001839260</v>
      </c>
      <c r="B8508" t="str">
        <f>"1174691216"</f>
        <v>1174691216</v>
      </c>
      <c r="C8508" t="str">
        <f>"207R00000X"</f>
        <v>207R00000X</v>
      </c>
      <c r="D8508" t="str">
        <f>"DICKSON                  JOHN         A           "</f>
        <v xml:space="preserve">DICKSON                  JOHN         A           </v>
      </c>
      <c r="E8508" t="str">
        <f>"MERIDIAN                  "</f>
        <v xml:space="preserve">MERIDIAN                  </v>
      </c>
      <c r="F8508" t="str">
        <f t="shared" si="258"/>
        <v>MS</v>
      </c>
    </row>
    <row r="8509" spans="1:6" x14ac:dyDescent="0.25">
      <c r="A8509" t="str">
        <f>"001851204"</f>
        <v>001851204</v>
      </c>
      <c r="B8509" t="str">
        <f>"1306271580"</f>
        <v>1306271580</v>
      </c>
      <c r="C8509" t="str">
        <f>"363L00000X"</f>
        <v>363L00000X</v>
      </c>
      <c r="D8509" t="str">
        <f>"GROVES                   ALENA        A           "</f>
        <v xml:space="preserve">GROVES                   ALENA        A           </v>
      </c>
      <c r="E8509" t="str">
        <f>"COLUMBUS                  "</f>
        <v xml:space="preserve">COLUMBUS                  </v>
      </c>
      <c r="F8509" t="str">
        <f t="shared" si="258"/>
        <v>MS</v>
      </c>
    </row>
    <row r="8510" spans="1:6" x14ac:dyDescent="0.25">
      <c r="A8510" t="str">
        <f>"001855801"</f>
        <v>001855801</v>
      </c>
      <c r="B8510" t="str">
        <f>"1508912569"</f>
        <v>1508912569</v>
      </c>
      <c r="C8510" t="str">
        <f>"367500000X"</f>
        <v>367500000X</v>
      </c>
      <c r="D8510" t="str">
        <f>"LUKE                     FRANK        W           "</f>
        <v xml:space="preserve">LUKE                     FRANK        W           </v>
      </c>
      <c r="E8510" t="str">
        <f>"STARKVILLE                "</f>
        <v xml:space="preserve">STARKVILLE                </v>
      </c>
      <c r="F8510" t="str">
        <f t="shared" ref="F8510:F8573" si="259">"MS"</f>
        <v>MS</v>
      </c>
    </row>
    <row r="8511" spans="1:6" x14ac:dyDescent="0.25">
      <c r="A8511" t="str">
        <f>"001857251"</f>
        <v>001857251</v>
      </c>
      <c r="B8511" t="str">
        <f>"1023346137"</f>
        <v>1023346137</v>
      </c>
      <c r="C8511" t="str">
        <f>"363L00000X"</f>
        <v>363L00000X</v>
      </c>
      <c r="D8511" t="str">
        <f>"TOLAR                    MELISSA      R           "</f>
        <v xml:space="preserve">TOLAR                    MELISSA      R           </v>
      </c>
      <c r="E8511" t="str">
        <f>"HATTIESBURG               "</f>
        <v xml:space="preserve">HATTIESBURG               </v>
      </c>
      <c r="F8511" t="str">
        <f t="shared" si="259"/>
        <v>MS</v>
      </c>
    </row>
    <row r="8512" spans="1:6" x14ac:dyDescent="0.25">
      <c r="A8512" t="str">
        <f>"001857738"</f>
        <v>001857738</v>
      </c>
      <c r="B8512" t="str">
        <f>"1255843033"</f>
        <v>1255843033</v>
      </c>
      <c r="C8512" t="str">
        <f>"363L00000X"</f>
        <v>363L00000X</v>
      </c>
      <c r="D8512" t="str">
        <f>"JOHNSON                  SHANNON      V           "</f>
        <v xml:space="preserve">JOHNSON                  SHANNON      V           </v>
      </c>
      <c r="E8512" t="str">
        <f>"CHOCTAW                   "</f>
        <v xml:space="preserve">CHOCTAW                   </v>
      </c>
      <c r="F8512" t="str">
        <f t="shared" si="259"/>
        <v>MS</v>
      </c>
    </row>
    <row r="8513" spans="1:6" x14ac:dyDescent="0.25">
      <c r="A8513" t="str">
        <f>"001857892"</f>
        <v>001857892</v>
      </c>
      <c r="B8513" t="str">
        <f>"1255560918"</f>
        <v>1255560918</v>
      </c>
      <c r="C8513" t="str">
        <f>"207RC0000X"</f>
        <v>207RC0000X</v>
      </c>
      <c r="D8513" t="str">
        <f>"JAGTAP                   MANDAR       R           "</f>
        <v xml:space="preserve">JAGTAP                   MANDAR       R           </v>
      </c>
      <c r="E8513" t="str">
        <f>"CORINTH                   "</f>
        <v xml:space="preserve">CORINTH                   </v>
      </c>
      <c r="F8513" t="str">
        <f t="shared" si="259"/>
        <v>MS</v>
      </c>
    </row>
    <row r="8514" spans="1:6" x14ac:dyDescent="0.25">
      <c r="A8514" t="str">
        <f>"001870013"</f>
        <v>001870013</v>
      </c>
      <c r="B8514" t="str">
        <f>"1821034596"</f>
        <v>1821034596</v>
      </c>
      <c r="C8514" t="str">
        <f>"207LP2900X"</f>
        <v>207LP2900X</v>
      </c>
      <c r="D8514" t="str">
        <f>"WILLIAMS                 REX                      "</f>
        <v xml:space="preserve">WILLIAMS                 REX                      </v>
      </c>
      <c r="E8514" t="str">
        <f>"OXFORD                    "</f>
        <v xml:space="preserve">OXFORD                    </v>
      </c>
      <c r="F8514" t="str">
        <f t="shared" si="259"/>
        <v>MS</v>
      </c>
    </row>
    <row r="8515" spans="1:6" x14ac:dyDescent="0.25">
      <c r="A8515" t="str">
        <f>"001870042"</f>
        <v>001870042</v>
      </c>
      <c r="B8515" t="str">
        <f>"1356717714"</f>
        <v>1356717714</v>
      </c>
      <c r="C8515" t="str">
        <f>"122300000X"</f>
        <v>122300000X</v>
      </c>
      <c r="D8515" t="str">
        <f>"MAGNOLIA FAMILY DENTISTRY                         "</f>
        <v xml:space="preserve">MAGNOLIA FAMILY DENTISTRY                         </v>
      </c>
      <c r="E8515" t="str">
        <f>"ABERDEEN                  "</f>
        <v xml:space="preserve">ABERDEEN                  </v>
      </c>
      <c r="F8515" t="str">
        <f t="shared" si="259"/>
        <v>MS</v>
      </c>
    </row>
    <row r="8516" spans="1:6" x14ac:dyDescent="0.25">
      <c r="A8516" t="str">
        <f>"001871110"</f>
        <v>001871110</v>
      </c>
      <c r="B8516" t="str">
        <f>"1851034649"</f>
        <v>1851034649</v>
      </c>
      <c r="C8516" t="str">
        <f>"207R00000X"</f>
        <v>207R00000X</v>
      </c>
      <c r="D8516" t="str">
        <f>"RASH                     MAX          P           "</f>
        <v xml:space="preserve">RASH                     MAX          P           </v>
      </c>
      <c r="E8516" t="str">
        <f>"TUPELO                    "</f>
        <v xml:space="preserve">TUPELO                    </v>
      </c>
      <c r="F8516" t="str">
        <f t="shared" si="259"/>
        <v>MS</v>
      </c>
    </row>
    <row r="8517" spans="1:6" x14ac:dyDescent="0.25">
      <c r="A8517" t="str">
        <f>"001871218"</f>
        <v>001871218</v>
      </c>
      <c r="B8517" t="str">
        <f>"1982150322"</f>
        <v>1982150322</v>
      </c>
      <c r="C8517" t="str">
        <f>"363L00000X"</f>
        <v>363L00000X</v>
      </c>
      <c r="D8517" t="str">
        <f>"ROBINSON                 GILLIAN                  "</f>
        <v xml:space="preserve">ROBINSON                 GILLIAN                  </v>
      </c>
      <c r="E8517" t="str">
        <f>"JACKSON                   "</f>
        <v xml:space="preserve">JACKSON                   </v>
      </c>
      <c r="F8517" t="str">
        <f t="shared" si="259"/>
        <v>MS</v>
      </c>
    </row>
    <row r="8518" spans="1:6" x14ac:dyDescent="0.25">
      <c r="A8518" t="str">
        <f>"001871773"</f>
        <v>001871773</v>
      </c>
      <c r="B8518" t="str">
        <f>"1659767150"</f>
        <v>1659767150</v>
      </c>
      <c r="C8518" t="str">
        <f>"261QE0700X"</f>
        <v>261QE0700X</v>
      </c>
      <c r="D8518" t="str">
        <f>"DIBERVILLE HOME PROGRAM                           "</f>
        <v xml:space="preserve">DIBERVILLE HOME PROGRAM                           </v>
      </c>
      <c r="E8518" t="str">
        <f>"BILOXI                    "</f>
        <v xml:space="preserve">BILOXI                    </v>
      </c>
      <c r="F8518" t="str">
        <f t="shared" si="259"/>
        <v>MS</v>
      </c>
    </row>
    <row r="8519" spans="1:6" x14ac:dyDescent="0.25">
      <c r="A8519" t="str">
        <f>"001872256"</f>
        <v>001872256</v>
      </c>
      <c r="B8519" t="str">
        <f>"1588991731"</f>
        <v>1588991731</v>
      </c>
      <c r="C8519" t="str">
        <f>"363L00000X"</f>
        <v>363L00000X</v>
      </c>
      <c r="D8519" t="str">
        <f>"DAVIS                    ASHLEY       T           "</f>
        <v xml:space="preserve">DAVIS                    ASHLEY       T           </v>
      </c>
      <c r="E8519" t="str">
        <f>"LOUISVILLE                "</f>
        <v xml:space="preserve">LOUISVILLE                </v>
      </c>
      <c r="F8519" t="str">
        <f t="shared" si="259"/>
        <v>MS</v>
      </c>
    </row>
    <row r="8520" spans="1:6" x14ac:dyDescent="0.25">
      <c r="A8520" t="str">
        <f>"001873271"</f>
        <v>001873271</v>
      </c>
      <c r="B8520" t="str">
        <f>"1962916114"</f>
        <v>1962916114</v>
      </c>
      <c r="C8520" t="str">
        <f>"363L00000X"</f>
        <v>363L00000X</v>
      </c>
      <c r="D8520" t="str">
        <f>"MCGREW                   MARTHA       A           "</f>
        <v xml:space="preserve">MCGREW                   MARTHA       A           </v>
      </c>
      <c r="E8520" t="str">
        <f>"CRYSTAL SPRINGS           "</f>
        <v xml:space="preserve">CRYSTAL SPRINGS           </v>
      </c>
      <c r="F8520" t="str">
        <f t="shared" si="259"/>
        <v>MS</v>
      </c>
    </row>
    <row r="8521" spans="1:6" x14ac:dyDescent="0.25">
      <c r="A8521" t="str">
        <f>"001873344"</f>
        <v>001873344</v>
      </c>
      <c r="B8521" t="str">
        <f>"1003852203"</f>
        <v>1003852203</v>
      </c>
      <c r="C8521" t="str">
        <f>"261QF0400X"</f>
        <v>261QF0400X</v>
      </c>
      <c r="D8521" t="str">
        <f>"SOUTH PERRY ELEMENTARY SCHOOL                     "</f>
        <v xml:space="preserve">SOUTH PERRY ELEMENTARY SCHOOL                     </v>
      </c>
      <c r="E8521" t="str">
        <f>"BEAUMONT                  "</f>
        <v xml:space="preserve">BEAUMONT                  </v>
      </c>
      <c r="F8521" t="str">
        <f t="shared" si="259"/>
        <v>MS</v>
      </c>
    </row>
    <row r="8522" spans="1:6" x14ac:dyDescent="0.25">
      <c r="A8522" t="str">
        <f>"001873751"</f>
        <v>001873751</v>
      </c>
      <c r="B8522" t="str">
        <f>"1982057345"</f>
        <v>1982057345</v>
      </c>
      <c r="C8522" t="str">
        <f>"363L00000X"</f>
        <v>363L00000X</v>
      </c>
      <c r="D8522" t="str">
        <f>"GREEN                    FLORA        K           "</f>
        <v xml:space="preserve">GREEN                    FLORA        K           </v>
      </c>
      <c r="E8522" t="str">
        <f>"JACKSON                   "</f>
        <v xml:space="preserve">JACKSON                   </v>
      </c>
      <c r="F8522" t="str">
        <f t="shared" si="259"/>
        <v>MS</v>
      </c>
    </row>
    <row r="8523" spans="1:6" x14ac:dyDescent="0.25">
      <c r="A8523" t="str">
        <f>"001875551"</f>
        <v>001875551</v>
      </c>
      <c r="B8523" t="str">
        <f>"1427145002"</f>
        <v>1427145002</v>
      </c>
      <c r="C8523" t="str">
        <f>"208D00000X"</f>
        <v>208D00000X</v>
      </c>
      <c r="D8523" t="str">
        <f>"CUMMINS                  ERIN         R           "</f>
        <v xml:space="preserve">CUMMINS                  ERIN         R           </v>
      </c>
      <c r="E8523" t="str">
        <f>"JACKSON                   "</f>
        <v xml:space="preserve">JACKSON                   </v>
      </c>
      <c r="F8523" t="str">
        <f t="shared" si="259"/>
        <v>MS</v>
      </c>
    </row>
    <row r="8524" spans="1:6" x14ac:dyDescent="0.25">
      <c r="A8524" t="str">
        <f>"001878766"</f>
        <v>001878766</v>
      </c>
      <c r="B8524" t="str">
        <f>"1467864207"</f>
        <v>1467864207</v>
      </c>
      <c r="C8524" t="str">
        <f>"207R00000X"</f>
        <v>207R00000X</v>
      </c>
      <c r="D8524" t="str">
        <f>"LIVINGSTON               DONALD       C           "</f>
        <v xml:space="preserve">LIVINGSTON               DONALD       C           </v>
      </c>
      <c r="E8524" t="str">
        <f>"AMORY                     "</f>
        <v xml:space="preserve">AMORY                     </v>
      </c>
      <c r="F8524" t="str">
        <f t="shared" si="259"/>
        <v>MS</v>
      </c>
    </row>
    <row r="8525" spans="1:6" x14ac:dyDescent="0.25">
      <c r="A8525" t="str">
        <f>"001879001"</f>
        <v>001879001</v>
      </c>
      <c r="B8525" t="str">
        <f>"1467018390"</f>
        <v>1467018390</v>
      </c>
      <c r="C8525" t="str">
        <f>"363L00000X"</f>
        <v>363L00000X</v>
      </c>
      <c r="D8525" t="str">
        <f>"MCGOWAN                  LATONYA      J           "</f>
        <v xml:space="preserve">MCGOWAN                  LATONYA      J           </v>
      </c>
      <c r="E8525" t="str">
        <f>"VICKSBURG                 "</f>
        <v xml:space="preserve">VICKSBURG                 </v>
      </c>
      <c r="F8525" t="str">
        <f t="shared" si="259"/>
        <v>MS</v>
      </c>
    </row>
    <row r="8526" spans="1:6" x14ac:dyDescent="0.25">
      <c r="A8526" t="str">
        <f>"001880336"</f>
        <v>001880336</v>
      </c>
      <c r="B8526" t="str">
        <f>"1689803918"</f>
        <v>1689803918</v>
      </c>
      <c r="C8526" t="str">
        <f>"207R00000X"</f>
        <v>207R00000X</v>
      </c>
      <c r="D8526" t="str">
        <f>"STEWART                  PATRICIA     H           "</f>
        <v xml:space="preserve">STEWART                  PATRICIA     H           </v>
      </c>
      <c r="E8526" t="str">
        <f>"JACKSON                   "</f>
        <v xml:space="preserve">JACKSON                   </v>
      </c>
      <c r="F8526" t="str">
        <f t="shared" si="259"/>
        <v>MS</v>
      </c>
    </row>
    <row r="8527" spans="1:6" x14ac:dyDescent="0.25">
      <c r="A8527" t="str">
        <f>"001880393"</f>
        <v>001880393</v>
      </c>
      <c r="B8527" t="str">
        <f>"1285815589"</f>
        <v>1285815589</v>
      </c>
      <c r="C8527" t="str">
        <f>"1223S0112X"</f>
        <v>1223S0112X</v>
      </c>
      <c r="D8527" t="str">
        <f>"KEELER                   GARY         D           "</f>
        <v xml:space="preserve">KEELER                   GARY         D           </v>
      </c>
      <c r="E8527" t="str">
        <f>"FLOWOOD                   "</f>
        <v xml:space="preserve">FLOWOOD                   </v>
      </c>
      <c r="F8527" t="str">
        <f t="shared" si="259"/>
        <v>MS</v>
      </c>
    </row>
    <row r="8528" spans="1:6" x14ac:dyDescent="0.25">
      <c r="A8528" t="str">
        <f>"001880521"</f>
        <v>001880521</v>
      </c>
      <c r="B8528" t="str">
        <f>"1821013012"</f>
        <v>1821013012</v>
      </c>
      <c r="C8528" t="str">
        <f>"207ZP0102X"</f>
        <v>207ZP0102X</v>
      </c>
      <c r="D8528" t="str">
        <f>"LAM                      JOHN         T           "</f>
        <v xml:space="preserve">LAM                      JOHN         T           </v>
      </c>
      <c r="E8528" t="str">
        <f>"JACKSON                   "</f>
        <v xml:space="preserve">JACKSON                   </v>
      </c>
      <c r="F8528" t="str">
        <f t="shared" si="259"/>
        <v>MS</v>
      </c>
    </row>
    <row r="8529" spans="1:6" x14ac:dyDescent="0.25">
      <c r="A8529" t="str">
        <f>"001881510"</f>
        <v>001881510</v>
      </c>
      <c r="B8529" t="str">
        <f>"1417198490"</f>
        <v>1417198490</v>
      </c>
      <c r="C8529" t="str">
        <f>"207P00000X"</f>
        <v>207P00000X</v>
      </c>
      <c r="D8529" t="str">
        <f>"NAKAMOTO                 ANDREW       T           "</f>
        <v xml:space="preserve">NAKAMOTO                 ANDREW       T           </v>
      </c>
      <c r="E8529" t="str">
        <f>"GULFPORT                  "</f>
        <v xml:space="preserve">GULFPORT                  </v>
      </c>
      <c r="F8529" t="str">
        <f t="shared" si="259"/>
        <v>MS</v>
      </c>
    </row>
    <row r="8530" spans="1:6" x14ac:dyDescent="0.25">
      <c r="A8530" t="str">
        <f>"001882011"</f>
        <v>001882011</v>
      </c>
      <c r="B8530" t="str">
        <f>"1750888129"</f>
        <v>1750888129</v>
      </c>
      <c r="C8530" t="str">
        <f>"363L00000X"</f>
        <v>363L00000X</v>
      </c>
      <c r="D8530" t="str">
        <f>"LADNIER                  KAREN        C           "</f>
        <v xml:space="preserve">LADNIER                  KAREN        C           </v>
      </c>
      <c r="E8530" t="str">
        <f>"HATTIESBURG               "</f>
        <v xml:space="preserve">HATTIESBURG               </v>
      </c>
      <c r="F8530" t="str">
        <f t="shared" si="259"/>
        <v>MS</v>
      </c>
    </row>
    <row r="8531" spans="1:6" x14ac:dyDescent="0.25">
      <c r="A8531" t="str">
        <f>"001883307"</f>
        <v>001883307</v>
      </c>
      <c r="B8531" t="str">
        <f>"1265183057"</f>
        <v>1265183057</v>
      </c>
      <c r="C8531" t="str">
        <f>"363L00000X"</f>
        <v>363L00000X</v>
      </c>
      <c r="D8531" t="str">
        <f>"ARMSTRONG                SELENA                   "</f>
        <v xml:space="preserve">ARMSTRONG                SELENA                   </v>
      </c>
      <c r="E8531" t="str">
        <f>"TUPELO                    "</f>
        <v xml:space="preserve">TUPELO                    </v>
      </c>
      <c r="F8531" t="str">
        <f t="shared" si="259"/>
        <v>MS</v>
      </c>
    </row>
    <row r="8532" spans="1:6" x14ac:dyDescent="0.25">
      <c r="A8532" t="str">
        <f>"001884516"</f>
        <v>001884516</v>
      </c>
      <c r="B8532" t="str">
        <f>"1952668311"</f>
        <v>1952668311</v>
      </c>
      <c r="C8532" t="str">
        <f>"2080P0204X"</f>
        <v>2080P0204X</v>
      </c>
      <c r="D8532" t="str">
        <f>"MCKINNEY                 SHANE        M           "</f>
        <v xml:space="preserve">MCKINNEY                 SHANE        M           </v>
      </c>
      <c r="E8532" t="str">
        <f>"JACKSON                   "</f>
        <v xml:space="preserve">JACKSON                   </v>
      </c>
      <c r="F8532" t="str">
        <f t="shared" si="259"/>
        <v>MS</v>
      </c>
    </row>
    <row r="8533" spans="1:6" x14ac:dyDescent="0.25">
      <c r="A8533" t="str">
        <f>"001885840"</f>
        <v>001885840</v>
      </c>
      <c r="B8533" t="str">
        <f>"1245623685"</f>
        <v>1245623685</v>
      </c>
      <c r="C8533" t="str">
        <f>"2085R0202X"</f>
        <v>2085R0202X</v>
      </c>
      <c r="D8533" t="str">
        <f>"STRANCH                  NICOLE                   "</f>
        <v xml:space="preserve">STRANCH                  NICOLE                   </v>
      </c>
      <c r="E8533" t="str">
        <f>"OLIVE BRANCH              "</f>
        <v xml:space="preserve">OLIVE BRANCH              </v>
      </c>
      <c r="F8533" t="str">
        <f t="shared" si="259"/>
        <v>MS</v>
      </c>
    </row>
    <row r="8534" spans="1:6" x14ac:dyDescent="0.25">
      <c r="A8534" t="str">
        <f>"001886827"</f>
        <v>001886827</v>
      </c>
      <c r="B8534" t="str">
        <f>"1619081346"</f>
        <v>1619081346</v>
      </c>
      <c r="C8534" t="str">
        <f>"207P00000X"</f>
        <v>207P00000X</v>
      </c>
      <c r="D8534" t="str">
        <f>"JOHNSON                  RICHARD      S           "</f>
        <v xml:space="preserve">JOHNSON                  RICHARD      S           </v>
      </c>
      <c r="E8534" t="str">
        <f>"MCCOMB                    "</f>
        <v xml:space="preserve">MCCOMB                    </v>
      </c>
      <c r="F8534" t="str">
        <f t="shared" si="259"/>
        <v>MS</v>
      </c>
    </row>
    <row r="8535" spans="1:6" x14ac:dyDescent="0.25">
      <c r="A8535" t="str">
        <f>"001887731"</f>
        <v>001887731</v>
      </c>
      <c r="B8535" t="str">
        <f>"1528493053"</f>
        <v>1528493053</v>
      </c>
      <c r="C8535" t="str">
        <f>"363L00000X"</f>
        <v>363L00000X</v>
      </c>
      <c r="D8535" t="str">
        <f>"HARVILLE                 KAYLA        B           "</f>
        <v xml:space="preserve">HARVILLE                 KAYLA        B           </v>
      </c>
      <c r="E8535" t="str">
        <f>"GRENADA                   "</f>
        <v xml:space="preserve">GRENADA                   </v>
      </c>
      <c r="F8535" t="str">
        <f t="shared" si="259"/>
        <v>MS</v>
      </c>
    </row>
    <row r="8536" spans="1:6" x14ac:dyDescent="0.25">
      <c r="A8536" t="str">
        <f>"001888213"</f>
        <v>001888213</v>
      </c>
      <c r="B8536" t="str">
        <f>"1861049447"</f>
        <v>1861049447</v>
      </c>
      <c r="C8536" t="str">
        <f>"363L00000X"</f>
        <v>363L00000X</v>
      </c>
      <c r="D8536" t="str">
        <f>"MOODY                    CHAKILIA     S           "</f>
        <v xml:space="preserve">MOODY                    CHAKILIA     S           </v>
      </c>
      <c r="E8536" t="str">
        <f>"RAYMOND                   "</f>
        <v xml:space="preserve">RAYMOND                   </v>
      </c>
      <c r="F8536" t="str">
        <f t="shared" si="259"/>
        <v>MS</v>
      </c>
    </row>
    <row r="8537" spans="1:6" x14ac:dyDescent="0.25">
      <c r="A8537" t="str">
        <f>"001888564"</f>
        <v>001888564</v>
      </c>
      <c r="B8537" t="str">
        <f>"1114214038"</f>
        <v>1114214038</v>
      </c>
      <c r="C8537" t="str">
        <f>"207R00000X"</f>
        <v>207R00000X</v>
      </c>
      <c r="D8537" t="str">
        <f>"GREWAL                   GAGANDEEP    S           "</f>
        <v xml:space="preserve">GREWAL                   GAGANDEEP    S           </v>
      </c>
      <c r="E8537" t="str">
        <f>"HATTIESBURG               "</f>
        <v xml:space="preserve">HATTIESBURG               </v>
      </c>
      <c r="F8537" t="str">
        <f t="shared" si="259"/>
        <v>MS</v>
      </c>
    </row>
    <row r="8538" spans="1:6" x14ac:dyDescent="0.25">
      <c r="A8538" t="str">
        <f>"001888853"</f>
        <v>001888853</v>
      </c>
      <c r="B8538" t="str">
        <f>"1760568398"</f>
        <v>1760568398</v>
      </c>
      <c r="C8538" t="str">
        <f>"363L00000X"</f>
        <v>363L00000X</v>
      </c>
      <c r="D8538" t="str">
        <f>"DAVIS                    TEARSANEE    G           "</f>
        <v xml:space="preserve">DAVIS                    TEARSANEE    G           </v>
      </c>
      <c r="E8538" t="str">
        <f>"JACKSON                   "</f>
        <v xml:space="preserve">JACKSON                   </v>
      </c>
      <c r="F8538" t="str">
        <f t="shared" si="259"/>
        <v>MS</v>
      </c>
    </row>
    <row r="8539" spans="1:6" x14ac:dyDescent="0.25">
      <c r="A8539" t="str">
        <f>"001900556"</f>
        <v>001900556</v>
      </c>
      <c r="B8539" t="str">
        <f>"1770562647"</f>
        <v>1770562647</v>
      </c>
      <c r="C8539" t="str">
        <f>"2083P0901X"</f>
        <v>2083P0901X</v>
      </c>
      <c r="D8539" t="str">
        <f>"APPLEWHITE               GEORGE       A           "</f>
        <v xml:space="preserve">APPLEWHITE               GEORGE       A           </v>
      </c>
      <c r="E8539" t="str">
        <f>"MCCOMB                    "</f>
        <v xml:space="preserve">MCCOMB                    </v>
      </c>
      <c r="F8539" t="str">
        <f t="shared" si="259"/>
        <v>MS</v>
      </c>
    </row>
    <row r="8540" spans="1:6" x14ac:dyDescent="0.25">
      <c r="A8540" t="str">
        <f>"001900566"</f>
        <v>001900566</v>
      </c>
      <c r="B8540" t="str">
        <f>"1740549781"</f>
        <v>1740549781</v>
      </c>
      <c r="C8540" t="str">
        <f>"207Q00000X"</f>
        <v>207Q00000X</v>
      </c>
      <c r="D8540" t="str">
        <f>"LADNER                   RAVEN        S           "</f>
        <v xml:space="preserve">LADNER                   RAVEN        S           </v>
      </c>
      <c r="E8540" t="str">
        <f>"BYRAM                     "</f>
        <v xml:space="preserve">BYRAM                     </v>
      </c>
      <c r="F8540" t="str">
        <f t="shared" si="259"/>
        <v>MS</v>
      </c>
    </row>
    <row r="8541" spans="1:6" x14ac:dyDescent="0.25">
      <c r="A8541" t="str">
        <f>"001901349"</f>
        <v>001901349</v>
      </c>
      <c r="B8541" t="str">
        <f>"1952357378"</f>
        <v>1952357378</v>
      </c>
      <c r="C8541" t="str">
        <f>"207P00000X"</f>
        <v>207P00000X</v>
      </c>
      <c r="D8541" t="str">
        <f>"LAMB                     TIMOTHY      H           "</f>
        <v xml:space="preserve">LAMB                     TIMOTHY      H           </v>
      </c>
      <c r="E8541" t="str">
        <f>"GREENWOOD                 "</f>
        <v xml:space="preserve">GREENWOOD                 </v>
      </c>
      <c r="F8541" t="str">
        <f t="shared" si="259"/>
        <v>MS</v>
      </c>
    </row>
    <row r="8542" spans="1:6" x14ac:dyDescent="0.25">
      <c r="A8542" t="str">
        <f>"001902215"</f>
        <v>001902215</v>
      </c>
      <c r="B8542" t="str">
        <f>"1851876627"</f>
        <v>1851876627</v>
      </c>
      <c r="C8542" t="str">
        <f>"363L00000X"</f>
        <v>363L00000X</v>
      </c>
      <c r="D8542" t="str">
        <f>"SMITH                    KRISTI                   "</f>
        <v xml:space="preserve">SMITH                    KRISTI                   </v>
      </c>
      <c r="E8542" t="str">
        <f>"MANTACHIE                 "</f>
        <v xml:space="preserve">MANTACHIE                 </v>
      </c>
      <c r="F8542" t="str">
        <f t="shared" si="259"/>
        <v>MS</v>
      </c>
    </row>
    <row r="8543" spans="1:6" x14ac:dyDescent="0.25">
      <c r="A8543" t="str">
        <f>"001903244"</f>
        <v>001903244</v>
      </c>
      <c r="B8543" t="str">
        <f>"1467924027"</f>
        <v>1467924027</v>
      </c>
      <c r="C8543" t="str">
        <f>"367500000X"</f>
        <v>367500000X</v>
      </c>
      <c r="D8543" t="str">
        <f>"GRAHAM                   NEIL         M           "</f>
        <v xml:space="preserve">GRAHAM                   NEIL         M           </v>
      </c>
      <c r="E8543" t="str">
        <f>"HATTIESBURG               "</f>
        <v xml:space="preserve">HATTIESBURG               </v>
      </c>
      <c r="F8543" t="str">
        <f t="shared" si="259"/>
        <v>MS</v>
      </c>
    </row>
    <row r="8544" spans="1:6" x14ac:dyDescent="0.25">
      <c r="A8544" t="str">
        <f>"001903304"</f>
        <v>001903304</v>
      </c>
      <c r="B8544" t="str">
        <f>"1508897000"</f>
        <v>1508897000</v>
      </c>
      <c r="C8544" t="str">
        <f>"261QF0400X"</f>
        <v>261QF0400X</v>
      </c>
      <c r="D8544" t="str">
        <f>"COASTAL FAMILY HEALTH CENTER                      "</f>
        <v xml:space="preserve">COASTAL FAMILY HEALTH CENTER                      </v>
      </c>
      <c r="E8544" t="str">
        <f>"MOSS POINT                "</f>
        <v xml:space="preserve">MOSS POINT                </v>
      </c>
      <c r="F8544" t="str">
        <f t="shared" si="259"/>
        <v>MS</v>
      </c>
    </row>
    <row r="8545" spans="1:6" x14ac:dyDescent="0.25">
      <c r="A8545" t="str">
        <f>"001903853"</f>
        <v>001903853</v>
      </c>
      <c r="B8545" t="str">
        <f>"1750665063"</f>
        <v>1750665063</v>
      </c>
      <c r="C8545" t="str">
        <f>"363L00000X"</f>
        <v>363L00000X</v>
      </c>
      <c r="D8545" t="str">
        <f>"PHILLIPS                 JENNIFER     W           "</f>
        <v xml:space="preserve">PHILLIPS                 JENNIFER     W           </v>
      </c>
      <c r="E8545" t="str">
        <f>"PHILADELPHIA              "</f>
        <v xml:space="preserve">PHILADELPHIA              </v>
      </c>
      <c r="F8545" t="str">
        <f t="shared" si="259"/>
        <v>MS</v>
      </c>
    </row>
    <row r="8546" spans="1:6" x14ac:dyDescent="0.25">
      <c r="A8546" t="str">
        <f>"001904596"</f>
        <v>001904596</v>
      </c>
      <c r="B8546" t="str">
        <f>"1356781967"</f>
        <v>1356781967</v>
      </c>
      <c r="C8546" t="str">
        <f>"207R00000X"</f>
        <v>207R00000X</v>
      </c>
      <c r="D8546" t="str">
        <f>"VIJAYVARGIYA             PRAKHAR                  "</f>
        <v xml:space="preserve">VIJAYVARGIYA             PRAKHAR                  </v>
      </c>
      <c r="E8546" t="str">
        <f>"JACKSON                   "</f>
        <v xml:space="preserve">JACKSON                   </v>
      </c>
      <c r="F8546" t="str">
        <f t="shared" si="259"/>
        <v>MS</v>
      </c>
    </row>
    <row r="8547" spans="1:6" x14ac:dyDescent="0.25">
      <c r="A8547" t="str">
        <f>"001905034"</f>
        <v>001905034</v>
      </c>
      <c r="B8547" t="str">
        <f>"1609132232"</f>
        <v>1609132232</v>
      </c>
      <c r="C8547" t="str">
        <f>"2080P0206X"</f>
        <v>2080P0206X</v>
      </c>
      <c r="D8547" t="str">
        <f>"PRESSLEY-WALLACE         ANGELA                   "</f>
        <v xml:space="preserve">PRESSLEY-WALLACE         ANGELA                   </v>
      </c>
      <c r="E8547" t="str">
        <f>"OCEAN SPRINGS             "</f>
        <v xml:space="preserve">OCEAN SPRINGS             </v>
      </c>
      <c r="F8547" t="str">
        <f t="shared" si="259"/>
        <v>MS</v>
      </c>
    </row>
    <row r="8548" spans="1:6" x14ac:dyDescent="0.25">
      <c r="A8548" t="str">
        <f>"001906093"</f>
        <v>001906093</v>
      </c>
      <c r="B8548" t="str">
        <f>"1851868533"</f>
        <v>1851868533</v>
      </c>
      <c r="C8548" t="str">
        <f>"363L00000X"</f>
        <v>363L00000X</v>
      </c>
      <c r="D8548" t="str">
        <f>"BLANSETT                 LORI                     "</f>
        <v xml:space="preserve">BLANSETT                 LORI                     </v>
      </c>
      <c r="E8548" t="str">
        <f>"TUPELO                    "</f>
        <v xml:space="preserve">TUPELO                    </v>
      </c>
      <c r="F8548" t="str">
        <f t="shared" si="259"/>
        <v>MS</v>
      </c>
    </row>
    <row r="8549" spans="1:6" x14ac:dyDescent="0.25">
      <c r="A8549" t="str">
        <f>"001920767"</f>
        <v>001920767</v>
      </c>
      <c r="B8549" t="str">
        <f>"1366707713"</f>
        <v>1366707713</v>
      </c>
      <c r="C8549" t="str">
        <f>"363L00000X"</f>
        <v>363L00000X</v>
      </c>
      <c r="D8549" t="str">
        <f>"REED                     MAKEVA       K           "</f>
        <v xml:space="preserve">REED                     MAKEVA       K           </v>
      </c>
      <c r="E8549" t="str">
        <f>"BILOXI                    "</f>
        <v xml:space="preserve">BILOXI                    </v>
      </c>
      <c r="F8549" t="str">
        <f t="shared" si="259"/>
        <v>MS</v>
      </c>
    </row>
    <row r="8550" spans="1:6" x14ac:dyDescent="0.25">
      <c r="A8550" t="str">
        <f>"001921014"</f>
        <v>001921014</v>
      </c>
      <c r="B8550" t="str">
        <f>"1972754034"</f>
        <v>1972754034</v>
      </c>
      <c r="C8550" t="str">
        <f>"363L00000X"</f>
        <v>363L00000X</v>
      </c>
      <c r="D8550" t="str">
        <f>"MCKNIGHT                 PATRICIA                 "</f>
        <v xml:space="preserve">MCKNIGHT                 PATRICIA                 </v>
      </c>
      <c r="E8550" t="str">
        <f>"TUPELO                    "</f>
        <v xml:space="preserve">TUPELO                    </v>
      </c>
      <c r="F8550" t="str">
        <f t="shared" si="259"/>
        <v>MS</v>
      </c>
    </row>
    <row r="8551" spans="1:6" x14ac:dyDescent="0.25">
      <c r="A8551" t="str">
        <f>"001922709"</f>
        <v>001922709</v>
      </c>
      <c r="B8551" t="str">
        <f>"1740697275"</f>
        <v>1740697275</v>
      </c>
      <c r="C8551" t="str">
        <f>"261QM0801X"</f>
        <v>261QM0801X</v>
      </c>
      <c r="D8551" t="str">
        <f>"SINCERE HOME CARE LLC                             "</f>
        <v xml:space="preserve">SINCERE HOME CARE LLC                             </v>
      </c>
      <c r="E8551" t="str">
        <f>"JACKSON                   "</f>
        <v xml:space="preserve">JACKSON                   </v>
      </c>
      <c r="F8551" t="str">
        <f t="shared" si="259"/>
        <v>MS</v>
      </c>
    </row>
    <row r="8552" spans="1:6" x14ac:dyDescent="0.25">
      <c r="A8552" t="str">
        <f>"001923009"</f>
        <v>001923009</v>
      </c>
      <c r="B8552" t="str">
        <f>"1144984451"</f>
        <v>1144984451</v>
      </c>
      <c r="C8552" t="str">
        <f>"363A00000X"</f>
        <v>363A00000X</v>
      </c>
      <c r="D8552" t="str">
        <f>"LILES                    KATELYN      M           "</f>
        <v xml:space="preserve">LILES                    KATELYN      M           </v>
      </c>
      <c r="E8552" t="str">
        <f>"SENATOBIA                 "</f>
        <v xml:space="preserve">SENATOBIA                 </v>
      </c>
      <c r="F8552" t="str">
        <f t="shared" si="259"/>
        <v>MS</v>
      </c>
    </row>
    <row r="8553" spans="1:6" x14ac:dyDescent="0.25">
      <c r="A8553" t="str">
        <f>"001925511"</f>
        <v>001925511</v>
      </c>
      <c r="B8553" t="str">
        <f>"1477714731"</f>
        <v>1477714731</v>
      </c>
      <c r="C8553" t="str">
        <f>"207RE0101X"</f>
        <v>207RE0101X</v>
      </c>
      <c r="D8553" t="str">
        <f>"PHILLIPS                 JANA         W           "</f>
        <v xml:space="preserve">PHILLIPS                 JANA         W           </v>
      </c>
      <c r="E8553" t="str">
        <f>"JACKSON                   "</f>
        <v xml:space="preserve">JACKSON                   </v>
      </c>
      <c r="F8553" t="str">
        <f t="shared" si="259"/>
        <v>MS</v>
      </c>
    </row>
    <row r="8554" spans="1:6" x14ac:dyDescent="0.25">
      <c r="A8554" t="str">
        <f>"001925741"</f>
        <v>001925741</v>
      </c>
      <c r="B8554" t="str">
        <f>"1174787915"</f>
        <v>1174787915</v>
      </c>
      <c r="C8554" t="str">
        <f>"122300000X"</f>
        <v>122300000X</v>
      </c>
      <c r="D8554" t="str">
        <f>"WILLIAMS                 TRACY        L           "</f>
        <v xml:space="preserve">WILLIAMS                 TRACY        L           </v>
      </c>
      <c r="E8554" t="str">
        <f>"HATTIESBURG               "</f>
        <v xml:space="preserve">HATTIESBURG               </v>
      </c>
      <c r="F8554" t="str">
        <f t="shared" si="259"/>
        <v>MS</v>
      </c>
    </row>
    <row r="8555" spans="1:6" x14ac:dyDescent="0.25">
      <c r="A8555" t="str">
        <f>"001925894"</f>
        <v>001925894</v>
      </c>
      <c r="B8555" t="str">
        <f>"1831489301"</f>
        <v>1831489301</v>
      </c>
      <c r="C8555" t="str">
        <f>"207ZP0102X"</f>
        <v>207ZP0102X</v>
      </c>
      <c r="D8555" t="str">
        <f>"BHATTI                   RAHAT                    "</f>
        <v xml:space="preserve">BHATTI                   RAHAT                    </v>
      </c>
      <c r="E8555" t="str">
        <f>"JACKSON                   "</f>
        <v xml:space="preserve">JACKSON                   </v>
      </c>
      <c r="F8555" t="str">
        <f t="shared" si="259"/>
        <v>MS</v>
      </c>
    </row>
    <row r="8556" spans="1:6" x14ac:dyDescent="0.25">
      <c r="A8556" t="str">
        <f>"001926042"</f>
        <v>001926042</v>
      </c>
      <c r="B8556" t="str">
        <f>"1487064697"</f>
        <v>1487064697</v>
      </c>
      <c r="C8556" t="str">
        <f>"207Q00000X"</f>
        <v>207Q00000X</v>
      </c>
      <c r="D8556" t="str">
        <f>"CHOATE                   CODY         C           "</f>
        <v xml:space="preserve">CHOATE                   CODY         C           </v>
      </c>
      <c r="E8556" t="str">
        <f>"COLUMBIA                  "</f>
        <v xml:space="preserve">COLUMBIA                  </v>
      </c>
      <c r="F8556" t="str">
        <f t="shared" si="259"/>
        <v>MS</v>
      </c>
    </row>
    <row r="8557" spans="1:6" x14ac:dyDescent="0.25">
      <c r="A8557" t="str">
        <f>"001926217"</f>
        <v>001926217</v>
      </c>
      <c r="B8557" t="str">
        <f>"1225211402"</f>
        <v>1225211402</v>
      </c>
      <c r="C8557" t="str">
        <f>"261QA0600X"</f>
        <v>261QA0600X</v>
      </c>
      <c r="D8557" t="str">
        <f>"WE CARE ADULT DAY CENTER                          "</f>
        <v xml:space="preserve">WE CARE ADULT DAY CENTER                          </v>
      </c>
      <c r="E8557" t="str">
        <f>"GREENVILLE                "</f>
        <v xml:space="preserve">GREENVILLE                </v>
      </c>
      <c r="F8557" t="str">
        <f t="shared" si="259"/>
        <v>MS</v>
      </c>
    </row>
    <row r="8558" spans="1:6" x14ac:dyDescent="0.25">
      <c r="A8558" t="str">
        <f>"001926759"</f>
        <v>001926759</v>
      </c>
      <c r="B8558" t="str">
        <f>"1225499452"</f>
        <v>1225499452</v>
      </c>
      <c r="C8558" t="str">
        <f>"363L00000X"</f>
        <v>363L00000X</v>
      </c>
      <c r="D8558" t="str">
        <f>"MEILSTRUP                JENNIFER     L           "</f>
        <v xml:space="preserve">MEILSTRUP                JENNIFER     L           </v>
      </c>
      <c r="E8558" t="str">
        <f>"BUDE                      "</f>
        <v xml:space="preserve">BUDE                      </v>
      </c>
      <c r="F8558" t="str">
        <f t="shared" si="259"/>
        <v>MS</v>
      </c>
    </row>
    <row r="8559" spans="1:6" x14ac:dyDescent="0.25">
      <c r="A8559" t="str">
        <f>"001927567"</f>
        <v>001927567</v>
      </c>
      <c r="B8559" t="str">
        <f>"1265743421"</f>
        <v>1265743421</v>
      </c>
      <c r="C8559" t="str">
        <f>"367500000X"</f>
        <v>367500000X</v>
      </c>
      <c r="D8559" t="str">
        <f>"CHINICHE                 MATTHEW      J           "</f>
        <v xml:space="preserve">CHINICHE                 MATTHEW      J           </v>
      </c>
      <c r="E8559" t="str">
        <f>"BILOXI                    "</f>
        <v xml:space="preserve">BILOXI                    </v>
      </c>
      <c r="F8559" t="str">
        <f t="shared" si="259"/>
        <v>MS</v>
      </c>
    </row>
    <row r="8560" spans="1:6" x14ac:dyDescent="0.25">
      <c r="A8560" t="str">
        <f>"001927706"</f>
        <v>001927706</v>
      </c>
      <c r="B8560" t="str">
        <f>"1588268320"</f>
        <v>1588268320</v>
      </c>
      <c r="C8560" t="str">
        <f>"363L00000X"</f>
        <v>363L00000X</v>
      </c>
      <c r="D8560" t="str">
        <f>"KENNEDY                  TEDI                     "</f>
        <v xml:space="preserve">KENNEDY                  TEDI                     </v>
      </c>
      <c r="E8560" t="str">
        <f>"JACKSON                   "</f>
        <v xml:space="preserve">JACKSON                   </v>
      </c>
      <c r="F8560" t="str">
        <f t="shared" si="259"/>
        <v>MS</v>
      </c>
    </row>
    <row r="8561" spans="1:6" x14ac:dyDescent="0.25">
      <c r="A8561" t="str">
        <f>"001928024"</f>
        <v>001928024</v>
      </c>
      <c r="B8561" t="str">
        <f>"1821330168"</f>
        <v>1821330168</v>
      </c>
      <c r="C8561" t="str">
        <f>"207Y00000X"</f>
        <v>207Y00000X</v>
      </c>
      <c r="D8561" t="str">
        <f>"NELSON                   KURT         L           "</f>
        <v xml:space="preserve">NELSON                   KURT         L           </v>
      </c>
      <c r="E8561" t="str">
        <f>"TUPELO                    "</f>
        <v xml:space="preserve">TUPELO                    </v>
      </c>
      <c r="F8561" t="str">
        <f t="shared" si="259"/>
        <v>MS</v>
      </c>
    </row>
    <row r="8562" spans="1:6" x14ac:dyDescent="0.25">
      <c r="A8562" t="str">
        <f>"001928861"</f>
        <v>001928861</v>
      </c>
      <c r="B8562" t="str">
        <f>"1467185629"</f>
        <v>1467185629</v>
      </c>
      <c r="C8562" t="str">
        <f>"207Q00000X"</f>
        <v>207Q00000X</v>
      </c>
      <c r="D8562" t="str">
        <f>"STEVENS                  GEORGE       P           "</f>
        <v xml:space="preserve">STEVENS                  GEORGE       P           </v>
      </c>
      <c r="E8562" t="str">
        <f>"GREENVILLE                "</f>
        <v xml:space="preserve">GREENVILLE                </v>
      </c>
      <c r="F8562" t="str">
        <f t="shared" si="259"/>
        <v>MS</v>
      </c>
    </row>
    <row r="8563" spans="1:6" x14ac:dyDescent="0.25">
      <c r="A8563" t="str">
        <f>"001929209"</f>
        <v>001929209</v>
      </c>
      <c r="B8563" t="str">
        <f>"1669922670"</f>
        <v>1669922670</v>
      </c>
      <c r="C8563" t="str">
        <f>"363L00000X"</f>
        <v>363L00000X</v>
      </c>
      <c r="D8563" t="str">
        <f>"JACKSON                  ROBIN        L           "</f>
        <v xml:space="preserve">JACKSON                  ROBIN        L           </v>
      </c>
      <c r="E8563" t="str">
        <f>"TUPELO                    "</f>
        <v xml:space="preserve">TUPELO                    </v>
      </c>
      <c r="F8563" t="str">
        <f t="shared" si="259"/>
        <v>MS</v>
      </c>
    </row>
    <row r="8564" spans="1:6" x14ac:dyDescent="0.25">
      <c r="A8564" t="str">
        <f>"001929768"</f>
        <v>001929768</v>
      </c>
      <c r="B8564" t="str">
        <f>"1861809402"</f>
        <v>1861809402</v>
      </c>
      <c r="C8564" t="str">
        <f>"363L00000X"</f>
        <v>363L00000X</v>
      </c>
      <c r="D8564" t="str">
        <f>"LOTT                     NICOLE       N           "</f>
        <v xml:space="preserve">LOTT                     NICOLE       N           </v>
      </c>
      <c r="E8564" t="str">
        <f>"COLLINS                   "</f>
        <v xml:space="preserve">COLLINS                   </v>
      </c>
      <c r="F8564" t="str">
        <f t="shared" si="259"/>
        <v>MS</v>
      </c>
    </row>
    <row r="8565" spans="1:6" x14ac:dyDescent="0.25">
      <c r="A8565" t="str">
        <f>"001930561"</f>
        <v>001930561</v>
      </c>
      <c r="B8565" t="str">
        <f>"1790827335"</f>
        <v>1790827335</v>
      </c>
      <c r="C8565" t="str">
        <f>"363L00000X"</f>
        <v>363L00000X</v>
      </c>
      <c r="D8565" t="str">
        <f>"DEBEN                    FREDERICK    J           "</f>
        <v xml:space="preserve">DEBEN                    FREDERICK    J           </v>
      </c>
      <c r="E8565" t="str">
        <f>"PICAYUNE                  "</f>
        <v xml:space="preserve">PICAYUNE                  </v>
      </c>
      <c r="F8565" t="str">
        <f t="shared" si="259"/>
        <v>MS</v>
      </c>
    </row>
    <row r="8566" spans="1:6" x14ac:dyDescent="0.25">
      <c r="A8566" t="str">
        <f>"001931396"</f>
        <v>001931396</v>
      </c>
      <c r="B8566" t="str">
        <f>"1285011643"</f>
        <v>1285011643</v>
      </c>
      <c r="C8566" t="str">
        <f>"2086S0129X"</f>
        <v>2086S0129X</v>
      </c>
      <c r="D8566" t="str">
        <f>"DUONG                    VINH         Q           "</f>
        <v xml:space="preserve">DUONG                    VINH         Q           </v>
      </c>
      <c r="E8566" t="str">
        <f>"SOUTHAVEN                 "</f>
        <v xml:space="preserve">SOUTHAVEN                 </v>
      </c>
      <c r="F8566" t="str">
        <f t="shared" si="259"/>
        <v>MS</v>
      </c>
    </row>
    <row r="8567" spans="1:6" x14ac:dyDescent="0.25">
      <c r="A8567" t="str">
        <f>"001931896"</f>
        <v>001931896</v>
      </c>
      <c r="B8567" t="str">
        <f>"1689870982"</f>
        <v>1689870982</v>
      </c>
      <c r="C8567" t="str">
        <f>"2084N0402X"</f>
        <v>2084N0402X</v>
      </c>
      <c r="D8567" t="str">
        <f>"LEE                      MARCUS       W           "</f>
        <v xml:space="preserve">LEE                      MARCUS       W           </v>
      </c>
      <c r="E8567" t="str">
        <f>"JACKSON                   "</f>
        <v xml:space="preserve">JACKSON                   </v>
      </c>
      <c r="F8567" t="str">
        <f t="shared" si="259"/>
        <v>MS</v>
      </c>
    </row>
    <row r="8568" spans="1:6" x14ac:dyDescent="0.25">
      <c r="A8568" t="str">
        <f>"001932317"</f>
        <v>001932317</v>
      </c>
      <c r="B8568" t="str">
        <f>"1679560270"</f>
        <v>1679560270</v>
      </c>
      <c r="C8568" t="str">
        <f>"208000000X"</f>
        <v>208000000X</v>
      </c>
      <c r="D8568" t="str">
        <f>"MURRAY                   STACEY       F           "</f>
        <v xml:space="preserve">MURRAY                   STACEY       F           </v>
      </c>
      <c r="E8568" t="str">
        <f>"OLIVE BRANCH              "</f>
        <v xml:space="preserve">OLIVE BRANCH              </v>
      </c>
      <c r="F8568" t="str">
        <f t="shared" si="259"/>
        <v>MS</v>
      </c>
    </row>
    <row r="8569" spans="1:6" x14ac:dyDescent="0.25">
      <c r="A8569" t="str">
        <f>"001933708"</f>
        <v>001933708</v>
      </c>
      <c r="B8569" t="str">
        <f>"1487855300"</f>
        <v>1487855300</v>
      </c>
      <c r="C8569" t="str">
        <f>"207X00000X"</f>
        <v>207X00000X</v>
      </c>
      <c r="D8569" t="str">
        <f>"KNEIP                    CHRISTOPHER  J           "</f>
        <v xml:space="preserve">KNEIP                    CHRISTOPHER  J           </v>
      </c>
      <c r="E8569" t="str">
        <f>"FLOWOOD                   "</f>
        <v xml:space="preserve">FLOWOOD                   </v>
      </c>
      <c r="F8569" t="str">
        <f t="shared" si="259"/>
        <v>MS</v>
      </c>
    </row>
    <row r="8570" spans="1:6" x14ac:dyDescent="0.25">
      <c r="A8570" t="str">
        <f>"001933722"</f>
        <v>001933722</v>
      </c>
      <c r="B8570" t="str">
        <f>"1710191184"</f>
        <v>1710191184</v>
      </c>
      <c r="C8570" t="str">
        <f>"207T00000X"</f>
        <v>207T00000X</v>
      </c>
      <c r="D8570" t="str">
        <f>"KOGA                     SEBASTIAN                "</f>
        <v xml:space="preserve">KOGA                     SEBASTIAN                </v>
      </c>
      <c r="E8570" t="str">
        <f>"HATTIESBURG               "</f>
        <v xml:space="preserve">HATTIESBURG               </v>
      </c>
      <c r="F8570" t="str">
        <f t="shared" si="259"/>
        <v>MS</v>
      </c>
    </row>
    <row r="8571" spans="1:6" x14ac:dyDescent="0.25">
      <c r="A8571" t="str">
        <f>"001934596"</f>
        <v>001934596</v>
      </c>
      <c r="B8571" t="str">
        <f>"1154608222"</f>
        <v>1154608222</v>
      </c>
      <c r="C8571" t="str">
        <f>"363L00000X"</f>
        <v>363L00000X</v>
      </c>
      <c r="D8571" t="str">
        <f>"BALES                    WENDY        L           "</f>
        <v xml:space="preserve">BALES                    WENDY        L           </v>
      </c>
      <c r="E8571" t="str">
        <f>"VICKSBURG                 "</f>
        <v xml:space="preserve">VICKSBURG                 </v>
      </c>
      <c r="F8571" t="str">
        <f t="shared" si="259"/>
        <v>MS</v>
      </c>
    </row>
    <row r="8572" spans="1:6" x14ac:dyDescent="0.25">
      <c r="A8572" t="str">
        <f>"001935068"</f>
        <v>001935068</v>
      </c>
      <c r="B8572" t="str">
        <f>"1932133345"</f>
        <v>1932133345</v>
      </c>
      <c r="C8572" t="str">
        <f>"207V00000X"</f>
        <v>207V00000X</v>
      </c>
      <c r="D8572" t="str">
        <f>"MOORE                    WILLIAM      F           "</f>
        <v xml:space="preserve">MOORE                    WILLIAM      F           </v>
      </c>
      <c r="E8572" t="str">
        <f>"OCEAN SPRINGS             "</f>
        <v xml:space="preserve">OCEAN SPRINGS             </v>
      </c>
      <c r="F8572" t="str">
        <f t="shared" si="259"/>
        <v>MS</v>
      </c>
    </row>
    <row r="8573" spans="1:6" x14ac:dyDescent="0.25">
      <c r="A8573" t="str">
        <f>"001935598"</f>
        <v>001935598</v>
      </c>
      <c r="B8573" t="str">
        <f>"1033531512"</f>
        <v>1033531512</v>
      </c>
      <c r="C8573" t="str">
        <f>"363L00000X"</f>
        <v>363L00000X</v>
      </c>
      <c r="D8573" t="str">
        <f>"KING                     JERMONIQUE   LEE         "</f>
        <v xml:space="preserve">KING                     JERMONIQUE   LEE         </v>
      </c>
      <c r="E8573" t="str">
        <f>"FAYETTE                   "</f>
        <v xml:space="preserve">FAYETTE                   </v>
      </c>
      <c r="F8573" t="str">
        <f t="shared" si="259"/>
        <v>MS</v>
      </c>
    </row>
    <row r="8574" spans="1:6" x14ac:dyDescent="0.25">
      <c r="A8574" t="str">
        <f>"001950520"</f>
        <v>001950520</v>
      </c>
      <c r="B8574" t="str">
        <f>"1053887208"</f>
        <v>1053887208</v>
      </c>
      <c r="C8574" t="str">
        <f>"363A00000X"</f>
        <v>363A00000X</v>
      </c>
      <c r="D8574" t="str">
        <f>"STEELE IV                ROBERT       L           "</f>
        <v xml:space="preserve">STEELE IV                ROBERT       L           </v>
      </c>
      <c r="E8574" t="str">
        <f>"MYRTLE                    "</f>
        <v xml:space="preserve">MYRTLE                    </v>
      </c>
      <c r="F8574" t="str">
        <f t="shared" ref="F8574:F8637" si="260">"MS"</f>
        <v>MS</v>
      </c>
    </row>
    <row r="8575" spans="1:6" x14ac:dyDescent="0.25">
      <c r="A8575" t="str">
        <f>"001950802"</f>
        <v>001950802</v>
      </c>
      <c r="B8575" t="str">
        <f>"1346653136"</f>
        <v>1346653136</v>
      </c>
      <c r="C8575" t="str">
        <f>"2080P0202X"</f>
        <v>2080P0202X</v>
      </c>
      <c r="D8575" t="str">
        <f>"CRISCUOLO                JOHN         J           "</f>
        <v xml:space="preserve">CRISCUOLO                JOHN         J           </v>
      </c>
      <c r="E8575" t="str">
        <f>"JACKSON                   "</f>
        <v xml:space="preserve">JACKSON                   </v>
      </c>
      <c r="F8575" t="str">
        <f t="shared" si="260"/>
        <v>MS</v>
      </c>
    </row>
    <row r="8576" spans="1:6" x14ac:dyDescent="0.25">
      <c r="A8576" t="str">
        <f>"001951805"</f>
        <v>001951805</v>
      </c>
      <c r="B8576" t="str">
        <f>"1447459508"</f>
        <v>1447459508</v>
      </c>
      <c r="C8576" t="str">
        <f>"367500000X"</f>
        <v>367500000X</v>
      </c>
      <c r="D8576" t="str">
        <f>"ROBIN                    HAL          B           "</f>
        <v xml:space="preserve">ROBIN                    HAL          B           </v>
      </c>
      <c r="E8576" t="str">
        <f>"GULFPORT                  "</f>
        <v xml:space="preserve">GULFPORT                  </v>
      </c>
      <c r="F8576" t="str">
        <f t="shared" si="260"/>
        <v>MS</v>
      </c>
    </row>
    <row r="8577" spans="1:6" x14ac:dyDescent="0.25">
      <c r="A8577" t="str">
        <f>"001952301"</f>
        <v>001952301</v>
      </c>
      <c r="B8577" t="str">
        <f>"1114170529"</f>
        <v>1114170529</v>
      </c>
      <c r="C8577" t="str">
        <f>"363L00000X"</f>
        <v>363L00000X</v>
      </c>
      <c r="D8577" t="str">
        <f>"BRIDGES                  RORI         E           "</f>
        <v xml:space="preserve">BRIDGES                  RORI         E           </v>
      </c>
      <c r="E8577" t="str">
        <f>"FOREST                    "</f>
        <v xml:space="preserve">FOREST                    </v>
      </c>
      <c r="F8577" t="str">
        <f t="shared" si="260"/>
        <v>MS</v>
      </c>
    </row>
    <row r="8578" spans="1:6" x14ac:dyDescent="0.25">
      <c r="A8578" t="str">
        <f>"001953516"</f>
        <v>001953516</v>
      </c>
      <c r="B8578" t="str">
        <f>"1891992640"</f>
        <v>1891992640</v>
      </c>
      <c r="C8578" t="str">
        <f>"207R00000X"</f>
        <v>207R00000X</v>
      </c>
      <c r="D8578" t="str">
        <f>"THIGPEN                  SAMUEL       C           "</f>
        <v xml:space="preserve">THIGPEN                  SAMUEL       C           </v>
      </c>
      <c r="E8578" t="str">
        <f>"JACKSON                   "</f>
        <v xml:space="preserve">JACKSON                   </v>
      </c>
      <c r="F8578" t="str">
        <f t="shared" si="260"/>
        <v>MS</v>
      </c>
    </row>
    <row r="8579" spans="1:6" x14ac:dyDescent="0.25">
      <c r="A8579" t="str">
        <f>"001954791"</f>
        <v>001954791</v>
      </c>
      <c r="B8579" t="str">
        <f>"1487207924"</f>
        <v>1487207924</v>
      </c>
      <c r="C8579" t="str">
        <f>"363L00000X"</f>
        <v>363L00000X</v>
      </c>
      <c r="D8579" t="str">
        <f>"RIGGS                    AMBERE       L           "</f>
        <v xml:space="preserve">RIGGS                    AMBERE       L           </v>
      </c>
      <c r="E8579" t="str">
        <f>"GULFPORT                  "</f>
        <v xml:space="preserve">GULFPORT                  </v>
      </c>
      <c r="F8579" t="str">
        <f t="shared" si="260"/>
        <v>MS</v>
      </c>
    </row>
    <row r="8580" spans="1:6" x14ac:dyDescent="0.25">
      <c r="A8580" t="str">
        <f>"001954795"</f>
        <v>001954795</v>
      </c>
      <c r="B8580" t="str">
        <f>"1437346962"</f>
        <v>1437346962</v>
      </c>
      <c r="C8580" t="str">
        <f>"207ZP0105X"</f>
        <v>207ZP0105X</v>
      </c>
      <c r="D8580" t="str">
        <f>"GARNER                   MARY                     "</f>
        <v xml:space="preserve">GARNER                   MARY                     </v>
      </c>
      <c r="E8580" t="str">
        <f>"COLUMBUS                  "</f>
        <v xml:space="preserve">COLUMBUS                  </v>
      </c>
      <c r="F8580" t="str">
        <f t="shared" si="260"/>
        <v>MS</v>
      </c>
    </row>
    <row r="8581" spans="1:6" x14ac:dyDescent="0.25">
      <c r="A8581" t="str">
        <f>"001955255"</f>
        <v>001955255</v>
      </c>
      <c r="B8581" t="str">
        <f>"1629501572"</f>
        <v>1629501572</v>
      </c>
      <c r="C8581" t="str">
        <f>"207V00000X"</f>
        <v>207V00000X</v>
      </c>
      <c r="D8581" t="str">
        <f>"RAGUNANTHAN              NINA         W           "</f>
        <v xml:space="preserve">RAGUNANTHAN              NINA         W           </v>
      </c>
      <c r="E8581" t="str">
        <f>"MOUND BAYOU               "</f>
        <v xml:space="preserve">MOUND BAYOU               </v>
      </c>
      <c r="F8581" t="str">
        <f t="shared" si="260"/>
        <v>MS</v>
      </c>
    </row>
    <row r="8582" spans="1:6" x14ac:dyDescent="0.25">
      <c r="A8582" t="str">
        <f>"001955260"</f>
        <v>001955260</v>
      </c>
      <c r="B8582" t="str">
        <f>"1316464266"</f>
        <v>1316464266</v>
      </c>
      <c r="C8582" t="str">
        <f>"363L00000X"</f>
        <v>363L00000X</v>
      </c>
      <c r="D8582" t="str">
        <f>"FEJKA                    DEVEN        N           "</f>
        <v xml:space="preserve">FEJKA                    DEVEN        N           </v>
      </c>
      <c r="E8582" t="str">
        <f>"GULFPORT                  "</f>
        <v xml:space="preserve">GULFPORT                  </v>
      </c>
      <c r="F8582" t="str">
        <f t="shared" si="260"/>
        <v>MS</v>
      </c>
    </row>
    <row r="8583" spans="1:6" x14ac:dyDescent="0.25">
      <c r="A8583" t="str">
        <f>"001955831"</f>
        <v>001955831</v>
      </c>
      <c r="B8583" t="str">
        <f>"1720411762"</f>
        <v>1720411762</v>
      </c>
      <c r="C8583" t="str">
        <f>"363L00000X"</f>
        <v>363L00000X</v>
      </c>
      <c r="D8583" t="str">
        <f>"FULTON                   KATHERINE    A           "</f>
        <v xml:space="preserve">FULTON                   KATHERINE    A           </v>
      </c>
      <c r="E8583" t="str">
        <f>"JACKSON                   "</f>
        <v xml:space="preserve">JACKSON                   </v>
      </c>
      <c r="F8583" t="str">
        <f t="shared" si="260"/>
        <v>MS</v>
      </c>
    </row>
    <row r="8584" spans="1:6" x14ac:dyDescent="0.25">
      <c r="A8584" t="str">
        <f>"001957228"</f>
        <v>001957228</v>
      </c>
      <c r="B8584" t="str">
        <f>"1255699658"</f>
        <v>1255699658</v>
      </c>
      <c r="C8584" t="str">
        <f>"152W00000X"</f>
        <v>152W00000X</v>
      </c>
      <c r="D8584" t="str">
        <f>"TODD HALL OD PA                                   "</f>
        <v xml:space="preserve">TODD HALL OD PA                                   </v>
      </c>
      <c r="E8584" t="str">
        <f>"GREENWOOD                 "</f>
        <v xml:space="preserve">GREENWOOD                 </v>
      </c>
      <c r="F8584" t="str">
        <f t="shared" si="260"/>
        <v>MS</v>
      </c>
    </row>
    <row r="8585" spans="1:6" x14ac:dyDescent="0.25">
      <c r="A8585" t="str">
        <f>"001958243"</f>
        <v>001958243</v>
      </c>
      <c r="B8585" t="str">
        <f>"1891102604"</f>
        <v>1891102604</v>
      </c>
      <c r="C8585" t="str">
        <f>"122300000X"</f>
        <v>122300000X</v>
      </c>
      <c r="D8585" t="str">
        <f>"SMILE DESIGN ORTHODONTICS, LLC                    "</f>
        <v xml:space="preserve">SMILE DESIGN ORTHODONTICS, LLC                    </v>
      </c>
      <c r="E8585" t="str">
        <f>"PEARL                     "</f>
        <v xml:space="preserve">PEARL                     </v>
      </c>
      <c r="F8585" t="str">
        <f t="shared" si="260"/>
        <v>MS</v>
      </c>
    </row>
    <row r="8586" spans="1:6" x14ac:dyDescent="0.25">
      <c r="A8586" t="str">
        <f>"001958249"</f>
        <v>001958249</v>
      </c>
      <c r="B8586" t="str">
        <f>"1851817001"</f>
        <v>1851817001</v>
      </c>
      <c r="C8586" t="str">
        <f>"363L00000X"</f>
        <v>363L00000X</v>
      </c>
      <c r="D8586" t="str">
        <f>"ZACHER                   ELIZABETH    D           "</f>
        <v xml:space="preserve">ZACHER                   ELIZABETH    D           </v>
      </c>
      <c r="E8586" t="str">
        <f>"SOUTHAVEN                 "</f>
        <v xml:space="preserve">SOUTHAVEN                 </v>
      </c>
      <c r="F8586" t="str">
        <f t="shared" si="260"/>
        <v>MS</v>
      </c>
    </row>
    <row r="8587" spans="1:6" x14ac:dyDescent="0.25">
      <c r="A8587" t="str">
        <f>"001958808"</f>
        <v>001958808</v>
      </c>
      <c r="B8587" t="str">
        <f>"1336572320"</f>
        <v>1336572320</v>
      </c>
      <c r="C8587" t="str">
        <f>"363L00000X"</f>
        <v>363L00000X</v>
      </c>
      <c r="D8587" t="str">
        <f>"LOGAN CARR               KAYLA                    "</f>
        <v xml:space="preserve">LOGAN CARR               KAYLA                    </v>
      </c>
      <c r="E8587" t="str">
        <f>"RIDGELAND                 "</f>
        <v xml:space="preserve">RIDGELAND                 </v>
      </c>
      <c r="F8587" t="str">
        <f t="shared" si="260"/>
        <v>MS</v>
      </c>
    </row>
    <row r="8588" spans="1:6" x14ac:dyDescent="0.25">
      <c r="A8588" t="str">
        <f>"001959373"</f>
        <v>001959373</v>
      </c>
      <c r="B8588" t="str">
        <f>"1447632351"</f>
        <v>1447632351</v>
      </c>
      <c r="C8588" t="str">
        <f>"363L00000X"</f>
        <v>363L00000X</v>
      </c>
      <c r="D8588" t="str">
        <f>"ANDERSON                 KRISTIE      L           "</f>
        <v xml:space="preserve">ANDERSON                 KRISTIE      L           </v>
      </c>
      <c r="E8588" t="str">
        <f>"LEXINGTON                 "</f>
        <v xml:space="preserve">LEXINGTON                 </v>
      </c>
      <c r="F8588" t="str">
        <f t="shared" si="260"/>
        <v>MS</v>
      </c>
    </row>
    <row r="8589" spans="1:6" x14ac:dyDescent="0.25">
      <c r="A8589" t="str">
        <f>"001959524"</f>
        <v>001959524</v>
      </c>
      <c r="B8589" t="str">
        <f>"1548300841"</f>
        <v>1548300841</v>
      </c>
      <c r="C8589" t="str">
        <f>"122300000X"</f>
        <v>122300000X</v>
      </c>
      <c r="D8589" t="str">
        <f>"TWAROG HUCKABEE          JACQUELINE   G           "</f>
        <v xml:space="preserve">TWAROG HUCKABEE          JACQUELINE   G           </v>
      </c>
      <c r="E8589" t="str">
        <f>"PASCAGOULA                "</f>
        <v xml:space="preserve">PASCAGOULA                </v>
      </c>
      <c r="F8589" t="str">
        <f t="shared" si="260"/>
        <v>MS</v>
      </c>
    </row>
    <row r="8590" spans="1:6" x14ac:dyDescent="0.25">
      <c r="A8590" t="str">
        <f>"001959867"</f>
        <v>001959867</v>
      </c>
      <c r="B8590" t="str">
        <f>"1023122900"</f>
        <v>1023122900</v>
      </c>
      <c r="C8590" t="str">
        <f>"207R00000X"</f>
        <v>207R00000X</v>
      </c>
      <c r="D8590" t="str">
        <f>"JONES                    ANGELA       C           "</f>
        <v xml:space="preserve">JONES                    ANGELA       C           </v>
      </c>
      <c r="E8590" t="str">
        <f>"POPLARVILLE               "</f>
        <v xml:space="preserve">POPLARVILLE               </v>
      </c>
      <c r="F8590" t="str">
        <f t="shared" si="260"/>
        <v>MS</v>
      </c>
    </row>
    <row r="8591" spans="1:6" x14ac:dyDescent="0.25">
      <c r="A8591" t="str">
        <f>"001971320"</f>
        <v>001971320</v>
      </c>
      <c r="B8591" t="str">
        <f>"1316151475"</f>
        <v>1316151475</v>
      </c>
      <c r="C8591" t="str">
        <f>"122300000X"</f>
        <v>122300000X</v>
      </c>
      <c r="D8591" t="str">
        <f>"RECTOR                   JASON        S           "</f>
        <v xml:space="preserve">RECTOR                   JASON        S           </v>
      </c>
      <c r="E8591" t="str">
        <f>"OCEAN SPRINGS             "</f>
        <v xml:space="preserve">OCEAN SPRINGS             </v>
      </c>
      <c r="F8591" t="str">
        <f t="shared" si="260"/>
        <v>MS</v>
      </c>
    </row>
    <row r="8592" spans="1:6" x14ac:dyDescent="0.25">
      <c r="A8592" t="str">
        <f>"001973331"</f>
        <v>001973331</v>
      </c>
      <c r="B8592" t="str">
        <f>"1427145622"</f>
        <v>1427145622</v>
      </c>
      <c r="C8592" t="str">
        <f>"122300000X"</f>
        <v>122300000X</v>
      </c>
      <c r="D8592" t="str">
        <f>"NORTH MS ORTHODONTIC ASSOCIATES PA                "</f>
        <v xml:space="preserve">NORTH MS ORTHODONTIC ASSOCIATES PA                </v>
      </c>
      <c r="E8592" t="str">
        <f>"TUPELO                    "</f>
        <v xml:space="preserve">TUPELO                    </v>
      </c>
      <c r="F8592" t="str">
        <f t="shared" si="260"/>
        <v>MS</v>
      </c>
    </row>
    <row r="8593" spans="1:6" x14ac:dyDescent="0.25">
      <c r="A8593" t="str">
        <f>"001973391"</f>
        <v>001973391</v>
      </c>
      <c r="B8593" t="str">
        <f>"1336198100"</f>
        <v>1336198100</v>
      </c>
      <c r="C8593" t="str">
        <f>"208600000X"</f>
        <v>208600000X</v>
      </c>
      <c r="D8593" t="str">
        <f>"BALDER                   DONALD       A           "</f>
        <v xml:space="preserve">BALDER                   DONALD       A           </v>
      </c>
      <c r="E8593" t="str">
        <f>"GULFPORT                  "</f>
        <v xml:space="preserve">GULFPORT                  </v>
      </c>
      <c r="F8593" t="str">
        <f t="shared" si="260"/>
        <v>MS</v>
      </c>
    </row>
    <row r="8594" spans="1:6" x14ac:dyDescent="0.25">
      <c r="A8594" t="str">
        <f>"001974311"</f>
        <v>001974311</v>
      </c>
      <c r="B8594" t="str">
        <f>"1396252011"</f>
        <v>1396252011</v>
      </c>
      <c r="C8594" t="str">
        <f>"363L00000X"</f>
        <v>363L00000X</v>
      </c>
      <c r="D8594" t="str">
        <f>"KELLY                    JANET                    "</f>
        <v xml:space="preserve">KELLY                    JANET                    </v>
      </c>
      <c r="E8594" t="str">
        <f>"VICKSBURG                 "</f>
        <v xml:space="preserve">VICKSBURG                 </v>
      </c>
      <c r="F8594" t="str">
        <f t="shared" si="260"/>
        <v>MS</v>
      </c>
    </row>
    <row r="8595" spans="1:6" x14ac:dyDescent="0.25">
      <c r="A8595" t="str">
        <f>"001975567"</f>
        <v>001975567</v>
      </c>
      <c r="B8595" t="str">
        <f>"1265517056"</f>
        <v>1265517056</v>
      </c>
      <c r="C8595" t="str">
        <f>"207R00000X"</f>
        <v>207R00000X</v>
      </c>
      <c r="D8595" t="str">
        <f>"PIZZIMENTI               DAVID        V           "</f>
        <v xml:space="preserve">PIZZIMENTI               DAVID        V           </v>
      </c>
      <c r="E8595" t="str">
        <f>"TUPELO                    "</f>
        <v xml:space="preserve">TUPELO                    </v>
      </c>
      <c r="F8595" t="str">
        <f t="shared" si="260"/>
        <v>MS</v>
      </c>
    </row>
    <row r="8596" spans="1:6" x14ac:dyDescent="0.25">
      <c r="A8596" t="str">
        <f>"001975826"</f>
        <v>001975826</v>
      </c>
      <c r="B8596" t="str">
        <f>"1295099455"</f>
        <v>1295099455</v>
      </c>
      <c r="C8596" t="str">
        <f>"207Q00000X"</f>
        <v>207Q00000X</v>
      </c>
      <c r="D8596" t="str">
        <f>"DOBBS                    SHANNON                  "</f>
        <v xml:space="preserve">DOBBS                    SHANNON                  </v>
      </c>
      <c r="E8596" t="str">
        <f>"ACKERMAN                  "</f>
        <v xml:space="preserve">ACKERMAN                  </v>
      </c>
      <c r="F8596" t="str">
        <f t="shared" si="260"/>
        <v>MS</v>
      </c>
    </row>
    <row r="8597" spans="1:6" x14ac:dyDescent="0.25">
      <c r="A8597" t="str">
        <f>"001976278"</f>
        <v>001976278</v>
      </c>
      <c r="B8597" t="str">
        <f>"1013669019"</f>
        <v>1013669019</v>
      </c>
      <c r="C8597" t="str">
        <f>"367500000X"</f>
        <v>367500000X</v>
      </c>
      <c r="D8597" t="str">
        <f>"BRANTLEY                 LEIGH                    "</f>
        <v xml:space="preserve">BRANTLEY                 LEIGH                    </v>
      </c>
      <c r="E8597" t="str">
        <f>"JACKSON                   "</f>
        <v xml:space="preserve">JACKSON                   </v>
      </c>
      <c r="F8597" t="str">
        <f t="shared" si="260"/>
        <v>MS</v>
      </c>
    </row>
    <row r="8598" spans="1:6" x14ac:dyDescent="0.25">
      <c r="A8598" t="str">
        <f>"001977252"</f>
        <v>001977252</v>
      </c>
      <c r="B8598" t="str">
        <f>"1306826854"</f>
        <v>1306826854</v>
      </c>
      <c r="C8598" t="str">
        <f>"207R00000X"</f>
        <v>207R00000X</v>
      </c>
      <c r="D8598" t="str">
        <f>"PETERSON                 ANDREW       J           "</f>
        <v xml:space="preserve">PETERSON                 ANDREW       J           </v>
      </c>
      <c r="E8598" t="str">
        <f>"BILOXI                    "</f>
        <v xml:space="preserve">BILOXI                    </v>
      </c>
      <c r="F8598" t="str">
        <f t="shared" si="260"/>
        <v>MS</v>
      </c>
    </row>
    <row r="8599" spans="1:6" x14ac:dyDescent="0.25">
      <c r="A8599" t="str">
        <f>"001978360"</f>
        <v>001978360</v>
      </c>
      <c r="B8599" t="str">
        <f>"1255480489"</f>
        <v>1255480489</v>
      </c>
      <c r="C8599" t="str">
        <f>"367500000X"</f>
        <v>367500000X</v>
      </c>
      <c r="D8599" t="str">
        <f>"MONTGOMERY               LAUREN       B           "</f>
        <v xml:space="preserve">MONTGOMERY               LAUREN       B           </v>
      </c>
      <c r="E8599" t="str">
        <f>"FLOWOOD                   "</f>
        <v xml:space="preserve">FLOWOOD                   </v>
      </c>
      <c r="F8599" t="str">
        <f t="shared" si="260"/>
        <v>MS</v>
      </c>
    </row>
    <row r="8600" spans="1:6" x14ac:dyDescent="0.25">
      <c r="A8600" t="str">
        <f>"001979312"</f>
        <v>001979312</v>
      </c>
      <c r="B8600" t="str">
        <f>"1427314392"</f>
        <v>1427314392</v>
      </c>
      <c r="C8600" t="str">
        <f>"122300000X"</f>
        <v>122300000X</v>
      </c>
      <c r="D8600" t="str">
        <f>"FOREST DENTAL PRACTICE PLLC                       "</f>
        <v xml:space="preserve">FOREST DENTAL PRACTICE PLLC                       </v>
      </c>
      <c r="E8600" t="str">
        <f>"FOREST                    "</f>
        <v xml:space="preserve">FOREST                    </v>
      </c>
      <c r="F8600" t="str">
        <f t="shared" si="260"/>
        <v>MS</v>
      </c>
    </row>
    <row r="8601" spans="1:6" x14ac:dyDescent="0.25">
      <c r="A8601" t="str">
        <f>"001980582"</f>
        <v>001980582</v>
      </c>
      <c r="B8601" t="str">
        <f>"1992163588"</f>
        <v>1992163588</v>
      </c>
      <c r="C8601" t="str">
        <f>"363L00000X"</f>
        <v>363L00000X</v>
      </c>
      <c r="D8601" t="str">
        <f>"HUEY                     RONA         K           "</f>
        <v xml:space="preserve">HUEY                     RONA         K           </v>
      </c>
      <c r="E8601" t="str">
        <f>"INDIANOLA                 "</f>
        <v xml:space="preserve">INDIANOLA                 </v>
      </c>
      <c r="F8601" t="str">
        <f t="shared" si="260"/>
        <v>MS</v>
      </c>
    </row>
    <row r="8602" spans="1:6" x14ac:dyDescent="0.25">
      <c r="A8602" t="str">
        <f>"001981084"</f>
        <v>001981084</v>
      </c>
      <c r="B8602" t="str">
        <f>"1871978403"</f>
        <v>1871978403</v>
      </c>
      <c r="C8602" t="str">
        <f>"363L00000X"</f>
        <v>363L00000X</v>
      </c>
      <c r="D8602" t="str">
        <f>"MIXON                    FRANKIE      B           "</f>
        <v xml:space="preserve">MIXON                    FRANKIE      B           </v>
      </c>
      <c r="E8602" t="str">
        <f>"LUCEDALE                  "</f>
        <v xml:space="preserve">LUCEDALE                  </v>
      </c>
      <c r="F8602" t="str">
        <f t="shared" si="260"/>
        <v>MS</v>
      </c>
    </row>
    <row r="8603" spans="1:6" x14ac:dyDescent="0.25">
      <c r="A8603" t="str">
        <f>"001981566"</f>
        <v>001981566</v>
      </c>
      <c r="B8603" t="str">
        <f>"1528385291"</f>
        <v>1528385291</v>
      </c>
      <c r="C8603" t="str">
        <f>"207RE0101X"</f>
        <v>207RE0101X</v>
      </c>
      <c r="D8603" t="str">
        <f>"SANDIFER KUM-NJI         JULIETTE     L           "</f>
        <v xml:space="preserve">SANDIFER KUM-NJI         JULIETTE     L           </v>
      </c>
      <c r="E8603" t="str">
        <f>"JACKSON                   "</f>
        <v xml:space="preserve">JACKSON                   </v>
      </c>
      <c r="F8603" t="str">
        <f t="shared" si="260"/>
        <v>MS</v>
      </c>
    </row>
    <row r="8604" spans="1:6" x14ac:dyDescent="0.25">
      <c r="A8604" t="str">
        <f>"001981702"</f>
        <v>001981702</v>
      </c>
      <c r="B8604" t="str">
        <f>"1972926301"</f>
        <v>1972926301</v>
      </c>
      <c r="C8604" t="str">
        <f>"367500000X"</f>
        <v>367500000X</v>
      </c>
      <c r="D8604" t="str">
        <f>"SAYERS                   JORDAN       H           "</f>
        <v xml:space="preserve">SAYERS                   JORDAN       H           </v>
      </c>
      <c r="E8604" t="str">
        <f>"GULFPORT                  "</f>
        <v xml:space="preserve">GULFPORT                  </v>
      </c>
      <c r="F8604" t="str">
        <f t="shared" si="260"/>
        <v>MS</v>
      </c>
    </row>
    <row r="8605" spans="1:6" x14ac:dyDescent="0.25">
      <c r="A8605" t="str">
        <f>"001982701"</f>
        <v>001982701</v>
      </c>
      <c r="B8605" t="str">
        <f>"1427715937"</f>
        <v>1427715937</v>
      </c>
      <c r="C8605" t="str">
        <f>"363L00000X"</f>
        <v>363L00000X</v>
      </c>
      <c r="D8605" t="str">
        <f>"KENNEDY                  BLAKE        A           "</f>
        <v xml:space="preserve">KENNEDY                  BLAKE        A           </v>
      </c>
      <c r="E8605" t="str">
        <f>"MADISON                   "</f>
        <v xml:space="preserve">MADISON                   </v>
      </c>
      <c r="F8605" t="str">
        <f t="shared" si="260"/>
        <v>MS</v>
      </c>
    </row>
    <row r="8606" spans="1:6" x14ac:dyDescent="0.25">
      <c r="A8606" t="str">
        <f>"001984098"</f>
        <v>001984098</v>
      </c>
      <c r="B8606" t="str">
        <f>"1912649302"</f>
        <v>1912649302</v>
      </c>
      <c r="C8606" t="str">
        <f>"363L00000X"</f>
        <v>363L00000X</v>
      </c>
      <c r="D8606" t="str">
        <f>"HODE                     JACQUELINE   C           "</f>
        <v xml:space="preserve">HODE                     JACQUELINE   C           </v>
      </c>
      <c r="E8606" t="str">
        <f>"VANCLEAVE                 "</f>
        <v xml:space="preserve">VANCLEAVE                 </v>
      </c>
      <c r="F8606" t="str">
        <f t="shared" si="260"/>
        <v>MS</v>
      </c>
    </row>
    <row r="8607" spans="1:6" x14ac:dyDescent="0.25">
      <c r="A8607" t="str">
        <f>"001984793"</f>
        <v>001984793</v>
      </c>
      <c r="B8607" t="str">
        <f>"1154351864"</f>
        <v>1154351864</v>
      </c>
      <c r="C8607" t="str">
        <f>"363L00000X"</f>
        <v>363L00000X</v>
      </c>
      <c r="D8607" t="str">
        <f>"HARGETT                  RITA                     "</f>
        <v xml:space="preserve">HARGETT                  RITA                     </v>
      </c>
      <c r="E8607" t="str">
        <f>"AMORY                     "</f>
        <v xml:space="preserve">AMORY                     </v>
      </c>
      <c r="F8607" t="str">
        <f t="shared" si="260"/>
        <v>MS</v>
      </c>
    </row>
    <row r="8608" spans="1:6" x14ac:dyDescent="0.25">
      <c r="A8608" t="str">
        <f>"001985736"</f>
        <v>001985736</v>
      </c>
      <c r="B8608" t="str">
        <f>"1053548545"</f>
        <v>1053548545</v>
      </c>
      <c r="C8608" t="str">
        <f>"207R00000X"</f>
        <v>207R00000X</v>
      </c>
      <c r="D8608" t="str">
        <f>"RAYFORD                  VERNON                   "</f>
        <v xml:space="preserve">RAYFORD                  VERNON                   </v>
      </c>
      <c r="E8608" t="str">
        <f>"TUPELO                    "</f>
        <v xml:space="preserve">TUPELO                    </v>
      </c>
      <c r="F8608" t="str">
        <f t="shared" si="260"/>
        <v>MS</v>
      </c>
    </row>
    <row r="8609" spans="1:6" x14ac:dyDescent="0.25">
      <c r="A8609" t="str">
        <f>"001986051"</f>
        <v>001986051</v>
      </c>
      <c r="B8609" t="str">
        <f>"1295117091"</f>
        <v>1295117091</v>
      </c>
      <c r="C8609" t="str">
        <f>"363L00000X"</f>
        <v>363L00000X</v>
      </c>
      <c r="D8609" t="str">
        <f>"BENNETT                  SENTORITA                "</f>
        <v xml:space="preserve">BENNETT                  SENTORITA                </v>
      </c>
      <c r="E8609" t="str">
        <f>"ROBINSONVILLE             "</f>
        <v xml:space="preserve">ROBINSONVILLE             </v>
      </c>
      <c r="F8609" t="str">
        <f t="shared" si="260"/>
        <v>MS</v>
      </c>
    </row>
    <row r="8610" spans="1:6" x14ac:dyDescent="0.25">
      <c r="A8610" t="str">
        <f>"001989761"</f>
        <v>001989761</v>
      </c>
      <c r="B8610" t="str">
        <f>"1205178241"</f>
        <v>1205178241</v>
      </c>
      <c r="C8610" t="str">
        <f>"363L00000X"</f>
        <v>363L00000X</v>
      </c>
      <c r="D8610" t="str">
        <f>"CRAVEN                   SHANNA       A           "</f>
        <v xml:space="preserve">CRAVEN                   SHANNA       A           </v>
      </c>
      <c r="E8610" t="str">
        <f>"JACKSON                   "</f>
        <v xml:space="preserve">JACKSON                   </v>
      </c>
      <c r="F8610" t="str">
        <f t="shared" si="260"/>
        <v>MS</v>
      </c>
    </row>
    <row r="8611" spans="1:6" x14ac:dyDescent="0.25">
      <c r="A8611" t="str">
        <f>"002001592"</f>
        <v>002001592</v>
      </c>
      <c r="B8611" t="str">
        <f>"1427460526"</f>
        <v>1427460526</v>
      </c>
      <c r="C8611" t="str">
        <f>"207Q00000X"</f>
        <v>207Q00000X</v>
      </c>
      <c r="D8611" t="str">
        <f>"WHITEHEAD                MITCHELL     E           "</f>
        <v xml:space="preserve">WHITEHEAD                MITCHELL     E           </v>
      </c>
      <c r="E8611" t="str">
        <f>"JACKSON                   "</f>
        <v xml:space="preserve">JACKSON                   </v>
      </c>
      <c r="F8611" t="str">
        <f t="shared" si="260"/>
        <v>MS</v>
      </c>
    </row>
    <row r="8612" spans="1:6" x14ac:dyDescent="0.25">
      <c r="A8612" t="str">
        <f>"002002514"</f>
        <v>002002514</v>
      </c>
      <c r="B8612" t="str">
        <f>"1205441375"</f>
        <v>1205441375</v>
      </c>
      <c r="C8612" t="str">
        <f>"363L00000X"</f>
        <v>363L00000X</v>
      </c>
      <c r="D8612" t="str">
        <f>"CAMPBELL                 ALISON                   "</f>
        <v xml:space="preserve">CAMPBELL                 ALISON                   </v>
      </c>
      <c r="E8612" t="str">
        <f>"CHARLESTON                "</f>
        <v xml:space="preserve">CHARLESTON                </v>
      </c>
      <c r="F8612" t="str">
        <f t="shared" si="260"/>
        <v>MS</v>
      </c>
    </row>
    <row r="8613" spans="1:6" x14ac:dyDescent="0.25">
      <c r="A8613" t="str">
        <f>"002005241"</f>
        <v>002005241</v>
      </c>
      <c r="B8613" t="str">
        <f>"1528600772"</f>
        <v>1528600772</v>
      </c>
      <c r="C8613" t="str">
        <f>"363L00000X"</f>
        <v>363L00000X</v>
      </c>
      <c r="D8613" t="str">
        <f>"WORD                     KIMBERLY                 "</f>
        <v xml:space="preserve">WORD                     KIMBERLY                 </v>
      </c>
      <c r="E8613" t="str">
        <f>"LEXINGTON                 "</f>
        <v xml:space="preserve">LEXINGTON                 </v>
      </c>
      <c r="F8613" t="str">
        <f t="shared" si="260"/>
        <v>MS</v>
      </c>
    </row>
    <row r="8614" spans="1:6" x14ac:dyDescent="0.25">
      <c r="A8614" t="str">
        <f>"002006018"</f>
        <v>002006018</v>
      </c>
      <c r="B8614" t="str">
        <f>"1841888377"</f>
        <v>1841888377</v>
      </c>
      <c r="C8614" t="str">
        <f>"261QM1300X"</f>
        <v>261QM1300X</v>
      </c>
      <c r="D8614" t="str">
        <f>"CASTLE COUNSELING CENTER                          "</f>
        <v xml:space="preserve">CASTLE COUNSELING CENTER                          </v>
      </c>
      <c r="E8614" t="str">
        <f>"PASS CHRISTIAN            "</f>
        <v xml:space="preserve">PASS CHRISTIAN            </v>
      </c>
      <c r="F8614" t="str">
        <f t="shared" si="260"/>
        <v>MS</v>
      </c>
    </row>
    <row r="8615" spans="1:6" x14ac:dyDescent="0.25">
      <c r="A8615" t="str">
        <f>"002006768"</f>
        <v>002006768</v>
      </c>
      <c r="B8615" t="str">
        <f>"1225569635"</f>
        <v>1225569635</v>
      </c>
      <c r="C8615" t="str">
        <f>"208M00000X"</f>
        <v>208M00000X</v>
      </c>
      <c r="D8615" t="str">
        <f>"GRENN                    JOHN         C           "</f>
        <v xml:space="preserve">GRENN                    JOHN         C           </v>
      </c>
      <c r="E8615" t="str">
        <f>"JACKSON                   "</f>
        <v xml:space="preserve">JACKSON                   </v>
      </c>
      <c r="F8615" t="str">
        <f t="shared" si="260"/>
        <v>MS</v>
      </c>
    </row>
    <row r="8616" spans="1:6" x14ac:dyDescent="0.25">
      <c r="A8616" t="str">
        <f>"002006893"</f>
        <v>002006893</v>
      </c>
      <c r="B8616" t="str">
        <f>"1760797781"</f>
        <v>1760797781</v>
      </c>
      <c r="C8616" t="str">
        <f>"207RC0000X"</f>
        <v>207RC0000X</v>
      </c>
      <c r="D8616" t="str">
        <f>"VENKATESH PRASAD         KARTHIK                  "</f>
        <v xml:space="preserve">VENKATESH PRASAD         KARTHIK                  </v>
      </c>
      <c r="E8616" t="str">
        <f>"TUPELO                    "</f>
        <v xml:space="preserve">TUPELO                    </v>
      </c>
      <c r="F8616" t="str">
        <f t="shared" si="260"/>
        <v>MS</v>
      </c>
    </row>
    <row r="8617" spans="1:6" x14ac:dyDescent="0.25">
      <c r="A8617" t="str">
        <f>"002007795"</f>
        <v>002007795</v>
      </c>
      <c r="B8617" t="str">
        <f>"1104104413"</f>
        <v>1104104413</v>
      </c>
      <c r="C8617" t="str">
        <f>"363L00000X"</f>
        <v>363L00000X</v>
      </c>
      <c r="D8617" t="str">
        <f>"CLAIBORNE                LATASHA      J           "</f>
        <v xml:space="preserve">CLAIBORNE                LATASHA      J           </v>
      </c>
      <c r="E8617" t="str">
        <f>"VICKSBURG                 "</f>
        <v xml:space="preserve">VICKSBURG                 </v>
      </c>
      <c r="F8617" t="str">
        <f t="shared" si="260"/>
        <v>MS</v>
      </c>
    </row>
    <row r="8618" spans="1:6" x14ac:dyDescent="0.25">
      <c r="A8618" t="str">
        <f>"002009767"</f>
        <v>002009767</v>
      </c>
      <c r="B8618" t="str">
        <f>"1649390782"</f>
        <v>1649390782</v>
      </c>
      <c r="C8618" t="str">
        <f>"363L00000X"</f>
        <v>363L00000X</v>
      </c>
      <c r="D8618" t="str">
        <f>"MCCOLLUM                 JOANNA                   "</f>
        <v xml:space="preserve">MCCOLLUM                 JOANNA                   </v>
      </c>
      <c r="E8618" t="str">
        <f>"FLOWOOD                   "</f>
        <v xml:space="preserve">FLOWOOD                   </v>
      </c>
      <c r="F8618" t="str">
        <f t="shared" si="260"/>
        <v>MS</v>
      </c>
    </row>
    <row r="8619" spans="1:6" x14ac:dyDescent="0.25">
      <c r="A8619" t="str">
        <f>"002020342"</f>
        <v>002020342</v>
      </c>
      <c r="B8619" t="str">
        <f>"1114301645"</f>
        <v>1114301645</v>
      </c>
      <c r="C8619" t="str">
        <f>"152W00000X"</f>
        <v>152W00000X</v>
      </c>
      <c r="D8619" t="str">
        <f>"HAYNES                   JESSICA      A           "</f>
        <v xml:space="preserve">HAYNES                   JESSICA      A           </v>
      </c>
      <c r="E8619" t="str">
        <f>"OLIVE BRANCH              "</f>
        <v xml:space="preserve">OLIVE BRANCH              </v>
      </c>
      <c r="F8619" t="str">
        <f t="shared" si="260"/>
        <v>MS</v>
      </c>
    </row>
    <row r="8620" spans="1:6" x14ac:dyDescent="0.25">
      <c r="A8620" t="str">
        <f>"002021057"</f>
        <v>002021057</v>
      </c>
      <c r="B8620" t="str">
        <f>"1487841847"</f>
        <v>1487841847</v>
      </c>
      <c r="C8620" t="str">
        <f>"207RC0000X"</f>
        <v>207RC0000X</v>
      </c>
      <c r="D8620" t="str">
        <f>"MECHLEB                  WISSAM       K           "</f>
        <v xml:space="preserve">MECHLEB                  WISSAM       K           </v>
      </c>
      <c r="E8620" t="str">
        <f>"HATTIESBURG               "</f>
        <v xml:space="preserve">HATTIESBURG               </v>
      </c>
      <c r="F8620" t="str">
        <f t="shared" si="260"/>
        <v>MS</v>
      </c>
    </row>
    <row r="8621" spans="1:6" x14ac:dyDescent="0.25">
      <c r="A8621" t="str">
        <f>"002021588"</f>
        <v>002021588</v>
      </c>
      <c r="B8621" t="str">
        <f>"1164941555"</f>
        <v>1164941555</v>
      </c>
      <c r="C8621" t="str">
        <f>"363L00000X"</f>
        <v>363L00000X</v>
      </c>
      <c r="D8621" t="str">
        <f>"WATSON                   BRANDI       M           "</f>
        <v xml:space="preserve">WATSON                   BRANDI       M           </v>
      </c>
      <c r="E8621" t="str">
        <f>"MERIDIAN                  "</f>
        <v xml:space="preserve">MERIDIAN                  </v>
      </c>
      <c r="F8621" t="str">
        <f t="shared" si="260"/>
        <v>MS</v>
      </c>
    </row>
    <row r="8622" spans="1:6" x14ac:dyDescent="0.25">
      <c r="A8622" t="str">
        <f>"002022531"</f>
        <v>002022531</v>
      </c>
      <c r="B8622" t="str">
        <f>"1487632188"</f>
        <v>1487632188</v>
      </c>
      <c r="C8622" t="str">
        <f>"207Q00000X"</f>
        <v>207Q00000X</v>
      </c>
      <c r="D8622" t="str">
        <f>"MCCARTY                  RICHMOND     D           "</f>
        <v xml:space="preserve">MCCARTY                  RICHMOND     D           </v>
      </c>
      <c r="E8622" t="str">
        <f>"SALTILLO                  "</f>
        <v xml:space="preserve">SALTILLO                  </v>
      </c>
      <c r="F8622" t="str">
        <f t="shared" si="260"/>
        <v>MS</v>
      </c>
    </row>
    <row r="8623" spans="1:6" x14ac:dyDescent="0.25">
      <c r="A8623" t="str">
        <f>"002022881"</f>
        <v>002022881</v>
      </c>
      <c r="B8623" t="str">
        <f>"1053533406"</f>
        <v>1053533406</v>
      </c>
      <c r="C8623" t="str">
        <f>"207R00000X"</f>
        <v>207R00000X</v>
      </c>
      <c r="D8623" t="str">
        <f>"MILLER                   RICHARD      E           "</f>
        <v xml:space="preserve">MILLER                   RICHARD      E           </v>
      </c>
      <c r="E8623" t="str">
        <f>"BROOKHAVEN                "</f>
        <v xml:space="preserve">BROOKHAVEN                </v>
      </c>
      <c r="F8623" t="str">
        <f t="shared" si="260"/>
        <v>MS</v>
      </c>
    </row>
    <row r="8624" spans="1:6" x14ac:dyDescent="0.25">
      <c r="A8624" t="str">
        <f>"002024340"</f>
        <v>002024340</v>
      </c>
      <c r="B8624" t="str">
        <f>"1518369180"</f>
        <v>1518369180</v>
      </c>
      <c r="C8624" t="str">
        <f>"363L00000X"</f>
        <v>363L00000X</v>
      </c>
      <c r="D8624" t="str">
        <f>"CARLTON                  LYNDSEY      E           "</f>
        <v xml:space="preserve">CARLTON                  LYNDSEY      E           </v>
      </c>
      <c r="E8624" t="str">
        <f>"JACKSON                   "</f>
        <v xml:space="preserve">JACKSON                   </v>
      </c>
      <c r="F8624" t="str">
        <f t="shared" si="260"/>
        <v>MS</v>
      </c>
    </row>
    <row r="8625" spans="1:6" x14ac:dyDescent="0.25">
      <c r="A8625" t="str">
        <f>"002026337"</f>
        <v>002026337</v>
      </c>
      <c r="B8625" t="str">
        <f>"1447511571"</f>
        <v>1447511571</v>
      </c>
      <c r="C8625" t="str">
        <f>"152W00000X"</f>
        <v>152W00000X</v>
      </c>
      <c r="D8625" t="str">
        <f>"LAGNIAPPE EYE CARE                                "</f>
        <v xml:space="preserve">LAGNIAPPE EYE CARE                                </v>
      </c>
      <c r="E8625" t="str">
        <f>"HATTIESBURG               "</f>
        <v xml:space="preserve">HATTIESBURG               </v>
      </c>
      <c r="F8625" t="str">
        <f t="shared" si="260"/>
        <v>MS</v>
      </c>
    </row>
    <row r="8626" spans="1:6" x14ac:dyDescent="0.25">
      <c r="A8626" t="str">
        <f>"002026539"</f>
        <v>002026539</v>
      </c>
      <c r="B8626" t="str">
        <f>"1316517063"</f>
        <v>1316517063</v>
      </c>
      <c r="C8626" t="str">
        <f>"363L00000X"</f>
        <v>363L00000X</v>
      </c>
      <c r="D8626" t="str">
        <f>"WOOD                     SHANNON      M           "</f>
        <v xml:space="preserve">WOOD                     SHANNON      M           </v>
      </c>
      <c r="E8626" t="str">
        <f>"LAUREL                    "</f>
        <v xml:space="preserve">LAUREL                    </v>
      </c>
      <c r="F8626" t="str">
        <f t="shared" si="260"/>
        <v>MS</v>
      </c>
    </row>
    <row r="8627" spans="1:6" x14ac:dyDescent="0.25">
      <c r="A8627" t="str">
        <f>"002027016"</f>
        <v>002027016</v>
      </c>
      <c r="B8627" t="str">
        <f>"1780251702"</f>
        <v>1780251702</v>
      </c>
      <c r="C8627" t="str">
        <f>"122300000X"</f>
        <v>122300000X</v>
      </c>
      <c r="D8627" t="str">
        <f>"RAYMOND                  HOLLY        K           "</f>
        <v xml:space="preserve">RAYMOND                  HOLLY        K           </v>
      </c>
      <c r="E8627" t="str">
        <f>"GULFPORT                  "</f>
        <v xml:space="preserve">GULFPORT                  </v>
      </c>
      <c r="F8627" t="str">
        <f t="shared" si="260"/>
        <v>MS</v>
      </c>
    </row>
    <row r="8628" spans="1:6" x14ac:dyDescent="0.25">
      <c r="A8628" t="str">
        <f>"002029299"</f>
        <v>002029299</v>
      </c>
      <c r="B8628" t="str">
        <f>"1689037178"</f>
        <v>1689037178</v>
      </c>
      <c r="C8628" t="str">
        <f>"207P00000X"</f>
        <v>207P00000X</v>
      </c>
      <c r="D8628" t="str">
        <f>"ROSE II                  JAMES        L           "</f>
        <v xml:space="preserve">ROSE II                  JAMES        L           </v>
      </c>
      <c r="E8628" t="str">
        <f>"GULFPORT                  "</f>
        <v xml:space="preserve">GULFPORT                  </v>
      </c>
      <c r="F8628" t="str">
        <f t="shared" si="260"/>
        <v>MS</v>
      </c>
    </row>
    <row r="8629" spans="1:6" x14ac:dyDescent="0.25">
      <c r="A8629" t="str">
        <f>"002029506"</f>
        <v>002029506</v>
      </c>
      <c r="B8629" t="str">
        <f>"1598045833"</f>
        <v>1598045833</v>
      </c>
      <c r="C8629" t="str">
        <f>"363L00000X"</f>
        <v>363L00000X</v>
      </c>
      <c r="D8629" t="str">
        <f>"THOMPSON                 REBECCA      A           "</f>
        <v xml:space="preserve">THOMPSON                 REBECCA      A           </v>
      </c>
      <c r="E8629" t="str">
        <f>"RIPLEY                    "</f>
        <v xml:space="preserve">RIPLEY                    </v>
      </c>
      <c r="F8629" t="str">
        <f t="shared" si="260"/>
        <v>MS</v>
      </c>
    </row>
    <row r="8630" spans="1:6" x14ac:dyDescent="0.25">
      <c r="A8630" t="str">
        <f>"002029769"</f>
        <v>002029769</v>
      </c>
      <c r="B8630" t="str">
        <f>"1750869517"</f>
        <v>1750869517</v>
      </c>
      <c r="C8630" t="str">
        <f>"363L00000X"</f>
        <v>363L00000X</v>
      </c>
      <c r="D8630" t="str">
        <f>"DAVIS                    KATHERINE    E           "</f>
        <v xml:space="preserve">DAVIS                    KATHERINE    E           </v>
      </c>
      <c r="E8630" t="str">
        <f>"NETTLETON                 "</f>
        <v xml:space="preserve">NETTLETON                 </v>
      </c>
      <c r="F8630" t="str">
        <f t="shared" si="260"/>
        <v>MS</v>
      </c>
    </row>
    <row r="8631" spans="1:6" x14ac:dyDescent="0.25">
      <c r="A8631" t="str">
        <f>"002030025"</f>
        <v>002030025</v>
      </c>
      <c r="B8631" t="str">
        <f>"1427219799"</f>
        <v>1427219799</v>
      </c>
      <c r="C8631" t="str">
        <f>"2084P0800X"</f>
        <v>2084P0800X</v>
      </c>
      <c r="D8631" t="str">
        <f>"RIDGEWAY                 ROGER        D           "</f>
        <v xml:space="preserve">RIDGEWAY                 ROGER        D           </v>
      </c>
      <c r="E8631" t="str">
        <f>"PASCAGOULA                "</f>
        <v xml:space="preserve">PASCAGOULA                </v>
      </c>
      <c r="F8631" t="str">
        <f t="shared" si="260"/>
        <v>MS</v>
      </c>
    </row>
    <row r="8632" spans="1:6" x14ac:dyDescent="0.25">
      <c r="A8632" t="str">
        <f>"002031312"</f>
        <v>002031312</v>
      </c>
      <c r="B8632" t="str">
        <f>"1205487238"</f>
        <v>1205487238</v>
      </c>
      <c r="C8632" t="str">
        <f>"363L00000X"</f>
        <v>363L00000X</v>
      </c>
      <c r="D8632" t="str">
        <f>"MILES                    ASHLEY       H           "</f>
        <v xml:space="preserve">MILES                    ASHLEY       H           </v>
      </c>
      <c r="E8632" t="str">
        <f>"HATTIESBURG               "</f>
        <v xml:space="preserve">HATTIESBURG               </v>
      </c>
      <c r="F8632" t="str">
        <f t="shared" si="260"/>
        <v>MS</v>
      </c>
    </row>
    <row r="8633" spans="1:6" x14ac:dyDescent="0.25">
      <c r="A8633" t="str">
        <f>"002031766"</f>
        <v>002031766</v>
      </c>
      <c r="B8633" t="str">
        <f>"1396288197"</f>
        <v>1396288197</v>
      </c>
      <c r="C8633" t="str">
        <f>"363L00000X"</f>
        <v>363L00000X</v>
      </c>
      <c r="D8633" t="str">
        <f>"PONDER                   MARY         C           "</f>
        <v xml:space="preserve">PONDER                   MARY         C           </v>
      </c>
      <c r="E8633" t="str">
        <f>"FLOWOOD                   "</f>
        <v xml:space="preserve">FLOWOOD                   </v>
      </c>
      <c r="F8633" t="str">
        <f t="shared" si="260"/>
        <v>MS</v>
      </c>
    </row>
    <row r="8634" spans="1:6" x14ac:dyDescent="0.25">
      <c r="A8634" t="str">
        <f>"002032751"</f>
        <v>002032751</v>
      </c>
      <c r="B8634" t="str">
        <f>"1417953050"</f>
        <v>1417953050</v>
      </c>
      <c r="C8634" t="str">
        <f>"207LP2900X"</f>
        <v>207LP2900X</v>
      </c>
      <c r="D8634" t="str">
        <f>"RICHEY                   STEVEN       T           "</f>
        <v xml:space="preserve">RICHEY                   STEVEN       T           </v>
      </c>
      <c r="E8634" t="str">
        <f>"SOUTHAVEN                 "</f>
        <v xml:space="preserve">SOUTHAVEN                 </v>
      </c>
      <c r="F8634" t="str">
        <f t="shared" si="260"/>
        <v>MS</v>
      </c>
    </row>
    <row r="8635" spans="1:6" x14ac:dyDescent="0.25">
      <c r="A8635" t="str">
        <f>"002033047"</f>
        <v>002033047</v>
      </c>
      <c r="B8635" t="str">
        <f>"1588942460"</f>
        <v>1588942460</v>
      </c>
      <c r="C8635" t="str">
        <f>"2084P0800X"</f>
        <v>2084P0800X</v>
      </c>
      <c r="D8635" t="str">
        <f>"GAJAGOWNI                RAGHAVENDRAN G           "</f>
        <v xml:space="preserve">GAJAGOWNI                RAGHAVENDRAN G           </v>
      </c>
      <c r="E8635" t="str">
        <f>"TUPELO                    "</f>
        <v xml:space="preserve">TUPELO                    </v>
      </c>
      <c r="F8635" t="str">
        <f t="shared" si="260"/>
        <v>MS</v>
      </c>
    </row>
    <row r="8636" spans="1:6" x14ac:dyDescent="0.25">
      <c r="A8636" t="str">
        <f>"002033312"</f>
        <v>002033312</v>
      </c>
      <c r="B8636" t="str">
        <f>"1093923146"</f>
        <v>1093923146</v>
      </c>
      <c r="C8636" t="str">
        <f>"2084N0400X"</f>
        <v>2084N0400X</v>
      </c>
      <c r="D8636" t="str">
        <f>"GARBEE                   MICHAEL                  "</f>
        <v xml:space="preserve">GARBEE                   MICHAEL                  </v>
      </c>
      <c r="E8636" t="str">
        <f>"MERIDIAN                  "</f>
        <v xml:space="preserve">MERIDIAN                  </v>
      </c>
      <c r="F8636" t="str">
        <f t="shared" si="260"/>
        <v>MS</v>
      </c>
    </row>
    <row r="8637" spans="1:6" x14ac:dyDescent="0.25">
      <c r="A8637" t="str">
        <f>"002033361"</f>
        <v>002033361</v>
      </c>
      <c r="B8637" t="str">
        <f>"1720542228"</f>
        <v>1720542228</v>
      </c>
      <c r="C8637" t="str">
        <f>"261QA0600X"</f>
        <v>261QA0600X</v>
      </c>
      <c r="D8637" t="str">
        <f>"OLP SERVICES LLC                                  "</f>
        <v xml:space="preserve">OLP SERVICES LLC                                  </v>
      </c>
      <c r="E8637" t="str">
        <f>"HOLLANDALE                "</f>
        <v xml:space="preserve">HOLLANDALE                </v>
      </c>
      <c r="F8637" t="str">
        <f t="shared" si="260"/>
        <v>MS</v>
      </c>
    </row>
    <row r="8638" spans="1:6" x14ac:dyDescent="0.25">
      <c r="A8638" t="str">
        <f>"002034576"</f>
        <v>002034576</v>
      </c>
      <c r="B8638" t="str">
        <f>"1285083402"</f>
        <v>1285083402</v>
      </c>
      <c r="C8638" t="str">
        <f>"207ZP0102X"</f>
        <v>207ZP0102X</v>
      </c>
      <c r="D8638" t="str">
        <f>"BELOUSOVA                TATIANA                  "</f>
        <v xml:space="preserve">BELOUSOVA                TATIANA                  </v>
      </c>
      <c r="E8638" t="str">
        <f>"TUPELO                    "</f>
        <v xml:space="preserve">TUPELO                    </v>
      </c>
      <c r="F8638" t="str">
        <f t="shared" ref="F8638:F8701" si="261">"MS"</f>
        <v>MS</v>
      </c>
    </row>
    <row r="8639" spans="1:6" x14ac:dyDescent="0.25">
      <c r="A8639" t="str">
        <f>"002035048"</f>
        <v>002035048</v>
      </c>
      <c r="B8639" t="str">
        <f>"1104327667"</f>
        <v>1104327667</v>
      </c>
      <c r="C8639" t="str">
        <f>"363L00000X"</f>
        <v>363L00000X</v>
      </c>
      <c r="D8639" t="str">
        <f>"DAVIS                    HAILEY       O           "</f>
        <v xml:space="preserve">DAVIS                    HAILEY       O           </v>
      </c>
      <c r="E8639" t="str">
        <f>"NEW ALBANY                "</f>
        <v xml:space="preserve">NEW ALBANY                </v>
      </c>
      <c r="F8639" t="str">
        <f t="shared" si="261"/>
        <v>MS</v>
      </c>
    </row>
    <row r="8640" spans="1:6" x14ac:dyDescent="0.25">
      <c r="A8640" t="str">
        <f>"002037341"</f>
        <v>002037341</v>
      </c>
      <c r="B8640" t="str">
        <f>"1023498987"</f>
        <v>1023498987</v>
      </c>
      <c r="C8640" t="str">
        <f>"122300000X"</f>
        <v>122300000X</v>
      </c>
      <c r="D8640" t="str">
        <f>"HOLLINGSWORTH            TIFFANY      T           "</f>
        <v xml:space="preserve">HOLLINGSWORTH            TIFFANY      T           </v>
      </c>
      <c r="E8640" t="str">
        <f>"CORINTH                   "</f>
        <v xml:space="preserve">CORINTH                   </v>
      </c>
      <c r="F8640" t="str">
        <f t="shared" si="261"/>
        <v>MS</v>
      </c>
    </row>
    <row r="8641" spans="1:6" x14ac:dyDescent="0.25">
      <c r="A8641" t="str">
        <f>"002037369"</f>
        <v>002037369</v>
      </c>
      <c r="B8641" t="str">
        <f>"1225397961"</f>
        <v>1225397961</v>
      </c>
      <c r="C8641" t="str">
        <f>"363L00000X"</f>
        <v>363L00000X</v>
      </c>
      <c r="D8641" t="str">
        <f>"CARMEAN                  JORDAN       B           "</f>
        <v xml:space="preserve">CARMEAN                  JORDAN       B           </v>
      </c>
      <c r="E8641" t="str">
        <f>"JACKSON                   "</f>
        <v xml:space="preserve">JACKSON                   </v>
      </c>
      <c r="F8641" t="str">
        <f t="shared" si="261"/>
        <v>MS</v>
      </c>
    </row>
    <row r="8642" spans="1:6" x14ac:dyDescent="0.25">
      <c r="A8642" t="str">
        <f>"002051003"</f>
        <v>002051003</v>
      </c>
      <c r="B8642" t="str">
        <f>"1649243122"</f>
        <v>1649243122</v>
      </c>
      <c r="C8642" t="str">
        <f>"207V00000X"</f>
        <v>207V00000X</v>
      </c>
      <c r="D8642" t="str">
        <f>"MCINTIRE, JR.            JOSEPH       T           "</f>
        <v xml:space="preserve">MCINTIRE, JR.            JOSEPH       T           </v>
      </c>
      <c r="E8642" t="str">
        <f>"HATTIESBURG               "</f>
        <v xml:space="preserve">HATTIESBURG               </v>
      </c>
      <c r="F8642" t="str">
        <f t="shared" si="261"/>
        <v>MS</v>
      </c>
    </row>
    <row r="8643" spans="1:6" x14ac:dyDescent="0.25">
      <c r="A8643" t="str">
        <f>"002051261"</f>
        <v>002051261</v>
      </c>
      <c r="B8643" t="str">
        <f>"1093860355"</f>
        <v>1093860355</v>
      </c>
      <c r="C8643" t="str">
        <f>"367500000X"</f>
        <v>367500000X</v>
      </c>
      <c r="D8643" t="str">
        <f>"COOK                     MICHAEL      S           "</f>
        <v xml:space="preserve">COOK                     MICHAEL      S           </v>
      </c>
      <c r="E8643" t="str">
        <f>"OCEAN SPRINGS             "</f>
        <v xml:space="preserve">OCEAN SPRINGS             </v>
      </c>
      <c r="F8643" t="str">
        <f t="shared" si="261"/>
        <v>MS</v>
      </c>
    </row>
    <row r="8644" spans="1:6" x14ac:dyDescent="0.25">
      <c r="A8644" t="str">
        <f>"002052300"</f>
        <v>002052300</v>
      </c>
      <c r="B8644" t="str">
        <f>"1487686374"</f>
        <v>1487686374</v>
      </c>
      <c r="C8644" t="str">
        <f>"208800000X"</f>
        <v>208800000X</v>
      </c>
      <c r="D8644" t="str">
        <f>"DAILY                    PATRICK      P           "</f>
        <v xml:space="preserve">DAILY                    PATRICK      P           </v>
      </c>
      <c r="E8644" t="str">
        <f>"JACKSON                   "</f>
        <v xml:space="preserve">JACKSON                   </v>
      </c>
      <c r="F8644" t="str">
        <f t="shared" si="261"/>
        <v>MS</v>
      </c>
    </row>
    <row r="8645" spans="1:6" x14ac:dyDescent="0.25">
      <c r="A8645" t="str">
        <f>"002052823"</f>
        <v>002052823</v>
      </c>
      <c r="B8645" t="str">
        <f>"1124240973"</f>
        <v>1124240973</v>
      </c>
      <c r="C8645" t="str">
        <f>"207L00000X"</f>
        <v>207L00000X</v>
      </c>
      <c r="D8645" t="str">
        <f>"HALL                     BARRY                    "</f>
        <v xml:space="preserve">HALL                     BARRY                    </v>
      </c>
      <c r="E8645" t="str">
        <f>"JACKSON                   "</f>
        <v xml:space="preserve">JACKSON                   </v>
      </c>
      <c r="F8645" t="str">
        <f t="shared" si="261"/>
        <v>MS</v>
      </c>
    </row>
    <row r="8646" spans="1:6" x14ac:dyDescent="0.25">
      <c r="A8646" t="str">
        <f>"002052873"</f>
        <v>002052873</v>
      </c>
      <c r="B8646" t="str">
        <f>"1922394469"</f>
        <v>1922394469</v>
      </c>
      <c r="C8646" t="str">
        <f>"363L00000X"</f>
        <v>363L00000X</v>
      </c>
      <c r="D8646" t="str">
        <f>"KNIGHT-STARLING          DAPHENIA     C           "</f>
        <v xml:space="preserve">KNIGHT-STARLING          DAPHENIA     C           </v>
      </c>
      <c r="E8646" t="str">
        <f>"CLINTON                   "</f>
        <v xml:space="preserve">CLINTON                   </v>
      </c>
      <c r="F8646" t="str">
        <f t="shared" si="261"/>
        <v>MS</v>
      </c>
    </row>
    <row r="8647" spans="1:6" x14ac:dyDescent="0.25">
      <c r="A8647" t="str">
        <f>"002053709"</f>
        <v>002053709</v>
      </c>
      <c r="B8647" t="str">
        <f>"1659325306"</f>
        <v>1659325306</v>
      </c>
      <c r="C8647" t="str">
        <f>"207Q00000X"</f>
        <v>207Q00000X</v>
      </c>
      <c r="D8647" t="str">
        <f>"STEGALL                  AVA          L           "</f>
        <v xml:space="preserve">STEGALL                  AVA          L           </v>
      </c>
      <c r="E8647" t="str">
        <f>"STARKVILLE                "</f>
        <v xml:space="preserve">STARKVILLE                </v>
      </c>
      <c r="F8647" t="str">
        <f t="shared" si="261"/>
        <v>MS</v>
      </c>
    </row>
    <row r="8648" spans="1:6" x14ac:dyDescent="0.25">
      <c r="A8648" t="str">
        <f>"002054561"</f>
        <v>002054561</v>
      </c>
      <c r="B8648" t="str">
        <f>"1386020113"</f>
        <v>1386020113</v>
      </c>
      <c r="C8648" t="str">
        <f>"363L00000X"</f>
        <v>363L00000X</v>
      </c>
      <c r="D8648" t="str">
        <f>"CHRISTY                  STEFANIE     T           "</f>
        <v xml:space="preserve">CHRISTY                  STEFANIE     T           </v>
      </c>
      <c r="E8648" t="str">
        <f>"COLUMBUS                  "</f>
        <v xml:space="preserve">COLUMBUS                  </v>
      </c>
      <c r="F8648" t="str">
        <f t="shared" si="261"/>
        <v>MS</v>
      </c>
    </row>
    <row r="8649" spans="1:6" x14ac:dyDescent="0.25">
      <c r="A8649" t="str">
        <f>"002055216"</f>
        <v>002055216</v>
      </c>
      <c r="B8649" t="str">
        <f>"1104024769"</f>
        <v>1104024769</v>
      </c>
      <c r="C8649" t="str">
        <f>"207R00000X"</f>
        <v>207R00000X</v>
      </c>
      <c r="D8649" t="str">
        <f>"WILLIAMS                 JOSHUA       C           "</f>
        <v xml:space="preserve">WILLIAMS                 JOSHUA       C           </v>
      </c>
      <c r="E8649" t="str">
        <f>"FLOWOOD                   "</f>
        <v xml:space="preserve">FLOWOOD                   </v>
      </c>
      <c r="F8649" t="str">
        <f t="shared" si="261"/>
        <v>MS</v>
      </c>
    </row>
    <row r="8650" spans="1:6" x14ac:dyDescent="0.25">
      <c r="A8650" t="str">
        <f>"002055549"</f>
        <v>002055549</v>
      </c>
      <c r="B8650" t="str">
        <f>"1447237409"</f>
        <v>1447237409</v>
      </c>
      <c r="C8650" t="str">
        <f>"363L00000X"</f>
        <v>363L00000X</v>
      </c>
      <c r="D8650" t="str">
        <f>"POSEY                    EULA         D           "</f>
        <v xml:space="preserve">POSEY                    EULA         D           </v>
      </c>
      <c r="E8650" t="str">
        <f>"HATTIESBURG               "</f>
        <v xml:space="preserve">HATTIESBURG               </v>
      </c>
      <c r="F8650" t="str">
        <f t="shared" si="261"/>
        <v>MS</v>
      </c>
    </row>
    <row r="8651" spans="1:6" x14ac:dyDescent="0.25">
      <c r="A8651" t="str">
        <f>"002055887"</f>
        <v>002055887</v>
      </c>
      <c r="B8651" t="str">
        <f>"1649549858"</f>
        <v>1649549858</v>
      </c>
      <c r="C8651" t="str">
        <f>"363L00000X"</f>
        <v>363L00000X</v>
      </c>
      <c r="D8651" t="str">
        <f>"ROGERS                   VIVIAN       A           "</f>
        <v xml:space="preserve">ROGERS                   VIVIAN       A           </v>
      </c>
      <c r="E8651" t="str">
        <f>"TUPELO                    "</f>
        <v xml:space="preserve">TUPELO                    </v>
      </c>
      <c r="F8651" t="str">
        <f t="shared" si="261"/>
        <v>MS</v>
      </c>
    </row>
    <row r="8652" spans="1:6" x14ac:dyDescent="0.25">
      <c r="A8652" t="str">
        <f>"002056754"</f>
        <v>002056754</v>
      </c>
      <c r="B8652" t="str">
        <f>"1275943086"</f>
        <v>1275943086</v>
      </c>
      <c r="C8652" t="str">
        <f>"363L00000X"</f>
        <v>363L00000X</v>
      </c>
      <c r="D8652" t="str">
        <f>"HAUGH                    DESIREE      B           "</f>
        <v xml:space="preserve">HAUGH                    DESIREE      B           </v>
      </c>
      <c r="E8652" t="str">
        <f>"BOONEVILLE                "</f>
        <v xml:space="preserve">BOONEVILLE                </v>
      </c>
      <c r="F8652" t="str">
        <f t="shared" si="261"/>
        <v>MS</v>
      </c>
    </row>
    <row r="8653" spans="1:6" x14ac:dyDescent="0.25">
      <c r="A8653" t="str">
        <f>"002058365"</f>
        <v>002058365</v>
      </c>
      <c r="B8653" t="str">
        <f>"1164579504"</f>
        <v>1164579504</v>
      </c>
      <c r="C8653" t="str">
        <f>"1223P0221X"</f>
        <v>1223P0221X</v>
      </c>
      <c r="D8653" t="str">
        <f>"PERKINS                  TERESA       M           "</f>
        <v xml:space="preserve">PERKINS                  TERESA       M           </v>
      </c>
      <c r="E8653" t="str">
        <f>"JACKSON                   "</f>
        <v xml:space="preserve">JACKSON                   </v>
      </c>
      <c r="F8653" t="str">
        <f t="shared" si="261"/>
        <v>MS</v>
      </c>
    </row>
    <row r="8654" spans="1:6" x14ac:dyDescent="0.25">
      <c r="A8654" t="str">
        <f>"002058378"</f>
        <v>002058378</v>
      </c>
      <c r="B8654" t="str">
        <f>"1679621411"</f>
        <v>1679621411</v>
      </c>
      <c r="C8654" t="str">
        <f>"207P00000X"</f>
        <v>207P00000X</v>
      </c>
      <c r="D8654" t="str">
        <f>"PUGH                     AMBER                    "</f>
        <v xml:space="preserve">PUGH                     AMBER                    </v>
      </c>
      <c r="E8654" t="str">
        <f>"BOONEVILLE                "</f>
        <v xml:space="preserve">BOONEVILLE                </v>
      </c>
      <c r="F8654" t="str">
        <f t="shared" si="261"/>
        <v>MS</v>
      </c>
    </row>
    <row r="8655" spans="1:6" x14ac:dyDescent="0.25">
      <c r="A8655" t="str">
        <f>"002070251"</f>
        <v>002070251</v>
      </c>
      <c r="B8655" t="str">
        <f>"1790962637"</f>
        <v>1790962637</v>
      </c>
      <c r="C8655" t="str">
        <f>"152W00000X"</f>
        <v>152W00000X</v>
      </c>
      <c r="D8655" t="str">
        <f>"GREGORY D LOOSE OD                                "</f>
        <v xml:space="preserve">GREGORY D LOOSE OD                                </v>
      </c>
      <c r="E8655" t="str">
        <f>"WIGGINS                   "</f>
        <v xml:space="preserve">WIGGINS                   </v>
      </c>
      <c r="F8655" t="str">
        <f t="shared" si="261"/>
        <v>MS</v>
      </c>
    </row>
    <row r="8656" spans="1:6" x14ac:dyDescent="0.25">
      <c r="A8656" t="str">
        <f>"002070720"</f>
        <v>002070720</v>
      </c>
      <c r="B8656" t="str">
        <f>"1639654171"</f>
        <v>1639654171</v>
      </c>
      <c r="C8656" t="str">
        <f>"363L00000X"</f>
        <v>363L00000X</v>
      </c>
      <c r="D8656" t="str">
        <f>"FLYNN                    KATHERINE    R           "</f>
        <v xml:space="preserve">FLYNN                    KATHERINE    R           </v>
      </c>
      <c r="E8656" t="str">
        <f>"BROOKHAVEN                "</f>
        <v xml:space="preserve">BROOKHAVEN                </v>
      </c>
      <c r="F8656" t="str">
        <f t="shared" si="261"/>
        <v>MS</v>
      </c>
    </row>
    <row r="8657" spans="1:6" x14ac:dyDescent="0.25">
      <c r="A8657" t="str">
        <f>"002072547"</f>
        <v>002072547</v>
      </c>
      <c r="B8657" t="str">
        <f>"1508995499"</f>
        <v>1508995499</v>
      </c>
      <c r="C8657" t="str">
        <f>"363L00000X"</f>
        <v>363L00000X</v>
      </c>
      <c r="D8657" t="str">
        <f>"RICE                     MICHELLE     D           "</f>
        <v xml:space="preserve">RICE                     MICHELLE     D           </v>
      </c>
      <c r="E8657" t="str">
        <f>"CALHOUN CITY              "</f>
        <v xml:space="preserve">CALHOUN CITY              </v>
      </c>
      <c r="F8657" t="str">
        <f t="shared" si="261"/>
        <v>MS</v>
      </c>
    </row>
    <row r="8658" spans="1:6" x14ac:dyDescent="0.25">
      <c r="A8658" t="str">
        <f>"002073724"</f>
        <v>002073724</v>
      </c>
      <c r="B8658" t="str">
        <f>"1104840834"</f>
        <v>1104840834</v>
      </c>
      <c r="C8658" t="str">
        <f>"367500000X"</f>
        <v>367500000X</v>
      </c>
      <c r="D8658" t="str">
        <f>"WALKER                   SCOTT        E           "</f>
        <v xml:space="preserve">WALKER                   SCOTT        E           </v>
      </c>
      <c r="E8658" t="str">
        <f>"HATTIESBURG               "</f>
        <v xml:space="preserve">HATTIESBURG               </v>
      </c>
      <c r="F8658" t="str">
        <f t="shared" si="261"/>
        <v>MS</v>
      </c>
    </row>
    <row r="8659" spans="1:6" x14ac:dyDescent="0.25">
      <c r="A8659" t="str">
        <f>"002074565"</f>
        <v>002074565</v>
      </c>
      <c r="B8659" t="str">
        <f>"1053977249"</f>
        <v>1053977249</v>
      </c>
      <c r="C8659" t="str">
        <f>"363A00000X"</f>
        <v>363A00000X</v>
      </c>
      <c r="D8659" t="str">
        <f>"DAVIS                    LESLIE       E           "</f>
        <v xml:space="preserve">DAVIS                    LESLIE       E           </v>
      </c>
      <c r="E8659" t="str">
        <f>"VICKSBURG                 "</f>
        <v xml:space="preserve">VICKSBURG                 </v>
      </c>
      <c r="F8659" t="str">
        <f t="shared" si="261"/>
        <v>MS</v>
      </c>
    </row>
    <row r="8660" spans="1:6" x14ac:dyDescent="0.25">
      <c r="A8660" t="str">
        <f>"002074791"</f>
        <v>002074791</v>
      </c>
      <c r="B8660" t="str">
        <f>"1962764498"</f>
        <v>1962764498</v>
      </c>
      <c r="C8660" t="str">
        <f>"207Q00000X"</f>
        <v>207Q00000X</v>
      </c>
      <c r="D8660" t="str">
        <f>"MORAN                    MEGAN        R           "</f>
        <v xml:space="preserve">MORAN                    MEGAN        R           </v>
      </c>
      <c r="E8660" t="str">
        <f>"COLUMBUS                  "</f>
        <v xml:space="preserve">COLUMBUS                  </v>
      </c>
      <c r="F8660" t="str">
        <f t="shared" si="261"/>
        <v>MS</v>
      </c>
    </row>
    <row r="8661" spans="1:6" x14ac:dyDescent="0.25">
      <c r="A8661" t="str">
        <f>"002075333"</f>
        <v>002075333</v>
      </c>
      <c r="B8661" t="str">
        <f>"1144685900"</f>
        <v>1144685900</v>
      </c>
      <c r="C8661" t="str">
        <f>"261QE0700X"</f>
        <v>261QE0700X</v>
      </c>
      <c r="D8661" t="str">
        <f>"FRESENIUS MEDICAL CARE WEST POINT                 "</f>
        <v xml:space="preserve">FRESENIUS MEDICAL CARE WEST POINT                 </v>
      </c>
      <c r="E8661" t="str">
        <f>"WEST POINT                "</f>
        <v xml:space="preserve">WEST POINT                </v>
      </c>
      <c r="F8661" t="str">
        <f t="shared" si="261"/>
        <v>MS</v>
      </c>
    </row>
    <row r="8662" spans="1:6" x14ac:dyDescent="0.25">
      <c r="A8662" t="str">
        <f>"002078099"</f>
        <v>002078099</v>
      </c>
      <c r="B8662" t="str">
        <f>"1538830559"</f>
        <v>1538830559</v>
      </c>
      <c r="C8662" t="str">
        <f>"363L00000X"</f>
        <v>363L00000X</v>
      </c>
      <c r="D8662" t="str">
        <f>"STEWART                  JONI         P           "</f>
        <v xml:space="preserve">STEWART                  JONI         P           </v>
      </c>
      <c r="E8662" t="str">
        <f>"ACKERMAN                  "</f>
        <v xml:space="preserve">ACKERMAN                  </v>
      </c>
      <c r="F8662" t="str">
        <f t="shared" si="261"/>
        <v>MS</v>
      </c>
    </row>
    <row r="8663" spans="1:6" x14ac:dyDescent="0.25">
      <c r="A8663" t="str">
        <f>"002078377"</f>
        <v>002078377</v>
      </c>
      <c r="B8663" t="str">
        <f>"1235558149"</f>
        <v>1235558149</v>
      </c>
      <c r="C8663" t="str">
        <f>"207RI0200X"</f>
        <v>207RI0200X</v>
      </c>
      <c r="D8663" t="str">
        <f>"MOSS                     JASON        F           "</f>
        <v xml:space="preserve">MOSS                     JASON        F           </v>
      </c>
      <c r="E8663" t="str">
        <f>"HATTIESBURG               "</f>
        <v xml:space="preserve">HATTIESBURG               </v>
      </c>
      <c r="F8663" t="str">
        <f t="shared" si="261"/>
        <v>MS</v>
      </c>
    </row>
    <row r="8664" spans="1:6" x14ac:dyDescent="0.25">
      <c r="A8664" t="str">
        <f>"002078785"</f>
        <v>002078785</v>
      </c>
      <c r="B8664" t="str">
        <f>"1710366992"</f>
        <v>1710366992</v>
      </c>
      <c r="C8664" t="str">
        <f>"207R00000X"</f>
        <v>207R00000X</v>
      </c>
      <c r="D8664" t="str">
        <f>"BEDI                     SARIKA                   "</f>
        <v xml:space="preserve">BEDI                     SARIKA                   </v>
      </c>
      <c r="E8664" t="str">
        <f>"JACKSON                   "</f>
        <v xml:space="preserve">JACKSON                   </v>
      </c>
      <c r="F8664" t="str">
        <f t="shared" si="261"/>
        <v>MS</v>
      </c>
    </row>
    <row r="8665" spans="1:6" x14ac:dyDescent="0.25">
      <c r="A8665" t="str">
        <f>"002079217"</f>
        <v>002079217</v>
      </c>
      <c r="B8665" t="str">
        <f>"1023267630"</f>
        <v>1023267630</v>
      </c>
      <c r="C8665" t="str">
        <f>"208D00000X"</f>
        <v>208D00000X</v>
      </c>
      <c r="D8665" t="str">
        <f>"COOPER                   KEVIN        S           "</f>
        <v xml:space="preserve">COOPER                   KEVIN        S           </v>
      </c>
      <c r="E8665" t="str">
        <f>"PASCAGOULA                "</f>
        <v xml:space="preserve">PASCAGOULA                </v>
      </c>
      <c r="F8665" t="str">
        <f t="shared" si="261"/>
        <v>MS</v>
      </c>
    </row>
    <row r="8666" spans="1:6" x14ac:dyDescent="0.25">
      <c r="A8666" t="str">
        <f>"002079718"</f>
        <v>002079718</v>
      </c>
      <c r="B8666" t="str">
        <f>"1194956755"</f>
        <v>1194956755</v>
      </c>
      <c r="C8666" t="str">
        <f>"363L00000X"</f>
        <v>363L00000X</v>
      </c>
      <c r="D8666" t="str">
        <f>"THOMPSON                 ELIZABETH                "</f>
        <v xml:space="preserve">THOMPSON                 ELIZABETH                </v>
      </c>
      <c r="E8666" t="str">
        <f>"CORINTH                   "</f>
        <v xml:space="preserve">CORINTH                   </v>
      </c>
      <c r="F8666" t="str">
        <f t="shared" si="261"/>
        <v>MS</v>
      </c>
    </row>
    <row r="8667" spans="1:6" x14ac:dyDescent="0.25">
      <c r="A8667" t="str">
        <f>"002080060"</f>
        <v>002080060</v>
      </c>
      <c r="B8667" t="str">
        <f>"1538504824"</f>
        <v>1538504824</v>
      </c>
      <c r="C8667" t="str">
        <f>"122300000X"</f>
        <v>122300000X</v>
      </c>
      <c r="D8667" t="str">
        <f>"SOUTH MISSISSIPPI SMILES DENTISTRY                "</f>
        <v xml:space="preserve">SOUTH MISSISSIPPI SMILES DENTISTRY                </v>
      </c>
      <c r="E8667" t="str">
        <f>"PASCAGOULA                "</f>
        <v xml:space="preserve">PASCAGOULA                </v>
      </c>
      <c r="F8667" t="str">
        <f t="shared" si="261"/>
        <v>MS</v>
      </c>
    </row>
    <row r="8668" spans="1:6" x14ac:dyDescent="0.25">
      <c r="A8668" t="str">
        <f>"002080388"</f>
        <v>002080388</v>
      </c>
      <c r="B8668" t="str">
        <f>"1306195565"</f>
        <v>1306195565</v>
      </c>
      <c r="C8668" t="str">
        <f>"363L00000X"</f>
        <v>363L00000X</v>
      </c>
      <c r="D8668" t="str">
        <f>"DAWSON                   MAGGIE       A           "</f>
        <v xml:space="preserve">DAWSON                   MAGGIE       A           </v>
      </c>
      <c r="E8668" t="str">
        <f>"FOREST                    "</f>
        <v xml:space="preserve">FOREST                    </v>
      </c>
      <c r="F8668" t="str">
        <f t="shared" si="261"/>
        <v>MS</v>
      </c>
    </row>
    <row r="8669" spans="1:6" x14ac:dyDescent="0.25">
      <c r="A8669" t="str">
        <f>"002080396"</f>
        <v>002080396</v>
      </c>
      <c r="B8669" t="str">
        <f>"1134608243"</f>
        <v>1134608243</v>
      </c>
      <c r="C8669" t="str">
        <f>"363L00000X"</f>
        <v>363L00000X</v>
      </c>
      <c r="D8669" t="str">
        <f>"COCHRAN                  LEIGH        A           "</f>
        <v xml:space="preserve">COCHRAN                  LEIGH        A           </v>
      </c>
      <c r="E8669" t="str">
        <f>"HATTIESBURG               "</f>
        <v xml:space="preserve">HATTIESBURG               </v>
      </c>
      <c r="F8669" t="str">
        <f t="shared" si="261"/>
        <v>MS</v>
      </c>
    </row>
    <row r="8670" spans="1:6" x14ac:dyDescent="0.25">
      <c r="A8670" t="str">
        <f>"002080860"</f>
        <v>002080860</v>
      </c>
      <c r="B8670" t="str">
        <f>"1851725816"</f>
        <v>1851725816</v>
      </c>
      <c r="C8670" t="str">
        <f>"122300000X"</f>
        <v>122300000X</v>
      </c>
      <c r="D8670" t="str">
        <f>"VAN METER ORAL SURGERY LLC                        "</f>
        <v xml:space="preserve">VAN METER ORAL SURGERY LLC                        </v>
      </c>
      <c r="E8670" t="str">
        <f>"BRANDON                   "</f>
        <v xml:space="preserve">BRANDON                   </v>
      </c>
      <c r="F8670" t="str">
        <f t="shared" si="261"/>
        <v>MS</v>
      </c>
    </row>
    <row r="8671" spans="1:6" x14ac:dyDescent="0.25">
      <c r="A8671" t="str">
        <f>"002083329"</f>
        <v>002083329</v>
      </c>
      <c r="B8671" t="str">
        <f>"1639745904"</f>
        <v>1639745904</v>
      </c>
      <c r="C8671" t="str">
        <f>"363L00000X"</f>
        <v>363L00000X</v>
      </c>
      <c r="D8671" t="str">
        <f>"WILLIAMS                 ELLEN        P           "</f>
        <v xml:space="preserve">WILLIAMS                 ELLEN        P           </v>
      </c>
      <c r="E8671" t="str">
        <f>"BRANDON                   "</f>
        <v xml:space="preserve">BRANDON                   </v>
      </c>
      <c r="F8671" t="str">
        <f t="shared" si="261"/>
        <v>MS</v>
      </c>
    </row>
    <row r="8672" spans="1:6" x14ac:dyDescent="0.25">
      <c r="A8672" t="str">
        <f>"002084721"</f>
        <v>002084721</v>
      </c>
      <c r="B8672" t="str">
        <f>"1497835847"</f>
        <v>1497835847</v>
      </c>
      <c r="C8672" t="str">
        <f>"208000000X"</f>
        <v>208000000X</v>
      </c>
      <c r="D8672" t="str">
        <f>"SIEW                     DARRICK                  "</f>
        <v xml:space="preserve">SIEW                     DARRICK                  </v>
      </c>
      <c r="E8672" t="str">
        <f>"BATESVILLE                "</f>
        <v xml:space="preserve">BATESVILLE                </v>
      </c>
      <c r="F8672" t="str">
        <f t="shared" si="261"/>
        <v>MS</v>
      </c>
    </row>
    <row r="8673" spans="1:6" x14ac:dyDescent="0.25">
      <c r="A8673" t="str">
        <f>"002085000"</f>
        <v>002085000</v>
      </c>
      <c r="B8673" t="str">
        <f>"1568002145"</f>
        <v>1568002145</v>
      </c>
      <c r="C8673" t="str">
        <f>"363L00000X"</f>
        <v>363L00000X</v>
      </c>
      <c r="D8673" t="str">
        <f>"MOORE                    SHARRON      S           "</f>
        <v xml:space="preserve">MOORE                    SHARRON      S           </v>
      </c>
      <c r="E8673" t="str">
        <f>"ITTA BENA                 "</f>
        <v xml:space="preserve">ITTA BENA                 </v>
      </c>
      <c r="F8673" t="str">
        <f t="shared" si="261"/>
        <v>MS</v>
      </c>
    </row>
    <row r="8674" spans="1:6" x14ac:dyDescent="0.25">
      <c r="A8674" t="str">
        <f>"002085293"</f>
        <v>002085293</v>
      </c>
      <c r="B8674" t="str">
        <f>"1316466519"</f>
        <v>1316466519</v>
      </c>
      <c r="C8674" t="str">
        <f>"367500000X"</f>
        <v>367500000X</v>
      </c>
      <c r="D8674" t="str">
        <f>"COGGIN                   MARISSA      L           "</f>
        <v xml:space="preserve">COGGIN                   MARISSA      L           </v>
      </c>
      <c r="E8674" t="str">
        <f>"OCEAN SPRINGS             "</f>
        <v xml:space="preserve">OCEAN SPRINGS             </v>
      </c>
      <c r="F8674" t="str">
        <f t="shared" si="261"/>
        <v>MS</v>
      </c>
    </row>
    <row r="8675" spans="1:6" x14ac:dyDescent="0.25">
      <c r="A8675" t="str">
        <f>"002085595"</f>
        <v>002085595</v>
      </c>
      <c r="B8675" t="str">
        <f>"1699358739"</f>
        <v>1699358739</v>
      </c>
      <c r="C8675" t="str">
        <f>"122300000X"</f>
        <v>122300000X</v>
      </c>
      <c r="D8675" t="str">
        <f>"HERITAGE FAMILY DENTAL                            "</f>
        <v xml:space="preserve">HERITAGE FAMILY DENTAL                            </v>
      </c>
      <c r="E8675" t="str">
        <f>"QUITMAN                   "</f>
        <v xml:space="preserve">QUITMAN                   </v>
      </c>
      <c r="F8675" t="str">
        <f t="shared" si="261"/>
        <v>MS</v>
      </c>
    </row>
    <row r="8676" spans="1:6" x14ac:dyDescent="0.25">
      <c r="A8676" t="str">
        <f>"002085743"</f>
        <v>002085743</v>
      </c>
      <c r="B8676" t="str">
        <f>"1679107650"</f>
        <v>1679107650</v>
      </c>
      <c r="C8676" t="str">
        <f>"363L00000X"</f>
        <v>363L00000X</v>
      </c>
      <c r="D8676" t="str">
        <f>"SWITCHER                 VICTORIA     P           "</f>
        <v xml:space="preserve">SWITCHER                 VICTORIA     P           </v>
      </c>
      <c r="E8676" t="str">
        <f>"BOONEVILLE                "</f>
        <v xml:space="preserve">BOONEVILLE                </v>
      </c>
      <c r="F8676" t="str">
        <f t="shared" si="261"/>
        <v>MS</v>
      </c>
    </row>
    <row r="8677" spans="1:6" x14ac:dyDescent="0.25">
      <c r="A8677" t="str">
        <f>"002086755"</f>
        <v>002086755</v>
      </c>
      <c r="B8677" t="str">
        <f>"1518382472"</f>
        <v>1518382472</v>
      </c>
      <c r="C8677" t="str">
        <f>"208600000X"</f>
        <v>208600000X</v>
      </c>
      <c r="D8677" t="str">
        <f>"DEFATTA                  JASON                    "</f>
        <v xml:space="preserve">DEFATTA                  JASON                    </v>
      </c>
      <c r="E8677" t="str">
        <f>"MERIDIAN                  "</f>
        <v xml:space="preserve">MERIDIAN                  </v>
      </c>
      <c r="F8677" t="str">
        <f t="shared" si="261"/>
        <v>MS</v>
      </c>
    </row>
    <row r="8678" spans="1:6" x14ac:dyDescent="0.25">
      <c r="A8678" t="str">
        <f>"002086807"</f>
        <v>002086807</v>
      </c>
      <c r="B8678" t="str">
        <f>"1831524909"</f>
        <v>1831524909</v>
      </c>
      <c r="C8678" t="str">
        <f>"363L00000X"</f>
        <v>363L00000X</v>
      </c>
      <c r="D8678" t="str">
        <f>"JOINER                   LACEY        A           "</f>
        <v xml:space="preserve">JOINER                   LACEY        A           </v>
      </c>
      <c r="E8678" t="str">
        <f>"BATESVILLE                "</f>
        <v xml:space="preserve">BATESVILLE                </v>
      </c>
      <c r="F8678" t="str">
        <f t="shared" si="261"/>
        <v>MS</v>
      </c>
    </row>
    <row r="8679" spans="1:6" x14ac:dyDescent="0.25">
      <c r="A8679" t="str">
        <f>"002087008"</f>
        <v>002087008</v>
      </c>
      <c r="B8679" t="str">
        <f>"1396973863"</f>
        <v>1396973863</v>
      </c>
      <c r="C8679" t="str">
        <f>"207Q00000X"</f>
        <v>207Q00000X</v>
      </c>
      <c r="D8679" t="str">
        <f>"BOX                      SAMUEL       K           "</f>
        <v xml:space="preserve">BOX                      SAMUEL       K           </v>
      </c>
      <c r="E8679" t="str">
        <f>"COLUMBUS                  "</f>
        <v xml:space="preserve">COLUMBUS                  </v>
      </c>
      <c r="F8679" t="str">
        <f t="shared" si="261"/>
        <v>MS</v>
      </c>
    </row>
    <row r="8680" spans="1:6" x14ac:dyDescent="0.25">
      <c r="A8680" t="str">
        <f>"002100599"</f>
        <v>002100599</v>
      </c>
      <c r="B8680" t="str">
        <f>"1649756461"</f>
        <v>1649756461</v>
      </c>
      <c r="C8680" t="str">
        <f>"208000000X"</f>
        <v>208000000X</v>
      </c>
      <c r="D8680" t="str">
        <f>"NWOSU                    ADAKU                    "</f>
        <v xml:space="preserve">NWOSU                    ADAKU                    </v>
      </c>
      <c r="E8680" t="str">
        <f>"LAUREL                    "</f>
        <v xml:space="preserve">LAUREL                    </v>
      </c>
      <c r="F8680" t="str">
        <f t="shared" si="261"/>
        <v>MS</v>
      </c>
    </row>
    <row r="8681" spans="1:6" x14ac:dyDescent="0.25">
      <c r="A8681" t="str">
        <f>"002102268"</f>
        <v>002102268</v>
      </c>
      <c r="B8681" t="str">
        <f>"1013132406"</f>
        <v>1013132406</v>
      </c>
      <c r="C8681" t="str">
        <f>"2086X0206X"</f>
        <v>2086X0206X</v>
      </c>
      <c r="D8681" t="str">
        <f>"ORR                      WAYNE        S           "</f>
        <v xml:space="preserve">ORR                      WAYNE        S           </v>
      </c>
      <c r="E8681" t="str">
        <f>"MCCOMB                    "</f>
        <v xml:space="preserve">MCCOMB                    </v>
      </c>
      <c r="F8681" t="str">
        <f t="shared" si="261"/>
        <v>MS</v>
      </c>
    </row>
    <row r="8682" spans="1:6" x14ac:dyDescent="0.25">
      <c r="A8682" t="str">
        <f>"002102577"</f>
        <v>002102577</v>
      </c>
      <c r="B8682" t="str">
        <f>"1699310854"</f>
        <v>1699310854</v>
      </c>
      <c r="C8682" t="str">
        <f>"363L00000X"</f>
        <v>363L00000X</v>
      </c>
      <c r="D8682" t="str">
        <f>"HILL                     SIDNEY                   "</f>
        <v xml:space="preserve">HILL                     SIDNEY                   </v>
      </c>
      <c r="E8682" t="str">
        <f>"PHILADELPHIA              "</f>
        <v xml:space="preserve">PHILADELPHIA              </v>
      </c>
      <c r="F8682" t="str">
        <f t="shared" si="261"/>
        <v>MS</v>
      </c>
    </row>
    <row r="8683" spans="1:6" x14ac:dyDescent="0.25">
      <c r="A8683" t="str">
        <f>"002102790"</f>
        <v>002102790</v>
      </c>
      <c r="B8683" t="str">
        <f>"1184940405"</f>
        <v>1184940405</v>
      </c>
      <c r="C8683" t="str">
        <f>"208100000X"</f>
        <v>208100000X</v>
      </c>
      <c r="D8683" t="str">
        <f>"ABRAMS JR                WINFRED      B           "</f>
        <v xml:space="preserve">ABRAMS JR                WINFRED      B           </v>
      </c>
      <c r="E8683" t="str">
        <f>"SOUTHAVEN                 "</f>
        <v xml:space="preserve">SOUTHAVEN                 </v>
      </c>
      <c r="F8683" t="str">
        <f t="shared" si="261"/>
        <v>MS</v>
      </c>
    </row>
    <row r="8684" spans="1:6" x14ac:dyDescent="0.25">
      <c r="A8684" t="str">
        <f>"002102891"</f>
        <v>002102891</v>
      </c>
      <c r="B8684" t="str">
        <f>"1922049980"</f>
        <v>1922049980</v>
      </c>
      <c r="C8684" t="str">
        <f>"363L00000X"</f>
        <v>363L00000X</v>
      </c>
      <c r="D8684" t="str">
        <f>"LADNER                   CHRISTIE     A           "</f>
        <v xml:space="preserve">LADNER                   CHRISTIE     A           </v>
      </c>
      <c r="E8684" t="str">
        <f>"HATTIESBURG               "</f>
        <v xml:space="preserve">HATTIESBURG               </v>
      </c>
      <c r="F8684" t="str">
        <f t="shared" si="261"/>
        <v>MS</v>
      </c>
    </row>
    <row r="8685" spans="1:6" x14ac:dyDescent="0.25">
      <c r="A8685" t="str">
        <f>"002103518"</f>
        <v>002103518</v>
      </c>
      <c r="B8685" t="str">
        <f>"1699754572"</f>
        <v>1699754572</v>
      </c>
      <c r="C8685" t="str">
        <f>"207P00000X"</f>
        <v>207P00000X</v>
      </c>
      <c r="D8685" t="str">
        <f>"TISDALE                  BRETT        B           "</f>
        <v xml:space="preserve">TISDALE                  BRETT        B           </v>
      </c>
      <c r="E8685" t="str">
        <f>"MCCOMB                    "</f>
        <v xml:space="preserve">MCCOMB                    </v>
      </c>
      <c r="F8685" t="str">
        <f t="shared" si="261"/>
        <v>MS</v>
      </c>
    </row>
    <row r="8686" spans="1:6" x14ac:dyDescent="0.25">
      <c r="A8686" t="str">
        <f>"002103557"</f>
        <v>002103557</v>
      </c>
      <c r="B8686" t="str">
        <f>"1609322205"</f>
        <v>1609322205</v>
      </c>
      <c r="C8686" t="str">
        <f>"261QR1300X"</f>
        <v>261QR1300X</v>
      </c>
      <c r="D8686" t="str">
        <f>"TUTWILER CLINIC                                   "</f>
        <v xml:space="preserve">TUTWILER CLINIC                                   </v>
      </c>
      <c r="E8686" t="str">
        <f>"TUTWILER                  "</f>
        <v xml:space="preserve">TUTWILER                  </v>
      </c>
      <c r="F8686" t="str">
        <f t="shared" si="261"/>
        <v>MS</v>
      </c>
    </row>
    <row r="8687" spans="1:6" x14ac:dyDescent="0.25">
      <c r="A8687" t="str">
        <f>"002104220"</f>
        <v>002104220</v>
      </c>
      <c r="B8687" t="str">
        <f>"1194967794"</f>
        <v>1194967794</v>
      </c>
      <c r="C8687" t="str">
        <f>"363L00000X"</f>
        <v>363L00000X</v>
      </c>
      <c r="D8687" t="str">
        <f>"TOUCHSTONE               AMBER        L           "</f>
        <v xml:space="preserve">TOUCHSTONE               AMBER        L           </v>
      </c>
      <c r="E8687" t="str">
        <f>"LAUREL                    "</f>
        <v xml:space="preserve">LAUREL                    </v>
      </c>
      <c r="F8687" t="str">
        <f t="shared" si="261"/>
        <v>MS</v>
      </c>
    </row>
    <row r="8688" spans="1:6" x14ac:dyDescent="0.25">
      <c r="A8688" t="str">
        <f>"002105259"</f>
        <v>002105259</v>
      </c>
      <c r="B8688" t="str">
        <f>"1760724520"</f>
        <v>1760724520</v>
      </c>
      <c r="C8688" t="str">
        <f>"207R00000X"</f>
        <v>207R00000X</v>
      </c>
      <c r="D8688" t="str">
        <f>"ESTARIS                  ROLAND       R           "</f>
        <v xml:space="preserve">ESTARIS                  ROLAND       R           </v>
      </c>
      <c r="E8688" t="str">
        <f>"HATTIESBURG               "</f>
        <v xml:space="preserve">HATTIESBURG               </v>
      </c>
      <c r="F8688" t="str">
        <f t="shared" si="261"/>
        <v>MS</v>
      </c>
    </row>
    <row r="8689" spans="1:6" x14ac:dyDescent="0.25">
      <c r="A8689" t="str">
        <f>"002105756"</f>
        <v>002105756</v>
      </c>
      <c r="B8689" t="str">
        <f>"1073055695"</f>
        <v>1073055695</v>
      </c>
      <c r="C8689" t="str">
        <f>"363L00000X"</f>
        <v>363L00000X</v>
      </c>
      <c r="D8689" t="str">
        <f>"LEWIS                    KAYLON                   "</f>
        <v xml:space="preserve">LEWIS                    KAYLON                   </v>
      </c>
      <c r="E8689" t="str">
        <f>"HATTIESBURG               "</f>
        <v xml:space="preserve">HATTIESBURG               </v>
      </c>
      <c r="F8689" t="str">
        <f t="shared" si="261"/>
        <v>MS</v>
      </c>
    </row>
    <row r="8690" spans="1:6" x14ac:dyDescent="0.25">
      <c r="A8690" t="str">
        <f>"002105835"</f>
        <v>002105835</v>
      </c>
      <c r="B8690" t="str">
        <f>"1740798164"</f>
        <v>1740798164</v>
      </c>
      <c r="C8690" t="str">
        <f>"363L00000X"</f>
        <v>363L00000X</v>
      </c>
      <c r="D8690" t="str">
        <f>"MCCRAY                   LAUREN       S           "</f>
        <v xml:space="preserve">MCCRAY                   LAUREN       S           </v>
      </c>
      <c r="E8690" t="str">
        <f>"MERIDIAN                  "</f>
        <v xml:space="preserve">MERIDIAN                  </v>
      </c>
      <c r="F8690" t="str">
        <f t="shared" si="261"/>
        <v>MS</v>
      </c>
    </row>
    <row r="8691" spans="1:6" x14ac:dyDescent="0.25">
      <c r="A8691" t="str">
        <f>"002106525"</f>
        <v>002106525</v>
      </c>
      <c r="B8691" t="str">
        <f>"1467051029"</f>
        <v>1467051029</v>
      </c>
      <c r="C8691" t="str">
        <f>"363L00000X"</f>
        <v>363L00000X</v>
      </c>
      <c r="D8691" t="str">
        <f>"BLACKARD                 KATRINA      M           "</f>
        <v xml:space="preserve">BLACKARD                 KATRINA      M           </v>
      </c>
      <c r="E8691" t="str">
        <f>"SOUTHAVEN                 "</f>
        <v xml:space="preserve">SOUTHAVEN                 </v>
      </c>
      <c r="F8691" t="str">
        <f t="shared" si="261"/>
        <v>MS</v>
      </c>
    </row>
    <row r="8692" spans="1:6" x14ac:dyDescent="0.25">
      <c r="A8692" t="str">
        <f>"002107231"</f>
        <v>002107231</v>
      </c>
      <c r="B8692" t="str">
        <f>"1457462020"</f>
        <v>1457462020</v>
      </c>
      <c r="C8692" t="str">
        <f>"207R00000X"</f>
        <v>207R00000X</v>
      </c>
      <c r="D8692" t="str">
        <f>"COLVILLE                 AMBER        D           "</f>
        <v xml:space="preserve">COLVILLE                 AMBER        D           </v>
      </c>
      <c r="E8692" t="str">
        <f>"OCEAN SPRINGS             "</f>
        <v xml:space="preserve">OCEAN SPRINGS             </v>
      </c>
      <c r="F8692" t="str">
        <f t="shared" si="261"/>
        <v>MS</v>
      </c>
    </row>
    <row r="8693" spans="1:6" x14ac:dyDescent="0.25">
      <c r="A8693" t="str">
        <f>"002107262"</f>
        <v>002107262</v>
      </c>
      <c r="B8693" t="str">
        <f>"1083024558"</f>
        <v>1083024558</v>
      </c>
      <c r="C8693" t="str">
        <f>"207R00000X"</f>
        <v>207R00000X</v>
      </c>
      <c r="D8693" t="str">
        <f>"CARTER                   APRIL                    "</f>
        <v xml:space="preserve">CARTER                   APRIL                    </v>
      </c>
      <c r="E8693" t="str">
        <f>"TUPELO                    "</f>
        <v xml:space="preserve">TUPELO                    </v>
      </c>
      <c r="F8693" t="str">
        <f t="shared" si="261"/>
        <v>MS</v>
      </c>
    </row>
    <row r="8694" spans="1:6" x14ac:dyDescent="0.25">
      <c r="A8694" t="str">
        <f>"002108317"</f>
        <v>002108317</v>
      </c>
      <c r="B8694" t="str">
        <f>"1639119589"</f>
        <v>1639119589</v>
      </c>
      <c r="C8694" t="str">
        <f>"207RX0202X"</f>
        <v>207RX0202X</v>
      </c>
      <c r="D8694" t="str">
        <f>"BAKER                    JUSTIN       T           "</f>
        <v xml:space="preserve">BAKER                    JUSTIN       T           </v>
      </c>
      <c r="E8694" t="str">
        <f>"JACKSON                   "</f>
        <v xml:space="preserve">JACKSON                   </v>
      </c>
      <c r="F8694" t="str">
        <f t="shared" si="261"/>
        <v>MS</v>
      </c>
    </row>
    <row r="8695" spans="1:6" x14ac:dyDescent="0.25">
      <c r="A8695" t="str">
        <f>"002121003"</f>
        <v>002121003</v>
      </c>
      <c r="B8695" t="str">
        <f>"1700316536"</f>
        <v>1700316536</v>
      </c>
      <c r="C8695" t="str">
        <f>"363L00000X"</f>
        <v>363L00000X</v>
      </c>
      <c r="D8695" t="str">
        <f>"PATEL                    BHAVIK       S           "</f>
        <v xml:space="preserve">PATEL                    BHAVIK       S           </v>
      </c>
      <c r="E8695" t="str">
        <f>"MCCOMB                    "</f>
        <v xml:space="preserve">MCCOMB                    </v>
      </c>
      <c r="F8695" t="str">
        <f t="shared" si="261"/>
        <v>MS</v>
      </c>
    </row>
    <row r="8696" spans="1:6" x14ac:dyDescent="0.25">
      <c r="A8696" t="str">
        <f>"002121230"</f>
        <v>002121230</v>
      </c>
      <c r="B8696" t="str">
        <f>"1790752640"</f>
        <v>1790752640</v>
      </c>
      <c r="C8696" t="str">
        <f>"207L00000X"</f>
        <v>207L00000X</v>
      </c>
      <c r="D8696" t="str">
        <f>"GRAHAM                   TANITH       M           "</f>
        <v xml:space="preserve">GRAHAM                   TANITH       M           </v>
      </c>
      <c r="E8696" t="str">
        <f>"JACKSON                   "</f>
        <v xml:space="preserve">JACKSON                   </v>
      </c>
      <c r="F8696" t="str">
        <f t="shared" si="261"/>
        <v>MS</v>
      </c>
    </row>
    <row r="8697" spans="1:6" x14ac:dyDescent="0.25">
      <c r="A8697" t="str">
        <f>"002121307"</f>
        <v>002121307</v>
      </c>
      <c r="B8697" t="str">
        <f>"1548938764"</f>
        <v>1548938764</v>
      </c>
      <c r="C8697" t="str">
        <f>"363L00000X"</f>
        <v>363L00000X</v>
      </c>
      <c r="D8697" t="str">
        <f>"HUFFMAN                  KAYLEY                   "</f>
        <v xml:space="preserve">HUFFMAN                  KAYLEY                   </v>
      </c>
      <c r="E8697" t="str">
        <f>"BATESVILLE                "</f>
        <v xml:space="preserve">BATESVILLE                </v>
      </c>
      <c r="F8697" t="str">
        <f t="shared" si="261"/>
        <v>MS</v>
      </c>
    </row>
    <row r="8698" spans="1:6" x14ac:dyDescent="0.25">
      <c r="A8698" t="str">
        <f>"002123058"</f>
        <v>002123058</v>
      </c>
      <c r="B8698" t="str">
        <f>"1881846681"</f>
        <v>1881846681</v>
      </c>
      <c r="C8698" t="str">
        <f>"363L00000X"</f>
        <v>363L00000X</v>
      </c>
      <c r="D8698" t="str">
        <f>"GATWOOD                  LISA         B           "</f>
        <v xml:space="preserve">GATWOOD                  LISA         B           </v>
      </c>
      <c r="E8698" t="str">
        <f>"HATTIESBURG               "</f>
        <v xml:space="preserve">HATTIESBURG               </v>
      </c>
      <c r="F8698" t="str">
        <f t="shared" si="261"/>
        <v>MS</v>
      </c>
    </row>
    <row r="8699" spans="1:6" x14ac:dyDescent="0.25">
      <c r="A8699" t="str">
        <f>"002124789"</f>
        <v>002124789</v>
      </c>
      <c r="B8699" t="str">
        <f>"1922237965"</f>
        <v>1922237965</v>
      </c>
      <c r="C8699" t="str">
        <f>"207V00000X"</f>
        <v>207V00000X</v>
      </c>
      <c r="D8699" t="str">
        <f>"MCGEHEE                  BRANDI       S           "</f>
        <v xml:space="preserve">MCGEHEE                  BRANDI       S           </v>
      </c>
      <c r="E8699" t="str">
        <f>"TUPELO                    "</f>
        <v xml:space="preserve">TUPELO                    </v>
      </c>
      <c r="F8699" t="str">
        <f t="shared" si="261"/>
        <v>MS</v>
      </c>
    </row>
    <row r="8700" spans="1:6" x14ac:dyDescent="0.25">
      <c r="A8700" t="str">
        <f>"002125390"</f>
        <v>002125390</v>
      </c>
      <c r="B8700" t="str">
        <f>"1316477607"</f>
        <v>1316477607</v>
      </c>
      <c r="C8700" t="str">
        <f>"207Q00000X"</f>
        <v>207Q00000X</v>
      </c>
      <c r="D8700" t="str">
        <f>"MORGAN                   WILLIAM      L           "</f>
        <v xml:space="preserve">MORGAN                   WILLIAM      L           </v>
      </c>
      <c r="E8700" t="str">
        <f>"HOUSTON                   "</f>
        <v xml:space="preserve">HOUSTON                   </v>
      </c>
      <c r="F8700" t="str">
        <f t="shared" si="261"/>
        <v>MS</v>
      </c>
    </row>
    <row r="8701" spans="1:6" x14ac:dyDescent="0.25">
      <c r="A8701" t="str">
        <f>"002125899"</f>
        <v>002125899</v>
      </c>
      <c r="B8701" t="str">
        <f>"1629291919"</f>
        <v>1629291919</v>
      </c>
      <c r="C8701" t="str">
        <f>"208600000X"</f>
        <v>208600000X</v>
      </c>
      <c r="D8701" t="str">
        <f>"KIRK                     HENRY        A           "</f>
        <v xml:space="preserve">KIRK                     HENRY        A           </v>
      </c>
      <c r="E8701" t="str">
        <f>"OXFORD                    "</f>
        <v xml:space="preserve">OXFORD                    </v>
      </c>
      <c r="F8701" t="str">
        <f t="shared" si="261"/>
        <v>MS</v>
      </c>
    </row>
    <row r="8702" spans="1:6" x14ac:dyDescent="0.25">
      <c r="A8702" t="str">
        <f>"002126508"</f>
        <v>002126508</v>
      </c>
      <c r="B8702" t="str">
        <f>"1457768814"</f>
        <v>1457768814</v>
      </c>
      <c r="C8702" t="str">
        <f>"261QA0600X"</f>
        <v>261QA0600X</v>
      </c>
      <c r="D8702" t="str">
        <f>"GENESIS AND LIGHT CENTER                          "</f>
        <v xml:space="preserve">GENESIS AND LIGHT CENTER                          </v>
      </c>
      <c r="E8702" t="str">
        <f>"JACKSON                   "</f>
        <v xml:space="preserve">JACKSON                   </v>
      </c>
      <c r="F8702" t="str">
        <f t="shared" ref="F8702:F8765" si="262">"MS"</f>
        <v>MS</v>
      </c>
    </row>
    <row r="8703" spans="1:6" x14ac:dyDescent="0.25">
      <c r="A8703" t="str">
        <f>"002126789"</f>
        <v>002126789</v>
      </c>
      <c r="B8703" t="str">
        <f>"1861695264"</f>
        <v>1861695264</v>
      </c>
      <c r="C8703" t="str">
        <f>"207X00000X"</f>
        <v>207X00000X</v>
      </c>
      <c r="D8703" t="str">
        <f>"CALVERT                  GRAHAM       C           "</f>
        <v xml:space="preserve">CALVERT                  GRAHAM       C           </v>
      </c>
      <c r="E8703" t="str">
        <f>"JACKSON                   "</f>
        <v xml:space="preserve">JACKSON                   </v>
      </c>
      <c r="F8703" t="str">
        <f t="shared" si="262"/>
        <v>MS</v>
      </c>
    </row>
    <row r="8704" spans="1:6" x14ac:dyDescent="0.25">
      <c r="A8704" t="str">
        <f>"002127578"</f>
        <v>002127578</v>
      </c>
      <c r="B8704" t="str">
        <f>"1336677624"</f>
        <v>1336677624</v>
      </c>
      <c r="C8704" t="str">
        <f>"363L00000X"</f>
        <v>363L00000X</v>
      </c>
      <c r="D8704" t="str">
        <f>"MARINO                   WENDY        N           "</f>
        <v xml:space="preserve">MARINO                   WENDY        N           </v>
      </c>
      <c r="E8704" t="str">
        <f>"JACKSON                   "</f>
        <v xml:space="preserve">JACKSON                   </v>
      </c>
      <c r="F8704" t="str">
        <f t="shared" si="262"/>
        <v>MS</v>
      </c>
    </row>
    <row r="8705" spans="1:6" x14ac:dyDescent="0.25">
      <c r="A8705" t="str">
        <f>"002127769"</f>
        <v>002127769</v>
      </c>
      <c r="B8705" t="str">
        <f>"1134333255"</f>
        <v>1134333255</v>
      </c>
      <c r="C8705" t="str">
        <f>"208600000X"</f>
        <v>208600000X</v>
      </c>
      <c r="D8705" t="str">
        <f>"STEWART                  MICHAEL      A           "</f>
        <v xml:space="preserve">STEWART                  MICHAEL      A           </v>
      </c>
      <c r="E8705" t="str">
        <f>"BROOKHAVEN                "</f>
        <v xml:space="preserve">BROOKHAVEN                </v>
      </c>
      <c r="F8705" t="str">
        <f t="shared" si="262"/>
        <v>MS</v>
      </c>
    </row>
    <row r="8706" spans="1:6" x14ac:dyDescent="0.25">
      <c r="A8706" t="str">
        <f>"002128279"</f>
        <v>002128279</v>
      </c>
      <c r="B8706" t="str">
        <f>"1003465352"</f>
        <v>1003465352</v>
      </c>
      <c r="C8706" t="str">
        <f>"363L00000X"</f>
        <v>363L00000X</v>
      </c>
      <c r="D8706" t="str">
        <f>"BUCKNER                  EBONIQUE     M           "</f>
        <v xml:space="preserve">BUCKNER                  EBONIQUE     M           </v>
      </c>
      <c r="E8706" t="str">
        <f>"RIDGELAND                 "</f>
        <v xml:space="preserve">RIDGELAND                 </v>
      </c>
      <c r="F8706" t="str">
        <f t="shared" si="262"/>
        <v>MS</v>
      </c>
    </row>
    <row r="8707" spans="1:6" x14ac:dyDescent="0.25">
      <c r="A8707" t="str">
        <f>"002128522"</f>
        <v>002128522</v>
      </c>
      <c r="B8707" t="str">
        <f>"1356995682"</f>
        <v>1356995682</v>
      </c>
      <c r="C8707" t="str">
        <f>"363L00000X"</f>
        <v>363L00000X</v>
      </c>
      <c r="D8707" t="str">
        <f>"HILL                     JENNIFER     A           "</f>
        <v xml:space="preserve">HILL                     JENNIFER     A           </v>
      </c>
      <c r="E8707" t="str">
        <f>"MERIDIAN                  "</f>
        <v xml:space="preserve">MERIDIAN                  </v>
      </c>
      <c r="F8707" t="str">
        <f t="shared" si="262"/>
        <v>MS</v>
      </c>
    </row>
    <row r="8708" spans="1:6" x14ac:dyDescent="0.25">
      <c r="A8708" t="str">
        <f>"002133068"</f>
        <v>002133068</v>
      </c>
      <c r="B8708" t="str">
        <f>"1891334215"</f>
        <v>1891334215</v>
      </c>
      <c r="C8708" t="str">
        <f>"367500000X"</f>
        <v>367500000X</v>
      </c>
      <c r="D8708" t="str">
        <f>"TULLOS                   BRANDON      S           "</f>
        <v xml:space="preserve">TULLOS                   BRANDON      S           </v>
      </c>
      <c r="E8708" t="str">
        <f>"LAUREL                    "</f>
        <v xml:space="preserve">LAUREL                    </v>
      </c>
      <c r="F8708" t="str">
        <f t="shared" si="262"/>
        <v>MS</v>
      </c>
    </row>
    <row r="8709" spans="1:6" x14ac:dyDescent="0.25">
      <c r="A8709" t="str">
        <f>"002134784"</f>
        <v>002134784</v>
      </c>
      <c r="B8709" t="str">
        <f>"1790417251"</f>
        <v>1790417251</v>
      </c>
      <c r="C8709" t="str">
        <f>"207Q00000X"</f>
        <v>207Q00000X</v>
      </c>
      <c r="D8709" t="str">
        <f>"MILES                    JENNI        K           "</f>
        <v xml:space="preserve">MILES                    JENNI        K           </v>
      </c>
      <c r="E8709" t="str">
        <f>"TUPELO                    "</f>
        <v xml:space="preserve">TUPELO                    </v>
      </c>
      <c r="F8709" t="str">
        <f t="shared" si="262"/>
        <v>MS</v>
      </c>
    </row>
    <row r="8710" spans="1:6" x14ac:dyDescent="0.25">
      <c r="A8710" t="str">
        <f>"002136002"</f>
        <v>002136002</v>
      </c>
      <c r="B8710" t="str">
        <f>"1164794178"</f>
        <v>1164794178</v>
      </c>
      <c r="C8710" t="str">
        <f>"363L00000X"</f>
        <v>363L00000X</v>
      </c>
      <c r="D8710" t="str">
        <f>"BUNYARD                  HEATHER      D           "</f>
        <v xml:space="preserve">BUNYARD                  HEATHER      D           </v>
      </c>
      <c r="E8710" t="str">
        <f>"MERIDIAN                  "</f>
        <v xml:space="preserve">MERIDIAN                  </v>
      </c>
      <c r="F8710" t="str">
        <f t="shared" si="262"/>
        <v>MS</v>
      </c>
    </row>
    <row r="8711" spans="1:6" x14ac:dyDescent="0.25">
      <c r="A8711" t="str">
        <f>"002136590"</f>
        <v>002136590</v>
      </c>
      <c r="B8711" t="str">
        <f>"1558772558"</f>
        <v>1558772558</v>
      </c>
      <c r="C8711" t="str">
        <f>"208000000X"</f>
        <v>208000000X</v>
      </c>
      <c r="D8711" t="str">
        <f>"SCOGGIN                  DARREN       T           "</f>
        <v xml:space="preserve">SCOGGIN                  DARREN       T           </v>
      </c>
      <c r="E8711" t="str">
        <f>"JACKSON                   "</f>
        <v xml:space="preserve">JACKSON                   </v>
      </c>
      <c r="F8711" t="str">
        <f t="shared" si="262"/>
        <v>MS</v>
      </c>
    </row>
    <row r="8712" spans="1:6" x14ac:dyDescent="0.25">
      <c r="A8712" t="str">
        <f>"002137218"</f>
        <v>002137218</v>
      </c>
      <c r="B8712" t="str">
        <f>"1073007688"</f>
        <v>1073007688</v>
      </c>
      <c r="C8712" t="str">
        <f>"207Q00000X"</f>
        <v>207Q00000X</v>
      </c>
      <c r="D8712" t="str">
        <f>"GUNTHARP                 ADAM         M           "</f>
        <v xml:space="preserve">GUNTHARP                 ADAM         M           </v>
      </c>
      <c r="E8712" t="str">
        <f>"ECRU                      "</f>
        <v xml:space="preserve">ECRU                      </v>
      </c>
      <c r="F8712" t="str">
        <f t="shared" si="262"/>
        <v>MS</v>
      </c>
    </row>
    <row r="8713" spans="1:6" x14ac:dyDescent="0.25">
      <c r="A8713" t="str">
        <f>"002137226"</f>
        <v>002137226</v>
      </c>
      <c r="B8713" t="str">
        <f>"1003107194"</f>
        <v>1003107194</v>
      </c>
      <c r="C8713" t="str">
        <f>"363L00000X"</f>
        <v>363L00000X</v>
      </c>
      <c r="D8713" t="str">
        <f>"WHITNEY                  KAREN        M           "</f>
        <v xml:space="preserve">WHITNEY                  KAREN        M           </v>
      </c>
      <c r="E8713" t="str">
        <f>"MAGEE                     "</f>
        <v xml:space="preserve">MAGEE                     </v>
      </c>
      <c r="F8713" t="str">
        <f t="shared" si="262"/>
        <v>MS</v>
      </c>
    </row>
    <row r="8714" spans="1:6" x14ac:dyDescent="0.25">
      <c r="A8714" t="str">
        <f>"002137839"</f>
        <v>002137839</v>
      </c>
      <c r="B8714" t="str">
        <f>"1407081862"</f>
        <v>1407081862</v>
      </c>
      <c r="C8714" t="str">
        <f>"363L00000X"</f>
        <v>363L00000X</v>
      </c>
      <c r="D8714" t="str">
        <f>"COLLADO                  JERRY        C           "</f>
        <v xml:space="preserve">COLLADO                  JERRY        C           </v>
      </c>
      <c r="E8714" t="str">
        <f>"JACKSON                   "</f>
        <v xml:space="preserve">JACKSON                   </v>
      </c>
      <c r="F8714" t="str">
        <f t="shared" si="262"/>
        <v>MS</v>
      </c>
    </row>
    <row r="8715" spans="1:6" x14ac:dyDescent="0.25">
      <c r="A8715" t="str">
        <f>"002138381"</f>
        <v>002138381</v>
      </c>
      <c r="B8715" t="str">
        <f>"1831849124"</f>
        <v>1831849124</v>
      </c>
      <c r="C8715" t="str">
        <f>"208000000X"</f>
        <v>208000000X</v>
      </c>
      <c r="D8715" t="str">
        <f>"BLAND                    ALISHA                   "</f>
        <v xml:space="preserve">BLAND                    ALISHA                   </v>
      </c>
      <c r="E8715" t="str">
        <f>"JACKSON                   "</f>
        <v xml:space="preserve">JACKSON                   </v>
      </c>
      <c r="F8715" t="str">
        <f t="shared" si="262"/>
        <v>MS</v>
      </c>
    </row>
    <row r="8716" spans="1:6" x14ac:dyDescent="0.25">
      <c r="A8716" t="str">
        <f>"002150825"</f>
        <v>002150825</v>
      </c>
      <c r="B8716" t="str">
        <f>"1699956565"</f>
        <v>1699956565</v>
      </c>
      <c r="C8716" t="str">
        <f>"122300000X"</f>
        <v>122300000X</v>
      </c>
      <c r="D8716" t="str">
        <f>"RICHARDSON JR            DONNIE       J           "</f>
        <v xml:space="preserve">RICHARDSON JR            DONNIE       J           </v>
      </c>
      <c r="E8716" t="str">
        <f>"COLUMBUS                  "</f>
        <v xml:space="preserve">COLUMBUS                  </v>
      </c>
      <c r="F8716" t="str">
        <f t="shared" si="262"/>
        <v>MS</v>
      </c>
    </row>
    <row r="8717" spans="1:6" x14ac:dyDescent="0.25">
      <c r="A8717" t="str">
        <f>"002152701"</f>
        <v>002152701</v>
      </c>
      <c r="B8717" t="str">
        <f>"1174635700"</f>
        <v>1174635700</v>
      </c>
      <c r="C8717" t="str">
        <f>"152W00000X"</f>
        <v>152W00000X</v>
      </c>
      <c r="D8717" t="str">
        <f>"BATESVILLE VISION CLINIC PA                       "</f>
        <v xml:space="preserve">BATESVILLE VISION CLINIC PA                       </v>
      </c>
      <c r="E8717" t="str">
        <f>"BATESVILLE                "</f>
        <v xml:space="preserve">BATESVILLE                </v>
      </c>
      <c r="F8717" t="str">
        <f t="shared" si="262"/>
        <v>MS</v>
      </c>
    </row>
    <row r="8718" spans="1:6" x14ac:dyDescent="0.25">
      <c r="A8718" t="str">
        <f>"002153552"</f>
        <v>002153552</v>
      </c>
      <c r="B8718" t="str">
        <f>"1912950320"</f>
        <v>1912950320</v>
      </c>
      <c r="C8718" t="str">
        <f>"207RE0101X"</f>
        <v>207RE0101X</v>
      </c>
      <c r="D8718" t="str">
        <f>"PIRACHA                  MUZAFFAR                 "</f>
        <v xml:space="preserve">PIRACHA                  MUZAFFAR                 </v>
      </c>
      <c r="E8718" t="str">
        <f>"OCEAN SPRINGS             "</f>
        <v xml:space="preserve">OCEAN SPRINGS             </v>
      </c>
      <c r="F8718" t="str">
        <f t="shared" si="262"/>
        <v>MS</v>
      </c>
    </row>
    <row r="8719" spans="1:6" x14ac:dyDescent="0.25">
      <c r="A8719" t="str">
        <f>"002153864"</f>
        <v>002153864</v>
      </c>
      <c r="B8719" t="str">
        <f>"1093032542"</f>
        <v>1093032542</v>
      </c>
      <c r="C8719" t="str">
        <f>"207T00000X"</f>
        <v>207T00000X</v>
      </c>
      <c r="D8719" t="str">
        <f>"VANLANDINGHAM            MATTHEW      A           "</f>
        <v xml:space="preserve">VANLANDINGHAM            MATTHEW      A           </v>
      </c>
      <c r="E8719" t="str">
        <f>"FLOWOOD                   "</f>
        <v xml:space="preserve">FLOWOOD                   </v>
      </c>
      <c r="F8719" t="str">
        <f t="shared" si="262"/>
        <v>MS</v>
      </c>
    </row>
    <row r="8720" spans="1:6" x14ac:dyDescent="0.25">
      <c r="A8720" t="str">
        <f>"002154523"</f>
        <v>002154523</v>
      </c>
      <c r="B8720" t="str">
        <f>"1831136175"</f>
        <v>1831136175</v>
      </c>
      <c r="C8720" t="str">
        <f>"208100000X"</f>
        <v>208100000X</v>
      </c>
      <c r="D8720" t="str">
        <f>"BLOUNT                   PHILIP       J           "</f>
        <v xml:space="preserve">BLOUNT                   PHILIP       J           </v>
      </c>
      <c r="E8720" t="str">
        <f>"FLOWOOD                   "</f>
        <v xml:space="preserve">FLOWOOD                   </v>
      </c>
      <c r="F8720" t="str">
        <f t="shared" si="262"/>
        <v>MS</v>
      </c>
    </row>
    <row r="8721" spans="1:6" x14ac:dyDescent="0.25">
      <c r="A8721" t="str">
        <f>"002155395"</f>
        <v>002155395</v>
      </c>
      <c r="B8721" t="str">
        <f>"1063662419"</f>
        <v>1063662419</v>
      </c>
      <c r="C8721" t="str">
        <f>"363L00000X"</f>
        <v>363L00000X</v>
      </c>
      <c r="D8721" t="str">
        <f>"DAVIS                    CHRISTY                  "</f>
        <v xml:space="preserve">DAVIS                    CHRISTY                  </v>
      </c>
      <c r="E8721" t="str">
        <f>"JACKSON                   "</f>
        <v xml:space="preserve">JACKSON                   </v>
      </c>
      <c r="F8721" t="str">
        <f t="shared" si="262"/>
        <v>MS</v>
      </c>
    </row>
    <row r="8722" spans="1:6" x14ac:dyDescent="0.25">
      <c r="A8722" t="str">
        <f>"002155549"</f>
        <v>002155549</v>
      </c>
      <c r="B8722" t="str">
        <f>"1457657363"</f>
        <v>1457657363</v>
      </c>
      <c r="C8722" t="str">
        <f>"261QR1300X"</f>
        <v>261QR1300X</v>
      </c>
      <c r="D8722" t="str">
        <f>"FAMILY MEDICAL GROUP OF BUDE                      "</f>
        <v xml:space="preserve">FAMILY MEDICAL GROUP OF BUDE                      </v>
      </c>
      <c r="E8722" t="str">
        <f>"BUDE                      "</f>
        <v xml:space="preserve">BUDE                      </v>
      </c>
      <c r="F8722" t="str">
        <f t="shared" si="262"/>
        <v>MS</v>
      </c>
    </row>
    <row r="8723" spans="1:6" x14ac:dyDescent="0.25">
      <c r="A8723" t="str">
        <f>"002156061"</f>
        <v>002156061</v>
      </c>
      <c r="B8723" t="str">
        <f>"1033302385"</f>
        <v>1033302385</v>
      </c>
      <c r="C8723" t="str">
        <f>"207X00000X"</f>
        <v>207X00000X</v>
      </c>
      <c r="D8723" t="str">
        <f>"HURT III                 JAMES        A           "</f>
        <v xml:space="preserve">HURT III                 JAMES        A           </v>
      </c>
      <c r="E8723" t="str">
        <f>"COLUMBUS                  "</f>
        <v xml:space="preserve">COLUMBUS                  </v>
      </c>
      <c r="F8723" t="str">
        <f t="shared" si="262"/>
        <v>MS</v>
      </c>
    </row>
    <row r="8724" spans="1:6" x14ac:dyDescent="0.25">
      <c r="A8724" t="str">
        <f>"002157599"</f>
        <v>002157599</v>
      </c>
      <c r="B8724" t="str">
        <f>"1649470147"</f>
        <v>1649470147</v>
      </c>
      <c r="C8724" t="str">
        <f>"207Q00000X"</f>
        <v>207Q00000X</v>
      </c>
      <c r="D8724" t="str">
        <f>"DARBY                    NATHAN       C           "</f>
        <v xml:space="preserve">DARBY                    NATHAN       C           </v>
      </c>
      <c r="E8724" t="str">
        <f>"HATTIESBURG               "</f>
        <v xml:space="preserve">HATTIESBURG               </v>
      </c>
      <c r="F8724" t="str">
        <f t="shared" si="262"/>
        <v>MS</v>
      </c>
    </row>
    <row r="8725" spans="1:6" x14ac:dyDescent="0.25">
      <c r="A8725" t="str">
        <f>"002158255"</f>
        <v>002158255</v>
      </c>
      <c r="B8725" t="str">
        <f>"1912327289"</f>
        <v>1912327289</v>
      </c>
      <c r="C8725" t="str">
        <f>"363L00000X"</f>
        <v>363L00000X</v>
      </c>
      <c r="D8725" t="str">
        <f>"MITCHELL                 JESSICA      K           "</f>
        <v xml:space="preserve">MITCHELL                 JESSICA      K           </v>
      </c>
      <c r="E8725" t="str">
        <f>"GULFPORT                  "</f>
        <v xml:space="preserve">GULFPORT                  </v>
      </c>
      <c r="F8725" t="str">
        <f t="shared" si="262"/>
        <v>MS</v>
      </c>
    </row>
    <row r="8726" spans="1:6" x14ac:dyDescent="0.25">
      <c r="A8726" t="str">
        <f>"002158307"</f>
        <v>002158307</v>
      </c>
      <c r="B8726" t="str">
        <f>"1972530632"</f>
        <v>1972530632</v>
      </c>
      <c r="C8726" t="str">
        <f>"363L00000X"</f>
        <v>363L00000X</v>
      </c>
      <c r="D8726" t="str">
        <f>"ANTHONY                  CLAUDIA      W           "</f>
        <v xml:space="preserve">ANTHONY                  CLAUDIA      W           </v>
      </c>
      <c r="E8726" t="str">
        <f>"BRANDON                   "</f>
        <v xml:space="preserve">BRANDON                   </v>
      </c>
      <c r="F8726" t="str">
        <f t="shared" si="262"/>
        <v>MS</v>
      </c>
    </row>
    <row r="8727" spans="1:6" x14ac:dyDescent="0.25">
      <c r="A8727" t="str">
        <f>"002158350"</f>
        <v>002158350</v>
      </c>
      <c r="B8727" t="str">
        <f>"1417525007"</f>
        <v>1417525007</v>
      </c>
      <c r="C8727" t="str">
        <f>"367500000X"</f>
        <v>367500000X</v>
      </c>
      <c r="D8727" t="str">
        <f>"MOULDS                   JARROD       B           "</f>
        <v xml:space="preserve">MOULDS                   JARROD       B           </v>
      </c>
      <c r="E8727" t="str">
        <f>"MERIDIAN                  "</f>
        <v xml:space="preserve">MERIDIAN                  </v>
      </c>
      <c r="F8727" t="str">
        <f t="shared" si="262"/>
        <v>MS</v>
      </c>
    </row>
    <row r="8728" spans="1:6" x14ac:dyDescent="0.25">
      <c r="A8728" t="str">
        <f>"002159024"</f>
        <v>002159024</v>
      </c>
      <c r="B8728" t="str">
        <f>"1821584244"</f>
        <v>1821584244</v>
      </c>
      <c r="C8728" t="str">
        <f>"261QM1300X"</f>
        <v>261QM1300X</v>
      </c>
      <c r="D8728" t="str">
        <f>"KIMBERLY SAULS LLC                                "</f>
        <v xml:space="preserve">KIMBERLY SAULS LLC                                </v>
      </c>
      <c r="E8728" t="str">
        <f>"PICAYUNE                  "</f>
        <v xml:space="preserve">PICAYUNE                  </v>
      </c>
      <c r="F8728" t="str">
        <f t="shared" si="262"/>
        <v>MS</v>
      </c>
    </row>
    <row r="8729" spans="1:6" x14ac:dyDescent="0.25">
      <c r="A8729" t="str">
        <f>"002159215"</f>
        <v>002159215</v>
      </c>
      <c r="B8729" t="str">
        <f>"1306874268"</f>
        <v>1306874268</v>
      </c>
      <c r="C8729" t="str">
        <f>"207RI0200X"</f>
        <v>207RI0200X</v>
      </c>
      <c r="D8729" t="str">
        <f>"WEBB                     RISA         M           "</f>
        <v xml:space="preserve">WEBB                     RISA         M           </v>
      </c>
      <c r="E8729" t="str">
        <f>"JACKSON                   "</f>
        <v xml:space="preserve">JACKSON                   </v>
      </c>
      <c r="F8729" t="str">
        <f t="shared" si="262"/>
        <v>MS</v>
      </c>
    </row>
    <row r="8730" spans="1:6" x14ac:dyDescent="0.25">
      <c r="A8730" t="str">
        <f>"002170201"</f>
        <v>002170201</v>
      </c>
      <c r="B8730" t="str">
        <f>"1770794190"</f>
        <v>1770794190</v>
      </c>
      <c r="C8730" t="str">
        <f>"367500000X"</f>
        <v>367500000X</v>
      </c>
      <c r="D8730" t="str">
        <f>"BAILEY                   JOHN         T           "</f>
        <v xml:space="preserve">BAILEY                   JOHN         T           </v>
      </c>
      <c r="E8730" t="str">
        <f>"OCEAN SPRINGS             "</f>
        <v xml:space="preserve">OCEAN SPRINGS             </v>
      </c>
      <c r="F8730" t="str">
        <f t="shared" si="262"/>
        <v>MS</v>
      </c>
    </row>
    <row r="8731" spans="1:6" x14ac:dyDescent="0.25">
      <c r="A8731" t="str">
        <f>"002170804"</f>
        <v>002170804</v>
      </c>
      <c r="B8731" t="str">
        <f>"1174567580"</f>
        <v>1174567580</v>
      </c>
      <c r="C8731" t="str">
        <f>"2080P0207X"</f>
        <v>2080P0207X</v>
      </c>
      <c r="D8731" t="str">
        <f>"DAVIS                    DERECK                   "</f>
        <v xml:space="preserve">DAVIS                    DERECK                   </v>
      </c>
      <c r="E8731" t="str">
        <f>"JACKSON                   "</f>
        <v xml:space="preserve">JACKSON                   </v>
      </c>
      <c r="F8731" t="str">
        <f t="shared" si="262"/>
        <v>MS</v>
      </c>
    </row>
    <row r="8732" spans="1:6" x14ac:dyDescent="0.25">
      <c r="A8732" t="str">
        <f>"002171061"</f>
        <v>002171061</v>
      </c>
      <c r="B8732" t="str">
        <f>"1811445414"</f>
        <v>1811445414</v>
      </c>
      <c r="C8732" t="str">
        <f>"363A00000X"</f>
        <v>363A00000X</v>
      </c>
      <c r="D8732" t="str">
        <f>"GUICE                    REBECCA                  "</f>
        <v xml:space="preserve">GUICE                    REBECCA                  </v>
      </c>
      <c r="E8732" t="str">
        <f>"BILOXI                    "</f>
        <v xml:space="preserve">BILOXI                    </v>
      </c>
      <c r="F8732" t="str">
        <f t="shared" si="262"/>
        <v>MS</v>
      </c>
    </row>
    <row r="8733" spans="1:6" x14ac:dyDescent="0.25">
      <c r="A8733" t="str">
        <f>"002171353"</f>
        <v>002171353</v>
      </c>
      <c r="B8733" t="str">
        <f>"1740711233"</f>
        <v>1740711233</v>
      </c>
      <c r="C8733" t="str">
        <f>"261QM1300X"</f>
        <v>261QM1300X</v>
      </c>
      <c r="D8733" t="str">
        <f>"CARING HEARTS COUNSELING SERVICES                 "</f>
        <v xml:space="preserve">CARING HEARTS COUNSELING SERVICES                 </v>
      </c>
      <c r="E8733" t="str">
        <f>"GULFPORT                  "</f>
        <v xml:space="preserve">GULFPORT                  </v>
      </c>
      <c r="F8733" t="str">
        <f t="shared" si="262"/>
        <v>MS</v>
      </c>
    </row>
    <row r="8734" spans="1:6" x14ac:dyDescent="0.25">
      <c r="A8734" t="str">
        <f>"002173754"</f>
        <v>002173754</v>
      </c>
      <c r="B8734" t="str">
        <f>"1477533602"</f>
        <v>1477533602</v>
      </c>
      <c r="C8734" t="str">
        <f>"207R00000X"</f>
        <v>207R00000X</v>
      </c>
      <c r="D8734" t="str">
        <f>"BADVE                    SEEMA        A           "</f>
        <v xml:space="preserve">BADVE                    SEEMA        A           </v>
      </c>
      <c r="E8734" t="str">
        <f>"MOSS POINT                "</f>
        <v xml:space="preserve">MOSS POINT                </v>
      </c>
      <c r="F8734" t="str">
        <f t="shared" si="262"/>
        <v>MS</v>
      </c>
    </row>
    <row r="8735" spans="1:6" x14ac:dyDescent="0.25">
      <c r="A8735" t="str">
        <f>"002175524"</f>
        <v>002175524</v>
      </c>
      <c r="B8735" t="str">
        <f>"1891992061"</f>
        <v>1891992061</v>
      </c>
      <c r="C8735" t="str">
        <f>"207Y00000X"</f>
        <v>207Y00000X</v>
      </c>
      <c r="D8735" t="str">
        <f>"CASE                     RYAN         C           "</f>
        <v xml:space="preserve">CASE                     RYAN         C           </v>
      </c>
      <c r="E8735" t="str">
        <f>"BROOKHAVEN                "</f>
        <v xml:space="preserve">BROOKHAVEN                </v>
      </c>
      <c r="F8735" t="str">
        <f t="shared" si="262"/>
        <v>MS</v>
      </c>
    </row>
    <row r="8736" spans="1:6" x14ac:dyDescent="0.25">
      <c r="A8736" t="str">
        <f>"002176581"</f>
        <v>002176581</v>
      </c>
      <c r="B8736" t="str">
        <f>"1174842330"</f>
        <v>1174842330</v>
      </c>
      <c r="C8736" t="str">
        <f>"207R00000X"</f>
        <v>207R00000X</v>
      </c>
      <c r="D8736" t="str">
        <f>"KUMAR                    HAMIT                    "</f>
        <v xml:space="preserve">KUMAR                    HAMIT                    </v>
      </c>
      <c r="E8736" t="str">
        <f>"LAUREL                    "</f>
        <v xml:space="preserve">LAUREL                    </v>
      </c>
      <c r="F8736" t="str">
        <f t="shared" si="262"/>
        <v>MS</v>
      </c>
    </row>
    <row r="8737" spans="1:6" x14ac:dyDescent="0.25">
      <c r="A8737" t="str">
        <f>"002177211"</f>
        <v>002177211</v>
      </c>
      <c r="B8737" t="str">
        <f>"1841723251"</f>
        <v>1841723251</v>
      </c>
      <c r="C8737" t="str">
        <f>"207R00000X"</f>
        <v>207R00000X</v>
      </c>
      <c r="D8737" t="str">
        <f>"COOLEY                   AMANDA                   "</f>
        <v xml:space="preserve">COOLEY                   AMANDA                   </v>
      </c>
      <c r="E8737" t="str">
        <f>"SEBASTOPOL                "</f>
        <v xml:space="preserve">SEBASTOPOL                </v>
      </c>
      <c r="F8737" t="str">
        <f t="shared" si="262"/>
        <v>MS</v>
      </c>
    </row>
    <row r="8738" spans="1:6" x14ac:dyDescent="0.25">
      <c r="A8738" t="str">
        <f>"002178008"</f>
        <v>002178008</v>
      </c>
      <c r="B8738" t="str">
        <f>"1124682323"</f>
        <v>1124682323</v>
      </c>
      <c r="C8738" t="str">
        <f>"207R00000X"</f>
        <v>207R00000X</v>
      </c>
      <c r="D8738" t="str">
        <f>"TURNAGE                  BRANDON      A           "</f>
        <v xml:space="preserve">TURNAGE                  BRANDON      A           </v>
      </c>
      <c r="E8738" t="str">
        <f>"TUPELO                    "</f>
        <v xml:space="preserve">TUPELO                    </v>
      </c>
      <c r="F8738" t="str">
        <f t="shared" si="262"/>
        <v>MS</v>
      </c>
    </row>
    <row r="8739" spans="1:6" x14ac:dyDescent="0.25">
      <c r="A8739" t="str">
        <f>"002179302"</f>
        <v>002179302</v>
      </c>
      <c r="B8739" t="str">
        <f>"1306856851"</f>
        <v>1306856851</v>
      </c>
      <c r="C8739" t="str">
        <f>"207RC0000X"</f>
        <v>207RC0000X</v>
      </c>
      <c r="D8739" t="str">
        <f>"ZOGHBI                   GILBERT      J           "</f>
        <v xml:space="preserve">ZOGHBI                   GILBERT      J           </v>
      </c>
      <c r="E8739" t="str">
        <f>"SOUTHAVEN                 "</f>
        <v xml:space="preserve">SOUTHAVEN                 </v>
      </c>
      <c r="F8739" t="str">
        <f t="shared" si="262"/>
        <v>MS</v>
      </c>
    </row>
    <row r="8740" spans="1:6" x14ac:dyDescent="0.25">
      <c r="A8740" t="str">
        <f>"002181532"</f>
        <v>002181532</v>
      </c>
      <c r="B8740" t="str">
        <f>"1376744151"</f>
        <v>1376744151</v>
      </c>
      <c r="C8740" t="str">
        <f>"2080P0206X"</f>
        <v>2080P0206X</v>
      </c>
      <c r="D8740" t="str">
        <f>"SCREWS                   JEREMY       C           "</f>
        <v xml:space="preserve">SCREWS                   JEREMY       C           </v>
      </c>
      <c r="E8740" t="str">
        <f>"HATTIESBURG               "</f>
        <v xml:space="preserve">HATTIESBURG               </v>
      </c>
      <c r="F8740" t="str">
        <f t="shared" si="262"/>
        <v>MS</v>
      </c>
    </row>
    <row r="8741" spans="1:6" x14ac:dyDescent="0.25">
      <c r="A8741" t="str">
        <f>"002181582"</f>
        <v>002181582</v>
      </c>
      <c r="B8741" t="str">
        <f>"1497068134"</f>
        <v>1497068134</v>
      </c>
      <c r="C8741" t="str">
        <f>"363L00000X"</f>
        <v>363L00000X</v>
      </c>
      <c r="D8741" t="str">
        <f>"VICKERS                  SHARON       D           "</f>
        <v xml:space="preserve">VICKERS                  SHARON       D           </v>
      </c>
      <c r="E8741" t="str">
        <f>"JACKSON                   "</f>
        <v xml:space="preserve">JACKSON                   </v>
      </c>
      <c r="F8741" t="str">
        <f t="shared" si="262"/>
        <v>MS</v>
      </c>
    </row>
    <row r="8742" spans="1:6" x14ac:dyDescent="0.25">
      <c r="A8742" t="str">
        <f>"002182072"</f>
        <v>002182072</v>
      </c>
      <c r="B8742" t="str">
        <f>"1063625325"</f>
        <v>1063625325</v>
      </c>
      <c r="C8742" t="str">
        <f>"207R00000X"</f>
        <v>207R00000X</v>
      </c>
      <c r="D8742" t="str">
        <f>"MECHLEB                  BASSAM       K           "</f>
        <v xml:space="preserve">MECHLEB                  BASSAM       K           </v>
      </c>
      <c r="E8742" t="str">
        <f>"HATTIESBURG               "</f>
        <v xml:space="preserve">HATTIESBURG               </v>
      </c>
      <c r="F8742" t="str">
        <f t="shared" si="262"/>
        <v>MS</v>
      </c>
    </row>
    <row r="8743" spans="1:6" x14ac:dyDescent="0.25">
      <c r="A8743" t="str">
        <f>"002182291"</f>
        <v>002182291</v>
      </c>
      <c r="B8743" t="str">
        <f>"1871988915"</f>
        <v>1871988915</v>
      </c>
      <c r="C8743" t="str">
        <f>"207Y00000X"</f>
        <v>207Y00000X</v>
      </c>
      <c r="D8743" t="str">
        <f>"KONG                     KEONHO                   "</f>
        <v xml:space="preserve">KONG                     KEONHO                   </v>
      </c>
      <c r="E8743" t="str">
        <f>"JACKSON                   "</f>
        <v xml:space="preserve">JACKSON                   </v>
      </c>
      <c r="F8743" t="str">
        <f t="shared" si="262"/>
        <v>MS</v>
      </c>
    </row>
    <row r="8744" spans="1:6" x14ac:dyDescent="0.25">
      <c r="A8744" t="str">
        <f>"002183007"</f>
        <v>002183007</v>
      </c>
      <c r="B8744" t="str">
        <f>"1447405998"</f>
        <v>1447405998</v>
      </c>
      <c r="C8744" t="str">
        <f>"207Q00000X"</f>
        <v>207Q00000X</v>
      </c>
      <c r="D8744" t="str">
        <f>"DAVIS                    SCOTT        A           "</f>
        <v xml:space="preserve">DAVIS                    SCOTT        A           </v>
      </c>
      <c r="E8744" t="str">
        <f>"RICHLAND                  "</f>
        <v xml:space="preserve">RICHLAND                  </v>
      </c>
      <c r="F8744" t="str">
        <f t="shared" si="262"/>
        <v>MS</v>
      </c>
    </row>
    <row r="8745" spans="1:6" x14ac:dyDescent="0.25">
      <c r="A8745" t="str">
        <f>"002183261"</f>
        <v>002183261</v>
      </c>
      <c r="B8745" t="str">
        <f>"1124389366"</f>
        <v>1124389366</v>
      </c>
      <c r="C8745" t="str">
        <f>"207Q00000X"</f>
        <v>207Q00000X</v>
      </c>
      <c r="D8745" t="str">
        <f>"MURRAY                   MATTHEW                  "</f>
        <v xml:space="preserve">MURRAY                   MATTHEW                  </v>
      </c>
      <c r="E8745" t="str">
        <f>"MOSS POINT                "</f>
        <v xml:space="preserve">MOSS POINT                </v>
      </c>
      <c r="F8745" t="str">
        <f t="shared" si="262"/>
        <v>MS</v>
      </c>
    </row>
    <row r="8746" spans="1:6" x14ac:dyDescent="0.25">
      <c r="A8746" t="str">
        <f>"002184263"</f>
        <v>002184263</v>
      </c>
      <c r="B8746" t="str">
        <f>"1598130114"</f>
        <v>1598130114</v>
      </c>
      <c r="C8746" t="str">
        <f>"363L00000X"</f>
        <v>363L00000X</v>
      </c>
      <c r="D8746" t="str">
        <f>"PERKINS                  MICAELA      D           "</f>
        <v xml:space="preserve">PERKINS                  MICAELA      D           </v>
      </c>
      <c r="E8746" t="str">
        <f>"OXFORD                    "</f>
        <v xml:space="preserve">OXFORD                    </v>
      </c>
      <c r="F8746" t="str">
        <f t="shared" si="262"/>
        <v>MS</v>
      </c>
    </row>
    <row r="8747" spans="1:6" x14ac:dyDescent="0.25">
      <c r="A8747" t="str">
        <f>"002185272"</f>
        <v>002185272</v>
      </c>
      <c r="B8747" t="str">
        <f>"1265031561"</f>
        <v>1265031561</v>
      </c>
      <c r="C8747" t="str">
        <f>"367500000X"</f>
        <v>367500000X</v>
      </c>
      <c r="D8747" t="str">
        <f>"HESTER                   LAUREN                   "</f>
        <v xml:space="preserve">HESTER                   LAUREN                   </v>
      </c>
      <c r="E8747" t="str">
        <f>"TUPELO                    "</f>
        <v xml:space="preserve">TUPELO                    </v>
      </c>
      <c r="F8747" t="str">
        <f t="shared" si="262"/>
        <v>MS</v>
      </c>
    </row>
    <row r="8748" spans="1:6" x14ac:dyDescent="0.25">
      <c r="A8748" t="str">
        <f>"002185531"</f>
        <v>002185531</v>
      </c>
      <c r="B8748" t="str">
        <f>"1528215019"</f>
        <v>1528215019</v>
      </c>
      <c r="C8748" t="str">
        <f>"207RN0300X"</f>
        <v>207RN0300X</v>
      </c>
      <c r="D8748" t="str">
        <f>"HIRACHAN                 PADAM                    "</f>
        <v xml:space="preserve">HIRACHAN                 PADAM                    </v>
      </c>
      <c r="E8748" t="str">
        <f>"NATCHEZ                   "</f>
        <v xml:space="preserve">NATCHEZ                   </v>
      </c>
      <c r="F8748" t="str">
        <f t="shared" si="262"/>
        <v>MS</v>
      </c>
    </row>
    <row r="8749" spans="1:6" x14ac:dyDescent="0.25">
      <c r="A8749" t="str">
        <f>"002186006"</f>
        <v>002186006</v>
      </c>
      <c r="B8749" t="str">
        <f>"1902421746"</f>
        <v>1902421746</v>
      </c>
      <c r="C8749" t="str">
        <f>"363L00000X"</f>
        <v>363L00000X</v>
      </c>
      <c r="D8749" t="str">
        <f>"MCWHIRTER                REBECCA                  "</f>
        <v xml:space="preserve">MCWHIRTER                REBECCA                  </v>
      </c>
      <c r="E8749" t="str">
        <f>"RIDGELAND                 "</f>
        <v xml:space="preserve">RIDGELAND                 </v>
      </c>
      <c r="F8749" t="str">
        <f t="shared" si="262"/>
        <v>MS</v>
      </c>
    </row>
    <row r="8750" spans="1:6" x14ac:dyDescent="0.25">
      <c r="A8750" t="str">
        <f>"002186024"</f>
        <v>002186024</v>
      </c>
      <c r="B8750" t="str">
        <f>"1144244351"</f>
        <v>1144244351</v>
      </c>
      <c r="C8750" t="str">
        <f>"208100000X"</f>
        <v>208100000X</v>
      </c>
      <c r="D8750" t="str">
        <f>"BARNARD                  BARBARA      S           "</f>
        <v xml:space="preserve">BARNARD                  BARBARA      S           </v>
      </c>
      <c r="E8750" t="str">
        <f>"HATTIESBURG               "</f>
        <v xml:space="preserve">HATTIESBURG               </v>
      </c>
      <c r="F8750" t="str">
        <f t="shared" si="262"/>
        <v>MS</v>
      </c>
    </row>
    <row r="8751" spans="1:6" x14ac:dyDescent="0.25">
      <c r="A8751" t="str">
        <f>"002186501"</f>
        <v>002186501</v>
      </c>
      <c r="B8751" t="str">
        <f>"1679590434"</f>
        <v>1679590434</v>
      </c>
      <c r="C8751" t="str">
        <f>"367500000X"</f>
        <v>367500000X</v>
      </c>
      <c r="D8751" t="str">
        <f>"MARLIN                   SANDRA       A           "</f>
        <v xml:space="preserve">MARLIN                   SANDRA       A           </v>
      </c>
      <c r="E8751" t="str">
        <f>"TUPELO                    "</f>
        <v xml:space="preserve">TUPELO                    </v>
      </c>
      <c r="F8751" t="str">
        <f t="shared" si="262"/>
        <v>MS</v>
      </c>
    </row>
    <row r="8752" spans="1:6" x14ac:dyDescent="0.25">
      <c r="A8752" t="str">
        <f>"002186746"</f>
        <v>002186746</v>
      </c>
      <c r="B8752" t="str">
        <f>"1548524861"</f>
        <v>1548524861</v>
      </c>
      <c r="C8752" t="str">
        <f>"207R00000X"</f>
        <v>207R00000X</v>
      </c>
      <c r="D8752" t="str">
        <f>"IWUJI                    KELECHI      U           "</f>
        <v xml:space="preserve">IWUJI                    KELECHI      U           </v>
      </c>
      <c r="E8752" t="str">
        <f>"SOUTHAVEN                 "</f>
        <v xml:space="preserve">SOUTHAVEN                 </v>
      </c>
      <c r="F8752" t="str">
        <f t="shared" si="262"/>
        <v>MS</v>
      </c>
    </row>
    <row r="8753" spans="1:6" x14ac:dyDescent="0.25">
      <c r="A8753" t="str">
        <f>"002186785"</f>
        <v>002186785</v>
      </c>
      <c r="B8753" t="str">
        <f>"1043300585"</f>
        <v>1043300585</v>
      </c>
      <c r="C8753" t="str">
        <f>"152W00000X"</f>
        <v>152W00000X</v>
      </c>
      <c r="D8753" t="str">
        <f>"BOLER                    MARGO        D           "</f>
        <v xml:space="preserve">BOLER                    MARGO        D           </v>
      </c>
      <c r="E8753" t="str">
        <f>"OLIVE BRANCH              "</f>
        <v xml:space="preserve">OLIVE BRANCH              </v>
      </c>
      <c r="F8753" t="str">
        <f t="shared" si="262"/>
        <v>MS</v>
      </c>
    </row>
    <row r="8754" spans="1:6" x14ac:dyDescent="0.25">
      <c r="A8754" t="str">
        <f>"002187356"</f>
        <v>002187356</v>
      </c>
      <c r="B8754" t="str">
        <f>"1669937611"</f>
        <v>1669937611</v>
      </c>
      <c r="C8754" t="str">
        <f>"363L00000X"</f>
        <v>363L00000X</v>
      </c>
      <c r="D8754" t="str">
        <f>"VAUGHN                   BRENILLA     S           "</f>
        <v xml:space="preserve">VAUGHN                   BRENILLA     S           </v>
      </c>
      <c r="E8754" t="str">
        <f>"BROOKHAVEN                "</f>
        <v xml:space="preserve">BROOKHAVEN                </v>
      </c>
      <c r="F8754" t="str">
        <f t="shared" si="262"/>
        <v>MS</v>
      </c>
    </row>
    <row r="8755" spans="1:6" x14ac:dyDescent="0.25">
      <c r="A8755" t="str">
        <f>"002188840"</f>
        <v>002188840</v>
      </c>
      <c r="B8755" t="str">
        <f>"1396158390"</f>
        <v>1396158390</v>
      </c>
      <c r="C8755" t="str">
        <f>"122300000X"</f>
        <v>122300000X</v>
      </c>
      <c r="D8755" t="str">
        <f>"RACEY                    SHERRY       N           "</f>
        <v xml:space="preserve">RACEY                    SHERRY       N           </v>
      </c>
      <c r="E8755" t="str">
        <f>"PETAL                     "</f>
        <v xml:space="preserve">PETAL                     </v>
      </c>
      <c r="F8755" t="str">
        <f t="shared" si="262"/>
        <v>MS</v>
      </c>
    </row>
    <row r="8756" spans="1:6" x14ac:dyDescent="0.25">
      <c r="A8756" t="str">
        <f>"002189398"</f>
        <v>002189398</v>
      </c>
      <c r="B8756" t="str">
        <f>"1528261815"</f>
        <v>1528261815</v>
      </c>
      <c r="C8756" t="str">
        <f>"152W00000X"</f>
        <v>152W00000X</v>
      </c>
      <c r="D8756" t="str">
        <f>"PANDYA LIPMAN EYE SPECIALIST PLLC                 "</f>
        <v xml:space="preserve">PANDYA LIPMAN EYE SPECIALIST PLLC                 </v>
      </c>
      <c r="E8756" t="str">
        <f>"SOUTHAVEN                 "</f>
        <v xml:space="preserve">SOUTHAVEN                 </v>
      </c>
      <c r="F8756" t="str">
        <f t="shared" si="262"/>
        <v>MS</v>
      </c>
    </row>
    <row r="8757" spans="1:6" x14ac:dyDescent="0.25">
      <c r="A8757" t="str">
        <f>"002200281"</f>
        <v>002200281</v>
      </c>
      <c r="B8757" t="str">
        <f>"1740416429"</f>
        <v>1740416429</v>
      </c>
      <c r="C8757" t="str">
        <f>"152W00000X"</f>
        <v>152W00000X</v>
      </c>
      <c r="D8757" t="str">
        <f>"HATFIELD                 JOSHUA       M           "</f>
        <v xml:space="preserve">HATFIELD                 JOSHUA       M           </v>
      </c>
      <c r="E8757" t="str">
        <f>"FULTON                    "</f>
        <v xml:space="preserve">FULTON                    </v>
      </c>
      <c r="F8757" t="str">
        <f t="shared" si="262"/>
        <v>MS</v>
      </c>
    </row>
    <row r="8758" spans="1:6" x14ac:dyDescent="0.25">
      <c r="A8758" t="str">
        <f>"002201503"</f>
        <v>002201503</v>
      </c>
      <c r="B8758" t="str">
        <f>"1558035857"</f>
        <v>1558035857</v>
      </c>
      <c r="C8758" t="str">
        <f>"261QA0600X"</f>
        <v>261QA0600X</v>
      </c>
      <c r="D8758" t="str">
        <f>"HAPPY DAZE ADULT DAY SERVICES LLC                 "</f>
        <v xml:space="preserve">HAPPY DAZE ADULT DAY SERVICES LLC                 </v>
      </c>
      <c r="E8758" t="str">
        <f>"ANGUILLA                  "</f>
        <v xml:space="preserve">ANGUILLA                  </v>
      </c>
      <c r="F8758" t="str">
        <f t="shared" si="262"/>
        <v>MS</v>
      </c>
    </row>
    <row r="8759" spans="1:6" x14ac:dyDescent="0.25">
      <c r="A8759" t="str">
        <f>"002201734"</f>
        <v>002201734</v>
      </c>
      <c r="B8759" t="str">
        <f>"1467976977"</f>
        <v>1467976977</v>
      </c>
      <c r="C8759" t="str">
        <f>"207R00000X"</f>
        <v>207R00000X</v>
      </c>
      <c r="D8759" t="str">
        <f>"WADOOD                   ROMAISA                  "</f>
        <v xml:space="preserve">WADOOD                   ROMAISA                  </v>
      </c>
      <c r="E8759" t="str">
        <f>"JACKSON                   "</f>
        <v xml:space="preserve">JACKSON                   </v>
      </c>
      <c r="F8759" t="str">
        <f t="shared" si="262"/>
        <v>MS</v>
      </c>
    </row>
    <row r="8760" spans="1:6" x14ac:dyDescent="0.25">
      <c r="A8760" t="str">
        <f>"002202067"</f>
        <v>002202067</v>
      </c>
      <c r="B8760" t="str">
        <f>"1679044044"</f>
        <v>1679044044</v>
      </c>
      <c r="C8760" t="str">
        <f>"152W00000X"</f>
        <v>152W00000X</v>
      </c>
      <c r="D8760" t="str">
        <f>"MEGAN R STANFORD OD                               "</f>
        <v xml:space="preserve">MEGAN R STANFORD OD                               </v>
      </c>
      <c r="E8760" t="str">
        <f>"RIPLEY                    "</f>
        <v xml:space="preserve">RIPLEY                    </v>
      </c>
      <c r="F8760" t="str">
        <f t="shared" si="262"/>
        <v>MS</v>
      </c>
    </row>
    <row r="8761" spans="1:6" x14ac:dyDescent="0.25">
      <c r="A8761" t="str">
        <f>"002202267"</f>
        <v>002202267</v>
      </c>
      <c r="B8761" t="str">
        <f>"1538459458"</f>
        <v>1538459458</v>
      </c>
      <c r="C8761" t="str">
        <f>"1223S0112X"</f>
        <v>1223S0112X</v>
      </c>
      <c r="D8761" t="str">
        <f>"ASHLEY                   DAVID                    "</f>
        <v xml:space="preserve">ASHLEY                   DAVID                    </v>
      </c>
      <c r="E8761" t="str">
        <f>"JACKSON                   "</f>
        <v xml:space="preserve">JACKSON                   </v>
      </c>
      <c r="F8761" t="str">
        <f t="shared" si="262"/>
        <v>MS</v>
      </c>
    </row>
    <row r="8762" spans="1:6" x14ac:dyDescent="0.25">
      <c r="A8762" t="str">
        <f>"002202328"</f>
        <v>002202328</v>
      </c>
      <c r="B8762" t="str">
        <f>"1063643476"</f>
        <v>1063643476</v>
      </c>
      <c r="C8762" t="str">
        <f>"208000000X"</f>
        <v>208000000X</v>
      </c>
      <c r="D8762" t="str">
        <f>"MCGEE                    SUSAN        R           "</f>
        <v xml:space="preserve">MCGEE                    SUSAN        R           </v>
      </c>
      <c r="E8762" t="str">
        <f>"LAUREL                    "</f>
        <v xml:space="preserve">LAUREL                    </v>
      </c>
      <c r="F8762" t="str">
        <f t="shared" si="262"/>
        <v>MS</v>
      </c>
    </row>
    <row r="8763" spans="1:6" x14ac:dyDescent="0.25">
      <c r="A8763" t="str">
        <f>"002202338"</f>
        <v>002202338</v>
      </c>
      <c r="B8763" t="str">
        <f>"1043648900"</f>
        <v>1043648900</v>
      </c>
      <c r="C8763" t="str">
        <f>"363L00000X"</f>
        <v>363L00000X</v>
      </c>
      <c r="D8763" t="str">
        <f>"ATKINS                   MISTY        N           "</f>
        <v xml:space="preserve">ATKINS                   MISTY        N           </v>
      </c>
      <c r="E8763" t="str">
        <f>"TUPELO                    "</f>
        <v xml:space="preserve">TUPELO                    </v>
      </c>
      <c r="F8763" t="str">
        <f t="shared" si="262"/>
        <v>MS</v>
      </c>
    </row>
    <row r="8764" spans="1:6" x14ac:dyDescent="0.25">
      <c r="A8764" t="str">
        <f>"002203014"</f>
        <v>002203014</v>
      </c>
      <c r="B8764" t="str">
        <f>"1689100471"</f>
        <v>1689100471</v>
      </c>
      <c r="C8764" t="str">
        <f>"207W00000X"</f>
        <v>207W00000X</v>
      </c>
      <c r="D8764" t="str">
        <f>"SULLIVAN                 SCOTT        O           "</f>
        <v xml:space="preserve">SULLIVAN                 SCOTT        O           </v>
      </c>
      <c r="E8764" t="str">
        <f>"OLIVE BRANCH              "</f>
        <v xml:space="preserve">OLIVE BRANCH              </v>
      </c>
      <c r="F8764" t="str">
        <f t="shared" si="262"/>
        <v>MS</v>
      </c>
    </row>
    <row r="8765" spans="1:6" x14ac:dyDescent="0.25">
      <c r="A8765" t="str">
        <f>"002203033"</f>
        <v>002203033</v>
      </c>
      <c r="B8765" t="str">
        <f>"1952490260"</f>
        <v>1952490260</v>
      </c>
      <c r="C8765" t="str">
        <f>"2080P0204X"</f>
        <v>2080P0204X</v>
      </c>
      <c r="D8765" t="str">
        <f>"YANCY                    KERRY        J           "</f>
        <v xml:space="preserve">YANCY                    KERRY        J           </v>
      </c>
      <c r="E8765" t="str">
        <f>"JACKSON                   "</f>
        <v xml:space="preserve">JACKSON                   </v>
      </c>
      <c r="F8765" t="str">
        <f t="shared" si="262"/>
        <v>MS</v>
      </c>
    </row>
    <row r="8766" spans="1:6" x14ac:dyDescent="0.25">
      <c r="A8766" t="str">
        <f>"002203270"</f>
        <v>002203270</v>
      </c>
      <c r="B8766" t="str">
        <f>"1457363780"</f>
        <v>1457363780</v>
      </c>
      <c r="C8766" t="str">
        <f>"363L00000X"</f>
        <v>363L00000X</v>
      </c>
      <c r="D8766" t="str">
        <f>"RICHARDSON               RHONDA                   "</f>
        <v xml:space="preserve">RICHARDSON               RHONDA                   </v>
      </c>
      <c r="E8766" t="str">
        <f>"LAUREL                    "</f>
        <v xml:space="preserve">LAUREL                    </v>
      </c>
      <c r="F8766" t="str">
        <f t="shared" ref="F8766:F8829" si="263">"MS"</f>
        <v>MS</v>
      </c>
    </row>
    <row r="8767" spans="1:6" x14ac:dyDescent="0.25">
      <c r="A8767" t="str">
        <f>"002203701"</f>
        <v>002203701</v>
      </c>
      <c r="B8767" t="str">
        <f>"1154913895"</f>
        <v>1154913895</v>
      </c>
      <c r="C8767" t="str">
        <f>"363L00000X"</f>
        <v>363L00000X</v>
      </c>
      <c r="D8767" t="str">
        <f>"GARDNER                  CHRISTINA    M           "</f>
        <v xml:space="preserve">GARDNER                  CHRISTINA    M           </v>
      </c>
      <c r="E8767" t="str">
        <f>"TUPELO                    "</f>
        <v xml:space="preserve">TUPELO                    </v>
      </c>
      <c r="F8767" t="str">
        <f t="shared" si="263"/>
        <v>MS</v>
      </c>
    </row>
    <row r="8768" spans="1:6" x14ac:dyDescent="0.25">
      <c r="A8768" t="str">
        <f>"002204037"</f>
        <v>002204037</v>
      </c>
      <c r="B8768" t="str">
        <f>"1861874182"</f>
        <v>1861874182</v>
      </c>
      <c r="C8768" t="str">
        <f>"363L00000X"</f>
        <v>363L00000X</v>
      </c>
      <c r="D8768" t="str">
        <f>"CRAWFORD                 ALI          D           "</f>
        <v xml:space="preserve">CRAWFORD                 ALI          D           </v>
      </c>
      <c r="E8768" t="str">
        <f>"POTTS CAMP                "</f>
        <v xml:space="preserve">POTTS CAMP                </v>
      </c>
      <c r="F8768" t="str">
        <f t="shared" si="263"/>
        <v>MS</v>
      </c>
    </row>
    <row r="8769" spans="1:6" x14ac:dyDescent="0.25">
      <c r="A8769" t="str">
        <f>"002204762"</f>
        <v>002204762</v>
      </c>
      <c r="B8769" t="str">
        <f>"1588700629"</f>
        <v>1588700629</v>
      </c>
      <c r="C8769" t="str">
        <f>"367500000X"</f>
        <v>367500000X</v>
      </c>
      <c r="D8769" t="str">
        <f>"GATES                    JORY                     "</f>
        <v xml:space="preserve">GATES                    JORY                     </v>
      </c>
      <c r="E8769" t="str">
        <f>"OXFORD                    "</f>
        <v xml:space="preserve">OXFORD                    </v>
      </c>
      <c r="F8769" t="str">
        <f t="shared" si="263"/>
        <v>MS</v>
      </c>
    </row>
    <row r="8770" spans="1:6" x14ac:dyDescent="0.25">
      <c r="A8770" t="str">
        <f>"002206281"</f>
        <v>002206281</v>
      </c>
      <c r="B8770" t="str">
        <f>"1295120673"</f>
        <v>1295120673</v>
      </c>
      <c r="C8770" t="str">
        <f>"207RC0000X"</f>
        <v>207RC0000X</v>
      </c>
      <c r="D8770" t="str">
        <f>"LEMOR FERRAND            ALEJANDRO                "</f>
        <v xml:space="preserve">LEMOR FERRAND            ALEJANDRO                </v>
      </c>
      <c r="E8770" t="str">
        <f>"JACKSON                   "</f>
        <v xml:space="preserve">JACKSON                   </v>
      </c>
      <c r="F8770" t="str">
        <f t="shared" si="263"/>
        <v>MS</v>
      </c>
    </row>
    <row r="8771" spans="1:6" x14ac:dyDescent="0.25">
      <c r="A8771" t="str">
        <f>"002206742"</f>
        <v>002206742</v>
      </c>
      <c r="B8771" t="str">
        <f>"1487092003"</f>
        <v>1487092003</v>
      </c>
      <c r="C8771" t="str">
        <f>"122300000X"</f>
        <v>122300000X</v>
      </c>
      <c r="D8771" t="str">
        <f>"ROBINSON                 LOREN        M           "</f>
        <v xml:space="preserve">ROBINSON                 LOREN        M           </v>
      </c>
      <c r="E8771" t="str">
        <f>"UNION                     "</f>
        <v xml:space="preserve">UNION                     </v>
      </c>
      <c r="F8771" t="str">
        <f t="shared" si="263"/>
        <v>MS</v>
      </c>
    </row>
    <row r="8772" spans="1:6" x14ac:dyDescent="0.25">
      <c r="A8772" t="str">
        <f>"002207004"</f>
        <v>002207004</v>
      </c>
      <c r="B8772" t="str">
        <f>"1922133206"</f>
        <v>1922133206</v>
      </c>
      <c r="C8772" t="str">
        <f>"207R00000X"</f>
        <v>207R00000X</v>
      </c>
      <c r="D8772" t="str">
        <f>"NEWMAN                   CIAO         Z           "</f>
        <v xml:space="preserve">NEWMAN                   CIAO         Z           </v>
      </c>
      <c r="E8772" t="str">
        <f>"SOUTHAVEN                 "</f>
        <v xml:space="preserve">SOUTHAVEN                 </v>
      </c>
      <c r="F8772" t="str">
        <f t="shared" si="263"/>
        <v>MS</v>
      </c>
    </row>
    <row r="8773" spans="1:6" x14ac:dyDescent="0.25">
      <c r="A8773" t="str">
        <f>"002207749"</f>
        <v>002207749</v>
      </c>
      <c r="B8773" t="str">
        <f>"1134384670"</f>
        <v>1134384670</v>
      </c>
      <c r="C8773" t="str">
        <f>"208600000X"</f>
        <v>208600000X</v>
      </c>
      <c r="D8773" t="str">
        <f>"JONES                    THOMAS       M           "</f>
        <v xml:space="preserve">JONES                    THOMAS       M           </v>
      </c>
      <c r="E8773" t="str">
        <f>"JACKSON                   "</f>
        <v xml:space="preserve">JACKSON                   </v>
      </c>
      <c r="F8773" t="str">
        <f t="shared" si="263"/>
        <v>MS</v>
      </c>
    </row>
    <row r="8774" spans="1:6" x14ac:dyDescent="0.25">
      <c r="A8774" t="str">
        <f>"002208220"</f>
        <v>002208220</v>
      </c>
      <c r="B8774" t="str">
        <f>"1598818437"</f>
        <v>1598818437</v>
      </c>
      <c r="C8774" t="str">
        <f>"2086S0120X"</f>
        <v>2086S0120X</v>
      </c>
      <c r="D8774" t="str">
        <f>"SAWAYA                   DAVID        E           "</f>
        <v xml:space="preserve">SAWAYA                   DAVID        E           </v>
      </c>
      <c r="E8774" t="str">
        <f>"JACKSON                   "</f>
        <v xml:space="preserve">JACKSON                   </v>
      </c>
      <c r="F8774" t="str">
        <f t="shared" si="263"/>
        <v>MS</v>
      </c>
    </row>
    <row r="8775" spans="1:6" x14ac:dyDescent="0.25">
      <c r="A8775" t="str">
        <f>"002209701"</f>
        <v>002209701</v>
      </c>
      <c r="B8775" t="str">
        <f>"1174801765"</f>
        <v>1174801765</v>
      </c>
      <c r="C8775" t="str">
        <f>"2084N0400X"</f>
        <v>2084N0400X</v>
      </c>
      <c r="D8775" t="str">
        <f>"OBEROI                   GULSHAN      S           "</f>
        <v xml:space="preserve">OBEROI                   GULSHAN      S           </v>
      </c>
      <c r="E8775" t="str">
        <f>"LAUREL                    "</f>
        <v xml:space="preserve">LAUREL                    </v>
      </c>
      <c r="F8775" t="str">
        <f t="shared" si="263"/>
        <v>MS</v>
      </c>
    </row>
    <row r="8776" spans="1:6" x14ac:dyDescent="0.25">
      <c r="A8776" t="str">
        <f>"002220861"</f>
        <v>002220861</v>
      </c>
      <c r="B8776" t="str">
        <f>"1164834891"</f>
        <v>1164834891</v>
      </c>
      <c r="C8776" t="str">
        <f>"207Q00000X"</f>
        <v>207Q00000X</v>
      </c>
      <c r="D8776" t="str">
        <f>"PIKE-HOUGH               MICHELLE     D           "</f>
        <v xml:space="preserve">PIKE-HOUGH               MICHELLE     D           </v>
      </c>
      <c r="E8776" t="str">
        <f>"MERIDIAN                  "</f>
        <v xml:space="preserve">MERIDIAN                  </v>
      </c>
      <c r="F8776" t="str">
        <f t="shared" si="263"/>
        <v>MS</v>
      </c>
    </row>
    <row r="8777" spans="1:6" x14ac:dyDescent="0.25">
      <c r="A8777" t="str">
        <f>"002221749"</f>
        <v>002221749</v>
      </c>
      <c r="B8777" t="str">
        <f>"1457507055"</f>
        <v>1457507055</v>
      </c>
      <c r="C8777" t="str">
        <f>"207L00000X"</f>
        <v>207L00000X</v>
      </c>
      <c r="D8777" t="str">
        <f>"SMITHERMAN               JEREMY                   "</f>
        <v xml:space="preserve">SMITHERMAN               JEREMY                   </v>
      </c>
      <c r="E8777" t="str">
        <f>"BROOKHAVEN                "</f>
        <v xml:space="preserve">BROOKHAVEN                </v>
      </c>
      <c r="F8777" t="str">
        <f t="shared" si="263"/>
        <v>MS</v>
      </c>
    </row>
    <row r="8778" spans="1:6" x14ac:dyDescent="0.25">
      <c r="A8778" t="str">
        <f>"002221820"</f>
        <v>002221820</v>
      </c>
      <c r="B8778" t="str">
        <f>"1770870289"</f>
        <v>1770870289</v>
      </c>
      <c r="C8778" t="str">
        <f>"207RH0003X"</f>
        <v>207RH0003X</v>
      </c>
      <c r="D8778" t="str">
        <f>"YATES                    RYAN         A           "</f>
        <v xml:space="preserve">YATES                    RYAN         A           </v>
      </c>
      <c r="E8778" t="str">
        <f>"NEW ALBANY                "</f>
        <v xml:space="preserve">NEW ALBANY                </v>
      </c>
      <c r="F8778" t="str">
        <f t="shared" si="263"/>
        <v>MS</v>
      </c>
    </row>
    <row r="8779" spans="1:6" x14ac:dyDescent="0.25">
      <c r="A8779" t="str">
        <f>"002222367"</f>
        <v>002222367</v>
      </c>
      <c r="B8779" t="str">
        <f>"1932441987"</f>
        <v>1932441987</v>
      </c>
      <c r="C8779" t="str">
        <f>"363L00000X"</f>
        <v>363L00000X</v>
      </c>
      <c r="D8779" t="str">
        <f>"CLEMENTS                 JENNIFER     H           "</f>
        <v xml:space="preserve">CLEMENTS                 JENNIFER     H           </v>
      </c>
      <c r="E8779" t="str">
        <f>"COLUMBUS                  "</f>
        <v xml:space="preserve">COLUMBUS                  </v>
      </c>
      <c r="F8779" t="str">
        <f t="shared" si="263"/>
        <v>MS</v>
      </c>
    </row>
    <row r="8780" spans="1:6" x14ac:dyDescent="0.25">
      <c r="A8780" t="str">
        <f>"002223785"</f>
        <v>002223785</v>
      </c>
      <c r="B8780" t="str">
        <f>"1225325632"</f>
        <v>1225325632</v>
      </c>
      <c r="C8780" t="str">
        <f>"363L00000X"</f>
        <v>363L00000X</v>
      </c>
      <c r="D8780" t="str">
        <f>"LASSITER                 LINDSEY                  "</f>
        <v xml:space="preserve">LASSITER                 LINDSEY                  </v>
      </c>
      <c r="E8780" t="str">
        <f>"JACKSON                   "</f>
        <v xml:space="preserve">JACKSON                   </v>
      </c>
      <c r="F8780" t="str">
        <f t="shared" si="263"/>
        <v>MS</v>
      </c>
    </row>
    <row r="8781" spans="1:6" x14ac:dyDescent="0.25">
      <c r="A8781" t="str">
        <f>"002224073"</f>
        <v>002224073</v>
      </c>
      <c r="B8781" t="str">
        <f>"1104810605"</f>
        <v>1104810605</v>
      </c>
      <c r="C8781" t="str">
        <f>"207V00000X"</f>
        <v>207V00000X</v>
      </c>
      <c r="D8781" t="str">
        <f>"BROWN                    SAMUEL                   "</f>
        <v xml:space="preserve">BROWN                    SAMUEL                   </v>
      </c>
      <c r="E8781" t="str">
        <f>"JACKSON                   "</f>
        <v xml:space="preserve">JACKSON                   </v>
      </c>
      <c r="F8781" t="str">
        <f t="shared" si="263"/>
        <v>MS</v>
      </c>
    </row>
    <row r="8782" spans="1:6" x14ac:dyDescent="0.25">
      <c r="A8782" t="str">
        <f>"002224505"</f>
        <v>002224505</v>
      </c>
      <c r="B8782" t="str">
        <f>"1023635166"</f>
        <v>1023635166</v>
      </c>
      <c r="C8782" t="str">
        <f>"363L00000X"</f>
        <v>363L00000X</v>
      </c>
      <c r="D8782" t="str">
        <f>"KELLEY                   ALISA        B           "</f>
        <v xml:space="preserve">KELLEY                   ALISA        B           </v>
      </c>
      <c r="E8782" t="str">
        <f>"MAGNOLIA                  "</f>
        <v xml:space="preserve">MAGNOLIA                  </v>
      </c>
      <c r="F8782" t="str">
        <f t="shared" si="263"/>
        <v>MS</v>
      </c>
    </row>
    <row r="8783" spans="1:6" x14ac:dyDescent="0.25">
      <c r="A8783" t="str">
        <f>"002225551"</f>
        <v>002225551</v>
      </c>
      <c r="B8783" t="str">
        <f>"1942771910"</f>
        <v>1942771910</v>
      </c>
      <c r="C8783" t="str">
        <f>"363L00000X"</f>
        <v>363L00000X</v>
      </c>
      <c r="D8783" t="str">
        <f>"WHITMIRE                 MEGAN                    "</f>
        <v xml:space="preserve">WHITMIRE                 MEGAN                    </v>
      </c>
      <c r="E8783" t="str">
        <f>"BILOXI                    "</f>
        <v xml:space="preserve">BILOXI                    </v>
      </c>
      <c r="F8783" t="str">
        <f t="shared" si="263"/>
        <v>MS</v>
      </c>
    </row>
    <row r="8784" spans="1:6" x14ac:dyDescent="0.25">
      <c r="A8784" t="str">
        <f>"002225870"</f>
        <v>002225870</v>
      </c>
      <c r="B8784" t="str">
        <f>"1013068469"</f>
        <v>1013068469</v>
      </c>
      <c r="C8784" t="str">
        <f>"207V00000X"</f>
        <v>207V00000X</v>
      </c>
      <c r="D8784" t="str">
        <f>"LACY                     PAMELA                   "</f>
        <v xml:space="preserve">LACY                     PAMELA                   </v>
      </c>
      <c r="E8784" t="str">
        <f>"COLUMBUS                  "</f>
        <v xml:space="preserve">COLUMBUS                  </v>
      </c>
      <c r="F8784" t="str">
        <f t="shared" si="263"/>
        <v>MS</v>
      </c>
    </row>
    <row r="8785" spans="1:6" x14ac:dyDescent="0.25">
      <c r="A8785" t="str">
        <f>"002227801"</f>
        <v>002227801</v>
      </c>
      <c r="B8785" t="str">
        <f>"1356796577"</f>
        <v>1356796577</v>
      </c>
      <c r="C8785" t="str">
        <f>"363A00000X"</f>
        <v>363A00000X</v>
      </c>
      <c r="D8785" t="str">
        <f>"BROWN                    MADISON      A           "</f>
        <v xml:space="preserve">BROWN                    MADISON      A           </v>
      </c>
      <c r="E8785" t="str">
        <f>"PASCAGOULA                "</f>
        <v xml:space="preserve">PASCAGOULA                </v>
      </c>
      <c r="F8785" t="str">
        <f t="shared" si="263"/>
        <v>MS</v>
      </c>
    </row>
    <row r="8786" spans="1:6" x14ac:dyDescent="0.25">
      <c r="A8786" t="str">
        <f>"002228017"</f>
        <v>002228017</v>
      </c>
      <c r="B8786" t="str">
        <f>"1972706042"</f>
        <v>1972706042</v>
      </c>
      <c r="C8786" t="str">
        <f>"207P00000X"</f>
        <v>207P00000X</v>
      </c>
      <c r="D8786" t="str">
        <f>"BUFORD                   JUSTIN                   "</f>
        <v xml:space="preserve">BUFORD                   JUSTIN                   </v>
      </c>
      <c r="E8786" t="str">
        <f>"JACKSON                   "</f>
        <v xml:space="preserve">JACKSON                   </v>
      </c>
      <c r="F8786" t="str">
        <f t="shared" si="263"/>
        <v>MS</v>
      </c>
    </row>
    <row r="8787" spans="1:6" x14ac:dyDescent="0.25">
      <c r="A8787" t="str">
        <f>"002229001"</f>
        <v>002229001</v>
      </c>
      <c r="B8787" t="str">
        <f>"1235765405"</f>
        <v>1235765405</v>
      </c>
      <c r="C8787" t="str">
        <f>"367500000X"</f>
        <v>367500000X</v>
      </c>
      <c r="D8787" t="str">
        <f>"SATERNOS                 SARAH        P           "</f>
        <v xml:space="preserve">SATERNOS                 SARAH        P           </v>
      </c>
      <c r="E8787" t="str">
        <f>"GULFPORT                  "</f>
        <v xml:space="preserve">GULFPORT                  </v>
      </c>
      <c r="F8787" t="str">
        <f t="shared" si="263"/>
        <v>MS</v>
      </c>
    </row>
    <row r="8788" spans="1:6" x14ac:dyDescent="0.25">
      <c r="A8788" t="str">
        <f>"002229351"</f>
        <v>002229351</v>
      </c>
      <c r="B8788" t="str">
        <f>"1093859563"</f>
        <v>1093859563</v>
      </c>
      <c r="C8788" t="str">
        <f>"152W00000X"</f>
        <v>152W00000X</v>
      </c>
      <c r="D8788" t="str">
        <f>"WILSON                   SIDNEY       M           "</f>
        <v xml:space="preserve">WILSON                   SIDNEY       M           </v>
      </c>
      <c r="E8788" t="str">
        <f>"CLARKSDALE                "</f>
        <v xml:space="preserve">CLARKSDALE                </v>
      </c>
      <c r="F8788" t="str">
        <f t="shared" si="263"/>
        <v>MS</v>
      </c>
    </row>
    <row r="8789" spans="1:6" x14ac:dyDescent="0.25">
      <c r="A8789" t="str">
        <f>"002229397"</f>
        <v>002229397</v>
      </c>
      <c r="B8789" t="str">
        <f>"1588743314"</f>
        <v>1588743314</v>
      </c>
      <c r="C8789" t="str">
        <f>"207Q00000X"</f>
        <v>207Q00000X</v>
      </c>
      <c r="D8789" t="str">
        <f>"BALL                     PATRICK      A           "</f>
        <v xml:space="preserve">BALL                     PATRICK      A           </v>
      </c>
      <c r="E8789" t="str">
        <f>"SOUTHAVEN                 "</f>
        <v xml:space="preserve">SOUTHAVEN                 </v>
      </c>
      <c r="F8789" t="str">
        <f t="shared" si="263"/>
        <v>MS</v>
      </c>
    </row>
    <row r="8790" spans="1:6" x14ac:dyDescent="0.25">
      <c r="A8790" t="str">
        <f>"002230866"</f>
        <v>002230866</v>
      </c>
      <c r="B8790" t="str">
        <f>"1598253387"</f>
        <v>1598253387</v>
      </c>
      <c r="C8790" t="str">
        <f>"363L00000X"</f>
        <v>363L00000X</v>
      </c>
      <c r="D8790" t="str">
        <f>"HOWELL                   MEGAN                    "</f>
        <v xml:space="preserve">HOWELL                   MEGAN                    </v>
      </c>
      <c r="E8790" t="str">
        <f>"FLOWOOD                   "</f>
        <v xml:space="preserve">FLOWOOD                   </v>
      </c>
      <c r="F8790" t="str">
        <f t="shared" si="263"/>
        <v>MS</v>
      </c>
    </row>
    <row r="8791" spans="1:6" x14ac:dyDescent="0.25">
      <c r="A8791" t="str">
        <f>"002232066"</f>
        <v>002232066</v>
      </c>
      <c r="B8791" t="str">
        <f>"1013005040"</f>
        <v>1013005040</v>
      </c>
      <c r="C8791" t="str">
        <f>"208600000X"</f>
        <v>208600000X</v>
      </c>
      <c r="D8791" t="str">
        <f>"DONALD III               WILLIAM      D           "</f>
        <v xml:space="preserve">DONALD III               WILLIAM      D           </v>
      </c>
      <c r="E8791" t="str">
        <f>"HATTIESBURG               "</f>
        <v xml:space="preserve">HATTIESBURG               </v>
      </c>
      <c r="F8791" t="str">
        <f t="shared" si="263"/>
        <v>MS</v>
      </c>
    </row>
    <row r="8792" spans="1:6" x14ac:dyDescent="0.25">
      <c r="A8792" t="str">
        <f>"002232078"</f>
        <v>002232078</v>
      </c>
      <c r="B8792" t="str">
        <f>"1255471439"</f>
        <v>1255471439</v>
      </c>
      <c r="C8792" t="str">
        <f>"152W00000X"</f>
        <v>152W00000X</v>
      </c>
      <c r="D8792" t="str">
        <f>"NEWTON EYE CLINIC P C                             "</f>
        <v xml:space="preserve">NEWTON EYE CLINIC P C                             </v>
      </c>
      <c r="E8792" t="str">
        <f>"NEWTON                    "</f>
        <v xml:space="preserve">NEWTON                    </v>
      </c>
      <c r="F8792" t="str">
        <f t="shared" si="263"/>
        <v>MS</v>
      </c>
    </row>
    <row r="8793" spans="1:6" x14ac:dyDescent="0.25">
      <c r="A8793" t="str">
        <f>"002232525"</f>
        <v>002232525</v>
      </c>
      <c r="B8793" t="str">
        <f>"1871936716"</f>
        <v>1871936716</v>
      </c>
      <c r="C8793" t="str">
        <f>"261QA0600X"</f>
        <v>261QA0600X</v>
      </c>
      <c r="D8793" t="str">
        <f>"FOREVER YOUTHFUL                                  "</f>
        <v xml:space="preserve">FOREVER YOUTHFUL                                  </v>
      </c>
      <c r="E8793" t="str">
        <f>"SHAW                      "</f>
        <v xml:space="preserve">SHAW                      </v>
      </c>
      <c r="F8793" t="str">
        <f t="shared" si="263"/>
        <v>MS</v>
      </c>
    </row>
    <row r="8794" spans="1:6" x14ac:dyDescent="0.25">
      <c r="A8794" t="str">
        <f>"002232862"</f>
        <v>002232862</v>
      </c>
      <c r="B8794" t="str">
        <f>"1093329633"</f>
        <v>1093329633</v>
      </c>
      <c r="C8794" t="str">
        <f>"363L00000X"</f>
        <v>363L00000X</v>
      </c>
      <c r="D8794" t="str">
        <f>"LUMLEY                   MARY         L           "</f>
        <v xml:space="preserve">LUMLEY                   MARY         L           </v>
      </c>
      <c r="E8794" t="str">
        <f>"MCCOMB                    "</f>
        <v xml:space="preserve">MCCOMB                    </v>
      </c>
      <c r="F8794" t="str">
        <f t="shared" si="263"/>
        <v>MS</v>
      </c>
    </row>
    <row r="8795" spans="1:6" x14ac:dyDescent="0.25">
      <c r="A8795" t="str">
        <f>"002233732"</f>
        <v>002233732</v>
      </c>
      <c r="B8795" t="str">
        <f>"1669971180"</f>
        <v>1669971180</v>
      </c>
      <c r="C8795" t="str">
        <f>"363L00000X"</f>
        <v>363L00000X</v>
      </c>
      <c r="D8795" t="str">
        <f>"TAYLOR                   JENNY        M           "</f>
        <v xml:space="preserve">TAYLOR                   JENNY        M           </v>
      </c>
      <c r="E8795" t="str">
        <f>"JACKSON                   "</f>
        <v xml:space="preserve">JACKSON                   </v>
      </c>
      <c r="F8795" t="str">
        <f t="shared" si="263"/>
        <v>MS</v>
      </c>
    </row>
    <row r="8796" spans="1:6" x14ac:dyDescent="0.25">
      <c r="A8796" t="str">
        <f>"002233770"</f>
        <v>002233770</v>
      </c>
      <c r="B8796" t="str">
        <f>"1669781332"</f>
        <v>1669781332</v>
      </c>
      <c r="C8796" t="str">
        <f>"363L00000X"</f>
        <v>363L00000X</v>
      </c>
      <c r="D8796" t="str">
        <f>"PITTS                    ELIZABETH                "</f>
        <v xml:space="preserve">PITTS                    ELIZABETH                </v>
      </c>
      <c r="E8796" t="str">
        <f>"NEWTON                    "</f>
        <v xml:space="preserve">NEWTON                    </v>
      </c>
      <c r="F8796" t="str">
        <f t="shared" si="263"/>
        <v>MS</v>
      </c>
    </row>
    <row r="8797" spans="1:6" x14ac:dyDescent="0.25">
      <c r="A8797" t="str">
        <f>"002236231"</f>
        <v>002236231</v>
      </c>
      <c r="B8797" t="str">
        <f>"1609105196"</f>
        <v>1609105196</v>
      </c>
      <c r="C8797" t="str">
        <f>"363L00000X"</f>
        <v>363L00000X</v>
      </c>
      <c r="D8797" t="str">
        <f>"TULLOS                   JOSEPH       B           "</f>
        <v xml:space="preserve">TULLOS                   JOSEPH       B           </v>
      </c>
      <c r="E8797" t="str">
        <f>"BRANDON                   "</f>
        <v xml:space="preserve">BRANDON                   </v>
      </c>
      <c r="F8797" t="str">
        <f t="shared" si="263"/>
        <v>MS</v>
      </c>
    </row>
    <row r="8798" spans="1:6" x14ac:dyDescent="0.25">
      <c r="A8798" t="str">
        <f>"002237304"</f>
        <v>002237304</v>
      </c>
      <c r="B8798" t="str">
        <f>"1447561238"</f>
        <v>1447561238</v>
      </c>
      <c r="C8798" t="str">
        <f>"367500000X"</f>
        <v>367500000X</v>
      </c>
      <c r="D8798" t="str">
        <f>"UPTON                    JOSEPH       L           "</f>
        <v xml:space="preserve">UPTON                    JOSEPH       L           </v>
      </c>
      <c r="E8798" t="str">
        <f>"JACKSON                   "</f>
        <v xml:space="preserve">JACKSON                   </v>
      </c>
      <c r="F8798" t="str">
        <f t="shared" si="263"/>
        <v>MS</v>
      </c>
    </row>
    <row r="8799" spans="1:6" x14ac:dyDescent="0.25">
      <c r="A8799" t="str">
        <f>"002237563"</f>
        <v>002237563</v>
      </c>
      <c r="B8799" t="str">
        <f>"1841532819"</f>
        <v>1841532819</v>
      </c>
      <c r="C8799" t="str">
        <f>"207Q00000X"</f>
        <v>207Q00000X</v>
      </c>
      <c r="D8799" t="str">
        <f>"BLACKSTOCK               DREW         S           "</f>
        <v xml:space="preserve">BLACKSTOCK               DREW         S           </v>
      </c>
      <c r="E8799" t="str">
        <f>"TUPELO                    "</f>
        <v xml:space="preserve">TUPELO                    </v>
      </c>
      <c r="F8799" t="str">
        <f t="shared" si="263"/>
        <v>MS</v>
      </c>
    </row>
    <row r="8800" spans="1:6" x14ac:dyDescent="0.25">
      <c r="A8800" t="str">
        <f>"002237584"</f>
        <v>002237584</v>
      </c>
      <c r="B8800" t="str">
        <f>"1841947710"</f>
        <v>1841947710</v>
      </c>
      <c r="C8800" t="str">
        <f>"363L00000X"</f>
        <v>363L00000X</v>
      </c>
      <c r="D8800" t="str">
        <f>"OWENS                    SAVANNAH                 "</f>
        <v xml:space="preserve">OWENS                    SAVANNAH                 </v>
      </c>
      <c r="E8800" t="str">
        <f>"JACKSON                   "</f>
        <v xml:space="preserve">JACKSON                   </v>
      </c>
      <c r="F8800" t="str">
        <f t="shared" si="263"/>
        <v>MS</v>
      </c>
    </row>
    <row r="8801" spans="1:6" x14ac:dyDescent="0.25">
      <c r="A8801" t="str">
        <f>"002239762"</f>
        <v>002239762</v>
      </c>
      <c r="B8801" t="str">
        <f>"1407517196"</f>
        <v>1407517196</v>
      </c>
      <c r="C8801" t="str">
        <f>"363A00000X"</f>
        <v>363A00000X</v>
      </c>
      <c r="D8801" t="str">
        <f>"RHODES                   SETH         I           "</f>
        <v xml:space="preserve">RHODES                   SETH         I           </v>
      </c>
      <c r="E8801" t="str">
        <f>"HATTIESBURG               "</f>
        <v xml:space="preserve">HATTIESBURG               </v>
      </c>
      <c r="F8801" t="str">
        <f t="shared" si="263"/>
        <v>MS</v>
      </c>
    </row>
    <row r="8802" spans="1:6" x14ac:dyDescent="0.25">
      <c r="A8802" t="str">
        <f>"002250020"</f>
        <v>002250020</v>
      </c>
      <c r="B8802" t="str">
        <f>"1275946162"</f>
        <v>1275946162</v>
      </c>
      <c r="C8802" t="str">
        <f>"363L00000X"</f>
        <v>363L00000X</v>
      </c>
      <c r="D8802" t="str">
        <f>"HAWLEY                   JAMES        L           "</f>
        <v xml:space="preserve">HAWLEY                   JAMES        L           </v>
      </c>
      <c r="E8802" t="str">
        <f>"CENTREVILLE               "</f>
        <v xml:space="preserve">CENTREVILLE               </v>
      </c>
      <c r="F8802" t="str">
        <f t="shared" si="263"/>
        <v>MS</v>
      </c>
    </row>
    <row r="8803" spans="1:6" x14ac:dyDescent="0.25">
      <c r="A8803" t="str">
        <f>"002251047"</f>
        <v>002251047</v>
      </c>
      <c r="B8803" t="str">
        <f>"1497918825"</f>
        <v>1497918825</v>
      </c>
      <c r="C8803" t="str">
        <f>"207V00000X"</f>
        <v>207V00000X</v>
      </c>
      <c r="D8803" t="str">
        <f>"CARTER                   ANDREA       M           "</f>
        <v xml:space="preserve">CARTER                   ANDREA       M           </v>
      </c>
      <c r="E8803" t="str">
        <f>"HATTIESBURG               "</f>
        <v xml:space="preserve">HATTIESBURG               </v>
      </c>
      <c r="F8803" t="str">
        <f t="shared" si="263"/>
        <v>MS</v>
      </c>
    </row>
    <row r="8804" spans="1:6" x14ac:dyDescent="0.25">
      <c r="A8804" t="str">
        <f>"002251053"</f>
        <v>002251053</v>
      </c>
      <c r="B8804" t="str">
        <f>"1659787307"</f>
        <v>1659787307</v>
      </c>
      <c r="C8804" t="str">
        <f>"363L00000X"</f>
        <v>363L00000X</v>
      </c>
      <c r="D8804" t="str">
        <f>"TYNES                    FRANCES      H           "</f>
        <v xml:space="preserve">TYNES                    FRANCES      H           </v>
      </c>
      <c r="E8804" t="str">
        <f>"JACKSON                   "</f>
        <v xml:space="preserve">JACKSON                   </v>
      </c>
      <c r="F8804" t="str">
        <f t="shared" si="263"/>
        <v>MS</v>
      </c>
    </row>
    <row r="8805" spans="1:6" x14ac:dyDescent="0.25">
      <c r="A8805" t="str">
        <f>"002251311"</f>
        <v>002251311</v>
      </c>
      <c r="B8805" t="str">
        <f>"1205498243"</f>
        <v>1205498243</v>
      </c>
      <c r="C8805" t="str">
        <f>"363L00000X"</f>
        <v>363L00000X</v>
      </c>
      <c r="D8805" t="str">
        <f>"GLORIOSO                 MICHELLE     M           "</f>
        <v xml:space="preserve">GLORIOSO                 MICHELLE     M           </v>
      </c>
      <c r="E8805" t="str">
        <f>"JACKSON                   "</f>
        <v xml:space="preserve">JACKSON                   </v>
      </c>
      <c r="F8805" t="str">
        <f t="shared" si="263"/>
        <v>MS</v>
      </c>
    </row>
    <row r="8806" spans="1:6" x14ac:dyDescent="0.25">
      <c r="A8806" t="str">
        <f>"002252773"</f>
        <v>002252773</v>
      </c>
      <c r="B8806" t="str">
        <f>"1508170853"</f>
        <v>1508170853</v>
      </c>
      <c r="C8806" t="str">
        <f>"207Q00000X"</f>
        <v>207Q00000X</v>
      </c>
      <c r="D8806" t="str">
        <f>"BEGUM                    RAHMATH      U           "</f>
        <v xml:space="preserve">BEGUM                    RAHMATH      U           </v>
      </c>
      <c r="E8806" t="str">
        <f>"MERIDIAN                  "</f>
        <v xml:space="preserve">MERIDIAN                  </v>
      </c>
      <c r="F8806" t="str">
        <f t="shared" si="263"/>
        <v>MS</v>
      </c>
    </row>
    <row r="8807" spans="1:6" x14ac:dyDescent="0.25">
      <c r="A8807" t="str">
        <f>"002254280"</f>
        <v>002254280</v>
      </c>
      <c r="B8807" t="str">
        <f>"1215310388"</f>
        <v>1215310388</v>
      </c>
      <c r="C8807" t="str">
        <f>"363L00000X"</f>
        <v>363L00000X</v>
      </c>
      <c r="D8807" t="str">
        <f>"MILLER                   JEFFREY      D           "</f>
        <v xml:space="preserve">MILLER                   JEFFREY      D           </v>
      </c>
      <c r="E8807" t="str">
        <f>"LAUREL                    "</f>
        <v xml:space="preserve">LAUREL                    </v>
      </c>
      <c r="F8807" t="str">
        <f t="shared" si="263"/>
        <v>MS</v>
      </c>
    </row>
    <row r="8808" spans="1:6" x14ac:dyDescent="0.25">
      <c r="A8808" t="str">
        <f>"002255074"</f>
        <v>002255074</v>
      </c>
      <c r="B8808" t="str">
        <f>"1225090715"</f>
        <v>1225090715</v>
      </c>
      <c r="C8808" t="str">
        <f>"207R00000X"</f>
        <v>207R00000X</v>
      </c>
      <c r="D8808" t="str">
        <f>"CAMPBELL                 MARK         E           "</f>
        <v xml:space="preserve">CAMPBELL                 MARK         E           </v>
      </c>
      <c r="E8808" t="str">
        <f>"OXFORD                    "</f>
        <v xml:space="preserve">OXFORD                    </v>
      </c>
      <c r="F8808" t="str">
        <f t="shared" si="263"/>
        <v>MS</v>
      </c>
    </row>
    <row r="8809" spans="1:6" x14ac:dyDescent="0.25">
      <c r="A8809" t="str">
        <f>"002255373"</f>
        <v>002255373</v>
      </c>
      <c r="B8809" t="str">
        <f>"1417481755"</f>
        <v>1417481755</v>
      </c>
      <c r="C8809" t="str">
        <f>"261QE0700X"</f>
        <v>261QE0700X</v>
      </c>
      <c r="D8809" t="str">
        <f>"FRESENIUS MEDICAL CARE MID MISSISSI               "</f>
        <v xml:space="preserve">FRESENIUS MEDICAL CARE MID MISSISSI               </v>
      </c>
      <c r="E8809" t="str">
        <f>"JACKSON                   "</f>
        <v xml:space="preserve">JACKSON                   </v>
      </c>
      <c r="F8809" t="str">
        <f t="shared" si="263"/>
        <v>MS</v>
      </c>
    </row>
    <row r="8810" spans="1:6" x14ac:dyDescent="0.25">
      <c r="A8810" t="str">
        <f>"002259313"</f>
        <v>002259313</v>
      </c>
      <c r="B8810" t="str">
        <f>"1144873910"</f>
        <v>1144873910</v>
      </c>
      <c r="C8810" t="str">
        <f>"261QR1300X"</f>
        <v>261QR1300X</v>
      </c>
      <c r="D8810" t="str">
        <f>"WOMENS HEALTH CENTER                              "</f>
        <v xml:space="preserve">WOMENS HEALTH CENTER                              </v>
      </c>
      <c r="E8810" t="str">
        <f>"MCCOMB                    "</f>
        <v xml:space="preserve">MCCOMB                    </v>
      </c>
      <c r="F8810" t="str">
        <f t="shared" si="263"/>
        <v>MS</v>
      </c>
    </row>
    <row r="8811" spans="1:6" x14ac:dyDescent="0.25">
      <c r="A8811" t="str">
        <f>"002270721"</f>
        <v>002270721</v>
      </c>
      <c r="B8811" t="str">
        <f>"1194266536"</f>
        <v>1194266536</v>
      </c>
      <c r="C8811" t="str">
        <f>"207V00000X"</f>
        <v>207V00000X</v>
      </c>
      <c r="D8811" t="str">
        <f>"BERTRAND                 JEREMY       M           "</f>
        <v xml:space="preserve">BERTRAND                 JEREMY       M           </v>
      </c>
      <c r="E8811" t="str">
        <f>"OCEAN SPRINGS             "</f>
        <v xml:space="preserve">OCEAN SPRINGS             </v>
      </c>
      <c r="F8811" t="str">
        <f t="shared" si="263"/>
        <v>MS</v>
      </c>
    </row>
    <row r="8812" spans="1:6" x14ac:dyDescent="0.25">
      <c r="A8812" t="str">
        <f>"002272091"</f>
        <v>002272091</v>
      </c>
      <c r="B8812" t="str">
        <f>"1598903577"</f>
        <v>1598903577</v>
      </c>
      <c r="C8812" t="str">
        <f>"207V00000X"</f>
        <v>207V00000X</v>
      </c>
      <c r="D8812" t="str">
        <f>"MIDGETT                  ROMERO       K           "</f>
        <v xml:space="preserve">MIDGETT                  ROMERO       K           </v>
      </c>
      <c r="E8812" t="str">
        <f>"CANTON                    "</f>
        <v xml:space="preserve">CANTON                    </v>
      </c>
      <c r="F8812" t="str">
        <f t="shared" si="263"/>
        <v>MS</v>
      </c>
    </row>
    <row r="8813" spans="1:6" x14ac:dyDescent="0.25">
      <c r="A8813" t="str">
        <f>"002272591"</f>
        <v>002272591</v>
      </c>
      <c r="B8813" t="str">
        <f>"1538430244"</f>
        <v>1538430244</v>
      </c>
      <c r="C8813" t="str">
        <f>"207RE0101X"</f>
        <v>207RE0101X</v>
      </c>
      <c r="D8813" t="str">
        <f>"BLAVO                    DELALI       O           "</f>
        <v xml:space="preserve">BLAVO                    DELALI       O           </v>
      </c>
      <c r="E8813" t="str">
        <f>"SOUTHAVEN                 "</f>
        <v xml:space="preserve">SOUTHAVEN                 </v>
      </c>
      <c r="F8813" t="str">
        <f t="shared" si="263"/>
        <v>MS</v>
      </c>
    </row>
    <row r="8814" spans="1:6" x14ac:dyDescent="0.25">
      <c r="A8814" t="str">
        <f>"002272710"</f>
        <v>002272710</v>
      </c>
      <c r="B8814" t="str">
        <f>"1275705949"</f>
        <v>1275705949</v>
      </c>
      <c r="C8814" t="str">
        <f>"208VP0000X"</f>
        <v>208VP0000X</v>
      </c>
      <c r="D8814" t="str">
        <f>"TOMAJIAN                 SAMIR        A           "</f>
        <v xml:space="preserve">TOMAJIAN                 SAMIR        A           </v>
      </c>
      <c r="E8814" t="str">
        <f>"GULFPORT                  "</f>
        <v xml:space="preserve">GULFPORT                  </v>
      </c>
      <c r="F8814" t="str">
        <f t="shared" si="263"/>
        <v>MS</v>
      </c>
    </row>
    <row r="8815" spans="1:6" x14ac:dyDescent="0.25">
      <c r="A8815" t="str">
        <f>"002273838"</f>
        <v>002273838</v>
      </c>
      <c r="B8815" t="str">
        <f>"1992903355"</f>
        <v>1992903355</v>
      </c>
      <c r="C8815" t="str">
        <f>"207RR0500X"</f>
        <v>207RR0500X</v>
      </c>
      <c r="D8815" t="str">
        <f>"KARIM                    SHABANA      C           "</f>
        <v xml:space="preserve">KARIM                    SHABANA      C           </v>
      </c>
      <c r="E8815" t="str">
        <f>"GREENVILLE                "</f>
        <v xml:space="preserve">GREENVILLE                </v>
      </c>
      <c r="F8815" t="str">
        <f t="shared" si="263"/>
        <v>MS</v>
      </c>
    </row>
    <row r="8816" spans="1:6" x14ac:dyDescent="0.25">
      <c r="A8816" t="str">
        <f>"002274715"</f>
        <v>002274715</v>
      </c>
      <c r="B8816" t="str">
        <f>"1144255225"</f>
        <v>1144255225</v>
      </c>
      <c r="C8816" t="str">
        <f>"363A00000X"</f>
        <v>363A00000X</v>
      </c>
      <c r="D8816" t="str">
        <f>"MOORE                    JIMMIE       A           "</f>
        <v xml:space="preserve">MOORE                    JIMMIE       A           </v>
      </c>
      <c r="E8816" t="str">
        <f>"HATTIESBURG               "</f>
        <v xml:space="preserve">HATTIESBURG               </v>
      </c>
      <c r="F8816" t="str">
        <f t="shared" si="263"/>
        <v>MS</v>
      </c>
    </row>
    <row r="8817" spans="1:6" x14ac:dyDescent="0.25">
      <c r="A8817" t="str">
        <f>"002274745"</f>
        <v>002274745</v>
      </c>
      <c r="B8817" t="str">
        <f>"1710249271"</f>
        <v>1710249271</v>
      </c>
      <c r="C8817" t="str">
        <f>"363L00000X"</f>
        <v>363L00000X</v>
      </c>
      <c r="D8817" t="str">
        <f>"ERWIN                    ANNA         K           "</f>
        <v xml:space="preserve">ERWIN                    ANNA         K           </v>
      </c>
      <c r="E8817" t="str">
        <f>"CORINTH                   "</f>
        <v xml:space="preserve">CORINTH                   </v>
      </c>
      <c r="F8817" t="str">
        <f t="shared" si="263"/>
        <v>MS</v>
      </c>
    </row>
    <row r="8818" spans="1:6" x14ac:dyDescent="0.25">
      <c r="A8818" t="str">
        <f>"002275564"</f>
        <v>002275564</v>
      </c>
      <c r="B8818" t="str">
        <f>"1386003937"</f>
        <v>1386003937</v>
      </c>
      <c r="C8818" t="str">
        <f>"363L00000X"</f>
        <v>363L00000X</v>
      </c>
      <c r="D8818" t="str">
        <f>"PATTERSON                ALLISON      C           "</f>
        <v xml:space="preserve">PATTERSON                ALLISON      C           </v>
      </c>
      <c r="E8818" t="str">
        <f>"TYLERTOWN                 "</f>
        <v xml:space="preserve">TYLERTOWN                 </v>
      </c>
      <c r="F8818" t="str">
        <f t="shared" si="263"/>
        <v>MS</v>
      </c>
    </row>
    <row r="8819" spans="1:6" x14ac:dyDescent="0.25">
      <c r="A8819" t="str">
        <f>"002276065"</f>
        <v>002276065</v>
      </c>
      <c r="B8819" t="str">
        <f>"1033460878"</f>
        <v>1033460878</v>
      </c>
      <c r="C8819" t="str">
        <f>"261QR1300X"</f>
        <v>261QR1300X</v>
      </c>
      <c r="D8819" t="str">
        <f>"LAIRD HOSPITAL INC                                "</f>
        <v xml:space="preserve">LAIRD HOSPITAL INC                                </v>
      </c>
      <c r="E8819" t="str">
        <f>"DECATUR                   "</f>
        <v xml:space="preserve">DECATUR                   </v>
      </c>
      <c r="F8819" t="str">
        <f t="shared" si="263"/>
        <v>MS</v>
      </c>
    </row>
    <row r="8820" spans="1:6" x14ac:dyDescent="0.25">
      <c r="A8820" t="str">
        <f>"002277207"</f>
        <v>002277207</v>
      </c>
      <c r="B8820" t="str">
        <f>"1619919156"</f>
        <v>1619919156</v>
      </c>
      <c r="C8820" t="str">
        <f>"2084N0400X"</f>
        <v>2084N0400X</v>
      </c>
      <c r="D8820" t="str">
        <f>"BOWEN IV                 LENNON       E           "</f>
        <v xml:space="preserve">BOWEN IV                 LENNON       E           </v>
      </c>
      <c r="E8820" t="str">
        <f>"VANCLEAVE                 "</f>
        <v xml:space="preserve">VANCLEAVE                 </v>
      </c>
      <c r="F8820" t="str">
        <f t="shared" si="263"/>
        <v>MS</v>
      </c>
    </row>
    <row r="8821" spans="1:6" x14ac:dyDescent="0.25">
      <c r="A8821" t="str">
        <f>"002277744"</f>
        <v>002277744</v>
      </c>
      <c r="B8821" t="str">
        <f>"1649620485"</f>
        <v>1649620485</v>
      </c>
      <c r="C8821" t="str">
        <f>"363L00000X"</f>
        <v>363L00000X</v>
      </c>
      <c r="D8821" t="str">
        <f>"WILLIAMS                 LOREN        W           "</f>
        <v xml:space="preserve">WILLIAMS                 LOREN        W           </v>
      </c>
      <c r="E8821" t="str">
        <f>"BROOKHAVEN                "</f>
        <v xml:space="preserve">BROOKHAVEN                </v>
      </c>
      <c r="F8821" t="str">
        <f t="shared" si="263"/>
        <v>MS</v>
      </c>
    </row>
    <row r="8822" spans="1:6" x14ac:dyDescent="0.25">
      <c r="A8822" t="str">
        <f>"002277797"</f>
        <v>002277797</v>
      </c>
      <c r="B8822" t="str">
        <f>"1881817450"</f>
        <v>1881817450</v>
      </c>
      <c r="C8822" t="str">
        <f>"363L00000X"</f>
        <v>363L00000X</v>
      </c>
      <c r="D8822" t="str">
        <f>"DUEITT                   THERESA                  "</f>
        <v xml:space="preserve">DUEITT                   THERESA                  </v>
      </c>
      <c r="E8822" t="str">
        <f>"HATTIESBURG               "</f>
        <v xml:space="preserve">HATTIESBURG               </v>
      </c>
      <c r="F8822" t="str">
        <f t="shared" si="263"/>
        <v>MS</v>
      </c>
    </row>
    <row r="8823" spans="1:6" x14ac:dyDescent="0.25">
      <c r="A8823" t="str">
        <f>"002280309"</f>
        <v>002280309</v>
      </c>
      <c r="B8823" t="str">
        <f>"1881167435"</f>
        <v>1881167435</v>
      </c>
      <c r="C8823" t="str">
        <f>"363L00000X"</f>
        <v>363L00000X</v>
      </c>
      <c r="D8823" t="str">
        <f>"KAIN                     SARA         M           "</f>
        <v xml:space="preserve">KAIN                     SARA         M           </v>
      </c>
      <c r="E8823" t="str">
        <f>"COLUMBUS                  "</f>
        <v xml:space="preserve">COLUMBUS                  </v>
      </c>
      <c r="F8823" t="str">
        <f t="shared" si="263"/>
        <v>MS</v>
      </c>
    </row>
    <row r="8824" spans="1:6" x14ac:dyDescent="0.25">
      <c r="A8824" t="str">
        <f>"002283205"</f>
        <v>002283205</v>
      </c>
      <c r="B8824" t="str">
        <f>"1003477449"</f>
        <v>1003477449</v>
      </c>
      <c r="C8824" t="str">
        <f>"363L00000X"</f>
        <v>363L00000X</v>
      </c>
      <c r="D8824" t="str">
        <f>"AUSTIN                   KARA                     "</f>
        <v xml:space="preserve">AUSTIN                   KARA                     </v>
      </c>
      <c r="E8824" t="str">
        <f>"KOSCIUSKO                 "</f>
        <v xml:space="preserve">KOSCIUSKO                 </v>
      </c>
      <c r="F8824" t="str">
        <f t="shared" si="263"/>
        <v>MS</v>
      </c>
    </row>
    <row r="8825" spans="1:6" x14ac:dyDescent="0.25">
      <c r="A8825" t="str">
        <f>"002283851"</f>
        <v>002283851</v>
      </c>
      <c r="B8825" t="str">
        <f>"1760959027"</f>
        <v>1760959027</v>
      </c>
      <c r="C8825" t="str">
        <f>"363L00000X"</f>
        <v>363L00000X</v>
      </c>
      <c r="D8825" t="str">
        <f>"DICKERSON                BRITTANY                 "</f>
        <v xml:space="preserve">DICKERSON                BRITTANY                 </v>
      </c>
      <c r="E8825" t="str">
        <f>"ACKERMAN                  "</f>
        <v xml:space="preserve">ACKERMAN                  </v>
      </c>
      <c r="F8825" t="str">
        <f t="shared" si="263"/>
        <v>MS</v>
      </c>
    </row>
    <row r="8826" spans="1:6" x14ac:dyDescent="0.25">
      <c r="A8826" t="str">
        <f>"002284820"</f>
        <v>002284820</v>
      </c>
      <c r="B8826" t="str">
        <f>"1396757910"</f>
        <v>1396757910</v>
      </c>
      <c r="C8826" t="str">
        <f>"207Y00000X"</f>
        <v>207Y00000X</v>
      </c>
      <c r="D8826" t="str">
        <f>"HAMMETT                  MICHAEL      J           "</f>
        <v xml:space="preserve">HAMMETT                  MICHAEL      J           </v>
      </c>
      <c r="E8826" t="str">
        <f>"HATTIESBURG               "</f>
        <v xml:space="preserve">HATTIESBURG               </v>
      </c>
      <c r="F8826" t="str">
        <f t="shared" si="263"/>
        <v>MS</v>
      </c>
    </row>
    <row r="8827" spans="1:6" x14ac:dyDescent="0.25">
      <c r="A8827" t="str">
        <f>"002285303"</f>
        <v>002285303</v>
      </c>
      <c r="B8827" t="str">
        <f>"1467682385"</f>
        <v>1467682385</v>
      </c>
      <c r="C8827" t="str">
        <f>"363A00000X"</f>
        <v>363A00000X</v>
      </c>
      <c r="D8827" t="str">
        <f>"HORN                     NICHOLE                  "</f>
        <v xml:space="preserve">HORN                     NICHOLE                  </v>
      </c>
      <c r="E8827" t="str">
        <f>"OCEAN SPRINGS             "</f>
        <v xml:space="preserve">OCEAN SPRINGS             </v>
      </c>
      <c r="F8827" t="str">
        <f t="shared" si="263"/>
        <v>MS</v>
      </c>
    </row>
    <row r="8828" spans="1:6" x14ac:dyDescent="0.25">
      <c r="A8828" t="str">
        <f>"002285578"</f>
        <v>002285578</v>
      </c>
      <c r="B8828" t="str">
        <f>"1396106456"</f>
        <v>1396106456</v>
      </c>
      <c r="C8828" t="str">
        <f>"363LP0808X"</f>
        <v>363LP0808X</v>
      </c>
      <c r="D8828" t="str">
        <f>"SMITH                    DAVID        A           "</f>
        <v xml:space="preserve">SMITH                    DAVID        A           </v>
      </c>
      <c r="E8828" t="str">
        <f>"GULFPORT                  "</f>
        <v xml:space="preserve">GULFPORT                  </v>
      </c>
      <c r="F8828" t="str">
        <f t="shared" si="263"/>
        <v>MS</v>
      </c>
    </row>
    <row r="8829" spans="1:6" x14ac:dyDescent="0.25">
      <c r="A8829" t="str">
        <f>"002286218"</f>
        <v>002286218</v>
      </c>
      <c r="B8829" t="str">
        <f>"1063692770"</f>
        <v>1063692770</v>
      </c>
      <c r="C8829" t="str">
        <f>"207Q00000X"</f>
        <v>207Q00000X</v>
      </c>
      <c r="D8829" t="str">
        <f>"DOYLE                    ALLISON      H           "</f>
        <v xml:space="preserve">DOYLE                    ALLISON      H           </v>
      </c>
      <c r="E8829" t="str">
        <f>"MOUND BAYOU               "</f>
        <v xml:space="preserve">MOUND BAYOU               </v>
      </c>
      <c r="F8829" t="str">
        <f t="shared" si="263"/>
        <v>MS</v>
      </c>
    </row>
    <row r="8830" spans="1:6" x14ac:dyDescent="0.25">
      <c r="A8830" t="str">
        <f>"002286897"</f>
        <v>002286897</v>
      </c>
      <c r="B8830" t="str">
        <f>"1013967603"</f>
        <v>1013967603</v>
      </c>
      <c r="C8830" t="str">
        <f>"261QF0400X"</f>
        <v>261QF0400X</v>
      </c>
      <c r="D8830" t="str">
        <f>"THAMES ELEMENTARY SCHOOL                          "</f>
        <v xml:space="preserve">THAMES ELEMENTARY SCHOOL                          </v>
      </c>
      <c r="E8830" t="str">
        <f>"HATTIESBURG               "</f>
        <v xml:space="preserve">HATTIESBURG               </v>
      </c>
      <c r="F8830" t="str">
        <f t="shared" ref="F8830:F8893" si="264">"MS"</f>
        <v>MS</v>
      </c>
    </row>
    <row r="8831" spans="1:6" x14ac:dyDescent="0.25">
      <c r="A8831" t="str">
        <f>"002287364"</f>
        <v>002287364</v>
      </c>
      <c r="B8831" t="str">
        <f>"1477845808"</f>
        <v>1477845808</v>
      </c>
      <c r="C8831" t="str">
        <f>"2085R0202X"</f>
        <v>2085R0202X</v>
      </c>
      <c r="D8831" t="str">
        <f>"MAYS                     MARGARET ANN K           "</f>
        <v xml:space="preserve">MAYS                     MARGARET ANN K           </v>
      </c>
      <c r="E8831" t="str">
        <f>"OLIVE BRANCH              "</f>
        <v xml:space="preserve">OLIVE BRANCH              </v>
      </c>
      <c r="F8831" t="str">
        <f t="shared" si="264"/>
        <v>MS</v>
      </c>
    </row>
    <row r="8832" spans="1:6" x14ac:dyDescent="0.25">
      <c r="A8832" t="str">
        <f>"002289823"</f>
        <v>002289823</v>
      </c>
      <c r="B8832" t="str">
        <f>"1548671514"</f>
        <v>1548671514</v>
      </c>
      <c r="C8832" t="str">
        <f>"207Q00000X"</f>
        <v>207Q00000X</v>
      </c>
      <c r="D8832" t="str">
        <f>"BLUE                     MARKETTA                 "</f>
        <v xml:space="preserve">BLUE                     MARKETTA                 </v>
      </c>
      <c r="E8832" t="str">
        <f>"MOUND BAYOU               "</f>
        <v xml:space="preserve">MOUND BAYOU               </v>
      </c>
      <c r="F8832" t="str">
        <f t="shared" si="264"/>
        <v>MS</v>
      </c>
    </row>
    <row r="8833" spans="1:6" x14ac:dyDescent="0.25">
      <c r="A8833" t="str">
        <f>"002300709"</f>
        <v>002300709</v>
      </c>
      <c r="B8833" t="str">
        <f>"1932737202"</f>
        <v>1932737202</v>
      </c>
      <c r="C8833" t="str">
        <f>"363L00000X"</f>
        <v>363L00000X</v>
      </c>
      <c r="D8833" t="str">
        <f>"REEVES                   HANNAH                   "</f>
        <v xml:space="preserve">REEVES                   HANNAH                   </v>
      </c>
      <c r="E8833" t="str">
        <f>"CALHOUN CITY              "</f>
        <v xml:space="preserve">CALHOUN CITY              </v>
      </c>
      <c r="F8833" t="str">
        <f t="shared" si="264"/>
        <v>MS</v>
      </c>
    </row>
    <row r="8834" spans="1:6" x14ac:dyDescent="0.25">
      <c r="A8834" t="str">
        <f>"002300830"</f>
        <v>002300830</v>
      </c>
      <c r="B8834" t="str">
        <f>"1346487105"</f>
        <v>1346487105</v>
      </c>
      <c r="C8834" t="str">
        <f>"122300000X"</f>
        <v>122300000X</v>
      </c>
      <c r="D8834" t="str">
        <f>"SMILES AHEAD PC                                   "</f>
        <v xml:space="preserve">SMILES AHEAD PC                                   </v>
      </c>
      <c r="E8834" t="str">
        <f>"HATTIESBURG               "</f>
        <v xml:space="preserve">HATTIESBURG               </v>
      </c>
      <c r="F8834" t="str">
        <f t="shared" si="264"/>
        <v>MS</v>
      </c>
    </row>
    <row r="8835" spans="1:6" x14ac:dyDescent="0.25">
      <c r="A8835" t="str">
        <f>"002301812"</f>
        <v>002301812</v>
      </c>
      <c r="B8835" t="str">
        <f>"1548885759"</f>
        <v>1548885759</v>
      </c>
      <c r="C8835" t="str">
        <f>"363L00000X"</f>
        <v>363L00000X</v>
      </c>
      <c r="D8835" t="str">
        <f>"ELLZEY                   KRISTEN      L           "</f>
        <v xml:space="preserve">ELLZEY                   KRISTEN      L           </v>
      </c>
      <c r="E8835" t="str">
        <f>"BAY SPRINGS               "</f>
        <v xml:space="preserve">BAY SPRINGS               </v>
      </c>
      <c r="F8835" t="str">
        <f t="shared" si="264"/>
        <v>MS</v>
      </c>
    </row>
    <row r="8836" spans="1:6" x14ac:dyDescent="0.25">
      <c r="A8836" t="str">
        <f>"002303099"</f>
        <v>002303099</v>
      </c>
      <c r="B8836" t="str">
        <f>"1578900718"</f>
        <v>1578900718</v>
      </c>
      <c r="C8836" t="str">
        <f>"122300000X"</f>
        <v>122300000X</v>
      </c>
      <c r="D8836" t="str">
        <f>"SMILE DESIGNERS LLC                               "</f>
        <v xml:space="preserve">SMILE DESIGNERS LLC                               </v>
      </c>
      <c r="E8836" t="str">
        <f>"LAUREL                    "</f>
        <v xml:space="preserve">LAUREL                    </v>
      </c>
      <c r="F8836" t="str">
        <f t="shared" si="264"/>
        <v>MS</v>
      </c>
    </row>
    <row r="8837" spans="1:6" x14ac:dyDescent="0.25">
      <c r="A8837" t="str">
        <f>"002304077"</f>
        <v>002304077</v>
      </c>
      <c r="B8837" t="str">
        <f>"1831799022"</f>
        <v>1831799022</v>
      </c>
      <c r="C8837" t="str">
        <f>"363L00000X"</f>
        <v>363L00000X</v>
      </c>
      <c r="D8837" t="str">
        <f>"FERNALD                  CARRIE       L           "</f>
        <v xml:space="preserve">FERNALD                  CARRIE       L           </v>
      </c>
      <c r="E8837" t="str">
        <f>"BROOKHAVEN                "</f>
        <v xml:space="preserve">BROOKHAVEN                </v>
      </c>
      <c r="F8837" t="str">
        <f t="shared" si="264"/>
        <v>MS</v>
      </c>
    </row>
    <row r="8838" spans="1:6" x14ac:dyDescent="0.25">
      <c r="A8838" t="str">
        <f>"002304760"</f>
        <v>002304760</v>
      </c>
      <c r="B8838" t="str">
        <f>"1205444270"</f>
        <v>1205444270</v>
      </c>
      <c r="C8838" t="str">
        <f>"2085R0202X"</f>
        <v>2085R0202X</v>
      </c>
      <c r="D8838" t="str">
        <f>"SITTA                    JULIANA                  "</f>
        <v xml:space="preserve">SITTA                    JULIANA                  </v>
      </c>
      <c r="E8838" t="str">
        <f>"JACKSON                   "</f>
        <v xml:space="preserve">JACKSON                   </v>
      </c>
      <c r="F8838" t="str">
        <f t="shared" si="264"/>
        <v>MS</v>
      </c>
    </row>
    <row r="8839" spans="1:6" x14ac:dyDescent="0.25">
      <c r="A8839" t="str">
        <f>"002304761"</f>
        <v>002304761</v>
      </c>
      <c r="B8839" t="str">
        <f>"1376713313"</f>
        <v>1376713313</v>
      </c>
      <c r="C8839" t="str">
        <f>"363L00000X"</f>
        <v>363L00000X</v>
      </c>
      <c r="D8839" t="str">
        <f>"RIVERO                   GINA         F           "</f>
        <v xml:space="preserve">RIVERO                   GINA         F           </v>
      </c>
      <c r="E8839" t="str">
        <f>"PICAYUNE                  "</f>
        <v xml:space="preserve">PICAYUNE                  </v>
      </c>
      <c r="F8839" t="str">
        <f t="shared" si="264"/>
        <v>MS</v>
      </c>
    </row>
    <row r="8840" spans="1:6" x14ac:dyDescent="0.25">
      <c r="A8840" t="str">
        <f>"002304794"</f>
        <v>002304794</v>
      </c>
      <c r="B8840" t="str">
        <f>"1538287479"</f>
        <v>1538287479</v>
      </c>
      <c r="C8840" t="str">
        <f>"363L00000X"</f>
        <v>363L00000X</v>
      </c>
      <c r="D8840" t="str">
        <f>"GADDY                    KATHRINE     I           "</f>
        <v xml:space="preserve">GADDY                    KATHRINE     I           </v>
      </c>
      <c r="E8840" t="str">
        <f>"GULFPORT                  "</f>
        <v xml:space="preserve">GULFPORT                  </v>
      </c>
      <c r="F8840" t="str">
        <f t="shared" si="264"/>
        <v>MS</v>
      </c>
    </row>
    <row r="8841" spans="1:6" x14ac:dyDescent="0.25">
      <c r="A8841" t="str">
        <f>"002305055"</f>
        <v>002305055</v>
      </c>
      <c r="B8841" t="str">
        <f>"1639746001"</f>
        <v>1639746001</v>
      </c>
      <c r="C8841" t="str">
        <f>"363L00000X"</f>
        <v>363L00000X</v>
      </c>
      <c r="D8841" t="str">
        <f>"SMITH                    BRANDON      C           "</f>
        <v xml:space="preserve">SMITH                    BRANDON      C           </v>
      </c>
      <c r="E8841" t="str">
        <f>"COLLINS                   "</f>
        <v xml:space="preserve">COLLINS                   </v>
      </c>
      <c r="F8841" t="str">
        <f t="shared" si="264"/>
        <v>MS</v>
      </c>
    </row>
    <row r="8842" spans="1:6" x14ac:dyDescent="0.25">
      <c r="A8842" t="str">
        <f>"002305300"</f>
        <v>002305300</v>
      </c>
      <c r="B8842" t="str">
        <f>"1013450048"</f>
        <v>1013450048</v>
      </c>
      <c r="C8842" t="str">
        <f>"367500000X"</f>
        <v>367500000X</v>
      </c>
      <c r="D8842" t="str">
        <f>"BELK                     BRITTANY     D           "</f>
        <v xml:space="preserve">BELK                     BRITTANY     D           </v>
      </c>
      <c r="E8842" t="str">
        <f>"BROOKHAVEN                "</f>
        <v xml:space="preserve">BROOKHAVEN                </v>
      </c>
      <c r="F8842" t="str">
        <f t="shared" si="264"/>
        <v>MS</v>
      </c>
    </row>
    <row r="8843" spans="1:6" x14ac:dyDescent="0.25">
      <c r="A8843" t="str">
        <f>"002306524"</f>
        <v>002306524</v>
      </c>
      <c r="B8843" t="str">
        <f>"1568895704"</f>
        <v>1568895704</v>
      </c>
      <c r="C8843" t="str">
        <f>"363L00000X"</f>
        <v>363L00000X</v>
      </c>
      <c r="D8843" t="str">
        <f>"LACHNEY                  RICHMOND     P           "</f>
        <v xml:space="preserve">LACHNEY                  RICHMOND     P           </v>
      </c>
      <c r="E8843" t="str">
        <f>"JACKSON                   "</f>
        <v xml:space="preserve">JACKSON                   </v>
      </c>
      <c r="F8843" t="str">
        <f t="shared" si="264"/>
        <v>MS</v>
      </c>
    </row>
    <row r="8844" spans="1:6" x14ac:dyDescent="0.25">
      <c r="A8844" t="str">
        <f>"002306531"</f>
        <v>002306531</v>
      </c>
      <c r="B8844" t="str">
        <f>"1588297873"</f>
        <v>1588297873</v>
      </c>
      <c r="C8844" t="str">
        <f>"363L00000X"</f>
        <v>363L00000X</v>
      </c>
      <c r="D8844" t="str">
        <f>"MONTGOMERY               KIA                      "</f>
        <v xml:space="preserve">MONTGOMERY               KIA                      </v>
      </c>
      <c r="E8844" t="str">
        <f>"JACKSON                   "</f>
        <v xml:space="preserve">JACKSON                   </v>
      </c>
      <c r="F8844" t="str">
        <f t="shared" si="264"/>
        <v>MS</v>
      </c>
    </row>
    <row r="8845" spans="1:6" x14ac:dyDescent="0.25">
      <c r="A8845" t="str">
        <f>"002307827"</f>
        <v>002307827</v>
      </c>
      <c r="B8845" t="str">
        <f>"1417186347"</f>
        <v>1417186347</v>
      </c>
      <c r="C8845" t="str">
        <f>"208600000X"</f>
        <v>208600000X</v>
      </c>
      <c r="D8845" t="str">
        <f>"CAUTHEN                  WILLIAM                  "</f>
        <v xml:space="preserve">CAUTHEN                  WILLIAM                  </v>
      </c>
      <c r="E8845" t="str">
        <f>"TUPELO                    "</f>
        <v xml:space="preserve">TUPELO                    </v>
      </c>
      <c r="F8845" t="str">
        <f t="shared" si="264"/>
        <v>MS</v>
      </c>
    </row>
    <row r="8846" spans="1:6" x14ac:dyDescent="0.25">
      <c r="A8846" t="str">
        <f>"002308570"</f>
        <v>002308570</v>
      </c>
      <c r="B8846" t="str">
        <f>"1891187431"</f>
        <v>1891187431</v>
      </c>
      <c r="C8846" t="str">
        <f>"363L00000X"</f>
        <v>363L00000X</v>
      </c>
      <c r="D8846" t="str">
        <f>"PAETZ                    MARGARET     F           "</f>
        <v xml:space="preserve">PAETZ                    MARGARET     F           </v>
      </c>
      <c r="E8846" t="str">
        <f>"MOSS POINT                "</f>
        <v xml:space="preserve">MOSS POINT                </v>
      </c>
      <c r="F8846" t="str">
        <f t="shared" si="264"/>
        <v>MS</v>
      </c>
    </row>
    <row r="8847" spans="1:6" x14ac:dyDescent="0.25">
      <c r="A8847" t="str">
        <f>"002309565"</f>
        <v>002309565</v>
      </c>
      <c r="B8847" t="str">
        <f>"1578740205"</f>
        <v>1578740205</v>
      </c>
      <c r="C8847" t="str">
        <f>"367500000X"</f>
        <v>367500000X</v>
      </c>
      <c r="D8847" t="str">
        <f>"GRISSOM                  HAROLD       J           "</f>
        <v xml:space="preserve">GRISSOM                  HAROLD       J           </v>
      </c>
      <c r="E8847" t="str">
        <f>"COLUMBUS                  "</f>
        <v xml:space="preserve">COLUMBUS                  </v>
      </c>
      <c r="F8847" t="str">
        <f t="shared" si="264"/>
        <v>MS</v>
      </c>
    </row>
    <row r="8848" spans="1:6" x14ac:dyDescent="0.25">
      <c r="A8848" t="str">
        <f>"002309595"</f>
        <v>002309595</v>
      </c>
      <c r="B8848" t="str">
        <f>"1689281685"</f>
        <v>1689281685</v>
      </c>
      <c r="C8848" t="str">
        <f>"363L00000X"</f>
        <v>363L00000X</v>
      </c>
      <c r="D8848" t="str">
        <f>"BROWN                    LEIGH BETH               "</f>
        <v xml:space="preserve">BROWN                    LEIGH BETH               </v>
      </c>
      <c r="E8848" t="str">
        <f>"OXFORD                    "</f>
        <v xml:space="preserve">OXFORD                    </v>
      </c>
      <c r="F8848" t="str">
        <f t="shared" si="264"/>
        <v>MS</v>
      </c>
    </row>
    <row r="8849" spans="1:6" x14ac:dyDescent="0.25">
      <c r="A8849" t="str">
        <f>"002309788"</f>
        <v>002309788</v>
      </c>
      <c r="B8849" t="str">
        <f>"1649370503"</f>
        <v>1649370503</v>
      </c>
      <c r="C8849" t="str">
        <f>"363LP0808X"</f>
        <v>363LP0808X</v>
      </c>
      <c r="D8849" t="str">
        <f>"BRECHTEL                 JENNIFER                 "</f>
        <v xml:space="preserve">BRECHTEL                 JENNIFER                 </v>
      </c>
      <c r="E8849" t="str">
        <f>"BILOXI                    "</f>
        <v xml:space="preserve">BILOXI                    </v>
      </c>
      <c r="F8849" t="str">
        <f t="shared" si="264"/>
        <v>MS</v>
      </c>
    </row>
    <row r="8850" spans="1:6" x14ac:dyDescent="0.25">
      <c r="A8850" t="str">
        <f>"002320236"</f>
        <v>002320236</v>
      </c>
      <c r="B8850" t="str">
        <f>"1073892576"</f>
        <v>1073892576</v>
      </c>
      <c r="C8850" t="str">
        <f>"122300000X"</f>
        <v>122300000X</v>
      </c>
      <c r="D8850" t="str">
        <f>"GOODLOE DENTAL, P.A.                              "</f>
        <v xml:space="preserve">GOODLOE DENTAL, P.A.                              </v>
      </c>
      <c r="E8850" t="str">
        <f>"CANTON                    "</f>
        <v xml:space="preserve">CANTON                    </v>
      </c>
      <c r="F8850" t="str">
        <f t="shared" si="264"/>
        <v>MS</v>
      </c>
    </row>
    <row r="8851" spans="1:6" x14ac:dyDescent="0.25">
      <c r="A8851" t="str">
        <f>"002323733"</f>
        <v>002323733</v>
      </c>
      <c r="B8851" t="str">
        <f>"1790171445"</f>
        <v>1790171445</v>
      </c>
      <c r="C8851" t="str">
        <f>"2085R0202X"</f>
        <v>2085R0202X</v>
      </c>
      <c r="D8851" t="str">
        <f>"VU                       VIET                     "</f>
        <v xml:space="preserve">VU                       VIET                     </v>
      </c>
      <c r="E8851" t="str">
        <f>"GULFPORT                  "</f>
        <v xml:space="preserve">GULFPORT                  </v>
      </c>
      <c r="F8851" t="str">
        <f t="shared" si="264"/>
        <v>MS</v>
      </c>
    </row>
    <row r="8852" spans="1:6" x14ac:dyDescent="0.25">
      <c r="A8852" t="str">
        <f>"002323776"</f>
        <v>002323776</v>
      </c>
      <c r="B8852" t="str">
        <f>"1518014166"</f>
        <v>1518014166</v>
      </c>
      <c r="C8852" t="str">
        <f>"367500000X"</f>
        <v>367500000X</v>
      </c>
      <c r="D8852" t="str">
        <f>"DANIELS                  JEREMIAH     W           "</f>
        <v xml:space="preserve">DANIELS                  JEREMIAH     W           </v>
      </c>
      <c r="E8852" t="str">
        <f>"HATTIESBURG               "</f>
        <v xml:space="preserve">HATTIESBURG               </v>
      </c>
      <c r="F8852" t="str">
        <f t="shared" si="264"/>
        <v>MS</v>
      </c>
    </row>
    <row r="8853" spans="1:6" x14ac:dyDescent="0.25">
      <c r="A8853" t="str">
        <f>"002323888"</f>
        <v>002323888</v>
      </c>
      <c r="B8853" t="str">
        <f>"1861428716"</f>
        <v>1861428716</v>
      </c>
      <c r="C8853" t="str">
        <f>"363L00000X"</f>
        <v>363L00000X</v>
      </c>
      <c r="D8853" t="str">
        <f>"HARDEN                   HEATHER      J           "</f>
        <v xml:space="preserve">HARDEN                   HEATHER      J           </v>
      </c>
      <c r="E8853" t="str">
        <f>"MCCOMB                    "</f>
        <v xml:space="preserve">MCCOMB                    </v>
      </c>
      <c r="F8853" t="str">
        <f t="shared" si="264"/>
        <v>MS</v>
      </c>
    </row>
    <row r="8854" spans="1:6" x14ac:dyDescent="0.25">
      <c r="A8854" t="str">
        <f>"002324046"</f>
        <v>002324046</v>
      </c>
      <c r="B8854" t="str">
        <f>"1881049443"</f>
        <v>1881049443</v>
      </c>
      <c r="C8854" t="str">
        <f>"207R00000X"</f>
        <v>207R00000X</v>
      </c>
      <c r="D8854" t="str">
        <f>"ABRAHAM                  RALPH                    "</f>
        <v xml:space="preserve">ABRAHAM                  RALPH                    </v>
      </c>
      <c r="E8854" t="str">
        <f>"OXFORD                    "</f>
        <v xml:space="preserve">OXFORD                    </v>
      </c>
      <c r="F8854" t="str">
        <f t="shared" si="264"/>
        <v>MS</v>
      </c>
    </row>
    <row r="8855" spans="1:6" x14ac:dyDescent="0.25">
      <c r="A8855" t="str">
        <f>"002324272"</f>
        <v>002324272</v>
      </c>
      <c r="B8855" t="str">
        <f>"1720180979"</f>
        <v>1720180979</v>
      </c>
      <c r="C8855" t="str">
        <f>"363L00000X"</f>
        <v>363L00000X</v>
      </c>
      <c r="D8855" t="str">
        <f>"FRANKS                   JOY          Y           "</f>
        <v xml:space="preserve">FRANKS                   JOY          Y           </v>
      </c>
      <c r="E8855" t="str">
        <f>"MANTACHIE                 "</f>
        <v xml:space="preserve">MANTACHIE                 </v>
      </c>
      <c r="F8855" t="str">
        <f t="shared" si="264"/>
        <v>MS</v>
      </c>
    </row>
    <row r="8856" spans="1:6" x14ac:dyDescent="0.25">
      <c r="A8856" t="str">
        <f>"002325719"</f>
        <v>002325719</v>
      </c>
      <c r="B8856" t="str">
        <f>"1053649558"</f>
        <v>1053649558</v>
      </c>
      <c r="C8856" t="str">
        <f>"261QA1903X"</f>
        <v>261QA1903X</v>
      </c>
      <c r="D8856" t="str">
        <f>"POPP'S FERRY OUTPATIENT SURGERY CEN               "</f>
        <v xml:space="preserve">POPP'S FERRY OUTPATIENT SURGERY CEN               </v>
      </c>
      <c r="E8856" t="str">
        <f>"BILOXI                    "</f>
        <v xml:space="preserve">BILOXI                    </v>
      </c>
      <c r="F8856" t="str">
        <f t="shared" si="264"/>
        <v>MS</v>
      </c>
    </row>
    <row r="8857" spans="1:6" x14ac:dyDescent="0.25">
      <c r="A8857" t="str">
        <f>"002325756"</f>
        <v>002325756</v>
      </c>
      <c r="B8857" t="str">
        <f>"1053618710"</f>
        <v>1053618710</v>
      </c>
      <c r="C8857" t="str">
        <f>"363L00000X"</f>
        <v>363L00000X</v>
      </c>
      <c r="D8857" t="str">
        <f>"COMER                    RICHARD                  "</f>
        <v xml:space="preserve">COMER                    RICHARD                  </v>
      </c>
      <c r="E8857" t="str">
        <f>"TUPELO                    "</f>
        <v xml:space="preserve">TUPELO                    </v>
      </c>
      <c r="F8857" t="str">
        <f t="shared" si="264"/>
        <v>MS</v>
      </c>
    </row>
    <row r="8858" spans="1:6" x14ac:dyDescent="0.25">
      <c r="A8858" t="str">
        <f>"002326096"</f>
        <v>002326096</v>
      </c>
      <c r="B8858" t="str">
        <f>"1215224845"</f>
        <v>1215224845</v>
      </c>
      <c r="C8858" t="str">
        <f>"208000000X"</f>
        <v>208000000X</v>
      </c>
      <c r="D8858" t="str">
        <f>"HARRISON                 VIRGINIA     A           "</f>
        <v xml:space="preserve">HARRISON                 VIRGINIA     A           </v>
      </c>
      <c r="E8858" t="str">
        <f>"JACKSON                   "</f>
        <v xml:space="preserve">JACKSON                   </v>
      </c>
      <c r="F8858" t="str">
        <f t="shared" si="264"/>
        <v>MS</v>
      </c>
    </row>
    <row r="8859" spans="1:6" x14ac:dyDescent="0.25">
      <c r="A8859" t="str">
        <f>"002326761"</f>
        <v>002326761</v>
      </c>
      <c r="B8859" t="str">
        <f>"1205844537"</f>
        <v>1205844537</v>
      </c>
      <c r="C8859" t="str">
        <f>"363L00000X"</f>
        <v>363L00000X</v>
      </c>
      <c r="D8859" t="str">
        <f>"WILLIAMS                 ELIZABETH                "</f>
        <v xml:space="preserve">WILLIAMS                 ELIZABETH                </v>
      </c>
      <c r="E8859" t="str">
        <f>"JACKSON                   "</f>
        <v xml:space="preserve">JACKSON                   </v>
      </c>
      <c r="F8859" t="str">
        <f t="shared" si="264"/>
        <v>MS</v>
      </c>
    </row>
    <row r="8860" spans="1:6" x14ac:dyDescent="0.25">
      <c r="A8860" t="str">
        <f>"002327202"</f>
        <v>002327202</v>
      </c>
      <c r="B8860" t="str">
        <f>"1194076836"</f>
        <v>1194076836</v>
      </c>
      <c r="C8860" t="str">
        <f>"363L00000X"</f>
        <v>363L00000X</v>
      </c>
      <c r="D8860" t="str">
        <f>"LEE                      APRIL        L           "</f>
        <v xml:space="preserve">LEE                      APRIL        L           </v>
      </c>
      <c r="E8860" t="str">
        <f>"CANTON                    "</f>
        <v xml:space="preserve">CANTON                    </v>
      </c>
      <c r="F8860" t="str">
        <f t="shared" si="264"/>
        <v>MS</v>
      </c>
    </row>
    <row r="8861" spans="1:6" x14ac:dyDescent="0.25">
      <c r="A8861" t="str">
        <f>"002330626"</f>
        <v>002330626</v>
      </c>
      <c r="B8861" t="str">
        <f>"1720666282"</f>
        <v>1720666282</v>
      </c>
      <c r="C8861" t="str">
        <f>"207R00000X"</f>
        <v>207R00000X</v>
      </c>
      <c r="D8861" t="str">
        <f>"ROSE                     WALTER       S           "</f>
        <v xml:space="preserve">ROSE                     WALTER       S           </v>
      </c>
      <c r="E8861" t="str">
        <f>"JACKSON                   "</f>
        <v xml:space="preserve">JACKSON                   </v>
      </c>
      <c r="F8861" t="str">
        <f t="shared" si="264"/>
        <v>MS</v>
      </c>
    </row>
    <row r="8862" spans="1:6" x14ac:dyDescent="0.25">
      <c r="A8862" t="str">
        <f>"002331571"</f>
        <v>002331571</v>
      </c>
      <c r="B8862" t="str">
        <f>"1700210424"</f>
        <v>1700210424</v>
      </c>
      <c r="C8862" t="str">
        <f>"363L00000X"</f>
        <v>363L00000X</v>
      </c>
      <c r="D8862" t="str">
        <f>"EVERETT                  LINDSAY      E           "</f>
        <v xml:space="preserve">EVERETT                  LINDSAY      E           </v>
      </c>
      <c r="E8862" t="str">
        <f>"TUPELO                    "</f>
        <v xml:space="preserve">TUPELO                    </v>
      </c>
      <c r="F8862" t="str">
        <f t="shared" si="264"/>
        <v>MS</v>
      </c>
    </row>
    <row r="8863" spans="1:6" x14ac:dyDescent="0.25">
      <c r="A8863" t="str">
        <f>"002332046"</f>
        <v>002332046</v>
      </c>
      <c r="B8863" t="str">
        <f>"1659796340"</f>
        <v>1659796340</v>
      </c>
      <c r="C8863" t="str">
        <f>"261QA0600X"</f>
        <v>261QA0600X</v>
      </c>
      <c r="D8863" t="str">
        <f>"CARING 4 YOU                                      "</f>
        <v xml:space="preserve">CARING 4 YOU                                      </v>
      </c>
      <c r="E8863" t="str">
        <f>"WOODVILLE                 "</f>
        <v xml:space="preserve">WOODVILLE                 </v>
      </c>
      <c r="F8863" t="str">
        <f t="shared" si="264"/>
        <v>MS</v>
      </c>
    </row>
    <row r="8864" spans="1:6" x14ac:dyDescent="0.25">
      <c r="A8864" t="str">
        <f>"002332241"</f>
        <v>002332241</v>
      </c>
      <c r="B8864" t="str">
        <f>"1821410366"</f>
        <v>1821410366</v>
      </c>
      <c r="C8864" t="str">
        <f>"363L00000X"</f>
        <v>363L00000X</v>
      </c>
      <c r="D8864" t="str">
        <f>"JAIKEL                   AMANDA       J           "</f>
        <v xml:space="preserve">JAIKEL                   AMANDA       J           </v>
      </c>
      <c r="E8864" t="str">
        <f>"GULFPORT                  "</f>
        <v xml:space="preserve">GULFPORT                  </v>
      </c>
      <c r="F8864" t="str">
        <f t="shared" si="264"/>
        <v>MS</v>
      </c>
    </row>
    <row r="8865" spans="1:6" x14ac:dyDescent="0.25">
      <c r="A8865" t="str">
        <f>"002332254"</f>
        <v>002332254</v>
      </c>
      <c r="B8865" t="str">
        <f>"1427502426"</f>
        <v>1427502426</v>
      </c>
      <c r="C8865" t="str">
        <f>"363L00000X"</f>
        <v>363L00000X</v>
      </c>
      <c r="D8865" t="str">
        <f>"RAMSEY                   JOSHUA       W           "</f>
        <v xml:space="preserve">RAMSEY                   JOSHUA       W           </v>
      </c>
      <c r="E8865" t="str">
        <f>"BOONEVILLE                "</f>
        <v xml:space="preserve">BOONEVILLE                </v>
      </c>
      <c r="F8865" t="str">
        <f t="shared" si="264"/>
        <v>MS</v>
      </c>
    </row>
    <row r="8866" spans="1:6" x14ac:dyDescent="0.25">
      <c r="A8866" t="str">
        <f>"002334047"</f>
        <v>002334047</v>
      </c>
      <c r="B8866" t="str">
        <f>"1497338198"</f>
        <v>1497338198</v>
      </c>
      <c r="C8866" t="str">
        <f>"367500000X"</f>
        <v>367500000X</v>
      </c>
      <c r="D8866" t="str">
        <f>"LOGGINS                  JIM          T           "</f>
        <v xml:space="preserve">LOGGINS                  JIM          T           </v>
      </c>
      <c r="E8866" t="str">
        <f>"NEW ALBANY                "</f>
        <v xml:space="preserve">NEW ALBANY                </v>
      </c>
      <c r="F8866" t="str">
        <f t="shared" si="264"/>
        <v>MS</v>
      </c>
    </row>
    <row r="8867" spans="1:6" x14ac:dyDescent="0.25">
      <c r="A8867" t="str">
        <f>"002334067"</f>
        <v>002334067</v>
      </c>
      <c r="B8867" t="str">
        <f>"1760077481"</f>
        <v>1760077481</v>
      </c>
      <c r="C8867" t="str">
        <f>"261QF0400X"</f>
        <v>261QF0400X</v>
      </c>
      <c r="D8867" t="str">
        <f>"CHARGER HEALTH AND WELLNESS                       "</f>
        <v xml:space="preserve">CHARGER HEALTH AND WELLNESS                       </v>
      </c>
      <c r="E8867" t="str">
        <f>"OXFORD                    "</f>
        <v xml:space="preserve">OXFORD                    </v>
      </c>
      <c r="F8867" t="str">
        <f t="shared" si="264"/>
        <v>MS</v>
      </c>
    </row>
    <row r="8868" spans="1:6" x14ac:dyDescent="0.25">
      <c r="A8868" t="str">
        <f>"002334368"</f>
        <v>002334368</v>
      </c>
      <c r="B8868" t="str">
        <f>"1225361702"</f>
        <v>1225361702</v>
      </c>
      <c r="C8868" t="str">
        <f>"363A00000X"</f>
        <v>363A00000X</v>
      </c>
      <c r="D8868" t="str">
        <f>"THOMASON                 DALLAS                   "</f>
        <v xml:space="preserve">THOMASON                 DALLAS                   </v>
      </c>
      <c r="E8868" t="str">
        <f>"TUPELO                    "</f>
        <v xml:space="preserve">TUPELO                    </v>
      </c>
      <c r="F8868" t="str">
        <f t="shared" si="264"/>
        <v>MS</v>
      </c>
    </row>
    <row r="8869" spans="1:6" x14ac:dyDescent="0.25">
      <c r="A8869" t="str">
        <f>"002335571"</f>
        <v>002335571</v>
      </c>
      <c r="B8869" t="str">
        <f>"1194986679"</f>
        <v>1194986679</v>
      </c>
      <c r="C8869" t="str">
        <f>"207V00000X"</f>
        <v>207V00000X</v>
      </c>
      <c r="D8869" t="str">
        <f>"LUTZ                     ELIZABETH    A           "</f>
        <v xml:space="preserve">LUTZ                     ELIZABETH    A           </v>
      </c>
      <c r="E8869" t="str">
        <f>"JACKSON                   "</f>
        <v xml:space="preserve">JACKSON                   </v>
      </c>
      <c r="F8869" t="str">
        <f t="shared" si="264"/>
        <v>MS</v>
      </c>
    </row>
    <row r="8870" spans="1:6" x14ac:dyDescent="0.25">
      <c r="A8870" t="str">
        <f>"002335836"</f>
        <v>002335836</v>
      </c>
      <c r="B8870" t="str">
        <f>"1518168210"</f>
        <v>1518168210</v>
      </c>
      <c r="C8870" t="str">
        <f>"363L00000X"</f>
        <v>363L00000X</v>
      </c>
      <c r="D8870" t="str">
        <f>"HANCOCK                  HEATHER      K           "</f>
        <v xml:space="preserve">HANCOCK                  HEATHER      K           </v>
      </c>
      <c r="E8870" t="str">
        <f>"BALDWYN                   "</f>
        <v xml:space="preserve">BALDWYN                   </v>
      </c>
      <c r="F8870" t="str">
        <f t="shared" si="264"/>
        <v>MS</v>
      </c>
    </row>
    <row r="8871" spans="1:6" x14ac:dyDescent="0.25">
      <c r="A8871" t="str">
        <f>"002337065"</f>
        <v>002337065</v>
      </c>
      <c r="B8871" t="str">
        <f>"1427458553"</f>
        <v>1427458553</v>
      </c>
      <c r="C8871" t="str">
        <f>"363L00000X"</f>
        <v>363L00000X</v>
      </c>
      <c r="D8871" t="str">
        <f>"MOWDY                    MALLORY      E           "</f>
        <v xml:space="preserve">MOWDY                    MALLORY      E           </v>
      </c>
      <c r="E8871" t="str">
        <f>"BROOKHAVEN                "</f>
        <v xml:space="preserve">BROOKHAVEN                </v>
      </c>
      <c r="F8871" t="str">
        <f t="shared" si="264"/>
        <v>MS</v>
      </c>
    </row>
    <row r="8872" spans="1:6" x14ac:dyDescent="0.25">
      <c r="A8872" t="str">
        <f>"002337098"</f>
        <v>002337098</v>
      </c>
      <c r="B8872" t="str">
        <f>"1104141662"</f>
        <v>1104141662</v>
      </c>
      <c r="C8872" t="str">
        <f>"2084N0400X"</f>
        <v>2084N0400X</v>
      </c>
      <c r="D8872" t="str">
        <f>"MOORE                    BRYAN        J           "</f>
        <v xml:space="preserve">MOORE                    BRYAN        J           </v>
      </c>
      <c r="E8872" t="str">
        <f>"SOUTHAVEN                 "</f>
        <v xml:space="preserve">SOUTHAVEN                 </v>
      </c>
      <c r="F8872" t="str">
        <f t="shared" si="264"/>
        <v>MS</v>
      </c>
    </row>
    <row r="8873" spans="1:6" x14ac:dyDescent="0.25">
      <c r="A8873" t="str">
        <f>"002337825"</f>
        <v>002337825</v>
      </c>
      <c r="B8873" t="str">
        <f>"1821485111"</f>
        <v>1821485111</v>
      </c>
      <c r="C8873" t="str">
        <f>"2086S0122X"</f>
        <v>2086S0122X</v>
      </c>
      <c r="D8873" t="str">
        <f>"PAVLOV                   ANNA         K           "</f>
        <v xml:space="preserve">PAVLOV                   ANNA         K           </v>
      </c>
      <c r="E8873" t="str">
        <f>"GULFPORT                  "</f>
        <v xml:space="preserve">GULFPORT                  </v>
      </c>
      <c r="F8873" t="str">
        <f t="shared" si="264"/>
        <v>MS</v>
      </c>
    </row>
    <row r="8874" spans="1:6" x14ac:dyDescent="0.25">
      <c r="A8874" t="str">
        <f>"002338009"</f>
        <v>002338009</v>
      </c>
      <c r="B8874" t="str">
        <f>"1972992188"</f>
        <v>1972992188</v>
      </c>
      <c r="C8874" t="str">
        <f>"261QM1300X"</f>
        <v>261QM1300X</v>
      </c>
      <c r="D8874" t="str">
        <f>"PATHWAYS COUNSELING PLLC                          "</f>
        <v xml:space="preserve">PATHWAYS COUNSELING PLLC                          </v>
      </c>
      <c r="E8874" t="str">
        <f>"RIDGELAND                 "</f>
        <v xml:space="preserve">RIDGELAND                 </v>
      </c>
      <c r="F8874" t="str">
        <f t="shared" si="264"/>
        <v>MS</v>
      </c>
    </row>
    <row r="8875" spans="1:6" x14ac:dyDescent="0.25">
      <c r="A8875" t="str">
        <f>"002339040"</f>
        <v>002339040</v>
      </c>
      <c r="B8875" t="str">
        <f>"1518111723"</f>
        <v>1518111723</v>
      </c>
      <c r="C8875" t="str">
        <f>"363L00000X"</f>
        <v>363L00000X</v>
      </c>
      <c r="D8875" t="str">
        <f>"TATE                     SARA         P           "</f>
        <v xml:space="preserve">TATE                     SARA         P           </v>
      </c>
      <c r="E8875" t="str">
        <f>"TUPELO                    "</f>
        <v xml:space="preserve">TUPELO                    </v>
      </c>
      <c r="F8875" t="str">
        <f t="shared" si="264"/>
        <v>MS</v>
      </c>
    </row>
    <row r="8876" spans="1:6" x14ac:dyDescent="0.25">
      <c r="A8876" t="str">
        <f>"002339062"</f>
        <v>002339062</v>
      </c>
      <c r="B8876" t="str">
        <f>"1104002047"</f>
        <v>1104002047</v>
      </c>
      <c r="C8876" t="str">
        <f>"207T00000X"</f>
        <v>207T00000X</v>
      </c>
      <c r="D8876" t="str">
        <f>"TOCZYL                   GREGORY      R           "</f>
        <v xml:space="preserve">TOCZYL                   GREGORY      R           </v>
      </c>
      <c r="E8876" t="str">
        <f>"HATTIESBURG               "</f>
        <v xml:space="preserve">HATTIESBURG               </v>
      </c>
      <c r="F8876" t="str">
        <f t="shared" si="264"/>
        <v>MS</v>
      </c>
    </row>
    <row r="8877" spans="1:6" x14ac:dyDescent="0.25">
      <c r="A8877" t="str">
        <f>"002350031"</f>
        <v>002350031</v>
      </c>
      <c r="B8877" t="str">
        <f>"1003137399"</f>
        <v>1003137399</v>
      </c>
      <c r="C8877" t="str">
        <f>"207R00000X"</f>
        <v>207R00000X</v>
      </c>
      <c r="D8877" t="str">
        <f>"BURMAN                   KABEER                   "</f>
        <v xml:space="preserve">BURMAN                   KABEER                   </v>
      </c>
      <c r="E8877" t="str">
        <f>"HATTIESBURG               "</f>
        <v xml:space="preserve">HATTIESBURG               </v>
      </c>
      <c r="F8877" t="str">
        <f t="shared" si="264"/>
        <v>MS</v>
      </c>
    </row>
    <row r="8878" spans="1:6" x14ac:dyDescent="0.25">
      <c r="A8878" t="str">
        <f>"002350358"</f>
        <v>002350358</v>
      </c>
      <c r="B8878" t="str">
        <f>"1407312127"</f>
        <v>1407312127</v>
      </c>
      <c r="C8878" t="str">
        <f>"207XP3100X"</f>
        <v>207XP3100X</v>
      </c>
      <c r="D8878" t="str">
        <f>"LEITCH                   KHRISTINN    K           "</f>
        <v xml:space="preserve">LEITCH                   KHRISTINN    K           </v>
      </c>
      <c r="E8878" t="str">
        <f>"JACKSON                   "</f>
        <v xml:space="preserve">JACKSON                   </v>
      </c>
      <c r="F8878" t="str">
        <f t="shared" si="264"/>
        <v>MS</v>
      </c>
    </row>
    <row r="8879" spans="1:6" x14ac:dyDescent="0.25">
      <c r="A8879" t="str">
        <f>"002352305"</f>
        <v>002352305</v>
      </c>
      <c r="B8879" t="str">
        <f>"1821768672"</f>
        <v>1821768672</v>
      </c>
      <c r="C8879" t="str">
        <f>"363L00000X"</f>
        <v>363L00000X</v>
      </c>
      <c r="D8879" t="str">
        <f>"HART                     JENNIFER     L           "</f>
        <v xml:space="preserve">HART                     JENNIFER     L           </v>
      </c>
      <c r="E8879" t="str">
        <f>"MCCOMB                    "</f>
        <v xml:space="preserve">MCCOMB                    </v>
      </c>
      <c r="F8879" t="str">
        <f t="shared" si="264"/>
        <v>MS</v>
      </c>
    </row>
    <row r="8880" spans="1:6" x14ac:dyDescent="0.25">
      <c r="A8880" t="str">
        <f>"002352544"</f>
        <v>002352544</v>
      </c>
      <c r="B8880" t="str">
        <f>"1750833984"</f>
        <v>1750833984</v>
      </c>
      <c r="C8880" t="str">
        <f>"363L00000X"</f>
        <v>363L00000X</v>
      </c>
      <c r="D8880" t="str">
        <f>"TREST                    CLINT        H           "</f>
        <v xml:space="preserve">TREST                    CLINT        H           </v>
      </c>
      <c r="E8880" t="str">
        <f>"RICHLAND                  "</f>
        <v xml:space="preserve">RICHLAND                  </v>
      </c>
      <c r="F8880" t="str">
        <f t="shared" si="264"/>
        <v>MS</v>
      </c>
    </row>
    <row r="8881" spans="1:6" x14ac:dyDescent="0.25">
      <c r="A8881" t="str">
        <f>"002353252"</f>
        <v>002353252</v>
      </c>
      <c r="B8881" t="str">
        <f>"1336543305"</f>
        <v>1336543305</v>
      </c>
      <c r="C8881" t="str">
        <f>"363L00000X"</f>
        <v>363L00000X</v>
      </c>
      <c r="D8881" t="str">
        <f>"HARVEY                   ALICIA       B           "</f>
        <v xml:space="preserve">HARVEY                   ALICIA       B           </v>
      </c>
      <c r="E8881" t="str">
        <f>"COLUMBIA                  "</f>
        <v xml:space="preserve">COLUMBIA                  </v>
      </c>
      <c r="F8881" t="str">
        <f t="shared" si="264"/>
        <v>MS</v>
      </c>
    </row>
    <row r="8882" spans="1:6" x14ac:dyDescent="0.25">
      <c r="A8882" t="str">
        <f>"002354073"</f>
        <v>002354073</v>
      </c>
      <c r="B8882" t="str">
        <f>"1740896745"</f>
        <v>1740896745</v>
      </c>
      <c r="C8882" t="str">
        <f>"363L00000X"</f>
        <v>363L00000X</v>
      </c>
      <c r="D8882" t="str">
        <f>"MCCAIN                   JASON        A           "</f>
        <v xml:space="preserve">MCCAIN                   JASON        A           </v>
      </c>
      <c r="E8882" t="str">
        <f>"OXFORD                    "</f>
        <v xml:space="preserve">OXFORD                    </v>
      </c>
      <c r="F8882" t="str">
        <f t="shared" si="264"/>
        <v>MS</v>
      </c>
    </row>
    <row r="8883" spans="1:6" x14ac:dyDescent="0.25">
      <c r="A8883" t="str">
        <f>"002355204"</f>
        <v>002355204</v>
      </c>
      <c r="B8883" t="str">
        <f>"1174114185"</f>
        <v>1174114185</v>
      </c>
      <c r="C8883" t="str">
        <f>"363L00000X"</f>
        <v>363L00000X</v>
      </c>
      <c r="D8883" t="str">
        <f>"CHALK                    MORGAN       E           "</f>
        <v xml:space="preserve">CHALK                    MORGAN       E           </v>
      </c>
      <c r="E8883" t="str">
        <f>"JACKSON                   "</f>
        <v xml:space="preserve">JACKSON                   </v>
      </c>
      <c r="F8883" t="str">
        <f t="shared" si="264"/>
        <v>MS</v>
      </c>
    </row>
    <row r="8884" spans="1:6" x14ac:dyDescent="0.25">
      <c r="A8884" t="str">
        <f>"002355718"</f>
        <v>002355718</v>
      </c>
      <c r="B8884" t="str">
        <f>"1639656523"</f>
        <v>1639656523</v>
      </c>
      <c r="C8884" t="str">
        <f>"152W00000X"</f>
        <v>152W00000X</v>
      </c>
      <c r="D8884" t="str">
        <f>"MCCULLOUGH               MICHAEL      B           "</f>
        <v xml:space="preserve">MCCULLOUGH               MICHAEL      B           </v>
      </c>
      <c r="E8884" t="str">
        <f>"TUPELO                    "</f>
        <v xml:space="preserve">TUPELO                    </v>
      </c>
      <c r="F8884" t="str">
        <f t="shared" si="264"/>
        <v>MS</v>
      </c>
    </row>
    <row r="8885" spans="1:6" x14ac:dyDescent="0.25">
      <c r="A8885" t="str">
        <f>"002356515"</f>
        <v>002356515</v>
      </c>
      <c r="B8885" t="str">
        <f>"1205356219"</f>
        <v>1205356219</v>
      </c>
      <c r="C8885" t="str">
        <f>"363L00000X"</f>
        <v>363L00000X</v>
      </c>
      <c r="D8885" t="str">
        <f>"HENDERSON                CHRISTIE     M           "</f>
        <v xml:space="preserve">HENDERSON                CHRISTIE     M           </v>
      </c>
      <c r="E8885" t="str">
        <f>"JACKSON                   "</f>
        <v xml:space="preserve">JACKSON                   </v>
      </c>
      <c r="F8885" t="str">
        <f t="shared" si="264"/>
        <v>MS</v>
      </c>
    </row>
    <row r="8886" spans="1:6" x14ac:dyDescent="0.25">
      <c r="A8886" t="str">
        <f>"002357812"</f>
        <v>002357812</v>
      </c>
      <c r="B8886" t="str">
        <f>"1598303331"</f>
        <v>1598303331</v>
      </c>
      <c r="C8886" t="str">
        <f>"363L00000X"</f>
        <v>363L00000X</v>
      </c>
      <c r="D8886" t="str">
        <f>"HALL                     MELANIE      S           "</f>
        <v xml:space="preserve">HALL                     MELANIE      S           </v>
      </c>
      <c r="E8886" t="str">
        <f>"CORINTH                   "</f>
        <v xml:space="preserve">CORINTH                   </v>
      </c>
      <c r="F8886" t="str">
        <f t="shared" si="264"/>
        <v>MS</v>
      </c>
    </row>
    <row r="8887" spans="1:6" x14ac:dyDescent="0.25">
      <c r="A8887" t="str">
        <f>"002358242"</f>
        <v>002358242</v>
      </c>
      <c r="B8887" t="str">
        <f>"1215967500"</f>
        <v>1215967500</v>
      </c>
      <c r="C8887" t="str">
        <f>"2086S0102X"</f>
        <v>2086S0102X</v>
      </c>
      <c r="D8887" t="str">
        <f>"SHAKE                    JAY          G           "</f>
        <v xml:space="preserve">SHAKE                    JAY          G           </v>
      </c>
      <c r="E8887" t="str">
        <f>"JACKSON                   "</f>
        <v xml:space="preserve">JACKSON                   </v>
      </c>
      <c r="F8887" t="str">
        <f t="shared" si="264"/>
        <v>MS</v>
      </c>
    </row>
    <row r="8888" spans="1:6" x14ac:dyDescent="0.25">
      <c r="A8888" t="str">
        <f>"002358833"</f>
        <v>002358833</v>
      </c>
      <c r="B8888" t="str">
        <f>"1598879009"</f>
        <v>1598879009</v>
      </c>
      <c r="C8888" t="str">
        <f>"261QA1903X"</f>
        <v>261QA1903X</v>
      </c>
      <c r="D8888" t="str">
        <f>"DIGESTIVE DISEASES CENTER OF HATTIE               "</f>
        <v xml:space="preserve">DIGESTIVE DISEASES CENTER OF HATTIE               </v>
      </c>
      <c r="E8888" t="str">
        <f>"HATTIESBURG               "</f>
        <v xml:space="preserve">HATTIESBURG               </v>
      </c>
      <c r="F8888" t="str">
        <f t="shared" si="264"/>
        <v>MS</v>
      </c>
    </row>
    <row r="8889" spans="1:6" x14ac:dyDescent="0.25">
      <c r="A8889" t="str">
        <f>"002370956"</f>
        <v>002370956</v>
      </c>
      <c r="B8889" t="str">
        <f>"1154598357"</f>
        <v>1154598357</v>
      </c>
      <c r="C8889" t="str">
        <f>"363L00000X"</f>
        <v>363L00000X</v>
      </c>
      <c r="D8889" t="str">
        <f>"NIX                      STACEY                   "</f>
        <v xml:space="preserve">NIX                      STACEY                   </v>
      </c>
      <c r="E8889" t="str">
        <f>"ELLISVILLE                "</f>
        <v xml:space="preserve">ELLISVILLE                </v>
      </c>
      <c r="F8889" t="str">
        <f t="shared" si="264"/>
        <v>MS</v>
      </c>
    </row>
    <row r="8890" spans="1:6" x14ac:dyDescent="0.25">
      <c r="A8890" t="str">
        <f>"002371244"</f>
        <v>002371244</v>
      </c>
      <c r="B8890" t="str">
        <f>"1609185859"</f>
        <v>1609185859</v>
      </c>
      <c r="C8890" t="str">
        <f>"363L00000X"</f>
        <v>363L00000X</v>
      </c>
      <c r="D8890" t="str">
        <f>"LONG                     ASHLEY       V           "</f>
        <v xml:space="preserve">LONG                     ASHLEY       V           </v>
      </c>
      <c r="E8890" t="str">
        <f>"TUPELO                    "</f>
        <v xml:space="preserve">TUPELO                    </v>
      </c>
      <c r="F8890" t="str">
        <f t="shared" si="264"/>
        <v>MS</v>
      </c>
    </row>
    <row r="8891" spans="1:6" x14ac:dyDescent="0.25">
      <c r="A8891" t="str">
        <f>"002371512"</f>
        <v>002371512</v>
      </c>
      <c r="B8891" t="str">
        <f>"1851671820"</f>
        <v>1851671820</v>
      </c>
      <c r="C8891" t="str">
        <f>"363L00000X"</f>
        <v>363L00000X</v>
      </c>
      <c r="D8891" t="str">
        <f>"ROWLAND                  TERRIE       R           "</f>
        <v xml:space="preserve">ROWLAND                  TERRIE       R           </v>
      </c>
      <c r="E8891" t="str">
        <f>"INDIANOLA                 "</f>
        <v xml:space="preserve">INDIANOLA                 </v>
      </c>
      <c r="F8891" t="str">
        <f t="shared" si="264"/>
        <v>MS</v>
      </c>
    </row>
    <row r="8892" spans="1:6" x14ac:dyDescent="0.25">
      <c r="A8892" t="str">
        <f>"002371779"</f>
        <v>002371779</v>
      </c>
      <c r="B8892" t="str">
        <f>"1639192750"</f>
        <v>1639192750</v>
      </c>
      <c r="C8892" t="str">
        <f>"207W00000X"</f>
        <v>207W00000X</v>
      </c>
      <c r="D8892" t="str">
        <f>"SMITH                    LLOYD        D           "</f>
        <v xml:space="preserve">SMITH                    LLOYD        D           </v>
      </c>
      <c r="E8892" t="str">
        <f>"NATCHEZ                   "</f>
        <v xml:space="preserve">NATCHEZ                   </v>
      </c>
      <c r="F8892" t="str">
        <f t="shared" si="264"/>
        <v>MS</v>
      </c>
    </row>
    <row r="8893" spans="1:6" x14ac:dyDescent="0.25">
      <c r="A8893" t="str">
        <f>"002372831"</f>
        <v>002372831</v>
      </c>
      <c r="B8893" t="str">
        <f>"1891291308"</f>
        <v>1891291308</v>
      </c>
      <c r="C8893" t="str">
        <f>"207Q00000X"</f>
        <v>207Q00000X</v>
      </c>
      <c r="D8893" t="str">
        <f>"VANDERLOO                MICHAEL      G           "</f>
        <v xml:space="preserve">VANDERLOO                MICHAEL      G           </v>
      </c>
      <c r="E8893" t="str">
        <f>"HATTIESBURG               "</f>
        <v xml:space="preserve">HATTIESBURG               </v>
      </c>
      <c r="F8893" t="str">
        <f t="shared" si="264"/>
        <v>MS</v>
      </c>
    </row>
    <row r="8894" spans="1:6" x14ac:dyDescent="0.25">
      <c r="A8894" t="str">
        <f>"002373861"</f>
        <v>002373861</v>
      </c>
      <c r="B8894" t="str">
        <f>"1295934529"</f>
        <v>1295934529</v>
      </c>
      <c r="C8894" t="str">
        <f>"152W00000X"</f>
        <v>152W00000X</v>
      </c>
      <c r="D8894" t="str">
        <f>"ECKARD                   BETH                     "</f>
        <v xml:space="preserve">ECKARD                   BETH                     </v>
      </c>
      <c r="E8894" t="str">
        <f>"TUPELO                    "</f>
        <v xml:space="preserve">TUPELO                    </v>
      </c>
      <c r="F8894" t="str">
        <f t="shared" ref="F8894:F8957" si="265">"MS"</f>
        <v>MS</v>
      </c>
    </row>
    <row r="8895" spans="1:6" x14ac:dyDescent="0.25">
      <c r="A8895" t="str">
        <f>"002374577"</f>
        <v>002374577</v>
      </c>
      <c r="B8895" t="str">
        <f>"1114318987"</f>
        <v>1114318987</v>
      </c>
      <c r="C8895" t="str">
        <f>"363L00000X"</f>
        <v>363L00000X</v>
      </c>
      <c r="D8895" t="str">
        <f>"CARPENTER                JAMIE        L           "</f>
        <v xml:space="preserve">CARPENTER                JAMIE        L           </v>
      </c>
      <c r="E8895" t="str">
        <f>"SOUTHAVEN                 "</f>
        <v xml:space="preserve">SOUTHAVEN                 </v>
      </c>
      <c r="F8895" t="str">
        <f t="shared" si="265"/>
        <v>MS</v>
      </c>
    </row>
    <row r="8896" spans="1:6" x14ac:dyDescent="0.25">
      <c r="A8896" t="str">
        <f>"002375347"</f>
        <v>002375347</v>
      </c>
      <c r="B8896" t="str">
        <f>"1215342241"</f>
        <v>1215342241</v>
      </c>
      <c r="C8896" t="str">
        <f>"2086S0129X"</f>
        <v>2086S0129X</v>
      </c>
      <c r="D8896" t="str">
        <f>"FLAUTT                   THOMAS       J           "</f>
        <v xml:space="preserve">FLAUTT                   THOMAS       J           </v>
      </c>
      <c r="E8896" t="str">
        <f>"OXFORD                    "</f>
        <v xml:space="preserve">OXFORD                    </v>
      </c>
      <c r="F8896" t="str">
        <f t="shared" si="265"/>
        <v>MS</v>
      </c>
    </row>
    <row r="8897" spans="1:6" x14ac:dyDescent="0.25">
      <c r="A8897" t="str">
        <f>"002375856"</f>
        <v>002375856</v>
      </c>
      <c r="B8897" t="str">
        <f>"1992975742"</f>
        <v>1992975742</v>
      </c>
      <c r="C8897" t="str">
        <f>"207P00000X"</f>
        <v>207P00000X</v>
      </c>
      <c r="D8897" t="str">
        <f>"THOMPSON                 SHAYNA       D           "</f>
        <v xml:space="preserve">THOMPSON                 SHAYNA       D           </v>
      </c>
      <c r="E8897" t="str">
        <f>"TUPELO                    "</f>
        <v xml:space="preserve">TUPELO                    </v>
      </c>
      <c r="F8897" t="str">
        <f t="shared" si="265"/>
        <v>MS</v>
      </c>
    </row>
    <row r="8898" spans="1:6" x14ac:dyDescent="0.25">
      <c r="A8898" t="str">
        <f>"002376302"</f>
        <v>002376302</v>
      </c>
      <c r="B8898" t="str">
        <f>"1396829214"</f>
        <v>1396829214</v>
      </c>
      <c r="C8898" t="str">
        <f>"207P00000X"</f>
        <v>207P00000X</v>
      </c>
      <c r="D8898" t="str">
        <f>"THOMAS                   JOSHUA       W           "</f>
        <v xml:space="preserve">THOMAS                   JOSHUA       W           </v>
      </c>
      <c r="E8898" t="str">
        <f>"GULFPORT                  "</f>
        <v xml:space="preserve">GULFPORT                  </v>
      </c>
      <c r="F8898" t="str">
        <f t="shared" si="265"/>
        <v>MS</v>
      </c>
    </row>
    <row r="8899" spans="1:6" x14ac:dyDescent="0.25">
      <c r="A8899" t="str">
        <f>"002377374"</f>
        <v>002377374</v>
      </c>
      <c r="B8899" t="str">
        <f>"1215373139"</f>
        <v>1215373139</v>
      </c>
      <c r="C8899" t="str">
        <f>"207Q00000X"</f>
        <v>207Q00000X</v>
      </c>
      <c r="D8899" t="str">
        <f>"CANNON                   ROBERT       M           "</f>
        <v xml:space="preserve">CANNON                   ROBERT       M           </v>
      </c>
      <c r="E8899" t="str">
        <f>"VICKSBURG                 "</f>
        <v xml:space="preserve">VICKSBURG                 </v>
      </c>
      <c r="F8899" t="str">
        <f t="shared" si="265"/>
        <v>MS</v>
      </c>
    </row>
    <row r="8900" spans="1:6" x14ac:dyDescent="0.25">
      <c r="A8900" t="str">
        <f>"002377748"</f>
        <v>002377748</v>
      </c>
      <c r="B8900" t="str">
        <f>"1881286797"</f>
        <v>1881286797</v>
      </c>
      <c r="C8900" t="str">
        <f>"363L00000X"</f>
        <v>363L00000X</v>
      </c>
      <c r="D8900" t="str">
        <f>"MORRIS                   ERITIKI                  "</f>
        <v xml:space="preserve">MORRIS                   ERITIKI                  </v>
      </c>
      <c r="E8900" t="str">
        <f>"GREENWOOD                 "</f>
        <v xml:space="preserve">GREENWOOD                 </v>
      </c>
      <c r="F8900" t="str">
        <f t="shared" si="265"/>
        <v>MS</v>
      </c>
    </row>
    <row r="8901" spans="1:6" x14ac:dyDescent="0.25">
      <c r="A8901" t="str">
        <f>"002377779"</f>
        <v>002377779</v>
      </c>
      <c r="B8901" t="str">
        <f>"1053328385"</f>
        <v>1053328385</v>
      </c>
      <c r="C8901" t="str">
        <f>"363L00000X"</f>
        <v>363L00000X</v>
      </c>
      <c r="D8901" t="str">
        <f>"CHANCELLOR               BILLY        C           "</f>
        <v xml:space="preserve">CHANCELLOR               BILLY        C           </v>
      </c>
      <c r="E8901" t="str">
        <f>"HATTIESBURG               "</f>
        <v xml:space="preserve">HATTIESBURG               </v>
      </c>
      <c r="F8901" t="str">
        <f t="shared" si="265"/>
        <v>MS</v>
      </c>
    </row>
    <row r="8902" spans="1:6" x14ac:dyDescent="0.25">
      <c r="A8902" t="str">
        <f>"002378006"</f>
        <v>002378006</v>
      </c>
      <c r="B8902" t="str">
        <f>"1235529454"</f>
        <v>1235529454</v>
      </c>
      <c r="C8902" t="str">
        <f>"363L00000X"</f>
        <v>363L00000X</v>
      </c>
      <c r="D8902" t="str">
        <f>"CHAMPAGNE                JENNIFER                 "</f>
        <v xml:space="preserve">CHAMPAGNE                JENNIFER                 </v>
      </c>
      <c r="E8902" t="str">
        <f>"GULFPORT                  "</f>
        <v xml:space="preserve">GULFPORT                  </v>
      </c>
      <c r="F8902" t="str">
        <f t="shared" si="265"/>
        <v>MS</v>
      </c>
    </row>
    <row r="8903" spans="1:6" x14ac:dyDescent="0.25">
      <c r="A8903" t="str">
        <f>"002378381"</f>
        <v>002378381</v>
      </c>
      <c r="B8903" t="str">
        <f>"1205875143"</f>
        <v>1205875143</v>
      </c>
      <c r="C8903" t="str">
        <f>"207R00000X"</f>
        <v>207R00000X</v>
      </c>
      <c r="D8903" t="str">
        <f>"TEFERRA                  MESERET                  "</f>
        <v xml:space="preserve">TEFERRA                  MESERET                  </v>
      </c>
      <c r="E8903" t="str">
        <f>"BRANDON                   "</f>
        <v xml:space="preserve">BRANDON                   </v>
      </c>
      <c r="F8903" t="str">
        <f t="shared" si="265"/>
        <v>MS</v>
      </c>
    </row>
    <row r="8904" spans="1:6" x14ac:dyDescent="0.25">
      <c r="A8904" t="str">
        <f>"002379847"</f>
        <v>002379847</v>
      </c>
      <c r="B8904" t="str">
        <f>"1679952535"</f>
        <v>1679952535</v>
      </c>
      <c r="C8904" t="str">
        <f>"207Q00000X"</f>
        <v>207Q00000X</v>
      </c>
      <c r="D8904" t="str">
        <f>"INGRAM                   JORDAN       B           "</f>
        <v xml:space="preserve">INGRAM                   JORDAN       B           </v>
      </c>
      <c r="E8904" t="str">
        <f>"HATTIESBURG               "</f>
        <v xml:space="preserve">HATTIESBURG               </v>
      </c>
      <c r="F8904" t="str">
        <f t="shared" si="265"/>
        <v>MS</v>
      </c>
    </row>
    <row r="8905" spans="1:6" x14ac:dyDescent="0.25">
      <c r="A8905" t="str">
        <f>"002381520"</f>
        <v>002381520</v>
      </c>
      <c r="B8905" t="str">
        <f>"1124161849"</f>
        <v>1124161849</v>
      </c>
      <c r="C8905" t="str">
        <f>"363L00000X"</f>
        <v>363L00000X</v>
      </c>
      <c r="D8905" t="str">
        <f>"SANDERS                  LISA         P           "</f>
        <v xml:space="preserve">SANDERS                  LISA         P           </v>
      </c>
      <c r="E8905" t="str">
        <f>"TUPELO                    "</f>
        <v xml:space="preserve">TUPELO                    </v>
      </c>
      <c r="F8905" t="str">
        <f t="shared" si="265"/>
        <v>MS</v>
      </c>
    </row>
    <row r="8906" spans="1:6" x14ac:dyDescent="0.25">
      <c r="A8906" t="str">
        <f>"002382522"</f>
        <v>002382522</v>
      </c>
      <c r="B8906" t="str">
        <f>"1831619626"</f>
        <v>1831619626</v>
      </c>
      <c r="C8906" t="str">
        <f>"363L00000X"</f>
        <v>363L00000X</v>
      </c>
      <c r="D8906" t="str">
        <f>"CLANAHAN                 ERICA        C           "</f>
        <v xml:space="preserve">CLANAHAN                 ERICA        C           </v>
      </c>
      <c r="E8906" t="str">
        <f>"MERIDIAN                  "</f>
        <v xml:space="preserve">MERIDIAN                  </v>
      </c>
      <c r="F8906" t="str">
        <f t="shared" si="265"/>
        <v>MS</v>
      </c>
    </row>
    <row r="8907" spans="1:6" x14ac:dyDescent="0.25">
      <c r="A8907" t="str">
        <f>"002383030"</f>
        <v>002383030</v>
      </c>
      <c r="B8907" t="str">
        <f>"1134356090"</f>
        <v>1134356090</v>
      </c>
      <c r="C8907" t="str">
        <f>"207R00000X"</f>
        <v>207R00000X</v>
      </c>
      <c r="D8907" t="str">
        <f>"SMITH                    JOY                      "</f>
        <v xml:space="preserve">SMITH                    JOY                      </v>
      </c>
      <c r="E8907" t="str">
        <f>"CORINTH                   "</f>
        <v xml:space="preserve">CORINTH                   </v>
      </c>
      <c r="F8907" t="str">
        <f t="shared" si="265"/>
        <v>MS</v>
      </c>
    </row>
    <row r="8908" spans="1:6" x14ac:dyDescent="0.25">
      <c r="A8908" t="str">
        <f>"002383345"</f>
        <v>002383345</v>
      </c>
      <c r="B8908" t="str">
        <f>"1326627571"</f>
        <v>1326627571</v>
      </c>
      <c r="C8908" t="str">
        <f>"207T00000X"</f>
        <v>207T00000X</v>
      </c>
      <c r="D8908" t="str">
        <f>"LUCAS                    KATHRYN                  "</f>
        <v xml:space="preserve">LUCAS                    KATHRYN                  </v>
      </c>
      <c r="E8908" t="str">
        <f>"JACKSON                   "</f>
        <v xml:space="preserve">JACKSON                   </v>
      </c>
      <c r="F8908" t="str">
        <f t="shared" si="265"/>
        <v>MS</v>
      </c>
    </row>
    <row r="8909" spans="1:6" x14ac:dyDescent="0.25">
      <c r="A8909" t="str">
        <f>"002384361"</f>
        <v>002384361</v>
      </c>
      <c r="B8909" t="str">
        <f>"1770107492"</f>
        <v>1770107492</v>
      </c>
      <c r="C8909" t="str">
        <f>"363L00000X"</f>
        <v>363L00000X</v>
      </c>
      <c r="D8909" t="str">
        <f>"DUGGER                   PATRICK      D           "</f>
        <v xml:space="preserve">DUGGER                   PATRICK      D           </v>
      </c>
      <c r="E8909" t="str">
        <f>"GAUTIER                   "</f>
        <v xml:space="preserve">GAUTIER                   </v>
      </c>
      <c r="F8909" t="str">
        <f t="shared" si="265"/>
        <v>MS</v>
      </c>
    </row>
    <row r="8910" spans="1:6" x14ac:dyDescent="0.25">
      <c r="A8910" t="str">
        <f>"002384896"</f>
        <v>002384896</v>
      </c>
      <c r="B8910" t="str">
        <f>"1902805120"</f>
        <v>1902805120</v>
      </c>
      <c r="C8910" t="str">
        <f>"208600000X"</f>
        <v>208600000X</v>
      </c>
      <c r="D8910" t="str">
        <f>"BOWLES                   WILLIAM      E           "</f>
        <v xml:space="preserve">BOWLES                   WILLIAM      E           </v>
      </c>
      <c r="E8910" t="str">
        <f>"HATTIESBURG               "</f>
        <v xml:space="preserve">HATTIESBURG               </v>
      </c>
      <c r="F8910" t="str">
        <f t="shared" si="265"/>
        <v>MS</v>
      </c>
    </row>
    <row r="8911" spans="1:6" x14ac:dyDescent="0.25">
      <c r="A8911" t="str">
        <f>"002385298"</f>
        <v>002385298</v>
      </c>
      <c r="B8911" t="str">
        <f>"1932787421"</f>
        <v>1932787421</v>
      </c>
      <c r="C8911" t="str">
        <f>"363L00000X"</f>
        <v>363L00000X</v>
      </c>
      <c r="D8911" t="str">
        <f>"WILLIAMS                 KARI                     "</f>
        <v xml:space="preserve">WILLIAMS                 KARI                     </v>
      </c>
      <c r="E8911" t="str">
        <f>"GULFPORT                  "</f>
        <v xml:space="preserve">GULFPORT                  </v>
      </c>
      <c r="F8911" t="str">
        <f t="shared" si="265"/>
        <v>MS</v>
      </c>
    </row>
    <row r="8912" spans="1:6" x14ac:dyDescent="0.25">
      <c r="A8912" t="str">
        <f>"002400086"</f>
        <v>002400086</v>
      </c>
      <c r="B8912" t="str">
        <f>"1780169557"</f>
        <v>1780169557</v>
      </c>
      <c r="C8912" t="str">
        <f>"363L00000X"</f>
        <v>363L00000X</v>
      </c>
      <c r="D8912" t="str">
        <f>"CARPENTER                ANDREA                   "</f>
        <v xml:space="preserve">CARPENTER                ANDREA                   </v>
      </c>
      <c r="E8912" t="str">
        <f>"MANTACHIE                 "</f>
        <v xml:space="preserve">MANTACHIE                 </v>
      </c>
      <c r="F8912" t="str">
        <f t="shared" si="265"/>
        <v>MS</v>
      </c>
    </row>
    <row r="8913" spans="1:6" x14ac:dyDescent="0.25">
      <c r="A8913" t="str">
        <f>"002400869"</f>
        <v>002400869</v>
      </c>
      <c r="B8913" t="str">
        <f>"1992942353"</f>
        <v>1992942353</v>
      </c>
      <c r="C8913" t="str">
        <f>"363L00000X"</f>
        <v>363L00000X</v>
      </c>
      <c r="D8913" t="str">
        <f>"PINKERTON                EMILY        R           "</f>
        <v xml:space="preserve">PINKERTON                EMILY        R           </v>
      </c>
      <c r="E8913" t="str">
        <f>"LUCEDALE                  "</f>
        <v xml:space="preserve">LUCEDALE                  </v>
      </c>
      <c r="F8913" t="str">
        <f t="shared" si="265"/>
        <v>MS</v>
      </c>
    </row>
    <row r="8914" spans="1:6" x14ac:dyDescent="0.25">
      <c r="A8914" t="str">
        <f>"002401057"</f>
        <v>002401057</v>
      </c>
      <c r="B8914" t="str">
        <f>"1598968182"</f>
        <v>1598968182</v>
      </c>
      <c r="C8914" t="str">
        <f>"122300000X"</f>
        <v>122300000X</v>
      </c>
      <c r="D8914" t="str">
        <f>"RIVES                    CRISTIE      G           "</f>
        <v xml:space="preserve">RIVES                    CRISTIE      G           </v>
      </c>
      <c r="E8914" t="str">
        <f>"JACKSON                   "</f>
        <v xml:space="preserve">JACKSON                   </v>
      </c>
      <c r="F8914" t="str">
        <f t="shared" si="265"/>
        <v>MS</v>
      </c>
    </row>
    <row r="8915" spans="1:6" x14ac:dyDescent="0.25">
      <c r="A8915" t="str">
        <f>"002402792"</f>
        <v>002402792</v>
      </c>
      <c r="B8915" t="str">
        <f>"1104137942"</f>
        <v>1104137942</v>
      </c>
      <c r="C8915" t="str">
        <f>"363L00000X"</f>
        <v>363L00000X</v>
      </c>
      <c r="D8915" t="str">
        <f>"BRITTON                  MARY                     "</f>
        <v xml:space="preserve">BRITTON                  MARY                     </v>
      </c>
      <c r="E8915" t="str">
        <f>"TUPELO                    "</f>
        <v xml:space="preserve">TUPELO                    </v>
      </c>
      <c r="F8915" t="str">
        <f t="shared" si="265"/>
        <v>MS</v>
      </c>
    </row>
    <row r="8916" spans="1:6" x14ac:dyDescent="0.25">
      <c r="A8916" t="str">
        <f>"002404365"</f>
        <v>002404365</v>
      </c>
      <c r="B8916" t="str">
        <f>"1093172157"</f>
        <v>1093172157</v>
      </c>
      <c r="C8916" t="str">
        <f>"363A00000X"</f>
        <v>363A00000X</v>
      </c>
      <c r="D8916" t="str">
        <f>"MASON                    SARAH        J           "</f>
        <v xml:space="preserve">MASON                    SARAH        J           </v>
      </c>
      <c r="E8916" t="str">
        <f>"RICHLAND                  "</f>
        <v xml:space="preserve">RICHLAND                  </v>
      </c>
      <c r="F8916" t="str">
        <f t="shared" si="265"/>
        <v>MS</v>
      </c>
    </row>
    <row r="8917" spans="1:6" x14ac:dyDescent="0.25">
      <c r="A8917" t="str">
        <f>"002406018"</f>
        <v>002406018</v>
      </c>
      <c r="B8917" t="str">
        <f>"1457576340"</f>
        <v>1457576340</v>
      </c>
      <c r="C8917" t="str">
        <f>"152W00000X"</f>
        <v>152W00000X</v>
      </c>
      <c r="D8917" t="str">
        <f>"ESPY EYE CARE                                     "</f>
        <v xml:space="preserve">ESPY EYE CARE                                     </v>
      </c>
      <c r="E8917" t="str">
        <f>"CANTON                    "</f>
        <v xml:space="preserve">CANTON                    </v>
      </c>
      <c r="F8917" t="str">
        <f t="shared" si="265"/>
        <v>MS</v>
      </c>
    </row>
    <row r="8918" spans="1:6" x14ac:dyDescent="0.25">
      <c r="A8918" t="str">
        <f>"002406066"</f>
        <v>002406066</v>
      </c>
      <c r="B8918" t="str">
        <f>"1093815565"</f>
        <v>1093815565</v>
      </c>
      <c r="C8918" t="str">
        <f>"2085R0202X"</f>
        <v>2085R0202X</v>
      </c>
      <c r="D8918" t="str">
        <f>"SCHLAKMAN                BRUCE                    "</f>
        <v xml:space="preserve">SCHLAKMAN                BRUCE                    </v>
      </c>
      <c r="E8918" t="str">
        <f>"JACKSON                   "</f>
        <v xml:space="preserve">JACKSON                   </v>
      </c>
      <c r="F8918" t="str">
        <f t="shared" si="265"/>
        <v>MS</v>
      </c>
    </row>
    <row r="8919" spans="1:6" x14ac:dyDescent="0.25">
      <c r="A8919" t="str">
        <f>"002406090"</f>
        <v>002406090</v>
      </c>
      <c r="B8919" t="str">
        <f>"1609026541"</f>
        <v>1609026541</v>
      </c>
      <c r="C8919" t="str">
        <f>"363L00000X"</f>
        <v>363L00000X</v>
      </c>
      <c r="D8919" t="str">
        <f>"MEACHAM                  MELINDA      J           "</f>
        <v xml:space="preserve">MEACHAM                  MELINDA      J           </v>
      </c>
      <c r="E8919" t="str">
        <f>"KOSCIUSKO                 "</f>
        <v xml:space="preserve">KOSCIUSKO                 </v>
      </c>
      <c r="F8919" t="str">
        <f t="shared" si="265"/>
        <v>MS</v>
      </c>
    </row>
    <row r="8920" spans="1:6" x14ac:dyDescent="0.25">
      <c r="A8920" t="str">
        <f>"002406721"</f>
        <v>002406721</v>
      </c>
      <c r="B8920" t="str">
        <f>"1922054477"</f>
        <v>1922054477</v>
      </c>
      <c r="C8920" t="str">
        <f>"207Q00000X"</f>
        <v>207Q00000X</v>
      </c>
      <c r="D8920" t="str">
        <f>"PALMER                   JULIE        R           "</f>
        <v xml:space="preserve">PALMER                   JULIE        R           </v>
      </c>
      <c r="E8920" t="str">
        <f>"TUPELO                    "</f>
        <v xml:space="preserve">TUPELO                    </v>
      </c>
      <c r="F8920" t="str">
        <f t="shared" si="265"/>
        <v>MS</v>
      </c>
    </row>
    <row r="8921" spans="1:6" x14ac:dyDescent="0.25">
      <c r="A8921" t="str">
        <f>"002406754"</f>
        <v>002406754</v>
      </c>
      <c r="B8921" t="str">
        <f>"1205356870"</f>
        <v>1205356870</v>
      </c>
      <c r="C8921" t="str">
        <f>"363L00000X"</f>
        <v>363L00000X</v>
      </c>
      <c r="D8921" t="str">
        <f>"CUMMINGS                 BETHANY      A           "</f>
        <v xml:space="preserve">CUMMINGS                 BETHANY      A           </v>
      </c>
      <c r="E8921" t="str">
        <f>"TUPELO                    "</f>
        <v xml:space="preserve">TUPELO                    </v>
      </c>
      <c r="F8921" t="str">
        <f t="shared" si="265"/>
        <v>MS</v>
      </c>
    </row>
    <row r="8922" spans="1:6" x14ac:dyDescent="0.25">
      <c r="A8922" t="str">
        <f>"002408825"</f>
        <v>002408825</v>
      </c>
      <c r="B8922" t="str">
        <f>"1346624327"</f>
        <v>1346624327</v>
      </c>
      <c r="C8922" t="str">
        <f>"2084N0400X"</f>
        <v>2084N0400X</v>
      </c>
      <c r="D8922" t="str">
        <f>"LAWRENCE                 NATHAN       G           "</f>
        <v xml:space="preserve">LAWRENCE                 NATHAN       G           </v>
      </c>
      <c r="E8922" t="str">
        <f>"TUPELO                    "</f>
        <v xml:space="preserve">TUPELO                    </v>
      </c>
      <c r="F8922" t="str">
        <f t="shared" si="265"/>
        <v>MS</v>
      </c>
    </row>
    <row r="8923" spans="1:6" x14ac:dyDescent="0.25">
      <c r="A8923" t="str">
        <f>"002408898"</f>
        <v>002408898</v>
      </c>
      <c r="B8923" t="str">
        <f>"1104074210"</f>
        <v>1104074210</v>
      </c>
      <c r="C8923" t="str">
        <f>"363L00000X"</f>
        <v>363L00000X</v>
      </c>
      <c r="D8923" t="str">
        <f>"GIBBS                    TRACI        L           "</f>
        <v xml:space="preserve">GIBBS                    TRACI        L           </v>
      </c>
      <c r="E8923" t="str">
        <f>"MERIDIAN                  "</f>
        <v xml:space="preserve">MERIDIAN                  </v>
      </c>
      <c r="F8923" t="str">
        <f t="shared" si="265"/>
        <v>MS</v>
      </c>
    </row>
    <row r="8924" spans="1:6" x14ac:dyDescent="0.25">
      <c r="A8924" t="str">
        <f>"002409046"</f>
        <v>002409046</v>
      </c>
      <c r="B8924" t="str">
        <f>"1326593336"</f>
        <v>1326593336</v>
      </c>
      <c r="C8924" t="str">
        <f>"363L00000X"</f>
        <v>363L00000X</v>
      </c>
      <c r="D8924" t="str">
        <f>"VAIL                     ROBERT       I           "</f>
        <v xml:space="preserve">VAIL                     ROBERT       I           </v>
      </c>
      <c r="E8924" t="str">
        <f>"NEW ALBANY                "</f>
        <v xml:space="preserve">NEW ALBANY                </v>
      </c>
      <c r="F8924" t="str">
        <f t="shared" si="265"/>
        <v>MS</v>
      </c>
    </row>
    <row r="8925" spans="1:6" x14ac:dyDescent="0.25">
      <c r="A8925" t="str">
        <f>"002409519"</f>
        <v>002409519</v>
      </c>
      <c r="B8925" t="str">
        <f>"1174637300"</f>
        <v>1174637300</v>
      </c>
      <c r="C8925" t="str">
        <f>"207R00000X"</f>
        <v>207R00000X</v>
      </c>
      <c r="D8925" t="str">
        <f>"GLOVER                   SARAH        C           "</f>
        <v xml:space="preserve">GLOVER                   SARAH        C           </v>
      </c>
      <c r="E8925" t="str">
        <f>"JACKSON                   "</f>
        <v xml:space="preserve">JACKSON                   </v>
      </c>
      <c r="F8925" t="str">
        <f t="shared" si="265"/>
        <v>MS</v>
      </c>
    </row>
    <row r="8926" spans="1:6" x14ac:dyDescent="0.25">
      <c r="A8926" t="str">
        <f>"002409536"</f>
        <v>002409536</v>
      </c>
      <c r="B8926" t="str">
        <f>"1134558653"</f>
        <v>1134558653</v>
      </c>
      <c r="C8926" t="str">
        <f>"363L00000X"</f>
        <v>363L00000X</v>
      </c>
      <c r="D8926" t="str">
        <f>"MOORE                    REBECCA      T           "</f>
        <v xml:space="preserve">MOORE                    REBECCA      T           </v>
      </c>
      <c r="E8926" t="str">
        <f>"JACKSON                   "</f>
        <v xml:space="preserve">JACKSON                   </v>
      </c>
      <c r="F8926" t="str">
        <f t="shared" si="265"/>
        <v>MS</v>
      </c>
    </row>
    <row r="8927" spans="1:6" x14ac:dyDescent="0.25">
      <c r="A8927" t="str">
        <f>"002420261"</f>
        <v>002420261</v>
      </c>
      <c r="B8927" t="str">
        <f>"1124484647"</f>
        <v>1124484647</v>
      </c>
      <c r="C8927" t="str">
        <f>"363L00000X"</f>
        <v>363L00000X</v>
      </c>
      <c r="D8927" t="str">
        <f>"WILLIAMS                 RAMONA       L           "</f>
        <v xml:space="preserve">WILLIAMS                 RAMONA       L           </v>
      </c>
      <c r="E8927" t="str">
        <f>"OCEAN SPRINGS             "</f>
        <v xml:space="preserve">OCEAN SPRINGS             </v>
      </c>
      <c r="F8927" t="str">
        <f t="shared" si="265"/>
        <v>MS</v>
      </c>
    </row>
    <row r="8928" spans="1:6" x14ac:dyDescent="0.25">
      <c r="A8928" t="str">
        <f>"002420704"</f>
        <v>002420704</v>
      </c>
      <c r="B8928" t="str">
        <f>"1134330822"</f>
        <v>1134330822</v>
      </c>
      <c r="C8928" t="str">
        <f>"207R00000X"</f>
        <v>207R00000X</v>
      </c>
      <c r="D8928" t="str">
        <f>"WEEKS JR                 ERNEST       S           "</f>
        <v xml:space="preserve">WEEKS JR                 ERNEST       S           </v>
      </c>
      <c r="E8928" t="str">
        <f>"FLOWOOD                   "</f>
        <v xml:space="preserve">FLOWOOD                   </v>
      </c>
      <c r="F8928" t="str">
        <f t="shared" si="265"/>
        <v>MS</v>
      </c>
    </row>
    <row r="8929" spans="1:6" x14ac:dyDescent="0.25">
      <c r="A8929" t="str">
        <f>"002420908"</f>
        <v>002420908</v>
      </c>
      <c r="B8929" t="str">
        <f>"1568004893"</f>
        <v>1568004893</v>
      </c>
      <c r="C8929" t="str">
        <f>"152W00000X"</f>
        <v>152W00000X</v>
      </c>
      <c r="D8929" t="str">
        <f>"SOUTH CENTRAL EYE AND LASER CENTER                "</f>
        <v xml:space="preserve">SOUTH CENTRAL EYE AND LASER CENTER                </v>
      </c>
      <c r="E8929" t="str">
        <f>"LAUREL                    "</f>
        <v xml:space="preserve">LAUREL                    </v>
      </c>
      <c r="F8929" t="str">
        <f t="shared" si="265"/>
        <v>MS</v>
      </c>
    </row>
    <row r="8930" spans="1:6" x14ac:dyDescent="0.25">
      <c r="A8930" t="str">
        <f>"002421091"</f>
        <v>002421091</v>
      </c>
      <c r="B8930" t="str">
        <f>"1417148891"</f>
        <v>1417148891</v>
      </c>
      <c r="C8930" t="str">
        <f>"207P00000X"</f>
        <v>207P00000X</v>
      </c>
      <c r="D8930" t="str">
        <f>"ALFARIS                  MOHAMED                  "</f>
        <v xml:space="preserve">ALFARIS                  MOHAMED                  </v>
      </c>
      <c r="E8930" t="str">
        <f>"NATCHEZ                   "</f>
        <v xml:space="preserve">NATCHEZ                   </v>
      </c>
      <c r="F8930" t="str">
        <f t="shared" si="265"/>
        <v>MS</v>
      </c>
    </row>
    <row r="8931" spans="1:6" x14ac:dyDescent="0.25">
      <c r="A8931" t="str">
        <f>"002421857"</f>
        <v>002421857</v>
      </c>
      <c r="B8931" t="str">
        <f>"1043396591"</f>
        <v>1043396591</v>
      </c>
      <c r="C8931" t="str">
        <f>"363L00000X"</f>
        <v>363L00000X</v>
      </c>
      <c r="D8931" t="str">
        <f>"RAY                      JAMES        A           "</f>
        <v xml:space="preserve">RAY                      JAMES        A           </v>
      </c>
      <c r="E8931" t="str">
        <f>"INDIANOLA                 "</f>
        <v xml:space="preserve">INDIANOLA                 </v>
      </c>
      <c r="F8931" t="str">
        <f t="shared" si="265"/>
        <v>MS</v>
      </c>
    </row>
    <row r="8932" spans="1:6" x14ac:dyDescent="0.25">
      <c r="A8932" t="str">
        <f>"002422298"</f>
        <v>002422298</v>
      </c>
      <c r="B8932" t="str">
        <f>"1083898605"</f>
        <v>1083898605</v>
      </c>
      <c r="C8932" t="str">
        <f>"261QA1903X"</f>
        <v>261QA1903X</v>
      </c>
      <c r="D8932" t="str">
        <f>"MIDSOUTH INTERVENTIONAL PAIN INSTIT               "</f>
        <v xml:space="preserve">MIDSOUTH INTERVENTIONAL PAIN INSTIT               </v>
      </c>
      <c r="E8932" t="str">
        <f>"SOUTHAVEN                 "</f>
        <v xml:space="preserve">SOUTHAVEN                 </v>
      </c>
      <c r="F8932" t="str">
        <f t="shared" si="265"/>
        <v>MS</v>
      </c>
    </row>
    <row r="8933" spans="1:6" x14ac:dyDescent="0.25">
      <c r="A8933" t="str">
        <f>"002422525"</f>
        <v>002422525</v>
      </c>
      <c r="B8933" t="str">
        <f>"1346596541"</f>
        <v>1346596541</v>
      </c>
      <c r="C8933" t="str">
        <f>"261QA0600X"</f>
        <v>261QA0600X</v>
      </c>
      <c r="D8933" t="str">
        <f>"SERENITY ADULT DAYCARE                            "</f>
        <v xml:space="preserve">SERENITY ADULT DAYCARE                            </v>
      </c>
      <c r="E8933" t="str">
        <f>"SHELBY                    "</f>
        <v xml:space="preserve">SHELBY                    </v>
      </c>
      <c r="F8933" t="str">
        <f t="shared" si="265"/>
        <v>MS</v>
      </c>
    </row>
    <row r="8934" spans="1:6" x14ac:dyDescent="0.25">
      <c r="A8934" t="str">
        <f>"002422713"</f>
        <v>002422713</v>
      </c>
      <c r="B8934" t="str">
        <f>"1366851321"</f>
        <v>1366851321</v>
      </c>
      <c r="C8934" t="str">
        <f>"363L00000X"</f>
        <v>363L00000X</v>
      </c>
      <c r="D8934" t="str">
        <f>"GANDY                    SHAWNTA                  "</f>
        <v xml:space="preserve">GANDY                    SHAWNTA                  </v>
      </c>
      <c r="E8934" t="str">
        <f>"VICKSBURG                 "</f>
        <v xml:space="preserve">VICKSBURG                 </v>
      </c>
      <c r="F8934" t="str">
        <f t="shared" si="265"/>
        <v>MS</v>
      </c>
    </row>
    <row r="8935" spans="1:6" x14ac:dyDescent="0.25">
      <c r="A8935" t="str">
        <f>"002423051"</f>
        <v>002423051</v>
      </c>
      <c r="B8935" t="str">
        <f>"1508804733"</f>
        <v>1508804733</v>
      </c>
      <c r="C8935" t="str">
        <f>"207R00000X"</f>
        <v>207R00000X</v>
      </c>
      <c r="D8935" t="str">
        <f>"SCOTT                    FRANK                    "</f>
        <v xml:space="preserve">SCOTT                    FRANK                    </v>
      </c>
      <c r="E8935" t="str">
        <f>"CLARKSDALE                "</f>
        <v xml:space="preserve">CLARKSDALE                </v>
      </c>
      <c r="F8935" t="str">
        <f t="shared" si="265"/>
        <v>MS</v>
      </c>
    </row>
    <row r="8936" spans="1:6" x14ac:dyDescent="0.25">
      <c r="A8936" t="str">
        <f>"002423520"</f>
        <v>002423520</v>
      </c>
      <c r="B8936" t="str">
        <f>"1629619325"</f>
        <v>1629619325</v>
      </c>
      <c r="C8936" t="str">
        <f>"363L00000X"</f>
        <v>363L00000X</v>
      </c>
      <c r="D8936" t="str">
        <f>"THOMPSON                 LINDSEY      G           "</f>
        <v xml:space="preserve">THOMPSON                 LINDSEY      G           </v>
      </c>
      <c r="E8936" t="str">
        <f>"CLINTON                   "</f>
        <v xml:space="preserve">CLINTON                   </v>
      </c>
      <c r="F8936" t="str">
        <f t="shared" si="265"/>
        <v>MS</v>
      </c>
    </row>
    <row r="8937" spans="1:6" x14ac:dyDescent="0.25">
      <c r="A8937" t="str">
        <f>"002423538"</f>
        <v>002423538</v>
      </c>
      <c r="B8937" t="str">
        <f>"1376284539"</f>
        <v>1376284539</v>
      </c>
      <c r="C8937" t="str">
        <f>"207P00000X"</f>
        <v>207P00000X</v>
      </c>
      <c r="D8937" t="str">
        <f>"FLEMING                  DAVID                    "</f>
        <v xml:space="preserve">FLEMING                  DAVID                    </v>
      </c>
      <c r="E8937" t="str">
        <f>"JACKSON                   "</f>
        <v xml:space="preserve">JACKSON                   </v>
      </c>
      <c r="F8937" t="str">
        <f t="shared" si="265"/>
        <v>MS</v>
      </c>
    </row>
    <row r="8938" spans="1:6" x14ac:dyDescent="0.25">
      <c r="A8938" t="str">
        <f>"002423709"</f>
        <v>002423709</v>
      </c>
      <c r="B8938" t="str">
        <f>"1306460282"</f>
        <v>1306460282</v>
      </c>
      <c r="C8938" t="str">
        <f>"261QR1300X"</f>
        <v>261QR1300X</v>
      </c>
      <c r="D8938" t="str">
        <f>"EXPRESS CARE TAYLORSVILLE                         "</f>
        <v xml:space="preserve">EXPRESS CARE TAYLORSVILLE                         </v>
      </c>
      <c r="E8938" t="str">
        <f>"TAYLORSVILLE              "</f>
        <v xml:space="preserve">TAYLORSVILLE              </v>
      </c>
      <c r="F8938" t="str">
        <f t="shared" si="265"/>
        <v>MS</v>
      </c>
    </row>
    <row r="8939" spans="1:6" x14ac:dyDescent="0.25">
      <c r="A8939" t="str">
        <f>"002424771"</f>
        <v>002424771</v>
      </c>
      <c r="B8939" t="str">
        <f>"1891934931"</f>
        <v>1891934931</v>
      </c>
      <c r="C8939" t="str">
        <f>"152W00000X"</f>
        <v>152W00000X</v>
      </c>
      <c r="D8939" t="str">
        <f>"NEW ALBANY VISION CLINIC PA                       "</f>
        <v xml:space="preserve">NEW ALBANY VISION CLINIC PA                       </v>
      </c>
      <c r="E8939" t="str">
        <f>"NEW ALBANY                "</f>
        <v xml:space="preserve">NEW ALBANY                </v>
      </c>
      <c r="F8939" t="str">
        <f t="shared" si="265"/>
        <v>MS</v>
      </c>
    </row>
    <row r="8940" spans="1:6" x14ac:dyDescent="0.25">
      <c r="A8940" t="str">
        <f>"002428755"</f>
        <v>002428755</v>
      </c>
      <c r="B8940" t="str">
        <f>"1689840977"</f>
        <v>1689840977</v>
      </c>
      <c r="C8940" t="str">
        <f>"122300000X"</f>
        <v>122300000X</v>
      </c>
      <c r="D8940" t="str">
        <f>"OAK LANE FAMILY DENTAL                            "</f>
        <v xml:space="preserve">OAK LANE FAMILY DENTAL                            </v>
      </c>
      <c r="E8940" t="str">
        <f>"MONTICELLO                "</f>
        <v xml:space="preserve">MONTICELLO                </v>
      </c>
      <c r="F8940" t="str">
        <f t="shared" si="265"/>
        <v>MS</v>
      </c>
    </row>
    <row r="8941" spans="1:6" x14ac:dyDescent="0.25">
      <c r="A8941" t="str">
        <f>"002431027"</f>
        <v>002431027</v>
      </c>
      <c r="B8941" t="str">
        <f>"1407238090"</f>
        <v>1407238090</v>
      </c>
      <c r="C8941" t="str">
        <f>"122300000X"</f>
        <v>122300000X</v>
      </c>
      <c r="D8941" t="str">
        <f>"JACOBS                   AMANDA       L           "</f>
        <v xml:space="preserve">JACOBS                   AMANDA       L           </v>
      </c>
      <c r="E8941" t="str">
        <f>"CLEVELAND                 "</f>
        <v xml:space="preserve">CLEVELAND                 </v>
      </c>
      <c r="F8941" t="str">
        <f t="shared" si="265"/>
        <v>MS</v>
      </c>
    </row>
    <row r="8942" spans="1:6" x14ac:dyDescent="0.25">
      <c r="A8942" t="str">
        <f>"002431121"</f>
        <v>002431121</v>
      </c>
      <c r="B8942" t="str">
        <f>"1639720618"</f>
        <v>1639720618</v>
      </c>
      <c r="C8942" t="str">
        <f>"363L00000X"</f>
        <v>363L00000X</v>
      </c>
      <c r="D8942" t="str">
        <f>"FELKER                   KAYLAN       J           "</f>
        <v xml:space="preserve">FELKER                   KAYLAN       J           </v>
      </c>
      <c r="E8942" t="str">
        <f>"GULFPORT                  "</f>
        <v xml:space="preserve">GULFPORT                  </v>
      </c>
      <c r="F8942" t="str">
        <f t="shared" si="265"/>
        <v>MS</v>
      </c>
    </row>
    <row r="8943" spans="1:6" x14ac:dyDescent="0.25">
      <c r="A8943" t="str">
        <f>"002431221"</f>
        <v>002431221</v>
      </c>
      <c r="B8943" t="str">
        <f>"1740835529"</f>
        <v>1740835529</v>
      </c>
      <c r="C8943" t="str">
        <f>"122300000X"</f>
        <v>122300000X</v>
      </c>
      <c r="D8943" t="str">
        <f>"EVANS                    CLORA                    "</f>
        <v xml:space="preserve">EVANS                    CLORA                    </v>
      </c>
      <c r="E8943" t="str">
        <f>"JACKSON                   "</f>
        <v xml:space="preserve">JACKSON                   </v>
      </c>
      <c r="F8943" t="str">
        <f t="shared" si="265"/>
        <v>MS</v>
      </c>
    </row>
    <row r="8944" spans="1:6" x14ac:dyDescent="0.25">
      <c r="A8944" t="str">
        <f>"002433543"</f>
        <v>002433543</v>
      </c>
      <c r="B8944" t="str">
        <f>"1114188471"</f>
        <v>1114188471</v>
      </c>
      <c r="C8944" t="str">
        <f>"207RH0003X"</f>
        <v>207RH0003X</v>
      </c>
      <c r="D8944" t="str">
        <f>"HENEGAN JR               JOHN         C           "</f>
        <v xml:space="preserve">HENEGAN JR               JOHN         C           </v>
      </c>
      <c r="E8944" t="str">
        <f>"JACKSON                   "</f>
        <v xml:space="preserve">JACKSON                   </v>
      </c>
      <c r="F8944" t="str">
        <f t="shared" si="265"/>
        <v>MS</v>
      </c>
    </row>
    <row r="8945" spans="1:6" x14ac:dyDescent="0.25">
      <c r="A8945" t="str">
        <f>"002435291"</f>
        <v>002435291</v>
      </c>
      <c r="B8945" t="str">
        <f>"1760690713"</f>
        <v>1760690713</v>
      </c>
      <c r="C8945" t="str">
        <f>"2085R0202X"</f>
        <v>2085R0202X</v>
      </c>
      <c r="D8945" t="str">
        <f>"WINEMAN                  ROBERT       W           "</f>
        <v xml:space="preserve">WINEMAN                  ROBERT       W           </v>
      </c>
      <c r="E8945" t="str">
        <f>"JACKSON                   "</f>
        <v xml:space="preserve">JACKSON                   </v>
      </c>
      <c r="F8945" t="str">
        <f t="shared" si="265"/>
        <v>MS</v>
      </c>
    </row>
    <row r="8946" spans="1:6" x14ac:dyDescent="0.25">
      <c r="A8946" t="str">
        <f>"002436286"</f>
        <v>002436286</v>
      </c>
      <c r="B8946" t="str">
        <f>"1982127437"</f>
        <v>1982127437</v>
      </c>
      <c r="C8946" t="str">
        <f>"208G00000X"</f>
        <v>208G00000X</v>
      </c>
      <c r="D8946" t="str">
        <f>"COIMBATORE JEYAKUMAR     ASHOK KUMAR              "</f>
        <v xml:space="preserve">COIMBATORE JEYAKUMAR     ASHOK KUMAR              </v>
      </c>
      <c r="E8946" t="str">
        <f>"MERIDIAN                  "</f>
        <v xml:space="preserve">MERIDIAN                  </v>
      </c>
      <c r="F8946" t="str">
        <f t="shared" si="265"/>
        <v>MS</v>
      </c>
    </row>
    <row r="8947" spans="1:6" x14ac:dyDescent="0.25">
      <c r="A8947" t="str">
        <f>"002437244"</f>
        <v>002437244</v>
      </c>
      <c r="B8947" t="str">
        <f>"1730377607"</f>
        <v>1730377607</v>
      </c>
      <c r="C8947" t="str">
        <f>"207P00000X"</f>
        <v>207P00000X</v>
      </c>
      <c r="D8947" t="str">
        <f>"AGANS                    STEPHEN      C           "</f>
        <v xml:space="preserve">AGANS                    STEPHEN      C           </v>
      </c>
      <c r="E8947" t="str">
        <f>"GULFPORT                  "</f>
        <v xml:space="preserve">GULFPORT                  </v>
      </c>
      <c r="F8947" t="str">
        <f t="shared" si="265"/>
        <v>MS</v>
      </c>
    </row>
    <row r="8948" spans="1:6" x14ac:dyDescent="0.25">
      <c r="A8948" t="str">
        <f>"002437260"</f>
        <v>002437260</v>
      </c>
      <c r="B8948" t="str">
        <f>"1376096826"</f>
        <v>1376096826</v>
      </c>
      <c r="C8948" t="str">
        <f>"363L00000X"</f>
        <v>363L00000X</v>
      </c>
      <c r="D8948" t="str">
        <f>"CULPEPPER                MELISSA      E           "</f>
        <v xml:space="preserve">CULPEPPER                MELISSA      E           </v>
      </c>
      <c r="E8948" t="str">
        <f>"JACKSON                   "</f>
        <v xml:space="preserve">JACKSON                   </v>
      </c>
      <c r="F8948" t="str">
        <f t="shared" si="265"/>
        <v>MS</v>
      </c>
    </row>
    <row r="8949" spans="1:6" x14ac:dyDescent="0.25">
      <c r="A8949" t="str">
        <f>"002437318"</f>
        <v>002437318</v>
      </c>
      <c r="B8949" t="str">
        <f>"1346402617"</f>
        <v>1346402617</v>
      </c>
      <c r="C8949" t="str">
        <f>"207R00000X"</f>
        <v>207R00000X</v>
      </c>
      <c r="D8949" t="str">
        <f>"GILBERT                  DIANA        D           "</f>
        <v xml:space="preserve">GILBERT                  DIANA        D           </v>
      </c>
      <c r="E8949" t="str">
        <f>"BILOXI                    "</f>
        <v xml:space="preserve">BILOXI                    </v>
      </c>
      <c r="F8949" t="str">
        <f t="shared" si="265"/>
        <v>MS</v>
      </c>
    </row>
    <row r="8950" spans="1:6" x14ac:dyDescent="0.25">
      <c r="A8950" t="str">
        <f>"002437362"</f>
        <v>002437362</v>
      </c>
      <c r="B8950" t="str">
        <f>"1679925408"</f>
        <v>1679925408</v>
      </c>
      <c r="C8950" t="str">
        <f>"207R00000X"</f>
        <v>207R00000X</v>
      </c>
      <c r="D8950" t="str">
        <f>"SATTAR                   MUHAMMAD     H           "</f>
        <v xml:space="preserve">SATTAR                   MUHAMMAD     H           </v>
      </c>
      <c r="E8950" t="str">
        <f>"HATTIESBURG               "</f>
        <v xml:space="preserve">HATTIESBURG               </v>
      </c>
      <c r="F8950" t="str">
        <f t="shared" si="265"/>
        <v>MS</v>
      </c>
    </row>
    <row r="8951" spans="1:6" x14ac:dyDescent="0.25">
      <c r="A8951" t="str">
        <f>"002437523"</f>
        <v>002437523</v>
      </c>
      <c r="B8951" t="str">
        <f>"1205073996"</f>
        <v>1205073996</v>
      </c>
      <c r="C8951" t="str">
        <f>"367500000X"</f>
        <v>367500000X</v>
      </c>
      <c r="D8951" t="str">
        <f>"CAMPBELL                 IRBY         L           "</f>
        <v xml:space="preserve">CAMPBELL                 IRBY         L           </v>
      </c>
      <c r="E8951" t="str">
        <f>"CLEVELAND                 "</f>
        <v xml:space="preserve">CLEVELAND                 </v>
      </c>
      <c r="F8951" t="str">
        <f t="shared" si="265"/>
        <v>MS</v>
      </c>
    </row>
    <row r="8952" spans="1:6" x14ac:dyDescent="0.25">
      <c r="A8952" t="str">
        <f>"002437542"</f>
        <v>002437542</v>
      </c>
      <c r="B8952" t="str">
        <f>"1144517541"</f>
        <v>1144517541</v>
      </c>
      <c r="C8952" t="str">
        <f>"208000000X"</f>
        <v>208000000X</v>
      </c>
      <c r="D8952" t="str">
        <f>"GILMORE                  APRILE       C           "</f>
        <v xml:space="preserve">GILMORE                  APRILE       C           </v>
      </c>
      <c r="E8952" t="str">
        <f>"HATTIESBURG               "</f>
        <v xml:space="preserve">HATTIESBURG               </v>
      </c>
      <c r="F8952" t="str">
        <f t="shared" si="265"/>
        <v>MS</v>
      </c>
    </row>
    <row r="8953" spans="1:6" x14ac:dyDescent="0.25">
      <c r="A8953" t="str">
        <f>"002438061"</f>
        <v>002438061</v>
      </c>
      <c r="B8953" t="str">
        <f>"1376939975"</f>
        <v>1376939975</v>
      </c>
      <c r="C8953" t="str">
        <f>"152W00000X"</f>
        <v>152W00000X</v>
      </c>
      <c r="D8953" t="str">
        <f>"OXFORD UNIVERSITY EYECARE PLLC                    "</f>
        <v xml:space="preserve">OXFORD UNIVERSITY EYECARE PLLC                    </v>
      </c>
      <c r="E8953" t="str">
        <f>"OXFORD                    "</f>
        <v xml:space="preserve">OXFORD                    </v>
      </c>
      <c r="F8953" t="str">
        <f t="shared" si="265"/>
        <v>MS</v>
      </c>
    </row>
    <row r="8954" spans="1:6" x14ac:dyDescent="0.25">
      <c r="A8954" t="str">
        <f>"002438557"</f>
        <v>002438557</v>
      </c>
      <c r="B8954" t="str">
        <f>"1568057537"</f>
        <v>1568057537</v>
      </c>
      <c r="C8954" t="str">
        <f>"363L00000X"</f>
        <v>363L00000X</v>
      </c>
      <c r="D8954" t="str">
        <f>"PETERSON                 KRISTIN      T           "</f>
        <v xml:space="preserve">PETERSON                 KRISTIN      T           </v>
      </c>
      <c r="E8954" t="str">
        <f>"MERIDIAN                  "</f>
        <v xml:space="preserve">MERIDIAN                  </v>
      </c>
      <c r="F8954" t="str">
        <f t="shared" si="265"/>
        <v>MS</v>
      </c>
    </row>
    <row r="8955" spans="1:6" x14ac:dyDescent="0.25">
      <c r="A8955" t="str">
        <f>"002439201"</f>
        <v>002439201</v>
      </c>
      <c r="B8955" t="str">
        <f>"1942266341"</f>
        <v>1942266341</v>
      </c>
      <c r="C8955" t="str">
        <f>"207R00000X"</f>
        <v>207R00000X</v>
      </c>
      <c r="D8955" t="str">
        <f>"RUSSELL                  BRADY        R           "</f>
        <v xml:space="preserve">RUSSELL                  BRADY        R           </v>
      </c>
      <c r="E8955" t="str">
        <f>"TUPELO                    "</f>
        <v xml:space="preserve">TUPELO                    </v>
      </c>
      <c r="F8955" t="str">
        <f t="shared" si="265"/>
        <v>MS</v>
      </c>
    </row>
    <row r="8956" spans="1:6" x14ac:dyDescent="0.25">
      <c r="A8956" t="str">
        <f>"002450225"</f>
        <v>002450225</v>
      </c>
      <c r="B8956" t="str">
        <f>"1689111254"</f>
        <v>1689111254</v>
      </c>
      <c r="C8956" t="str">
        <f>"363L00000X"</f>
        <v>363L00000X</v>
      </c>
      <c r="D8956" t="str">
        <f>"MCCREARY                 CHELSEA                  "</f>
        <v xml:space="preserve">MCCREARY                 CHELSEA                  </v>
      </c>
      <c r="E8956" t="str">
        <f>"NEW ALBANY                "</f>
        <v xml:space="preserve">NEW ALBANY                </v>
      </c>
      <c r="F8956" t="str">
        <f t="shared" si="265"/>
        <v>MS</v>
      </c>
    </row>
    <row r="8957" spans="1:6" x14ac:dyDescent="0.25">
      <c r="A8957" t="str">
        <f>"002450266"</f>
        <v>002450266</v>
      </c>
      <c r="B8957" t="str">
        <f>"1972647519"</f>
        <v>1972647519</v>
      </c>
      <c r="C8957" t="str">
        <f>"152W00000X"</f>
        <v>152W00000X</v>
      </c>
      <c r="D8957" t="str">
        <f>"HENDERSON                KENYA        E           "</f>
        <v xml:space="preserve">HENDERSON                KENYA        E           </v>
      </c>
      <c r="E8957" t="str">
        <f>"HERNANDO                  "</f>
        <v xml:space="preserve">HERNANDO                  </v>
      </c>
      <c r="F8957" t="str">
        <f t="shared" si="265"/>
        <v>MS</v>
      </c>
    </row>
    <row r="8958" spans="1:6" x14ac:dyDescent="0.25">
      <c r="A8958" t="str">
        <f>"002450824"</f>
        <v>002450824</v>
      </c>
      <c r="B8958" t="str">
        <f>"1558396424"</f>
        <v>1558396424</v>
      </c>
      <c r="C8958" t="str">
        <f>"207RH0000X"</f>
        <v>207RH0000X</v>
      </c>
      <c r="D8958" t="str">
        <f>"HERRIN                   VINCENT      E           "</f>
        <v xml:space="preserve">HERRIN                   VINCENT      E           </v>
      </c>
      <c r="E8958" t="str">
        <f>"JACKSON                   "</f>
        <v xml:space="preserve">JACKSON                   </v>
      </c>
      <c r="F8958" t="str">
        <f t="shared" ref="F8958:F9021" si="266">"MS"</f>
        <v>MS</v>
      </c>
    </row>
    <row r="8959" spans="1:6" x14ac:dyDescent="0.25">
      <c r="A8959" t="str">
        <f>"002451563"</f>
        <v>002451563</v>
      </c>
      <c r="B8959" t="str">
        <f>"1134153638"</f>
        <v>1134153638</v>
      </c>
      <c r="C8959" t="str">
        <f>"207P00000X"</f>
        <v>207P00000X</v>
      </c>
      <c r="D8959" t="str">
        <f>"JONES                    ALAN         E           "</f>
        <v xml:space="preserve">JONES                    ALAN         E           </v>
      </c>
      <c r="E8959" t="str">
        <f>"JACKSON                   "</f>
        <v xml:space="preserve">JACKSON                   </v>
      </c>
      <c r="F8959" t="str">
        <f t="shared" si="266"/>
        <v>MS</v>
      </c>
    </row>
    <row r="8960" spans="1:6" x14ac:dyDescent="0.25">
      <c r="A8960" t="str">
        <f>"002451796"</f>
        <v>002451796</v>
      </c>
      <c r="B8960" t="str">
        <f>"1578713137"</f>
        <v>1578713137</v>
      </c>
      <c r="C8960" t="str">
        <f>"152W00000X"</f>
        <v>152W00000X</v>
      </c>
      <c r="D8960" t="str">
        <f>"SETZER VISION CLINIC                              "</f>
        <v xml:space="preserve">SETZER VISION CLINIC                              </v>
      </c>
      <c r="E8960" t="str">
        <f>"RIDGELAND                 "</f>
        <v xml:space="preserve">RIDGELAND                 </v>
      </c>
      <c r="F8960" t="str">
        <f t="shared" si="266"/>
        <v>MS</v>
      </c>
    </row>
    <row r="8961" spans="1:6" x14ac:dyDescent="0.25">
      <c r="A8961" t="str">
        <f>"002452789"</f>
        <v>002452789</v>
      </c>
      <c r="B8961" t="str">
        <f>"1740642180"</f>
        <v>1740642180</v>
      </c>
      <c r="C8961" t="str">
        <f>"207P00000X"</f>
        <v>207P00000X</v>
      </c>
      <c r="D8961" t="str">
        <f>"HUNT                     DEREK                    "</f>
        <v xml:space="preserve">HUNT                     DEREK                    </v>
      </c>
      <c r="E8961" t="str">
        <f>"HATTIESBURG               "</f>
        <v xml:space="preserve">HATTIESBURG               </v>
      </c>
      <c r="F8961" t="str">
        <f t="shared" si="266"/>
        <v>MS</v>
      </c>
    </row>
    <row r="8962" spans="1:6" x14ac:dyDescent="0.25">
      <c r="A8962" t="str">
        <f>"002453236"</f>
        <v>002453236</v>
      </c>
      <c r="B8962" t="str">
        <f>"1396184909"</f>
        <v>1396184909</v>
      </c>
      <c r="C8962" t="str">
        <f>"207Q00000X"</f>
        <v>207Q00000X</v>
      </c>
      <c r="D8962" t="str">
        <f>"BAROWKA                  SARAH                    "</f>
        <v xml:space="preserve">BAROWKA                  SARAH                    </v>
      </c>
      <c r="E8962" t="str">
        <f>"DIAMONDHEAD               "</f>
        <v xml:space="preserve">DIAMONDHEAD               </v>
      </c>
      <c r="F8962" t="str">
        <f t="shared" si="266"/>
        <v>MS</v>
      </c>
    </row>
    <row r="8963" spans="1:6" x14ac:dyDescent="0.25">
      <c r="A8963" t="str">
        <f>"002454010"</f>
        <v>002454010</v>
      </c>
      <c r="B8963" t="str">
        <f>"1457419707"</f>
        <v>1457419707</v>
      </c>
      <c r="C8963" t="str">
        <f>"363L00000X"</f>
        <v>363L00000X</v>
      </c>
      <c r="D8963" t="str">
        <f>"TURNAGE                  VICKI        F           "</f>
        <v xml:space="preserve">TURNAGE                  VICKI        F           </v>
      </c>
      <c r="E8963" t="str">
        <f>"WATER VALLEY              "</f>
        <v xml:space="preserve">WATER VALLEY              </v>
      </c>
      <c r="F8963" t="str">
        <f t="shared" si="266"/>
        <v>MS</v>
      </c>
    </row>
    <row r="8964" spans="1:6" x14ac:dyDescent="0.25">
      <c r="A8964" t="str">
        <f>"002454711"</f>
        <v>002454711</v>
      </c>
      <c r="B8964" t="str">
        <f>"1124762810"</f>
        <v>1124762810</v>
      </c>
      <c r="C8964" t="str">
        <f>"207R00000X"</f>
        <v>207R00000X</v>
      </c>
      <c r="D8964" t="str">
        <f>"HREISH                   YOUSEF       O           "</f>
        <v xml:space="preserve">HREISH                   YOUSEF       O           </v>
      </c>
      <c r="E8964" t="str">
        <f>"JACKSON                   "</f>
        <v xml:space="preserve">JACKSON                   </v>
      </c>
      <c r="F8964" t="str">
        <f t="shared" si="266"/>
        <v>MS</v>
      </c>
    </row>
    <row r="8965" spans="1:6" x14ac:dyDescent="0.25">
      <c r="A8965" t="str">
        <f>"002455224"</f>
        <v>002455224</v>
      </c>
      <c r="B8965" t="str">
        <f>"1154953107"</f>
        <v>1154953107</v>
      </c>
      <c r="C8965" t="str">
        <f>"363L00000X"</f>
        <v>363L00000X</v>
      </c>
      <c r="D8965" t="str">
        <f>"GIBBS                    BRIAN        C           "</f>
        <v xml:space="preserve">GIBBS                    BRIAN        C           </v>
      </c>
      <c r="E8965" t="str">
        <f>"FLOWOOD                   "</f>
        <v xml:space="preserve">FLOWOOD                   </v>
      </c>
      <c r="F8965" t="str">
        <f t="shared" si="266"/>
        <v>MS</v>
      </c>
    </row>
    <row r="8966" spans="1:6" x14ac:dyDescent="0.25">
      <c r="A8966" t="str">
        <f>"002455251"</f>
        <v>002455251</v>
      </c>
      <c r="B8966" t="str">
        <f>"1457940538"</f>
        <v>1457940538</v>
      </c>
      <c r="C8966" t="str">
        <f>"363L00000X"</f>
        <v>363L00000X</v>
      </c>
      <c r="D8966" t="str">
        <f>"PALASINI                 MARY                     "</f>
        <v xml:space="preserve">PALASINI                 MARY                     </v>
      </c>
      <c r="E8966" t="str">
        <f>"GREENVILLE                "</f>
        <v xml:space="preserve">GREENVILLE                </v>
      </c>
      <c r="F8966" t="str">
        <f t="shared" si="266"/>
        <v>MS</v>
      </c>
    </row>
    <row r="8967" spans="1:6" x14ac:dyDescent="0.25">
      <c r="A8967" t="str">
        <f>"002458236"</f>
        <v>002458236</v>
      </c>
      <c r="B8967" t="str">
        <f>"1154367738"</f>
        <v>1154367738</v>
      </c>
      <c r="C8967" t="str">
        <f>"207Y00000X"</f>
        <v>207Y00000X</v>
      </c>
      <c r="D8967" t="str">
        <f>"LEATHERMAN               BRYAN                    "</f>
        <v xml:space="preserve">LEATHERMAN               BRYAN                    </v>
      </c>
      <c r="E8967" t="str">
        <f>"GULFPORT                  "</f>
        <v xml:space="preserve">GULFPORT                  </v>
      </c>
      <c r="F8967" t="str">
        <f t="shared" si="266"/>
        <v>MS</v>
      </c>
    </row>
    <row r="8968" spans="1:6" x14ac:dyDescent="0.25">
      <c r="A8968" t="str">
        <f>"002458758"</f>
        <v>002458758</v>
      </c>
      <c r="B8968" t="str">
        <f>"1396952271"</f>
        <v>1396952271</v>
      </c>
      <c r="C8968" t="str">
        <f>"207R00000X"</f>
        <v>207R00000X</v>
      </c>
      <c r="D8968" t="str">
        <f>"SENITKO                  MARTIN       N           "</f>
        <v xml:space="preserve">SENITKO                  MARTIN       N           </v>
      </c>
      <c r="E8968" t="str">
        <f>"OCEAN SPRINGS             "</f>
        <v xml:space="preserve">OCEAN SPRINGS             </v>
      </c>
      <c r="F8968" t="str">
        <f t="shared" si="266"/>
        <v>MS</v>
      </c>
    </row>
    <row r="8969" spans="1:6" x14ac:dyDescent="0.25">
      <c r="A8969" t="str">
        <f>"002459205"</f>
        <v>002459205</v>
      </c>
      <c r="B8969" t="str">
        <f>"1497189856"</f>
        <v>1497189856</v>
      </c>
      <c r="C8969" t="str">
        <f>"363L00000X"</f>
        <v>363L00000X</v>
      </c>
      <c r="D8969" t="str">
        <f>"OWENS                    NICHOLE      A           "</f>
        <v xml:space="preserve">OWENS                    NICHOLE      A           </v>
      </c>
      <c r="E8969" t="str">
        <f>"JACKSON                   "</f>
        <v xml:space="preserve">JACKSON                   </v>
      </c>
      <c r="F8969" t="str">
        <f t="shared" si="266"/>
        <v>MS</v>
      </c>
    </row>
    <row r="8970" spans="1:6" x14ac:dyDescent="0.25">
      <c r="A8970" t="str">
        <f>"002470077"</f>
        <v>002470077</v>
      </c>
      <c r="B8970" t="str">
        <f>"1386844702"</f>
        <v>1386844702</v>
      </c>
      <c r="C8970" t="str">
        <f>"207V00000X"</f>
        <v>207V00000X</v>
      </c>
      <c r="D8970" t="str">
        <f>"SLATE                    GARRICK      J           "</f>
        <v xml:space="preserve">SLATE                    GARRICK      J           </v>
      </c>
      <c r="E8970" t="str">
        <f>"JACKSON                   "</f>
        <v xml:space="preserve">JACKSON                   </v>
      </c>
      <c r="F8970" t="str">
        <f t="shared" si="266"/>
        <v>MS</v>
      </c>
    </row>
    <row r="8971" spans="1:6" x14ac:dyDescent="0.25">
      <c r="A8971" t="str">
        <f>"002471280"</f>
        <v>002471280</v>
      </c>
      <c r="B8971" t="str">
        <f>"1891223186"</f>
        <v>1891223186</v>
      </c>
      <c r="C8971" t="str">
        <f>"363L00000X"</f>
        <v>363L00000X</v>
      </c>
      <c r="D8971" t="str">
        <f>"LADNER                   CHRISTINE    L           "</f>
        <v xml:space="preserve">LADNER                   CHRISTINE    L           </v>
      </c>
      <c r="E8971" t="str">
        <f>"GULFPORT                  "</f>
        <v xml:space="preserve">GULFPORT                  </v>
      </c>
      <c r="F8971" t="str">
        <f t="shared" si="266"/>
        <v>MS</v>
      </c>
    </row>
    <row r="8972" spans="1:6" x14ac:dyDescent="0.25">
      <c r="A8972" t="str">
        <f>"002474268"</f>
        <v>002474268</v>
      </c>
      <c r="B8972" t="str">
        <f>"1215192406"</f>
        <v>1215192406</v>
      </c>
      <c r="C8972" t="str">
        <f>"2080N0001X"</f>
        <v>2080N0001X</v>
      </c>
      <c r="D8972" t="str">
        <f>"KARAM                    SIMON        E           "</f>
        <v xml:space="preserve">KARAM                    SIMON        E           </v>
      </c>
      <c r="E8972" t="str">
        <f>"JACKSON                   "</f>
        <v xml:space="preserve">JACKSON                   </v>
      </c>
      <c r="F8972" t="str">
        <f t="shared" si="266"/>
        <v>MS</v>
      </c>
    </row>
    <row r="8973" spans="1:6" x14ac:dyDescent="0.25">
      <c r="A8973" t="str">
        <f>"002477395"</f>
        <v>002477395</v>
      </c>
      <c r="B8973" t="str">
        <f>"1609041532"</f>
        <v>1609041532</v>
      </c>
      <c r="C8973" t="str">
        <f>"207Q00000X"</f>
        <v>207Q00000X</v>
      </c>
      <c r="D8973" t="str">
        <f>"BYNUM                    STEPHANIE    D           "</f>
        <v xml:space="preserve">BYNUM                    STEPHANIE    D           </v>
      </c>
      <c r="E8973" t="str">
        <f>"HATTIESBURG               "</f>
        <v xml:space="preserve">HATTIESBURG               </v>
      </c>
      <c r="F8973" t="str">
        <f t="shared" si="266"/>
        <v>MS</v>
      </c>
    </row>
    <row r="8974" spans="1:6" x14ac:dyDescent="0.25">
      <c r="A8974" t="str">
        <f>"002478201"</f>
        <v>002478201</v>
      </c>
      <c r="B8974" t="str">
        <f>"1861501132"</f>
        <v>1861501132</v>
      </c>
      <c r="C8974" t="str">
        <f>"363L00000X"</f>
        <v>363L00000X</v>
      </c>
      <c r="D8974" t="str">
        <f>"TUCKER                   SARAH        M           "</f>
        <v xml:space="preserve">TUCKER                   SARAH        M           </v>
      </c>
      <c r="E8974" t="str">
        <f>"PURVIS                    "</f>
        <v xml:space="preserve">PURVIS                    </v>
      </c>
      <c r="F8974" t="str">
        <f t="shared" si="266"/>
        <v>MS</v>
      </c>
    </row>
    <row r="8975" spans="1:6" x14ac:dyDescent="0.25">
      <c r="A8975" t="str">
        <f>"002478741"</f>
        <v>002478741</v>
      </c>
      <c r="B8975" t="str">
        <f>"1922577378"</f>
        <v>1922577378</v>
      </c>
      <c r="C8975" t="str">
        <f>"363L00000X"</f>
        <v>363L00000X</v>
      </c>
      <c r="D8975" t="str">
        <f>"JENKINS                  JORDAN       L           "</f>
        <v xml:space="preserve">JENKINS                  JORDAN       L           </v>
      </c>
      <c r="E8975" t="str">
        <f>"JACKSON                   "</f>
        <v xml:space="preserve">JACKSON                   </v>
      </c>
      <c r="F8975" t="str">
        <f t="shared" si="266"/>
        <v>MS</v>
      </c>
    </row>
    <row r="8976" spans="1:6" x14ac:dyDescent="0.25">
      <c r="A8976" t="str">
        <f>"002479740"</f>
        <v>002479740</v>
      </c>
      <c r="B8976" t="str">
        <f>"1013179266"</f>
        <v>1013179266</v>
      </c>
      <c r="C8976" t="str">
        <f>"2085R0202X"</f>
        <v>2085R0202X</v>
      </c>
      <c r="D8976" t="str">
        <f>"WETZEL                   RAUN         J           "</f>
        <v xml:space="preserve">WETZEL                   RAUN         J           </v>
      </c>
      <c r="E8976" t="str">
        <f>"GULFPORT                  "</f>
        <v xml:space="preserve">GULFPORT                  </v>
      </c>
      <c r="F8976" t="str">
        <f t="shared" si="266"/>
        <v>MS</v>
      </c>
    </row>
    <row r="8977" spans="1:6" x14ac:dyDescent="0.25">
      <c r="A8977" t="str">
        <f>"002479791"</f>
        <v>002479791</v>
      </c>
      <c r="B8977" t="str">
        <f>"1578542007"</f>
        <v>1578542007</v>
      </c>
      <c r="C8977" t="str">
        <f>"2084P0800X"</f>
        <v>2084P0800X</v>
      </c>
      <c r="D8977" t="str">
        <f>"MCGILBRA                 JEFFREY      L           "</f>
        <v xml:space="preserve">MCGILBRA                 JEFFREY      L           </v>
      </c>
      <c r="E8977" t="str">
        <f>"MERIDIAN                  "</f>
        <v xml:space="preserve">MERIDIAN                  </v>
      </c>
      <c r="F8977" t="str">
        <f t="shared" si="266"/>
        <v>MS</v>
      </c>
    </row>
    <row r="8978" spans="1:6" x14ac:dyDescent="0.25">
      <c r="A8978" t="str">
        <f>"002480550"</f>
        <v>002480550</v>
      </c>
      <c r="B8978" t="str">
        <f>"1992196331"</f>
        <v>1992196331</v>
      </c>
      <c r="C8978" t="str">
        <f>"363L00000X"</f>
        <v>363L00000X</v>
      </c>
      <c r="D8978" t="str">
        <f>"JENKINS                  EUGENE       N           "</f>
        <v xml:space="preserve">JENKINS                  EUGENE       N           </v>
      </c>
      <c r="E8978" t="str">
        <f>"MORTON                    "</f>
        <v xml:space="preserve">MORTON                    </v>
      </c>
      <c r="F8978" t="str">
        <f t="shared" si="266"/>
        <v>MS</v>
      </c>
    </row>
    <row r="8979" spans="1:6" x14ac:dyDescent="0.25">
      <c r="A8979" t="str">
        <f>"002482207"</f>
        <v>002482207</v>
      </c>
      <c r="B8979" t="str">
        <f>"1164747986"</f>
        <v>1164747986</v>
      </c>
      <c r="C8979" t="str">
        <f>"363L00000X"</f>
        <v>363L00000X</v>
      </c>
      <c r="D8979" t="str">
        <f>"MONROE                   STEPHANIE    D           "</f>
        <v xml:space="preserve">MONROE                   STEPHANIE    D           </v>
      </c>
      <c r="E8979" t="str">
        <f>"RIDGELAND                 "</f>
        <v xml:space="preserve">RIDGELAND                 </v>
      </c>
      <c r="F8979" t="str">
        <f t="shared" si="266"/>
        <v>MS</v>
      </c>
    </row>
    <row r="8980" spans="1:6" x14ac:dyDescent="0.25">
      <c r="A8980" t="str">
        <f>"002483041"</f>
        <v>002483041</v>
      </c>
      <c r="B8980" t="str">
        <f>"1831244540"</f>
        <v>1831244540</v>
      </c>
      <c r="C8980" t="str">
        <f>"207RC0200X"</f>
        <v>207RC0200X</v>
      </c>
      <c r="D8980" t="str">
        <f>"SEGARRA                  JAY          T           "</f>
        <v xml:space="preserve">SEGARRA                  JAY          T           </v>
      </c>
      <c r="E8980" t="str">
        <f>"GULFPORT                  "</f>
        <v xml:space="preserve">GULFPORT                  </v>
      </c>
      <c r="F8980" t="str">
        <f t="shared" si="266"/>
        <v>MS</v>
      </c>
    </row>
    <row r="8981" spans="1:6" x14ac:dyDescent="0.25">
      <c r="A8981" t="str">
        <f>"002483767"</f>
        <v>002483767</v>
      </c>
      <c r="B8981" t="str">
        <f>"1699101139"</f>
        <v>1699101139</v>
      </c>
      <c r="C8981" t="str">
        <f>"207P00000X"</f>
        <v>207P00000X</v>
      </c>
      <c r="D8981" t="str">
        <f>"TISCARENO                JENNERFER    A           "</f>
        <v xml:space="preserve">TISCARENO                JENNERFER    A           </v>
      </c>
      <c r="E8981" t="str">
        <f>"JACKSON                   "</f>
        <v xml:space="preserve">JACKSON                   </v>
      </c>
      <c r="F8981" t="str">
        <f t="shared" si="266"/>
        <v>MS</v>
      </c>
    </row>
    <row r="8982" spans="1:6" x14ac:dyDescent="0.25">
      <c r="A8982" t="str">
        <f>"002485706"</f>
        <v>002485706</v>
      </c>
      <c r="B8982" t="str">
        <f>"1144457284"</f>
        <v>1144457284</v>
      </c>
      <c r="C8982" t="str">
        <f>"207Q00000X"</f>
        <v>207Q00000X</v>
      </c>
      <c r="D8982" t="str">
        <f>"KILMAN                   BENTON       E           "</f>
        <v xml:space="preserve">KILMAN                   BENTON       E           </v>
      </c>
      <c r="E8982" t="str">
        <f>"FULTON                    "</f>
        <v xml:space="preserve">FULTON                    </v>
      </c>
      <c r="F8982" t="str">
        <f t="shared" si="266"/>
        <v>MS</v>
      </c>
    </row>
    <row r="8983" spans="1:6" x14ac:dyDescent="0.25">
      <c r="A8983" t="str">
        <f>"002486090"</f>
        <v>002486090</v>
      </c>
      <c r="B8983" t="str">
        <f>"1164685004"</f>
        <v>1164685004</v>
      </c>
      <c r="C8983" t="str">
        <f>"207RX0202X"</f>
        <v>207RX0202X</v>
      </c>
      <c r="D8983" t="str">
        <f>"MANGANA                  SOPHY        H           "</f>
        <v xml:space="preserve">MANGANA                  SOPHY        H           </v>
      </c>
      <c r="E8983" t="str">
        <f>"HATTIESBURG               "</f>
        <v xml:space="preserve">HATTIESBURG               </v>
      </c>
      <c r="F8983" t="str">
        <f t="shared" si="266"/>
        <v>MS</v>
      </c>
    </row>
    <row r="8984" spans="1:6" x14ac:dyDescent="0.25">
      <c r="A8984" t="str">
        <f>"002486282"</f>
        <v>002486282</v>
      </c>
      <c r="B8984" t="str">
        <f>"1982691465"</f>
        <v>1982691465</v>
      </c>
      <c r="C8984" t="str">
        <f>"208000000X"</f>
        <v>208000000X</v>
      </c>
      <c r="D8984" t="str">
        <f>"LACY                     MICHAEL      R           "</f>
        <v xml:space="preserve">LACY                     MICHAEL      R           </v>
      </c>
      <c r="E8984" t="str">
        <f>"SOUTHAVEN                 "</f>
        <v xml:space="preserve">SOUTHAVEN                 </v>
      </c>
      <c r="F8984" t="str">
        <f t="shared" si="266"/>
        <v>MS</v>
      </c>
    </row>
    <row r="8985" spans="1:6" x14ac:dyDescent="0.25">
      <c r="A8985" t="str">
        <f>"002486291"</f>
        <v>002486291</v>
      </c>
      <c r="B8985" t="str">
        <f>"1558379263"</f>
        <v>1558379263</v>
      </c>
      <c r="C8985" t="str">
        <f>"207RA0401X"</f>
        <v>207RA0401X</v>
      </c>
      <c r="D8985" t="str">
        <f>"PASSER                   KEVIN        M           "</f>
        <v xml:space="preserve">PASSER                   KEVIN        M           </v>
      </c>
      <c r="E8985" t="str">
        <f>"HATTIESBURG               "</f>
        <v xml:space="preserve">HATTIESBURG               </v>
      </c>
      <c r="F8985" t="str">
        <f t="shared" si="266"/>
        <v>MS</v>
      </c>
    </row>
    <row r="8986" spans="1:6" x14ac:dyDescent="0.25">
      <c r="A8986" t="str">
        <f>"002487500"</f>
        <v>002487500</v>
      </c>
      <c r="B8986" t="str">
        <f>"1215697388"</f>
        <v>1215697388</v>
      </c>
      <c r="C8986" t="str">
        <f>"367500000X"</f>
        <v>367500000X</v>
      </c>
      <c r="D8986" t="str">
        <f>"GRAY                     RUSSELL      W           "</f>
        <v xml:space="preserve">GRAY                     RUSSELL      W           </v>
      </c>
      <c r="E8986" t="str">
        <f>"HATTIESBURG               "</f>
        <v xml:space="preserve">HATTIESBURG               </v>
      </c>
      <c r="F8986" t="str">
        <f t="shared" si="266"/>
        <v>MS</v>
      </c>
    </row>
    <row r="8987" spans="1:6" x14ac:dyDescent="0.25">
      <c r="A8987" t="str">
        <f>"002487838"</f>
        <v>002487838</v>
      </c>
      <c r="B8987" t="str">
        <f>"1205355765"</f>
        <v>1205355765</v>
      </c>
      <c r="C8987" t="str">
        <f>"363L00000X"</f>
        <v>363L00000X</v>
      </c>
      <c r="D8987" t="str">
        <f>"MILLS                    JESSICA                  "</f>
        <v xml:space="preserve">MILLS                    JESSICA                  </v>
      </c>
      <c r="E8987" t="str">
        <f>"LOUISVILLE                "</f>
        <v xml:space="preserve">LOUISVILLE                </v>
      </c>
      <c r="F8987" t="str">
        <f t="shared" si="266"/>
        <v>MS</v>
      </c>
    </row>
    <row r="8988" spans="1:6" x14ac:dyDescent="0.25">
      <c r="A8988" t="str">
        <f>"002488224"</f>
        <v>002488224</v>
      </c>
      <c r="B8988" t="str">
        <f>"1518428283"</f>
        <v>1518428283</v>
      </c>
      <c r="C8988" t="str">
        <f>"363LF0000X"</f>
        <v>363LF0000X</v>
      </c>
      <c r="D8988" t="str">
        <f>"BOLDEN                   WILLIEMARY               "</f>
        <v xml:space="preserve">BOLDEN                   WILLIEMARY               </v>
      </c>
      <c r="E8988" t="str">
        <f>"INDINOLA                  "</f>
        <v xml:space="preserve">INDINOLA                  </v>
      </c>
      <c r="F8988" t="str">
        <f t="shared" si="266"/>
        <v>MS</v>
      </c>
    </row>
    <row r="8989" spans="1:6" x14ac:dyDescent="0.25">
      <c r="A8989" t="str">
        <f>"002488503"</f>
        <v>002488503</v>
      </c>
      <c r="B8989" t="str">
        <f>"1629199633"</f>
        <v>1629199633</v>
      </c>
      <c r="C8989" t="str">
        <f>"363L00000X"</f>
        <v>363L00000X</v>
      </c>
      <c r="D8989" t="str">
        <f>"FRAISER                  JACQUELINE   A           "</f>
        <v xml:space="preserve">FRAISER                  JACQUELINE   A           </v>
      </c>
      <c r="E8989" t="str">
        <f>"TUPELO                    "</f>
        <v xml:space="preserve">TUPELO                    </v>
      </c>
      <c r="F8989" t="str">
        <f t="shared" si="266"/>
        <v>MS</v>
      </c>
    </row>
    <row r="8990" spans="1:6" x14ac:dyDescent="0.25">
      <c r="A8990" t="str">
        <f>"002488735"</f>
        <v>002488735</v>
      </c>
      <c r="B8990" t="str">
        <f>"1689057721"</f>
        <v>1689057721</v>
      </c>
      <c r="C8990" t="str">
        <f>"207Q00000X"</f>
        <v>207Q00000X</v>
      </c>
      <c r="D8990" t="str">
        <f>"THAMES                   JOHN         W           "</f>
        <v xml:space="preserve">THAMES                   JOHN         W           </v>
      </c>
      <c r="E8990" t="str">
        <f>"WIGGINS                   "</f>
        <v xml:space="preserve">WIGGINS                   </v>
      </c>
      <c r="F8990" t="str">
        <f t="shared" si="266"/>
        <v>MS</v>
      </c>
    </row>
    <row r="8991" spans="1:6" x14ac:dyDescent="0.25">
      <c r="A8991" t="str">
        <f>"002489587"</f>
        <v>002489587</v>
      </c>
      <c r="B8991" t="str">
        <f>"1447327838"</f>
        <v>1447327838</v>
      </c>
      <c r="C8991" t="str">
        <f>"122300000X"</f>
        <v>122300000X</v>
      </c>
      <c r="D8991" t="str">
        <f>"BARNES                   KIONO        L           "</f>
        <v xml:space="preserve">BARNES                   KIONO        L           </v>
      </c>
      <c r="E8991" t="str">
        <f>"BILOXI                    "</f>
        <v xml:space="preserve">BILOXI                    </v>
      </c>
      <c r="F8991" t="str">
        <f t="shared" si="266"/>
        <v>MS</v>
      </c>
    </row>
    <row r="8992" spans="1:6" x14ac:dyDescent="0.25">
      <c r="A8992" t="str">
        <f>"002500780"</f>
        <v>002500780</v>
      </c>
      <c r="B8992" t="str">
        <f>"1326513920"</f>
        <v>1326513920</v>
      </c>
      <c r="C8992" t="str">
        <f>"363L00000X"</f>
        <v>363L00000X</v>
      </c>
      <c r="D8992" t="str">
        <f>"RAY                      JACQUELYN    B           "</f>
        <v xml:space="preserve">RAY                      JACQUELYN    B           </v>
      </c>
      <c r="E8992" t="str">
        <f>"MERIDIAN                  "</f>
        <v xml:space="preserve">MERIDIAN                  </v>
      </c>
      <c r="F8992" t="str">
        <f t="shared" si="266"/>
        <v>MS</v>
      </c>
    </row>
    <row r="8993" spans="1:6" x14ac:dyDescent="0.25">
      <c r="A8993" t="str">
        <f>"002500810"</f>
        <v>002500810</v>
      </c>
      <c r="B8993" t="str">
        <f>"1164945846"</f>
        <v>1164945846</v>
      </c>
      <c r="C8993" t="str">
        <f>"207ZP0102X"</f>
        <v>207ZP0102X</v>
      </c>
      <c r="D8993" t="str">
        <f>"BAQIR                    AGHA                     "</f>
        <v xml:space="preserve">BAQIR                    AGHA                     </v>
      </c>
      <c r="E8993" t="str">
        <f>"JACKSON                   "</f>
        <v xml:space="preserve">JACKSON                   </v>
      </c>
      <c r="F8993" t="str">
        <f t="shared" si="266"/>
        <v>MS</v>
      </c>
    </row>
    <row r="8994" spans="1:6" x14ac:dyDescent="0.25">
      <c r="A8994" t="str">
        <f>"002502827"</f>
        <v>002502827</v>
      </c>
      <c r="B8994" t="str">
        <f>"1548596166"</f>
        <v>1548596166</v>
      </c>
      <c r="C8994" t="str">
        <f>"363A00000X"</f>
        <v>363A00000X</v>
      </c>
      <c r="D8994" t="str">
        <f>"DYKES                    MATTHEW      G           "</f>
        <v xml:space="preserve">DYKES                    MATTHEW      G           </v>
      </c>
      <c r="E8994" t="str">
        <f>"PASCAGOULA                "</f>
        <v xml:space="preserve">PASCAGOULA                </v>
      </c>
      <c r="F8994" t="str">
        <f t="shared" si="266"/>
        <v>MS</v>
      </c>
    </row>
    <row r="8995" spans="1:6" x14ac:dyDescent="0.25">
      <c r="A8995" t="str">
        <f>"002503001"</f>
        <v>002503001</v>
      </c>
      <c r="B8995" t="str">
        <f>"1164893921"</f>
        <v>1164893921</v>
      </c>
      <c r="C8995" t="str">
        <f>"363L00000X"</f>
        <v>363L00000X</v>
      </c>
      <c r="D8995" t="str">
        <f>"SLATER                   ANGELA       H           "</f>
        <v xml:space="preserve">SLATER                   ANGELA       H           </v>
      </c>
      <c r="E8995" t="str">
        <f>"JACKSON                   "</f>
        <v xml:space="preserve">JACKSON                   </v>
      </c>
      <c r="F8995" t="str">
        <f t="shared" si="266"/>
        <v>MS</v>
      </c>
    </row>
    <row r="8996" spans="1:6" x14ac:dyDescent="0.25">
      <c r="A8996" t="str">
        <f>"002503257"</f>
        <v>002503257</v>
      </c>
      <c r="B8996" t="str">
        <f>"1295106326"</f>
        <v>1295106326</v>
      </c>
      <c r="C8996" t="str">
        <f>"363L00000X"</f>
        <v>363L00000X</v>
      </c>
      <c r="D8996" t="str">
        <f>"FAULKNER                 CONSTANCE    D           "</f>
        <v xml:space="preserve">FAULKNER                 CONSTANCE    D           </v>
      </c>
      <c r="E8996" t="str">
        <f>"CARTHAGE                  "</f>
        <v xml:space="preserve">CARTHAGE                  </v>
      </c>
      <c r="F8996" t="str">
        <f t="shared" si="266"/>
        <v>MS</v>
      </c>
    </row>
    <row r="8997" spans="1:6" x14ac:dyDescent="0.25">
      <c r="A8997" t="str">
        <f>"002504301"</f>
        <v>002504301</v>
      </c>
      <c r="B8997" t="str">
        <f>"1720428121"</f>
        <v>1720428121</v>
      </c>
      <c r="C8997" t="str">
        <f>"207R00000X"</f>
        <v>207R00000X</v>
      </c>
      <c r="D8997" t="str">
        <f>"ALDRED                   L WESLEY                 "</f>
        <v xml:space="preserve">ALDRED                   L WESLEY                 </v>
      </c>
      <c r="E8997" t="str">
        <f>"HATTIESBURG               "</f>
        <v xml:space="preserve">HATTIESBURG               </v>
      </c>
      <c r="F8997" t="str">
        <f t="shared" si="266"/>
        <v>MS</v>
      </c>
    </row>
    <row r="8998" spans="1:6" x14ac:dyDescent="0.25">
      <c r="A8998" t="str">
        <f>"002505046"</f>
        <v>002505046</v>
      </c>
      <c r="B8998" t="str">
        <f>"1205082138"</f>
        <v>1205082138</v>
      </c>
      <c r="C8998" t="str">
        <f>"152W00000X"</f>
        <v>152W00000X</v>
      </c>
      <c r="D8998" t="str">
        <f>"LATCH                    KATHRYN      N           "</f>
        <v xml:space="preserve">LATCH                    KATHRYN      N           </v>
      </c>
      <c r="E8998" t="str">
        <f>"OCEAN SPRINGS             "</f>
        <v xml:space="preserve">OCEAN SPRINGS             </v>
      </c>
      <c r="F8998" t="str">
        <f t="shared" si="266"/>
        <v>MS</v>
      </c>
    </row>
    <row r="8999" spans="1:6" x14ac:dyDescent="0.25">
      <c r="A8999" t="str">
        <f>"002505821"</f>
        <v>002505821</v>
      </c>
      <c r="B8999" t="str">
        <f>"1134523830"</f>
        <v>1134523830</v>
      </c>
      <c r="C8999" t="str">
        <f>"363L00000X"</f>
        <v>363L00000X</v>
      </c>
      <c r="D8999" t="str">
        <f>"WILBANKS                 RACHAEL                  "</f>
        <v xml:space="preserve">WILBANKS                 RACHAEL                  </v>
      </c>
      <c r="E8999" t="str">
        <f>"JACKSON                   "</f>
        <v xml:space="preserve">JACKSON                   </v>
      </c>
      <c r="F8999" t="str">
        <f t="shared" si="266"/>
        <v>MS</v>
      </c>
    </row>
    <row r="9000" spans="1:6" x14ac:dyDescent="0.25">
      <c r="A9000" t="str">
        <f>"002506298"</f>
        <v>002506298</v>
      </c>
      <c r="B9000" t="str">
        <f>"1982139184"</f>
        <v>1982139184</v>
      </c>
      <c r="C9000" t="str">
        <f>"207N00000X"</f>
        <v>207N00000X</v>
      </c>
      <c r="D9000" t="str">
        <f>"REED                     CAITLYN      T           "</f>
        <v xml:space="preserve">REED                     CAITLYN      T           </v>
      </c>
      <c r="E9000" t="str">
        <f>"JACKSON                   "</f>
        <v xml:space="preserve">JACKSON                   </v>
      </c>
      <c r="F9000" t="str">
        <f t="shared" si="266"/>
        <v>MS</v>
      </c>
    </row>
    <row r="9001" spans="1:6" x14ac:dyDescent="0.25">
      <c r="A9001" t="str">
        <f>"002508239"</f>
        <v>002508239</v>
      </c>
      <c r="B9001" t="str">
        <f>"1740502095"</f>
        <v>1740502095</v>
      </c>
      <c r="C9001" t="str">
        <f>"207R00000X"</f>
        <v>207R00000X</v>
      </c>
      <c r="D9001" t="str">
        <f>"EARLES                   AARON        C           "</f>
        <v xml:space="preserve">EARLES                   AARON        C           </v>
      </c>
      <c r="E9001" t="str">
        <f>"CORINTH                   "</f>
        <v xml:space="preserve">CORINTH                   </v>
      </c>
      <c r="F9001" t="str">
        <f t="shared" si="266"/>
        <v>MS</v>
      </c>
    </row>
    <row r="9002" spans="1:6" x14ac:dyDescent="0.25">
      <c r="A9002" t="str">
        <f>"002508247"</f>
        <v>002508247</v>
      </c>
      <c r="B9002" t="str">
        <f>"1205288495"</f>
        <v>1205288495</v>
      </c>
      <c r="C9002" t="str">
        <f>"363L00000X"</f>
        <v>363L00000X</v>
      </c>
      <c r="D9002" t="str">
        <f>"MOONEY                   KELLI        P           "</f>
        <v xml:space="preserve">MOONEY                   KELLI        P           </v>
      </c>
      <c r="E9002" t="str">
        <f>"ELLISVILLE                "</f>
        <v xml:space="preserve">ELLISVILLE                </v>
      </c>
      <c r="F9002" t="str">
        <f t="shared" si="266"/>
        <v>MS</v>
      </c>
    </row>
    <row r="9003" spans="1:6" x14ac:dyDescent="0.25">
      <c r="A9003" t="str">
        <f>"002508339"</f>
        <v>002508339</v>
      </c>
      <c r="B9003" t="str">
        <f>"1679061840"</f>
        <v>1679061840</v>
      </c>
      <c r="C9003" t="str">
        <f>"207R00000X"</f>
        <v>207R00000X</v>
      </c>
      <c r="D9003" t="str">
        <f>"TIERNEY                  MEGAN                    "</f>
        <v xml:space="preserve">TIERNEY                  MEGAN                    </v>
      </c>
      <c r="E9003" t="str">
        <f>"OXFORD                    "</f>
        <v xml:space="preserve">OXFORD                    </v>
      </c>
      <c r="F9003" t="str">
        <f t="shared" si="266"/>
        <v>MS</v>
      </c>
    </row>
    <row r="9004" spans="1:6" x14ac:dyDescent="0.25">
      <c r="A9004" t="str">
        <f>"002509396"</f>
        <v>002509396</v>
      </c>
      <c r="B9004" t="str">
        <f>"1033531942"</f>
        <v>1033531942</v>
      </c>
      <c r="C9004" t="str">
        <f>"363L00000X"</f>
        <v>363L00000X</v>
      </c>
      <c r="D9004" t="str">
        <f>"SETTLEMIRES              SHELIA       G           "</f>
        <v xml:space="preserve">SETTLEMIRES              SHELIA       G           </v>
      </c>
      <c r="E9004" t="str">
        <f>"CORINTH                   "</f>
        <v xml:space="preserve">CORINTH                   </v>
      </c>
      <c r="F9004" t="str">
        <f t="shared" si="266"/>
        <v>MS</v>
      </c>
    </row>
    <row r="9005" spans="1:6" x14ac:dyDescent="0.25">
      <c r="A9005" t="str">
        <f>"002520201"</f>
        <v>002520201</v>
      </c>
      <c r="B9005" t="str">
        <f>"1396217345"</f>
        <v>1396217345</v>
      </c>
      <c r="C9005" t="str">
        <f>"363L00000X"</f>
        <v>363L00000X</v>
      </c>
      <c r="D9005" t="str">
        <f>"SNODGRASS                DAVID        L           "</f>
        <v xml:space="preserve">SNODGRASS                DAVID        L           </v>
      </c>
      <c r="E9005" t="str">
        <f>"HATTIESBURG               "</f>
        <v xml:space="preserve">HATTIESBURG               </v>
      </c>
      <c r="F9005" t="str">
        <f t="shared" si="266"/>
        <v>MS</v>
      </c>
    </row>
    <row r="9006" spans="1:6" x14ac:dyDescent="0.25">
      <c r="A9006" t="str">
        <f>"002520744"</f>
        <v>002520744</v>
      </c>
      <c r="B9006" t="str">
        <f>"1376670570"</f>
        <v>1376670570</v>
      </c>
      <c r="C9006" t="str">
        <f>"363L00000X"</f>
        <v>363L00000X</v>
      </c>
      <c r="D9006" t="str">
        <f>"WHITE                    KALA         N           "</f>
        <v xml:space="preserve">WHITE                    KALA         N           </v>
      </c>
      <c r="E9006" t="str">
        <f>"COLUMBUS                  "</f>
        <v xml:space="preserve">COLUMBUS                  </v>
      </c>
      <c r="F9006" t="str">
        <f t="shared" si="266"/>
        <v>MS</v>
      </c>
    </row>
    <row r="9007" spans="1:6" x14ac:dyDescent="0.25">
      <c r="A9007" t="str">
        <f>"002521077"</f>
        <v>002521077</v>
      </c>
      <c r="B9007" t="str">
        <f>"1356886634"</f>
        <v>1356886634</v>
      </c>
      <c r="C9007" t="str">
        <f>"261QR1300X"</f>
        <v>261QR1300X</v>
      </c>
      <c r="D9007" t="str">
        <f>"CHILDRENS INTERNATIONAL MEDICAL GRO               "</f>
        <v xml:space="preserve">CHILDRENS INTERNATIONAL MEDICAL GRO               </v>
      </c>
      <c r="E9007" t="str">
        <f>"PICAYUNE                  "</f>
        <v xml:space="preserve">PICAYUNE                  </v>
      </c>
      <c r="F9007" t="str">
        <f t="shared" si="266"/>
        <v>MS</v>
      </c>
    </row>
    <row r="9008" spans="1:6" x14ac:dyDescent="0.25">
      <c r="A9008" t="str">
        <f>"002521207"</f>
        <v>002521207</v>
      </c>
      <c r="B9008" t="str">
        <f>"1265999247"</f>
        <v>1265999247</v>
      </c>
      <c r="C9008" t="str">
        <f>"363L00000X"</f>
        <v>363L00000X</v>
      </c>
      <c r="D9008" t="str">
        <f>"ELDRIDGE                 KIMBERLY     L           "</f>
        <v xml:space="preserve">ELDRIDGE                 KIMBERLY     L           </v>
      </c>
      <c r="E9008" t="str">
        <f>"CHOCTAW                   "</f>
        <v xml:space="preserve">CHOCTAW                   </v>
      </c>
      <c r="F9008" t="str">
        <f t="shared" si="266"/>
        <v>MS</v>
      </c>
    </row>
    <row r="9009" spans="1:6" x14ac:dyDescent="0.25">
      <c r="A9009" t="str">
        <f>"002521227"</f>
        <v>002521227</v>
      </c>
      <c r="B9009" t="str">
        <f>"1871555011"</f>
        <v>1871555011</v>
      </c>
      <c r="C9009" t="str">
        <f>"363L00000X"</f>
        <v>363L00000X</v>
      </c>
      <c r="D9009" t="str">
        <f>"JOYNER                   CHRISTINA    C           "</f>
        <v xml:space="preserve">JOYNER                   CHRISTINA    C           </v>
      </c>
      <c r="E9009" t="str">
        <f>"HOLLY SPRINGS             "</f>
        <v xml:space="preserve">HOLLY SPRINGS             </v>
      </c>
      <c r="F9009" t="str">
        <f t="shared" si="266"/>
        <v>MS</v>
      </c>
    </row>
    <row r="9010" spans="1:6" x14ac:dyDescent="0.25">
      <c r="A9010" t="str">
        <f>"002523220"</f>
        <v>002523220</v>
      </c>
      <c r="B9010" t="str">
        <f>"1467078790"</f>
        <v>1467078790</v>
      </c>
      <c r="C9010" t="str">
        <f>"363L00000X"</f>
        <v>363L00000X</v>
      </c>
      <c r="D9010" t="str">
        <f>"PORTERFIELD              CARRIE       M           "</f>
        <v xml:space="preserve">PORTERFIELD              CARRIE       M           </v>
      </c>
      <c r="E9010" t="str">
        <f>"CORINTH                   "</f>
        <v xml:space="preserve">CORINTH                   </v>
      </c>
      <c r="F9010" t="str">
        <f t="shared" si="266"/>
        <v>MS</v>
      </c>
    </row>
    <row r="9011" spans="1:6" x14ac:dyDescent="0.25">
      <c r="A9011" t="str">
        <f>"002524767"</f>
        <v>002524767</v>
      </c>
      <c r="B9011" t="str">
        <f>"1801310768"</f>
        <v>1801310768</v>
      </c>
      <c r="C9011" t="str">
        <f>"261QA1903X"</f>
        <v>261QA1903X</v>
      </c>
      <c r="D9011" t="str">
        <f>"HATTIESBURG CLINIC NEPHROLOGY VASCU               "</f>
        <v xml:space="preserve">HATTIESBURG CLINIC NEPHROLOGY VASCU               </v>
      </c>
      <c r="E9011" t="str">
        <f>"HATTIESBURG               "</f>
        <v xml:space="preserve">HATTIESBURG               </v>
      </c>
      <c r="F9011" t="str">
        <f t="shared" si="266"/>
        <v>MS</v>
      </c>
    </row>
    <row r="9012" spans="1:6" x14ac:dyDescent="0.25">
      <c r="A9012" t="str">
        <f>"002525365"</f>
        <v>002525365</v>
      </c>
      <c r="B9012" t="str">
        <f>"1982809687"</f>
        <v>1982809687</v>
      </c>
      <c r="C9012" t="str">
        <f>"367500000X"</f>
        <v>367500000X</v>
      </c>
      <c r="D9012" t="str">
        <f>"HAMMETT                  JOHN         H           "</f>
        <v xml:space="preserve">HAMMETT                  JOHN         H           </v>
      </c>
      <c r="E9012" t="str">
        <f>"JACKSON                   "</f>
        <v xml:space="preserve">JACKSON                   </v>
      </c>
      <c r="F9012" t="str">
        <f t="shared" si="266"/>
        <v>MS</v>
      </c>
    </row>
    <row r="9013" spans="1:6" x14ac:dyDescent="0.25">
      <c r="A9013" t="str">
        <f>"002525803"</f>
        <v>002525803</v>
      </c>
      <c r="B9013" t="str">
        <f>"1164949624"</f>
        <v>1164949624</v>
      </c>
      <c r="C9013" t="str">
        <f>"261QR1300X"</f>
        <v>261QR1300X</v>
      </c>
      <c r="D9013" t="str">
        <f>"TIPPAH COUNTY HEALTH CLINIC                       "</f>
        <v xml:space="preserve">TIPPAH COUNTY HEALTH CLINIC                       </v>
      </c>
      <c r="E9013" t="str">
        <f>"RIPLEY                    "</f>
        <v xml:space="preserve">RIPLEY                    </v>
      </c>
      <c r="F9013" t="str">
        <f t="shared" si="266"/>
        <v>MS</v>
      </c>
    </row>
    <row r="9014" spans="1:6" x14ac:dyDescent="0.25">
      <c r="A9014" t="str">
        <f>"002526790"</f>
        <v>002526790</v>
      </c>
      <c r="B9014" t="str">
        <f>"1386939478"</f>
        <v>1386939478</v>
      </c>
      <c r="C9014" t="str">
        <f>"207ZP0102X"</f>
        <v>207ZP0102X</v>
      </c>
      <c r="D9014" t="str">
        <f>"OKUN                     SHERRY       D           "</f>
        <v xml:space="preserve">OKUN                     SHERRY       D           </v>
      </c>
      <c r="E9014" t="str">
        <f>"TUPELO                    "</f>
        <v xml:space="preserve">TUPELO                    </v>
      </c>
      <c r="F9014" t="str">
        <f t="shared" si="266"/>
        <v>MS</v>
      </c>
    </row>
    <row r="9015" spans="1:6" x14ac:dyDescent="0.25">
      <c r="A9015" t="str">
        <f>"002528740"</f>
        <v>002528740</v>
      </c>
      <c r="B9015" t="str">
        <f>"1528263936"</f>
        <v>1528263936</v>
      </c>
      <c r="C9015" t="str">
        <f>"208800000X"</f>
        <v>208800000X</v>
      </c>
      <c r="D9015" t="str">
        <f>"ADAMS JR                 JOHN         D           "</f>
        <v xml:space="preserve">ADAMS JR                 JOHN         D           </v>
      </c>
      <c r="E9015" t="str">
        <f>"JACKSON                   "</f>
        <v xml:space="preserve">JACKSON                   </v>
      </c>
      <c r="F9015" t="str">
        <f t="shared" si="266"/>
        <v>MS</v>
      </c>
    </row>
    <row r="9016" spans="1:6" x14ac:dyDescent="0.25">
      <c r="A9016" t="str">
        <f>"002529271"</f>
        <v>002529271</v>
      </c>
      <c r="B9016" t="str">
        <f>"1700972148"</f>
        <v>1700972148</v>
      </c>
      <c r="C9016" t="str">
        <f>"207P00000X"</f>
        <v>207P00000X</v>
      </c>
      <c r="D9016" t="str">
        <f>"REED                     SCOTTY                   "</f>
        <v xml:space="preserve">REED                     SCOTTY                   </v>
      </c>
      <c r="E9016" t="str">
        <f>"TUPELO                    "</f>
        <v xml:space="preserve">TUPELO                    </v>
      </c>
      <c r="F9016" t="str">
        <f t="shared" si="266"/>
        <v>MS</v>
      </c>
    </row>
    <row r="9017" spans="1:6" x14ac:dyDescent="0.25">
      <c r="A9017" t="str">
        <f>"002530569"</f>
        <v>002530569</v>
      </c>
      <c r="B9017" t="str">
        <f>"1255748604"</f>
        <v>1255748604</v>
      </c>
      <c r="C9017" t="str">
        <f>"363A00000X"</f>
        <v>363A00000X</v>
      </c>
      <c r="D9017" t="str">
        <f>"WASHBURN III             DONALD       W           "</f>
        <v xml:space="preserve">WASHBURN III             DONALD       W           </v>
      </c>
      <c r="E9017" t="str">
        <f>"SOUTHAVEN                 "</f>
        <v xml:space="preserve">SOUTHAVEN                 </v>
      </c>
      <c r="F9017" t="str">
        <f t="shared" si="266"/>
        <v>MS</v>
      </c>
    </row>
    <row r="9018" spans="1:6" x14ac:dyDescent="0.25">
      <c r="A9018" t="str">
        <f>"002531748"</f>
        <v>002531748</v>
      </c>
      <c r="B9018" t="str">
        <f>"1639501380"</f>
        <v>1639501380</v>
      </c>
      <c r="C9018" t="str">
        <f>"363L00000X"</f>
        <v>363L00000X</v>
      </c>
      <c r="D9018" t="str">
        <f>"THOMPSON                 TYLER        W           "</f>
        <v xml:space="preserve">THOMPSON                 TYLER        W           </v>
      </c>
      <c r="E9018" t="str">
        <f>"BROOKHAVEN                "</f>
        <v xml:space="preserve">BROOKHAVEN                </v>
      </c>
      <c r="F9018" t="str">
        <f t="shared" si="266"/>
        <v>MS</v>
      </c>
    </row>
    <row r="9019" spans="1:6" x14ac:dyDescent="0.25">
      <c r="A9019" t="str">
        <f>"002532511"</f>
        <v>002532511</v>
      </c>
      <c r="B9019" t="str">
        <f>"1932762598"</f>
        <v>1932762598</v>
      </c>
      <c r="C9019" t="str">
        <f>"208600000X"</f>
        <v>208600000X</v>
      </c>
      <c r="D9019" t="str">
        <f>"WOOD                     ROBERT       P           "</f>
        <v xml:space="preserve">WOOD                     ROBERT       P           </v>
      </c>
      <c r="E9019" t="str">
        <f>"MERIDIAN                  "</f>
        <v xml:space="preserve">MERIDIAN                  </v>
      </c>
      <c r="F9019" t="str">
        <f t="shared" si="266"/>
        <v>MS</v>
      </c>
    </row>
    <row r="9020" spans="1:6" x14ac:dyDescent="0.25">
      <c r="A9020" t="str">
        <f>"002533055"</f>
        <v>002533055</v>
      </c>
      <c r="B9020" t="str">
        <f>"1902055197"</f>
        <v>1902055197</v>
      </c>
      <c r="C9020" t="str">
        <f>"363L00000X"</f>
        <v>363L00000X</v>
      </c>
      <c r="D9020" t="str">
        <f>"MOORE                    NATALIE                  "</f>
        <v xml:space="preserve">MOORE                    NATALIE                  </v>
      </c>
      <c r="E9020" t="str">
        <f>"BATESVILLE                "</f>
        <v xml:space="preserve">BATESVILLE                </v>
      </c>
      <c r="F9020" t="str">
        <f t="shared" si="266"/>
        <v>MS</v>
      </c>
    </row>
    <row r="9021" spans="1:6" x14ac:dyDescent="0.25">
      <c r="A9021" t="str">
        <f>"002536323"</f>
        <v>002536323</v>
      </c>
      <c r="B9021" t="str">
        <f>"1194050153"</f>
        <v>1194050153</v>
      </c>
      <c r="C9021" t="str">
        <f>"363L00000X"</f>
        <v>363L00000X</v>
      </c>
      <c r="D9021" t="str">
        <f>"SCHWEITZER               TERESA                   "</f>
        <v xml:space="preserve">SCHWEITZER               TERESA                   </v>
      </c>
      <c r="E9021" t="str">
        <f>"KOSCIUSKO                 "</f>
        <v xml:space="preserve">KOSCIUSKO                 </v>
      </c>
      <c r="F9021" t="str">
        <f t="shared" si="266"/>
        <v>MS</v>
      </c>
    </row>
    <row r="9022" spans="1:6" x14ac:dyDescent="0.25">
      <c r="A9022" t="str">
        <f>"002537243"</f>
        <v>002537243</v>
      </c>
      <c r="B9022" t="str">
        <f>"1235447533"</f>
        <v>1235447533</v>
      </c>
      <c r="C9022" t="str">
        <f>"367500000X"</f>
        <v>367500000X</v>
      </c>
      <c r="D9022" t="str">
        <f>"MAUCK                    JODIE        B           "</f>
        <v xml:space="preserve">MAUCK                    JODIE        B           </v>
      </c>
      <c r="E9022" t="str">
        <f>"COLUMBUS                  "</f>
        <v xml:space="preserve">COLUMBUS                  </v>
      </c>
      <c r="F9022" t="str">
        <f t="shared" ref="F9022:F9085" si="267">"MS"</f>
        <v>MS</v>
      </c>
    </row>
    <row r="9023" spans="1:6" x14ac:dyDescent="0.25">
      <c r="A9023" t="str">
        <f>"002538861"</f>
        <v>002538861</v>
      </c>
      <c r="B9023" t="str">
        <f>"1518522283"</f>
        <v>1518522283</v>
      </c>
      <c r="C9023" t="str">
        <f>"363L00000X"</f>
        <v>363L00000X</v>
      </c>
      <c r="D9023" t="str">
        <f>"PENDERGRASS              BRIANNA                  "</f>
        <v xml:space="preserve">PENDERGRASS              BRIANNA                  </v>
      </c>
      <c r="E9023" t="str">
        <f>"FLOWOOD                   "</f>
        <v xml:space="preserve">FLOWOOD                   </v>
      </c>
      <c r="F9023" t="str">
        <f t="shared" si="267"/>
        <v>MS</v>
      </c>
    </row>
    <row r="9024" spans="1:6" x14ac:dyDescent="0.25">
      <c r="A9024" t="str">
        <f>"002551029"</f>
        <v>002551029</v>
      </c>
      <c r="B9024" t="str">
        <f>"1073545554"</f>
        <v>1073545554</v>
      </c>
      <c r="C9024" t="str">
        <f>"208D00000X"</f>
        <v>208D00000X</v>
      </c>
      <c r="D9024" t="str">
        <f>"PICKUS                   EVAN         J           "</f>
        <v xml:space="preserve">PICKUS                   EVAN         J           </v>
      </c>
      <c r="E9024" t="str">
        <f>"HAZLEHURST                "</f>
        <v xml:space="preserve">HAZLEHURST                </v>
      </c>
      <c r="F9024" t="str">
        <f t="shared" si="267"/>
        <v>MS</v>
      </c>
    </row>
    <row r="9025" spans="1:6" x14ac:dyDescent="0.25">
      <c r="A9025" t="str">
        <f>"002551264"</f>
        <v>002551264</v>
      </c>
      <c r="B9025" t="str">
        <f>"1003469743"</f>
        <v>1003469743</v>
      </c>
      <c r="C9025" t="str">
        <f>"261QM0801X"</f>
        <v>261QM0801X</v>
      </c>
      <c r="D9025" t="str">
        <f>"URBAN REHAB INC                                   "</f>
        <v xml:space="preserve">URBAN REHAB INC                                   </v>
      </c>
      <c r="E9025" t="str">
        <f>"JACKSON                   "</f>
        <v xml:space="preserve">JACKSON                   </v>
      </c>
      <c r="F9025" t="str">
        <f t="shared" si="267"/>
        <v>MS</v>
      </c>
    </row>
    <row r="9026" spans="1:6" x14ac:dyDescent="0.25">
      <c r="A9026" t="str">
        <f>"002551364"</f>
        <v>002551364</v>
      </c>
      <c r="B9026" t="str">
        <f>"1245754498"</f>
        <v>1245754498</v>
      </c>
      <c r="C9026" t="str">
        <f>"207XX0801X"</f>
        <v>207XX0801X</v>
      </c>
      <c r="D9026" t="str">
        <f>"MORELLATO                JOHN                     "</f>
        <v xml:space="preserve">MORELLATO                JOHN                     </v>
      </c>
      <c r="E9026" t="str">
        <f>"JACKSON                   "</f>
        <v xml:space="preserve">JACKSON                   </v>
      </c>
      <c r="F9026" t="str">
        <f t="shared" si="267"/>
        <v>MS</v>
      </c>
    </row>
    <row r="9027" spans="1:6" x14ac:dyDescent="0.25">
      <c r="A9027" t="str">
        <f>"002552255"</f>
        <v>002552255</v>
      </c>
      <c r="B9027" t="str">
        <f>"1457761611"</f>
        <v>1457761611</v>
      </c>
      <c r="C9027" t="str">
        <f>"363L00000X"</f>
        <v>363L00000X</v>
      </c>
      <c r="D9027" t="str">
        <f>"EASTER                   SABRINA      G           "</f>
        <v xml:space="preserve">EASTER                   SABRINA      G           </v>
      </c>
      <c r="E9027" t="str">
        <f>"TUTWILER                  "</f>
        <v xml:space="preserve">TUTWILER                  </v>
      </c>
      <c r="F9027" t="str">
        <f t="shared" si="267"/>
        <v>MS</v>
      </c>
    </row>
    <row r="9028" spans="1:6" x14ac:dyDescent="0.25">
      <c r="A9028" t="str">
        <f>"002553027"</f>
        <v>002553027</v>
      </c>
      <c r="B9028" t="str">
        <f>"1710315387"</f>
        <v>1710315387</v>
      </c>
      <c r="C9028" t="str">
        <f>"363L00000X"</f>
        <v>363L00000X</v>
      </c>
      <c r="D9028" t="str">
        <f>"KOHLIEM                  CYNTHIA      R           "</f>
        <v xml:space="preserve">KOHLIEM                  CYNTHIA      R           </v>
      </c>
      <c r="E9028" t="str">
        <f>"SALTILLO                  "</f>
        <v xml:space="preserve">SALTILLO                  </v>
      </c>
      <c r="F9028" t="str">
        <f t="shared" si="267"/>
        <v>MS</v>
      </c>
    </row>
    <row r="9029" spans="1:6" x14ac:dyDescent="0.25">
      <c r="A9029" t="str">
        <f>"002554032"</f>
        <v>002554032</v>
      </c>
      <c r="B9029" t="str">
        <f>"1346684826"</f>
        <v>1346684826</v>
      </c>
      <c r="C9029" t="str">
        <f>"261QF0400X"</f>
        <v>261QF0400X</v>
      </c>
      <c r="D9029" t="str">
        <f>"JACKSON-HINDS COMPREHENSIVE HEALTH                "</f>
        <v xml:space="preserve">JACKSON-HINDS COMPREHENSIVE HEALTH                </v>
      </c>
      <c r="E9029" t="str">
        <f>"EDWARDS                   "</f>
        <v xml:space="preserve">EDWARDS                   </v>
      </c>
      <c r="F9029" t="str">
        <f t="shared" si="267"/>
        <v>MS</v>
      </c>
    </row>
    <row r="9030" spans="1:6" x14ac:dyDescent="0.25">
      <c r="A9030" t="str">
        <f>"002555049"</f>
        <v>002555049</v>
      </c>
      <c r="B9030" t="str">
        <f>"1326558388"</f>
        <v>1326558388</v>
      </c>
      <c r="C9030" t="str">
        <f>"363L00000X"</f>
        <v>363L00000X</v>
      </c>
      <c r="D9030" t="str">
        <f>"REMILLARD                JEREMY                   "</f>
        <v xml:space="preserve">REMILLARD                JEREMY                   </v>
      </c>
      <c r="E9030" t="str">
        <f>"HATTIESBURG               "</f>
        <v xml:space="preserve">HATTIESBURG               </v>
      </c>
      <c r="F9030" t="str">
        <f t="shared" si="267"/>
        <v>MS</v>
      </c>
    </row>
    <row r="9031" spans="1:6" x14ac:dyDescent="0.25">
      <c r="A9031" t="str">
        <f>"002555521"</f>
        <v>002555521</v>
      </c>
      <c r="B9031" t="str">
        <f>"1720562226"</f>
        <v>1720562226</v>
      </c>
      <c r="C9031" t="str">
        <f>"363L00000X"</f>
        <v>363L00000X</v>
      </c>
      <c r="D9031" t="str">
        <f>"MAHAN                    AMANDA       B           "</f>
        <v xml:space="preserve">MAHAN                    AMANDA       B           </v>
      </c>
      <c r="E9031" t="str">
        <f>"VARDAMAN                  "</f>
        <v xml:space="preserve">VARDAMAN                  </v>
      </c>
      <c r="F9031" t="str">
        <f t="shared" si="267"/>
        <v>MS</v>
      </c>
    </row>
    <row r="9032" spans="1:6" x14ac:dyDescent="0.25">
      <c r="A9032" t="str">
        <f>"002555568"</f>
        <v>002555568</v>
      </c>
      <c r="B9032" t="str">
        <f>"1164411815"</f>
        <v>1164411815</v>
      </c>
      <c r="C9032" t="str">
        <f>"207RN0300X"</f>
        <v>207RN0300X</v>
      </c>
      <c r="D9032" t="str">
        <f>"SOUDAN                   KHALDOUN                 "</f>
        <v xml:space="preserve">SOUDAN                   KHALDOUN                 </v>
      </c>
      <c r="E9032" t="str">
        <f>"NATCHEZ                   "</f>
        <v xml:space="preserve">NATCHEZ                   </v>
      </c>
      <c r="F9032" t="str">
        <f t="shared" si="267"/>
        <v>MS</v>
      </c>
    </row>
    <row r="9033" spans="1:6" x14ac:dyDescent="0.25">
      <c r="A9033" t="str">
        <f>"002555889"</f>
        <v>002555889</v>
      </c>
      <c r="B9033" t="str">
        <f>"1558872929"</f>
        <v>1558872929</v>
      </c>
      <c r="C9033" t="str">
        <f>"363L00000X"</f>
        <v>363L00000X</v>
      </c>
      <c r="D9033" t="str">
        <f>"ROGERS                   LAURA                    "</f>
        <v xml:space="preserve">ROGERS                   LAURA                    </v>
      </c>
      <c r="E9033" t="str">
        <f>"GULFPORT                  "</f>
        <v xml:space="preserve">GULFPORT                  </v>
      </c>
      <c r="F9033" t="str">
        <f t="shared" si="267"/>
        <v>MS</v>
      </c>
    </row>
    <row r="9034" spans="1:6" x14ac:dyDescent="0.25">
      <c r="A9034" t="str">
        <f>"002556063"</f>
        <v>002556063</v>
      </c>
      <c r="B9034" t="str">
        <f>"1306423850"</f>
        <v>1306423850</v>
      </c>
      <c r="C9034" t="str">
        <f>"207R00000X"</f>
        <v>207R00000X</v>
      </c>
      <c r="D9034" t="str">
        <f>"PARKER                   KIRBY                    "</f>
        <v xml:space="preserve">PARKER                   KIRBY                    </v>
      </c>
      <c r="E9034" t="str">
        <f>"JACKSON                   "</f>
        <v xml:space="preserve">JACKSON                   </v>
      </c>
      <c r="F9034" t="str">
        <f t="shared" si="267"/>
        <v>MS</v>
      </c>
    </row>
    <row r="9035" spans="1:6" x14ac:dyDescent="0.25">
      <c r="A9035" t="str">
        <f>"002556221"</f>
        <v>002556221</v>
      </c>
      <c r="B9035" t="str">
        <f>"1619943503"</f>
        <v>1619943503</v>
      </c>
      <c r="C9035" t="str">
        <f>"207Q00000X"</f>
        <v>207Q00000X</v>
      </c>
      <c r="D9035" t="str">
        <f>"HOGUE                    MICHAEL      S           "</f>
        <v xml:space="preserve">HOGUE                    MICHAEL      S           </v>
      </c>
      <c r="E9035" t="str">
        <f>"JACKSON                   "</f>
        <v xml:space="preserve">JACKSON                   </v>
      </c>
      <c r="F9035" t="str">
        <f t="shared" si="267"/>
        <v>MS</v>
      </c>
    </row>
    <row r="9036" spans="1:6" x14ac:dyDescent="0.25">
      <c r="A9036" t="str">
        <f>"002556302"</f>
        <v>002556302</v>
      </c>
      <c r="B9036" t="str">
        <f>"1578037172"</f>
        <v>1578037172</v>
      </c>
      <c r="C9036" t="str">
        <f>"363L00000X"</f>
        <v>363L00000X</v>
      </c>
      <c r="D9036" t="str">
        <f>"HENLEY                   JENNIFER     N           "</f>
        <v xml:space="preserve">HENLEY                   JENNIFER     N           </v>
      </c>
      <c r="E9036" t="str">
        <f>"JACKSON                   "</f>
        <v xml:space="preserve">JACKSON                   </v>
      </c>
      <c r="F9036" t="str">
        <f t="shared" si="267"/>
        <v>MS</v>
      </c>
    </row>
    <row r="9037" spans="1:6" x14ac:dyDescent="0.25">
      <c r="A9037" t="str">
        <f>"002558295"</f>
        <v>002558295</v>
      </c>
      <c r="B9037" t="str">
        <f>"1710425913"</f>
        <v>1710425913</v>
      </c>
      <c r="C9037" t="str">
        <f>"261QA1903X"</f>
        <v>261QA1903X</v>
      </c>
      <c r="D9037" t="str">
        <f>"FLOWOOD VASCULAR ACCESS ASC LLC                   "</f>
        <v xml:space="preserve">FLOWOOD VASCULAR ACCESS ASC LLC                   </v>
      </c>
      <c r="E9037" t="str">
        <f>"FLOWOOD                   "</f>
        <v xml:space="preserve">FLOWOOD                   </v>
      </c>
      <c r="F9037" t="str">
        <f t="shared" si="267"/>
        <v>MS</v>
      </c>
    </row>
    <row r="9038" spans="1:6" x14ac:dyDescent="0.25">
      <c r="A9038" t="str">
        <f>"002559593"</f>
        <v>002559593</v>
      </c>
      <c r="B9038" t="str">
        <f>"1922237411"</f>
        <v>1922237411</v>
      </c>
      <c r="C9038" t="str">
        <f>"207R00000X"</f>
        <v>207R00000X</v>
      </c>
      <c r="D9038" t="str">
        <f>"PIERCE                   SAMUEL                   "</f>
        <v xml:space="preserve">PIERCE                   SAMUEL                   </v>
      </c>
      <c r="E9038" t="str">
        <f>"VICKSBURG                 "</f>
        <v xml:space="preserve">VICKSBURG                 </v>
      </c>
      <c r="F9038" t="str">
        <f t="shared" si="267"/>
        <v>MS</v>
      </c>
    </row>
    <row r="9039" spans="1:6" x14ac:dyDescent="0.25">
      <c r="A9039" t="str">
        <f>"002571062"</f>
        <v>002571062</v>
      </c>
      <c r="B9039" t="str">
        <f>"1205148459"</f>
        <v>1205148459</v>
      </c>
      <c r="C9039" t="str">
        <f>"207Q00000X"</f>
        <v>207Q00000X</v>
      </c>
      <c r="D9039" t="str">
        <f>"UNDERWOOD                EVAN         L           "</f>
        <v xml:space="preserve">UNDERWOOD                EVAN         L           </v>
      </c>
      <c r="E9039" t="str">
        <f>"JACKSON                   "</f>
        <v xml:space="preserve">JACKSON                   </v>
      </c>
      <c r="F9039" t="str">
        <f t="shared" si="267"/>
        <v>MS</v>
      </c>
    </row>
    <row r="9040" spans="1:6" x14ac:dyDescent="0.25">
      <c r="A9040" t="str">
        <f>"002572389"</f>
        <v>002572389</v>
      </c>
      <c r="B9040" t="str">
        <f>"1124208442"</f>
        <v>1124208442</v>
      </c>
      <c r="C9040" t="str">
        <f>"207RP1001X"</f>
        <v>207RP1001X</v>
      </c>
      <c r="D9040" t="str">
        <f>"MILLER                   STACEY       M           "</f>
        <v xml:space="preserve">MILLER                   STACEY       M           </v>
      </c>
      <c r="E9040" t="str">
        <f>"OXFORD                    "</f>
        <v xml:space="preserve">OXFORD                    </v>
      </c>
      <c r="F9040" t="str">
        <f t="shared" si="267"/>
        <v>MS</v>
      </c>
    </row>
    <row r="9041" spans="1:6" x14ac:dyDescent="0.25">
      <c r="A9041" t="str">
        <f>"002576323"</f>
        <v>002576323</v>
      </c>
      <c r="B9041" t="str">
        <f>"1083707814"</f>
        <v>1083707814</v>
      </c>
      <c r="C9041" t="str">
        <f>"367500000X"</f>
        <v>367500000X</v>
      </c>
      <c r="D9041" t="str">
        <f>"SUNDLAND                 KIMBERLY     A           "</f>
        <v xml:space="preserve">SUNDLAND                 KIMBERLY     A           </v>
      </c>
      <c r="E9041" t="str">
        <f>"LAUREL                    "</f>
        <v xml:space="preserve">LAUREL                    </v>
      </c>
      <c r="F9041" t="str">
        <f t="shared" si="267"/>
        <v>MS</v>
      </c>
    </row>
    <row r="9042" spans="1:6" x14ac:dyDescent="0.25">
      <c r="A9042" t="str">
        <f>"002576526"</f>
        <v>002576526</v>
      </c>
      <c r="B9042" t="str">
        <f>"1669002333"</f>
        <v>1669002333</v>
      </c>
      <c r="C9042" t="str">
        <f>"363L00000X"</f>
        <v>363L00000X</v>
      </c>
      <c r="D9042" t="str">
        <f>"MEAUT                    LAUREN       R           "</f>
        <v xml:space="preserve">MEAUT                    LAUREN       R           </v>
      </c>
      <c r="E9042" t="str">
        <f>"BILOXI                    "</f>
        <v xml:space="preserve">BILOXI                    </v>
      </c>
      <c r="F9042" t="str">
        <f t="shared" si="267"/>
        <v>MS</v>
      </c>
    </row>
    <row r="9043" spans="1:6" x14ac:dyDescent="0.25">
      <c r="A9043" t="str">
        <f>"002577080"</f>
        <v>002577080</v>
      </c>
      <c r="B9043" t="str">
        <f>"1497221055"</f>
        <v>1497221055</v>
      </c>
      <c r="C9043" t="str">
        <f>"1223X0400X"</f>
        <v>1223X0400X</v>
      </c>
      <c r="D9043" t="str">
        <f>"KIMBROUGH                SARAH        B           "</f>
        <v xml:space="preserve">KIMBROUGH                SARAH        B           </v>
      </c>
      <c r="E9043" t="str">
        <f>"HATTIESBURG               "</f>
        <v xml:space="preserve">HATTIESBURG               </v>
      </c>
      <c r="F9043" t="str">
        <f t="shared" si="267"/>
        <v>MS</v>
      </c>
    </row>
    <row r="9044" spans="1:6" x14ac:dyDescent="0.25">
      <c r="A9044" t="str">
        <f>"002578592"</f>
        <v>002578592</v>
      </c>
      <c r="B9044" t="str">
        <f>"1538786090"</f>
        <v>1538786090</v>
      </c>
      <c r="C9044" t="str">
        <f>"261QR1300X"</f>
        <v>261QR1300X</v>
      </c>
      <c r="D9044" t="str">
        <f>"ESSENTIAL HEALTH &amp; WELLNESS CLINIC                "</f>
        <v xml:space="preserve">ESSENTIAL HEALTH &amp; WELLNESS CLINIC                </v>
      </c>
      <c r="E9044" t="str">
        <f>"HORN LAKE                 "</f>
        <v xml:space="preserve">HORN LAKE                 </v>
      </c>
      <c r="F9044" t="str">
        <f t="shared" si="267"/>
        <v>MS</v>
      </c>
    </row>
    <row r="9045" spans="1:6" x14ac:dyDescent="0.25">
      <c r="A9045" t="str">
        <f>"002579732"</f>
        <v>002579732</v>
      </c>
      <c r="B9045" t="str">
        <f>"1598038267"</f>
        <v>1598038267</v>
      </c>
      <c r="C9045" t="str">
        <f>"363L00000X"</f>
        <v>363L00000X</v>
      </c>
      <c r="D9045" t="str">
        <f>"HUNT                     REBECCA      Z           "</f>
        <v xml:space="preserve">HUNT                     REBECCA      Z           </v>
      </c>
      <c r="E9045" t="str">
        <f>"VICKSBURG                 "</f>
        <v xml:space="preserve">VICKSBURG                 </v>
      </c>
      <c r="F9045" t="str">
        <f t="shared" si="267"/>
        <v>MS</v>
      </c>
    </row>
    <row r="9046" spans="1:6" x14ac:dyDescent="0.25">
      <c r="A9046" t="str">
        <f>"002580205"</f>
        <v>002580205</v>
      </c>
      <c r="B9046" t="str">
        <f>"1821297961"</f>
        <v>1821297961</v>
      </c>
      <c r="C9046" t="str">
        <f>"207Q00000X"</f>
        <v>207Q00000X</v>
      </c>
      <c r="D9046" t="str">
        <f>"STOKES                   KEITH                    "</f>
        <v xml:space="preserve">STOKES                   KEITH                    </v>
      </c>
      <c r="E9046" t="str">
        <f>"NATCHEZ                   "</f>
        <v xml:space="preserve">NATCHEZ                   </v>
      </c>
      <c r="F9046" t="str">
        <f t="shared" si="267"/>
        <v>MS</v>
      </c>
    </row>
    <row r="9047" spans="1:6" x14ac:dyDescent="0.25">
      <c r="A9047" t="str">
        <f>"002581273"</f>
        <v>002581273</v>
      </c>
      <c r="B9047" t="str">
        <f>"1720375389"</f>
        <v>1720375389</v>
      </c>
      <c r="C9047" t="str">
        <f>"207R00000X"</f>
        <v>207R00000X</v>
      </c>
      <c r="D9047" t="str">
        <f>"KENCY                    JASMINE      T           "</f>
        <v xml:space="preserve">KENCY                    JASMINE      T           </v>
      </c>
      <c r="E9047" t="str">
        <f>"JACKSON                   "</f>
        <v xml:space="preserve">JACKSON                   </v>
      </c>
      <c r="F9047" t="str">
        <f t="shared" si="267"/>
        <v>MS</v>
      </c>
    </row>
    <row r="9048" spans="1:6" x14ac:dyDescent="0.25">
      <c r="A9048" t="str">
        <f>"002581770"</f>
        <v>002581770</v>
      </c>
      <c r="B9048" t="str">
        <f>"1043324809"</f>
        <v>1043324809</v>
      </c>
      <c r="C9048" t="str">
        <f>"207R00000X"</f>
        <v>207R00000X</v>
      </c>
      <c r="D9048" t="str">
        <f>"KING III                 THOMAS       E           "</f>
        <v xml:space="preserve">KING III                 THOMAS       E           </v>
      </c>
      <c r="E9048" t="str">
        <f>"HATTIESBURG               "</f>
        <v xml:space="preserve">HATTIESBURG               </v>
      </c>
      <c r="F9048" t="str">
        <f t="shared" si="267"/>
        <v>MS</v>
      </c>
    </row>
    <row r="9049" spans="1:6" x14ac:dyDescent="0.25">
      <c r="A9049" t="str">
        <f>"002582807"</f>
        <v>002582807</v>
      </c>
      <c r="B9049" t="str">
        <f>"1467764779"</f>
        <v>1467764779</v>
      </c>
      <c r="C9049" t="str">
        <f>"367500000X"</f>
        <v>367500000X</v>
      </c>
      <c r="D9049" t="str">
        <f>"BENEFIELD                AMY          E           "</f>
        <v xml:space="preserve">BENEFIELD                AMY          E           </v>
      </c>
      <c r="E9049" t="str">
        <f>"GULFPORT                  "</f>
        <v xml:space="preserve">GULFPORT                  </v>
      </c>
      <c r="F9049" t="str">
        <f t="shared" si="267"/>
        <v>MS</v>
      </c>
    </row>
    <row r="9050" spans="1:6" x14ac:dyDescent="0.25">
      <c r="A9050" t="str">
        <f>"002582868"</f>
        <v>002582868</v>
      </c>
      <c r="B9050" t="str">
        <f>"1760564660"</f>
        <v>1760564660</v>
      </c>
      <c r="C9050" t="str">
        <f>"207RP1001X"</f>
        <v>207RP1001X</v>
      </c>
      <c r="D9050" t="str">
        <f>"WILLIAMS JR              WILLIAM      T           "</f>
        <v xml:space="preserve">WILLIAMS JR              WILLIAM      T           </v>
      </c>
      <c r="E9050" t="str">
        <f>"JACKSON                   "</f>
        <v xml:space="preserve">JACKSON                   </v>
      </c>
      <c r="F9050" t="str">
        <f t="shared" si="267"/>
        <v>MS</v>
      </c>
    </row>
    <row r="9051" spans="1:6" x14ac:dyDescent="0.25">
      <c r="A9051" t="str">
        <f>"002583806"</f>
        <v>002583806</v>
      </c>
      <c r="B9051" t="str">
        <f>"1417976739"</f>
        <v>1417976739</v>
      </c>
      <c r="C9051" t="str">
        <f>"207Q00000X"</f>
        <v>207Q00000X</v>
      </c>
      <c r="D9051" t="str">
        <f>"BRYAN                    JENNIFER     J           "</f>
        <v xml:space="preserve">BRYAN                    JENNIFER     J           </v>
      </c>
      <c r="E9051" t="str">
        <f>"JACKSON                   "</f>
        <v xml:space="preserve">JACKSON                   </v>
      </c>
      <c r="F9051" t="str">
        <f t="shared" si="267"/>
        <v>MS</v>
      </c>
    </row>
    <row r="9052" spans="1:6" x14ac:dyDescent="0.25">
      <c r="A9052" t="str">
        <f>"002586306"</f>
        <v>002586306</v>
      </c>
      <c r="B9052" t="str">
        <f>"1477135267"</f>
        <v>1477135267</v>
      </c>
      <c r="C9052" t="str">
        <f>"363L00000X"</f>
        <v>363L00000X</v>
      </c>
      <c r="D9052" t="str">
        <f>"PITTMAN NELSON           CASEY                    "</f>
        <v xml:space="preserve">PITTMAN NELSON           CASEY                    </v>
      </c>
      <c r="E9052" t="str">
        <f>"GREENVILLE                "</f>
        <v xml:space="preserve">GREENVILLE                </v>
      </c>
      <c r="F9052" t="str">
        <f t="shared" si="267"/>
        <v>MS</v>
      </c>
    </row>
    <row r="9053" spans="1:6" x14ac:dyDescent="0.25">
      <c r="A9053" t="str">
        <f>"002588212"</f>
        <v>002588212</v>
      </c>
      <c r="B9053" t="str">
        <f>"1316108756"</f>
        <v>1316108756</v>
      </c>
      <c r="C9053" t="str">
        <f>"207R00000X"</f>
        <v>207R00000X</v>
      </c>
      <c r="D9053" t="str">
        <f>"CRUZ                     MARISSA      O           "</f>
        <v xml:space="preserve">CRUZ                     MARISSA      O           </v>
      </c>
      <c r="E9053" t="str">
        <f>"TUPELO                    "</f>
        <v xml:space="preserve">TUPELO                    </v>
      </c>
      <c r="F9053" t="str">
        <f t="shared" si="267"/>
        <v>MS</v>
      </c>
    </row>
    <row r="9054" spans="1:6" x14ac:dyDescent="0.25">
      <c r="A9054" t="str">
        <f>"002589083"</f>
        <v>002589083</v>
      </c>
      <c r="B9054" t="str">
        <f>"1770673683"</f>
        <v>1770673683</v>
      </c>
      <c r="C9054" t="str">
        <f>"207Q00000X"</f>
        <v>207Q00000X</v>
      </c>
      <c r="D9054" t="str">
        <f>"PERRY                    SATIRA                   "</f>
        <v xml:space="preserve">PERRY                    SATIRA                   </v>
      </c>
      <c r="E9054" t="str">
        <f>"RIDGELAND                 "</f>
        <v xml:space="preserve">RIDGELAND                 </v>
      </c>
      <c r="F9054" t="str">
        <f t="shared" si="267"/>
        <v>MS</v>
      </c>
    </row>
    <row r="9055" spans="1:6" x14ac:dyDescent="0.25">
      <c r="A9055" t="str">
        <f>"002589291"</f>
        <v>002589291</v>
      </c>
      <c r="B9055" t="str">
        <f>"1659931939"</f>
        <v>1659931939</v>
      </c>
      <c r="C9055" t="str">
        <f>"363L00000X"</f>
        <v>363L00000X</v>
      </c>
      <c r="D9055" t="str">
        <f>"PHAM                     HANH         B           "</f>
        <v xml:space="preserve">PHAM                     HANH         B           </v>
      </c>
      <c r="E9055" t="str">
        <f>"GULFPORT                  "</f>
        <v xml:space="preserve">GULFPORT                  </v>
      </c>
      <c r="F9055" t="str">
        <f t="shared" si="267"/>
        <v>MS</v>
      </c>
    </row>
    <row r="9056" spans="1:6" x14ac:dyDescent="0.25">
      <c r="A9056" t="str">
        <f>"002589533"</f>
        <v>002589533</v>
      </c>
      <c r="B9056" t="str">
        <f>"1568584019"</f>
        <v>1568584019</v>
      </c>
      <c r="C9056" t="str">
        <f>"207R00000X"</f>
        <v>207R00000X</v>
      </c>
      <c r="D9056" t="str">
        <f>"SPARKS                   KENDRICK     L           "</f>
        <v xml:space="preserve">SPARKS                   KENDRICK     L           </v>
      </c>
      <c r="E9056" t="str">
        <f>"MCCOMB                    "</f>
        <v xml:space="preserve">MCCOMB                    </v>
      </c>
      <c r="F9056" t="str">
        <f t="shared" si="267"/>
        <v>MS</v>
      </c>
    </row>
    <row r="9057" spans="1:6" x14ac:dyDescent="0.25">
      <c r="A9057" t="str">
        <f>"002589829"</f>
        <v>002589829</v>
      </c>
      <c r="B9057" t="str">
        <f>"1881153864"</f>
        <v>1881153864</v>
      </c>
      <c r="C9057" t="str">
        <f>"207R00000X"</f>
        <v>207R00000X</v>
      </c>
      <c r="D9057" t="str">
        <f>"STRIMBU                  NATHANAEL    D           "</f>
        <v xml:space="preserve">STRIMBU                  NATHANAEL    D           </v>
      </c>
      <c r="E9057" t="str">
        <f>"HATTIESBURG               "</f>
        <v xml:space="preserve">HATTIESBURG               </v>
      </c>
      <c r="F9057" t="str">
        <f t="shared" si="267"/>
        <v>MS</v>
      </c>
    </row>
    <row r="9058" spans="1:6" x14ac:dyDescent="0.25">
      <c r="A9058" t="str">
        <f>"002600025"</f>
        <v>002600025</v>
      </c>
      <c r="B9058" t="str">
        <f>"1023087400"</f>
        <v>1023087400</v>
      </c>
      <c r="C9058" t="str">
        <f>"261QF0400X"</f>
        <v>261QF0400X</v>
      </c>
      <c r="D9058" t="str">
        <f>"HATTIESBURG SCHOOL &amp; COMM. CLINIC                 "</f>
        <v xml:space="preserve">HATTIESBURG SCHOOL &amp; COMM. CLINIC                 </v>
      </c>
      <c r="E9058" t="str">
        <f>"HATTIESBURG               "</f>
        <v xml:space="preserve">HATTIESBURG               </v>
      </c>
      <c r="F9058" t="str">
        <f t="shared" si="267"/>
        <v>MS</v>
      </c>
    </row>
    <row r="9059" spans="1:6" x14ac:dyDescent="0.25">
      <c r="A9059" t="str">
        <f>"002600781"</f>
        <v>002600781</v>
      </c>
      <c r="B9059" t="str">
        <f>"1013430412"</f>
        <v>1013430412</v>
      </c>
      <c r="C9059" t="str">
        <f>"152W00000X"</f>
        <v>152W00000X</v>
      </c>
      <c r="D9059" t="str">
        <f>"CRYSTAL CLEAR EYE CARE LLC                        "</f>
        <v xml:space="preserve">CRYSTAL CLEAR EYE CARE LLC                        </v>
      </c>
      <c r="E9059" t="str">
        <f>"CANTON                    "</f>
        <v xml:space="preserve">CANTON                    </v>
      </c>
      <c r="F9059" t="str">
        <f t="shared" si="267"/>
        <v>MS</v>
      </c>
    </row>
    <row r="9060" spans="1:6" x14ac:dyDescent="0.25">
      <c r="A9060" t="str">
        <f>"002601045"</f>
        <v>002601045</v>
      </c>
      <c r="B9060" t="str">
        <f>"1386701464"</f>
        <v>1386701464</v>
      </c>
      <c r="C9060" t="str">
        <f>"122300000X"</f>
        <v>122300000X</v>
      </c>
      <c r="D9060" t="str">
        <f>"BYRD                     JOYCE        M           "</f>
        <v xml:space="preserve">BYRD                     JOYCE        M           </v>
      </c>
      <c r="E9060" t="str">
        <f>"FLORENCE                  "</f>
        <v xml:space="preserve">FLORENCE                  </v>
      </c>
      <c r="F9060" t="str">
        <f t="shared" si="267"/>
        <v>MS</v>
      </c>
    </row>
    <row r="9061" spans="1:6" x14ac:dyDescent="0.25">
      <c r="A9061" t="str">
        <f>"002601201"</f>
        <v>002601201</v>
      </c>
      <c r="B9061" t="str">
        <f>"1205853116"</f>
        <v>1205853116</v>
      </c>
      <c r="C9061" t="str">
        <f>"207RI0200X"</f>
        <v>207RI0200X</v>
      </c>
      <c r="D9061" t="str">
        <f>"PARHAM                   JASON        J           "</f>
        <v xml:space="preserve">PARHAM                   JASON        J           </v>
      </c>
      <c r="E9061" t="str">
        <f>"JACKSON                   "</f>
        <v xml:space="preserve">JACKSON                   </v>
      </c>
      <c r="F9061" t="str">
        <f t="shared" si="267"/>
        <v>MS</v>
      </c>
    </row>
    <row r="9062" spans="1:6" x14ac:dyDescent="0.25">
      <c r="A9062" t="str">
        <f>"002601508"</f>
        <v>002601508</v>
      </c>
      <c r="B9062" t="str">
        <f>"1649613670"</f>
        <v>1649613670</v>
      </c>
      <c r="C9062" t="str">
        <f>"207ZP0102X"</f>
        <v>207ZP0102X</v>
      </c>
      <c r="D9062" t="str">
        <f>"JAIN                     SARIKA       P           "</f>
        <v xml:space="preserve">JAIN                     SARIKA       P           </v>
      </c>
      <c r="E9062" t="str">
        <f>"JACKSON                   "</f>
        <v xml:space="preserve">JACKSON                   </v>
      </c>
      <c r="F9062" t="str">
        <f t="shared" si="267"/>
        <v>MS</v>
      </c>
    </row>
    <row r="9063" spans="1:6" x14ac:dyDescent="0.25">
      <c r="A9063" t="str">
        <f>"002603348"</f>
        <v>002603348</v>
      </c>
      <c r="B9063" t="str">
        <f>"1366886772"</f>
        <v>1366886772</v>
      </c>
      <c r="C9063" t="str">
        <f>"261QM0801X"</f>
        <v>261QM0801X</v>
      </c>
      <c r="D9063" t="str">
        <f>"NEW PROGRESSIONS OF MISSISSIPPI LLC               "</f>
        <v xml:space="preserve">NEW PROGRESSIONS OF MISSISSIPPI LLC               </v>
      </c>
      <c r="E9063" t="str">
        <f>"JACKSON                   "</f>
        <v xml:space="preserve">JACKSON                   </v>
      </c>
      <c r="F9063" t="str">
        <f t="shared" si="267"/>
        <v>MS</v>
      </c>
    </row>
    <row r="9064" spans="1:6" x14ac:dyDescent="0.25">
      <c r="A9064" t="str">
        <f>"002604331"</f>
        <v>002604331</v>
      </c>
      <c r="B9064" t="str">
        <f>"1336642578"</f>
        <v>1336642578</v>
      </c>
      <c r="C9064" t="str">
        <f>"122300000X"</f>
        <v>122300000X</v>
      </c>
      <c r="D9064" t="str">
        <f>"FIVE STAR DENTAL                                  "</f>
        <v xml:space="preserve">FIVE STAR DENTAL                                  </v>
      </c>
      <c r="E9064" t="str">
        <f>"SENATOBIA                 "</f>
        <v xml:space="preserve">SENATOBIA                 </v>
      </c>
      <c r="F9064" t="str">
        <f t="shared" si="267"/>
        <v>MS</v>
      </c>
    </row>
    <row r="9065" spans="1:6" x14ac:dyDescent="0.25">
      <c r="A9065" t="str">
        <f>"002605580"</f>
        <v>002605580</v>
      </c>
      <c r="B9065" t="str">
        <f>"1770864613"</f>
        <v>1770864613</v>
      </c>
      <c r="C9065" t="str">
        <f>"363L00000X"</f>
        <v>363L00000X</v>
      </c>
      <c r="D9065" t="str">
        <f>"HOLMES                   KIYO         P           "</f>
        <v xml:space="preserve">HOLMES                   KIYO         P           </v>
      </c>
      <c r="E9065" t="str">
        <f>"GREENVILLE                "</f>
        <v xml:space="preserve">GREENVILLE                </v>
      </c>
      <c r="F9065" t="str">
        <f t="shared" si="267"/>
        <v>MS</v>
      </c>
    </row>
    <row r="9066" spans="1:6" x14ac:dyDescent="0.25">
      <c r="A9066" t="str">
        <f>"002606766"</f>
        <v>002606766</v>
      </c>
      <c r="B9066" t="str">
        <f>"1881053098"</f>
        <v>1881053098</v>
      </c>
      <c r="C9066" t="str">
        <f>"261QM3000X"</f>
        <v>261QM3000X</v>
      </c>
      <c r="D9066" t="str">
        <f>"PEDIATRIC HEALTH CHOICE                           "</f>
        <v xml:space="preserve">PEDIATRIC HEALTH CHOICE                           </v>
      </c>
      <c r="E9066" t="str">
        <f>"FLOWOOD                   "</f>
        <v xml:space="preserve">FLOWOOD                   </v>
      </c>
      <c r="F9066" t="str">
        <f t="shared" si="267"/>
        <v>MS</v>
      </c>
    </row>
    <row r="9067" spans="1:6" x14ac:dyDescent="0.25">
      <c r="A9067" t="str">
        <f>"002607511"</f>
        <v>002607511</v>
      </c>
      <c r="B9067" t="str">
        <f>"1508206913"</f>
        <v>1508206913</v>
      </c>
      <c r="C9067" t="str">
        <f>"207RC0000X"</f>
        <v>207RC0000X</v>
      </c>
      <c r="D9067" t="str">
        <f>"ANDERSON                 STEPHEN      D           "</f>
        <v xml:space="preserve">ANDERSON                 STEPHEN      D           </v>
      </c>
      <c r="E9067" t="str">
        <f>"JACKSON                   "</f>
        <v xml:space="preserve">JACKSON                   </v>
      </c>
      <c r="F9067" t="str">
        <f t="shared" si="267"/>
        <v>MS</v>
      </c>
    </row>
    <row r="9068" spans="1:6" x14ac:dyDescent="0.25">
      <c r="A9068" t="str">
        <f>"002608881"</f>
        <v>002608881</v>
      </c>
      <c r="B9068" t="str">
        <f>"1851886857"</f>
        <v>1851886857</v>
      </c>
      <c r="C9068" t="str">
        <f>"122300000X"</f>
        <v>122300000X</v>
      </c>
      <c r="D9068" t="str">
        <f>"GRENADA DENTAL CLINIC PLLC                        "</f>
        <v xml:space="preserve">GRENADA DENTAL CLINIC PLLC                        </v>
      </c>
      <c r="E9068" t="str">
        <f>"GRENADA                   "</f>
        <v xml:space="preserve">GRENADA                   </v>
      </c>
      <c r="F9068" t="str">
        <f t="shared" si="267"/>
        <v>MS</v>
      </c>
    </row>
    <row r="9069" spans="1:6" x14ac:dyDescent="0.25">
      <c r="A9069" t="str">
        <f>"002609314"</f>
        <v>002609314</v>
      </c>
      <c r="B9069" t="str">
        <f>"1396018123"</f>
        <v>1396018123</v>
      </c>
      <c r="C9069" t="str">
        <f>"363L00000X"</f>
        <v>363L00000X</v>
      </c>
      <c r="D9069" t="str">
        <f>"CUMBERLAND               TERESA       K           "</f>
        <v xml:space="preserve">CUMBERLAND               TERESA       K           </v>
      </c>
      <c r="E9069" t="str">
        <f>"CHOCTAW                   "</f>
        <v xml:space="preserve">CHOCTAW                   </v>
      </c>
      <c r="F9069" t="str">
        <f t="shared" si="267"/>
        <v>MS</v>
      </c>
    </row>
    <row r="9070" spans="1:6" x14ac:dyDescent="0.25">
      <c r="A9070" t="str">
        <f>"002620394"</f>
        <v>002620394</v>
      </c>
      <c r="B9070" t="str">
        <f>"1447412275"</f>
        <v>1447412275</v>
      </c>
      <c r="C9070" t="str">
        <f>"363L00000X"</f>
        <v>363L00000X</v>
      </c>
      <c r="D9070" t="str">
        <f>"RUSSELL JR               EARL         D           "</f>
        <v xml:space="preserve">RUSSELL JR               EARL         D           </v>
      </c>
      <c r="E9070" t="str">
        <f>"BROOKHAVEN                "</f>
        <v xml:space="preserve">BROOKHAVEN                </v>
      </c>
      <c r="F9070" t="str">
        <f t="shared" si="267"/>
        <v>MS</v>
      </c>
    </row>
    <row r="9071" spans="1:6" x14ac:dyDescent="0.25">
      <c r="A9071" t="str">
        <f>"002621331"</f>
        <v>002621331</v>
      </c>
      <c r="B9071" t="str">
        <f>"1437542487"</f>
        <v>1437542487</v>
      </c>
      <c r="C9071" t="str">
        <f>"363L00000X"</f>
        <v>363L00000X</v>
      </c>
      <c r="D9071" t="str">
        <f>"MCCAIN                   STEPHANIE                "</f>
        <v xml:space="preserve">MCCAIN                   STEPHANIE                </v>
      </c>
      <c r="E9071" t="str">
        <f>"EUPORA                    "</f>
        <v xml:space="preserve">EUPORA                    </v>
      </c>
      <c r="F9071" t="str">
        <f t="shared" si="267"/>
        <v>MS</v>
      </c>
    </row>
    <row r="9072" spans="1:6" x14ac:dyDescent="0.25">
      <c r="A9072" t="str">
        <f>"002621562"</f>
        <v>002621562</v>
      </c>
      <c r="B9072" t="str">
        <f>"1932675105"</f>
        <v>1932675105</v>
      </c>
      <c r="C9072" t="str">
        <f>"363L00000X"</f>
        <v>363L00000X</v>
      </c>
      <c r="D9072" t="str">
        <f>"RAMIREZ                  REBECCA                  "</f>
        <v xml:space="preserve">RAMIREZ                  REBECCA                  </v>
      </c>
      <c r="E9072" t="str">
        <f>"BILOXI                    "</f>
        <v xml:space="preserve">BILOXI                    </v>
      </c>
      <c r="F9072" t="str">
        <f t="shared" si="267"/>
        <v>MS</v>
      </c>
    </row>
    <row r="9073" spans="1:6" x14ac:dyDescent="0.25">
      <c r="A9073" t="str">
        <f>"002621843"</f>
        <v>002621843</v>
      </c>
      <c r="B9073" t="str">
        <f>"1144978982"</f>
        <v>1144978982</v>
      </c>
      <c r="C9073" t="str">
        <f>"363L00000X"</f>
        <v>363L00000X</v>
      </c>
      <c r="D9073" t="str">
        <f>"CARRUTH                  LIBBY                    "</f>
        <v xml:space="preserve">CARRUTH                  LIBBY                    </v>
      </c>
      <c r="E9073" t="str">
        <f>"TUPELO                    "</f>
        <v xml:space="preserve">TUPELO                    </v>
      </c>
      <c r="F9073" t="str">
        <f t="shared" si="267"/>
        <v>MS</v>
      </c>
    </row>
    <row r="9074" spans="1:6" x14ac:dyDescent="0.25">
      <c r="A9074" t="str">
        <f>"002622590"</f>
        <v>002622590</v>
      </c>
      <c r="B9074" t="str">
        <f>"1144428749"</f>
        <v>1144428749</v>
      </c>
      <c r="C9074" t="str">
        <f>"207L00000X"</f>
        <v>207L00000X</v>
      </c>
      <c r="D9074" t="str">
        <f>"MARSHALL                 LORI         H           "</f>
        <v xml:space="preserve">MARSHALL                 LORI         H           </v>
      </c>
      <c r="E9074" t="str">
        <f>"JACKSON                   "</f>
        <v xml:space="preserve">JACKSON                   </v>
      </c>
      <c r="F9074" t="str">
        <f t="shared" si="267"/>
        <v>MS</v>
      </c>
    </row>
    <row r="9075" spans="1:6" x14ac:dyDescent="0.25">
      <c r="A9075" t="str">
        <f>"002622599"</f>
        <v>002622599</v>
      </c>
      <c r="B9075" t="str">
        <f>"1952724650"</f>
        <v>1952724650</v>
      </c>
      <c r="C9075" t="str">
        <f>"261QF0400X"</f>
        <v>261QF0400X</v>
      </c>
      <c r="D9075" t="str">
        <f>"PETAL SCHOOL CLINIC                               "</f>
        <v xml:space="preserve">PETAL SCHOOL CLINIC                               </v>
      </c>
      <c r="E9075" t="str">
        <f>"PETAL                     "</f>
        <v xml:space="preserve">PETAL                     </v>
      </c>
      <c r="F9075" t="str">
        <f t="shared" si="267"/>
        <v>MS</v>
      </c>
    </row>
    <row r="9076" spans="1:6" x14ac:dyDescent="0.25">
      <c r="A9076" t="str">
        <f>"002622801"</f>
        <v>002622801</v>
      </c>
      <c r="B9076" t="str">
        <f>"1073035168"</f>
        <v>1073035168</v>
      </c>
      <c r="C9076" t="str">
        <f>"363L00000X"</f>
        <v>363L00000X</v>
      </c>
      <c r="D9076" t="str">
        <f>"WILLIAMS                 JERRY        D           "</f>
        <v xml:space="preserve">WILLIAMS                 JERRY        D           </v>
      </c>
      <c r="E9076" t="str">
        <f>"HOLLY SPRINGS             "</f>
        <v xml:space="preserve">HOLLY SPRINGS             </v>
      </c>
      <c r="F9076" t="str">
        <f t="shared" si="267"/>
        <v>MS</v>
      </c>
    </row>
    <row r="9077" spans="1:6" x14ac:dyDescent="0.25">
      <c r="A9077" t="str">
        <f>"002623217"</f>
        <v>002623217</v>
      </c>
      <c r="B9077" t="str">
        <f>"1790916294"</f>
        <v>1790916294</v>
      </c>
      <c r="C9077" t="str">
        <f>"152W00000X"</f>
        <v>152W00000X</v>
      </c>
      <c r="D9077" t="str">
        <f>"CONN                     RHETTA       A           "</f>
        <v xml:space="preserve">CONN                     RHETTA       A           </v>
      </c>
      <c r="E9077" t="str">
        <f>"COLDWATER                 "</f>
        <v xml:space="preserve">COLDWATER                 </v>
      </c>
      <c r="F9077" t="str">
        <f t="shared" si="267"/>
        <v>MS</v>
      </c>
    </row>
    <row r="9078" spans="1:6" x14ac:dyDescent="0.25">
      <c r="A9078" t="str">
        <f>"002623513"</f>
        <v>002623513</v>
      </c>
      <c r="B9078" t="str">
        <f>"1437123825"</f>
        <v>1437123825</v>
      </c>
      <c r="C9078" t="str">
        <f>"207RN0300X"</f>
        <v>207RN0300X</v>
      </c>
      <c r="D9078" t="str">
        <f>"MONICO                   CARLA        G           "</f>
        <v xml:space="preserve">MONICO                   CARLA        G           </v>
      </c>
      <c r="E9078" t="str">
        <f>"JACKSON                   "</f>
        <v xml:space="preserve">JACKSON                   </v>
      </c>
      <c r="F9078" t="str">
        <f t="shared" si="267"/>
        <v>MS</v>
      </c>
    </row>
    <row r="9079" spans="1:6" x14ac:dyDescent="0.25">
      <c r="A9079" t="str">
        <f>"002623705"</f>
        <v>002623705</v>
      </c>
      <c r="B9079" t="str">
        <f>"1801567003"</f>
        <v>1801567003</v>
      </c>
      <c r="C9079" t="str">
        <f>"363L00000X"</f>
        <v>363L00000X</v>
      </c>
      <c r="D9079" t="str">
        <f>"BROWN DAVIS              CECILE                   "</f>
        <v xml:space="preserve">BROWN DAVIS              CECILE                   </v>
      </c>
      <c r="E9079" t="str">
        <f>"GULFPORT                  "</f>
        <v xml:space="preserve">GULFPORT                  </v>
      </c>
      <c r="F9079" t="str">
        <f t="shared" si="267"/>
        <v>MS</v>
      </c>
    </row>
    <row r="9080" spans="1:6" x14ac:dyDescent="0.25">
      <c r="A9080" t="str">
        <f>"002623808"</f>
        <v>002623808</v>
      </c>
      <c r="B9080" t="str">
        <f>"1003392416"</f>
        <v>1003392416</v>
      </c>
      <c r="C9080" t="str">
        <f>"363L00000X"</f>
        <v>363L00000X</v>
      </c>
      <c r="D9080" t="str">
        <f>"LEAVY                    MONTOYAE     C           "</f>
        <v xml:space="preserve">LEAVY                    MONTOYAE     C           </v>
      </c>
      <c r="E9080" t="str">
        <f>"TOUGALOO                  "</f>
        <v xml:space="preserve">TOUGALOO                  </v>
      </c>
      <c r="F9080" t="str">
        <f t="shared" si="267"/>
        <v>MS</v>
      </c>
    </row>
    <row r="9081" spans="1:6" x14ac:dyDescent="0.25">
      <c r="A9081" t="str">
        <f>"002624701"</f>
        <v>002624701</v>
      </c>
      <c r="B9081" t="str">
        <f>"1255851986"</f>
        <v>1255851986</v>
      </c>
      <c r="C9081" t="str">
        <f>"122300000X"</f>
        <v>122300000X</v>
      </c>
      <c r="D9081" t="str">
        <f>"HAWKINS LLOYD            JESSICA      L           "</f>
        <v xml:space="preserve">HAWKINS LLOYD            JESSICA      L           </v>
      </c>
      <c r="E9081" t="str">
        <f>"YAZOO CITY                "</f>
        <v xml:space="preserve">YAZOO CITY                </v>
      </c>
      <c r="F9081" t="str">
        <f t="shared" si="267"/>
        <v>MS</v>
      </c>
    </row>
    <row r="9082" spans="1:6" x14ac:dyDescent="0.25">
      <c r="A9082" t="str">
        <f>"002628230"</f>
        <v>002628230</v>
      </c>
      <c r="B9082" t="str">
        <f>"1659635027"</f>
        <v>1659635027</v>
      </c>
      <c r="C9082" t="str">
        <f>"207V00000X"</f>
        <v>207V00000X</v>
      </c>
      <c r="D9082" t="str">
        <f>"SELLERS                  AMANDA       D           "</f>
        <v xml:space="preserve">SELLERS                  AMANDA       D           </v>
      </c>
      <c r="E9082" t="str">
        <f>"HATTIESBURG               "</f>
        <v xml:space="preserve">HATTIESBURG               </v>
      </c>
      <c r="F9082" t="str">
        <f t="shared" si="267"/>
        <v>MS</v>
      </c>
    </row>
    <row r="9083" spans="1:6" x14ac:dyDescent="0.25">
      <c r="A9083" t="str">
        <f>"002629708"</f>
        <v>002629708</v>
      </c>
      <c r="B9083" t="str">
        <f>"1538334800"</f>
        <v>1538334800</v>
      </c>
      <c r="C9083" t="str">
        <f>"207RG0100X"</f>
        <v>207RG0100X</v>
      </c>
      <c r="D9083" t="str">
        <f>"KISTANGARI               GAURAV                   "</f>
        <v xml:space="preserve">KISTANGARI               GAURAV                   </v>
      </c>
      <c r="E9083" t="str">
        <f>"SOUTHAVEN                 "</f>
        <v xml:space="preserve">SOUTHAVEN                 </v>
      </c>
      <c r="F9083" t="str">
        <f t="shared" si="267"/>
        <v>MS</v>
      </c>
    </row>
    <row r="9084" spans="1:6" x14ac:dyDescent="0.25">
      <c r="A9084" t="str">
        <f>"002630014"</f>
        <v>002630014</v>
      </c>
      <c r="B9084" t="str">
        <f>"1629668900"</f>
        <v>1629668900</v>
      </c>
      <c r="C9084" t="str">
        <f>"363L00000X"</f>
        <v>363L00000X</v>
      </c>
      <c r="D9084" t="str">
        <f>"THOMPSON                 GENA         M           "</f>
        <v xml:space="preserve">THOMPSON                 GENA         M           </v>
      </c>
      <c r="E9084" t="str">
        <f>"MADISON                   "</f>
        <v xml:space="preserve">MADISON                   </v>
      </c>
      <c r="F9084" t="str">
        <f t="shared" si="267"/>
        <v>MS</v>
      </c>
    </row>
    <row r="9085" spans="1:6" x14ac:dyDescent="0.25">
      <c r="A9085" t="str">
        <f>"002631306"</f>
        <v>002631306</v>
      </c>
      <c r="B9085" t="str">
        <f>"1023216629"</f>
        <v>1023216629</v>
      </c>
      <c r="C9085" t="str">
        <f>"207L00000X"</f>
        <v>207L00000X</v>
      </c>
      <c r="D9085" t="str">
        <f>"CARTER JR                WILLIAM      R           "</f>
        <v xml:space="preserve">CARTER JR                WILLIAM      R           </v>
      </c>
      <c r="E9085" t="str">
        <f>"STARKVILLE                "</f>
        <v xml:space="preserve">STARKVILLE                </v>
      </c>
      <c r="F9085" t="str">
        <f t="shared" si="267"/>
        <v>MS</v>
      </c>
    </row>
    <row r="9086" spans="1:6" x14ac:dyDescent="0.25">
      <c r="A9086" t="str">
        <f>"002632008"</f>
        <v>002632008</v>
      </c>
      <c r="B9086" t="str">
        <f>"1376150920"</f>
        <v>1376150920</v>
      </c>
      <c r="C9086" t="str">
        <f>"363L00000X"</f>
        <v>363L00000X</v>
      </c>
      <c r="D9086" t="str">
        <f>"CZUP                     MELANIE      C           "</f>
        <v xml:space="preserve">CZUP                     MELANIE      C           </v>
      </c>
      <c r="E9086" t="str">
        <f>"TUPELO                    "</f>
        <v xml:space="preserve">TUPELO                    </v>
      </c>
      <c r="F9086" t="str">
        <f t="shared" ref="F9086:F9149" si="268">"MS"</f>
        <v>MS</v>
      </c>
    </row>
    <row r="9087" spans="1:6" x14ac:dyDescent="0.25">
      <c r="A9087" t="str">
        <f>"002632308"</f>
        <v>002632308</v>
      </c>
      <c r="B9087" t="str">
        <f>"1841318003"</f>
        <v>1841318003</v>
      </c>
      <c r="C9087" t="str">
        <f>"207R00000X"</f>
        <v>207R00000X</v>
      </c>
      <c r="D9087" t="str">
        <f>"KASAPIS                  CHRISTOS                 "</f>
        <v xml:space="preserve">KASAPIS                  CHRISTOS                 </v>
      </c>
      <c r="E9087" t="str">
        <f>"MCCOMB                    "</f>
        <v xml:space="preserve">MCCOMB                    </v>
      </c>
      <c r="F9087" t="str">
        <f t="shared" si="268"/>
        <v>MS</v>
      </c>
    </row>
    <row r="9088" spans="1:6" x14ac:dyDescent="0.25">
      <c r="A9088" t="str">
        <f>"002632326"</f>
        <v>002632326</v>
      </c>
      <c r="B9088" t="str">
        <f>"1760669345"</f>
        <v>1760669345</v>
      </c>
      <c r="C9088" t="str">
        <f>"2084P0800X"</f>
        <v>2084P0800X</v>
      </c>
      <c r="D9088" t="str">
        <f>"JACKSON                  JON          C           "</f>
        <v xml:space="preserve">JACKSON                  JON          C           </v>
      </c>
      <c r="E9088" t="str">
        <f>"WHITFIELD                 "</f>
        <v xml:space="preserve">WHITFIELD                 </v>
      </c>
      <c r="F9088" t="str">
        <f t="shared" si="268"/>
        <v>MS</v>
      </c>
    </row>
    <row r="9089" spans="1:6" x14ac:dyDescent="0.25">
      <c r="A9089" t="str">
        <f>"002632330"</f>
        <v>002632330</v>
      </c>
      <c r="B9089" t="str">
        <f>"1699084020"</f>
        <v>1699084020</v>
      </c>
      <c r="C9089" t="str">
        <f>"363L00000X"</f>
        <v>363L00000X</v>
      </c>
      <c r="D9089" t="str">
        <f>"QUARLES                  AMANDA       S           "</f>
        <v xml:space="preserve">QUARLES                  AMANDA       S           </v>
      </c>
      <c r="E9089" t="str">
        <f>"JACKSON                   "</f>
        <v xml:space="preserve">JACKSON                   </v>
      </c>
      <c r="F9089" t="str">
        <f t="shared" si="268"/>
        <v>MS</v>
      </c>
    </row>
    <row r="9090" spans="1:6" x14ac:dyDescent="0.25">
      <c r="A9090" t="str">
        <f>"002632558"</f>
        <v>002632558</v>
      </c>
      <c r="B9090" t="str">
        <f>"1679838932"</f>
        <v>1679838932</v>
      </c>
      <c r="C9090" t="str">
        <f>"207P00000X"</f>
        <v>207P00000X</v>
      </c>
      <c r="D9090" t="str">
        <f>"NANDI                    UTSAV                    "</f>
        <v xml:space="preserve">NANDI                    UTSAV                    </v>
      </c>
      <c r="E9090" t="str">
        <f>"JACKSON                   "</f>
        <v xml:space="preserve">JACKSON                   </v>
      </c>
      <c r="F9090" t="str">
        <f t="shared" si="268"/>
        <v>MS</v>
      </c>
    </row>
    <row r="9091" spans="1:6" x14ac:dyDescent="0.25">
      <c r="A9091" t="str">
        <f>"002634751"</f>
        <v>002634751</v>
      </c>
      <c r="B9091" t="str">
        <f>"1043721087"</f>
        <v>1043721087</v>
      </c>
      <c r="C9091" t="str">
        <f>"363L00000X"</f>
        <v>363L00000X</v>
      </c>
      <c r="D9091" t="str">
        <f>"SORRELLS                 SHARON       K           "</f>
        <v xml:space="preserve">SORRELLS                 SHARON       K           </v>
      </c>
      <c r="E9091" t="str">
        <f>"HATTIESBURG               "</f>
        <v xml:space="preserve">HATTIESBURG               </v>
      </c>
      <c r="F9091" t="str">
        <f t="shared" si="268"/>
        <v>MS</v>
      </c>
    </row>
    <row r="9092" spans="1:6" x14ac:dyDescent="0.25">
      <c r="A9092" t="str">
        <f>"002638286"</f>
        <v>002638286</v>
      </c>
      <c r="B9092" t="str">
        <f>"1184192858"</f>
        <v>1184192858</v>
      </c>
      <c r="C9092" t="str">
        <f>"363L00000X"</f>
        <v>363L00000X</v>
      </c>
      <c r="D9092" t="str">
        <f>"WARNER                   KAYLA        L           "</f>
        <v xml:space="preserve">WARNER                   KAYLA        L           </v>
      </c>
      <c r="E9092" t="str">
        <f>"STARKVILLE                "</f>
        <v xml:space="preserve">STARKVILLE                </v>
      </c>
      <c r="F9092" t="str">
        <f t="shared" si="268"/>
        <v>MS</v>
      </c>
    </row>
    <row r="9093" spans="1:6" x14ac:dyDescent="0.25">
      <c r="A9093" t="str">
        <f>"002638842"</f>
        <v>002638842</v>
      </c>
      <c r="B9093" t="str">
        <f>"1043500739"</f>
        <v>1043500739</v>
      </c>
      <c r="C9093" t="str">
        <f>"2080P0203X"</f>
        <v>2080P0203X</v>
      </c>
      <c r="D9093" t="str">
        <f>"GARG                     PADMA        P           "</f>
        <v xml:space="preserve">GARG                     PADMA        P           </v>
      </c>
      <c r="E9093" t="str">
        <f>"JACKSON                   "</f>
        <v xml:space="preserve">JACKSON                   </v>
      </c>
      <c r="F9093" t="str">
        <f t="shared" si="268"/>
        <v>MS</v>
      </c>
    </row>
    <row r="9094" spans="1:6" x14ac:dyDescent="0.25">
      <c r="A9094" t="str">
        <f>"002639008"</f>
        <v>002639008</v>
      </c>
      <c r="B9094" t="str">
        <f>"1265831184"</f>
        <v>1265831184</v>
      </c>
      <c r="C9094" t="str">
        <f>"363L00000X"</f>
        <v>363L00000X</v>
      </c>
      <c r="D9094" t="str">
        <f>"LANNING                  LEILA        M           "</f>
        <v xml:space="preserve">LANNING                  LEILA        M           </v>
      </c>
      <c r="E9094" t="str">
        <f>"JACKSON                   "</f>
        <v xml:space="preserve">JACKSON                   </v>
      </c>
      <c r="F9094" t="str">
        <f t="shared" si="268"/>
        <v>MS</v>
      </c>
    </row>
    <row r="9095" spans="1:6" x14ac:dyDescent="0.25">
      <c r="A9095" t="str">
        <f>"002639231"</f>
        <v>002639231</v>
      </c>
      <c r="B9095" t="str">
        <f>"1457457814"</f>
        <v>1457457814</v>
      </c>
      <c r="C9095" t="str">
        <f>"363L00000X"</f>
        <v>363L00000X</v>
      </c>
      <c r="D9095" t="str">
        <f>"JOHNSON-KELLY            AMANDA       J           "</f>
        <v xml:space="preserve">JOHNSON-KELLY            AMANDA       J           </v>
      </c>
      <c r="E9095" t="str">
        <f>"FULTON                    "</f>
        <v xml:space="preserve">FULTON                    </v>
      </c>
      <c r="F9095" t="str">
        <f t="shared" si="268"/>
        <v>MS</v>
      </c>
    </row>
    <row r="9096" spans="1:6" x14ac:dyDescent="0.25">
      <c r="A9096" t="str">
        <f>"002652876"</f>
        <v>002652876</v>
      </c>
      <c r="B9096" t="str">
        <f>"1215133830"</f>
        <v>1215133830</v>
      </c>
      <c r="C9096" t="str">
        <f>"208C00000X"</f>
        <v>208C00000X</v>
      </c>
      <c r="D9096" t="str">
        <f>"TYLER                    JOSHUA                   "</f>
        <v xml:space="preserve">TYLER                    JOSHUA                   </v>
      </c>
      <c r="E9096" t="str">
        <f>"BILOXI                    "</f>
        <v xml:space="preserve">BILOXI                    </v>
      </c>
      <c r="F9096" t="str">
        <f t="shared" si="268"/>
        <v>MS</v>
      </c>
    </row>
    <row r="9097" spans="1:6" x14ac:dyDescent="0.25">
      <c r="A9097" t="str">
        <f>"002654041"</f>
        <v>002654041</v>
      </c>
      <c r="B9097" t="str">
        <f>"1386725570"</f>
        <v>1386725570</v>
      </c>
      <c r="C9097" t="str">
        <f>"207R00000X"</f>
        <v>207R00000X</v>
      </c>
      <c r="D9097" t="str">
        <f>"PATEL                    SAGAR        H           "</f>
        <v xml:space="preserve">PATEL                    SAGAR        H           </v>
      </c>
      <c r="E9097" t="str">
        <f>"RIDGELAND                 "</f>
        <v xml:space="preserve">RIDGELAND                 </v>
      </c>
      <c r="F9097" t="str">
        <f t="shared" si="268"/>
        <v>MS</v>
      </c>
    </row>
    <row r="9098" spans="1:6" x14ac:dyDescent="0.25">
      <c r="A9098" t="str">
        <f>"002654890"</f>
        <v>002654890</v>
      </c>
      <c r="B9098" t="str">
        <f>"1558382358"</f>
        <v>1558382358</v>
      </c>
      <c r="C9098" t="str">
        <f>"363L00000X"</f>
        <v>363L00000X</v>
      </c>
      <c r="D9098" t="str">
        <f>"DUBARD                   LILLIAN      L           "</f>
        <v xml:space="preserve">DUBARD                   LILLIAN      L           </v>
      </c>
      <c r="E9098" t="str">
        <f>"GRENADA                   "</f>
        <v xml:space="preserve">GRENADA                   </v>
      </c>
      <c r="F9098" t="str">
        <f t="shared" si="268"/>
        <v>MS</v>
      </c>
    </row>
    <row r="9099" spans="1:6" x14ac:dyDescent="0.25">
      <c r="A9099" t="str">
        <f>"002655503"</f>
        <v>002655503</v>
      </c>
      <c r="B9099" t="str">
        <f>"1265744437"</f>
        <v>1265744437</v>
      </c>
      <c r="C9099" t="str">
        <f>"207V00000X"</f>
        <v>207V00000X</v>
      </c>
      <c r="D9099" t="str">
        <f>"BETHEA                   LAUREN       A           "</f>
        <v xml:space="preserve">BETHEA                   LAUREN       A           </v>
      </c>
      <c r="E9099" t="str">
        <f>"HATTIESBURG               "</f>
        <v xml:space="preserve">HATTIESBURG               </v>
      </c>
      <c r="F9099" t="str">
        <f t="shared" si="268"/>
        <v>MS</v>
      </c>
    </row>
    <row r="9100" spans="1:6" x14ac:dyDescent="0.25">
      <c r="A9100" t="str">
        <f>"002656862"</f>
        <v>002656862</v>
      </c>
      <c r="B9100" t="str">
        <f>"1770543092"</f>
        <v>1770543092</v>
      </c>
      <c r="C9100" t="str">
        <f>"152W00000X"</f>
        <v>152W00000X</v>
      </c>
      <c r="D9100" t="str">
        <f>"CLARK                    MAURICE      A           "</f>
        <v xml:space="preserve">CLARK                    MAURICE      A           </v>
      </c>
      <c r="E9100" t="str">
        <f>"TUPELO                    "</f>
        <v xml:space="preserve">TUPELO                    </v>
      </c>
      <c r="F9100" t="str">
        <f t="shared" si="268"/>
        <v>MS</v>
      </c>
    </row>
    <row r="9101" spans="1:6" x14ac:dyDescent="0.25">
      <c r="A9101" t="str">
        <f>"002657514"</f>
        <v>002657514</v>
      </c>
      <c r="B9101" t="str">
        <f>"1760841142"</f>
        <v>1760841142</v>
      </c>
      <c r="C9101" t="str">
        <f>"363L00000X"</f>
        <v>363L00000X</v>
      </c>
      <c r="D9101" t="str">
        <f>"WILLIAMS                 BRANDI       E           "</f>
        <v xml:space="preserve">WILLIAMS                 BRANDI       E           </v>
      </c>
      <c r="E9101" t="str">
        <f>"HATTIESBURG               "</f>
        <v xml:space="preserve">HATTIESBURG               </v>
      </c>
      <c r="F9101" t="str">
        <f t="shared" si="268"/>
        <v>MS</v>
      </c>
    </row>
    <row r="9102" spans="1:6" x14ac:dyDescent="0.25">
      <c r="A9102" t="str">
        <f>"002659281"</f>
        <v>002659281</v>
      </c>
      <c r="B9102" t="str">
        <f>"1821278813"</f>
        <v>1821278813</v>
      </c>
      <c r="C9102" t="str">
        <f>"363L00000X"</f>
        <v>363L00000X</v>
      </c>
      <c r="D9102" t="str">
        <f>"WARD                     MARY         A           "</f>
        <v xml:space="preserve">WARD                     MARY         A           </v>
      </c>
      <c r="E9102" t="str">
        <f>"MERIDIAN                  "</f>
        <v xml:space="preserve">MERIDIAN                  </v>
      </c>
      <c r="F9102" t="str">
        <f t="shared" si="268"/>
        <v>MS</v>
      </c>
    </row>
    <row r="9103" spans="1:6" x14ac:dyDescent="0.25">
      <c r="A9103" t="str">
        <f>"002659351"</f>
        <v>002659351</v>
      </c>
      <c r="B9103" t="str">
        <f>"1336767748"</f>
        <v>1336767748</v>
      </c>
      <c r="C9103" t="str">
        <f>"363L00000X"</f>
        <v>363L00000X</v>
      </c>
      <c r="D9103" t="str">
        <f>"JOHNSON                  ZACKERY      F           "</f>
        <v xml:space="preserve">JOHNSON                  ZACKERY      F           </v>
      </c>
      <c r="E9103" t="str">
        <f>"HATTIESBURG               "</f>
        <v xml:space="preserve">HATTIESBURG               </v>
      </c>
      <c r="F9103" t="str">
        <f t="shared" si="268"/>
        <v>MS</v>
      </c>
    </row>
    <row r="9104" spans="1:6" x14ac:dyDescent="0.25">
      <c r="A9104" t="str">
        <f>"002670006"</f>
        <v>002670006</v>
      </c>
      <c r="B9104" t="str">
        <f>"1285910653"</f>
        <v>1285910653</v>
      </c>
      <c r="C9104" t="str">
        <f>"363L00000X"</f>
        <v>363L00000X</v>
      </c>
      <c r="D9104" t="str">
        <f>"CLARK                    MELINDA      L           "</f>
        <v xml:space="preserve">CLARK                    MELINDA      L           </v>
      </c>
      <c r="E9104" t="str">
        <f>"TUPELO                    "</f>
        <v xml:space="preserve">TUPELO                    </v>
      </c>
      <c r="F9104" t="str">
        <f t="shared" si="268"/>
        <v>MS</v>
      </c>
    </row>
    <row r="9105" spans="1:6" x14ac:dyDescent="0.25">
      <c r="A9105" t="str">
        <f>"002670301"</f>
        <v>002670301</v>
      </c>
      <c r="B9105" t="str">
        <f>"1205576774"</f>
        <v>1205576774</v>
      </c>
      <c r="C9105" t="str">
        <f>"207X00000X"</f>
        <v>207X00000X</v>
      </c>
      <c r="D9105" t="str">
        <f>"THIMOTHEE                JOSNY                    "</f>
        <v xml:space="preserve">THIMOTHEE                JOSNY                    </v>
      </c>
      <c r="E9105" t="str">
        <f>"JACKSON                   "</f>
        <v xml:space="preserve">JACKSON                   </v>
      </c>
      <c r="F9105" t="str">
        <f t="shared" si="268"/>
        <v>MS</v>
      </c>
    </row>
    <row r="9106" spans="1:6" x14ac:dyDescent="0.25">
      <c r="A9106" t="str">
        <f>"002672814"</f>
        <v>002672814</v>
      </c>
      <c r="B9106" t="str">
        <f>"1740766252"</f>
        <v>1740766252</v>
      </c>
      <c r="C9106" t="str">
        <f>"363L00000X"</f>
        <v>363L00000X</v>
      </c>
      <c r="D9106" t="str">
        <f>"BOUNDS                   STEPHANIE    K           "</f>
        <v xml:space="preserve">BOUNDS                   STEPHANIE    K           </v>
      </c>
      <c r="E9106" t="str">
        <f>"POPLARVILLE               "</f>
        <v xml:space="preserve">POPLARVILLE               </v>
      </c>
      <c r="F9106" t="str">
        <f t="shared" si="268"/>
        <v>MS</v>
      </c>
    </row>
    <row r="9107" spans="1:6" x14ac:dyDescent="0.25">
      <c r="A9107" t="str">
        <f>"002672857"</f>
        <v>002672857</v>
      </c>
      <c r="B9107" t="str">
        <f>"1215949896"</f>
        <v>1215949896</v>
      </c>
      <c r="C9107" t="str">
        <f>"363L00000X"</f>
        <v>363L00000X</v>
      </c>
      <c r="D9107" t="str">
        <f>"FAIRBANKS                MICHAEL      W           "</f>
        <v xml:space="preserve">FAIRBANKS                MICHAEL      W           </v>
      </c>
      <c r="E9107" t="str">
        <f>"OCEAN SPRINGS             "</f>
        <v xml:space="preserve">OCEAN SPRINGS             </v>
      </c>
      <c r="F9107" t="str">
        <f t="shared" si="268"/>
        <v>MS</v>
      </c>
    </row>
    <row r="9108" spans="1:6" x14ac:dyDescent="0.25">
      <c r="A9108" t="str">
        <f>"002673705"</f>
        <v>002673705</v>
      </c>
      <c r="B9108" t="str">
        <f>"1881115707"</f>
        <v>1881115707</v>
      </c>
      <c r="C9108" t="str">
        <f>"207Q00000X"</f>
        <v>207Q00000X</v>
      </c>
      <c r="D9108" t="str">
        <f>"MOFFETT                  MITCHELL     C           "</f>
        <v xml:space="preserve">MOFFETT                  MITCHELL     C           </v>
      </c>
      <c r="E9108" t="str">
        <f>"MABEN                     "</f>
        <v xml:space="preserve">MABEN                     </v>
      </c>
      <c r="F9108" t="str">
        <f t="shared" si="268"/>
        <v>MS</v>
      </c>
    </row>
    <row r="9109" spans="1:6" x14ac:dyDescent="0.25">
      <c r="A9109" t="str">
        <f>"002673818"</f>
        <v>002673818</v>
      </c>
      <c r="B9109" t="str">
        <f>"1588223069"</f>
        <v>1588223069</v>
      </c>
      <c r="C9109" t="str">
        <f>"363L00000X"</f>
        <v>363L00000X</v>
      </c>
      <c r="D9109" t="str">
        <f>"STRIBLING                CARYN                    "</f>
        <v xml:space="preserve">STRIBLING                CARYN                    </v>
      </c>
      <c r="E9109" t="str">
        <f>"JACKSON                   "</f>
        <v xml:space="preserve">JACKSON                   </v>
      </c>
      <c r="F9109" t="str">
        <f t="shared" si="268"/>
        <v>MS</v>
      </c>
    </row>
    <row r="9110" spans="1:6" x14ac:dyDescent="0.25">
      <c r="A9110" t="str">
        <f>"002674098"</f>
        <v>002674098</v>
      </c>
      <c r="B9110" t="str">
        <f>"1366709685"</f>
        <v>1366709685</v>
      </c>
      <c r="C9110" t="str">
        <f>"363L00000X"</f>
        <v>363L00000X</v>
      </c>
      <c r="D9110" t="str">
        <f>"MAUNEY                   CANDACE                  "</f>
        <v xml:space="preserve">MAUNEY                   CANDACE                  </v>
      </c>
      <c r="E9110" t="str">
        <f>"NEW ALBANY                "</f>
        <v xml:space="preserve">NEW ALBANY                </v>
      </c>
      <c r="F9110" t="str">
        <f t="shared" si="268"/>
        <v>MS</v>
      </c>
    </row>
    <row r="9111" spans="1:6" x14ac:dyDescent="0.25">
      <c r="A9111" t="str">
        <f>"002674501"</f>
        <v>002674501</v>
      </c>
      <c r="B9111" t="str">
        <f>"1972951663"</f>
        <v>1972951663</v>
      </c>
      <c r="C9111" t="str">
        <f>"152W00000X"</f>
        <v>152W00000X</v>
      </c>
      <c r="D9111" t="str">
        <f>"STANFORD                 MEGAN        R           "</f>
        <v xml:space="preserve">STANFORD                 MEGAN        R           </v>
      </c>
      <c r="E9111" t="str">
        <f>"RIPLEY                    "</f>
        <v xml:space="preserve">RIPLEY                    </v>
      </c>
      <c r="F9111" t="str">
        <f t="shared" si="268"/>
        <v>MS</v>
      </c>
    </row>
    <row r="9112" spans="1:6" x14ac:dyDescent="0.25">
      <c r="A9112" t="str">
        <f>"002674552"</f>
        <v>002674552</v>
      </c>
      <c r="B9112" t="str">
        <f>"1952780066"</f>
        <v>1952780066</v>
      </c>
      <c r="C9112" t="str">
        <f>"207R00000X"</f>
        <v>207R00000X</v>
      </c>
      <c r="D9112" t="str">
        <f>"HINSON                   CHRISTOPHER  M           "</f>
        <v xml:space="preserve">HINSON                   CHRISTOPHER  M           </v>
      </c>
      <c r="E9112" t="str">
        <f>"HATTIESBURG               "</f>
        <v xml:space="preserve">HATTIESBURG               </v>
      </c>
      <c r="F9112" t="str">
        <f t="shared" si="268"/>
        <v>MS</v>
      </c>
    </row>
    <row r="9113" spans="1:6" x14ac:dyDescent="0.25">
      <c r="A9113" t="str">
        <f>"002675521"</f>
        <v>002675521</v>
      </c>
      <c r="B9113" t="str">
        <f>"1093796328"</f>
        <v>1093796328</v>
      </c>
      <c r="C9113" t="str">
        <f>"363L00000X"</f>
        <v>363L00000X</v>
      </c>
      <c r="D9113" t="str">
        <f>"KIMBRELL                 HOLLY        L           "</f>
        <v xml:space="preserve">KIMBRELL                 HOLLY        L           </v>
      </c>
      <c r="E9113" t="str">
        <f>"BROOKHAVEN                "</f>
        <v xml:space="preserve">BROOKHAVEN                </v>
      </c>
      <c r="F9113" t="str">
        <f t="shared" si="268"/>
        <v>MS</v>
      </c>
    </row>
    <row r="9114" spans="1:6" x14ac:dyDescent="0.25">
      <c r="A9114" t="str">
        <f>"002675757"</f>
        <v>002675757</v>
      </c>
      <c r="B9114" t="str">
        <f>"1922067107"</f>
        <v>1922067107</v>
      </c>
      <c r="C9114" t="str">
        <f>"207V00000X"</f>
        <v>207V00000X</v>
      </c>
      <c r="D9114" t="str">
        <f>"SANDERS                  NEEKA        L           "</f>
        <v xml:space="preserve">SANDERS                  NEEKA        L           </v>
      </c>
      <c r="E9114" t="str">
        <f>"TUPELO                    "</f>
        <v xml:space="preserve">TUPELO                    </v>
      </c>
      <c r="F9114" t="str">
        <f t="shared" si="268"/>
        <v>MS</v>
      </c>
    </row>
    <row r="9115" spans="1:6" x14ac:dyDescent="0.25">
      <c r="A9115" t="str">
        <f>"002676315"</f>
        <v>002676315</v>
      </c>
      <c r="B9115" t="str">
        <f>"1083071237"</f>
        <v>1083071237</v>
      </c>
      <c r="C9115" t="str">
        <f>"363LW0102X"</f>
        <v>363LW0102X</v>
      </c>
      <c r="D9115" t="str">
        <f>"BROWN                    WANDA        L           "</f>
        <v xml:space="preserve">BROWN                    WANDA        L           </v>
      </c>
      <c r="E9115" t="str">
        <f>"OLIVE BRANCH              "</f>
        <v xml:space="preserve">OLIVE BRANCH              </v>
      </c>
      <c r="F9115" t="str">
        <f t="shared" si="268"/>
        <v>MS</v>
      </c>
    </row>
    <row r="9116" spans="1:6" x14ac:dyDescent="0.25">
      <c r="A9116" t="str">
        <f>"002676766"</f>
        <v>002676766</v>
      </c>
      <c r="B9116" t="str">
        <f>"1871674606"</f>
        <v>1871674606</v>
      </c>
      <c r="C9116" t="str">
        <f>"367500000X"</f>
        <v>367500000X</v>
      </c>
      <c r="D9116" t="str">
        <f>"WALLEY                   JUSTIN       C           "</f>
        <v xml:space="preserve">WALLEY                   JUSTIN       C           </v>
      </c>
      <c r="E9116" t="str">
        <f>"MERIDIAN                  "</f>
        <v xml:space="preserve">MERIDIAN                  </v>
      </c>
      <c r="F9116" t="str">
        <f t="shared" si="268"/>
        <v>MS</v>
      </c>
    </row>
    <row r="9117" spans="1:6" x14ac:dyDescent="0.25">
      <c r="A9117" t="str">
        <f>"002678026"</f>
        <v>002678026</v>
      </c>
      <c r="B9117" t="str">
        <f>"1326561598"</f>
        <v>1326561598</v>
      </c>
      <c r="C9117" t="str">
        <f>"363L00000X"</f>
        <v>363L00000X</v>
      </c>
      <c r="D9117" t="str">
        <f>"MORRIS                   KELLY        F           "</f>
        <v xml:space="preserve">MORRIS                   KELLY        F           </v>
      </c>
      <c r="E9117" t="str">
        <f>"HATTIESBURG               "</f>
        <v xml:space="preserve">HATTIESBURG               </v>
      </c>
      <c r="F9117" t="str">
        <f t="shared" si="268"/>
        <v>MS</v>
      </c>
    </row>
    <row r="9118" spans="1:6" x14ac:dyDescent="0.25">
      <c r="A9118" t="str">
        <f>"002678069"</f>
        <v>002678069</v>
      </c>
      <c r="B9118" t="str">
        <f>"1952523607"</f>
        <v>1952523607</v>
      </c>
      <c r="C9118" t="str">
        <f>"207X00000X"</f>
        <v>207X00000X</v>
      </c>
      <c r="D9118" t="str">
        <f>"GREGG                    FREDERICK    O           "</f>
        <v xml:space="preserve">GREGG                    FREDERICK    O           </v>
      </c>
      <c r="E9118" t="str">
        <f>"HATTIESBURG               "</f>
        <v xml:space="preserve">HATTIESBURG               </v>
      </c>
      <c r="F9118" t="str">
        <f t="shared" si="268"/>
        <v>MS</v>
      </c>
    </row>
    <row r="9119" spans="1:6" x14ac:dyDescent="0.25">
      <c r="A9119" t="str">
        <f>"002679793"</f>
        <v>002679793</v>
      </c>
      <c r="B9119" t="str">
        <f>"1447807805"</f>
        <v>1447807805</v>
      </c>
      <c r="C9119" t="str">
        <f>"363L00000X"</f>
        <v>363L00000X</v>
      </c>
      <c r="D9119" t="str">
        <f>"WILLIAMSON               ANNA                     "</f>
        <v xml:space="preserve">WILLIAMSON               ANNA                     </v>
      </c>
      <c r="E9119" t="str">
        <f>"HATTIESBURG               "</f>
        <v xml:space="preserve">HATTIESBURG               </v>
      </c>
      <c r="F9119" t="str">
        <f t="shared" si="268"/>
        <v>MS</v>
      </c>
    </row>
    <row r="9120" spans="1:6" x14ac:dyDescent="0.25">
      <c r="A9120" t="str">
        <f>"002680304"</f>
        <v>002680304</v>
      </c>
      <c r="B9120" t="str">
        <f>"1669065546"</f>
        <v>1669065546</v>
      </c>
      <c r="C9120" t="str">
        <f>"363L00000X"</f>
        <v>363L00000X</v>
      </c>
      <c r="D9120" t="str">
        <f>"HARDY                    LAURA        R           "</f>
        <v xml:space="preserve">HARDY                    LAURA        R           </v>
      </c>
      <c r="E9120" t="str">
        <f>"MERIDIAN                  "</f>
        <v xml:space="preserve">MERIDIAN                  </v>
      </c>
      <c r="F9120" t="str">
        <f t="shared" si="268"/>
        <v>MS</v>
      </c>
    </row>
    <row r="9121" spans="1:6" x14ac:dyDescent="0.25">
      <c r="A9121" t="str">
        <f>"002683560"</f>
        <v>002683560</v>
      </c>
      <c r="B9121" t="str">
        <f>"1962718536"</f>
        <v>1962718536</v>
      </c>
      <c r="C9121" t="str">
        <f>"122300000X"</f>
        <v>122300000X</v>
      </c>
      <c r="D9121" t="str">
        <f>"LIND                     CHRISTOPHER  A           "</f>
        <v xml:space="preserve">LIND                     CHRISTOPHER  A           </v>
      </c>
      <c r="E9121" t="str">
        <f>"HORN LAKE                 "</f>
        <v xml:space="preserve">HORN LAKE                 </v>
      </c>
      <c r="F9121" t="str">
        <f t="shared" si="268"/>
        <v>MS</v>
      </c>
    </row>
    <row r="9122" spans="1:6" x14ac:dyDescent="0.25">
      <c r="A9122" t="str">
        <f>"002683700"</f>
        <v>002683700</v>
      </c>
      <c r="B9122" t="str">
        <f>"1205048287"</f>
        <v>1205048287</v>
      </c>
      <c r="C9122" t="str">
        <f>"363L00000X"</f>
        <v>363L00000X</v>
      </c>
      <c r="D9122" t="str">
        <f>"MARSHALL                 SARAH        H           "</f>
        <v xml:space="preserve">MARSHALL                 SARAH        H           </v>
      </c>
      <c r="E9122" t="str">
        <f>"WHITFIELD                 "</f>
        <v xml:space="preserve">WHITFIELD                 </v>
      </c>
      <c r="F9122" t="str">
        <f t="shared" si="268"/>
        <v>MS</v>
      </c>
    </row>
    <row r="9123" spans="1:6" x14ac:dyDescent="0.25">
      <c r="A9123" t="str">
        <f>"002684069"</f>
        <v>002684069</v>
      </c>
      <c r="B9123" t="str">
        <f>"1437540184"</f>
        <v>1437540184</v>
      </c>
      <c r="C9123" t="str">
        <f>"363L00000X"</f>
        <v>363L00000X</v>
      </c>
      <c r="D9123" t="str">
        <f>"ADAMS                    CASEY                    "</f>
        <v xml:space="preserve">ADAMS                    CASEY                    </v>
      </c>
      <c r="E9123" t="str">
        <f>"GULFPORT                  "</f>
        <v xml:space="preserve">GULFPORT                  </v>
      </c>
      <c r="F9123" t="str">
        <f t="shared" si="268"/>
        <v>MS</v>
      </c>
    </row>
    <row r="9124" spans="1:6" x14ac:dyDescent="0.25">
      <c r="A9124" t="str">
        <f>"002684504"</f>
        <v>002684504</v>
      </c>
      <c r="B9124" t="str">
        <f>"1407964844"</f>
        <v>1407964844</v>
      </c>
      <c r="C9124" t="str">
        <f>"363L00000X"</f>
        <v>363L00000X</v>
      </c>
      <c r="D9124" t="str">
        <f>"PARKER                   KENNETH      S           "</f>
        <v xml:space="preserve">PARKER                   KENNETH      S           </v>
      </c>
      <c r="E9124" t="str">
        <f>"LAUREL                    "</f>
        <v xml:space="preserve">LAUREL                    </v>
      </c>
      <c r="F9124" t="str">
        <f t="shared" si="268"/>
        <v>MS</v>
      </c>
    </row>
    <row r="9125" spans="1:6" x14ac:dyDescent="0.25">
      <c r="A9125" t="str">
        <f>"002685360"</f>
        <v>002685360</v>
      </c>
      <c r="B9125" t="str">
        <f>"1336689199"</f>
        <v>1336689199</v>
      </c>
      <c r="C9125" t="str">
        <f>"122300000X"</f>
        <v>122300000X</v>
      </c>
      <c r="D9125" t="str">
        <f>"CROSSROADS FAMILY DENTISTRY                       "</f>
        <v xml:space="preserve">CROSSROADS FAMILY DENTISTRY                       </v>
      </c>
      <c r="E9125" t="str">
        <f>"CLARKSDALE                "</f>
        <v xml:space="preserve">CLARKSDALE                </v>
      </c>
      <c r="F9125" t="str">
        <f t="shared" si="268"/>
        <v>MS</v>
      </c>
    </row>
    <row r="9126" spans="1:6" x14ac:dyDescent="0.25">
      <c r="A9126" t="str">
        <f>"002685789"</f>
        <v>002685789</v>
      </c>
      <c r="B9126" t="str">
        <f>"1013267152"</f>
        <v>1013267152</v>
      </c>
      <c r="C9126" t="str">
        <f>"363L00000X"</f>
        <v>363L00000X</v>
      </c>
      <c r="D9126" t="str">
        <f>"JUSTICE                  SAMANTHA                 "</f>
        <v xml:space="preserve">JUSTICE                  SAMANTHA                 </v>
      </c>
      <c r="E9126" t="str">
        <f>"TISHOMINGO                "</f>
        <v xml:space="preserve">TISHOMINGO                </v>
      </c>
      <c r="F9126" t="str">
        <f t="shared" si="268"/>
        <v>MS</v>
      </c>
    </row>
    <row r="9127" spans="1:6" x14ac:dyDescent="0.25">
      <c r="A9127" t="str">
        <f>"002687232"</f>
        <v>002687232</v>
      </c>
      <c r="B9127" t="str">
        <f>"1992025951"</f>
        <v>1992025951</v>
      </c>
      <c r="C9127" t="str">
        <f>"152W00000X"</f>
        <v>152W00000X</v>
      </c>
      <c r="D9127" t="str">
        <f>"PHILLIPS EYE CARE                                 "</f>
        <v xml:space="preserve">PHILLIPS EYE CARE                                 </v>
      </c>
      <c r="E9127" t="str">
        <f>"MERIDIAN                  "</f>
        <v xml:space="preserve">MERIDIAN                  </v>
      </c>
      <c r="F9127" t="str">
        <f t="shared" si="268"/>
        <v>MS</v>
      </c>
    </row>
    <row r="9128" spans="1:6" x14ac:dyDescent="0.25">
      <c r="A9128" t="str">
        <f>"002687260"</f>
        <v>002687260</v>
      </c>
      <c r="B9128" t="str">
        <f>"1003829458"</f>
        <v>1003829458</v>
      </c>
      <c r="C9128" t="str">
        <f>"367500000X"</f>
        <v>367500000X</v>
      </c>
      <c r="D9128" t="str">
        <f>"SIBLEY                   DARVIN       L           "</f>
        <v xml:space="preserve">SIBLEY                   DARVIN       L           </v>
      </c>
      <c r="E9128" t="str">
        <f>"HATTIESBURG               "</f>
        <v xml:space="preserve">HATTIESBURG               </v>
      </c>
      <c r="F9128" t="str">
        <f t="shared" si="268"/>
        <v>MS</v>
      </c>
    </row>
    <row r="9129" spans="1:6" x14ac:dyDescent="0.25">
      <c r="A9129" t="str">
        <f>"002700224"</f>
        <v>002700224</v>
      </c>
      <c r="B9129" t="str">
        <f>"1336486422"</f>
        <v>1336486422</v>
      </c>
      <c r="C9129" t="str">
        <f>"363L00000X"</f>
        <v>363L00000X</v>
      </c>
      <c r="D9129" t="str">
        <f>"BENNETT                  COURTNEY     A           "</f>
        <v xml:space="preserve">BENNETT                  COURTNEY     A           </v>
      </c>
      <c r="E9129" t="str">
        <f>"MERIDIAN                  "</f>
        <v xml:space="preserve">MERIDIAN                  </v>
      </c>
      <c r="F9129" t="str">
        <f t="shared" si="268"/>
        <v>MS</v>
      </c>
    </row>
    <row r="9130" spans="1:6" x14ac:dyDescent="0.25">
      <c r="A9130" t="str">
        <f>"002701223"</f>
        <v>002701223</v>
      </c>
      <c r="B9130" t="str">
        <f>"1992198378"</f>
        <v>1992198378</v>
      </c>
      <c r="C9130" t="str">
        <f>"207X00000X"</f>
        <v>207X00000X</v>
      </c>
      <c r="D9130" t="str">
        <f>"FERGUSON                 WILLIAM      J           "</f>
        <v xml:space="preserve">FERGUSON                 WILLIAM      J           </v>
      </c>
      <c r="E9130" t="str">
        <f>"STARKVILLE                "</f>
        <v xml:space="preserve">STARKVILLE                </v>
      </c>
      <c r="F9130" t="str">
        <f t="shared" si="268"/>
        <v>MS</v>
      </c>
    </row>
    <row r="9131" spans="1:6" x14ac:dyDescent="0.25">
      <c r="A9131" t="str">
        <f>"002704527"</f>
        <v>002704527</v>
      </c>
      <c r="B9131" t="str">
        <f>"1730524794"</f>
        <v>1730524794</v>
      </c>
      <c r="C9131" t="str">
        <f>"367500000X"</f>
        <v>367500000X</v>
      </c>
      <c r="D9131" t="str">
        <f>"WRAY                     NICHOLE                  "</f>
        <v xml:space="preserve">WRAY                     NICHOLE                  </v>
      </c>
      <c r="E9131" t="str">
        <f>"TUPELO                    "</f>
        <v xml:space="preserve">TUPELO                    </v>
      </c>
      <c r="F9131" t="str">
        <f t="shared" si="268"/>
        <v>MS</v>
      </c>
    </row>
    <row r="9132" spans="1:6" x14ac:dyDescent="0.25">
      <c r="A9132" t="str">
        <f>"002704864"</f>
        <v>002704864</v>
      </c>
      <c r="B9132" t="str">
        <f>"1811453236"</f>
        <v>1811453236</v>
      </c>
      <c r="C9132" t="str">
        <f>"363L00000X"</f>
        <v>363L00000X</v>
      </c>
      <c r="D9132" t="str">
        <f>"WILLIAMS                 JAMES        S           "</f>
        <v xml:space="preserve">WILLIAMS                 JAMES        S           </v>
      </c>
      <c r="E9132" t="str">
        <f>"JACKSON                   "</f>
        <v xml:space="preserve">JACKSON                   </v>
      </c>
      <c r="F9132" t="str">
        <f t="shared" si="268"/>
        <v>MS</v>
      </c>
    </row>
    <row r="9133" spans="1:6" x14ac:dyDescent="0.25">
      <c r="A9133" t="str">
        <f>"002704891"</f>
        <v>002704891</v>
      </c>
      <c r="B9133" t="str">
        <f>"1194920389"</f>
        <v>1194920389</v>
      </c>
      <c r="C9133" t="str">
        <f>"208D00000X"</f>
        <v>208D00000X</v>
      </c>
      <c r="D9133" t="str">
        <f>"GILL                     NATHAN       S           "</f>
        <v xml:space="preserve">GILL                     NATHAN       S           </v>
      </c>
      <c r="E9133" t="str">
        <f>"BAY ST LOUIS              "</f>
        <v xml:space="preserve">BAY ST LOUIS              </v>
      </c>
      <c r="F9133" t="str">
        <f t="shared" si="268"/>
        <v>MS</v>
      </c>
    </row>
    <row r="9134" spans="1:6" x14ac:dyDescent="0.25">
      <c r="A9134" t="str">
        <f>"002705270"</f>
        <v>002705270</v>
      </c>
      <c r="B9134" t="str">
        <f>"1699978932"</f>
        <v>1699978932</v>
      </c>
      <c r="C9134" t="str">
        <f>"122300000X"</f>
        <v>122300000X</v>
      </c>
      <c r="D9134" t="str">
        <f>"NELSON                   KEVIN        M           "</f>
        <v xml:space="preserve">NELSON                   KEVIN        M           </v>
      </c>
      <c r="E9134" t="str">
        <f>"JACKSON                   "</f>
        <v xml:space="preserve">JACKSON                   </v>
      </c>
      <c r="F9134" t="str">
        <f t="shared" si="268"/>
        <v>MS</v>
      </c>
    </row>
    <row r="9135" spans="1:6" x14ac:dyDescent="0.25">
      <c r="A9135" t="str">
        <f>"002706250"</f>
        <v>002706250</v>
      </c>
      <c r="B9135" t="str">
        <f>"1770855173"</f>
        <v>1770855173</v>
      </c>
      <c r="C9135" t="str">
        <f>"207R00000X"</f>
        <v>207R00000X</v>
      </c>
      <c r="D9135" t="str">
        <f>"NORTON                   VALERIE      D           "</f>
        <v xml:space="preserve">NORTON                   VALERIE      D           </v>
      </c>
      <c r="E9135" t="str">
        <f>"CORINTH                   "</f>
        <v xml:space="preserve">CORINTH                   </v>
      </c>
      <c r="F9135" t="str">
        <f t="shared" si="268"/>
        <v>MS</v>
      </c>
    </row>
    <row r="9136" spans="1:6" x14ac:dyDescent="0.25">
      <c r="A9136" t="str">
        <f>"002707554"</f>
        <v>002707554</v>
      </c>
      <c r="B9136" t="str">
        <f>"1730592296"</f>
        <v>1730592296</v>
      </c>
      <c r="C9136" t="str">
        <f>"363L00000X"</f>
        <v>363L00000X</v>
      </c>
      <c r="D9136" t="str">
        <f>"DARBY                    SHELLEY      E           "</f>
        <v xml:space="preserve">DARBY                    SHELLEY      E           </v>
      </c>
      <c r="E9136" t="str">
        <f>"PHILADELPHIA              "</f>
        <v xml:space="preserve">PHILADELPHIA              </v>
      </c>
      <c r="F9136" t="str">
        <f t="shared" si="268"/>
        <v>MS</v>
      </c>
    </row>
    <row r="9137" spans="1:6" x14ac:dyDescent="0.25">
      <c r="A9137" t="str">
        <f>"002709024"</f>
        <v>002709024</v>
      </c>
      <c r="B9137" t="str">
        <f>"1356545677"</f>
        <v>1356545677</v>
      </c>
      <c r="C9137" t="str">
        <f>"207X00000X"</f>
        <v>207X00000X</v>
      </c>
      <c r="D9137" t="str">
        <f>"BARR                     JENNIFER     S           "</f>
        <v xml:space="preserve">BARR                     JENNIFER     S           </v>
      </c>
      <c r="E9137" t="str">
        <f>"JACKSON                   "</f>
        <v xml:space="preserve">JACKSON                   </v>
      </c>
      <c r="F9137" t="str">
        <f t="shared" si="268"/>
        <v>MS</v>
      </c>
    </row>
    <row r="9138" spans="1:6" x14ac:dyDescent="0.25">
      <c r="A9138" t="str">
        <f>"002709729"</f>
        <v>002709729</v>
      </c>
      <c r="B9138" t="str">
        <f>"1285847236"</f>
        <v>1285847236</v>
      </c>
      <c r="C9138" t="str">
        <f>"207RI0011X"</f>
        <v>207RI0011X</v>
      </c>
      <c r="D9138" t="str">
        <f>"SANTOS                   ROBERTO      P           "</f>
        <v xml:space="preserve">SANTOS                   ROBERTO      P           </v>
      </c>
      <c r="E9138" t="str">
        <f>"JACKSON                   "</f>
        <v xml:space="preserve">JACKSON                   </v>
      </c>
      <c r="F9138" t="str">
        <f t="shared" si="268"/>
        <v>MS</v>
      </c>
    </row>
    <row r="9139" spans="1:6" x14ac:dyDescent="0.25">
      <c r="A9139" t="str">
        <f>"002720226"</f>
        <v>002720226</v>
      </c>
      <c r="B9139" t="str">
        <f>"1336616135"</f>
        <v>1336616135</v>
      </c>
      <c r="C9139" t="str">
        <f>"363L00000X"</f>
        <v>363L00000X</v>
      </c>
      <c r="D9139" t="str">
        <f>"THOMASON                 ANDREA                   "</f>
        <v xml:space="preserve">THOMASON                 ANDREA                   </v>
      </c>
      <c r="E9139" t="str">
        <f>"BOONEVILLE                "</f>
        <v xml:space="preserve">BOONEVILLE                </v>
      </c>
      <c r="F9139" t="str">
        <f t="shared" si="268"/>
        <v>MS</v>
      </c>
    </row>
    <row r="9140" spans="1:6" x14ac:dyDescent="0.25">
      <c r="A9140" t="str">
        <f>"002720397"</f>
        <v>002720397</v>
      </c>
      <c r="B9140" t="str">
        <f>"1649846791"</f>
        <v>1649846791</v>
      </c>
      <c r="C9140" t="str">
        <f>"363L00000X"</f>
        <v>363L00000X</v>
      </c>
      <c r="D9140" t="str">
        <f>"PERKINS                  ANGELA       M           "</f>
        <v xml:space="preserve">PERKINS                  ANGELA       M           </v>
      </c>
      <c r="E9140" t="str">
        <f>"PRENTISS                  "</f>
        <v xml:space="preserve">PRENTISS                  </v>
      </c>
      <c r="F9140" t="str">
        <f t="shared" si="268"/>
        <v>MS</v>
      </c>
    </row>
    <row r="9141" spans="1:6" x14ac:dyDescent="0.25">
      <c r="A9141" t="str">
        <f>"002721245"</f>
        <v>002721245</v>
      </c>
      <c r="B9141" t="str">
        <f>"1669745659"</f>
        <v>1669745659</v>
      </c>
      <c r="C9141" t="str">
        <f>"363L00000X"</f>
        <v>363L00000X</v>
      </c>
      <c r="D9141" t="str">
        <f>"BOYD                     HOLLY        E           "</f>
        <v xml:space="preserve">BOYD                     HOLLY        E           </v>
      </c>
      <c r="E9141" t="str">
        <f>"LONG BEACH                "</f>
        <v xml:space="preserve">LONG BEACH                </v>
      </c>
      <c r="F9141" t="str">
        <f t="shared" si="268"/>
        <v>MS</v>
      </c>
    </row>
    <row r="9142" spans="1:6" x14ac:dyDescent="0.25">
      <c r="A9142" t="str">
        <f>"002722218"</f>
        <v>002722218</v>
      </c>
      <c r="B9142" t="str">
        <f>"1710916978"</f>
        <v>1710916978</v>
      </c>
      <c r="C9142" t="str">
        <f>"363L00000X"</f>
        <v>363L00000X</v>
      </c>
      <c r="D9142" t="str">
        <f>"NUSS                     MELANIE      P           "</f>
        <v xml:space="preserve">NUSS                     MELANIE      P           </v>
      </c>
      <c r="E9142" t="str">
        <f>"PICAYUNE                  "</f>
        <v xml:space="preserve">PICAYUNE                  </v>
      </c>
      <c r="F9142" t="str">
        <f t="shared" si="268"/>
        <v>MS</v>
      </c>
    </row>
    <row r="9143" spans="1:6" x14ac:dyDescent="0.25">
      <c r="A9143" t="str">
        <f>"002722269"</f>
        <v>002722269</v>
      </c>
      <c r="B9143" t="str">
        <f>"1922381466"</f>
        <v>1922381466</v>
      </c>
      <c r="C9143" t="str">
        <f>"363L00000X"</f>
        <v>363L00000X</v>
      </c>
      <c r="D9143" t="str">
        <f>"MCQUEEN                  MICHELLE     M           "</f>
        <v xml:space="preserve">MCQUEEN                  MICHELLE     M           </v>
      </c>
      <c r="E9143" t="str">
        <f>"WIGGINS                   "</f>
        <v xml:space="preserve">WIGGINS                   </v>
      </c>
      <c r="F9143" t="str">
        <f t="shared" si="268"/>
        <v>MS</v>
      </c>
    </row>
    <row r="9144" spans="1:6" x14ac:dyDescent="0.25">
      <c r="A9144" t="str">
        <f>"002723077"</f>
        <v>002723077</v>
      </c>
      <c r="B9144" t="str">
        <f>"1992011506"</f>
        <v>1992011506</v>
      </c>
      <c r="C9144" t="str">
        <f>"152W00000X"</f>
        <v>152W00000X</v>
      </c>
      <c r="D9144" t="str">
        <f>"RASMUSSEN                MELISSA      L           "</f>
        <v xml:space="preserve">RASMUSSEN                MELISSA      L           </v>
      </c>
      <c r="E9144" t="str">
        <f>"CANTON                    "</f>
        <v xml:space="preserve">CANTON                    </v>
      </c>
      <c r="F9144" t="str">
        <f t="shared" si="268"/>
        <v>MS</v>
      </c>
    </row>
    <row r="9145" spans="1:6" x14ac:dyDescent="0.25">
      <c r="A9145" t="str">
        <f>"002723739"</f>
        <v>002723739</v>
      </c>
      <c r="B9145" t="str">
        <f>"1710648050"</f>
        <v>1710648050</v>
      </c>
      <c r="C9145" t="str">
        <f>"363L00000X"</f>
        <v>363L00000X</v>
      </c>
      <c r="D9145" t="str">
        <f>"JOHNSON                  NEKESHA      M           "</f>
        <v xml:space="preserve">JOHNSON                  NEKESHA      M           </v>
      </c>
      <c r="E9145" t="str">
        <f>"GRENADA                   "</f>
        <v xml:space="preserve">GRENADA                   </v>
      </c>
      <c r="F9145" t="str">
        <f t="shared" si="268"/>
        <v>MS</v>
      </c>
    </row>
    <row r="9146" spans="1:6" x14ac:dyDescent="0.25">
      <c r="A9146" t="str">
        <f>"002724252"</f>
        <v>002724252</v>
      </c>
      <c r="B9146" t="str">
        <f>"1063026086"</f>
        <v>1063026086</v>
      </c>
      <c r="C9146" t="str">
        <f>"363L00000X"</f>
        <v>363L00000X</v>
      </c>
      <c r="D9146" t="str">
        <f>"MARTIN                   RACHEL                   "</f>
        <v xml:space="preserve">MARTIN                   RACHEL                   </v>
      </c>
      <c r="E9146" t="str">
        <f>"TUPELO                    "</f>
        <v xml:space="preserve">TUPELO                    </v>
      </c>
      <c r="F9146" t="str">
        <f t="shared" si="268"/>
        <v>MS</v>
      </c>
    </row>
    <row r="9147" spans="1:6" x14ac:dyDescent="0.25">
      <c r="A9147" t="str">
        <f>"002724813"</f>
        <v>002724813</v>
      </c>
      <c r="B9147" t="str">
        <f>"1952609802"</f>
        <v>1952609802</v>
      </c>
      <c r="C9147" t="str">
        <f>"363L00000X"</f>
        <v>363L00000X</v>
      </c>
      <c r="D9147" t="str">
        <f>"TURNER                   MORGAN       L           "</f>
        <v xml:space="preserve">TURNER                   MORGAN       L           </v>
      </c>
      <c r="E9147" t="str">
        <f>"TUPELO                    "</f>
        <v xml:space="preserve">TUPELO                    </v>
      </c>
      <c r="F9147" t="str">
        <f t="shared" si="268"/>
        <v>MS</v>
      </c>
    </row>
    <row r="9148" spans="1:6" x14ac:dyDescent="0.25">
      <c r="A9148" t="str">
        <f>"002725317"</f>
        <v>002725317</v>
      </c>
      <c r="B9148" t="str">
        <f>"1417253840"</f>
        <v>1417253840</v>
      </c>
      <c r="C9148" t="str">
        <f>"367500000X"</f>
        <v>367500000X</v>
      </c>
      <c r="D9148" t="str">
        <f>"GOODWIN                  CHAD         A           "</f>
        <v xml:space="preserve">GOODWIN                  CHAD         A           </v>
      </c>
      <c r="E9148" t="str">
        <f>"JACKSON                   "</f>
        <v xml:space="preserve">JACKSON                   </v>
      </c>
      <c r="F9148" t="str">
        <f t="shared" si="268"/>
        <v>MS</v>
      </c>
    </row>
    <row r="9149" spans="1:6" x14ac:dyDescent="0.25">
      <c r="A9149" t="str">
        <f>"002727555"</f>
        <v>002727555</v>
      </c>
      <c r="B9149" t="str">
        <f>"1427549591"</f>
        <v>1427549591</v>
      </c>
      <c r="C9149" t="str">
        <f>"207L00000X"</f>
        <v>207L00000X</v>
      </c>
      <c r="D9149" t="str">
        <f>"REED                     DEVIN        S           "</f>
        <v xml:space="preserve">REED                     DEVIN        S           </v>
      </c>
      <c r="E9149" t="str">
        <f>"JACKSON                   "</f>
        <v xml:space="preserve">JACKSON                   </v>
      </c>
      <c r="F9149" t="str">
        <f t="shared" si="268"/>
        <v>MS</v>
      </c>
    </row>
    <row r="9150" spans="1:6" x14ac:dyDescent="0.25">
      <c r="A9150" t="str">
        <f>"002727709"</f>
        <v>002727709</v>
      </c>
      <c r="B9150" t="str">
        <f>"1457398729"</f>
        <v>1457398729</v>
      </c>
      <c r="C9150" t="str">
        <f>"363L00000X"</f>
        <v>363L00000X</v>
      </c>
      <c r="D9150" t="str">
        <f>"DOTY                     MOLLIE       M           "</f>
        <v xml:space="preserve">DOTY                     MOLLIE       M           </v>
      </c>
      <c r="E9150" t="str">
        <f>"JACKSON                   "</f>
        <v xml:space="preserve">JACKSON                   </v>
      </c>
      <c r="F9150" t="str">
        <f t="shared" ref="F9150:F9213" si="269">"MS"</f>
        <v>MS</v>
      </c>
    </row>
    <row r="9151" spans="1:6" x14ac:dyDescent="0.25">
      <c r="A9151" t="str">
        <f>"002728231"</f>
        <v>002728231</v>
      </c>
      <c r="B9151" t="str">
        <f>"1538472576"</f>
        <v>1538472576</v>
      </c>
      <c r="C9151" t="str">
        <f>"363L00000X"</f>
        <v>363L00000X</v>
      </c>
      <c r="D9151" t="str">
        <f>"QADAN                    REGINA       N           "</f>
        <v xml:space="preserve">QADAN                    REGINA       N           </v>
      </c>
      <c r="E9151" t="str">
        <f>"JACKSON                   "</f>
        <v xml:space="preserve">JACKSON                   </v>
      </c>
      <c r="F9151" t="str">
        <f t="shared" si="269"/>
        <v>MS</v>
      </c>
    </row>
    <row r="9152" spans="1:6" x14ac:dyDescent="0.25">
      <c r="A9152" t="str">
        <f>"002728266"</f>
        <v>002728266</v>
      </c>
      <c r="B9152" t="str">
        <f>"1366477630"</f>
        <v>1366477630</v>
      </c>
      <c r="C9152" t="str">
        <f>"207Q00000X"</f>
        <v>207Q00000X</v>
      </c>
      <c r="D9152" t="str">
        <f>"MORGAN                   CARA                     "</f>
        <v xml:space="preserve">MORGAN                   CARA                     </v>
      </c>
      <c r="E9152" t="str">
        <f>"JACKSON                   "</f>
        <v xml:space="preserve">JACKSON                   </v>
      </c>
      <c r="F9152" t="str">
        <f t="shared" si="269"/>
        <v>MS</v>
      </c>
    </row>
    <row r="9153" spans="1:6" x14ac:dyDescent="0.25">
      <c r="A9153" t="str">
        <f>"002731512"</f>
        <v>002731512</v>
      </c>
      <c r="B9153" t="str">
        <f>"1598230781"</f>
        <v>1598230781</v>
      </c>
      <c r="C9153" t="str">
        <f>"363L00000X"</f>
        <v>363L00000X</v>
      </c>
      <c r="D9153" t="str">
        <f>"HEG                      CRISTI       N           "</f>
        <v xml:space="preserve">HEG                      CRISTI       N           </v>
      </c>
      <c r="E9153" t="str">
        <f>"CORINTH                   "</f>
        <v xml:space="preserve">CORINTH                   </v>
      </c>
      <c r="F9153" t="str">
        <f t="shared" si="269"/>
        <v>MS</v>
      </c>
    </row>
    <row r="9154" spans="1:6" x14ac:dyDescent="0.25">
      <c r="A9154" t="str">
        <f>"002733791"</f>
        <v>002733791</v>
      </c>
      <c r="B9154" t="str">
        <f>"1083975742"</f>
        <v>1083975742</v>
      </c>
      <c r="C9154" t="str">
        <f>"363L00000X"</f>
        <v>363L00000X</v>
      </c>
      <c r="D9154" t="str">
        <f>"TUMBLIN                  JAMESHA      I           "</f>
        <v xml:space="preserve">TUMBLIN                  JAMESHA      I           </v>
      </c>
      <c r="E9154" t="str">
        <f>"TUPELO                    "</f>
        <v xml:space="preserve">TUPELO                    </v>
      </c>
      <c r="F9154" t="str">
        <f t="shared" si="269"/>
        <v>MS</v>
      </c>
    </row>
    <row r="9155" spans="1:6" x14ac:dyDescent="0.25">
      <c r="A9155" t="str">
        <f>"002735217"</f>
        <v>002735217</v>
      </c>
      <c r="B9155" t="str">
        <f>"1881815074"</f>
        <v>1881815074</v>
      </c>
      <c r="C9155" t="str">
        <f>"207L00000X"</f>
        <v>207L00000X</v>
      </c>
      <c r="D9155" t="str">
        <f>"WALDROP                  CHRISTINE                "</f>
        <v xml:space="preserve">WALDROP                  CHRISTINE                </v>
      </c>
      <c r="E9155" t="str">
        <f>"SOUTHAVEN                 "</f>
        <v xml:space="preserve">SOUTHAVEN                 </v>
      </c>
      <c r="F9155" t="str">
        <f t="shared" si="269"/>
        <v>MS</v>
      </c>
    </row>
    <row r="9156" spans="1:6" x14ac:dyDescent="0.25">
      <c r="A9156" t="str">
        <f>"002735526"</f>
        <v>002735526</v>
      </c>
      <c r="B9156" t="str">
        <f>"1164457941"</f>
        <v>1164457941</v>
      </c>
      <c r="C9156" t="str">
        <f>"152W00000X"</f>
        <v>152W00000X</v>
      </c>
      <c r="D9156" t="str">
        <f>"EVANS                    DELLIA       S           "</f>
        <v xml:space="preserve">EVANS                    DELLIA       S           </v>
      </c>
      <c r="E9156" t="str">
        <f>"JACKSON                   "</f>
        <v xml:space="preserve">JACKSON                   </v>
      </c>
      <c r="F9156" t="str">
        <f t="shared" si="269"/>
        <v>MS</v>
      </c>
    </row>
    <row r="9157" spans="1:6" x14ac:dyDescent="0.25">
      <c r="A9157" t="str">
        <f>"002739555"</f>
        <v>002739555</v>
      </c>
      <c r="B9157" t="str">
        <f>"1952717274"</f>
        <v>1952717274</v>
      </c>
      <c r="C9157" t="str">
        <f>"363L00000X"</f>
        <v>363L00000X</v>
      </c>
      <c r="D9157" t="str">
        <f>"HUNTER                   BROOK        C           "</f>
        <v xml:space="preserve">HUNTER                   BROOK        C           </v>
      </c>
      <c r="E9157" t="str">
        <f>"JACKSON                   "</f>
        <v xml:space="preserve">JACKSON                   </v>
      </c>
      <c r="F9157" t="str">
        <f t="shared" si="269"/>
        <v>MS</v>
      </c>
    </row>
    <row r="9158" spans="1:6" x14ac:dyDescent="0.25">
      <c r="A9158" t="str">
        <f>"002750798"</f>
        <v>002750798</v>
      </c>
      <c r="B9158" t="str">
        <f>"1508029695"</f>
        <v>1508029695</v>
      </c>
      <c r="C9158" t="str">
        <f>"363L00000X"</f>
        <v>363L00000X</v>
      </c>
      <c r="D9158" t="str">
        <f>"WHITSON                  NICOLE       J           "</f>
        <v xml:space="preserve">WHITSON                  NICOLE       J           </v>
      </c>
      <c r="E9158" t="str">
        <f>"HATTIESBURG               "</f>
        <v xml:space="preserve">HATTIESBURG               </v>
      </c>
      <c r="F9158" t="str">
        <f t="shared" si="269"/>
        <v>MS</v>
      </c>
    </row>
    <row r="9159" spans="1:6" x14ac:dyDescent="0.25">
      <c r="A9159" t="str">
        <f>"002751071"</f>
        <v>002751071</v>
      </c>
      <c r="B9159" t="str">
        <f>"1497767545"</f>
        <v>1497767545</v>
      </c>
      <c r="C9159" t="str">
        <f>"207N00000X"</f>
        <v>207N00000X</v>
      </c>
      <c r="D9159" t="str">
        <f>"ASHER                    ANNA         C           "</f>
        <v xml:space="preserve">ASHER                    ANNA         C           </v>
      </c>
      <c r="E9159" t="str">
        <f>"FLOWOOD                   "</f>
        <v xml:space="preserve">FLOWOOD                   </v>
      </c>
      <c r="F9159" t="str">
        <f t="shared" si="269"/>
        <v>MS</v>
      </c>
    </row>
    <row r="9160" spans="1:6" x14ac:dyDescent="0.25">
      <c r="A9160" t="str">
        <f>"002752297"</f>
        <v>002752297</v>
      </c>
      <c r="B9160" t="str">
        <f>"1245209626"</f>
        <v>1245209626</v>
      </c>
      <c r="C9160" t="str">
        <f>"261QF0400X"</f>
        <v>261QF0400X</v>
      </c>
      <c r="D9160" t="str">
        <f>"GRACE CHRISTIAN ELEMENTARY SCHOOL                 "</f>
        <v xml:space="preserve">GRACE CHRISTIAN ELEMENTARY SCHOOL                 </v>
      </c>
      <c r="E9160" t="str">
        <f>"HATTIESBURG               "</f>
        <v xml:space="preserve">HATTIESBURG               </v>
      </c>
      <c r="F9160" t="str">
        <f t="shared" si="269"/>
        <v>MS</v>
      </c>
    </row>
    <row r="9161" spans="1:6" x14ac:dyDescent="0.25">
      <c r="A9161" t="str">
        <f>"002754021"</f>
        <v>002754021</v>
      </c>
      <c r="B9161" t="str">
        <f>"1316419575"</f>
        <v>1316419575</v>
      </c>
      <c r="C9161" t="str">
        <f>"363A00000X"</f>
        <v>363A00000X</v>
      </c>
      <c r="D9161" t="str">
        <f>"KILPATRICK               KAYLON       A           "</f>
        <v xml:space="preserve">KILPATRICK               KAYLON       A           </v>
      </c>
      <c r="E9161" t="str">
        <f>"HATTIESBURG               "</f>
        <v xml:space="preserve">HATTIESBURG               </v>
      </c>
      <c r="F9161" t="str">
        <f t="shared" si="269"/>
        <v>MS</v>
      </c>
    </row>
    <row r="9162" spans="1:6" x14ac:dyDescent="0.25">
      <c r="A9162" t="str">
        <f>"002754265"</f>
        <v>002754265</v>
      </c>
      <c r="B9162" t="str">
        <f>"1376195321"</f>
        <v>1376195321</v>
      </c>
      <c r="C9162" t="str">
        <f>"363L00000X"</f>
        <v>363L00000X</v>
      </c>
      <c r="D9162" t="str">
        <f>"NOBLE                    BRAD         T           "</f>
        <v xml:space="preserve">NOBLE                    BRAD         T           </v>
      </c>
      <c r="E9162" t="str">
        <f>"JACKSON                   "</f>
        <v xml:space="preserve">JACKSON                   </v>
      </c>
      <c r="F9162" t="str">
        <f t="shared" si="269"/>
        <v>MS</v>
      </c>
    </row>
    <row r="9163" spans="1:6" x14ac:dyDescent="0.25">
      <c r="A9163" t="str">
        <f>"002754739"</f>
        <v>002754739</v>
      </c>
      <c r="B9163" t="str">
        <f>"1093224446"</f>
        <v>1093224446</v>
      </c>
      <c r="C9163" t="str">
        <f>"363L00000X"</f>
        <v>363L00000X</v>
      </c>
      <c r="D9163" t="str">
        <f>"HURLEY                   JENNIFER                 "</f>
        <v xml:space="preserve">HURLEY                   JENNIFER                 </v>
      </c>
      <c r="E9163" t="str">
        <f>"PASCAGOULA                "</f>
        <v xml:space="preserve">PASCAGOULA                </v>
      </c>
      <c r="F9163" t="str">
        <f t="shared" si="269"/>
        <v>MS</v>
      </c>
    </row>
    <row r="9164" spans="1:6" x14ac:dyDescent="0.25">
      <c r="A9164" t="str">
        <f>"002755008"</f>
        <v>002755008</v>
      </c>
      <c r="B9164" t="str">
        <f>"1205065596"</f>
        <v>1205065596</v>
      </c>
      <c r="C9164" t="str">
        <f>"207P00000X"</f>
        <v>207P00000X</v>
      </c>
      <c r="D9164" t="str">
        <f>"FERRISS                  PATRICK      M           "</f>
        <v xml:space="preserve">FERRISS                  PATRICK      M           </v>
      </c>
      <c r="E9164" t="str">
        <f>"FLOWOOD                   "</f>
        <v xml:space="preserve">FLOWOOD                   </v>
      </c>
      <c r="F9164" t="str">
        <f t="shared" si="269"/>
        <v>MS</v>
      </c>
    </row>
    <row r="9165" spans="1:6" x14ac:dyDescent="0.25">
      <c r="A9165" t="str">
        <f>"002755554"</f>
        <v>002755554</v>
      </c>
      <c r="B9165" t="str">
        <f>"1043574445"</f>
        <v>1043574445</v>
      </c>
      <c r="C9165" t="str">
        <f>"207L00000X"</f>
        <v>207L00000X</v>
      </c>
      <c r="D9165" t="str">
        <f>"TUCKER                   DOUGLS       A           "</f>
        <v xml:space="preserve">TUCKER                   DOUGLS       A           </v>
      </c>
      <c r="E9165" t="str">
        <f>"HATTIESBURG               "</f>
        <v xml:space="preserve">HATTIESBURG               </v>
      </c>
      <c r="F9165" t="str">
        <f t="shared" si="269"/>
        <v>MS</v>
      </c>
    </row>
    <row r="9166" spans="1:6" x14ac:dyDescent="0.25">
      <c r="A9166" t="str">
        <f>"002755801"</f>
        <v>002755801</v>
      </c>
      <c r="B9166" t="str">
        <f>"1245744069"</f>
        <v>1245744069</v>
      </c>
      <c r="C9166" t="str">
        <f>"367500000X"</f>
        <v>367500000X</v>
      </c>
      <c r="D9166" t="str">
        <f>"GASTON                   ROBERT       A           "</f>
        <v xml:space="preserve">GASTON                   ROBERT       A           </v>
      </c>
      <c r="E9166" t="str">
        <f>"HATTIESBURG               "</f>
        <v xml:space="preserve">HATTIESBURG               </v>
      </c>
      <c r="F9166" t="str">
        <f t="shared" si="269"/>
        <v>MS</v>
      </c>
    </row>
    <row r="9167" spans="1:6" x14ac:dyDescent="0.25">
      <c r="A9167" t="str">
        <f>"002756524"</f>
        <v>002756524</v>
      </c>
      <c r="B9167" t="str">
        <f>"1346291432"</f>
        <v>1346291432</v>
      </c>
      <c r="C9167" t="str">
        <f>"207Q00000X"</f>
        <v>207Q00000X</v>
      </c>
      <c r="D9167" t="str">
        <f>"NASH                     DANA                     "</f>
        <v xml:space="preserve">NASH                     DANA                     </v>
      </c>
      <c r="E9167" t="str">
        <f>"BYHALIA                   "</f>
        <v xml:space="preserve">BYHALIA                   </v>
      </c>
      <c r="F9167" t="str">
        <f t="shared" si="269"/>
        <v>MS</v>
      </c>
    </row>
    <row r="9168" spans="1:6" x14ac:dyDescent="0.25">
      <c r="A9168" t="str">
        <f>"002756771"</f>
        <v>002756771</v>
      </c>
      <c r="B9168" t="str">
        <f>"1922544915"</f>
        <v>1922544915</v>
      </c>
      <c r="C9168" t="str">
        <f>"363L00000X"</f>
        <v>363L00000X</v>
      </c>
      <c r="D9168" t="str">
        <f>"LEDFORD                  SCOTIE       M           "</f>
        <v xml:space="preserve">LEDFORD                  SCOTIE       M           </v>
      </c>
      <c r="E9168" t="str">
        <f>"JACKSON                   "</f>
        <v xml:space="preserve">JACKSON                   </v>
      </c>
      <c r="F9168" t="str">
        <f t="shared" si="269"/>
        <v>MS</v>
      </c>
    </row>
    <row r="9169" spans="1:6" x14ac:dyDescent="0.25">
      <c r="A9169" t="str">
        <f>"002757000"</f>
        <v>002757000</v>
      </c>
      <c r="B9169" t="str">
        <f>"1124559422"</f>
        <v>1124559422</v>
      </c>
      <c r="C9169" t="str">
        <f>"207P00000X"</f>
        <v>207P00000X</v>
      </c>
      <c r="D9169" t="str">
        <f>"DUPLECHAIN               ADAM                     "</f>
        <v xml:space="preserve">DUPLECHAIN               ADAM                     </v>
      </c>
      <c r="E9169" t="str">
        <f>"JACKSON                   "</f>
        <v xml:space="preserve">JACKSON                   </v>
      </c>
      <c r="F9169" t="str">
        <f t="shared" si="269"/>
        <v>MS</v>
      </c>
    </row>
    <row r="9170" spans="1:6" x14ac:dyDescent="0.25">
      <c r="A9170" t="str">
        <f>"002758296"</f>
        <v>002758296</v>
      </c>
      <c r="B9170" t="str">
        <f>"1841371341"</f>
        <v>1841371341</v>
      </c>
      <c r="C9170" t="str">
        <f>"152W00000X"</f>
        <v>152W00000X</v>
      </c>
      <c r="D9170" t="str">
        <f>"LAHIRI-MUNIR             DEVJANI                  "</f>
        <v xml:space="preserve">LAHIRI-MUNIR             DEVJANI                  </v>
      </c>
      <c r="E9170" t="str">
        <f>"WOODVILLE                 "</f>
        <v xml:space="preserve">WOODVILLE                 </v>
      </c>
      <c r="F9170" t="str">
        <f t="shared" si="269"/>
        <v>MS</v>
      </c>
    </row>
    <row r="9171" spans="1:6" x14ac:dyDescent="0.25">
      <c r="A9171" t="str">
        <f>"002759062"</f>
        <v>002759062</v>
      </c>
      <c r="B9171" t="str">
        <f>"1346637493"</f>
        <v>1346637493</v>
      </c>
      <c r="C9171" t="str">
        <f>"207R00000X"</f>
        <v>207R00000X</v>
      </c>
      <c r="D9171" t="str">
        <f>"LIU                      HUILING                  "</f>
        <v xml:space="preserve">LIU                      HUILING                  </v>
      </c>
      <c r="E9171" t="str">
        <f>"JACKSON                   "</f>
        <v xml:space="preserve">JACKSON                   </v>
      </c>
      <c r="F9171" t="str">
        <f t="shared" si="269"/>
        <v>MS</v>
      </c>
    </row>
    <row r="9172" spans="1:6" x14ac:dyDescent="0.25">
      <c r="A9172" t="str">
        <f>"002770739"</f>
        <v>002770739</v>
      </c>
      <c r="B9172" t="str">
        <f>"1720554397"</f>
        <v>1720554397</v>
      </c>
      <c r="C9172" t="str">
        <f>"363L00000X"</f>
        <v>363L00000X</v>
      </c>
      <c r="D9172" t="str">
        <f>"FLIPPIN                  LAURA                    "</f>
        <v xml:space="preserve">FLIPPIN                  LAURA                    </v>
      </c>
      <c r="E9172" t="str">
        <f>"GRENADA                   "</f>
        <v xml:space="preserve">GRENADA                   </v>
      </c>
      <c r="F9172" t="str">
        <f t="shared" si="269"/>
        <v>MS</v>
      </c>
    </row>
    <row r="9173" spans="1:6" x14ac:dyDescent="0.25">
      <c r="A9173" t="str">
        <f>"002771215"</f>
        <v>002771215</v>
      </c>
      <c r="B9173" t="str">
        <f>"1538374285"</f>
        <v>1538374285</v>
      </c>
      <c r="C9173" t="str">
        <f>"208M00000X"</f>
        <v>208M00000X</v>
      </c>
      <c r="D9173" t="str">
        <f>"NOOR                     RAHAT                    "</f>
        <v xml:space="preserve">NOOR                     RAHAT                    </v>
      </c>
      <c r="E9173" t="str">
        <f>"JACKSON                   "</f>
        <v xml:space="preserve">JACKSON                   </v>
      </c>
      <c r="F9173" t="str">
        <f t="shared" si="269"/>
        <v>MS</v>
      </c>
    </row>
    <row r="9174" spans="1:6" x14ac:dyDescent="0.25">
      <c r="A9174" t="str">
        <f>"002773572"</f>
        <v>002773572</v>
      </c>
      <c r="B9174" t="str">
        <f>"1548750540"</f>
        <v>1548750540</v>
      </c>
      <c r="C9174" t="str">
        <f>"207P00000X"</f>
        <v>207P00000X</v>
      </c>
      <c r="D9174" t="str">
        <f>"HAMPTON                  SAMUEL                   "</f>
        <v xml:space="preserve">HAMPTON                  SAMUEL                   </v>
      </c>
      <c r="E9174" t="str">
        <f>"CORINTH                   "</f>
        <v xml:space="preserve">CORINTH                   </v>
      </c>
      <c r="F9174" t="str">
        <f t="shared" si="269"/>
        <v>MS</v>
      </c>
    </row>
    <row r="9175" spans="1:6" x14ac:dyDescent="0.25">
      <c r="A9175" t="str">
        <f>"002774068"</f>
        <v>002774068</v>
      </c>
      <c r="B9175" t="str">
        <f>"1649342585"</f>
        <v>1649342585</v>
      </c>
      <c r="C9175" t="str">
        <f>"207RC0000X"</f>
        <v>207RC0000X</v>
      </c>
      <c r="D9175" t="str">
        <f>"CARROLL                  WILLIAM      S           "</f>
        <v xml:space="preserve">CARROLL                  WILLIAM      S           </v>
      </c>
      <c r="E9175" t="str">
        <f>"TUPELO                    "</f>
        <v xml:space="preserve">TUPELO                    </v>
      </c>
      <c r="F9175" t="str">
        <f t="shared" si="269"/>
        <v>MS</v>
      </c>
    </row>
    <row r="9176" spans="1:6" x14ac:dyDescent="0.25">
      <c r="A9176" t="str">
        <f>"002775292"</f>
        <v>002775292</v>
      </c>
      <c r="B9176" t="str">
        <f>"1083936132"</f>
        <v>1083936132</v>
      </c>
      <c r="C9176" t="str">
        <f>"1223P0221X"</f>
        <v>1223P0221X</v>
      </c>
      <c r="D9176" t="str">
        <f>"FORTENBERRY              SUSAN        C           "</f>
        <v xml:space="preserve">FORTENBERRY              SUSAN        C           </v>
      </c>
      <c r="E9176" t="str">
        <f>"JACKSON                   "</f>
        <v xml:space="preserve">JACKSON                   </v>
      </c>
      <c r="F9176" t="str">
        <f t="shared" si="269"/>
        <v>MS</v>
      </c>
    </row>
    <row r="9177" spans="1:6" x14ac:dyDescent="0.25">
      <c r="A9177" t="str">
        <f>"002775502"</f>
        <v>002775502</v>
      </c>
      <c r="B9177" t="str">
        <f>"1235497108"</f>
        <v>1235497108</v>
      </c>
      <c r="C9177" t="str">
        <f>"122300000X"</f>
        <v>122300000X</v>
      </c>
      <c r="D9177" t="str">
        <f>"TERRY LAKE GARNER DMD                             "</f>
        <v xml:space="preserve">TERRY LAKE GARNER DMD                             </v>
      </c>
      <c r="E9177" t="str">
        <f>"VICKSBURG                 "</f>
        <v xml:space="preserve">VICKSBURG                 </v>
      </c>
      <c r="F9177" t="str">
        <f t="shared" si="269"/>
        <v>MS</v>
      </c>
    </row>
    <row r="9178" spans="1:6" x14ac:dyDescent="0.25">
      <c r="A9178" t="str">
        <f>"002776049"</f>
        <v>002776049</v>
      </c>
      <c r="B9178" t="str">
        <f>"1336652734"</f>
        <v>1336652734</v>
      </c>
      <c r="C9178" t="str">
        <f>"363L00000X"</f>
        <v>363L00000X</v>
      </c>
      <c r="D9178" t="str">
        <f>"HART                     BRITTANY     D           "</f>
        <v xml:space="preserve">HART                     BRITTANY     D           </v>
      </c>
      <c r="E9178" t="str">
        <f>"MADISON                   "</f>
        <v xml:space="preserve">MADISON                   </v>
      </c>
      <c r="F9178" t="str">
        <f t="shared" si="269"/>
        <v>MS</v>
      </c>
    </row>
    <row r="9179" spans="1:6" x14ac:dyDescent="0.25">
      <c r="A9179" t="str">
        <f>"002776874"</f>
        <v>002776874</v>
      </c>
      <c r="B9179" t="str">
        <f>"1942711288"</f>
        <v>1942711288</v>
      </c>
      <c r="C9179" t="str">
        <f>"363L00000X"</f>
        <v>363L00000X</v>
      </c>
      <c r="D9179" t="str">
        <f>"SANDERS                  TIFFANY                  "</f>
        <v xml:space="preserve">SANDERS                  TIFFANY                  </v>
      </c>
      <c r="E9179" t="str">
        <f>"GULFPORT                  "</f>
        <v xml:space="preserve">GULFPORT                  </v>
      </c>
      <c r="F9179" t="str">
        <f t="shared" si="269"/>
        <v>MS</v>
      </c>
    </row>
    <row r="9180" spans="1:6" x14ac:dyDescent="0.25">
      <c r="A9180" t="str">
        <f>"002777259"</f>
        <v>002777259</v>
      </c>
      <c r="B9180" t="str">
        <f>"1619424330"</f>
        <v>1619424330</v>
      </c>
      <c r="C9180" t="str">
        <f>"363L00000X"</f>
        <v>363L00000X</v>
      </c>
      <c r="D9180" t="str">
        <f>"SANDERS                  KISHINA      S           "</f>
        <v xml:space="preserve">SANDERS                  KISHINA      S           </v>
      </c>
      <c r="E9180" t="str">
        <f>"JACKSON                   "</f>
        <v xml:space="preserve">JACKSON                   </v>
      </c>
      <c r="F9180" t="str">
        <f t="shared" si="269"/>
        <v>MS</v>
      </c>
    </row>
    <row r="9181" spans="1:6" x14ac:dyDescent="0.25">
      <c r="A9181" t="str">
        <f>"002777265"</f>
        <v>002777265</v>
      </c>
      <c r="B9181" t="str">
        <f>"1891136818"</f>
        <v>1891136818</v>
      </c>
      <c r="C9181" t="str">
        <f>"261QM1300X"</f>
        <v>261QM1300X</v>
      </c>
      <c r="D9181" t="str">
        <f>"CHILDRENS PSYCHIATRIC SOLUTIONS                   "</f>
        <v xml:space="preserve">CHILDRENS PSYCHIATRIC SOLUTIONS                   </v>
      </c>
      <c r="E9181" t="str">
        <f>"JACKSON                   "</f>
        <v xml:space="preserve">JACKSON                   </v>
      </c>
      <c r="F9181" t="str">
        <f t="shared" si="269"/>
        <v>MS</v>
      </c>
    </row>
    <row r="9182" spans="1:6" x14ac:dyDescent="0.25">
      <c r="A9182" t="str">
        <f>"002778068"</f>
        <v>002778068</v>
      </c>
      <c r="B9182" t="str">
        <f>"1851575880"</f>
        <v>1851575880</v>
      </c>
      <c r="C9182" t="str">
        <f>"363L00000X"</f>
        <v>363L00000X</v>
      </c>
      <c r="D9182" t="str">
        <f>"BARRY                    AMANDA       L           "</f>
        <v xml:space="preserve">BARRY                    AMANDA       L           </v>
      </c>
      <c r="E9182" t="str">
        <f>"JACKSON                   "</f>
        <v xml:space="preserve">JACKSON                   </v>
      </c>
      <c r="F9182" t="str">
        <f t="shared" si="269"/>
        <v>MS</v>
      </c>
    </row>
    <row r="9183" spans="1:6" x14ac:dyDescent="0.25">
      <c r="A9183" t="str">
        <f>"002779260"</f>
        <v>002779260</v>
      </c>
      <c r="B9183" t="str">
        <f>"1255848073"</f>
        <v>1255848073</v>
      </c>
      <c r="C9183" t="str">
        <f>"367500000X"</f>
        <v>367500000X</v>
      </c>
      <c r="D9183" t="str">
        <f>"RIGDON                   ASHLEY       E           "</f>
        <v xml:space="preserve">RIGDON                   ASHLEY       E           </v>
      </c>
      <c r="E9183" t="str">
        <f>"MERIDIAN                  "</f>
        <v xml:space="preserve">MERIDIAN                  </v>
      </c>
      <c r="F9183" t="str">
        <f t="shared" si="269"/>
        <v>MS</v>
      </c>
    </row>
    <row r="9184" spans="1:6" x14ac:dyDescent="0.25">
      <c r="A9184" t="str">
        <f>"002779521"</f>
        <v>002779521</v>
      </c>
      <c r="B9184" t="str">
        <f>"1003404732"</f>
        <v>1003404732</v>
      </c>
      <c r="C9184" t="str">
        <f>"363L00000X"</f>
        <v>363L00000X</v>
      </c>
      <c r="D9184" t="str">
        <f>"COOLEY                   KAYLA                    "</f>
        <v xml:space="preserve">COOLEY                   KAYLA                    </v>
      </c>
      <c r="E9184" t="str">
        <f>"SAUCIER                   "</f>
        <v xml:space="preserve">SAUCIER                   </v>
      </c>
      <c r="F9184" t="str">
        <f t="shared" si="269"/>
        <v>MS</v>
      </c>
    </row>
    <row r="9185" spans="1:6" x14ac:dyDescent="0.25">
      <c r="A9185" t="str">
        <f>"002781243"</f>
        <v>002781243</v>
      </c>
      <c r="B9185" t="str">
        <f>"1417322587"</f>
        <v>1417322587</v>
      </c>
      <c r="C9185" t="str">
        <f>"261QA0600X"</f>
        <v>261QA0600X</v>
      </c>
      <c r="D9185" t="str">
        <f>"UNITED FAMILY LIFE ADULT DAY SERVIC               "</f>
        <v xml:space="preserve">UNITED FAMILY LIFE ADULT DAY SERVIC               </v>
      </c>
      <c r="E9185" t="str">
        <f>"CLEVELAND                 "</f>
        <v xml:space="preserve">CLEVELAND                 </v>
      </c>
      <c r="F9185" t="str">
        <f t="shared" si="269"/>
        <v>MS</v>
      </c>
    </row>
    <row r="9186" spans="1:6" x14ac:dyDescent="0.25">
      <c r="A9186" t="str">
        <f>"002781591"</f>
        <v>002781591</v>
      </c>
      <c r="B9186" t="str">
        <f>"1003487463"</f>
        <v>1003487463</v>
      </c>
      <c r="C9186" t="str">
        <f>"152W00000X"</f>
        <v>152W00000X</v>
      </c>
      <c r="D9186" t="str">
        <f>"LANSDELL                 ANNA         K           "</f>
        <v xml:space="preserve">LANSDELL                 ANNA         K           </v>
      </c>
      <c r="E9186" t="str">
        <f>"SALTILLO                  "</f>
        <v xml:space="preserve">SALTILLO                  </v>
      </c>
      <c r="F9186" t="str">
        <f t="shared" si="269"/>
        <v>MS</v>
      </c>
    </row>
    <row r="9187" spans="1:6" x14ac:dyDescent="0.25">
      <c r="A9187" t="str">
        <f>"002782381"</f>
        <v>002782381</v>
      </c>
      <c r="B9187" t="str">
        <f>"1174629257"</f>
        <v>1174629257</v>
      </c>
      <c r="C9187" t="str">
        <f>"2080P0203X"</f>
        <v>2080P0203X</v>
      </c>
      <c r="D9187" t="str">
        <f>"TAYLOR                   MARY         B           "</f>
        <v xml:space="preserve">TAYLOR                   MARY         B           </v>
      </c>
      <c r="E9187" t="str">
        <f>"JACKSON                   "</f>
        <v xml:space="preserve">JACKSON                   </v>
      </c>
      <c r="F9187" t="str">
        <f t="shared" si="269"/>
        <v>MS</v>
      </c>
    </row>
    <row r="9188" spans="1:6" x14ac:dyDescent="0.25">
      <c r="A9188" t="str">
        <f>"002783252"</f>
        <v>002783252</v>
      </c>
      <c r="B9188" t="str">
        <f>"1962664110"</f>
        <v>1962664110</v>
      </c>
      <c r="C9188" t="str">
        <f>"2080P0214X"</f>
        <v>2080P0214X</v>
      </c>
      <c r="D9188" t="str">
        <f>"JOSEY JR                 DAVID                    "</f>
        <v xml:space="preserve">JOSEY JR                 DAVID                    </v>
      </c>
      <c r="E9188" t="str">
        <f>"JACKSON                   "</f>
        <v xml:space="preserve">JACKSON                   </v>
      </c>
      <c r="F9188" t="str">
        <f t="shared" si="269"/>
        <v>MS</v>
      </c>
    </row>
    <row r="9189" spans="1:6" x14ac:dyDescent="0.25">
      <c r="A9189" t="str">
        <f>"002784012"</f>
        <v>002784012</v>
      </c>
      <c r="B9189" t="str">
        <f>"1609178094"</f>
        <v>1609178094</v>
      </c>
      <c r="C9189" t="str">
        <f>"363L00000X"</f>
        <v>363L00000X</v>
      </c>
      <c r="D9189" t="str">
        <f>"BLAYLOCK                 KRISTA       B           "</f>
        <v xml:space="preserve">BLAYLOCK                 KRISTA       B           </v>
      </c>
      <c r="E9189" t="str">
        <f>"KOSCIUSKO                 "</f>
        <v xml:space="preserve">KOSCIUSKO                 </v>
      </c>
      <c r="F9189" t="str">
        <f t="shared" si="269"/>
        <v>MS</v>
      </c>
    </row>
    <row r="9190" spans="1:6" x14ac:dyDescent="0.25">
      <c r="A9190" t="str">
        <f>"002784721"</f>
        <v>002784721</v>
      </c>
      <c r="B9190" t="str">
        <f>"1760016265"</f>
        <v>1760016265</v>
      </c>
      <c r="C9190" t="str">
        <f>"363L00000X"</f>
        <v>363L00000X</v>
      </c>
      <c r="D9190" t="str">
        <f>"GRAVES                   MELONIE      S           "</f>
        <v xml:space="preserve">GRAVES                   MELONIE      S           </v>
      </c>
      <c r="E9190" t="str">
        <f>"BATESVILLE                "</f>
        <v xml:space="preserve">BATESVILLE                </v>
      </c>
      <c r="F9190" t="str">
        <f t="shared" si="269"/>
        <v>MS</v>
      </c>
    </row>
    <row r="9191" spans="1:6" x14ac:dyDescent="0.25">
      <c r="A9191" t="str">
        <f>"002785041"</f>
        <v>002785041</v>
      </c>
      <c r="B9191" t="str">
        <f>"1356713903"</f>
        <v>1356713903</v>
      </c>
      <c r="C9191" t="str">
        <f>"363L00000X"</f>
        <v>363L00000X</v>
      </c>
      <c r="D9191" t="str">
        <f>"FLOYD                    MITZI                    "</f>
        <v xml:space="preserve">FLOYD                    MITZI                    </v>
      </c>
      <c r="E9191" t="str">
        <f>"BRANDON                   "</f>
        <v xml:space="preserve">BRANDON                   </v>
      </c>
      <c r="F9191" t="str">
        <f t="shared" si="269"/>
        <v>MS</v>
      </c>
    </row>
    <row r="9192" spans="1:6" x14ac:dyDescent="0.25">
      <c r="A9192" t="str">
        <f>"002786315"</f>
        <v>002786315</v>
      </c>
      <c r="B9192" t="str">
        <f>"1922523026"</f>
        <v>1922523026</v>
      </c>
      <c r="C9192" t="str">
        <f>"363A00000X"</f>
        <v>363A00000X</v>
      </c>
      <c r="D9192" t="str">
        <f>"CRUMPTON                 FRANKLIN     C           "</f>
        <v xml:space="preserve">CRUMPTON                 FRANKLIN     C           </v>
      </c>
      <c r="E9192" t="str">
        <f>"TUPELO                    "</f>
        <v xml:space="preserve">TUPELO                    </v>
      </c>
      <c r="F9192" t="str">
        <f t="shared" si="269"/>
        <v>MS</v>
      </c>
    </row>
    <row r="9193" spans="1:6" x14ac:dyDescent="0.25">
      <c r="A9193" t="str">
        <f>"002787599"</f>
        <v>002787599</v>
      </c>
      <c r="B9193" t="str">
        <f>"1255787966"</f>
        <v>1255787966</v>
      </c>
      <c r="C9193" t="str">
        <f>"208600000X"</f>
        <v>208600000X</v>
      </c>
      <c r="D9193" t="str">
        <f>"PETTIGREW                BENJAMIN                 "</f>
        <v xml:space="preserve">PETTIGREW                BENJAMIN                 </v>
      </c>
      <c r="E9193" t="str">
        <f>"CORINTH                   "</f>
        <v xml:space="preserve">CORINTH                   </v>
      </c>
      <c r="F9193" t="str">
        <f t="shared" si="269"/>
        <v>MS</v>
      </c>
    </row>
    <row r="9194" spans="1:6" x14ac:dyDescent="0.25">
      <c r="A9194" t="str">
        <f>"002789582"</f>
        <v>002789582</v>
      </c>
      <c r="B9194" t="str">
        <f>"1265995203"</f>
        <v>1265995203</v>
      </c>
      <c r="C9194" t="str">
        <f>"207P00000X"</f>
        <v>207P00000X</v>
      </c>
      <c r="D9194" t="str">
        <f>"MAGEE                    MICHAEL      J           "</f>
        <v xml:space="preserve">MAGEE                    MICHAEL      J           </v>
      </c>
      <c r="E9194" t="str">
        <f>"OXFORD                    "</f>
        <v xml:space="preserve">OXFORD                    </v>
      </c>
      <c r="F9194" t="str">
        <f t="shared" si="269"/>
        <v>MS</v>
      </c>
    </row>
    <row r="9195" spans="1:6" x14ac:dyDescent="0.25">
      <c r="A9195" t="str">
        <f>"002800413"</f>
        <v>002800413</v>
      </c>
      <c r="B9195" t="str">
        <f>"1124632187"</f>
        <v>1124632187</v>
      </c>
      <c r="C9195" t="str">
        <f>"363L00000X"</f>
        <v>363L00000X</v>
      </c>
      <c r="D9195" t="str">
        <f>"JOHNSON                  TATUM        M           "</f>
        <v xml:space="preserve">JOHNSON                  TATUM        M           </v>
      </c>
      <c r="E9195" t="str">
        <f>"HATTIESBURG               "</f>
        <v xml:space="preserve">HATTIESBURG               </v>
      </c>
      <c r="F9195" t="str">
        <f t="shared" si="269"/>
        <v>MS</v>
      </c>
    </row>
    <row r="9196" spans="1:6" x14ac:dyDescent="0.25">
      <c r="A9196" t="str">
        <f>"002800954"</f>
        <v>002800954</v>
      </c>
      <c r="B9196" t="str">
        <f>"1144581216"</f>
        <v>1144581216</v>
      </c>
      <c r="C9196" t="str">
        <f>"207T00000X"</f>
        <v>207T00000X</v>
      </c>
      <c r="D9196" t="str">
        <f>"STRICKLAND               ALLISON                  "</f>
        <v xml:space="preserve">STRICKLAND               ALLISON                  </v>
      </c>
      <c r="E9196" t="str">
        <f>"JACKSON                   "</f>
        <v xml:space="preserve">JACKSON                   </v>
      </c>
      <c r="F9196" t="str">
        <f t="shared" si="269"/>
        <v>MS</v>
      </c>
    </row>
    <row r="9197" spans="1:6" x14ac:dyDescent="0.25">
      <c r="A9197" t="str">
        <f>"002801001"</f>
        <v>002801001</v>
      </c>
      <c r="B9197" t="str">
        <f>"1285680264"</f>
        <v>1285680264</v>
      </c>
      <c r="C9197" t="str">
        <f>"207Q00000X"</f>
        <v>207Q00000X</v>
      </c>
      <c r="D9197" t="str">
        <f>"ROUHBAKHSH               RAMBOD                   "</f>
        <v xml:space="preserve">ROUHBAKHSH               RAMBOD                   </v>
      </c>
      <c r="E9197" t="str">
        <f>"HATTIESBURG               "</f>
        <v xml:space="preserve">HATTIESBURG               </v>
      </c>
      <c r="F9197" t="str">
        <f t="shared" si="269"/>
        <v>MS</v>
      </c>
    </row>
    <row r="9198" spans="1:6" x14ac:dyDescent="0.25">
      <c r="A9198" t="str">
        <f>"002801770"</f>
        <v>002801770</v>
      </c>
      <c r="B9198" t="str">
        <f>"1891226551"</f>
        <v>1891226551</v>
      </c>
      <c r="C9198" t="str">
        <f>"207L00000X"</f>
        <v>207L00000X</v>
      </c>
      <c r="D9198" t="str">
        <f>"BELLAMY                  KYLE                     "</f>
        <v xml:space="preserve">BELLAMY                  KYLE                     </v>
      </c>
      <c r="E9198" t="str">
        <f>"LAUREL                    "</f>
        <v xml:space="preserve">LAUREL                    </v>
      </c>
      <c r="F9198" t="str">
        <f t="shared" si="269"/>
        <v>MS</v>
      </c>
    </row>
    <row r="9199" spans="1:6" x14ac:dyDescent="0.25">
      <c r="A9199" t="str">
        <f>"002802767"</f>
        <v>002802767</v>
      </c>
      <c r="B9199" t="str">
        <f>"1235508276"</f>
        <v>1235508276</v>
      </c>
      <c r="C9199" t="str">
        <f>"363L00000X"</f>
        <v>363L00000X</v>
      </c>
      <c r="D9199" t="str">
        <f>"POWELL                   SARAH        M           "</f>
        <v xml:space="preserve">POWELL                   SARAH        M           </v>
      </c>
      <c r="E9199" t="str">
        <f>"WEST POINT                "</f>
        <v xml:space="preserve">WEST POINT                </v>
      </c>
      <c r="F9199" t="str">
        <f t="shared" si="269"/>
        <v>MS</v>
      </c>
    </row>
    <row r="9200" spans="1:6" x14ac:dyDescent="0.25">
      <c r="A9200" t="str">
        <f>"002803815"</f>
        <v>002803815</v>
      </c>
      <c r="B9200" t="str">
        <f>"1922585967"</f>
        <v>1922585967</v>
      </c>
      <c r="C9200" t="str">
        <f>"363L00000X"</f>
        <v>363L00000X</v>
      </c>
      <c r="D9200" t="str">
        <f>"CLIBURN                  WILLIAM      M           "</f>
        <v xml:space="preserve">CLIBURN                  WILLIAM      M           </v>
      </c>
      <c r="E9200" t="str">
        <f>"JACKSON                   "</f>
        <v xml:space="preserve">JACKSON                   </v>
      </c>
      <c r="F9200" t="str">
        <f t="shared" si="269"/>
        <v>MS</v>
      </c>
    </row>
    <row r="9201" spans="1:6" x14ac:dyDescent="0.25">
      <c r="A9201" t="str">
        <f>"002805809"</f>
        <v>002805809</v>
      </c>
      <c r="B9201" t="str">
        <f>"1609032705"</f>
        <v>1609032705</v>
      </c>
      <c r="C9201" t="str">
        <f>"152W00000X"</f>
        <v>152W00000X</v>
      </c>
      <c r="D9201" t="str">
        <f>"LEWIS-TAYLOR             LANA         D           "</f>
        <v xml:space="preserve">LEWIS-TAYLOR             LANA         D           </v>
      </c>
      <c r="E9201" t="str">
        <f>"OXFORD                    "</f>
        <v xml:space="preserve">OXFORD                    </v>
      </c>
      <c r="F9201" t="str">
        <f t="shared" si="269"/>
        <v>MS</v>
      </c>
    </row>
    <row r="9202" spans="1:6" x14ac:dyDescent="0.25">
      <c r="A9202" t="str">
        <f>"002806890"</f>
        <v>002806890</v>
      </c>
      <c r="B9202" t="str">
        <f>"1407396997"</f>
        <v>1407396997</v>
      </c>
      <c r="C9202" t="str">
        <f>"363L00000X"</f>
        <v>363L00000X</v>
      </c>
      <c r="D9202" t="str">
        <f>"BITNER                   CORI         L           "</f>
        <v xml:space="preserve">BITNER                   CORI         L           </v>
      </c>
      <c r="E9202" t="str">
        <f>"FLOWOOD                   "</f>
        <v xml:space="preserve">FLOWOOD                   </v>
      </c>
      <c r="F9202" t="str">
        <f t="shared" si="269"/>
        <v>MS</v>
      </c>
    </row>
    <row r="9203" spans="1:6" x14ac:dyDescent="0.25">
      <c r="A9203" t="str">
        <f>"002806898"</f>
        <v>002806898</v>
      </c>
      <c r="B9203" t="str">
        <f>"1750846473"</f>
        <v>1750846473</v>
      </c>
      <c r="C9203" t="str">
        <f>"363L00000X"</f>
        <v>363L00000X</v>
      </c>
      <c r="D9203" t="str">
        <f>"LEWIS                    JESSICA                  "</f>
        <v xml:space="preserve">LEWIS                    JESSICA                  </v>
      </c>
      <c r="E9203" t="str">
        <f>"MERIDIAN                  "</f>
        <v xml:space="preserve">MERIDIAN                  </v>
      </c>
      <c r="F9203" t="str">
        <f t="shared" si="269"/>
        <v>MS</v>
      </c>
    </row>
    <row r="9204" spans="1:6" x14ac:dyDescent="0.25">
      <c r="A9204" t="str">
        <f>"002807261"</f>
        <v>002807261</v>
      </c>
      <c r="B9204" t="str">
        <f>"1174786651"</f>
        <v>1174786651</v>
      </c>
      <c r="C9204" t="str">
        <f>"207RC0000X"</f>
        <v>207RC0000X</v>
      </c>
      <c r="D9204" t="str">
        <f>"POLLARD                  JAMES        D           "</f>
        <v xml:space="preserve">POLLARD                  JAMES        D           </v>
      </c>
      <c r="E9204" t="str">
        <f>"JACKSON                   "</f>
        <v xml:space="preserve">JACKSON                   </v>
      </c>
      <c r="F9204" t="str">
        <f t="shared" si="269"/>
        <v>MS</v>
      </c>
    </row>
    <row r="9205" spans="1:6" x14ac:dyDescent="0.25">
      <c r="A9205" t="str">
        <f>"002808362"</f>
        <v>002808362</v>
      </c>
      <c r="B9205" t="str">
        <f>"1205249471"</f>
        <v>1205249471</v>
      </c>
      <c r="C9205" t="str">
        <f>"363L00000X"</f>
        <v>363L00000X</v>
      </c>
      <c r="D9205" t="str">
        <f>"FORRESTER                LORI                     "</f>
        <v xml:space="preserve">FORRESTER                LORI                     </v>
      </c>
      <c r="E9205" t="str">
        <f>"TUPELO                    "</f>
        <v xml:space="preserve">TUPELO                    </v>
      </c>
      <c r="F9205" t="str">
        <f t="shared" si="269"/>
        <v>MS</v>
      </c>
    </row>
    <row r="9206" spans="1:6" x14ac:dyDescent="0.25">
      <c r="A9206" t="str">
        <f>"002808862"</f>
        <v>002808862</v>
      </c>
      <c r="B9206" t="str">
        <f>"1043889611"</f>
        <v>1043889611</v>
      </c>
      <c r="C9206" t="str">
        <f>"363L00000X"</f>
        <v>363L00000X</v>
      </c>
      <c r="D9206" t="str">
        <f>"MILLER                   JODI         C           "</f>
        <v xml:space="preserve">MILLER                   JODI         C           </v>
      </c>
      <c r="E9206" t="str">
        <f>"MENDENHALL                "</f>
        <v xml:space="preserve">MENDENHALL                </v>
      </c>
      <c r="F9206" t="str">
        <f t="shared" si="269"/>
        <v>MS</v>
      </c>
    </row>
    <row r="9207" spans="1:6" x14ac:dyDescent="0.25">
      <c r="A9207" t="str">
        <f>"002809854"</f>
        <v>002809854</v>
      </c>
      <c r="B9207" t="str">
        <f>"1750464343"</f>
        <v>1750464343</v>
      </c>
      <c r="C9207" t="str">
        <f>"363A00000X"</f>
        <v>363A00000X</v>
      </c>
      <c r="D9207" t="str">
        <f>"MEYERS                   KATHERINE    A           "</f>
        <v xml:space="preserve">MEYERS                   KATHERINE    A           </v>
      </c>
      <c r="E9207" t="str">
        <f>"HATTIESBURG               "</f>
        <v xml:space="preserve">HATTIESBURG               </v>
      </c>
      <c r="F9207" t="str">
        <f t="shared" si="269"/>
        <v>MS</v>
      </c>
    </row>
    <row r="9208" spans="1:6" x14ac:dyDescent="0.25">
      <c r="A9208" t="str">
        <f>"002821019"</f>
        <v>002821019</v>
      </c>
      <c r="B9208" t="str">
        <f>"1700019478"</f>
        <v>1700019478</v>
      </c>
      <c r="C9208" t="str">
        <f>"363L00000X"</f>
        <v>363L00000X</v>
      </c>
      <c r="D9208" t="str">
        <f>"PERKINS                  EMILY        D           "</f>
        <v xml:space="preserve">PERKINS                  EMILY        D           </v>
      </c>
      <c r="E9208" t="str">
        <f>"LOUISVILLE                "</f>
        <v xml:space="preserve">LOUISVILLE                </v>
      </c>
      <c r="F9208" t="str">
        <f t="shared" si="269"/>
        <v>MS</v>
      </c>
    </row>
    <row r="9209" spans="1:6" x14ac:dyDescent="0.25">
      <c r="A9209" t="str">
        <f>"002821079"</f>
        <v>002821079</v>
      </c>
      <c r="B9209" t="str">
        <f>"1801102793"</f>
        <v>1801102793</v>
      </c>
      <c r="C9209" t="str">
        <f>"261QF0400X"</f>
        <v>261QF0400X</v>
      </c>
      <c r="D9209" t="str">
        <f>"COASTAL FAMILY HEALTH CENTER                      "</f>
        <v xml:space="preserve">COASTAL FAMILY HEALTH CENTER                      </v>
      </c>
      <c r="E9209" t="str">
        <f>"PASS CHRISTIAN            "</f>
        <v xml:space="preserve">PASS CHRISTIAN            </v>
      </c>
      <c r="F9209" t="str">
        <f t="shared" si="269"/>
        <v>MS</v>
      </c>
    </row>
    <row r="9210" spans="1:6" x14ac:dyDescent="0.25">
      <c r="A9210" t="str">
        <f>"002821791"</f>
        <v>002821791</v>
      </c>
      <c r="B9210" t="str">
        <f>"1710538061"</f>
        <v>1710538061</v>
      </c>
      <c r="C9210" t="str">
        <f>"363L00000X"</f>
        <v>363L00000X</v>
      </c>
      <c r="D9210" t="str">
        <f>"TULLOS                   TANYA        W           "</f>
        <v xml:space="preserve">TULLOS                   TANYA        W           </v>
      </c>
      <c r="E9210" t="str">
        <f>"MERIDIAN                  "</f>
        <v xml:space="preserve">MERIDIAN                  </v>
      </c>
      <c r="F9210" t="str">
        <f t="shared" si="269"/>
        <v>MS</v>
      </c>
    </row>
    <row r="9211" spans="1:6" x14ac:dyDescent="0.25">
      <c r="A9211" t="str">
        <f>"002822893"</f>
        <v>002822893</v>
      </c>
      <c r="B9211" t="str">
        <f>"1023580693"</f>
        <v>1023580693</v>
      </c>
      <c r="C9211" t="str">
        <f>"367500000X"</f>
        <v>367500000X</v>
      </c>
      <c r="D9211" t="str">
        <f>"MCLENDON                 JOHN         T           "</f>
        <v xml:space="preserve">MCLENDON                 JOHN         T           </v>
      </c>
      <c r="E9211" t="str">
        <f>"JACKSON                   "</f>
        <v xml:space="preserve">JACKSON                   </v>
      </c>
      <c r="F9211" t="str">
        <f t="shared" si="269"/>
        <v>MS</v>
      </c>
    </row>
    <row r="9212" spans="1:6" x14ac:dyDescent="0.25">
      <c r="A9212" t="str">
        <f>"002823848"</f>
        <v>002823848</v>
      </c>
      <c r="B9212" t="str">
        <f>"1609385392"</f>
        <v>1609385392</v>
      </c>
      <c r="C9212" t="str">
        <f>"363L00000X"</f>
        <v>363L00000X</v>
      </c>
      <c r="D9212" t="str">
        <f>"SCALLION                 BROOKE       W           "</f>
        <v xml:space="preserve">SCALLION                 BROOKE       W           </v>
      </c>
      <c r="E9212" t="str">
        <f>"CLEVELAND                 "</f>
        <v xml:space="preserve">CLEVELAND                 </v>
      </c>
      <c r="F9212" t="str">
        <f t="shared" si="269"/>
        <v>MS</v>
      </c>
    </row>
    <row r="9213" spans="1:6" x14ac:dyDescent="0.25">
      <c r="A9213" t="str">
        <f>"002823858"</f>
        <v>002823858</v>
      </c>
      <c r="B9213" t="str">
        <f>"1396118378"</f>
        <v>1396118378</v>
      </c>
      <c r="C9213" t="str">
        <f>"261QR1300X"</f>
        <v>261QR1300X</v>
      </c>
      <c r="D9213" t="str">
        <f>"NEWTON FAMILY AND PEDIATRIC CLINIC                "</f>
        <v xml:space="preserve">NEWTON FAMILY AND PEDIATRIC CLINIC                </v>
      </c>
      <c r="E9213" t="str">
        <f>"NEWTON                    "</f>
        <v xml:space="preserve">NEWTON                    </v>
      </c>
      <c r="F9213" t="str">
        <f t="shared" si="269"/>
        <v>MS</v>
      </c>
    </row>
    <row r="9214" spans="1:6" x14ac:dyDescent="0.25">
      <c r="A9214" t="str">
        <f>"002824552"</f>
        <v>002824552</v>
      </c>
      <c r="B9214" t="str">
        <f>"1639350150"</f>
        <v>1639350150</v>
      </c>
      <c r="C9214" t="str">
        <f>"207Q00000X"</f>
        <v>207Q00000X</v>
      </c>
      <c r="D9214" t="str">
        <f>"THOMPSON-DAVIS           JENNIFER     L           "</f>
        <v xml:space="preserve">THOMPSON-DAVIS           JENNIFER     L           </v>
      </c>
      <c r="E9214" t="str">
        <f>"IUKA                      "</f>
        <v xml:space="preserve">IUKA                      </v>
      </c>
      <c r="F9214" t="str">
        <f t="shared" ref="F9214:F9277" si="270">"MS"</f>
        <v>MS</v>
      </c>
    </row>
    <row r="9215" spans="1:6" x14ac:dyDescent="0.25">
      <c r="A9215" t="str">
        <f>"002825316"</f>
        <v>002825316</v>
      </c>
      <c r="B9215" t="str">
        <f>"1235544339"</f>
        <v>1235544339</v>
      </c>
      <c r="C9215" t="str">
        <f>"363L00000X"</f>
        <v>363L00000X</v>
      </c>
      <c r="D9215" t="str">
        <f>"CAMPBELL SMITH           RAVEN                    "</f>
        <v xml:space="preserve">CAMPBELL SMITH           RAVEN                    </v>
      </c>
      <c r="E9215" t="str">
        <f>"NATCHEZ                   "</f>
        <v xml:space="preserve">NATCHEZ                   </v>
      </c>
      <c r="F9215" t="str">
        <f t="shared" si="270"/>
        <v>MS</v>
      </c>
    </row>
    <row r="9216" spans="1:6" x14ac:dyDescent="0.25">
      <c r="A9216" t="str">
        <f>"002825376"</f>
        <v>002825376</v>
      </c>
      <c r="B9216" t="str">
        <f>"1417513870"</f>
        <v>1417513870</v>
      </c>
      <c r="C9216" t="str">
        <f>"207P00000X"</f>
        <v>207P00000X</v>
      </c>
      <c r="D9216" t="str">
        <f>"TAYLOR                   SARA         B           "</f>
        <v xml:space="preserve">TAYLOR                   SARA         B           </v>
      </c>
      <c r="E9216" t="str">
        <f>"SOUTHAVEN                 "</f>
        <v xml:space="preserve">SOUTHAVEN                 </v>
      </c>
      <c r="F9216" t="str">
        <f t="shared" si="270"/>
        <v>MS</v>
      </c>
    </row>
    <row r="9217" spans="1:6" x14ac:dyDescent="0.25">
      <c r="A9217" t="str">
        <f>"002826099"</f>
        <v>002826099</v>
      </c>
      <c r="B9217" t="str">
        <f>"1386306975"</f>
        <v>1386306975</v>
      </c>
      <c r="C9217" t="str">
        <f>"363L00000X"</f>
        <v>363L00000X</v>
      </c>
      <c r="D9217" t="str">
        <f>"HERRING                  KATELYN                  "</f>
        <v xml:space="preserve">HERRING                  KATELYN                  </v>
      </c>
      <c r="E9217" t="str">
        <f>"AMORY                     "</f>
        <v xml:space="preserve">AMORY                     </v>
      </c>
      <c r="F9217" t="str">
        <f t="shared" si="270"/>
        <v>MS</v>
      </c>
    </row>
    <row r="9218" spans="1:6" x14ac:dyDescent="0.25">
      <c r="A9218" t="str">
        <f>"002828024"</f>
        <v>002828024</v>
      </c>
      <c r="B9218" t="str">
        <f>"1013291228"</f>
        <v>1013291228</v>
      </c>
      <c r="C9218" t="str">
        <f>"122300000X"</f>
        <v>122300000X</v>
      </c>
      <c r="D9218" t="str">
        <f>"MYERS                    BENJAMIN     R           "</f>
        <v xml:space="preserve">MYERS                    BENJAMIN     R           </v>
      </c>
      <c r="E9218" t="str">
        <f>"KOSCIUSKO                 "</f>
        <v xml:space="preserve">KOSCIUSKO                 </v>
      </c>
      <c r="F9218" t="str">
        <f t="shared" si="270"/>
        <v>MS</v>
      </c>
    </row>
    <row r="9219" spans="1:6" x14ac:dyDescent="0.25">
      <c r="A9219" t="str">
        <f>"002828236"</f>
        <v>002828236</v>
      </c>
      <c r="B9219" t="str">
        <f>"1306931597"</f>
        <v>1306931597</v>
      </c>
      <c r="C9219" t="str">
        <f>"152W00000X"</f>
        <v>152W00000X</v>
      </c>
      <c r="D9219" t="str">
        <f>"HENDERSON VISION CENTER                           "</f>
        <v xml:space="preserve">HENDERSON VISION CENTER                           </v>
      </c>
      <c r="E9219" t="str">
        <f>"HERNANDO                  "</f>
        <v xml:space="preserve">HERNANDO                  </v>
      </c>
      <c r="F9219" t="str">
        <f t="shared" si="270"/>
        <v>MS</v>
      </c>
    </row>
    <row r="9220" spans="1:6" x14ac:dyDescent="0.25">
      <c r="A9220" t="str">
        <f>"002830013"</f>
        <v>002830013</v>
      </c>
      <c r="B9220" t="str">
        <f>"1366737546"</f>
        <v>1366737546</v>
      </c>
      <c r="C9220" t="str">
        <f>"367500000X"</f>
        <v>367500000X</v>
      </c>
      <c r="D9220" t="str">
        <f>"CHENHALL                 LAURA        L           "</f>
        <v xml:space="preserve">CHENHALL                 LAURA        L           </v>
      </c>
      <c r="E9220" t="str">
        <f>"JACKSON                   "</f>
        <v xml:space="preserve">JACKSON                   </v>
      </c>
      <c r="F9220" t="str">
        <f t="shared" si="270"/>
        <v>MS</v>
      </c>
    </row>
    <row r="9221" spans="1:6" x14ac:dyDescent="0.25">
      <c r="A9221" t="str">
        <f>"002830209"</f>
        <v>002830209</v>
      </c>
      <c r="B9221" t="str">
        <f>"1720577380"</f>
        <v>1720577380</v>
      </c>
      <c r="C9221" t="str">
        <f>"207R00000X"</f>
        <v>207R00000X</v>
      </c>
      <c r="D9221" t="str">
        <f>"BARNES                   ROBERT                   "</f>
        <v xml:space="preserve">BARNES                   ROBERT                   </v>
      </c>
      <c r="E9221" t="str">
        <f>"SENATOBIA                 "</f>
        <v xml:space="preserve">SENATOBIA                 </v>
      </c>
      <c r="F9221" t="str">
        <f t="shared" si="270"/>
        <v>MS</v>
      </c>
    </row>
    <row r="9222" spans="1:6" x14ac:dyDescent="0.25">
      <c r="A9222" t="str">
        <f>"002830214"</f>
        <v>002830214</v>
      </c>
      <c r="B9222" t="str">
        <f>"1558673731"</f>
        <v>1558673731</v>
      </c>
      <c r="C9222" t="str">
        <f>"208600000X"</f>
        <v>208600000X</v>
      </c>
      <c r="D9222" t="str">
        <f>"MATEMAVI                 PRAISE                   "</f>
        <v xml:space="preserve">MATEMAVI                 PRAISE                   </v>
      </c>
      <c r="E9222" t="str">
        <f>"JACKSON                   "</f>
        <v xml:space="preserve">JACKSON                   </v>
      </c>
      <c r="F9222" t="str">
        <f t="shared" si="270"/>
        <v>MS</v>
      </c>
    </row>
    <row r="9223" spans="1:6" x14ac:dyDescent="0.25">
      <c r="A9223" t="str">
        <f>"002830227"</f>
        <v>002830227</v>
      </c>
      <c r="B9223" t="str">
        <f>"1497372015"</f>
        <v>1497372015</v>
      </c>
      <c r="C9223" t="str">
        <f>"363L00000X"</f>
        <v>363L00000X</v>
      </c>
      <c r="D9223" t="str">
        <f>"SLOAN                    ASHLEY       C           "</f>
        <v xml:space="preserve">SLOAN                    ASHLEY       C           </v>
      </c>
      <c r="E9223" t="str">
        <f>"JACKSON                   "</f>
        <v xml:space="preserve">JACKSON                   </v>
      </c>
      <c r="F9223" t="str">
        <f t="shared" si="270"/>
        <v>MS</v>
      </c>
    </row>
    <row r="9224" spans="1:6" x14ac:dyDescent="0.25">
      <c r="A9224" t="str">
        <f>"002832263"</f>
        <v>002832263</v>
      </c>
      <c r="B9224" t="str">
        <f>"1770705204"</f>
        <v>1770705204</v>
      </c>
      <c r="C9224" t="str">
        <f>"207R00000X"</f>
        <v>207R00000X</v>
      </c>
      <c r="D9224" t="str">
        <f>"RUMMAN                   SYEDA        S           "</f>
        <v xml:space="preserve">RUMMAN                   SYEDA        S           </v>
      </c>
      <c r="E9224" t="str">
        <f>"BAY SAINT LOUIS           "</f>
        <v xml:space="preserve">BAY SAINT LOUIS           </v>
      </c>
      <c r="F9224" t="str">
        <f t="shared" si="270"/>
        <v>MS</v>
      </c>
    </row>
    <row r="9225" spans="1:6" x14ac:dyDescent="0.25">
      <c r="A9225" t="str">
        <f>"002832791"</f>
        <v>002832791</v>
      </c>
      <c r="B9225" t="str">
        <f>"1174904361"</f>
        <v>1174904361</v>
      </c>
      <c r="C9225" t="str">
        <f>"207Q00000X"</f>
        <v>207Q00000X</v>
      </c>
      <c r="D9225" t="str">
        <f>"LEE                      JONATHAN     D           "</f>
        <v xml:space="preserve">LEE                      JONATHAN     D           </v>
      </c>
      <c r="E9225" t="str">
        <f>"MADISON                   "</f>
        <v xml:space="preserve">MADISON                   </v>
      </c>
      <c r="F9225" t="str">
        <f t="shared" si="270"/>
        <v>MS</v>
      </c>
    </row>
    <row r="9226" spans="1:6" x14ac:dyDescent="0.25">
      <c r="A9226" t="str">
        <f>"002834246"</f>
        <v>002834246</v>
      </c>
      <c r="B9226" t="str">
        <f>"1861950982"</f>
        <v>1861950982</v>
      </c>
      <c r="C9226" t="str">
        <f>"261QF0400X"</f>
        <v>261QF0400X</v>
      </c>
      <c r="D9226" t="str">
        <f>"COASTAL FAMILY HEALTH CENTER INC                  "</f>
        <v xml:space="preserve">COASTAL FAMILY HEALTH CENTER INC                  </v>
      </c>
      <c r="E9226" t="str">
        <f>"LUCEDALE                  "</f>
        <v xml:space="preserve">LUCEDALE                  </v>
      </c>
      <c r="F9226" t="str">
        <f t="shared" si="270"/>
        <v>MS</v>
      </c>
    </row>
    <row r="9227" spans="1:6" x14ac:dyDescent="0.25">
      <c r="A9227" t="str">
        <f>"002835505"</f>
        <v>002835505</v>
      </c>
      <c r="B9227" t="str">
        <f>"1407127327"</f>
        <v>1407127327</v>
      </c>
      <c r="C9227" t="str">
        <f>"207P00000X"</f>
        <v>207P00000X</v>
      </c>
      <c r="D9227" t="str">
        <f>"SWANSON                  CHARLES                  "</f>
        <v xml:space="preserve">SWANSON                  CHARLES                  </v>
      </c>
      <c r="E9227" t="str">
        <f>"SENATOBIA                 "</f>
        <v xml:space="preserve">SENATOBIA                 </v>
      </c>
      <c r="F9227" t="str">
        <f t="shared" si="270"/>
        <v>MS</v>
      </c>
    </row>
    <row r="9228" spans="1:6" x14ac:dyDescent="0.25">
      <c r="A9228" t="str">
        <f>"002836871"</f>
        <v>002836871</v>
      </c>
      <c r="B9228" t="str">
        <f>"1043691603"</f>
        <v>1043691603</v>
      </c>
      <c r="C9228" t="str">
        <f>"122300000X"</f>
        <v>122300000X</v>
      </c>
      <c r="D9228" t="str">
        <f>"BROWN                    HAMILTON     M           "</f>
        <v xml:space="preserve">BROWN                    HAMILTON     M           </v>
      </c>
      <c r="E9228" t="str">
        <f>"GREENWOOD                 "</f>
        <v xml:space="preserve">GREENWOOD                 </v>
      </c>
      <c r="F9228" t="str">
        <f t="shared" si="270"/>
        <v>MS</v>
      </c>
    </row>
    <row r="9229" spans="1:6" x14ac:dyDescent="0.25">
      <c r="A9229" t="str">
        <f>"002837056"</f>
        <v>002837056</v>
      </c>
      <c r="B9229" t="str">
        <f>"1396196879"</f>
        <v>1396196879</v>
      </c>
      <c r="C9229" t="str">
        <f>"261QM0801X"</f>
        <v>261QM0801X</v>
      </c>
      <c r="D9229" t="str">
        <f>"MISSISSIPPI BEHAVIORAL HEALTH SERVI               "</f>
        <v xml:space="preserve">MISSISSIPPI BEHAVIORAL HEALTH SERVI               </v>
      </c>
      <c r="E9229" t="str">
        <f>"JACKSON                   "</f>
        <v xml:space="preserve">JACKSON                   </v>
      </c>
      <c r="F9229" t="str">
        <f t="shared" si="270"/>
        <v>MS</v>
      </c>
    </row>
    <row r="9230" spans="1:6" x14ac:dyDescent="0.25">
      <c r="A9230" t="str">
        <f>"002838241"</f>
        <v>002838241</v>
      </c>
      <c r="B9230" t="str">
        <f>"1215418975"</f>
        <v>1215418975</v>
      </c>
      <c r="C9230" t="str">
        <f>"363L00000X"</f>
        <v>363L00000X</v>
      </c>
      <c r="D9230" t="str">
        <f>"PALMER                   TAKIFFANY    J           "</f>
        <v xml:space="preserve">PALMER                   TAKIFFANY    J           </v>
      </c>
      <c r="E9230" t="str">
        <f>"OCEAN SPRINGS             "</f>
        <v xml:space="preserve">OCEAN SPRINGS             </v>
      </c>
      <c r="F9230" t="str">
        <f t="shared" si="270"/>
        <v>MS</v>
      </c>
    </row>
    <row r="9231" spans="1:6" x14ac:dyDescent="0.25">
      <c r="A9231" t="str">
        <f>"002838269"</f>
        <v>002838269</v>
      </c>
      <c r="B9231" t="str">
        <f>"1659994044"</f>
        <v>1659994044</v>
      </c>
      <c r="C9231" t="str">
        <f>"363L00000X"</f>
        <v>363L00000X</v>
      </c>
      <c r="D9231" t="str">
        <f>"SCRUGGS                  CHRISTOPHER  K           "</f>
        <v xml:space="preserve">SCRUGGS                  CHRISTOPHER  K           </v>
      </c>
      <c r="E9231" t="str">
        <f>"OXFORD                    "</f>
        <v xml:space="preserve">OXFORD                    </v>
      </c>
      <c r="F9231" t="str">
        <f t="shared" si="270"/>
        <v>MS</v>
      </c>
    </row>
    <row r="9232" spans="1:6" x14ac:dyDescent="0.25">
      <c r="A9232" t="str">
        <f>"002838545"</f>
        <v>002838545</v>
      </c>
      <c r="B9232" t="str">
        <f>"1568673689"</f>
        <v>1568673689</v>
      </c>
      <c r="C9232" t="str">
        <f>"207W00000X"</f>
        <v>207W00000X</v>
      </c>
      <c r="D9232" t="str">
        <f>"NEWMAN                   FARRAH       D           "</f>
        <v xml:space="preserve">NEWMAN                   FARRAH       D           </v>
      </c>
      <c r="E9232" t="str">
        <f>"JACKSON                   "</f>
        <v xml:space="preserve">JACKSON                   </v>
      </c>
      <c r="F9232" t="str">
        <f t="shared" si="270"/>
        <v>MS</v>
      </c>
    </row>
    <row r="9233" spans="1:6" x14ac:dyDescent="0.25">
      <c r="A9233" t="str">
        <f>"002839578"</f>
        <v>002839578</v>
      </c>
      <c r="B9233" t="str">
        <f>"1598398703"</f>
        <v>1598398703</v>
      </c>
      <c r="C9233" t="str">
        <f>"363L00000X"</f>
        <v>363L00000X</v>
      </c>
      <c r="D9233" t="str">
        <f>"SORRELL                  BLANDON      E           "</f>
        <v xml:space="preserve">SORRELL                  BLANDON      E           </v>
      </c>
      <c r="E9233" t="str">
        <f>"MCCOMB                    "</f>
        <v xml:space="preserve">MCCOMB                    </v>
      </c>
      <c r="F9233" t="str">
        <f t="shared" si="270"/>
        <v>MS</v>
      </c>
    </row>
    <row r="9234" spans="1:6" x14ac:dyDescent="0.25">
      <c r="A9234" t="str">
        <f>"002839760"</f>
        <v>002839760</v>
      </c>
      <c r="B9234" t="str">
        <f>"1932516945"</f>
        <v>1932516945</v>
      </c>
      <c r="C9234" t="str">
        <f>"207P00000X"</f>
        <v>207P00000X</v>
      </c>
      <c r="D9234" t="str">
        <f>"BLAKESLEE                MALLORY                  "</f>
        <v xml:space="preserve">BLAKESLEE                MALLORY                  </v>
      </c>
      <c r="E9234" t="str">
        <f>"GULFPORT                  "</f>
        <v xml:space="preserve">GULFPORT                  </v>
      </c>
      <c r="F9234" t="str">
        <f t="shared" si="270"/>
        <v>MS</v>
      </c>
    </row>
    <row r="9235" spans="1:6" x14ac:dyDescent="0.25">
      <c r="A9235" t="str">
        <f>"002850311"</f>
        <v>002850311</v>
      </c>
      <c r="B9235" t="str">
        <f>"1063961415"</f>
        <v>1063961415</v>
      </c>
      <c r="C9235" t="str">
        <f>"363L00000X"</f>
        <v>363L00000X</v>
      </c>
      <c r="D9235" t="str">
        <f>"HOPSTEIN                 APRIL        A           "</f>
        <v xml:space="preserve">HOPSTEIN                 APRIL        A           </v>
      </c>
      <c r="E9235" t="str">
        <f>"RICHTON                   "</f>
        <v xml:space="preserve">RICHTON                   </v>
      </c>
      <c r="F9235" t="str">
        <f t="shared" si="270"/>
        <v>MS</v>
      </c>
    </row>
    <row r="9236" spans="1:6" x14ac:dyDescent="0.25">
      <c r="A9236" t="str">
        <f>"002850701"</f>
        <v>002850701</v>
      </c>
      <c r="B9236" t="str">
        <f>"1619165560"</f>
        <v>1619165560</v>
      </c>
      <c r="C9236" t="str">
        <f>"363L00000X"</f>
        <v>363L00000X</v>
      </c>
      <c r="D9236" t="str">
        <f>"YOUNG                    EMILEE       C           "</f>
        <v xml:space="preserve">YOUNG                    EMILEE       C           </v>
      </c>
      <c r="E9236" t="str">
        <f>"NEW ALBANY                "</f>
        <v xml:space="preserve">NEW ALBANY                </v>
      </c>
      <c r="F9236" t="str">
        <f t="shared" si="270"/>
        <v>MS</v>
      </c>
    </row>
    <row r="9237" spans="1:6" x14ac:dyDescent="0.25">
      <c r="A9237" t="str">
        <f>"002850756"</f>
        <v>002850756</v>
      </c>
      <c r="B9237" t="str">
        <f>"1366877268"</f>
        <v>1366877268</v>
      </c>
      <c r="C9237" t="str">
        <f>"363L00000X"</f>
        <v>363L00000X</v>
      </c>
      <c r="D9237" t="str">
        <f>"PATRICK                  CINDY        R           "</f>
        <v xml:space="preserve">PATRICK                  CINDY        R           </v>
      </c>
      <c r="E9237" t="str">
        <f>"MERIDIAN                  "</f>
        <v xml:space="preserve">MERIDIAN                  </v>
      </c>
      <c r="F9237" t="str">
        <f t="shared" si="270"/>
        <v>MS</v>
      </c>
    </row>
    <row r="9238" spans="1:6" x14ac:dyDescent="0.25">
      <c r="A9238" t="str">
        <f>"002852024"</f>
        <v>002852024</v>
      </c>
      <c r="B9238" t="str">
        <f>"1942640388"</f>
        <v>1942640388</v>
      </c>
      <c r="C9238" t="str">
        <f>"2084P0800X"</f>
        <v>2084P0800X</v>
      </c>
      <c r="D9238" t="str">
        <f>"RICHARDSON               CHARLES      D           "</f>
        <v xml:space="preserve">RICHARDSON               CHARLES      D           </v>
      </c>
      <c r="E9238" t="str">
        <f>"HATTIESBURG               "</f>
        <v xml:space="preserve">HATTIESBURG               </v>
      </c>
      <c r="F9238" t="str">
        <f t="shared" si="270"/>
        <v>MS</v>
      </c>
    </row>
    <row r="9239" spans="1:6" x14ac:dyDescent="0.25">
      <c r="A9239" t="str">
        <f>"002852032"</f>
        <v>002852032</v>
      </c>
      <c r="B9239" t="str">
        <f>"1851768089"</f>
        <v>1851768089</v>
      </c>
      <c r="C9239" t="str">
        <f>"363L00000X"</f>
        <v>363L00000X</v>
      </c>
      <c r="D9239" t="str">
        <f>"BOWEN                    SARAH                    "</f>
        <v xml:space="preserve">BOWEN                    SARAH                    </v>
      </c>
      <c r="E9239" t="str">
        <f>"HATTIESBURG               "</f>
        <v xml:space="preserve">HATTIESBURG               </v>
      </c>
      <c r="F9239" t="str">
        <f t="shared" si="270"/>
        <v>MS</v>
      </c>
    </row>
    <row r="9240" spans="1:6" x14ac:dyDescent="0.25">
      <c r="A9240" t="str">
        <f>"002852211"</f>
        <v>002852211</v>
      </c>
      <c r="B9240" t="str">
        <f>"1609116581"</f>
        <v>1609116581</v>
      </c>
      <c r="C9240" t="str">
        <f>"152W00000X"</f>
        <v>152W00000X</v>
      </c>
      <c r="D9240" t="str">
        <f>"HORN LAKE EYECARE PLLC                            "</f>
        <v xml:space="preserve">HORN LAKE EYECARE PLLC                            </v>
      </c>
      <c r="E9240" t="str">
        <f>"HORN LAKE                 "</f>
        <v xml:space="preserve">HORN LAKE                 </v>
      </c>
      <c r="F9240" t="str">
        <f t="shared" si="270"/>
        <v>MS</v>
      </c>
    </row>
    <row r="9241" spans="1:6" x14ac:dyDescent="0.25">
      <c r="A9241" t="str">
        <f>"002852230"</f>
        <v>002852230</v>
      </c>
      <c r="B9241" t="str">
        <f>"1942400403"</f>
        <v>1942400403</v>
      </c>
      <c r="C9241" t="str">
        <f>"207Q00000X"</f>
        <v>207Q00000X</v>
      </c>
      <c r="D9241" t="str">
        <f>"PULLEN                   ASHLEY       B           "</f>
        <v xml:space="preserve">PULLEN                   ASHLEY       B           </v>
      </c>
      <c r="E9241" t="str">
        <f>"MADISON                   "</f>
        <v xml:space="preserve">MADISON                   </v>
      </c>
      <c r="F9241" t="str">
        <f t="shared" si="270"/>
        <v>MS</v>
      </c>
    </row>
    <row r="9242" spans="1:6" x14ac:dyDescent="0.25">
      <c r="A9242" t="str">
        <f>"002853705"</f>
        <v>002853705</v>
      </c>
      <c r="B9242" t="str">
        <f>"1821585241"</f>
        <v>1821585241</v>
      </c>
      <c r="C9242" t="str">
        <f>"363L00000X"</f>
        <v>363L00000X</v>
      </c>
      <c r="D9242" t="str">
        <f>"TRICE                    JAZZMA                   "</f>
        <v xml:space="preserve">TRICE                    JAZZMA                   </v>
      </c>
      <c r="E9242" t="str">
        <f>"TUPELO                    "</f>
        <v xml:space="preserve">TUPELO                    </v>
      </c>
      <c r="F9242" t="str">
        <f t="shared" si="270"/>
        <v>MS</v>
      </c>
    </row>
    <row r="9243" spans="1:6" x14ac:dyDescent="0.25">
      <c r="A9243" t="str">
        <f>"002854778"</f>
        <v>002854778</v>
      </c>
      <c r="B9243" t="str">
        <f>"1013324193"</f>
        <v>1013324193</v>
      </c>
      <c r="C9243" t="str">
        <f>"207Q00000X"</f>
        <v>207Q00000X</v>
      </c>
      <c r="D9243" t="str">
        <f>"TAHSIN                   SAIF         M           "</f>
        <v xml:space="preserve">TAHSIN                   SAIF         M           </v>
      </c>
      <c r="E9243" t="str">
        <f>"SOUTHAVEN                 "</f>
        <v xml:space="preserve">SOUTHAVEN                 </v>
      </c>
      <c r="F9243" t="str">
        <f t="shared" si="270"/>
        <v>MS</v>
      </c>
    </row>
    <row r="9244" spans="1:6" x14ac:dyDescent="0.25">
      <c r="A9244" t="str">
        <f>"002855315"</f>
        <v>002855315</v>
      </c>
      <c r="B9244" t="str">
        <f>"1235373663"</f>
        <v>1235373663</v>
      </c>
      <c r="C9244" t="str">
        <f>"2084P0800X"</f>
        <v>2084P0800X</v>
      </c>
      <c r="D9244" t="str">
        <f>"NAGEL                    KIM          E           "</f>
        <v xml:space="preserve">NAGEL                    KIM          E           </v>
      </c>
      <c r="E9244" t="str">
        <f>"MERIDIAN                  "</f>
        <v xml:space="preserve">MERIDIAN                  </v>
      </c>
      <c r="F9244" t="str">
        <f t="shared" si="270"/>
        <v>MS</v>
      </c>
    </row>
    <row r="9245" spans="1:6" x14ac:dyDescent="0.25">
      <c r="A9245" t="str">
        <f>"002856081"</f>
        <v>002856081</v>
      </c>
      <c r="B9245" t="str">
        <f>"1043449598"</f>
        <v>1043449598</v>
      </c>
      <c r="C9245" t="str">
        <f>"207RR0500X"</f>
        <v>207RR0500X</v>
      </c>
      <c r="D9245" t="str">
        <f>"COMPTON                  SETH                     "</f>
        <v xml:space="preserve">COMPTON                  SETH                     </v>
      </c>
      <c r="E9245" t="str">
        <f>"MADISON                   "</f>
        <v xml:space="preserve">MADISON                   </v>
      </c>
      <c r="F9245" t="str">
        <f t="shared" si="270"/>
        <v>MS</v>
      </c>
    </row>
    <row r="9246" spans="1:6" x14ac:dyDescent="0.25">
      <c r="A9246" t="str">
        <f>"002858227"</f>
        <v>002858227</v>
      </c>
      <c r="B9246" t="str">
        <f>"1275760126"</f>
        <v>1275760126</v>
      </c>
      <c r="C9246" t="str">
        <f>"122300000X"</f>
        <v>122300000X</v>
      </c>
      <c r="D9246" t="str">
        <f>"KEEL                     MURRAY       E           "</f>
        <v xml:space="preserve">KEEL                     MURRAY       E           </v>
      </c>
      <c r="E9246" t="str">
        <f>"BAY SAINT LOUIS           "</f>
        <v xml:space="preserve">BAY SAINT LOUIS           </v>
      </c>
      <c r="F9246" t="str">
        <f t="shared" si="270"/>
        <v>MS</v>
      </c>
    </row>
    <row r="9247" spans="1:6" x14ac:dyDescent="0.25">
      <c r="A9247" t="str">
        <f>"002858556"</f>
        <v>002858556</v>
      </c>
      <c r="B9247" t="str">
        <f>"1114385721"</f>
        <v>1114385721</v>
      </c>
      <c r="C9247" t="str">
        <f>"363L00000X"</f>
        <v>363L00000X</v>
      </c>
      <c r="D9247" t="str">
        <f>"BRANDLE                  LAURA        A           "</f>
        <v xml:space="preserve">BRANDLE                  LAURA        A           </v>
      </c>
      <c r="E9247" t="str">
        <f>"OCEAN SPRINGS             "</f>
        <v xml:space="preserve">OCEAN SPRINGS             </v>
      </c>
      <c r="F9247" t="str">
        <f t="shared" si="270"/>
        <v>MS</v>
      </c>
    </row>
    <row r="9248" spans="1:6" x14ac:dyDescent="0.25">
      <c r="A9248" t="str">
        <f>"002872582"</f>
        <v>002872582</v>
      </c>
      <c r="B9248" t="str">
        <f>"1982122552"</f>
        <v>1982122552</v>
      </c>
      <c r="C9248" t="str">
        <f>"363LF0000X"</f>
        <v>363LF0000X</v>
      </c>
      <c r="D9248" t="str">
        <f>"SMOOT                    SHEENA       R           "</f>
        <v xml:space="preserve">SMOOT                    SHEENA       R           </v>
      </c>
      <c r="E9248" t="str">
        <f>"JACKSON                   "</f>
        <v xml:space="preserve">JACKSON                   </v>
      </c>
      <c r="F9248" t="str">
        <f t="shared" si="270"/>
        <v>MS</v>
      </c>
    </row>
    <row r="9249" spans="1:6" x14ac:dyDescent="0.25">
      <c r="A9249" t="str">
        <f>"002873722"</f>
        <v>002873722</v>
      </c>
      <c r="B9249" t="str">
        <f>"1063706802"</f>
        <v>1063706802</v>
      </c>
      <c r="C9249" t="str">
        <f>"1223P0221X"</f>
        <v>1223P0221X</v>
      </c>
      <c r="D9249" t="str">
        <f>"DAVIS                    LAMONICA     I           "</f>
        <v xml:space="preserve">DAVIS                    LAMONICA     I           </v>
      </c>
      <c r="E9249" t="str">
        <f>"JACKSON                   "</f>
        <v xml:space="preserve">JACKSON                   </v>
      </c>
      <c r="F9249" t="str">
        <f t="shared" si="270"/>
        <v>MS</v>
      </c>
    </row>
    <row r="9250" spans="1:6" x14ac:dyDescent="0.25">
      <c r="A9250" t="str">
        <f>"002873853"</f>
        <v>002873853</v>
      </c>
      <c r="B9250" t="str">
        <f>"1164526281"</f>
        <v>1164526281</v>
      </c>
      <c r="C9250" t="str">
        <f>"122300000X"</f>
        <v>122300000X</v>
      </c>
      <c r="D9250" t="str">
        <f>"TITTLE                   RODNEY       A           "</f>
        <v xml:space="preserve">TITTLE                   RODNEY       A           </v>
      </c>
      <c r="E9250" t="str">
        <f>"MANTACHIE                 "</f>
        <v xml:space="preserve">MANTACHIE                 </v>
      </c>
      <c r="F9250" t="str">
        <f t="shared" si="270"/>
        <v>MS</v>
      </c>
    </row>
    <row r="9251" spans="1:6" x14ac:dyDescent="0.25">
      <c r="A9251" t="str">
        <f>"002875302"</f>
        <v>002875302</v>
      </c>
      <c r="B9251" t="str">
        <f>"1073775466"</f>
        <v>1073775466</v>
      </c>
      <c r="C9251" t="str">
        <f>"2085R0202X"</f>
        <v>2085R0202X</v>
      </c>
      <c r="D9251" t="str">
        <f>"OLIVER                   JOHN         A           "</f>
        <v xml:space="preserve">OLIVER                   JOHN         A           </v>
      </c>
      <c r="E9251" t="str">
        <f>"CLARKSDALE                "</f>
        <v xml:space="preserve">CLARKSDALE                </v>
      </c>
      <c r="F9251" t="str">
        <f t="shared" si="270"/>
        <v>MS</v>
      </c>
    </row>
    <row r="9252" spans="1:6" x14ac:dyDescent="0.25">
      <c r="A9252" t="str">
        <f>"002875352"</f>
        <v>002875352</v>
      </c>
      <c r="B9252" t="str">
        <f>"1508866799"</f>
        <v>1508866799</v>
      </c>
      <c r="C9252" t="str">
        <f>"363L00000X"</f>
        <v>363L00000X</v>
      </c>
      <c r="D9252" t="str">
        <f>"WHITE                    TARA         C           "</f>
        <v xml:space="preserve">WHITE                    TARA         C           </v>
      </c>
      <c r="E9252" t="str">
        <f>"GULFPORT                  "</f>
        <v xml:space="preserve">GULFPORT                  </v>
      </c>
      <c r="F9252" t="str">
        <f t="shared" si="270"/>
        <v>MS</v>
      </c>
    </row>
    <row r="9253" spans="1:6" x14ac:dyDescent="0.25">
      <c r="A9253" t="str">
        <f>"002876526"</f>
        <v>002876526</v>
      </c>
      <c r="B9253" t="str">
        <f>"1073557039"</f>
        <v>1073557039</v>
      </c>
      <c r="C9253" t="str">
        <f>"363L00000X"</f>
        <v>363L00000X</v>
      </c>
      <c r="D9253" t="str">
        <f>"KAISER                   KENNETH      P           "</f>
        <v xml:space="preserve">KAISER                   KENNETH      P           </v>
      </c>
      <c r="E9253" t="str">
        <f>"FLOWOOD                   "</f>
        <v xml:space="preserve">FLOWOOD                   </v>
      </c>
      <c r="F9253" t="str">
        <f t="shared" si="270"/>
        <v>MS</v>
      </c>
    </row>
    <row r="9254" spans="1:6" x14ac:dyDescent="0.25">
      <c r="A9254" t="str">
        <f>"002876535"</f>
        <v>002876535</v>
      </c>
      <c r="B9254" t="str">
        <f>"1124348701"</f>
        <v>1124348701</v>
      </c>
      <c r="C9254" t="str">
        <f>"122300000X"</f>
        <v>122300000X</v>
      </c>
      <c r="D9254" t="str">
        <f>"BRANDON                  JULIA                    "</f>
        <v xml:space="preserve">BRANDON                  JULIA                    </v>
      </c>
      <c r="E9254" t="str">
        <f>"CALHOUN CITY              "</f>
        <v xml:space="preserve">CALHOUN CITY              </v>
      </c>
      <c r="F9254" t="str">
        <f t="shared" si="270"/>
        <v>MS</v>
      </c>
    </row>
    <row r="9255" spans="1:6" x14ac:dyDescent="0.25">
      <c r="A9255" t="str">
        <f>"002877866"</f>
        <v>002877866</v>
      </c>
      <c r="B9255" t="str">
        <f>"1932440138"</f>
        <v>1932440138</v>
      </c>
      <c r="C9255" t="str">
        <f>"152W00000X"</f>
        <v>152W00000X</v>
      </c>
      <c r="D9255" t="str">
        <f>"CHARLESTON VISION CENTER                          "</f>
        <v xml:space="preserve">CHARLESTON VISION CENTER                          </v>
      </c>
      <c r="E9255" t="str">
        <f>"CHARLESTON                "</f>
        <v xml:space="preserve">CHARLESTON                </v>
      </c>
      <c r="F9255" t="str">
        <f t="shared" si="270"/>
        <v>MS</v>
      </c>
    </row>
    <row r="9256" spans="1:6" x14ac:dyDescent="0.25">
      <c r="A9256" t="str">
        <f>"002877899"</f>
        <v>002877899</v>
      </c>
      <c r="B9256" t="str">
        <f>"1033574520"</f>
        <v>1033574520</v>
      </c>
      <c r="C9256" t="str">
        <f>"363L00000X"</f>
        <v>363L00000X</v>
      </c>
      <c r="D9256" t="str">
        <f>"YAWN                     ANGELA       N           "</f>
        <v xml:space="preserve">YAWN                     ANGELA       N           </v>
      </c>
      <c r="E9256" t="str">
        <f>"BILOXI                    "</f>
        <v xml:space="preserve">BILOXI                    </v>
      </c>
      <c r="F9256" t="str">
        <f t="shared" si="270"/>
        <v>MS</v>
      </c>
    </row>
    <row r="9257" spans="1:6" x14ac:dyDescent="0.25">
      <c r="A9257" t="str">
        <f>"002879874"</f>
        <v>002879874</v>
      </c>
      <c r="B9257" t="str">
        <f>"1144532086"</f>
        <v>1144532086</v>
      </c>
      <c r="C9257" t="str">
        <f>"363L00000X"</f>
        <v>363L00000X</v>
      </c>
      <c r="D9257" t="str">
        <f>"COLLINS                  MICHAEL      D           "</f>
        <v xml:space="preserve">COLLINS                  MICHAEL      D           </v>
      </c>
      <c r="E9257" t="str">
        <f>"SANDERSVILLE              "</f>
        <v xml:space="preserve">SANDERSVILLE              </v>
      </c>
      <c r="F9257" t="str">
        <f t="shared" si="270"/>
        <v>MS</v>
      </c>
    </row>
    <row r="9258" spans="1:6" x14ac:dyDescent="0.25">
      <c r="A9258" t="str">
        <f>"002879887"</f>
        <v>002879887</v>
      </c>
      <c r="B9258" t="str">
        <f>"1134523111"</f>
        <v>1134523111</v>
      </c>
      <c r="C9258" t="str">
        <f>"363L00000X"</f>
        <v>363L00000X</v>
      </c>
      <c r="D9258" t="str">
        <f>"CRAPPS                   CARLI        O           "</f>
        <v xml:space="preserve">CRAPPS                   CARLI        O           </v>
      </c>
      <c r="E9258" t="str">
        <f>"FLOWOOD                   "</f>
        <v xml:space="preserve">FLOWOOD                   </v>
      </c>
      <c r="F9258" t="str">
        <f t="shared" si="270"/>
        <v>MS</v>
      </c>
    </row>
    <row r="9259" spans="1:6" x14ac:dyDescent="0.25">
      <c r="A9259" t="str">
        <f>"002880272"</f>
        <v>002880272</v>
      </c>
      <c r="B9259" t="str">
        <f>"1770669020"</f>
        <v>1770669020</v>
      </c>
      <c r="C9259" t="str">
        <f>"122300000X"</f>
        <v>122300000X</v>
      </c>
      <c r="D9259" t="str">
        <f>"BASS                     ROGER        K           "</f>
        <v xml:space="preserve">BASS                     ROGER        K           </v>
      </c>
      <c r="E9259" t="str">
        <f>"COLLINS                   "</f>
        <v xml:space="preserve">COLLINS                   </v>
      </c>
      <c r="F9259" t="str">
        <f t="shared" si="270"/>
        <v>MS</v>
      </c>
    </row>
    <row r="9260" spans="1:6" x14ac:dyDescent="0.25">
      <c r="A9260" t="str">
        <f>"002880313"</f>
        <v>002880313</v>
      </c>
      <c r="B9260" t="str">
        <f>"1003463845"</f>
        <v>1003463845</v>
      </c>
      <c r="C9260" t="str">
        <f>"122300000X"</f>
        <v>122300000X</v>
      </c>
      <c r="D9260" t="str">
        <f>"TODD DIXON FAMILY DENTISTRY LLC                   "</f>
        <v xml:space="preserve">TODD DIXON FAMILY DENTISTRY LLC                   </v>
      </c>
      <c r="E9260" t="str">
        <f>"HATTIESBURG               "</f>
        <v xml:space="preserve">HATTIESBURG               </v>
      </c>
      <c r="F9260" t="str">
        <f t="shared" si="270"/>
        <v>MS</v>
      </c>
    </row>
    <row r="9261" spans="1:6" x14ac:dyDescent="0.25">
      <c r="A9261" t="str">
        <f>"002882216"</f>
        <v>002882216</v>
      </c>
      <c r="B9261" t="str">
        <f>"1689662702"</f>
        <v>1689662702</v>
      </c>
      <c r="C9261" t="str">
        <f>"208000000X"</f>
        <v>208000000X</v>
      </c>
      <c r="D9261" t="str">
        <f>"OBRYAN                   JENNIFER     M           "</f>
        <v xml:space="preserve">OBRYAN                   JENNIFER     M           </v>
      </c>
      <c r="E9261" t="str">
        <f>"SOUTHAVEN                 "</f>
        <v xml:space="preserve">SOUTHAVEN                 </v>
      </c>
      <c r="F9261" t="str">
        <f t="shared" si="270"/>
        <v>MS</v>
      </c>
    </row>
    <row r="9262" spans="1:6" x14ac:dyDescent="0.25">
      <c r="A9262" t="str">
        <f>"002882309"</f>
        <v>002882309</v>
      </c>
      <c r="B9262" t="str">
        <f>"1861957631"</f>
        <v>1861957631</v>
      </c>
      <c r="C9262" t="str">
        <f>"363L00000X"</f>
        <v>363L00000X</v>
      </c>
      <c r="D9262" t="str">
        <f>"DEDEAUX                  TOMIKA       M           "</f>
        <v xml:space="preserve">DEDEAUX                  TOMIKA       M           </v>
      </c>
      <c r="E9262" t="str">
        <f>"JACKSON                   "</f>
        <v xml:space="preserve">JACKSON                   </v>
      </c>
      <c r="F9262" t="str">
        <f t="shared" si="270"/>
        <v>MS</v>
      </c>
    </row>
    <row r="9263" spans="1:6" x14ac:dyDescent="0.25">
      <c r="A9263" t="str">
        <f>"002883867"</f>
        <v>002883867</v>
      </c>
      <c r="B9263" t="str">
        <f>"1437309028"</f>
        <v>1437309028</v>
      </c>
      <c r="C9263" t="str">
        <f>"2080P0202X"</f>
        <v>2080P0202X</v>
      </c>
      <c r="D9263" t="str">
        <f>"OSEI                     FRANK        A           "</f>
        <v xml:space="preserve">OSEI                     FRANK        A           </v>
      </c>
      <c r="E9263" t="str">
        <f>"JACKSON                   "</f>
        <v xml:space="preserve">JACKSON                   </v>
      </c>
      <c r="F9263" t="str">
        <f t="shared" si="270"/>
        <v>MS</v>
      </c>
    </row>
    <row r="9264" spans="1:6" x14ac:dyDescent="0.25">
      <c r="A9264" t="str">
        <f>"002884328"</f>
        <v>002884328</v>
      </c>
      <c r="B9264" t="str">
        <f>"1881628741"</f>
        <v>1881628741</v>
      </c>
      <c r="C9264" t="str">
        <f>"261QF0400X"</f>
        <v>261QF0400X</v>
      </c>
      <c r="D9264" t="str">
        <f>"JHCHC-UTICA SCHOOL-BASED CLINIC                   "</f>
        <v xml:space="preserve">JHCHC-UTICA SCHOOL-BASED CLINIC                   </v>
      </c>
      <c r="E9264" t="str">
        <f>"UTICA                     "</f>
        <v xml:space="preserve">UTICA                     </v>
      </c>
      <c r="F9264" t="str">
        <f t="shared" si="270"/>
        <v>MS</v>
      </c>
    </row>
    <row r="9265" spans="1:6" x14ac:dyDescent="0.25">
      <c r="A9265" t="str">
        <f>"002886340"</f>
        <v>002886340</v>
      </c>
      <c r="B9265" t="str">
        <f>"1043238488"</f>
        <v>1043238488</v>
      </c>
      <c r="C9265" t="str">
        <f>"367500000X"</f>
        <v>367500000X</v>
      </c>
      <c r="D9265" t="str">
        <f>"LITTLE                   JENNIFER     M           "</f>
        <v xml:space="preserve">LITTLE                   JENNIFER     M           </v>
      </c>
      <c r="E9265" t="str">
        <f>"TUPELO                    "</f>
        <v xml:space="preserve">TUPELO                    </v>
      </c>
      <c r="F9265" t="str">
        <f t="shared" si="270"/>
        <v>MS</v>
      </c>
    </row>
    <row r="9266" spans="1:6" x14ac:dyDescent="0.25">
      <c r="A9266" t="str">
        <f>"002887363"</f>
        <v>002887363</v>
      </c>
      <c r="B9266" t="str">
        <f>"1487185252"</f>
        <v>1487185252</v>
      </c>
      <c r="C9266" t="str">
        <f>"208600000X"</f>
        <v>208600000X</v>
      </c>
      <c r="D9266" t="str">
        <f>"SHAW                     TAYLOR       B           "</f>
        <v xml:space="preserve">SHAW                     TAYLOR       B           </v>
      </c>
      <c r="E9266" t="str">
        <f>"JACKSON                   "</f>
        <v xml:space="preserve">JACKSON                   </v>
      </c>
      <c r="F9266" t="str">
        <f t="shared" si="270"/>
        <v>MS</v>
      </c>
    </row>
    <row r="9267" spans="1:6" x14ac:dyDescent="0.25">
      <c r="A9267" t="str">
        <f>"002887716"</f>
        <v>002887716</v>
      </c>
      <c r="B9267" t="str">
        <f>"1679598783"</f>
        <v>1679598783</v>
      </c>
      <c r="C9267" t="str">
        <f>"208D00000X"</f>
        <v>208D00000X</v>
      </c>
      <c r="D9267" t="str">
        <f>"BOYD                     COLEMAN      A           "</f>
        <v xml:space="preserve">BOYD                     COLEMAN      A           </v>
      </c>
      <c r="E9267" t="str">
        <f>"CLINTON                   "</f>
        <v xml:space="preserve">CLINTON                   </v>
      </c>
      <c r="F9267" t="str">
        <f t="shared" si="270"/>
        <v>MS</v>
      </c>
    </row>
    <row r="9268" spans="1:6" x14ac:dyDescent="0.25">
      <c r="A9268" t="str">
        <f>"002888729"</f>
        <v>002888729</v>
      </c>
      <c r="B9268" t="str">
        <f>"1801997127"</f>
        <v>1801997127</v>
      </c>
      <c r="C9268" t="str">
        <f>"2084P0800X"</f>
        <v>2084P0800X</v>
      </c>
      <c r="D9268" t="str">
        <f>"HOLLOWAY                 KAREN                    "</f>
        <v xml:space="preserve">HOLLOWAY                 KAREN                    </v>
      </c>
      <c r="E9268" t="str">
        <f>"WHITFIELD                 "</f>
        <v xml:space="preserve">WHITFIELD                 </v>
      </c>
      <c r="F9268" t="str">
        <f t="shared" si="270"/>
        <v>MS</v>
      </c>
    </row>
    <row r="9269" spans="1:6" x14ac:dyDescent="0.25">
      <c r="A9269" t="str">
        <f>"002889260"</f>
        <v>002889260</v>
      </c>
      <c r="B9269" t="str">
        <f>"1578502407"</f>
        <v>1578502407</v>
      </c>
      <c r="C9269" t="str">
        <f>"207X00000X"</f>
        <v>207X00000X</v>
      </c>
      <c r="D9269" t="str">
        <f>"HOBGOOD                  EDWARD       R           "</f>
        <v xml:space="preserve">HOBGOOD                  EDWARD       R           </v>
      </c>
      <c r="E9269" t="str">
        <f>"JACKSON                   "</f>
        <v xml:space="preserve">JACKSON                   </v>
      </c>
      <c r="F9269" t="str">
        <f t="shared" si="270"/>
        <v>MS</v>
      </c>
    </row>
    <row r="9270" spans="1:6" x14ac:dyDescent="0.25">
      <c r="A9270" t="str">
        <f>"002889735"</f>
        <v>002889735</v>
      </c>
      <c r="B9270" t="str">
        <f>"1578949913"</f>
        <v>1578949913</v>
      </c>
      <c r="C9270" t="str">
        <f>"363L00000X"</f>
        <v>363L00000X</v>
      </c>
      <c r="D9270" t="str">
        <f>"MILLS                    EMILEY       E           "</f>
        <v xml:space="preserve">MILLS                    EMILEY       E           </v>
      </c>
      <c r="E9270" t="str">
        <f>"JACKSON                   "</f>
        <v xml:space="preserve">JACKSON                   </v>
      </c>
      <c r="F9270" t="str">
        <f t="shared" si="270"/>
        <v>MS</v>
      </c>
    </row>
    <row r="9271" spans="1:6" x14ac:dyDescent="0.25">
      <c r="A9271" t="str">
        <f>"002889869"</f>
        <v>002889869</v>
      </c>
      <c r="B9271" t="str">
        <f>"1053724179"</f>
        <v>1053724179</v>
      </c>
      <c r="C9271" t="str">
        <f>"2085R0202X"</f>
        <v>2085R0202X</v>
      </c>
      <c r="D9271" t="str">
        <f>"PARKER                   ADAM         M           "</f>
        <v xml:space="preserve">PARKER                   ADAM         M           </v>
      </c>
      <c r="E9271" t="str">
        <f>"MERIDIAN                  "</f>
        <v xml:space="preserve">MERIDIAN                  </v>
      </c>
      <c r="F9271" t="str">
        <f t="shared" si="270"/>
        <v>MS</v>
      </c>
    </row>
    <row r="9272" spans="1:6" x14ac:dyDescent="0.25">
      <c r="A9272" t="str">
        <f>"002889882"</f>
        <v>002889882</v>
      </c>
      <c r="B9272" t="str">
        <f>"1952861197"</f>
        <v>1952861197</v>
      </c>
      <c r="C9272" t="str">
        <f>"207R00000X"</f>
        <v>207R00000X</v>
      </c>
      <c r="D9272" t="str">
        <f>"MARTIN                   JESSIE       N           "</f>
        <v xml:space="preserve">MARTIN                   JESSIE       N           </v>
      </c>
      <c r="E9272" t="str">
        <f>"GULFPORT                  "</f>
        <v xml:space="preserve">GULFPORT                  </v>
      </c>
      <c r="F9272" t="str">
        <f t="shared" si="270"/>
        <v>MS</v>
      </c>
    </row>
    <row r="9273" spans="1:6" x14ac:dyDescent="0.25">
      <c r="A9273" t="str">
        <f>"002900281"</f>
        <v>002900281</v>
      </c>
      <c r="B9273" t="str">
        <f>"1700534971"</f>
        <v>1700534971</v>
      </c>
      <c r="C9273" t="str">
        <f>"363L00000X"</f>
        <v>363L00000X</v>
      </c>
      <c r="D9273" t="str">
        <f>"JONES                    MEERA                    "</f>
        <v xml:space="preserve">JONES                    MEERA                    </v>
      </c>
      <c r="E9273" t="str">
        <f>"TUPELO                    "</f>
        <v xml:space="preserve">TUPELO                    </v>
      </c>
      <c r="F9273" t="str">
        <f t="shared" si="270"/>
        <v>MS</v>
      </c>
    </row>
    <row r="9274" spans="1:6" x14ac:dyDescent="0.25">
      <c r="A9274" t="str">
        <f>"002901023"</f>
        <v>002901023</v>
      </c>
      <c r="B9274" t="str">
        <f>"1073617775"</f>
        <v>1073617775</v>
      </c>
      <c r="C9274" t="str">
        <f>"207RC0000X"</f>
        <v>207RC0000X</v>
      </c>
      <c r="D9274" t="str">
        <f>"SNEED                    JIMMY        D           "</f>
        <v xml:space="preserve">SNEED                    JIMMY        D           </v>
      </c>
      <c r="E9274" t="str">
        <f>"SOUTHAVEN                 "</f>
        <v xml:space="preserve">SOUTHAVEN                 </v>
      </c>
      <c r="F9274" t="str">
        <f t="shared" si="270"/>
        <v>MS</v>
      </c>
    </row>
    <row r="9275" spans="1:6" x14ac:dyDescent="0.25">
      <c r="A9275" t="str">
        <f>"002902345"</f>
        <v>002902345</v>
      </c>
      <c r="B9275" t="str">
        <f>"1447379300"</f>
        <v>1447379300</v>
      </c>
      <c r="C9275" t="str">
        <f>"2080N0001X"</f>
        <v>2080N0001X</v>
      </c>
      <c r="D9275" t="str">
        <f>"AL GODI                  ZHEAR                    "</f>
        <v xml:space="preserve">AL GODI                  ZHEAR                    </v>
      </c>
      <c r="E9275" t="str">
        <f>"AMORY                     "</f>
        <v xml:space="preserve">AMORY                     </v>
      </c>
      <c r="F9275" t="str">
        <f t="shared" si="270"/>
        <v>MS</v>
      </c>
    </row>
    <row r="9276" spans="1:6" x14ac:dyDescent="0.25">
      <c r="A9276" t="str">
        <f>"002903022"</f>
        <v>002903022</v>
      </c>
      <c r="B9276" t="str">
        <f>"1114325982"</f>
        <v>1114325982</v>
      </c>
      <c r="C9276" t="str">
        <f>"363L00000X"</f>
        <v>363L00000X</v>
      </c>
      <c r="D9276" t="str">
        <f>"SIMMONS                  APRIL        R           "</f>
        <v xml:space="preserve">SIMMONS                  APRIL        R           </v>
      </c>
      <c r="E9276" t="str">
        <f>"JACKSON                   "</f>
        <v xml:space="preserve">JACKSON                   </v>
      </c>
      <c r="F9276" t="str">
        <f t="shared" si="270"/>
        <v>MS</v>
      </c>
    </row>
    <row r="9277" spans="1:6" x14ac:dyDescent="0.25">
      <c r="A9277" t="str">
        <f>"002903351"</f>
        <v>002903351</v>
      </c>
      <c r="B9277" t="str">
        <f>"1669501680"</f>
        <v>1669501680</v>
      </c>
      <c r="C9277" t="str">
        <f>"363A00000X"</f>
        <v>363A00000X</v>
      </c>
      <c r="D9277" t="str">
        <f>"ARDOIN                   RICHARD JASON            "</f>
        <v xml:space="preserve">ARDOIN                   RICHARD JASON            </v>
      </c>
      <c r="E9277" t="str">
        <f>"OCEAN SPRINGS             "</f>
        <v xml:space="preserve">OCEAN SPRINGS             </v>
      </c>
      <c r="F9277" t="str">
        <f t="shared" si="270"/>
        <v>MS</v>
      </c>
    </row>
    <row r="9278" spans="1:6" x14ac:dyDescent="0.25">
      <c r="A9278" t="str">
        <f>"002904035"</f>
        <v>002904035</v>
      </c>
      <c r="B9278" t="str">
        <f>"1134502792"</f>
        <v>1134502792</v>
      </c>
      <c r="C9278" t="str">
        <f>"363L00000X"</f>
        <v>363L00000X</v>
      </c>
      <c r="D9278" t="str">
        <f>"BURNEY                   STEVIE       H           "</f>
        <v xml:space="preserve">BURNEY                   STEVIE       H           </v>
      </c>
      <c r="E9278" t="str">
        <f>"JACKSON                   "</f>
        <v xml:space="preserve">JACKSON                   </v>
      </c>
      <c r="F9278" t="str">
        <f t="shared" ref="F9278:F9341" si="271">"MS"</f>
        <v>MS</v>
      </c>
    </row>
    <row r="9279" spans="1:6" x14ac:dyDescent="0.25">
      <c r="A9279" t="str">
        <f>"002904207"</f>
        <v>002904207</v>
      </c>
      <c r="B9279" t="str">
        <f>"1962489567"</f>
        <v>1962489567</v>
      </c>
      <c r="C9279" t="str">
        <f>"363L00000X"</f>
        <v>363L00000X</v>
      </c>
      <c r="D9279" t="str">
        <f>"MOORE                    MARK         J           "</f>
        <v xml:space="preserve">MOORE                    MARK         J           </v>
      </c>
      <c r="E9279" t="str">
        <f>"MERIDIAN                  "</f>
        <v xml:space="preserve">MERIDIAN                  </v>
      </c>
      <c r="F9279" t="str">
        <f t="shared" si="271"/>
        <v>MS</v>
      </c>
    </row>
    <row r="9280" spans="1:6" x14ac:dyDescent="0.25">
      <c r="A9280" t="str">
        <f>"002904317"</f>
        <v>002904317</v>
      </c>
      <c r="B9280" t="str">
        <f>"1922628213"</f>
        <v>1922628213</v>
      </c>
      <c r="C9280" t="str">
        <f>"363L00000X"</f>
        <v>363L00000X</v>
      </c>
      <c r="D9280" t="str">
        <f>"REED                     KELSEY       A           "</f>
        <v xml:space="preserve">REED                     KELSEY       A           </v>
      </c>
      <c r="E9280" t="str">
        <f>"TUPELO                    "</f>
        <v xml:space="preserve">TUPELO                    </v>
      </c>
      <c r="F9280" t="str">
        <f t="shared" si="271"/>
        <v>MS</v>
      </c>
    </row>
    <row r="9281" spans="1:6" x14ac:dyDescent="0.25">
      <c r="A9281" t="str">
        <f>"002904550"</f>
        <v>002904550</v>
      </c>
      <c r="B9281" t="str">
        <f>"1508253188"</f>
        <v>1508253188</v>
      </c>
      <c r="C9281" t="str">
        <f>"207RN0300X"</f>
        <v>207RN0300X</v>
      </c>
      <c r="D9281" t="str">
        <f>"TIO                      MARIA                    "</f>
        <v xml:space="preserve">TIO                      MARIA                    </v>
      </c>
      <c r="E9281" t="str">
        <f>"JACKSON                   "</f>
        <v xml:space="preserve">JACKSON                   </v>
      </c>
      <c r="F9281" t="str">
        <f t="shared" si="271"/>
        <v>MS</v>
      </c>
    </row>
    <row r="9282" spans="1:6" x14ac:dyDescent="0.25">
      <c r="A9282" t="str">
        <f>"002904833"</f>
        <v>002904833</v>
      </c>
      <c r="B9282" t="str">
        <f>"1124315742"</f>
        <v>1124315742</v>
      </c>
      <c r="C9282" t="str">
        <f>"207K00000X"</f>
        <v>207K00000X</v>
      </c>
      <c r="D9282" t="str">
        <f>"ROSENBLATT               CLAIRE                   "</f>
        <v xml:space="preserve">ROSENBLATT               CLAIRE                   </v>
      </c>
      <c r="E9282" t="str">
        <f>"OXFORD                    "</f>
        <v xml:space="preserve">OXFORD                    </v>
      </c>
      <c r="F9282" t="str">
        <f t="shared" si="271"/>
        <v>MS</v>
      </c>
    </row>
    <row r="9283" spans="1:6" x14ac:dyDescent="0.25">
      <c r="A9283" t="str">
        <f>"002906260"</f>
        <v>002906260</v>
      </c>
      <c r="B9283" t="str">
        <f>"1992069231"</f>
        <v>1992069231</v>
      </c>
      <c r="C9283" t="str">
        <f>"261QA0600X"</f>
        <v>261QA0600X</v>
      </c>
      <c r="D9283" t="str">
        <f>"FIT 4 ME ADULT DAY CARE                           "</f>
        <v xml:space="preserve">FIT 4 ME ADULT DAY CARE                           </v>
      </c>
      <c r="E9283" t="str">
        <f>"INDIANOLA                 "</f>
        <v xml:space="preserve">INDIANOLA                 </v>
      </c>
      <c r="F9283" t="str">
        <f t="shared" si="271"/>
        <v>MS</v>
      </c>
    </row>
    <row r="9284" spans="1:6" x14ac:dyDescent="0.25">
      <c r="A9284" t="str">
        <f>"002907057"</f>
        <v>002907057</v>
      </c>
      <c r="B9284" t="str">
        <f>"1356904445"</f>
        <v>1356904445</v>
      </c>
      <c r="C9284" t="str">
        <f>"152W00000X"</f>
        <v>152W00000X</v>
      </c>
      <c r="D9284" t="str">
        <f>"SAWYER SCOTT EYECARE CENTER                       "</f>
        <v xml:space="preserve">SAWYER SCOTT EYECARE CENTER                       </v>
      </c>
      <c r="E9284" t="str">
        <f>"SARDIS                    "</f>
        <v xml:space="preserve">SARDIS                    </v>
      </c>
      <c r="F9284" t="str">
        <f t="shared" si="271"/>
        <v>MS</v>
      </c>
    </row>
    <row r="9285" spans="1:6" x14ac:dyDescent="0.25">
      <c r="A9285" t="str">
        <f>"002907245"</f>
        <v>002907245</v>
      </c>
      <c r="B9285" t="str">
        <f>"1093888539"</f>
        <v>1093888539</v>
      </c>
      <c r="C9285" t="str">
        <f>"363LF0000X"</f>
        <v>363LF0000X</v>
      </c>
      <c r="D9285" t="str">
        <f>"TAYLOR                   MICHELLE     V           "</f>
        <v xml:space="preserve">TAYLOR                   MICHELLE     V           </v>
      </c>
      <c r="E9285" t="str">
        <f>"JACKSON                   "</f>
        <v xml:space="preserve">JACKSON                   </v>
      </c>
      <c r="F9285" t="str">
        <f t="shared" si="271"/>
        <v>MS</v>
      </c>
    </row>
    <row r="9286" spans="1:6" x14ac:dyDescent="0.25">
      <c r="A9286" t="str">
        <f>"002907870"</f>
        <v>002907870</v>
      </c>
      <c r="B9286" t="str">
        <f>"1609244342"</f>
        <v>1609244342</v>
      </c>
      <c r="C9286" t="str">
        <f>"367500000X"</f>
        <v>367500000X</v>
      </c>
      <c r="D9286" t="str">
        <f>"BURGESS                  TERRY        J           "</f>
        <v xml:space="preserve">BURGESS                  TERRY        J           </v>
      </c>
      <c r="E9286" t="str">
        <f>"HATTIESBURG               "</f>
        <v xml:space="preserve">HATTIESBURG               </v>
      </c>
      <c r="F9286" t="str">
        <f t="shared" si="271"/>
        <v>MS</v>
      </c>
    </row>
    <row r="9287" spans="1:6" x14ac:dyDescent="0.25">
      <c r="A9287" t="str">
        <f>"002909231"</f>
        <v>002909231</v>
      </c>
      <c r="B9287" t="str">
        <f>"1225044001"</f>
        <v>1225044001</v>
      </c>
      <c r="C9287" t="str">
        <f>"152W00000X"</f>
        <v>152W00000X</v>
      </c>
      <c r="D9287" t="str">
        <f>"SHIPP V                  ROBERT       S           "</f>
        <v xml:space="preserve">SHIPP V                  ROBERT       S           </v>
      </c>
      <c r="E9287" t="str">
        <f>"GREENVILLE                "</f>
        <v xml:space="preserve">GREENVILLE                </v>
      </c>
      <c r="F9287" t="str">
        <f t="shared" si="271"/>
        <v>MS</v>
      </c>
    </row>
    <row r="9288" spans="1:6" x14ac:dyDescent="0.25">
      <c r="A9288" t="str">
        <f>"002920298"</f>
        <v>002920298</v>
      </c>
      <c r="B9288" t="str">
        <f>"1154388056"</f>
        <v>1154388056</v>
      </c>
      <c r="C9288" t="str">
        <f>"207R00000X"</f>
        <v>207R00000X</v>
      </c>
      <c r="D9288" t="str">
        <f>"KULPEKSA                 JOSEPH                   "</f>
        <v xml:space="preserve">KULPEKSA                 JOSEPH                   </v>
      </c>
      <c r="E9288" t="str">
        <f>"IUKA                      "</f>
        <v xml:space="preserve">IUKA                      </v>
      </c>
      <c r="F9288" t="str">
        <f t="shared" si="271"/>
        <v>MS</v>
      </c>
    </row>
    <row r="9289" spans="1:6" x14ac:dyDescent="0.25">
      <c r="A9289" t="str">
        <f>"002921718"</f>
        <v>002921718</v>
      </c>
      <c r="B9289" t="str">
        <f>"1881254431"</f>
        <v>1881254431</v>
      </c>
      <c r="C9289" t="str">
        <f>"207Q00000X"</f>
        <v>207Q00000X</v>
      </c>
      <c r="D9289" t="str">
        <f>"LYON                     FORREST                  "</f>
        <v xml:space="preserve">LYON                     FORREST                  </v>
      </c>
      <c r="E9289" t="str">
        <f>"BOONEVILLE                "</f>
        <v xml:space="preserve">BOONEVILLE                </v>
      </c>
      <c r="F9289" t="str">
        <f t="shared" si="271"/>
        <v>MS</v>
      </c>
    </row>
    <row r="9290" spans="1:6" x14ac:dyDescent="0.25">
      <c r="A9290" t="str">
        <f>"002922561"</f>
        <v>002922561</v>
      </c>
      <c r="B9290" t="str">
        <f>"1932519964"</f>
        <v>1932519964</v>
      </c>
      <c r="C9290" t="str">
        <f>"207Q00000X"</f>
        <v>207Q00000X</v>
      </c>
      <c r="D9290" t="str">
        <f>"GRAHAM                   GLORIA       A           "</f>
        <v xml:space="preserve">GRAHAM                   GLORIA       A           </v>
      </c>
      <c r="E9290" t="str">
        <f>"SEBASTOPOL                "</f>
        <v xml:space="preserve">SEBASTOPOL                </v>
      </c>
      <c r="F9290" t="str">
        <f t="shared" si="271"/>
        <v>MS</v>
      </c>
    </row>
    <row r="9291" spans="1:6" x14ac:dyDescent="0.25">
      <c r="A9291" t="str">
        <f>"002924081"</f>
        <v>002924081</v>
      </c>
      <c r="B9291" t="str">
        <f>"1851350094"</f>
        <v>1851350094</v>
      </c>
      <c r="C9291" t="str">
        <f>"363L00000X"</f>
        <v>363L00000X</v>
      </c>
      <c r="D9291" t="str">
        <f>"ATKINSON                 STEPHANIE    B           "</f>
        <v xml:space="preserve">ATKINSON                 STEPHANIE    B           </v>
      </c>
      <c r="E9291" t="str">
        <f>"TUPELO                    "</f>
        <v xml:space="preserve">TUPELO                    </v>
      </c>
      <c r="F9291" t="str">
        <f t="shared" si="271"/>
        <v>MS</v>
      </c>
    </row>
    <row r="9292" spans="1:6" x14ac:dyDescent="0.25">
      <c r="A9292" t="str">
        <f>"002924391"</f>
        <v>002924391</v>
      </c>
      <c r="B9292" t="str">
        <f>"1669762902"</f>
        <v>1669762902</v>
      </c>
      <c r="C9292" t="str">
        <f>"363L00000X"</f>
        <v>363L00000X</v>
      </c>
      <c r="D9292" t="str">
        <f>"KREHER                   STACEY       M           "</f>
        <v xml:space="preserve">KREHER                   STACEY       M           </v>
      </c>
      <c r="E9292" t="str">
        <f>"BAY ST LOUIS              "</f>
        <v xml:space="preserve">BAY ST LOUIS              </v>
      </c>
      <c r="F9292" t="str">
        <f t="shared" si="271"/>
        <v>MS</v>
      </c>
    </row>
    <row r="9293" spans="1:6" x14ac:dyDescent="0.25">
      <c r="A9293" t="str">
        <f>"002925355"</f>
        <v>002925355</v>
      </c>
      <c r="B9293" t="str">
        <f>"1376792028"</f>
        <v>1376792028</v>
      </c>
      <c r="C9293" t="str">
        <f>"367500000X"</f>
        <v>367500000X</v>
      </c>
      <c r="D9293" t="str">
        <f>"MAULDIN                  JEREMY       C           "</f>
        <v xml:space="preserve">MAULDIN                  JEREMY       C           </v>
      </c>
      <c r="E9293" t="str">
        <f>"LAUREL                    "</f>
        <v xml:space="preserve">LAUREL                    </v>
      </c>
      <c r="F9293" t="str">
        <f t="shared" si="271"/>
        <v>MS</v>
      </c>
    </row>
    <row r="9294" spans="1:6" x14ac:dyDescent="0.25">
      <c r="A9294" t="str">
        <f>"002926008"</f>
        <v>002926008</v>
      </c>
      <c r="B9294" t="str">
        <f>"1730520768"</f>
        <v>1730520768</v>
      </c>
      <c r="C9294" t="str">
        <f>"207RC0000X"</f>
        <v>207RC0000X</v>
      </c>
      <c r="D9294" t="str">
        <f>"AGHA                     AHMAD                    "</f>
        <v xml:space="preserve">AGHA                     AHMAD                    </v>
      </c>
      <c r="E9294" t="str">
        <f>"BILOXI                    "</f>
        <v xml:space="preserve">BILOXI                    </v>
      </c>
      <c r="F9294" t="str">
        <f t="shared" si="271"/>
        <v>MS</v>
      </c>
    </row>
    <row r="9295" spans="1:6" x14ac:dyDescent="0.25">
      <c r="A9295" t="str">
        <f>"002926330"</f>
        <v>002926330</v>
      </c>
      <c r="B9295" t="str">
        <f>"1508398983"</f>
        <v>1508398983</v>
      </c>
      <c r="C9295" t="str">
        <f>"207Q00000X"</f>
        <v>207Q00000X</v>
      </c>
      <c r="D9295" t="str">
        <f>"PEARSON                  CHARLES      D           "</f>
        <v xml:space="preserve">PEARSON                  CHARLES      D           </v>
      </c>
      <c r="E9295" t="str">
        <f>"CLINITON                  "</f>
        <v xml:space="preserve">CLINITON                  </v>
      </c>
      <c r="F9295" t="str">
        <f t="shared" si="271"/>
        <v>MS</v>
      </c>
    </row>
    <row r="9296" spans="1:6" x14ac:dyDescent="0.25">
      <c r="A9296" t="str">
        <f>"002926551"</f>
        <v>002926551</v>
      </c>
      <c r="B9296" t="str">
        <f>"1982015590"</f>
        <v>1982015590</v>
      </c>
      <c r="C9296" t="str">
        <f>"207Q00000X"</f>
        <v>207Q00000X</v>
      </c>
      <c r="D9296" t="str">
        <f>"SMITH                    JUSTIN       L           "</f>
        <v xml:space="preserve">SMITH                    JUSTIN       L           </v>
      </c>
      <c r="E9296" t="str">
        <f>"NEW ALBANY                "</f>
        <v xml:space="preserve">NEW ALBANY                </v>
      </c>
      <c r="F9296" t="str">
        <f t="shared" si="271"/>
        <v>MS</v>
      </c>
    </row>
    <row r="9297" spans="1:6" x14ac:dyDescent="0.25">
      <c r="A9297" t="str">
        <f>"002926754"</f>
        <v>002926754</v>
      </c>
      <c r="B9297" t="str">
        <f>"1104288752"</f>
        <v>1104288752</v>
      </c>
      <c r="C9297" t="str">
        <f>"207N00000X"</f>
        <v>207N00000X</v>
      </c>
      <c r="D9297" t="str">
        <f>"RUSH                     JESS         L           "</f>
        <v xml:space="preserve">RUSH                     JESS         L           </v>
      </c>
      <c r="E9297" t="str">
        <f>"MERIDIAN                  "</f>
        <v xml:space="preserve">MERIDIAN                  </v>
      </c>
      <c r="F9297" t="str">
        <f t="shared" si="271"/>
        <v>MS</v>
      </c>
    </row>
    <row r="9298" spans="1:6" x14ac:dyDescent="0.25">
      <c r="A9298" t="str">
        <f>"002927898"</f>
        <v>002927898</v>
      </c>
      <c r="B9298" t="str">
        <f>"1467011379"</f>
        <v>1467011379</v>
      </c>
      <c r="C9298" t="str">
        <f>"122300000X"</f>
        <v>122300000X</v>
      </c>
      <c r="D9298" t="str">
        <f>"WEST POINT FAMILY DENTAL                          "</f>
        <v xml:space="preserve">WEST POINT FAMILY DENTAL                          </v>
      </c>
      <c r="E9298" t="str">
        <f>"WEST POINT                "</f>
        <v xml:space="preserve">WEST POINT                </v>
      </c>
      <c r="F9298" t="str">
        <f t="shared" si="271"/>
        <v>MS</v>
      </c>
    </row>
    <row r="9299" spans="1:6" x14ac:dyDescent="0.25">
      <c r="A9299" t="str">
        <f>"002928257"</f>
        <v>002928257</v>
      </c>
      <c r="B9299" t="str">
        <f>"1063838480"</f>
        <v>1063838480</v>
      </c>
      <c r="C9299" t="str">
        <f>"363LF0000X"</f>
        <v>363LF0000X</v>
      </c>
      <c r="D9299" t="str">
        <f>"COCKRELL                 TANYA        S           "</f>
        <v xml:space="preserve">COCKRELL                 TANYA        S           </v>
      </c>
      <c r="E9299" t="str">
        <f>"COLUMBUS                  "</f>
        <v xml:space="preserve">COLUMBUS                  </v>
      </c>
      <c r="F9299" t="str">
        <f t="shared" si="271"/>
        <v>MS</v>
      </c>
    </row>
    <row r="9300" spans="1:6" x14ac:dyDescent="0.25">
      <c r="A9300" t="str">
        <f>"002928702"</f>
        <v>002928702</v>
      </c>
      <c r="B9300" t="str">
        <f>"1851370795"</f>
        <v>1851370795</v>
      </c>
      <c r="C9300" t="str">
        <f>"207P00000X"</f>
        <v>207P00000X</v>
      </c>
      <c r="D9300" t="str">
        <f>"WATSON                   JOHN         A           "</f>
        <v xml:space="preserve">WATSON                   JOHN         A           </v>
      </c>
      <c r="E9300" t="str">
        <f>"MCCOMB                    "</f>
        <v xml:space="preserve">MCCOMB                    </v>
      </c>
      <c r="F9300" t="str">
        <f t="shared" si="271"/>
        <v>MS</v>
      </c>
    </row>
    <row r="9301" spans="1:6" x14ac:dyDescent="0.25">
      <c r="A9301" t="str">
        <f>"002928727"</f>
        <v>002928727</v>
      </c>
      <c r="B9301" t="str">
        <f>"1215454418"</f>
        <v>1215454418</v>
      </c>
      <c r="C9301" t="str">
        <f>"363L00000X"</f>
        <v>363L00000X</v>
      </c>
      <c r="D9301" t="str">
        <f>"BROCK                    WHITNEY      B           "</f>
        <v xml:space="preserve">BROCK                    WHITNEY      B           </v>
      </c>
      <c r="E9301" t="str">
        <f>"VICKSBURG                 "</f>
        <v xml:space="preserve">VICKSBURG                 </v>
      </c>
      <c r="F9301" t="str">
        <f t="shared" si="271"/>
        <v>MS</v>
      </c>
    </row>
    <row r="9302" spans="1:6" x14ac:dyDescent="0.25">
      <c r="A9302" t="str">
        <f>"002929848"</f>
        <v>002929848</v>
      </c>
      <c r="B9302" t="str">
        <f>"1215222179"</f>
        <v>1215222179</v>
      </c>
      <c r="C9302" t="str">
        <f>"363L00000X"</f>
        <v>363L00000X</v>
      </c>
      <c r="D9302" t="str">
        <f>"FLOWERS                  DEBBIE       S           "</f>
        <v xml:space="preserve">FLOWERS                  DEBBIE       S           </v>
      </c>
      <c r="E9302" t="str">
        <f>"FOREST                    "</f>
        <v xml:space="preserve">FOREST                    </v>
      </c>
      <c r="F9302" t="str">
        <f t="shared" si="271"/>
        <v>MS</v>
      </c>
    </row>
    <row r="9303" spans="1:6" x14ac:dyDescent="0.25">
      <c r="A9303" t="str">
        <f>"002930560"</f>
        <v>002930560</v>
      </c>
      <c r="B9303" t="str">
        <f>"1275744864"</f>
        <v>1275744864</v>
      </c>
      <c r="C9303" t="str">
        <f>"207R00000X"</f>
        <v>207R00000X</v>
      </c>
      <c r="D9303" t="str">
        <f>"HENSON                   ZEB          K           "</f>
        <v xml:space="preserve">HENSON                   ZEB          K           </v>
      </c>
      <c r="E9303" t="str">
        <f>"JACKSON                   "</f>
        <v xml:space="preserve">JACKSON                   </v>
      </c>
      <c r="F9303" t="str">
        <f t="shared" si="271"/>
        <v>MS</v>
      </c>
    </row>
    <row r="9304" spans="1:6" x14ac:dyDescent="0.25">
      <c r="A9304" t="str">
        <f>"002930813"</f>
        <v>002930813</v>
      </c>
      <c r="B9304" t="str">
        <f>"1225008576"</f>
        <v>1225008576</v>
      </c>
      <c r="C9304" t="str">
        <f>"363L00000X"</f>
        <v>363L00000X</v>
      </c>
      <c r="D9304" t="str">
        <f>"SANDERS                  HOLLI        A           "</f>
        <v xml:space="preserve">SANDERS                  HOLLI        A           </v>
      </c>
      <c r="E9304" t="str">
        <f>"TUPELO                    "</f>
        <v xml:space="preserve">TUPELO                    </v>
      </c>
      <c r="F9304" t="str">
        <f t="shared" si="271"/>
        <v>MS</v>
      </c>
    </row>
    <row r="9305" spans="1:6" x14ac:dyDescent="0.25">
      <c r="A9305" t="str">
        <f>"002932017"</f>
        <v>002932017</v>
      </c>
      <c r="B9305" t="str">
        <f>"1649389453"</f>
        <v>1649389453</v>
      </c>
      <c r="C9305" t="str">
        <f>"367500000X"</f>
        <v>367500000X</v>
      </c>
      <c r="D9305" t="str">
        <f>"MANN                     DANA         S           "</f>
        <v xml:space="preserve">MANN                     DANA         S           </v>
      </c>
      <c r="E9305" t="str">
        <f>"TUPELO                    "</f>
        <v xml:space="preserve">TUPELO                    </v>
      </c>
      <c r="F9305" t="str">
        <f t="shared" si="271"/>
        <v>MS</v>
      </c>
    </row>
    <row r="9306" spans="1:6" x14ac:dyDescent="0.25">
      <c r="A9306" t="str">
        <f>"002933071"</f>
        <v>002933071</v>
      </c>
      <c r="B9306" t="str">
        <f>"1699064659"</f>
        <v>1699064659</v>
      </c>
      <c r="C9306" t="str">
        <f>"363L00000X"</f>
        <v>363L00000X</v>
      </c>
      <c r="D9306" t="str">
        <f>"MARSH                    JOHN         E           "</f>
        <v xml:space="preserve">MARSH                    JOHN         E           </v>
      </c>
      <c r="E9306" t="str">
        <f>"HATTIESBURG               "</f>
        <v xml:space="preserve">HATTIESBURG               </v>
      </c>
      <c r="F9306" t="str">
        <f t="shared" si="271"/>
        <v>MS</v>
      </c>
    </row>
    <row r="9307" spans="1:6" x14ac:dyDescent="0.25">
      <c r="A9307" t="str">
        <f>"002933747"</f>
        <v>002933747</v>
      </c>
      <c r="B9307" t="str">
        <f>"1225426927"</f>
        <v>1225426927</v>
      </c>
      <c r="C9307" t="str">
        <f>"363L00000X"</f>
        <v>363L00000X</v>
      </c>
      <c r="D9307" t="str">
        <f>"COBERN                   KRISTINA                 "</f>
        <v xml:space="preserve">COBERN                   KRISTINA                 </v>
      </c>
      <c r="E9307" t="str">
        <f>"BILOXI                    "</f>
        <v xml:space="preserve">BILOXI                    </v>
      </c>
      <c r="F9307" t="str">
        <f t="shared" si="271"/>
        <v>MS</v>
      </c>
    </row>
    <row r="9308" spans="1:6" x14ac:dyDescent="0.25">
      <c r="A9308" t="str">
        <f>"002934398"</f>
        <v>002934398</v>
      </c>
      <c r="B9308" t="str">
        <f>"1588151807"</f>
        <v>1588151807</v>
      </c>
      <c r="C9308" t="str">
        <f>"207R00000X"</f>
        <v>207R00000X</v>
      </c>
      <c r="D9308" t="str">
        <f>"HINTON OWINGS            ANNA         M           "</f>
        <v xml:space="preserve">HINTON OWINGS            ANNA         M           </v>
      </c>
      <c r="E9308" t="str">
        <f>"JACKSON                   "</f>
        <v xml:space="preserve">JACKSON                   </v>
      </c>
      <c r="F9308" t="str">
        <f t="shared" si="271"/>
        <v>MS</v>
      </c>
    </row>
    <row r="9309" spans="1:6" x14ac:dyDescent="0.25">
      <c r="A9309" t="str">
        <f>"002934501"</f>
        <v>002934501</v>
      </c>
      <c r="B9309" t="str">
        <f>"1417118548"</f>
        <v>1417118548</v>
      </c>
      <c r="C9309" t="str">
        <f>"207P00000X"</f>
        <v>207P00000X</v>
      </c>
      <c r="D9309" t="str">
        <f>"BAILEY                   THOMAS       J           "</f>
        <v xml:space="preserve">BAILEY                   THOMAS       J           </v>
      </c>
      <c r="E9309" t="str">
        <f>"LAUREL                    "</f>
        <v xml:space="preserve">LAUREL                    </v>
      </c>
      <c r="F9309" t="str">
        <f t="shared" si="271"/>
        <v>MS</v>
      </c>
    </row>
    <row r="9310" spans="1:6" x14ac:dyDescent="0.25">
      <c r="A9310" t="str">
        <f>"002934509"</f>
        <v>002934509</v>
      </c>
      <c r="B9310" t="str">
        <f>"1023187689"</f>
        <v>1023187689</v>
      </c>
      <c r="C9310" t="str">
        <f>"363L00000X"</f>
        <v>363L00000X</v>
      </c>
      <c r="D9310" t="str">
        <f>"JONES                    TOMMIE       K           "</f>
        <v xml:space="preserve">JONES                    TOMMIE       K           </v>
      </c>
      <c r="E9310" t="str">
        <f>"JACKSON                   "</f>
        <v xml:space="preserve">JACKSON                   </v>
      </c>
      <c r="F9310" t="str">
        <f t="shared" si="271"/>
        <v>MS</v>
      </c>
    </row>
    <row r="9311" spans="1:6" x14ac:dyDescent="0.25">
      <c r="A9311" t="str">
        <f>"002936811"</f>
        <v>002936811</v>
      </c>
      <c r="B9311" t="str">
        <f>"1982868030"</f>
        <v>1982868030</v>
      </c>
      <c r="C9311" t="str">
        <f>"2080P0205X"</f>
        <v>2080P0205X</v>
      </c>
      <c r="D9311" t="str">
        <f>"SUKUMARAN                ANJU         P           "</f>
        <v xml:space="preserve">SUKUMARAN                ANJU         P           </v>
      </c>
      <c r="E9311" t="str">
        <f>"JACKSON                   "</f>
        <v xml:space="preserve">JACKSON                   </v>
      </c>
      <c r="F9311" t="str">
        <f t="shared" si="271"/>
        <v>MS</v>
      </c>
    </row>
    <row r="9312" spans="1:6" x14ac:dyDescent="0.25">
      <c r="A9312" t="str">
        <f>"002937009"</f>
        <v>002937009</v>
      </c>
      <c r="B9312" t="str">
        <f>"1871056275"</f>
        <v>1871056275</v>
      </c>
      <c r="C9312" t="str">
        <f>"2084P0800X"</f>
        <v>2084P0800X</v>
      </c>
      <c r="D9312" t="str">
        <f>"MCLENDON                 HUNTER       W           "</f>
        <v xml:space="preserve">MCLENDON                 HUNTER       W           </v>
      </c>
      <c r="E9312" t="str">
        <f>"WHITFIELD                 "</f>
        <v xml:space="preserve">WHITFIELD                 </v>
      </c>
      <c r="F9312" t="str">
        <f t="shared" si="271"/>
        <v>MS</v>
      </c>
    </row>
    <row r="9313" spans="1:6" x14ac:dyDescent="0.25">
      <c r="A9313" t="str">
        <f>"002937253"</f>
        <v>002937253</v>
      </c>
      <c r="B9313" t="str">
        <f>"1679709174"</f>
        <v>1679709174</v>
      </c>
      <c r="C9313" t="str">
        <f>"2085R0202X"</f>
        <v>2085R0202X</v>
      </c>
      <c r="D9313" t="str">
        <f>"KING                     WILLIAM      H           "</f>
        <v xml:space="preserve">KING                     WILLIAM      H           </v>
      </c>
      <c r="E9313" t="str">
        <f>"OXFORD                    "</f>
        <v xml:space="preserve">OXFORD                    </v>
      </c>
      <c r="F9313" t="str">
        <f t="shared" si="271"/>
        <v>MS</v>
      </c>
    </row>
    <row r="9314" spans="1:6" x14ac:dyDescent="0.25">
      <c r="A9314" t="str">
        <f>"002938014"</f>
        <v>002938014</v>
      </c>
      <c r="B9314" t="str">
        <f>"1891176947"</f>
        <v>1891176947</v>
      </c>
      <c r="C9314" t="str">
        <f>"207Q00000X"</f>
        <v>207Q00000X</v>
      </c>
      <c r="D9314" t="str">
        <f>"MOORE II                 JOEL         A           "</f>
        <v xml:space="preserve">MOORE II                 JOEL         A           </v>
      </c>
      <c r="E9314" t="str">
        <f>"HATTIESBURG               "</f>
        <v xml:space="preserve">HATTIESBURG               </v>
      </c>
      <c r="F9314" t="str">
        <f t="shared" si="271"/>
        <v>MS</v>
      </c>
    </row>
    <row r="9315" spans="1:6" x14ac:dyDescent="0.25">
      <c r="A9315" t="str">
        <f>"002939304"</f>
        <v>002939304</v>
      </c>
      <c r="B9315" t="str">
        <f>"1609228568"</f>
        <v>1609228568</v>
      </c>
      <c r="C9315" t="str">
        <f>"207R00000X"</f>
        <v>207R00000X</v>
      </c>
      <c r="D9315" t="str">
        <f>"QAYYUM                   MUNEEBA                  "</f>
        <v xml:space="preserve">QAYYUM                   MUNEEBA                  </v>
      </c>
      <c r="E9315" t="str">
        <f>"SOUTHAVEN                 "</f>
        <v xml:space="preserve">SOUTHAVEN                 </v>
      </c>
      <c r="F9315" t="str">
        <f t="shared" si="271"/>
        <v>MS</v>
      </c>
    </row>
    <row r="9316" spans="1:6" x14ac:dyDescent="0.25">
      <c r="A9316" t="str">
        <f>"002939763"</f>
        <v>002939763</v>
      </c>
      <c r="B9316" t="str">
        <f>"1720022122"</f>
        <v>1720022122</v>
      </c>
      <c r="C9316" t="str">
        <f>"208000000X"</f>
        <v>208000000X</v>
      </c>
      <c r="D9316" t="str">
        <f>"BRISTOL                  GERALD       A           "</f>
        <v xml:space="preserve">BRISTOL                  GERALD       A           </v>
      </c>
      <c r="E9316" t="str">
        <f>"BILOXI                    "</f>
        <v xml:space="preserve">BILOXI                    </v>
      </c>
      <c r="F9316" t="str">
        <f t="shared" si="271"/>
        <v>MS</v>
      </c>
    </row>
    <row r="9317" spans="1:6" x14ac:dyDescent="0.25">
      <c r="A9317" t="str">
        <f>"002950307"</f>
        <v>002950307</v>
      </c>
      <c r="B9317" t="str">
        <f>"1689137598"</f>
        <v>1689137598</v>
      </c>
      <c r="C9317" t="str">
        <f>"122300000X"</f>
        <v>122300000X</v>
      </c>
      <c r="D9317" t="str">
        <f>"WALTON                   DAVIS        B           "</f>
        <v xml:space="preserve">WALTON                   DAVIS        B           </v>
      </c>
      <c r="E9317" t="str">
        <f>"NATCHEZ                   "</f>
        <v xml:space="preserve">NATCHEZ                   </v>
      </c>
      <c r="F9317" t="str">
        <f t="shared" si="271"/>
        <v>MS</v>
      </c>
    </row>
    <row r="9318" spans="1:6" x14ac:dyDescent="0.25">
      <c r="A9318" t="str">
        <f>"002951367"</f>
        <v>002951367</v>
      </c>
      <c r="B9318" t="str">
        <f>"1821525593"</f>
        <v>1821525593</v>
      </c>
      <c r="C9318" t="str">
        <f>"363L00000X"</f>
        <v>363L00000X</v>
      </c>
      <c r="D9318" t="str">
        <f>"KEY                      EMILY        E           "</f>
        <v xml:space="preserve">KEY                      EMILY        E           </v>
      </c>
      <c r="E9318" t="str">
        <f>"SEMINARY                  "</f>
        <v xml:space="preserve">SEMINARY                  </v>
      </c>
      <c r="F9318" t="str">
        <f t="shared" si="271"/>
        <v>MS</v>
      </c>
    </row>
    <row r="9319" spans="1:6" x14ac:dyDescent="0.25">
      <c r="A9319" t="str">
        <f>"002952514"</f>
        <v>002952514</v>
      </c>
      <c r="B9319" t="str">
        <f>"1649695644"</f>
        <v>1649695644</v>
      </c>
      <c r="C9319" t="str">
        <f>"363L00000X"</f>
        <v>363L00000X</v>
      </c>
      <c r="D9319" t="str">
        <f>"DICKARD                  SHONNA       B           "</f>
        <v xml:space="preserve">DICKARD                  SHONNA       B           </v>
      </c>
      <c r="E9319" t="str">
        <f>"SENATOBIA                 "</f>
        <v xml:space="preserve">SENATOBIA                 </v>
      </c>
      <c r="F9319" t="str">
        <f t="shared" si="271"/>
        <v>MS</v>
      </c>
    </row>
    <row r="9320" spans="1:6" x14ac:dyDescent="0.25">
      <c r="A9320" t="str">
        <f>"002953242"</f>
        <v>002953242</v>
      </c>
      <c r="B9320" t="str">
        <f>"1164734406"</f>
        <v>1164734406</v>
      </c>
      <c r="C9320" t="str">
        <f>"2080P0204X"</f>
        <v>2080P0204X</v>
      </c>
      <c r="D9320" t="str">
        <f>"CRADDOCK                 PUJA         M           "</f>
        <v xml:space="preserve">CRADDOCK                 PUJA         M           </v>
      </c>
      <c r="E9320" t="str">
        <f>"JACKSON                   "</f>
        <v xml:space="preserve">JACKSON                   </v>
      </c>
      <c r="F9320" t="str">
        <f t="shared" si="271"/>
        <v>MS</v>
      </c>
    </row>
    <row r="9321" spans="1:6" x14ac:dyDescent="0.25">
      <c r="A9321" t="str">
        <f>"002956343"</f>
        <v>002956343</v>
      </c>
      <c r="B9321" t="str">
        <f>"1619926433"</f>
        <v>1619926433</v>
      </c>
      <c r="C9321" t="str">
        <f>"207Q00000X"</f>
        <v>207Q00000X</v>
      </c>
      <c r="D9321" t="str">
        <f>"BOONE                    DANIEL                   "</f>
        <v xml:space="preserve">BOONE                    DANIEL                   </v>
      </c>
      <c r="E9321" t="str">
        <f>"MCCOMB                    "</f>
        <v xml:space="preserve">MCCOMB                    </v>
      </c>
      <c r="F9321" t="str">
        <f t="shared" si="271"/>
        <v>MS</v>
      </c>
    </row>
    <row r="9322" spans="1:6" x14ac:dyDescent="0.25">
      <c r="A9322" t="str">
        <f>"002957216"</f>
        <v>002957216</v>
      </c>
      <c r="B9322" t="str">
        <f>"1710633110"</f>
        <v>1710633110</v>
      </c>
      <c r="C9322" t="str">
        <f>"363L00000X"</f>
        <v>363L00000X</v>
      </c>
      <c r="D9322" t="str">
        <f>"GORDON                   LESLIE                   "</f>
        <v xml:space="preserve">GORDON                   LESLIE                   </v>
      </c>
      <c r="E9322" t="str">
        <f>"OXFORD                    "</f>
        <v xml:space="preserve">OXFORD                    </v>
      </c>
      <c r="F9322" t="str">
        <f t="shared" si="271"/>
        <v>MS</v>
      </c>
    </row>
    <row r="9323" spans="1:6" x14ac:dyDescent="0.25">
      <c r="A9323" t="str">
        <f>"002957796"</f>
        <v>002957796</v>
      </c>
      <c r="B9323" t="str">
        <f>"1922683580"</f>
        <v>1922683580</v>
      </c>
      <c r="C9323" t="str">
        <f>"367500000X"</f>
        <v>367500000X</v>
      </c>
      <c r="D9323" t="str">
        <f>"JACKSON                  CHAKA        K           "</f>
        <v xml:space="preserve">JACKSON                  CHAKA        K           </v>
      </c>
      <c r="E9323" t="str">
        <f>"HATTIESBURG               "</f>
        <v xml:space="preserve">HATTIESBURG               </v>
      </c>
      <c r="F9323" t="str">
        <f t="shared" si="271"/>
        <v>MS</v>
      </c>
    </row>
    <row r="9324" spans="1:6" x14ac:dyDescent="0.25">
      <c r="A9324" t="str">
        <f>"002958221"</f>
        <v>002958221</v>
      </c>
      <c r="B9324" t="str">
        <f>"1003339136"</f>
        <v>1003339136</v>
      </c>
      <c r="C9324" t="str">
        <f>"261QA0600X"</f>
        <v>261QA0600X</v>
      </c>
      <c r="D9324" t="str">
        <f>"FIRST CHOICE HOME CARE LLC                        "</f>
        <v xml:space="preserve">FIRST CHOICE HOME CARE LLC                        </v>
      </c>
      <c r="E9324" t="str">
        <f>"YAZOO CITY                "</f>
        <v xml:space="preserve">YAZOO CITY                </v>
      </c>
      <c r="F9324" t="str">
        <f t="shared" si="271"/>
        <v>MS</v>
      </c>
    </row>
    <row r="9325" spans="1:6" x14ac:dyDescent="0.25">
      <c r="A9325" t="str">
        <f>"002959068"</f>
        <v>002959068</v>
      </c>
      <c r="B9325" t="str">
        <f>"1023505161"</f>
        <v>1023505161</v>
      </c>
      <c r="C9325" t="str">
        <f>"207P00000X"</f>
        <v>207P00000X</v>
      </c>
      <c r="D9325" t="str">
        <f>"TRAHAN                   KAYLISE      A           "</f>
        <v xml:space="preserve">TRAHAN                   KAYLISE      A           </v>
      </c>
      <c r="E9325" t="str">
        <f>"JACKSON                   "</f>
        <v xml:space="preserve">JACKSON                   </v>
      </c>
      <c r="F9325" t="str">
        <f t="shared" si="271"/>
        <v>MS</v>
      </c>
    </row>
    <row r="9326" spans="1:6" x14ac:dyDescent="0.25">
      <c r="A9326" t="str">
        <f>"002959746"</f>
        <v>002959746</v>
      </c>
      <c r="B9326" t="str">
        <f>"1447738117"</f>
        <v>1447738117</v>
      </c>
      <c r="C9326" t="str">
        <f>"363L00000X"</f>
        <v>363L00000X</v>
      </c>
      <c r="D9326" t="str">
        <f>"HUDSON                   TERATY                   "</f>
        <v xml:space="preserve">HUDSON                   TERATY                   </v>
      </c>
      <c r="E9326" t="str">
        <f>"BILOXI                    "</f>
        <v xml:space="preserve">BILOXI                    </v>
      </c>
      <c r="F9326" t="str">
        <f t="shared" si="271"/>
        <v>MS</v>
      </c>
    </row>
    <row r="9327" spans="1:6" x14ac:dyDescent="0.25">
      <c r="A9327" t="str">
        <f>"002972802"</f>
        <v>002972802</v>
      </c>
      <c r="B9327" t="str">
        <f>"1952630089"</f>
        <v>1952630089</v>
      </c>
      <c r="C9327" t="str">
        <f>"208000000X"</f>
        <v>208000000X</v>
      </c>
      <c r="D9327" t="str">
        <f>"CHAPMAN II               CLYDE        R           "</f>
        <v xml:space="preserve">CHAPMAN II               CLYDE        R           </v>
      </c>
      <c r="E9327" t="str">
        <f>"HATTIESBURG               "</f>
        <v xml:space="preserve">HATTIESBURG               </v>
      </c>
      <c r="F9327" t="str">
        <f t="shared" si="271"/>
        <v>MS</v>
      </c>
    </row>
    <row r="9328" spans="1:6" x14ac:dyDescent="0.25">
      <c r="A9328" t="str">
        <f>"002974597"</f>
        <v>002974597</v>
      </c>
      <c r="B9328" t="str">
        <f>"1861411977"</f>
        <v>1861411977</v>
      </c>
      <c r="C9328" t="str">
        <f>"207V00000X"</f>
        <v>207V00000X</v>
      </c>
      <c r="D9328" t="str">
        <f>"WARE                     ALISHA       H           "</f>
        <v xml:space="preserve">WARE                     ALISHA       H           </v>
      </c>
      <c r="E9328" t="str">
        <f>"GULFPORT                  "</f>
        <v xml:space="preserve">GULFPORT                  </v>
      </c>
      <c r="F9328" t="str">
        <f t="shared" si="271"/>
        <v>MS</v>
      </c>
    </row>
    <row r="9329" spans="1:6" x14ac:dyDescent="0.25">
      <c r="A9329" t="str">
        <f>"002975011"</f>
        <v>002975011</v>
      </c>
      <c r="B9329" t="str">
        <f>"1336179373"</f>
        <v>1336179373</v>
      </c>
      <c r="C9329" t="str">
        <f>"367500000X"</f>
        <v>367500000X</v>
      </c>
      <c r="D9329" t="str">
        <f>"MARBLE                   CHERYL       A           "</f>
        <v xml:space="preserve">MARBLE                   CHERYL       A           </v>
      </c>
      <c r="E9329" t="str">
        <f>"JACKSON                   "</f>
        <v xml:space="preserve">JACKSON                   </v>
      </c>
      <c r="F9329" t="str">
        <f t="shared" si="271"/>
        <v>MS</v>
      </c>
    </row>
    <row r="9330" spans="1:6" x14ac:dyDescent="0.25">
      <c r="A9330" t="str">
        <f>"002975334"</f>
        <v>002975334</v>
      </c>
      <c r="B9330" t="str">
        <f>"1760601967"</f>
        <v>1760601967</v>
      </c>
      <c r="C9330" t="str">
        <f>"363L00000X"</f>
        <v>363L00000X</v>
      </c>
      <c r="D9330" t="str">
        <f>"BARTELS                  KIMBERLY     L           "</f>
        <v xml:space="preserve">BARTELS                  KIMBERLY     L           </v>
      </c>
      <c r="E9330" t="str">
        <f>"JACKSON                   "</f>
        <v xml:space="preserve">JACKSON                   </v>
      </c>
      <c r="F9330" t="str">
        <f t="shared" si="271"/>
        <v>MS</v>
      </c>
    </row>
    <row r="9331" spans="1:6" x14ac:dyDescent="0.25">
      <c r="A9331" t="str">
        <f>"002975756"</f>
        <v>002975756</v>
      </c>
      <c r="B9331" t="str">
        <f>"1891218046"</f>
        <v>1891218046</v>
      </c>
      <c r="C9331" t="str">
        <f>"363L00000X"</f>
        <v>363L00000X</v>
      </c>
      <c r="D9331" t="str">
        <f>"WALLACE                  KENITRA                  "</f>
        <v xml:space="preserve">WALLACE                  KENITRA                  </v>
      </c>
      <c r="E9331" t="str">
        <f>"FAYETTE                   "</f>
        <v xml:space="preserve">FAYETTE                   </v>
      </c>
      <c r="F9331" t="str">
        <f t="shared" si="271"/>
        <v>MS</v>
      </c>
    </row>
    <row r="9332" spans="1:6" x14ac:dyDescent="0.25">
      <c r="A9332" t="str">
        <f>"002976502"</f>
        <v>002976502</v>
      </c>
      <c r="B9332" t="str">
        <f>"1518429976"</f>
        <v>1518429976</v>
      </c>
      <c r="C9332" t="str">
        <f>"208000000X"</f>
        <v>208000000X</v>
      </c>
      <c r="D9332" t="str">
        <f>"GLASER                   ANNE         K           "</f>
        <v xml:space="preserve">GLASER                   ANNE         K           </v>
      </c>
      <c r="E9332" t="str">
        <f>"OXFORD                    "</f>
        <v xml:space="preserve">OXFORD                    </v>
      </c>
      <c r="F9332" t="str">
        <f t="shared" si="271"/>
        <v>MS</v>
      </c>
    </row>
    <row r="9333" spans="1:6" x14ac:dyDescent="0.25">
      <c r="A9333" t="str">
        <f>"002976539"</f>
        <v>002976539</v>
      </c>
      <c r="B9333" t="str">
        <f>"1205356565"</f>
        <v>1205356565</v>
      </c>
      <c r="C9333" t="str">
        <f>"363A00000X"</f>
        <v>363A00000X</v>
      </c>
      <c r="D9333" t="str">
        <f>"CONRY                    LACY         D           "</f>
        <v xml:space="preserve">CONRY                    LACY         D           </v>
      </c>
      <c r="E9333" t="str">
        <f>"SOUTHAVEN                 "</f>
        <v xml:space="preserve">SOUTHAVEN                 </v>
      </c>
      <c r="F9333" t="str">
        <f t="shared" si="271"/>
        <v>MS</v>
      </c>
    </row>
    <row r="9334" spans="1:6" x14ac:dyDescent="0.25">
      <c r="A9334" t="str">
        <f>"002978011"</f>
        <v>002978011</v>
      </c>
      <c r="B9334" t="str">
        <f>"1518120096"</f>
        <v>1518120096</v>
      </c>
      <c r="C9334" t="str">
        <f>"207R00000X"</f>
        <v>207R00000X</v>
      </c>
      <c r="D9334" t="str">
        <f>"TURNER                   JUSTIN       M           "</f>
        <v xml:space="preserve">TURNER                   JUSTIN       M           </v>
      </c>
      <c r="E9334" t="str">
        <f>"JACKSON                   "</f>
        <v xml:space="preserve">JACKSON                   </v>
      </c>
      <c r="F9334" t="str">
        <f t="shared" si="271"/>
        <v>MS</v>
      </c>
    </row>
    <row r="9335" spans="1:6" x14ac:dyDescent="0.25">
      <c r="A9335" t="str">
        <f>"002980031"</f>
        <v>002980031</v>
      </c>
      <c r="B9335" t="str">
        <f>"1972910230"</f>
        <v>1972910230</v>
      </c>
      <c r="C9335" t="str">
        <f>"363L00000X"</f>
        <v>363L00000X</v>
      </c>
      <c r="D9335" t="str">
        <f>"COLEMAN                  ELIZABETH    C           "</f>
        <v xml:space="preserve">COLEMAN                  ELIZABETH    C           </v>
      </c>
      <c r="E9335" t="str">
        <f>"GULFPORT                  "</f>
        <v xml:space="preserve">GULFPORT                  </v>
      </c>
      <c r="F9335" t="str">
        <f t="shared" si="271"/>
        <v>MS</v>
      </c>
    </row>
    <row r="9336" spans="1:6" x14ac:dyDescent="0.25">
      <c r="A9336" t="str">
        <f>"002980062"</f>
        <v>002980062</v>
      </c>
      <c r="B9336" t="str">
        <f>"1922209360"</f>
        <v>1922209360</v>
      </c>
      <c r="C9336" t="str">
        <f>"2085R0202X"</f>
        <v>2085R0202X</v>
      </c>
      <c r="D9336" t="str">
        <f>"MONTGOMERY               VAN                      "</f>
        <v xml:space="preserve">MONTGOMERY               VAN                      </v>
      </c>
      <c r="E9336" t="str">
        <f>"OLIVE BRANCH              "</f>
        <v xml:space="preserve">OLIVE BRANCH              </v>
      </c>
      <c r="F9336" t="str">
        <f t="shared" si="271"/>
        <v>MS</v>
      </c>
    </row>
    <row r="9337" spans="1:6" x14ac:dyDescent="0.25">
      <c r="A9337" t="str">
        <f>"002980811"</f>
        <v>002980811</v>
      </c>
      <c r="B9337" t="str">
        <f>"1659846129"</f>
        <v>1659846129</v>
      </c>
      <c r="C9337" t="str">
        <f>"363L00000X"</f>
        <v>363L00000X</v>
      </c>
      <c r="D9337" t="str">
        <f>"COPELAND                 SIMMONS      T           "</f>
        <v xml:space="preserve">COPELAND                 SIMMONS      T           </v>
      </c>
      <c r="E9337" t="str">
        <f>"MCCOMB                    "</f>
        <v xml:space="preserve">MCCOMB                    </v>
      </c>
      <c r="F9337" t="str">
        <f t="shared" si="271"/>
        <v>MS</v>
      </c>
    </row>
    <row r="9338" spans="1:6" x14ac:dyDescent="0.25">
      <c r="A9338" t="str">
        <f>"002982352"</f>
        <v>002982352</v>
      </c>
      <c r="B9338" t="str">
        <f>"1538173513"</f>
        <v>1538173513</v>
      </c>
      <c r="C9338" t="str">
        <f>"122300000X"</f>
        <v>122300000X</v>
      </c>
      <c r="D9338" t="str">
        <f>"GIANOLA                  COURTNEY     M           "</f>
        <v xml:space="preserve">GIANOLA                  COURTNEY     M           </v>
      </c>
      <c r="E9338" t="str">
        <f>"LAUREL                    "</f>
        <v xml:space="preserve">LAUREL                    </v>
      </c>
      <c r="F9338" t="str">
        <f t="shared" si="271"/>
        <v>MS</v>
      </c>
    </row>
    <row r="9339" spans="1:6" x14ac:dyDescent="0.25">
      <c r="A9339" t="str">
        <f>"002984016"</f>
        <v>002984016</v>
      </c>
      <c r="B9339" t="str">
        <f>"1376631556"</f>
        <v>1376631556</v>
      </c>
      <c r="C9339" t="str">
        <f>"207W00000X"</f>
        <v>207W00000X</v>
      </c>
      <c r="D9339" t="str">
        <f>"SANDERS, IV              HENRY        J           "</f>
        <v xml:space="preserve">SANDERS, IV              HENRY        J           </v>
      </c>
      <c r="E9339" t="str">
        <f>"FLOWOOD                   "</f>
        <v xml:space="preserve">FLOWOOD                   </v>
      </c>
      <c r="F9339" t="str">
        <f t="shared" si="271"/>
        <v>MS</v>
      </c>
    </row>
    <row r="9340" spans="1:6" x14ac:dyDescent="0.25">
      <c r="A9340" t="str">
        <f>"002984221"</f>
        <v>002984221</v>
      </c>
      <c r="B9340" t="str">
        <f>"1134672462"</f>
        <v>1134672462</v>
      </c>
      <c r="C9340" t="str">
        <f>"363L00000X"</f>
        <v>363L00000X</v>
      </c>
      <c r="D9340" t="str">
        <f>"JAMES                    KYMBERLEIGH  E           "</f>
        <v xml:space="preserve">JAMES                    KYMBERLEIGH  E           </v>
      </c>
      <c r="E9340" t="str">
        <f>"COLUMBUS                  "</f>
        <v xml:space="preserve">COLUMBUS                  </v>
      </c>
      <c r="F9340" t="str">
        <f t="shared" si="271"/>
        <v>MS</v>
      </c>
    </row>
    <row r="9341" spans="1:6" x14ac:dyDescent="0.25">
      <c r="A9341" t="str">
        <f>"002984280"</f>
        <v>002984280</v>
      </c>
      <c r="B9341" t="str">
        <f>"1174093637"</f>
        <v>1174093637</v>
      </c>
      <c r="C9341" t="str">
        <f>"363L00000X"</f>
        <v>363L00000X</v>
      </c>
      <c r="D9341" t="str">
        <f>"WELCH                    ADAM                     "</f>
        <v xml:space="preserve">WELCH                    ADAM                     </v>
      </c>
      <c r="E9341" t="str">
        <f>"JACKSON                   "</f>
        <v xml:space="preserve">JACKSON                   </v>
      </c>
      <c r="F9341" t="str">
        <f t="shared" si="271"/>
        <v>MS</v>
      </c>
    </row>
    <row r="9342" spans="1:6" x14ac:dyDescent="0.25">
      <c r="A9342" t="str">
        <f>"002987334"</f>
        <v>002987334</v>
      </c>
      <c r="B9342" t="str">
        <f>"1093912479"</f>
        <v>1093912479</v>
      </c>
      <c r="C9342" t="str">
        <f>"208000000X"</f>
        <v>208000000X</v>
      </c>
      <c r="D9342" t="str">
        <f>"LILLEY                   JESSICA      S           "</f>
        <v xml:space="preserve">LILLEY                   JESSICA      S           </v>
      </c>
      <c r="E9342" t="str">
        <f>"TUPELO                    "</f>
        <v xml:space="preserve">TUPELO                    </v>
      </c>
      <c r="F9342" t="str">
        <f t="shared" ref="F9342:F9405" si="272">"MS"</f>
        <v>MS</v>
      </c>
    </row>
    <row r="9343" spans="1:6" x14ac:dyDescent="0.25">
      <c r="A9343" t="str">
        <f>"002987514"</f>
        <v>002987514</v>
      </c>
      <c r="B9343" t="str">
        <f>"1538641204"</f>
        <v>1538641204</v>
      </c>
      <c r="C9343" t="str">
        <f>"363L00000X"</f>
        <v>363L00000X</v>
      </c>
      <c r="D9343" t="str">
        <f>"PINKERTON                WHITNI       L           "</f>
        <v xml:space="preserve">PINKERTON                WHITNI       L           </v>
      </c>
      <c r="E9343" t="str">
        <f>"MERIDIAN                  "</f>
        <v xml:space="preserve">MERIDIAN                  </v>
      </c>
      <c r="F9343" t="str">
        <f t="shared" si="272"/>
        <v>MS</v>
      </c>
    </row>
    <row r="9344" spans="1:6" x14ac:dyDescent="0.25">
      <c r="A9344" t="str">
        <f>"002988368"</f>
        <v>002988368</v>
      </c>
      <c r="B9344" t="str">
        <f>"1558756387"</f>
        <v>1558756387</v>
      </c>
      <c r="C9344" t="str">
        <f>"207R00000X"</f>
        <v>207R00000X</v>
      </c>
      <c r="D9344" t="str">
        <f>"MITCHELL KARCHER         BARBARA      K           "</f>
        <v xml:space="preserve">MITCHELL KARCHER         BARBARA      K           </v>
      </c>
      <c r="E9344" t="str">
        <f>"PETAL                     "</f>
        <v xml:space="preserve">PETAL                     </v>
      </c>
      <c r="F9344" t="str">
        <f t="shared" si="272"/>
        <v>MS</v>
      </c>
    </row>
    <row r="9345" spans="1:6" x14ac:dyDescent="0.25">
      <c r="A9345" t="str">
        <f>"002988820"</f>
        <v>002988820</v>
      </c>
      <c r="B9345" t="str">
        <f>"1962686394"</f>
        <v>1962686394</v>
      </c>
      <c r="C9345" t="str">
        <f>"122300000X"</f>
        <v>122300000X</v>
      </c>
      <c r="D9345" t="str">
        <f>"RODERICK COLEMAN DMD PA                           "</f>
        <v xml:space="preserve">RODERICK COLEMAN DMD PA                           </v>
      </c>
      <c r="E9345" t="str">
        <f>"VICKSBURG                 "</f>
        <v xml:space="preserve">VICKSBURG                 </v>
      </c>
      <c r="F9345" t="str">
        <f t="shared" si="272"/>
        <v>MS</v>
      </c>
    </row>
    <row r="9346" spans="1:6" x14ac:dyDescent="0.25">
      <c r="A9346" t="str">
        <f>"003000058"</f>
        <v>003000058</v>
      </c>
      <c r="B9346" t="str">
        <f>"1417405812"</f>
        <v>1417405812</v>
      </c>
      <c r="C9346" t="str">
        <f>"261QA1903X"</f>
        <v>261QA1903X</v>
      </c>
      <c r="D9346" t="str">
        <f>"BIENVILLE SURGERY CENTER LLC                      "</f>
        <v xml:space="preserve">BIENVILLE SURGERY CENTER LLC                      </v>
      </c>
      <c r="E9346" t="str">
        <f>"VANCLEAVE                 "</f>
        <v xml:space="preserve">VANCLEAVE                 </v>
      </c>
      <c r="F9346" t="str">
        <f t="shared" si="272"/>
        <v>MS</v>
      </c>
    </row>
    <row r="9347" spans="1:6" x14ac:dyDescent="0.25">
      <c r="A9347" t="str">
        <f>"003001591"</f>
        <v>003001591</v>
      </c>
      <c r="B9347" t="str">
        <f>"1215367230"</f>
        <v>1215367230</v>
      </c>
      <c r="C9347" t="str">
        <f>"363L00000X"</f>
        <v>363L00000X</v>
      </c>
      <c r="D9347" t="str">
        <f>"GLOVER                   HILARY                   "</f>
        <v xml:space="preserve">GLOVER                   HILARY                   </v>
      </c>
      <c r="E9347" t="str">
        <f>"CORINTH                   "</f>
        <v xml:space="preserve">CORINTH                   </v>
      </c>
      <c r="F9347" t="str">
        <f t="shared" si="272"/>
        <v>MS</v>
      </c>
    </row>
    <row r="9348" spans="1:6" x14ac:dyDescent="0.25">
      <c r="A9348" t="str">
        <f>"003002260"</f>
        <v>003002260</v>
      </c>
      <c r="B9348" t="str">
        <f>"1801536644"</f>
        <v>1801536644</v>
      </c>
      <c r="C9348" t="str">
        <f>"207R00000X"</f>
        <v>207R00000X</v>
      </c>
      <c r="D9348" t="str">
        <f>"AWAN                     HENNA                    "</f>
        <v xml:space="preserve">AWAN                     HENNA                    </v>
      </c>
      <c r="E9348" t="str">
        <f>"JACKSON                   "</f>
        <v xml:space="preserve">JACKSON                   </v>
      </c>
      <c r="F9348" t="str">
        <f t="shared" si="272"/>
        <v>MS</v>
      </c>
    </row>
    <row r="9349" spans="1:6" x14ac:dyDescent="0.25">
      <c r="A9349" t="str">
        <f>"003003227"</f>
        <v>003003227</v>
      </c>
      <c r="B9349" t="str">
        <f>"1396980116"</f>
        <v>1396980116</v>
      </c>
      <c r="C9349" t="str">
        <f>"207Q00000X"</f>
        <v>207Q00000X</v>
      </c>
      <c r="D9349" t="str">
        <f>"EVANS                    VALERIE      N           "</f>
        <v xml:space="preserve">EVANS                    VALERIE      N           </v>
      </c>
      <c r="E9349" t="str">
        <f>"MERIDIAN                  "</f>
        <v xml:space="preserve">MERIDIAN                  </v>
      </c>
      <c r="F9349" t="str">
        <f t="shared" si="272"/>
        <v>MS</v>
      </c>
    </row>
    <row r="9350" spans="1:6" x14ac:dyDescent="0.25">
      <c r="A9350" t="str">
        <f>"003003259"</f>
        <v>003003259</v>
      </c>
      <c r="B9350" t="str">
        <f>"1205296704"</f>
        <v>1205296704</v>
      </c>
      <c r="C9350" t="str">
        <f>"363L00000X"</f>
        <v>363L00000X</v>
      </c>
      <c r="D9350" t="str">
        <f>"HINKLE                   RENAY        D           "</f>
        <v xml:space="preserve">HINKLE                   RENAY        D           </v>
      </c>
      <c r="E9350" t="str">
        <f>"MOSS POINT                "</f>
        <v xml:space="preserve">MOSS POINT                </v>
      </c>
      <c r="F9350" t="str">
        <f t="shared" si="272"/>
        <v>MS</v>
      </c>
    </row>
    <row r="9351" spans="1:6" x14ac:dyDescent="0.25">
      <c r="A9351" t="str">
        <f>"003003545"</f>
        <v>003003545</v>
      </c>
      <c r="B9351" t="str">
        <f>"1063812220"</f>
        <v>1063812220</v>
      </c>
      <c r="C9351" t="str">
        <f>"363L00000X"</f>
        <v>363L00000X</v>
      </c>
      <c r="D9351" t="str">
        <f>"PITTMAN                  HANNAH       P           "</f>
        <v xml:space="preserve">PITTMAN                  HANNAH       P           </v>
      </c>
      <c r="E9351" t="str">
        <f>"TUPELO                    "</f>
        <v xml:space="preserve">TUPELO                    </v>
      </c>
      <c r="F9351" t="str">
        <f t="shared" si="272"/>
        <v>MS</v>
      </c>
    </row>
    <row r="9352" spans="1:6" x14ac:dyDescent="0.25">
      <c r="A9352" t="str">
        <f>"003003882"</f>
        <v>003003882</v>
      </c>
      <c r="B9352" t="str">
        <f>"1487903936"</f>
        <v>1487903936</v>
      </c>
      <c r="C9352" t="str">
        <f>"363L00000X"</f>
        <v>363L00000X</v>
      </c>
      <c r="D9352" t="str">
        <f>"PERKINS                  AMY          M           "</f>
        <v xml:space="preserve">PERKINS                  AMY          M           </v>
      </c>
      <c r="E9352" t="str">
        <f>"HERNANDO                  "</f>
        <v xml:space="preserve">HERNANDO                  </v>
      </c>
      <c r="F9352" t="str">
        <f t="shared" si="272"/>
        <v>MS</v>
      </c>
    </row>
    <row r="9353" spans="1:6" x14ac:dyDescent="0.25">
      <c r="A9353" t="str">
        <f>"003007071"</f>
        <v>003007071</v>
      </c>
      <c r="B9353" t="str">
        <f>"1487616009"</f>
        <v>1487616009</v>
      </c>
      <c r="C9353" t="str">
        <f>"2086S0102X"</f>
        <v>2086S0102X</v>
      </c>
      <c r="D9353" t="str">
        <f>"HELLING                  THOMAS       S           "</f>
        <v xml:space="preserve">HELLING                  THOMAS       S           </v>
      </c>
      <c r="E9353" t="str">
        <f>"JACKSON                   "</f>
        <v xml:space="preserve">JACKSON                   </v>
      </c>
      <c r="F9353" t="str">
        <f t="shared" si="272"/>
        <v>MS</v>
      </c>
    </row>
    <row r="9354" spans="1:6" x14ac:dyDescent="0.25">
      <c r="A9354" t="str">
        <f>"003007738"</f>
        <v>003007738</v>
      </c>
      <c r="B9354" t="str">
        <f>"1124217567"</f>
        <v>1124217567</v>
      </c>
      <c r="C9354" t="str">
        <f>"207L00000X"</f>
        <v>207L00000X</v>
      </c>
      <c r="D9354" t="str">
        <f>"FLOYD                    MOLLI        L           "</f>
        <v xml:space="preserve">FLOYD                    MOLLI        L           </v>
      </c>
      <c r="E9354" t="str">
        <f>"TUPELO                    "</f>
        <v xml:space="preserve">TUPELO                    </v>
      </c>
      <c r="F9354" t="str">
        <f t="shared" si="272"/>
        <v>MS</v>
      </c>
    </row>
    <row r="9355" spans="1:6" x14ac:dyDescent="0.25">
      <c r="A9355" t="str">
        <f>"003009076"</f>
        <v>003009076</v>
      </c>
      <c r="B9355" t="str">
        <f>"1689089203"</f>
        <v>1689089203</v>
      </c>
      <c r="C9355" t="str">
        <f>"207Q00000X"</f>
        <v>207Q00000X</v>
      </c>
      <c r="D9355" t="str">
        <f>"MILLER                   EDMUND       M           "</f>
        <v xml:space="preserve">MILLER                   EDMUND       M           </v>
      </c>
      <c r="E9355" t="str">
        <f>"WEST POINT                "</f>
        <v xml:space="preserve">WEST POINT                </v>
      </c>
      <c r="F9355" t="str">
        <f t="shared" si="272"/>
        <v>MS</v>
      </c>
    </row>
    <row r="9356" spans="1:6" x14ac:dyDescent="0.25">
      <c r="A9356" t="str">
        <f>"003009599"</f>
        <v>003009599</v>
      </c>
      <c r="B9356" t="str">
        <f>"1609301779"</f>
        <v>1609301779</v>
      </c>
      <c r="C9356" t="str">
        <f>"207ZP0105X"</f>
        <v>207ZP0105X</v>
      </c>
      <c r="D9356" t="str">
        <f>"BROADWATER               DEVIN        R           "</f>
        <v xml:space="preserve">BROADWATER               DEVIN        R           </v>
      </c>
      <c r="E9356" t="str">
        <f>"BILOXI                    "</f>
        <v xml:space="preserve">BILOXI                    </v>
      </c>
      <c r="F9356" t="str">
        <f t="shared" si="272"/>
        <v>MS</v>
      </c>
    </row>
    <row r="9357" spans="1:6" x14ac:dyDescent="0.25">
      <c r="A9357" t="str">
        <f>"003010781"</f>
        <v>003010781</v>
      </c>
      <c r="B9357" t="str">
        <f>"1871781997"</f>
        <v>1871781997</v>
      </c>
      <c r="C9357" t="str">
        <f>"367500000X"</f>
        <v>367500000X</v>
      </c>
      <c r="D9357" t="str">
        <f>"GAVIN                    PAMELA                   "</f>
        <v xml:space="preserve">GAVIN                    PAMELA                   </v>
      </c>
      <c r="E9357" t="str">
        <f>"HATTIESBURG               "</f>
        <v xml:space="preserve">HATTIESBURG               </v>
      </c>
      <c r="F9357" t="str">
        <f t="shared" si="272"/>
        <v>MS</v>
      </c>
    </row>
    <row r="9358" spans="1:6" x14ac:dyDescent="0.25">
      <c r="A9358" t="str">
        <f>"003020509"</f>
        <v>003020509</v>
      </c>
      <c r="B9358" t="str">
        <f>"1356638845"</f>
        <v>1356638845</v>
      </c>
      <c r="C9358" t="str">
        <f>"207RE0101X"</f>
        <v>207RE0101X</v>
      </c>
      <c r="D9358" t="str">
        <f>"GLOVER                   CHRISTINA    C           "</f>
        <v xml:space="preserve">GLOVER                   CHRISTINA    C           </v>
      </c>
      <c r="E9358" t="str">
        <f>"JACKSON                   "</f>
        <v xml:space="preserve">JACKSON                   </v>
      </c>
      <c r="F9358" t="str">
        <f t="shared" si="272"/>
        <v>MS</v>
      </c>
    </row>
    <row r="9359" spans="1:6" x14ac:dyDescent="0.25">
      <c r="A9359" t="str">
        <f>"003021265"</f>
        <v>003021265</v>
      </c>
      <c r="B9359" t="str">
        <f>"1538379789"</f>
        <v>1538379789</v>
      </c>
      <c r="C9359" t="str">
        <f>"207W00000X"</f>
        <v>207W00000X</v>
      </c>
      <c r="D9359" t="str">
        <f>"SHIPP                    JOHN         R           "</f>
        <v xml:space="preserve">SHIPP                    JOHN         R           </v>
      </c>
      <c r="E9359" t="str">
        <f>"CORINTH                   "</f>
        <v xml:space="preserve">CORINTH                   </v>
      </c>
      <c r="F9359" t="str">
        <f t="shared" si="272"/>
        <v>MS</v>
      </c>
    </row>
    <row r="9360" spans="1:6" x14ac:dyDescent="0.25">
      <c r="A9360" t="str">
        <f>"003021369"</f>
        <v>003021369</v>
      </c>
      <c r="B9360" t="str">
        <f>"1295403285"</f>
        <v>1295403285</v>
      </c>
      <c r="C9360" t="str">
        <f>"363L00000X"</f>
        <v>363L00000X</v>
      </c>
      <c r="D9360" t="str">
        <f>"MORROW                   MARY         J           "</f>
        <v xml:space="preserve">MORROW                   MARY         J           </v>
      </c>
      <c r="E9360" t="str">
        <f>"PONTOTOC                  "</f>
        <v xml:space="preserve">PONTOTOC                  </v>
      </c>
      <c r="F9360" t="str">
        <f t="shared" si="272"/>
        <v>MS</v>
      </c>
    </row>
    <row r="9361" spans="1:6" x14ac:dyDescent="0.25">
      <c r="A9361" t="str">
        <f>"003022127"</f>
        <v>003022127</v>
      </c>
      <c r="B9361" t="str">
        <f>"1144293655"</f>
        <v>1144293655</v>
      </c>
      <c r="C9361" t="str">
        <f>"363A00000X"</f>
        <v>363A00000X</v>
      </c>
      <c r="D9361" t="str">
        <f>"ROBBINS                  DAVID        B           "</f>
        <v xml:space="preserve">ROBBINS                  DAVID        B           </v>
      </c>
      <c r="E9361" t="str">
        <f>"NEW ALBANY                "</f>
        <v xml:space="preserve">NEW ALBANY                </v>
      </c>
      <c r="F9361" t="str">
        <f t="shared" si="272"/>
        <v>MS</v>
      </c>
    </row>
    <row r="9362" spans="1:6" x14ac:dyDescent="0.25">
      <c r="A9362" t="str">
        <f>"003023144"</f>
        <v>003023144</v>
      </c>
      <c r="B9362" t="str">
        <f>"1881714764"</f>
        <v>1881714764</v>
      </c>
      <c r="C9362" t="str">
        <f>"122300000X"</f>
        <v>122300000X</v>
      </c>
      <c r="D9362" t="str">
        <f>"WHITE JR                 ROBERT       C           "</f>
        <v xml:space="preserve">WHITE JR                 ROBERT       C           </v>
      </c>
      <c r="E9362" t="str">
        <f>"GREENWOOD                 "</f>
        <v xml:space="preserve">GREENWOOD                 </v>
      </c>
      <c r="F9362" t="str">
        <f t="shared" si="272"/>
        <v>MS</v>
      </c>
    </row>
    <row r="9363" spans="1:6" x14ac:dyDescent="0.25">
      <c r="A9363" t="str">
        <f>"003024739"</f>
        <v>003024739</v>
      </c>
      <c r="B9363" t="str">
        <f>"1679664031"</f>
        <v>1679664031</v>
      </c>
      <c r="C9363" t="str">
        <f>"207X00000X"</f>
        <v>207X00000X</v>
      </c>
      <c r="D9363" t="str">
        <f>"TUCKER                   CHRISTOPHER  J           "</f>
        <v xml:space="preserve">TUCKER                   CHRISTOPHER  J           </v>
      </c>
      <c r="E9363" t="str">
        <f>"CORINTH                   "</f>
        <v xml:space="preserve">CORINTH                   </v>
      </c>
      <c r="F9363" t="str">
        <f t="shared" si="272"/>
        <v>MS</v>
      </c>
    </row>
    <row r="9364" spans="1:6" x14ac:dyDescent="0.25">
      <c r="A9364" t="str">
        <f>"003025358"</f>
        <v>003025358</v>
      </c>
      <c r="B9364" t="str">
        <f>"1669729729"</f>
        <v>1669729729</v>
      </c>
      <c r="C9364" t="str">
        <f>"207R00000X"</f>
        <v>207R00000X</v>
      </c>
      <c r="D9364" t="str">
        <f>"MOSES                    KIRK                     "</f>
        <v xml:space="preserve">MOSES                    KIRK                     </v>
      </c>
      <c r="E9364" t="str">
        <f>"GULFPORT                  "</f>
        <v xml:space="preserve">GULFPORT                  </v>
      </c>
      <c r="F9364" t="str">
        <f t="shared" si="272"/>
        <v>MS</v>
      </c>
    </row>
    <row r="9365" spans="1:6" x14ac:dyDescent="0.25">
      <c r="A9365" t="str">
        <f>"003028021"</f>
        <v>003028021</v>
      </c>
      <c r="B9365" t="str">
        <f>"1720390578"</f>
        <v>1720390578</v>
      </c>
      <c r="C9365" t="str">
        <f>"207R00000X"</f>
        <v>207R00000X</v>
      </c>
      <c r="D9365" t="str">
        <f>"BOMB                     RITIN                    "</f>
        <v xml:space="preserve">BOMB                     RITIN                    </v>
      </c>
      <c r="E9365" t="str">
        <f>"SENATOBIA                 "</f>
        <v xml:space="preserve">SENATOBIA                 </v>
      </c>
      <c r="F9365" t="str">
        <f t="shared" si="272"/>
        <v>MS</v>
      </c>
    </row>
    <row r="9366" spans="1:6" x14ac:dyDescent="0.25">
      <c r="A9366" t="str">
        <f>"003028048"</f>
        <v>003028048</v>
      </c>
      <c r="B9366" t="str">
        <f>"1376155028"</f>
        <v>1376155028</v>
      </c>
      <c r="C9366" t="str">
        <f>"363L00000X"</f>
        <v>363L00000X</v>
      </c>
      <c r="D9366" t="str">
        <f>"LIDDELL                  ULONDA                   "</f>
        <v xml:space="preserve">LIDDELL                  ULONDA                   </v>
      </c>
      <c r="E9366" t="str">
        <f>"INDIANOLA                 "</f>
        <v xml:space="preserve">INDIANOLA                 </v>
      </c>
      <c r="F9366" t="str">
        <f t="shared" si="272"/>
        <v>MS</v>
      </c>
    </row>
    <row r="9367" spans="1:6" x14ac:dyDescent="0.25">
      <c r="A9367" t="str">
        <f>"003029221"</f>
        <v>003029221</v>
      </c>
      <c r="B9367" t="str">
        <f>"1164746939"</f>
        <v>1164746939</v>
      </c>
      <c r="C9367" t="str">
        <f>"207R00000X"</f>
        <v>207R00000X</v>
      </c>
      <c r="D9367" t="str">
        <f>"DRANE                    KENNETH      S           "</f>
        <v xml:space="preserve">DRANE                    KENNETH      S           </v>
      </c>
      <c r="E9367" t="str">
        <f>"NATCHEZ                   "</f>
        <v xml:space="preserve">NATCHEZ                   </v>
      </c>
      <c r="F9367" t="str">
        <f t="shared" si="272"/>
        <v>MS</v>
      </c>
    </row>
    <row r="9368" spans="1:6" x14ac:dyDescent="0.25">
      <c r="A9368" t="str">
        <f>"003029302"</f>
        <v>003029302</v>
      </c>
      <c r="B9368" t="str">
        <f>"1285649855"</f>
        <v>1285649855</v>
      </c>
      <c r="C9368" t="str">
        <f>"261QR1300X"</f>
        <v>261QR1300X</v>
      </c>
      <c r="D9368" t="str">
        <f>"WINONA FAMILY PRACTICE                            "</f>
        <v xml:space="preserve">WINONA FAMILY PRACTICE                            </v>
      </c>
      <c r="E9368" t="str">
        <f>"WINONA                    "</f>
        <v xml:space="preserve">WINONA                    </v>
      </c>
      <c r="F9368" t="str">
        <f t="shared" si="272"/>
        <v>MS</v>
      </c>
    </row>
    <row r="9369" spans="1:6" x14ac:dyDescent="0.25">
      <c r="A9369" t="str">
        <f>"003029511"</f>
        <v>003029511</v>
      </c>
      <c r="B9369" t="str">
        <f>"1326212374"</f>
        <v>1326212374</v>
      </c>
      <c r="C9369" t="str">
        <f>"122300000X"</f>
        <v>122300000X</v>
      </c>
      <c r="D9369" t="str">
        <f>"NEWTON FAMILY DENTAL CLINIC, P.A.                 "</f>
        <v xml:space="preserve">NEWTON FAMILY DENTAL CLINIC, P.A.                 </v>
      </c>
      <c r="E9369" t="str">
        <f>"NEWTON                    "</f>
        <v xml:space="preserve">NEWTON                    </v>
      </c>
      <c r="F9369" t="str">
        <f t="shared" si="272"/>
        <v>MS</v>
      </c>
    </row>
    <row r="9370" spans="1:6" x14ac:dyDescent="0.25">
      <c r="A9370" t="str">
        <f>"003032215"</f>
        <v>003032215</v>
      </c>
      <c r="B9370" t="str">
        <f>"1467671677"</f>
        <v>1467671677</v>
      </c>
      <c r="C9370" t="str">
        <f>"207R00000X"</f>
        <v>207R00000X</v>
      </c>
      <c r="D9370" t="str">
        <f>"KHALIQ                   FAZILA                   "</f>
        <v xml:space="preserve">KHALIQ                   FAZILA                   </v>
      </c>
      <c r="E9370" t="str">
        <f>"SOUTHAVEN                 "</f>
        <v xml:space="preserve">SOUTHAVEN                 </v>
      </c>
      <c r="F9370" t="str">
        <f t="shared" si="272"/>
        <v>MS</v>
      </c>
    </row>
    <row r="9371" spans="1:6" x14ac:dyDescent="0.25">
      <c r="A9371" t="str">
        <f>"003033053"</f>
        <v>003033053</v>
      </c>
      <c r="B9371" t="str">
        <f>"1598182826"</f>
        <v>1598182826</v>
      </c>
      <c r="C9371" t="str">
        <f>"207P00000X"</f>
        <v>207P00000X</v>
      </c>
      <c r="D9371" t="str">
        <f>"CARR                     PATRICK                  "</f>
        <v xml:space="preserve">CARR                     PATRICK                  </v>
      </c>
      <c r="E9371" t="str">
        <f>"OXFORD                    "</f>
        <v xml:space="preserve">OXFORD                    </v>
      </c>
      <c r="F9371" t="str">
        <f t="shared" si="272"/>
        <v>MS</v>
      </c>
    </row>
    <row r="9372" spans="1:6" x14ac:dyDescent="0.25">
      <c r="A9372" t="str">
        <f>"003034054"</f>
        <v>003034054</v>
      </c>
      <c r="B9372" t="str">
        <f>"1588775795"</f>
        <v>1588775795</v>
      </c>
      <c r="C9372" t="str">
        <f>"367500000X"</f>
        <v>367500000X</v>
      </c>
      <c r="D9372" t="str">
        <f>"CAVALIER                 KIMSEY       M           "</f>
        <v xml:space="preserve">CAVALIER                 KIMSEY       M           </v>
      </c>
      <c r="E9372" t="str">
        <f>"BAY ST LOUIS              "</f>
        <v xml:space="preserve">BAY ST LOUIS              </v>
      </c>
      <c r="F9372" t="str">
        <f t="shared" si="272"/>
        <v>MS</v>
      </c>
    </row>
    <row r="9373" spans="1:6" x14ac:dyDescent="0.25">
      <c r="A9373" t="str">
        <f>"003036084"</f>
        <v>003036084</v>
      </c>
      <c r="B9373" t="str">
        <f>"1043746936"</f>
        <v>1043746936</v>
      </c>
      <c r="C9373" t="str">
        <f>"363A00000X"</f>
        <v>363A00000X</v>
      </c>
      <c r="D9373" t="str">
        <f>"HARRIS LEBLANC           AMANDA                   "</f>
        <v xml:space="preserve">HARRIS LEBLANC           AMANDA                   </v>
      </c>
      <c r="E9373" t="str">
        <f>"GULFPORT                  "</f>
        <v xml:space="preserve">GULFPORT                  </v>
      </c>
      <c r="F9373" t="str">
        <f t="shared" si="272"/>
        <v>MS</v>
      </c>
    </row>
    <row r="9374" spans="1:6" x14ac:dyDescent="0.25">
      <c r="A9374" t="str">
        <f>"003036322"</f>
        <v>003036322</v>
      </c>
      <c r="B9374" t="str">
        <f>"1164524328"</f>
        <v>1164524328</v>
      </c>
      <c r="C9374" t="str">
        <f>"122300000X"</f>
        <v>122300000X</v>
      </c>
      <c r="D9374" t="str">
        <f>"CLARKSDALE FAMILY DENTISTRY                       "</f>
        <v xml:space="preserve">CLARKSDALE FAMILY DENTISTRY                       </v>
      </c>
      <c r="E9374" t="str">
        <f>"CLARKSDALE                "</f>
        <v xml:space="preserve">CLARKSDALE                </v>
      </c>
      <c r="F9374" t="str">
        <f t="shared" si="272"/>
        <v>MS</v>
      </c>
    </row>
    <row r="9375" spans="1:6" x14ac:dyDescent="0.25">
      <c r="A9375" t="str">
        <f>"003037311"</f>
        <v>003037311</v>
      </c>
      <c r="B9375" t="str">
        <f>"1821441858"</f>
        <v>1821441858</v>
      </c>
      <c r="C9375" t="str">
        <f>"122300000X"</f>
        <v>122300000X</v>
      </c>
      <c r="D9375" t="str">
        <f>"NASH                     JONATHAN     C           "</f>
        <v xml:space="preserve">NASH                     JONATHAN     C           </v>
      </c>
      <c r="E9375" t="str">
        <f>"VICKSBURG                 "</f>
        <v xml:space="preserve">VICKSBURG                 </v>
      </c>
      <c r="F9375" t="str">
        <f t="shared" si="272"/>
        <v>MS</v>
      </c>
    </row>
    <row r="9376" spans="1:6" x14ac:dyDescent="0.25">
      <c r="A9376" t="str">
        <f>"003039388"</f>
        <v>003039388</v>
      </c>
      <c r="B9376" t="str">
        <f>"1386252435"</f>
        <v>1386252435</v>
      </c>
      <c r="C9376" t="str">
        <f>"122300000X"</f>
        <v>122300000X</v>
      </c>
      <c r="D9376" t="str">
        <f>"WILSON                   VANIECIA     S           "</f>
        <v xml:space="preserve">WILSON                   VANIECIA     S           </v>
      </c>
      <c r="E9376" t="str">
        <f>"HATTIESBURG               "</f>
        <v xml:space="preserve">HATTIESBURG               </v>
      </c>
      <c r="F9376" t="str">
        <f t="shared" si="272"/>
        <v>MS</v>
      </c>
    </row>
    <row r="9377" spans="1:6" x14ac:dyDescent="0.25">
      <c r="A9377" t="str">
        <f>"003039557"</f>
        <v>003039557</v>
      </c>
      <c r="B9377" t="str">
        <f>"1518197151"</f>
        <v>1518197151</v>
      </c>
      <c r="C9377" t="str">
        <f>"207T00000X"</f>
        <v>207T00000X</v>
      </c>
      <c r="D9377" t="str">
        <f>"KERR                     PAUL         B           "</f>
        <v xml:space="preserve">KERR                     PAUL         B           </v>
      </c>
      <c r="E9377" t="str">
        <f>"JACKSON                   "</f>
        <v xml:space="preserve">JACKSON                   </v>
      </c>
      <c r="F9377" t="str">
        <f t="shared" si="272"/>
        <v>MS</v>
      </c>
    </row>
    <row r="9378" spans="1:6" x14ac:dyDescent="0.25">
      <c r="A9378" t="str">
        <f>"003039899"</f>
        <v>003039899</v>
      </c>
      <c r="B9378" t="str">
        <f>"1790714525"</f>
        <v>1790714525</v>
      </c>
      <c r="C9378" t="str">
        <f>"261QA1903X"</f>
        <v>261QA1903X</v>
      </c>
      <c r="D9378" t="str">
        <f>"PLASTIC SURGERY CENTER OF MERIDIAN                "</f>
        <v xml:space="preserve">PLASTIC SURGERY CENTER OF MERIDIAN                </v>
      </c>
      <c r="E9378" t="str">
        <f>"MERIDIAN                  "</f>
        <v xml:space="preserve">MERIDIAN                  </v>
      </c>
      <c r="F9378" t="str">
        <f t="shared" si="272"/>
        <v>MS</v>
      </c>
    </row>
    <row r="9379" spans="1:6" x14ac:dyDescent="0.25">
      <c r="A9379" t="str">
        <f>"003051006"</f>
        <v>003051006</v>
      </c>
      <c r="B9379" t="str">
        <f>"1245545383"</f>
        <v>1245545383</v>
      </c>
      <c r="C9379" t="str">
        <f>"2086S0129X"</f>
        <v>2086S0129X</v>
      </c>
      <c r="D9379" t="str">
        <f>"GARRIDO MONTES DE OC     DANON        E           "</f>
        <v xml:space="preserve">GARRIDO MONTES DE OC     DANON        E           </v>
      </c>
      <c r="E9379" t="str">
        <f>"FLOWOOD                   "</f>
        <v xml:space="preserve">FLOWOOD                   </v>
      </c>
      <c r="F9379" t="str">
        <f t="shared" si="272"/>
        <v>MS</v>
      </c>
    </row>
    <row r="9380" spans="1:6" x14ac:dyDescent="0.25">
      <c r="A9380" t="str">
        <f>"003052531"</f>
        <v>003052531</v>
      </c>
      <c r="B9380" t="str">
        <f>"1619366200"</f>
        <v>1619366200</v>
      </c>
      <c r="C9380" t="str">
        <f>"363L00000X"</f>
        <v>363L00000X</v>
      </c>
      <c r="D9380" t="str">
        <f>"MONSOUR                  KRISTIN                  "</f>
        <v xml:space="preserve">MONSOUR                  KRISTIN                  </v>
      </c>
      <c r="E9380" t="str">
        <f>"MADISON                   "</f>
        <v xml:space="preserve">MADISON                   </v>
      </c>
      <c r="F9380" t="str">
        <f t="shared" si="272"/>
        <v>MS</v>
      </c>
    </row>
    <row r="9381" spans="1:6" x14ac:dyDescent="0.25">
      <c r="A9381" t="str">
        <f>"003052795"</f>
        <v>003052795</v>
      </c>
      <c r="B9381" t="str">
        <f>"1144897471"</f>
        <v>1144897471</v>
      </c>
      <c r="C9381" t="str">
        <f>"363L00000X"</f>
        <v>363L00000X</v>
      </c>
      <c r="D9381" t="str">
        <f>"YARBROUGH                ERIC         L           "</f>
        <v xml:space="preserve">YARBROUGH                ERIC         L           </v>
      </c>
      <c r="E9381" t="str">
        <f>"NOXAPATER                 "</f>
        <v xml:space="preserve">NOXAPATER                 </v>
      </c>
      <c r="F9381" t="str">
        <f t="shared" si="272"/>
        <v>MS</v>
      </c>
    </row>
    <row r="9382" spans="1:6" x14ac:dyDescent="0.25">
      <c r="A9382" t="str">
        <f>"003053368"</f>
        <v>003053368</v>
      </c>
      <c r="B9382" t="str">
        <f>"1407955537"</f>
        <v>1407955537</v>
      </c>
      <c r="C9382" t="str">
        <f>"207K00000X"</f>
        <v>207K00000X</v>
      </c>
      <c r="D9382" t="str">
        <f>"PHILLIPS                 JOSHUA       F           "</f>
        <v xml:space="preserve">PHILLIPS                 JOSHUA       F           </v>
      </c>
      <c r="E9382" t="str">
        <f>"JACKSON                   "</f>
        <v xml:space="preserve">JACKSON                   </v>
      </c>
      <c r="F9382" t="str">
        <f t="shared" si="272"/>
        <v>MS</v>
      </c>
    </row>
    <row r="9383" spans="1:6" x14ac:dyDescent="0.25">
      <c r="A9383" t="str">
        <f>"003053543"</f>
        <v>003053543</v>
      </c>
      <c r="B9383" t="str">
        <f>"1487778239"</f>
        <v>1487778239</v>
      </c>
      <c r="C9383" t="str">
        <f>"208600000X"</f>
        <v>208600000X</v>
      </c>
      <c r="D9383" t="str">
        <f>"BALDWIN                  ZACHARY      K           "</f>
        <v xml:space="preserve">BALDWIN                  ZACHARY      K           </v>
      </c>
      <c r="E9383" t="str">
        <f>"JACKSON                   "</f>
        <v xml:space="preserve">JACKSON                   </v>
      </c>
      <c r="F9383" t="str">
        <f t="shared" si="272"/>
        <v>MS</v>
      </c>
    </row>
    <row r="9384" spans="1:6" x14ac:dyDescent="0.25">
      <c r="A9384" t="str">
        <f>"003053554"</f>
        <v>003053554</v>
      </c>
      <c r="B9384" t="str">
        <f>"1336895507"</f>
        <v>1336895507</v>
      </c>
      <c r="C9384" t="str">
        <f>"152W00000X"</f>
        <v>152W00000X</v>
      </c>
      <c r="D9384" t="str">
        <f>"EYE CENTER OF NEW ALBANY                          "</f>
        <v xml:space="preserve">EYE CENTER OF NEW ALBANY                          </v>
      </c>
      <c r="E9384" t="str">
        <f>"NEW ALBANY                "</f>
        <v xml:space="preserve">NEW ALBANY                </v>
      </c>
      <c r="F9384" t="str">
        <f t="shared" si="272"/>
        <v>MS</v>
      </c>
    </row>
    <row r="9385" spans="1:6" x14ac:dyDescent="0.25">
      <c r="A9385" t="str">
        <f>"003054390"</f>
        <v>003054390</v>
      </c>
      <c r="B9385" t="str">
        <f>"1265003792"</f>
        <v>1265003792</v>
      </c>
      <c r="C9385" t="str">
        <f>"363L00000X"</f>
        <v>363L00000X</v>
      </c>
      <c r="D9385" t="str">
        <f>"KINDEL                   AMANDA       P           "</f>
        <v xml:space="preserve">KINDEL                   AMANDA       P           </v>
      </c>
      <c r="E9385" t="str">
        <f>"PETAL                     "</f>
        <v xml:space="preserve">PETAL                     </v>
      </c>
      <c r="F9385" t="str">
        <f t="shared" si="272"/>
        <v>MS</v>
      </c>
    </row>
    <row r="9386" spans="1:6" x14ac:dyDescent="0.25">
      <c r="A9386" t="str">
        <f>"003057378"</f>
        <v>003057378</v>
      </c>
      <c r="B9386" t="str">
        <f>"1851602569"</f>
        <v>1851602569</v>
      </c>
      <c r="C9386" t="str">
        <f>"207Q00000X"</f>
        <v>207Q00000X</v>
      </c>
      <c r="D9386" t="str">
        <f>"HALL                     MELANIE      K           "</f>
        <v xml:space="preserve">HALL                     MELANIE      K           </v>
      </c>
      <c r="E9386" t="str">
        <f>"HATTIESBURG               "</f>
        <v xml:space="preserve">HATTIESBURG               </v>
      </c>
      <c r="F9386" t="str">
        <f t="shared" si="272"/>
        <v>MS</v>
      </c>
    </row>
    <row r="9387" spans="1:6" x14ac:dyDescent="0.25">
      <c r="A9387" t="str">
        <f>"003058373"</f>
        <v>003058373</v>
      </c>
      <c r="B9387" t="str">
        <f>"1720161771"</f>
        <v>1720161771</v>
      </c>
      <c r="C9387" t="str">
        <f>"261QA1903X"</f>
        <v>261QA1903X</v>
      </c>
      <c r="D9387" t="str">
        <f>"EYE CARE SURGERY CENTER OF OLIVE BR               "</f>
        <v xml:space="preserve">EYE CARE SURGERY CENTER OF OLIVE BR               </v>
      </c>
      <c r="E9387" t="str">
        <f>"OLIVE BRANCH              "</f>
        <v xml:space="preserve">OLIVE BRANCH              </v>
      </c>
      <c r="F9387" t="str">
        <f t="shared" si="272"/>
        <v>MS</v>
      </c>
    </row>
    <row r="9388" spans="1:6" x14ac:dyDescent="0.25">
      <c r="A9388" t="str">
        <f>"003058879"</f>
        <v>003058879</v>
      </c>
      <c r="B9388" t="str">
        <f>"1134414733"</f>
        <v>1134414733</v>
      </c>
      <c r="C9388" t="str">
        <f>"122300000X"</f>
        <v>122300000X</v>
      </c>
      <c r="D9388" t="str">
        <f>"PEDIATRIC DENITISTY PA                            "</f>
        <v xml:space="preserve">PEDIATRIC DENITISTY PA                            </v>
      </c>
      <c r="E9388" t="str">
        <f>"JACKSON                   "</f>
        <v xml:space="preserve">JACKSON                   </v>
      </c>
      <c r="F9388" t="str">
        <f t="shared" si="272"/>
        <v>MS</v>
      </c>
    </row>
    <row r="9389" spans="1:6" x14ac:dyDescent="0.25">
      <c r="A9389" t="str">
        <f>"003059015"</f>
        <v>003059015</v>
      </c>
      <c r="B9389" t="str">
        <f>"1023323078"</f>
        <v>1023323078</v>
      </c>
      <c r="C9389" t="str">
        <f>"363L00000X"</f>
        <v>363L00000X</v>
      </c>
      <c r="D9389" t="str">
        <f>"YATES                    ELIZABETH                "</f>
        <v xml:space="preserve">YATES                    ELIZABETH                </v>
      </c>
      <c r="E9389" t="str">
        <f>"YAZOO CITY                "</f>
        <v xml:space="preserve">YAZOO CITY                </v>
      </c>
      <c r="F9389" t="str">
        <f t="shared" si="272"/>
        <v>MS</v>
      </c>
    </row>
    <row r="9390" spans="1:6" x14ac:dyDescent="0.25">
      <c r="A9390" t="str">
        <f>"003072365"</f>
        <v>003072365</v>
      </c>
      <c r="B9390" t="str">
        <f>"1649548892"</f>
        <v>1649548892</v>
      </c>
      <c r="C9390" t="str">
        <f>"363L00000X"</f>
        <v>363L00000X</v>
      </c>
      <c r="D9390" t="str">
        <f>"TUMMINELLO               KIM          M           "</f>
        <v xml:space="preserve">TUMMINELLO               KIM          M           </v>
      </c>
      <c r="E9390" t="str">
        <f>"PASCAGOULA                "</f>
        <v xml:space="preserve">PASCAGOULA                </v>
      </c>
      <c r="F9390" t="str">
        <f t="shared" si="272"/>
        <v>MS</v>
      </c>
    </row>
    <row r="9391" spans="1:6" x14ac:dyDescent="0.25">
      <c r="A9391" t="str">
        <f>"003073780"</f>
        <v>003073780</v>
      </c>
      <c r="B9391" t="str">
        <f>"1891232757"</f>
        <v>1891232757</v>
      </c>
      <c r="C9391" t="str">
        <f>"363L00000X"</f>
        <v>363L00000X</v>
      </c>
      <c r="D9391" t="str">
        <f>"CROCKETT                 TIMIKA       R           "</f>
        <v xml:space="preserve">CROCKETT                 TIMIKA       R           </v>
      </c>
      <c r="E9391" t="str">
        <f>"VICKSBURG                 "</f>
        <v xml:space="preserve">VICKSBURG                 </v>
      </c>
      <c r="F9391" t="str">
        <f t="shared" si="272"/>
        <v>MS</v>
      </c>
    </row>
    <row r="9392" spans="1:6" x14ac:dyDescent="0.25">
      <c r="A9392" t="str">
        <f>"003076028"</f>
        <v>003076028</v>
      </c>
      <c r="B9392" t="str">
        <f>"1275295388"</f>
        <v>1275295388</v>
      </c>
      <c r="C9392" t="str">
        <f>"363L00000X"</f>
        <v>363L00000X</v>
      </c>
      <c r="D9392" t="str">
        <f>"WEBB                     DAVID        M           "</f>
        <v xml:space="preserve">WEBB                     DAVID        M           </v>
      </c>
      <c r="E9392" t="str">
        <f>"MAGEE                     "</f>
        <v xml:space="preserve">MAGEE                     </v>
      </c>
      <c r="F9392" t="str">
        <f t="shared" si="272"/>
        <v>MS</v>
      </c>
    </row>
    <row r="9393" spans="1:6" x14ac:dyDescent="0.25">
      <c r="A9393" t="str">
        <f>"003077029"</f>
        <v>003077029</v>
      </c>
      <c r="B9393" t="str">
        <f>"1144532391"</f>
        <v>1144532391</v>
      </c>
      <c r="C9393" t="str">
        <f>"208800000X"</f>
        <v>208800000X</v>
      </c>
      <c r="D9393" t="str">
        <f>"RUNNELS                  MARK         A           "</f>
        <v xml:space="preserve">RUNNELS                  MARK         A           </v>
      </c>
      <c r="E9393" t="str">
        <f>"JACKSON                   "</f>
        <v xml:space="preserve">JACKSON                   </v>
      </c>
      <c r="F9393" t="str">
        <f t="shared" si="272"/>
        <v>MS</v>
      </c>
    </row>
    <row r="9394" spans="1:6" x14ac:dyDescent="0.25">
      <c r="A9394" t="str">
        <f>"003078371"</f>
        <v>003078371</v>
      </c>
      <c r="B9394" t="str">
        <f>"1598712994"</f>
        <v>1598712994</v>
      </c>
      <c r="C9394" t="str">
        <f>"208000000X"</f>
        <v>208000000X</v>
      </c>
      <c r="D9394" t="str">
        <f>"YUNG                     KENNETH      A           "</f>
        <v xml:space="preserve">YUNG                     KENNETH      A           </v>
      </c>
      <c r="E9394" t="str">
        <f>"RIDGELAND                 "</f>
        <v xml:space="preserve">RIDGELAND                 </v>
      </c>
      <c r="F9394" t="str">
        <f t="shared" si="272"/>
        <v>MS</v>
      </c>
    </row>
    <row r="9395" spans="1:6" x14ac:dyDescent="0.25">
      <c r="A9395" t="str">
        <f>"003078591"</f>
        <v>003078591</v>
      </c>
      <c r="B9395" t="str">
        <f>"1942528518"</f>
        <v>1942528518</v>
      </c>
      <c r="C9395" t="str">
        <f>"207Q00000X"</f>
        <v>207Q00000X</v>
      </c>
      <c r="D9395" t="str">
        <f>"PARKS                    JOHN                     "</f>
        <v xml:space="preserve">PARKS                    JOHN                     </v>
      </c>
      <c r="E9395" t="str">
        <f>"GREENVILLE                "</f>
        <v xml:space="preserve">GREENVILLE                </v>
      </c>
      <c r="F9395" t="str">
        <f t="shared" si="272"/>
        <v>MS</v>
      </c>
    </row>
    <row r="9396" spans="1:6" x14ac:dyDescent="0.25">
      <c r="A9396" t="str">
        <f>"003079762"</f>
        <v>003079762</v>
      </c>
      <c r="B9396" t="str">
        <f>"1922614171"</f>
        <v>1922614171</v>
      </c>
      <c r="C9396" t="str">
        <f>"363L00000X"</f>
        <v>363L00000X</v>
      </c>
      <c r="D9396" t="str">
        <f>"TATE                     KATHLEEN     M           "</f>
        <v xml:space="preserve">TATE                     KATHLEEN     M           </v>
      </c>
      <c r="E9396" t="str">
        <f>"JACKSON                   "</f>
        <v xml:space="preserve">JACKSON                   </v>
      </c>
      <c r="F9396" t="str">
        <f t="shared" si="272"/>
        <v>MS</v>
      </c>
    </row>
    <row r="9397" spans="1:6" x14ac:dyDescent="0.25">
      <c r="A9397" t="str">
        <f>"003079889"</f>
        <v>003079889</v>
      </c>
      <c r="B9397" t="str">
        <f>"1609499904"</f>
        <v>1609499904</v>
      </c>
      <c r="C9397" t="str">
        <f>"363L00000X"</f>
        <v>363L00000X</v>
      </c>
      <c r="D9397" t="str">
        <f>"WRIGHT-LITTLE            TOMEKA       R           "</f>
        <v xml:space="preserve">WRIGHT-LITTLE            TOMEKA       R           </v>
      </c>
      <c r="E9397" t="str">
        <f>"GREENVILLE                "</f>
        <v xml:space="preserve">GREENVILLE                </v>
      </c>
      <c r="F9397" t="str">
        <f t="shared" si="272"/>
        <v>MS</v>
      </c>
    </row>
    <row r="9398" spans="1:6" x14ac:dyDescent="0.25">
      <c r="A9398" t="str">
        <f>"003080311"</f>
        <v>003080311</v>
      </c>
      <c r="B9398" t="str">
        <f>"1629600721"</f>
        <v>1629600721</v>
      </c>
      <c r="C9398" t="str">
        <f>"363L00000X"</f>
        <v>363L00000X</v>
      </c>
      <c r="D9398" t="str">
        <f>"CAUSEY                   SHAUNTAE     S           "</f>
        <v xml:space="preserve">CAUSEY                   SHAUNTAE     S           </v>
      </c>
      <c r="E9398" t="str">
        <f>"MERIDIAN                  "</f>
        <v xml:space="preserve">MERIDIAN                  </v>
      </c>
      <c r="F9398" t="str">
        <f t="shared" si="272"/>
        <v>MS</v>
      </c>
    </row>
    <row r="9399" spans="1:6" x14ac:dyDescent="0.25">
      <c r="A9399" t="str">
        <f>"003080316"</f>
        <v>003080316</v>
      </c>
      <c r="B9399" t="str">
        <f>"1760929939"</f>
        <v>1760929939</v>
      </c>
      <c r="C9399" t="str">
        <f>"363L00000X"</f>
        <v>363L00000X</v>
      </c>
      <c r="D9399" t="str">
        <f>"FERRACCI                 CHRISTOPHER  J           "</f>
        <v xml:space="preserve">FERRACCI                 CHRISTOPHER  J           </v>
      </c>
      <c r="E9399" t="str">
        <f>"CLARKSDALE                "</f>
        <v xml:space="preserve">CLARKSDALE                </v>
      </c>
      <c r="F9399" t="str">
        <f t="shared" si="272"/>
        <v>MS</v>
      </c>
    </row>
    <row r="9400" spans="1:6" x14ac:dyDescent="0.25">
      <c r="A9400" t="str">
        <f>"003081551"</f>
        <v>003081551</v>
      </c>
      <c r="B9400" t="str">
        <f>"1366888505"</f>
        <v>1366888505</v>
      </c>
      <c r="C9400" t="str">
        <f>"207RP1001X"</f>
        <v>207RP1001X</v>
      </c>
      <c r="D9400" t="str">
        <f>"DENNEY                   WILLIAM      C           "</f>
        <v xml:space="preserve">DENNEY                   WILLIAM      C           </v>
      </c>
      <c r="E9400" t="str">
        <f>"JACKSON                   "</f>
        <v xml:space="preserve">JACKSON                   </v>
      </c>
      <c r="F9400" t="str">
        <f t="shared" si="272"/>
        <v>MS</v>
      </c>
    </row>
    <row r="9401" spans="1:6" x14ac:dyDescent="0.25">
      <c r="A9401" t="str">
        <f>"003083238"</f>
        <v>003083238</v>
      </c>
      <c r="B9401" t="str">
        <f>"1619591542"</f>
        <v>1619591542</v>
      </c>
      <c r="C9401" t="str">
        <f>"363L00000X"</f>
        <v>363L00000X</v>
      </c>
      <c r="D9401" t="str">
        <f>"FRANKS                   KRISTY                   "</f>
        <v xml:space="preserve">FRANKS                   KRISTY                   </v>
      </c>
      <c r="E9401" t="str">
        <f>"HOLLY SPRINGS             "</f>
        <v xml:space="preserve">HOLLY SPRINGS             </v>
      </c>
      <c r="F9401" t="str">
        <f t="shared" si="272"/>
        <v>MS</v>
      </c>
    </row>
    <row r="9402" spans="1:6" x14ac:dyDescent="0.25">
      <c r="A9402" t="str">
        <f>"003083313"</f>
        <v>003083313</v>
      </c>
      <c r="B9402" t="str">
        <f>"1770771743"</f>
        <v>1770771743</v>
      </c>
      <c r="C9402" t="str">
        <f>"208800000X"</f>
        <v>208800000X</v>
      </c>
      <c r="D9402" t="str">
        <f>"GRIFFIN                  JOSHUA       G           "</f>
        <v xml:space="preserve">GRIFFIN                  JOSHUA       G           </v>
      </c>
      <c r="E9402" t="str">
        <f>"OXFORD                    "</f>
        <v xml:space="preserve">OXFORD                    </v>
      </c>
      <c r="F9402" t="str">
        <f t="shared" si="272"/>
        <v>MS</v>
      </c>
    </row>
    <row r="9403" spans="1:6" x14ac:dyDescent="0.25">
      <c r="A9403" t="str">
        <f>"003083707"</f>
        <v>003083707</v>
      </c>
      <c r="B9403" t="str">
        <f>"1811473481"</f>
        <v>1811473481</v>
      </c>
      <c r="C9403" t="str">
        <f>"363LP0808X"</f>
        <v>363LP0808X</v>
      </c>
      <c r="D9403" t="str">
        <f>"HARVEY                   ADRIANE      W           "</f>
        <v xml:space="preserve">HARVEY                   ADRIANE      W           </v>
      </c>
      <c r="E9403" t="str">
        <f>"JACKSON                   "</f>
        <v xml:space="preserve">JACKSON                   </v>
      </c>
      <c r="F9403" t="str">
        <f t="shared" si="272"/>
        <v>MS</v>
      </c>
    </row>
    <row r="9404" spans="1:6" x14ac:dyDescent="0.25">
      <c r="A9404" t="str">
        <f>"003085595"</f>
        <v>003085595</v>
      </c>
      <c r="B9404" t="str">
        <f>"1891320164"</f>
        <v>1891320164</v>
      </c>
      <c r="C9404" t="str">
        <f>"363L00000X"</f>
        <v>363L00000X</v>
      </c>
      <c r="D9404" t="str">
        <f>"SCHUBERT                 KATHERINE    E           "</f>
        <v xml:space="preserve">SCHUBERT                 KATHERINE    E           </v>
      </c>
      <c r="E9404" t="str">
        <f>"PICAYUNE                  "</f>
        <v xml:space="preserve">PICAYUNE                  </v>
      </c>
      <c r="F9404" t="str">
        <f t="shared" si="272"/>
        <v>MS</v>
      </c>
    </row>
    <row r="9405" spans="1:6" x14ac:dyDescent="0.25">
      <c r="A9405" t="str">
        <f>"003087004"</f>
        <v>003087004</v>
      </c>
      <c r="B9405" t="str">
        <f>"1265708002"</f>
        <v>1265708002</v>
      </c>
      <c r="C9405" t="str">
        <f>"363L00000X"</f>
        <v>363L00000X</v>
      </c>
      <c r="D9405" t="str">
        <f>"SEYMOUR                  CANDANCE     R           "</f>
        <v xml:space="preserve">SEYMOUR                  CANDANCE     R           </v>
      </c>
      <c r="E9405" t="str">
        <f>"HATTIESBURG               "</f>
        <v xml:space="preserve">HATTIESBURG               </v>
      </c>
      <c r="F9405" t="str">
        <f t="shared" si="272"/>
        <v>MS</v>
      </c>
    </row>
    <row r="9406" spans="1:6" x14ac:dyDescent="0.25">
      <c r="A9406" t="str">
        <f>"003088367"</f>
        <v>003088367</v>
      </c>
      <c r="B9406" t="str">
        <f>"1376609990"</f>
        <v>1376609990</v>
      </c>
      <c r="C9406" t="str">
        <f>"363LF0000X"</f>
        <v>363LF0000X</v>
      </c>
      <c r="D9406" t="str">
        <f>"COKER                    MELANIE      P           "</f>
        <v xml:space="preserve">COKER                    MELANIE      P           </v>
      </c>
      <c r="E9406" t="str">
        <f>"JACKSON                   "</f>
        <v xml:space="preserve">JACKSON                   </v>
      </c>
      <c r="F9406" t="str">
        <f t="shared" ref="F9406:F9469" si="273">"MS"</f>
        <v>MS</v>
      </c>
    </row>
    <row r="9407" spans="1:6" x14ac:dyDescent="0.25">
      <c r="A9407" t="str">
        <f>"003088388"</f>
        <v>003088388</v>
      </c>
      <c r="B9407" t="str">
        <f>"1558927905"</f>
        <v>1558927905</v>
      </c>
      <c r="C9407" t="str">
        <f>"261QR1300X"</f>
        <v>261QR1300X</v>
      </c>
      <c r="D9407" t="str">
        <f>"UPPAL MEDICAL CENTER, LLC                         "</f>
        <v xml:space="preserve">UPPAL MEDICAL CENTER, LLC                         </v>
      </c>
      <c r="E9407" t="str">
        <f>"GREENVILLE                "</f>
        <v xml:space="preserve">GREENVILLE                </v>
      </c>
      <c r="F9407" t="str">
        <f t="shared" si="273"/>
        <v>MS</v>
      </c>
    </row>
    <row r="9408" spans="1:6" x14ac:dyDescent="0.25">
      <c r="A9408" t="str">
        <f>"003089504"</f>
        <v>003089504</v>
      </c>
      <c r="B9408" t="str">
        <f>"1790100113"</f>
        <v>1790100113</v>
      </c>
      <c r="C9408" t="str">
        <f>"208000000X"</f>
        <v>208000000X</v>
      </c>
      <c r="D9408" t="str">
        <f>"DETRING                  COURTNEY     C           "</f>
        <v xml:space="preserve">DETRING                  COURTNEY     C           </v>
      </c>
      <c r="E9408" t="str">
        <f>"BAY SAINT LOUIS           "</f>
        <v xml:space="preserve">BAY SAINT LOUIS           </v>
      </c>
      <c r="F9408" t="str">
        <f t="shared" si="273"/>
        <v>MS</v>
      </c>
    </row>
    <row r="9409" spans="1:6" x14ac:dyDescent="0.25">
      <c r="A9409" t="str">
        <f>"003100359"</f>
        <v>003100359</v>
      </c>
      <c r="B9409" t="str">
        <f>"1548817133"</f>
        <v>1548817133</v>
      </c>
      <c r="C9409" t="str">
        <f>"122300000X"</f>
        <v>122300000X</v>
      </c>
      <c r="D9409" t="str">
        <f>"AIRPARK FAMILY DENTISTRY PLLC                     "</f>
        <v xml:space="preserve">AIRPARK FAMILY DENTISTRY PLLC                     </v>
      </c>
      <c r="E9409" t="str">
        <f>"PHILADELPHIA              "</f>
        <v xml:space="preserve">PHILADELPHIA              </v>
      </c>
      <c r="F9409" t="str">
        <f t="shared" si="273"/>
        <v>MS</v>
      </c>
    </row>
    <row r="9410" spans="1:6" x14ac:dyDescent="0.25">
      <c r="A9410" t="str">
        <f>"003101303"</f>
        <v>003101303</v>
      </c>
      <c r="B9410" t="str">
        <f>"1821362385"</f>
        <v>1821362385</v>
      </c>
      <c r="C9410" t="str">
        <f>"363L00000X"</f>
        <v>363L00000X</v>
      </c>
      <c r="D9410" t="str">
        <f>"AYCOCK                   LAUREN       S           "</f>
        <v xml:space="preserve">AYCOCK                   LAUREN       S           </v>
      </c>
      <c r="E9410" t="str">
        <f>"PETAL                     "</f>
        <v xml:space="preserve">PETAL                     </v>
      </c>
      <c r="F9410" t="str">
        <f t="shared" si="273"/>
        <v>MS</v>
      </c>
    </row>
    <row r="9411" spans="1:6" x14ac:dyDescent="0.25">
      <c r="A9411" t="str">
        <f>"003101732"</f>
        <v>003101732</v>
      </c>
      <c r="B9411" t="str">
        <f>"1114021359"</f>
        <v>1114021359</v>
      </c>
      <c r="C9411" t="str">
        <f>"363L00000X"</f>
        <v>363L00000X</v>
      </c>
      <c r="D9411" t="str">
        <f>"SMITH III                JOHN         D           "</f>
        <v xml:space="preserve">SMITH III                JOHN         D           </v>
      </c>
      <c r="E9411" t="str">
        <f>"GULFPORT                  "</f>
        <v xml:space="preserve">GULFPORT                  </v>
      </c>
      <c r="F9411" t="str">
        <f t="shared" si="273"/>
        <v>MS</v>
      </c>
    </row>
    <row r="9412" spans="1:6" x14ac:dyDescent="0.25">
      <c r="A9412" t="str">
        <f>"003102071"</f>
        <v>003102071</v>
      </c>
      <c r="B9412" t="str">
        <f>"1487018420"</f>
        <v>1487018420</v>
      </c>
      <c r="C9412" t="str">
        <f>"207R00000X"</f>
        <v>207R00000X</v>
      </c>
      <c r="D9412" t="str">
        <f>"CASWELL                  ELLEN                    "</f>
        <v xml:space="preserve">CASWELL                  ELLEN                    </v>
      </c>
      <c r="E9412" t="str">
        <f>"JACKSON                   "</f>
        <v xml:space="preserve">JACKSON                   </v>
      </c>
      <c r="F9412" t="str">
        <f t="shared" si="273"/>
        <v>MS</v>
      </c>
    </row>
    <row r="9413" spans="1:6" x14ac:dyDescent="0.25">
      <c r="A9413" t="str">
        <f>"003103231"</f>
        <v>003103231</v>
      </c>
      <c r="B9413" t="str">
        <f>"1275792848"</f>
        <v>1275792848</v>
      </c>
      <c r="C9413" t="str">
        <f>"363L00000X"</f>
        <v>363L00000X</v>
      </c>
      <c r="D9413" t="str">
        <f>"MESSENGER                JULIE        M           "</f>
        <v xml:space="preserve">MESSENGER                JULIE        M           </v>
      </c>
      <c r="E9413" t="str">
        <f>"OCEAN SPRINGS             "</f>
        <v xml:space="preserve">OCEAN SPRINGS             </v>
      </c>
      <c r="F9413" t="str">
        <f t="shared" si="273"/>
        <v>MS</v>
      </c>
    </row>
    <row r="9414" spans="1:6" x14ac:dyDescent="0.25">
      <c r="A9414" t="str">
        <f>"003103787"</f>
        <v>003103787</v>
      </c>
      <c r="B9414" t="str">
        <f>"1982023149"</f>
        <v>1982023149</v>
      </c>
      <c r="C9414" t="str">
        <f>"207Q00000X"</f>
        <v>207Q00000X</v>
      </c>
      <c r="D9414" t="str">
        <f>"BLOMBERG                 CHRISTOPHER  S           "</f>
        <v xml:space="preserve">BLOMBERG                 CHRISTOPHER  S           </v>
      </c>
      <c r="E9414" t="str">
        <f>"BILOXI                    "</f>
        <v xml:space="preserve">BILOXI                    </v>
      </c>
      <c r="F9414" t="str">
        <f t="shared" si="273"/>
        <v>MS</v>
      </c>
    </row>
    <row r="9415" spans="1:6" x14ac:dyDescent="0.25">
      <c r="A9415" t="str">
        <f>"003106004"</f>
        <v>003106004</v>
      </c>
      <c r="B9415" t="str">
        <f>"1659984789"</f>
        <v>1659984789</v>
      </c>
      <c r="C9415" t="str">
        <f>"363L00000X"</f>
        <v>363L00000X</v>
      </c>
      <c r="D9415" t="str">
        <f>"WYNNE                    LINDSAY      T           "</f>
        <v xml:space="preserve">WYNNE                    LINDSAY      T           </v>
      </c>
      <c r="E9415" t="str">
        <f>"GREENWOOD                 "</f>
        <v xml:space="preserve">GREENWOOD                 </v>
      </c>
      <c r="F9415" t="str">
        <f t="shared" si="273"/>
        <v>MS</v>
      </c>
    </row>
    <row r="9416" spans="1:6" x14ac:dyDescent="0.25">
      <c r="A9416" t="str">
        <f>"003106296"</f>
        <v>003106296</v>
      </c>
      <c r="B9416" t="str">
        <f>"1144879339"</f>
        <v>1144879339</v>
      </c>
      <c r="C9416" t="str">
        <f>"363L00000X"</f>
        <v>363L00000X</v>
      </c>
      <c r="D9416" t="str">
        <f>"PIERCE                   MEGAN                    "</f>
        <v xml:space="preserve">PIERCE                   MEGAN                    </v>
      </c>
      <c r="E9416" t="str">
        <f>"WEST POINT                "</f>
        <v xml:space="preserve">WEST POINT                </v>
      </c>
      <c r="F9416" t="str">
        <f t="shared" si="273"/>
        <v>MS</v>
      </c>
    </row>
    <row r="9417" spans="1:6" x14ac:dyDescent="0.25">
      <c r="A9417" t="str">
        <f>"003109365"</f>
        <v>003109365</v>
      </c>
      <c r="B9417" t="str">
        <f>"1447819594"</f>
        <v>1447819594</v>
      </c>
      <c r="C9417" t="str">
        <f>"207V00000X"</f>
        <v>207V00000X</v>
      </c>
      <c r="D9417" t="str">
        <f>"WALTERS                  SHELBY                   "</f>
        <v xml:space="preserve">WALTERS                  SHELBY                   </v>
      </c>
      <c r="E9417" t="str">
        <f>"JACKSON                   "</f>
        <v xml:space="preserve">JACKSON                   </v>
      </c>
      <c r="F9417" t="str">
        <f t="shared" si="273"/>
        <v>MS</v>
      </c>
    </row>
    <row r="9418" spans="1:6" x14ac:dyDescent="0.25">
      <c r="A9418" t="str">
        <f>"003109592"</f>
        <v>003109592</v>
      </c>
      <c r="B9418" t="str">
        <f>"1477676831"</f>
        <v>1477676831</v>
      </c>
      <c r="C9418" t="str">
        <f>"207R00000X"</f>
        <v>207R00000X</v>
      </c>
      <c r="D9418" t="str">
        <f>"LAI                      MICHELLE                 "</f>
        <v xml:space="preserve">LAI                      MICHELLE                 </v>
      </c>
      <c r="E9418" t="str">
        <f>"HATTIESBURG               "</f>
        <v xml:space="preserve">HATTIESBURG               </v>
      </c>
      <c r="F9418" t="str">
        <f t="shared" si="273"/>
        <v>MS</v>
      </c>
    </row>
    <row r="9419" spans="1:6" x14ac:dyDescent="0.25">
      <c r="A9419" t="str">
        <f>"003122859"</f>
        <v>003122859</v>
      </c>
      <c r="B9419" t="str">
        <f>"1003006206"</f>
        <v>1003006206</v>
      </c>
      <c r="C9419" t="str">
        <f>"2084N0402X"</f>
        <v>2084N0402X</v>
      </c>
      <c r="D9419" t="str">
        <f>"DAVIS II                 LAMAR                    "</f>
        <v xml:space="preserve">DAVIS II                 LAMAR                    </v>
      </c>
      <c r="E9419" t="str">
        <f>"JACKSON                   "</f>
        <v xml:space="preserve">JACKSON                   </v>
      </c>
      <c r="F9419" t="str">
        <f t="shared" si="273"/>
        <v>MS</v>
      </c>
    </row>
    <row r="9420" spans="1:6" x14ac:dyDescent="0.25">
      <c r="A9420" t="str">
        <f>"003123057"</f>
        <v>003123057</v>
      </c>
      <c r="B9420" t="str">
        <f>"1801082409"</f>
        <v>1801082409</v>
      </c>
      <c r="C9420" t="str">
        <f>"207Q00000X"</f>
        <v>207Q00000X</v>
      </c>
      <c r="D9420" t="str">
        <f>"CANNON                   HEATHER      S           "</f>
        <v xml:space="preserve">CANNON                   HEATHER      S           </v>
      </c>
      <c r="E9420" t="str">
        <f>"PHILADELPHIA              "</f>
        <v xml:space="preserve">PHILADELPHIA              </v>
      </c>
      <c r="F9420" t="str">
        <f t="shared" si="273"/>
        <v>MS</v>
      </c>
    </row>
    <row r="9421" spans="1:6" x14ac:dyDescent="0.25">
      <c r="A9421" t="str">
        <f>"003125755"</f>
        <v>003125755</v>
      </c>
      <c r="B9421" t="str">
        <f>"1942383492"</f>
        <v>1942383492</v>
      </c>
      <c r="C9421" t="str">
        <f>"367500000X"</f>
        <v>367500000X</v>
      </c>
      <c r="D9421" t="str">
        <f>"CHISHOLM                 DAVID        J           "</f>
        <v xml:space="preserve">CHISHOLM                 DAVID        J           </v>
      </c>
      <c r="E9421" t="str">
        <f>"TUPELO                    "</f>
        <v xml:space="preserve">TUPELO                    </v>
      </c>
      <c r="F9421" t="str">
        <f t="shared" si="273"/>
        <v>MS</v>
      </c>
    </row>
    <row r="9422" spans="1:6" x14ac:dyDescent="0.25">
      <c r="A9422" t="str">
        <f>"003126737"</f>
        <v>003126737</v>
      </c>
      <c r="B9422" t="str">
        <f>"1134215304"</f>
        <v>1134215304</v>
      </c>
      <c r="C9422" t="str">
        <f>"367500000X"</f>
        <v>367500000X</v>
      </c>
      <c r="D9422" t="str">
        <f>"HUGHES                   NATHANIEL                "</f>
        <v xml:space="preserve">HUGHES                   NATHANIEL                </v>
      </c>
      <c r="E9422" t="str">
        <f>"STARKVILLE                "</f>
        <v xml:space="preserve">STARKVILLE                </v>
      </c>
      <c r="F9422" t="str">
        <f t="shared" si="273"/>
        <v>MS</v>
      </c>
    </row>
    <row r="9423" spans="1:6" x14ac:dyDescent="0.25">
      <c r="A9423" t="str">
        <f>"003127385"</f>
        <v>003127385</v>
      </c>
      <c r="B9423" t="str">
        <f>"1609004365"</f>
        <v>1609004365</v>
      </c>
      <c r="C9423" t="str">
        <f>"208000000X"</f>
        <v>208000000X</v>
      </c>
      <c r="D9423" t="str">
        <f>"NETTLES GILLIAM          CLAIRE       E           "</f>
        <v xml:space="preserve">NETTLES GILLIAM          CLAIRE       E           </v>
      </c>
      <c r="E9423" t="str">
        <f>"JACKSON                   "</f>
        <v xml:space="preserve">JACKSON                   </v>
      </c>
      <c r="F9423" t="str">
        <f t="shared" si="273"/>
        <v>MS</v>
      </c>
    </row>
    <row r="9424" spans="1:6" x14ac:dyDescent="0.25">
      <c r="A9424" t="str">
        <f>"003127515"</f>
        <v>003127515</v>
      </c>
      <c r="B9424" t="str">
        <f>"1306147947"</f>
        <v>1306147947</v>
      </c>
      <c r="C9424" t="str">
        <f>"363L00000X"</f>
        <v>363L00000X</v>
      </c>
      <c r="D9424" t="str">
        <f>"RAY JR                   RICHARD      B           "</f>
        <v xml:space="preserve">RAY JR                   RICHARD      B           </v>
      </c>
      <c r="E9424" t="str">
        <f>"RICHLAND                  "</f>
        <v xml:space="preserve">RICHLAND                  </v>
      </c>
      <c r="F9424" t="str">
        <f t="shared" si="273"/>
        <v>MS</v>
      </c>
    </row>
    <row r="9425" spans="1:6" x14ac:dyDescent="0.25">
      <c r="A9425" t="str">
        <f>"003128220"</f>
        <v>003128220</v>
      </c>
      <c r="B9425" t="str">
        <f>"1427458819"</f>
        <v>1427458819</v>
      </c>
      <c r="C9425" t="str">
        <f>"363A00000X"</f>
        <v>363A00000X</v>
      </c>
      <c r="D9425" t="str">
        <f>"JOHNSON                  LATOYA       P           "</f>
        <v xml:space="preserve">JOHNSON                  LATOYA       P           </v>
      </c>
      <c r="E9425" t="str">
        <f>"JACKSON                   "</f>
        <v xml:space="preserve">JACKSON                   </v>
      </c>
      <c r="F9425" t="str">
        <f t="shared" si="273"/>
        <v>MS</v>
      </c>
    </row>
    <row r="9426" spans="1:6" x14ac:dyDescent="0.25">
      <c r="A9426" t="str">
        <f>"003130304"</f>
        <v>003130304</v>
      </c>
      <c r="B9426" t="str">
        <f>"1881953693"</f>
        <v>1881953693</v>
      </c>
      <c r="C9426" t="str">
        <f>"207R00000X"</f>
        <v>207R00000X</v>
      </c>
      <c r="D9426" t="str">
        <f>"ZHOU                     LAN                      "</f>
        <v xml:space="preserve">ZHOU                     LAN                      </v>
      </c>
      <c r="E9426" t="str">
        <f>"JACKSON                   "</f>
        <v xml:space="preserve">JACKSON                   </v>
      </c>
      <c r="F9426" t="str">
        <f t="shared" si="273"/>
        <v>MS</v>
      </c>
    </row>
    <row r="9427" spans="1:6" x14ac:dyDescent="0.25">
      <c r="A9427" t="str">
        <f>"003132072"</f>
        <v>003132072</v>
      </c>
      <c r="B9427" t="str">
        <f>"1104849157"</f>
        <v>1104849157</v>
      </c>
      <c r="C9427" t="str">
        <f>"207L00000X"</f>
        <v>207L00000X</v>
      </c>
      <c r="D9427" t="str">
        <f>"MESA                     ALONSO                   "</f>
        <v xml:space="preserve">MESA                     ALONSO                   </v>
      </c>
      <c r="E9427" t="str">
        <f>"MERIDIAN                  "</f>
        <v xml:space="preserve">MERIDIAN                  </v>
      </c>
      <c r="F9427" t="str">
        <f t="shared" si="273"/>
        <v>MS</v>
      </c>
    </row>
    <row r="9428" spans="1:6" x14ac:dyDescent="0.25">
      <c r="A9428" t="str">
        <f>"003132872"</f>
        <v>003132872</v>
      </c>
      <c r="B9428" t="str">
        <f>"1811338072"</f>
        <v>1811338072</v>
      </c>
      <c r="C9428" t="str">
        <f>"363L00000X"</f>
        <v>363L00000X</v>
      </c>
      <c r="D9428" t="str">
        <f>"WILLIAMS                 JENNIFER     P           "</f>
        <v xml:space="preserve">WILLIAMS                 JENNIFER     P           </v>
      </c>
      <c r="E9428" t="str">
        <f>"NATCHEZ                   "</f>
        <v xml:space="preserve">NATCHEZ                   </v>
      </c>
      <c r="F9428" t="str">
        <f t="shared" si="273"/>
        <v>MS</v>
      </c>
    </row>
    <row r="9429" spans="1:6" x14ac:dyDescent="0.25">
      <c r="A9429" t="str">
        <f>"003134894"</f>
        <v>003134894</v>
      </c>
      <c r="B9429" t="str">
        <f>"1992305445"</f>
        <v>1992305445</v>
      </c>
      <c r="C9429" t="str">
        <f>"261QF0400X"</f>
        <v>261QF0400X</v>
      </c>
      <c r="D9429" t="str">
        <f>"COASTAL FAMILY HEALTH CENTER INC                  "</f>
        <v xml:space="preserve">COASTAL FAMILY HEALTH CENTER INC                  </v>
      </c>
      <c r="E9429" t="str">
        <f>"MOSS POINT                "</f>
        <v xml:space="preserve">MOSS POINT                </v>
      </c>
      <c r="F9429" t="str">
        <f t="shared" si="273"/>
        <v>MS</v>
      </c>
    </row>
    <row r="9430" spans="1:6" x14ac:dyDescent="0.25">
      <c r="A9430" t="str">
        <f>"003135071"</f>
        <v>003135071</v>
      </c>
      <c r="B9430" t="str">
        <f>"1780046540"</f>
        <v>1780046540</v>
      </c>
      <c r="C9430" t="str">
        <f>"152W00000X"</f>
        <v>152W00000X</v>
      </c>
      <c r="D9430" t="str">
        <f>"EYEOLOGY EYECARE LLC                              "</f>
        <v xml:space="preserve">EYEOLOGY EYECARE LLC                              </v>
      </c>
      <c r="E9430" t="str">
        <f>"BYRAM                     "</f>
        <v xml:space="preserve">BYRAM                     </v>
      </c>
      <c r="F9430" t="str">
        <f t="shared" si="273"/>
        <v>MS</v>
      </c>
    </row>
    <row r="9431" spans="1:6" x14ac:dyDescent="0.25">
      <c r="A9431" t="str">
        <f>"003135351"</f>
        <v>003135351</v>
      </c>
      <c r="B9431" t="str">
        <f>"1073967238"</f>
        <v>1073967238</v>
      </c>
      <c r="C9431" t="str">
        <f>"207Q00000X"</f>
        <v>207Q00000X</v>
      </c>
      <c r="D9431" t="str">
        <f>"GILLILAND                BENJAMIN     R           "</f>
        <v xml:space="preserve">GILLILAND                BENJAMIN     R           </v>
      </c>
      <c r="E9431" t="str">
        <f>"TUPELO                    "</f>
        <v xml:space="preserve">TUPELO                    </v>
      </c>
      <c r="F9431" t="str">
        <f t="shared" si="273"/>
        <v>MS</v>
      </c>
    </row>
    <row r="9432" spans="1:6" x14ac:dyDescent="0.25">
      <c r="A9432" t="str">
        <f>"003135597"</f>
        <v>003135597</v>
      </c>
      <c r="B9432" t="str">
        <f>"1396165387"</f>
        <v>1396165387</v>
      </c>
      <c r="C9432" t="str">
        <f>"2085R0202X"</f>
        <v>2085R0202X</v>
      </c>
      <c r="D9432" t="str">
        <f>"ADAMS                    DANIEL                   "</f>
        <v xml:space="preserve">ADAMS                    DANIEL                   </v>
      </c>
      <c r="E9432" t="str">
        <f>"GULFPORT                  "</f>
        <v xml:space="preserve">GULFPORT                  </v>
      </c>
      <c r="F9432" t="str">
        <f t="shared" si="273"/>
        <v>MS</v>
      </c>
    </row>
    <row r="9433" spans="1:6" x14ac:dyDescent="0.25">
      <c r="A9433" t="str">
        <f>"003136015"</f>
        <v>003136015</v>
      </c>
      <c r="B9433" t="str">
        <f>"1841735339"</f>
        <v>1841735339</v>
      </c>
      <c r="C9433" t="str">
        <f>"363L00000X"</f>
        <v>363L00000X</v>
      </c>
      <c r="D9433" t="str">
        <f>"FLEITAS                  LISA                     "</f>
        <v xml:space="preserve">FLEITAS                  LISA                     </v>
      </c>
      <c r="E9433" t="str">
        <f>"TUPELO                    "</f>
        <v xml:space="preserve">TUPELO                    </v>
      </c>
      <c r="F9433" t="str">
        <f t="shared" si="273"/>
        <v>MS</v>
      </c>
    </row>
    <row r="9434" spans="1:6" x14ac:dyDescent="0.25">
      <c r="A9434" t="str">
        <f>"003136390"</f>
        <v>003136390</v>
      </c>
      <c r="B9434" t="str">
        <f>"1609346634"</f>
        <v>1609346634</v>
      </c>
      <c r="C9434" t="str">
        <f>"363L00000X"</f>
        <v>363L00000X</v>
      </c>
      <c r="D9434" t="str">
        <f>"MURPHY                   JOAN         L           "</f>
        <v xml:space="preserve">MURPHY                   JOAN         L           </v>
      </c>
      <c r="E9434" t="str">
        <f>"GULFPORT                  "</f>
        <v xml:space="preserve">GULFPORT                  </v>
      </c>
      <c r="F9434" t="str">
        <f t="shared" si="273"/>
        <v>MS</v>
      </c>
    </row>
    <row r="9435" spans="1:6" x14ac:dyDescent="0.25">
      <c r="A9435" t="str">
        <f>"003137391"</f>
        <v>003137391</v>
      </c>
      <c r="B9435" t="str">
        <f>"1497747570"</f>
        <v>1497747570</v>
      </c>
      <c r="C9435" t="str">
        <f>"207W00000X"</f>
        <v>207W00000X</v>
      </c>
      <c r="D9435" t="str">
        <f>"ATKINSON                 GEORGE       M           "</f>
        <v xml:space="preserve">ATKINSON                 GEORGE       M           </v>
      </c>
      <c r="E9435" t="str">
        <f>"MADISON                   "</f>
        <v xml:space="preserve">MADISON                   </v>
      </c>
      <c r="F9435" t="str">
        <f t="shared" si="273"/>
        <v>MS</v>
      </c>
    </row>
    <row r="9436" spans="1:6" x14ac:dyDescent="0.25">
      <c r="A9436" t="str">
        <f>"003139351"</f>
        <v>003139351</v>
      </c>
      <c r="B9436" t="str">
        <f>"1568825677"</f>
        <v>1568825677</v>
      </c>
      <c r="C9436" t="str">
        <f>"207R00000X"</f>
        <v>207R00000X</v>
      </c>
      <c r="D9436" t="str">
        <f>"BROWN                    ANDREW                   "</f>
        <v xml:space="preserve">BROWN                    ANDREW                   </v>
      </c>
      <c r="E9436" t="str">
        <f>"JACKSON                   "</f>
        <v xml:space="preserve">JACKSON                   </v>
      </c>
      <c r="F9436" t="str">
        <f t="shared" si="273"/>
        <v>MS</v>
      </c>
    </row>
    <row r="9437" spans="1:6" x14ac:dyDescent="0.25">
      <c r="A9437" t="str">
        <f>"003152342"</f>
        <v>003152342</v>
      </c>
      <c r="B9437" t="str">
        <f>"1033406582"</f>
        <v>1033406582</v>
      </c>
      <c r="C9437" t="str">
        <f>"2085R0202X"</f>
        <v>2085R0202X</v>
      </c>
      <c r="D9437" t="str">
        <f>"RAGLAND                  KATHERINE    L           "</f>
        <v xml:space="preserve">RAGLAND                  KATHERINE    L           </v>
      </c>
      <c r="E9437" t="str">
        <f>"JACKSON                   "</f>
        <v xml:space="preserve">JACKSON                   </v>
      </c>
      <c r="F9437" t="str">
        <f t="shared" si="273"/>
        <v>MS</v>
      </c>
    </row>
    <row r="9438" spans="1:6" x14ac:dyDescent="0.25">
      <c r="A9438" t="str">
        <f>"003152381"</f>
        <v>003152381</v>
      </c>
      <c r="B9438" t="str">
        <f>"1609810894"</f>
        <v>1609810894</v>
      </c>
      <c r="C9438" t="str">
        <f>"207K00000X"</f>
        <v>207K00000X</v>
      </c>
      <c r="D9438" t="str">
        <f>"MARSHALL                 GAILEN       D           "</f>
        <v xml:space="preserve">MARSHALL                 GAILEN       D           </v>
      </c>
      <c r="E9438" t="str">
        <f>"JACKSON                   "</f>
        <v xml:space="preserve">JACKSON                   </v>
      </c>
      <c r="F9438" t="str">
        <f t="shared" si="273"/>
        <v>MS</v>
      </c>
    </row>
    <row r="9439" spans="1:6" x14ac:dyDescent="0.25">
      <c r="A9439" t="str">
        <f>"003152720"</f>
        <v>003152720</v>
      </c>
      <c r="B9439" t="str">
        <f>"1669662292"</f>
        <v>1669662292</v>
      </c>
      <c r="C9439" t="str">
        <f>"207RR0500X"</f>
        <v>207RR0500X</v>
      </c>
      <c r="D9439" t="str">
        <f>"HARRIS                   PORTIA       M           "</f>
        <v xml:space="preserve">HARRIS                   PORTIA       M           </v>
      </c>
      <c r="E9439" t="str">
        <f>"HATTIESBURG               "</f>
        <v xml:space="preserve">HATTIESBURG               </v>
      </c>
      <c r="F9439" t="str">
        <f t="shared" si="273"/>
        <v>MS</v>
      </c>
    </row>
    <row r="9440" spans="1:6" x14ac:dyDescent="0.25">
      <c r="A9440" t="str">
        <f>"003153889"</f>
        <v>003153889</v>
      </c>
      <c r="B9440" t="str">
        <f>"1619919479"</f>
        <v>1619919479</v>
      </c>
      <c r="C9440" t="str">
        <f>"207RC0000X"</f>
        <v>207RC0000X</v>
      </c>
      <c r="D9440" t="str">
        <f>"CROWDER                  WILLIAM      H           "</f>
        <v xml:space="preserve">CROWDER                  WILLIAM      H           </v>
      </c>
      <c r="E9440" t="str">
        <f>"JACKSON                   "</f>
        <v xml:space="preserve">JACKSON                   </v>
      </c>
      <c r="F9440" t="str">
        <f t="shared" si="273"/>
        <v>MS</v>
      </c>
    </row>
    <row r="9441" spans="1:6" x14ac:dyDescent="0.25">
      <c r="A9441" t="str">
        <f>"003154020"</f>
        <v>003154020</v>
      </c>
      <c r="B9441" t="str">
        <f>"1134425044"</f>
        <v>1134425044</v>
      </c>
      <c r="C9441" t="str">
        <f>"367500000X"</f>
        <v>367500000X</v>
      </c>
      <c r="D9441" t="str">
        <f>"WILLIAMS                 CHRISTINE                "</f>
        <v xml:space="preserve">WILLIAMS                 CHRISTINE                </v>
      </c>
      <c r="E9441" t="str">
        <f>"PASCAGOULA                "</f>
        <v xml:space="preserve">PASCAGOULA                </v>
      </c>
      <c r="F9441" t="str">
        <f t="shared" si="273"/>
        <v>MS</v>
      </c>
    </row>
    <row r="9442" spans="1:6" x14ac:dyDescent="0.25">
      <c r="A9442" t="str">
        <f>"003154887"</f>
        <v>003154887</v>
      </c>
      <c r="B9442" t="str">
        <f>"1649820432"</f>
        <v>1649820432</v>
      </c>
      <c r="C9442" t="str">
        <f>"363L00000X"</f>
        <v>363L00000X</v>
      </c>
      <c r="D9442" t="str">
        <f>"JONES                    MARANDA      J           "</f>
        <v xml:space="preserve">JONES                    MARANDA      J           </v>
      </c>
      <c r="E9442" t="str">
        <f>"PONTOTOC                  "</f>
        <v xml:space="preserve">PONTOTOC                  </v>
      </c>
      <c r="F9442" t="str">
        <f t="shared" si="273"/>
        <v>MS</v>
      </c>
    </row>
    <row r="9443" spans="1:6" x14ac:dyDescent="0.25">
      <c r="A9443" t="str">
        <f>"003155511"</f>
        <v>003155511</v>
      </c>
      <c r="B9443" t="str">
        <f>"1013204791"</f>
        <v>1013204791</v>
      </c>
      <c r="C9443" t="str">
        <f>"207L00000X"</f>
        <v>207L00000X</v>
      </c>
      <c r="D9443" t="str">
        <f>"ATCHLEY                  LANCE        C           "</f>
        <v xml:space="preserve">ATCHLEY                  LANCE        C           </v>
      </c>
      <c r="E9443" t="str">
        <f>"STARKVILLE                "</f>
        <v xml:space="preserve">STARKVILLE                </v>
      </c>
      <c r="F9443" t="str">
        <f t="shared" si="273"/>
        <v>MS</v>
      </c>
    </row>
    <row r="9444" spans="1:6" x14ac:dyDescent="0.25">
      <c r="A9444" t="str">
        <f>"003156077"</f>
        <v>003156077</v>
      </c>
      <c r="B9444" t="str">
        <f>"1679025787"</f>
        <v>1679025787</v>
      </c>
      <c r="C9444" t="str">
        <f>"363L00000X"</f>
        <v>363L00000X</v>
      </c>
      <c r="D9444" t="str">
        <f>"PIPKIN                   JEFFREY      A           "</f>
        <v xml:space="preserve">PIPKIN                   JEFFREY      A           </v>
      </c>
      <c r="E9444" t="str">
        <f>"TUPELO                    "</f>
        <v xml:space="preserve">TUPELO                    </v>
      </c>
      <c r="F9444" t="str">
        <f t="shared" si="273"/>
        <v>MS</v>
      </c>
    </row>
    <row r="9445" spans="1:6" x14ac:dyDescent="0.25">
      <c r="A9445" t="str">
        <f>"003156350"</f>
        <v>003156350</v>
      </c>
      <c r="B9445" t="str">
        <f>"1669464863"</f>
        <v>1669464863</v>
      </c>
      <c r="C9445" t="str">
        <f>"363L00000X"</f>
        <v>363L00000X</v>
      </c>
      <c r="D9445" t="str">
        <f>"ROBBINS                  APRIL                    "</f>
        <v xml:space="preserve">ROBBINS                  APRIL                    </v>
      </c>
      <c r="E9445" t="str">
        <f>"CALHOUN CITY              "</f>
        <v xml:space="preserve">CALHOUN CITY              </v>
      </c>
      <c r="F9445" t="str">
        <f t="shared" si="273"/>
        <v>MS</v>
      </c>
    </row>
    <row r="9446" spans="1:6" x14ac:dyDescent="0.25">
      <c r="A9446" t="str">
        <f>"003156827"</f>
        <v>003156827</v>
      </c>
      <c r="B9446" t="str">
        <f>"1235183617"</f>
        <v>1235183617</v>
      </c>
      <c r="C9446" t="str">
        <f>"152W00000X"</f>
        <v>152W00000X</v>
      </c>
      <c r="D9446" t="str">
        <f>"PANKEY                   BOBBY        C           "</f>
        <v xml:space="preserve">PANKEY                   BOBBY        C           </v>
      </c>
      <c r="E9446" t="str">
        <f>"CLINTON                   "</f>
        <v xml:space="preserve">CLINTON                   </v>
      </c>
      <c r="F9446" t="str">
        <f t="shared" si="273"/>
        <v>MS</v>
      </c>
    </row>
    <row r="9447" spans="1:6" x14ac:dyDescent="0.25">
      <c r="A9447" t="str">
        <f>"003158254"</f>
        <v>003158254</v>
      </c>
      <c r="B9447" t="str">
        <f>"1720260383"</f>
        <v>1720260383</v>
      </c>
      <c r="C9447" t="str">
        <f>"122300000X"</f>
        <v>122300000X</v>
      </c>
      <c r="D9447" t="str">
        <f>"COLE FAMILY DENTISTRY                             "</f>
        <v xml:space="preserve">COLE FAMILY DENTISTRY                             </v>
      </c>
      <c r="E9447" t="str">
        <f>"FLORENCE                  "</f>
        <v xml:space="preserve">FLORENCE                  </v>
      </c>
      <c r="F9447" t="str">
        <f t="shared" si="273"/>
        <v>MS</v>
      </c>
    </row>
    <row r="9448" spans="1:6" x14ac:dyDescent="0.25">
      <c r="A9448" t="str">
        <f>"003158554"</f>
        <v>003158554</v>
      </c>
      <c r="B9448" t="str">
        <f>"1154762896"</f>
        <v>1154762896</v>
      </c>
      <c r="C9448" t="str">
        <f>"367500000X"</f>
        <v>367500000X</v>
      </c>
      <c r="D9448" t="str">
        <f>"DOOLITTLE                KIMBERLY     C           "</f>
        <v xml:space="preserve">DOOLITTLE                KIMBERLY     C           </v>
      </c>
      <c r="E9448" t="str">
        <f>"STARKVILLE                "</f>
        <v xml:space="preserve">STARKVILLE                </v>
      </c>
      <c r="F9448" t="str">
        <f t="shared" si="273"/>
        <v>MS</v>
      </c>
    </row>
    <row r="9449" spans="1:6" x14ac:dyDescent="0.25">
      <c r="A9449" t="str">
        <f>"003158779"</f>
        <v>003158779</v>
      </c>
      <c r="B9449" t="str">
        <f>"1508126921"</f>
        <v>1508126921</v>
      </c>
      <c r="C9449" t="str">
        <f>"208000000X"</f>
        <v>208000000X</v>
      </c>
      <c r="D9449" t="str">
        <f>"WILSON                   JOI          V           "</f>
        <v xml:space="preserve">WILSON                   JOI          V           </v>
      </c>
      <c r="E9449" t="str">
        <f>"SOUTHAVEN                 "</f>
        <v xml:space="preserve">SOUTHAVEN                 </v>
      </c>
      <c r="F9449" t="str">
        <f t="shared" si="273"/>
        <v>MS</v>
      </c>
    </row>
    <row r="9450" spans="1:6" x14ac:dyDescent="0.25">
      <c r="A9450" t="str">
        <f>"003159001"</f>
        <v>003159001</v>
      </c>
      <c r="B9450" t="str">
        <f>"1073995098"</f>
        <v>1073995098</v>
      </c>
      <c r="C9450" t="str">
        <f>"207V00000X"</f>
        <v>207V00000X</v>
      </c>
      <c r="D9450" t="str">
        <f>"SIMS                     JALEEN       D           "</f>
        <v xml:space="preserve">SIMS                     JALEEN       D           </v>
      </c>
      <c r="E9450" t="str">
        <f>"JACKSON                   "</f>
        <v xml:space="preserve">JACKSON                   </v>
      </c>
      <c r="F9450" t="str">
        <f t="shared" si="273"/>
        <v>MS</v>
      </c>
    </row>
    <row r="9451" spans="1:6" x14ac:dyDescent="0.25">
      <c r="A9451" t="str">
        <f>"003159265"</f>
        <v>003159265</v>
      </c>
      <c r="B9451" t="str">
        <f>"1164685640"</f>
        <v>1164685640</v>
      </c>
      <c r="C9451" t="str">
        <f>"207RN0300X"</f>
        <v>207RN0300X</v>
      </c>
      <c r="D9451" t="str">
        <f>"SANDHU                   NAVEEN       S           "</f>
        <v xml:space="preserve">SANDHU                   NAVEEN       S           </v>
      </c>
      <c r="E9451" t="str">
        <f>"FLOWOOD                   "</f>
        <v xml:space="preserve">FLOWOOD                   </v>
      </c>
      <c r="F9451" t="str">
        <f t="shared" si="273"/>
        <v>MS</v>
      </c>
    </row>
    <row r="9452" spans="1:6" x14ac:dyDescent="0.25">
      <c r="A9452" t="str">
        <f>"003170058"</f>
        <v>003170058</v>
      </c>
      <c r="B9452" t="str">
        <f>"1780022509"</f>
        <v>1780022509</v>
      </c>
      <c r="C9452" t="str">
        <f>"367500000X"</f>
        <v>367500000X</v>
      </c>
      <c r="D9452" t="str">
        <f>"SIMS                     SHANNON      D           "</f>
        <v xml:space="preserve">SIMS                     SHANNON      D           </v>
      </c>
      <c r="E9452" t="str">
        <f>"HATTIESBURG               "</f>
        <v xml:space="preserve">HATTIESBURG               </v>
      </c>
      <c r="F9452" t="str">
        <f t="shared" si="273"/>
        <v>MS</v>
      </c>
    </row>
    <row r="9453" spans="1:6" x14ac:dyDescent="0.25">
      <c r="A9453" t="str">
        <f>"003171258"</f>
        <v>003171258</v>
      </c>
      <c r="B9453" t="str">
        <f>"1700125002"</f>
        <v>1700125002</v>
      </c>
      <c r="C9453" t="str">
        <f>"363LF0000X"</f>
        <v>363LF0000X</v>
      </c>
      <c r="D9453" t="str">
        <f>"ANTICI                   VALERIE      O           "</f>
        <v xml:space="preserve">ANTICI                   VALERIE      O           </v>
      </c>
      <c r="E9453" t="str">
        <f>"CLEVELAND                 "</f>
        <v xml:space="preserve">CLEVELAND                 </v>
      </c>
      <c r="F9453" t="str">
        <f t="shared" si="273"/>
        <v>MS</v>
      </c>
    </row>
    <row r="9454" spans="1:6" x14ac:dyDescent="0.25">
      <c r="A9454" t="str">
        <f>"003171856"</f>
        <v>003171856</v>
      </c>
      <c r="B9454" t="str">
        <f>"1386193183"</f>
        <v>1386193183</v>
      </c>
      <c r="C9454" t="str">
        <f>"363L00000X"</f>
        <v>363L00000X</v>
      </c>
      <c r="D9454" t="str">
        <f>"EVANS                    JOANNIE                  "</f>
        <v xml:space="preserve">EVANS                    JOANNIE                  </v>
      </c>
      <c r="E9454" t="str">
        <f>"GULFPORT                  "</f>
        <v xml:space="preserve">GULFPORT                  </v>
      </c>
      <c r="F9454" t="str">
        <f t="shared" si="273"/>
        <v>MS</v>
      </c>
    </row>
    <row r="9455" spans="1:6" x14ac:dyDescent="0.25">
      <c r="A9455" t="str">
        <f>"003172746"</f>
        <v>003172746</v>
      </c>
      <c r="B9455" t="str">
        <f>"1962757740"</f>
        <v>1962757740</v>
      </c>
      <c r="C9455" t="str">
        <f>"363A00000X"</f>
        <v>363A00000X</v>
      </c>
      <c r="D9455" t="str">
        <f>"JOHNSON                  DANIELLE     L           "</f>
        <v xml:space="preserve">JOHNSON                  DANIELLE     L           </v>
      </c>
      <c r="E9455" t="str">
        <f>"SOUTHAVEN                 "</f>
        <v xml:space="preserve">SOUTHAVEN                 </v>
      </c>
      <c r="F9455" t="str">
        <f t="shared" si="273"/>
        <v>MS</v>
      </c>
    </row>
    <row r="9456" spans="1:6" x14ac:dyDescent="0.25">
      <c r="A9456" t="str">
        <f>"003174343"</f>
        <v>003174343</v>
      </c>
      <c r="B9456" t="str">
        <f>"1295145118"</f>
        <v>1295145118</v>
      </c>
      <c r="C9456" t="str">
        <f>"208600000X"</f>
        <v>208600000X</v>
      </c>
      <c r="D9456" t="str">
        <f>"COKER                    MATTHEW      T           "</f>
        <v xml:space="preserve">COKER                    MATTHEW      T           </v>
      </c>
      <c r="E9456" t="str">
        <f>"MERIDIAN                  "</f>
        <v xml:space="preserve">MERIDIAN                  </v>
      </c>
      <c r="F9456" t="str">
        <f t="shared" si="273"/>
        <v>MS</v>
      </c>
    </row>
    <row r="9457" spans="1:6" x14ac:dyDescent="0.25">
      <c r="A9457" t="str">
        <f>"003174823"</f>
        <v>003174823</v>
      </c>
      <c r="B9457" t="str">
        <f>"1316980931"</f>
        <v>1316980931</v>
      </c>
      <c r="C9457" t="str">
        <f>"207P00000X"</f>
        <v>207P00000X</v>
      </c>
      <c r="D9457" t="str">
        <f>"COLBERT                  PATRIZIA                 "</f>
        <v xml:space="preserve">COLBERT                  PATRIZIA                 </v>
      </c>
      <c r="E9457" t="str">
        <f>"CARTHAGE                  "</f>
        <v xml:space="preserve">CARTHAGE                  </v>
      </c>
      <c r="F9457" t="str">
        <f t="shared" si="273"/>
        <v>MS</v>
      </c>
    </row>
    <row r="9458" spans="1:6" x14ac:dyDescent="0.25">
      <c r="A9458" t="str">
        <f>"003175556"</f>
        <v>003175556</v>
      </c>
      <c r="B9458" t="str">
        <f>"1154364636"</f>
        <v>1154364636</v>
      </c>
      <c r="C9458" t="str">
        <f>"207Q00000X"</f>
        <v>207Q00000X</v>
      </c>
      <c r="D9458" t="str">
        <f>"HAYES                    KEVIN                    "</f>
        <v xml:space="preserve">HAYES                    KEVIN                    </v>
      </c>
      <c r="E9458" t="str">
        <f>"ABERDEEN                  "</f>
        <v xml:space="preserve">ABERDEEN                  </v>
      </c>
      <c r="F9458" t="str">
        <f t="shared" si="273"/>
        <v>MS</v>
      </c>
    </row>
    <row r="9459" spans="1:6" x14ac:dyDescent="0.25">
      <c r="A9459" t="str">
        <f>"003176704"</f>
        <v>003176704</v>
      </c>
      <c r="B9459" t="str">
        <f>"1275945271"</f>
        <v>1275945271</v>
      </c>
      <c r="C9459" t="str">
        <f>"208000000X"</f>
        <v>208000000X</v>
      </c>
      <c r="D9459" t="str">
        <f>"SISODRAKER               TRISHNA                  "</f>
        <v xml:space="preserve">SISODRAKER               TRISHNA                  </v>
      </c>
      <c r="E9459" t="str">
        <f>"OCEAN SPRINGS             "</f>
        <v xml:space="preserve">OCEAN SPRINGS             </v>
      </c>
      <c r="F9459" t="str">
        <f t="shared" si="273"/>
        <v>MS</v>
      </c>
    </row>
    <row r="9460" spans="1:6" x14ac:dyDescent="0.25">
      <c r="A9460" t="str">
        <f>"003177353"</f>
        <v>003177353</v>
      </c>
      <c r="B9460" t="str">
        <f>"1447494570"</f>
        <v>1447494570</v>
      </c>
      <c r="C9460" t="str">
        <f>"207Y00000X"</f>
        <v>207Y00000X</v>
      </c>
      <c r="D9460" t="str">
        <f>"STEVENS                  MATTHEW      S           "</f>
        <v xml:space="preserve">STEVENS                  MATTHEW      S           </v>
      </c>
      <c r="E9460" t="str">
        <f>"TUPELO                    "</f>
        <v xml:space="preserve">TUPELO                    </v>
      </c>
      <c r="F9460" t="str">
        <f t="shared" si="273"/>
        <v>MS</v>
      </c>
    </row>
    <row r="9461" spans="1:6" x14ac:dyDescent="0.25">
      <c r="A9461" t="str">
        <f>"003177702"</f>
        <v>003177702</v>
      </c>
      <c r="B9461" t="str">
        <f>"1821625773"</f>
        <v>1821625773</v>
      </c>
      <c r="C9461" t="str">
        <f>"363L00000X"</f>
        <v>363L00000X</v>
      </c>
      <c r="D9461" t="str">
        <f>"MOORE                    MICHAELA     L           "</f>
        <v xml:space="preserve">MOORE                    MICHAELA     L           </v>
      </c>
      <c r="E9461" t="str">
        <f>"MERIDIAN                  "</f>
        <v xml:space="preserve">MERIDIAN                  </v>
      </c>
      <c r="F9461" t="str">
        <f t="shared" si="273"/>
        <v>MS</v>
      </c>
    </row>
    <row r="9462" spans="1:6" x14ac:dyDescent="0.25">
      <c r="A9462" t="str">
        <f>"003179292"</f>
        <v>003179292</v>
      </c>
      <c r="B9462" t="str">
        <f>"1619643897"</f>
        <v>1619643897</v>
      </c>
      <c r="C9462" t="str">
        <f>"363L00000X"</f>
        <v>363L00000X</v>
      </c>
      <c r="D9462" t="str">
        <f>"MILLER                   STEWART                  "</f>
        <v xml:space="preserve">MILLER                   STEWART                  </v>
      </c>
      <c r="E9462" t="str">
        <f>"MCCOMB                    "</f>
        <v xml:space="preserve">MCCOMB                    </v>
      </c>
      <c r="F9462" t="str">
        <f t="shared" si="273"/>
        <v>MS</v>
      </c>
    </row>
    <row r="9463" spans="1:6" x14ac:dyDescent="0.25">
      <c r="A9463" t="str">
        <f>"003179741"</f>
        <v>003179741</v>
      </c>
      <c r="B9463" t="str">
        <f>"1124180567"</f>
        <v>1124180567</v>
      </c>
      <c r="C9463" t="str">
        <f>"207Q00000X"</f>
        <v>207Q00000X</v>
      </c>
      <c r="D9463" t="str">
        <f>"BELKNAP                  JOHN         D           "</f>
        <v xml:space="preserve">BELKNAP                  JOHN         D           </v>
      </c>
      <c r="E9463" t="str">
        <f>"PEARL                     "</f>
        <v xml:space="preserve">PEARL                     </v>
      </c>
      <c r="F9463" t="str">
        <f t="shared" si="273"/>
        <v>MS</v>
      </c>
    </row>
    <row r="9464" spans="1:6" x14ac:dyDescent="0.25">
      <c r="A9464" t="str">
        <f>"003180911"</f>
        <v>003180911</v>
      </c>
      <c r="B9464" t="str">
        <f>"1518535319"</f>
        <v>1518535319</v>
      </c>
      <c r="C9464" t="str">
        <f>"363L00000X"</f>
        <v>363L00000X</v>
      </c>
      <c r="D9464" t="str">
        <f>"JONES                    ARICA        Q           "</f>
        <v xml:space="preserve">JONES                    ARICA        Q           </v>
      </c>
      <c r="E9464" t="str">
        <f>"BILOXI                    "</f>
        <v xml:space="preserve">BILOXI                    </v>
      </c>
      <c r="F9464" t="str">
        <f t="shared" si="273"/>
        <v>MS</v>
      </c>
    </row>
    <row r="9465" spans="1:6" x14ac:dyDescent="0.25">
      <c r="A9465" t="str">
        <f>"003181063"</f>
        <v>003181063</v>
      </c>
      <c r="B9465" t="str">
        <f>"1578654851"</f>
        <v>1578654851</v>
      </c>
      <c r="C9465" t="str">
        <f>"2084P0800X"</f>
        <v>2084P0800X</v>
      </c>
      <c r="D9465" t="str">
        <f>"TYRE LITTLEJOHN          ALENA        B           "</f>
        <v xml:space="preserve">TYRE LITTLEJOHN          ALENA        B           </v>
      </c>
      <c r="E9465" t="str">
        <f>"TUPELO                    "</f>
        <v xml:space="preserve">TUPELO                    </v>
      </c>
      <c r="F9465" t="str">
        <f t="shared" si="273"/>
        <v>MS</v>
      </c>
    </row>
    <row r="9466" spans="1:6" x14ac:dyDescent="0.25">
      <c r="A9466" t="str">
        <f>"003182890"</f>
        <v>003182890</v>
      </c>
      <c r="B9466" t="str">
        <f>"1952874851"</f>
        <v>1952874851</v>
      </c>
      <c r="C9466" t="str">
        <f>"363L00000X"</f>
        <v>363L00000X</v>
      </c>
      <c r="D9466" t="str">
        <f>"MORRIS                   ROSE         M           "</f>
        <v xml:space="preserve">MORRIS                   ROSE         M           </v>
      </c>
      <c r="E9466" t="str">
        <f>"CANTON                    "</f>
        <v xml:space="preserve">CANTON                    </v>
      </c>
      <c r="F9466" t="str">
        <f t="shared" si="273"/>
        <v>MS</v>
      </c>
    </row>
    <row r="9467" spans="1:6" x14ac:dyDescent="0.25">
      <c r="A9467" t="str">
        <f>"003183753"</f>
        <v>003183753</v>
      </c>
      <c r="B9467" t="str">
        <f>"1598274219"</f>
        <v>1598274219</v>
      </c>
      <c r="C9467" t="str">
        <f>"363L00000X"</f>
        <v>363L00000X</v>
      </c>
      <c r="D9467" t="str">
        <f>"HEGGINS                  KRISTEN      D           "</f>
        <v xml:space="preserve">HEGGINS                  KRISTEN      D           </v>
      </c>
      <c r="E9467" t="str">
        <f>"GULFPORT                  "</f>
        <v xml:space="preserve">GULFPORT                  </v>
      </c>
      <c r="F9467" t="str">
        <f t="shared" si="273"/>
        <v>MS</v>
      </c>
    </row>
    <row r="9468" spans="1:6" x14ac:dyDescent="0.25">
      <c r="A9468" t="str">
        <f>"003184569"</f>
        <v>003184569</v>
      </c>
      <c r="B9468" t="str">
        <f>"1861903692"</f>
        <v>1861903692</v>
      </c>
      <c r="C9468" t="str">
        <f>"363L00000X"</f>
        <v>363L00000X</v>
      </c>
      <c r="D9468" t="str">
        <f>"LIVINGSTON               BEVERLY      B           "</f>
        <v xml:space="preserve">LIVINGSTON               BEVERLY      B           </v>
      </c>
      <c r="E9468" t="str">
        <f>"INDIANOLA                 "</f>
        <v xml:space="preserve">INDIANOLA                 </v>
      </c>
      <c r="F9468" t="str">
        <f t="shared" si="273"/>
        <v>MS</v>
      </c>
    </row>
    <row r="9469" spans="1:6" x14ac:dyDescent="0.25">
      <c r="A9469" t="str">
        <f>"003184581"</f>
        <v>003184581</v>
      </c>
      <c r="B9469" t="str">
        <f>"1144253626"</f>
        <v>1144253626</v>
      </c>
      <c r="C9469" t="str">
        <f>"207R00000X"</f>
        <v>207R00000X</v>
      </c>
      <c r="D9469" t="str">
        <f>"DURRANI                  EHSAN ULLAH  K           "</f>
        <v xml:space="preserve">DURRANI                  EHSAN ULLAH  K           </v>
      </c>
      <c r="E9469" t="str">
        <f>"MERIDIAN                  "</f>
        <v xml:space="preserve">MERIDIAN                  </v>
      </c>
      <c r="F9469" t="str">
        <f t="shared" si="273"/>
        <v>MS</v>
      </c>
    </row>
    <row r="9470" spans="1:6" x14ac:dyDescent="0.25">
      <c r="A9470" t="str">
        <f>"003184871"</f>
        <v>003184871</v>
      </c>
      <c r="B9470" t="str">
        <f>"1922346238"</f>
        <v>1922346238</v>
      </c>
      <c r="C9470" t="str">
        <f>"363L00000X"</f>
        <v>363L00000X</v>
      </c>
      <c r="D9470" t="str">
        <f>"STRIBLING                LEIGH        H           "</f>
        <v xml:space="preserve">STRIBLING                LEIGH        H           </v>
      </c>
      <c r="E9470" t="str">
        <f>"JACKSON                   "</f>
        <v xml:space="preserve">JACKSON                   </v>
      </c>
      <c r="F9470" t="str">
        <f t="shared" ref="F9470:F9533" si="274">"MS"</f>
        <v>MS</v>
      </c>
    </row>
    <row r="9471" spans="1:6" x14ac:dyDescent="0.25">
      <c r="A9471" t="str">
        <f>"003185054"</f>
        <v>003185054</v>
      </c>
      <c r="B9471" t="str">
        <f>"1215503941"</f>
        <v>1215503941</v>
      </c>
      <c r="C9471" t="str">
        <f>"363L00000X"</f>
        <v>363L00000X</v>
      </c>
      <c r="D9471" t="str">
        <f>"LOVING                   CHIQUITA                 "</f>
        <v xml:space="preserve">LOVING                   CHIQUITA                 </v>
      </c>
      <c r="E9471" t="str">
        <f>"VICKSBURG                 "</f>
        <v xml:space="preserve">VICKSBURG                 </v>
      </c>
      <c r="F9471" t="str">
        <f t="shared" si="274"/>
        <v>MS</v>
      </c>
    </row>
    <row r="9472" spans="1:6" x14ac:dyDescent="0.25">
      <c r="A9472" t="str">
        <f>"003186256"</f>
        <v>003186256</v>
      </c>
      <c r="B9472" t="str">
        <f>"1912348616"</f>
        <v>1912348616</v>
      </c>
      <c r="C9472" t="str">
        <f>"261QR1300X"</f>
        <v>261QR1300X</v>
      </c>
      <c r="D9472" t="str">
        <f>"KEMPER CAH INC                                    "</f>
        <v xml:space="preserve">KEMPER CAH INC                                    </v>
      </c>
      <c r="E9472" t="str">
        <f>"DE KALB                   "</f>
        <v xml:space="preserve">DE KALB                   </v>
      </c>
      <c r="F9472" t="str">
        <f t="shared" si="274"/>
        <v>MS</v>
      </c>
    </row>
    <row r="9473" spans="1:6" x14ac:dyDescent="0.25">
      <c r="A9473" t="str">
        <f>"003186801"</f>
        <v>003186801</v>
      </c>
      <c r="B9473" t="str">
        <f>"1922631837"</f>
        <v>1922631837</v>
      </c>
      <c r="C9473" t="str">
        <f>"261QE0700X"</f>
        <v>261QE0700X</v>
      </c>
      <c r="D9473" t="str">
        <f>"FRESENIUS KIDNEY CARE DOGWOOD                     "</f>
        <v xml:space="preserve">FRESENIUS KIDNEY CARE DOGWOOD                     </v>
      </c>
      <c r="E9473" t="str">
        <f>"FLOWOOD                   "</f>
        <v xml:space="preserve">FLOWOOD                   </v>
      </c>
      <c r="F9473" t="str">
        <f t="shared" si="274"/>
        <v>MS</v>
      </c>
    </row>
    <row r="9474" spans="1:6" x14ac:dyDescent="0.25">
      <c r="A9474" t="str">
        <f>"003188561"</f>
        <v>003188561</v>
      </c>
      <c r="B9474" t="str">
        <f>"1902370018"</f>
        <v>1902370018</v>
      </c>
      <c r="C9474" t="str">
        <f>"363L00000X"</f>
        <v>363L00000X</v>
      </c>
      <c r="D9474" t="str">
        <f>"FOLLIN                   KELSIE       E           "</f>
        <v xml:space="preserve">FOLLIN                   KELSIE       E           </v>
      </c>
      <c r="E9474" t="str">
        <f>"CORINTH                   "</f>
        <v xml:space="preserve">CORINTH                   </v>
      </c>
      <c r="F9474" t="str">
        <f t="shared" si="274"/>
        <v>MS</v>
      </c>
    </row>
    <row r="9475" spans="1:6" x14ac:dyDescent="0.25">
      <c r="A9475" t="str">
        <f>"003188737"</f>
        <v>003188737</v>
      </c>
      <c r="B9475" t="str">
        <f>"1184151490"</f>
        <v>1184151490</v>
      </c>
      <c r="C9475" t="str">
        <f>"207Q00000X"</f>
        <v>207Q00000X</v>
      </c>
      <c r="D9475" t="str">
        <f>"CONNER                   SPENCER      H           "</f>
        <v xml:space="preserve">CONNER                   SPENCER      H           </v>
      </c>
      <c r="E9475" t="str">
        <f>"SOUTHAVEN                 "</f>
        <v xml:space="preserve">SOUTHAVEN                 </v>
      </c>
      <c r="F9475" t="str">
        <f t="shared" si="274"/>
        <v>MS</v>
      </c>
    </row>
    <row r="9476" spans="1:6" x14ac:dyDescent="0.25">
      <c r="A9476" t="str">
        <f>"003189289"</f>
        <v>003189289</v>
      </c>
      <c r="B9476" t="str">
        <f>"1518194265"</f>
        <v>1518194265</v>
      </c>
      <c r="C9476" t="str">
        <f>"363L00000X"</f>
        <v>363L00000X</v>
      </c>
      <c r="D9476" t="str">
        <f>"GRIFFIN                  MARY         A           "</f>
        <v xml:space="preserve">GRIFFIN                  MARY         A           </v>
      </c>
      <c r="E9476" t="str">
        <f>"PELAHATCHIE               "</f>
        <v xml:space="preserve">PELAHATCHIE               </v>
      </c>
      <c r="F9476" t="str">
        <f t="shared" si="274"/>
        <v>MS</v>
      </c>
    </row>
    <row r="9477" spans="1:6" x14ac:dyDescent="0.25">
      <c r="A9477" t="str">
        <f>"003189882"</f>
        <v>003189882</v>
      </c>
      <c r="B9477" t="str">
        <f>"1407803422"</f>
        <v>1407803422</v>
      </c>
      <c r="C9477" t="str">
        <f>"367500000X"</f>
        <v>367500000X</v>
      </c>
      <c r="D9477" t="str">
        <f>"COSGROVE                 THOMAS       B           "</f>
        <v xml:space="preserve">COSGROVE                 THOMAS       B           </v>
      </c>
      <c r="E9477" t="str">
        <f>"HATTIESBURG               "</f>
        <v xml:space="preserve">HATTIESBURG               </v>
      </c>
      <c r="F9477" t="str">
        <f t="shared" si="274"/>
        <v>MS</v>
      </c>
    </row>
    <row r="9478" spans="1:6" x14ac:dyDescent="0.25">
      <c r="A9478" t="str">
        <f>"003200051"</f>
        <v>003200051</v>
      </c>
      <c r="B9478" t="str">
        <f>"1124441571"</f>
        <v>1124441571</v>
      </c>
      <c r="C9478" t="str">
        <f>"363L00000X"</f>
        <v>363L00000X</v>
      </c>
      <c r="D9478" t="str">
        <f>"SIMS                     TERESA                   "</f>
        <v xml:space="preserve">SIMS                     TERESA                   </v>
      </c>
      <c r="E9478" t="str">
        <f>"COLUMBUS                  "</f>
        <v xml:space="preserve">COLUMBUS                  </v>
      </c>
      <c r="F9478" t="str">
        <f t="shared" si="274"/>
        <v>MS</v>
      </c>
    </row>
    <row r="9479" spans="1:6" x14ac:dyDescent="0.25">
      <c r="A9479" t="str">
        <f>"003200304"</f>
        <v>003200304</v>
      </c>
      <c r="B9479" t="str">
        <f>"1174870802"</f>
        <v>1174870802</v>
      </c>
      <c r="C9479" t="str">
        <f>"363L00000X"</f>
        <v>363L00000X</v>
      </c>
      <c r="D9479" t="str">
        <f>"WILBANKS                 ELIZABETH    B           "</f>
        <v xml:space="preserve">WILBANKS                 ELIZABETH    B           </v>
      </c>
      <c r="E9479" t="str">
        <f>"CORINTH                   "</f>
        <v xml:space="preserve">CORINTH                   </v>
      </c>
      <c r="F9479" t="str">
        <f t="shared" si="274"/>
        <v>MS</v>
      </c>
    </row>
    <row r="9480" spans="1:6" x14ac:dyDescent="0.25">
      <c r="A9480" t="str">
        <f>"003203529"</f>
        <v>003203529</v>
      </c>
      <c r="B9480" t="str">
        <f>"1710371018"</f>
        <v>1710371018</v>
      </c>
      <c r="C9480" t="str">
        <f>"363L00000X"</f>
        <v>363L00000X</v>
      </c>
      <c r="D9480" t="str">
        <f>"TANNER                   ALEXANDRIA   J           "</f>
        <v xml:space="preserve">TANNER                   ALEXANDRIA   J           </v>
      </c>
      <c r="E9480" t="str">
        <f>"OCEAN SPRINGS             "</f>
        <v xml:space="preserve">OCEAN SPRINGS             </v>
      </c>
      <c r="F9480" t="str">
        <f t="shared" si="274"/>
        <v>MS</v>
      </c>
    </row>
    <row r="9481" spans="1:6" x14ac:dyDescent="0.25">
      <c r="A9481" t="str">
        <f>"003205061"</f>
        <v>003205061</v>
      </c>
      <c r="B9481" t="str">
        <f>"1457337818"</f>
        <v>1457337818</v>
      </c>
      <c r="C9481" t="str">
        <f>"208100000X"</f>
        <v>208100000X</v>
      </c>
      <c r="D9481" t="str">
        <f>"KIM                      HYUNG        W           "</f>
        <v xml:space="preserve">KIM                      HYUNG        W           </v>
      </c>
      <c r="E9481" t="str">
        <f>"JACKSON                   "</f>
        <v xml:space="preserve">JACKSON                   </v>
      </c>
      <c r="F9481" t="str">
        <f t="shared" si="274"/>
        <v>MS</v>
      </c>
    </row>
    <row r="9482" spans="1:6" x14ac:dyDescent="0.25">
      <c r="A9482" t="str">
        <f>"003205377"</f>
        <v>003205377</v>
      </c>
      <c r="B9482" t="str">
        <f>"1699959882"</f>
        <v>1699959882</v>
      </c>
      <c r="C9482" t="str">
        <f>"207R00000X"</f>
        <v>207R00000X</v>
      </c>
      <c r="D9482" t="str">
        <f>"WALLACE-STEVENS          ALICIA       L           "</f>
        <v xml:space="preserve">WALLACE-STEVENS          ALICIA       L           </v>
      </c>
      <c r="E9482" t="str">
        <f>"POPLARVILLE               "</f>
        <v xml:space="preserve">POPLARVILLE               </v>
      </c>
      <c r="F9482" t="str">
        <f t="shared" si="274"/>
        <v>MS</v>
      </c>
    </row>
    <row r="9483" spans="1:6" x14ac:dyDescent="0.25">
      <c r="A9483" t="str">
        <f>"003207030"</f>
        <v>003207030</v>
      </c>
      <c r="B9483" t="str">
        <f>"1144486572"</f>
        <v>1144486572</v>
      </c>
      <c r="C9483" t="str">
        <f>"2086S0127X"</f>
        <v>2086S0127X</v>
      </c>
      <c r="D9483" t="str">
        <f>"CROSSWHITE               RONALD       B           "</f>
        <v xml:space="preserve">CROSSWHITE               RONALD       B           </v>
      </c>
      <c r="E9483" t="str">
        <f>"TUPELO                    "</f>
        <v xml:space="preserve">TUPELO                    </v>
      </c>
      <c r="F9483" t="str">
        <f t="shared" si="274"/>
        <v>MS</v>
      </c>
    </row>
    <row r="9484" spans="1:6" x14ac:dyDescent="0.25">
      <c r="A9484" t="str">
        <f>"003207054"</f>
        <v>003207054</v>
      </c>
      <c r="B9484" t="str">
        <f>"1841601911"</f>
        <v>1841601911</v>
      </c>
      <c r="C9484" t="str">
        <f>"207L00000X"</f>
        <v>207L00000X</v>
      </c>
      <c r="D9484" t="str">
        <f>"RAINEY                   JEREMY       T           "</f>
        <v xml:space="preserve">RAINEY                   JEREMY       T           </v>
      </c>
      <c r="E9484" t="str">
        <f>"JACKSON                   "</f>
        <v xml:space="preserve">JACKSON                   </v>
      </c>
      <c r="F9484" t="str">
        <f t="shared" si="274"/>
        <v>MS</v>
      </c>
    </row>
    <row r="9485" spans="1:6" x14ac:dyDescent="0.25">
      <c r="A9485" t="str">
        <f>"003208889"</f>
        <v>003208889</v>
      </c>
      <c r="B9485" t="str">
        <f>"1538110713"</f>
        <v>1538110713</v>
      </c>
      <c r="C9485" t="str">
        <f>"261QA1903X"</f>
        <v>261QA1903X</v>
      </c>
      <c r="D9485" t="str">
        <f>"CENTER FOR DIGESTIVE HEALTH LLC                   "</f>
        <v xml:space="preserve">CENTER FOR DIGESTIVE HEALTH LLC                   </v>
      </c>
      <c r="E9485" t="str">
        <f>"TUPELO                    "</f>
        <v xml:space="preserve">TUPELO                    </v>
      </c>
      <c r="F9485" t="str">
        <f t="shared" si="274"/>
        <v>MS</v>
      </c>
    </row>
    <row r="9486" spans="1:6" x14ac:dyDescent="0.25">
      <c r="A9486" t="str">
        <f>"003209211"</f>
        <v>003209211</v>
      </c>
      <c r="B9486" t="str">
        <f>"1427064344"</f>
        <v>1427064344</v>
      </c>
      <c r="C9486" t="str">
        <f>"363L00000X"</f>
        <v>363L00000X</v>
      </c>
      <c r="D9486" t="str">
        <f>"CHAPMAN                  JOY          A           "</f>
        <v xml:space="preserve">CHAPMAN                  JOY          A           </v>
      </c>
      <c r="E9486" t="str">
        <f>"VARDAMAN                  "</f>
        <v xml:space="preserve">VARDAMAN                  </v>
      </c>
      <c r="F9486" t="str">
        <f t="shared" si="274"/>
        <v>MS</v>
      </c>
    </row>
    <row r="9487" spans="1:6" x14ac:dyDescent="0.25">
      <c r="A9487" t="str">
        <f>"003209572"</f>
        <v>003209572</v>
      </c>
      <c r="B9487" t="str">
        <f>"1841450483"</f>
        <v>1841450483</v>
      </c>
      <c r="C9487" t="str">
        <f>"261QR1300X"</f>
        <v>261QR1300X</v>
      </c>
      <c r="D9487" t="str">
        <f>"PUCKETT MEDICAL CLINIC                            "</f>
        <v xml:space="preserve">PUCKETT MEDICAL CLINIC                            </v>
      </c>
      <c r="E9487" t="str">
        <f>"BRANDON                   "</f>
        <v xml:space="preserve">BRANDON                   </v>
      </c>
      <c r="F9487" t="str">
        <f t="shared" si="274"/>
        <v>MS</v>
      </c>
    </row>
    <row r="9488" spans="1:6" x14ac:dyDescent="0.25">
      <c r="A9488" t="str">
        <f>"003209796"</f>
        <v>003209796</v>
      </c>
      <c r="B9488" t="str">
        <f>"1821697210"</f>
        <v>1821697210</v>
      </c>
      <c r="C9488" t="str">
        <f>"363L00000X"</f>
        <v>363L00000X</v>
      </c>
      <c r="D9488" t="str">
        <f>"MOORE                    KATIE        S           "</f>
        <v xml:space="preserve">MOORE                    KATIE        S           </v>
      </c>
      <c r="E9488" t="str">
        <f>"HATTIESBURG               "</f>
        <v xml:space="preserve">HATTIESBURG               </v>
      </c>
      <c r="F9488" t="str">
        <f t="shared" si="274"/>
        <v>MS</v>
      </c>
    </row>
    <row r="9489" spans="1:6" x14ac:dyDescent="0.25">
      <c r="A9489" t="str">
        <f>"003223775"</f>
        <v>003223775</v>
      </c>
      <c r="B9489" t="str">
        <f>"1326649336"</f>
        <v>1326649336</v>
      </c>
      <c r="C9489" t="str">
        <f>"363L00000X"</f>
        <v>363L00000X</v>
      </c>
      <c r="D9489" t="str">
        <f>"BROWN                    SHARRON      R           "</f>
        <v xml:space="preserve">BROWN                    SHARRON      R           </v>
      </c>
      <c r="E9489" t="str">
        <f>"JACKSON                   "</f>
        <v xml:space="preserve">JACKSON                   </v>
      </c>
      <c r="F9489" t="str">
        <f t="shared" si="274"/>
        <v>MS</v>
      </c>
    </row>
    <row r="9490" spans="1:6" x14ac:dyDescent="0.25">
      <c r="A9490" t="str">
        <f>"003224552"</f>
        <v>003224552</v>
      </c>
      <c r="B9490" t="str">
        <f>"1396057618"</f>
        <v>1396057618</v>
      </c>
      <c r="C9490" t="str">
        <f>"207R00000X"</f>
        <v>207R00000X</v>
      </c>
      <c r="D9490" t="str">
        <f>"REINERS                  ERIC         M           "</f>
        <v xml:space="preserve">REINERS                  ERIC         M           </v>
      </c>
      <c r="E9490" t="str">
        <f>"JACKSON                   "</f>
        <v xml:space="preserve">JACKSON                   </v>
      </c>
      <c r="F9490" t="str">
        <f t="shared" si="274"/>
        <v>MS</v>
      </c>
    </row>
    <row r="9491" spans="1:6" x14ac:dyDescent="0.25">
      <c r="A9491" t="str">
        <f>"003225007"</f>
        <v>003225007</v>
      </c>
      <c r="B9491" t="str">
        <f>"1841727971"</f>
        <v>1841727971</v>
      </c>
      <c r="C9491" t="str">
        <f>"261QR1300X"</f>
        <v>261QR1300X</v>
      </c>
      <c r="D9491" t="str">
        <f>"HOLMES COUNTY FAMILY MEDICINE CLINI               "</f>
        <v xml:space="preserve">HOLMES COUNTY FAMILY MEDICINE CLINI               </v>
      </c>
      <c r="E9491" t="str">
        <f>"VAIDEN                    "</f>
        <v xml:space="preserve">VAIDEN                    </v>
      </c>
      <c r="F9491" t="str">
        <f t="shared" si="274"/>
        <v>MS</v>
      </c>
    </row>
    <row r="9492" spans="1:6" x14ac:dyDescent="0.25">
      <c r="A9492" t="str">
        <f>"003225777"</f>
        <v>003225777</v>
      </c>
      <c r="B9492" t="str">
        <f>"1356834766"</f>
        <v>1356834766</v>
      </c>
      <c r="C9492" t="str">
        <f>"363L00000X"</f>
        <v>363L00000X</v>
      </c>
      <c r="D9492" t="str">
        <f>"WOOD                     CHARLES      S           "</f>
        <v xml:space="preserve">WOOD                     CHARLES      S           </v>
      </c>
      <c r="E9492" t="str">
        <f>"LAUREL                    "</f>
        <v xml:space="preserve">LAUREL                    </v>
      </c>
      <c r="F9492" t="str">
        <f t="shared" si="274"/>
        <v>MS</v>
      </c>
    </row>
    <row r="9493" spans="1:6" x14ac:dyDescent="0.25">
      <c r="A9493" t="str">
        <f>"003228334"</f>
        <v>003228334</v>
      </c>
      <c r="B9493" t="str">
        <f>"1982117941"</f>
        <v>1982117941</v>
      </c>
      <c r="C9493" t="str">
        <f>"363L00000X"</f>
        <v>363L00000X</v>
      </c>
      <c r="D9493" t="str">
        <f>"PATRICK                  PAIGE                    "</f>
        <v xml:space="preserve">PATRICK                  PAIGE                    </v>
      </c>
      <c r="E9493" t="str">
        <f>"GREENVILLE                "</f>
        <v xml:space="preserve">GREENVILLE                </v>
      </c>
      <c r="F9493" t="str">
        <f t="shared" si="274"/>
        <v>MS</v>
      </c>
    </row>
    <row r="9494" spans="1:6" x14ac:dyDescent="0.25">
      <c r="A9494" t="str">
        <f>"003228831"</f>
        <v>003228831</v>
      </c>
      <c r="B9494" t="str">
        <f>"1215685664"</f>
        <v>1215685664</v>
      </c>
      <c r="C9494" t="str">
        <f>"363L00000X"</f>
        <v>363L00000X</v>
      </c>
      <c r="D9494" t="str">
        <f>"SULLIVAN                 LAKIN        S           "</f>
        <v xml:space="preserve">SULLIVAN                 LAKIN        S           </v>
      </c>
      <c r="E9494" t="str">
        <f>"LAUREL                    "</f>
        <v xml:space="preserve">LAUREL                    </v>
      </c>
      <c r="F9494" t="str">
        <f t="shared" si="274"/>
        <v>MS</v>
      </c>
    </row>
    <row r="9495" spans="1:6" x14ac:dyDescent="0.25">
      <c r="A9495" t="str">
        <f>"003229357"</f>
        <v>003229357</v>
      </c>
      <c r="B9495" t="str">
        <f>"1700230117"</f>
        <v>1700230117</v>
      </c>
      <c r="C9495" t="str">
        <f>"261QM3000X"</f>
        <v>261QM3000X</v>
      </c>
      <c r="D9495" t="str">
        <f>"PERSONAL PEDIATRIC CARE                           "</f>
        <v xml:space="preserve">PERSONAL PEDIATRIC CARE                           </v>
      </c>
      <c r="E9495" t="str">
        <f>"MCCOMB                    "</f>
        <v xml:space="preserve">MCCOMB                    </v>
      </c>
      <c r="F9495" t="str">
        <f t="shared" si="274"/>
        <v>MS</v>
      </c>
    </row>
    <row r="9496" spans="1:6" x14ac:dyDescent="0.25">
      <c r="A9496" t="str">
        <f>"003231315"</f>
        <v>003231315</v>
      </c>
      <c r="B9496" t="str">
        <f>"1962974022"</f>
        <v>1962974022</v>
      </c>
      <c r="C9496" t="str">
        <f>"367500000X"</f>
        <v>367500000X</v>
      </c>
      <c r="D9496" t="str">
        <f>"KIRKLAND                 JORDAN       C           "</f>
        <v xml:space="preserve">KIRKLAND                 JORDAN       C           </v>
      </c>
      <c r="E9496" t="str">
        <f>"PASCAGOULA                "</f>
        <v xml:space="preserve">PASCAGOULA                </v>
      </c>
      <c r="F9496" t="str">
        <f t="shared" si="274"/>
        <v>MS</v>
      </c>
    </row>
    <row r="9497" spans="1:6" x14ac:dyDescent="0.25">
      <c r="A9497" t="str">
        <f>"003231764"</f>
        <v>003231764</v>
      </c>
      <c r="B9497" t="str">
        <f>"1346810306"</f>
        <v>1346810306</v>
      </c>
      <c r="C9497" t="str">
        <f>"122300000X"</f>
        <v>122300000X</v>
      </c>
      <c r="D9497" t="str">
        <f>"DENTAL GROUP OF WIGGINS                           "</f>
        <v xml:space="preserve">DENTAL GROUP OF WIGGINS                           </v>
      </c>
      <c r="E9497" t="str">
        <f>"WIGGINS                   "</f>
        <v xml:space="preserve">WIGGINS                   </v>
      </c>
      <c r="F9497" t="str">
        <f t="shared" si="274"/>
        <v>MS</v>
      </c>
    </row>
    <row r="9498" spans="1:6" x14ac:dyDescent="0.25">
      <c r="A9498" t="str">
        <f>"003231766"</f>
        <v>003231766</v>
      </c>
      <c r="B9498" t="str">
        <f>"1043858053"</f>
        <v>1043858053</v>
      </c>
      <c r="C9498" t="str">
        <f>"261QM1300X"</f>
        <v>261QM1300X</v>
      </c>
      <c r="D9498" t="str">
        <f>"PEDIATRIC HAVEN AUTISM DAY CENTER                 "</f>
        <v xml:space="preserve">PEDIATRIC HAVEN AUTISM DAY CENTER                 </v>
      </c>
      <c r="E9498" t="str">
        <f>"PEARL                     "</f>
        <v xml:space="preserve">PEARL                     </v>
      </c>
      <c r="F9498" t="str">
        <f t="shared" si="274"/>
        <v>MS</v>
      </c>
    </row>
    <row r="9499" spans="1:6" x14ac:dyDescent="0.25">
      <c r="A9499" t="str">
        <f>"003235798"</f>
        <v>003235798</v>
      </c>
      <c r="B9499" t="str">
        <f>"1710906268"</f>
        <v>1710906268</v>
      </c>
      <c r="C9499" t="str">
        <f>"363L00000X"</f>
        <v>363L00000X</v>
      </c>
      <c r="D9499" t="str">
        <f>"DEVELIN                  DEBRA        M           "</f>
        <v xml:space="preserve">DEVELIN                  DEBRA        M           </v>
      </c>
      <c r="E9499" t="str">
        <f>"RALEIGH                   "</f>
        <v xml:space="preserve">RALEIGH                   </v>
      </c>
      <c r="F9499" t="str">
        <f t="shared" si="274"/>
        <v>MS</v>
      </c>
    </row>
    <row r="9500" spans="1:6" x14ac:dyDescent="0.25">
      <c r="A9500" t="str">
        <f>"003236316"</f>
        <v>003236316</v>
      </c>
      <c r="B9500" t="str">
        <f>"1629418066"</f>
        <v>1629418066</v>
      </c>
      <c r="C9500" t="str">
        <f>"207W00000X"</f>
        <v>207W00000X</v>
      </c>
      <c r="D9500" t="str">
        <f>"RICHARDSON               MARC         A           "</f>
        <v xml:space="preserve">RICHARDSON               MARC         A           </v>
      </c>
      <c r="E9500" t="str">
        <f>"FLOWOOD                   "</f>
        <v xml:space="preserve">FLOWOOD                   </v>
      </c>
      <c r="F9500" t="str">
        <f t="shared" si="274"/>
        <v>MS</v>
      </c>
    </row>
    <row r="9501" spans="1:6" x14ac:dyDescent="0.25">
      <c r="A9501" t="str">
        <f>"003236349"</f>
        <v>003236349</v>
      </c>
      <c r="B9501" t="str">
        <f>"1114469459"</f>
        <v>1114469459</v>
      </c>
      <c r="C9501" t="str">
        <f>"367500000X"</f>
        <v>367500000X</v>
      </c>
      <c r="D9501" t="str">
        <f>"EZELLE                   JOSHUA       K           "</f>
        <v xml:space="preserve">EZELLE                   JOSHUA       K           </v>
      </c>
      <c r="E9501" t="str">
        <f>"HATTIESBURG               "</f>
        <v xml:space="preserve">HATTIESBURG               </v>
      </c>
      <c r="F9501" t="str">
        <f t="shared" si="274"/>
        <v>MS</v>
      </c>
    </row>
    <row r="9502" spans="1:6" x14ac:dyDescent="0.25">
      <c r="A9502" t="str">
        <f>"003236399"</f>
        <v>003236399</v>
      </c>
      <c r="B9502" t="str">
        <f>"1447767744"</f>
        <v>1447767744</v>
      </c>
      <c r="C9502" t="str">
        <f>"363A00000X"</f>
        <v>363A00000X</v>
      </c>
      <c r="D9502" t="str">
        <f>"BAILEY                   AYNSLEY                  "</f>
        <v xml:space="preserve">BAILEY                   AYNSLEY                  </v>
      </c>
      <c r="E9502" t="str">
        <f>"STARKVILLE                "</f>
        <v xml:space="preserve">STARKVILLE                </v>
      </c>
      <c r="F9502" t="str">
        <f t="shared" si="274"/>
        <v>MS</v>
      </c>
    </row>
    <row r="9503" spans="1:6" x14ac:dyDescent="0.25">
      <c r="A9503" t="str">
        <f>"003236775"</f>
        <v>003236775</v>
      </c>
      <c r="B9503" t="str">
        <f>"1013370527"</f>
        <v>1013370527</v>
      </c>
      <c r="C9503" t="str">
        <f>"363AM0700X"</f>
        <v>363AM0700X</v>
      </c>
      <c r="D9503" t="str">
        <f>"MOORE                    BECKY        B           "</f>
        <v xml:space="preserve">MOORE                    BECKY        B           </v>
      </c>
      <c r="E9503" t="str">
        <f>"JACKSON                   "</f>
        <v xml:space="preserve">JACKSON                   </v>
      </c>
      <c r="F9503" t="str">
        <f t="shared" si="274"/>
        <v>MS</v>
      </c>
    </row>
    <row r="9504" spans="1:6" x14ac:dyDescent="0.25">
      <c r="A9504" t="str">
        <f>"003236779"</f>
        <v>003236779</v>
      </c>
      <c r="B9504" t="str">
        <f>"1629395454"</f>
        <v>1629395454</v>
      </c>
      <c r="C9504" t="str">
        <f>"208VP0014X"</f>
        <v>208VP0014X</v>
      </c>
      <c r="D9504" t="str">
        <f>"COLEMAN                  KELLY        M           "</f>
        <v xml:space="preserve">COLEMAN                  KELLY        M           </v>
      </c>
      <c r="E9504" t="str">
        <f>"VANCLEAVE                 "</f>
        <v xml:space="preserve">VANCLEAVE                 </v>
      </c>
      <c r="F9504" t="str">
        <f t="shared" si="274"/>
        <v>MS</v>
      </c>
    </row>
    <row r="9505" spans="1:6" x14ac:dyDescent="0.25">
      <c r="A9505" t="str">
        <f>"003237574"</f>
        <v>003237574</v>
      </c>
      <c r="B9505" t="str">
        <f>"1548628522"</f>
        <v>1548628522</v>
      </c>
      <c r="C9505" t="str">
        <f>"363A00000X"</f>
        <v>363A00000X</v>
      </c>
      <c r="D9505" t="str">
        <f>"ESTOCK                   WESLEY       W           "</f>
        <v xml:space="preserve">ESTOCK                   WESLEY       W           </v>
      </c>
      <c r="E9505" t="str">
        <f>"TUPELO                    "</f>
        <v xml:space="preserve">TUPELO                    </v>
      </c>
      <c r="F9505" t="str">
        <f t="shared" si="274"/>
        <v>MS</v>
      </c>
    </row>
    <row r="9506" spans="1:6" x14ac:dyDescent="0.25">
      <c r="A9506" t="str">
        <f>"003239875"</f>
        <v>003239875</v>
      </c>
      <c r="B9506" t="str">
        <f>"1669450037"</f>
        <v>1669450037</v>
      </c>
      <c r="C9506" t="str">
        <f>"363L00000X"</f>
        <v>363L00000X</v>
      </c>
      <c r="D9506" t="str">
        <f>"HARDIN                   CHARLIE                  "</f>
        <v xml:space="preserve">HARDIN                   CHARLIE                  </v>
      </c>
      <c r="E9506" t="str">
        <f>"WALNUT GROVE              "</f>
        <v xml:space="preserve">WALNUT GROVE              </v>
      </c>
      <c r="F9506" t="str">
        <f t="shared" si="274"/>
        <v>MS</v>
      </c>
    </row>
    <row r="9507" spans="1:6" x14ac:dyDescent="0.25">
      <c r="A9507" t="str">
        <f>"003252216"</f>
        <v>003252216</v>
      </c>
      <c r="B9507" t="str">
        <f>"1295707867"</f>
        <v>1295707867</v>
      </c>
      <c r="C9507" t="str">
        <f>"2085R0202X"</f>
        <v>2085R0202X</v>
      </c>
      <c r="D9507" t="str">
        <f>"COSTELLO                 JOANNA       M           "</f>
        <v xml:space="preserve">COSTELLO                 JOANNA       M           </v>
      </c>
      <c r="E9507" t="str">
        <f>"HATTIESBURG               "</f>
        <v xml:space="preserve">HATTIESBURG               </v>
      </c>
      <c r="F9507" t="str">
        <f t="shared" si="274"/>
        <v>MS</v>
      </c>
    </row>
    <row r="9508" spans="1:6" x14ac:dyDescent="0.25">
      <c r="A9508" t="str">
        <f>"003252364"</f>
        <v>003252364</v>
      </c>
      <c r="B9508" t="str">
        <f>"1164920930"</f>
        <v>1164920930</v>
      </c>
      <c r="C9508" t="str">
        <f>"363A00000X"</f>
        <v>363A00000X</v>
      </c>
      <c r="D9508" t="str">
        <f>"BRYANT                   CATHERINE    S           "</f>
        <v xml:space="preserve">BRYANT                   CATHERINE    S           </v>
      </c>
      <c r="E9508" t="str">
        <f>"JACKSON                   "</f>
        <v xml:space="preserve">JACKSON                   </v>
      </c>
      <c r="F9508" t="str">
        <f t="shared" si="274"/>
        <v>MS</v>
      </c>
    </row>
    <row r="9509" spans="1:6" x14ac:dyDescent="0.25">
      <c r="A9509" t="str">
        <f>"003252761"</f>
        <v>003252761</v>
      </c>
      <c r="B9509" t="str">
        <f>"1215463203"</f>
        <v>1215463203</v>
      </c>
      <c r="C9509" t="str">
        <f>"261QA0600X"</f>
        <v>261QA0600X</v>
      </c>
      <c r="D9509" t="str">
        <f>"EMPOWERING DAY CENTER ADULT DAY CAR               "</f>
        <v xml:space="preserve">EMPOWERING DAY CENTER ADULT DAY CAR               </v>
      </c>
      <c r="E9509" t="str">
        <f>"INDIANOLA                 "</f>
        <v xml:space="preserve">INDIANOLA                 </v>
      </c>
      <c r="F9509" t="str">
        <f t="shared" si="274"/>
        <v>MS</v>
      </c>
    </row>
    <row r="9510" spans="1:6" x14ac:dyDescent="0.25">
      <c r="A9510" t="str">
        <f>"003253201"</f>
        <v>003253201</v>
      </c>
      <c r="B9510" t="str">
        <f>"1841620846"</f>
        <v>1841620846</v>
      </c>
      <c r="C9510" t="str">
        <f>"261QR1300X"</f>
        <v>261QR1300X</v>
      </c>
      <c r="D9510" t="str">
        <f>"UMMN-GRENADA WOMEN'S SERVICES                     "</f>
        <v xml:space="preserve">UMMN-GRENADA WOMEN'S SERVICES                     </v>
      </c>
      <c r="E9510" t="str">
        <f>"GRENADA                   "</f>
        <v xml:space="preserve">GRENADA                   </v>
      </c>
      <c r="F9510" t="str">
        <f t="shared" si="274"/>
        <v>MS</v>
      </c>
    </row>
    <row r="9511" spans="1:6" x14ac:dyDescent="0.25">
      <c r="A9511" t="str">
        <f>"003254374"</f>
        <v>003254374</v>
      </c>
      <c r="B9511" t="str">
        <f>"1093190357"</f>
        <v>1093190357</v>
      </c>
      <c r="C9511" t="str">
        <f>"363L00000X"</f>
        <v>363L00000X</v>
      </c>
      <c r="D9511" t="str">
        <f>"WRIGHT                   VIRGINIA     H           "</f>
        <v xml:space="preserve">WRIGHT                   VIRGINIA     H           </v>
      </c>
      <c r="E9511" t="str">
        <f>"FLOWOOD                   "</f>
        <v xml:space="preserve">FLOWOOD                   </v>
      </c>
      <c r="F9511" t="str">
        <f t="shared" si="274"/>
        <v>MS</v>
      </c>
    </row>
    <row r="9512" spans="1:6" x14ac:dyDescent="0.25">
      <c r="A9512" t="str">
        <f>"003255018"</f>
        <v>003255018</v>
      </c>
      <c r="B9512" t="str">
        <f>"1598898967"</f>
        <v>1598898967</v>
      </c>
      <c r="C9512" t="str">
        <f>"207ZP0102X"</f>
        <v>207ZP0102X</v>
      </c>
      <c r="D9512" t="str">
        <f>"HUGHES III               RALPH        C           "</f>
        <v xml:space="preserve">HUGHES III               RALPH        C           </v>
      </c>
      <c r="E9512" t="str">
        <f>"MERIDIAN                  "</f>
        <v xml:space="preserve">MERIDIAN                  </v>
      </c>
      <c r="F9512" t="str">
        <f t="shared" si="274"/>
        <v>MS</v>
      </c>
    </row>
    <row r="9513" spans="1:6" x14ac:dyDescent="0.25">
      <c r="A9513" t="str">
        <f>"003256294"</f>
        <v>003256294</v>
      </c>
      <c r="B9513" t="str">
        <f>"1942459631"</f>
        <v>1942459631</v>
      </c>
      <c r="C9513" t="str">
        <f>"367500000X"</f>
        <v>367500000X</v>
      </c>
      <c r="D9513" t="str">
        <f>"PALMER                   SUMMER       A           "</f>
        <v xml:space="preserve">PALMER                   SUMMER       A           </v>
      </c>
      <c r="E9513" t="str">
        <f>"TUPELO                    "</f>
        <v xml:space="preserve">TUPELO                    </v>
      </c>
      <c r="F9513" t="str">
        <f t="shared" si="274"/>
        <v>MS</v>
      </c>
    </row>
    <row r="9514" spans="1:6" x14ac:dyDescent="0.25">
      <c r="A9514" t="str">
        <f>"003257226"</f>
        <v>003257226</v>
      </c>
      <c r="B9514" t="str">
        <f>"1568473270"</f>
        <v>1568473270</v>
      </c>
      <c r="C9514" t="str">
        <f>"363L00000X"</f>
        <v>363L00000X</v>
      </c>
      <c r="D9514" t="str">
        <f>"BRISTER                  JACKIE       E           "</f>
        <v xml:space="preserve">BRISTER                  JACKIE       E           </v>
      </c>
      <c r="E9514" t="str">
        <f>"MCCOMB                    "</f>
        <v xml:space="preserve">MCCOMB                    </v>
      </c>
      <c r="F9514" t="str">
        <f t="shared" si="274"/>
        <v>MS</v>
      </c>
    </row>
    <row r="9515" spans="1:6" x14ac:dyDescent="0.25">
      <c r="A9515" t="str">
        <f>"003258395"</f>
        <v>003258395</v>
      </c>
      <c r="B9515" t="str">
        <f>"1588856959"</f>
        <v>1588856959</v>
      </c>
      <c r="C9515" t="str">
        <f>"363L00000X"</f>
        <v>363L00000X</v>
      </c>
      <c r="D9515" t="str">
        <f>"PORTER                   ANN          M           "</f>
        <v xml:space="preserve">PORTER                   ANN          M           </v>
      </c>
      <c r="E9515" t="str">
        <f>"JACKSON                   "</f>
        <v xml:space="preserve">JACKSON                   </v>
      </c>
      <c r="F9515" t="str">
        <f t="shared" si="274"/>
        <v>MS</v>
      </c>
    </row>
    <row r="9516" spans="1:6" x14ac:dyDescent="0.25">
      <c r="A9516" t="str">
        <f>"003270207"</f>
        <v>003270207</v>
      </c>
      <c r="B9516" t="str">
        <f>"1992290522"</f>
        <v>1992290522</v>
      </c>
      <c r="C9516" t="str">
        <f>"261QM1300X"</f>
        <v>261QM1300X</v>
      </c>
      <c r="D9516" t="str">
        <f>"NOOL COUNSELING CENTER PLLC                       "</f>
        <v xml:space="preserve">NOOL COUNSELING CENTER PLLC                       </v>
      </c>
      <c r="E9516" t="str">
        <f>"HATTIESBURG               "</f>
        <v xml:space="preserve">HATTIESBURG               </v>
      </c>
      <c r="F9516" t="str">
        <f t="shared" si="274"/>
        <v>MS</v>
      </c>
    </row>
    <row r="9517" spans="1:6" x14ac:dyDescent="0.25">
      <c r="A9517" t="str">
        <f>"003271232"</f>
        <v>003271232</v>
      </c>
      <c r="B9517" t="str">
        <f>"1851655310"</f>
        <v>1851655310</v>
      </c>
      <c r="C9517" t="str">
        <f>"2080H0002X"</f>
        <v>2080H0002X</v>
      </c>
      <c r="D9517" t="str">
        <f>"DEAR                     JENNA        L           "</f>
        <v xml:space="preserve">DEAR                     JENNA        L           </v>
      </c>
      <c r="E9517" t="str">
        <f>"JACKSON                   "</f>
        <v xml:space="preserve">JACKSON                   </v>
      </c>
      <c r="F9517" t="str">
        <f t="shared" si="274"/>
        <v>MS</v>
      </c>
    </row>
    <row r="9518" spans="1:6" x14ac:dyDescent="0.25">
      <c r="A9518" t="str">
        <f>"003273011"</f>
        <v>003273011</v>
      </c>
      <c r="B9518" t="str">
        <f>"1861832289"</f>
        <v>1861832289</v>
      </c>
      <c r="C9518" t="str">
        <f>"208800000X"</f>
        <v>208800000X</v>
      </c>
      <c r="D9518" t="str">
        <f>"WINDHAM                  WILLIAM      J           "</f>
        <v xml:space="preserve">WINDHAM                  WILLIAM      J           </v>
      </c>
      <c r="E9518" t="str">
        <f>"STARKVILLE                "</f>
        <v xml:space="preserve">STARKVILLE                </v>
      </c>
      <c r="F9518" t="str">
        <f t="shared" si="274"/>
        <v>MS</v>
      </c>
    </row>
    <row r="9519" spans="1:6" x14ac:dyDescent="0.25">
      <c r="A9519" t="str">
        <f>"003273578"</f>
        <v>003273578</v>
      </c>
      <c r="B9519" t="str">
        <f>"1184146789"</f>
        <v>1184146789</v>
      </c>
      <c r="C9519" t="str">
        <f>"261QE0700X"</f>
        <v>261QE0700X</v>
      </c>
      <c r="D9519" t="str">
        <f>"FRESENIUS MEDICAL CARE DIALYSIS SVC               "</f>
        <v xml:space="preserve">FRESENIUS MEDICAL CARE DIALYSIS SVC               </v>
      </c>
      <c r="E9519" t="str">
        <f>"BRANDON                   "</f>
        <v xml:space="preserve">BRANDON                   </v>
      </c>
      <c r="F9519" t="str">
        <f t="shared" si="274"/>
        <v>MS</v>
      </c>
    </row>
    <row r="9520" spans="1:6" x14ac:dyDescent="0.25">
      <c r="A9520" t="str">
        <f>"003274513"</f>
        <v>003274513</v>
      </c>
      <c r="B9520" t="str">
        <f>"1609517200"</f>
        <v>1609517200</v>
      </c>
      <c r="C9520" t="str">
        <f>"207R00000X"</f>
        <v>207R00000X</v>
      </c>
      <c r="D9520" t="str">
        <f>"GATEWOOD                 RONALD       T           "</f>
        <v xml:space="preserve">GATEWOOD                 RONALD       T           </v>
      </c>
      <c r="E9520" t="str">
        <f>"JACKSON                   "</f>
        <v xml:space="preserve">JACKSON                   </v>
      </c>
      <c r="F9520" t="str">
        <f t="shared" si="274"/>
        <v>MS</v>
      </c>
    </row>
    <row r="9521" spans="1:6" x14ac:dyDescent="0.25">
      <c r="A9521" t="str">
        <f>"003274801"</f>
        <v>003274801</v>
      </c>
      <c r="B9521" t="str">
        <f>"1972840585"</f>
        <v>1972840585</v>
      </c>
      <c r="C9521" t="str">
        <f>"363L00000X"</f>
        <v>363L00000X</v>
      </c>
      <c r="D9521" t="str">
        <f>"BUCKLEY                  CHRISTEN     H           "</f>
        <v xml:space="preserve">BUCKLEY                  CHRISTEN     H           </v>
      </c>
      <c r="E9521" t="str">
        <f>"JACKSON                   "</f>
        <v xml:space="preserve">JACKSON                   </v>
      </c>
      <c r="F9521" t="str">
        <f t="shared" si="274"/>
        <v>MS</v>
      </c>
    </row>
    <row r="9522" spans="1:6" x14ac:dyDescent="0.25">
      <c r="A9522" t="str">
        <f>"003274811"</f>
        <v>003274811</v>
      </c>
      <c r="B9522" t="str">
        <f>"1982013710"</f>
        <v>1982013710</v>
      </c>
      <c r="C9522" t="str">
        <f>"207R00000X"</f>
        <v>207R00000X</v>
      </c>
      <c r="D9522" t="str">
        <f>"SEMAAN                   WALID                    "</f>
        <v xml:space="preserve">SEMAAN                   WALID                    </v>
      </c>
      <c r="E9522" t="str">
        <f>"MCCOMB                    "</f>
        <v xml:space="preserve">MCCOMB                    </v>
      </c>
      <c r="F9522" t="str">
        <f t="shared" si="274"/>
        <v>MS</v>
      </c>
    </row>
    <row r="9523" spans="1:6" x14ac:dyDescent="0.25">
      <c r="A9523" t="str">
        <f>"003274861"</f>
        <v>003274861</v>
      </c>
      <c r="B9523" t="str">
        <f>"1760865216"</f>
        <v>1760865216</v>
      </c>
      <c r="C9523" t="str">
        <f>"363L00000X"</f>
        <v>363L00000X</v>
      </c>
      <c r="D9523" t="str">
        <f>"JONES                    GARRETT                  "</f>
        <v xml:space="preserve">JONES                    GARRETT                  </v>
      </c>
      <c r="E9523" t="str">
        <f>"HATTIESBURG               "</f>
        <v xml:space="preserve">HATTIESBURG               </v>
      </c>
      <c r="F9523" t="str">
        <f t="shared" si="274"/>
        <v>MS</v>
      </c>
    </row>
    <row r="9524" spans="1:6" x14ac:dyDescent="0.25">
      <c r="A9524" t="str">
        <f>"003275240"</f>
        <v>003275240</v>
      </c>
      <c r="B9524" t="str">
        <f>"1285096396"</f>
        <v>1285096396</v>
      </c>
      <c r="C9524" t="str">
        <f>"207RE0101X"</f>
        <v>207RE0101X</v>
      </c>
      <c r="D9524" t="str">
        <f>"MOLL                     TERESA       A           "</f>
        <v xml:space="preserve">MOLL                     TERESA       A           </v>
      </c>
      <c r="E9524" t="str">
        <f>"JACKSON                   "</f>
        <v xml:space="preserve">JACKSON                   </v>
      </c>
      <c r="F9524" t="str">
        <f t="shared" si="274"/>
        <v>MS</v>
      </c>
    </row>
    <row r="9525" spans="1:6" x14ac:dyDescent="0.25">
      <c r="A9525" t="str">
        <f>"003275847"</f>
        <v>003275847</v>
      </c>
      <c r="B9525" t="str">
        <f>"1902868961"</f>
        <v>1902868961</v>
      </c>
      <c r="C9525" t="str">
        <f>"207Q00000X"</f>
        <v>207Q00000X</v>
      </c>
      <c r="D9525" t="str">
        <f>"CARTER                   BENJAMIN     T           "</f>
        <v xml:space="preserve">CARTER                   BENJAMIN     T           </v>
      </c>
      <c r="E9525" t="str">
        <f>"KOSCIUSKO                 "</f>
        <v xml:space="preserve">KOSCIUSKO                 </v>
      </c>
      <c r="F9525" t="str">
        <f t="shared" si="274"/>
        <v>MS</v>
      </c>
    </row>
    <row r="9526" spans="1:6" x14ac:dyDescent="0.25">
      <c r="A9526" t="str">
        <f>"003275852"</f>
        <v>003275852</v>
      </c>
      <c r="B9526" t="str">
        <f>"1366409179"</f>
        <v>1366409179</v>
      </c>
      <c r="C9526" t="str">
        <f>"363L00000X"</f>
        <v>363L00000X</v>
      </c>
      <c r="D9526" t="str">
        <f>"DAUWALDER                SUSAN        E           "</f>
        <v xml:space="preserve">DAUWALDER                SUSAN        E           </v>
      </c>
      <c r="E9526" t="str">
        <f>"WEST POINT                "</f>
        <v xml:space="preserve">WEST POINT                </v>
      </c>
      <c r="F9526" t="str">
        <f t="shared" si="274"/>
        <v>MS</v>
      </c>
    </row>
    <row r="9527" spans="1:6" x14ac:dyDescent="0.25">
      <c r="A9527" t="str">
        <f>"003276372"</f>
        <v>003276372</v>
      </c>
      <c r="B9527" t="str">
        <f>"1508860214"</f>
        <v>1508860214</v>
      </c>
      <c r="C9527" t="str">
        <f>"207Q00000X"</f>
        <v>207Q00000X</v>
      </c>
      <c r="D9527" t="str">
        <f>"BEASLEY                  JASON        G           "</f>
        <v xml:space="preserve">BEASLEY                  JASON        G           </v>
      </c>
      <c r="E9527" t="str">
        <f>"COLLINS                   "</f>
        <v xml:space="preserve">COLLINS                   </v>
      </c>
      <c r="F9527" t="str">
        <f t="shared" si="274"/>
        <v>MS</v>
      </c>
    </row>
    <row r="9528" spans="1:6" x14ac:dyDescent="0.25">
      <c r="A9528" t="str">
        <f>"003278393"</f>
        <v>003278393</v>
      </c>
      <c r="B9528" t="str">
        <f>"1235691684"</f>
        <v>1235691684</v>
      </c>
      <c r="C9528" t="str">
        <f>"207R00000X"</f>
        <v>207R00000X</v>
      </c>
      <c r="D9528" t="str">
        <f>"KHEIRKHAHAN              MOBIN                    "</f>
        <v xml:space="preserve">KHEIRKHAHAN              MOBIN                    </v>
      </c>
      <c r="E9528" t="str">
        <f>"JACKSON                   "</f>
        <v xml:space="preserve">JACKSON                   </v>
      </c>
      <c r="F9528" t="str">
        <f t="shared" si="274"/>
        <v>MS</v>
      </c>
    </row>
    <row r="9529" spans="1:6" x14ac:dyDescent="0.25">
      <c r="A9529" t="str">
        <f>"003278719"</f>
        <v>003278719</v>
      </c>
      <c r="B9529" t="str">
        <f>"1649556721"</f>
        <v>1649556721</v>
      </c>
      <c r="C9529" t="str">
        <f>"261QE0700X"</f>
        <v>261QE0700X</v>
      </c>
      <c r="D9529" t="str">
        <f>"DIVERSIFIED RENAL GROUP HOME DIALYS               "</f>
        <v xml:space="preserve">DIVERSIFIED RENAL GROUP HOME DIALYS               </v>
      </c>
      <c r="E9529" t="str">
        <f>"FAYETTE                   "</f>
        <v xml:space="preserve">FAYETTE                   </v>
      </c>
      <c r="F9529" t="str">
        <f t="shared" si="274"/>
        <v>MS</v>
      </c>
    </row>
    <row r="9530" spans="1:6" x14ac:dyDescent="0.25">
      <c r="A9530" t="str">
        <f>"003278727"</f>
        <v>003278727</v>
      </c>
      <c r="B9530" t="str">
        <f>"1780115238"</f>
        <v>1780115238</v>
      </c>
      <c r="C9530" t="str">
        <f>"208600000X"</f>
        <v>208600000X</v>
      </c>
      <c r="D9530" t="str">
        <f>"BUONO                    LINDSAY                  "</f>
        <v xml:space="preserve">BUONO                    LINDSAY                  </v>
      </c>
      <c r="E9530" t="str">
        <f>"PASCAGOULA                "</f>
        <v xml:space="preserve">PASCAGOULA                </v>
      </c>
      <c r="F9530" t="str">
        <f t="shared" si="274"/>
        <v>MS</v>
      </c>
    </row>
    <row r="9531" spans="1:6" x14ac:dyDescent="0.25">
      <c r="A9531" t="str">
        <f>"003278893"</f>
        <v>003278893</v>
      </c>
      <c r="B9531" t="str">
        <f>"1588803225"</f>
        <v>1588803225</v>
      </c>
      <c r="C9531" t="str">
        <f>"367500000X"</f>
        <v>367500000X</v>
      </c>
      <c r="D9531" t="str">
        <f>"PEREZ                    ALLYSON      C           "</f>
        <v xml:space="preserve">PEREZ                    ALLYSON      C           </v>
      </c>
      <c r="E9531" t="str">
        <f>"GAUTIER                   "</f>
        <v xml:space="preserve">GAUTIER                   </v>
      </c>
      <c r="F9531" t="str">
        <f t="shared" si="274"/>
        <v>MS</v>
      </c>
    </row>
    <row r="9532" spans="1:6" x14ac:dyDescent="0.25">
      <c r="A9532" t="str">
        <f>"003279274"</f>
        <v>003279274</v>
      </c>
      <c r="B9532" t="str">
        <f>"1992223887"</f>
        <v>1992223887</v>
      </c>
      <c r="C9532" t="str">
        <f>"363L00000X"</f>
        <v>363L00000X</v>
      </c>
      <c r="D9532" t="str">
        <f>"DAMIENS                  ALISSA       N           "</f>
        <v xml:space="preserve">DAMIENS                  ALISSA       N           </v>
      </c>
      <c r="E9532" t="str">
        <f>"YAZOO CITY                "</f>
        <v xml:space="preserve">YAZOO CITY                </v>
      </c>
      <c r="F9532" t="str">
        <f t="shared" si="274"/>
        <v>MS</v>
      </c>
    </row>
    <row r="9533" spans="1:6" x14ac:dyDescent="0.25">
      <c r="A9533" t="str">
        <f>"003279711"</f>
        <v>003279711</v>
      </c>
      <c r="B9533" t="str">
        <f>"1679046585"</f>
        <v>1679046585</v>
      </c>
      <c r="C9533" t="str">
        <f>"363L00000X"</f>
        <v>363L00000X</v>
      </c>
      <c r="D9533" t="str">
        <f>"BASS                     ERIN         H           "</f>
        <v xml:space="preserve">BASS                     ERIN         H           </v>
      </c>
      <c r="E9533" t="str">
        <f>"MADISON                   "</f>
        <v xml:space="preserve">MADISON                   </v>
      </c>
      <c r="F9533" t="str">
        <f t="shared" si="274"/>
        <v>MS</v>
      </c>
    </row>
    <row r="9534" spans="1:6" x14ac:dyDescent="0.25">
      <c r="A9534" t="str">
        <f>"003279856"</f>
        <v>003279856</v>
      </c>
      <c r="B9534" t="str">
        <f>"1801369467"</f>
        <v>1801369467</v>
      </c>
      <c r="C9534" t="str">
        <f>"367500000X"</f>
        <v>367500000X</v>
      </c>
      <c r="D9534" t="str">
        <f>"STONE                    SUMMER       A           "</f>
        <v xml:space="preserve">STONE                    SUMMER       A           </v>
      </c>
      <c r="E9534" t="str">
        <f>"HATTIESBURG               "</f>
        <v xml:space="preserve">HATTIESBURG               </v>
      </c>
      <c r="F9534" t="str">
        <f t="shared" ref="F9534:F9597" si="275">"MS"</f>
        <v>MS</v>
      </c>
    </row>
    <row r="9535" spans="1:6" x14ac:dyDescent="0.25">
      <c r="A9535" t="str">
        <f>"003281556"</f>
        <v>003281556</v>
      </c>
      <c r="B9535" t="str">
        <f>"1841361938"</f>
        <v>1841361938</v>
      </c>
      <c r="C9535" t="str">
        <f>"207R00000X"</f>
        <v>207R00000X</v>
      </c>
      <c r="D9535" t="str">
        <f>"JAEGER                   DOMINIC      A           "</f>
        <v xml:space="preserve">JAEGER                   DOMINIC      A           </v>
      </c>
      <c r="E9535" t="str">
        <f>"JACKSON                   "</f>
        <v xml:space="preserve">JACKSON                   </v>
      </c>
      <c r="F9535" t="str">
        <f t="shared" si="275"/>
        <v>MS</v>
      </c>
    </row>
    <row r="9536" spans="1:6" x14ac:dyDescent="0.25">
      <c r="A9536" t="str">
        <f>"003282876"</f>
        <v>003282876</v>
      </c>
      <c r="B9536" t="str">
        <f>"1023383486"</f>
        <v>1023383486</v>
      </c>
      <c r="C9536" t="str">
        <f>"2085R0202X"</f>
        <v>2085R0202X</v>
      </c>
      <c r="D9536" t="str">
        <f>"MACKEY                   DANE                     "</f>
        <v xml:space="preserve">MACKEY                   DANE                     </v>
      </c>
      <c r="E9536" t="str">
        <f>"CLEVELAND                 "</f>
        <v xml:space="preserve">CLEVELAND                 </v>
      </c>
      <c r="F9536" t="str">
        <f t="shared" si="275"/>
        <v>MS</v>
      </c>
    </row>
    <row r="9537" spans="1:6" x14ac:dyDescent="0.25">
      <c r="A9537" t="str">
        <f>"003285044"</f>
        <v>003285044</v>
      </c>
      <c r="B9537" t="str">
        <f>"1396199840"</f>
        <v>1396199840</v>
      </c>
      <c r="C9537" t="str">
        <f>"207Q00000X"</f>
        <v>207Q00000X</v>
      </c>
      <c r="D9537" t="str">
        <f>"SANKOORIKAL              VINEETH-JOSEPJ           "</f>
        <v xml:space="preserve">SANKOORIKAL              VINEETH-JOSEPJ           </v>
      </c>
      <c r="E9537" t="str">
        <f>"BAY ST LOUIS              "</f>
        <v xml:space="preserve">BAY ST LOUIS              </v>
      </c>
      <c r="F9537" t="str">
        <f t="shared" si="275"/>
        <v>MS</v>
      </c>
    </row>
    <row r="9538" spans="1:6" x14ac:dyDescent="0.25">
      <c r="A9538" t="str">
        <f>"003286518"</f>
        <v>003286518</v>
      </c>
      <c r="B9538" t="str">
        <f>"1831500818"</f>
        <v>1831500818</v>
      </c>
      <c r="C9538" t="str">
        <f>"207RG0300X"</f>
        <v>207RG0300X</v>
      </c>
      <c r="D9538" t="str">
        <f>"KILMAN                   CHLOE        A           "</f>
        <v xml:space="preserve">KILMAN                   CHLOE        A           </v>
      </c>
      <c r="E9538" t="str">
        <f>"JACKSON                   "</f>
        <v xml:space="preserve">JACKSON                   </v>
      </c>
      <c r="F9538" t="str">
        <f t="shared" si="275"/>
        <v>MS</v>
      </c>
    </row>
    <row r="9539" spans="1:6" x14ac:dyDescent="0.25">
      <c r="A9539" t="str">
        <f>"003287322"</f>
        <v>003287322</v>
      </c>
      <c r="B9539" t="str">
        <f>"1700446358"</f>
        <v>1700446358</v>
      </c>
      <c r="C9539" t="str">
        <f>"207Q00000X"</f>
        <v>207Q00000X</v>
      </c>
      <c r="D9539" t="str">
        <f>"COLLIER                  TOREY                    "</f>
        <v xml:space="preserve">COLLIER                  TOREY                    </v>
      </c>
      <c r="E9539" t="str">
        <f>"HOUSTON                   "</f>
        <v xml:space="preserve">HOUSTON                   </v>
      </c>
      <c r="F9539" t="str">
        <f t="shared" si="275"/>
        <v>MS</v>
      </c>
    </row>
    <row r="9540" spans="1:6" x14ac:dyDescent="0.25">
      <c r="A9540" t="str">
        <f>"003288269"</f>
        <v>003288269</v>
      </c>
      <c r="B9540" t="str">
        <f>"1194179226"</f>
        <v>1194179226</v>
      </c>
      <c r="C9540" t="str">
        <f>"363L00000X"</f>
        <v>363L00000X</v>
      </c>
      <c r="D9540" t="str">
        <f>"MCCORD                   ELIZABETH    R           "</f>
        <v xml:space="preserve">MCCORD                   ELIZABETH    R           </v>
      </c>
      <c r="E9540" t="str">
        <f>"PEARL                     "</f>
        <v xml:space="preserve">PEARL                     </v>
      </c>
      <c r="F9540" t="str">
        <f t="shared" si="275"/>
        <v>MS</v>
      </c>
    </row>
    <row r="9541" spans="1:6" x14ac:dyDescent="0.25">
      <c r="A9541" t="str">
        <f>"003300016"</f>
        <v>003300016</v>
      </c>
      <c r="B9541" t="str">
        <f>"1114134863"</f>
        <v>1114134863</v>
      </c>
      <c r="C9541" t="str">
        <f>"207R00000X"</f>
        <v>207R00000X</v>
      </c>
      <c r="D9541" t="str">
        <f>"MALTBY                   KAREN                    "</f>
        <v xml:space="preserve">MALTBY                   KAREN                    </v>
      </c>
      <c r="E9541" t="str">
        <f>"TUPELO                    "</f>
        <v xml:space="preserve">TUPELO                    </v>
      </c>
      <c r="F9541" t="str">
        <f t="shared" si="275"/>
        <v>MS</v>
      </c>
    </row>
    <row r="9542" spans="1:6" x14ac:dyDescent="0.25">
      <c r="A9542" t="str">
        <f>"003300038"</f>
        <v>003300038</v>
      </c>
      <c r="B9542" t="str">
        <f>"1306362082"</f>
        <v>1306362082</v>
      </c>
      <c r="C9542" t="str">
        <f>"261QM0801X"</f>
        <v>261QM0801X</v>
      </c>
      <c r="D9542" t="str">
        <f>"GATEWAY BEHAVIORAL HEALTH SERVICES                "</f>
        <v xml:space="preserve">GATEWAY BEHAVIORAL HEALTH SERVICES                </v>
      </c>
      <c r="E9542" t="str">
        <f>"JACKSON                   "</f>
        <v xml:space="preserve">JACKSON                   </v>
      </c>
      <c r="F9542" t="str">
        <f t="shared" si="275"/>
        <v>MS</v>
      </c>
    </row>
    <row r="9543" spans="1:6" x14ac:dyDescent="0.25">
      <c r="A9543" t="str">
        <f>"003300361"</f>
        <v>003300361</v>
      </c>
      <c r="B9543" t="str">
        <f>"1720274327"</f>
        <v>1720274327</v>
      </c>
      <c r="C9543" t="str">
        <f>"207Q00000X"</f>
        <v>207Q00000X</v>
      </c>
      <c r="D9543" t="str">
        <f>"GRIFFIN                  JAMES        W           "</f>
        <v xml:space="preserve">GRIFFIN                  JAMES        W           </v>
      </c>
      <c r="E9543" t="str">
        <f>"HATTIESBURG               "</f>
        <v xml:space="preserve">HATTIESBURG               </v>
      </c>
      <c r="F9543" t="str">
        <f t="shared" si="275"/>
        <v>MS</v>
      </c>
    </row>
    <row r="9544" spans="1:6" x14ac:dyDescent="0.25">
      <c r="A9544" t="str">
        <f>"003300994"</f>
        <v>003300994</v>
      </c>
      <c r="B9544" t="str">
        <f>"1568610806"</f>
        <v>1568610806</v>
      </c>
      <c r="C9544" t="str">
        <f>"363L00000X"</f>
        <v>363L00000X</v>
      </c>
      <c r="D9544" t="str">
        <f>"JUSTICE                  ANDREW       C           "</f>
        <v xml:space="preserve">JUSTICE                  ANDREW       C           </v>
      </c>
      <c r="E9544" t="str">
        <f>"NETTLETON                 "</f>
        <v xml:space="preserve">NETTLETON                 </v>
      </c>
      <c r="F9544" t="str">
        <f t="shared" si="275"/>
        <v>MS</v>
      </c>
    </row>
    <row r="9545" spans="1:6" x14ac:dyDescent="0.25">
      <c r="A9545" t="str">
        <f>"003301239"</f>
        <v>003301239</v>
      </c>
      <c r="B9545" t="str">
        <f>"1508903626"</f>
        <v>1508903626</v>
      </c>
      <c r="C9545" t="str">
        <f>"207R00000X"</f>
        <v>207R00000X</v>
      </c>
      <c r="D9545" t="str">
        <f>"HARBOUR                  KEVIN        C           "</f>
        <v xml:space="preserve">HARBOUR                  KEVIN        C           </v>
      </c>
      <c r="E9545" t="str">
        <f>"TUPELO                    "</f>
        <v xml:space="preserve">TUPELO                    </v>
      </c>
      <c r="F9545" t="str">
        <f t="shared" si="275"/>
        <v>MS</v>
      </c>
    </row>
    <row r="9546" spans="1:6" x14ac:dyDescent="0.25">
      <c r="A9546" t="str">
        <f>"003301861"</f>
        <v>003301861</v>
      </c>
      <c r="B9546" t="str">
        <f>"1265796379"</f>
        <v>1265796379</v>
      </c>
      <c r="C9546" t="str">
        <f>"367500000X"</f>
        <v>367500000X</v>
      </c>
      <c r="D9546" t="str">
        <f>"ZINGER                   ELAINE       F           "</f>
        <v xml:space="preserve">ZINGER                   ELAINE       F           </v>
      </c>
      <c r="E9546" t="str">
        <f>"GULFPORT                  "</f>
        <v xml:space="preserve">GULFPORT                  </v>
      </c>
      <c r="F9546" t="str">
        <f t="shared" si="275"/>
        <v>MS</v>
      </c>
    </row>
    <row r="9547" spans="1:6" x14ac:dyDescent="0.25">
      <c r="A9547" t="str">
        <f>"003302312"</f>
        <v>003302312</v>
      </c>
      <c r="B9547" t="str">
        <f>"1932526258"</f>
        <v>1932526258</v>
      </c>
      <c r="C9547" t="str">
        <f>"207Y00000X"</f>
        <v>207Y00000X</v>
      </c>
      <c r="D9547" t="str">
        <f>"KANE                     ANNE         C           "</f>
        <v xml:space="preserve">KANE                     ANNE         C           </v>
      </c>
      <c r="E9547" t="str">
        <f>"JACKSON                   "</f>
        <v xml:space="preserve">JACKSON                   </v>
      </c>
      <c r="F9547" t="str">
        <f t="shared" si="275"/>
        <v>MS</v>
      </c>
    </row>
    <row r="9548" spans="1:6" x14ac:dyDescent="0.25">
      <c r="A9548" t="str">
        <f>"003303347"</f>
        <v>003303347</v>
      </c>
      <c r="B9548" t="str">
        <f>"1164030979"</f>
        <v>1164030979</v>
      </c>
      <c r="C9548" t="str">
        <f>"261QR1300X"</f>
        <v>261QR1300X</v>
      </c>
      <c r="D9548" t="str">
        <f>"CHILDRENS INTERNATIONAL MEDICAL- GR               "</f>
        <v xml:space="preserve">CHILDRENS INTERNATIONAL MEDICAL- GR               </v>
      </c>
      <c r="E9548" t="str">
        <f>"BILOXI                    "</f>
        <v xml:space="preserve">BILOXI                    </v>
      </c>
      <c r="F9548" t="str">
        <f t="shared" si="275"/>
        <v>MS</v>
      </c>
    </row>
    <row r="9549" spans="1:6" x14ac:dyDescent="0.25">
      <c r="A9549" t="str">
        <f>"003306398"</f>
        <v>003306398</v>
      </c>
      <c r="B9549" t="str">
        <f>"1942538335"</f>
        <v>1942538335</v>
      </c>
      <c r="C9549" t="str">
        <f>"207RC0000X"</f>
        <v>207RC0000X</v>
      </c>
      <c r="D9549" t="str">
        <f>"YEDLAPATI                NEERAJA                  "</f>
        <v xml:space="preserve">YEDLAPATI                NEERAJA                  </v>
      </c>
      <c r="E9549" t="str">
        <f>"SOUTHAVEN                 "</f>
        <v xml:space="preserve">SOUTHAVEN                 </v>
      </c>
      <c r="F9549" t="str">
        <f t="shared" si="275"/>
        <v>MS</v>
      </c>
    </row>
    <row r="9550" spans="1:6" x14ac:dyDescent="0.25">
      <c r="A9550" t="str">
        <f>"003306702"</f>
        <v>003306702</v>
      </c>
      <c r="B9550" t="str">
        <f>"1588873798"</f>
        <v>1588873798</v>
      </c>
      <c r="C9550" t="str">
        <f>"122300000X"</f>
        <v>122300000X</v>
      </c>
      <c r="D9550" t="str">
        <f>"CONNER                   JEANA        E           "</f>
        <v xml:space="preserve">CONNER                   JEANA        E           </v>
      </c>
      <c r="E9550" t="str">
        <f>"LUCEDALE                  "</f>
        <v xml:space="preserve">LUCEDALE                  </v>
      </c>
      <c r="F9550" t="str">
        <f t="shared" si="275"/>
        <v>MS</v>
      </c>
    </row>
    <row r="9551" spans="1:6" x14ac:dyDescent="0.25">
      <c r="A9551" t="str">
        <f>"003306891"</f>
        <v>003306891</v>
      </c>
      <c r="B9551" t="str">
        <f>"1437670080"</f>
        <v>1437670080</v>
      </c>
      <c r="C9551" t="str">
        <f>"152W00000X"</f>
        <v>152W00000X</v>
      </c>
      <c r="D9551" t="str">
        <f>"TARIQ                    KATHLEEN     B           "</f>
        <v xml:space="preserve">TARIQ                    KATHLEEN     B           </v>
      </c>
      <c r="E9551" t="str">
        <f>"LAUREL                    "</f>
        <v xml:space="preserve">LAUREL                    </v>
      </c>
      <c r="F9551" t="str">
        <f t="shared" si="275"/>
        <v>MS</v>
      </c>
    </row>
    <row r="9552" spans="1:6" x14ac:dyDescent="0.25">
      <c r="A9552" t="str">
        <f>"003307861"</f>
        <v>003307861</v>
      </c>
      <c r="B9552" t="str">
        <f>"1255770558"</f>
        <v>1255770558</v>
      </c>
      <c r="C9552" t="str">
        <f>"208600000X"</f>
        <v>208600000X</v>
      </c>
      <c r="D9552" t="str">
        <f>"SCHELLER                 AMY                      "</f>
        <v xml:space="preserve">SCHELLER                 AMY                      </v>
      </c>
      <c r="E9552" t="str">
        <f>"GULFPORT                  "</f>
        <v xml:space="preserve">GULFPORT                  </v>
      </c>
      <c r="F9552" t="str">
        <f t="shared" si="275"/>
        <v>MS</v>
      </c>
    </row>
    <row r="9553" spans="1:6" x14ac:dyDescent="0.25">
      <c r="A9553" t="str">
        <f>"003308782"</f>
        <v>003308782</v>
      </c>
      <c r="B9553" t="str">
        <f>"1043533623"</f>
        <v>1043533623</v>
      </c>
      <c r="C9553" t="str">
        <f>"122300000X"</f>
        <v>122300000X</v>
      </c>
      <c r="D9553" t="str">
        <f>"MAGNOLIA FAMILY DENTISTRY OF COLUMB               "</f>
        <v xml:space="preserve">MAGNOLIA FAMILY DENTISTRY OF COLUMB               </v>
      </c>
      <c r="E9553" t="str">
        <f>"COLUMBUS                  "</f>
        <v xml:space="preserve">COLUMBUS                  </v>
      </c>
      <c r="F9553" t="str">
        <f t="shared" si="275"/>
        <v>MS</v>
      </c>
    </row>
    <row r="9554" spans="1:6" x14ac:dyDescent="0.25">
      <c r="A9554" t="str">
        <f>"003309201"</f>
        <v>003309201</v>
      </c>
      <c r="B9554" t="str">
        <f>"1407052228"</f>
        <v>1407052228</v>
      </c>
      <c r="C9554" t="str">
        <f>"2084P0800X"</f>
        <v>2084P0800X</v>
      </c>
      <c r="D9554" t="str">
        <f>"BASKARARAJAN             VENKATASUBRAM            "</f>
        <v xml:space="preserve">BASKARARAJAN             VENKATASUBRAM            </v>
      </c>
      <c r="E9554" t="str">
        <f>"HATTIESBURG               "</f>
        <v xml:space="preserve">HATTIESBURG               </v>
      </c>
      <c r="F9554" t="str">
        <f t="shared" si="275"/>
        <v>MS</v>
      </c>
    </row>
    <row r="9555" spans="1:6" x14ac:dyDescent="0.25">
      <c r="A9555" t="str">
        <f>"003309252"</f>
        <v>003309252</v>
      </c>
      <c r="B9555" t="str">
        <f>"1548310782"</f>
        <v>1548310782</v>
      </c>
      <c r="C9555" t="str">
        <f>"261QR1300X"</f>
        <v>261QR1300X</v>
      </c>
      <c r="D9555" t="str">
        <f>"BMC LEAKE WALNUT GROVE PRIMARY CARE               "</f>
        <v xml:space="preserve">BMC LEAKE WALNUT GROVE PRIMARY CARE               </v>
      </c>
      <c r="E9555" t="str">
        <f>"WALNUT GROVE              "</f>
        <v xml:space="preserve">WALNUT GROVE              </v>
      </c>
      <c r="F9555" t="str">
        <f t="shared" si="275"/>
        <v>MS</v>
      </c>
    </row>
    <row r="9556" spans="1:6" x14ac:dyDescent="0.25">
      <c r="A9556" t="str">
        <f>"003309314"</f>
        <v>003309314</v>
      </c>
      <c r="B9556" t="str">
        <f>"1154529709"</f>
        <v>1154529709</v>
      </c>
      <c r="C9556" t="str">
        <f>"207K00000X"</f>
        <v>207K00000X</v>
      </c>
      <c r="D9556" t="str">
        <f>"WILHELM                  CHELLE       R           "</f>
        <v xml:space="preserve">WILHELM                  CHELLE       R           </v>
      </c>
      <c r="E9556" t="str">
        <f>"OXFORD                    "</f>
        <v xml:space="preserve">OXFORD                    </v>
      </c>
      <c r="F9556" t="str">
        <f t="shared" si="275"/>
        <v>MS</v>
      </c>
    </row>
    <row r="9557" spans="1:6" x14ac:dyDescent="0.25">
      <c r="A9557" t="str">
        <f>"003320010"</f>
        <v>003320010</v>
      </c>
      <c r="B9557" t="str">
        <f>"1629445879"</f>
        <v>1629445879</v>
      </c>
      <c r="C9557" t="str">
        <f>"363L00000X"</f>
        <v>363L00000X</v>
      </c>
      <c r="D9557" t="str">
        <f>"WOODWARD                 FRANCES      C           "</f>
        <v xml:space="preserve">WOODWARD                 FRANCES      C           </v>
      </c>
      <c r="E9557" t="str">
        <f>"JACKSON                   "</f>
        <v xml:space="preserve">JACKSON                   </v>
      </c>
      <c r="F9557" t="str">
        <f t="shared" si="275"/>
        <v>MS</v>
      </c>
    </row>
    <row r="9558" spans="1:6" x14ac:dyDescent="0.25">
      <c r="A9558" t="str">
        <f>"003320306"</f>
        <v>003320306</v>
      </c>
      <c r="B9558" t="str">
        <f>"1003170481"</f>
        <v>1003170481</v>
      </c>
      <c r="C9558" t="str">
        <f>"208000000X"</f>
        <v>208000000X</v>
      </c>
      <c r="D9558" t="str">
        <f>"TUCKER                   LAUREN       K           "</f>
        <v xml:space="preserve">TUCKER                   LAUREN       K           </v>
      </c>
      <c r="E9558" t="str">
        <f>"JACKSON                   "</f>
        <v xml:space="preserve">JACKSON                   </v>
      </c>
      <c r="F9558" t="str">
        <f t="shared" si="275"/>
        <v>MS</v>
      </c>
    </row>
    <row r="9559" spans="1:6" x14ac:dyDescent="0.25">
      <c r="A9559" t="str">
        <f>"003320311"</f>
        <v>003320311</v>
      </c>
      <c r="B9559" t="str">
        <f>"1497187512"</f>
        <v>1497187512</v>
      </c>
      <c r="C9559" t="str">
        <f>"363L00000X"</f>
        <v>363L00000X</v>
      </c>
      <c r="D9559" t="str">
        <f>"KEYS                     FELICIA      R           "</f>
        <v xml:space="preserve">KEYS                     FELICIA      R           </v>
      </c>
      <c r="E9559" t="str">
        <f>"LAUREL                    "</f>
        <v xml:space="preserve">LAUREL                    </v>
      </c>
      <c r="F9559" t="str">
        <f t="shared" si="275"/>
        <v>MS</v>
      </c>
    </row>
    <row r="9560" spans="1:6" x14ac:dyDescent="0.25">
      <c r="A9560" t="str">
        <f>"003320614"</f>
        <v>003320614</v>
      </c>
      <c r="B9560" t="str">
        <f>"1235686130"</f>
        <v>1235686130</v>
      </c>
      <c r="C9560" t="str">
        <f>"261QR1300X"</f>
        <v>261QR1300X</v>
      </c>
      <c r="D9560" t="str">
        <f>"BEACHAM RURAL HEALTH CLINIC                       "</f>
        <v xml:space="preserve">BEACHAM RURAL HEALTH CLINIC                       </v>
      </c>
      <c r="E9560" t="str">
        <f>"MAGNOLIA                  "</f>
        <v xml:space="preserve">MAGNOLIA                  </v>
      </c>
      <c r="F9560" t="str">
        <f t="shared" si="275"/>
        <v>MS</v>
      </c>
    </row>
    <row r="9561" spans="1:6" x14ac:dyDescent="0.25">
      <c r="A9561" t="str">
        <f>"003321777"</f>
        <v>003321777</v>
      </c>
      <c r="B9561" t="str">
        <f>"1134491806"</f>
        <v>1134491806</v>
      </c>
      <c r="C9561" t="str">
        <f>"363L00000X"</f>
        <v>363L00000X</v>
      </c>
      <c r="D9561" t="str">
        <f>"THORNTON                 KENDALL                  "</f>
        <v xml:space="preserve">THORNTON                 KENDALL                  </v>
      </c>
      <c r="E9561" t="str">
        <f>"LAUREL                    "</f>
        <v xml:space="preserve">LAUREL                    </v>
      </c>
      <c r="F9561" t="str">
        <f t="shared" si="275"/>
        <v>MS</v>
      </c>
    </row>
    <row r="9562" spans="1:6" x14ac:dyDescent="0.25">
      <c r="A9562" t="str">
        <f>"003321871"</f>
        <v>003321871</v>
      </c>
      <c r="B9562" t="str">
        <f>"1740655091"</f>
        <v>1740655091</v>
      </c>
      <c r="C9562" t="str">
        <f>"363L00000X"</f>
        <v>363L00000X</v>
      </c>
      <c r="D9562" t="str">
        <f>"CHANDLER                 KAJUANDRA    K           "</f>
        <v xml:space="preserve">CHANDLER                 KAJUANDRA    K           </v>
      </c>
      <c r="E9562" t="str">
        <f>"YAZOO CITY                "</f>
        <v xml:space="preserve">YAZOO CITY                </v>
      </c>
      <c r="F9562" t="str">
        <f t="shared" si="275"/>
        <v>MS</v>
      </c>
    </row>
    <row r="9563" spans="1:6" x14ac:dyDescent="0.25">
      <c r="A9563" t="str">
        <f>"003322571"</f>
        <v>003322571</v>
      </c>
      <c r="B9563" t="str">
        <f>"1841541158"</f>
        <v>1841541158</v>
      </c>
      <c r="C9563" t="str">
        <f>"363A00000X"</f>
        <v>363A00000X</v>
      </c>
      <c r="D9563" t="str">
        <f>"THIERRY                  MELISSA      J           "</f>
        <v xml:space="preserve">THIERRY                  MELISSA      J           </v>
      </c>
      <c r="E9563" t="str">
        <f>"OCEAN SPRINGS             "</f>
        <v xml:space="preserve">OCEAN SPRINGS             </v>
      </c>
      <c r="F9563" t="str">
        <f t="shared" si="275"/>
        <v>MS</v>
      </c>
    </row>
    <row r="9564" spans="1:6" x14ac:dyDescent="0.25">
      <c r="A9564" t="str">
        <f>"003323222"</f>
        <v>003323222</v>
      </c>
      <c r="B9564" t="str">
        <f>"1730161779"</f>
        <v>1730161779</v>
      </c>
      <c r="C9564" t="str">
        <f>"367500000X"</f>
        <v>367500000X</v>
      </c>
      <c r="D9564" t="str">
        <f>"BURRELL                  MARK         C           "</f>
        <v xml:space="preserve">BURRELL                  MARK         C           </v>
      </c>
      <c r="E9564" t="str">
        <f>"FLOWOOD                   "</f>
        <v xml:space="preserve">FLOWOOD                   </v>
      </c>
      <c r="F9564" t="str">
        <f t="shared" si="275"/>
        <v>MS</v>
      </c>
    </row>
    <row r="9565" spans="1:6" x14ac:dyDescent="0.25">
      <c r="A9565" t="str">
        <f>"003323598"</f>
        <v>003323598</v>
      </c>
      <c r="B9565" t="str">
        <f>"1891189114"</f>
        <v>1891189114</v>
      </c>
      <c r="C9565" t="str">
        <f>"363L00000X"</f>
        <v>363L00000X</v>
      </c>
      <c r="D9565" t="str">
        <f>"SUMMERS                  REATHIA      S           "</f>
        <v xml:space="preserve">SUMMERS                  REATHIA      S           </v>
      </c>
      <c r="E9565" t="str">
        <f>"CHOCTAW                   "</f>
        <v xml:space="preserve">CHOCTAW                   </v>
      </c>
      <c r="F9565" t="str">
        <f t="shared" si="275"/>
        <v>MS</v>
      </c>
    </row>
    <row r="9566" spans="1:6" x14ac:dyDescent="0.25">
      <c r="A9566" t="str">
        <f>"003323816"</f>
        <v>003323816</v>
      </c>
      <c r="B9566" t="str">
        <f>"1609951193"</f>
        <v>1609951193</v>
      </c>
      <c r="C9566" t="str">
        <f>"367500000X"</f>
        <v>367500000X</v>
      </c>
      <c r="D9566" t="str">
        <f>"SMITH                    ERIC         W           "</f>
        <v xml:space="preserve">SMITH                    ERIC         W           </v>
      </c>
      <c r="E9566" t="str">
        <f>"COLUMBUS                  "</f>
        <v xml:space="preserve">COLUMBUS                  </v>
      </c>
      <c r="F9566" t="str">
        <f t="shared" si="275"/>
        <v>MS</v>
      </c>
    </row>
    <row r="9567" spans="1:6" x14ac:dyDescent="0.25">
      <c r="A9567" t="str">
        <f>"003325799"</f>
        <v>003325799</v>
      </c>
      <c r="B9567" t="str">
        <f>"1376028316"</f>
        <v>1376028316</v>
      </c>
      <c r="C9567" t="str">
        <f>"363L00000X"</f>
        <v>363L00000X</v>
      </c>
      <c r="D9567" t="str">
        <f>"NORWOOD                  APRIL                    "</f>
        <v xml:space="preserve">NORWOOD                  APRIL                    </v>
      </c>
      <c r="E9567" t="str">
        <f>"DIBERVILLE                "</f>
        <v xml:space="preserve">DIBERVILLE                </v>
      </c>
      <c r="F9567" t="str">
        <f t="shared" si="275"/>
        <v>MS</v>
      </c>
    </row>
    <row r="9568" spans="1:6" x14ac:dyDescent="0.25">
      <c r="A9568" t="str">
        <f>"003327346"</f>
        <v>003327346</v>
      </c>
      <c r="B9568" t="str">
        <f>"1285095687"</f>
        <v>1285095687</v>
      </c>
      <c r="C9568" t="str">
        <f>"363L00000X"</f>
        <v>363L00000X</v>
      </c>
      <c r="D9568" t="str">
        <f>"MARTIN                   CHELSEA      C           "</f>
        <v xml:space="preserve">MARTIN                   CHELSEA      C           </v>
      </c>
      <c r="E9568" t="str">
        <f>"TUPELO                    "</f>
        <v xml:space="preserve">TUPELO                    </v>
      </c>
      <c r="F9568" t="str">
        <f t="shared" si="275"/>
        <v>MS</v>
      </c>
    </row>
    <row r="9569" spans="1:6" x14ac:dyDescent="0.25">
      <c r="A9569" t="str">
        <f>"003329291"</f>
        <v>003329291</v>
      </c>
      <c r="B9569" t="str">
        <f>"1366977068"</f>
        <v>1366977068</v>
      </c>
      <c r="C9569" t="str">
        <f>"363L00000X"</f>
        <v>363L00000X</v>
      </c>
      <c r="D9569" t="str">
        <f>"CONN                     TIMOTHY      J           "</f>
        <v xml:space="preserve">CONN                     TIMOTHY      J           </v>
      </c>
      <c r="E9569" t="str">
        <f>"HATTIESBURG               "</f>
        <v xml:space="preserve">HATTIESBURG               </v>
      </c>
      <c r="F9569" t="str">
        <f t="shared" si="275"/>
        <v>MS</v>
      </c>
    </row>
    <row r="9570" spans="1:6" x14ac:dyDescent="0.25">
      <c r="A9570" t="str">
        <f>"003330060"</f>
        <v>003330060</v>
      </c>
      <c r="B9570" t="str">
        <f>"1356444921"</f>
        <v>1356444921</v>
      </c>
      <c r="C9570" t="str">
        <f>"261QF0400X"</f>
        <v>261QF0400X</v>
      </c>
      <c r="D9570" t="str">
        <f>"MCLAIN SCHOOL CLINIC                              "</f>
        <v xml:space="preserve">MCLAIN SCHOOL CLINIC                              </v>
      </c>
      <c r="E9570" t="str">
        <f>"MC LAIN                   "</f>
        <v xml:space="preserve">MC LAIN                   </v>
      </c>
      <c r="F9570" t="str">
        <f t="shared" si="275"/>
        <v>MS</v>
      </c>
    </row>
    <row r="9571" spans="1:6" x14ac:dyDescent="0.25">
      <c r="A9571" t="str">
        <f>"003331213"</f>
        <v>003331213</v>
      </c>
      <c r="B9571" t="str">
        <f>"1255527743"</f>
        <v>1255527743</v>
      </c>
      <c r="C9571" t="str">
        <f>"207X00000X"</f>
        <v>207X00000X</v>
      </c>
      <c r="D9571" t="str">
        <f>"WRIGHT                   PATRICK      B           "</f>
        <v xml:space="preserve">WRIGHT                   PATRICK      B           </v>
      </c>
      <c r="E9571" t="str">
        <f>"JACKSON                   "</f>
        <v xml:space="preserve">JACKSON                   </v>
      </c>
      <c r="F9571" t="str">
        <f t="shared" si="275"/>
        <v>MS</v>
      </c>
    </row>
    <row r="9572" spans="1:6" x14ac:dyDescent="0.25">
      <c r="A9572" t="str">
        <f>"003331365"</f>
        <v>003331365</v>
      </c>
      <c r="B9572" t="str">
        <f>"1932340379"</f>
        <v>1932340379</v>
      </c>
      <c r="C9572" t="str">
        <f>"207R00000X"</f>
        <v>207R00000X</v>
      </c>
      <c r="D9572" t="str">
        <f>"ARAPOS                   LEONIDAS                 "</f>
        <v xml:space="preserve">ARAPOS                   LEONIDAS                 </v>
      </c>
      <c r="E9572" t="str">
        <f>"TUPELO                    "</f>
        <v xml:space="preserve">TUPELO                    </v>
      </c>
      <c r="F9572" t="str">
        <f t="shared" si="275"/>
        <v>MS</v>
      </c>
    </row>
    <row r="9573" spans="1:6" x14ac:dyDescent="0.25">
      <c r="A9573" t="str">
        <f>"003332091"</f>
        <v>003332091</v>
      </c>
      <c r="B9573" t="str">
        <f>"1811335771"</f>
        <v>1811335771</v>
      </c>
      <c r="C9573" t="str">
        <f>"2086S0122X"</f>
        <v>2086S0122X</v>
      </c>
      <c r="D9573" t="str">
        <f>"HUMPHRIES                LAURA        S           "</f>
        <v xml:space="preserve">HUMPHRIES                LAURA        S           </v>
      </c>
      <c r="E9573" t="str">
        <f>"JACKSON                   "</f>
        <v xml:space="preserve">JACKSON                   </v>
      </c>
      <c r="F9573" t="str">
        <f t="shared" si="275"/>
        <v>MS</v>
      </c>
    </row>
    <row r="9574" spans="1:6" x14ac:dyDescent="0.25">
      <c r="A9574" t="str">
        <f>"003332243"</f>
        <v>003332243</v>
      </c>
      <c r="B9574" t="str">
        <f>"1285952465"</f>
        <v>1285952465</v>
      </c>
      <c r="C9574" t="str">
        <f>"208000000X"</f>
        <v>208000000X</v>
      </c>
      <c r="D9574" t="str">
        <f>"LOWRY                    MARY         A           "</f>
        <v xml:space="preserve">LOWRY                    MARY         A           </v>
      </c>
      <c r="E9574" t="str">
        <f>"FLOWOOD                   "</f>
        <v xml:space="preserve">FLOWOOD                   </v>
      </c>
      <c r="F9574" t="str">
        <f t="shared" si="275"/>
        <v>MS</v>
      </c>
    </row>
    <row r="9575" spans="1:6" x14ac:dyDescent="0.25">
      <c r="A9575" t="str">
        <f>"003332816"</f>
        <v>003332816</v>
      </c>
      <c r="B9575" t="str">
        <f>"1609178532"</f>
        <v>1609178532</v>
      </c>
      <c r="C9575" t="str">
        <f>"363L00000X"</f>
        <v>363L00000X</v>
      </c>
      <c r="D9575" t="str">
        <f>"BARRY                    LESLIE       L           "</f>
        <v xml:space="preserve">BARRY                    LESLIE       L           </v>
      </c>
      <c r="E9575" t="str">
        <f>"JACKSON                   "</f>
        <v xml:space="preserve">JACKSON                   </v>
      </c>
      <c r="F9575" t="str">
        <f t="shared" si="275"/>
        <v>MS</v>
      </c>
    </row>
    <row r="9576" spans="1:6" x14ac:dyDescent="0.25">
      <c r="A9576" t="str">
        <f>"003333303"</f>
        <v>003333303</v>
      </c>
      <c r="B9576" t="str">
        <f>"1740811009"</f>
        <v>1740811009</v>
      </c>
      <c r="C9576" t="str">
        <f>"363L00000X"</f>
        <v>363L00000X</v>
      </c>
      <c r="D9576" t="str">
        <f>"BONNER                   KAITLYN      N           "</f>
        <v xml:space="preserve">BONNER                   KAITLYN      N           </v>
      </c>
      <c r="E9576" t="str">
        <f>"MERIDIAN                  "</f>
        <v xml:space="preserve">MERIDIAN                  </v>
      </c>
      <c r="F9576" t="str">
        <f t="shared" si="275"/>
        <v>MS</v>
      </c>
    </row>
    <row r="9577" spans="1:6" x14ac:dyDescent="0.25">
      <c r="A9577" t="str">
        <f>"003333713"</f>
        <v>003333713</v>
      </c>
      <c r="B9577" t="str">
        <f>"1154543627"</f>
        <v>1154543627</v>
      </c>
      <c r="C9577" t="str">
        <f>"207L00000X"</f>
        <v>207L00000X</v>
      </c>
      <c r="D9577" t="str">
        <f>"ROSS GUY                 SARAH        E           "</f>
        <v xml:space="preserve">ROSS GUY                 SARAH        E           </v>
      </c>
      <c r="E9577" t="str">
        <f>"JACKSON                   "</f>
        <v xml:space="preserve">JACKSON                   </v>
      </c>
      <c r="F9577" t="str">
        <f t="shared" si="275"/>
        <v>MS</v>
      </c>
    </row>
    <row r="9578" spans="1:6" x14ac:dyDescent="0.25">
      <c r="A9578" t="str">
        <f>"003334053"</f>
        <v>003334053</v>
      </c>
      <c r="B9578" t="str">
        <f>"1346812625"</f>
        <v>1346812625</v>
      </c>
      <c r="C9578" t="str">
        <f>"363L00000X"</f>
        <v>363L00000X</v>
      </c>
      <c r="D9578" t="str">
        <f>"BESS                     TANIKA       L           "</f>
        <v xml:space="preserve">BESS                     TANIKA       L           </v>
      </c>
      <c r="E9578" t="str">
        <f>"JACKSON                   "</f>
        <v xml:space="preserve">JACKSON                   </v>
      </c>
      <c r="F9578" t="str">
        <f t="shared" si="275"/>
        <v>MS</v>
      </c>
    </row>
    <row r="9579" spans="1:6" x14ac:dyDescent="0.25">
      <c r="A9579" t="str">
        <f>"003334325"</f>
        <v>003334325</v>
      </c>
      <c r="B9579" t="str">
        <f>"1750804704"</f>
        <v>1750804704</v>
      </c>
      <c r="C9579" t="str">
        <f>"152W00000X"</f>
        <v>152W00000X</v>
      </c>
      <c r="D9579" t="str">
        <f>"ZAMPELLA                 JUSTIN       C           "</f>
        <v xml:space="preserve">ZAMPELLA                 JUSTIN       C           </v>
      </c>
      <c r="E9579" t="str">
        <f>"TAYLOR                    "</f>
        <v xml:space="preserve">TAYLOR                    </v>
      </c>
      <c r="F9579" t="str">
        <f t="shared" si="275"/>
        <v>MS</v>
      </c>
    </row>
    <row r="9580" spans="1:6" x14ac:dyDescent="0.25">
      <c r="A9580" t="str">
        <f>"003334395"</f>
        <v>003334395</v>
      </c>
      <c r="B9580" t="str">
        <f>"1730268764"</f>
        <v>1730268764</v>
      </c>
      <c r="C9580" t="str">
        <f>"207Y00000X"</f>
        <v>207Y00000X</v>
      </c>
      <c r="D9580" t="str">
        <f>"CLAY                     BRYAN        M           "</f>
        <v xml:space="preserve">CLAY                     BRYAN        M           </v>
      </c>
      <c r="E9580" t="str">
        <f>"MADISON                   "</f>
        <v xml:space="preserve">MADISON                   </v>
      </c>
      <c r="F9580" t="str">
        <f t="shared" si="275"/>
        <v>MS</v>
      </c>
    </row>
    <row r="9581" spans="1:6" x14ac:dyDescent="0.25">
      <c r="A9581" t="str">
        <f>"003334874"</f>
        <v>003334874</v>
      </c>
      <c r="B9581" t="str">
        <f>"1528300324"</f>
        <v>1528300324</v>
      </c>
      <c r="C9581" t="str">
        <f>"367500000X"</f>
        <v>367500000X</v>
      </c>
      <c r="D9581" t="str">
        <f>"PARKS                    STEPHANIE                "</f>
        <v xml:space="preserve">PARKS                    STEPHANIE                </v>
      </c>
      <c r="E9581" t="str">
        <f>"GULFPORT                  "</f>
        <v xml:space="preserve">GULFPORT                  </v>
      </c>
      <c r="F9581" t="str">
        <f t="shared" si="275"/>
        <v>MS</v>
      </c>
    </row>
    <row r="9582" spans="1:6" x14ac:dyDescent="0.25">
      <c r="A9582" t="str">
        <f>"003335340"</f>
        <v>003335340</v>
      </c>
      <c r="B9582" t="str">
        <f>"1447645411"</f>
        <v>1447645411</v>
      </c>
      <c r="C9582" t="str">
        <f>"2084P0800X"</f>
        <v>2084P0800X</v>
      </c>
      <c r="D9582" t="str">
        <f>"ANDERSON                 GEORGE       M           "</f>
        <v xml:space="preserve">ANDERSON                 GEORGE       M           </v>
      </c>
      <c r="E9582" t="str">
        <f>"HATTIESBURG               "</f>
        <v xml:space="preserve">HATTIESBURG               </v>
      </c>
      <c r="F9582" t="str">
        <f t="shared" si="275"/>
        <v>MS</v>
      </c>
    </row>
    <row r="9583" spans="1:6" x14ac:dyDescent="0.25">
      <c r="A9583" t="str">
        <f>"003335347"</f>
        <v>003335347</v>
      </c>
      <c r="B9583" t="str">
        <f>"1922237452"</f>
        <v>1922237452</v>
      </c>
      <c r="C9583" t="str">
        <f>"363L00000X"</f>
        <v>363L00000X</v>
      </c>
      <c r="D9583" t="str">
        <f>"STANFORD                 ONELLIS                  "</f>
        <v xml:space="preserve">STANFORD                 ONELLIS                  </v>
      </c>
      <c r="E9583" t="str">
        <f>"GULFPORT                  "</f>
        <v xml:space="preserve">GULFPORT                  </v>
      </c>
      <c r="F9583" t="str">
        <f t="shared" si="275"/>
        <v>MS</v>
      </c>
    </row>
    <row r="9584" spans="1:6" x14ac:dyDescent="0.25">
      <c r="A9584" t="str">
        <f>"003335534"</f>
        <v>003335534</v>
      </c>
      <c r="B9584" t="str">
        <f>"1033598503"</f>
        <v>1033598503</v>
      </c>
      <c r="C9584" t="str">
        <f>"261QR1300X"</f>
        <v>261QR1300X</v>
      </c>
      <c r="D9584" t="str">
        <f>"WINSTON MEDICAL CLINIC MAIN STREET                "</f>
        <v xml:space="preserve">WINSTON MEDICAL CLINIC MAIN STREET                </v>
      </c>
      <c r="E9584" t="str">
        <f>"LOUISVILLE                "</f>
        <v xml:space="preserve">LOUISVILLE                </v>
      </c>
      <c r="F9584" t="str">
        <f t="shared" si="275"/>
        <v>MS</v>
      </c>
    </row>
    <row r="9585" spans="1:6" x14ac:dyDescent="0.25">
      <c r="A9585" t="str">
        <f>"003338302"</f>
        <v>003338302</v>
      </c>
      <c r="B9585" t="str">
        <f>"1063475440"</f>
        <v>1063475440</v>
      </c>
      <c r="C9585" t="str">
        <f>"363L00000X"</f>
        <v>363L00000X</v>
      </c>
      <c r="D9585" t="str">
        <f>"LAWRENCE                 KATHY        O           "</f>
        <v xml:space="preserve">LAWRENCE                 KATHY        O           </v>
      </c>
      <c r="E9585" t="str">
        <f>"KOSCIUSKO                 "</f>
        <v xml:space="preserve">KOSCIUSKO                 </v>
      </c>
      <c r="F9585" t="str">
        <f t="shared" si="275"/>
        <v>MS</v>
      </c>
    </row>
    <row r="9586" spans="1:6" x14ac:dyDescent="0.25">
      <c r="A9586" t="str">
        <f>"003350219"</f>
        <v>003350219</v>
      </c>
      <c r="B9586" t="str">
        <f>"1831104793"</f>
        <v>1831104793</v>
      </c>
      <c r="C9586" t="str">
        <f>"122300000X"</f>
        <v>122300000X</v>
      </c>
      <c r="D9586" t="str">
        <f>"NORTH MISSISSIPPI ORAL AND                        "</f>
        <v xml:space="preserve">NORTH MISSISSIPPI ORAL AND                        </v>
      </c>
      <c r="E9586" t="str">
        <f>"TUPELO                    "</f>
        <v xml:space="preserve">TUPELO                    </v>
      </c>
      <c r="F9586" t="str">
        <f t="shared" si="275"/>
        <v>MS</v>
      </c>
    </row>
    <row r="9587" spans="1:6" x14ac:dyDescent="0.25">
      <c r="A9587" t="str">
        <f>"003350588"</f>
        <v>003350588</v>
      </c>
      <c r="B9587" t="str">
        <f>"1437530797"</f>
        <v>1437530797</v>
      </c>
      <c r="C9587" t="str">
        <f>"122300000X"</f>
        <v>122300000X</v>
      </c>
      <c r="D9587" t="str">
        <f>"PERKINS DENTAL                                    "</f>
        <v xml:space="preserve">PERKINS DENTAL                                    </v>
      </c>
      <c r="E9587" t="str">
        <f>"NEW ALBANY                "</f>
        <v xml:space="preserve">NEW ALBANY                </v>
      </c>
      <c r="F9587" t="str">
        <f t="shared" si="275"/>
        <v>MS</v>
      </c>
    </row>
    <row r="9588" spans="1:6" x14ac:dyDescent="0.25">
      <c r="A9588" t="str">
        <f>"003350894"</f>
        <v>003350894</v>
      </c>
      <c r="B9588" t="str">
        <f>"1245694116"</f>
        <v>1245694116</v>
      </c>
      <c r="C9588" t="str">
        <f>"207RH0003X"</f>
        <v>207RH0003X</v>
      </c>
      <c r="D9588" t="str">
        <f>"BENEFIELD                ANDREW       J           "</f>
        <v xml:space="preserve">BENEFIELD                ANDREW       J           </v>
      </c>
      <c r="E9588" t="str">
        <f>"OXFORD                    "</f>
        <v xml:space="preserve">OXFORD                    </v>
      </c>
      <c r="F9588" t="str">
        <f t="shared" si="275"/>
        <v>MS</v>
      </c>
    </row>
    <row r="9589" spans="1:6" x14ac:dyDescent="0.25">
      <c r="A9589" t="str">
        <f>"003351207"</f>
        <v>003351207</v>
      </c>
      <c r="B9589" t="str">
        <f>"1902032964"</f>
        <v>1902032964</v>
      </c>
      <c r="C9589" t="str">
        <f>"363L00000X"</f>
        <v>363L00000X</v>
      </c>
      <c r="D9589" t="str">
        <f>"BELENCHIA                CYNTHIA      R           "</f>
        <v xml:space="preserve">BELENCHIA                CYNTHIA      R           </v>
      </c>
      <c r="E9589" t="str">
        <f>"RULEVILLE                 "</f>
        <v xml:space="preserve">RULEVILLE                 </v>
      </c>
      <c r="F9589" t="str">
        <f t="shared" si="275"/>
        <v>MS</v>
      </c>
    </row>
    <row r="9590" spans="1:6" x14ac:dyDescent="0.25">
      <c r="A9590" t="str">
        <f>"003351520"</f>
        <v>003351520</v>
      </c>
      <c r="B9590" t="str">
        <f>"1669949350"</f>
        <v>1669949350</v>
      </c>
      <c r="C9590" t="str">
        <f>"363L00000X"</f>
        <v>363L00000X</v>
      </c>
      <c r="D9590" t="str">
        <f>"MORANO                   KAYLA                    "</f>
        <v xml:space="preserve">MORANO                   KAYLA                    </v>
      </c>
      <c r="E9590" t="str">
        <f>"BILOXI                    "</f>
        <v xml:space="preserve">BILOXI                    </v>
      </c>
      <c r="F9590" t="str">
        <f t="shared" si="275"/>
        <v>MS</v>
      </c>
    </row>
    <row r="9591" spans="1:6" x14ac:dyDescent="0.25">
      <c r="A9591" t="str">
        <f>"003352764"</f>
        <v>003352764</v>
      </c>
      <c r="B9591" t="str">
        <f>"1972093714"</f>
        <v>1972093714</v>
      </c>
      <c r="C9591" t="str">
        <f>"207R00000X"</f>
        <v>207R00000X</v>
      </c>
      <c r="D9591" t="str">
        <f>"SHAFIQUE                 HASSAN                   "</f>
        <v xml:space="preserve">SHAFIQUE                 HASSAN                   </v>
      </c>
      <c r="E9591" t="str">
        <f>"GULFPORT                  "</f>
        <v xml:space="preserve">GULFPORT                  </v>
      </c>
      <c r="F9591" t="str">
        <f t="shared" si="275"/>
        <v>MS</v>
      </c>
    </row>
    <row r="9592" spans="1:6" x14ac:dyDescent="0.25">
      <c r="A9592" t="str">
        <f>"003353859"</f>
        <v>003353859</v>
      </c>
      <c r="B9592" t="str">
        <f>"1881063444"</f>
        <v>1881063444</v>
      </c>
      <c r="C9592" t="str">
        <f>"363L00000X"</f>
        <v>363L00000X</v>
      </c>
      <c r="D9592" t="str">
        <f>"THURMAN                  KAYLA        R           "</f>
        <v xml:space="preserve">THURMAN                  KAYLA        R           </v>
      </c>
      <c r="E9592" t="str">
        <f>"BROOKHAVEN                "</f>
        <v xml:space="preserve">BROOKHAVEN                </v>
      </c>
      <c r="F9592" t="str">
        <f t="shared" si="275"/>
        <v>MS</v>
      </c>
    </row>
    <row r="9593" spans="1:6" x14ac:dyDescent="0.25">
      <c r="A9593" t="str">
        <f>"003354322"</f>
        <v>003354322</v>
      </c>
      <c r="B9593" t="str">
        <f>"1679020630"</f>
        <v>1679020630</v>
      </c>
      <c r="C9593" t="str">
        <f>"363L00000X"</f>
        <v>363L00000X</v>
      </c>
      <c r="D9593" t="str">
        <f>"STANFORD                 REBECCA      A           "</f>
        <v xml:space="preserve">STANFORD                 REBECCA      A           </v>
      </c>
      <c r="E9593" t="str">
        <f>"WEST POINT                "</f>
        <v xml:space="preserve">WEST POINT                </v>
      </c>
      <c r="F9593" t="str">
        <f t="shared" si="275"/>
        <v>MS</v>
      </c>
    </row>
    <row r="9594" spans="1:6" x14ac:dyDescent="0.25">
      <c r="A9594" t="str">
        <f>"003354529"</f>
        <v>003354529</v>
      </c>
      <c r="B9594" t="str">
        <f>"1275294100"</f>
        <v>1275294100</v>
      </c>
      <c r="C9594" t="str">
        <f>"363L00000X"</f>
        <v>363L00000X</v>
      </c>
      <c r="D9594" t="str">
        <f>"MELTON                   CHELSEA                  "</f>
        <v xml:space="preserve">MELTON                   CHELSEA                  </v>
      </c>
      <c r="E9594" t="str">
        <f>"BATESVILLE                "</f>
        <v xml:space="preserve">BATESVILLE                </v>
      </c>
      <c r="F9594" t="str">
        <f t="shared" si="275"/>
        <v>MS</v>
      </c>
    </row>
    <row r="9595" spans="1:6" x14ac:dyDescent="0.25">
      <c r="A9595" t="str">
        <f>"003355367"</f>
        <v>003355367</v>
      </c>
      <c r="B9595" t="str">
        <f>"1649635921"</f>
        <v>1649635921</v>
      </c>
      <c r="C9595" t="str">
        <f>"363L00000X"</f>
        <v>363L00000X</v>
      </c>
      <c r="D9595" t="str">
        <f>"CRISTO                   LOUISE                   "</f>
        <v xml:space="preserve">CRISTO                   LOUISE                   </v>
      </c>
      <c r="E9595" t="str">
        <f>"TUPELO                    "</f>
        <v xml:space="preserve">TUPELO                    </v>
      </c>
      <c r="F9595" t="str">
        <f t="shared" si="275"/>
        <v>MS</v>
      </c>
    </row>
    <row r="9596" spans="1:6" x14ac:dyDescent="0.25">
      <c r="A9596" t="str">
        <f>"003355724"</f>
        <v>003355724</v>
      </c>
      <c r="B9596" t="str">
        <f>"1497371306"</f>
        <v>1497371306</v>
      </c>
      <c r="C9596" t="str">
        <f>"152W00000X"</f>
        <v>152W00000X</v>
      </c>
      <c r="D9596" t="str">
        <f>"PREMIER EYE CARE                                  "</f>
        <v xml:space="preserve">PREMIER EYE CARE                                  </v>
      </c>
      <c r="E9596" t="str">
        <f>"ABERDEEN                  "</f>
        <v xml:space="preserve">ABERDEEN                  </v>
      </c>
      <c r="F9596" t="str">
        <f t="shared" si="275"/>
        <v>MS</v>
      </c>
    </row>
    <row r="9597" spans="1:6" x14ac:dyDescent="0.25">
      <c r="A9597" t="str">
        <f>"003356336"</f>
        <v>003356336</v>
      </c>
      <c r="B9597" t="str">
        <f>"1366607749"</f>
        <v>1366607749</v>
      </c>
      <c r="C9597" t="str">
        <f>"207RG0100X"</f>
        <v>207RG0100X</v>
      </c>
      <c r="D9597" t="str">
        <f>"GOEBEL                   MICHAEL      A           "</f>
        <v xml:space="preserve">GOEBEL                   MICHAEL      A           </v>
      </c>
      <c r="E9597" t="str">
        <f>"HATTIESBURG               "</f>
        <v xml:space="preserve">HATTIESBURG               </v>
      </c>
      <c r="F9597" t="str">
        <f t="shared" si="275"/>
        <v>MS</v>
      </c>
    </row>
    <row r="9598" spans="1:6" x14ac:dyDescent="0.25">
      <c r="A9598" t="str">
        <f>"003357006"</f>
        <v>003357006</v>
      </c>
      <c r="B9598" t="str">
        <f>"1821376690"</f>
        <v>1821376690</v>
      </c>
      <c r="C9598" t="str">
        <f>"363LF0000X"</f>
        <v>363LF0000X</v>
      </c>
      <c r="D9598" t="str">
        <f>"CARAWAY                  LAUREN                   "</f>
        <v xml:space="preserve">CARAWAY                  LAUREN                   </v>
      </c>
      <c r="E9598" t="str">
        <f>"JACKSON                   "</f>
        <v xml:space="preserve">JACKSON                   </v>
      </c>
      <c r="F9598" t="str">
        <f t="shared" ref="F9598:F9661" si="276">"MS"</f>
        <v>MS</v>
      </c>
    </row>
    <row r="9599" spans="1:6" x14ac:dyDescent="0.25">
      <c r="A9599" t="str">
        <f>"003357351"</f>
        <v>003357351</v>
      </c>
      <c r="B9599" t="str">
        <f>"1811923766"</f>
        <v>1811923766</v>
      </c>
      <c r="C9599" t="str">
        <f>"363L00000X"</f>
        <v>363L00000X</v>
      </c>
      <c r="D9599" t="str">
        <f>"HILL                     TERESA                   "</f>
        <v xml:space="preserve">HILL                     TERESA                   </v>
      </c>
      <c r="E9599" t="str">
        <f>"JACKSON                   "</f>
        <v xml:space="preserve">JACKSON                   </v>
      </c>
      <c r="F9599" t="str">
        <f t="shared" si="276"/>
        <v>MS</v>
      </c>
    </row>
    <row r="9600" spans="1:6" x14ac:dyDescent="0.25">
      <c r="A9600" t="str">
        <f>"003357572"</f>
        <v>003357572</v>
      </c>
      <c r="B9600" t="str">
        <f>"1053649749"</f>
        <v>1053649749</v>
      </c>
      <c r="C9600" t="str">
        <f>"261QF0400X"</f>
        <v>261QF0400X</v>
      </c>
      <c r="D9600" t="str">
        <f>"DR ARENIA C MALLORY COMMUNITY HEALT               "</f>
        <v xml:space="preserve">DR ARENIA C MALLORY COMMUNITY HEALT               </v>
      </c>
      <c r="E9600" t="str">
        <f>"GREENWOOD                 "</f>
        <v xml:space="preserve">GREENWOOD                 </v>
      </c>
      <c r="F9600" t="str">
        <f t="shared" si="276"/>
        <v>MS</v>
      </c>
    </row>
    <row r="9601" spans="1:6" x14ac:dyDescent="0.25">
      <c r="A9601" t="str">
        <f>"003359298"</f>
        <v>003359298</v>
      </c>
      <c r="B9601" t="str">
        <f>"1225471246"</f>
        <v>1225471246</v>
      </c>
      <c r="C9601" t="str">
        <f>"207X00000X"</f>
        <v>207X00000X</v>
      </c>
      <c r="D9601" t="str">
        <f>"MOORE                    ALLEN        R           "</f>
        <v xml:space="preserve">MOORE                    ALLEN        R           </v>
      </c>
      <c r="E9601" t="str">
        <f>"OXFORD                    "</f>
        <v xml:space="preserve">OXFORD                    </v>
      </c>
      <c r="F9601" t="str">
        <f t="shared" si="276"/>
        <v>MS</v>
      </c>
    </row>
    <row r="9602" spans="1:6" x14ac:dyDescent="0.25">
      <c r="A9602" t="str">
        <f>"003359873"</f>
        <v>003359873</v>
      </c>
      <c r="B9602" t="str">
        <f>"1487273165"</f>
        <v>1487273165</v>
      </c>
      <c r="C9602" t="str">
        <f>"208000000X"</f>
        <v>208000000X</v>
      </c>
      <c r="D9602" t="str">
        <f>"SIMPSON                  JASON        D           "</f>
        <v xml:space="preserve">SIMPSON                  JASON        D           </v>
      </c>
      <c r="E9602" t="str">
        <f>"JACKSON                   "</f>
        <v xml:space="preserve">JACKSON                   </v>
      </c>
      <c r="F9602" t="str">
        <f t="shared" si="276"/>
        <v>MS</v>
      </c>
    </row>
    <row r="9603" spans="1:6" x14ac:dyDescent="0.25">
      <c r="A9603" t="str">
        <f>"003359883"</f>
        <v>003359883</v>
      </c>
      <c r="B9603" t="str">
        <f>"1326487414"</f>
        <v>1326487414</v>
      </c>
      <c r="C9603" t="str">
        <f>"363L00000X"</f>
        <v>363L00000X</v>
      </c>
      <c r="D9603" t="str">
        <f>"WILDS                    HOLLY                    "</f>
        <v xml:space="preserve">WILDS                    HOLLY                    </v>
      </c>
      <c r="E9603" t="str">
        <f>"JACKSON                   "</f>
        <v xml:space="preserve">JACKSON                   </v>
      </c>
      <c r="F9603" t="str">
        <f t="shared" si="276"/>
        <v>MS</v>
      </c>
    </row>
    <row r="9604" spans="1:6" x14ac:dyDescent="0.25">
      <c r="A9604" t="str">
        <f>"003372803"</f>
        <v>003372803</v>
      </c>
      <c r="B9604" t="str">
        <f>"1447295654"</f>
        <v>1447295654</v>
      </c>
      <c r="C9604" t="str">
        <f>"261QM1300X"</f>
        <v>261QM1300X</v>
      </c>
      <c r="D9604" t="str">
        <f>"GRACE CHRISTIAN COUNSELING CENTER                 "</f>
        <v xml:space="preserve">GRACE CHRISTIAN COUNSELING CENTER                 </v>
      </c>
      <c r="E9604" t="str">
        <f>"VICKSBURG                 "</f>
        <v xml:space="preserve">VICKSBURG                 </v>
      </c>
      <c r="F9604" t="str">
        <f t="shared" si="276"/>
        <v>MS</v>
      </c>
    </row>
    <row r="9605" spans="1:6" x14ac:dyDescent="0.25">
      <c r="A9605" t="str">
        <f>"003373059"</f>
        <v>003373059</v>
      </c>
      <c r="B9605" t="str">
        <f>"1033344734"</f>
        <v>1033344734</v>
      </c>
      <c r="C9605" t="str">
        <f>"207R00000X"</f>
        <v>207R00000X</v>
      </c>
      <c r="D9605" t="str">
        <f>"DRAMBAREAN               PAUL                     "</f>
        <v xml:space="preserve">DRAMBAREAN               PAUL                     </v>
      </c>
      <c r="E9605" t="str">
        <f>"HATTIESBURG               "</f>
        <v xml:space="preserve">HATTIESBURG               </v>
      </c>
      <c r="F9605" t="str">
        <f t="shared" si="276"/>
        <v>MS</v>
      </c>
    </row>
    <row r="9606" spans="1:6" x14ac:dyDescent="0.25">
      <c r="A9606" t="str">
        <f>"003373776"</f>
        <v>003373776</v>
      </c>
      <c r="B9606" t="str">
        <f>"1275898918"</f>
        <v>1275898918</v>
      </c>
      <c r="C9606" t="str">
        <f>"363L00000X"</f>
        <v>363L00000X</v>
      </c>
      <c r="D9606" t="str">
        <f>"EDWARDS                  ELIZABETH    F           "</f>
        <v xml:space="preserve">EDWARDS                  ELIZABETH    F           </v>
      </c>
      <c r="E9606" t="str">
        <f>"BATESVILLE                "</f>
        <v xml:space="preserve">BATESVILLE                </v>
      </c>
      <c r="F9606" t="str">
        <f t="shared" si="276"/>
        <v>MS</v>
      </c>
    </row>
    <row r="9607" spans="1:6" x14ac:dyDescent="0.25">
      <c r="A9607" t="str">
        <f>"003374712"</f>
        <v>003374712</v>
      </c>
      <c r="B9607" t="str">
        <f>"1669745303"</f>
        <v>1669745303</v>
      </c>
      <c r="C9607" t="str">
        <f>"363L00000X"</f>
        <v>363L00000X</v>
      </c>
      <c r="D9607" t="str">
        <f>"ARCEMENT                 CHRISTOPHER  B           "</f>
        <v xml:space="preserve">ARCEMENT                 CHRISTOPHER  B           </v>
      </c>
      <c r="E9607" t="str">
        <f>"LONG BEACH                "</f>
        <v xml:space="preserve">LONG BEACH                </v>
      </c>
      <c r="F9607" t="str">
        <f t="shared" si="276"/>
        <v>MS</v>
      </c>
    </row>
    <row r="9608" spans="1:6" x14ac:dyDescent="0.25">
      <c r="A9608" t="str">
        <f>"003375307"</f>
        <v>003375307</v>
      </c>
      <c r="B9608" t="str">
        <f>"1811472681"</f>
        <v>1811472681</v>
      </c>
      <c r="C9608" t="str">
        <f>"363L00000X"</f>
        <v>363L00000X</v>
      </c>
      <c r="D9608" t="str">
        <f>"GROVE                    KELLIE                   "</f>
        <v xml:space="preserve">GROVE                    KELLIE                   </v>
      </c>
      <c r="E9608" t="str">
        <f>"TUPELO                    "</f>
        <v xml:space="preserve">TUPELO                    </v>
      </c>
      <c r="F9608" t="str">
        <f t="shared" si="276"/>
        <v>MS</v>
      </c>
    </row>
    <row r="9609" spans="1:6" x14ac:dyDescent="0.25">
      <c r="A9609" t="str">
        <f>"003375802"</f>
        <v>003375802</v>
      </c>
      <c r="B9609" t="str">
        <f>"1871091967"</f>
        <v>1871091967</v>
      </c>
      <c r="C9609" t="str">
        <f>"367500000X"</f>
        <v>367500000X</v>
      </c>
      <c r="D9609" t="str">
        <f>"MARSHALL                 JESSIE                   "</f>
        <v xml:space="preserve">MARSHALL                 JESSIE                   </v>
      </c>
      <c r="E9609" t="str">
        <f>"HATTIESBURG               "</f>
        <v xml:space="preserve">HATTIESBURG               </v>
      </c>
      <c r="F9609" t="str">
        <f t="shared" si="276"/>
        <v>MS</v>
      </c>
    </row>
    <row r="9610" spans="1:6" x14ac:dyDescent="0.25">
      <c r="A9610" t="str">
        <f>"003376839"</f>
        <v>003376839</v>
      </c>
      <c r="B9610" t="str">
        <f>"1316180870"</f>
        <v>1316180870</v>
      </c>
      <c r="C9610" t="str">
        <f>"207RG0100X"</f>
        <v>207RG0100X</v>
      </c>
      <c r="D9610" t="str">
        <f>"HOSSEINI-CARROLL         PEGAH                    "</f>
        <v xml:space="preserve">HOSSEINI-CARROLL         PEGAH                    </v>
      </c>
      <c r="E9610" t="str">
        <f>"JACKSON                   "</f>
        <v xml:space="preserve">JACKSON                   </v>
      </c>
      <c r="F9610" t="str">
        <f t="shared" si="276"/>
        <v>MS</v>
      </c>
    </row>
    <row r="9611" spans="1:6" x14ac:dyDescent="0.25">
      <c r="A9611" t="str">
        <f>"003377578"</f>
        <v>003377578</v>
      </c>
      <c r="B9611" t="str">
        <f>"1689618670"</f>
        <v>1689618670</v>
      </c>
      <c r="C9611" t="str">
        <f>"207R00000X"</f>
        <v>207R00000X</v>
      </c>
      <c r="D9611" t="str">
        <f>"JONES                    SHUNTE'                  "</f>
        <v xml:space="preserve">JONES                    SHUNTE'                  </v>
      </c>
      <c r="E9611" t="str">
        <f>"MCCOMB                    "</f>
        <v xml:space="preserve">MCCOMB                    </v>
      </c>
      <c r="F9611" t="str">
        <f t="shared" si="276"/>
        <v>MS</v>
      </c>
    </row>
    <row r="9612" spans="1:6" x14ac:dyDescent="0.25">
      <c r="A9612" t="str">
        <f>"003377741"</f>
        <v>003377741</v>
      </c>
      <c r="B9612" t="str">
        <f>"1851902860"</f>
        <v>1851902860</v>
      </c>
      <c r="C9612" t="str">
        <f>"363L00000X"</f>
        <v>363L00000X</v>
      </c>
      <c r="D9612" t="str">
        <f>"LESTER                   JASMINE      D           "</f>
        <v xml:space="preserve">LESTER                   JASMINE      D           </v>
      </c>
      <c r="E9612" t="str">
        <f>"SOUTHAVEN                 "</f>
        <v xml:space="preserve">SOUTHAVEN                 </v>
      </c>
      <c r="F9612" t="str">
        <f t="shared" si="276"/>
        <v>MS</v>
      </c>
    </row>
    <row r="9613" spans="1:6" x14ac:dyDescent="0.25">
      <c r="A9613" t="str">
        <f>"003380062"</f>
        <v>003380062</v>
      </c>
      <c r="B9613" t="str">
        <f>"1174607477"</f>
        <v>1174607477</v>
      </c>
      <c r="C9613" t="str">
        <f>"152W00000X"</f>
        <v>152W00000X</v>
      </c>
      <c r="D9613" t="str">
        <f>"CANTON VISION CLINIC PA                           "</f>
        <v xml:space="preserve">CANTON VISION CLINIC PA                           </v>
      </c>
      <c r="E9613" t="str">
        <f>"CANTON                    "</f>
        <v xml:space="preserve">CANTON                    </v>
      </c>
      <c r="F9613" t="str">
        <f t="shared" si="276"/>
        <v>MS</v>
      </c>
    </row>
    <row r="9614" spans="1:6" x14ac:dyDescent="0.25">
      <c r="A9614" t="str">
        <f>"003381216"</f>
        <v>003381216</v>
      </c>
      <c r="B9614" t="str">
        <f>"1457794695"</f>
        <v>1457794695</v>
      </c>
      <c r="C9614" t="str">
        <f>"152W00000X"</f>
        <v>152W00000X</v>
      </c>
      <c r="D9614" t="str">
        <f>"PRESLEY EYE CARE PLLC                             "</f>
        <v xml:space="preserve">PRESLEY EYE CARE PLLC                             </v>
      </c>
      <c r="E9614" t="str">
        <f>"BELDEN                    "</f>
        <v xml:space="preserve">BELDEN                    </v>
      </c>
      <c r="F9614" t="str">
        <f t="shared" si="276"/>
        <v>MS</v>
      </c>
    </row>
    <row r="9615" spans="1:6" x14ac:dyDescent="0.25">
      <c r="A9615" t="str">
        <f>"003381288"</f>
        <v>003381288</v>
      </c>
      <c r="B9615" t="str">
        <f>"1073831327"</f>
        <v>1073831327</v>
      </c>
      <c r="C9615" t="str">
        <f>"363L00000X"</f>
        <v>363L00000X</v>
      </c>
      <c r="D9615" t="str">
        <f>"COOPER                   JANICE                   "</f>
        <v xml:space="preserve">COOPER                   JANICE                   </v>
      </c>
      <c r="E9615" t="str">
        <f>"MACON                     "</f>
        <v xml:space="preserve">MACON                     </v>
      </c>
      <c r="F9615" t="str">
        <f t="shared" si="276"/>
        <v>MS</v>
      </c>
    </row>
    <row r="9616" spans="1:6" x14ac:dyDescent="0.25">
      <c r="A9616" t="str">
        <f>"003383302"</f>
        <v>003383302</v>
      </c>
      <c r="B9616" t="str">
        <f>"1154509628"</f>
        <v>1154509628</v>
      </c>
      <c r="C9616" t="str">
        <f>"363L00000X"</f>
        <v>363L00000X</v>
      </c>
      <c r="D9616" t="str">
        <f>"EMBRY                    JAMES        W           "</f>
        <v xml:space="preserve">EMBRY                    JAMES        W           </v>
      </c>
      <c r="E9616" t="str">
        <f>"DIAMONDHEAD               "</f>
        <v xml:space="preserve">DIAMONDHEAD               </v>
      </c>
      <c r="F9616" t="str">
        <f t="shared" si="276"/>
        <v>MS</v>
      </c>
    </row>
    <row r="9617" spans="1:6" x14ac:dyDescent="0.25">
      <c r="A9617" t="str">
        <f>"003384018"</f>
        <v>003384018</v>
      </c>
      <c r="B9617" t="str">
        <f>"1760013742"</f>
        <v>1760013742</v>
      </c>
      <c r="C9617" t="str">
        <f>"363L00000X"</f>
        <v>363L00000X</v>
      </c>
      <c r="D9617" t="str">
        <f>"JONES                    KYNNI        A           "</f>
        <v xml:space="preserve">JONES                    KYNNI        A           </v>
      </c>
      <c r="E9617" t="str">
        <f>"CLINTON                   "</f>
        <v xml:space="preserve">CLINTON                   </v>
      </c>
      <c r="F9617" t="str">
        <f t="shared" si="276"/>
        <v>MS</v>
      </c>
    </row>
    <row r="9618" spans="1:6" x14ac:dyDescent="0.25">
      <c r="A9618" t="str">
        <f>"003384868"</f>
        <v>003384868</v>
      </c>
      <c r="B9618" t="str">
        <f>"1194808279"</f>
        <v>1194808279</v>
      </c>
      <c r="C9618" t="str">
        <f>"367500000X"</f>
        <v>367500000X</v>
      </c>
      <c r="D9618" t="str">
        <f>"BRAND                    JAMES        C           "</f>
        <v xml:space="preserve">BRAND                    JAMES        C           </v>
      </c>
      <c r="E9618" t="str">
        <f>"TUPELO                    "</f>
        <v xml:space="preserve">TUPELO                    </v>
      </c>
      <c r="F9618" t="str">
        <f t="shared" si="276"/>
        <v>MS</v>
      </c>
    </row>
    <row r="9619" spans="1:6" x14ac:dyDescent="0.25">
      <c r="A9619" t="str">
        <f>"003385051"</f>
        <v>003385051</v>
      </c>
      <c r="B9619" t="str">
        <f>"1205314770"</f>
        <v>1205314770</v>
      </c>
      <c r="C9619" t="str">
        <f>"363L00000X"</f>
        <v>363L00000X</v>
      </c>
      <c r="D9619" t="str">
        <f>"WIYGUL                   LORI         L           "</f>
        <v xml:space="preserve">WIYGUL                   LORI         L           </v>
      </c>
      <c r="E9619" t="str">
        <f>"TUPELO                    "</f>
        <v xml:space="preserve">TUPELO                    </v>
      </c>
      <c r="F9619" t="str">
        <f t="shared" si="276"/>
        <v>MS</v>
      </c>
    </row>
    <row r="9620" spans="1:6" x14ac:dyDescent="0.25">
      <c r="A9620" t="str">
        <f>"003385249"</f>
        <v>003385249</v>
      </c>
      <c r="B9620" t="str">
        <f>"1386689974"</f>
        <v>1386689974</v>
      </c>
      <c r="C9620" t="str">
        <f>"122300000X"</f>
        <v>122300000X</v>
      </c>
      <c r="D9620" t="str">
        <f>"QUINTON                  WILLIAM      N           "</f>
        <v xml:space="preserve">QUINTON                  WILLIAM      N           </v>
      </c>
      <c r="E9620" t="str">
        <f>"GREENVILLE                "</f>
        <v xml:space="preserve">GREENVILLE                </v>
      </c>
      <c r="F9620" t="str">
        <f t="shared" si="276"/>
        <v>MS</v>
      </c>
    </row>
    <row r="9621" spans="1:6" x14ac:dyDescent="0.25">
      <c r="A9621" t="str">
        <f>"003386537"</f>
        <v>003386537</v>
      </c>
      <c r="B9621" t="str">
        <f>"1285164707"</f>
        <v>1285164707</v>
      </c>
      <c r="C9621" t="str">
        <f>"363L00000X"</f>
        <v>363L00000X</v>
      </c>
      <c r="D9621" t="str">
        <f>"SHEPPARD                 CHRISTY      S           "</f>
        <v xml:space="preserve">SHEPPARD                 CHRISTY      S           </v>
      </c>
      <c r="E9621" t="str">
        <f>"JACKSON                   "</f>
        <v xml:space="preserve">JACKSON                   </v>
      </c>
      <c r="F9621" t="str">
        <f t="shared" si="276"/>
        <v>MS</v>
      </c>
    </row>
    <row r="9622" spans="1:6" x14ac:dyDescent="0.25">
      <c r="A9622" t="str">
        <f>"003387225"</f>
        <v>003387225</v>
      </c>
      <c r="B9622" t="str">
        <f>"1265964381"</f>
        <v>1265964381</v>
      </c>
      <c r="C9622" t="str">
        <f>"207P00000X"</f>
        <v>207P00000X</v>
      </c>
      <c r="D9622" t="str">
        <f>"DENTON                   JULIE        W           "</f>
        <v xml:space="preserve">DENTON                   JULIE        W           </v>
      </c>
      <c r="E9622" t="str">
        <f>"JACKSON                   "</f>
        <v xml:space="preserve">JACKSON                   </v>
      </c>
      <c r="F9622" t="str">
        <f t="shared" si="276"/>
        <v>MS</v>
      </c>
    </row>
    <row r="9623" spans="1:6" x14ac:dyDescent="0.25">
      <c r="A9623" t="str">
        <f>"003387877"</f>
        <v>003387877</v>
      </c>
      <c r="B9623" t="str">
        <f>"1619916434"</f>
        <v>1619916434</v>
      </c>
      <c r="C9623" t="str">
        <f>"367500000X"</f>
        <v>367500000X</v>
      </c>
      <c r="D9623" t="str">
        <f>"WHITE                    SAMUEL       W           "</f>
        <v xml:space="preserve">WHITE                    SAMUEL       W           </v>
      </c>
      <c r="E9623" t="str">
        <f>"FLOWOOD                   "</f>
        <v xml:space="preserve">FLOWOOD                   </v>
      </c>
      <c r="F9623" t="str">
        <f t="shared" si="276"/>
        <v>MS</v>
      </c>
    </row>
    <row r="9624" spans="1:6" x14ac:dyDescent="0.25">
      <c r="A9624" t="str">
        <f>"003388061"</f>
        <v>003388061</v>
      </c>
      <c r="B9624" t="str">
        <f>"1679932388"</f>
        <v>1679932388</v>
      </c>
      <c r="C9624" t="str">
        <f>"363L00000X"</f>
        <v>363L00000X</v>
      </c>
      <c r="D9624" t="str">
        <f>"JEFFCOAT                 LESLIE       M           "</f>
        <v xml:space="preserve">JEFFCOAT                 LESLIE       M           </v>
      </c>
      <c r="E9624" t="str">
        <f>"LAUREL                    "</f>
        <v xml:space="preserve">LAUREL                    </v>
      </c>
      <c r="F9624" t="str">
        <f t="shared" si="276"/>
        <v>MS</v>
      </c>
    </row>
    <row r="9625" spans="1:6" x14ac:dyDescent="0.25">
      <c r="A9625" t="str">
        <f>"003388814"</f>
        <v>003388814</v>
      </c>
      <c r="B9625" t="str">
        <f>"1851787063"</f>
        <v>1851787063</v>
      </c>
      <c r="C9625" t="str">
        <f>"207ZP0102X"</f>
        <v>207ZP0102X</v>
      </c>
      <c r="D9625" t="str">
        <f>"AUTEN                    MATTHEW      W           "</f>
        <v xml:space="preserve">AUTEN                    MATTHEW      W           </v>
      </c>
      <c r="E9625" t="str">
        <f>"OCEAN SPRINGS             "</f>
        <v xml:space="preserve">OCEAN SPRINGS             </v>
      </c>
      <c r="F9625" t="str">
        <f t="shared" si="276"/>
        <v>MS</v>
      </c>
    </row>
    <row r="9626" spans="1:6" x14ac:dyDescent="0.25">
      <c r="A9626" t="str">
        <f>"003389851"</f>
        <v>003389851</v>
      </c>
      <c r="B9626" t="str">
        <f>"1811190796"</f>
        <v>1811190796</v>
      </c>
      <c r="C9626" t="str">
        <f>"207P00000X"</f>
        <v>207P00000X</v>
      </c>
      <c r="D9626" t="str">
        <f>"HAHN                     EMILY        A           "</f>
        <v xml:space="preserve">HAHN                     EMILY        A           </v>
      </c>
      <c r="E9626" t="str">
        <f>"SOUTHAVEN                 "</f>
        <v xml:space="preserve">SOUTHAVEN                 </v>
      </c>
      <c r="F9626" t="str">
        <f t="shared" si="276"/>
        <v>MS</v>
      </c>
    </row>
    <row r="9627" spans="1:6" x14ac:dyDescent="0.25">
      <c r="A9627" t="str">
        <f>"003400807"</f>
        <v>003400807</v>
      </c>
      <c r="B9627" t="str">
        <f>"1972867158"</f>
        <v>1972867158</v>
      </c>
      <c r="C9627" t="str">
        <f>"363L00000X"</f>
        <v>363L00000X</v>
      </c>
      <c r="D9627" t="str">
        <f>"SIMMONS                  SHANEKA      L           "</f>
        <v xml:space="preserve">SIMMONS                  SHANEKA      L           </v>
      </c>
      <c r="E9627" t="str">
        <f>"JACKSON                   "</f>
        <v xml:space="preserve">JACKSON                   </v>
      </c>
      <c r="F9627" t="str">
        <f t="shared" si="276"/>
        <v>MS</v>
      </c>
    </row>
    <row r="9628" spans="1:6" x14ac:dyDescent="0.25">
      <c r="A9628" t="str">
        <f>"003400853"</f>
        <v>003400853</v>
      </c>
      <c r="B9628" t="str">
        <f>"1518299213"</f>
        <v>1518299213</v>
      </c>
      <c r="C9628" t="str">
        <f>"363L00000X"</f>
        <v>363L00000X</v>
      </c>
      <c r="D9628" t="str">
        <f>"GERALD                   KARLA        A           "</f>
        <v xml:space="preserve">GERALD                   KARLA        A           </v>
      </c>
      <c r="E9628" t="str">
        <f>"BROOKHAVEN                "</f>
        <v xml:space="preserve">BROOKHAVEN                </v>
      </c>
      <c r="F9628" t="str">
        <f t="shared" si="276"/>
        <v>MS</v>
      </c>
    </row>
    <row r="9629" spans="1:6" x14ac:dyDescent="0.25">
      <c r="A9629" t="str">
        <f>"003402009"</f>
        <v>003402009</v>
      </c>
      <c r="B9629" t="str">
        <f>"1235709494"</f>
        <v>1235709494</v>
      </c>
      <c r="C9629" t="str">
        <f>"363L00000X"</f>
        <v>363L00000X</v>
      </c>
      <c r="D9629" t="str">
        <f>"MAYFIELD                 KEILA                    "</f>
        <v xml:space="preserve">MAYFIELD                 KEILA                    </v>
      </c>
      <c r="E9629" t="str">
        <f>"CLEVELAND                 "</f>
        <v xml:space="preserve">CLEVELAND                 </v>
      </c>
      <c r="F9629" t="str">
        <f t="shared" si="276"/>
        <v>MS</v>
      </c>
    </row>
    <row r="9630" spans="1:6" x14ac:dyDescent="0.25">
      <c r="A9630" t="str">
        <f>"003402331"</f>
        <v>003402331</v>
      </c>
      <c r="B9630" t="str">
        <f>"1255743464"</f>
        <v>1255743464</v>
      </c>
      <c r="C9630" t="str">
        <f>"207R00000X"</f>
        <v>207R00000X</v>
      </c>
      <c r="D9630" t="str">
        <f>"SPEIGHTS                 JOHN         R           "</f>
        <v xml:space="preserve">SPEIGHTS                 JOHN         R           </v>
      </c>
      <c r="E9630" t="str">
        <f>"TUPELO                    "</f>
        <v xml:space="preserve">TUPELO                    </v>
      </c>
      <c r="F9630" t="str">
        <f t="shared" si="276"/>
        <v>MS</v>
      </c>
    </row>
    <row r="9631" spans="1:6" x14ac:dyDescent="0.25">
      <c r="A9631" t="str">
        <f>"003402541"</f>
        <v>003402541</v>
      </c>
      <c r="B9631" t="str">
        <f>"1548286149"</f>
        <v>1548286149</v>
      </c>
      <c r="C9631" t="str">
        <f>"363L00000X"</f>
        <v>363L00000X</v>
      </c>
      <c r="D9631" t="str">
        <f>"BAREFOOT                 WILLIAM      C           "</f>
        <v xml:space="preserve">BAREFOOT                 WILLIAM      C           </v>
      </c>
      <c r="E9631" t="str">
        <f>"JACKSON                   "</f>
        <v xml:space="preserve">JACKSON                   </v>
      </c>
      <c r="F9631" t="str">
        <f t="shared" si="276"/>
        <v>MS</v>
      </c>
    </row>
    <row r="9632" spans="1:6" x14ac:dyDescent="0.25">
      <c r="A9632" t="str">
        <f>"003403546"</f>
        <v>003403546</v>
      </c>
      <c r="B9632" t="str">
        <f>"1073026779"</f>
        <v>1073026779</v>
      </c>
      <c r="C9632" t="str">
        <f>"261QA0600X"</f>
        <v>261QA0600X</v>
      </c>
      <c r="D9632" t="str">
        <f>"GOLDEN HERITAGE ADULT DAY SERVICE                 "</f>
        <v xml:space="preserve">GOLDEN HERITAGE ADULT DAY SERVICE                 </v>
      </c>
      <c r="E9632" t="str">
        <f>"RULEVILLE                 "</f>
        <v xml:space="preserve">RULEVILLE                 </v>
      </c>
      <c r="F9632" t="str">
        <f t="shared" si="276"/>
        <v>MS</v>
      </c>
    </row>
    <row r="9633" spans="1:6" x14ac:dyDescent="0.25">
      <c r="A9633" t="str">
        <f>"003403770"</f>
        <v>003403770</v>
      </c>
      <c r="B9633" t="str">
        <f>"1306211164"</f>
        <v>1306211164</v>
      </c>
      <c r="C9633" t="str">
        <f>"363L00000X"</f>
        <v>363L00000X</v>
      </c>
      <c r="D9633" t="str">
        <f>"HICKS-ROBERTSON          JESSICA      N           "</f>
        <v xml:space="preserve">HICKS-ROBERTSON          JESSICA      N           </v>
      </c>
      <c r="E9633" t="str">
        <f>"MOOREVILLE                "</f>
        <v xml:space="preserve">MOOREVILLE                </v>
      </c>
      <c r="F9633" t="str">
        <f t="shared" si="276"/>
        <v>MS</v>
      </c>
    </row>
    <row r="9634" spans="1:6" x14ac:dyDescent="0.25">
      <c r="A9634" t="str">
        <f>"003404537"</f>
        <v>003404537</v>
      </c>
      <c r="B9634" t="str">
        <f>"1669468336"</f>
        <v>1669468336</v>
      </c>
      <c r="C9634" t="str">
        <f>"207R00000X"</f>
        <v>207R00000X</v>
      </c>
      <c r="D9634" t="str">
        <f>"TAHBOUD                  IMAD                     "</f>
        <v xml:space="preserve">TAHBOUD                  IMAD                     </v>
      </c>
      <c r="E9634" t="str">
        <f>"TUPELO                    "</f>
        <v xml:space="preserve">TUPELO                    </v>
      </c>
      <c r="F9634" t="str">
        <f t="shared" si="276"/>
        <v>MS</v>
      </c>
    </row>
    <row r="9635" spans="1:6" x14ac:dyDescent="0.25">
      <c r="A9635" t="str">
        <f>"003405354"</f>
        <v>003405354</v>
      </c>
      <c r="B9635" t="str">
        <f>"1457738528"</f>
        <v>1457738528</v>
      </c>
      <c r="C9635" t="str">
        <f>"207X00000X"</f>
        <v>207X00000X</v>
      </c>
      <c r="D9635" t="str">
        <f>"COPP                     JONATHAN     A           "</f>
        <v xml:space="preserve">COPP                     JONATHAN     A           </v>
      </c>
      <c r="E9635" t="str">
        <f>"HATTIESBURG               "</f>
        <v xml:space="preserve">HATTIESBURG               </v>
      </c>
      <c r="F9635" t="str">
        <f t="shared" si="276"/>
        <v>MS</v>
      </c>
    </row>
    <row r="9636" spans="1:6" x14ac:dyDescent="0.25">
      <c r="A9636" t="str">
        <f>"003405819"</f>
        <v>003405819</v>
      </c>
      <c r="B9636" t="str">
        <f>"1083147045"</f>
        <v>1083147045</v>
      </c>
      <c r="C9636" t="str">
        <f>"207Q00000X"</f>
        <v>207Q00000X</v>
      </c>
      <c r="D9636" t="str">
        <f>"BANKS                    BROCK        N           "</f>
        <v xml:space="preserve">BANKS                    BROCK        N           </v>
      </c>
      <c r="E9636" t="str">
        <f>"MOSS POINT                "</f>
        <v xml:space="preserve">MOSS POINT                </v>
      </c>
      <c r="F9636" t="str">
        <f t="shared" si="276"/>
        <v>MS</v>
      </c>
    </row>
    <row r="9637" spans="1:6" x14ac:dyDescent="0.25">
      <c r="A9637" t="str">
        <f>"003406575"</f>
        <v>003406575</v>
      </c>
      <c r="B9637" t="str">
        <f>"1114291184"</f>
        <v>1114291184</v>
      </c>
      <c r="C9637" t="str">
        <f>"363L00000X"</f>
        <v>363L00000X</v>
      </c>
      <c r="D9637" t="str">
        <f>"NGUYEN                   HANG         M           "</f>
        <v xml:space="preserve">NGUYEN                   HANG         M           </v>
      </c>
      <c r="E9637" t="str">
        <f>"DIBERVILLE                "</f>
        <v xml:space="preserve">DIBERVILLE                </v>
      </c>
      <c r="F9637" t="str">
        <f t="shared" si="276"/>
        <v>MS</v>
      </c>
    </row>
    <row r="9638" spans="1:6" x14ac:dyDescent="0.25">
      <c r="A9638" t="str">
        <f>"003407352"</f>
        <v>003407352</v>
      </c>
      <c r="B9638" t="str">
        <f>"1962631788"</f>
        <v>1962631788</v>
      </c>
      <c r="C9638" t="str">
        <f>"207W00000X"</f>
        <v>207W00000X</v>
      </c>
      <c r="D9638" t="str">
        <f>"WATKINS, JR              WILLIAM      M           "</f>
        <v xml:space="preserve">WATKINS, JR              WILLIAM      M           </v>
      </c>
      <c r="E9638" t="str">
        <f>"JACKSON                   "</f>
        <v xml:space="preserve">JACKSON                   </v>
      </c>
      <c r="F9638" t="str">
        <f t="shared" si="276"/>
        <v>MS</v>
      </c>
    </row>
    <row r="9639" spans="1:6" x14ac:dyDescent="0.25">
      <c r="A9639" t="str">
        <f>"003407781"</f>
        <v>003407781</v>
      </c>
      <c r="B9639" t="str">
        <f>"1235250259"</f>
        <v>1235250259</v>
      </c>
      <c r="C9639" t="str">
        <f>"363L00000X"</f>
        <v>363L00000X</v>
      </c>
      <c r="D9639" t="str">
        <f>"MURPHY                   REBECCA                  "</f>
        <v xml:space="preserve">MURPHY                   REBECCA                  </v>
      </c>
      <c r="E9639" t="str">
        <f>"OXFORD                    "</f>
        <v xml:space="preserve">OXFORD                    </v>
      </c>
      <c r="F9639" t="str">
        <f t="shared" si="276"/>
        <v>MS</v>
      </c>
    </row>
    <row r="9640" spans="1:6" x14ac:dyDescent="0.25">
      <c r="A9640" t="str">
        <f>"003407867"</f>
        <v>003407867</v>
      </c>
      <c r="B9640" t="str">
        <f>"1447622196"</f>
        <v>1447622196</v>
      </c>
      <c r="C9640" t="str">
        <f>"363L00000X"</f>
        <v>363L00000X</v>
      </c>
      <c r="D9640" t="str">
        <f>"HOOD                     KAYLA        E           "</f>
        <v xml:space="preserve">HOOD                     KAYLA        E           </v>
      </c>
      <c r="E9640" t="str">
        <f>"TUPELO                    "</f>
        <v xml:space="preserve">TUPELO                    </v>
      </c>
      <c r="F9640" t="str">
        <f t="shared" si="276"/>
        <v>MS</v>
      </c>
    </row>
    <row r="9641" spans="1:6" x14ac:dyDescent="0.25">
      <c r="A9641" t="str">
        <f>"003408328"</f>
        <v>003408328</v>
      </c>
      <c r="B9641" t="str">
        <f>"1992324834"</f>
        <v>1992324834</v>
      </c>
      <c r="C9641" t="str">
        <f>"363L00000X"</f>
        <v>363L00000X</v>
      </c>
      <c r="D9641" t="str">
        <f>"SMITH                    AMANDA       R           "</f>
        <v xml:space="preserve">SMITH                    AMANDA       R           </v>
      </c>
      <c r="E9641" t="str">
        <f>"MONTICELLO                "</f>
        <v xml:space="preserve">MONTICELLO                </v>
      </c>
      <c r="F9641" t="str">
        <f t="shared" si="276"/>
        <v>MS</v>
      </c>
    </row>
    <row r="9642" spans="1:6" x14ac:dyDescent="0.25">
      <c r="A9642" t="str">
        <f>"003408864"</f>
        <v>003408864</v>
      </c>
      <c r="B9642" t="str">
        <f>"1508533654"</f>
        <v>1508533654</v>
      </c>
      <c r="C9642" t="str">
        <f>"122300000X"</f>
        <v>122300000X</v>
      </c>
      <c r="D9642" t="str">
        <f>"BRAHMBHATT               ANJALI       A           "</f>
        <v xml:space="preserve">BRAHMBHATT               ANJALI       A           </v>
      </c>
      <c r="E9642" t="str">
        <f>"HORN LAKE                 "</f>
        <v xml:space="preserve">HORN LAKE                 </v>
      </c>
      <c r="F9642" t="str">
        <f t="shared" si="276"/>
        <v>MS</v>
      </c>
    </row>
    <row r="9643" spans="1:6" x14ac:dyDescent="0.25">
      <c r="A9643" t="str">
        <f>"003422003"</f>
        <v>003422003</v>
      </c>
      <c r="B9643" t="str">
        <f>"1821584673"</f>
        <v>1821584673</v>
      </c>
      <c r="C9643" t="str">
        <f>"363L00000X"</f>
        <v>363L00000X</v>
      </c>
      <c r="D9643" t="str">
        <f>"BLACK                    AMBER                    "</f>
        <v xml:space="preserve">BLACK                    AMBER                    </v>
      </c>
      <c r="E9643" t="str">
        <f>"COLUMBUS                  "</f>
        <v xml:space="preserve">COLUMBUS                  </v>
      </c>
      <c r="F9643" t="str">
        <f t="shared" si="276"/>
        <v>MS</v>
      </c>
    </row>
    <row r="9644" spans="1:6" x14ac:dyDescent="0.25">
      <c r="A9644" t="str">
        <f>"003422278"</f>
        <v>003422278</v>
      </c>
      <c r="B9644" t="str">
        <f>"1649652595"</f>
        <v>1649652595</v>
      </c>
      <c r="C9644" t="str">
        <f>"207RP1001X"</f>
        <v>207RP1001X</v>
      </c>
      <c r="D9644" t="str">
        <f>"UL HAQ                   AEJAZ                    "</f>
        <v xml:space="preserve">UL HAQ                   AEJAZ                    </v>
      </c>
      <c r="E9644" t="str">
        <f>"OCEAN SPRINGS             "</f>
        <v xml:space="preserve">OCEAN SPRINGS             </v>
      </c>
      <c r="F9644" t="str">
        <f t="shared" si="276"/>
        <v>MS</v>
      </c>
    </row>
    <row r="9645" spans="1:6" x14ac:dyDescent="0.25">
      <c r="A9645" t="str">
        <f>"003425740"</f>
        <v>003425740</v>
      </c>
      <c r="B9645" t="str">
        <f>"1144331422"</f>
        <v>1144331422</v>
      </c>
      <c r="C9645" t="str">
        <f>"208000000X"</f>
        <v>208000000X</v>
      </c>
      <c r="D9645" t="str">
        <f>"RUSSELL                  ROBERT       J           "</f>
        <v xml:space="preserve">RUSSELL                  ROBERT       J           </v>
      </c>
      <c r="E9645" t="str">
        <f>"CLINTON                   "</f>
        <v xml:space="preserve">CLINTON                   </v>
      </c>
      <c r="F9645" t="str">
        <f t="shared" si="276"/>
        <v>MS</v>
      </c>
    </row>
    <row r="9646" spans="1:6" x14ac:dyDescent="0.25">
      <c r="A9646" t="str">
        <f>"003426508"</f>
        <v>003426508</v>
      </c>
      <c r="B9646" t="str">
        <f>"1205443348"</f>
        <v>1205443348</v>
      </c>
      <c r="C9646" t="str">
        <f>"367500000X"</f>
        <v>367500000X</v>
      </c>
      <c r="D9646" t="str">
        <f>"ADAMS                    ROBERT                   "</f>
        <v xml:space="preserve">ADAMS                    ROBERT                   </v>
      </c>
      <c r="E9646" t="str">
        <f>"TUPELO                    "</f>
        <v xml:space="preserve">TUPELO                    </v>
      </c>
      <c r="F9646" t="str">
        <f t="shared" si="276"/>
        <v>MS</v>
      </c>
    </row>
    <row r="9647" spans="1:6" x14ac:dyDescent="0.25">
      <c r="A9647" t="str">
        <f>"003426567"</f>
        <v>003426567</v>
      </c>
      <c r="B9647" t="str">
        <f>"1265960553"</f>
        <v>1265960553</v>
      </c>
      <c r="C9647" t="str">
        <f>"363L00000X"</f>
        <v>363L00000X</v>
      </c>
      <c r="D9647" t="str">
        <f>"DANIELS                  REBEKAH      F           "</f>
        <v xml:space="preserve">DANIELS                  REBEKAH      F           </v>
      </c>
      <c r="E9647" t="str">
        <f>"GULFPORT                  "</f>
        <v xml:space="preserve">GULFPORT                  </v>
      </c>
      <c r="F9647" t="str">
        <f t="shared" si="276"/>
        <v>MS</v>
      </c>
    </row>
    <row r="9648" spans="1:6" x14ac:dyDescent="0.25">
      <c r="A9648" t="str">
        <f>"003428243"</f>
        <v>003428243</v>
      </c>
      <c r="B9648" t="str">
        <f>"1144416504"</f>
        <v>1144416504</v>
      </c>
      <c r="C9648" t="str">
        <f>"363L00000X"</f>
        <v>363L00000X</v>
      </c>
      <c r="D9648" t="str">
        <f>"RUSSELL                  JODI         H           "</f>
        <v xml:space="preserve">RUSSELL                  JODI         H           </v>
      </c>
      <c r="E9648" t="str">
        <f>"BATESVILLE                "</f>
        <v xml:space="preserve">BATESVILLE                </v>
      </c>
      <c r="F9648" t="str">
        <f t="shared" si="276"/>
        <v>MS</v>
      </c>
    </row>
    <row r="9649" spans="1:6" x14ac:dyDescent="0.25">
      <c r="A9649" t="str">
        <f>"003428252"</f>
        <v>003428252</v>
      </c>
      <c r="B9649" t="str">
        <f>"1760796148"</f>
        <v>1760796148</v>
      </c>
      <c r="C9649" t="str">
        <f>"363L00000X"</f>
        <v>363L00000X</v>
      </c>
      <c r="D9649" t="str">
        <f>"SLAWSON                  LISA         N           "</f>
        <v xml:space="preserve">SLAWSON                  LISA         N           </v>
      </c>
      <c r="E9649" t="str">
        <f>"BILOXI                    "</f>
        <v xml:space="preserve">BILOXI                    </v>
      </c>
      <c r="F9649" t="str">
        <f t="shared" si="276"/>
        <v>MS</v>
      </c>
    </row>
    <row r="9650" spans="1:6" x14ac:dyDescent="0.25">
      <c r="A9650" t="str">
        <f>"003428261"</f>
        <v>003428261</v>
      </c>
      <c r="B9650" t="str">
        <f>"1245629732"</f>
        <v>1245629732</v>
      </c>
      <c r="C9650" t="str">
        <f>"367500000X"</f>
        <v>367500000X</v>
      </c>
      <c r="D9650" t="str">
        <f>"POWELL                   STELLA       D           "</f>
        <v xml:space="preserve">POWELL                   STELLA       D           </v>
      </c>
      <c r="E9650" t="str">
        <f>"NEW ALBANY                "</f>
        <v xml:space="preserve">NEW ALBANY                </v>
      </c>
      <c r="F9650" t="str">
        <f t="shared" si="276"/>
        <v>MS</v>
      </c>
    </row>
    <row r="9651" spans="1:6" x14ac:dyDescent="0.25">
      <c r="A9651" t="str">
        <f>"003428790"</f>
        <v>003428790</v>
      </c>
      <c r="B9651" t="str">
        <f>"1811915754"</f>
        <v>1811915754</v>
      </c>
      <c r="C9651" t="str">
        <f>"207RN0300X"</f>
        <v>207RN0300X</v>
      </c>
      <c r="D9651" t="str">
        <f>"DOSSABHOY                NEVILLE      R           "</f>
        <v xml:space="preserve">DOSSABHOY                NEVILLE      R           </v>
      </c>
      <c r="E9651" t="str">
        <f>"JACKSON                   "</f>
        <v xml:space="preserve">JACKSON                   </v>
      </c>
      <c r="F9651" t="str">
        <f t="shared" si="276"/>
        <v>MS</v>
      </c>
    </row>
    <row r="9652" spans="1:6" x14ac:dyDescent="0.25">
      <c r="A9652" t="str">
        <f>"003428890"</f>
        <v>003428890</v>
      </c>
      <c r="B9652" t="str">
        <f>"1831109024"</f>
        <v>1831109024</v>
      </c>
      <c r="C9652" t="str">
        <f>"207V00000X"</f>
        <v>207V00000X</v>
      </c>
      <c r="D9652" t="str">
        <f>"JEAN PIERRE              CYNTHIA      V           "</f>
        <v xml:space="preserve">JEAN PIERRE              CYNTHIA      V           </v>
      </c>
      <c r="E9652" t="str">
        <f>"PICAYUNE                  "</f>
        <v xml:space="preserve">PICAYUNE                  </v>
      </c>
      <c r="F9652" t="str">
        <f t="shared" si="276"/>
        <v>MS</v>
      </c>
    </row>
    <row r="9653" spans="1:6" x14ac:dyDescent="0.25">
      <c r="A9653" t="str">
        <f>"003429091"</f>
        <v>003429091</v>
      </c>
      <c r="B9653" t="str">
        <f>"1760627111"</f>
        <v>1760627111</v>
      </c>
      <c r="C9653" t="str">
        <f>"363L00000X"</f>
        <v>363L00000X</v>
      </c>
      <c r="D9653" t="str">
        <f>"MEYER                    JESSICA      T           "</f>
        <v xml:space="preserve">MEYER                    JESSICA      T           </v>
      </c>
      <c r="E9653" t="str">
        <f>"COLUMBUS                  "</f>
        <v xml:space="preserve">COLUMBUS                  </v>
      </c>
      <c r="F9653" t="str">
        <f t="shared" si="276"/>
        <v>MS</v>
      </c>
    </row>
    <row r="9654" spans="1:6" x14ac:dyDescent="0.25">
      <c r="A9654" t="str">
        <f>"003432351"</f>
        <v>003432351</v>
      </c>
      <c r="B9654" t="str">
        <f>"1285772293"</f>
        <v>1285772293</v>
      </c>
      <c r="C9654" t="str">
        <f>"261QM1300X"</f>
        <v>261QM1300X</v>
      </c>
      <c r="D9654" t="str">
        <f>"METHODIST REHABILITATION CENTER                   "</f>
        <v xml:space="preserve">METHODIST REHABILITATION CENTER                   </v>
      </c>
      <c r="E9654" t="str">
        <f>"JACKSON                   "</f>
        <v xml:space="preserve">JACKSON                   </v>
      </c>
      <c r="F9654" t="str">
        <f t="shared" si="276"/>
        <v>MS</v>
      </c>
    </row>
    <row r="9655" spans="1:6" x14ac:dyDescent="0.25">
      <c r="A9655" t="str">
        <f>"003433723"</f>
        <v>003433723</v>
      </c>
      <c r="B9655" t="str">
        <f>"1689070021"</f>
        <v>1689070021</v>
      </c>
      <c r="C9655" t="str">
        <f>"261QA0600X"</f>
        <v>261QA0600X</v>
      </c>
      <c r="D9655" t="str">
        <f>"SBC ADULT DAY CARE                                "</f>
        <v xml:space="preserve">SBC ADULT DAY CARE                                </v>
      </c>
      <c r="E9655" t="str">
        <f>"ARCOLA                    "</f>
        <v xml:space="preserve">ARCOLA                    </v>
      </c>
      <c r="F9655" t="str">
        <f t="shared" si="276"/>
        <v>MS</v>
      </c>
    </row>
    <row r="9656" spans="1:6" x14ac:dyDescent="0.25">
      <c r="A9656" t="str">
        <f>"003434549"</f>
        <v>003434549</v>
      </c>
      <c r="B9656" t="str">
        <f>"1073800819"</f>
        <v>1073800819</v>
      </c>
      <c r="C9656" t="str">
        <f>"207RR0500X"</f>
        <v>207RR0500X</v>
      </c>
      <c r="D9656" t="str">
        <f>"MARATHI                  RACHANA                  "</f>
        <v xml:space="preserve">MARATHI                  RACHANA                  </v>
      </c>
      <c r="E9656" t="str">
        <f>"JACKSON                   "</f>
        <v xml:space="preserve">JACKSON                   </v>
      </c>
      <c r="F9656" t="str">
        <f t="shared" si="276"/>
        <v>MS</v>
      </c>
    </row>
    <row r="9657" spans="1:6" x14ac:dyDescent="0.25">
      <c r="A9657" t="str">
        <f>"003435398"</f>
        <v>003435398</v>
      </c>
      <c r="B9657" t="str">
        <f>"1366774622"</f>
        <v>1366774622</v>
      </c>
      <c r="C9657" t="str">
        <f>"363L00000X"</f>
        <v>363L00000X</v>
      </c>
      <c r="D9657" t="str">
        <f>"HODGE                    LISA         F           "</f>
        <v xml:space="preserve">HODGE                    LISA         F           </v>
      </c>
      <c r="E9657" t="str">
        <f>"TUPELO                    "</f>
        <v xml:space="preserve">TUPELO                    </v>
      </c>
      <c r="F9657" t="str">
        <f t="shared" si="276"/>
        <v>MS</v>
      </c>
    </row>
    <row r="9658" spans="1:6" x14ac:dyDescent="0.25">
      <c r="A9658" t="str">
        <f>"003437244"</f>
        <v>003437244</v>
      </c>
      <c r="B9658" t="str">
        <f>"1104937481"</f>
        <v>1104937481</v>
      </c>
      <c r="C9658" t="str">
        <f>"208000000X"</f>
        <v>208000000X</v>
      </c>
      <c r="D9658" t="str">
        <f>"CHEVALIER                STEVEN       P           "</f>
        <v xml:space="preserve">CHEVALIER                STEVEN       P           </v>
      </c>
      <c r="E9658" t="str">
        <f>"MADISON                   "</f>
        <v xml:space="preserve">MADISON                   </v>
      </c>
      <c r="F9658" t="str">
        <f t="shared" si="276"/>
        <v>MS</v>
      </c>
    </row>
    <row r="9659" spans="1:6" x14ac:dyDescent="0.25">
      <c r="A9659" t="str">
        <f>"003437726"</f>
        <v>003437726</v>
      </c>
      <c r="B9659" t="str">
        <f>"1235599515"</f>
        <v>1235599515</v>
      </c>
      <c r="C9659" t="str">
        <f>"363L00000X"</f>
        <v>363L00000X</v>
      </c>
      <c r="D9659" t="str">
        <f>"HICKS                    CHARLENE                 "</f>
        <v xml:space="preserve">HICKS                    CHARLENE                 </v>
      </c>
      <c r="E9659" t="str">
        <f>"BEAUMONT                  "</f>
        <v xml:space="preserve">BEAUMONT                  </v>
      </c>
      <c r="F9659" t="str">
        <f t="shared" si="276"/>
        <v>MS</v>
      </c>
    </row>
    <row r="9660" spans="1:6" x14ac:dyDescent="0.25">
      <c r="A9660" t="str">
        <f>"003439741"</f>
        <v>003439741</v>
      </c>
      <c r="B9660" t="str">
        <f>"1922035104"</f>
        <v>1922035104</v>
      </c>
      <c r="C9660" t="str">
        <f>"2086S0129X"</f>
        <v>2086S0129X</v>
      </c>
      <c r="D9660" t="str">
        <f>"JOHNSON                  DAVID        A           "</f>
        <v xml:space="preserve">JOHNSON                  DAVID        A           </v>
      </c>
      <c r="E9660" t="str">
        <f>"JACKSON                   "</f>
        <v xml:space="preserve">JACKSON                   </v>
      </c>
      <c r="F9660" t="str">
        <f t="shared" si="276"/>
        <v>MS</v>
      </c>
    </row>
    <row r="9661" spans="1:6" x14ac:dyDescent="0.25">
      <c r="A9661" t="str">
        <f>"003450522"</f>
        <v>003450522</v>
      </c>
      <c r="B9661" t="str">
        <f>"1699149708"</f>
        <v>1699149708</v>
      </c>
      <c r="C9661" t="str">
        <f>"367A00000X"</f>
        <v>367A00000X</v>
      </c>
      <c r="D9661" t="str">
        <f>"BRYAN                    MELISSA      A           "</f>
        <v xml:space="preserve">BRYAN                    MELISSA      A           </v>
      </c>
      <c r="E9661" t="str">
        <f>"MERIDIAN                  "</f>
        <v xml:space="preserve">MERIDIAN                  </v>
      </c>
      <c r="F9661" t="str">
        <f t="shared" si="276"/>
        <v>MS</v>
      </c>
    </row>
    <row r="9662" spans="1:6" x14ac:dyDescent="0.25">
      <c r="A9662" t="str">
        <f>"003450577"</f>
        <v>003450577</v>
      </c>
      <c r="B9662" t="str">
        <f>"1013491992"</f>
        <v>1013491992</v>
      </c>
      <c r="C9662" t="str">
        <f>"363L00000X"</f>
        <v>363L00000X</v>
      </c>
      <c r="D9662" t="str">
        <f>"BYRD                     BRANDY       N           "</f>
        <v xml:space="preserve">BYRD                     BRANDY       N           </v>
      </c>
      <c r="E9662" t="str">
        <f>"BRANDON                   "</f>
        <v xml:space="preserve">BRANDON                   </v>
      </c>
      <c r="F9662" t="str">
        <f t="shared" ref="F9662:F9725" si="277">"MS"</f>
        <v>MS</v>
      </c>
    </row>
    <row r="9663" spans="1:6" x14ac:dyDescent="0.25">
      <c r="A9663" t="str">
        <f>"003451856"</f>
        <v>003451856</v>
      </c>
      <c r="B9663" t="str">
        <f>"1871872820"</f>
        <v>1871872820</v>
      </c>
      <c r="C9663" t="str">
        <f>"363L00000X"</f>
        <v>363L00000X</v>
      </c>
      <c r="D9663" t="str">
        <f>"TUCCIO                   JENNIFER                 "</f>
        <v xml:space="preserve">TUCCIO                   JENNIFER                 </v>
      </c>
      <c r="E9663" t="str">
        <f>"BYRAM                     "</f>
        <v xml:space="preserve">BYRAM                     </v>
      </c>
      <c r="F9663" t="str">
        <f t="shared" si="277"/>
        <v>MS</v>
      </c>
    </row>
    <row r="9664" spans="1:6" x14ac:dyDescent="0.25">
      <c r="A9664" t="str">
        <f>"003452016"</f>
        <v>003452016</v>
      </c>
      <c r="B9664" t="str">
        <f>"1821014804"</f>
        <v>1821014804</v>
      </c>
      <c r="C9664" t="str">
        <f>"367500000X"</f>
        <v>367500000X</v>
      </c>
      <c r="D9664" t="str">
        <f>"REMMERS                  KIMBERLY     L           "</f>
        <v xml:space="preserve">REMMERS                  KIMBERLY     L           </v>
      </c>
      <c r="E9664" t="str">
        <f>"TUPELO                    "</f>
        <v xml:space="preserve">TUPELO                    </v>
      </c>
      <c r="F9664" t="str">
        <f t="shared" si="277"/>
        <v>MS</v>
      </c>
    </row>
    <row r="9665" spans="1:6" x14ac:dyDescent="0.25">
      <c r="A9665" t="str">
        <f>"003452025"</f>
        <v>003452025</v>
      </c>
      <c r="B9665" t="str">
        <f>"1710163050"</f>
        <v>1710163050</v>
      </c>
      <c r="C9665" t="str">
        <f>"207RC0200X"</f>
        <v>207RC0200X</v>
      </c>
      <c r="D9665" t="str">
        <f>"HENDERSON                TODD         M           "</f>
        <v xml:space="preserve">HENDERSON                TODD         M           </v>
      </c>
      <c r="E9665" t="str">
        <f>"SOUTHAVEN                 "</f>
        <v xml:space="preserve">SOUTHAVEN                 </v>
      </c>
      <c r="F9665" t="str">
        <f t="shared" si="277"/>
        <v>MS</v>
      </c>
    </row>
    <row r="9666" spans="1:6" x14ac:dyDescent="0.25">
      <c r="A9666" t="str">
        <f>"003453217"</f>
        <v>003453217</v>
      </c>
      <c r="B9666" t="str">
        <f>"1942589106"</f>
        <v>1942589106</v>
      </c>
      <c r="C9666" t="str">
        <f>"122300000X"</f>
        <v>122300000X</v>
      </c>
      <c r="D9666" t="str">
        <f>"ARRINGTON                LATARSHA     M           "</f>
        <v xml:space="preserve">ARRINGTON                LATARSHA     M           </v>
      </c>
      <c r="E9666" t="str">
        <f>"GLUCKSTADT                "</f>
        <v xml:space="preserve">GLUCKSTADT                </v>
      </c>
      <c r="F9666" t="str">
        <f t="shared" si="277"/>
        <v>MS</v>
      </c>
    </row>
    <row r="9667" spans="1:6" x14ac:dyDescent="0.25">
      <c r="A9667" t="str">
        <f>"003453549"</f>
        <v>003453549</v>
      </c>
      <c r="B9667" t="str">
        <f>"1609311802"</f>
        <v>1609311802</v>
      </c>
      <c r="C9667" t="str">
        <f>"367500000X"</f>
        <v>367500000X</v>
      </c>
      <c r="D9667" t="str">
        <f>"JOHNSON                  MARCUS       L           "</f>
        <v xml:space="preserve">JOHNSON                  MARCUS       L           </v>
      </c>
      <c r="E9667" t="str">
        <f>"BROOKHAVEN                "</f>
        <v xml:space="preserve">BROOKHAVEN                </v>
      </c>
      <c r="F9667" t="str">
        <f t="shared" si="277"/>
        <v>MS</v>
      </c>
    </row>
    <row r="9668" spans="1:6" x14ac:dyDescent="0.25">
      <c r="A9668" t="str">
        <f>"003453796"</f>
        <v>003453796</v>
      </c>
      <c r="B9668" t="str">
        <f>"1891926754"</f>
        <v>1891926754</v>
      </c>
      <c r="C9668" t="str">
        <f>"363L00000X"</f>
        <v>363L00000X</v>
      </c>
      <c r="D9668" t="str">
        <f>"WARD                     ELIZABETH    M           "</f>
        <v xml:space="preserve">WARD                     ELIZABETH    M           </v>
      </c>
      <c r="E9668" t="str">
        <f>"JACKSON                   "</f>
        <v xml:space="preserve">JACKSON                   </v>
      </c>
      <c r="F9668" t="str">
        <f t="shared" si="277"/>
        <v>MS</v>
      </c>
    </row>
    <row r="9669" spans="1:6" x14ac:dyDescent="0.25">
      <c r="A9669" t="str">
        <f>"003455263"</f>
        <v>003455263</v>
      </c>
      <c r="B9669" t="str">
        <f>"1164891438"</f>
        <v>1164891438</v>
      </c>
      <c r="C9669" t="str">
        <f>"363L00000X"</f>
        <v>363L00000X</v>
      </c>
      <c r="D9669" t="str">
        <f>"COOLEY                   SARA         S           "</f>
        <v xml:space="preserve">COOLEY                   SARA         S           </v>
      </c>
      <c r="E9669" t="str">
        <f>"IUKA                      "</f>
        <v xml:space="preserve">IUKA                      </v>
      </c>
      <c r="F9669" t="str">
        <f t="shared" si="277"/>
        <v>MS</v>
      </c>
    </row>
    <row r="9670" spans="1:6" x14ac:dyDescent="0.25">
      <c r="A9670" t="str">
        <f>"003455575"</f>
        <v>003455575</v>
      </c>
      <c r="B9670" t="str">
        <f>"1689066151"</f>
        <v>1689066151</v>
      </c>
      <c r="C9670" t="str">
        <f>"363L00000X"</f>
        <v>363L00000X</v>
      </c>
      <c r="D9670" t="str">
        <f>"CAMPBELL                 ROBIN        E           "</f>
        <v xml:space="preserve">CAMPBELL                 ROBIN        E           </v>
      </c>
      <c r="E9670" t="str">
        <f>"TYLERTOWN                 "</f>
        <v xml:space="preserve">TYLERTOWN                 </v>
      </c>
      <c r="F9670" t="str">
        <f t="shared" si="277"/>
        <v>MS</v>
      </c>
    </row>
    <row r="9671" spans="1:6" x14ac:dyDescent="0.25">
      <c r="A9671" t="str">
        <f>"003458011"</f>
        <v>003458011</v>
      </c>
      <c r="B9671" t="str">
        <f>"1932149481"</f>
        <v>1932149481</v>
      </c>
      <c r="C9671" t="str">
        <f>"261QF0400X"</f>
        <v>261QF0400X</v>
      </c>
      <c r="D9671" t="str">
        <f>"EARL TRAVILLION ATTENDANCE CENTER                 "</f>
        <v xml:space="preserve">EARL TRAVILLION ATTENDANCE CENTER                 </v>
      </c>
      <c r="E9671" t="str">
        <f>"HATTIESBURG               "</f>
        <v xml:space="preserve">HATTIESBURG               </v>
      </c>
      <c r="F9671" t="str">
        <f t="shared" si="277"/>
        <v>MS</v>
      </c>
    </row>
    <row r="9672" spans="1:6" x14ac:dyDescent="0.25">
      <c r="A9672" t="str">
        <f>"003458306"</f>
        <v>003458306</v>
      </c>
      <c r="B9672" t="str">
        <f>"1922761733"</f>
        <v>1922761733</v>
      </c>
      <c r="C9672" t="str">
        <f>"363L00000X"</f>
        <v>363L00000X</v>
      </c>
      <c r="D9672" t="str">
        <f>"BARLOW                   MARISA                   "</f>
        <v xml:space="preserve">BARLOW                   MARISA                   </v>
      </c>
      <c r="E9672" t="str">
        <f>"YAZOO CITY                "</f>
        <v xml:space="preserve">YAZOO CITY                </v>
      </c>
      <c r="F9672" t="str">
        <f t="shared" si="277"/>
        <v>MS</v>
      </c>
    </row>
    <row r="9673" spans="1:6" x14ac:dyDescent="0.25">
      <c r="A9673" t="str">
        <f>"003458379"</f>
        <v>003458379</v>
      </c>
      <c r="B9673" t="str">
        <f>"1710327960"</f>
        <v>1710327960</v>
      </c>
      <c r="C9673" t="str">
        <f>"1223P0221X"</f>
        <v>1223P0221X</v>
      </c>
      <c r="D9673" t="str">
        <f>"MCCABE                   MAEGEN       C           "</f>
        <v xml:space="preserve">MCCABE                   MAEGEN       C           </v>
      </c>
      <c r="E9673" t="str">
        <f>"GULFPORT                  "</f>
        <v xml:space="preserve">GULFPORT                  </v>
      </c>
      <c r="F9673" t="str">
        <f t="shared" si="277"/>
        <v>MS</v>
      </c>
    </row>
    <row r="9674" spans="1:6" x14ac:dyDescent="0.25">
      <c r="A9674" t="str">
        <f>"003459830"</f>
        <v>003459830</v>
      </c>
      <c r="B9674" t="str">
        <f>"1215195631"</f>
        <v>1215195631</v>
      </c>
      <c r="C9674" t="str">
        <f>"363L00000X"</f>
        <v>363L00000X</v>
      </c>
      <c r="D9674" t="str">
        <f>"FAVA                     KIMBERLY     T           "</f>
        <v xml:space="preserve">FAVA                     KIMBERLY     T           </v>
      </c>
      <c r="E9674" t="str">
        <f>"CLARKSDALE                "</f>
        <v xml:space="preserve">CLARKSDALE                </v>
      </c>
      <c r="F9674" t="str">
        <f t="shared" si="277"/>
        <v>MS</v>
      </c>
    </row>
    <row r="9675" spans="1:6" x14ac:dyDescent="0.25">
      <c r="A9675" t="str">
        <f>"003471208"</f>
        <v>003471208</v>
      </c>
      <c r="B9675" t="str">
        <f>"1255658589"</f>
        <v>1255658589</v>
      </c>
      <c r="C9675" t="str">
        <f>"208600000X"</f>
        <v>208600000X</v>
      </c>
      <c r="D9675" t="str">
        <f>"ABSTON                   TIMOTHY      A           "</f>
        <v xml:space="preserve">ABSTON                   TIMOTHY      A           </v>
      </c>
      <c r="E9675" t="str">
        <f>"JACKSON                   "</f>
        <v xml:space="preserve">JACKSON                   </v>
      </c>
      <c r="F9675" t="str">
        <f t="shared" si="277"/>
        <v>MS</v>
      </c>
    </row>
    <row r="9676" spans="1:6" x14ac:dyDescent="0.25">
      <c r="A9676" t="str">
        <f>"003472708"</f>
        <v>003472708</v>
      </c>
      <c r="B9676" t="str">
        <f>"1972715118"</f>
        <v>1972715118</v>
      </c>
      <c r="C9676" t="str">
        <f>"363L00000X"</f>
        <v>363L00000X</v>
      </c>
      <c r="D9676" t="str">
        <f>"JONES                    RITA         D           "</f>
        <v xml:space="preserve">JONES                    RITA         D           </v>
      </c>
      <c r="E9676" t="str">
        <f>"BELDEN                    "</f>
        <v xml:space="preserve">BELDEN                    </v>
      </c>
      <c r="F9676" t="str">
        <f t="shared" si="277"/>
        <v>MS</v>
      </c>
    </row>
    <row r="9677" spans="1:6" x14ac:dyDescent="0.25">
      <c r="A9677" t="str">
        <f>"003472827"</f>
        <v>003472827</v>
      </c>
      <c r="B9677" t="str">
        <f>"1710240759"</f>
        <v>1710240759</v>
      </c>
      <c r="C9677" t="str">
        <f>"261QA0600X"</f>
        <v>261QA0600X</v>
      </c>
      <c r="D9677" t="str">
        <f>"SUPER NATURAL ADULT DAY CARE LLC                  "</f>
        <v xml:space="preserve">SUPER NATURAL ADULT DAY CARE LLC                  </v>
      </c>
      <c r="E9677" t="str">
        <f>"LELAND                    "</f>
        <v xml:space="preserve">LELAND                    </v>
      </c>
      <c r="F9677" t="str">
        <f t="shared" si="277"/>
        <v>MS</v>
      </c>
    </row>
    <row r="9678" spans="1:6" x14ac:dyDescent="0.25">
      <c r="A9678" t="str">
        <f>"003473007"</f>
        <v>003473007</v>
      </c>
      <c r="B9678" t="str">
        <f>"1689342693"</f>
        <v>1689342693</v>
      </c>
      <c r="C9678" t="str">
        <f>"367500000X"</f>
        <v>367500000X</v>
      </c>
      <c r="D9678" t="str">
        <f>"KNIGHT                   MATTHEW                  "</f>
        <v xml:space="preserve">KNIGHT                   MATTHEW                  </v>
      </c>
      <c r="E9678" t="str">
        <f>"JACKSON                   "</f>
        <v xml:space="preserve">JACKSON                   </v>
      </c>
      <c r="F9678" t="str">
        <f t="shared" si="277"/>
        <v>MS</v>
      </c>
    </row>
    <row r="9679" spans="1:6" x14ac:dyDescent="0.25">
      <c r="A9679" t="str">
        <f>"003474382"</f>
        <v>003474382</v>
      </c>
      <c r="B9679" t="str">
        <f>"1942526447"</f>
        <v>1942526447</v>
      </c>
      <c r="C9679" t="str">
        <f>"207ZP0102X"</f>
        <v>207ZP0102X</v>
      </c>
      <c r="D9679" t="str">
        <f>"POLING                   JUSTIN       S           "</f>
        <v xml:space="preserve">POLING                   JUSTIN       S           </v>
      </c>
      <c r="E9679" t="str">
        <f>"SOUTHAVEN                 "</f>
        <v xml:space="preserve">SOUTHAVEN                 </v>
      </c>
      <c r="F9679" t="str">
        <f t="shared" si="277"/>
        <v>MS</v>
      </c>
    </row>
    <row r="9680" spans="1:6" x14ac:dyDescent="0.25">
      <c r="A9680" t="str">
        <f>"003475071"</f>
        <v>003475071</v>
      </c>
      <c r="B9680" t="str">
        <f>"1164983151"</f>
        <v>1164983151</v>
      </c>
      <c r="C9680" t="str">
        <f>"207Q00000X"</f>
        <v>207Q00000X</v>
      </c>
      <c r="D9680" t="str">
        <f>"WEBB                     MEGHAN                   "</f>
        <v xml:space="preserve">WEBB                     MEGHAN                   </v>
      </c>
      <c r="E9680" t="str">
        <f>"PHILADELPHIA              "</f>
        <v xml:space="preserve">PHILADELPHIA              </v>
      </c>
      <c r="F9680" t="str">
        <f t="shared" si="277"/>
        <v>MS</v>
      </c>
    </row>
    <row r="9681" spans="1:6" x14ac:dyDescent="0.25">
      <c r="A9681" t="str">
        <f>"003475280"</f>
        <v>003475280</v>
      </c>
      <c r="B9681" t="str">
        <f>"1053872580"</f>
        <v>1053872580</v>
      </c>
      <c r="C9681" t="str">
        <f>"207YX0905X"</f>
        <v>207YX0905X</v>
      </c>
      <c r="D9681" t="str">
        <f>"MCMULLEN                 THOMAS                   "</f>
        <v xml:space="preserve">MCMULLEN                 THOMAS                   </v>
      </c>
      <c r="E9681" t="str">
        <f>"JACKSON                   "</f>
        <v xml:space="preserve">JACKSON                   </v>
      </c>
      <c r="F9681" t="str">
        <f t="shared" si="277"/>
        <v>MS</v>
      </c>
    </row>
    <row r="9682" spans="1:6" x14ac:dyDescent="0.25">
      <c r="A9682" t="str">
        <f>"003477089"</f>
        <v>003477089</v>
      </c>
      <c r="B9682" t="str">
        <f>"1225135981"</f>
        <v>1225135981</v>
      </c>
      <c r="C9682" t="str">
        <f>"207RH0003X"</f>
        <v>207RH0003X</v>
      </c>
      <c r="D9682" t="str">
        <f>"BOYD                     KARISSA      W           "</f>
        <v xml:space="preserve">BOYD                     KARISSA      W           </v>
      </c>
      <c r="E9682" t="str">
        <f>"COLUMBUS                  "</f>
        <v xml:space="preserve">COLUMBUS                  </v>
      </c>
      <c r="F9682" t="str">
        <f t="shared" si="277"/>
        <v>MS</v>
      </c>
    </row>
    <row r="9683" spans="1:6" x14ac:dyDescent="0.25">
      <c r="A9683" t="str">
        <f>"003477856"</f>
        <v>003477856</v>
      </c>
      <c r="B9683" t="str">
        <f>"1366991101"</f>
        <v>1366991101</v>
      </c>
      <c r="C9683" t="str">
        <f>"363L00000X"</f>
        <v>363L00000X</v>
      </c>
      <c r="D9683" t="str">
        <f>"JOHNSON                  SHERQUITA    P           "</f>
        <v xml:space="preserve">JOHNSON                  SHERQUITA    P           </v>
      </c>
      <c r="E9683" t="str">
        <f>"JACKSON                   "</f>
        <v xml:space="preserve">JACKSON                   </v>
      </c>
      <c r="F9683" t="str">
        <f t="shared" si="277"/>
        <v>MS</v>
      </c>
    </row>
    <row r="9684" spans="1:6" x14ac:dyDescent="0.25">
      <c r="A9684" t="str">
        <f>"003478562"</f>
        <v>003478562</v>
      </c>
      <c r="B9684" t="str">
        <f>"1225545163"</f>
        <v>1225545163</v>
      </c>
      <c r="C9684" t="str">
        <f>"363L00000X"</f>
        <v>363L00000X</v>
      </c>
      <c r="D9684" t="str">
        <f>"TUCKER                   JESSICA      Y           "</f>
        <v xml:space="preserve">TUCKER                   JESSICA      Y           </v>
      </c>
      <c r="E9684" t="str">
        <f>"JACKSON                   "</f>
        <v xml:space="preserve">JACKSON                   </v>
      </c>
      <c r="F9684" t="str">
        <f t="shared" si="277"/>
        <v>MS</v>
      </c>
    </row>
    <row r="9685" spans="1:6" x14ac:dyDescent="0.25">
      <c r="A9685" t="str">
        <f>"003478884"</f>
        <v>003478884</v>
      </c>
      <c r="B9685" t="str">
        <f>"1508486804"</f>
        <v>1508486804</v>
      </c>
      <c r="C9685" t="str">
        <f>"363L00000X"</f>
        <v>363L00000X</v>
      </c>
      <c r="D9685" t="str">
        <f>"OSBORN                   MELINDA      K           "</f>
        <v xml:space="preserve">OSBORN                   MELINDA      K           </v>
      </c>
      <c r="E9685" t="str">
        <f>"STARKVILLE                "</f>
        <v xml:space="preserve">STARKVILLE                </v>
      </c>
      <c r="F9685" t="str">
        <f t="shared" si="277"/>
        <v>MS</v>
      </c>
    </row>
    <row r="9686" spans="1:6" x14ac:dyDescent="0.25">
      <c r="A9686" t="str">
        <f>"003479057"</f>
        <v>003479057</v>
      </c>
      <c r="B9686" t="str">
        <f>"1477568749"</f>
        <v>1477568749</v>
      </c>
      <c r="C9686" t="str">
        <f>"2086S0127X"</f>
        <v>2086S0127X</v>
      </c>
      <c r="D9686" t="str">
        <f>"WELLS                    FORREST      S           "</f>
        <v xml:space="preserve">WELLS                    FORREST      S           </v>
      </c>
      <c r="E9686" t="str">
        <f>"OCEAN SPRINGS             "</f>
        <v xml:space="preserve">OCEAN SPRINGS             </v>
      </c>
      <c r="F9686" t="str">
        <f t="shared" si="277"/>
        <v>MS</v>
      </c>
    </row>
    <row r="9687" spans="1:6" x14ac:dyDescent="0.25">
      <c r="A9687" t="str">
        <f>"003479332"</f>
        <v>003479332</v>
      </c>
      <c r="B9687" t="str">
        <f>"1013374347"</f>
        <v>1013374347</v>
      </c>
      <c r="C9687" t="str">
        <f>"261QM1300X"</f>
        <v>261QM1300X</v>
      </c>
      <c r="D9687" t="str">
        <f>"CARRIE VIRGINIA PATE THERAPY CENTER               "</f>
        <v xml:space="preserve">CARRIE VIRGINIA PATE THERAPY CENTER               </v>
      </c>
      <c r="E9687" t="str">
        <f>"OCEAN SPRINGS             "</f>
        <v xml:space="preserve">OCEAN SPRINGS             </v>
      </c>
      <c r="F9687" t="str">
        <f t="shared" si="277"/>
        <v>MS</v>
      </c>
    </row>
    <row r="9688" spans="1:6" x14ac:dyDescent="0.25">
      <c r="A9688" t="str">
        <f>"003480210"</f>
        <v>003480210</v>
      </c>
      <c r="B9688" t="str">
        <f>"1023579190"</f>
        <v>1023579190</v>
      </c>
      <c r="C9688" t="str">
        <f>"2085R0202X"</f>
        <v>2085R0202X</v>
      </c>
      <c r="D9688" t="str">
        <f>"MARTIN                   MATTHEW      G           "</f>
        <v xml:space="preserve">MARTIN                   MATTHEW      G           </v>
      </c>
      <c r="E9688" t="str">
        <f>"JACKSON                   "</f>
        <v xml:space="preserve">JACKSON                   </v>
      </c>
      <c r="F9688" t="str">
        <f t="shared" si="277"/>
        <v>MS</v>
      </c>
    </row>
    <row r="9689" spans="1:6" x14ac:dyDescent="0.25">
      <c r="A9689" t="str">
        <f>"003481226"</f>
        <v>003481226</v>
      </c>
      <c r="B9689" t="str">
        <f>"1376659193"</f>
        <v>1376659193</v>
      </c>
      <c r="C9689" t="str">
        <f>"207RG0100X"</f>
        <v>207RG0100X</v>
      </c>
      <c r="D9689" t="str">
        <f>"BAROT                    NAVIN        V           "</f>
        <v xml:space="preserve">BAROT                    NAVIN        V           </v>
      </c>
      <c r="E9689" t="str">
        <f>"GULFPORT                  "</f>
        <v xml:space="preserve">GULFPORT                  </v>
      </c>
      <c r="F9689" t="str">
        <f t="shared" si="277"/>
        <v>MS</v>
      </c>
    </row>
    <row r="9690" spans="1:6" x14ac:dyDescent="0.25">
      <c r="A9690" t="str">
        <f>"003481548"</f>
        <v>003481548</v>
      </c>
      <c r="B9690" t="str">
        <f>"1881184893"</f>
        <v>1881184893</v>
      </c>
      <c r="C9690" t="str">
        <f>"363L00000X"</f>
        <v>363L00000X</v>
      </c>
      <c r="D9690" t="str">
        <f>"RUMBARGER                MARLEY       B           "</f>
        <v xml:space="preserve">RUMBARGER                MARLEY       B           </v>
      </c>
      <c r="E9690" t="str">
        <f>"NEW ALBANY                "</f>
        <v xml:space="preserve">NEW ALBANY                </v>
      </c>
      <c r="F9690" t="str">
        <f t="shared" si="277"/>
        <v>MS</v>
      </c>
    </row>
    <row r="9691" spans="1:6" x14ac:dyDescent="0.25">
      <c r="A9691" t="str">
        <f>"003481574"</f>
        <v>003481574</v>
      </c>
      <c r="B9691" t="str">
        <f>"1760492037"</f>
        <v>1760492037</v>
      </c>
      <c r="C9691" t="str">
        <f>"207R00000X"</f>
        <v>207R00000X</v>
      </c>
      <c r="D9691" t="str">
        <f>"ABAI                     AJA          A           "</f>
        <v xml:space="preserve">ABAI                     AJA          A           </v>
      </c>
      <c r="E9691" t="str">
        <f>"MCCOMB                    "</f>
        <v xml:space="preserve">MCCOMB                    </v>
      </c>
      <c r="F9691" t="str">
        <f t="shared" si="277"/>
        <v>MS</v>
      </c>
    </row>
    <row r="9692" spans="1:6" x14ac:dyDescent="0.25">
      <c r="A9692" t="str">
        <f>"003481586"</f>
        <v>003481586</v>
      </c>
      <c r="B9692" t="str">
        <f>"1356073829"</f>
        <v>1356073829</v>
      </c>
      <c r="C9692" t="str">
        <f>"207Q00000X"</f>
        <v>207Q00000X</v>
      </c>
      <c r="D9692" t="str">
        <f>"BHATTARU                 RAMYA                    "</f>
        <v xml:space="preserve">BHATTARU                 RAMYA                    </v>
      </c>
      <c r="E9692" t="str">
        <f>"TUPELO                    "</f>
        <v xml:space="preserve">TUPELO                    </v>
      </c>
      <c r="F9692" t="str">
        <f t="shared" si="277"/>
        <v>MS</v>
      </c>
    </row>
    <row r="9693" spans="1:6" x14ac:dyDescent="0.25">
      <c r="A9693" t="str">
        <f>"003482026"</f>
        <v>003482026</v>
      </c>
      <c r="B9693" t="str">
        <f>"1932207669"</f>
        <v>1932207669</v>
      </c>
      <c r="C9693" t="str">
        <f>"261QA1903X"</f>
        <v>261QA1903X</v>
      </c>
      <c r="D9693" t="str">
        <f>"EYE SURGICAL CENTER OF MISSISSIPPI                "</f>
        <v xml:space="preserve">EYE SURGICAL CENTER OF MISSISSIPPI                </v>
      </c>
      <c r="E9693" t="str">
        <f>"FLOWOOD                   "</f>
        <v xml:space="preserve">FLOWOOD                   </v>
      </c>
      <c r="F9693" t="str">
        <f t="shared" si="277"/>
        <v>MS</v>
      </c>
    </row>
    <row r="9694" spans="1:6" x14ac:dyDescent="0.25">
      <c r="A9694" t="str">
        <f>"003482206"</f>
        <v>003482206</v>
      </c>
      <c r="B9694" t="str">
        <f>"1235676792"</f>
        <v>1235676792</v>
      </c>
      <c r="C9694" t="str">
        <f>"363A00000X"</f>
        <v>363A00000X</v>
      </c>
      <c r="D9694" t="str">
        <f>"ANDERSON                 DOUGLAS      P           "</f>
        <v xml:space="preserve">ANDERSON                 DOUGLAS      P           </v>
      </c>
      <c r="E9694" t="str">
        <f>"RIPLEY                    "</f>
        <v xml:space="preserve">RIPLEY                    </v>
      </c>
      <c r="F9694" t="str">
        <f t="shared" si="277"/>
        <v>MS</v>
      </c>
    </row>
    <row r="9695" spans="1:6" x14ac:dyDescent="0.25">
      <c r="A9695" t="str">
        <f>"003482344"</f>
        <v>003482344</v>
      </c>
      <c r="B9695" t="str">
        <f>"1598728586"</f>
        <v>1598728586</v>
      </c>
      <c r="C9695" t="str">
        <f>"207Q00000X"</f>
        <v>207Q00000X</v>
      </c>
      <c r="D9695" t="str">
        <f>"RICHARDSON               BRADY        L           "</f>
        <v xml:space="preserve">RICHARDSON               BRADY        L           </v>
      </c>
      <c r="E9695" t="str">
        <f>"KOSCIUSKO                 "</f>
        <v xml:space="preserve">KOSCIUSKO                 </v>
      </c>
      <c r="F9695" t="str">
        <f t="shared" si="277"/>
        <v>MS</v>
      </c>
    </row>
    <row r="9696" spans="1:6" x14ac:dyDescent="0.25">
      <c r="A9696" t="str">
        <f>"003482367"</f>
        <v>003482367</v>
      </c>
      <c r="B9696" t="str">
        <f>"1649563271"</f>
        <v>1649563271</v>
      </c>
      <c r="C9696" t="str">
        <f>"207V00000X"</f>
        <v>207V00000X</v>
      </c>
      <c r="D9696" t="str">
        <f>"BANAHAN                  TAYLOR       M           "</f>
        <v xml:space="preserve">BANAHAN                  TAYLOR       M           </v>
      </c>
      <c r="E9696" t="str">
        <f>"PASCAGOULA                "</f>
        <v xml:space="preserve">PASCAGOULA                </v>
      </c>
      <c r="F9696" t="str">
        <f t="shared" si="277"/>
        <v>MS</v>
      </c>
    </row>
    <row r="9697" spans="1:6" x14ac:dyDescent="0.25">
      <c r="A9697" t="str">
        <f>"003484003"</f>
        <v>003484003</v>
      </c>
      <c r="B9697" t="str">
        <f>"1700046414"</f>
        <v>1700046414</v>
      </c>
      <c r="C9697" t="str">
        <f>"207P00000X"</f>
        <v>207P00000X</v>
      </c>
      <c r="D9697" t="str">
        <f>"BAILEY                   KIZZY        E           "</f>
        <v xml:space="preserve">BAILEY                   KIZZY        E           </v>
      </c>
      <c r="E9697" t="str">
        <f>"GULFPORT                  "</f>
        <v xml:space="preserve">GULFPORT                  </v>
      </c>
      <c r="F9697" t="str">
        <f t="shared" si="277"/>
        <v>MS</v>
      </c>
    </row>
    <row r="9698" spans="1:6" x14ac:dyDescent="0.25">
      <c r="A9698" t="str">
        <f>"003484018"</f>
        <v>003484018</v>
      </c>
      <c r="B9698" t="str">
        <f>"1841822152"</f>
        <v>1841822152</v>
      </c>
      <c r="C9698" t="str">
        <f>"363L00000X"</f>
        <v>363L00000X</v>
      </c>
      <c r="D9698" t="str">
        <f>"JACKSON                  SHELBY       H           "</f>
        <v xml:space="preserve">JACKSON                  SHELBY       H           </v>
      </c>
      <c r="E9698" t="str">
        <f>"JACKSON                   "</f>
        <v xml:space="preserve">JACKSON                   </v>
      </c>
      <c r="F9698" t="str">
        <f t="shared" si="277"/>
        <v>MS</v>
      </c>
    </row>
    <row r="9699" spans="1:6" x14ac:dyDescent="0.25">
      <c r="A9699" t="str">
        <f>"003484511"</f>
        <v>003484511</v>
      </c>
      <c r="B9699" t="str">
        <f>"1336669258"</f>
        <v>1336669258</v>
      </c>
      <c r="C9699" t="str">
        <f>"363A00000X"</f>
        <v>363A00000X</v>
      </c>
      <c r="D9699" t="str">
        <f>"SIMS                     WHITNEY      J           "</f>
        <v xml:space="preserve">SIMS                     WHITNEY      J           </v>
      </c>
      <c r="E9699" t="str">
        <f>"JACKSON                   "</f>
        <v xml:space="preserve">JACKSON                   </v>
      </c>
      <c r="F9699" t="str">
        <f t="shared" si="277"/>
        <v>MS</v>
      </c>
    </row>
    <row r="9700" spans="1:6" x14ac:dyDescent="0.25">
      <c r="A9700" t="str">
        <f>"003486252"</f>
        <v>003486252</v>
      </c>
      <c r="B9700" t="str">
        <f>"1528647856"</f>
        <v>1528647856</v>
      </c>
      <c r="C9700" t="str">
        <f>"207R00000X"</f>
        <v>207R00000X</v>
      </c>
      <c r="D9700" t="str">
        <f>"BUCK                     WILLIAM                  "</f>
        <v xml:space="preserve">BUCK                     WILLIAM                  </v>
      </c>
      <c r="E9700" t="str">
        <f>"JACKSON                   "</f>
        <v xml:space="preserve">JACKSON                   </v>
      </c>
      <c r="F9700" t="str">
        <f t="shared" si="277"/>
        <v>MS</v>
      </c>
    </row>
    <row r="9701" spans="1:6" x14ac:dyDescent="0.25">
      <c r="A9701" t="str">
        <f>"003486259"</f>
        <v>003486259</v>
      </c>
      <c r="B9701" t="str">
        <f>"1669889457"</f>
        <v>1669889457</v>
      </c>
      <c r="C9701" t="str">
        <f>"363L00000X"</f>
        <v>363L00000X</v>
      </c>
      <c r="D9701" t="str">
        <f>"GRAY                     HANNAH       L           "</f>
        <v xml:space="preserve">GRAY                     HANNAH       L           </v>
      </c>
      <c r="E9701" t="str">
        <f>"PHILADELPHIA              "</f>
        <v xml:space="preserve">PHILADELPHIA              </v>
      </c>
      <c r="F9701" t="str">
        <f t="shared" si="277"/>
        <v>MS</v>
      </c>
    </row>
    <row r="9702" spans="1:6" x14ac:dyDescent="0.25">
      <c r="A9702" t="str">
        <f>"003488258"</f>
        <v>003488258</v>
      </c>
      <c r="B9702" t="str">
        <f>"1780160523"</f>
        <v>1780160523</v>
      </c>
      <c r="C9702" t="str">
        <f>"363L00000X"</f>
        <v>363L00000X</v>
      </c>
      <c r="D9702" t="str">
        <f>"HINTON                   APRIL                    "</f>
        <v xml:space="preserve">HINTON                   APRIL                    </v>
      </c>
      <c r="E9702" t="str">
        <f>"LEAKESVILLE               "</f>
        <v xml:space="preserve">LEAKESVILLE               </v>
      </c>
      <c r="F9702" t="str">
        <f t="shared" si="277"/>
        <v>MS</v>
      </c>
    </row>
    <row r="9703" spans="1:6" x14ac:dyDescent="0.25">
      <c r="A9703" t="str">
        <f>"003489232"</f>
        <v>003489232</v>
      </c>
      <c r="B9703" t="str">
        <f>"1093322885"</f>
        <v>1093322885</v>
      </c>
      <c r="C9703" t="str">
        <f>"363L00000X"</f>
        <v>363L00000X</v>
      </c>
      <c r="D9703" t="str">
        <f>"JACKSON                  DANNA        S           "</f>
        <v xml:space="preserve">JACKSON                  DANNA        S           </v>
      </c>
      <c r="E9703" t="str">
        <f>"HATTIESBURG               "</f>
        <v xml:space="preserve">HATTIESBURG               </v>
      </c>
      <c r="F9703" t="str">
        <f t="shared" si="277"/>
        <v>MS</v>
      </c>
    </row>
    <row r="9704" spans="1:6" x14ac:dyDescent="0.25">
      <c r="A9704" t="str">
        <f>"003500033"</f>
        <v>003500033</v>
      </c>
      <c r="B9704" t="str">
        <f>"1477007763"</f>
        <v>1477007763</v>
      </c>
      <c r="C9704" t="str">
        <f>"363L00000X"</f>
        <v>363L00000X</v>
      </c>
      <c r="D9704" t="str">
        <f>"NARMOUR                  CARRIE       D           "</f>
        <v xml:space="preserve">NARMOUR                  CARRIE       D           </v>
      </c>
      <c r="E9704" t="str">
        <f>"GREENWOOD                 "</f>
        <v xml:space="preserve">GREENWOOD                 </v>
      </c>
      <c r="F9704" t="str">
        <f t="shared" si="277"/>
        <v>MS</v>
      </c>
    </row>
    <row r="9705" spans="1:6" x14ac:dyDescent="0.25">
      <c r="A9705" t="str">
        <f>"003500255"</f>
        <v>003500255</v>
      </c>
      <c r="B9705" t="str">
        <f>"1518924414"</f>
        <v>1518924414</v>
      </c>
      <c r="C9705" t="str">
        <f>"208000000X"</f>
        <v>208000000X</v>
      </c>
      <c r="D9705" t="str">
        <f>"WATSON                   BYRON        K           "</f>
        <v xml:space="preserve">WATSON                   BYRON        K           </v>
      </c>
      <c r="E9705" t="str">
        <f>"WEST POINT                "</f>
        <v xml:space="preserve">WEST POINT                </v>
      </c>
      <c r="F9705" t="str">
        <f t="shared" si="277"/>
        <v>MS</v>
      </c>
    </row>
    <row r="9706" spans="1:6" x14ac:dyDescent="0.25">
      <c r="A9706" t="str">
        <f>"003500355"</f>
        <v>003500355</v>
      </c>
      <c r="B9706" t="str">
        <f>"1649490566"</f>
        <v>1649490566</v>
      </c>
      <c r="C9706" t="str">
        <f>"207X00000X"</f>
        <v>207X00000X</v>
      </c>
      <c r="D9706" t="str">
        <f>"GALJOUR                  GEORGE       C           "</f>
        <v xml:space="preserve">GALJOUR                  GEORGE       C           </v>
      </c>
      <c r="E9706" t="str">
        <f>"COLUMBUS                  "</f>
        <v xml:space="preserve">COLUMBUS                  </v>
      </c>
      <c r="F9706" t="str">
        <f t="shared" si="277"/>
        <v>MS</v>
      </c>
    </row>
    <row r="9707" spans="1:6" x14ac:dyDescent="0.25">
      <c r="A9707" t="str">
        <f>"003500366"</f>
        <v>003500366</v>
      </c>
      <c r="B9707" t="str">
        <f>"1669879003"</f>
        <v>1669879003</v>
      </c>
      <c r="C9707" t="str">
        <f>"363L00000X"</f>
        <v>363L00000X</v>
      </c>
      <c r="D9707" t="str">
        <f>"O'DANIEL                 AMY                      "</f>
        <v xml:space="preserve">O'DANIEL                 AMY                      </v>
      </c>
      <c r="E9707" t="str">
        <f>"TUPELO                    "</f>
        <v xml:space="preserve">TUPELO                    </v>
      </c>
      <c r="F9707" t="str">
        <f t="shared" si="277"/>
        <v>MS</v>
      </c>
    </row>
    <row r="9708" spans="1:6" x14ac:dyDescent="0.25">
      <c r="A9708" t="str">
        <f>"003500755"</f>
        <v>003500755</v>
      </c>
      <c r="B9708" t="str">
        <f>"1487858783"</f>
        <v>1487858783</v>
      </c>
      <c r="C9708" t="str">
        <f>"208600000X"</f>
        <v>208600000X</v>
      </c>
      <c r="D9708" t="str">
        <f>"MCADORY                  RICHARD      S           "</f>
        <v xml:space="preserve">MCADORY                  RICHARD      S           </v>
      </c>
      <c r="E9708" t="str">
        <f>"TUPELO                    "</f>
        <v xml:space="preserve">TUPELO                    </v>
      </c>
      <c r="F9708" t="str">
        <f t="shared" si="277"/>
        <v>MS</v>
      </c>
    </row>
    <row r="9709" spans="1:6" x14ac:dyDescent="0.25">
      <c r="A9709" t="str">
        <f>"003501728"</f>
        <v>003501728</v>
      </c>
      <c r="B9709" t="str">
        <f>"1689185464"</f>
        <v>1689185464</v>
      </c>
      <c r="C9709" t="str">
        <f>"363L00000X"</f>
        <v>363L00000X</v>
      </c>
      <c r="D9709" t="str">
        <f>"ROBBINS                  HEAVEN       A           "</f>
        <v xml:space="preserve">ROBBINS                  HEAVEN       A           </v>
      </c>
      <c r="E9709" t="str">
        <f>"NEW ALBANY                "</f>
        <v xml:space="preserve">NEW ALBANY                </v>
      </c>
      <c r="F9709" t="str">
        <f t="shared" si="277"/>
        <v>MS</v>
      </c>
    </row>
    <row r="9710" spans="1:6" x14ac:dyDescent="0.25">
      <c r="A9710" t="str">
        <f>"003504265"</f>
        <v>003504265</v>
      </c>
      <c r="B9710" t="str">
        <f>"1659683266"</f>
        <v>1659683266</v>
      </c>
      <c r="C9710" t="str">
        <f>"207L00000X"</f>
        <v>207L00000X</v>
      </c>
      <c r="D9710" t="str">
        <f>"BLACKLEDGE               DOUGLAS      H           "</f>
        <v xml:space="preserve">BLACKLEDGE               DOUGLAS      H           </v>
      </c>
      <c r="E9710" t="str">
        <f>"MERIDIAN                  "</f>
        <v xml:space="preserve">MERIDIAN                  </v>
      </c>
      <c r="F9710" t="str">
        <f t="shared" si="277"/>
        <v>MS</v>
      </c>
    </row>
    <row r="9711" spans="1:6" x14ac:dyDescent="0.25">
      <c r="A9711" t="str">
        <f>"003504366"</f>
        <v>003504366</v>
      </c>
      <c r="B9711" t="str">
        <f>"1619976636"</f>
        <v>1619976636</v>
      </c>
      <c r="C9711" t="str">
        <f>"208600000X"</f>
        <v>208600000X</v>
      </c>
      <c r="D9711" t="str">
        <f>"RIMMER                   DAVID        M           "</f>
        <v xml:space="preserve">RIMMER                   DAVID        M           </v>
      </c>
      <c r="E9711" t="str">
        <f>"BAY ST LOUIS              "</f>
        <v xml:space="preserve">BAY ST LOUIS              </v>
      </c>
      <c r="F9711" t="str">
        <f t="shared" si="277"/>
        <v>MS</v>
      </c>
    </row>
    <row r="9712" spans="1:6" x14ac:dyDescent="0.25">
      <c r="A9712" t="str">
        <f>"003505015"</f>
        <v>003505015</v>
      </c>
      <c r="B9712" t="str">
        <f>"1255563771"</f>
        <v>1255563771</v>
      </c>
      <c r="C9712" t="str">
        <f>"363L00000X"</f>
        <v>363L00000X</v>
      </c>
      <c r="D9712" t="str">
        <f>"GANT                     LISA         M           "</f>
        <v xml:space="preserve">GANT                     LISA         M           </v>
      </c>
      <c r="E9712" t="str">
        <f>"MERIDIAN                  "</f>
        <v xml:space="preserve">MERIDIAN                  </v>
      </c>
      <c r="F9712" t="str">
        <f t="shared" si="277"/>
        <v>MS</v>
      </c>
    </row>
    <row r="9713" spans="1:6" x14ac:dyDescent="0.25">
      <c r="A9713" t="str">
        <f>"003505897"</f>
        <v>003505897</v>
      </c>
      <c r="B9713" t="str">
        <f>"1376545145"</f>
        <v>1376545145</v>
      </c>
      <c r="C9713" t="str">
        <f>"207R00000X"</f>
        <v>207R00000X</v>
      </c>
      <c r="D9713" t="str">
        <f>"RIFKIN                   BRIAN        S           "</f>
        <v xml:space="preserve">RIFKIN                   BRIAN        S           </v>
      </c>
      <c r="E9713" t="str">
        <f>"HATTIESBURG               "</f>
        <v xml:space="preserve">HATTIESBURG               </v>
      </c>
      <c r="F9713" t="str">
        <f t="shared" si="277"/>
        <v>MS</v>
      </c>
    </row>
    <row r="9714" spans="1:6" x14ac:dyDescent="0.25">
      <c r="A9714" t="str">
        <f>"003506041"</f>
        <v>003506041</v>
      </c>
      <c r="B9714" t="str">
        <f>"1952698532"</f>
        <v>1952698532</v>
      </c>
      <c r="C9714" t="str">
        <f>"207R00000X"</f>
        <v>207R00000X</v>
      </c>
      <c r="D9714" t="str">
        <f>"JEX                      KELLEN       T           "</f>
        <v xml:space="preserve">JEX                      KELLEN       T           </v>
      </c>
      <c r="E9714" t="str">
        <f>"NATCHEZ                   "</f>
        <v xml:space="preserve">NATCHEZ                   </v>
      </c>
      <c r="F9714" t="str">
        <f t="shared" si="277"/>
        <v>MS</v>
      </c>
    </row>
    <row r="9715" spans="1:6" x14ac:dyDescent="0.25">
      <c r="A9715" t="str">
        <f>"003506057"</f>
        <v>003506057</v>
      </c>
      <c r="B9715" t="str">
        <f>"1114453594"</f>
        <v>1114453594</v>
      </c>
      <c r="C9715" t="str">
        <f>"207V00000X"</f>
        <v>207V00000X</v>
      </c>
      <c r="D9715" t="str">
        <f>"SULLIVAN                 KIMBERLY     S           "</f>
        <v xml:space="preserve">SULLIVAN                 KIMBERLY     S           </v>
      </c>
      <c r="E9715" t="str">
        <f>"TUPELO                    "</f>
        <v xml:space="preserve">TUPELO                    </v>
      </c>
      <c r="F9715" t="str">
        <f t="shared" si="277"/>
        <v>MS</v>
      </c>
    </row>
    <row r="9716" spans="1:6" x14ac:dyDescent="0.25">
      <c r="A9716" t="str">
        <f>"003506244"</f>
        <v>003506244</v>
      </c>
      <c r="B9716" t="str">
        <f>"1356715361"</f>
        <v>1356715361</v>
      </c>
      <c r="C9716" t="str">
        <f>"363L00000X"</f>
        <v>363L00000X</v>
      </c>
      <c r="D9716" t="str">
        <f>"HAIGLER                  ANGELA       D           "</f>
        <v xml:space="preserve">HAIGLER                  ANGELA       D           </v>
      </c>
      <c r="E9716" t="str">
        <f>"PETAL                     "</f>
        <v xml:space="preserve">PETAL                     </v>
      </c>
      <c r="F9716" t="str">
        <f t="shared" si="277"/>
        <v>MS</v>
      </c>
    </row>
    <row r="9717" spans="1:6" x14ac:dyDescent="0.25">
      <c r="A9717" t="str">
        <f>"003506539"</f>
        <v>003506539</v>
      </c>
      <c r="B9717" t="str">
        <f>"1336165521"</f>
        <v>1336165521</v>
      </c>
      <c r="C9717" t="str">
        <f>"367500000X"</f>
        <v>367500000X</v>
      </c>
      <c r="D9717" t="str">
        <f>"SWINNEY                  SUMMER       P           "</f>
        <v xml:space="preserve">SWINNEY                  SUMMER       P           </v>
      </c>
      <c r="E9717" t="str">
        <f>"TUPELO                    "</f>
        <v xml:space="preserve">TUPELO                    </v>
      </c>
      <c r="F9717" t="str">
        <f t="shared" si="277"/>
        <v>MS</v>
      </c>
    </row>
    <row r="9718" spans="1:6" x14ac:dyDescent="0.25">
      <c r="A9718" t="str">
        <f>"003507067"</f>
        <v>003507067</v>
      </c>
      <c r="B9718" t="str">
        <f>"1477812493"</f>
        <v>1477812493</v>
      </c>
      <c r="C9718" t="str">
        <f>"207R00000X"</f>
        <v>207R00000X</v>
      </c>
      <c r="D9718" t="str">
        <f>"RAO                      HARI                     "</f>
        <v xml:space="preserve">RAO                      HARI                     </v>
      </c>
      <c r="E9718" t="str">
        <f>"GULFPORT                  "</f>
        <v xml:space="preserve">GULFPORT                  </v>
      </c>
      <c r="F9718" t="str">
        <f t="shared" si="277"/>
        <v>MS</v>
      </c>
    </row>
    <row r="9719" spans="1:6" x14ac:dyDescent="0.25">
      <c r="A9719" t="str">
        <f>"003507781"</f>
        <v>003507781</v>
      </c>
      <c r="B9719" t="str">
        <f>"1851992549"</f>
        <v>1851992549</v>
      </c>
      <c r="C9719" t="str">
        <f>"363L00000X"</f>
        <v>363L00000X</v>
      </c>
      <c r="D9719" t="str">
        <f>"THOMPSON                 MEGAN        L           "</f>
        <v xml:space="preserve">THOMPSON                 MEGAN        L           </v>
      </c>
      <c r="E9719" t="str">
        <f>"NEW ALBANY                "</f>
        <v xml:space="preserve">NEW ALBANY                </v>
      </c>
      <c r="F9719" t="str">
        <f t="shared" si="277"/>
        <v>MS</v>
      </c>
    </row>
    <row r="9720" spans="1:6" x14ac:dyDescent="0.25">
      <c r="A9720" t="str">
        <f>"003507811"</f>
        <v>003507811</v>
      </c>
      <c r="B9720" t="str">
        <f>"1730568692"</f>
        <v>1730568692</v>
      </c>
      <c r="C9720" t="str">
        <f>"363L00000X"</f>
        <v>363L00000X</v>
      </c>
      <c r="D9720" t="str">
        <f>"CESARE                   AMANDA       M           "</f>
        <v xml:space="preserve">CESARE                   AMANDA       M           </v>
      </c>
      <c r="E9720" t="str">
        <f>"HATTIESBURG               "</f>
        <v xml:space="preserve">HATTIESBURG               </v>
      </c>
      <c r="F9720" t="str">
        <f t="shared" si="277"/>
        <v>MS</v>
      </c>
    </row>
    <row r="9721" spans="1:6" x14ac:dyDescent="0.25">
      <c r="A9721" t="str">
        <f>"003507846"</f>
        <v>003507846</v>
      </c>
      <c r="B9721" t="str">
        <f>"1932252954"</f>
        <v>1932252954</v>
      </c>
      <c r="C9721" t="str">
        <f>"208600000X"</f>
        <v>208600000X</v>
      </c>
      <c r="D9721" t="str">
        <f>"DOOLITTLE                JEFFERY      S           "</f>
        <v xml:space="preserve">DOOLITTLE                JEFFERY      S           </v>
      </c>
      <c r="E9721" t="str">
        <f>"GREENVILLE                "</f>
        <v xml:space="preserve">GREENVILLE                </v>
      </c>
      <c r="F9721" t="str">
        <f t="shared" si="277"/>
        <v>MS</v>
      </c>
    </row>
    <row r="9722" spans="1:6" x14ac:dyDescent="0.25">
      <c r="A9722" t="str">
        <f>"003508079"</f>
        <v>003508079</v>
      </c>
      <c r="B9722" t="str">
        <f>"1437586153"</f>
        <v>1437586153</v>
      </c>
      <c r="C9722" t="str">
        <f>"261QE0700X"</f>
        <v>261QE0700X</v>
      </c>
      <c r="D9722" t="str">
        <f>"FRESENIUS MEDICAL CARE GOLDEN TRIAN               "</f>
        <v xml:space="preserve">FRESENIUS MEDICAL CARE GOLDEN TRIAN               </v>
      </c>
      <c r="E9722" t="str">
        <f>"COLUMBUS                  "</f>
        <v xml:space="preserve">COLUMBUS                  </v>
      </c>
      <c r="F9722" t="str">
        <f t="shared" si="277"/>
        <v>MS</v>
      </c>
    </row>
    <row r="9723" spans="1:6" x14ac:dyDescent="0.25">
      <c r="A9723" t="str">
        <f>"003509353"</f>
        <v>003509353</v>
      </c>
      <c r="B9723" t="str">
        <f>"1689815664"</f>
        <v>1689815664</v>
      </c>
      <c r="C9723" t="str">
        <f>"208600000X"</f>
        <v>208600000X</v>
      </c>
      <c r="D9723" t="str">
        <f>"LEE                      JOHNATHAN    Y           "</f>
        <v xml:space="preserve">LEE                      JOHNATHAN    Y           </v>
      </c>
      <c r="E9723" t="str">
        <f>"MERIDIAN                  "</f>
        <v xml:space="preserve">MERIDIAN                  </v>
      </c>
      <c r="F9723" t="str">
        <f t="shared" si="277"/>
        <v>MS</v>
      </c>
    </row>
    <row r="9724" spans="1:6" x14ac:dyDescent="0.25">
      <c r="A9724" t="str">
        <f>"003509503"</f>
        <v>003509503</v>
      </c>
      <c r="B9724" t="str">
        <f>"1629141502"</f>
        <v>1629141502</v>
      </c>
      <c r="C9724" t="str">
        <f>"122300000X"</f>
        <v>122300000X</v>
      </c>
      <c r="D9724" t="str">
        <f>"RUMMELLS JR              DOUGLAS      G           "</f>
        <v xml:space="preserve">RUMMELLS JR              DOUGLAS      G           </v>
      </c>
      <c r="E9724" t="str">
        <f>"FLOWOOD                   "</f>
        <v xml:space="preserve">FLOWOOD                   </v>
      </c>
      <c r="F9724" t="str">
        <f t="shared" si="277"/>
        <v>MS</v>
      </c>
    </row>
    <row r="9725" spans="1:6" x14ac:dyDescent="0.25">
      <c r="A9725" t="str">
        <f>"003509843"</f>
        <v>003509843</v>
      </c>
      <c r="B9725" t="str">
        <f>"1023572294"</f>
        <v>1023572294</v>
      </c>
      <c r="C9725" t="str">
        <f>"363LP0808X"</f>
        <v>363LP0808X</v>
      </c>
      <c r="D9725" t="str">
        <f>"PONDER                   COLBY        B           "</f>
        <v xml:space="preserve">PONDER                   COLBY        B           </v>
      </c>
      <c r="E9725" t="str">
        <f>"NEW ALBANY                "</f>
        <v xml:space="preserve">NEW ALBANY                </v>
      </c>
      <c r="F9725" t="str">
        <f t="shared" si="277"/>
        <v>MS</v>
      </c>
    </row>
    <row r="9726" spans="1:6" x14ac:dyDescent="0.25">
      <c r="A9726" t="str">
        <f>"003520709"</f>
        <v>003520709</v>
      </c>
      <c r="B9726" t="str">
        <f>"1689888745"</f>
        <v>1689888745</v>
      </c>
      <c r="C9726" t="str">
        <f>"1223S0112X"</f>
        <v>1223S0112X</v>
      </c>
      <c r="D9726" t="str">
        <f>"ROSETTI                  JASON        O           "</f>
        <v xml:space="preserve">ROSETTI                  JASON        O           </v>
      </c>
      <c r="E9726" t="str">
        <f>"GULFPORT                  "</f>
        <v xml:space="preserve">GULFPORT                  </v>
      </c>
      <c r="F9726" t="str">
        <f t="shared" ref="F9726:F9789" si="278">"MS"</f>
        <v>MS</v>
      </c>
    </row>
    <row r="9727" spans="1:6" x14ac:dyDescent="0.25">
      <c r="A9727" t="str">
        <f>"003520851"</f>
        <v>003520851</v>
      </c>
      <c r="B9727" t="str">
        <f>"1578747390"</f>
        <v>1578747390</v>
      </c>
      <c r="C9727" t="str">
        <f>"207Y00000X"</f>
        <v>207Y00000X</v>
      </c>
      <c r="D9727" t="str">
        <f>"THOMPSON                 TIMOTHY      L           "</f>
        <v xml:space="preserve">THOMPSON                 TIMOTHY      L           </v>
      </c>
      <c r="E9727" t="str">
        <f>"HATTIESBURG               "</f>
        <v xml:space="preserve">HATTIESBURG               </v>
      </c>
      <c r="F9727" t="str">
        <f t="shared" si="278"/>
        <v>MS</v>
      </c>
    </row>
    <row r="9728" spans="1:6" x14ac:dyDescent="0.25">
      <c r="A9728" t="str">
        <f>"003521862"</f>
        <v>003521862</v>
      </c>
      <c r="B9728" t="str">
        <f>"1558458695"</f>
        <v>1558458695</v>
      </c>
      <c r="C9728" t="str">
        <f>"2080P0207X"</f>
        <v>2080P0207X</v>
      </c>
      <c r="D9728" t="str">
        <f>"MCNAULL                  MELISSA      M           "</f>
        <v xml:space="preserve">MCNAULL                  MELISSA      M           </v>
      </c>
      <c r="E9728" t="str">
        <f>"JACKSON                   "</f>
        <v xml:space="preserve">JACKSON                   </v>
      </c>
      <c r="F9728" t="str">
        <f t="shared" si="278"/>
        <v>MS</v>
      </c>
    </row>
    <row r="9729" spans="1:6" x14ac:dyDescent="0.25">
      <c r="A9729" t="str">
        <f>"003522321"</f>
        <v>003522321</v>
      </c>
      <c r="B9729" t="str">
        <f>"1043493851"</f>
        <v>1043493851</v>
      </c>
      <c r="C9729" t="str">
        <f>"261QR1300X"</f>
        <v>261QR1300X</v>
      </c>
      <c r="D9729" t="str">
        <f>"PINNACLE MEDICAL CLINIC                           "</f>
        <v xml:space="preserve">PINNACLE MEDICAL CLINIC                           </v>
      </c>
      <c r="E9729" t="str">
        <f>"SUMMIT                    "</f>
        <v xml:space="preserve">SUMMIT                    </v>
      </c>
      <c r="F9729" t="str">
        <f t="shared" si="278"/>
        <v>MS</v>
      </c>
    </row>
    <row r="9730" spans="1:6" x14ac:dyDescent="0.25">
      <c r="A9730" t="str">
        <f>"003522543"</f>
        <v>003522543</v>
      </c>
      <c r="B9730" t="str">
        <f>"1851786628"</f>
        <v>1851786628</v>
      </c>
      <c r="C9730" t="str">
        <f>"207L00000X"</f>
        <v>207L00000X</v>
      </c>
      <c r="D9730" t="str">
        <f>"MASTERSON III            CHESTER      W           "</f>
        <v xml:space="preserve">MASTERSON III            CHESTER      W           </v>
      </c>
      <c r="E9730" t="str">
        <f>"TUPELO                    "</f>
        <v xml:space="preserve">TUPELO                    </v>
      </c>
      <c r="F9730" t="str">
        <f t="shared" si="278"/>
        <v>MS</v>
      </c>
    </row>
    <row r="9731" spans="1:6" x14ac:dyDescent="0.25">
      <c r="A9731" t="str">
        <f>"003522753"</f>
        <v>003522753</v>
      </c>
      <c r="B9731" t="str">
        <f>"1861473340"</f>
        <v>1861473340</v>
      </c>
      <c r="C9731" t="str">
        <f>"122300000X"</f>
        <v>122300000X</v>
      </c>
      <c r="D9731" t="str">
        <f>"GRIFFIN                  JOSEPH       C           "</f>
        <v xml:space="preserve">GRIFFIN                  JOSEPH       C           </v>
      </c>
      <c r="E9731" t="str">
        <f>"RIPLEY                    "</f>
        <v xml:space="preserve">RIPLEY                    </v>
      </c>
      <c r="F9731" t="str">
        <f t="shared" si="278"/>
        <v>MS</v>
      </c>
    </row>
    <row r="9732" spans="1:6" x14ac:dyDescent="0.25">
      <c r="A9732" t="str">
        <f>"003524309"</f>
        <v>003524309</v>
      </c>
      <c r="B9732" t="str">
        <f>"1780654632"</f>
        <v>1780654632</v>
      </c>
      <c r="C9732" t="str">
        <f>"207RN0300X"</f>
        <v>207RN0300X</v>
      </c>
      <c r="D9732" t="str">
        <f>"MILLER                   CHRISTOPHER  D           "</f>
        <v xml:space="preserve">MILLER                   CHRISTOPHER  D           </v>
      </c>
      <c r="E9732" t="str">
        <f>"TUPELO                    "</f>
        <v xml:space="preserve">TUPELO                    </v>
      </c>
      <c r="F9732" t="str">
        <f t="shared" si="278"/>
        <v>MS</v>
      </c>
    </row>
    <row r="9733" spans="1:6" x14ac:dyDescent="0.25">
      <c r="A9733" t="str">
        <f>"003524357"</f>
        <v>003524357</v>
      </c>
      <c r="B9733" t="str">
        <f>"1467422436"</f>
        <v>1467422436</v>
      </c>
      <c r="C9733" t="str">
        <f>"207ZN0500X"</f>
        <v>207ZN0500X</v>
      </c>
      <c r="D9733" t="str">
        <f>"HIGH                     LOYD         B           "</f>
        <v xml:space="preserve">HIGH                     LOYD         B           </v>
      </c>
      <c r="E9733" t="str">
        <f>"HATTIESBURG               "</f>
        <v xml:space="preserve">HATTIESBURG               </v>
      </c>
      <c r="F9733" t="str">
        <f t="shared" si="278"/>
        <v>MS</v>
      </c>
    </row>
    <row r="9734" spans="1:6" x14ac:dyDescent="0.25">
      <c r="A9734" t="str">
        <f>"003524746"</f>
        <v>003524746</v>
      </c>
      <c r="B9734" t="str">
        <f>"1982092318"</f>
        <v>1982092318</v>
      </c>
      <c r="C9734" t="str">
        <f>"363L00000X"</f>
        <v>363L00000X</v>
      </c>
      <c r="D9734" t="str">
        <f>"PARKER                   BRANDY       D           "</f>
        <v xml:space="preserve">PARKER                   BRANDY       D           </v>
      </c>
      <c r="E9734" t="str">
        <f>"GULFPORT                  "</f>
        <v xml:space="preserve">GULFPORT                  </v>
      </c>
      <c r="F9734" t="str">
        <f t="shared" si="278"/>
        <v>MS</v>
      </c>
    </row>
    <row r="9735" spans="1:6" x14ac:dyDescent="0.25">
      <c r="A9735" t="str">
        <f>"003525881"</f>
        <v>003525881</v>
      </c>
      <c r="B9735" t="str">
        <f>"1164941548"</f>
        <v>1164941548</v>
      </c>
      <c r="C9735" t="str">
        <f>"363L00000X"</f>
        <v>363L00000X</v>
      </c>
      <c r="D9735" t="str">
        <f>"SHOWS                    CASEY        L           "</f>
        <v xml:space="preserve">SHOWS                    CASEY        L           </v>
      </c>
      <c r="E9735" t="str">
        <f>"JACKSON                   "</f>
        <v xml:space="preserve">JACKSON                   </v>
      </c>
      <c r="F9735" t="str">
        <f t="shared" si="278"/>
        <v>MS</v>
      </c>
    </row>
    <row r="9736" spans="1:6" x14ac:dyDescent="0.25">
      <c r="A9736" t="str">
        <f>"003526827"</f>
        <v>003526827</v>
      </c>
      <c r="B9736" t="str">
        <f>"1578761011"</f>
        <v>1578761011</v>
      </c>
      <c r="C9736" t="str">
        <f>"207W00000X"</f>
        <v>207W00000X</v>
      </c>
      <c r="D9736" t="str">
        <f>"BROWN                    CALVIN       C           "</f>
        <v xml:space="preserve">BROWN                    CALVIN       C           </v>
      </c>
      <c r="E9736" t="str">
        <f>"OLIVE BRANCH              "</f>
        <v xml:space="preserve">OLIVE BRANCH              </v>
      </c>
      <c r="F9736" t="str">
        <f t="shared" si="278"/>
        <v>MS</v>
      </c>
    </row>
    <row r="9737" spans="1:6" x14ac:dyDescent="0.25">
      <c r="A9737" t="str">
        <f>"003527020"</f>
        <v>003527020</v>
      </c>
      <c r="B9737" t="str">
        <f>"1114238425"</f>
        <v>1114238425</v>
      </c>
      <c r="C9737" t="str">
        <f>"207P00000X"</f>
        <v>207P00000X</v>
      </c>
      <c r="D9737" t="str">
        <f>"BEASON                   KEVIN        L           "</f>
        <v xml:space="preserve">BEASON                   KEVIN        L           </v>
      </c>
      <c r="E9737" t="str">
        <f>"PHILADELPHIA              "</f>
        <v xml:space="preserve">PHILADELPHIA              </v>
      </c>
      <c r="F9737" t="str">
        <f t="shared" si="278"/>
        <v>MS</v>
      </c>
    </row>
    <row r="9738" spans="1:6" x14ac:dyDescent="0.25">
      <c r="A9738" t="str">
        <f>"003527300"</f>
        <v>003527300</v>
      </c>
      <c r="B9738" t="str">
        <f>"1760902712"</f>
        <v>1760902712</v>
      </c>
      <c r="C9738" t="str">
        <f>"363L00000X"</f>
        <v>363L00000X</v>
      </c>
      <c r="D9738" t="str">
        <f>"CONNER                   KATELYN      E           "</f>
        <v xml:space="preserve">CONNER                   KATELYN      E           </v>
      </c>
      <c r="E9738" t="str">
        <f>"HERNANDO                  "</f>
        <v xml:space="preserve">HERNANDO                  </v>
      </c>
      <c r="F9738" t="str">
        <f t="shared" si="278"/>
        <v>MS</v>
      </c>
    </row>
    <row r="9739" spans="1:6" x14ac:dyDescent="0.25">
      <c r="A9739" t="str">
        <f>"003528721"</f>
        <v>003528721</v>
      </c>
      <c r="B9739" t="str">
        <f>"1508046236"</f>
        <v>1508046236</v>
      </c>
      <c r="C9739" t="str">
        <f>"207X00000X"</f>
        <v>207X00000X</v>
      </c>
      <c r="D9739" t="str">
        <f>"BURROW                   JAMEY        W           "</f>
        <v xml:space="preserve">BURROW                   JAMEY        W           </v>
      </c>
      <c r="E9739" t="str">
        <f>"JACKSON                   "</f>
        <v xml:space="preserve">JACKSON                   </v>
      </c>
      <c r="F9739" t="str">
        <f t="shared" si="278"/>
        <v>MS</v>
      </c>
    </row>
    <row r="9740" spans="1:6" x14ac:dyDescent="0.25">
      <c r="A9740" t="str">
        <f>"003530077"</f>
        <v>003530077</v>
      </c>
      <c r="B9740" t="str">
        <f>"1013056555"</f>
        <v>1013056555</v>
      </c>
      <c r="C9740" t="str">
        <f>"2084P0804X"</f>
        <v>2084P0804X</v>
      </c>
      <c r="D9740" t="str">
        <f>"LARKIN                   MARY         R           "</f>
        <v xml:space="preserve">LARKIN                   MARY         R           </v>
      </c>
      <c r="E9740" t="str">
        <f>"MERIDIAN                  "</f>
        <v xml:space="preserve">MERIDIAN                  </v>
      </c>
      <c r="F9740" t="str">
        <f t="shared" si="278"/>
        <v>MS</v>
      </c>
    </row>
    <row r="9741" spans="1:6" x14ac:dyDescent="0.25">
      <c r="A9741" t="str">
        <f>"003530877"</f>
        <v>003530877</v>
      </c>
      <c r="B9741" t="str">
        <f>"1659856698"</f>
        <v>1659856698</v>
      </c>
      <c r="C9741" t="str">
        <f>"363L00000X"</f>
        <v>363L00000X</v>
      </c>
      <c r="D9741" t="str">
        <f>"WILMOTH                  DEBORAH      T           "</f>
        <v xml:space="preserve">WILMOTH                  DEBORAH      T           </v>
      </c>
      <c r="E9741" t="str">
        <f>"PONTOTOC                  "</f>
        <v xml:space="preserve">PONTOTOC                  </v>
      </c>
      <c r="F9741" t="str">
        <f t="shared" si="278"/>
        <v>MS</v>
      </c>
    </row>
    <row r="9742" spans="1:6" x14ac:dyDescent="0.25">
      <c r="A9742" t="str">
        <f>"003533293"</f>
        <v>003533293</v>
      </c>
      <c r="B9742" t="str">
        <f>"1285853002"</f>
        <v>1285853002</v>
      </c>
      <c r="C9742" t="str">
        <f>"363A00000X"</f>
        <v>363A00000X</v>
      </c>
      <c r="D9742" t="str">
        <f>"HARRIS                   TRISTEN      A           "</f>
        <v xml:space="preserve">HARRIS                   TRISTEN      A           </v>
      </c>
      <c r="E9742" t="str">
        <f>"JACKSON                   "</f>
        <v xml:space="preserve">JACKSON                   </v>
      </c>
      <c r="F9742" t="str">
        <f t="shared" si="278"/>
        <v>MS</v>
      </c>
    </row>
    <row r="9743" spans="1:6" x14ac:dyDescent="0.25">
      <c r="A9743" t="str">
        <f>"003533875"</f>
        <v>003533875</v>
      </c>
      <c r="B9743" t="str">
        <f>"1295717817"</f>
        <v>1295717817</v>
      </c>
      <c r="C9743" t="str">
        <f>"208000000X"</f>
        <v>208000000X</v>
      </c>
      <c r="D9743" t="str">
        <f>"PRICE                    DEANNA       I           "</f>
        <v xml:space="preserve">PRICE                    DEANNA       I           </v>
      </c>
      <c r="E9743" t="str">
        <f>"MERIDIAN                  "</f>
        <v xml:space="preserve">MERIDIAN                  </v>
      </c>
      <c r="F9743" t="str">
        <f t="shared" si="278"/>
        <v>MS</v>
      </c>
    </row>
    <row r="9744" spans="1:6" x14ac:dyDescent="0.25">
      <c r="A9744" t="str">
        <f>"003536272"</f>
        <v>003536272</v>
      </c>
      <c r="B9744" t="str">
        <f>"1811332638"</f>
        <v>1811332638</v>
      </c>
      <c r="C9744" t="str">
        <f>"207V00000X"</f>
        <v>207V00000X</v>
      </c>
      <c r="D9744" t="str">
        <f>"ZIEBARTH                 SARAH        K           "</f>
        <v xml:space="preserve">ZIEBARTH                 SARAH        K           </v>
      </c>
      <c r="E9744" t="str">
        <f>"OLIVE BRANCH              "</f>
        <v xml:space="preserve">OLIVE BRANCH              </v>
      </c>
      <c r="F9744" t="str">
        <f t="shared" si="278"/>
        <v>MS</v>
      </c>
    </row>
    <row r="9745" spans="1:6" x14ac:dyDescent="0.25">
      <c r="A9745" t="str">
        <f>"003539291"</f>
        <v>003539291</v>
      </c>
      <c r="B9745" t="str">
        <f>"1437561982"</f>
        <v>1437561982</v>
      </c>
      <c r="C9745" t="str">
        <f>"363L00000X"</f>
        <v>363L00000X</v>
      </c>
      <c r="D9745" t="str">
        <f>"BUTLER                   LAKESHA      J           "</f>
        <v xml:space="preserve">BUTLER                   LAKESHA      J           </v>
      </c>
      <c r="E9745" t="str">
        <f>"TUPELO                    "</f>
        <v xml:space="preserve">TUPELO                    </v>
      </c>
      <c r="F9745" t="str">
        <f t="shared" si="278"/>
        <v>MS</v>
      </c>
    </row>
    <row r="9746" spans="1:6" x14ac:dyDescent="0.25">
      <c r="A9746" t="str">
        <f>"003539538"</f>
        <v>003539538</v>
      </c>
      <c r="B9746" t="str">
        <f>"1598178253"</f>
        <v>1598178253</v>
      </c>
      <c r="C9746" t="str">
        <f>"122300000X"</f>
        <v>122300000X</v>
      </c>
      <c r="D9746" t="str">
        <f>"JONES                    OSCAR        R           "</f>
        <v xml:space="preserve">JONES                    OSCAR        R           </v>
      </c>
      <c r="E9746" t="str">
        <f>"WAYNESBORO                "</f>
        <v xml:space="preserve">WAYNESBORO                </v>
      </c>
      <c r="F9746" t="str">
        <f t="shared" si="278"/>
        <v>MS</v>
      </c>
    </row>
    <row r="9747" spans="1:6" x14ac:dyDescent="0.25">
      <c r="A9747" t="str">
        <f>"003539551"</f>
        <v>003539551</v>
      </c>
      <c r="B9747" t="str">
        <f>"1578904686"</f>
        <v>1578904686</v>
      </c>
      <c r="C9747" t="str">
        <f>"2085R0202X"</f>
        <v>2085R0202X</v>
      </c>
      <c r="D9747" t="str">
        <f>"WILLIAMS                 NILDA        M           "</f>
        <v xml:space="preserve">WILLIAMS                 NILDA        M           </v>
      </c>
      <c r="E9747" t="str">
        <f>"JACKSON                   "</f>
        <v xml:space="preserve">JACKSON                   </v>
      </c>
      <c r="F9747" t="str">
        <f t="shared" si="278"/>
        <v>MS</v>
      </c>
    </row>
    <row r="9748" spans="1:6" x14ac:dyDescent="0.25">
      <c r="A9748" t="str">
        <f>"003539762"</f>
        <v>003539762</v>
      </c>
      <c r="B9748" t="str">
        <f>"1235741547"</f>
        <v>1235741547</v>
      </c>
      <c r="C9748" t="str">
        <f>"363L00000X"</f>
        <v>363L00000X</v>
      </c>
      <c r="D9748" t="str">
        <f>"KIRKMAN                  LAUREN                   "</f>
        <v xml:space="preserve">KIRKMAN                  LAUREN                   </v>
      </c>
      <c r="E9748" t="str">
        <f>"RIPLEY                    "</f>
        <v xml:space="preserve">RIPLEY                    </v>
      </c>
      <c r="F9748" t="str">
        <f t="shared" si="278"/>
        <v>MS</v>
      </c>
    </row>
    <row r="9749" spans="1:6" x14ac:dyDescent="0.25">
      <c r="A9749" t="str">
        <f>"003551301"</f>
        <v>003551301</v>
      </c>
      <c r="B9749" t="str">
        <f>"1669774667"</f>
        <v>1669774667</v>
      </c>
      <c r="C9749" t="str">
        <f>"367500000X"</f>
        <v>367500000X</v>
      </c>
      <c r="D9749" t="str">
        <f>"TAYLOR                   ELDRIDGE     L           "</f>
        <v xml:space="preserve">TAYLOR                   ELDRIDGE     L           </v>
      </c>
      <c r="E9749" t="str">
        <f>"JACKSON                   "</f>
        <v xml:space="preserve">JACKSON                   </v>
      </c>
      <c r="F9749" t="str">
        <f t="shared" si="278"/>
        <v>MS</v>
      </c>
    </row>
    <row r="9750" spans="1:6" x14ac:dyDescent="0.25">
      <c r="A9750" t="str">
        <f>"003551501"</f>
        <v>003551501</v>
      </c>
      <c r="B9750" t="str">
        <f>"1740391390"</f>
        <v>1740391390</v>
      </c>
      <c r="C9750" t="str">
        <f>"207R00000X"</f>
        <v>207R00000X</v>
      </c>
      <c r="D9750" t="str">
        <f>"KAVANAGH                 JOEL         B           "</f>
        <v xml:space="preserve">KAVANAGH                 JOEL         B           </v>
      </c>
      <c r="E9750" t="str">
        <f>"OXFORD                    "</f>
        <v xml:space="preserve">OXFORD                    </v>
      </c>
      <c r="F9750" t="str">
        <f t="shared" si="278"/>
        <v>MS</v>
      </c>
    </row>
    <row r="9751" spans="1:6" x14ac:dyDescent="0.25">
      <c r="A9751" t="str">
        <f>"003551778"</f>
        <v>003551778</v>
      </c>
      <c r="B9751" t="str">
        <f>"1538774310"</f>
        <v>1538774310</v>
      </c>
      <c r="C9751" t="str">
        <f>"363L00000X"</f>
        <v>363L00000X</v>
      </c>
      <c r="D9751" t="str">
        <f>"NEWELL                   TIFFANY      S           "</f>
        <v xml:space="preserve">NEWELL                   TIFFANY      S           </v>
      </c>
      <c r="E9751" t="str">
        <f>"RICHLAND                  "</f>
        <v xml:space="preserve">RICHLAND                  </v>
      </c>
      <c r="F9751" t="str">
        <f t="shared" si="278"/>
        <v>MS</v>
      </c>
    </row>
    <row r="9752" spans="1:6" x14ac:dyDescent="0.25">
      <c r="A9752" t="str">
        <f>"003553252"</f>
        <v>003553252</v>
      </c>
      <c r="B9752" t="str">
        <f>"1013442904"</f>
        <v>1013442904</v>
      </c>
      <c r="C9752" t="str">
        <f>"207R00000X"</f>
        <v>207R00000X</v>
      </c>
      <c r="D9752" t="str">
        <f>"CHAROENTONG              ANUTIDA                  "</f>
        <v xml:space="preserve">CHAROENTONG              ANUTIDA                  </v>
      </c>
      <c r="E9752" t="str">
        <f>"PURVIS                    "</f>
        <v xml:space="preserve">PURVIS                    </v>
      </c>
      <c r="F9752" t="str">
        <f t="shared" si="278"/>
        <v>MS</v>
      </c>
    </row>
    <row r="9753" spans="1:6" x14ac:dyDescent="0.25">
      <c r="A9753" t="str">
        <f>"003556217"</f>
        <v>003556217</v>
      </c>
      <c r="B9753" t="str">
        <f>"1417104167"</f>
        <v>1417104167</v>
      </c>
      <c r="C9753" t="str">
        <f>"2080P0006X"</f>
        <v>2080P0006X</v>
      </c>
      <c r="D9753" t="str">
        <f>"SAUNDERS                 BARBARA      S           "</f>
        <v xml:space="preserve">SAUNDERS                 BARBARA      S           </v>
      </c>
      <c r="E9753" t="str">
        <f>"JACKSON                   "</f>
        <v xml:space="preserve">JACKSON                   </v>
      </c>
      <c r="F9753" t="str">
        <f t="shared" si="278"/>
        <v>MS</v>
      </c>
    </row>
    <row r="9754" spans="1:6" x14ac:dyDescent="0.25">
      <c r="A9754" t="str">
        <f>"003556749"</f>
        <v>003556749</v>
      </c>
      <c r="B9754" t="str">
        <f>"1932553229"</f>
        <v>1932553229</v>
      </c>
      <c r="C9754" t="str">
        <f>"207V00000X"</f>
        <v>207V00000X</v>
      </c>
      <c r="D9754" t="str">
        <f>"PAIGE                    ADRIENNE     C           "</f>
        <v xml:space="preserve">PAIGE                    ADRIENNE     C           </v>
      </c>
      <c r="E9754" t="str">
        <f>"COLUMBUS                  "</f>
        <v xml:space="preserve">COLUMBUS                  </v>
      </c>
      <c r="F9754" t="str">
        <f t="shared" si="278"/>
        <v>MS</v>
      </c>
    </row>
    <row r="9755" spans="1:6" x14ac:dyDescent="0.25">
      <c r="A9755" t="str">
        <f>"003556870"</f>
        <v>003556870</v>
      </c>
      <c r="B9755" t="str">
        <f>"1528242351"</f>
        <v>1528242351</v>
      </c>
      <c r="C9755" t="str">
        <f>"122300000X"</f>
        <v>122300000X</v>
      </c>
      <c r="D9755" t="str">
        <f>"RANDY S HATHORN DMD                               "</f>
        <v xml:space="preserve">RANDY S HATHORN DMD                               </v>
      </c>
      <c r="E9755" t="str">
        <f>"BASSFIELD                 "</f>
        <v xml:space="preserve">BASSFIELD                 </v>
      </c>
      <c r="F9755" t="str">
        <f t="shared" si="278"/>
        <v>MS</v>
      </c>
    </row>
    <row r="9756" spans="1:6" x14ac:dyDescent="0.25">
      <c r="A9756" t="str">
        <f>"003557861"</f>
        <v>003557861</v>
      </c>
      <c r="B9756" t="str">
        <f>"1790049120"</f>
        <v>1790049120</v>
      </c>
      <c r="C9756" t="str">
        <f>"207ZP0101X"</f>
        <v>207ZP0101X</v>
      </c>
      <c r="D9756" t="str">
        <f>"BRENTS                   MELISSA      J           "</f>
        <v xml:space="preserve">BRENTS                   MELISSA      J           </v>
      </c>
      <c r="E9756" t="str">
        <f>"HATTIESBURG               "</f>
        <v xml:space="preserve">HATTIESBURG               </v>
      </c>
      <c r="F9756" t="str">
        <f t="shared" si="278"/>
        <v>MS</v>
      </c>
    </row>
    <row r="9757" spans="1:6" x14ac:dyDescent="0.25">
      <c r="A9757" t="str">
        <f>"003557871"</f>
        <v>003557871</v>
      </c>
      <c r="B9757" t="str">
        <f>"1487909859"</f>
        <v>1487909859</v>
      </c>
      <c r="C9757" t="str">
        <f>"207V00000X"</f>
        <v>207V00000X</v>
      </c>
      <c r="D9757" t="str">
        <f>"GRANT                    JALARNA      J           "</f>
        <v xml:space="preserve">GRANT                    JALARNA      J           </v>
      </c>
      <c r="E9757" t="str">
        <f>"OLIVE BRANCH              "</f>
        <v xml:space="preserve">OLIVE BRANCH              </v>
      </c>
      <c r="F9757" t="str">
        <f t="shared" si="278"/>
        <v>MS</v>
      </c>
    </row>
    <row r="9758" spans="1:6" x14ac:dyDescent="0.25">
      <c r="A9758" t="str">
        <f>"003558081"</f>
        <v>003558081</v>
      </c>
      <c r="B9758" t="str">
        <f>"1215304696"</f>
        <v>1215304696</v>
      </c>
      <c r="C9758" t="str">
        <f>"363L00000X"</f>
        <v>363L00000X</v>
      </c>
      <c r="D9758" t="str">
        <f>"WRIGHT                   CHRISTOPHER  L           "</f>
        <v xml:space="preserve">WRIGHT                   CHRISTOPHER  L           </v>
      </c>
      <c r="E9758" t="str">
        <f>"TUPELO                    "</f>
        <v xml:space="preserve">TUPELO                    </v>
      </c>
      <c r="F9758" t="str">
        <f t="shared" si="278"/>
        <v>MS</v>
      </c>
    </row>
    <row r="9759" spans="1:6" x14ac:dyDescent="0.25">
      <c r="A9759" t="str">
        <f>"003558525"</f>
        <v>003558525</v>
      </c>
      <c r="B9759" t="str">
        <f>"1194858688"</f>
        <v>1194858688</v>
      </c>
      <c r="C9759" t="str">
        <f>"2086S0122X"</f>
        <v>2086S0122X</v>
      </c>
      <c r="D9759" t="str">
        <f>"JACKSON                  WILLIAM      D           "</f>
        <v xml:space="preserve">JACKSON                  WILLIAM      D           </v>
      </c>
      <c r="E9759" t="str">
        <f>"MADISON                   "</f>
        <v xml:space="preserve">MADISON                   </v>
      </c>
      <c r="F9759" t="str">
        <f t="shared" si="278"/>
        <v>MS</v>
      </c>
    </row>
    <row r="9760" spans="1:6" x14ac:dyDescent="0.25">
      <c r="A9760" t="str">
        <f>"003558755"</f>
        <v>003558755</v>
      </c>
      <c r="B9760" t="str">
        <f>"1316557416"</f>
        <v>1316557416</v>
      </c>
      <c r="C9760" t="str">
        <f>"363L00000X"</f>
        <v>363L00000X</v>
      </c>
      <c r="D9760" t="str">
        <f>"MYERS                    STEPHANIE    M           "</f>
        <v xml:space="preserve">MYERS                    STEPHANIE    M           </v>
      </c>
      <c r="E9760" t="str">
        <f>"KILMICHAEL                "</f>
        <v xml:space="preserve">KILMICHAEL                </v>
      </c>
      <c r="F9760" t="str">
        <f t="shared" si="278"/>
        <v>MS</v>
      </c>
    </row>
    <row r="9761" spans="1:6" x14ac:dyDescent="0.25">
      <c r="A9761" t="str">
        <f>"003559503"</f>
        <v>003559503</v>
      </c>
      <c r="B9761" t="str">
        <f>"1568606176"</f>
        <v>1568606176</v>
      </c>
      <c r="C9761" t="str">
        <f>"207ZP0102X"</f>
        <v>207ZP0102X</v>
      </c>
      <c r="D9761" t="str">
        <f>"SAFLEY                   MATTHEW      L           "</f>
        <v xml:space="preserve">SAFLEY                   MATTHEW      L           </v>
      </c>
      <c r="E9761" t="str">
        <f>"GULFPORT                  "</f>
        <v xml:space="preserve">GULFPORT                  </v>
      </c>
      <c r="F9761" t="str">
        <f t="shared" si="278"/>
        <v>MS</v>
      </c>
    </row>
    <row r="9762" spans="1:6" x14ac:dyDescent="0.25">
      <c r="A9762" t="str">
        <f>"003572035"</f>
        <v>003572035</v>
      </c>
      <c r="B9762" t="str">
        <f>"1881643088"</f>
        <v>1881643088</v>
      </c>
      <c r="C9762" t="str">
        <f>"207R00000X"</f>
        <v>207R00000X</v>
      </c>
      <c r="D9762" t="str">
        <f>"YOUSUF                   SHUJA                    "</f>
        <v xml:space="preserve">YOUSUF                   SHUJA                    </v>
      </c>
      <c r="E9762" t="str">
        <f>"JACKSON                   "</f>
        <v xml:space="preserve">JACKSON                   </v>
      </c>
      <c r="F9762" t="str">
        <f t="shared" si="278"/>
        <v>MS</v>
      </c>
    </row>
    <row r="9763" spans="1:6" x14ac:dyDescent="0.25">
      <c r="A9763" t="str">
        <f>"003572749"</f>
        <v>003572749</v>
      </c>
      <c r="B9763" t="str">
        <f>"1033797550"</f>
        <v>1033797550</v>
      </c>
      <c r="C9763" t="str">
        <f>"207Q00000X"</f>
        <v>207Q00000X</v>
      </c>
      <c r="D9763" t="str">
        <f>"MITCHELL                 JANICE       M           "</f>
        <v xml:space="preserve">MITCHELL                 JANICE       M           </v>
      </c>
      <c r="E9763" t="str">
        <f>"TUPELO                    "</f>
        <v xml:space="preserve">TUPELO                    </v>
      </c>
      <c r="F9763" t="str">
        <f t="shared" si="278"/>
        <v>MS</v>
      </c>
    </row>
    <row r="9764" spans="1:6" x14ac:dyDescent="0.25">
      <c r="A9764" t="str">
        <f>"003575076"</f>
        <v>003575076</v>
      </c>
      <c r="B9764" t="str">
        <f>"1942466842"</f>
        <v>1942466842</v>
      </c>
      <c r="C9764" t="str">
        <f>"207R00000X"</f>
        <v>207R00000X</v>
      </c>
      <c r="D9764" t="str">
        <f>"GUPTA                    RICHA                    "</f>
        <v xml:space="preserve">GUPTA                    RICHA                    </v>
      </c>
      <c r="E9764" t="str">
        <f>"GULFPORT                  "</f>
        <v xml:space="preserve">GULFPORT                  </v>
      </c>
      <c r="F9764" t="str">
        <f t="shared" si="278"/>
        <v>MS</v>
      </c>
    </row>
    <row r="9765" spans="1:6" x14ac:dyDescent="0.25">
      <c r="A9765" t="str">
        <f>"003576323"</f>
        <v>003576323</v>
      </c>
      <c r="B9765" t="str">
        <f>"1508951286"</f>
        <v>1508951286</v>
      </c>
      <c r="C9765" t="str">
        <f>"122300000X"</f>
        <v>122300000X</v>
      </c>
      <c r="D9765" t="str">
        <f>"ROWAN                    KARA         M           "</f>
        <v xml:space="preserve">ROWAN                    KARA         M           </v>
      </c>
      <c r="E9765" t="str">
        <f>"FLOWOOD                   "</f>
        <v xml:space="preserve">FLOWOOD                   </v>
      </c>
      <c r="F9765" t="str">
        <f t="shared" si="278"/>
        <v>MS</v>
      </c>
    </row>
    <row r="9766" spans="1:6" x14ac:dyDescent="0.25">
      <c r="A9766" t="str">
        <f>"003577341"</f>
        <v>003577341</v>
      </c>
      <c r="B9766" t="str">
        <f>"1528373586"</f>
        <v>1528373586</v>
      </c>
      <c r="C9766" t="str">
        <f>"363L00000X"</f>
        <v>363L00000X</v>
      </c>
      <c r="D9766" t="str">
        <f>"WALLEY                   ANNA         D           "</f>
        <v xml:space="preserve">WALLEY                   ANNA         D           </v>
      </c>
      <c r="E9766" t="str">
        <f>"JACKSON                   "</f>
        <v xml:space="preserve">JACKSON                   </v>
      </c>
      <c r="F9766" t="str">
        <f t="shared" si="278"/>
        <v>MS</v>
      </c>
    </row>
    <row r="9767" spans="1:6" x14ac:dyDescent="0.25">
      <c r="A9767" t="str">
        <f>"003580821"</f>
        <v>003580821</v>
      </c>
      <c r="B9767" t="str">
        <f>"1316172794"</f>
        <v>1316172794</v>
      </c>
      <c r="C9767" t="str">
        <f>"363L00000X"</f>
        <v>363L00000X</v>
      </c>
      <c r="D9767" t="str">
        <f>"SLOCUM                   RACHEL       A           "</f>
        <v xml:space="preserve">SLOCUM                   RACHEL       A           </v>
      </c>
      <c r="E9767" t="str">
        <f>"GULFPORT                  "</f>
        <v xml:space="preserve">GULFPORT                  </v>
      </c>
      <c r="F9767" t="str">
        <f t="shared" si="278"/>
        <v>MS</v>
      </c>
    </row>
    <row r="9768" spans="1:6" x14ac:dyDescent="0.25">
      <c r="A9768" t="str">
        <f>"003581043"</f>
        <v>003581043</v>
      </c>
      <c r="B9768" t="str">
        <f>"1033574413"</f>
        <v>1033574413</v>
      </c>
      <c r="C9768" t="str">
        <f>"261QA0600X"</f>
        <v>261QA0600X</v>
      </c>
      <c r="D9768" t="str">
        <f>"NEW BEGINNINGS ADULT DAYCARE 2 LLC                "</f>
        <v xml:space="preserve">NEW BEGINNINGS ADULT DAYCARE 2 LLC                </v>
      </c>
      <c r="E9768" t="str">
        <f>"MERIDIAN                  "</f>
        <v xml:space="preserve">MERIDIAN                  </v>
      </c>
      <c r="F9768" t="str">
        <f t="shared" si="278"/>
        <v>MS</v>
      </c>
    </row>
    <row r="9769" spans="1:6" x14ac:dyDescent="0.25">
      <c r="A9769" t="str">
        <f>"003581391"</f>
        <v>003581391</v>
      </c>
      <c r="B9769" t="str">
        <f>"1104973080"</f>
        <v>1104973080</v>
      </c>
      <c r="C9769" t="str">
        <f>"207ZP0102X"</f>
        <v>207ZP0102X</v>
      </c>
      <c r="D9769" t="str">
        <f>"FASIG III                JOHN         H           "</f>
        <v xml:space="preserve">FASIG III                JOHN         H           </v>
      </c>
      <c r="E9769" t="str">
        <f>"SOUTHAVEN                 "</f>
        <v xml:space="preserve">SOUTHAVEN                 </v>
      </c>
      <c r="F9769" t="str">
        <f t="shared" si="278"/>
        <v>MS</v>
      </c>
    </row>
    <row r="9770" spans="1:6" x14ac:dyDescent="0.25">
      <c r="A9770" t="str">
        <f>"003581557"</f>
        <v>003581557</v>
      </c>
      <c r="B9770" t="str">
        <f>"1023186038"</f>
        <v>1023186038</v>
      </c>
      <c r="C9770" t="str">
        <f>"363L00000X"</f>
        <v>363L00000X</v>
      </c>
      <c r="D9770" t="str">
        <f>"CHAMBERS                 LINDA        P           "</f>
        <v xml:space="preserve">CHAMBERS                 LINDA        P           </v>
      </c>
      <c r="E9770" t="str">
        <f>"CAMDEN                    "</f>
        <v xml:space="preserve">CAMDEN                    </v>
      </c>
      <c r="F9770" t="str">
        <f t="shared" si="278"/>
        <v>MS</v>
      </c>
    </row>
    <row r="9771" spans="1:6" x14ac:dyDescent="0.25">
      <c r="A9771" t="str">
        <f>"003583769"</f>
        <v>003583769</v>
      </c>
      <c r="B9771" t="str">
        <f>"1578816575"</f>
        <v>1578816575</v>
      </c>
      <c r="C9771" t="str">
        <f>"363L00000X"</f>
        <v>363L00000X</v>
      </c>
      <c r="D9771" t="str">
        <f>"NESTER                   CASEY        T           "</f>
        <v xml:space="preserve">NESTER                   CASEY        T           </v>
      </c>
      <c r="E9771" t="str">
        <f>"SOUTHAVEN                 "</f>
        <v xml:space="preserve">SOUTHAVEN                 </v>
      </c>
      <c r="F9771" t="str">
        <f t="shared" si="278"/>
        <v>MS</v>
      </c>
    </row>
    <row r="9772" spans="1:6" x14ac:dyDescent="0.25">
      <c r="A9772" t="str">
        <f>"003584058"</f>
        <v>003584058</v>
      </c>
      <c r="B9772" t="str">
        <f>"1316421373"</f>
        <v>1316421373</v>
      </c>
      <c r="C9772" t="str">
        <f>"261QR1300X"</f>
        <v>261QR1300X</v>
      </c>
      <c r="D9772" t="str">
        <f>"CHILDRENS INTERNATIONAL MEDICAL (PI               "</f>
        <v xml:space="preserve">CHILDRENS INTERNATIONAL MEDICAL (PI               </v>
      </c>
      <c r="E9772" t="str">
        <f>"PICAYUNE                  "</f>
        <v xml:space="preserve">PICAYUNE                  </v>
      </c>
      <c r="F9772" t="str">
        <f t="shared" si="278"/>
        <v>MS</v>
      </c>
    </row>
    <row r="9773" spans="1:6" x14ac:dyDescent="0.25">
      <c r="A9773" t="str">
        <f>"003586806"</f>
        <v>003586806</v>
      </c>
      <c r="B9773" t="str">
        <f>"1265942288"</f>
        <v>1265942288</v>
      </c>
      <c r="C9773" t="str">
        <f>"363L00000X"</f>
        <v>363L00000X</v>
      </c>
      <c r="D9773" t="str">
        <f>"PLUNK                    KELLI                    "</f>
        <v xml:space="preserve">PLUNK                    KELLI                    </v>
      </c>
      <c r="E9773" t="str">
        <f>"TUPELO                    "</f>
        <v xml:space="preserve">TUPELO                    </v>
      </c>
      <c r="F9773" t="str">
        <f t="shared" si="278"/>
        <v>MS</v>
      </c>
    </row>
    <row r="9774" spans="1:6" x14ac:dyDescent="0.25">
      <c r="A9774" t="str">
        <f>"003588841"</f>
        <v>003588841</v>
      </c>
      <c r="B9774" t="str">
        <f>"1265631907"</f>
        <v>1265631907</v>
      </c>
      <c r="C9774" t="str">
        <f>"207Q00000X"</f>
        <v>207Q00000X</v>
      </c>
      <c r="D9774" t="str">
        <f>"OKORIE                   IKECHUKWU    H           "</f>
        <v xml:space="preserve">OKORIE                   IKECHUKWU    H           </v>
      </c>
      <c r="E9774" t="str">
        <f>"HATTIESBURG               "</f>
        <v xml:space="preserve">HATTIESBURG               </v>
      </c>
      <c r="F9774" t="str">
        <f t="shared" si="278"/>
        <v>MS</v>
      </c>
    </row>
    <row r="9775" spans="1:6" x14ac:dyDescent="0.25">
      <c r="A9775" t="str">
        <f>"003600086"</f>
        <v>003600086</v>
      </c>
      <c r="B9775" t="str">
        <f>"1609259936"</f>
        <v>1609259936</v>
      </c>
      <c r="C9775" t="str">
        <f>"261QM3000X"</f>
        <v>261QM3000X</v>
      </c>
      <c r="D9775" t="str">
        <f>"MERIDIAN PEDIATRIC EXTENDED CARE                  "</f>
        <v xml:space="preserve">MERIDIAN PEDIATRIC EXTENDED CARE                  </v>
      </c>
      <c r="E9775" t="str">
        <f>"MERIDIAN                  "</f>
        <v xml:space="preserve">MERIDIAN                  </v>
      </c>
      <c r="F9775" t="str">
        <f t="shared" si="278"/>
        <v>MS</v>
      </c>
    </row>
    <row r="9776" spans="1:6" x14ac:dyDescent="0.25">
      <c r="A9776" t="str">
        <f>"003600303"</f>
        <v>003600303</v>
      </c>
      <c r="B9776" t="str">
        <f>"1437538410"</f>
        <v>1437538410</v>
      </c>
      <c r="C9776" t="str">
        <f>"363L00000X"</f>
        <v>363L00000X</v>
      </c>
      <c r="D9776" t="str">
        <f>"JOHNSON                  CHARLES      D           "</f>
        <v xml:space="preserve">JOHNSON                  CHARLES      D           </v>
      </c>
      <c r="E9776" t="str">
        <f>"HATTIESBURG               "</f>
        <v xml:space="preserve">HATTIESBURG               </v>
      </c>
      <c r="F9776" t="str">
        <f t="shared" si="278"/>
        <v>MS</v>
      </c>
    </row>
    <row r="9777" spans="1:6" x14ac:dyDescent="0.25">
      <c r="A9777" t="str">
        <f>"003601094"</f>
        <v>003601094</v>
      </c>
      <c r="B9777" t="str">
        <f>"1295019651"</f>
        <v>1295019651</v>
      </c>
      <c r="C9777" t="str">
        <f>"363L00000X"</f>
        <v>363L00000X</v>
      </c>
      <c r="D9777" t="str">
        <f>"SHARP                    SAMUEL                   "</f>
        <v xml:space="preserve">SHARP                    SAMUEL                   </v>
      </c>
      <c r="E9777" t="str">
        <f>"RIDGELAND                 "</f>
        <v xml:space="preserve">RIDGELAND                 </v>
      </c>
      <c r="F9777" t="str">
        <f t="shared" si="278"/>
        <v>MS</v>
      </c>
    </row>
    <row r="9778" spans="1:6" x14ac:dyDescent="0.25">
      <c r="A9778" t="str">
        <f>"003601344"</f>
        <v>003601344</v>
      </c>
      <c r="B9778" t="str">
        <f>"1669760385"</f>
        <v>1669760385</v>
      </c>
      <c r="C9778" t="str">
        <f>"207W00000X"</f>
        <v>207W00000X</v>
      </c>
      <c r="D9778" t="str">
        <f>"LIN                      ALBERT       L           "</f>
        <v xml:space="preserve">LIN                      ALBERT       L           </v>
      </c>
      <c r="E9778" t="str">
        <f>"JACKSON                   "</f>
        <v xml:space="preserve">JACKSON                   </v>
      </c>
      <c r="F9778" t="str">
        <f t="shared" si="278"/>
        <v>MS</v>
      </c>
    </row>
    <row r="9779" spans="1:6" x14ac:dyDescent="0.25">
      <c r="A9779" t="str">
        <f>"003601858"</f>
        <v>003601858</v>
      </c>
      <c r="B9779" t="str">
        <f>"1659844405"</f>
        <v>1659844405</v>
      </c>
      <c r="C9779" t="str">
        <f>"261QR1300X"</f>
        <v>261QR1300X</v>
      </c>
      <c r="D9779" t="str">
        <f>"MRH MEDICAL GROUP,PRIMARY CARE AND WOMENS WELLNESS"</f>
        <v>MRH MEDICAL GROUP,PRIMARY CARE AND WOMENS WELLNESS</v>
      </c>
      <c r="E9779" t="str">
        <f>"COLUMBUS                  "</f>
        <v xml:space="preserve">COLUMBUS                  </v>
      </c>
      <c r="F9779" t="str">
        <f t="shared" si="278"/>
        <v>MS</v>
      </c>
    </row>
    <row r="9780" spans="1:6" x14ac:dyDescent="0.25">
      <c r="A9780" t="str">
        <f>"003602857"</f>
        <v>003602857</v>
      </c>
      <c r="B9780" t="str">
        <f>"1174908420"</f>
        <v>1174908420</v>
      </c>
      <c r="C9780" t="str">
        <f>"363L00000X"</f>
        <v>363L00000X</v>
      </c>
      <c r="D9780" t="str">
        <f>"HORTON DRUMMOND          MELODY       C           "</f>
        <v xml:space="preserve">HORTON DRUMMOND          MELODY       C           </v>
      </c>
      <c r="E9780" t="str">
        <f>"OCEAN SPRINGS             "</f>
        <v xml:space="preserve">OCEAN SPRINGS             </v>
      </c>
      <c r="F9780" t="str">
        <f t="shared" si="278"/>
        <v>MS</v>
      </c>
    </row>
    <row r="9781" spans="1:6" x14ac:dyDescent="0.25">
      <c r="A9781" t="str">
        <f>"003603016"</f>
        <v>003603016</v>
      </c>
      <c r="B9781" t="str">
        <f>"1619154051"</f>
        <v>1619154051</v>
      </c>
      <c r="C9781" t="str">
        <f>"207Q00000X"</f>
        <v>207Q00000X</v>
      </c>
      <c r="D9781" t="str">
        <f>"MNZAVA                   CHRISTY      M           "</f>
        <v xml:space="preserve">MNZAVA                   CHRISTY      M           </v>
      </c>
      <c r="E9781" t="str">
        <f>"MERIDIAN                  "</f>
        <v xml:space="preserve">MERIDIAN                  </v>
      </c>
      <c r="F9781" t="str">
        <f t="shared" si="278"/>
        <v>MS</v>
      </c>
    </row>
    <row r="9782" spans="1:6" x14ac:dyDescent="0.25">
      <c r="A9782" t="str">
        <f>"003603097"</f>
        <v>003603097</v>
      </c>
      <c r="B9782" t="str">
        <f>"1154580249"</f>
        <v>1154580249</v>
      </c>
      <c r="C9782" t="str">
        <f>"207R00000X"</f>
        <v>207R00000X</v>
      </c>
      <c r="D9782" t="str">
        <f>"THOPPIL                  DEEPU        R           "</f>
        <v xml:space="preserve">THOPPIL                  DEEPU        R           </v>
      </c>
      <c r="E9782" t="str">
        <f>"LAUREL                    "</f>
        <v xml:space="preserve">LAUREL                    </v>
      </c>
      <c r="F9782" t="str">
        <f t="shared" si="278"/>
        <v>MS</v>
      </c>
    </row>
    <row r="9783" spans="1:6" x14ac:dyDescent="0.25">
      <c r="A9783" t="str">
        <f>"003604211"</f>
        <v>003604211</v>
      </c>
      <c r="B9783" t="str">
        <f>"1508186990"</f>
        <v>1508186990</v>
      </c>
      <c r="C9783" t="str">
        <f>"207V00000X"</f>
        <v>207V00000X</v>
      </c>
      <c r="D9783" t="str">
        <f>"TAYLOR, JR               DAVID        P           "</f>
        <v xml:space="preserve">TAYLOR, JR               DAVID        P           </v>
      </c>
      <c r="E9783" t="str">
        <f>"GULFPORT                  "</f>
        <v xml:space="preserve">GULFPORT                  </v>
      </c>
      <c r="F9783" t="str">
        <f t="shared" si="278"/>
        <v>MS</v>
      </c>
    </row>
    <row r="9784" spans="1:6" x14ac:dyDescent="0.25">
      <c r="A9784" t="str">
        <f>"003604510"</f>
        <v>003604510</v>
      </c>
      <c r="B9784" t="str">
        <f>"1346982048"</f>
        <v>1346982048</v>
      </c>
      <c r="C9784" t="str">
        <f>"207R00000X"</f>
        <v>207R00000X</v>
      </c>
      <c r="D9784" t="str">
        <f>"RISINGER                 BRODY                    "</f>
        <v xml:space="preserve">RISINGER                 BRODY                    </v>
      </c>
      <c r="E9784" t="str">
        <f>"JACKSON                   "</f>
        <v xml:space="preserve">JACKSON                   </v>
      </c>
      <c r="F9784" t="str">
        <f t="shared" si="278"/>
        <v>MS</v>
      </c>
    </row>
    <row r="9785" spans="1:6" x14ac:dyDescent="0.25">
      <c r="A9785" t="str">
        <f>"003604868"</f>
        <v>003604868</v>
      </c>
      <c r="B9785" t="str">
        <f>"1982732228"</f>
        <v>1982732228</v>
      </c>
      <c r="C9785" t="str">
        <f>"2085R0202X"</f>
        <v>2085R0202X</v>
      </c>
      <c r="D9785" t="str">
        <f>"MORRIS                   ROBERT       W           "</f>
        <v xml:space="preserve">MORRIS                   ROBERT       W           </v>
      </c>
      <c r="E9785" t="str">
        <f>"JACKSON                   "</f>
        <v xml:space="preserve">JACKSON                   </v>
      </c>
      <c r="F9785" t="str">
        <f t="shared" si="278"/>
        <v>MS</v>
      </c>
    </row>
    <row r="9786" spans="1:6" x14ac:dyDescent="0.25">
      <c r="A9786" t="str">
        <f>"003605010"</f>
        <v>003605010</v>
      </c>
      <c r="B9786" t="str">
        <f>"1992905384"</f>
        <v>1992905384</v>
      </c>
      <c r="C9786" t="str">
        <f>"207Q00000X"</f>
        <v>207Q00000X</v>
      </c>
      <c r="D9786" t="str">
        <f>"NOHRA                    CHRISTY                  "</f>
        <v xml:space="preserve">NOHRA                    CHRISTY                  </v>
      </c>
      <c r="E9786" t="str">
        <f>"CLINTON                   "</f>
        <v xml:space="preserve">CLINTON                   </v>
      </c>
      <c r="F9786" t="str">
        <f t="shared" si="278"/>
        <v>MS</v>
      </c>
    </row>
    <row r="9787" spans="1:6" x14ac:dyDescent="0.25">
      <c r="A9787" t="str">
        <f>"003605265"</f>
        <v>003605265</v>
      </c>
      <c r="B9787" t="str">
        <f>"1275601346"</f>
        <v>1275601346</v>
      </c>
      <c r="C9787" t="str">
        <f>"207R00000X"</f>
        <v>207R00000X</v>
      </c>
      <c r="D9787" t="str">
        <f>"WATSON                   ANGELA                   "</f>
        <v xml:space="preserve">WATSON                   ANGELA                   </v>
      </c>
      <c r="E9787" t="str">
        <f>"WALLS                     "</f>
        <v xml:space="preserve">WALLS                     </v>
      </c>
      <c r="F9787" t="str">
        <f t="shared" si="278"/>
        <v>MS</v>
      </c>
    </row>
    <row r="9788" spans="1:6" x14ac:dyDescent="0.25">
      <c r="A9788" t="str">
        <f>"003605353"</f>
        <v>003605353</v>
      </c>
      <c r="B9788" t="str">
        <f>"1467565093"</f>
        <v>1467565093</v>
      </c>
      <c r="C9788" t="str">
        <f>"363L00000X"</f>
        <v>363L00000X</v>
      </c>
      <c r="D9788" t="str">
        <f>"HERTZ                    DEIDRA       A           "</f>
        <v xml:space="preserve">HERTZ                    DEIDRA       A           </v>
      </c>
      <c r="E9788" t="str">
        <f>"OCEAN SPRINGS             "</f>
        <v xml:space="preserve">OCEAN SPRINGS             </v>
      </c>
      <c r="F9788" t="str">
        <f t="shared" si="278"/>
        <v>MS</v>
      </c>
    </row>
    <row r="9789" spans="1:6" x14ac:dyDescent="0.25">
      <c r="A9789" t="str">
        <f>"003605820"</f>
        <v>003605820</v>
      </c>
      <c r="B9789" t="str">
        <f>"1386004240"</f>
        <v>1386004240</v>
      </c>
      <c r="C9789" t="str">
        <f>"363L00000X"</f>
        <v>363L00000X</v>
      </c>
      <c r="D9789" t="str">
        <f>"HANCOCK                  STACY                    "</f>
        <v xml:space="preserve">HANCOCK                  STACY                    </v>
      </c>
      <c r="E9789" t="str">
        <f>"IUKA                      "</f>
        <v xml:space="preserve">IUKA                      </v>
      </c>
      <c r="F9789" t="str">
        <f t="shared" si="278"/>
        <v>MS</v>
      </c>
    </row>
    <row r="9790" spans="1:6" x14ac:dyDescent="0.25">
      <c r="A9790" t="str">
        <f>"003606393"</f>
        <v>003606393</v>
      </c>
      <c r="B9790" t="str">
        <f>"1942870910"</f>
        <v>1942870910</v>
      </c>
      <c r="C9790" t="str">
        <f>"363L00000X"</f>
        <v>363L00000X</v>
      </c>
      <c r="D9790" t="str">
        <f>"PRIMEAUX                 SHELBY       P           "</f>
        <v xml:space="preserve">PRIMEAUX                 SHELBY       P           </v>
      </c>
      <c r="E9790" t="str">
        <f>"VICKSBURG                 "</f>
        <v xml:space="preserve">VICKSBURG                 </v>
      </c>
      <c r="F9790" t="str">
        <f t="shared" ref="F9790:F9853" si="279">"MS"</f>
        <v>MS</v>
      </c>
    </row>
    <row r="9791" spans="1:6" x14ac:dyDescent="0.25">
      <c r="A9791" t="str">
        <f>"003606788"</f>
        <v>003606788</v>
      </c>
      <c r="B9791" t="str">
        <f>"1669924379"</f>
        <v>1669924379</v>
      </c>
      <c r="C9791" t="str">
        <f>"363L00000X"</f>
        <v>363L00000X</v>
      </c>
      <c r="D9791" t="str">
        <f>"WATSON                   STEPHANIE                "</f>
        <v xml:space="preserve">WATSON                   STEPHANIE                </v>
      </c>
      <c r="E9791" t="str">
        <f>"OXFORD                    "</f>
        <v xml:space="preserve">OXFORD                    </v>
      </c>
      <c r="F9791" t="str">
        <f t="shared" si="279"/>
        <v>MS</v>
      </c>
    </row>
    <row r="9792" spans="1:6" x14ac:dyDescent="0.25">
      <c r="A9792" t="str">
        <f>"003620330"</f>
        <v>003620330</v>
      </c>
      <c r="B9792" t="str">
        <f>"1447350483"</f>
        <v>1447350483</v>
      </c>
      <c r="C9792" t="str">
        <f>"207Q00000X"</f>
        <v>207Q00000X</v>
      </c>
      <c r="D9792" t="str">
        <f>"QUINN                    TIMOTHY      M           "</f>
        <v xml:space="preserve">QUINN                    TIMOTHY      M           </v>
      </c>
      <c r="E9792" t="str">
        <f>"RIDGELAND                 "</f>
        <v xml:space="preserve">RIDGELAND                 </v>
      </c>
      <c r="F9792" t="str">
        <f t="shared" si="279"/>
        <v>MS</v>
      </c>
    </row>
    <row r="9793" spans="1:6" x14ac:dyDescent="0.25">
      <c r="A9793" t="str">
        <f>"003622217"</f>
        <v>003622217</v>
      </c>
      <c r="B9793" t="str">
        <f>"1134703374"</f>
        <v>1134703374</v>
      </c>
      <c r="C9793" t="str">
        <f>"363L00000X"</f>
        <v>363L00000X</v>
      </c>
      <c r="D9793" t="str">
        <f>"FERRY                    TIFFANIE                 "</f>
        <v xml:space="preserve">FERRY                    TIFFANIE                 </v>
      </c>
      <c r="E9793" t="str">
        <f>"WAVELAND                  "</f>
        <v xml:space="preserve">WAVELAND                  </v>
      </c>
      <c r="F9793" t="str">
        <f t="shared" si="279"/>
        <v>MS</v>
      </c>
    </row>
    <row r="9794" spans="1:6" x14ac:dyDescent="0.25">
      <c r="A9794" t="str">
        <f>"003622558"</f>
        <v>003622558</v>
      </c>
      <c r="B9794" t="str">
        <f>"1689003873"</f>
        <v>1689003873</v>
      </c>
      <c r="C9794" t="str">
        <f>"363L00000X"</f>
        <v>363L00000X</v>
      </c>
      <c r="D9794" t="str">
        <f>"BEASLEY                  SARAH        K           "</f>
        <v xml:space="preserve">BEASLEY                  SARAH        K           </v>
      </c>
      <c r="E9794" t="str">
        <f>"JACKSON                   "</f>
        <v xml:space="preserve">JACKSON                   </v>
      </c>
      <c r="F9794" t="str">
        <f t="shared" si="279"/>
        <v>MS</v>
      </c>
    </row>
    <row r="9795" spans="1:6" x14ac:dyDescent="0.25">
      <c r="A9795" t="str">
        <f>"003623229"</f>
        <v>003623229</v>
      </c>
      <c r="B9795" t="str">
        <f>"1497150056"</f>
        <v>1497150056</v>
      </c>
      <c r="C9795" t="str">
        <f>"363L00000X"</f>
        <v>363L00000X</v>
      </c>
      <c r="D9795" t="str">
        <f>"MYERS                    STEPHANIE    P           "</f>
        <v xml:space="preserve">MYERS                    STEPHANIE    P           </v>
      </c>
      <c r="E9795" t="str">
        <f>"HATTIESBURG               "</f>
        <v xml:space="preserve">HATTIESBURG               </v>
      </c>
      <c r="F9795" t="str">
        <f t="shared" si="279"/>
        <v>MS</v>
      </c>
    </row>
    <row r="9796" spans="1:6" x14ac:dyDescent="0.25">
      <c r="A9796" t="str">
        <f>"003623273"</f>
        <v>003623273</v>
      </c>
      <c r="B9796" t="str">
        <f>"1881073716"</f>
        <v>1881073716</v>
      </c>
      <c r="C9796" t="str">
        <f>"122300000X"</f>
        <v>122300000X</v>
      </c>
      <c r="D9796" t="str">
        <f>"BOONEVILLE GENERAL DENTISTRY, PA                  "</f>
        <v xml:space="preserve">BOONEVILLE GENERAL DENTISTRY, PA                  </v>
      </c>
      <c r="E9796" t="str">
        <f>"BOONEVILLE                "</f>
        <v xml:space="preserve">BOONEVILLE                </v>
      </c>
      <c r="F9796" t="str">
        <f t="shared" si="279"/>
        <v>MS</v>
      </c>
    </row>
    <row r="9797" spans="1:6" x14ac:dyDescent="0.25">
      <c r="A9797" t="str">
        <f>"003624861"</f>
        <v>003624861</v>
      </c>
      <c r="B9797" t="str">
        <f>"1740471424"</f>
        <v>1740471424</v>
      </c>
      <c r="C9797" t="str">
        <f>"208000000X"</f>
        <v>208000000X</v>
      </c>
      <c r="D9797" t="str">
        <f>"ZIMMERMAN                CATHERINE    C           "</f>
        <v xml:space="preserve">ZIMMERMAN                CATHERINE    C           </v>
      </c>
      <c r="E9797" t="str">
        <f>"JACKSON                   "</f>
        <v xml:space="preserve">JACKSON                   </v>
      </c>
      <c r="F9797" t="str">
        <f t="shared" si="279"/>
        <v>MS</v>
      </c>
    </row>
    <row r="9798" spans="1:6" x14ac:dyDescent="0.25">
      <c r="A9798" t="str">
        <f>"003625746"</f>
        <v>003625746</v>
      </c>
      <c r="B9798" t="str">
        <f>"1316270762"</f>
        <v>1316270762</v>
      </c>
      <c r="C9798" t="str">
        <f>"363L00000X"</f>
        <v>363L00000X</v>
      </c>
      <c r="D9798" t="str">
        <f>"DENMARK                  CYNTHIA      W           "</f>
        <v xml:space="preserve">DENMARK                  CYNTHIA      W           </v>
      </c>
      <c r="E9798" t="str">
        <f>"LEAKESVILLE               "</f>
        <v xml:space="preserve">LEAKESVILLE               </v>
      </c>
      <c r="F9798" t="str">
        <f t="shared" si="279"/>
        <v>MS</v>
      </c>
    </row>
    <row r="9799" spans="1:6" x14ac:dyDescent="0.25">
      <c r="A9799" t="str">
        <f>"003626501"</f>
        <v>003626501</v>
      </c>
      <c r="B9799" t="str">
        <f>"1699062208"</f>
        <v>1699062208</v>
      </c>
      <c r="C9799" t="str">
        <f>"208600000X"</f>
        <v>208600000X</v>
      </c>
      <c r="D9799" t="str">
        <f>"DINNING                  JENNIFER     R           "</f>
        <v xml:space="preserve">DINNING                  JENNIFER     R           </v>
      </c>
      <c r="E9799" t="str">
        <f>"TUPELO                    "</f>
        <v xml:space="preserve">TUPELO                    </v>
      </c>
      <c r="F9799" t="str">
        <f t="shared" si="279"/>
        <v>MS</v>
      </c>
    </row>
    <row r="9800" spans="1:6" x14ac:dyDescent="0.25">
      <c r="A9800" t="str">
        <f>"003627515"</f>
        <v>003627515</v>
      </c>
      <c r="B9800" t="str">
        <f>"1447400064"</f>
        <v>1447400064</v>
      </c>
      <c r="C9800" t="str">
        <f>"363L00000X"</f>
        <v>363L00000X</v>
      </c>
      <c r="D9800" t="str">
        <f>"BARNETTE                 CHASTITY                 "</f>
        <v xml:space="preserve">BARNETTE                 CHASTITY                 </v>
      </c>
      <c r="E9800" t="str">
        <f>"GREENWOOD                 "</f>
        <v xml:space="preserve">GREENWOOD                 </v>
      </c>
      <c r="F9800" t="str">
        <f t="shared" si="279"/>
        <v>MS</v>
      </c>
    </row>
    <row r="9801" spans="1:6" x14ac:dyDescent="0.25">
      <c r="A9801" t="str">
        <f>"003628241"</f>
        <v>003628241</v>
      </c>
      <c r="B9801" t="str">
        <f>"1083619951"</f>
        <v>1083619951</v>
      </c>
      <c r="C9801" t="str">
        <f>"2084P0800X"</f>
        <v>2084P0800X</v>
      </c>
      <c r="D9801" t="str">
        <f>"NARAYAN                  DWAYNE       A           "</f>
        <v xml:space="preserve">NARAYAN                  DWAYNE       A           </v>
      </c>
      <c r="E9801" t="str">
        <f>"SOUTHAVEN                 "</f>
        <v xml:space="preserve">SOUTHAVEN                 </v>
      </c>
      <c r="F9801" t="str">
        <f t="shared" si="279"/>
        <v>MS</v>
      </c>
    </row>
    <row r="9802" spans="1:6" x14ac:dyDescent="0.25">
      <c r="A9802" t="str">
        <f>"003628561"</f>
        <v>003628561</v>
      </c>
      <c r="B9802" t="str">
        <f>"1871086116"</f>
        <v>1871086116</v>
      </c>
      <c r="C9802" t="str">
        <f>"122300000X"</f>
        <v>122300000X</v>
      </c>
      <c r="D9802" t="str">
        <f>"DOWNS                    ALEX         C           "</f>
        <v xml:space="preserve">DOWNS                    ALEX         C           </v>
      </c>
      <c r="E9802" t="str">
        <f>"BOONEVILLE                "</f>
        <v xml:space="preserve">BOONEVILLE                </v>
      </c>
      <c r="F9802" t="str">
        <f t="shared" si="279"/>
        <v>MS</v>
      </c>
    </row>
    <row r="9803" spans="1:6" x14ac:dyDescent="0.25">
      <c r="A9803" t="str">
        <f>"003628756"</f>
        <v>003628756</v>
      </c>
      <c r="B9803" t="str">
        <f>"1184189680"</f>
        <v>1184189680</v>
      </c>
      <c r="C9803" t="str">
        <f>"363L00000X"</f>
        <v>363L00000X</v>
      </c>
      <c r="D9803" t="str">
        <f>"RYAN COLSTON             LYNDI        N           "</f>
        <v xml:space="preserve">RYAN COLSTON             LYNDI        N           </v>
      </c>
      <c r="E9803" t="str">
        <f>"JACKSON                   "</f>
        <v xml:space="preserve">JACKSON                   </v>
      </c>
      <c r="F9803" t="str">
        <f t="shared" si="279"/>
        <v>MS</v>
      </c>
    </row>
    <row r="9804" spans="1:6" x14ac:dyDescent="0.25">
      <c r="A9804" t="str">
        <f>"003629023"</f>
        <v>003629023</v>
      </c>
      <c r="B9804" t="str">
        <f>"1932619103"</f>
        <v>1932619103</v>
      </c>
      <c r="C9804" t="str">
        <f>"363L00000X"</f>
        <v>363L00000X</v>
      </c>
      <c r="D9804" t="str">
        <f>"BROWN                    REBECCA      A           "</f>
        <v xml:space="preserve">BROWN                    REBECCA      A           </v>
      </c>
      <c r="E9804" t="str">
        <f>"LENA                      "</f>
        <v xml:space="preserve">LENA                      </v>
      </c>
      <c r="F9804" t="str">
        <f t="shared" si="279"/>
        <v>MS</v>
      </c>
    </row>
    <row r="9805" spans="1:6" x14ac:dyDescent="0.25">
      <c r="A9805" t="str">
        <f>"003630061"</f>
        <v>003630061</v>
      </c>
      <c r="B9805" t="str">
        <f>"1487127031"</f>
        <v>1487127031</v>
      </c>
      <c r="C9805" t="str">
        <f>"363L00000X"</f>
        <v>363L00000X</v>
      </c>
      <c r="D9805" t="str">
        <f>"DIAZ                     TRISTAN                  "</f>
        <v xml:space="preserve">DIAZ                     TRISTAN                  </v>
      </c>
      <c r="E9805" t="str">
        <f>"WIGGINS                   "</f>
        <v xml:space="preserve">WIGGINS                   </v>
      </c>
      <c r="F9805" t="str">
        <f t="shared" si="279"/>
        <v>MS</v>
      </c>
    </row>
    <row r="9806" spans="1:6" x14ac:dyDescent="0.25">
      <c r="A9806" t="str">
        <f>"003631714"</f>
        <v>003631714</v>
      </c>
      <c r="B9806" t="str">
        <f>"1912994450"</f>
        <v>1912994450</v>
      </c>
      <c r="C9806" t="str">
        <f>"207X00000X"</f>
        <v>207X00000X</v>
      </c>
      <c r="D9806" t="str">
        <f>"RICHARDSON               DAVID        R           "</f>
        <v xml:space="preserve">RICHARDSON               DAVID        R           </v>
      </c>
      <c r="E9806" t="str">
        <f>"SOUTHAVEN                 "</f>
        <v xml:space="preserve">SOUTHAVEN                 </v>
      </c>
      <c r="F9806" t="str">
        <f t="shared" si="279"/>
        <v>MS</v>
      </c>
    </row>
    <row r="9807" spans="1:6" x14ac:dyDescent="0.25">
      <c r="A9807" t="str">
        <f>"003632026"</f>
        <v>003632026</v>
      </c>
      <c r="B9807" t="str">
        <f>"1437456050"</f>
        <v>1437456050</v>
      </c>
      <c r="C9807" t="str">
        <f>"363L00000X"</f>
        <v>363L00000X</v>
      </c>
      <c r="D9807" t="str">
        <f>"REICH                    SHAWNA       M           "</f>
        <v xml:space="preserve">REICH                    SHAWNA       M           </v>
      </c>
      <c r="E9807" t="str">
        <f>"BILOXI                    "</f>
        <v xml:space="preserve">BILOXI                    </v>
      </c>
      <c r="F9807" t="str">
        <f t="shared" si="279"/>
        <v>MS</v>
      </c>
    </row>
    <row r="9808" spans="1:6" x14ac:dyDescent="0.25">
      <c r="A9808" t="str">
        <f>"003632755"</f>
        <v>003632755</v>
      </c>
      <c r="B9808" t="str">
        <f>"1356900534"</f>
        <v>1356900534</v>
      </c>
      <c r="C9808" t="str">
        <f>"363L00000X"</f>
        <v>363L00000X</v>
      </c>
      <c r="D9808" t="str">
        <f>"AINSWORTH                SEREN        E           "</f>
        <v xml:space="preserve">AINSWORTH                SEREN        E           </v>
      </c>
      <c r="E9808" t="str">
        <f>"BILOXI                    "</f>
        <v xml:space="preserve">BILOXI                    </v>
      </c>
      <c r="F9808" t="str">
        <f t="shared" si="279"/>
        <v>MS</v>
      </c>
    </row>
    <row r="9809" spans="1:6" x14ac:dyDescent="0.25">
      <c r="A9809" t="str">
        <f>"003633378"</f>
        <v>003633378</v>
      </c>
      <c r="B9809" t="str">
        <f>"1689040669"</f>
        <v>1689040669</v>
      </c>
      <c r="C9809" t="str">
        <f>"363L00000X"</f>
        <v>363L00000X</v>
      </c>
      <c r="D9809" t="str">
        <f>"MACIAS                   GABRIEL      L           "</f>
        <v xml:space="preserve">MACIAS                   GABRIEL      L           </v>
      </c>
      <c r="E9809" t="str">
        <f>"JACKSON                   "</f>
        <v xml:space="preserve">JACKSON                   </v>
      </c>
      <c r="F9809" t="str">
        <f t="shared" si="279"/>
        <v>MS</v>
      </c>
    </row>
    <row r="9810" spans="1:6" x14ac:dyDescent="0.25">
      <c r="A9810" t="str">
        <f>"003633519"</f>
        <v>003633519</v>
      </c>
      <c r="B9810" t="str">
        <f>"1750570198"</f>
        <v>1750570198</v>
      </c>
      <c r="C9810" t="str">
        <f>"207L00000X"</f>
        <v>207L00000X</v>
      </c>
      <c r="D9810" t="str">
        <f>"MARUCCI                  CATINA       N           "</f>
        <v xml:space="preserve">MARUCCI                  CATINA       N           </v>
      </c>
      <c r="E9810" t="str">
        <f>"GULFPORT                  "</f>
        <v xml:space="preserve">GULFPORT                  </v>
      </c>
      <c r="F9810" t="str">
        <f t="shared" si="279"/>
        <v>MS</v>
      </c>
    </row>
    <row r="9811" spans="1:6" x14ac:dyDescent="0.25">
      <c r="A9811" t="str">
        <f>"003634394"</f>
        <v>003634394</v>
      </c>
      <c r="B9811" t="str">
        <f>"1750581781"</f>
        <v>1750581781</v>
      </c>
      <c r="C9811" t="str">
        <f>"207W00000X"</f>
        <v>207W00000X</v>
      </c>
      <c r="D9811" t="str">
        <f>"MILES                    SONYA        M           "</f>
        <v xml:space="preserve">MILES                    SONYA        M           </v>
      </c>
      <c r="E9811" t="str">
        <f>"TUPELO                    "</f>
        <v xml:space="preserve">TUPELO                    </v>
      </c>
      <c r="F9811" t="str">
        <f t="shared" si="279"/>
        <v>MS</v>
      </c>
    </row>
    <row r="9812" spans="1:6" x14ac:dyDescent="0.25">
      <c r="A9812" t="str">
        <f>"003634868"</f>
        <v>003634868</v>
      </c>
      <c r="B9812" t="str">
        <f>"1538365952"</f>
        <v>1538365952</v>
      </c>
      <c r="C9812" t="str">
        <f>"122300000X"</f>
        <v>122300000X</v>
      </c>
      <c r="D9812" t="str">
        <f>"NEWMAN DENTAL CARE LLC                            "</f>
        <v xml:space="preserve">NEWMAN DENTAL CARE LLC                            </v>
      </c>
      <c r="E9812" t="str">
        <f>"JACKSON                   "</f>
        <v xml:space="preserve">JACKSON                   </v>
      </c>
      <c r="F9812" t="str">
        <f t="shared" si="279"/>
        <v>MS</v>
      </c>
    </row>
    <row r="9813" spans="1:6" x14ac:dyDescent="0.25">
      <c r="A9813" t="str">
        <f>"003635202"</f>
        <v>003635202</v>
      </c>
      <c r="B9813" t="str">
        <f>"1114377298"</f>
        <v>1114377298</v>
      </c>
      <c r="C9813" t="str">
        <f>"207Q00000X"</f>
        <v>207Q00000X</v>
      </c>
      <c r="D9813" t="str">
        <f>"WILLIAMS                 SUSAN                    "</f>
        <v xml:space="preserve">WILLIAMS                 SUSAN                    </v>
      </c>
      <c r="E9813" t="str">
        <f>"FLOWOOD                   "</f>
        <v xml:space="preserve">FLOWOOD                   </v>
      </c>
      <c r="F9813" t="str">
        <f t="shared" si="279"/>
        <v>MS</v>
      </c>
    </row>
    <row r="9814" spans="1:6" x14ac:dyDescent="0.25">
      <c r="A9814" t="str">
        <f>"003635371"</f>
        <v>003635371</v>
      </c>
      <c r="B9814" t="str">
        <f>"1891188660"</f>
        <v>1891188660</v>
      </c>
      <c r="C9814" t="str">
        <f>"363L00000X"</f>
        <v>363L00000X</v>
      </c>
      <c r="D9814" t="str">
        <f>"FERGUSON                 LEE          C           "</f>
        <v xml:space="preserve">FERGUSON                 LEE          C           </v>
      </c>
      <c r="E9814" t="str">
        <f>"TUPELO                    "</f>
        <v xml:space="preserve">TUPELO                    </v>
      </c>
      <c r="F9814" t="str">
        <f t="shared" si="279"/>
        <v>MS</v>
      </c>
    </row>
    <row r="9815" spans="1:6" x14ac:dyDescent="0.25">
      <c r="A9815" t="str">
        <f>"003637292"</f>
        <v>003637292</v>
      </c>
      <c r="B9815" t="str">
        <f>"1982950937"</f>
        <v>1982950937</v>
      </c>
      <c r="C9815" t="str">
        <f>"208000000X"</f>
        <v>208000000X</v>
      </c>
      <c r="D9815" t="str">
        <f>"ADEPOJU                  OLUWAROTIMI  A           "</f>
        <v xml:space="preserve">ADEPOJU                  OLUWAROTIMI  A           </v>
      </c>
      <c r="E9815" t="str">
        <f>"PEARL                     "</f>
        <v xml:space="preserve">PEARL                     </v>
      </c>
      <c r="F9815" t="str">
        <f t="shared" si="279"/>
        <v>MS</v>
      </c>
    </row>
    <row r="9816" spans="1:6" x14ac:dyDescent="0.25">
      <c r="A9816" t="str">
        <f>"003637810"</f>
        <v>003637810</v>
      </c>
      <c r="B9816" t="str">
        <f>"1821352667"</f>
        <v>1821352667</v>
      </c>
      <c r="C9816" t="str">
        <f>"122300000X"</f>
        <v>122300000X</v>
      </c>
      <c r="D9816" t="str">
        <f>"JOHNSON                  LORI                     "</f>
        <v xml:space="preserve">JOHNSON                  LORI                     </v>
      </c>
      <c r="E9816" t="str">
        <f>"BELZONI                   "</f>
        <v xml:space="preserve">BELZONI                   </v>
      </c>
      <c r="F9816" t="str">
        <f t="shared" si="279"/>
        <v>MS</v>
      </c>
    </row>
    <row r="9817" spans="1:6" x14ac:dyDescent="0.25">
      <c r="A9817" t="str">
        <f>"003638074"</f>
        <v>003638074</v>
      </c>
      <c r="B9817" t="str">
        <f>"1235480880"</f>
        <v>1235480880</v>
      </c>
      <c r="C9817" t="str">
        <f>"363L00000X"</f>
        <v>363L00000X</v>
      </c>
      <c r="D9817" t="str">
        <f>"MCKENZIE                 JESICA       D           "</f>
        <v xml:space="preserve">MCKENZIE                 JESICA       D           </v>
      </c>
      <c r="E9817" t="str">
        <f>"JACKSON                   "</f>
        <v xml:space="preserve">JACKSON                   </v>
      </c>
      <c r="F9817" t="str">
        <f t="shared" si="279"/>
        <v>MS</v>
      </c>
    </row>
    <row r="9818" spans="1:6" x14ac:dyDescent="0.25">
      <c r="A9818" t="str">
        <f>"003638204"</f>
        <v>003638204</v>
      </c>
      <c r="B9818" t="str">
        <f>"1013504067"</f>
        <v>1013504067</v>
      </c>
      <c r="C9818" t="str">
        <f>"363L00000X"</f>
        <v>363L00000X</v>
      </c>
      <c r="D9818" t="str">
        <f>"MICKELL                  KALISA                   "</f>
        <v xml:space="preserve">MICKELL                  KALISA                   </v>
      </c>
      <c r="E9818" t="str">
        <f>"TUPELO                    "</f>
        <v xml:space="preserve">TUPELO                    </v>
      </c>
      <c r="F9818" t="str">
        <f t="shared" si="279"/>
        <v>MS</v>
      </c>
    </row>
    <row r="9819" spans="1:6" x14ac:dyDescent="0.25">
      <c r="A9819" t="str">
        <f>"003638295"</f>
        <v>003638295</v>
      </c>
      <c r="B9819" t="str">
        <f>"1083266498"</f>
        <v>1083266498</v>
      </c>
      <c r="C9819" t="str">
        <f>"152W00000X"</f>
        <v>152W00000X</v>
      </c>
      <c r="D9819" t="str">
        <f>"MILES                    ROYCE        V           "</f>
        <v xml:space="preserve">MILES                    ROYCE        V           </v>
      </c>
      <c r="E9819" t="str">
        <f>"LOUISVILLE                "</f>
        <v xml:space="preserve">LOUISVILLE                </v>
      </c>
      <c r="F9819" t="str">
        <f t="shared" si="279"/>
        <v>MS</v>
      </c>
    </row>
    <row r="9820" spans="1:6" x14ac:dyDescent="0.25">
      <c r="A9820" t="str">
        <f>"003638586"</f>
        <v>003638586</v>
      </c>
      <c r="B9820" t="str">
        <f>"1801167671"</f>
        <v>1801167671</v>
      </c>
      <c r="C9820" t="str">
        <f>"363L00000X"</f>
        <v>363L00000X</v>
      </c>
      <c r="D9820" t="str">
        <f>"LAFLEUR                  ABIGAIL      M           "</f>
        <v xml:space="preserve">LAFLEUR                  ABIGAIL      M           </v>
      </c>
      <c r="E9820" t="str">
        <f>"PASS CHRISTIAN            "</f>
        <v xml:space="preserve">PASS CHRISTIAN            </v>
      </c>
      <c r="F9820" t="str">
        <f t="shared" si="279"/>
        <v>MS</v>
      </c>
    </row>
    <row r="9821" spans="1:6" x14ac:dyDescent="0.25">
      <c r="A9821" t="str">
        <f>"003638803"</f>
        <v>003638803</v>
      </c>
      <c r="B9821" t="str">
        <f>"1629550363"</f>
        <v>1629550363</v>
      </c>
      <c r="C9821" t="str">
        <f>"261QA0600X"</f>
        <v>261QA0600X</v>
      </c>
      <c r="D9821" t="str">
        <f>"FONDREN NIGHTINGALES SENIOR DAY RET               "</f>
        <v xml:space="preserve">FONDREN NIGHTINGALES SENIOR DAY RET               </v>
      </c>
      <c r="E9821" t="str">
        <f>"JACKSON                   "</f>
        <v xml:space="preserve">JACKSON                   </v>
      </c>
      <c r="F9821" t="str">
        <f t="shared" si="279"/>
        <v>MS</v>
      </c>
    </row>
    <row r="9822" spans="1:6" x14ac:dyDescent="0.25">
      <c r="A9822" t="str">
        <f>"003639292"</f>
        <v>003639292</v>
      </c>
      <c r="B9822" t="str">
        <f>"1760908321"</f>
        <v>1760908321</v>
      </c>
      <c r="C9822" t="str">
        <f>"363L00000X"</f>
        <v>363L00000X</v>
      </c>
      <c r="D9822" t="str">
        <f>"CARTER                   LINDA        G           "</f>
        <v xml:space="preserve">CARTER                   LINDA        G           </v>
      </c>
      <c r="E9822" t="str">
        <f>"JACKSON                   "</f>
        <v xml:space="preserve">JACKSON                   </v>
      </c>
      <c r="F9822" t="str">
        <f t="shared" si="279"/>
        <v>MS</v>
      </c>
    </row>
    <row r="9823" spans="1:6" x14ac:dyDescent="0.25">
      <c r="A9823" t="str">
        <f>"003650034"</f>
        <v>003650034</v>
      </c>
      <c r="B9823" t="str">
        <f>"1760426670"</f>
        <v>1760426670</v>
      </c>
      <c r="C9823" t="str">
        <f>"207RC0000X"</f>
        <v>207RC0000X</v>
      </c>
      <c r="D9823" t="str">
        <f>"BENNETT                  JAMES        G           "</f>
        <v xml:space="preserve">BENNETT                  JAMES        G           </v>
      </c>
      <c r="E9823" t="str">
        <f>"JACKSON                   "</f>
        <v xml:space="preserve">JACKSON                   </v>
      </c>
      <c r="F9823" t="str">
        <f t="shared" si="279"/>
        <v>MS</v>
      </c>
    </row>
    <row r="9824" spans="1:6" x14ac:dyDescent="0.25">
      <c r="A9824" t="str">
        <f>"003650568"</f>
        <v>003650568</v>
      </c>
      <c r="B9824" t="str">
        <f>"1962741223"</f>
        <v>1962741223</v>
      </c>
      <c r="C9824" t="str">
        <f>"363L00000X"</f>
        <v>363L00000X</v>
      </c>
      <c r="D9824" t="str">
        <f>"MCGILL                   SAMANTHA     B           "</f>
        <v xml:space="preserve">MCGILL                   SAMANTHA     B           </v>
      </c>
      <c r="E9824" t="str">
        <f>"GULFPORT                  "</f>
        <v xml:space="preserve">GULFPORT                  </v>
      </c>
      <c r="F9824" t="str">
        <f t="shared" si="279"/>
        <v>MS</v>
      </c>
    </row>
    <row r="9825" spans="1:6" x14ac:dyDescent="0.25">
      <c r="A9825" t="str">
        <f>"003651200"</f>
        <v>003651200</v>
      </c>
      <c r="B9825" t="str">
        <f>"1184778508"</f>
        <v>1184778508</v>
      </c>
      <c r="C9825" t="str">
        <f>"207Q00000X"</f>
        <v>207Q00000X</v>
      </c>
      <c r="D9825" t="str">
        <f>"BLANCO                   ARTURO       E           "</f>
        <v xml:space="preserve">BLANCO                   ARTURO       E           </v>
      </c>
      <c r="E9825" t="str">
        <f>"CLINTON                   "</f>
        <v xml:space="preserve">CLINTON                   </v>
      </c>
      <c r="F9825" t="str">
        <f t="shared" si="279"/>
        <v>MS</v>
      </c>
    </row>
    <row r="9826" spans="1:6" x14ac:dyDescent="0.25">
      <c r="A9826" t="str">
        <f>"003652091"</f>
        <v>003652091</v>
      </c>
      <c r="B9826" t="str">
        <f>"1972096113"</f>
        <v>1972096113</v>
      </c>
      <c r="C9826" t="str">
        <f>"207V00000X"</f>
        <v>207V00000X</v>
      </c>
      <c r="D9826" t="str">
        <f>"KILIC                    NIYAZI                   "</f>
        <v xml:space="preserve">KILIC                    NIYAZI                   </v>
      </c>
      <c r="E9826" t="str">
        <f>"VICKSBURG                 "</f>
        <v xml:space="preserve">VICKSBURG                 </v>
      </c>
      <c r="F9826" t="str">
        <f t="shared" si="279"/>
        <v>MS</v>
      </c>
    </row>
    <row r="9827" spans="1:6" x14ac:dyDescent="0.25">
      <c r="A9827" t="str">
        <f>"003652279"</f>
        <v>003652279</v>
      </c>
      <c r="B9827" t="str">
        <f>"1336535053"</f>
        <v>1336535053</v>
      </c>
      <c r="C9827" t="str">
        <f>"207Q00000X"</f>
        <v>207Q00000X</v>
      </c>
      <c r="D9827" t="str">
        <f>"GLOVER                   WENDELL      H           "</f>
        <v xml:space="preserve">GLOVER                   WENDELL      H           </v>
      </c>
      <c r="E9827" t="str">
        <f>"JACKSON                   "</f>
        <v xml:space="preserve">JACKSON                   </v>
      </c>
      <c r="F9827" t="str">
        <f t="shared" si="279"/>
        <v>MS</v>
      </c>
    </row>
    <row r="9828" spans="1:6" x14ac:dyDescent="0.25">
      <c r="A9828" t="str">
        <f>"003652335"</f>
        <v>003652335</v>
      </c>
      <c r="B9828" t="str">
        <f>"1679769491"</f>
        <v>1679769491</v>
      </c>
      <c r="C9828" t="str">
        <f>"208800000X"</f>
        <v>208800000X</v>
      </c>
      <c r="D9828" t="str">
        <f>"HARAWAY                  ALLEN        M           "</f>
        <v xml:space="preserve">HARAWAY                  ALLEN        M           </v>
      </c>
      <c r="E9828" t="str">
        <f>"JACKSON                   "</f>
        <v xml:space="preserve">JACKSON                   </v>
      </c>
      <c r="F9828" t="str">
        <f t="shared" si="279"/>
        <v>MS</v>
      </c>
    </row>
    <row r="9829" spans="1:6" x14ac:dyDescent="0.25">
      <c r="A9829" t="str">
        <f>"003654054"</f>
        <v>003654054</v>
      </c>
      <c r="B9829" t="str">
        <f>"1356971634"</f>
        <v>1356971634</v>
      </c>
      <c r="C9829" t="str">
        <f>"261QM1300X"</f>
        <v>261QM1300X</v>
      </c>
      <c r="D9829" t="str">
        <f>"THRIVE COUNSELING PLLC                            "</f>
        <v xml:space="preserve">THRIVE COUNSELING PLLC                            </v>
      </c>
      <c r="E9829" t="str">
        <f>"GULFPORT                  "</f>
        <v xml:space="preserve">GULFPORT                  </v>
      </c>
      <c r="F9829" t="str">
        <f t="shared" si="279"/>
        <v>MS</v>
      </c>
    </row>
    <row r="9830" spans="1:6" x14ac:dyDescent="0.25">
      <c r="A9830" t="str">
        <f>"003654381"</f>
        <v>003654381</v>
      </c>
      <c r="B9830" t="str">
        <f>"1710486808"</f>
        <v>1710486808</v>
      </c>
      <c r="C9830" t="str">
        <f>"363L00000X"</f>
        <v>363L00000X</v>
      </c>
      <c r="D9830" t="str">
        <f>"EDGAR                    AMANDA       L           "</f>
        <v xml:space="preserve">EDGAR                    AMANDA       L           </v>
      </c>
      <c r="E9830" t="str">
        <f>"HATTIESBURG               "</f>
        <v xml:space="preserve">HATTIESBURG               </v>
      </c>
      <c r="F9830" t="str">
        <f t="shared" si="279"/>
        <v>MS</v>
      </c>
    </row>
    <row r="9831" spans="1:6" x14ac:dyDescent="0.25">
      <c r="A9831" t="str">
        <f>"003656204"</f>
        <v>003656204</v>
      </c>
      <c r="B9831" t="str">
        <f>"1548600612"</f>
        <v>1548600612</v>
      </c>
      <c r="C9831" t="str">
        <f>"363L00000X"</f>
        <v>363L00000X</v>
      </c>
      <c r="D9831" t="str">
        <f>"HARRINGTON               JORDAN       H           "</f>
        <v xml:space="preserve">HARRINGTON               JORDAN       H           </v>
      </c>
      <c r="E9831" t="str">
        <f>"MCCOMB                    "</f>
        <v xml:space="preserve">MCCOMB                    </v>
      </c>
      <c r="F9831" t="str">
        <f t="shared" si="279"/>
        <v>MS</v>
      </c>
    </row>
    <row r="9832" spans="1:6" x14ac:dyDescent="0.25">
      <c r="A9832" t="str">
        <f>"003656293"</f>
        <v>003656293</v>
      </c>
      <c r="B9832" t="str">
        <f>"1780799288"</f>
        <v>1780799288</v>
      </c>
      <c r="C9832" t="str">
        <f>"207P00000X"</f>
        <v>207P00000X</v>
      </c>
      <c r="D9832" t="str">
        <f>"WIERZBICKI               DEREK        A           "</f>
        <v xml:space="preserve">WIERZBICKI               DEREK        A           </v>
      </c>
      <c r="E9832" t="str">
        <f>"LAUREL                    "</f>
        <v xml:space="preserve">LAUREL                    </v>
      </c>
      <c r="F9832" t="str">
        <f t="shared" si="279"/>
        <v>MS</v>
      </c>
    </row>
    <row r="9833" spans="1:6" x14ac:dyDescent="0.25">
      <c r="A9833" t="str">
        <f>"003657240"</f>
        <v>003657240</v>
      </c>
      <c r="B9833" t="str">
        <f>"1831405448"</f>
        <v>1831405448</v>
      </c>
      <c r="C9833" t="str">
        <f>"152W00000X"</f>
        <v>152W00000X</v>
      </c>
      <c r="D9833" t="str">
        <f>"BEARDEN                  JAMES        W           "</f>
        <v xml:space="preserve">BEARDEN                  JAMES        W           </v>
      </c>
      <c r="E9833" t="str">
        <f>"CANTON                    "</f>
        <v xml:space="preserve">CANTON                    </v>
      </c>
      <c r="F9833" t="str">
        <f t="shared" si="279"/>
        <v>MS</v>
      </c>
    </row>
    <row r="9834" spans="1:6" x14ac:dyDescent="0.25">
      <c r="A9834" t="str">
        <f>"003658003"</f>
        <v>003658003</v>
      </c>
      <c r="B9834" t="str">
        <f>"1568676195"</f>
        <v>1568676195</v>
      </c>
      <c r="C9834" t="str">
        <f>"207L00000X"</f>
        <v>207L00000X</v>
      </c>
      <c r="D9834" t="str">
        <f>"BROWN                    JEFFREY      A           "</f>
        <v xml:space="preserve">BROWN                    JEFFREY      A           </v>
      </c>
      <c r="E9834" t="str">
        <f>"NEW ALBANY                "</f>
        <v xml:space="preserve">NEW ALBANY                </v>
      </c>
      <c r="F9834" t="str">
        <f t="shared" si="279"/>
        <v>MS</v>
      </c>
    </row>
    <row r="9835" spans="1:6" x14ac:dyDescent="0.25">
      <c r="A9835" t="str">
        <f>"003658704"</f>
        <v>003658704</v>
      </c>
      <c r="B9835" t="str">
        <f>"1184701344"</f>
        <v>1184701344</v>
      </c>
      <c r="C9835" t="str">
        <f>"207R00000X"</f>
        <v>207R00000X</v>
      </c>
      <c r="D9835" t="str">
        <f>"HEINTZELMAN              KEVIN        A           "</f>
        <v xml:space="preserve">HEINTZELMAN              KEVIN        A           </v>
      </c>
      <c r="E9835" t="str">
        <f>"JACKSON                   "</f>
        <v xml:space="preserve">JACKSON                   </v>
      </c>
      <c r="F9835" t="str">
        <f t="shared" si="279"/>
        <v>MS</v>
      </c>
    </row>
    <row r="9836" spans="1:6" x14ac:dyDescent="0.25">
      <c r="A9836" t="str">
        <f>"003659286"</f>
        <v>003659286</v>
      </c>
      <c r="B9836" t="str">
        <f>"1861420978"</f>
        <v>1861420978</v>
      </c>
      <c r="C9836" t="str">
        <f>"363L00000X"</f>
        <v>363L00000X</v>
      </c>
      <c r="D9836" t="str">
        <f>"KING                     MADELYN      B           "</f>
        <v xml:space="preserve">KING                     MADELYN      B           </v>
      </c>
      <c r="E9836" t="str">
        <f>"COLUMBUS                  "</f>
        <v xml:space="preserve">COLUMBUS                  </v>
      </c>
      <c r="F9836" t="str">
        <f t="shared" si="279"/>
        <v>MS</v>
      </c>
    </row>
    <row r="9837" spans="1:6" x14ac:dyDescent="0.25">
      <c r="A9837" t="str">
        <f>"003659885"</f>
        <v>003659885</v>
      </c>
      <c r="B9837" t="str">
        <f>"1558963496"</f>
        <v>1558963496</v>
      </c>
      <c r="C9837" t="str">
        <f>"261QR1300X"</f>
        <v>261QR1300X</v>
      </c>
      <c r="D9837" t="str">
        <f>"WAYNE GENERAL SCHOOL CLINIC                       "</f>
        <v xml:space="preserve">WAYNE GENERAL SCHOOL CLINIC                       </v>
      </c>
      <c r="E9837" t="str">
        <f>"WAYNESBORO                "</f>
        <v xml:space="preserve">WAYNESBORO                </v>
      </c>
      <c r="F9837" t="str">
        <f t="shared" si="279"/>
        <v>MS</v>
      </c>
    </row>
    <row r="9838" spans="1:6" x14ac:dyDescent="0.25">
      <c r="A9838" t="str">
        <f>"003670007"</f>
        <v>003670007</v>
      </c>
      <c r="B9838" t="str">
        <f>"1477648087"</f>
        <v>1477648087</v>
      </c>
      <c r="C9838" t="str">
        <f>"207RC0000X"</f>
        <v>207RC0000X</v>
      </c>
      <c r="D9838" t="str">
        <f>"BLOSSOM                  BENJAMIN     D           "</f>
        <v xml:space="preserve">BLOSSOM                  BENJAMIN     D           </v>
      </c>
      <c r="E9838" t="str">
        <f>"TUPELO                    "</f>
        <v xml:space="preserve">TUPELO                    </v>
      </c>
      <c r="F9838" t="str">
        <f t="shared" si="279"/>
        <v>MS</v>
      </c>
    </row>
    <row r="9839" spans="1:6" x14ac:dyDescent="0.25">
      <c r="A9839" t="str">
        <f>"003673557"</f>
        <v>003673557</v>
      </c>
      <c r="B9839" t="str">
        <f>"1205034840"</f>
        <v>1205034840</v>
      </c>
      <c r="C9839" t="str">
        <f>"208000000X"</f>
        <v>208000000X</v>
      </c>
      <c r="D9839" t="str">
        <f>"WURM                     WILLIAM      V           "</f>
        <v xml:space="preserve">WURM                     WILLIAM      V           </v>
      </c>
      <c r="E9839" t="str">
        <f>"OCEAN SPRINGS             "</f>
        <v xml:space="preserve">OCEAN SPRINGS             </v>
      </c>
      <c r="F9839" t="str">
        <f t="shared" si="279"/>
        <v>MS</v>
      </c>
    </row>
    <row r="9840" spans="1:6" x14ac:dyDescent="0.25">
      <c r="A9840" t="str">
        <f>"003675860"</f>
        <v>003675860</v>
      </c>
      <c r="B9840" t="str">
        <f>"1568729457"</f>
        <v>1568729457</v>
      </c>
      <c r="C9840" t="str">
        <f>"207R00000X"</f>
        <v>207R00000X</v>
      </c>
      <c r="D9840" t="str">
        <f>"HOUSTON                  SAMANTHA                 "</f>
        <v xml:space="preserve">HOUSTON                  SAMANTHA                 </v>
      </c>
      <c r="E9840" t="str">
        <f>"TUPELO                    "</f>
        <v xml:space="preserve">TUPELO                    </v>
      </c>
      <c r="F9840" t="str">
        <f t="shared" si="279"/>
        <v>MS</v>
      </c>
    </row>
    <row r="9841" spans="1:6" x14ac:dyDescent="0.25">
      <c r="A9841" t="str">
        <f>"003676063"</f>
        <v>003676063</v>
      </c>
      <c r="B9841" t="str">
        <f>"1528259785"</f>
        <v>1528259785</v>
      </c>
      <c r="C9841" t="str">
        <f>"152W00000X"</f>
        <v>152W00000X</v>
      </c>
      <c r="D9841" t="str">
        <f>"SETZER                   JOHN                     "</f>
        <v xml:space="preserve">SETZER                   JOHN                     </v>
      </c>
      <c r="E9841" t="str">
        <f>"RIDGELAND                 "</f>
        <v xml:space="preserve">RIDGELAND                 </v>
      </c>
      <c r="F9841" t="str">
        <f t="shared" si="279"/>
        <v>MS</v>
      </c>
    </row>
    <row r="9842" spans="1:6" x14ac:dyDescent="0.25">
      <c r="A9842" t="str">
        <f>"003676881"</f>
        <v>003676881</v>
      </c>
      <c r="B9842" t="str">
        <f>"1114128923"</f>
        <v>1114128923</v>
      </c>
      <c r="C9842" t="str">
        <f>"207P00000X"</f>
        <v>207P00000X</v>
      </c>
      <c r="D9842" t="str">
        <f>"TARVER                   EMILY        M           "</f>
        <v xml:space="preserve">TARVER                   EMILY        M           </v>
      </c>
      <c r="E9842" t="str">
        <f>"JACKSON                   "</f>
        <v xml:space="preserve">JACKSON                   </v>
      </c>
      <c r="F9842" t="str">
        <f t="shared" si="279"/>
        <v>MS</v>
      </c>
    </row>
    <row r="9843" spans="1:6" x14ac:dyDescent="0.25">
      <c r="A9843" t="str">
        <f>"003678346"</f>
        <v>003678346</v>
      </c>
      <c r="B9843" t="str">
        <f>"1942584693"</f>
        <v>1942584693</v>
      </c>
      <c r="C9843" t="str">
        <f>"152W00000X"</f>
        <v>152W00000X</v>
      </c>
      <c r="D9843" t="str">
        <f>"JILL FRIER, OD                                    "</f>
        <v xml:space="preserve">JILL FRIER, OD                                    </v>
      </c>
      <c r="E9843" t="str">
        <f>"VICKSBURG                 "</f>
        <v xml:space="preserve">VICKSBURG                 </v>
      </c>
      <c r="F9843" t="str">
        <f t="shared" si="279"/>
        <v>MS</v>
      </c>
    </row>
    <row r="9844" spans="1:6" x14ac:dyDescent="0.25">
      <c r="A9844" t="str">
        <f>"003678793"</f>
        <v>003678793</v>
      </c>
      <c r="B9844" t="str">
        <f>"1235698846"</f>
        <v>1235698846</v>
      </c>
      <c r="C9844" t="str">
        <f>"363L00000X"</f>
        <v>363L00000X</v>
      </c>
      <c r="D9844" t="str">
        <f>"MORGAN                   MARY                     "</f>
        <v xml:space="preserve">MORGAN                   MARY                     </v>
      </c>
      <c r="E9844" t="str">
        <f>"LAUREL                    "</f>
        <v xml:space="preserve">LAUREL                    </v>
      </c>
      <c r="F9844" t="str">
        <f t="shared" si="279"/>
        <v>MS</v>
      </c>
    </row>
    <row r="9845" spans="1:6" x14ac:dyDescent="0.25">
      <c r="A9845" t="str">
        <f>"003679540"</f>
        <v>003679540</v>
      </c>
      <c r="B9845" t="str">
        <f>"1073742607"</f>
        <v>1073742607</v>
      </c>
      <c r="C9845" t="str">
        <f>"207RI0200X"</f>
        <v>207RI0200X</v>
      </c>
      <c r="D9845" t="str">
        <f>"BROCK                    JAMES        B           "</f>
        <v xml:space="preserve">BROCK                    JAMES        B           </v>
      </c>
      <c r="E9845" t="str">
        <f>"JACKSON                   "</f>
        <v xml:space="preserve">JACKSON                   </v>
      </c>
      <c r="F9845" t="str">
        <f t="shared" si="279"/>
        <v>MS</v>
      </c>
    </row>
    <row r="9846" spans="1:6" x14ac:dyDescent="0.25">
      <c r="A9846" t="str">
        <f>"003679860"</f>
        <v>003679860</v>
      </c>
      <c r="B9846" t="str">
        <f>"1407844715"</f>
        <v>1407844715</v>
      </c>
      <c r="C9846" t="str">
        <f>"2085R0202X"</f>
        <v>2085R0202X</v>
      </c>
      <c r="D9846" t="str">
        <f>"BECHTEL                  JOHN                     "</f>
        <v xml:space="preserve">BECHTEL                  JOHN                     </v>
      </c>
      <c r="E9846" t="str">
        <f>"PASCAGOULA                "</f>
        <v xml:space="preserve">PASCAGOULA                </v>
      </c>
      <c r="F9846" t="str">
        <f t="shared" si="279"/>
        <v>MS</v>
      </c>
    </row>
    <row r="9847" spans="1:6" x14ac:dyDescent="0.25">
      <c r="A9847" t="str">
        <f>"003680572"</f>
        <v>003680572</v>
      </c>
      <c r="B9847" t="str">
        <f>"1720428147"</f>
        <v>1720428147</v>
      </c>
      <c r="C9847" t="str">
        <f>"208000000X"</f>
        <v>208000000X</v>
      </c>
      <c r="D9847" t="str">
        <f>"OKUNADE                  ADEYINKA     K           "</f>
        <v xml:space="preserve">OKUNADE                  ADEYINKA     K           </v>
      </c>
      <c r="E9847" t="str">
        <f>"MERIDIAN                  "</f>
        <v xml:space="preserve">MERIDIAN                  </v>
      </c>
      <c r="F9847" t="str">
        <f t="shared" si="279"/>
        <v>MS</v>
      </c>
    </row>
    <row r="9848" spans="1:6" x14ac:dyDescent="0.25">
      <c r="A9848" t="str">
        <f>"003681343"</f>
        <v>003681343</v>
      </c>
      <c r="B9848" t="str">
        <f>"1881279016"</f>
        <v>1881279016</v>
      </c>
      <c r="C9848" t="str">
        <f>"122300000X"</f>
        <v>122300000X</v>
      </c>
      <c r="D9848" t="str">
        <f>"SPARKLING SMILES PEDIATRIC DENTISTR               "</f>
        <v xml:space="preserve">SPARKLING SMILES PEDIATRIC DENTISTR               </v>
      </c>
      <c r="E9848" t="str">
        <f>"HATTIESBURG               "</f>
        <v xml:space="preserve">HATTIESBURG               </v>
      </c>
      <c r="F9848" t="str">
        <f t="shared" si="279"/>
        <v>MS</v>
      </c>
    </row>
    <row r="9849" spans="1:6" x14ac:dyDescent="0.25">
      <c r="A9849" t="str">
        <f>"003681353"</f>
        <v>003681353</v>
      </c>
      <c r="B9849" t="str">
        <f>"1376724849"</f>
        <v>1376724849</v>
      </c>
      <c r="C9849" t="str">
        <f>"367500000X"</f>
        <v>367500000X</v>
      </c>
      <c r="D9849" t="str">
        <f>"CRIBBS                   AMANDA       M           "</f>
        <v xml:space="preserve">CRIBBS                   AMANDA       M           </v>
      </c>
      <c r="E9849" t="str">
        <f>"JACKSON                   "</f>
        <v xml:space="preserve">JACKSON                   </v>
      </c>
      <c r="F9849" t="str">
        <f t="shared" si="279"/>
        <v>MS</v>
      </c>
    </row>
    <row r="9850" spans="1:6" x14ac:dyDescent="0.25">
      <c r="A9850" t="str">
        <f>"003683206"</f>
        <v>003683206</v>
      </c>
      <c r="B9850" t="str">
        <f>"1225602816"</f>
        <v>1225602816</v>
      </c>
      <c r="C9850" t="str">
        <f>"367500000X"</f>
        <v>367500000X</v>
      </c>
      <c r="D9850" t="str">
        <f>"BAXTER                   KATELYN      A           "</f>
        <v xml:space="preserve">BAXTER                   KATELYN      A           </v>
      </c>
      <c r="E9850" t="str">
        <f>"GULFPORT                  "</f>
        <v xml:space="preserve">GULFPORT                  </v>
      </c>
      <c r="F9850" t="str">
        <f t="shared" si="279"/>
        <v>MS</v>
      </c>
    </row>
    <row r="9851" spans="1:6" x14ac:dyDescent="0.25">
      <c r="A9851" t="str">
        <f>"003683207"</f>
        <v>003683207</v>
      </c>
      <c r="B9851" t="str">
        <f>"1669494993"</f>
        <v>1669494993</v>
      </c>
      <c r="C9851" t="str">
        <f>"367500000X"</f>
        <v>367500000X</v>
      </c>
      <c r="D9851" t="str">
        <f>"DUNCAN                   MELISSA      M           "</f>
        <v xml:space="preserve">DUNCAN                   MELISSA      M           </v>
      </c>
      <c r="E9851" t="str">
        <f>"JACKSON                   "</f>
        <v xml:space="preserve">JACKSON                   </v>
      </c>
      <c r="F9851" t="str">
        <f t="shared" si="279"/>
        <v>MS</v>
      </c>
    </row>
    <row r="9852" spans="1:6" x14ac:dyDescent="0.25">
      <c r="A9852" t="str">
        <f>"003683291"</f>
        <v>003683291</v>
      </c>
      <c r="B9852" t="str">
        <f>"1881034254"</f>
        <v>1881034254</v>
      </c>
      <c r="C9852" t="str">
        <f>"207Q00000X"</f>
        <v>207Q00000X</v>
      </c>
      <c r="D9852" t="str">
        <f>"BOOKHARDT                MICHAEL                  "</f>
        <v xml:space="preserve">BOOKHARDT                MICHAEL                  </v>
      </c>
      <c r="E9852" t="str">
        <f>"FLOWOOD                   "</f>
        <v xml:space="preserve">FLOWOOD                   </v>
      </c>
      <c r="F9852" t="str">
        <f t="shared" si="279"/>
        <v>MS</v>
      </c>
    </row>
    <row r="9853" spans="1:6" x14ac:dyDescent="0.25">
      <c r="A9853" t="str">
        <f>"003686080"</f>
        <v>003686080</v>
      </c>
      <c r="B9853" t="str">
        <f>"1427239953"</f>
        <v>1427239953</v>
      </c>
      <c r="C9853" t="str">
        <f>"207P00000X"</f>
        <v>207P00000X</v>
      </c>
      <c r="D9853" t="str">
        <f>"MCINNIS                  MARK                     "</f>
        <v xml:space="preserve">MCINNIS                  MARK                     </v>
      </c>
      <c r="E9853" t="str">
        <f>"BAY SAINT LOUIS           "</f>
        <v xml:space="preserve">BAY SAINT LOUIS           </v>
      </c>
      <c r="F9853" t="str">
        <f t="shared" si="279"/>
        <v>MS</v>
      </c>
    </row>
    <row r="9854" spans="1:6" x14ac:dyDescent="0.25">
      <c r="A9854" t="str">
        <f>"003687016"</f>
        <v>003687016</v>
      </c>
      <c r="B9854" t="str">
        <f>"1366670309"</f>
        <v>1366670309</v>
      </c>
      <c r="C9854" t="str">
        <f>"363A00000X"</f>
        <v>363A00000X</v>
      </c>
      <c r="D9854" t="str">
        <f>"LOWERY                   CARMISHIA    N           "</f>
        <v xml:space="preserve">LOWERY                   CARMISHIA    N           </v>
      </c>
      <c r="E9854" t="str">
        <f>"OLIVE BRANCH              "</f>
        <v xml:space="preserve">OLIVE BRANCH              </v>
      </c>
      <c r="F9854" t="str">
        <f t="shared" ref="F9854:F9917" si="280">"MS"</f>
        <v>MS</v>
      </c>
    </row>
    <row r="9855" spans="1:6" x14ac:dyDescent="0.25">
      <c r="A9855" t="str">
        <f>"003688762"</f>
        <v>003688762</v>
      </c>
      <c r="B9855" t="str">
        <f>"1992836423"</f>
        <v>1992836423</v>
      </c>
      <c r="C9855" t="str">
        <f>"363L00000X"</f>
        <v>363L00000X</v>
      </c>
      <c r="D9855" t="str">
        <f>"MASK                     KELLY        S           "</f>
        <v xml:space="preserve">MASK                     KELLY        S           </v>
      </c>
      <c r="E9855" t="str">
        <f>"OCEAN SPRINGS             "</f>
        <v xml:space="preserve">OCEAN SPRINGS             </v>
      </c>
      <c r="F9855" t="str">
        <f t="shared" si="280"/>
        <v>MS</v>
      </c>
    </row>
    <row r="9856" spans="1:6" x14ac:dyDescent="0.25">
      <c r="A9856" t="str">
        <f>"003700047"</f>
        <v>003700047</v>
      </c>
      <c r="B9856" t="str">
        <f>"1801540869"</f>
        <v>1801540869</v>
      </c>
      <c r="C9856" t="str">
        <f>"363L00000X"</f>
        <v>363L00000X</v>
      </c>
      <c r="D9856" t="str">
        <f>"CREEL                    KELSEY       E           "</f>
        <v xml:space="preserve">CREEL                    KELSEY       E           </v>
      </c>
      <c r="E9856" t="str">
        <f>"JACKSON                   "</f>
        <v xml:space="preserve">JACKSON                   </v>
      </c>
      <c r="F9856" t="str">
        <f t="shared" si="280"/>
        <v>MS</v>
      </c>
    </row>
    <row r="9857" spans="1:6" x14ac:dyDescent="0.25">
      <c r="A9857" t="str">
        <f>"003703059"</f>
        <v>003703059</v>
      </c>
      <c r="B9857" t="str">
        <f>"1720333529"</f>
        <v>1720333529</v>
      </c>
      <c r="C9857" t="str">
        <f>"207P00000X"</f>
        <v>207P00000X</v>
      </c>
      <c r="D9857" t="str">
        <f>"MAPLES                   JOHN         D           "</f>
        <v xml:space="preserve">MAPLES                   JOHN         D           </v>
      </c>
      <c r="E9857" t="str">
        <f>"STARKVILLE                "</f>
        <v xml:space="preserve">STARKVILLE                </v>
      </c>
      <c r="F9857" t="str">
        <f t="shared" si="280"/>
        <v>MS</v>
      </c>
    </row>
    <row r="9858" spans="1:6" x14ac:dyDescent="0.25">
      <c r="A9858" t="str">
        <f>"003704346"</f>
        <v>003704346</v>
      </c>
      <c r="B9858" t="str">
        <f>"1285176271"</f>
        <v>1285176271</v>
      </c>
      <c r="C9858" t="str">
        <f>"363L00000X"</f>
        <v>363L00000X</v>
      </c>
      <c r="D9858" t="str">
        <f>"MAYFIELD                 AIMEE        L           "</f>
        <v xml:space="preserve">MAYFIELD                 AIMEE        L           </v>
      </c>
      <c r="E9858" t="str">
        <f>"LONG BEACH                "</f>
        <v xml:space="preserve">LONG BEACH                </v>
      </c>
      <c r="F9858" t="str">
        <f t="shared" si="280"/>
        <v>MS</v>
      </c>
    </row>
    <row r="9859" spans="1:6" x14ac:dyDescent="0.25">
      <c r="A9859" t="str">
        <f>"003704578"</f>
        <v>003704578</v>
      </c>
      <c r="B9859" t="str">
        <f>"1013402254"</f>
        <v>1013402254</v>
      </c>
      <c r="C9859" t="str">
        <f>"207R00000X"</f>
        <v>207R00000X</v>
      </c>
      <c r="D9859" t="str">
        <f>"JENSEN                   JESSICA                  "</f>
        <v xml:space="preserve">JENSEN                   JESSICA                  </v>
      </c>
      <c r="E9859" t="str">
        <f>"IUKA                      "</f>
        <v xml:space="preserve">IUKA                      </v>
      </c>
      <c r="F9859" t="str">
        <f t="shared" si="280"/>
        <v>MS</v>
      </c>
    </row>
    <row r="9860" spans="1:6" x14ac:dyDescent="0.25">
      <c r="A9860" t="str">
        <f>"003705725"</f>
        <v>003705725</v>
      </c>
      <c r="B9860" t="str">
        <f>"1093055352"</f>
        <v>1093055352</v>
      </c>
      <c r="C9860" t="str">
        <f>"367500000X"</f>
        <v>367500000X</v>
      </c>
      <c r="D9860" t="str">
        <f>"OAKES                    LAURA        B           "</f>
        <v xml:space="preserve">OAKES                    LAURA        B           </v>
      </c>
      <c r="E9860" t="str">
        <f>"BILOXI                    "</f>
        <v xml:space="preserve">BILOXI                    </v>
      </c>
      <c r="F9860" t="str">
        <f t="shared" si="280"/>
        <v>MS</v>
      </c>
    </row>
    <row r="9861" spans="1:6" x14ac:dyDescent="0.25">
      <c r="A9861" t="str">
        <f>"003706843"</f>
        <v>003706843</v>
      </c>
      <c r="B9861" t="str">
        <f>"1942471115"</f>
        <v>1942471115</v>
      </c>
      <c r="C9861" t="str">
        <f>"363L00000X"</f>
        <v>363L00000X</v>
      </c>
      <c r="D9861" t="str">
        <f>"SHIVERS                  JAMES        H           "</f>
        <v xml:space="preserve">SHIVERS                  JAMES        H           </v>
      </c>
      <c r="E9861" t="str">
        <f>"COLLINS                   "</f>
        <v xml:space="preserve">COLLINS                   </v>
      </c>
      <c r="F9861" t="str">
        <f t="shared" si="280"/>
        <v>MS</v>
      </c>
    </row>
    <row r="9862" spans="1:6" x14ac:dyDescent="0.25">
      <c r="A9862" t="str">
        <f>"003707006"</f>
        <v>003707006</v>
      </c>
      <c r="B9862" t="str">
        <f>"1538822499"</f>
        <v>1538822499</v>
      </c>
      <c r="C9862" t="str">
        <f>"122300000X"</f>
        <v>122300000X</v>
      </c>
      <c r="D9862" t="str">
        <f>"ALIGNED ORAL AND FACIAL SURGERY                   "</f>
        <v xml:space="preserve">ALIGNED ORAL AND FACIAL SURGERY                   </v>
      </c>
      <c r="E9862" t="str">
        <f>"JACKSON                   "</f>
        <v xml:space="preserve">JACKSON                   </v>
      </c>
      <c r="F9862" t="str">
        <f t="shared" si="280"/>
        <v>MS</v>
      </c>
    </row>
    <row r="9863" spans="1:6" x14ac:dyDescent="0.25">
      <c r="A9863" t="str">
        <f>"003707333"</f>
        <v>003707333</v>
      </c>
      <c r="B9863" t="str">
        <f>"1821027368"</f>
        <v>1821027368</v>
      </c>
      <c r="C9863" t="str">
        <f>"2084P0800X"</f>
        <v>2084P0800X</v>
      </c>
      <c r="D9863" t="str">
        <f>"MONTGOMERY               JOHN                     "</f>
        <v xml:space="preserve">MONTGOMERY               JOHN                     </v>
      </c>
      <c r="E9863" t="str">
        <f>"PASCAGOULA                "</f>
        <v xml:space="preserve">PASCAGOULA                </v>
      </c>
      <c r="F9863" t="str">
        <f t="shared" si="280"/>
        <v>MS</v>
      </c>
    </row>
    <row r="9864" spans="1:6" x14ac:dyDescent="0.25">
      <c r="A9864" t="str">
        <f>"003707842"</f>
        <v>003707842</v>
      </c>
      <c r="B9864" t="str">
        <f>"1679019350"</f>
        <v>1679019350</v>
      </c>
      <c r="C9864" t="str">
        <f>"363L00000X"</f>
        <v>363L00000X</v>
      </c>
      <c r="D9864" t="str">
        <f>"WALLACE                  KRISTEN      A           "</f>
        <v xml:space="preserve">WALLACE                  KRISTEN      A           </v>
      </c>
      <c r="E9864" t="str">
        <f>"FLOWOOD                   "</f>
        <v xml:space="preserve">FLOWOOD                   </v>
      </c>
      <c r="F9864" t="str">
        <f t="shared" si="280"/>
        <v>MS</v>
      </c>
    </row>
    <row r="9865" spans="1:6" x14ac:dyDescent="0.25">
      <c r="A9865" t="str">
        <f>"003709293"</f>
        <v>003709293</v>
      </c>
      <c r="B9865" t="str">
        <f>"1104309178"</f>
        <v>1104309178</v>
      </c>
      <c r="C9865" t="str">
        <f>"363L00000X"</f>
        <v>363L00000X</v>
      </c>
      <c r="D9865" t="str">
        <f>"WASHINGTON               TOMIKA                   "</f>
        <v xml:space="preserve">WASHINGTON               TOMIKA                   </v>
      </c>
      <c r="E9865" t="str">
        <f>"OLIVE BRANCH              "</f>
        <v xml:space="preserve">OLIVE BRANCH              </v>
      </c>
      <c r="F9865" t="str">
        <f t="shared" si="280"/>
        <v>MS</v>
      </c>
    </row>
    <row r="9866" spans="1:6" x14ac:dyDescent="0.25">
      <c r="A9866" t="str">
        <f>"003722001"</f>
        <v>003722001</v>
      </c>
      <c r="B9866" t="str">
        <f>"1245894435"</f>
        <v>1245894435</v>
      </c>
      <c r="C9866" t="str">
        <f>"207R00000X"</f>
        <v>207R00000X</v>
      </c>
      <c r="D9866" t="str">
        <f>"CHIADIKA                 MICHAEL                  "</f>
        <v xml:space="preserve">CHIADIKA                 MICHAEL                  </v>
      </c>
      <c r="E9866" t="str">
        <f>"OXFORD                    "</f>
        <v xml:space="preserve">OXFORD                    </v>
      </c>
      <c r="F9866" t="str">
        <f t="shared" si="280"/>
        <v>MS</v>
      </c>
    </row>
    <row r="9867" spans="1:6" x14ac:dyDescent="0.25">
      <c r="A9867" t="str">
        <f>"003722090"</f>
        <v>003722090</v>
      </c>
      <c r="B9867" t="str">
        <f>"1417608985"</f>
        <v>1417608985</v>
      </c>
      <c r="C9867" t="str">
        <f>"363L00000X"</f>
        <v>363L00000X</v>
      </c>
      <c r="D9867" t="str">
        <f>"BROWN                    LATERRA                  "</f>
        <v xml:space="preserve">BROWN                    LATERRA                  </v>
      </c>
      <c r="E9867" t="str">
        <f>"MCCOMB                    "</f>
        <v xml:space="preserve">MCCOMB                    </v>
      </c>
      <c r="F9867" t="str">
        <f t="shared" si="280"/>
        <v>MS</v>
      </c>
    </row>
    <row r="9868" spans="1:6" x14ac:dyDescent="0.25">
      <c r="A9868" t="str">
        <f>"003722719"</f>
        <v>003722719</v>
      </c>
      <c r="B9868" t="str">
        <f>"1396185542"</f>
        <v>1396185542</v>
      </c>
      <c r="C9868" t="str">
        <f>"363L00000X"</f>
        <v>363L00000X</v>
      </c>
      <c r="D9868" t="str">
        <f>"CALL                     JANA         M           "</f>
        <v xml:space="preserve">CALL                     JANA         M           </v>
      </c>
      <c r="E9868" t="str">
        <f>"PONTOTOC                  "</f>
        <v xml:space="preserve">PONTOTOC                  </v>
      </c>
      <c r="F9868" t="str">
        <f t="shared" si="280"/>
        <v>MS</v>
      </c>
    </row>
    <row r="9869" spans="1:6" x14ac:dyDescent="0.25">
      <c r="A9869" t="str">
        <f>"003723387"</f>
        <v>003723387</v>
      </c>
      <c r="B9869" t="str">
        <f>"1336742410"</f>
        <v>1336742410</v>
      </c>
      <c r="C9869" t="str">
        <f>"363LF0000X"</f>
        <v>363LF0000X</v>
      </c>
      <c r="D9869" t="str">
        <f>"MOORE                    ANDREA       F           "</f>
        <v xml:space="preserve">MOORE                    ANDREA       F           </v>
      </c>
      <c r="E9869" t="str">
        <f>"JACKSON                   "</f>
        <v xml:space="preserve">JACKSON                   </v>
      </c>
      <c r="F9869" t="str">
        <f t="shared" si="280"/>
        <v>MS</v>
      </c>
    </row>
    <row r="9870" spans="1:6" x14ac:dyDescent="0.25">
      <c r="A9870" t="str">
        <f>"003724701"</f>
        <v>003724701</v>
      </c>
      <c r="B9870" t="str">
        <f>"1679112304"</f>
        <v>1679112304</v>
      </c>
      <c r="C9870" t="str">
        <f>"363L00000X"</f>
        <v>363L00000X</v>
      </c>
      <c r="D9870" t="str">
        <f>"BREWER                   MADISON                  "</f>
        <v xml:space="preserve">BREWER                   MADISON                  </v>
      </c>
      <c r="E9870" t="str">
        <f>"LAUREL                    "</f>
        <v xml:space="preserve">LAUREL                    </v>
      </c>
      <c r="F9870" t="str">
        <f t="shared" si="280"/>
        <v>MS</v>
      </c>
    </row>
    <row r="9871" spans="1:6" x14ac:dyDescent="0.25">
      <c r="A9871" t="str">
        <f>"003725590"</f>
        <v>003725590</v>
      </c>
      <c r="B9871" t="str">
        <f>"1376814533"</f>
        <v>1376814533</v>
      </c>
      <c r="C9871" t="str">
        <f>"363L00000X"</f>
        <v>363L00000X</v>
      </c>
      <c r="D9871" t="str">
        <f>"MILLER                   PRISCILLA    S           "</f>
        <v xml:space="preserve">MILLER                   PRISCILLA    S           </v>
      </c>
      <c r="E9871" t="str">
        <f>"MERIDIAN                  "</f>
        <v xml:space="preserve">MERIDIAN                  </v>
      </c>
      <c r="F9871" t="str">
        <f t="shared" si="280"/>
        <v>MS</v>
      </c>
    </row>
    <row r="9872" spans="1:6" x14ac:dyDescent="0.25">
      <c r="A9872" t="str">
        <f>"003726527"</f>
        <v>003726527</v>
      </c>
      <c r="B9872" t="str">
        <f>"1558910760"</f>
        <v>1558910760</v>
      </c>
      <c r="C9872" t="str">
        <f>"363L00000X"</f>
        <v>363L00000X</v>
      </c>
      <c r="D9872" t="str">
        <f>"DEASON                   KRISTEN      M           "</f>
        <v xml:space="preserve">DEASON                   KRISTEN      M           </v>
      </c>
      <c r="E9872" t="str">
        <f>"MERIDIAN                  "</f>
        <v xml:space="preserve">MERIDIAN                  </v>
      </c>
      <c r="F9872" t="str">
        <f t="shared" si="280"/>
        <v>MS</v>
      </c>
    </row>
    <row r="9873" spans="1:6" x14ac:dyDescent="0.25">
      <c r="A9873" t="str">
        <f>"003726577"</f>
        <v>003726577</v>
      </c>
      <c r="B9873" t="str">
        <f>"1174714133"</f>
        <v>1174714133</v>
      </c>
      <c r="C9873" t="str">
        <f>"152W00000X"</f>
        <v>152W00000X</v>
      </c>
      <c r="D9873" t="str">
        <f>"SMITH                    CHAD         P           "</f>
        <v xml:space="preserve">SMITH                    CHAD         P           </v>
      </c>
      <c r="E9873" t="str">
        <f>"BROOKHAVEN                "</f>
        <v xml:space="preserve">BROOKHAVEN                </v>
      </c>
      <c r="F9873" t="str">
        <f t="shared" si="280"/>
        <v>MS</v>
      </c>
    </row>
    <row r="9874" spans="1:6" x14ac:dyDescent="0.25">
      <c r="A9874" t="str">
        <f>"003727310"</f>
        <v>003727310</v>
      </c>
      <c r="B9874" t="str">
        <f>"1114595485"</f>
        <v>1114595485</v>
      </c>
      <c r="C9874" t="str">
        <f>"261QM1300X"</f>
        <v>261QM1300X</v>
      </c>
      <c r="D9874" t="str">
        <f>"DONNA M LEWIS LCSW PLLC                           "</f>
        <v xml:space="preserve">DONNA M LEWIS LCSW PLLC                           </v>
      </c>
      <c r="E9874" t="str">
        <f>"OCEAN SPRINGS             "</f>
        <v xml:space="preserve">OCEAN SPRINGS             </v>
      </c>
      <c r="F9874" t="str">
        <f t="shared" si="280"/>
        <v>MS</v>
      </c>
    </row>
    <row r="9875" spans="1:6" x14ac:dyDescent="0.25">
      <c r="A9875" t="str">
        <f>"003727355"</f>
        <v>003727355</v>
      </c>
      <c r="B9875" t="str">
        <f>"1508009382"</f>
        <v>1508009382</v>
      </c>
      <c r="C9875" t="str">
        <f>"363L00000X"</f>
        <v>363L00000X</v>
      </c>
      <c r="D9875" t="str">
        <f>"CASE                     BETHANY      B           "</f>
        <v xml:space="preserve">CASE                     BETHANY      B           </v>
      </c>
      <c r="E9875" t="str">
        <f>"JACKSON                   "</f>
        <v xml:space="preserve">JACKSON                   </v>
      </c>
      <c r="F9875" t="str">
        <f t="shared" si="280"/>
        <v>MS</v>
      </c>
    </row>
    <row r="9876" spans="1:6" x14ac:dyDescent="0.25">
      <c r="A9876" t="str">
        <f>"003728800"</f>
        <v>003728800</v>
      </c>
      <c r="B9876" t="str">
        <f>"1609831007"</f>
        <v>1609831007</v>
      </c>
      <c r="C9876" t="str">
        <f>"367500000X"</f>
        <v>367500000X</v>
      </c>
      <c r="D9876" t="str">
        <f>"PATTIE                   WILLIAM      C           "</f>
        <v xml:space="preserve">PATTIE                   WILLIAM      C           </v>
      </c>
      <c r="E9876" t="str">
        <f>"HATTIESBURG               "</f>
        <v xml:space="preserve">HATTIESBURG               </v>
      </c>
      <c r="F9876" t="str">
        <f t="shared" si="280"/>
        <v>MS</v>
      </c>
    </row>
    <row r="9877" spans="1:6" x14ac:dyDescent="0.25">
      <c r="A9877" t="str">
        <f>"003730749"</f>
        <v>003730749</v>
      </c>
      <c r="B9877" t="str">
        <f>"1699913202"</f>
        <v>1699913202</v>
      </c>
      <c r="C9877" t="str">
        <f>"363L00000X"</f>
        <v>363L00000X</v>
      </c>
      <c r="D9877" t="str">
        <f>"HAMM                     MELANIE      R           "</f>
        <v xml:space="preserve">HAMM                     MELANIE      R           </v>
      </c>
      <c r="E9877" t="str">
        <f>"HATTIESBURG               "</f>
        <v xml:space="preserve">HATTIESBURG               </v>
      </c>
      <c r="F9877" t="str">
        <f t="shared" si="280"/>
        <v>MS</v>
      </c>
    </row>
    <row r="9878" spans="1:6" x14ac:dyDescent="0.25">
      <c r="A9878" t="str">
        <f>"003731854"</f>
        <v>003731854</v>
      </c>
      <c r="B9878" t="str">
        <f>"1659353944"</f>
        <v>1659353944</v>
      </c>
      <c r="C9878" t="str">
        <f>"363L00000X"</f>
        <v>363L00000X</v>
      </c>
      <c r="D9878" t="str">
        <f>"CHISOLM                  ALECIA       P           "</f>
        <v xml:space="preserve">CHISOLM                  ALECIA       P           </v>
      </c>
      <c r="E9878" t="str">
        <f>"BROOKHAVEN                "</f>
        <v xml:space="preserve">BROOKHAVEN                </v>
      </c>
      <c r="F9878" t="str">
        <f t="shared" si="280"/>
        <v>MS</v>
      </c>
    </row>
    <row r="9879" spans="1:6" x14ac:dyDescent="0.25">
      <c r="A9879" t="str">
        <f>"003733704"</f>
        <v>003733704</v>
      </c>
      <c r="B9879" t="str">
        <f>"1093376006"</f>
        <v>1093376006</v>
      </c>
      <c r="C9879" t="str">
        <f>"261QM1300X"</f>
        <v>261QM1300X</v>
      </c>
      <c r="D9879" t="str">
        <f>"BRIDGES PROFESSIONAL COUNSELING AND               "</f>
        <v xml:space="preserve">BRIDGES PROFESSIONAL COUNSELING AND               </v>
      </c>
      <c r="E9879" t="str">
        <f>"MONTICELLO                "</f>
        <v xml:space="preserve">MONTICELLO                </v>
      </c>
      <c r="F9879" t="str">
        <f t="shared" si="280"/>
        <v>MS</v>
      </c>
    </row>
    <row r="9880" spans="1:6" x14ac:dyDescent="0.25">
      <c r="A9880" t="str">
        <f>"003734211"</f>
        <v>003734211</v>
      </c>
      <c r="B9880" t="str">
        <f>"1629510540"</f>
        <v>1629510540</v>
      </c>
      <c r="C9880" t="str">
        <f>"261QM0801X"</f>
        <v>261QM0801X</v>
      </c>
      <c r="D9880" t="str">
        <f>"MISSISSIPPI COMPREHENSIVE TREATMENT, LLC          "</f>
        <v xml:space="preserve">MISSISSIPPI COMPREHENSIVE TREATMENT, LLC          </v>
      </c>
      <c r="E9880" t="str">
        <f>"JACKSON                   "</f>
        <v xml:space="preserve">JACKSON                   </v>
      </c>
      <c r="F9880" t="str">
        <f t="shared" si="280"/>
        <v>MS</v>
      </c>
    </row>
    <row r="9881" spans="1:6" x14ac:dyDescent="0.25">
      <c r="A9881" t="str">
        <f>"003735301"</f>
        <v>003735301</v>
      </c>
      <c r="B9881" t="str">
        <f>"1154577088"</f>
        <v>1154577088</v>
      </c>
      <c r="C9881" t="str">
        <f>"2084N0400X"</f>
        <v>2084N0400X</v>
      </c>
      <c r="D9881" t="str">
        <f>"BRADLEY                  PAUL         W           "</f>
        <v xml:space="preserve">BRADLEY                  PAUL         W           </v>
      </c>
      <c r="E9881" t="str">
        <f>"MERIDIAN                  "</f>
        <v xml:space="preserve">MERIDIAN                  </v>
      </c>
      <c r="F9881" t="str">
        <f t="shared" si="280"/>
        <v>MS</v>
      </c>
    </row>
    <row r="9882" spans="1:6" x14ac:dyDescent="0.25">
      <c r="A9882" t="str">
        <f>"003735792"</f>
        <v>003735792</v>
      </c>
      <c r="B9882" t="str">
        <f>"1689858177"</f>
        <v>1689858177</v>
      </c>
      <c r="C9882" t="str">
        <f>"208600000X"</f>
        <v>208600000X</v>
      </c>
      <c r="D9882" t="str">
        <f>"SMITH                    DANIEL       H           "</f>
        <v xml:space="preserve">SMITH                    DANIEL       H           </v>
      </c>
      <c r="E9882" t="str">
        <f>"HATTIESBURG               "</f>
        <v xml:space="preserve">HATTIESBURG               </v>
      </c>
      <c r="F9882" t="str">
        <f t="shared" si="280"/>
        <v>MS</v>
      </c>
    </row>
    <row r="9883" spans="1:6" x14ac:dyDescent="0.25">
      <c r="A9883" t="str">
        <f>"003736053"</f>
        <v>003736053</v>
      </c>
      <c r="B9883" t="str">
        <f>"1740676378"</f>
        <v>1740676378</v>
      </c>
      <c r="C9883" t="str">
        <f>"261QF0400X"</f>
        <v>261QF0400X</v>
      </c>
      <c r="D9883" t="str">
        <f>"TISHOMINGO HEALTH CARE ASSOCIATES                 "</f>
        <v xml:space="preserve">TISHOMINGO HEALTH CARE ASSOCIATES                 </v>
      </c>
      <c r="E9883" t="str">
        <f>"TISHOMINGO                "</f>
        <v xml:space="preserve">TISHOMINGO                </v>
      </c>
      <c r="F9883" t="str">
        <f t="shared" si="280"/>
        <v>MS</v>
      </c>
    </row>
    <row r="9884" spans="1:6" x14ac:dyDescent="0.25">
      <c r="A9884" t="str">
        <f>"003736718"</f>
        <v>003736718</v>
      </c>
      <c r="B9884" t="str">
        <f>"1194809822"</f>
        <v>1194809822</v>
      </c>
      <c r="C9884" t="str">
        <f>"207RN0300X"</f>
        <v>207RN0300X</v>
      </c>
      <c r="D9884" t="str">
        <f>"BILBREW                  DAPHNE       M           "</f>
        <v xml:space="preserve">BILBREW                  DAPHNE       M           </v>
      </c>
      <c r="E9884" t="str">
        <f>"FLOWOOD                   "</f>
        <v xml:space="preserve">FLOWOOD                   </v>
      </c>
      <c r="F9884" t="str">
        <f t="shared" si="280"/>
        <v>MS</v>
      </c>
    </row>
    <row r="9885" spans="1:6" x14ac:dyDescent="0.25">
      <c r="A9885" t="str">
        <f>"003737571"</f>
        <v>003737571</v>
      </c>
      <c r="B9885" t="str">
        <f>"1114157062"</f>
        <v>1114157062</v>
      </c>
      <c r="C9885" t="str">
        <f>"207Q00000X"</f>
        <v>207Q00000X</v>
      </c>
      <c r="D9885" t="str">
        <f>"PERNIA                   MONA         G           "</f>
        <v xml:space="preserve">PERNIA                   MONA         G           </v>
      </c>
      <c r="E9885" t="str">
        <f>"CORINTH                   "</f>
        <v xml:space="preserve">CORINTH                   </v>
      </c>
      <c r="F9885" t="str">
        <f t="shared" si="280"/>
        <v>MS</v>
      </c>
    </row>
    <row r="9886" spans="1:6" x14ac:dyDescent="0.25">
      <c r="A9886" t="str">
        <f>"003739309"</f>
        <v>003739309</v>
      </c>
      <c r="B9886" t="str">
        <f>"1871165563"</f>
        <v>1871165563</v>
      </c>
      <c r="C9886" t="str">
        <f>"122300000X"</f>
        <v>122300000X</v>
      </c>
      <c r="D9886" t="str">
        <f>"WELBORN                  TAYLOR       R           "</f>
        <v xml:space="preserve">WELBORN                  TAYLOR       R           </v>
      </c>
      <c r="E9886" t="str">
        <f>"LAUREL                    "</f>
        <v xml:space="preserve">LAUREL                    </v>
      </c>
      <c r="F9886" t="str">
        <f t="shared" si="280"/>
        <v>MS</v>
      </c>
    </row>
    <row r="9887" spans="1:6" x14ac:dyDescent="0.25">
      <c r="A9887" t="str">
        <f>"003739577"</f>
        <v>003739577</v>
      </c>
      <c r="B9887" t="str">
        <f>"1407207640"</f>
        <v>1407207640</v>
      </c>
      <c r="C9887" t="str">
        <f>"363LF0000X"</f>
        <v>363LF0000X</v>
      </c>
      <c r="D9887" t="str">
        <f>"WHITE                    HANNAH       N           "</f>
        <v xml:space="preserve">WHITE                    HANNAH       N           </v>
      </c>
      <c r="E9887" t="str">
        <f>"JACKSON                   "</f>
        <v xml:space="preserve">JACKSON                   </v>
      </c>
      <c r="F9887" t="str">
        <f t="shared" si="280"/>
        <v>MS</v>
      </c>
    </row>
    <row r="9888" spans="1:6" x14ac:dyDescent="0.25">
      <c r="A9888" t="str">
        <f>"003754078"</f>
        <v>003754078</v>
      </c>
      <c r="B9888" t="str">
        <f>"1184086282"</f>
        <v>1184086282</v>
      </c>
      <c r="C9888" t="str">
        <f>"363L00000X"</f>
        <v>363L00000X</v>
      </c>
      <c r="D9888" t="str">
        <f>"ELLIOTT                  LAUREN       B           "</f>
        <v xml:space="preserve">ELLIOTT                  LAUREN       B           </v>
      </c>
      <c r="E9888" t="str">
        <f>"JACKSON                   "</f>
        <v xml:space="preserve">JACKSON                   </v>
      </c>
      <c r="F9888" t="str">
        <f t="shared" si="280"/>
        <v>MS</v>
      </c>
    </row>
    <row r="9889" spans="1:6" x14ac:dyDescent="0.25">
      <c r="A9889" t="str">
        <f>"003755515"</f>
        <v>003755515</v>
      </c>
      <c r="B9889" t="str">
        <f>"1093747776"</f>
        <v>1093747776</v>
      </c>
      <c r="C9889" t="str">
        <f>"207P00000X"</f>
        <v>207P00000X</v>
      </c>
      <c r="D9889" t="str">
        <f>"TOLLEFSON                BRIAN        J           "</f>
        <v xml:space="preserve">TOLLEFSON                BRIAN        J           </v>
      </c>
      <c r="E9889" t="str">
        <f>"JACKSON                   "</f>
        <v xml:space="preserve">JACKSON                   </v>
      </c>
      <c r="F9889" t="str">
        <f t="shared" si="280"/>
        <v>MS</v>
      </c>
    </row>
    <row r="9890" spans="1:6" x14ac:dyDescent="0.25">
      <c r="A9890" t="str">
        <f>"003755729"</f>
        <v>003755729</v>
      </c>
      <c r="B9890" t="str">
        <f>"1346460367"</f>
        <v>1346460367</v>
      </c>
      <c r="C9890" t="str">
        <f>"2085R0202X"</f>
        <v>2085R0202X</v>
      </c>
      <c r="D9890" t="str">
        <f>"SKELTON                  BRANDON      W           "</f>
        <v xml:space="preserve">SKELTON                  BRANDON      W           </v>
      </c>
      <c r="E9890" t="str">
        <f>"CORINTH                   "</f>
        <v xml:space="preserve">CORINTH                   </v>
      </c>
      <c r="F9890" t="str">
        <f t="shared" si="280"/>
        <v>MS</v>
      </c>
    </row>
    <row r="9891" spans="1:6" x14ac:dyDescent="0.25">
      <c r="A9891" t="str">
        <f>"003755754"</f>
        <v>003755754</v>
      </c>
      <c r="B9891" t="str">
        <f>"1790958114"</f>
        <v>1790958114</v>
      </c>
      <c r="C9891" t="str">
        <f>"208000000X"</f>
        <v>208000000X</v>
      </c>
      <c r="D9891" t="str">
        <f>"SHAIJU                   ANEESHA                  "</f>
        <v xml:space="preserve">SHAIJU                   ANEESHA                  </v>
      </c>
      <c r="E9891" t="str">
        <f>"SENATOBIA                 "</f>
        <v xml:space="preserve">SENATOBIA                 </v>
      </c>
      <c r="F9891" t="str">
        <f t="shared" si="280"/>
        <v>MS</v>
      </c>
    </row>
    <row r="9892" spans="1:6" x14ac:dyDescent="0.25">
      <c r="A9892" t="str">
        <f>"003756010"</f>
        <v>003756010</v>
      </c>
      <c r="B9892" t="str">
        <f>"1235376096"</f>
        <v>1235376096</v>
      </c>
      <c r="C9892" t="str">
        <f>"367500000X"</f>
        <v>367500000X</v>
      </c>
      <c r="D9892" t="str">
        <f>"BONVILLAIN               LEIGH        A           "</f>
        <v xml:space="preserve">BONVILLAIN               LEIGH        A           </v>
      </c>
      <c r="E9892" t="str">
        <f>"JACKSON                   "</f>
        <v xml:space="preserve">JACKSON                   </v>
      </c>
      <c r="F9892" t="str">
        <f t="shared" si="280"/>
        <v>MS</v>
      </c>
    </row>
    <row r="9893" spans="1:6" x14ac:dyDescent="0.25">
      <c r="A9893" t="str">
        <f>"003756089"</f>
        <v>003756089</v>
      </c>
      <c r="B9893" t="str">
        <f>"1699320929"</f>
        <v>1699320929</v>
      </c>
      <c r="C9893" t="str">
        <f>"152W00000X"</f>
        <v>152W00000X</v>
      </c>
      <c r="D9893" t="str">
        <f>"BUCKLEW                  CHANNING     F           "</f>
        <v xml:space="preserve">BUCKLEW                  CHANNING     F           </v>
      </c>
      <c r="E9893" t="str">
        <f>"LOUISVILLE                "</f>
        <v xml:space="preserve">LOUISVILLE                </v>
      </c>
      <c r="F9893" t="str">
        <f t="shared" si="280"/>
        <v>MS</v>
      </c>
    </row>
    <row r="9894" spans="1:6" x14ac:dyDescent="0.25">
      <c r="A9894" t="str">
        <f>"003756351"</f>
        <v>003756351</v>
      </c>
      <c r="B9894" t="str">
        <f>"1972029668"</f>
        <v>1972029668</v>
      </c>
      <c r="C9894" t="str">
        <f>"363L00000X"</f>
        <v>363L00000X</v>
      </c>
      <c r="D9894" t="str">
        <f>"HOGAN                    KATHERINE                "</f>
        <v xml:space="preserve">HOGAN                    KATHERINE                </v>
      </c>
      <c r="E9894" t="str">
        <f>"MERIDIAN                  "</f>
        <v xml:space="preserve">MERIDIAN                  </v>
      </c>
      <c r="F9894" t="str">
        <f t="shared" si="280"/>
        <v>MS</v>
      </c>
    </row>
    <row r="9895" spans="1:6" x14ac:dyDescent="0.25">
      <c r="A9895" t="str">
        <f>"003757378"</f>
        <v>003757378</v>
      </c>
      <c r="B9895" t="str">
        <f>"1578508735"</f>
        <v>1578508735</v>
      </c>
      <c r="C9895" t="str">
        <f>"208600000X"</f>
        <v>208600000X</v>
      </c>
      <c r="D9895" t="str">
        <f>"SMITH                    ADRIAN       R           "</f>
        <v xml:space="preserve">SMITH                    ADRIAN       R           </v>
      </c>
      <c r="E9895" t="str">
        <f>"FLOWOOD                   "</f>
        <v xml:space="preserve">FLOWOOD                   </v>
      </c>
      <c r="F9895" t="str">
        <f t="shared" si="280"/>
        <v>MS</v>
      </c>
    </row>
    <row r="9896" spans="1:6" x14ac:dyDescent="0.25">
      <c r="A9896" t="str">
        <f>"003758295"</f>
        <v>003758295</v>
      </c>
      <c r="B9896" t="str">
        <f>"1992390124"</f>
        <v>1992390124</v>
      </c>
      <c r="C9896" t="str">
        <f>"261QM1300X"</f>
        <v>261QM1300X</v>
      </c>
      <c r="D9896" t="str">
        <f>"OAKVIEW COUNSELING LLC                            "</f>
        <v xml:space="preserve">OAKVIEW COUNSELING LLC                            </v>
      </c>
      <c r="E9896" t="str">
        <f>"DIBERVILLE                "</f>
        <v xml:space="preserve">DIBERVILLE                </v>
      </c>
      <c r="F9896" t="str">
        <f t="shared" si="280"/>
        <v>MS</v>
      </c>
    </row>
    <row r="9897" spans="1:6" x14ac:dyDescent="0.25">
      <c r="A9897" t="str">
        <f>"003759341"</f>
        <v>003759341</v>
      </c>
      <c r="B9897" t="str">
        <f>"1588976864"</f>
        <v>1588976864</v>
      </c>
      <c r="C9897" t="str">
        <f>"2080H0002X"</f>
        <v>2080H0002X</v>
      </c>
      <c r="D9897" t="str">
        <f>"PAINE II                 CHARLES      C           "</f>
        <v xml:space="preserve">PAINE II                 CHARLES      C           </v>
      </c>
      <c r="E9897" t="str">
        <f>"JACKSON                   "</f>
        <v xml:space="preserve">JACKSON                   </v>
      </c>
      <c r="F9897" t="str">
        <f t="shared" si="280"/>
        <v>MS</v>
      </c>
    </row>
    <row r="9898" spans="1:6" x14ac:dyDescent="0.25">
      <c r="A9898" t="str">
        <f>"003770551"</f>
        <v>003770551</v>
      </c>
      <c r="B9898" t="str">
        <f>"1427212992"</f>
        <v>1427212992</v>
      </c>
      <c r="C9898" t="str">
        <f>"207W00000X"</f>
        <v>207W00000X</v>
      </c>
      <c r="D9898" t="str">
        <f>"SHIPP                    JAMES        B           "</f>
        <v xml:space="preserve">SHIPP                    JAMES        B           </v>
      </c>
      <c r="E9898" t="str">
        <f>"OXFORD                    "</f>
        <v xml:space="preserve">OXFORD                    </v>
      </c>
      <c r="F9898" t="str">
        <f t="shared" si="280"/>
        <v>MS</v>
      </c>
    </row>
    <row r="9899" spans="1:6" x14ac:dyDescent="0.25">
      <c r="A9899" t="str">
        <f>"003771270"</f>
        <v>003771270</v>
      </c>
      <c r="B9899" t="str">
        <f>"1003844481"</f>
        <v>1003844481</v>
      </c>
      <c r="C9899" t="str">
        <f>"367500000X"</f>
        <v>367500000X</v>
      </c>
      <c r="D9899" t="str">
        <f>"FORTENBERRY JR           HUGH         R           "</f>
        <v xml:space="preserve">FORTENBERRY JR           HUGH         R           </v>
      </c>
      <c r="E9899" t="str">
        <f>"CLEVELAND                 "</f>
        <v xml:space="preserve">CLEVELAND                 </v>
      </c>
      <c r="F9899" t="str">
        <f t="shared" si="280"/>
        <v>MS</v>
      </c>
    </row>
    <row r="9900" spans="1:6" x14ac:dyDescent="0.25">
      <c r="A9900" t="str">
        <f>"003771729"</f>
        <v>003771729</v>
      </c>
      <c r="B9900" t="str">
        <f>"1275645889"</f>
        <v>1275645889</v>
      </c>
      <c r="C9900" t="str">
        <f>"152W00000X"</f>
        <v>152W00000X</v>
      </c>
      <c r="D9900" t="str">
        <f>"BRIGHT                   SANDRA       L           "</f>
        <v xml:space="preserve">BRIGHT                   SANDRA       L           </v>
      </c>
      <c r="E9900" t="str">
        <f>"BATESVILLE                "</f>
        <v xml:space="preserve">BATESVILLE                </v>
      </c>
      <c r="F9900" t="str">
        <f t="shared" si="280"/>
        <v>MS</v>
      </c>
    </row>
    <row r="9901" spans="1:6" x14ac:dyDescent="0.25">
      <c r="A9901" t="str">
        <f>"003772094"</f>
        <v>003772094</v>
      </c>
      <c r="B9901" t="str">
        <f>"1750615076"</f>
        <v>1750615076</v>
      </c>
      <c r="C9901" t="str">
        <f>"207R00000X"</f>
        <v>207R00000X</v>
      </c>
      <c r="D9901" t="str">
        <f>"MANNS                    MELANTHA     D           "</f>
        <v xml:space="preserve">MANNS                    MELANTHA     D           </v>
      </c>
      <c r="E9901" t="str">
        <f>"GULFPORT                  "</f>
        <v xml:space="preserve">GULFPORT                  </v>
      </c>
      <c r="F9901" t="str">
        <f t="shared" si="280"/>
        <v>MS</v>
      </c>
    </row>
    <row r="9902" spans="1:6" x14ac:dyDescent="0.25">
      <c r="A9902" t="str">
        <f>"003772502"</f>
        <v>003772502</v>
      </c>
      <c r="B9902" t="str">
        <f>"1932145539"</f>
        <v>1932145539</v>
      </c>
      <c r="C9902" t="str">
        <f>"261QF0400X"</f>
        <v>261QF0400X</v>
      </c>
      <c r="D9902" t="str">
        <f>"JHCHC-WARREN                                      "</f>
        <v xml:space="preserve">JHCHC-WARREN                                      </v>
      </c>
      <c r="E9902" t="str">
        <f>"VICKSBURG                 "</f>
        <v xml:space="preserve">VICKSBURG                 </v>
      </c>
      <c r="F9902" t="str">
        <f t="shared" si="280"/>
        <v>MS</v>
      </c>
    </row>
    <row r="9903" spans="1:6" x14ac:dyDescent="0.25">
      <c r="A9903" t="str">
        <f>"003772757"</f>
        <v>003772757</v>
      </c>
      <c r="B9903" t="str">
        <f>"1265727465"</f>
        <v>1265727465</v>
      </c>
      <c r="C9903" t="str">
        <f>"207X00000X"</f>
        <v>207X00000X</v>
      </c>
      <c r="D9903" t="str">
        <f>"BROWN                    JONATHAN     D           "</f>
        <v xml:space="preserve">BROWN                    JONATHAN     D           </v>
      </c>
      <c r="E9903" t="str">
        <f>"BILOXI                    "</f>
        <v xml:space="preserve">BILOXI                    </v>
      </c>
      <c r="F9903" t="str">
        <f t="shared" si="280"/>
        <v>MS</v>
      </c>
    </row>
    <row r="9904" spans="1:6" x14ac:dyDescent="0.25">
      <c r="A9904" t="str">
        <f>"003772821"</f>
        <v>003772821</v>
      </c>
      <c r="B9904" t="str">
        <f>"1699082875"</f>
        <v>1699082875</v>
      </c>
      <c r="C9904" t="str">
        <f>"261QA1903X"</f>
        <v>261QA1903X</v>
      </c>
      <c r="D9904" t="str">
        <f>"PAIN CONSULTANTS ASC LLC                          "</f>
        <v xml:space="preserve">PAIN CONSULTANTS ASC LLC                          </v>
      </c>
      <c r="E9904" t="str">
        <f>"PASCAGOULA                "</f>
        <v xml:space="preserve">PASCAGOULA                </v>
      </c>
      <c r="F9904" t="str">
        <f t="shared" si="280"/>
        <v>MS</v>
      </c>
    </row>
    <row r="9905" spans="1:6" x14ac:dyDescent="0.25">
      <c r="A9905" t="str">
        <f>"003773763"</f>
        <v>003773763</v>
      </c>
      <c r="B9905" t="str">
        <f>"1093919839"</f>
        <v>1093919839</v>
      </c>
      <c r="C9905" t="str">
        <f>"122300000X"</f>
        <v>122300000X</v>
      </c>
      <c r="D9905" t="str">
        <f>"GUNDY                    PAUL         D           "</f>
        <v xml:space="preserve">GUNDY                    PAUL         D           </v>
      </c>
      <c r="E9905" t="str">
        <f>"KOSCIUSKO                 "</f>
        <v xml:space="preserve">KOSCIUSKO                 </v>
      </c>
      <c r="F9905" t="str">
        <f t="shared" si="280"/>
        <v>MS</v>
      </c>
    </row>
    <row r="9906" spans="1:6" x14ac:dyDescent="0.25">
      <c r="A9906" t="str">
        <f>"003776311"</f>
        <v>003776311</v>
      </c>
      <c r="B9906" t="str">
        <f>"1427485184"</f>
        <v>1427485184</v>
      </c>
      <c r="C9906" t="str">
        <f>"261QM1300X"</f>
        <v>261QM1300X</v>
      </c>
      <c r="D9906" t="str">
        <f>"CANOPY CHILDRENS SOLUTIONS                        "</f>
        <v xml:space="preserve">CANOPY CHILDRENS SOLUTIONS                        </v>
      </c>
      <c r="E9906" t="str">
        <f>"JACKSON                   "</f>
        <v xml:space="preserve">JACKSON                   </v>
      </c>
      <c r="F9906" t="str">
        <f t="shared" si="280"/>
        <v>MS</v>
      </c>
    </row>
    <row r="9907" spans="1:6" x14ac:dyDescent="0.25">
      <c r="A9907" t="str">
        <f>"003776385"</f>
        <v>003776385</v>
      </c>
      <c r="B9907" t="str">
        <f>"1073747564"</f>
        <v>1073747564</v>
      </c>
      <c r="C9907" t="str">
        <f>"363LP0808X"</f>
        <v>363LP0808X</v>
      </c>
      <c r="D9907" t="str">
        <f>"GALLE                    JENNIFER                 "</f>
        <v xml:space="preserve">GALLE                    JENNIFER                 </v>
      </c>
      <c r="E9907" t="str">
        <f>"BILOXI                    "</f>
        <v xml:space="preserve">BILOXI                    </v>
      </c>
      <c r="F9907" t="str">
        <f t="shared" si="280"/>
        <v>MS</v>
      </c>
    </row>
    <row r="9908" spans="1:6" x14ac:dyDescent="0.25">
      <c r="A9908" t="str">
        <f>"003777066"</f>
        <v>003777066</v>
      </c>
      <c r="B9908" t="str">
        <f>"1275836991"</f>
        <v>1275836991</v>
      </c>
      <c r="C9908" t="str">
        <f>"363L00000X"</f>
        <v>363L00000X</v>
      </c>
      <c r="D9908" t="str">
        <f>"BALLARD                  SHANNON      L           "</f>
        <v xml:space="preserve">BALLARD                  SHANNON      L           </v>
      </c>
      <c r="E9908" t="str">
        <f>"AMORY                     "</f>
        <v xml:space="preserve">AMORY                     </v>
      </c>
      <c r="F9908" t="str">
        <f t="shared" si="280"/>
        <v>MS</v>
      </c>
    </row>
    <row r="9909" spans="1:6" x14ac:dyDescent="0.25">
      <c r="A9909" t="str">
        <f>"003779092"</f>
        <v>003779092</v>
      </c>
      <c r="B9909" t="str">
        <f>"1306409040"</f>
        <v>1306409040</v>
      </c>
      <c r="C9909" t="str">
        <f>"363L00000X"</f>
        <v>363L00000X</v>
      </c>
      <c r="D9909" t="str">
        <f>"BABER                    LISSA        K           "</f>
        <v xml:space="preserve">BABER                    LISSA        K           </v>
      </c>
      <c r="E9909" t="str">
        <f>"GULFPORT                  "</f>
        <v xml:space="preserve">GULFPORT                  </v>
      </c>
      <c r="F9909" t="str">
        <f t="shared" si="280"/>
        <v>MS</v>
      </c>
    </row>
    <row r="9910" spans="1:6" x14ac:dyDescent="0.25">
      <c r="A9910" t="str">
        <f>"003779507"</f>
        <v>003779507</v>
      </c>
      <c r="B9910" t="str">
        <f>"1417155896"</f>
        <v>1417155896</v>
      </c>
      <c r="C9910" t="str">
        <f>"207Q00000X"</f>
        <v>207Q00000X</v>
      </c>
      <c r="D9910" t="str">
        <f>"MONTGOMERY               JOSEPH       B           "</f>
        <v xml:space="preserve">MONTGOMERY               JOSEPH       B           </v>
      </c>
      <c r="E9910" t="str">
        <f>"MADISON                   "</f>
        <v xml:space="preserve">MADISON                   </v>
      </c>
      <c r="F9910" t="str">
        <f t="shared" si="280"/>
        <v>MS</v>
      </c>
    </row>
    <row r="9911" spans="1:6" x14ac:dyDescent="0.25">
      <c r="A9911" t="str">
        <f>"003781318"</f>
        <v>003781318</v>
      </c>
      <c r="B9911" t="str">
        <f>"1669975587"</f>
        <v>1669975587</v>
      </c>
      <c r="C9911" t="str">
        <f>"363L00000X"</f>
        <v>363L00000X</v>
      </c>
      <c r="D9911" t="str">
        <f>"JOHNSON                  CAROLYN                  "</f>
        <v xml:space="preserve">JOHNSON                  CAROLYN                  </v>
      </c>
      <c r="E9911" t="str">
        <f>"VICKSBURG                 "</f>
        <v xml:space="preserve">VICKSBURG                 </v>
      </c>
      <c r="F9911" t="str">
        <f t="shared" si="280"/>
        <v>MS</v>
      </c>
    </row>
    <row r="9912" spans="1:6" x14ac:dyDescent="0.25">
      <c r="A9912" t="str">
        <f>"003781877"</f>
        <v>003781877</v>
      </c>
      <c r="B9912" t="str">
        <f>"1023073012"</f>
        <v>1023073012</v>
      </c>
      <c r="C9912" t="str">
        <f>"367500000X"</f>
        <v>367500000X</v>
      </c>
      <c r="D9912" t="str">
        <f>"COOK                     MILLICENT                "</f>
        <v xml:space="preserve">COOK                     MILLICENT                </v>
      </c>
      <c r="E9912" t="str">
        <f>"HATTIESBURG               "</f>
        <v xml:space="preserve">HATTIESBURG               </v>
      </c>
      <c r="F9912" t="str">
        <f t="shared" si="280"/>
        <v>MS</v>
      </c>
    </row>
    <row r="9913" spans="1:6" x14ac:dyDescent="0.25">
      <c r="A9913" t="str">
        <f>"003781882"</f>
        <v>003781882</v>
      </c>
      <c r="B9913" t="str">
        <f>"1609888197"</f>
        <v>1609888197</v>
      </c>
      <c r="C9913" t="str">
        <f>"122300000X"</f>
        <v>122300000X</v>
      </c>
      <c r="D9913" t="str">
        <f>"HYDE                     ERIC         L           "</f>
        <v xml:space="preserve">HYDE                     ERIC         L           </v>
      </c>
      <c r="E9913" t="str">
        <f>"GULFPORT                  "</f>
        <v xml:space="preserve">GULFPORT                  </v>
      </c>
      <c r="F9913" t="str">
        <f t="shared" si="280"/>
        <v>MS</v>
      </c>
    </row>
    <row r="9914" spans="1:6" x14ac:dyDescent="0.25">
      <c r="A9914" t="str">
        <f>"003781891"</f>
        <v>003781891</v>
      </c>
      <c r="B9914" t="str">
        <f>"1598988925"</f>
        <v>1598988925</v>
      </c>
      <c r="C9914" t="str">
        <f>"122300000X"</f>
        <v>122300000X</v>
      </c>
      <c r="D9914" t="str">
        <f>"BROWN FAMILY ORTHODONTICS                         "</f>
        <v xml:space="preserve">BROWN FAMILY ORTHODONTICS                         </v>
      </c>
      <c r="E9914" t="str">
        <f>"OCEAN SPRINGS             "</f>
        <v xml:space="preserve">OCEAN SPRINGS             </v>
      </c>
      <c r="F9914" t="str">
        <f t="shared" si="280"/>
        <v>MS</v>
      </c>
    </row>
    <row r="9915" spans="1:6" x14ac:dyDescent="0.25">
      <c r="A9915" t="str">
        <f>"003782347"</f>
        <v>003782347</v>
      </c>
      <c r="B9915" t="str">
        <f>"1013254358"</f>
        <v>1013254358</v>
      </c>
      <c r="C9915" t="str">
        <f>"363L00000X"</f>
        <v>363L00000X</v>
      </c>
      <c r="D9915" t="str">
        <f>"HOUSE                    ASHLEY       B           "</f>
        <v xml:space="preserve">HOUSE                    ASHLEY       B           </v>
      </c>
      <c r="E9915" t="str">
        <f>"GULFPORT                  "</f>
        <v xml:space="preserve">GULFPORT                  </v>
      </c>
      <c r="F9915" t="str">
        <f t="shared" si="280"/>
        <v>MS</v>
      </c>
    </row>
    <row r="9916" spans="1:6" x14ac:dyDescent="0.25">
      <c r="A9916" t="str">
        <f>"003784272"</f>
        <v>003784272</v>
      </c>
      <c r="B9916" t="str">
        <f>"1114223823"</f>
        <v>1114223823</v>
      </c>
      <c r="C9916" t="str">
        <f>"152W00000X"</f>
        <v>152W00000X</v>
      </c>
      <c r="D9916" t="str">
        <f>"COAST EYES PLLC                                   "</f>
        <v xml:space="preserve">COAST EYES PLLC                                   </v>
      </c>
      <c r="E9916" t="str">
        <f>"DIBERVILLE                "</f>
        <v xml:space="preserve">DIBERVILLE                </v>
      </c>
      <c r="F9916" t="str">
        <f t="shared" si="280"/>
        <v>MS</v>
      </c>
    </row>
    <row r="9917" spans="1:6" x14ac:dyDescent="0.25">
      <c r="A9917" t="str">
        <f>"003785311"</f>
        <v>003785311</v>
      </c>
      <c r="B9917" t="str">
        <f>"1538642053"</f>
        <v>1538642053</v>
      </c>
      <c r="C9917" t="str">
        <f>"363L00000X"</f>
        <v>363L00000X</v>
      </c>
      <c r="D9917" t="str">
        <f>"GULLICK                  LAUREN       C           "</f>
        <v xml:space="preserve">GULLICK                  LAUREN       C           </v>
      </c>
      <c r="E9917" t="str">
        <f>"BATESVILLE                "</f>
        <v xml:space="preserve">BATESVILLE                </v>
      </c>
      <c r="F9917" t="str">
        <f t="shared" si="280"/>
        <v>MS</v>
      </c>
    </row>
    <row r="9918" spans="1:6" x14ac:dyDescent="0.25">
      <c r="A9918" t="str">
        <f>"003785329"</f>
        <v>003785329</v>
      </c>
      <c r="B9918" t="str">
        <f>"1750583415"</f>
        <v>1750583415</v>
      </c>
      <c r="C9918" t="str">
        <f>"208600000X"</f>
        <v>208600000X</v>
      </c>
      <c r="D9918" t="str">
        <f>"NICOLS                   LEE          M           "</f>
        <v xml:space="preserve">NICOLS                   LEE          M           </v>
      </c>
      <c r="E9918" t="str">
        <f>"JACKSON                   "</f>
        <v xml:space="preserve">JACKSON                   </v>
      </c>
      <c r="F9918" t="str">
        <f t="shared" ref="F9918:F9981" si="281">"MS"</f>
        <v>MS</v>
      </c>
    </row>
    <row r="9919" spans="1:6" x14ac:dyDescent="0.25">
      <c r="A9919" t="str">
        <f>"003786288"</f>
        <v>003786288</v>
      </c>
      <c r="B9919" t="str">
        <f>"1609148212"</f>
        <v>1609148212</v>
      </c>
      <c r="C9919" t="str">
        <f>"363L00000X"</f>
        <v>363L00000X</v>
      </c>
      <c r="D9919" t="str">
        <f>"PRESSLY                  DELANE                   "</f>
        <v xml:space="preserve">PRESSLY                  DELANE                   </v>
      </c>
      <c r="E9919" t="str">
        <f>"LAUREL                    "</f>
        <v xml:space="preserve">LAUREL                    </v>
      </c>
      <c r="F9919" t="str">
        <f t="shared" si="281"/>
        <v>MS</v>
      </c>
    </row>
    <row r="9920" spans="1:6" x14ac:dyDescent="0.25">
      <c r="A9920" t="str">
        <f>"003789361"</f>
        <v>003789361</v>
      </c>
      <c r="B9920" t="str">
        <f>"1104288679"</f>
        <v>1104288679</v>
      </c>
      <c r="C9920" t="str">
        <f>"363A00000X"</f>
        <v>363A00000X</v>
      </c>
      <c r="D9920" t="str">
        <f>"SHROCK                   DAVID                    "</f>
        <v xml:space="preserve">SHROCK                   DAVID                    </v>
      </c>
      <c r="E9920" t="str">
        <f>"JACKSON                   "</f>
        <v xml:space="preserve">JACKSON                   </v>
      </c>
      <c r="F9920" t="str">
        <f t="shared" si="281"/>
        <v>MS</v>
      </c>
    </row>
    <row r="9921" spans="1:6" x14ac:dyDescent="0.25">
      <c r="A9921" t="str">
        <f>"003789760"</f>
        <v>003789760</v>
      </c>
      <c r="B9921" t="str">
        <f>"1467875625"</f>
        <v>1467875625</v>
      </c>
      <c r="C9921" t="str">
        <f>"363L00000X"</f>
        <v>363L00000X</v>
      </c>
      <c r="D9921" t="str">
        <f>"POPE                     KIMBERLY     N           "</f>
        <v xml:space="preserve">POPE                     KIMBERLY     N           </v>
      </c>
      <c r="E9921" t="str">
        <f>"PICAYUNE                  "</f>
        <v xml:space="preserve">PICAYUNE                  </v>
      </c>
      <c r="F9921" t="str">
        <f t="shared" si="281"/>
        <v>MS</v>
      </c>
    </row>
    <row r="9922" spans="1:6" x14ac:dyDescent="0.25">
      <c r="A9922" t="str">
        <f>"003800774"</f>
        <v>003800774</v>
      </c>
      <c r="B9922" t="str">
        <f>"1114023447"</f>
        <v>1114023447</v>
      </c>
      <c r="C9922" t="str">
        <f>"207R00000X"</f>
        <v>207R00000X</v>
      </c>
      <c r="D9922" t="str">
        <f>"KAMMONA                  HUSSEIN      A           "</f>
        <v xml:space="preserve">KAMMONA                  HUSSEIN      A           </v>
      </c>
      <c r="E9922" t="str">
        <f>"MERIDIAN                  "</f>
        <v xml:space="preserve">MERIDIAN                  </v>
      </c>
      <c r="F9922" t="str">
        <f t="shared" si="281"/>
        <v>MS</v>
      </c>
    </row>
    <row r="9923" spans="1:6" x14ac:dyDescent="0.25">
      <c r="A9923" t="str">
        <f>"003801518"</f>
        <v>003801518</v>
      </c>
      <c r="B9923" t="str">
        <f>"1134238496"</f>
        <v>1134238496</v>
      </c>
      <c r="C9923" t="str">
        <f>"207R00000X"</f>
        <v>207R00000X</v>
      </c>
      <c r="D9923" t="str">
        <f>"HROM                     JOHN         S           "</f>
        <v xml:space="preserve">HROM                     JOHN         S           </v>
      </c>
      <c r="E9923" t="str">
        <f>"HATTIESBURG               "</f>
        <v xml:space="preserve">HATTIESBURG               </v>
      </c>
      <c r="F9923" t="str">
        <f t="shared" si="281"/>
        <v>MS</v>
      </c>
    </row>
    <row r="9924" spans="1:6" x14ac:dyDescent="0.25">
      <c r="A9924" t="str">
        <f>"003802578"</f>
        <v>003802578</v>
      </c>
      <c r="B9924" t="str">
        <f>"1518166214"</f>
        <v>1518166214</v>
      </c>
      <c r="C9924" t="str">
        <f>"122300000X"</f>
        <v>122300000X</v>
      </c>
      <c r="D9924" t="str">
        <f>"SUNNYBROOK DENTISTRY                              "</f>
        <v xml:space="preserve">SUNNYBROOK DENTISTRY                              </v>
      </c>
      <c r="E9924" t="str">
        <f>"HATTIESBURG               "</f>
        <v xml:space="preserve">HATTIESBURG               </v>
      </c>
      <c r="F9924" t="str">
        <f t="shared" si="281"/>
        <v>MS</v>
      </c>
    </row>
    <row r="9925" spans="1:6" x14ac:dyDescent="0.25">
      <c r="A9925" t="str">
        <f>"003803212"</f>
        <v>003803212</v>
      </c>
      <c r="B9925" t="str">
        <f>"1750621900"</f>
        <v>1750621900</v>
      </c>
      <c r="C9925" t="str">
        <f>"363L00000X"</f>
        <v>363L00000X</v>
      </c>
      <c r="D9925" t="str">
        <f>"LEBLEU                   AMITY        M           "</f>
        <v xml:space="preserve">LEBLEU                   AMITY        M           </v>
      </c>
      <c r="E9925" t="str">
        <f>"OCEAN SPRINGS             "</f>
        <v xml:space="preserve">OCEAN SPRINGS             </v>
      </c>
      <c r="F9925" t="str">
        <f t="shared" si="281"/>
        <v>MS</v>
      </c>
    </row>
    <row r="9926" spans="1:6" x14ac:dyDescent="0.25">
      <c r="A9926" t="str">
        <f>"003803359"</f>
        <v>003803359</v>
      </c>
      <c r="B9926" t="str">
        <f>"1972898187"</f>
        <v>1972898187</v>
      </c>
      <c r="C9926" t="str">
        <f>"207RI0200X"</f>
        <v>207RI0200X</v>
      </c>
      <c r="D9926" t="str">
        <f>"SHIMOSE CIUDAD           LUIS         A           "</f>
        <v xml:space="preserve">SHIMOSE CIUDAD           LUIS         A           </v>
      </c>
      <c r="E9926" t="str">
        <f>"JACKSON                   "</f>
        <v xml:space="preserve">JACKSON                   </v>
      </c>
      <c r="F9926" t="str">
        <f t="shared" si="281"/>
        <v>MS</v>
      </c>
    </row>
    <row r="9927" spans="1:6" x14ac:dyDescent="0.25">
      <c r="A9927" t="str">
        <f>"003804296"</f>
        <v>003804296</v>
      </c>
      <c r="B9927" t="str">
        <f>"1811503097"</f>
        <v>1811503097</v>
      </c>
      <c r="C9927" t="str">
        <f>"363L00000X"</f>
        <v>363L00000X</v>
      </c>
      <c r="D9927" t="str">
        <f>"REEVES                   ANGELA                   "</f>
        <v xml:space="preserve">REEVES                   ANGELA                   </v>
      </c>
      <c r="E9927" t="str">
        <f>"FLOWOOD                   "</f>
        <v xml:space="preserve">FLOWOOD                   </v>
      </c>
      <c r="F9927" t="str">
        <f t="shared" si="281"/>
        <v>MS</v>
      </c>
    </row>
    <row r="9928" spans="1:6" x14ac:dyDescent="0.25">
      <c r="A9928" t="str">
        <f>"003805073"</f>
        <v>003805073</v>
      </c>
      <c r="B9928" t="str">
        <f>"1952698433"</f>
        <v>1952698433</v>
      </c>
      <c r="C9928" t="str">
        <f>"207RG0300X"</f>
        <v>207RG0300X</v>
      </c>
      <c r="D9928" t="str">
        <f>"MCELWAIN                 LUCAS                    "</f>
        <v xml:space="preserve">MCELWAIN                 LUCAS                    </v>
      </c>
      <c r="E9928" t="str">
        <f>"TUPELO                    "</f>
        <v xml:space="preserve">TUPELO                    </v>
      </c>
      <c r="F9928" t="str">
        <f t="shared" si="281"/>
        <v>MS</v>
      </c>
    </row>
    <row r="9929" spans="1:6" x14ac:dyDescent="0.25">
      <c r="A9929" t="str">
        <f>"003806753"</f>
        <v>003806753</v>
      </c>
      <c r="B9929" t="str">
        <f>"1770021982"</f>
        <v>1770021982</v>
      </c>
      <c r="C9929" t="str">
        <f>"363A00000X"</f>
        <v>363A00000X</v>
      </c>
      <c r="D9929" t="str">
        <f>"CHRISTOPHER              KYLE         T           "</f>
        <v xml:space="preserve">CHRISTOPHER              KYLE         T           </v>
      </c>
      <c r="E9929" t="str">
        <f>"GREENVILLE                "</f>
        <v xml:space="preserve">GREENVILLE                </v>
      </c>
      <c r="F9929" t="str">
        <f t="shared" si="281"/>
        <v>MS</v>
      </c>
    </row>
    <row r="9930" spans="1:6" x14ac:dyDescent="0.25">
      <c r="A9930" t="str">
        <f>"003806868"</f>
        <v>003806868</v>
      </c>
      <c r="B9930" t="str">
        <f>"1578712980"</f>
        <v>1578712980</v>
      </c>
      <c r="C9930" t="str">
        <f>"122300000X"</f>
        <v>122300000X</v>
      </c>
      <c r="D9930" t="str">
        <f>"MITCHELL DENTAL CLINIC, INC.                      "</f>
        <v xml:space="preserve">MITCHELL DENTAL CLINIC, INC.                      </v>
      </c>
      <c r="E9930" t="str">
        <f>"ACKERMAN                  "</f>
        <v xml:space="preserve">ACKERMAN                  </v>
      </c>
      <c r="F9930" t="str">
        <f t="shared" si="281"/>
        <v>MS</v>
      </c>
    </row>
    <row r="9931" spans="1:6" x14ac:dyDescent="0.25">
      <c r="A9931" t="str">
        <f>"003807518"</f>
        <v>003807518</v>
      </c>
      <c r="B9931" t="str">
        <f>"1336378637"</f>
        <v>1336378637</v>
      </c>
      <c r="C9931" t="str">
        <f>"207RP1001X"</f>
        <v>207RP1001X</v>
      </c>
      <c r="D9931" t="str">
        <f>"SENITKO                  MICHAL                   "</f>
        <v xml:space="preserve">SENITKO                  MICHAL                   </v>
      </c>
      <c r="E9931" t="str">
        <f>"JACKSON                   "</f>
        <v xml:space="preserve">JACKSON                   </v>
      </c>
      <c r="F9931" t="str">
        <f t="shared" si="281"/>
        <v>MS</v>
      </c>
    </row>
    <row r="9932" spans="1:6" x14ac:dyDescent="0.25">
      <c r="A9932" t="str">
        <f>"003808054"</f>
        <v>003808054</v>
      </c>
      <c r="B9932" t="str">
        <f>"1568858322"</f>
        <v>1568858322</v>
      </c>
      <c r="C9932" t="str">
        <f>"363L00000X"</f>
        <v>363L00000X</v>
      </c>
      <c r="D9932" t="str">
        <f>"PRUST                    RACHEL       L           "</f>
        <v xml:space="preserve">PRUST                    RACHEL       L           </v>
      </c>
      <c r="E9932" t="str">
        <f>"TUPELO                    "</f>
        <v xml:space="preserve">TUPELO                    </v>
      </c>
      <c r="F9932" t="str">
        <f t="shared" si="281"/>
        <v>MS</v>
      </c>
    </row>
    <row r="9933" spans="1:6" x14ac:dyDescent="0.25">
      <c r="A9933" t="str">
        <f>"003808374"</f>
        <v>003808374</v>
      </c>
      <c r="B9933" t="str">
        <f>"1154827491"</f>
        <v>1154827491</v>
      </c>
      <c r="C9933" t="str">
        <f>"208000000X"</f>
        <v>208000000X</v>
      </c>
      <c r="D9933" t="str">
        <f>"ROBBINS                  MEAGAN       H           "</f>
        <v xml:space="preserve">ROBBINS                  MEAGAN       H           </v>
      </c>
      <c r="E9933" t="str">
        <f>"JACKSON                   "</f>
        <v xml:space="preserve">JACKSON                   </v>
      </c>
      <c r="F9933" t="str">
        <f t="shared" si="281"/>
        <v>MS</v>
      </c>
    </row>
    <row r="9934" spans="1:6" x14ac:dyDescent="0.25">
      <c r="A9934" t="str">
        <f>"003809054"</f>
        <v>003809054</v>
      </c>
      <c r="B9934" t="str">
        <f>"1265994842"</f>
        <v>1265994842</v>
      </c>
      <c r="C9934" t="str">
        <f>"207R00000X"</f>
        <v>207R00000X</v>
      </c>
      <c r="D9934" t="str">
        <f>"DAUGHERTY                HILLARY      E           "</f>
        <v xml:space="preserve">DAUGHERTY                HILLARY      E           </v>
      </c>
      <c r="E9934" t="str">
        <f>"JACKSON                   "</f>
        <v xml:space="preserve">JACKSON                   </v>
      </c>
      <c r="F9934" t="str">
        <f t="shared" si="281"/>
        <v>MS</v>
      </c>
    </row>
    <row r="9935" spans="1:6" x14ac:dyDescent="0.25">
      <c r="A9935" t="str">
        <f>"003809891"</f>
        <v>003809891</v>
      </c>
      <c r="B9935" t="str">
        <f>"1952631731"</f>
        <v>1952631731</v>
      </c>
      <c r="C9935" t="str">
        <f>"363L00000X"</f>
        <v>363L00000X</v>
      </c>
      <c r="D9935" t="str">
        <f>"BRANNING                 TONYA        R           "</f>
        <v xml:space="preserve">BRANNING                 TONYA        R           </v>
      </c>
      <c r="E9935" t="str">
        <f>"FLOWOOD                   "</f>
        <v xml:space="preserve">FLOWOOD                   </v>
      </c>
      <c r="F9935" t="str">
        <f t="shared" si="281"/>
        <v>MS</v>
      </c>
    </row>
    <row r="9936" spans="1:6" x14ac:dyDescent="0.25">
      <c r="A9936" t="str">
        <f>"003820523"</f>
        <v>003820523</v>
      </c>
      <c r="B9936" t="str">
        <f>"1972088920"</f>
        <v>1972088920</v>
      </c>
      <c r="C9936" t="str">
        <f>"363L00000X"</f>
        <v>363L00000X</v>
      </c>
      <c r="D9936" t="str">
        <f>"FRICK                    JAMIE        L           "</f>
        <v xml:space="preserve">FRICK                    JAMIE        L           </v>
      </c>
      <c r="E9936" t="str">
        <f>"IUKA                      "</f>
        <v xml:space="preserve">IUKA                      </v>
      </c>
      <c r="F9936" t="str">
        <f t="shared" si="281"/>
        <v>MS</v>
      </c>
    </row>
    <row r="9937" spans="1:6" x14ac:dyDescent="0.25">
      <c r="A9937" t="str">
        <f>"003820742"</f>
        <v>003820742</v>
      </c>
      <c r="B9937" t="str">
        <f>"1467861484"</f>
        <v>1467861484</v>
      </c>
      <c r="C9937" t="str">
        <f>"152W00000X"</f>
        <v>152W00000X</v>
      </c>
      <c r="D9937" t="str">
        <f>"DAWSON                   JULIE        B           "</f>
        <v xml:space="preserve">DAWSON                   JULIE        B           </v>
      </c>
      <c r="E9937" t="str">
        <f>"CANTON                    "</f>
        <v xml:space="preserve">CANTON                    </v>
      </c>
      <c r="F9937" t="str">
        <f t="shared" si="281"/>
        <v>MS</v>
      </c>
    </row>
    <row r="9938" spans="1:6" x14ac:dyDescent="0.25">
      <c r="A9938" t="str">
        <f>"003822511"</f>
        <v>003822511</v>
      </c>
      <c r="B9938" t="str">
        <f>"1891906657"</f>
        <v>1891906657</v>
      </c>
      <c r="C9938" t="str">
        <f>"208000000X"</f>
        <v>208000000X</v>
      </c>
      <c r="D9938" t="str">
        <f>"STREET                   ERIC         L           "</f>
        <v xml:space="preserve">STREET                   ERIC         L           </v>
      </c>
      <c r="E9938" t="str">
        <f>"TUPELO                    "</f>
        <v xml:space="preserve">TUPELO                    </v>
      </c>
      <c r="F9938" t="str">
        <f t="shared" si="281"/>
        <v>MS</v>
      </c>
    </row>
    <row r="9939" spans="1:6" x14ac:dyDescent="0.25">
      <c r="A9939" t="str">
        <f>"003824030"</f>
        <v>003824030</v>
      </c>
      <c r="B9939" t="str">
        <f>"1750517660"</f>
        <v>1750517660</v>
      </c>
      <c r="C9939" t="str">
        <f>"363L00000X"</f>
        <v>363L00000X</v>
      </c>
      <c r="D9939" t="str">
        <f>"MCKENZIE                 JESSICA      A           "</f>
        <v xml:space="preserve">MCKENZIE                 JESSICA      A           </v>
      </c>
      <c r="E9939" t="str">
        <f>"HATTIESBURG               "</f>
        <v xml:space="preserve">HATTIESBURG               </v>
      </c>
      <c r="F9939" t="str">
        <f t="shared" si="281"/>
        <v>MS</v>
      </c>
    </row>
    <row r="9940" spans="1:6" x14ac:dyDescent="0.25">
      <c r="A9940" t="str">
        <f>"003824231"</f>
        <v>003824231</v>
      </c>
      <c r="B9940" t="str">
        <f>"1437683174"</f>
        <v>1437683174</v>
      </c>
      <c r="C9940" t="str">
        <f>"363L00000X"</f>
        <v>363L00000X</v>
      </c>
      <c r="D9940" t="str">
        <f>"RIDDICK                  TERA         S           "</f>
        <v xml:space="preserve">RIDDICK                  TERA         S           </v>
      </c>
      <c r="E9940" t="str">
        <f>"JACKSON                   "</f>
        <v xml:space="preserve">JACKSON                   </v>
      </c>
      <c r="F9940" t="str">
        <f t="shared" si="281"/>
        <v>MS</v>
      </c>
    </row>
    <row r="9941" spans="1:6" x14ac:dyDescent="0.25">
      <c r="A9941" t="str">
        <f>"003824819"</f>
        <v>003824819</v>
      </c>
      <c r="B9941" t="str">
        <f>"1609131358"</f>
        <v>1609131358</v>
      </c>
      <c r="C9941" t="str">
        <f>"363L00000X"</f>
        <v>363L00000X</v>
      </c>
      <c r="D9941" t="str">
        <f>"MACKEY                   DAVID        P           "</f>
        <v xml:space="preserve">MACKEY                   DAVID        P           </v>
      </c>
      <c r="E9941" t="str">
        <f>"TUPELO                    "</f>
        <v xml:space="preserve">TUPELO                    </v>
      </c>
      <c r="F9941" t="str">
        <f t="shared" si="281"/>
        <v>MS</v>
      </c>
    </row>
    <row r="9942" spans="1:6" x14ac:dyDescent="0.25">
      <c r="A9942" t="str">
        <f>"003825215"</f>
        <v>003825215</v>
      </c>
      <c r="B9942" t="str">
        <f>"1215021001"</f>
        <v>1215021001</v>
      </c>
      <c r="C9942" t="str">
        <f>"363L00000X"</f>
        <v>363L00000X</v>
      </c>
      <c r="D9942" t="str">
        <f>"SMITH                    KATHERINE                "</f>
        <v xml:space="preserve">SMITH                    KATHERINE                </v>
      </c>
      <c r="E9942" t="str">
        <f>"WATER VALLEY              "</f>
        <v xml:space="preserve">WATER VALLEY              </v>
      </c>
      <c r="F9942" t="str">
        <f t="shared" si="281"/>
        <v>MS</v>
      </c>
    </row>
    <row r="9943" spans="1:6" x14ac:dyDescent="0.25">
      <c r="A9943" t="str">
        <f>"003827202"</f>
        <v>003827202</v>
      </c>
      <c r="B9943" t="str">
        <f>"1801390877"</f>
        <v>1801390877</v>
      </c>
      <c r="C9943" t="str">
        <f>"208D00000X"</f>
        <v>208D00000X</v>
      </c>
      <c r="D9943" t="str">
        <f>"JERNIGAN                 GRANT        M           "</f>
        <v xml:space="preserve">JERNIGAN                 GRANT        M           </v>
      </c>
      <c r="E9943" t="str">
        <f>"GULFPORT                  "</f>
        <v xml:space="preserve">GULFPORT                  </v>
      </c>
      <c r="F9943" t="str">
        <f t="shared" si="281"/>
        <v>MS</v>
      </c>
    </row>
    <row r="9944" spans="1:6" x14ac:dyDescent="0.25">
      <c r="A9944" t="str">
        <f>"003828357"</f>
        <v>003828357</v>
      </c>
      <c r="B9944" t="str">
        <f>"1295905891"</f>
        <v>1295905891</v>
      </c>
      <c r="C9944" t="str">
        <f>"208600000X"</f>
        <v>208600000X</v>
      </c>
      <c r="D9944" t="str">
        <f>"BOYD                     KENNETH      B           "</f>
        <v xml:space="preserve">BOYD                     KENNETH      B           </v>
      </c>
      <c r="E9944" t="str">
        <f>"COLUMBUS                  "</f>
        <v xml:space="preserve">COLUMBUS                  </v>
      </c>
      <c r="F9944" t="str">
        <f t="shared" si="281"/>
        <v>MS</v>
      </c>
    </row>
    <row r="9945" spans="1:6" x14ac:dyDescent="0.25">
      <c r="A9945" t="str">
        <f>"003829594"</f>
        <v>003829594</v>
      </c>
      <c r="B9945" t="str">
        <f>"1366527558"</f>
        <v>1366527558</v>
      </c>
      <c r="C9945" t="str">
        <f>"208000000X"</f>
        <v>208000000X</v>
      </c>
      <c r="D9945" t="str">
        <f>"COOK                     AMANDA       H           "</f>
        <v xml:space="preserve">COOK                     AMANDA       H           </v>
      </c>
      <c r="E9945" t="str">
        <f>"FLOWOOD                   "</f>
        <v xml:space="preserve">FLOWOOD                   </v>
      </c>
      <c r="F9945" t="str">
        <f t="shared" si="281"/>
        <v>MS</v>
      </c>
    </row>
    <row r="9946" spans="1:6" x14ac:dyDescent="0.25">
      <c r="A9946" t="str">
        <f>"003832230"</f>
        <v>003832230</v>
      </c>
      <c r="B9946" t="str">
        <f>"1043235047"</f>
        <v>1043235047</v>
      </c>
      <c r="C9946" t="str">
        <f>"208000000X"</f>
        <v>208000000X</v>
      </c>
      <c r="D9946" t="str">
        <f>"MCCOMB                   WILLIAM      D           "</f>
        <v xml:space="preserve">MCCOMB                   WILLIAM      D           </v>
      </c>
      <c r="E9946" t="str">
        <f>"TUPELO                    "</f>
        <v xml:space="preserve">TUPELO                    </v>
      </c>
      <c r="F9946" t="str">
        <f t="shared" si="281"/>
        <v>MS</v>
      </c>
    </row>
    <row r="9947" spans="1:6" x14ac:dyDescent="0.25">
      <c r="A9947" t="str">
        <f>"003832715"</f>
        <v>003832715</v>
      </c>
      <c r="B9947" t="str">
        <f>"1326335902"</f>
        <v>1326335902</v>
      </c>
      <c r="C9947" t="str">
        <f>"207RP1001X"</f>
        <v>207RP1001X</v>
      </c>
      <c r="D9947" t="str">
        <f>"EVANS                    CHARLES      E           "</f>
        <v xml:space="preserve">EVANS                    CHARLES      E           </v>
      </c>
      <c r="E9947" t="str">
        <f>"JACKSON                   "</f>
        <v xml:space="preserve">JACKSON                   </v>
      </c>
      <c r="F9947" t="str">
        <f t="shared" si="281"/>
        <v>MS</v>
      </c>
    </row>
    <row r="9948" spans="1:6" x14ac:dyDescent="0.25">
      <c r="A9948" t="str">
        <f>"003833021"</f>
        <v>003833021</v>
      </c>
      <c r="B9948" t="str">
        <f>"1356712525"</f>
        <v>1356712525</v>
      </c>
      <c r="C9948" t="str">
        <f>"363L00000X"</f>
        <v>363L00000X</v>
      </c>
      <c r="D9948" t="str">
        <f>"POUNDERS                 MARY         E           "</f>
        <v xml:space="preserve">POUNDERS                 MARY         E           </v>
      </c>
      <c r="E9948" t="str">
        <f>"CORINTH                   "</f>
        <v xml:space="preserve">CORINTH                   </v>
      </c>
      <c r="F9948" t="str">
        <f t="shared" si="281"/>
        <v>MS</v>
      </c>
    </row>
    <row r="9949" spans="1:6" x14ac:dyDescent="0.25">
      <c r="A9949" t="str">
        <f>"003833247"</f>
        <v>003833247</v>
      </c>
      <c r="B9949" t="str">
        <f>"1962649582"</f>
        <v>1962649582</v>
      </c>
      <c r="C9949" t="str">
        <f>"367500000X"</f>
        <v>367500000X</v>
      </c>
      <c r="D9949" t="str">
        <f>"DERRICK                  DAVID                    "</f>
        <v xml:space="preserve">DERRICK                  DAVID                    </v>
      </c>
      <c r="E9949" t="str">
        <f>"OXFORD                    "</f>
        <v xml:space="preserve">OXFORD                    </v>
      </c>
      <c r="F9949" t="str">
        <f t="shared" si="281"/>
        <v>MS</v>
      </c>
    </row>
    <row r="9950" spans="1:6" x14ac:dyDescent="0.25">
      <c r="A9950" t="str">
        <f>"003833522"</f>
        <v>003833522</v>
      </c>
      <c r="B9950" t="str">
        <f>"1073558185"</f>
        <v>1073558185</v>
      </c>
      <c r="C9950" t="str">
        <f>"367500000X"</f>
        <v>367500000X</v>
      </c>
      <c r="D9950" t="str">
        <f>"ZIELINSKI                ANDREW                   "</f>
        <v xml:space="preserve">ZIELINSKI                ANDREW                   </v>
      </c>
      <c r="E9950" t="str">
        <f>"PASCAGOULA                "</f>
        <v xml:space="preserve">PASCAGOULA                </v>
      </c>
      <c r="F9950" t="str">
        <f t="shared" si="281"/>
        <v>MS</v>
      </c>
    </row>
    <row r="9951" spans="1:6" x14ac:dyDescent="0.25">
      <c r="A9951" t="str">
        <f>"003834583"</f>
        <v>003834583</v>
      </c>
      <c r="B9951" t="str">
        <f>"1003165960"</f>
        <v>1003165960</v>
      </c>
      <c r="C9951" t="str">
        <f>"367500000X"</f>
        <v>367500000X</v>
      </c>
      <c r="D9951" t="str">
        <f>"ASHMORE                  SARAH        C           "</f>
        <v xml:space="preserve">ASHMORE                  SARAH        C           </v>
      </c>
      <c r="E9951" t="str">
        <f>"TUPELO                    "</f>
        <v xml:space="preserve">TUPELO                    </v>
      </c>
      <c r="F9951" t="str">
        <f t="shared" si="281"/>
        <v>MS</v>
      </c>
    </row>
    <row r="9952" spans="1:6" x14ac:dyDescent="0.25">
      <c r="A9952" t="str">
        <f>"003837264"</f>
        <v>003837264</v>
      </c>
      <c r="B9952" t="str">
        <f>"1396088209"</f>
        <v>1396088209</v>
      </c>
      <c r="C9952" t="str">
        <f>"2086S0102X"</f>
        <v>2086S0102X</v>
      </c>
      <c r="D9952" t="str">
        <f>"DOHERTY                  JOSEPH       E           "</f>
        <v xml:space="preserve">DOHERTY                  JOSEPH       E           </v>
      </c>
      <c r="E9952" t="str">
        <f>"JACKSON                   "</f>
        <v xml:space="preserve">JACKSON                   </v>
      </c>
      <c r="F9952" t="str">
        <f t="shared" si="281"/>
        <v>MS</v>
      </c>
    </row>
    <row r="9953" spans="1:6" x14ac:dyDescent="0.25">
      <c r="A9953" t="str">
        <f>"003837808"</f>
        <v>003837808</v>
      </c>
      <c r="B9953" t="str">
        <f>"1972110963"</f>
        <v>1972110963</v>
      </c>
      <c r="C9953" t="str">
        <f>"363L00000X"</f>
        <v>363L00000X</v>
      </c>
      <c r="D9953" t="str">
        <f>"BAKER                    A'KIRA                   "</f>
        <v xml:space="preserve">BAKER                    A'KIRA                   </v>
      </c>
      <c r="E9953" t="str">
        <f>"TUPELO                    "</f>
        <v xml:space="preserve">TUPELO                    </v>
      </c>
      <c r="F9953" t="str">
        <f t="shared" si="281"/>
        <v>MS</v>
      </c>
    </row>
    <row r="9954" spans="1:6" x14ac:dyDescent="0.25">
      <c r="A9954" t="str">
        <f>"003850644"</f>
        <v>003850644</v>
      </c>
      <c r="B9954" t="str">
        <f>"1093467615"</f>
        <v>1093467615</v>
      </c>
      <c r="C9954" t="str">
        <f>"363A00000X"</f>
        <v>363A00000X</v>
      </c>
      <c r="D9954" t="str">
        <f>"LOTT                     VICTORIA     N           "</f>
        <v xml:space="preserve">LOTT                     VICTORIA     N           </v>
      </c>
      <c r="E9954" t="str">
        <f>"MERIDIAN                  "</f>
        <v xml:space="preserve">MERIDIAN                  </v>
      </c>
      <c r="F9954" t="str">
        <f t="shared" si="281"/>
        <v>MS</v>
      </c>
    </row>
    <row r="9955" spans="1:6" x14ac:dyDescent="0.25">
      <c r="A9955" t="str">
        <f>"003850930"</f>
        <v>003850930</v>
      </c>
      <c r="B9955" t="str">
        <f>"1346790417"</f>
        <v>1346790417</v>
      </c>
      <c r="C9955" t="str">
        <f>"363A00000X"</f>
        <v>363A00000X</v>
      </c>
      <c r="D9955" t="str">
        <f>"AINSWORTH                JENNA                    "</f>
        <v xml:space="preserve">AINSWORTH                JENNA                    </v>
      </c>
      <c r="E9955" t="str">
        <f>"FLOWOOD                   "</f>
        <v xml:space="preserve">FLOWOOD                   </v>
      </c>
      <c r="F9955" t="str">
        <f t="shared" si="281"/>
        <v>MS</v>
      </c>
    </row>
    <row r="9956" spans="1:6" x14ac:dyDescent="0.25">
      <c r="A9956" t="str">
        <f>"003851554"</f>
        <v>003851554</v>
      </c>
      <c r="B9956" t="str">
        <f>"1962156190"</f>
        <v>1962156190</v>
      </c>
      <c r="C9956" t="str">
        <f>"363L00000X"</f>
        <v>363L00000X</v>
      </c>
      <c r="D9956" t="str">
        <f>"DAVIS                    BRANDILYN                "</f>
        <v xml:space="preserve">DAVIS                    BRANDILYN                </v>
      </c>
      <c r="E9956" t="str">
        <f>"CORINTH                   "</f>
        <v xml:space="preserve">CORINTH                   </v>
      </c>
      <c r="F9956" t="str">
        <f t="shared" si="281"/>
        <v>MS</v>
      </c>
    </row>
    <row r="9957" spans="1:6" x14ac:dyDescent="0.25">
      <c r="A9957" t="str">
        <f>"003852531"</f>
        <v>003852531</v>
      </c>
      <c r="B9957" t="str">
        <f>"1760860373"</f>
        <v>1760860373</v>
      </c>
      <c r="C9957" t="str">
        <f>"363L00000X"</f>
        <v>363L00000X</v>
      </c>
      <c r="D9957" t="str">
        <f>"TAYLOR                   NESCATERICA  D           "</f>
        <v xml:space="preserve">TAYLOR                   NESCATERICA  D           </v>
      </c>
      <c r="E9957" t="str">
        <f>"GULFPORT                  "</f>
        <v xml:space="preserve">GULFPORT                  </v>
      </c>
      <c r="F9957" t="str">
        <f t="shared" si="281"/>
        <v>MS</v>
      </c>
    </row>
    <row r="9958" spans="1:6" x14ac:dyDescent="0.25">
      <c r="A9958" t="str">
        <f>"003852767"</f>
        <v>003852767</v>
      </c>
      <c r="B9958" t="str">
        <f>"1811918246"</f>
        <v>1811918246</v>
      </c>
      <c r="C9958" t="str">
        <f>"207Q00000X"</f>
        <v>207Q00000X</v>
      </c>
      <c r="D9958" t="str">
        <f>"CATHEY                   GENE         D           "</f>
        <v xml:space="preserve">CATHEY                   GENE         D           </v>
      </c>
      <c r="E9958" t="str">
        <f>"BILOXI                    "</f>
        <v xml:space="preserve">BILOXI                    </v>
      </c>
      <c r="F9958" t="str">
        <f t="shared" si="281"/>
        <v>MS</v>
      </c>
    </row>
    <row r="9959" spans="1:6" x14ac:dyDescent="0.25">
      <c r="A9959" t="str">
        <f>"003853367"</f>
        <v>003853367</v>
      </c>
      <c r="B9959" t="str">
        <f>"1689793507"</f>
        <v>1689793507</v>
      </c>
      <c r="C9959" t="str">
        <f>"207X00000X"</f>
        <v>207X00000X</v>
      </c>
      <c r="D9959" t="str">
        <f>"LUBER                    KURRE        T           "</f>
        <v xml:space="preserve">LUBER                    KURRE        T           </v>
      </c>
      <c r="E9959" t="str">
        <f>"OXFORD                    "</f>
        <v xml:space="preserve">OXFORD                    </v>
      </c>
      <c r="F9959" t="str">
        <f t="shared" si="281"/>
        <v>MS</v>
      </c>
    </row>
    <row r="9960" spans="1:6" x14ac:dyDescent="0.25">
      <c r="A9960" t="str">
        <f>"003853393"</f>
        <v>003853393</v>
      </c>
      <c r="B9960" t="str">
        <f>"1073157715"</f>
        <v>1073157715</v>
      </c>
      <c r="C9960" t="str">
        <f>"363L00000X"</f>
        <v>363L00000X</v>
      </c>
      <c r="D9960" t="str">
        <f>"PETTY                    BRANDON      H           "</f>
        <v xml:space="preserve">PETTY                    BRANDON      H           </v>
      </c>
      <c r="E9960" t="str">
        <f>"TUPELO                    "</f>
        <v xml:space="preserve">TUPELO                    </v>
      </c>
      <c r="F9960" t="str">
        <f t="shared" si="281"/>
        <v>MS</v>
      </c>
    </row>
    <row r="9961" spans="1:6" x14ac:dyDescent="0.25">
      <c r="A9961" t="str">
        <f>"003854354"</f>
        <v>003854354</v>
      </c>
      <c r="B9961" t="str">
        <f>"1740709039"</f>
        <v>1740709039</v>
      </c>
      <c r="C9961" t="str">
        <f>"367500000X"</f>
        <v>367500000X</v>
      </c>
      <c r="D9961" t="str">
        <f>"BAIRD                    ADAM                     "</f>
        <v xml:space="preserve">BAIRD                    ADAM                     </v>
      </c>
      <c r="E9961" t="str">
        <f>"FLOWOOD                   "</f>
        <v xml:space="preserve">FLOWOOD                   </v>
      </c>
      <c r="F9961" t="str">
        <f t="shared" si="281"/>
        <v>MS</v>
      </c>
    </row>
    <row r="9962" spans="1:6" x14ac:dyDescent="0.25">
      <c r="A9962" t="str">
        <f>"003856204"</f>
        <v>003856204</v>
      </c>
      <c r="B9962" t="str">
        <f>"1932689312"</f>
        <v>1932689312</v>
      </c>
      <c r="C9962" t="str">
        <f>"363L00000X"</f>
        <v>363L00000X</v>
      </c>
      <c r="D9962" t="str">
        <f>"WACHTER                  VIRGINIA     A           "</f>
        <v xml:space="preserve">WACHTER                  VIRGINIA     A           </v>
      </c>
      <c r="E9962" t="str">
        <f>"OXFORD                    "</f>
        <v xml:space="preserve">OXFORD                    </v>
      </c>
      <c r="F9962" t="str">
        <f t="shared" si="281"/>
        <v>MS</v>
      </c>
    </row>
    <row r="9963" spans="1:6" x14ac:dyDescent="0.25">
      <c r="A9963" t="str">
        <f>"003858024"</f>
        <v>003858024</v>
      </c>
      <c r="B9963" t="str">
        <f>"1326280264"</f>
        <v>1326280264</v>
      </c>
      <c r="C9963" t="str">
        <f>"207RI0200X"</f>
        <v>207RI0200X</v>
      </c>
      <c r="D9963" t="str">
        <f>"SALEH                    RANIA        H           "</f>
        <v xml:space="preserve">SALEH                    RANIA        H           </v>
      </c>
      <c r="E9963" t="str">
        <f>"CORINTH                   "</f>
        <v xml:space="preserve">CORINTH                   </v>
      </c>
      <c r="F9963" t="str">
        <f t="shared" si="281"/>
        <v>MS</v>
      </c>
    </row>
    <row r="9964" spans="1:6" x14ac:dyDescent="0.25">
      <c r="A9964" t="str">
        <f>"003858212"</f>
        <v>003858212</v>
      </c>
      <c r="B9964" t="str">
        <f>"1407917453"</f>
        <v>1407917453</v>
      </c>
      <c r="C9964" t="str">
        <f>"208000000X"</f>
        <v>208000000X</v>
      </c>
      <c r="D9964" t="str">
        <f>"SINGLETARY               MOLLY        S           "</f>
        <v xml:space="preserve">SINGLETARY               MOLLY        S           </v>
      </c>
      <c r="E9964" t="str">
        <f>"OXFORD                    "</f>
        <v xml:space="preserve">OXFORD                    </v>
      </c>
      <c r="F9964" t="str">
        <f t="shared" si="281"/>
        <v>MS</v>
      </c>
    </row>
    <row r="9965" spans="1:6" x14ac:dyDescent="0.25">
      <c r="A9965" t="str">
        <f>"003858378"</f>
        <v>003858378</v>
      </c>
      <c r="B9965" t="str">
        <f>"1598016701"</f>
        <v>1598016701</v>
      </c>
      <c r="C9965" t="str">
        <f>"363AM0700X"</f>
        <v>363AM0700X</v>
      </c>
      <c r="D9965" t="str">
        <f>"GARSTECKI                ALLISON      A           "</f>
        <v xml:space="preserve">GARSTECKI                ALLISON      A           </v>
      </c>
      <c r="E9965" t="str">
        <f>"PASCAGOULA                "</f>
        <v xml:space="preserve">PASCAGOULA                </v>
      </c>
      <c r="F9965" t="str">
        <f t="shared" si="281"/>
        <v>MS</v>
      </c>
    </row>
    <row r="9966" spans="1:6" x14ac:dyDescent="0.25">
      <c r="A9966" t="str">
        <f>"003859068"</f>
        <v>003859068</v>
      </c>
      <c r="B9966" t="str">
        <f>"1518285659"</f>
        <v>1518285659</v>
      </c>
      <c r="C9966" t="str">
        <f>"207P00000X"</f>
        <v>207P00000X</v>
      </c>
      <c r="D9966" t="str">
        <f>"BRYANT III               JOE          H           "</f>
        <v xml:space="preserve">BRYANT III               JOE          H           </v>
      </c>
      <c r="E9966" t="str">
        <f>"MERIDIAN                  "</f>
        <v xml:space="preserve">MERIDIAN                  </v>
      </c>
      <c r="F9966" t="str">
        <f t="shared" si="281"/>
        <v>MS</v>
      </c>
    </row>
    <row r="9967" spans="1:6" x14ac:dyDescent="0.25">
      <c r="A9967" t="str">
        <f>"003859313"</f>
        <v>003859313</v>
      </c>
      <c r="B9967" t="str">
        <f>"1639477425"</f>
        <v>1639477425</v>
      </c>
      <c r="C9967" t="str">
        <f>"363LP0808X"</f>
        <v>363LP0808X</v>
      </c>
      <c r="D9967" t="str">
        <f>"ELY                      MARY CAY                 "</f>
        <v xml:space="preserve">ELY                      MARY CAY                 </v>
      </c>
      <c r="E9967" t="str">
        <f>"CLEVELAND                 "</f>
        <v xml:space="preserve">CLEVELAND                 </v>
      </c>
      <c r="F9967" t="str">
        <f t="shared" si="281"/>
        <v>MS</v>
      </c>
    </row>
    <row r="9968" spans="1:6" x14ac:dyDescent="0.25">
      <c r="A9968" t="str">
        <f>"003870201"</f>
        <v>003870201</v>
      </c>
      <c r="B9968" t="str">
        <f>"1891718680"</f>
        <v>1891718680</v>
      </c>
      <c r="C9968" t="str">
        <f>"207T00000X"</f>
        <v>207T00000X</v>
      </c>
      <c r="D9968" t="str">
        <f>"HYDE                     MAXINE       D           "</f>
        <v xml:space="preserve">HYDE                     MAXINE       D           </v>
      </c>
      <c r="E9968" t="str">
        <f>"ELLISVILLE                "</f>
        <v xml:space="preserve">ELLISVILLE                </v>
      </c>
      <c r="F9968" t="str">
        <f t="shared" si="281"/>
        <v>MS</v>
      </c>
    </row>
    <row r="9969" spans="1:6" x14ac:dyDescent="0.25">
      <c r="A9969" t="str">
        <f>"003871002"</f>
        <v>003871002</v>
      </c>
      <c r="B9969" t="str">
        <f>"1982178562"</f>
        <v>1982178562</v>
      </c>
      <c r="C9969" t="str">
        <f>"363A00000X"</f>
        <v>363A00000X</v>
      </c>
      <c r="D9969" t="str">
        <f>"KERIAN                   CASEY        T           "</f>
        <v xml:space="preserve">KERIAN                   CASEY        T           </v>
      </c>
      <c r="E9969" t="str">
        <f>"MERIDIAN                  "</f>
        <v xml:space="preserve">MERIDIAN                  </v>
      </c>
      <c r="F9969" t="str">
        <f t="shared" si="281"/>
        <v>MS</v>
      </c>
    </row>
    <row r="9970" spans="1:6" x14ac:dyDescent="0.25">
      <c r="A9970" t="str">
        <f>"003871597"</f>
        <v>003871597</v>
      </c>
      <c r="B9970" t="str">
        <f>"1588213094"</f>
        <v>1588213094</v>
      </c>
      <c r="C9970" t="str">
        <f>"207R00000X"</f>
        <v>207R00000X</v>
      </c>
      <c r="D9970" t="str">
        <f>"MOHAMED                  MAHMOUD      M           "</f>
        <v xml:space="preserve">MOHAMED                  MAHMOUD      M           </v>
      </c>
      <c r="E9970" t="str">
        <f>"TUPELO                    "</f>
        <v xml:space="preserve">TUPELO                    </v>
      </c>
      <c r="F9970" t="str">
        <f t="shared" si="281"/>
        <v>MS</v>
      </c>
    </row>
    <row r="9971" spans="1:6" x14ac:dyDescent="0.25">
      <c r="A9971" t="str">
        <f>"003871775"</f>
        <v>003871775</v>
      </c>
      <c r="B9971" t="str">
        <f>"1174546345"</f>
        <v>1174546345</v>
      </c>
      <c r="C9971" t="str">
        <f>"207Q00000X"</f>
        <v>207Q00000X</v>
      </c>
      <c r="D9971" t="str">
        <f>"BEISEL                   BERTHOLD                 "</f>
        <v xml:space="preserve">BEISEL                   BERTHOLD                 </v>
      </c>
      <c r="E9971" t="str">
        <f>"HATTIESBURG               "</f>
        <v xml:space="preserve">HATTIESBURG               </v>
      </c>
      <c r="F9971" t="str">
        <f t="shared" si="281"/>
        <v>MS</v>
      </c>
    </row>
    <row r="9972" spans="1:6" x14ac:dyDescent="0.25">
      <c r="A9972" t="str">
        <f>"003873227"</f>
        <v>003873227</v>
      </c>
      <c r="B9972" t="str">
        <f>"1023338183"</f>
        <v>1023338183</v>
      </c>
      <c r="C9972" t="str">
        <f>"207R00000X"</f>
        <v>207R00000X</v>
      </c>
      <c r="D9972" t="str">
        <f>"WHELAN                   JACOB        R           "</f>
        <v xml:space="preserve">WHELAN                   JACOB        R           </v>
      </c>
      <c r="E9972" t="str">
        <f>"OXFORD                    "</f>
        <v xml:space="preserve">OXFORD                    </v>
      </c>
      <c r="F9972" t="str">
        <f t="shared" si="281"/>
        <v>MS</v>
      </c>
    </row>
    <row r="9973" spans="1:6" x14ac:dyDescent="0.25">
      <c r="A9973" t="str">
        <f>"003875750"</f>
        <v>003875750</v>
      </c>
      <c r="B9973" t="str">
        <f>"1255731287"</f>
        <v>1255731287</v>
      </c>
      <c r="C9973" t="str">
        <f>"363L00000X"</f>
        <v>363L00000X</v>
      </c>
      <c r="D9973" t="str">
        <f>"BENNETT                  BRYAN        G           "</f>
        <v xml:space="preserve">BENNETT                  BRYAN        G           </v>
      </c>
      <c r="E9973" t="str">
        <f>"COLLINS                   "</f>
        <v xml:space="preserve">COLLINS                   </v>
      </c>
      <c r="F9973" t="str">
        <f t="shared" si="281"/>
        <v>MS</v>
      </c>
    </row>
    <row r="9974" spans="1:6" x14ac:dyDescent="0.25">
      <c r="A9974" t="str">
        <f>"003875856"</f>
        <v>003875856</v>
      </c>
      <c r="B9974" t="str">
        <f>"1770040248"</f>
        <v>1770040248</v>
      </c>
      <c r="C9974" t="str">
        <f>"363L00000X"</f>
        <v>363L00000X</v>
      </c>
      <c r="D9974" t="str">
        <f>"GROB                     REBECCA      L           "</f>
        <v xml:space="preserve">GROB                     REBECCA      L           </v>
      </c>
      <c r="E9974" t="str">
        <f>"PASCAGOULA                "</f>
        <v xml:space="preserve">PASCAGOULA                </v>
      </c>
      <c r="F9974" t="str">
        <f t="shared" si="281"/>
        <v>MS</v>
      </c>
    </row>
    <row r="9975" spans="1:6" x14ac:dyDescent="0.25">
      <c r="A9975" t="str">
        <f>"003876003"</f>
        <v>003876003</v>
      </c>
      <c r="B9975" t="str">
        <f>"1932728722"</f>
        <v>1932728722</v>
      </c>
      <c r="C9975" t="str">
        <f>"207T00000X"</f>
        <v>207T00000X</v>
      </c>
      <c r="D9975" t="str">
        <f>"KIMBALL                  REBEKAH                  "</f>
        <v xml:space="preserve">KIMBALL                  REBEKAH                  </v>
      </c>
      <c r="E9975" t="str">
        <f>"JACKSON                   "</f>
        <v xml:space="preserve">JACKSON                   </v>
      </c>
      <c r="F9975" t="str">
        <f t="shared" si="281"/>
        <v>MS</v>
      </c>
    </row>
    <row r="9976" spans="1:6" x14ac:dyDescent="0.25">
      <c r="A9976" t="str">
        <f>"003876549"</f>
        <v>003876549</v>
      </c>
      <c r="B9976" t="str">
        <f>"1033759774"</f>
        <v>1033759774</v>
      </c>
      <c r="C9976" t="str">
        <f>"363L00000X"</f>
        <v>363L00000X</v>
      </c>
      <c r="D9976" t="str">
        <f>"CALL JR                  JAMES        F           "</f>
        <v xml:space="preserve">CALL JR                  JAMES        F           </v>
      </c>
      <c r="E9976" t="str">
        <f>"TUPELO                    "</f>
        <v xml:space="preserve">TUPELO                    </v>
      </c>
      <c r="F9976" t="str">
        <f t="shared" si="281"/>
        <v>MS</v>
      </c>
    </row>
    <row r="9977" spans="1:6" x14ac:dyDescent="0.25">
      <c r="A9977" t="str">
        <f>"003876585"</f>
        <v>003876585</v>
      </c>
      <c r="B9977" t="str">
        <f>"1972066553"</f>
        <v>1972066553</v>
      </c>
      <c r="C9977" t="str">
        <f>"363L00000X"</f>
        <v>363L00000X</v>
      </c>
      <c r="D9977" t="str">
        <f>"MCBRIDE                  CADY         P           "</f>
        <v xml:space="preserve">MCBRIDE                  CADY         P           </v>
      </c>
      <c r="E9977" t="str">
        <f>"MERIDIAN                  "</f>
        <v xml:space="preserve">MERIDIAN                  </v>
      </c>
      <c r="F9977" t="str">
        <f t="shared" si="281"/>
        <v>MS</v>
      </c>
    </row>
    <row r="9978" spans="1:6" x14ac:dyDescent="0.25">
      <c r="A9978" t="str">
        <f>"003877855"</f>
        <v>003877855</v>
      </c>
      <c r="B9978" t="str">
        <f>"1194397067"</f>
        <v>1194397067</v>
      </c>
      <c r="C9978" t="str">
        <f>"363L00000X"</f>
        <v>363L00000X</v>
      </c>
      <c r="D9978" t="str">
        <f>"SHARP                    LYNN                     "</f>
        <v xml:space="preserve">SHARP                    LYNN                     </v>
      </c>
      <c r="E9978" t="str">
        <f>"JACKSON                   "</f>
        <v xml:space="preserve">JACKSON                   </v>
      </c>
      <c r="F9978" t="str">
        <f t="shared" si="281"/>
        <v>MS</v>
      </c>
    </row>
    <row r="9979" spans="1:6" x14ac:dyDescent="0.25">
      <c r="A9979" t="str">
        <f>"003881771"</f>
        <v>003881771</v>
      </c>
      <c r="B9979" t="str">
        <f>"1770075665"</f>
        <v>1770075665</v>
      </c>
      <c r="C9979" t="str">
        <f>"363L00000X"</f>
        <v>363L00000X</v>
      </c>
      <c r="D9979" t="str">
        <f>"DOOLEY                   TERRI        P           "</f>
        <v xml:space="preserve">DOOLEY                   TERRI        P           </v>
      </c>
      <c r="E9979" t="str">
        <f>"YAZOO CITY                "</f>
        <v xml:space="preserve">YAZOO CITY                </v>
      </c>
      <c r="F9979" t="str">
        <f t="shared" si="281"/>
        <v>MS</v>
      </c>
    </row>
    <row r="9980" spans="1:6" x14ac:dyDescent="0.25">
      <c r="A9980" t="str">
        <f>"003882550"</f>
        <v>003882550</v>
      </c>
      <c r="B9980" t="str">
        <f>"1124329016"</f>
        <v>1124329016</v>
      </c>
      <c r="C9980" t="str">
        <f>"208000000X"</f>
        <v>208000000X</v>
      </c>
      <c r="D9980" t="str">
        <f>"KUDLUR CHANDRAPPA        VANI         K           "</f>
        <v xml:space="preserve">KUDLUR CHANDRAPPA        VANI         K           </v>
      </c>
      <c r="E9980" t="str">
        <f>"SENATOBIA                 "</f>
        <v xml:space="preserve">SENATOBIA                 </v>
      </c>
      <c r="F9980" t="str">
        <f t="shared" si="281"/>
        <v>MS</v>
      </c>
    </row>
    <row r="9981" spans="1:6" x14ac:dyDescent="0.25">
      <c r="A9981" t="str">
        <f>"003882723"</f>
        <v>003882723</v>
      </c>
      <c r="B9981" t="str">
        <f>"1265809685"</f>
        <v>1265809685</v>
      </c>
      <c r="C9981" t="str">
        <f>"363L00000X"</f>
        <v>363L00000X</v>
      </c>
      <c r="D9981" t="str">
        <f>"KINCAID                  BRYCE        D           "</f>
        <v xml:space="preserve">KINCAID                  BRYCE        D           </v>
      </c>
      <c r="E9981" t="str">
        <f>"FLOWOOD                   "</f>
        <v xml:space="preserve">FLOWOOD                   </v>
      </c>
      <c r="F9981" t="str">
        <f t="shared" si="281"/>
        <v>MS</v>
      </c>
    </row>
    <row r="9982" spans="1:6" x14ac:dyDescent="0.25">
      <c r="A9982" t="str">
        <f>"003882831"</f>
        <v>003882831</v>
      </c>
      <c r="B9982" t="str">
        <f>"1326565763"</f>
        <v>1326565763</v>
      </c>
      <c r="C9982" t="str">
        <f>"363L00000X"</f>
        <v>363L00000X</v>
      </c>
      <c r="D9982" t="str">
        <f>"MCNABB                   CRYSTAL      P           "</f>
        <v xml:space="preserve">MCNABB                   CRYSTAL      P           </v>
      </c>
      <c r="E9982" t="str">
        <f>"HATTIESBURG               "</f>
        <v xml:space="preserve">HATTIESBURG               </v>
      </c>
      <c r="F9982" t="str">
        <f t="shared" ref="F9982:F10045" si="282">"MS"</f>
        <v>MS</v>
      </c>
    </row>
    <row r="9983" spans="1:6" x14ac:dyDescent="0.25">
      <c r="A9983" t="str">
        <f>"003883340"</f>
        <v>003883340</v>
      </c>
      <c r="B9983" t="str">
        <f>"1033581665"</f>
        <v>1033581665</v>
      </c>
      <c r="C9983" t="str">
        <f>"363L00000X"</f>
        <v>363L00000X</v>
      </c>
      <c r="D9983" t="str">
        <f>"PEGUES                   DEMETRICA    S           "</f>
        <v xml:space="preserve">PEGUES                   DEMETRICA    S           </v>
      </c>
      <c r="E9983" t="str">
        <f>"WATER VALLEY              "</f>
        <v xml:space="preserve">WATER VALLEY              </v>
      </c>
      <c r="F9983" t="str">
        <f t="shared" si="282"/>
        <v>MS</v>
      </c>
    </row>
    <row r="9984" spans="1:6" x14ac:dyDescent="0.25">
      <c r="A9984" t="str">
        <f>"003885255"</f>
        <v>003885255</v>
      </c>
      <c r="B9984" t="str">
        <f>"1629207170"</f>
        <v>1629207170</v>
      </c>
      <c r="C9984" t="str">
        <f>"207RI0011X"</f>
        <v>207RI0011X</v>
      </c>
      <c r="D9984" t="str">
        <f>"SANDERS                  SHAWN                    "</f>
        <v xml:space="preserve">SANDERS                  SHAWN                    </v>
      </c>
      <c r="E9984" t="str">
        <f>"JACKSON                   "</f>
        <v xml:space="preserve">JACKSON                   </v>
      </c>
      <c r="F9984" t="str">
        <f t="shared" si="282"/>
        <v>MS</v>
      </c>
    </row>
    <row r="9985" spans="1:6" x14ac:dyDescent="0.25">
      <c r="A9985" t="str">
        <f>"003886243"</f>
        <v>003886243</v>
      </c>
      <c r="B9985" t="str">
        <f>"1033348438"</f>
        <v>1033348438</v>
      </c>
      <c r="C9985" t="str">
        <f>"207W00000X"</f>
        <v>207W00000X</v>
      </c>
      <c r="D9985" t="str">
        <f>"SMITH                    TAYLOR       F           "</f>
        <v xml:space="preserve">SMITH                    TAYLOR       F           </v>
      </c>
      <c r="E9985" t="str">
        <f>"MADISON                   "</f>
        <v xml:space="preserve">MADISON                   </v>
      </c>
      <c r="F9985" t="str">
        <f t="shared" si="282"/>
        <v>MS</v>
      </c>
    </row>
    <row r="9986" spans="1:6" x14ac:dyDescent="0.25">
      <c r="A9986" t="str">
        <f>"003887308"</f>
        <v>003887308</v>
      </c>
      <c r="B9986" t="str">
        <f>"1285097030"</f>
        <v>1285097030</v>
      </c>
      <c r="C9986" t="str">
        <f>"207P00000X"</f>
        <v>207P00000X</v>
      </c>
      <c r="D9986" t="str">
        <f>"LANGSTON                 GILES        D           "</f>
        <v xml:space="preserve">LANGSTON                 GILES        D           </v>
      </c>
      <c r="E9986" t="str">
        <f>"BROOKHAVEN                "</f>
        <v xml:space="preserve">BROOKHAVEN                </v>
      </c>
      <c r="F9986" t="str">
        <f t="shared" si="282"/>
        <v>MS</v>
      </c>
    </row>
    <row r="9987" spans="1:6" x14ac:dyDescent="0.25">
      <c r="A9987" t="str">
        <f>"003887710"</f>
        <v>003887710</v>
      </c>
      <c r="B9987" t="str">
        <f>"1487271201"</f>
        <v>1487271201</v>
      </c>
      <c r="C9987" t="str">
        <f>"363L00000X"</f>
        <v>363L00000X</v>
      </c>
      <c r="D9987" t="str">
        <f>"LEWIS                    LAJARVIS     A           "</f>
        <v xml:space="preserve">LEWIS                    LAJARVIS     A           </v>
      </c>
      <c r="E9987" t="str">
        <f>"RULEVILLE                 "</f>
        <v xml:space="preserve">RULEVILLE                 </v>
      </c>
      <c r="F9987" t="str">
        <f t="shared" si="282"/>
        <v>MS</v>
      </c>
    </row>
    <row r="9988" spans="1:6" x14ac:dyDescent="0.25">
      <c r="A9988" t="str">
        <f>"003888016"</f>
        <v>003888016</v>
      </c>
      <c r="B9988" t="str">
        <f>"1386847465"</f>
        <v>1386847465</v>
      </c>
      <c r="C9988" t="str">
        <f>"207L00000X"</f>
        <v>207L00000X</v>
      </c>
      <c r="D9988" t="str">
        <f>"CORDELL III              CLAYTON      W           "</f>
        <v xml:space="preserve">CORDELL III              CLAYTON      W           </v>
      </c>
      <c r="E9988" t="str">
        <f>"TUPELO                    "</f>
        <v xml:space="preserve">TUPELO                    </v>
      </c>
      <c r="F9988" t="str">
        <f t="shared" si="282"/>
        <v>MS</v>
      </c>
    </row>
    <row r="9989" spans="1:6" x14ac:dyDescent="0.25">
      <c r="A9989" t="str">
        <f>"003888211"</f>
        <v>003888211</v>
      </c>
      <c r="B9989" t="str">
        <f>"1336418540"</f>
        <v>1336418540</v>
      </c>
      <c r="C9989" t="str">
        <f>"122300000X"</f>
        <v>122300000X</v>
      </c>
      <c r="D9989" t="str">
        <f>"HAPPY SMILES DENTISTRY - TUPELO LLC               "</f>
        <v xml:space="preserve">HAPPY SMILES DENTISTRY - TUPELO LLC               </v>
      </c>
      <c r="E9989" t="str">
        <f>"TUPELO                    "</f>
        <v xml:space="preserve">TUPELO                    </v>
      </c>
      <c r="F9989" t="str">
        <f t="shared" si="282"/>
        <v>MS</v>
      </c>
    </row>
    <row r="9990" spans="1:6" x14ac:dyDescent="0.25">
      <c r="A9990" t="str">
        <f>"003900372"</f>
        <v>003900372</v>
      </c>
      <c r="B9990" t="str">
        <f>"1841223377"</f>
        <v>1841223377</v>
      </c>
      <c r="C9990" t="str">
        <f>"207R00000X"</f>
        <v>207R00000X</v>
      </c>
      <c r="D9990" t="str">
        <f>"DHAR                     UJJWAL                   "</f>
        <v xml:space="preserve">DHAR                     UJJWAL                   </v>
      </c>
      <c r="E9990" t="str">
        <f>"JACKSON                   "</f>
        <v xml:space="preserve">JACKSON                   </v>
      </c>
      <c r="F9990" t="str">
        <f t="shared" si="282"/>
        <v>MS</v>
      </c>
    </row>
    <row r="9991" spans="1:6" x14ac:dyDescent="0.25">
      <c r="A9991" t="str">
        <f>"003901053"</f>
        <v>003901053</v>
      </c>
      <c r="B9991" t="str">
        <f>"1588097471"</f>
        <v>1588097471</v>
      </c>
      <c r="C9991" t="str">
        <f>"363L00000X"</f>
        <v>363L00000X</v>
      </c>
      <c r="D9991" t="str">
        <f>"MILLER                   KEVIN        O           "</f>
        <v xml:space="preserve">MILLER                   KEVIN        O           </v>
      </c>
      <c r="E9991" t="str">
        <f>"GUNTOWN                   "</f>
        <v xml:space="preserve">GUNTOWN                   </v>
      </c>
      <c r="F9991" t="str">
        <f t="shared" si="282"/>
        <v>MS</v>
      </c>
    </row>
    <row r="9992" spans="1:6" x14ac:dyDescent="0.25">
      <c r="A9992" t="str">
        <f>"003903899"</f>
        <v>003903899</v>
      </c>
      <c r="B9992" t="str">
        <f>"1669939013"</f>
        <v>1669939013</v>
      </c>
      <c r="C9992" t="str">
        <f>"363L00000X"</f>
        <v>363L00000X</v>
      </c>
      <c r="D9992" t="str">
        <f>"HAYDEN                   LAKEN        T           "</f>
        <v xml:space="preserve">HAYDEN                   LAKEN        T           </v>
      </c>
      <c r="E9992" t="str">
        <f>"OXFORD                    "</f>
        <v xml:space="preserve">OXFORD                    </v>
      </c>
      <c r="F9992" t="str">
        <f t="shared" si="282"/>
        <v>MS</v>
      </c>
    </row>
    <row r="9993" spans="1:6" x14ac:dyDescent="0.25">
      <c r="A9993" t="str">
        <f>"003905718"</f>
        <v>003905718</v>
      </c>
      <c r="B9993" t="str">
        <f>"1235394966"</f>
        <v>1235394966</v>
      </c>
      <c r="C9993" t="str">
        <f>"261QF0400X"</f>
        <v>261QF0400X</v>
      </c>
      <c r="D9993" t="str">
        <f>"CLAIBORNE COUNTY FAMILY HEALTH CTR                "</f>
        <v xml:space="preserve">CLAIBORNE COUNTY FAMILY HEALTH CTR                </v>
      </c>
      <c r="E9993" t="str">
        <f>"PORT GIBSON               "</f>
        <v xml:space="preserve">PORT GIBSON               </v>
      </c>
      <c r="F9993" t="str">
        <f t="shared" si="282"/>
        <v>MS</v>
      </c>
    </row>
    <row r="9994" spans="1:6" x14ac:dyDescent="0.25">
      <c r="A9994" t="str">
        <f>"003906898"</f>
        <v>003906898</v>
      </c>
      <c r="B9994" t="str">
        <f>"1215186028"</f>
        <v>1215186028</v>
      </c>
      <c r="C9994" t="str">
        <f>"363L00000X"</f>
        <v>363L00000X</v>
      </c>
      <c r="D9994" t="str">
        <f>"BURRELL                  JAMES        L           "</f>
        <v xml:space="preserve">BURRELL                  JAMES        L           </v>
      </c>
      <c r="E9994" t="str">
        <f>"TUPELO                    "</f>
        <v xml:space="preserve">TUPELO                    </v>
      </c>
      <c r="F9994" t="str">
        <f t="shared" si="282"/>
        <v>MS</v>
      </c>
    </row>
    <row r="9995" spans="1:6" x14ac:dyDescent="0.25">
      <c r="A9995" t="str">
        <f>"003920200"</f>
        <v>003920200</v>
      </c>
      <c r="B9995" t="str">
        <f>"1457701864"</f>
        <v>1457701864</v>
      </c>
      <c r="C9995" t="str">
        <f>"207Q00000X"</f>
        <v>207Q00000X</v>
      </c>
      <c r="D9995" t="str">
        <f>"WARD                     MATTHEW      A           "</f>
        <v xml:space="preserve">WARD                     MATTHEW      A           </v>
      </c>
      <c r="E9995" t="str">
        <f>"UNION                     "</f>
        <v xml:space="preserve">UNION                     </v>
      </c>
      <c r="F9995" t="str">
        <f t="shared" si="282"/>
        <v>MS</v>
      </c>
    </row>
    <row r="9996" spans="1:6" x14ac:dyDescent="0.25">
      <c r="A9996" t="str">
        <f>"003920614"</f>
        <v>003920614</v>
      </c>
      <c r="B9996" t="str">
        <f>"1083135768"</f>
        <v>1083135768</v>
      </c>
      <c r="C9996" t="str">
        <f>"122300000X"</f>
        <v>122300000X</v>
      </c>
      <c r="D9996" t="str">
        <f>"ROYE                     ADAM         C           "</f>
        <v xml:space="preserve">ROYE                     ADAM         C           </v>
      </c>
      <c r="E9996" t="str">
        <f>"OKOLONA                   "</f>
        <v xml:space="preserve">OKOLONA                   </v>
      </c>
      <c r="F9996" t="str">
        <f t="shared" si="282"/>
        <v>MS</v>
      </c>
    </row>
    <row r="9997" spans="1:6" x14ac:dyDescent="0.25">
      <c r="A9997" t="str">
        <f>"003922297"</f>
        <v>003922297</v>
      </c>
      <c r="B9997" t="str">
        <f>"1457873812"</f>
        <v>1457873812</v>
      </c>
      <c r="C9997" t="str">
        <f>"207R00000X"</f>
        <v>207R00000X</v>
      </c>
      <c r="D9997" t="str">
        <f>"ANYUMBA MITEMA           JADELINE     A           "</f>
        <v xml:space="preserve">ANYUMBA MITEMA           JADELINE     A           </v>
      </c>
      <c r="E9997" t="str">
        <f>"JACKSON                   "</f>
        <v xml:space="preserve">JACKSON                   </v>
      </c>
      <c r="F9997" t="str">
        <f t="shared" si="282"/>
        <v>MS</v>
      </c>
    </row>
    <row r="9998" spans="1:6" x14ac:dyDescent="0.25">
      <c r="A9998" t="str">
        <f>"003922537"</f>
        <v>003922537</v>
      </c>
      <c r="B9998" t="str">
        <f>"1215014022"</f>
        <v>1215014022</v>
      </c>
      <c r="C9998" t="str">
        <f>"261QA1903X"</f>
        <v>261QA1903X</v>
      </c>
      <c r="D9998" t="str">
        <f>"HATTIESBURG EYE CLINIC CATARACT &amp; L               "</f>
        <v xml:space="preserve">HATTIESBURG EYE CLINIC CATARACT &amp; L               </v>
      </c>
      <c r="E9998" t="str">
        <f>"HATTIESBURG               "</f>
        <v xml:space="preserve">HATTIESBURG               </v>
      </c>
      <c r="F9998" t="str">
        <f t="shared" si="282"/>
        <v>MS</v>
      </c>
    </row>
    <row r="9999" spans="1:6" x14ac:dyDescent="0.25">
      <c r="A9999" t="str">
        <f>"003924050"</f>
        <v>003924050</v>
      </c>
      <c r="B9999" t="str">
        <f>"1083920987"</f>
        <v>1083920987</v>
      </c>
      <c r="C9999" t="str">
        <f>"363L00000X"</f>
        <v>363L00000X</v>
      </c>
      <c r="D9999" t="str">
        <f>"FRIELDS                  KATRINA      W           "</f>
        <v xml:space="preserve">FRIELDS                  KATRINA      W           </v>
      </c>
      <c r="E9999" t="str">
        <f>"SALTILLO                  "</f>
        <v xml:space="preserve">SALTILLO                  </v>
      </c>
      <c r="F9999" t="str">
        <f t="shared" si="282"/>
        <v>MS</v>
      </c>
    </row>
    <row r="10000" spans="1:6" x14ac:dyDescent="0.25">
      <c r="A10000" t="str">
        <f>"003924380"</f>
        <v>003924380</v>
      </c>
      <c r="B10000" t="str">
        <f>"1356963953"</f>
        <v>1356963953</v>
      </c>
      <c r="C10000" t="str">
        <f>"363L00000X"</f>
        <v>363L00000X</v>
      </c>
      <c r="D10000" t="str">
        <f>"MORRIS                   JAMIE        R           "</f>
        <v xml:space="preserve">MORRIS                   JAMIE        R           </v>
      </c>
      <c r="E10000" t="str">
        <f>"GULFPORT                  "</f>
        <v xml:space="preserve">GULFPORT                  </v>
      </c>
      <c r="F10000" t="str">
        <f t="shared" si="282"/>
        <v>MS</v>
      </c>
    </row>
    <row r="10001" spans="1:6" x14ac:dyDescent="0.25">
      <c r="A10001" t="str">
        <f>"003924389"</f>
        <v>003924389</v>
      </c>
      <c r="B10001" t="str">
        <f>"1295016400"</f>
        <v>1295016400</v>
      </c>
      <c r="C10001" t="str">
        <f>"363L00000X"</f>
        <v>363L00000X</v>
      </c>
      <c r="D10001" t="str">
        <f>"MURRY                    YOLANDA      F           "</f>
        <v xml:space="preserve">MURRY                    YOLANDA      F           </v>
      </c>
      <c r="E10001" t="str">
        <f>"HORN LAKE                 "</f>
        <v xml:space="preserve">HORN LAKE                 </v>
      </c>
      <c r="F10001" t="str">
        <f t="shared" si="282"/>
        <v>MS</v>
      </c>
    </row>
    <row r="10002" spans="1:6" x14ac:dyDescent="0.25">
      <c r="A10002" t="str">
        <f>"003925069"</f>
        <v>003925069</v>
      </c>
      <c r="B10002" t="str">
        <f>"1285781153"</f>
        <v>1285781153</v>
      </c>
      <c r="C10002" t="str">
        <f>"207RC0000X"</f>
        <v>207RC0000X</v>
      </c>
      <c r="D10002" t="str">
        <f>"MOCK MUHAMMAD            BERTHRONE    L           "</f>
        <v xml:space="preserve">MOCK MUHAMMAD            BERTHRONE    L           </v>
      </c>
      <c r="E10002" t="str">
        <f>"JACKSON                   "</f>
        <v xml:space="preserve">JACKSON                   </v>
      </c>
      <c r="F10002" t="str">
        <f t="shared" si="282"/>
        <v>MS</v>
      </c>
    </row>
    <row r="10003" spans="1:6" x14ac:dyDescent="0.25">
      <c r="A10003" t="str">
        <f>"003925314"</f>
        <v>003925314</v>
      </c>
      <c r="B10003" t="str">
        <f>"1962406298"</f>
        <v>1962406298</v>
      </c>
      <c r="C10003" t="str">
        <f>"207R00000X"</f>
        <v>207R00000X</v>
      </c>
      <c r="D10003" t="str">
        <f>"GABER                    EDWARD       M           "</f>
        <v xml:space="preserve">GABER                    EDWARD       M           </v>
      </c>
      <c r="E10003" t="str">
        <f>"PASCAGOULA                "</f>
        <v xml:space="preserve">PASCAGOULA                </v>
      </c>
      <c r="F10003" t="str">
        <f t="shared" si="282"/>
        <v>MS</v>
      </c>
    </row>
    <row r="10004" spans="1:6" x14ac:dyDescent="0.25">
      <c r="A10004" t="str">
        <f>"003926583"</f>
        <v>003926583</v>
      </c>
      <c r="B10004" t="str">
        <f>"1548907272"</f>
        <v>1548907272</v>
      </c>
      <c r="C10004" t="str">
        <f>"363L00000X"</f>
        <v>363L00000X</v>
      </c>
      <c r="D10004" t="str">
        <f>"CRANE                    TINA                     "</f>
        <v xml:space="preserve">CRANE                    TINA                     </v>
      </c>
      <c r="E10004" t="str">
        <f>"VICKSBURG                 "</f>
        <v xml:space="preserve">VICKSBURG                 </v>
      </c>
      <c r="F10004" t="str">
        <f t="shared" si="282"/>
        <v>MS</v>
      </c>
    </row>
    <row r="10005" spans="1:6" x14ac:dyDescent="0.25">
      <c r="A10005" t="str">
        <f>"003927741"</f>
        <v>003927741</v>
      </c>
      <c r="B10005" t="str">
        <f>"1891825287"</f>
        <v>1891825287</v>
      </c>
      <c r="C10005" t="str">
        <f>"208000000X"</f>
        <v>208000000X</v>
      </c>
      <c r="D10005" t="str">
        <f>"FAMUYIDE                 MOBOLAJI                 "</f>
        <v xml:space="preserve">FAMUYIDE                 MOBOLAJI                 </v>
      </c>
      <c r="E10005" t="str">
        <f>"JACKSON                   "</f>
        <v xml:space="preserve">JACKSON                   </v>
      </c>
      <c r="F10005" t="str">
        <f t="shared" si="282"/>
        <v>MS</v>
      </c>
    </row>
    <row r="10006" spans="1:6" x14ac:dyDescent="0.25">
      <c r="A10006" t="str">
        <f>"003928708"</f>
        <v>003928708</v>
      </c>
      <c r="B10006" t="str">
        <f>"1750691465"</f>
        <v>1750691465</v>
      </c>
      <c r="C10006" t="str">
        <f>"363L00000X"</f>
        <v>363L00000X</v>
      </c>
      <c r="D10006" t="str">
        <f>"TODD                     DAPHNE                   "</f>
        <v xml:space="preserve">TODD                     DAPHNE                   </v>
      </c>
      <c r="E10006" t="str">
        <f>"JACKSON                   "</f>
        <v xml:space="preserve">JACKSON                   </v>
      </c>
      <c r="F10006" t="str">
        <f t="shared" si="282"/>
        <v>MS</v>
      </c>
    </row>
    <row r="10007" spans="1:6" x14ac:dyDescent="0.25">
      <c r="A10007" t="str">
        <f>"003928773"</f>
        <v>003928773</v>
      </c>
      <c r="B10007" t="str">
        <f>"1447702584"</f>
        <v>1447702584</v>
      </c>
      <c r="C10007" t="str">
        <f>"367500000X"</f>
        <v>367500000X</v>
      </c>
      <c r="D10007" t="str">
        <f>"WELLS                    JOSEPH       K           "</f>
        <v xml:space="preserve">WELLS                    JOSEPH       K           </v>
      </c>
      <c r="E10007" t="str">
        <f>"COLUMBUS                  "</f>
        <v xml:space="preserve">COLUMBUS                  </v>
      </c>
      <c r="F10007" t="str">
        <f t="shared" si="282"/>
        <v>MS</v>
      </c>
    </row>
    <row r="10008" spans="1:6" x14ac:dyDescent="0.25">
      <c r="A10008" t="str">
        <f>"003930005"</f>
        <v>003930005</v>
      </c>
      <c r="B10008" t="str">
        <f>"1124115134"</f>
        <v>1124115134</v>
      </c>
      <c r="C10008" t="str">
        <f>"1223X0400X"</f>
        <v>1223X0400X</v>
      </c>
      <c r="D10008" t="str">
        <f>"HOLMAN                   JOHN         K           "</f>
        <v xml:space="preserve">HOLMAN                   JOHN         K           </v>
      </c>
      <c r="E10008" t="str">
        <f>"TUPELO                    "</f>
        <v xml:space="preserve">TUPELO                    </v>
      </c>
      <c r="F10008" t="str">
        <f t="shared" si="282"/>
        <v>MS</v>
      </c>
    </row>
    <row r="10009" spans="1:6" x14ac:dyDescent="0.25">
      <c r="A10009" t="str">
        <f>"003930431"</f>
        <v>003930431</v>
      </c>
      <c r="B10009" t="str">
        <f>"1346815016"</f>
        <v>1346815016</v>
      </c>
      <c r="C10009" t="str">
        <f>"363L00000X"</f>
        <v>363L00000X</v>
      </c>
      <c r="D10009" t="str">
        <f>"HARVEY                   RAEANN                   "</f>
        <v xml:space="preserve">HARVEY                   RAEANN                   </v>
      </c>
      <c r="E10009" t="str">
        <f>"STARKVILLE                "</f>
        <v xml:space="preserve">STARKVILLE                </v>
      </c>
      <c r="F10009" t="str">
        <f t="shared" si="282"/>
        <v>MS</v>
      </c>
    </row>
    <row r="10010" spans="1:6" x14ac:dyDescent="0.25">
      <c r="A10010" t="str">
        <f>"003930778"</f>
        <v>003930778</v>
      </c>
      <c r="B10010" t="str">
        <f>"1417249053"</f>
        <v>1417249053</v>
      </c>
      <c r="C10010" t="str">
        <f>"363L00000X"</f>
        <v>363L00000X</v>
      </c>
      <c r="D10010" t="str">
        <f>"ROGERS                   AMY                      "</f>
        <v xml:space="preserve">ROGERS                   AMY                      </v>
      </c>
      <c r="E10010" t="str">
        <f>"PASCAGOULA                "</f>
        <v xml:space="preserve">PASCAGOULA                </v>
      </c>
      <c r="F10010" t="str">
        <f t="shared" si="282"/>
        <v>MS</v>
      </c>
    </row>
    <row r="10011" spans="1:6" x14ac:dyDescent="0.25">
      <c r="A10011" t="str">
        <f>"003930861"</f>
        <v>003930861</v>
      </c>
      <c r="B10011" t="str">
        <f>"1114331832"</f>
        <v>1114331832</v>
      </c>
      <c r="C10011" t="str">
        <f>"208000000X"</f>
        <v>208000000X</v>
      </c>
      <c r="D10011" t="str">
        <f>"CHAPMAN                  MARLA        T           "</f>
        <v xml:space="preserve">CHAPMAN                  MARLA        T           </v>
      </c>
      <c r="E10011" t="str">
        <f>"HATTIESBURG               "</f>
        <v xml:space="preserve">HATTIESBURG               </v>
      </c>
      <c r="F10011" t="str">
        <f t="shared" si="282"/>
        <v>MS</v>
      </c>
    </row>
    <row r="10012" spans="1:6" x14ac:dyDescent="0.25">
      <c r="A10012" t="str">
        <f>"003932074"</f>
        <v>003932074</v>
      </c>
      <c r="B10012" t="str">
        <f>"1154360824"</f>
        <v>1154360824</v>
      </c>
      <c r="C10012" t="str">
        <f>"2084P0804X"</f>
        <v>2084P0804X</v>
      </c>
      <c r="D10012" t="str">
        <f>"WILKAITIS                JOHN         E           "</f>
        <v xml:space="preserve">WILKAITIS                JOHN         E           </v>
      </c>
      <c r="E10012" t="str">
        <f>"JACKSON                   "</f>
        <v xml:space="preserve">JACKSON                   </v>
      </c>
      <c r="F10012" t="str">
        <f t="shared" si="282"/>
        <v>MS</v>
      </c>
    </row>
    <row r="10013" spans="1:6" x14ac:dyDescent="0.25">
      <c r="A10013" t="str">
        <f>"003933861"</f>
        <v>003933861</v>
      </c>
      <c r="B10013" t="str">
        <f>"1760928097"</f>
        <v>1760928097</v>
      </c>
      <c r="C10013" t="str">
        <f>"363L00000X"</f>
        <v>363L00000X</v>
      </c>
      <c r="D10013" t="str">
        <f>"ROBINSON                 JAMIE        E           "</f>
        <v xml:space="preserve">ROBINSON                 JAMIE        E           </v>
      </c>
      <c r="E10013" t="str">
        <f>"NEW ALBANY                "</f>
        <v xml:space="preserve">NEW ALBANY                </v>
      </c>
      <c r="F10013" t="str">
        <f t="shared" si="282"/>
        <v>MS</v>
      </c>
    </row>
    <row r="10014" spans="1:6" x14ac:dyDescent="0.25">
      <c r="A10014" t="str">
        <f>"003934511"</f>
        <v>003934511</v>
      </c>
      <c r="B10014" t="str">
        <f>"1225290844"</f>
        <v>1225290844</v>
      </c>
      <c r="C10014" t="str">
        <f>"367500000X"</f>
        <v>367500000X</v>
      </c>
      <c r="D10014" t="str">
        <f>"BARNETT                  GARY         K           "</f>
        <v xml:space="preserve">BARNETT                  GARY         K           </v>
      </c>
      <c r="E10014" t="str">
        <f>"CORINTH                   "</f>
        <v xml:space="preserve">CORINTH                   </v>
      </c>
      <c r="F10014" t="str">
        <f t="shared" si="282"/>
        <v>MS</v>
      </c>
    </row>
    <row r="10015" spans="1:6" x14ac:dyDescent="0.25">
      <c r="A10015" t="str">
        <f>"003935306"</f>
        <v>003935306</v>
      </c>
      <c r="B10015" t="str">
        <f>"1902825755"</f>
        <v>1902825755</v>
      </c>
      <c r="C10015" t="str">
        <f>"207L00000X"</f>
        <v>207L00000X</v>
      </c>
      <c r="D10015" t="str">
        <f>"PERLIN                   DANIEL       I           "</f>
        <v xml:space="preserve">PERLIN                   DANIEL       I           </v>
      </c>
      <c r="E10015" t="str">
        <f>"JACKSON                   "</f>
        <v xml:space="preserve">JACKSON                   </v>
      </c>
      <c r="F10015" t="str">
        <f t="shared" si="282"/>
        <v>MS</v>
      </c>
    </row>
    <row r="10016" spans="1:6" x14ac:dyDescent="0.25">
      <c r="A10016" t="str">
        <f>"003935575"</f>
        <v>003935575</v>
      </c>
      <c r="B10016" t="str">
        <f>"1730324476"</f>
        <v>1730324476</v>
      </c>
      <c r="C10016" t="str">
        <f>"367500000X"</f>
        <v>367500000X</v>
      </c>
      <c r="D10016" t="str">
        <f>"DOUGLAS                  MATTHEW      A           "</f>
        <v xml:space="preserve">DOUGLAS                  MATTHEW      A           </v>
      </c>
      <c r="E10016" t="str">
        <f>"CARTHAGE                  "</f>
        <v xml:space="preserve">CARTHAGE                  </v>
      </c>
      <c r="F10016" t="str">
        <f t="shared" si="282"/>
        <v>MS</v>
      </c>
    </row>
    <row r="10017" spans="1:6" x14ac:dyDescent="0.25">
      <c r="A10017" t="str">
        <f>"003936014"</f>
        <v>003936014</v>
      </c>
      <c r="B10017" t="str">
        <f>"1760692917"</f>
        <v>1760692917</v>
      </c>
      <c r="C10017" t="str">
        <f>"207R00000X"</f>
        <v>207R00000X</v>
      </c>
      <c r="D10017" t="str">
        <f>"COLLINS                  CHRISTINA    D           "</f>
        <v xml:space="preserve">COLLINS                  CHRISTINA    D           </v>
      </c>
      <c r="E10017" t="str">
        <f>"COLUMBUS                  "</f>
        <v xml:space="preserve">COLUMBUS                  </v>
      </c>
      <c r="F10017" t="str">
        <f t="shared" si="282"/>
        <v>MS</v>
      </c>
    </row>
    <row r="10018" spans="1:6" x14ac:dyDescent="0.25">
      <c r="A10018" t="str">
        <f>"003937014"</f>
        <v>003937014</v>
      </c>
      <c r="B10018" t="str">
        <f>"1912418781"</f>
        <v>1912418781</v>
      </c>
      <c r="C10018" t="str">
        <f>"363L00000X"</f>
        <v>363L00000X</v>
      </c>
      <c r="D10018" t="str">
        <f>"DAWSON                   KATHERINE    H           "</f>
        <v xml:space="preserve">DAWSON                   KATHERINE    H           </v>
      </c>
      <c r="E10018" t="str">
        <f>"CORINTH                   "</f>
        <v xml:space="preserve">CORINTH                   </v>
      </c>
      <c r="F10018" t="str">
        <f t="shared" si="282"/>
        <v>MS</v>
      </c>
    </row>
    <row r="10019" spans="1:6" x14ac:dyDescent="0.25">
      <c r="A10019" t="str">
        <f>"003937051"</f>
        <v>003937051</v>
      </c>
      <c r="B10019" t="str">
        <f>"1427444116"</f>
        <v>1427444116</v>
      </c>
      <c r="C10019" t="str">
        <f>"363A00000X"</f>
        <v>363A00000X</v>
      </c>
      <c r="D10019" t="str">
        <f>"BINGHAM                  PAMELA       D           "</f>
        <v xml:space="preserve">BINGHAM                  PAMELA       D           </v>
      </c>
      <c r="E10019" t="str">
        <f>"BRANDON                   "</f>
        <v xml:space="preserve">BRANDON                   </v>
      </c>
      <c r="F10019" t="str">
        <f t="shared" si="282"/>
        <v>MS</v>
      </c>
    </row>
    <row r="10020" spans="1:6" x14ac:dyDescent="0.25">
      <c r="A10020" t="str">
        <f>"003937072"</f>
        <v>003937072</v>
      </c>
      <c r="B10020" t="str">
        <f>"1578010088"</f>
        <v>1578010088</v>
      </c>
      <c r="C10020" t="str">
        <f>"363L00000X"</f>
        <v>363L00000X</v>
      </c>
      <c r="D10020" t="str">
        <f>"BALL                     RAMONA       M           "</f>
        <v xml:space="preserve">BALL                     RAMONA       M           </v>
      </c>
      <c r="E10020" t="str">
        <f>"JACKSON                   "</f>
        <v xml:space="preserve">JACKSON                   </v>
      </c>
      <c r="F10020" t="str">
        <f t="shared" si="282"/>
        <v>MS</v>
      </c>
    </row>
    <row r="10021" spans="1:6" x14ac:dyDescent="0.25">
      <c r="A10021" t="str">
        <f>"003937860"</f>
        <v>003937860</v>
      </c>
      <c r="B10021" t="str">
        <f>"1659731107"</f>
        <v>1659731107</v>
      </c>
      <c r="C10021" t="str">
        <f>"363L00000X"</f>
        <v>363L00000X</v>
      </c>
      <c r="D10021" t="str">
        <f>"LEGG                     MAGAN        N           "</f>
        <v xml:space="preserve">LEGG                     MAGAN        N           </v>
      </c>
      <c r="E10021" t="str">
        <f>"MCCOMB                    "</f>
        <v xml:space="preserve">MCCOMB                    </v>
      </c>
      <c r="F10021" t="str">
        <f t="shared" si="282"/>
        <v>MS</v>
      </c>
    </row>
    <row r="10022" spans="1:6" x14ac:dyDescent="0.25">
      <c r="A10022" t="str">
        <f>"003951004"</f>
        <v>003951004</v>
      </c>
      <c r="B10022" t="str">
        <f>"1548333610"</f>
        <v>1548333610</v>
      </c>
      <c r="C10022" t="str">
        <f>"207Q00000X"</f>
        <v>207Q00000X</v>
      </c>
      <c r="D10022" t="str">
        <f>"DUMAS                    J D                      "</f>
        <v xml:space="preserve">DUMAS                    J D                      </v>
      </c>
      <c r="E10022" t="str">
        <f>"HATTIESBURG               "</f>
        <v xml:space="preserve">HATTIESBURG               </v>
      </c>
      <c r="F10022" t="str">
        <f t="shared" si="282"/>
        <v>MS</v>
      </c>
    </row>
    <row r="10023" spans="1:6" x14ac:dyDescent="0.25">
      <c r="A10023" t="str">
        <f>"003951894"</f>
        <v>003951894</v>
      </c>
      <c r="B10023" t="str">
        <f>"1750333555"</f>
        <v>1750333555</v>
      </c>
      <c r="C10023" t="str">
        <f>"152W00000X"</f>
        <v>152W00000X</v>
      </c>
      <c r="D10023" t="str">
        <f>"MARCEV                   JOHN         R           "</f>
        <v xml:space="preserve">MARCEV                   JOHN         R           </v>
      </c>
      <c r="E10023" t="str">
        <f>"HATTIESBURG               "</f>
        <v xml:space="preserve">HATTIESBURG               </v>
      </c>
      <c r="F10023" t="str">
        <f t="shared" si="282"/>
        <v>MS</v>
      </c>
    </row>
    <row r="10024" spans="1:6" x14ac:dyDescent="0.25">
      <c r="A10024" t="str">
        <f>"003952309"</f>
        <v>003952309</v>
      </c>
      <c r="B10024" t="str">
        <f>"1326309600"</f>
        <v>1326309600</v>
      </c>
      <c r="C10024" t="str">
        <f>"367500000X"</f>
        <v>367500000X</v>
      </c>
      <c r="D10024" t="str">
        <f>"MALLINI                  FREDERICK    B           "</f>
        <v xml:space="preserve">MALLINI                  FREDERICK    B           </v>
      </c>
      <c r="E10024" t="str">
        <f>"HATTIESBURG               "</f>
        <v xml:space="preserve">HATTIESBURG               </v>
      </c>
      <c r="F10024" t="str">
        <f t="shared" si="282"/>
        <v>MS</v>
      </c>
    </row>
    <row r="10025" spans="1:6" x14ac:dyDescent="0.25">
      <c r="A10025" t="str">
        <f>"003952529"</f>
        <v>003952529</v>
      </c>
      <c r="B10025" t="str">
        <f>"1578751723"</f>
        <v>1578751723</v>
      </c>
      <c r="C10025" t="str">
        <f>"261QM0801X"</f>
        <v>261QM0801X</v>
      </c>
      <c r="D10025" t="str">
        <f>"MS FAMILIES FOR KIDS                              "</f>
        <v xml:space="preserve">MS FAMILIES FOR KIDS                              </v>
      </c>
      <c r="E10025" t="str">
        <f>"JACKSON                   "</f>
        <v xml:space="preserve">JACKSON                   </v>
      </c>
      <c r="F10025" t="str">
        <f t="shared" si="282"/>
        <v>MS</v>
      </c>
    </row>
    <row r="10026" spans="1:6" x14ac:dyDescent="0.25">
      <c r="A10026" t="str">
        <f>"003953595"</f>
        <v>003953595</v>
      </c>
      <c r="B10026" t="str">
        <f>"1073865762"</f>
        <v>1073865762</v>
      </c>
      <c r="C10026" t="str">
        <f>"367500000X"</f>
        <v>367500000X</v>
      </c>
      <c r="D10026" t="str">
        <f>"WHITE                    JONATHAN                 "</f>
        <v xml:space="preserve">WHITE                    JONATHAN                 </v>
      </c>
      <c r="E10026" t="str">
        <f>"PASCAGOULA                "</f>
        <v xml:space="preserve">PASCAGOULA                </v>
      </c>
      <c r="F10026" t="str">
        <f t="shared" si="282"/>
        <v>MS</v>
      </c>
    </row>
    <row r="10027" spans="1:6" x14ac:dyDescent="0.25">
      <c r="A10027" t="str">
        <f>"003954314"</f>
        <v>003954314</v>
      </c>
      <c r="B10027" t="str">
        <f>"1932223542"</f>
        <v>1932223542</v>
      </c>
      <c r="C10027" t="str">
        <f>"207X00000X"</f>
        <v>207X00000X</v>
      </c>
      <c r="D10027" t="str">
        <f>"KARPITSKAYA              YEKATERINA               "</f>
        <v xml:space="preserve">KARPITSKAYA              YEKATERINA               </v>
      </c>
      <c r="E10027" t="str">
        <f>"BILOXI                    "</f>
        <v xml:space="preserve">BILOXI                    </v>
      </c>
      <c r="F10027" t="str">
        <f t="shared" si="282"/>
        <v>MS</v>
      </c>
    </row>
    <row r="10028" spans="1:6" x14ac:dyDescent="0.25">
      <c r="A10028" t="str">
        <f>"003954369"</f>
        <v>003954369</v>
      </c>
      <c r="B10028" t="str">
        <f>"1356861140"</f>
        <v>1356861140</v>
      </c>
      <c r="C10028" t="str">
        <f>"2085R0202X"</f>
        <v>2085R0202X</v>
      </c>
      <c r="D10028" t="str">
        <f>"THOMAS                   ABY                      "</f>
        <v xml:space="preserve">THOMAS                   ABY                      </v>
      </c>
      <c r="E10028" t="str">
        <f>"JACKSON                   "</f>
        <v xml:space="preserve">JACKSON                   </v>
      </c>
      <c r="F10028" t="str">
        <f t="shared" si="282"/>
        <v>MS</v>
      </c>
    </row>
    <row r="10029" spans="1:6" x14ac:dyDescent="0.25">
      <c r="A10029" t="str">
        <f>"003954555"</f>
        <v>003954555</v>
      </c>
      <c r="B10029" t="str">
        <f>"1922310531"</f>
        <v>1922310531</v>
      </c>
      <c r="C10029" t="str">
        <f>"363L00000X"</f>
        <v>363L00000X</v>
      </c>
      <c r="D10029" t="str">
        <f>"SMITH                    TERESA       D           "</f>
        <v xml:space="preserve">SMITH                    TERESA       D           </v>
      </c>
      <c r="E10029" t="str">
        <f>"BATESVILLE                "</f>
        <v xml:space="preserve">BATESVILLE                </v>
      </c>
      <c r="F10029" t="str">
        <f t="shared" si="282"/>
        <v>MS</v>
      </c>
    </row>
    <row r="10030" spans="1:6" x14ac:dyDescent="0.25">
      <c r="A10030" t="str">
        <f>"003956060"</f>
        <v>003956060</v>
      </c>
      <c r="B10030" t="str">
        <f>"1083257315"</f>
        <v>1083257315</v>
      </c>
      <c r="C10030" t="str">
        <f>"363L00000X"</f>
        <v>363L00000X</v>
      </c>
      <c r="D10030" t="str">
        <f>"HANSON                   AMANDA                   "</f>
        <v xml:space="preserve">HANSON                   AMANDA                   </v>
      </c>
      <c r="E10030" t="str">
        <f>"TUPELO                    "</f>
        <v xml:space="preserve">TUPELO                    </v>
      </c>
      <c r="F10030" t="str">
        <f t="shared" si="282"/>
        <v>MS</v>
      </c>
    </row>
    <row r="10031" spans="1:6" x14ac:dyDescent="0.25">
      <c r="A10031" t="str">
        <f>"003957766"</f>
        <v>003957766</v>
      </c>
      <c r="B10031" t="str">
        <f>"1013357334"</f>
        <v>1013357334</v>
      </c>
      <c r="C10031" t="str">
        <f>"207Q00000X"</f>
        <v>207Q00000X</v>
      </c>
      <c r="D10031" t="str">
        <f>"ROYALS                   KATHERINE    O           "</f>
        <v xml:space="preserve">ROYALS                   KATHERINE    O           </v>
      </c>
      <c r="E10031" t="str">
        <f>"HATTIESBURG               "</f>
        <v xml:space="preserve">HATTIESBURG               </v>
      </c>
      <c r="F10031" t="str">
        <f t="shared" si="282"/>
        <v>MS</v>
      </c>
    </row>
    <row r="10032" spans="1:6" x14ac:dyDescent="0.25">
      <c r="A10032" t="str">
        <f>"003958367"</f>
        <v>003958367</v>
      </c>
      <c r="B10032" t="str">
        <f>"1306057807"</f>
        <v>1306057807</v>
      </c>
      <c r="C10032" t="str">
        <f>"207P00000X"</f>
        <v>207P00000X</v>
      </c>
      <c r="D10032" t="str">
        <f>"FLOWERS                  DWIGHT       T           "</f>
        <v xml:space="preserve">FLOWERS                  DWIGHT       T           </v>
      </c>
      <c r="E10032" t="str">
        <f>"MERIDIAN                  "</f>
        <v xml:space="preserve">MERIDIAN                  </v>
      </c>
      <c r="F10032" t="str">
        <f t="shared" si="282"/>
        <v>MS</v>
      </c>
    </row>
    <row r="10033" spans="1:6" x14ac:dyDescent="0.25">
      <c r="A10033" t="str">
        <f>"003970095"</f>
        <v>003970095</v>
      </c>
      <c r="B10033" t="str">
        <f>"1902846686"</f>
        <v>1902846686</v>
      </c>
      <c r="C10033" t="str">
        <f>"2080N0001X"</f>
        <v>2080N0001X</v>
      </c>
      <c r="D10033" t="str">
        <f>"NUNEZ                    JEANNE                   "</f>
        <v xml:space="preserve">NUNEZ                    JEANNE                   </v>
      </c>
      <c r="E10033" t="str">
        <f>"JACKSON                   "</f>
        <v xml:space="preserve">JACKSON                   </v>
      </c>
      <c r="F10033" t="str">
        <f t="shared" si="282"/>
        <v>MS</v>
      </c>
    </row>
    <row r="10034" spans="1:6" x14ac:dyDescent="0.25">
      <c r="A10034" t="str">
        <f>"003971011"</f>
        <v>003971011</v>
      </c>
      <c r="B10034" t="str">
        <f>"1033693866"</f>
        <v>1033693866</v>
      </c>
      <c r="C10034" t="str">
        <f>"363L00000X"</f>
        <v>363L00000X</v>
      </c>
      <c r="D10034" t="str">
        <f>"BROWN                    MELODIE      C           "</f>
        <v xml:space="preserve">BROWN                    MELODIE      C           </v>
      </c>
      <c r="E10034" t="str">
        <f>"JACKSON                   "</f>
        <v xml:space="preserve">JACKSON                   </v>
      </c>
      <c r="F10034" t="str">
        <f t="shared" si="282"/>
        <v>MS</v>
      </c>
    </row>
    <row r="10035" spans="1:6" x14ac:dyDescent="0.25">
      <c r="A10035" t="str">
        <f>"003972224"</f>
        <v>003972224</v>
      </c>
      <c r="B10035" t="str">
        <f>"1689139016"</f>
        <v>1689139016</v>
      </c>
      <c r="C10035" t="str">
        <f>"261QM1300X"</f>
        <v>261QM1300X</v>
      </c>
      <c r="D10035" t="str">
        <f>"ROXANNE CAVATAIO, LCSW PLLC                       "</f>
        <v xml:space="preserve">ROXANNE CAVATAIO, LCSW PLLC                       </v>
      </c>
      <c r="E10035" t="str">
        <f>"GULFPORT                  "</f>
        <v xml:space="preserve">GULFPORT                  </v>
      </c>
      <c r="F10035" t="str">
        <f t="shared" si="282"/>
        <v>MS</v>
      </c>
    </row>
    <row r="10036" spans="1:6" x14ac:dyDescent="0.25">
      <c r="A10036" t="str">
        <f>"003974021"</f>
        <v>003974021</v>
      </c>
      <c r="B10036" t="str">
        <f>"1083788665"</f>
        <v>1083788665</v>
      </c>
      <c r="C10036" t="str">
        <f>"363L00000X"</f>
        <v>363L00000X</v>
      </c>
      <c r="D10036" t="str">
        <f>"LARY                     VICKI        N           "</f>
        <v xml:space="preserve">LARY                     VICKI        N           </v>
      </c>
      <c r="E10036" t="str">
        <f>"GREENWOOD                 "</f>
        <v xml:space="preserve">GREENWOOD                 </v>
      </c>
      <c r="F10036" t="str">
        <f t="shared" si="282"/>
        <v>MS</v>
      </c>
    </row>
    <row r="10037" spans="1:6" x14ac:dyDescent="0.25">
      <c r="A10037" t="str">
        <f>"003974513"</f>
        <v>003974513</v>
      </c>
      <c r="B10037" t="str">
        <f>"1902001761"</f>
        <v>1902001761</v>
      </c>
      <c r="C10037" t="str">
        <f>"122300000X"</f>
        <v>122300000X</v>
      </c>
      <c r="D10037" t="str">
        <f>"DENTAL CARE OF FLORA PLLC                         "</f>
        <v xml:space="preserve">DENTAL CARE OF FLORA PLLC                         </v>
      </c>
      <c r="E10037" t="str">
        <f>"FLORA                     "</f>
        <v xml:space="preserve">FLORA                     </v>
      </c>
      <c r="F10037" t="str">
        <f t="shared" si="282"/>
        <v>MS</v>
      </c>
    </row>
    <row r="10038" spans="1:6" x14ac:dyDescent="0.25">
      <c r="A10038" t="str">
        <f>"003975094"</f>
        <v>003975094</v>
      </c>
      <c r="B10038" t="str">
        <f>"1609939396"</f>
        <v>1609939396</v>
      </c>
      <c r="C10038" t="str">
        <f>"2085R0202X"</f>
        <v>2085R0202X</v>
      </c>
      <c r="D10038" t="str">
        <f>"VELEZ                    JUAN         A           "</f>
        <v xml:space="preserve">VELEZ                    JUAN         A           </v>
      </c>
      <c r="E10038" t="str">
        <f>"HATTIESBURG               "</f>
        <v xml:space="preserve">HATTIESBURG               </v>
      </c>
      <c r="F10038" t="str">
        <f t="shared" si="282"/>
        <v>MS</v>
      </c>
    </row>
    <row r="10039" spans="1:6" x14ac:dyDescent="0.25">
      <c r="A10039" t="str">
        <f>"003975705"</f>
        <v>003975705</v>
      </c>
      <c r="B10039" t="str">
        <f>"1225190382"</f>
        <v>1225190382</v>
      </c>
      <c r="C10039" t="str">
        <f>"363L00000X"</f>
        <v>363L00000X</v>
      </c>
      <c r="D10039" t="str">
        <f>"BELL                     CHRIS        M           "</f>
        <v xml:space="preserve">BELL                     CHRIS        M           </v>
      </c>
      <c r="E10039" t="str">
        <f>"TUPELO                    "</f>
        <v xml:space="preserve">TUPELO                    </v>
      </c>
      <c r="F10039" t="str">
        <f t="shared" si="282"/>
        <v>MS</v>
      </c>
    </row>
    <row r="10040" spans="1:6" x14ac:dyDescent="0.25">
      <c r="A10040" t="str">
        <f>"003976051"</f>
        <v>003976051</v>
      </c>
      <c r="B10040" t="str">
        <f>"1164978151"</f>
        <v>1164978151</v>
      </c>
      <c r="C10040" t="str">
        <f>"363L00000X"</f>
        <v>363L00000X</v>
      </c>
      <c r="D10040" t="str">
        <f>"BARNES                   CHANELL      C           "</f>
        <v xml:space="preserve">BARNES                   CHANELL      C           </v>
      </c>
      <c r="E10040" t="str">
        <f>"COLUMBUS                  "</f>
        <v xml:space="preserve">COLUMBUS                  </v>
      </c>
      <c r="F10040" t="str">
        <f t="shared" si="282"/>
        <v>MS</v>
      </c>
    </row>
    <row r="10041" spans="1:6" x14ac:dyDescent="0.25">
      <c r="A10041" t="str">
        <f>"003976531"</f>
        <v>003976531</v>
      </c>
      <c r="B10041" t="str">
        <f>"1114256260"</f>
        <v>1114256260</v>
      </c>
      <c r="C10041" t="str">
        <f>"207R00000X"</f>
        <v>207R00000X</v>
      </c>
      <c r="D10041" t="str">
        <f>"MENDOZA                  SHEON        H           "</f>
        <v xml:space="preserve">MENDOZA                  SHEON        H           </v>
      </c>
      <c r="E10041" t="str">
        <f>"JACKSON                   "</f>
        <v xml:space="preserve">JACKSON                   </v>
      </c>
      <c r="F10041" t="str">
        <f t="shared" si="282"/>
        <v>MS</v>
      </c>
    </row>
    <row r="10042" spans="1:6" x14ac:dyDescent="0.25">
      <c r="A10042" t="str">
        <f>"003977505"</f>
        <v>003977505</v>
      </c>
      <c r="B10042" t="str">
        <f>"1255669875"</f>
        <v>1255669875</v>
      </c>
      <c r="C10042" t="str">
        <f>"363L00000X"</f>
        <v>363L00000X</v>
      </c>
      <c r="D10042" t="str">
        <f>"CURLEY                   MEREDITH     B           "</f>
        <v xml:space="preserve">CURLEY                   MEREDITH     B           </v>
      </c>
      <c r="E10042" t="str">
        <f>"JACKSON                   "</f>
        <v xml:space="preserve">JACKSON                   </v>
      </c>
      <c r="F10042" t="str">
        <f t="shared" si="282"/>
        <v>MS</v>
      </c>
    </row>
    <row r="10043" spans="1:6" x14ac:dyDescent="0.25">
      <c r="A10043" t="str">
        <f>"003979791"</f>
        <v>003979791</v>
      </c>
      <c r="B10043" t="str">
        <f>"1790233013"</f>
        <v>1790233013</v>
      </c>
      <c r="C10043" t="str">
        <f>"363L00000X"</f>
        <v>363L00000X</v>
      </c>
      <c r="D10043" t="str">
        <f>"MAJORS                   KELLY                    "</f>
        <v xml:space="preserve">MAJORS                   KELLY                    </v>
      </c>
      <c r="E10043" t="str">
        <f>"BILOXI                    "</f>
        <v xml:space="preserve">BILOXI                    </v>
      </c>
      <c r="F10043" t="str">
        <f t="shared" si="282"/>
        <v>MS</v>
      </c>
    </row>
    <row r="10044" spans="1:6" x14ac:dyDescent="0.25">
      <c r="A10044" t="str">
        <f>"003981524"</f>
        <v>003981524</v>
      </c>
      <c r="B10044" t="str">
        <f>"1437237732"</f>
        <v>1437237732</v>
      </c>
      <c r="C10044" t="str">
        <f>"207RP1001X"</f>
        <v>207RP1001X</v>
      </c>
      <c r="D10044" t="str">
        <f>"WILHELM                  ANDREW       M           "</f>
        <v xml:space="preserve">WILHELM                  ANDREW       M           </v>
      </c>
      <c r="E10044" t="str">
        <f>"JACKSON                   "</f>
        <v xml:space="preserve">JACKSON                   </v>
      </c>
      <c r="F10044" t="str">
        <f t="shared" si="282"/>
        <v>MS</v>
      </c>
    </row>
    <row r="10045" spans="1:6" x14ac:dyDescent="0.25">
      <c r="A10045" t="str">
        <f>"003981525"</f>
        <v>003981525</v>
      </c>
      <c r="B10045" t="str">
        <f>"1033368808"</f>
        <v>1033368808</v>
      </c>
      <c r="C10045" t="str">
        <f>"363L00000X"</f>
        <v>363L00000X</v>
      </c>
      <c r="D10045" t="str">
        <f>"BURWELL                  LISA                     "</f>
        <v xml:space="preserve">BURWELL                  LISA                     </v>
      </c>
      <c r="E10045" t="str">
        <f>"BILOXI                    "</f>
        <v xml:space="preserve">BILOXI                    </v>
      </c>
      <c r="F10045" t="str">
        <f t="shared" si="282"/>
        <v>MS</v>
      </c>
    </row>
    <row r="10046" spans="1:6" x14ac:dyDescent="0.25">
      <c r="A10046" t="str">
        <f>"003981716"</f>
        <v>003981716</v>
      </c>
      <c r="B10046" t="str">
        <f>"1093027385"</f>
        <v>1093027385</v>
      </c>
      <c r="C10046" t="str">
        <f>"207V00000X"</f>
        <v>207V00000X</v>
      </c>
      <c r="D10046" t="str">
        <f>"TURNER                   LINDSEY      M           "</f>
        <v xml:space="preserve">TURNER                   LINDSEY      M           </v>
      </c>
      <c r="E10046" t="str">
        <f>"FLOWOOD                   "</f>
        <v xml:space="preserve">FLOWOOD                   </v>
      </c>
      <c r="F10046" t="str">
        <f t="shared" ref="F10046:F10109" si="283">"MS"</f>
        <v>MS</v>
      </c>
    </row>
    <row r="10047" spans="1:6" x14ac:dyDescent="0.25">
      <c r="A10047" t="str">
        <f>"003981815"</f>
        <v>003981815</v>
      </c>
      <c r="B10047" t="str">
        <f>"1396306957"</f>
        <v>1396306957</v>
      </c>
      <c r="C10047" t="str">
        <f>"363L00000X"</f>
        <v>363L00000X</v>
      </c>
      <c r="D10047" t="str">
        <f>"GRANT                    TACY                     "</f>
        <v xml:space="preserve">GRANT                    TACY                     </v>
      </c>
      <c r="E10047" t="str">
        <f>"AMORY                     "</f>
        <v xml:space="preserve">AMORY                     </v>
      </c>
      <c r="F10047" t="str">
        <f t="shared" si="283"/>
        <v>MS</v>
      </c>
    </row>
    <row r="10048" spans="1:6" x14ac:dyDescent="0.25">
      <c r="A10048" t="str">
        <f>"003982256"</f>
        <v>003982256</v>
      </c>
      <c r="B10048" t="str">
        <f>"1982110136"</f>
        <v>1982110136</v>
      </c>
      <c r="C10048" t="str">
        <f>"261QA0600X"</f>
        <v>261QA0600X</v>
      </c>
      <c r="D10048" t="str">
        <f>"GENUINE CARE ADULT DAY CENTER                     "</f>
        <v xml:space="preserve">GENUINE CARE ADULT DAY CENTER                     </v>
      </c>
      <c r="E10048" t="str">
        <f>"STATE LINE                "</f>
        <v xml:space="preserve">STATE LINE                </v>
      </c>
      <c r="F10048" t="str">
        <f t="shared" si="283"/>
        <v>MS</v>
      </c>
    </row>
    <row r="10049" spans="1:6" x14ac:dyDescent="0.25">
      <c r="A10049" t="str">
        <f>"003982567"</f>
        <v>003982567</v>
      </c>
      <c r="B10049" t="str">
        <f>"1891027702"</f>
        <v>1891027702</v>
      </c>
      <c r="C10049" t="str">
        <f>"363L00000X"</f>
        <v>363L00000X</v>
      </c>
      <c r="D10049" t="str">
        <f>"NUSCHKE                  RACHAEL      C           "</f>
        <v xml:space="preserve">NUSCHKE                  RACHAEL      C           </v>
      </c>
      <c r="E10049" t="str">
        <f>"GULFPORT                  "</f>
        <v xml:space="preserve">GULFPORT                  </v>
      </c>
      <c r="F10049" t="str">
        <f t="shared" si="283"/>
        <v>MS</v>
      </c>
    </row>
    <row r="10050" spans="1:6" x14ac:dyDescent="0.25">
      <c r="A10050" t="str">
        <f>"003982733"</f>
        <v>003982733</v>
      </c>
      <c r="B10050" t="str">
        <f>"1487325551"</f>
        <v>1487325551</v>
      </c>
      <c r="C10050" t="str">
        <f>"363L00000X"</f>
        <v>363L00000X</v>
      </c>
      <c r="D10050" t="str">
        <f>"HORNBY                   SARAH                    "</f>
        <v xml:space="preserve">HORNBY                   SARAH                    </v>
      </c>
      <c r="E10050" t="str">
        <f>"IUKA                      "</f>
        <v xml:space="preserve">IUKA                      </v>
      </c>
      <c r="F10050" t="str">
        <f t="shared" si="283"/>
        <v>MS</v>
      </c>
    </row>
    <row r="10051" spans="1:6" x14ac:dyDescent="0.25">
      <c r="A10051" t="str">
        <f>"003984571"</f>
        <v>003984571</v>
      </c>
      <c r="B10051" t="str">
        <f>"1992758775"</f>
        <v>1992758775</v>
      </c>
      <c r="C10051" t="str">
        <f>"207Q00000X"</f>
        <v>207Q00000X</v>
      </c>
      <c r="D10051" t="str">
        <f>"WARREN                   ANDREA       J           "</f>
        <v xml:space="preserve">WARREN                   ANDREA       J           </v>
      </c>
      <c r="E10051" t="str">
        <f>"PONTOTOC                  "</f>
        <v xml:space="preserve">PONTOTOC                  </v>
      </c>
      <c r="F10051" t="str">
        <f t="shared" si="283"/>
        <v>MS</v>
      </c>
    </row>
    <row r="10052" spans="1:6" x14ac:dyDescent="0.25">
      <c r="A10052" t="str">
        <f>"003986091"</f>
        <v>003986091</v>
      </c>
      <c r="B10052" t="str">
        <f>"1265896229"</f>
        <v>1265896229</v>
      </c>
      <c r="C10052" t="str">
        <f>"208000000X"</f>
        <v>208000000X</v>
      </c>
      <c r="D10052" t="str">
        <f>"SIVILS                   VICTORIA     S           "</f>
        <v xml:space="preserve">SIVILS                   VICTORIA     S           </v>
      </c>
      <c r="E10052" t="str">
        <f>"HATTIESBURG               "</f>
        <v xml:space="preserve">HATTIESBURG               </v>
      </c>
      <c r="F10052" t="str">
        <f t="shared" si="283"/>
        <v>MS</v>
      </c>
    </row>
    <row r="10053" spans="1:6" x14ac:dyDescent="0.25">
      <c r="A10053" t="str">
        <f>"003988081"</f>
        <v>003988081</v>
      </c>
      <c r="B10053" t="str">
        <f>"1265772958"</f>
        <v>1265772958</v>
      </c>
      <c r="C10053" t="str">
        <f>"367500000X"</f>
        <v>367500000X</v>
      </c>
      <c r="D10053" t="str">
        <f>"SALMON                   LINDSEY      D           "</f>
        <v xml:space="preserve">SALMON                   LINDSEY      D           </v>
      </c>
      <c r="E10053" t="str">
        <f>"HATTIESBURG               "</f>
        <v xml:space="preserve">HATTIESBURG               </v>
      </c>
      <c r="F10053" t="str">
        <f t="shared" si="283"/>
        <v>MS</v>
      </c>
    </row>
    <row r="10054" spans="1:6" x14ac:dyDescent="0.25">
      <c r="A10054" t="str">
        <f>"003988310"</f>
        <v>003988310</v>
      </c>
      <c r="B10054" t="str">
        <f>"1669904058"</f>
        <v>1669904058</v>
      </c>
      <c r="C10054" t="str">
        <f>"207P00000X"</f>
        <v>207P00000X</v>
      </c>
      <c r="D10054" t="str">
        <f>"KREBS                    DANIEL       J           "</f>
        <v xml:space="preserve">KREBS                    DANIEL       J           </v>
      </c>
      <c r="E10054" t="str">
        <f>"PASCAGOULA                "</f>
        <v xml:space="preserve">PASCAGOULA                </v>
      </c>
      <c r="F10054" t="str">
        <f t="shared" si="283"/>
        <v>MS</v>
      </c>
    </row>
    <row r="10055" spans="1:6" x14ac:dyDescent="0.25">
      <c r="A10055" t="str">
        <f>"003988890"</f>
        <v>003988890</v>
      </c>
      <c r="B10055" t="str">
        <f>"1811502628"</f>
        <v>1811502628</v>
      </c>
      <c r="C10055" t="str">
        <f>"363L00000X"</f>
        <v>363L00000X</v>
      </c>
      <c r="D10055" t="str">
        <f>"SAUCIER                  HILLARY      P           "</f>
        <v xml:space="preserve">SAUCIER                  HILLARY      P           </v>
      </c>
      <c r="E10055" t="str">
        <f>"PASCAGOULA                "</f>
        <v xml:space="preserve">PASCAGOULA                </v>
      </c>
      <c r="F10055" t="str">
        <f t="shared" si="283"/>
        <v>MS</v>
      </c>
    </row>
    <row r="10056" spans="1:6" x14ac:dyDescent="0.25">
      <c r="A10056" t="str">
        <f>"004000084"</f>
        <v>004000084</v>
      </c>
      <c r="B10056" t="str">
        <f>"1104217017"</f>
        <v>1104217017</v>
      </c>
      <c r="C10056" t="str">
        <f>"363L00000X"</f>
        <v>363L00000X</v>
      </c>
      <c r="D10056" t="str">
        <f>"HANKINS                  ALISIA       C           "</f>
        <v xml:space="preserve">HANKINS                  ALISIA       C           </v>
      </c>
      <c r="E10056" t="str">
        <f>"FLOWOOD                   "</f>
        <v xml:space="preserve">FLOWOOD                   </v>
      </c>
      <c r="F10056" t="str">
        <f t="shared" si="283"/>
        <v>MS</v>
      </c>
    </row>
    <row r="10057" spans="1:6" x14ac:dyDescent="0.25">
      <c r="A10057" t="str">
        <f>"004000391"</f>
        <v>004000391</v>
      </c>
      <c r="B10057" t="str">
        <f>"1962423715"</f>
        <v>1962423715</v>
      </c>
      <c r="C10057" t="str">
        <f>"207LP2900X"</f>
        <v>207LP2900X</v>
      </c>
      <c r="D10057" t="str">
        <f>"PREM                     ANAND        M           "</f>
        <v xml:space="preserve">PREM                     ANAND        M           </v>
      </c>
      <c r="E10057" t="str">
        <f>"JACKSON                   "</f>
        <v xml:space="preserve">JACKSON                   </v>
      </c>
      <c r="F10057" t="str">
        <f t="shared" si="283"/>
        <v>MS</v>
      </c>
    </row>
    <row r="10058" spans="1:6" x14ac:dyDescent="0.25">
      <c r="A10058" t="str">
        <f>"004000545"</f>
        <v>004000545</v>
      </c>
      <c r="B10058" t="str">
        <f>"1588782577"</f>
        <v>1588782577</v>
      </c>
      <c r="C10058" t="str">
        <f>"152W00000X"</f>
        <v>152W00000X</v>
      </c>
      <c r="D10058" t="str">
        <f>"LUCAS                    JACQUELYN    D           "</f>
        <v xml:space="preserve">LUCAS                    JACQUELYN    D           </v>
      </c>
      <c r="E10058" t="str">
        <f>"CLEVELAND                 "</f>
        <v xml:space="preserve">CLEVELAND                 </v>
      </c>
      <c r="F10058" t="str">
        <f t="shared" si="283"/>
        <v>MS</v>
      </c>
    </row>
    <row r="10059" spans="1:6" x14ac:dyDescent="0.25">
      <c r="A10059" t="str">
        <f>"004001036"</f>
        <v>004001036</v>
      </c>
      <c r="B10059" t="str">
        <f>"1770501173"</f>
        <v>1770501173</v>
      </c>
      <c r="C10059" t="str">
        <f>"2084N0400X"</f>
        <v>2084N0400X</v>
      </c>
      <c r="D10059" t="str">
        <f>"OWENS                    WILLIAM      E           "</f>
        <v xml:space="preserve">OWENS                    WILLIAM      E           </v>
      </c>
      <c r="E10059" t="str">
        <f>"CORINTH                   "</f>
        <v xml:space="preserve">CORINTH                   </v>
      </c>
      <c r="F10059" t="str">
        <f t="shared" si="283"/>
        <v>MS</v>
      </c>
    </row>
    <row r="10060" spans="1:6" x14ac:dyDescent="0.25">
      <c r="A10060" t="str">
        <f>"004002201"</f>
        <v>004002201</v>
      </c>
      <c r="B10060" t="str">
        <f>"1326689662"</f>
        <v>1326689662</v>
      </c>
      <c r="C10060" t="str">
        <f>"363L00000X"</f>
        <v>363L00000X</v>
      </c>
      <c r="D10060" t="str">
        <f>"TOLAR                    JESSICA      M           "</f>
        <v xml:space="preserve">TOLAR                    JESSICA      M           </v>
      </c>
      <c r="E10060" t="str">
        <f>"PEARL                     "</f>
        <v xml:space="preserve">PEARL                     </v>
      </c>
      <c r="F10060" t="str">
        <f t="shared" si="283"/>
        <v>MS</v>
      </c>
    </row>
    <row r="10061" spans="1:6" x14ac:dyDescent="0.25">
      <c r="A10061" t="str">
        <f>"004003571"</f>
        <v>004003571</v>
      </c>
      <c r="B10061" t="str">
        <f>"1750720363"</f>
        <v>1750720363</v>
      </c>
      <c r="C10061" t="str">
        <f>"207Q00000X"</f>
        <v>207Q00000X</v>
      </c>
      <c r="D10061" t="str">
        <f>"CHISM                    LAKEISHA     R           "</f>
        <v xml:space="preserve">CHISM                    LAKEISHA     R           </v>
      </c>
      <c r="E10061" t="str">
        <f>"TUPELO                    "</f>
        <v xml:space="preserve">TUPELO                    </v>
      </c>
      <c r="F10061" t="str">
        <f t="shared" si="283"/>
        <v>MS</v>
      </c>
    </row>
    <row r="10062" spans="1:6" x14ac:dyDescent="0.25">
      <c r="A10062" t="str">
        <f>"004004374"</f>
        <v>004004374</v>
      </c>
      <c r="B10062" t="str">
        <f>"1790129021"</f>
        <v>1790129021</v>
      </c>
      <c r="C10062" t="str">
        <f>"207RN0300X"</f>
        <v>207RN0300X</v>
      </c>
      <c r="D10062" t="str">
        <f>"MYLES                    BENITA       J           "</f>
        <v xml:space="preserve">MYLES                    BENITA       J           </v>
      </c>
      <c r="E10062" t="str">
        <f>"JACKSON                   "</f>
        <v xml:space="preserve">JACKSON                   </v>
      </c>
      <c r="F10062" t="str">
        <f t="shared" si="283"/>
        <v>MS</v>
      </c>
    </row>
    <row r="10063" spans="1:6" x14ac:dyDescent="0.25">
      <c r="A10063" t="str">
        <f>"004006062"</f>
        <v>004006062</v>
      </c>
      <c r="B10063" t="str">
        <f>"1912260522"</f>
        <v>1912260522</v>
      </c>
      <c r="C10063" t="str">
        <f>"261QF0400X"</f>
        <v>261QF0400X</v>
      </c>
      <c r="D10063" t="str">
        <f>"JHCHC- WOODROW WILSON                             "</f>
        <v xml:space="preserve">JHCHC- WOODROW WILSON                             </v>
      </c>
      <c r="E10063" t="str">
        <f>"JACKSON                   "</f>
        <v xml:space="preserve">JACKSON                   </v>
      </c>
      <c r="F10063" t="str">
        <f t="shared" si="283"/>
        <v>MS</v>
      </c>
    </row>
    <row r="10064" spans="1:6" x14ac:dyDescent="0.25">
      <c r="A10064" t="str">
        <f>"004007034"</f>
        <v>004007034</v>
      </c>
      <c r="B10064" t="str">
        <f>"1316524838"</f>
        <v>1316524838</v>
      </c>
      <c r="C10064" t="str">
        <f>"2084P0800X"</f>
        <v>2084P0800X</v>
      </c>
      <c r="D10064" t="str">
        <f>"BROWNE                   THEODORA                 "</f>
        <v xml:space="preserve">BROWNE                   THEODORA                 </v>
      </c>
      <c r="E10064" t="str">
        <f>"JACKSON                   "</f>
        <v xml:space="preserve">JACKSON                   </v>
      </c>
      <c r="F10064" t="str">
        <f t="shared" si="283"/>
        <v>MS</v>
      </c>
    </row>
    <row r="10065" spans="1:6" x14ac:dyDescent="0.25">
      <c r="A10065" t="str">
        <f>"004007371"</f>
        <v>004007371</v>
      </c>
      <c r="B10065" t="str">
        <f>"1659641173"</f>
        <v>1659641173</v>
      </c>
      <c r="C10065" t="str">
        <f>"367500000X"</f>
        <v>367500000X</v>
      </c>
      <c r="D10065" t="str">
        <f>"PANTER                   ANNA         C           "</f>
        <v xml:space="preserve">PANTER                   ANNA         C           </v>
      </c>
      <c r="E10065" t="str">
        <f>"JACKSON                   "</f>
        <v xml:space="preserve">JACKSON                   </v>
      </c>
      <c r="F10065" t="str">
        <f t="shared" si="283"/>
        <v>MS</v>
      </c>
    </row>
    <row r="10066" spans="1:6" x14ac:dyDescent="0.25">
      <c r="A10066" t="str">
        <f>"004007824"</f>
        <v>004007824</v>
      </c>
      <c r="B10066" t="str">
        <f>"1316445273"</f>
        <v>1316445273</v>
      </c>
      <c r="C10066" t="str">
        <f>"363A00000X"</f>
        <v>363A00000X</v>
      </c>
      <c r="D10066" t="str">
        <f>"MCCOY                    MEAGAN       M           "</f>
        <v xml:space="preserve">MCCOY                    MEAGAN       M           </v>
      </c>
      <c r="E10066" t="str">
        <f>"GREENVILLE                "</f>
        <v xml:space="preserve">GREENVILLE                </v>
      </c>
      <c r="F10066" t="str">
        <f t="shared" si="283"/>
        <v>MS</v>
      </c>
    </row>
    <row r="10067" spans="1:6" x14ac:dyDescent="0.25">
      <c r="A10067" t="str">
        <f>"004021333"</f>
        <v>004021333</v>
      </c>
      <c r="B10067" t="str">
        <f>"1518052257"</f>
        <v>1518052257</v>
      </c>
      <c r="C10067" t="str">
        <f>"207RP1001X"</f>
        <v>207RP1001X</v>
      </c>
      <c r="D10067" t="str">
        <f>"ABRAHAM                  GEORGE       E           "</f>
        <v xml:space="preserve">ABRAHAM                  GEORGE       E           </v>
      </c>
      <c r="E10067" t="str">
        <f>"JACKSON                   "</f>
        <v xml:space="preserve">JACKSON                   </v>
      </c>
      <c r="F10067" t="str">
        <f t="shared" si="283"/>
        <v>MS</v>
      </c>
    </row>
    <row r="10068" spans="1:6" x14ac:dyDescent="0.25">
      <c r="A10068" t="str">
        <f>"004022584"</f>
        <v>004022584</v>
      </c>
      <c r="B10068" t="str">
        <f>"1649753039"</f>
        <v>1649753039</v>
      </c>
      <c r="C10068" t="str">
        <f>"363L00000X"</f>
        <v>363L00000X</v>
      </c>
      <c r="D10068" t="str">
        <f>"HEDGEPETH                MISTI                    "</f>
        <v xml:space="preserve">HEDGEPETH                MISTI                    </v>
      </c>
      <c r="E10068" t="str">
        <f>"MCCOMB                    "</f>
        <v xml:space="preserve">MCCOMB                    </v>
      </c>
      <c r="F10068" t="str">
        <f t="shared" si="283"/>
        <v>MS</v>
      </c>
    </row>
    <row r="10069" spans="1:6" x14ac:dyDescent="0.25">
      <c r="A10069" t="str">
        <f>"004022858"</f>
        <v>004022858</v>
      </c>
      <c r="B10069" t="str">
        <f>"1821745233"</f>
        <v>1821745233</v>
      </c>
      <c r="C10069" t="str">
        <f>"363L00000X"</f>
        <v>363L00000X</v>
      </c>
      <c r="D10069" t="str">
        <f>"NAEF                     RACHAEL      C           "</f>
        <v xml:space="preserve">NAEF                     RACHAEL      C           </v>
      </c>
      <c r="E10069" t="str">
        <f>"OCEAN SPRINGS             "</f>
        <v xml:space="preserve">OCEAN SPRINGS             </v>
      </c>
      <c r="F10069" t="str">
        <f t="shared" si="283"/>
        <v>MS</v>
      </c>
    </row>
    <row r="10070" spans="1:6" x14ac:dyDescent="0.25">
      <c r="A10070" t="str">
        <f>"004024064"</f>
        <v>004024064</v>
      </c>
      <c r="B10070" t="str">
        <f>"1073946216"</f>
        <v>1073946216</v>
      </c>
      <c r="C10070" t="str">
        <f>"261QA1903X"</f>
        <v>261QA1903X</v>
      </c>
      <c r="D10070" t="str">
        <f>"MADISON PHYSICIAN SURGERY CENTER LL               "</f>
        <v xml:space="preserve">MADISON PHYSICIAN SURGERY CENTER LL               </v>
      </c>
      <c r="E10070" t="str">
        <f>"FLOWOOD                   "</f>
        <v xml:space="preserve">FLOWOOD                   </v>
      </c>
      <c r="F10070" t="str">
        <f t="shared" si="283"/>
        <v>MS</v>
      </c>
    </row>
    <row r="10071" spans="1:6" x14ac:dyDescent="0.25">
      <c r="A10071" t="str">
        <f>"004024382"</f>
        <v>004024382</v>
      </c>
      <c r="B10071" t="str">
        <f>"1780690842"</f>
        <v>1780690842</v>
      </c>
      <c r="C10071" t="str">
        <f>"208D00000X"</f>
        <v>208D00000X</v>
      </c>
      <c r="D10071" t="str">
        <f>"PARKER                   GERALD       L           "</f>
        <v xml:space="preserve">PARKER                   GERALD       L           </v>
      </c>
      <c r="E10071" t="str">
        <f>"AMORY                     "</f>
        <v xml:space="preserve">AMORY                     </v>
      </c>
      <c r="F10071" t="str">
        <f t="shared" si="283"/>
        <v>MS</v>
      </c>
    </row>
    <row r="10072" spans="1:6" x14ac:dyDescent="0.25">
      <c r="A10072" t="str">
        <f>"004024853"</f>
        <v>004024853</v>
      </c>
      <c r="B10072" t="str">
        <f>"1568034502"</f>
        <v>1568034502</v>
      </c>
      <c r="C10072" t="str">
        <f t="shared" ref="C10072:C10077" si="284">"363L00000X"</f>
        <v>363L00000X</v>
      </c>
      <c r="D10072" t="str">
        <f>"JONES                    ANGELA                   "</f>
        <v xml:space="preserve">JONES                    ANGELA                   </v>
      </c>
      <c r="E10072" t="str">
        <f>"MABEN                     "</f>
        <v xml:space="preserve">MABEN                     </v>
      </c>
      <c r="F10072" t="str">
        <f t="shared" si="283"/>
        <v>MS</v>
      </c>
    </row>
    <row r="10073" spans="1:6" x14ac:dyDescent="0.25">
      <c r="A10073" t="str">
        <f>"004025019"</f>
        <v>004025019</v>
      </c>
      <c r="B10073" t="str">
        <f>"1184371452"</f>
        <v>1184371452</v>
      </c>
      <c r="C10073" t="str">
        <f t="shared" si="284"/>
        <v>363L00000X</v>
      </c>
      <c r="D10073" t="str">
        <f>"NICHOLS                  RACHEL                   "</f>
        <v xml:space="preserve">NICHOLS                  RACHEL                   </v>
      </c>
      <c r="E10073" t="str">
        <f>"TUPELO                    "</f>
        <v xml:space="preserve">TUPELO                    </v>
      </c>
      <c r="F10073" t="str">
        <f t="shared" si="283"/>
        <v>MS</v>
      </c>
    </row>
    <row r="10074" spans="1:6" x14ac:dyDescent="0.25">
      <c r="A10074" t="str">
        <f>"004026267"</f>
        <v>004026267</v>
      </c>
      <c r="B10074" t="str">
        <f>"1558670042"</f>
        <v>1558670042</v>
      </c>
      <c r="C10074" t="str">
        <f t="shared" si="284"/>
        <v>363L00000X</v>
      </c>
      <c r="D10074" t="str">
        <f>"MCDANIEL                 JESSICA      S           "</f>
        <v xml:space="preserve">MCDANIEL                 JESSICA      S           </v>
      </c>
      <c r="E10074" t="str">
        <f>"UNION                     "</f>
        <v xml:space="preserve">UNION                     </v>
      </c>
      <c r="F10074" t="str">
        <f t="shared" si="283"/>
        <v>MS</v>
      </c>
    </row>
    <row r="10075" spans="1:6" x14ac:dyDescent="0.25">
      <c r="A10075" t="str">
        <f>"004026349"</f>
        <v>004026349</v>
      </c>
      <c r="B10075" t="str">
        <f>"1396253241"</f>
        <v>1396253241</v>
      </c>
      <c r="C10075" t="str">
        <f t="shared" si="284"/>
        <v>363L00000X</v>
      </c>
      <c r="D10075" t="str">
        <f>"GARDNER                  JULIE        H           "</f>
        <v xml:space="preserve">GARDNER                  JULIE        H           </v>
      </c>
      <c r="E10075" t="str">
        <f>"JACKSON                   "</f>
        <v xml:space="preserve">JACKSON                   </v>
      </c>
      <c r="F10075" t="str">
        <f t="shared" si="283"/>
        <v>MS</v>
      </c>
    </row>
    <row r="10076" spans="1:6" x14ac:dyDescent="0.25">
      <c r="A10076" t="str">
        <f>"004026718"</f>
        <v>004026718</v>
      </c>
      <c r="B10076" t="str">
        <f>"1104241686"</f>
        <v>1104241686</v>
      </c>
      <c r="C10076" t="str">
        <f t="shared" si="284"/>
        <v>363L00000X</v>
      </c>
      <c r="D10076" t="str">
        <f>"RAINES                   CARMEN       R           "</f>
        <v xml:space="preserve">RAINES                   CARMEN       R           </v>
      </c>
      <c r="E10076" t="str">
        <f>"TUPELO                    "</f>
        <v xml:space="preserve">TUPELO                    </v>
      </c>
      <c r="F10076" t="str">
        <f t="shared" si="283"/>
        <v>MS</v>
      </c>
    </row>
    <row r="10077" spans="1:6" x14ac:dyDescent="0.25">
      <c r="A10077" t="str">
        <f>"004027260"</f>
        <v>004027260</v>
      </c>
      <c r="B10077" t="str">
        <f>"1033549076"</f>
        <v>1033549076</v>
      </c>
      <c r="C10077" t="str">
        <f t="shared" si="284"/>
        <v>363L00000X</v>
      </c>
      <c r="D10077" t="str">
        <f>"CASE                     AMY          K           "</f>
        <v xml:space="preserve">CASE                     AMY          K           </v>
      </c>
      <c r="E10077" t="str">
        <f>"BROOKHAVEN                "</f>
        <v xml:space="preserve">BROOKHAVEN                </v>
      </c>
      <c r="F10077" t="str">
        <f t="shared" si="283"/>
        <v>MS</v>
      </c>
    </row>
    <row r="10078" spans="1:6" x14ac:dyDescent="0.25">
      <c r="A10078" t="str">
        <f>"004028766"</f>
        <v>004028766</v>
      </c>
      <c r="B10078" t="str">
        <f>"1518159391"</f>
        <v>1518159391</v>
      </c>
      <c r="C10078" t="str">
        <f>"207R00000X"</f>
        <v>207R00000X</v>
      </c>
      <c r="D10078" t="str">
        <f>"TUREL                    BURGESE      K           "</f>
        <v xml:space="preserve">TUREL                    BURGESE      K           </v>
      </c>
      <c r="E10078" t="str">
        <f>"LAUREL                    "</f>
        <v xml:space="preserve">LAUREL                    </v>
      </c>
      <c r="F10078" t="str">
        <f t="shared" si="283"/>
        <v>MS</v>
      </c>
    </row>
    <row r="10079" spans="1:6" x14ac:dyDescent="0.25">
      <c r="A10079" t="str">
        <f>"004030069"</f>
        <v>004030069</v>
      </c>
      <c r="B10079" t="str">
        <f>"1962668970"</f>
        <v>1962668970</v>
      </c>
      <c r="C10079" t="str">
        <f>"207R00000X"</f>
        <v>207R00000X</v>
      </c>
      <c r="D10079" t="str">
        <f>"OLAOYE                   OLATUNJI                 "</f>
        <v xml:space="preserve">OLAOYE                   OLATUNJI                 </v>
      </c>
      <c r="E10079" t="str">
        <f>"GRENADA                   "</f>
        <v xml:space="preserve">GRENADA                   </v>
      </c>
      <c r="F10079" t="str">
        <f t="shared" si="283"/>
        <v>MS</v>
      </c>
    </row>
    <row r="10080" spans="1:6" x14ac:dyDescent="0.25">
      <c r="A10080" t="str">
        <f>"004030093"</f>
        <v>004030093</v>
      </c>
      <c r="B10080" t="str">
        <f>"1558853366"</f>
        <v>1558853366</v>
      </c>
      <c r="C10080" t="str">
        <f>"363L00000X"</f>
        <v>363L00000X</v>
      </c>
      <c r="D10080" t="str">
        <f>"FREEMAN                  KAREN        G           "</f>
        <v xml:space="preserve">FREEMAN                  KAREN        G           </v>
      </c>
      <c r="E10080" t="str">
        <f>"RIDGELAND                 "</f>
        <v xml:space="preserve">RIDGELAND                 </v>
      </c>
      <c r="F10080" t="str">
        <f t="shared" si="283"/>
        <v>MS</v>
      </c>
    </row>
    <row r="10081" spans="1:6" x14ac:dyDescent="0.25">
      <c r="A10081" t="str">
        <f>"004031224"</f>
        <v>004031224</v>
      </c>
      <c r="B10081" t="str">
        <f>"1386047116"</f>
        <v>1386047116</v>
      </c>
      <c r="C10081" t="str">
        <f>"152W00000X"</f>
        <v>152W00000X</v>
      </c>
      <c r="D10081" t="str">
        <f>"NORRIS                   NICHOLAS     L           "</f>
        <v xml:space="preserve">NORRIS                   NICHOLAS     L           </v>
      </c>
      <c r="E10081" t="str">
        <f>"GREENVILLE                "</f>
        <v xml:space="preserve">GREENVILLE                </v>
      </c>
      <c r="F10081" t="str">
        <f t="shared" si="283"/>
        <v>MS</v>
      </c>
    </row>
    <row r="10082" spans="1:6" x14ac:dyDescent="0.25">
      <c r="A10082" t="str">
        <f>"004031863"</f>
        <v>004031863</v>
      </c>
      <c r="B10082" t="str">
        <f>"1720511264"</f>
        <v>1720511264</v>
      </c>
      <c r="C10082" t="str">
        <f>"152W00000X"</f>
        <v>152W00000X</v>
      </c>
      <c r="D10082" t="str">
        <f>"CURTIS OPTOMETRY GROUP PLLC                       "</f>
        <v xml:space="preserve">CURTIS OPTOMETRY GROUP PLLC                       </v>
      </c>
      <c r="E10082" t="str">
        <f>"COLUMBUS                  "</f>
        <v xml:space="preserve">COLUMBUS                  </v>
      </c>
      <c r="F10082" t="str">
        <f t="shared" si="283"/>
        <v>MS</v>
      </c>
    </row>
    <row r="10083" spans="1:6" x14ac:dyDescent="0.25">
      <c r="A10083" t="str">
        <f>"004032031"</f>
        <v>004032031</v>
      </c>
      <c r="B10083" t="str">
        <f>"1477014983"</f>
        <v>1477014983</v>
      </c>
      <c r="C10083" t="str">
        <f>"207YX0905X"</f>
        <v>207YX0905X</v>
      </c>
      <c r="D10083" t="str">
        <f>"WOOD                     KELSEY       L           "</f>
        <v xml:space="preserve">WOOD                     KELSEY       L           </v>
      </c>
      <c r="E10083" t="str">
        <f>"JACKSON                   "</f>
        <v xml:space="preserve">JACKSON                   </v>
      </c>
      <c r="F10083" t="str">
        <f t="shared" si="283"/>
        <v>MS</v>
      </c>
    </row>
    <row r="10084" spans="1:6" x14ac:dyDescent="0.25">
      <c r="A10084" t="str">
        <f>"004033292"</f>
        <v>004033292</v>
      </c>
      <c r="B10084" t="str">
        <f>"1770689630"</f>
        <v>1770689630</v>
      </c>
      <c r="C10084" t="str">
        <f>"363L00000X"</f>
        <v>363L00000X</v>
      </c>
      <c r="D10084" t="str">
        <f>"CATHEY                   RENE         H           "</f>
        <v xml:space="preserve">CATHEY                   RENE         H           </v>
      </c>
      <c r="E10084" t="str">
        <f>"GULFPORT                  "</f>
        <v xml:space="preserve">GULFPORT                  </v>
      </c>
      <c r="F10084" t="str">
        <f t="shared" si="283"/>
        <v>MS</v>
      </c>
    </row>
    <row r="10085" spans="1:6" x14ac:dyDescent="0.25">
      <c r="A10085" t="str">
        <f>"004033855"</f>
        <v>004033855</v>
      </c>
      <c r="B10085" t="str">
        <f>"1588160980"</f>
        <v>1588160980</v>
      </c>
      <c r="C10085" t="str">
        <f>"208000000X"</f>
        <v>208000000X</v>
      </c>
      <c r="D10085" t="str">
        <f>"WILLIAMS                 BRITNEY      N           "</f>
        <v xml:space="preserve">WILLIAMS                 BRITNEY      N           </v>
      </c>
      <c r="E10085" t="str">
        <f>"EUPORA                    "</f>
        <v xml:space="preserve">EUPORA                    </v>
      </c>
      <c r="F10085" t="str">
        <f t="shared" si="283"/>
        <v>MS</v>
      </c>
    </row>
    <row r="10086" spans="1:6" x14ac:dyDescent="0.25">
      <c r="A10086" t="str">
        <f>"004034108"</f>
        <v>004034108</v>
      </c>
      <c r="B10086" t="str">
        <f>"1114288305"</f>
        <v>1114288305</v>
      </c>
      <c r="C10086" t="str">
        <f>"363L00000X"</f>
        <v>363L00000X</v>
      </c>
      <c r="D10086" t="str">
        <f>"SHAPIN                   MELANIE                  "</f>
        <v xml:space="preserve">SHAPIN                   MELANIE                  </v>
      </c>
      <c r="E10086" t="str">
        <f>"JACKSON                   "</f>
        <v xml:space="preserve">JACKSON                   </v>
      </c>
      <c r="F10086" t="str">
        <f t="shared" si="283"/>
        <v>MS</v>
      </c>
    </row>
    <row r="10087" spans="1:6" x14ac:dyDescent="0.25">
      <c r="A10087" t="str">
        <f>"004034271"</f>
        <v>004034271</v>
      </c>
      <c r="B10087" t="str">
        <f>"1174964530"</f>
        <v>1174964530</v>
      </c>
      <c r="C10087" t="str">
        <f>"122300000X"</f>
        <v>122300000X</v>
      </c>
      <c r="D10087" t="str">
        <f>"SOUTH MISSISSIPPI SMILES DENISTRY L               "</f>
        <v xml:space="preserve">SOUTH MISSISSIPPI SMILES DENISTRY L               </v>
      </c>
      <c r="E10087" t="str">
        <f>"GULFPORT                  "</f>
        <v xml:space="preserve">GULFPORT                  </v>
      </c>
      <c r="F10087" t="str">
        <f t="shared" si="283"/>
        <v>MS</v>
      </c>
    </row>
    <row r="10088" spans="1:6" x14ac:dyDescent="0.25">
      <c r="A10088" t="str">
        <f>"004035541"</f>
        <v>004035541</v>
      </c>
      <c r="B10088" t="str">
        <f>"1285833608"</f>
        <v>1285833608</v>
      </c>
      <c r="C10088" t="str">
        <f>"207RX0202X"</f>
        <v>207RX0202X</v>
      </c>
      <c r="D10088" t="str">
        <f>"MEHTA                    DIVYANG      D           "</f>
        <v xml:space="preserve">MEHTA                    DIVYANG      D           </v>
      </c>
      <c r="E10088" t="str">
        <f>"NATCHEZ                   "</f>
        <v xml:space="preserve">NATCHEZ                   </v>
      </c>
      <c r="F10088" t="str">
        <f t="shared" si="283"/>
        <v>MS</v>
      </c>
    </row>
    <row r="10089" spans="1:6" x14ac:dyDescent="0.25">
      <c r="A10089" t="str">
        <f>"004036718"</f>
        <v>004036718</v>
      </c>
      <c r="B10089" t="str">
        <f>"1780610444"</f>
        <v>1780610444</v>
      </c>
      <c r="C10089" t="str">
        <f>"207Q00000X"</f>
        <v>207Q00000X</v>
      </c>
      <c r="D10089" t="str">
        <f>"CISSE                    SALOUM                   "</f>
        <v xml:space="preserve">CISSE                    SALOUM                   </v>
      </c>
      <c r="E10089" t="str">
        <f>"NATCHEZ                   "</f>
        <v xml:space="preserve">NATCHEZ                   </v>
      </c>
      <c r="F10089" t="str">
        <f t="shared" si="283"/>
        <v>MS</v>
      </c>
    </row>
    <row r="10090" spans="1:6" x14ac:dyDescent="0.25">
      <c r="A10090" t="str">
        <f>"004036782"</f>
        <v>004036782</v>
      </c>
      <c r="B10090" t="str">
        <f>"1013145499"</f>
        <v>1013145499</v>
      </c>
      <c r="C10090" t="str">
        <f>"367500000X"</f>
        <v>367500000X</v>
      </c>
      <c r="D10090" t="str">
        <f>"HALL                     MARY         A           "</f>
        <v xml:space="preserve">HALL                     MARY         A           </v>
      </c>
      <c r="E10090" t="str">
        <f>"CORINTH                   "</f>
        <v xml:space="preserve">CORINTH                   </v>
      </c>
      <c r="F10090" t="str">
        <f t="shared" si="283"/>
        <v>MS</v>
      </c>
    </row>
    <row r="10091" spans="1:6" x14ac:dyDescent="0.25">
      <c r="A10091" t="str">
        <f>"004037366"</f>
        <v>004037366</v>
      </c>
      <c r="B10091" t="str">
        <f>"1538753215"</f>
        <v>1538753215</v>
      </c>
      <c r="C10091" t="str">
        <f>"363L00000X"</f>
        <v>363L00000X</v>
      </c>
      <c r="D10091" t="str">
        <f>"STRINGER                 JENNIFER     L           "</f>
        <v xml:space="preserve">STRINGER                 JENNIFER     L           </v>
      </c>
      <c r="E10091" t="str">
        <f>"MCCOMB                    "</f>
        <v xml:space="preserve">MCCOMB                    </v>
      </c>
      <c r="F10091" t="str">
        <f t="shared" si="283"/>
        <v>MS</v>
      </c>
    </row>
    <row r="10092" spans="1:6" x14ac:dyDescent="0.25">
      <c r="A10092" t="str">
        <f>"004038343"</f>
        <v>004038343</v>
      </c>
      <c r="B10092" t="str">
        <f>"1508267691"</f>
        <v>1508267691</v>
      </c>
      <c r="C10092" t="str">
        <f>"122300000X"</f>
        <v>122300000X</v>
      </c>
      <c r="D10092" t="str">
        <f>"GARNER DENTAL PLLC                                "</f>
        <v xml:space="preserve">GARNER DENTAL PLLC                                </v>
      </c>
      <c r="E10092" t="str">
        <f>"HATTIESBURG               "</f>
        <v xml:space="preserve">HATTIESBURG               </v>
      </c>
      <c r="F10092" t="str">
        <f t="shared" si="283"/>
        <v>MS</v>
      </c>
    </row>
    <row r="10093" spans="1:6" x14ac:dyDescent="0.25">
      <c r="A10093" t="str">
        <f>"004038362"</f>
        <v>004038362</v>
      </c>
      <c r="B10093" t="str">
        <f>"1154684363"</f>
        <v>1154684363</v>
      </c>
      <c r="C10093" t="str">
        <f>"363L00000X"</f>
        <v>363L00000X</v>
      </c>
      <c r="D10093" t="str">
        <f>"FEWELL                   KELLI        S           "</f>
        <v xml:space="preserve">FEWELL                   KELLI        S           </v>
      </c>
      <c r="E10093" t="str">
        <f>"MAGEE                     "</f>
        <v xml:space="preserve">MAGEE                     </v>
      </c>
      <c r="F10093" t="str">
        <f t="shared" si="283"/>
        <v>MS</v>
      </c>
    </row>
    <row r="10094" spans="1:6" x14ac:dyDescent="0.25">
      <c r="A10094" t="str">
        <f>"004050575"</f>
        <v>004050575</v>
      </c>
      <c r="B10094" t="str">
        <f>"1568867455"</f>
        <v>1568867455</v>
      </c>
      <c r="C10094" t="str">
        <f>"363L00000X"</f>
        <v>363L00000X</v>
      </c>
      <c r="D10094" t="str">
        <f>"BINGHAM                  KAYLORA      L           "</f>
        <v xml:space="preserve">BINGHAM                  KAYLORA      L           </v>
      </c>
      <c r="E10094" t="str">
        <f>"HATTIESBURG               "</f>
        <v xml:space="preserve">HATTIESBURG               </v>
      </c>
      <c r="F10094" t="str">
        <f t="shared" si="283"/>
        <v>MS</v>
      </c>
    </row>
    <row r="10095" spans="1:6" x14ac:dyDescent="0.25">
      <c r="A10095" t="str">
        <f>"004050870"</f>
        <v>004050870</v>
      </c>
      <c r="B10095" t="str">
        <f>"1134349699"</f>
        <v>1134349699</v>
      </c>
      <c r="C10095" t="str">
        <f>"363L00000X"</f>
        <v>363L00000X</v>
      </c>
      <c r="D10095" t="str">
        <f>"WADE                     JENNIFER     E           "</f>
        <v xml:space="preserve">WADE                     JENNIFER     E           </v>
      </c>
      <c r="E10095" t="str">
        <f>"CALHOUN CITY              "</f>
        <v xml:space="preserve">CALHOUN CITY              </v>
      </c>
      <c r="F10095" t="str">
        <f t="shared" si="283"/>
        <v>MS</v>
      </c>
    </row>
    <row r="10096" spans="1:6" x14ac:dyDescent="0.25">
      <c r="A10096" t="str">
        <f>"004053310"</f>
        <v>004053310</v>
      </c>
      <c r="B10096" t="str">
        <f>"1699935908"</f>
        <v>1699935908</v>
      </c>
      <c r="C10096" t="str">
        <f>"207P00000X"</f>
        <v>207P00000X</v>
      </c>
      <c r="D10096" t="str">
        <f>"HUNTER                   STEPHEN      E           "</f>
        <v xml:space="preserve">HUNTER                   STEPHEN      E           </v>
      </c>
      <c r="E10096" t="str">
        <f>"LOUISVILLE                "</f>
        <v xml:space="preserve">LOUISVILLE                </v>
      </c>
      <c r="F10096" t="str">
        <f t="shared" si="283"/>
        <v>MS</v>
      </c>
    </row>
    <row r="10097" spans="1:6" x14ac:dyDescent="0.25">
      <c r="A10097" t="str">
        <f>"004054207"</f>
        <v>004054207</v>
      </c>
      <c r="B10097" t="str">
        <f>"1639345697"</f>
        <v>1639345697</v>
      </c>
      <c r="C10097" t="str">
        <f>"261QM1300X"</f>
        <v>261QM1300X</v>
      </c>
      <c r="D10097" t="str">
        <f>"PARKWOOD BEHAVIORAL HEALTH SYSTEM                 "</f>
        <v xml:space="preserve">PARKWOOD BEHAVIORAL HEALTH SYSTEM                 </v>
      </c>
      <c r="E10097" t="str">
        <f>"OLIVE BRANCH              "</f>
        <v xml:space="preserve">OLIVE BRANCH              </v>
      </c>
      <c r="F10097" t="str">
        <f t="shared" si="283"/>
        <v>MS</v>
      </c>
    </row>
    <row r="10098" spans="1:6" x14ac:dyDescent="0.25">
      <c r="A10098" t="str">
        <f>"004054262"</f>
        <v>004054262</v>
      </c>
      <c r="B10098" t="str">
        <f>"1053508622"</f>
        <v>1053508622</v>
      </c>
      <c r="C10098" t="str">
        <f>"122300000X"</f>
        <v>122300000X</v>
      </c>
      <c r="D10098" t="str">
        <f>"PERKINS                  JESSICA      H           "</f>
        <v xml:space="preserve">PERKINS                  JESSICA      H           </v>
      </c>
      <c r="E10098" t="str">
        <f>"NEW ALBANY                "</f>
        <v xml:space="preserve">NEW ALBANY                </v>
      </c>
      <c r="F10098" t="str">
        <f t="shared" si="283"/>
        <v>MS</v>
      </c>
    </row>
    <row r="10099" spans="1:6" x14ac:dyDescent="0.25">
      <c r="A10099" t="str">
        <f>"004056301"</f>
        <v>004056301</v>
      </c>
      <c r="B10099" t="str">
        <f>"1700815321"</f>
        <v>1700815321</v>
      </c>
      <c r="C10099" t="str">
        <f>"207RN0300X"</f>
        <v>207RN0300X</v>
      </c>
      <c r="D10099" t="str">
        <f>"JOHNSON                  HOLLYE       R           "</f>
        <v xml:space="preserve">JOHNSON                  HOLLYE       R           </v>
      </c>
      <c r="E10099" t="str">
        <f>"JACKSON                   "</f>
        <v xml:space="preserve">JACKSON                   </v>
      </c>
      <c r="F10099" t="str">
        <f t="shared" si="283"/>
        <v>MS</v>
      </c>
    </row>
    <row r="10100" spans="1:6" x14ac:dyDescent="0.25">
      <c r="A10100" t="str">
        <f>"004057773"</f>
        <v>004057773</v>
      </c>
      <c r="B10100" t="str">
        <f>"1336504778"</f>
        <v>1336504778</v>
      </c>
      <c r="C10100" t="str">
        <f>"363A00000X"</f>
        <v>363A00000X</v>
      </c>
      <c r="D10100" t="str">
        <f>"BEASLEY                  TIA          M           "</f>
        <v xml:space="preserve">BEASLEY                  TIA          M           </v>
      </c>
      <c r="E10100" t="str">
        <f>"SOUTHAVEN                 "</f>
        <v xml:space="preserve">SOUTHAVEN                 </v>
      </c>
      <c r="F10100" t="str">
        <f t="shared" si="283"/>
        <v>MS</v>
      </c>
    </row>
    <row r="10101" spans="1:6" x14ac:dyDescent="0.25">
      <c r="A10101" t="str">
        <f>"004058200"</f>
        <v>004058200</v>
      </c>
      <c r="B10101" t="str">
        <f>"1306305487"</f>
        <v>1306305487</v>
      </c>
      <c r="C10101" t="str">
        <f>"363L00000X"</f>
        <v>363L00000X</v>
      </c>
      <c r="D10101" t="str">
        <f>"HARTLEY                  LOLITA                   "</f>
        <v xml:space="preserve">HARTLEY                  LOLITA                   </v>
      </c>
      <c r="E10101" t="str">
        <f>"JACKSON                   "</f>
        <v xml:space="preserve">JACKSON                   </v>
      </c>
      <c r="F10101" t="str">
        <f t="shared" si="283"/>
        <v>MS</v>
      </c>
    </row>
    <row r="10102" spans="1:6" x14ac:dyDescent="0.25">
      <c r="A10102" t="str">
        <f>"004058351"</f>
        <v>004058351</v>
      </c>
      <c r="B10102" t="str">
        <f>"1801072632"</f>
        <v>1801072632</v>
      </c>
      <c r="C10102" t="str">
        <f>"2085R0202X"</f>
        <v>2085R0202X</v>
      </c>
      <c r="D10102" t="str">
        <f>"TIDWELL                  WILLIAM      D           "</f>
        <v xml:space="preserve">TIDWELL                  WILLIAM      D           </v>
      </c>
      <c r="E10102" t="str">
        <f>"CORINTH                   "</f>
        <v xml:space="preserve">CORINTH                   </v>
      </c>
      <c r="F10102" t="str">
        <f t="shared" si="283"/>
        <v>MS</v>
      </c>
    </row>
    <row r="10103" spans="1:6" x14ac:dyDescent="0.25">
      <c r="A10103" t="str">
        <f>"004058741"</f>
        <v>004058741</v>
      </c>
      <c r="B10103" t="str">
        <f>"1740637230"</f>
        <v>1740637230</v>
      </c>
      <c r="C10103" t="str">
        <f>"261QE0700X"</f>
        <v>261QE0700X</v>
      </c>
      <c r="D10103" t="str">
        <f>"WEST HATTIESBURG CLINIC DIALYSIS                  "</f>
        <v xml:space="preserve">WEST HATTIESBURG CLINIC DIALYSIS                  </v>
      </c>
      <c r="E10103" t="str">
        <f>"HATTIESBURG               "</f>
        <v xml:space="preserve">HATTIESBURG               </v>
      </c>
      <c r="F10103" t="str">
        <f t="shared" si="283"/>
        <v>MS</v>
      </c>
    </row>
    <row r="10104" spans="1:6" x14ac:dyDescent="0.25">
      <c r="A10104" t="str">
        <f>"004071379"</f>
        <v>004071379</v>
      </c>
      <c r="B10104" t="str">
        <f>"1245763424"</f>
        <v>1245763424</v>
      </c>
      <c r="C10104" t="str">
        <f>"207P00000X"</f>
        <v>207P00000X</v>
      </c>
      <c r="D10104" t="str">
        <f>"REGAN                    ABBY         R           "</f>
        <v xml:space="preserve">REGAN                    ABBY         R           </v>
      </c>
      <c r="E10104" t="str">
        <f>"OCEAN SPRINGS             "</f>
        <v xml:space="preserve">OCEAN SPRINGS             </v>
      </c>
      <c r="F10104" t="str">
        <f t="shared" si="283"/>
        <v>MS</v>
      </c>
    </row>
    <row r="10105" spans="1:6" x14ac:dyDescent="0.25">
      <c r="A10105" t="str">
        <f>"004073558"</f>
        <v>004073558</v>
      </c>
      <c r="B10105" t="str">
        <f>"1629301106"</f>
        <v>1629301106</v>
      </c>
      <c r="C10105" t="str">
        <f>"363L00000X"</f>
        <v>363L00000X</v>
      </c>
      <c r="D10105" t="str">
        <f>"SLUDER                   VANESSA      K           "</f>
        <v xml:space="preserve">SLUDER                   VANESSA      K           </v>
      </c>
      <c r="E10105" t="str">
        <f>"SENATOBIA                 "</f>
        <v xml:space="preserve">SENATOBIA                 </v>
      </c>
      <c r="F10105" t="str">
        <f t="shared" si="283"/>
        <v>MS</v>
      </c>
    </row>
    <row r="10106" spans="1:6" x14ac:dyDescent="0.25">
      <c r="A10106" t="str">
        <f>"004076806"</f>
        <v>004076806</v>
      </c>
      <c r="B10106" t="str">
        <f>"1073072013"</f>
        <v>1073072013</v>
      </c>
      <c r="C10106" t="str">
        <f>"261QM1300X"</f>
        <v>261QM1300X</v>
      </c>
      <c r="D10106" t="str">
        <f>"DAVIS THERAPEUTIC SERVICES LLC                    "</f>
        <v xml:space="preserve">DAVIS THERAPEUTIC SERVICES LLC                    </v>
      </c>
      <c r="E10106" t="str">
        <f>"FLOWOOD                   "</f>
        <v xml:space="preserve">FLOWOOD                   </v>
      </c>
      <c r="F10106" t="str">
        <f t="shared" si="283"/>
        <v>MS</v>
      </c>
    </row>
    <row r="10107" spans="1:6" x14ac:dyDescent="0.25">
      <c r="A10107" t="str">
        <f>"004077095"</f>
        <v>004077095</v>
      </c>
      <c r="B10107" t="str">
        <f>"1538558473"</f>
        <v>1538558473</v>
      </c>
      <c r="C10107" t="str">
        <f>"363L00000X"</f>
        <v>363L00000X</v>
      </c>
      <c r="D10107" t="str">
        <f>"MITCHELL                 SUMMER       G           "</f>
        <v xml:space="preserve">MITCHELL                 SUMMER       G           </v>
      </c>
      <c r="E10107" t="str">
        <f>"JACKSON                   "</f>
        <v xml:space="preserve">JACKSON                   </v>
      </c>
      <c r="F10107" t="str">
        <f t="shared" si="283"/>
        <v>MS</v>
      </c>
    </row>
    <row r="10108" spans="1:6" x14ac:dyDescent="0.25">
      <c r="A10108" t="str">
        <f>"004078078"</f>
        <v>004078078</v>
      </c>
      <c r="B10108" t="str">
        <f>"1508876772"</f>
        <v>1508876772</v>
      </c>
      <c r="C10108" t="str">
        <f>"207RN0300X"</f>
        <v>207RN0300X</v>
      </c>
      <c r="D10108" t="str">
        <f>"SEIGERMAN                JEDD         A           "</f>
        <v xml:space="preserve">SEIGERMAN                JEDD         A           </v>
      </c>
      <c r="E10108" t="str">
        <f>"GULFPORT                  "</f>
        <v xml:space="preserve">GULFPORT                  </v>
      </c>
      <c r="F10108" t="str">
        <f t="shared" si="283"/>
        <v>MS</v>
      </c>
    </row>
    <row r="10109" spans="1:6" x14ac:dyDescent="0.25">
      <c r="A10109" t="str">
        <f>"004078224"</f>
        <v>004078224</v>
      </c>
      <c r="B10109" t="str">
        <f>"1013999515"</f>
        <v>1013999515</v>
      </c>
      <c r="C10109" t="str">
        <f>"208000000X"</f>
        <v>208000000X</v>
      </c>
      <c r="D10109" t="str">
        <f>"GILMORE                  GAIL                     "</f>
        <v xml:space="preserve">GILMORE                  GAIL                     </v>
      </c>
      <c r="E10109" t="str">
        <f>"CLARKSDALE                "</f>
        <v xml:space="preserve">CLARKSDALE                </v>
      </c>
      <c r="F10109" t="str">
        <f t="shared" si="283"/>
        <v>MS</v>
      </c>
    </row>
    <row r="10110" spans="1:6" x14ac:dyDescent="0.25">
      <c r="A10110" t="str">
        <f>"004079546"</f>
        <v>004079546</v>
      </c>
      <c r="B10110" t="str">
        <f>"1649688912"</f>
        <v>1649688912</v>
      </c>
      <c r="C10110" t="str">
        <f>"363L00000X"</f>
        <v>363L00000X</v>
      </c>
      <c r="D10110" t="str">
        <f>"SEAL                     ELIZABETH    A           "</f>
        <v xml:space="preserve">SEAL                     ELIZABETH    A           </v>
      </c>
      <c r="E10110" t="str">
        <f>"GULFPORT                  "</f>
        <v xml:space="preserve">GULFPORT                  </v>
      </c>
      <c r="F10110" t="str">
        <f t="shared" ref="F10110:F10173" si="285">"MS"</f>
        <v>MS</v>
      </c>
    </row>
    <row r="10111" spans="1:6" x14ac:dyDescent="0.25">
      <c r="A10111" t="str">
        <f>"004080214"</f>
        <v>004080214</v>
      </c>
      <c r="B10111" t="str">
        <f>"1952910457"</f>
        <v>1952910457</v>
      </c>
      <c r="C10111" t="str">
        <f>"261QE0700X"</f>
        <v>261QE0700X</v>
      </c>
      <c r="D10111" t="str">
        <f>"FRESENIUS KIDNEY CARE EAST MCCOMB                 "</f>
        <v xml:space="preserve">FRESENIUS KIDNEY CARE EAST MCCOMB                 </v>
      </c>
      <c r="E10111" t="str">
        <f>"MCCOMB                    "</f>
        <v xml:space="preserve">MCCOMB                    </v>
      </c>
      <c r="F10111" t="str">
        <f t="shared" si="285"/>
        <v>MS</v>
      </c>
    </row>
    <row r="10112" spans="1:6" x14ac:dyDescent="0.25">
      <c r="A10112" t="str">
        <f>"004085534"</f>
        <v>004085534</v>
      </c>
      <c r="B10112" t="str">
        <f>"1396056784"</f>
        <v>1396056784</v>
      </c>
      <c r="C10112" t="str">
        <f>"207X00000X"</f>
        <v>207X00000X</v>
      </c>
      <c r="D10112" t="str">
        <f>"MOSS                     JAMES        A           "</f>
        <v xml:space="preserve">MOSS                     JAMES        A           </v>
      </c>
      <c r="E10112" t="str">
        <f>"JACKSON                   "</f>
        <v xml:space="preserve">JACKSON                   </v>
      </c>
      <c r="F10112" t="str">
        <f t="shared" si="285"/>
        <v>MS</v>
      </c>
    </row>
    <row r="10113" spans="1:6" x14ac:dyDescent="0.25">
      <c r="A10113" t="str">
        <f>"004087801"</f>
        <v>004087801</v>
      </c>
      <c r="B10113" t="str">
        <f>"1689619934"</f>
        <v>1689619934</v>
      </c>
      <c r="C10113" t="str">
        <f>"261QF0400X"</f>
        <v>261QF0400X</v>
      </c>
      <c r="D10113" t="str">
        <f>"RAWLS SPRINGS ATTENDANCE CENTER                   "</f>
        <v xml:space="preserve">RAWLS SPRINGS ATTENDANCE CENTER                   </v>
      </c>
      <c r="E10113" t="str">
        <f>"HATTIESBURG               "</f>
        <v xml:space="preserve">HATTIESBURG               </v>
      </c>
      <c r="F10113" t="str">
        <f t="shared" si="285"/>
        <v>MS</v>
      </c>
    </row>
    <row r="10114" spans="1:6" x14ac:dyDescent="0.25">
      <c r="A10114" t="str">
        <f>"004088316"</f>
        <v>004088316</v>
      </c>
      <c r="B10114" t="str">
        <f>"1942778311"</f>
        <v>1942778311</v>
      </c>
      <c r="C10114" t="str">
        <f>"363L00000X"</f>
        <v>363L00000X</v>
      </c>
      <c r="D10114" t="str">
        <f>"MOONEY                   BOBBIE       E           "</f>
        <v xml:space="preserve">MOONEY                   BOBBIE       E           </v>
      </c>
      <c r="E10114" t="str">
        <f>"CARTHAGE                  "</f>
        <v xml:space="preserve">CARTHAGE                  </v>
      </c>
      <c r="F10114" t="str">
        <f t="shared" si="285"/>
        <v>MS</v>
      </c>
    </row>
    <row r="10115" spans="1:6" x14ac:dyDescent="0.25">
      <c r="A10115" t="str">
        <f>"004088365"</f>
        <v>004088365</v>
      </c>
      <c r="B10115" t="str">
        <f>"1477564664"</f>
        <v>1477564664</v>
      </c>
      <c r="C10115" t="str">
        <f>"2084P0800X"</f>
        <v>2084P0800X</v>
      </c>
      <c r="D10115" t="str">
        <f>"REEVES                   ROY          R           "</f>
        <v xml:space="preserve">REEVES                   ROY          R           </v>
      </c>
      <c r="E10115" t="str">
        <f>"POPLARVILLE               "</f>
        <v xml:space="preserve">POPLARVILLE               </v>
      </c>
      <c r="F10115" t="str">
        <f t="shared" si="285"/>
        <v>MS</v>
      </c>
    </row>
    <row r="10116" spans="1:6" x14ac:dyDescent="0.25">
      <c r="A10116" t="str">
        <f>"004088806"</f>
        <v>004088806</v>
      </c>
      <c r="B10116" t="str">
        <f>"1902471006"</f>
        <v>1902471006</v>
      </c>
      <c r="C10116" t="str">
        <f>"363L00000X"</f>
        <v>363L00000X</v>
      </c>
      <c r="D10116" t="str">
        <f>"REDD                     ERIKA        D           "</f>
        <v xml:space="preserve">REDD                     ERIKA        D           </v>
      </c>
      <c r="E10116" t="str">
        <f>"RIDGELAND                 "</f>
        <v xml:space="preserve">RIDGELAND                 </v>
      </c>
      <c r="F10116" t="str">
        <f t="shared" si="285"/>
        <v>MS</v>
      </c>
    </row>
    <row r="10117" spans="1:6" x14ac:dyDescent="0.25">
      <c r="A10117" t="str">
        <f>"004103575"</f>
        <v>004103575</v>
      </c>
      <c r="B10117" t="str">
        <f>"1700983285"</f>
        <v>1700983285</v>
      </c>
      <c r="C10117" t="str">
        <f>"363L00000X"</f>
        <v>363L00000X</v>
      </c>
      <c r="D10117" t="str">
        <f>"TINSLEY                  KENNETH      B           "</f>
        <v xml:space="preserve">TINSLEY                  KENNETH      B           </v>
      </c>
      <c r="E10117" t="str">
        <f>"JACKSON                   "</f>
        <v xml:space="preserve">JACKSON                   </v>
      </c>
      <c r="F10117" t="str">
        <f t="shared" si="285"/>
        <v>MS</v>
      </c>
    </row>
    <row r="10118" spans="1:6" x14ac:dyDescent="0.25">
      <c r="A10118" t="str">
        <f>"004103589"</f>
        <v>004103589</v>
      </c>
      <c r="B10118" t="str">
        <f>"1336266550"</f>
        <v>1336266550</v>
      </c>
      <c r="C10118" t="str">
        <f>"363L00000X"</f>
        <v>363L00000X</v>
      </c>
      <c r="D10118" t="str">
        <f>"ENLOW                    TARA         B           "</f>
        <v xml:space="preserve">ENLOW                    TARA         B           </v>
      </c>
      <c r="E10118" t="str">
        <f>"FULTON                    "</f>
        <v xml:space="preserve">FULTON                    </v>
      </c>
      <c r="F10118" t="str">
        <f t="shared" si="285"/>
        <v>MS</v>
      </c>
    </row>
    <row r="10119" spans="1:6" x14ac:dyDescent="0.25">
      <c r="A10119" t="str">
        <f>"004103763"</f>
        <v>004103763</v>
      </c>
      <c r="B10119" t="str">
        <f>"1194733543"</f>
        <v>1194733543</v>
      </c>
      <c r="C10119" t="str">
        <f>"207W00000X"</f>
        <v>207W00000X</v>
      </c>
      <c r="D10119" t="str">
        <f>"COOLEY                   CHRISTOPHER  L           "</f>
        <v xml:space="preserve">COOLEY                   CHRISTOPHER  L           </v>
      </c>
      <c r="E10119" t="str">
        <f>"HATTIESBURG               "</f>
        <v xml:space="preserve">HATTIESBURG               </v>
      </c>
      <c r="F10119" t="str">
        <f t="shared" si="285"/>
        <v>MS</v>
      </c>
    </row>
    <row r="10120" spans="1:6" x14ac:dyDescent="0.25">
      <c r="A10120" t="str">
        <f>"004105062"</f>
        <v>004105062</v>
      </c>
      <c r="B10120" t="str">
        <f>"1972936219"</f>
        <v>1972936219</v>
      </c>
      <c r="C10120" t="str">
        <f>"367500000X"</f>
        <v>367500000X</v>
      </c>
      <c r="D10120" t="str">
        <f>"MARCIANTE                JENNA                    "</f>
        <v xml:space="preserve">MARCIANTE                JENNA                    </v>
      </c>
      <c r="E10120" t="str">
        <f>"GULFPORT                  "</f>
        <v xml:space="preserve">GULFPORT                  </v>
      </c>
      <c r="F10120" t="str">
        <f t="shared" si="285"/>
        <v>MS</v>
      </c>
    </row>
    <row r="10121" spans="1:6" x14ac:dyDescent="0.25">
      <c r="A10121" t="str">
        <f>"004105300"</f>
        <v>004105300</v>
      </c>
      <c r="B10121" t="str">
        <f>"1992063846"</f>
        <v>1992063846</v>
      </c>
      <c r="C10121" t="str">
        <f>"363L00000X"</f>
        <v>363L00000X</v>
      </c>
      <c r="D10121" t="str">
        <f>"RICHARDSON HARVEY        DANA         S           "</f>
        <v xml:space="preserve">RICHARDSON HARVEY        DANA         S           </v>
      </c>
      <c r="E10121" t="str">
        <f>"GULFPORT                  "</f>
        <v xml:space="preserve">GULFPORT                  </v>
      </c>
      <c r="F10121" t="str">
        <f t="shared" si="285"/>
        <v>MS</v>
      </c>
    </row>
    <row r="10122" spans="1:6" x14ac:dyDescent="0.25">
      <c r="A10122" t="str">
        <f>"004106368"</f>
        <v>004106368</v>
      </c>
      <c r="B10122" t="str">
        <f>"1013330299"</f>
        <v>1013330299</v>
      </c>
      <c r="C10122" t="str">
        <f>"363L00000X"</f>
        <v>363L00000X</v>
      </c>
      <c r="D10122" t="str">
        <f>"WOODRUFF                 ANNA         D           "</f>
        <v xml:space="preserve">WOODRUFF                 ANNA         D           </v>
      </c>
      <c r="E10122" t="str">
        <f>"TUPELO                    "</f>
        <v xml:space="preserve">TUPELO                    </v>
      </c>
      <c r="F10122" t="str">
        <f t="shared" si="285"/>
        <v>MS</v>
      </c>
    </row>
    <row r="10123" spans="1:6" x14ac:dyDescent="0.25">
      <c r="A10123" t="str">
        <f>"004106554"</f>
        <v>004106554</v>
      </c>
      <c r="B10123" t="str">
        <f>"1427156637"</f>
        <v>1427156637</v>
      </c>
      <c r="C10123" t="str">
        <f>"207W00000X"</f>
        <v>207W00000X</v>
      </c>
      <c r="D10123" t="str">
        <f>"NEWMAN                   TROY         M           "</f>
        <v xml:space="preserve">NEWMAN                   TROY         M           </v>
      </c>
      <c r="E10123" t="str">
        <f>"JACKSON                   "</f>
        <v xml:space="preserve">JACKSON                   </v>
      </c>
      <c r="F10123" t="str">
        <f t="shared" si="285"/>
        <v>MS</v>
      </c>
    </row>
    <row r="10124" spans="1:6" x14ac:dyDescent="0.25">
      <c r="A10124" t="str">
        <f>"004106813"</f>
        <v>004106813</v>
      </c>
      <c r="B10124" t="str">
        <f>"1437720430"</f>
        <v>1437720430</v>
      </c>
      <c r="C10124" t="str">
        <f>"363L00000X"</f>
        <v>363L00000X</v>
      </c>
      <c r="D10124" t="str">
        <f>"BANKS                    FELICA       D           "</f>
        <v xml:space="preserve">BANKS                    FELICA       D           </v>
      </c>
      <c r="E10124" t="str">
        <f>"JACKSON                   "</f>
        <v xml:space="preserve">JACKSON                   </v>
      </c>
      <c r="F10124" t="str">
        <f t="shared" si="285"/>
        <v>MS</v>
      </c>
    </row>
    <row r="10125" spans="1:6" x14ac:dyDescent="0.25">
      <c r="A10125" t="str">
        <f>"004120729"</f>
        <v>004120729</v>
      </c>
      <c r="B10125" t="str">
        <f>"1578766374"</f>
        <v>1578766374</v>
      </c>
      <c r="C10125" t="str">
        <f>"208000000X"</f>
        <v>208000000X</v>
      </c>
      <c r="D10125" t="str">
        <f>"CURREY                   ALEXA        N           "</f>
        <v xml:space="preserve">CURREY                   ALEXA        N           </v>
      </c>
      <c r="E10125" t="str">
        <f>"TUPELO                    "</f>
        <v xml:space="preserve">TUPELO                    </v>
      </c>
      <c r="F10125" t="str">
        <f t="shared" si="285"/>
        <v>MS</v>
      </c>
    </row>
    <row r="10126" spans="1:6" x14ac:dyDescent="0.25">
      <c r="A10126" t="str">
        <f>"004120735"</f>
        <v>004120735</v>
      </c>
      <c r="B10126" t="str">
        <f>"1386084705"</f>
        <v>1386084705</v>
      </c>
      <c r="C10126" t="str">
        <f>"208000000X"</f>
        <v>208000000X</v>
      </c>
      <c r="D10126" t="str">
        <f>"SIMS                     ELIZABETH    M           "</f>
        <v xml:space="preserve">SIMS                     ELIZABETH    M           </v>
      </c>
      <c r="E10126" t="str">
        <f>"JACKSON                   "</f>
        <v xml:space="preserve">JACKSON                   </v>
      </c>
      <c r="F10126" t="str">
        <f t="shared" si="285"/>
        <v>MS</v>
      </c>
    </row>
    <row r="10127" spans="1:6" x14ac:dyDescent="0.25">
      <c r="A10127" t="str">
        <f>"004121537"</f>
        <v>004121537</v>
      </c>
      <c r="B10127" t="str">
        <f>"1073717955"</f>
        <v>1073717955</v>
      </c>
      <c r="C10127" t="str">
        <f>"208600000X"</f>
        <v>208600000X</v>
      </c>
      <c r="D10127" t="str">
        <f>"WALL JR                  CHARLES      E           "</f>
        <v xml:space="preserve">WALL JR                  CHARLES      E           </v>
      </c>
      <c r="E10127" t="str">
        <f>"STARKVILLE                "</f>
        <v xml:space="preserve">STARKVILLE                </v>
      </c>
      <c r="F10127" t="str">
        <f t="shared" si="285"/>
        <v>MS</v>
      </c>
    </row>
    <row r="10128" spans="1:6" x14ac:dyDescent="0.25">
      <c r="A10128" t="str">
        <f>"004122042"</f>
        <v>004122042</v>
      </c>
      <c r="B10128" t="str">
        <f>"1740673797"</f>
        <v>1740673797</v>
      </c>
      <c r="C10128" t="str">
        <f>"1223P0221X"</f>
        <v>1223P0221X</v>
      </c>
      <c r="D10128" t="str">
        <f>"MILLING                  EMILEE       P           "</f>
        <v xml:space="preserve">MILLING                  EMILEE       P           </v>
      </c>
      <c r="E10128" t="str">
        <f>"JACKSON                   "</f>
        <v xml:space="preserve">JACKSON                   </v>
      </c>
      <c r="F10128" t="str">
        <f t="shared" si="285"/>
        <v>MS</v>
      </c>
    </row>
    <row r="10129" spans="1:6" x14ac:dyDescent="0.25">
      <c r="A10129" t="str">
        <f>"004122508"</f>
        <v>004122508</v>
      </c>
      <c r="B10129" t="str">
        <f>"1528556792"</f>
        <v>1528556792</v>
      </c>
      <c r="C10129" t="str">
        <f>"207R00000X"</f>
        <v>207R00000X</v>
      </c>
      <c r="D10129" t="str">
        <f>"BRUNSON                  DANA                     "</f>
        <v xml:space="preserve">BRUNSON                  DANA                     </v>
      </c>
      <c r="E10129" t="str">
        <f>"JACKSON                   "</f>
        <v xml:space="preserve">JACKSON                   </v>
      </c>
      <c r="F10129" t="str">
        <f t="shared" si="285"/>
        <v>MS</v>
      </c>
    </row>
    <row r="10130" spans="1:6" x14ac:dyDescent="0.25">
      <c r="A10130" t="str">
        <f>"004124350"</f>
        <v>004124350</v>
      </c>
      <c r="B10130" t="str">
        <f>"1093053977"</f>
        <v>1093053977</v>
      </c>
      <c r="C10130" t="str">
        <f>"363L00000X"</f>
        <v>363L00000X</v>
      </c>
      <c r="D10130" t="str">
        <f>"RUSHING                  KARA         N           "</f>
        <v xml:space="preserve">RUSHING                  KARA         N           </v>
      </c>
      <c r="E10130" t="str">
        <f>"NEW ALBANY                "</f>
        <v xml:space="preserve">NEW ALBANY                </v>
      </c>
      <c r="F10130" t="str">
        <f t="shared" si="285"/>
        <v>MS</v>
      </c>
    </row>
    <row r="10131" spans="1:6" x14ac:dyDescent="0.25">
      <c r="A10131" t="str">
        <f>"004124592"</f>
        <v>004124592</v>
      </c>
      <c r="B10131" t="str">
        <f>"1811076938"</f>
        <v>1811076938</v>
      </c>
      <c r="C10131" t="str">
        <f>"207Y00000X"</f>
        <v>207Y00000X</v>
      </c>
      <c r="D10131" t="str">
        <f>"GORDON                   KYLE         F           "</f>
        <v xml:space="preserve">GORDON                   KYLE         F           </v>
      </c>
      <c r="E10131" t="str">
        <f>"JACKSON                   "</f>
        <v xml:space="preserve">JACKSON                   </v>
      </c>
      <c r="F10131" t="str">
        <f t="shared" si="285"/>
        <v>MS</v>
      </c>
    </row>
    <row r="10132" spans="1:6" x14ac:dyDescent="0.25">
      <c r="A10132" t="str">
        <f>"004124855"</f>
        <v>004124855</v>
      </c>
      <c r="B10132" t="str">
        <f>"1003978081"</f>
        <v>1003978081</v>
      </c>
      <c r="C10132" t="str">
        <f>"207V00000X"</f>
        <v>207V00000X</v>
      </c>
      <c r="D10132" t="str">
        <f>"NOVOTNY                  SARAH        R           "</f>
        <v xml:space="preserve">NOVOTNY                  SARAH        R           </v>
      </c>
      <c r="E10132" t="str">
        <f>"JACKSON                   "</f>
        <v xml:space="preserve">JACKSON                   </v>
      </c>
      <c r="F10132" t="str">
        <f t="shared" si="285"/>
        <v>MS</v>
      </c>
    </row>
    <row r="10133" spans="1:6" x14ac:dyDescent="0.25">
      <c r="A10133" t="str">
        <f>"004125056"</f>
        <v>004125056</v>
      </c>
      <c r="B10133" t="str">
        <f>"1215249131"</f>
        <v>1215249131</v>
      </c>
      <c r="C10133" t="str">
        <f>"207N00000X"</f>
        <v>207N00000X</v>
      </c>
      <c r="D10133" t="str">
        <f>"GREENHAW                 BRADLEY      N           "</f>
        <v xml:space="preserve">GREENHAW                 BRADLEY      N           </v>
      </c>
      <c r="E10133" t="str">
        <f>"TUPELO                    "</f>
        <v xml:space="preserve">TUPELO                    </v>
      </c>
      <c r="F10133" t="str">
        <f t="shared" si="285"/>
        <v>MS</v>
      </c>
    </row>
    <row r="10134" spans="1:6" x14ac:dyDescent="0.25">
      <c r="A10134" t="str">
        <f>"004126271"</f>
        <v>004126271</v>
      </c>
      <c r="B10134" t="str">
        <f>"1568835387"</f>
        <v>1568835387</v>
      </c>
      <c r="C10134" t="str">
        <f>"261QM0801X"</f>
        <v>261QM0801X</v>
      </c>
      <c r="D10134" t="str">
        <f>"KENNEDY BEHAVIORAL HEALTH CENTER                  "</f>
        <v xml:space="preserve">KENNEDY BEHAVIORAL HEALTH CENTER                  </v>
      </c>
      <c r="E10134" t="str">
        <f>"JACKSON                   "</f>
        <v xml:space="preserve">JACKSON                   </v>
      </c>
      <c r="F10134" t="str">
        <f t="shared" si="285"/>
        <v>MS</v>
      </c>
    </row>
    <row r="10135" spans="1:6" x14ac:dyDescent="0.25">
      <c r="A10135" t="str">
        <f>"004126702"</f>
        <v>004126702</v>
      </c>
      <c r="B10135" t="str">
        <f>"1063887123"</f>
        <v>1063887123</v>
      </c>
      <c r="C10135" t="str">
        <f>"363L00000X"</f>
        <v>363L00000X</v>
      </c>
      <c r="D10135" t="str">
        <f>"KEADY                    AISHIA       L           "</f>
        <v xml:space="preserve">KEADY                    AISHIA       L           </v>
      </c>
      <c r="E10135" t="str">
        <f>"CHOCTAW                   "</f>
        <v xml:space="preserve">CHOCTAW                   </v>
      </c>
      <c r="F10135" t="str">
        <f t="shared" si="285"/>
        <v>MS</v>
      </c>
    </row>
    <row r="10136" spans="1:6" x14ac:dyDescent="0.25">
      <c r="A10136" t="str">
        <f>"004126767"</f>
        <v>004126767</v>
      </c>
      <c r="B10136" t="str">
        <f>"1417227000"</f>
        <v>1417227000</v>
      </c>
      <c r="C10136" t="str">
        <f>"367500000X"</f>
        <v>367500000X</v>
      </c>
      <c r="D10136" t="str">
        <f>"GRAY                     CARRIE       A           "</f>
        <v xml:space="preserve">GRAY                     CARRIE       A           </v>
      </c>
      <c r="E10136" t="str">
        <f>"FLOWOOD                   "</f>
        <v xml:space="preserve">FLOWOOD                   </v>
      </c>
      <c r="F10136" t="str">
        <f t="shared" si="285"/>
        <v>MS</v>
      </c>
    </row>
    <row r="10137" spans="1:6" x14ac:dyDescent="0.25">
      <c r="A10137" t="str">
        <f>"004128039"</f>
        <v>004128039</v>
      </c>
      <c r="B10137" t="str">
        <f>"1568138832"</f>
        <v>1568138832</v>
      </c>
      <c r="C10137" t="str">
        <f>"363L00000X"</f>
        <v>363L00000X</v>
      </c>
      <c r="D10137" t="str">
        <f>"CRAWFORD                 TONYA        M           "</f>
        <v xml:space="preserve">CRAWFORD                 TONYA        M           </v>
      </c>
      <c r="E10137" t="str">
        <f>"OLIVE BRANCH              "</f>
        <v xml:space="preserve">OLIVE BRANCH              </v>
      </c>
      <c r="F10137" t="str">
        <f t="shared" si="285"/>
        <v>MS</v>
      </c>
    </row>
    <row r="10138" spans="1:6" x14ac:dyDescent="0.25">
      <c r="A10138" t="str">
        <f>"004128290"</f>
        <v>004128290</v>
      </c>
      <c r="B10138" t="str">
        <f>"1356938831"</f>
        <v>1356938831</v>
      </c>
      <c r="C10138" t="str">
        <f>"363L00000X"</f>
        <v>363L00000X</v>
      </c>
      <c r="D10138" t="str">
        <f>"PHILYAW                  KIMBERLY                 "</f>
        <v xml:space="preserve">PHILYAW                  KIMBERLY                 </v>
      </c>
      <c r="E10138" t="str">
        <f>"PICAYUNE                  "</f>
        <v xml:space="preserve">PICAYUNE                  </v>
      </c>
      <c r="F10138" t="str">
        <f t="shared" si="285"/>
        <v>MS</v>
      </c>
    </row>
    <row r="10139" spans="1:6" x14ac:dyDescent="0.25">
      <c r="A10139" t="str">
        <f>"004128553"</f>
        <v>004128553</v>
      </c>
      <c r="B10139" t="str">
        <f>"1649681248"</f>
        <v>1649681248</v>
      </c>
      <c r="C10139" t="str">
        <f>"207Q00000X"</f>
        <v>207Q00000X</v>
      </c>
      <c r="D10139" t="str">
        <f>"GLIDEWELL                CURTIS       R           "</f>
        <v xml:space="preserve">GLIDEWELL                CURTIS       R           </v>
      </c>
      <c r="E10139" t="str">
        <f>"NEW ALBANY                "</f>
        <v xml:space="preserve">NEW ALBANY                </v>
      </c>
      <c r="F10139" t="str">
        <f t="shared" si="285"/>
        <v>MS</v>
      </c>
    </row>
    <row r="10140" spans="1:6" x14ac:dyDescent="0.25">
      <c r="A10140" t="str">
        <f>"004130501"</f>
        <v>004130501</v>
      </c>
      <c r="B10140" t="str">
        <f>"1376727503"</f>
        <v>1376727503</v>
      </c>
      <c r="C10140" t="str">
        <f>"261QA0600X"</f>
        <v>261QA0600X</v>
      </c>
      <c r="D10140" t="str">
        <f>"TENDER LOVING CARE ADULT DAY CARE                 "</f>
        <v xml:space="preserve">TENDER LOVING CARE ADULT DAY CARE                 </v>
      </c>
      <c r="E10140" t="str">
        <f>"CLEVELAND                 "</f>
        <v xml:space="preserve">CLEVELAND                 </v>
      </c>
      <c r="F10140" t="str">
        <f t="shared" si="285"/>
        <v>MS</v>
      </c>
    </row>
    <row r="10141" spans="1:6" x14ac:dyDescent="0.25">
      <c r="A10141" t="str">
        <f>"004130767"</f>
        <v>004130767</v>
      </c>
      <c r="B10141" t="str">
        <f>"1619370012"</f>
        <v>1619370012</v>
      </c>
      <c r="C10141" t="str">
        <f>"122300000X"</f>
        <v>122300000X</v>
      </c>
      <c r="D10141" t="str">
        <f>"VICKSBURG ORTHODONTICS LLC                        "</f>
        <v xml:space="preserve">VICKSBURG ORTHODONTICS LLC                        </v>
      </c>
      <c r="E10141" t="str">
        <f>"VICKSBURG                 "</f>
        <v xml:space="preserve">VICKSBURG                 </v>
      </c>
      <c r="F10141" t="str">
        <f t="shared" si="285"/>
        <v>MS</v>
      </c>
    </row>
    <row r="10142" spans="1:6" x14ac:dyDescent="0.25">
      <c r="A10142" t="str">
        <f>"004130958"</f>
        <v>004130958</v>
      </c>
      <c r="B10142" t="str">
        <f>"1013170067"</f>
        <v>1013170067</v>
      </c>
      <c r="C10142" t="str">
        <f>"2084N0400X"</f>
        <v>2084N0400X</v>
      </c>
      <c r="D10142" t="str">
        <f>"KATSNELSON               MICHAEL      J           "</f>
        <v xml:space="preserve">KATSNELSON               MICHAEL      J           </v>
      </c>
      <c r="E10142" t="str">
        <f>"SOUTHAVEN                 "</f>
        <v xml:space="preserve">SOUTHAVEN                 </v>
      </c>
      <c r="F10142" t="str">
        <f t="shared" si="285"/>
        <v>MS</v>
      </c>
    </row>
    <row r="10143" spans="1:6" x14ac:dyDescent="0.25">
      <c r="A10143" t="str">
        <f>"004132365"</f>
        <v>004132365</v>
      </c>
      <c r="B10143" t="str">
        <f>"1114330180"</f>
        <v>1114330180</v>
      </c>
      <c r="C10143" t="str">
        <f>"207T00000X"</f>
        <v>207T00000X</v>
      </c>
      <c r="D10143" t="str">
        <f>"NEILL JR                 JOHN                     "</f>
        <v xml:space="preserve">NEILL JR                 JOHN                     </v>
      </c>
      <c r="E10143" t="str">
        <f>"TUPELO                    "</f>
        <v xml:space="preserve">TUPELO                    </v>
      </c>
      <c r="F10143" t="str">
        <f t="shared" si="285"/>
        <v>MS</v>
      </c>
    </row>
    <row r="10144" spans="1:6" x14ac:dyDescent="0.25">
      <c r="A10144" t="str">
        <f>"004133520"</f>
        <v>004133520</v>
      </c>
      <c r="B10144" t="str">
        <f>"1841281276"</f>
        <v>1841281276</v>
      </c>
      <c r="C10144" t="str">
        <f>"207Q00000X"</f>
        <v>207Q00000X</v>
      </c>
      <c r="D10144" t="str">
        <f>"MOORE                    ROBERT       L           "</f>
        <v xml:space="preserve">MOORE                    ROBERT       L           </v>
      </c>
      <c r="E10144" t="str">
        <f>"JACKSON                   "</f>
        <v xml:space="preserve">JACKSON                   </v>
      </c>
      <c r="F10144" t="str">
        <f t="shared" si="285"/>
        <v>MS</v>
      </c>
    </row>
    <row r="10145" spans="1:6" x14ac:dyDescent="0.25">
      <c r="A10145" t="str">
        <f>"004136595"</f>
        <v>004136595</v>
      </c>
      <c r="B10145" t="str">
        <f>"1689929366"</f>
        <v>1689929366</v>
      </c>
      <c r="C10145" t="str">
        <f>"363L00000X"</f>
        <v>363L00000X</v>
      </c>
      <c r="D10145" t="str">
        <f>"DUNSON                   STACIA       M           "</f>
        <v xml:space="preserve">DUNSON                   STACIA       M           </v>
      </c>
      <c r="E10145" t="str">
        <f>"FLOWOOD                   "</f>
        <v xml:space="preserve">FLOWOOD                   </v>
      </c>
      <c r="F10145" t="str">
        <f t="shared" si="285"/>
        <v>MS</v>
      </c>
    </row>
    <row r="10146" spans="1:6" x14ac:dyDescent="0.25">
      <c r="A10146" t="str">
        <f>"004138075"</f>
        <v>004138075</v>
      </c>
      <c r="B10146" t="str">
        <f>"1528371978"</f>
        <v>1528371978</v>
      </c>
      <c r="C10146" t="str">
        <f>"122300000X"</f>
        <v>122300000X</v>
      </c>
      <c r="D10146" t="str">
        <f>"AKHARUME                 EHIDANMEGBE  O           "</f>
        <v xml:space="preserve">AKHARUME                 EHIDANMEGBE  O           </v>
      </c>
      <c r="E10146" t="str">
        <f>"RIDGELAND                 "</f>
        <v xml:space="preserve">RIDGELAND                 </v>
      </c>
      <c r="F10146" t="str">
        <f t="shared" si="285"/>
        <v>MS</v>
      </c>
    </row>
    <row r="10147" spans="1:6" x14ac:dyDescent="0.25">
      <c r="A10147" t="str">
        <f>"004138318"</f>
        <v>004138318</v>
      </c>
      <c r="B10147" t="str">
        <f>"1528398054"</f>
        <v>1528398054</v>
      </c>
      <c r="C10147" t="str">
        <f>"363L00000X"</f>
        <v>363L00000X</v>
      </c>
      <c r="D10147" t="str">
        <f>"BATES                    BECKY        L           "</f>
        <v xml:space="preserve">BATES                    BECKY        L           </v>
      </c>
      <c r="E10147" t="str">
        <f>"JACKSON                   "</f>
        <v xml:space="preserve">JACKSON                   </v>
      </c>
      <c r="F10147" t="str">
        <f t="shared" si="285"/>
        <v>MS</v>
      </c>
    </row>
    <row r="10148" spans="1:6" x14ac:dyDescent="0.25">
      <c r="A10148" t="str">
        <f>"004138841"</f>
        <v>004138841</v>
      </c>
      <c r="B10148" t="str">
        <f>"1780859652"</f>
        <v>1780859652</v>
      </c>
      <c r="C10148" t="str">
        <f>"207Q00000X"</f>
        <v>207Q00000X</v>
      </c>
      <c r="D10148" t="str">
        <f>"PATEL                    SIMAL                    "</f>
        <v xml:space="preserve">PATEL                    SIMAL                    </v>
      </c>
      <c r="E10148" t="str">
        <f>"PICAYUNE                  "</f>
        <v xml:space="preserve">PICAYUNE                  </v>
      </c>
      <c r="F10148" t="str">
        <f t="shared" si="285"/>
        <v>MS</v>
      </c>
    </row>
    <row r="10149" spans="1:6" x14ac:dyDescent="0.25">
      <c r="A10149" t="str">
        <f>"004139306"</f>
        <v>004139306</v>
      </c>
      <c r="B10149" t="str">
        <f>"1356664825"</f>
        <v>1356664825</v>
      </c>
      <c r="C10149" t="str">
        <f>"363L00000X"</f>
        <v>363L00000X</v>
      </c>
      <c r="D10149" t="str">
        <f>"JAMES                    MELISSA      A           "</f>
        <v xml:space="preserve">JAMES                    MELISSA      A           </v>
      </c>
      <c r="E10149" t="str">
        <f>"LAUREL                    "</f>
        <v xml:space="preserve">LAUREL                    </v>
      </c>
      <c r="F10149" t="str">
        <f t="shared" si="285"/>
        <v>MS</v>
      </c>
    </row>
    <row r="10150" spans="1:6" x14ac:dyDescent="0.25">
      <c r="A10150" t="str">
        <f>"004139384"</f>
        <v>004139384</v>
      </c>
      <c r="B10150" t="str">
        <f>"1942717590"</f>
        <v>1942717590</v>
      </c>
      <c r="C10150" t="str">
        <f>"367500000X"</f>
        <v>367500000X</v>
      </c>
      <c r="D10150" t="str">
        <f>"AUERSWALD                COREY                    "</f>
        <v xml:space="preserve">AUERSWALD                COREY                    </v>
      </c>
      <c r="E10150" t="str">
        <f>"GREENVILLE                "</f>
        <v xml:space="preserve">GREENVILLE                </v>
      </c>
      <c r="F10150" t="str">
        <f t="shared" si="285"/>
        <v>MS</v>
      </c>
    </row>
    <row r="10151" spans="1:6" x14ac:dyDescent="0.25">
      <c r="A10151" t="str">
        <f>"004150773"</f>
        <v>004150773</v>
      </c>
      <c r="B10151" t="str">
        <f>"1457364556"</f>
        <v>1457364556</v>
      </c>
      <c r="C10151" t="str">
        <f>"2085R0001X"</f>
        <v>2085R0001X</v>
      </c>
      <c r="D10151" t="str">
        <f>"PIMPERL                  LOYD         C           "</f>
        <v xml:space="preserve">PIMPERL                  LOYD         C           </v>
      </c>
      <c r="E10151" t="str">
        <f>"LAUREL                    "</f>
        <v xml:space="preserve">LAUREL                    </v>
      </c>
      <c r="F10151" t="str">
        <f t="shared" si="285"/>
        <v>MS</v>
      </c>
    </row>
    <row r="10152" spans="1:6" x14ac:dyDescent="0.25">
      <c r="A10152" t="str">
        <f>"004155392"</f>
        <v>004155392</v>
      </c>
      <c r="B10152" t="str">
        <f>"1487619151"</f>
        <v>1487619151</v>
      </c>
      <c r="C10152" t="str">
        <f>"363L00000X"</f>
        <v>363L00000X</v>
      </c>
      <c r="D10152" t="str">
        <f>"VANDERHEIDEN             RONDA        M           "</f>
        <v xml:space="preserve">VANDERHEIDEN             RONDA        M           </v>
      </c>
      <c r="E10152" t="str">
        <f>"COLUMBIA                  "</f>
        <v xml:space="preserve">COLUMBIA                  </v>
      </c>
      <c r="F10152" t="str">
        <f t="shared" si="285"/>
        <v>MS</v>
      </c>
    </row>
    <row r="10153" spans="1:6" x14ac:dyDescent="0.25">
      <c r="A10153" t="str">
        <f>"004156552"</f>
        <v>004156552</v>
      </c>
      <c r="B10153" t="str">
        <f>"1972018992"</f>
        <v>1972018992</v>
      </c>
      <c r="C10153" t="str">
        <f>"363L00000X"</f>
        <v>363L00000X</v>
      </c>
      <c r="D10153" t="str">
        <f>"FOXWORTH                 CARRIE       A           "</f>
        <v xml:space="preserve">FOXWORTH                 CARRIE       A           </v>
      </c>
      <c r="E10153" t="str">
        <f>"LAUREL                    "</f>
        <v xml:space="preserve">LAUREL                    </v>
      </c>
      <c r="F10153" t="str">
        <f t="shared" si="285"/>
        <v>MS</v>
      </c>
    </row>
    <row r="10154" spans="1:6" x14ac:dyDescent="0.25">
      <c r="A10154" t="str">
        <f>"004157019"</f>
        <v>004157019</v>
      </c>
      <c r="B10154" t="str">
        <f>"1588311732"</f>
        <v>1588311732</v>
      </c>
      <c r="C10154" t="str">
        <f>"363L00000X"</f>
        <v>363L00000X</v>
      </c>
      <c r="D10154" t="str">
        <f>"HODGES                   SUSAN                    "</f>
        <v xml:space="preserve">HODGES                   SUSAN                    </v>
      </c>
      <c r="E10154" t="str">
        <f>"HOUSTON                   "</f>
        <v xml:space="preserve">HOUSTON                   </v>
      </c>
      <c r="F10154" t="str">
        <f t="shared" si="285"/>
        <v>MS</v>
      </c>
    </row>
    <row r="10155" spans="1:6" x14ac:dyDescent="0.25">
      <c r="A10155" t="str">
        <f>"004157020"</f>
        <v>004157020</v>
      </c>
      <c r="B10155" t="str">
        <f>"1427047497"</f>
        <v>1427047497</v>
      </c>
      <c r="C10155" t="str">
        <f>"367500000X"</f>
        <v>367500000X</v>
      </c>
      <c r="D10155" t="str">
        <f>"ATCHLEY                  KARLA        M           "</f>
        <v xml:space="preserve">ATCHLEY                  KARLA        M           </v>
      </c>
      <c r="E10155" t="str">
        <f>"GREENVILLE                "</f>
        <v xml:space="preserve">GREENVILLE                </v>
      </c>
      <c r="F10155" t="str">
        <f t="shared" si="285"/>
        <v>MS</v>
      </c>
    </row>
    <row r="10156" spans="1:6" x14ac:dyDescent="0.25">
      <c r="A10156" t="str">
        <f>"004157399"</f>
        <v>004157399</v>
      </c>
      <c r="B10156" t="str">
        <f>"1821597691"</f>
        <v>1821597691</v>
      </c>
      <c r="C10156" t="str">
        <f>"363LP0808X"</f>
        <v>363LP0808X</v>
      </c>
      <c r="D10156" t="str">
        <f>"SIMMONS                  JENNIFER     L           "</f>
        <v xml:space="preserve">SIMMONS                  JENNIFER     L           </v>
      </c>
      <c r="E10156" t="str">
        <f>"FLOWOOD                   "</f>
        <v xml:space="preserve">FLOWOOD                   </v>
      </c>
      <c r="F10156" t="str">
        <f t="shared" si="285"/>
        <v>MS</v>
      </c>
    </row>
    <row r="10157" spans="1:6" x14ac:dyDescent="0.25">
      <c r="A10157" t="str">
        <f>"004159045"</f>
        <v>004159045</v>
      </c>
      <c r="B10157" t="str">
        <f>"1083159099"</f>
        <v>1083159099</v>
      </c>
      <c r="C10157" t="str">
        <f>"363L00000X"</f>
        <v>363L00000X</v>
      </c>
      <c r="D10157" t="str">
        <f>"PONTIUS                  AMY          L           "</f>
        <v xml:space="preserve">PONTIUS                  AMY          L           </v>
      </c>
      <c r="E10157" t="str">
        <f>"OCEAN SPRINGS             "</f>
        <v xml:space="preserve">OCEAN SPRINGS             </v>
      </c>
      <c r="F10157" t="str">
        <f t="shared" si="285"/>
        <v>MS</v>
      </c>
    </row>
    <row r="10158" spans="1:6" x14ac:dyDescent="0.25">
      <c r="A10158" t="str">
        <f>"004159261"</f>
        <v>004159261</v>
      </c>
      <c r="B10158" t="str">
        <f>"1588278618"</f>
        <v>1588278618</v>
      </c>
      <c r="C10158" t="str">
        <f>"363L00000X"</f>
        <v>363L00000X</v>
      </c>
      <c r="D10158" t="str">
        <f>"HAMMONS                  JOSHUA       C           "</f>
        <v xml:space="preserve">HAMMONS                  JOSHUA       C           </v>
      </c>
      <c r="E10158" t="str">
        <f>"HATTIESBURG               "</f>
        <v xml:space="preserve">HATTIESBURG               </v>
      </c>
      <c r="F10158" t="str">
        <f t="shared" si="285"/>
        <v>MS</v>
      </c>
    </row>
    <row r="10159" spans="1:6" x14ac:dyDescent="0.25">
      <c r="A10159" t="str">
        <f>"004170715"</f>
        <v>004170715</v>
      </c>
      <c r="B10159" t="str">
        <f>"1073891925"</f>
        <v>1073891925</v>
      </c>
      <c r="C10159" t="str">
        <f>"122300000X"</f>
        <v>122300000X</v>
      </c>
      <c r="D10159" t="str">
        <f>"PURSLEY                  TARA         C           "</f>
        <v xml:space="preserve">PURSLEY                  TARA         C           </v>
      </c>
      <c r="E10159" t="str">
        <f>"HATTIESBURG               "</f>
        <v xml:space="preserve">HATTIESBURG               </v>
      </c>
      <c r="F10159" t="str">
        <f t="shared" si="285"/>
        <v>MS</v>
      </c>
    </row>
    <row r="10160" spans="1:6" x14ac:dyDescent="0.25">
      <c r="A10160" t="str">
        <f>"004171017"</f>
        <v>004171017</v>
      </c>
      <c r="B10160" t="str">
        <f>"1033102066"</f>
        <v>1033102066</v>
      </c>
      <c r="C10160" t="str">
        <f>"208000000X"</f>
        <v>208000000X</v>
      </c>
      <c r="D10160" t="str">
        <f>"DURHAM                   ANNA         M           "</f>
        <v xml:space="preserve">DURHAM                   ANNA         M           </v>
      </c>
      <c r="E10160" t="str">
        <f>"OLIVE BRANCH              "</f>
        <v xml:space="preserve">OLIVE BRANCH              </v>
      </c>
      <c r="F10160" t="str">
        <f t="shared" si="285"/>
        <v>MS</v>
      </c>
    </row>
    <row r="10161" spans="1:6" x14ac:dyDescent="0.25">
      <c r="A10161" t="str">
        <f>"004172398"</f>
        <v>004172398</v>
      </c>
      <c r="B10161" t="str">
        <f>"1508498734"</f>
        <v>1508498734</v>
      </c>
      <c r="C10161" t="str">
        <f>"261QM1300X"</f>
        <v>261QM1300X</v>
      </c>
      <c r="D10161" t="str">
        <f>"CARTER COLLABORATIVE COUNSELING                   "</f>
        <v xml:space="preserve">CARTER COLLABORATIVE COUNSELING                   </v>
      </c>
      <c r="E10161" t="str">
        <f>"OLIVE BRANCH              "</f>
        <v xml:space="preserve">OLIVE BRANCH              </v>
      </c>
      <c r="F10161" t="str">
        <f t="shared" si="285"/>
        <v>MS</v>
      </c>
    </row>
    <row r="10162" spans="1:6" x14ac:dyDescent="0.25">
      <c r="A10162" t="str">
        <f>"004173231"</f>
        <v>004173231</v>
      </c>
      <c r="B10162" t="str">
        <f>"1932620085"</f>
        <v>1932620085</v>
      </c>
      <c r="C10162" t="str">
        <f>"363L00000X"</f>
        <v>363L00000X</v>
      </c>
      <c r="D10162" t="str">
        <f>"MAHAR                    RAYMOND                  "</f>
        <v xml:space="preserve">MAHAR                    RAYMOND                  </v>
      </c>
      <c r="E10162" t="str">
        <f>"NATCHEZ                   "</f>
        <v xml:space="preserve">NATCHEZ                   </v>
      </c>
      <c r="F10162" t="str">
        <f t="shared" si="285"/>
        <v>MS</v>
      </c>
    </row>
    <row r="10163" spans="1:6" x14ac:dyDescent="0.25">
      <c r="A10163" t="str">
        <f>"004174306"</f>
        <v>004174306</v>
      </c>
      <c r="B10163" t="str">
        <f>"1225129992"</f>
        <v>1225129992</v>
      </c>
      <c r="C10163" t="str">
        <f>"363L00000X"</f>
        <v>363L00000X</v>
      </c>
      <c r="D10163" t="str">
        <f>"BAUCUM                   DONNA        L           "</f>
        <v xml:space="preserve">BAUCUM                   DONNA        L           </v>
      </c>
      <c r="E10163" t="str">
        <f>"BAY SPRINGS               "</f>
        <v xml:space="preserve">BAY SPRINGS               </v>
      </c>
      <c r="F10163" t="str">
        <f t="shared" si="285"/>
        <v>MS</v>
      </c>
    </row>
    <row r="10164" spans="1:6" x14ac:dyDescent="0.25">
      <c r="A10164" t="str">
        <f>"004175796"</f>
        <v>004175796</v>
      </c>
      <c r="B10164" t="str">
        <f>"1518097815"</f>
        <v>1518097815</v>
      </c>
      <c r="C10164" t="str">
        <f>"207W00000X"</f>
        <v>207W00000X</v>
      </c>
      <c r="D10164" t="str">
        <f>"GRIFFITH                 CAMERON      S           "</f>
        <v xml:space="preserve">GRIFFITH                 CAMERON      S           </v>
      </c>
      <c r="E10164" t="str">
        <f>"BILOXI                    "</f>
        <v xml:space="preserve">BILOXI                    </v>
      </c>
      <c r="F10164" t="str">
        <f t="shared" si="285"/>
        <v>MS</v>
      </c>
    </row>
    <row r="10165" spans="1:6" x14ac:dyDescent="0.25">
      <c r="A10165" t="str">
        <f>"004176065"</f>
        <v>004176065</v>
      </c>
      <c r="B10165" t="str">
        <f>"1659737286"</f>
        <v>1659737286</v>
      </c>
      <c r="C10165" t="str">
        <f>"261QA0600X"</f>
        <v>261QA0600X</v>
      </c>
      <c r="D10165" t="str">
        <f>"LIFE CHANGING ADULT DAYCARE                       "</f>
        <v xml:space="preserve">LIFE CHANGING ADULT DAYCARE                       </v>
      </c>
      <c r="E10165" t="str">
        <f>"INDIANOLA                 "</f>
        <v xml:space="preserve">INDIANOLA                 </v>
      </c>
      <c r="F10165" t="str">
        <f t="shared" si="285"/>
        <v>MS</v>
      </c>
    </row>
    <row r="10166" spans="1:6" x14ac:dyDescent="0.25">
      <c r="A10166" t="str">
        <f>"004177049"</f>
        <v>004177049</v>
      </c>
      <c r="B10166" t="str">
        <f>"1750799300"</f>
        <v>1750799300</v>
      </c>
      <c r="C10166" t="str">
        <f>"363L00000X"</f>
        <v>363L00000X</v>
      </c>
      <c r="D10166" t="str">
        <f>"HUGHES                   EMILY        C           "</f>
        <v xml:space="preserve">HUGHES                   EMILY        C           </v>
      </c>
      <c r="E10166" t="str">
        <f>"FLOWOOD                   "</f>
        <v xml:space="preserve">FLOWOOD                   </v>
      </c>
      <c r="F10166" t="str">
        <f t="shared" si="285"/>
        <v>MS</v>
      </c>
    </row>
    <row r="10167" spans="1:6" x14ac:dyDescent="0.25">
      <c r="A10167" t="str">
        <f>"004178581"</f>
        <v>004178581</v>
      </c>
      <c r="B10167" t="str">
        <f>"1891941241"</f>
        <v>1891941241</v>
      </c>
      <c r="C10167" t="str">
        <f>"363L00000X"</f>
        <v>363L00000X</v>
      </c>
      <c r="D10167" t="str">
        <f>"CAGLE                    MISTY        W           "</f>
        <v xml:space="preserve">CAGLE                    MISTY        W           </v>
      </c>
      <c r="E10167" t="str">
        <f>"HATTIESBURG               "</f>
        <v xml:space="preserve">HATTIESBURG               </v>
      </c>
      <c r="F10167" t="str">
        <f t="shared" si="285"/>
        <v>MS</v>
      </c>
    </row>
    <row r="10168" spans="1:6" x14ac:dyDescent="0.25">
      <c r="A10168" t="str">
        <f>"004179097"</f>
        <v>004179097</v>
      </c>
      <c r="B10168" t="str">
        <f>"1063624948"</f>
        <v>1063624948</v>
      </c>
      <c r="C10168" t="str">
        <f>"207X00000X"</f>
        <v>207X00000X</v>
      </c>
      <c r="D10168" t="str">
        <f>"RAINEY                   RICHARD      D           "</f>
        <v xml:space="preserve">RAINEY                   RICHARD      D           </v>
      </c>
      <c r="E10168" t="str">
        <f>"TUPELO                    "</f>
        <v xml:space="preserve">TUPELO                    </v>
      </c>
      <c r="F10168" t="str">
        <f t="shared" si="285"/>
        <v>MS</v>
      </c>
    </row>
    <row r="10169" spans="1:6" x14ac:dyDescent="0.25">
      <c r="A10169" t="str">
        <f>"004179201"</f>
        <v>004179201</v>
      </c>
      <c r="B10169" t="str">
        <f>"1225341100"</f>
        <v>1225341100</v>
      </c>
      <c r="C10169" t="str">
        <f>"363L00000X"</f>
        <v>363L00000X</v>
      </c>
      <c r="D10169" t="str">
        <f>"BOYD                     ANGELA (LYNN)B           "</f>
        <v xml:space="preserve">BOYD                     ANGELA (LYNN)B           </v>
      </c>
      <c r="E10169" t="str">
        <f>"WAYNESBORO                "</f>
        <v xml:space="preserve">WAYNESBORO                </v>
      </c>
      <c r="F10169" t="str">
        <f t="shared" si="285"/>
        <v>MS</v>
      </c>
    </row>
    <row r="10170" spans="1:6" x14ac:dyDescent="0.25">
      <c r="A10170" t="str">
        <f>"004180069"</f>
        <v>004180069</v>
      </c>
      <c r="B10170" t="str">
        <f>"1497025183"</f>
        <v>1497025183</v>
      </c>
      <c r="C10170" t="str">
        <f>"152W00000X"</f>
        <v>152W00000X</v>
      </c>
      <c r="D10170" t="str">
        <f>"20/20 EYE CARE OF GRENADA PA                      "</f>
        <v xml:space="preserve">20/20 EYE CARE OF GRENADA PA                      </v>
      </c>
      <c r="E10170" t="str">
        <f>"GRENADA                   "</f>
        <v xml:space="preserve">GRENADA                   </v>
      </c>
      <c r="F10170" t="str">
        <f t="shared" si="285"/>
        <v>MS</v>
      </c>
    </row>
    <row r="10171" spans="1:6" x14ac:dyDescent="0.25">
      <c r="A10171" t="str">
        <f>"004181020"</f>
        <v>004181020</v>
      </c>
      <c r="B10171" t="str">
        <f>"1427285055"</f>
        <v>1427285055</v>
      </c>
      <c r="C10171" t="str">
        <f>"363L00000X"</f>
        <v>363L00000X</v>
      </c>
      <c r="D10171" t="str">
        <f>"WOOTEN                   MELISSA      R           "</f>
        <v xml:space="preserve">WOOTEN                   MELISSA      R           </v>
      </c>
      <c r="E10171" t="str">
        <f>"HATTIESBURG               "</f>
        <v xml:space="preserve">HATTIESBURG               </v>
      </c>
      <c r="F10171" t="str">
        <f t="shared" si="285"/>
        <v>MS</v>
      </c>
    </row>
    <row r="10172" spans="1:6" x14ac:dyDescent="0.25">
      <c r="A10172" t="str">
        <f>"004181250"</f>
        <v>004181250</v>
      </c>
      <c r="B10172" t="str">
        <f>"1699798306"</f>
        <v>1699798306</v>
      </c>
      <c r="C10172" t="str">
        <f>"2085R0202X"</f>
        <v>2085R0202X</v>
      </c>
      <c r="D10172" t="str">
        <f>"OLIVER                   JOSEPH       A           "</f>
        <v xml:space="preserve">OLIVER                   JOSEPH       A           </v>
      </c>
      <c r="E10172" t="str">
        <f>"JACKSON                   "</f>
        <v xml:space="preserve">JACKSON                   </v>
      </c>
      <c r="F10172" t="str">
        <f t="shared" si="285"/>
        <v>MS</v>
      </c>
    </row>
    <row r="10173" spans="1:6" x14ac:dyDescent="0.25">
      <c r="A10173" t="str">
        <f>"004183295"</f>
        <v>004183295</v>
      </c>
      <c r="B10173" t="str">
        <f>"1346446671"</f>
        <v>1346446671</v>
      </c>
      <c r="C10173" t="str">
        <f>"207RH0003X"</f>
        <v>207RH0003X</v>
      </c>
      <c r="D10173" t="str">
        <f>"WALL                     ALLISON      P           "</f>
        <v xml:space="preserve">WALL                     ALLISON      P           </v>
      </c>
      <c r="E10173" t="str">
        <f>"GULFPORT                  "</f>
        <v xml:space="preserve">GULFPORT                  </v>
      </c>
      <c r="F10173" t="str">
        <f t="shared" si="285"/>
        <v>MS</v>
      </c>
    </row>
    <row r="10174" spans="1:6" x14ac:dyDescent="0.25">
      <c r="A10174" t="str">
        <f>"004183575"</f>
        <v>004183575</v>
      </c>
      <c r="B10174" t="str">
        <f>"1669635512"</f>
        <v>1669635512</v>
      </c>
      <c r="C10174" t="str">
        <f>"122300000X"</f>
        <v>122300000X</v>
      </c>
      <c r="D10174" t="str">
        <f>"HEITZMANN                EMILY        A           "</f>
        <v xml:space="preserve">HEITZMANN                EMILY        A           </v>
      </c>
      <c r="E10174" t="str">
        <f>"RIDGELAND                 "</f>
        <v xml:space="preserve">RIDGELAND                 </v>
      </c>
      <c r="F10174" t="str">
        <f t="shared" ref="F10174:F10237" si="286">"MS"</f>
        <v>MS</v>
      </c>
    </row>
    <row r="10175" spans="1:6" x14ac:dyDescent="0.25">
      <c r="A10175" t="str">
        <f>"004183703"</f>
        <v>004183703</v>
      </c>
      <c r="B10175" t="str">
        <f>"1790040533"</f>
        <v>1790040533</v>
      </c>
      <c r="C10175" t="str">
        <f>"2084N0400X"</f>
        <v>2084N0400X</v>
      </c>
      <c r="D10175" t="str">
        <f>"JONES                    BRIDGET      D           "</f>
        <v xml:space="preserve">JONES                    BRIDGET      D           </v>
      </c>
      <c r="E10175" t="str">
        <f>"JACKSON                   "</f>
        <v xml:space="preserve">JACKSON                   </v>
      </c>
      <c r="F10175" t="str">
        <f t="shared" si="286"/>
        <v>MS</v>
      </c>
    </row>
    <row r="10176" spans="1:6" x14ac:dyDescent="0.25">
      <c r="A10176" t="str">
        <f>"004184560"</f>
        <v>004184560</v>
      </c>
      <c r="B10176" t="str">
        <f>"1124411004"</f>
        <v>1124411004</v>
      </c>
      <c r="C10176" t="str">
        <f>"363L00000X"</f>
        <v>363L00000X</v>
      </c>
      <c r="D10176" t="str">
        <f>"TATE                     SUNJA        N           "</f>
        <v xml:space="preserve">TATE                     SUNJA        N           </v>
      </c>
      <c r="E10176" t="str">
        <f>"MCCOMB                    "</f>
        <v xml:space="preserve">MCCOMB                    </v>
      </c>
      <c r="F10176" t="str">
        <f t="shared" si="286"/>
        <v>MS</v>
      </c>
    </row>
    <row r="10177" spans="1:6" x14ac:dyDescent="0.25">
      <c r="A10177" t="str">
        <f>"004185349"</f>
        <v>004185349</v>
      </c>
      <c r="B10177" t="str">
        <f>"1598286007"</f>
        <v>1598286007</v>
      </c>
      <c r="C10177" t="str">
        <f>"363L00000X"</f>
        <v>363L00000X</v>
      </c>
      <c r="D10177" t="str">
        <f>"BOYD                     CARLY        L           "</f>
        <v xml:space="preserve">BOYD                     CARLY        L           </v>
      </c>
      <c r="E10177" t="str">
        <f>"NEW ALBANY                "</f>
        <v xml:space="preserve">NEW ALBANY                </v>
      </c>
      <c r="F10177" t="str">
        <f t="shared" si="286"/>
        <v>MS</v>
      </c>
    </row>
    <row r="10178" spans="1:6" x14ac:dyDescent="0.25">
      <c r="A10178" t="str">
        <f>"004185840"</f>
        <v>004185840</v>
      </c>
      <c r="B10178" t="str">
        <f>"1063866705"</f>
        <v>1063866705</v>
      </c>
      <c r="C10178" t="str">
        <f>"207Y00000X"</f>
        <v>207Y00000X</v>
      </c>
      <c r="D10178" t="str">
        <f>"STANFORD II              JAMES        K           "</f>
        <v xml:space="preserve">STANFORD II              JAMES        K           </v>
      </c>
      <c r="E10178" t="str">
        <f>"VICKSBURG                 "</f>
        <v xml:space="preserve">VICKSBURG                 </v>
      </c>
      <c r="F10178" t="str">
        <f t="shared" si="286"/>
        <v>MS</v>
      </c>
    </row>
    <row r="10179" spans="1:6" x14ac:dyDescent="0.25">
      <c r="A10179" t="str">
        <f>"004186821"</f>
        <v>004186821</v>
      </c>
      <c r="B10179" t="str">
        <f>"1154628576"</f>
        <v>1154628576</v>
      </c>
      <c r="C10179" t="str">
        <f>"363L00000X"</f>
        <v>363L00000X</v>
      </c>
      <c r="D10179" t="str">
        <f>"MORGAN                   HAILEY       C           "</f>
        <v xml:space="preserve">MORGAN                   HAILEY       C           </v>
      </c>
      <c r="E10179" t="str">
        <f>"MOSS POINT                "</f>
        <v xml:space="preserve">MOSS POINT                </v>
      </c>
      <c r="F10179" t="str">
        <f t="shared" si="286"/>
        <v>MS</v>
      </c>
    </row>
    <row r="10180" spans="1:6" x14ac:dyDescent="0.25">
      <c r="A10180" t="str">
        <f>"004187246"</f>
        <v>004187246</v>
      </c>
      <c r="B10180" t="str">
        <f>"1497762256"</f>
        <v>1497762256</v>
      </c>
      <c r="C10180" t="str">
        <f>"363L00000X"</f>
        <v>363L00000X</v>
      </c>
      <c r="D10180" t="str">
        <f>"KEYS                     GRETA        L           "</f>
        <v xml:space="preserve">KEYS                     GRETA        L           </v>
      </c>
      <c r="E10180" t="str">
        <f>"SILVER CREEK              "</f>
        <v xml:space="preserve">SILVER CREEK              </v>
      </c>
      <c r="F10180" t="str">
        <f t="shared" si="286"/>
        <v>MS</v>
      </c>
    </row>
    <row r="10181" spans="1:6" x14ac:dyDescent="0.25">
      <c r="A10181" t="str">
        <f>"004187508"</f>
        <v>004187508</v>
      </c>
      <c r="B10181" t="str">
        <f>"1174154652"</f>
        <v>1174154652</v>
      </c>
      <c r="C10181" t="str">
        <f>"363A00000X"</f>
        <v>363A00000X</v>
      </c>
      <c r="D10181" t="str">
        <f>"DODSON                   ASHLEY       N           "</f>
        <v xml:space="preserve">DODSON                   ASHLEY       N           </v>
      </c>
      <c r="E10181" t="str">
        <f>"TUPELO                    "</f>
        <v xml:space="preserve">TUPELO                    </v>
      </c>
      <c r="F10181" t="str">
        <f t="shared" si="286"/>
        <v>MS</v>
      </c>
    </row>
    <row r="10182" spans="1:6" x14ac:dyDescent="0.25">
      <c r="A10182" t="str">
        <f>"004187743"</f>
        <v>004187743</v>
      </c>
      <c r="B10182" t="str">
        <f>"1053866681"</f>
        <v>1053866681</v>
      </c>
      <c r="C10182" t="str">
        <f>"363L00000X"</f>
        <v>363L00000X</v>
      </c>
      <c r="D10182" t="str">
        <f>"MILLER                   ALISHA       L           "</f>
        <v xml:space="preserve">MILLER                   ALISHA       L           </v>
      </c>
      <c r="E10182" t="str">
        <f>"MERIDIAN                  "</f>
        <v xml:space="preserve">MERIDIAN                  </v>
      </c>
      <c r="F10182" t="str">
        <f t="shared" si="286"/>
        <v>MS</v>
      </c>
    </row>
    <row r="10183" spans="1:6" x14ac:dyDescent="0.25">
      <c r="A10183" t="str">
        <f>"004187827"</f>
        <v>004187827</v>
      </c>
      <c r="B10183" t="str">
        <f>"1699231134"</f>
        <v>1699231134</v>
      </c>
      <c r="C10183" t="str">
        <f>"122300000X"</f>
        <v>122300000X</v>
      </c>
      <c r="D10183" t="str">
        <f>"MAGNOLIA FAMILY DENTISTRY                         "</f>
        <v xml:space="preserve">MAGNOLIA FAMILY DENTISTRY                         </v>
      </c>
      <c r="E10183" t="str">
        <f>"LUCEDALE                  "</f>
        <v xml:space="preserve">LUCEDALE                  </v>
      </c>
      <c r="F10183" t="str">
        <f t="shared" si="286"/>
        <v>MS</v>
      </c>
    </row>
    <row r="10184" spans="1:6" x14ac:dyDescent="0.25">
      <c r="A10184" t="str">
        <f>"004188248"</f>
        <v>004188248</v>
      </c>
      <c r="B10184" t="str">
        <f>"1992050991"</f>
        <v>1992050991</v>
      </c>
      <c r="C10184" t="str">
        <f>"207R00000X"</f>
        <v>207R00000X</v>
      </c>
      <c r="D10184" t="str">
        <f>"MALHOTRA                 BHARAT       K           "</f>
        <v xml:space="preserve">MALHOTRA                 BHARAT       K           </v>
      </c>
      <c r="E10184" t="str">
        <f>"JACKSON                   "</f>
        <v xml:space="preserve">JACKSON                   </v>
      </c>
      <c r="F10184" t="str">
        <f t="shared" si="286"/>
        <v>MS</v>
      </c>
    </row>
    <row r="10185" spans="1:6" x14ac:dyDescent="0.25">
      <c r="A10185" t="str">
        <f>"004188801"</f>
        <v>004188801</v>
      </c>
      <c r="B10185" t="str">
        <f>"1689345506"</f>
        <v>1689345506</v>
      </c>
      <c r="C10185" t="str">
        <f>"363L00000X"</f>
        <v>363L00000X</v>
      </c>
      <c r="D10185" t="str">
        <f>"CLARK                    NADIA        S           "</f>
        <v xml:space="preserve">CLARK                    NADIA        S           </v>
      </c>
      <c r="E10185" t="str">
        <f>"COLUMBIA                  "</f>
        <v xml:space="preserve">COLUMBIA                  </v>
      </c>
      <c r="F10185" t="str">
        <f t="shared" si="286"/>
        <v>MS</v>
      </c>
    </row>
    <row r="10186" spans="1:6" x14ac:dyDescent="0.25">
      <c r="A10186" t="str">
        <f>"004189099"</f>
        <v>004189099</v>
      </c>
      <c r="B10186" t="str">
        <f>"1841560927"</f>
        <v>1841560927</v>
      </c>
      <c r="C10186" t="str">
        <f>"363L00000X"</f>
        <v>363L00000X</v>
      </c>
      <c r="D10186" t="str">
        <f>"KNOX                     ELLOUISE     M           "</f>
        <v xml:space="preserve">KNOX                     ELLOUISE     M           </v>
      </c>
      <c r="E10186" t="str">
        <f>"MT PLEASANT               "</f>
        <v xml:space="preserve">MT PLEASANT               </v>
      </c>
      <c r="F10186" t="str">
        <f t="shared" si="286"/>
        <v>MS</v>
      </c>
    </row>
    <row r="10187" spans="1:6" x14ac:dyDescent="0.25">
      <c r="A10187" t="str">
        <f>"004189250"</f>
        <v>004189250</v>
      </c>
      <c r="B10187" t="str">
        <f>"1164508214"</f>
        <v>1164508214</v>
      </c>
      <c r="C10187" t="str">
        <f>"207P00000X"</f>
        <v>207P00000X</v>
      </c>
      <c r="D10187" t="str">
        <f>"GALBRAITH                JAMES        W           "</f>
        <v xml:space="preserve">GALBRAITH                JAMES        W           </v>
      </c>
      <c r="E10187" t="str">
        <f>"JACKSON                   "</f>
        <v xml:space="preserve">JACKSON                   </v>
      </c>
      <c r="F10187" t="str">
        <f t="shared" si="286"/>
        <v>MS</v>
      </c>
    </row>
    <row r="10188" spans="1:6" x14ac:dyDescent="0.25">
      <c r="A10188" t="str">
        <f>"004200933"</f>
        <v>004200933</v>
      </c>
      <c r="B10188" t="str">
        <f>"1396485777"</f>
        <v>1396485777</v>
      </c>
      <c r="C10188" t="str">
        <f>"207R00000X"</f>
        <v>207R00000X</v>
      </c>
      <c r="D10188" t="str">
        <f>"COBB                     MEREDITH                 "</f>
        <v xml:space="preserve">COBB                     MEREDITH                 </v>
      </c>
      <c r="E10188" t="str">
        <f>"JACKSON                   "</f>
        <v xml:space="preserve">JACKSON                   </v>
      </c>
      <c r="F10188" t="str">
        <f t="shared" si="286"/>
        <v>MS</v>
      </c>
    </row>
    <row r="10189" spans="1:6" x14ac:dyDescent="0.25">
      <c r="A10189" t="str">
        <f>"004201751"</f>
        <v>004201751</v>
      </c>
      <c r="B10189" t="str">
        <f>"1538677331"</f>
        <v>1538677331</v>
      </c>
      <c r="C10189" t="str">
        <f>"363LF0000X"</f>
        <v>363LF0000X</v>
      </c>
      <c r="D10189" t="str">
        <f>"OLIVER                   SARAH        G           "</f>
        <v xml:space="preserve">OLIVER                   SARAH        G           </v>
      </c>
      <c r="E10189" t="str">
        <f>"BYRAM                     "</f>
        <v xml:space="preserve">BYRAM                     </v>
      </c>
      <c r="F10189" t="str">
        <f t="shared" si="286"/>
        <v>MS</v>
      </c>
    </row>
    <row r="10190" spans="1:6" x14ac:dyDescent="0.25">
      <c r="A10190" t="str">
        <f>"004201799"</f>
        <v>004201799</v>
      </c>
      <c r="B10190" t="str">
        <f>"1780148874"</f>
        <v>1780148874</v>
      </c>
      <c r="C10190" t="str">
        <f>"363L00000X"</f>
        <v>363L00000X</v>
      </c>
      <c r="D10190" t="str">
        <f>"BERRY                    HEATHER      L           "</f>
        <v xml:space="preserve">BERRY                    HEATHER      L           </v>
      </c>
      <c r="E10190" t="str">
        <f>"GULFPORT                  "</f>
        <v xml:space="preserve">GULFPORT                  </v>
      </c>
      <c r="F10190" t="str">
        <f t="shared" si="286"/>
        <v>MS</v>
      </c>
    </row>
    <row r="10191" spans="1:6" x14ac:dyDescent="0.25">
      <c r="A10191" t="str">
        <f>"004202037"</f>
        <v>004202037</v>
      </c>
      <c r="B10191" t="str">
        <f>"1669775581"</f>
        <v>1669775581</v>
      </c>
      <c r="C10191" t="str">
        <f>"363L00000X"</f>
        <v>363L00000X</v>
      </c>
      <c r="D10191" t="str">
        <f>"BARFIELD                 CYNTHIA                  "</f>
        <v xml:space="preserve">BARFIELD                 CYNTHIA                  </v>
      </c>
      <c r="E10191" t="str">
        <f>"OCEAN SPRINGS             "</f>
        <v xml:space="preserve">OCEAN SPRINGS             </v>
      </c>
      <c r="F10191" t="str">
        <f t="shared" si="286"/>
        <v>MS</v>
      </c>
    </row>
    <row r="10192" spans="1:6" x14ac:dyDescent="0.25">
      <c r="A10192" t="str">
        <f>"004203063"</f>
        <v>004203063</v>
      </c>
      <c r="B10192" t="str">
        <f>"1821409871"</f>
        <v>1821409871</v>
      </c>
      <c r="C10192" t="str">
        <f>"1223P0221X"</f>
        <v>1223P0221X</v>
      </c>
      <c r="D10192" t="str">
        <f>"DOUGLAS                  KRISTEN      M           "</f>
        <v xml:space="preserve">DOUGLAS                  KRISTEN      M           </v>
      </c>
      <c r="E10192" t="str">
        <f>"GULFPORT                  "</f>
        <v xml:space="preserve">GULFPORT                  </v>
      </c>
      <c r="F10192" t="str">
        <f t="shared" si="286"/>
        <v>MS</v>
      </c>
    </row>
    <row r="10193" spans="1:6" x14ac:dyDescent="0.25">
      <c r="A10193" t="str">
        <f>"004203772"</f>
        <v>004203772</v>
      </c>
      <c r="B10193" t="str">
        <f>"1427062884"</f>
        <v>1427062884</v>
      </c>
      <c r="C10193" t="str">
        <f>"207V00000X"</f>
        <v>207V00000X</v>
      </c>
      <c r="D10193" t="str">
        <f>"DIAZ                     HEBE         A           "</f>
        <v xml:space="preserve">DIAZ                     HEBE         A           </v>
      </c>
      <c r="E10193" t="str">
        <f>"BILOXI                    "</f>
        <v xml:space="preserve">BILOXI                    </v>
      </c>
      <c r="F10193" t="str">
        <f t="shared" si="286"/>
        <v>MS</v>
      </c>
    </row>
    <row r="10194" spans="1:6" x14ac:dyDescent="0.25">
      <c r="A10194" t="str">
        <f>"004203864"</f>
        <v>004203864</v>
      </c>
      <c r="B10194" t="str">
        <f>"1265414775"</f>
        <v>1265414775</v>
      </c>
      <c r="C10194" t="str">
        <f>"363A00000X"</f>
        <v>363A00000X</v>
      </c>
      <c r="D10194" t="str">
        <f>"ROUNTREE                 MARK         A           "</f>
        <v xml:space="preserve">ROUNTREE                 MARK         A           </v>
      </c>
      <c r="E10194" t="str">
        <f>"OCEAN SPRINGS             "</f>
        <v xml:space="preserve">OCEAN SPRINGS             </v>
      </c>
      <c r="F10194" t="str">
        <f t="shared" si="286"/>
        <v>MS</v>
      </c>
    </row>
    <row r="10195" spans="1:6" x14ac:dyDescent="0.25">
      <c r="A10195" t="str">
        <f>"004205019"</f>
        <v>004205019</v>
      </c>
      <c r="B10195" t="str">
        <f>"1841268521"</f>
        <v>1841268521</v>
      </c>
      <c r="C10195" t="str">
        <f>"207RG0100X"</f>
        <v>207RG0100X</v>
      </c>
      <c r="D10195" t="str">
        <f>"SZYCH                    GREGORY      A           "</f>
        <v xml:space="preserve">SZYCH                    GREGORY      A           </v>
      </c>
      <c r="E10195" t="str">
        <f>"HATTIESBURG               "</f>
        <v xml:space="preserve">HATTIESBURG               </v>
      </c>
      <c r="F10195" t="str">
        <f t="shared" si="286"/>
        <v>MS</v>
      </c>
    </row>
    <row r="10196" spans="1:6" x14ac:dyDescent="0.25">
      <c r="A10196" t="str">
        <f>"004208026"</f>
        <v>004208026</v>
      </c>
      <c r="B10196" t="str">
        <f>"1437169521"</f>
        <v>1437169521</v>
      </c>
      <c r="C10196" t="str">
        <f>"207Q00000X"</f>
        <v>207Q00000X</v>
      </c>
      <c r="D10196" t="str">
        <f>"GRAYSON                  WAYNE        E           "</f>
        <v xml:space="preserve">GRAYSON                  WAYNE        E           </v>
      </c>
      <c r="E10196" t="str">
        <f>"CARRIERE                  "</f>
        <v xml:space="preserve">CARRIERE                  </v>
      </c>
      <c r="F10196" t="str">
        <f t="shared" si="286"/>
        <v>MS</v>
      </c>
    </row>
    <row r="10197" spans="1:6" x14ac:dyDescent="0.25">
      <c r="A10197" t="str">
        <f>"004209852"</f>
        <v>004209852</v>
      </c>
      <c r="B10197" t="str">
        <f>"1841580065"</f>
        <v>1841580065</v>
      </c>
      <c r="C10197" t="str">
        <f>"207R00000X"</f>
        <v>207R00000X</v>
      </c>
      <c r="D10197" t="str">
        <f>"HINTON                   LINDSEY      S           "</f>
        <v xml:space="preserve">HINTON                   LINDSEY      S           </v>
      </c>
      <c r="E10197" t="str">
        <f>"TUPELO                    "</f>
        <v xml:space="preserve">TUPELO                    </v>
      </c>
      <c r="F10197" t="str">
        <f t="shared" si="286"/>
        <v>MS</v>
      </c>
    </row>
    <row r="10198" spans="1:6" x14ac:dyDescent="0.25">
      <c r="A10198" t="str">
        <f>"004221545"</f>
        <v>004221545</v>
      </c>
      <c r="B10198" t="str">
        <f>"1457508475"</f>
        <v>1457508475</v>
      </c>
      <c r="C10198" t="str">
        <f>"363L00000X"</f>
        <v>363L00000X</v>
      </c>
      <c r="D10198" t="str">
        <f>"SHAW                     JILL         M           "</f>
        <v xml:space="preserve">SHAW                     JILL         M           </v>
      </c>
      <c r="E10198" t="str">
        <f>"EUPORA                    "</f>
        <v xml:space="preserve">EUPORA                    </v>
      </c>
      <c r="F10198" t="str">
        <f t="shared" si="286"/>
        <v>MS</v>
      </c>
    </row>
    <row r="10199" spans="1:6" x14ac:dyDescent="0.25">
      <c r="A10199" t="str">
        <f>"004222533"</f>
        <v>004222533</v>
      </c>
      <c r="B10199" t="str">
        <f>"1073928941"</f>
        <v>1073928941</v>
      </c>
      <c r="C10199" t="str">
        <f>"207LP3000X"</f>
        <v>207LP3000X</v>
      </c>
      <c r="D10199" t="str">
        <f>"AMOLENDA                 PATRICIA     G           "</f>
        <v xml:space="preserve">AMOLENDA                 PATRICIA     G           </v>
      </c>
      <c r="E10199" t="str">
        <f>"JACKSON                   "</f>
        <v xml:space="preserve">JACKSON                   </v>
      </c>
      <c r="F10199" t="str">
        <f t="shared" si="286"/>
        <v>MS</v>
      </c>
    </row>
    <row r="10200" spans="1:6" x14ac:dyDescent="0.25">
      <c r="A10200" t="str">
        <f>"004222580"</f>
        <v>004222580</v>
      </c>
      <c r="B10200" t="str">
        <f>"1407866650"</f>
        <v>1407866650</v>
      </c>
      <c r="C10200" t="str">
        <f>"207RN0300X"</f>
        <v>207RN0300X</v>
      </c>
      <c r="D10200" t="str">
        <f>"LAM                      SON          G           "</f>
        <v xml:space="preserve">LAM                      SON          G           </v>
      </c>
      <c r="E10200" t="str">
        <f>"OXFORD                    "</f>
        <v xml:space="preserve">OXFORD                    </v>
      </c>
      <c r="F10200" t="str">
        <f t="shared" si="286"/>
        <v>MS</v>
      </c>
    </row>
    <row r="10201" spans="1:6" x14ac:dyDescent="0.25">
      <c r="A10201" t="str">
        <f>"004223743"</f>
        <v>004223743</v>
      </c>
      <c r="B10201" t="str">
        <f>"1902283880"</f>
        <v>1902283880</v>
      </c>
      <c r="C10201" t="str">
        <f>"2085R0202X"</f>
        <v>2085R0202X</v>
      </c>
      <c r="D10201" t="str">
        <f>"ARNDT                    STEPHEN      E           "</f>
        <v xml:space="preserve">ARNDT                    STEPHEN      E           </v>
      </c>
      <c r="E10201" t="str">
        <f>"CLEVELAND                 "</f>
        <v xml:space="preserve">CLEVELAND                 </v>
      </c>
      <c r="F10201" t="str">
        <f t="shared" si="286"/>
        <v>MS</v>
      </c>
    </row>
    <row r="10202" spans="1:6" x14ac:dyDescent="0.25">
      <c r="A10202" t="str">
        <f>"004223747"</f>
        <v>004223747</v>
      </c>
      <c r="B10202" t="str">
        <f>"1972830750"</f>
        <v>1972830750</v>
      </c>
      <c r="C10202" t="str">
        <f>"122300000X"</f>
        <v>122300000X</v>
      </c>
      <c r="D10202" t="str">
        <f>"MORRELL                  RUSSELL      D           "</f>
        <v xml:space="preserve">MORRELL                  RUSSELL      D           </v>
      </c>
      <c r="E10202" t="str">
        <f>"JACKSON                   "</f>
        <v xml:space="preserve">JACKSON                   </v>
      </c>
      <c r="F10202" t="str">
        <f t="shared" si="286"/>
        <v>MS</v>
      </c>
    </row>
    <row r="10203" spans="1:6" x14ac:dyDescent="0.25">
      <c r="A10203" t="str">
        <f>"004224781"</f>
        <v>004224781</v>
      </c>
      <c r="B10203" t="str">
        <f>"1760414494"</f>
        <v>1760414494</v>
      </c>
      <c r="C10203" t="str">
        <f>"261QF0400X"</f>
        <v>261QF0400X</v>
      </c>
      <c r="D10203" t="str">
        <f>"JHCHC-BOLTONEDWARDS                               "</f>
        <v xml:space="preserve">JHCHC-BOLTONEDWARDS                               </v>
      </c>
      <c r="E10203" t="str">
        <f>"BOLTON                    "</f>
        <v xml:space="preserve">BOLTON                    </v>
      </c>
      <c r="F10203" t="str">
        <f t="shared" si="286"/>
        <v>MS</v>
      </c>
    </row>
    <row r="10204" spans="1:6" x14ac:dyDescent="0.25">
      <c r="A10204" t="str">
        <f>"004224851"</f>
        <v>004224851</v>
      </c>
      <c r="B10204" t="str">
        <f>"1801381579"</f>
        <v>1801381579</v>
      </c>
      <c r="C10204" t="str">
        <f>"363LF0000X"</f>
        <v>363LF0000X</v>
      </c>
      <c r="D10204" t="str">
        <f>"DAVIS                    TARA         S           "</f>
        <v xml:space="preserve">DAVIS                    TARA         S           </v>
      </c>
      <c r="E10204" t="str">
        <f>"MOUND BAYOU               "</f>
        <v xml:space="preserve">MOUND BAYOU               </v>
      </c>
      <c r="F10204" t="str">
        <f t="shared" si="286"/>
        <v>MS</v>
      </c>
    </row>
    <row r="10205" spans="1:6" x14ac:dyDescent="0.25">
      <c r="A10205" t="str">
        <f>"004225023"</f>
        <v>004225023</v>
      </c>
      <c r="B10205" t="str">
        <f>"1912530569"</f>
        <v>1912530569</v>
      </c>
      <c r="C10205" t="str">
        <f>"363L00000X"</f>
        <v>363L00000X</v>
      </c>
      <c r="D10205" t="str">
        <f>"WAGNER                   BRANDI                   "</f>
        <v xml:space="preserve">WAGNER                   BRANDI                   </v>
      </c>
      <c r="E10205" t="str">
        <f>"JACKSON                   "</f>
        <v xml:space="preserve">JACKSON                   </v>
      </c>
      <c r="F10205" t="str">
        <f t="shared" si="286"/>
        <v>MS</v>
      </c>
    </row>
    <row r="10206" spans="1:6" x14ac:dyDescent="0.25">
      <c r="A10206" t="str">
        <f>"004225858"</f>
        <v>004225858</v>
      </c>
      <c r="B10206" t="str">
        <f>"1477870822"</f>
        <v>1477870822</v>
      </c>
      <c r="C10206" t="str">
        <f>"208000000X"</f>
        <v>208000000X</v>
      </c>
      <c r="D10206" t="str">
        <f>"PHILLIPS                 CATHERINE    D           "</f>
        <v xml:space="preserve">PHILLIPS                 CATHERINE    D           </v>
      </c>
      <c r="E10206" t="str">
        <f>"OXFORD                    "</f>
        <v xml:space="preserve">OXFORD                    </v>
      </c>
      <c r="F10206" t="str">
        <f t="shared" si="286"/>
        <v>MS</v>
      </c>
    </row>
    <row r="10207" spans="1:6" x14ac:dyDescent="0.25">
      <c r="A10207" t="str">
        <f>"004226579"</f>
        <v>004226579</v>
      </c>
      <c r="B10207" t="str">
        <f>"1154559961"</f>
        <v>1154559961</v>
      </c>
      <c r="C10207" t="str">
        <f>"207T00000X"</f>
        <v>207T00000X</v>
      </c>
      <c r="D10207" t="str">
        <f>"STACY                    JASON        D           "</f>
        <v xml:space="preserve">STACY                    JASON        D           </v>
      </c>
      <c r="E10207" t="str">
        <f>"TUPELO                    "</f>
        <v xml:space="preserve">TUPELO                    </v>
      </c>
      <c r="F10207" t="str">
        <f t="shared" si="286"/>
        <v>MS</v>
      </c>
    </row>
    <row r="10208" spans="1:6" x14ac:dyDescent="0.25">
      <c r="A10208" t="str">
        <f>"004228331"</f>
        <v>004228331</v>
      </c>
      <c r="B10208" t="str">
        <f>"1902496524"</f>
        <v>1902496524</v>
      </c>
      <c r="C10208" t="str">
        <f>"363L00000X"</f>
        <v>363L00000X</v>
      </c>
      <c r="D10208" t="str">
        <f>"DOMINIQUE                KIMBERLY     I           "</f>
        <v xml:space="preserve">DOMINIQUE                KIMBERLY     I           </v>
      </c>
      <c r="E10208" t="str">
        <f>"GULFPORT                  "</f>
        <v xml:space="preserve">GULFPORT                  </v>
      </c>
      <c r="F10208" t="str">
        <f t="shared" si="286"/>
        <v>MS</v>
      </c>
    </row>
    <row r="10209" spans="1:6" x14ac:dyDescent="0.25">
      <c r="A10209" t="str">
        <f>"004229003"</f>
        <v>004229003</v>
      </c>
      <c r="B10209" t="str">
        <f>"1780986133"</f>
        <v>1780986133</v>
      </c>
      <c r="C10209" t="str">
        <f>"367500000X"</f>
        <v>367500000X</v>
      </c>
      <c r="D10209" t="str">
        <f>"RUSHING                  LEWIS                    "</f>
        <v xml:space="preserve">RUSHING                  LEWIS                    </v>
      </c>
      <c r="E10209" t="str">
        <f>"OXFORD                    "</f>
        <v xml:space="preserve">OXFORD                    </v>
      </c>
      <c r="F10209" t="str">
        <f t="shared" si="286"/>
        <v>MS</v>
      </c>
    </row>
    <row r="10210" spans="1:6" x14ac:dyDescent="0.25">
      <c r="A10210" t="str">
        <f>"004230014"</f>
        <v>004230014</v>
      </c>
      <c r="B10210" t="str">
        <f>"1528053212"</f>
        <v>1528053212</v>
      </c>
      <c r="C10210" t="str">
        <f>"207Q00000X"</f>
        <v>207Q00000X</v>
      </c>
      <c r="D10210" t="str">
        <f>"BUCKLES                  ANTHONY      L           "</f>
        <v xml:space="preserve">BUCKLES                  ANTHONY      L           </v>
      </c>
      <c r="E10210" t="str">
        <f>"NATCHEZ                   "</f>
        <v xml:space="preserve">NATCHEZ                   </v>
      </c>
      <c r="F10210" t="str">
        <f t="shared" si="286"/>
        <v>MS</v>
      </c>
    </row>
    <row r="10211" spans="1:6" x14ac:dyDescent="0.25">
      <c r="A10211" t="str">
        <f>"004232560"</f>
        <v>004232560</v>
      </c>
      <c r="B10211" t="str">
        <f>"1760535553"</f>
        <v>1760535553</v>
      </c>
      <c r="C10211" t="str">
        <f>"207L00000X"</f>
        <v>207L00000X</v>
      </c>
      <c r="D10211" t="str">
        <f>"CARTER                   KEITH        L           "</f>
        <v xml:space="preserve">CARTER                   KEITH        L           </v>
      </c>
      <c r="E10211" t="str">
        <f>"JACKSON                   "</f>
        <v xml:space="preserve">JACKSON                   </v>
      </c>
      <c r="F10211" t="str">
        <f t="shared" si="286"/>
        <v>MS</v>
      </c>
    </row>
    <row r="10212" spans="1:6" x14ac:dyDescent="0.25">
      <c r="A10212" t="str">
        <f>"004234369"</f>
        <v>004234369</v>
      </c>
      <c r="B10212" t="str">
        <f>"1750799383"</f>
        <v>1750799383</v>
      </c>
      <c r="C10212" t="str">
        <f>"261QF0400X"</f>
        <v>261QF0400X</v>
      </c>
      <c r="D10212" t="str">
        <f>"JHCHC-TERRY HIGH SCHOOL-BASED CLINI               "</f>
        <v xml:space="preserve">JHCHC-TERRY HIGH SCHOOL-BASED CLINI               </v>
      </c>
      <c r="E10212" t="str">
        <f>"TERRY                     "</f>
        <v xml:space="preserve">TERRY                     </v>
      </c>
      <c r="F10212" t="str">
        <f t="shared" si="286"/>
        <v>MS</v>
      </c>
    </row>
    <row r="10213" spans="1:6" x14ac:dyDescent="0.25">
      <c r="A10213" t="str">
        <f>"004234753"</f>
        <v>004234753</v>
      </c>
      <c r="B10213" t="str">
        <f>"1700461456"</f>
        <v>1700461456</v>
      </c>
      <c r="C10213" t="str">
        <f>"363L00000X"</f>
        <v>363L00000X</v>
      </c>
      <c r="D10213" t="str">
        <f>"CURTIS                   JACQUELINE               "</f>
        <v xml:space="preserve">CURTIS                   JACQUELINE               </v>
      </c>
      <c r="E10213" t="str">
        <f>"PORT GIBSON               "</f>
        <v xml:space="preserve">PORT GIBSON               </v>
      </c>
      <c r="F10213" t="str">
        <f t="shared" si="286"/>
        <v>MS</v>
      </c>
    </row>
    <row r="10214" spans="1:6" x14ac:dyDescent="0.25">
      <c r="A10214" t="str">
        <f>"004235761"</f>
        <v>004235761</v>
      </c>
      <c r="B10214" t="str">
        <f>"1548578719"</f>
        <v>1548578719</v>
      </c>
      <c r="C10214" t="str">
        <f>"363L00000X"</f>
        <v>363L00000X</v>
      </c>
      <c r="D10214" t="str">
        <f>"LYNN                     KEICIA       T           "</f>
        <v xml:space="preserve">LYNN                     KEICIA       T           </v>
      </c>
      <c r="E10214" t="str">
        <f>"WEST POINT                "</f>
        <v xml:space="preserve">WEST POINT                </v>
      </c>
      <c r="F10214" t="str">
        <f t="shared" si="286"/>
        <v>MS</v>
      </c>
    </row>
    <row r="10215" spans="1:6" x14ac:dyDescent="0.25">
      <c r="A10215" t="str">
        <f>"004237007"</f>
        <v>004237007</v>
      </c>
      <c r="B10215" t="str">
        <f>"1497981658"</f>
        <v>1497981658</v>
      </c>
      <c r="C10215" t="str">
        <f>"122300000X"</f>
        <v>122300000X</v>
      </c>
      <c r="D10215" t="str">
        <f>"MITCHELL DENTAL CLINIC                            "</f>
        <v xml:space="preserve">MITCHELL DENTAL CLINIC                            </v>
      </c>
      <c r="E10215" t="str">
        <f>"MACON                     "</f>
        <v xml:space="preserve">MACON                     </v>
      </c>
      <c r="F10215" t="str">
        <f t="shared" si="286"/>
        <v>MS</v>
      </c>
    </row>
    <row r="10216" spans="1:6" x14ac:dyDescent="0.25">
      <c r="A10216" t="str">
        <f>"004237602"</f>
        <v>004237602</v>
      </c>
      <c r="B10216" t="str">
        <f>"1699372169"</f>
        <v>1699372169</v>
      </c>
      <c r="C10216" t="str">
        <f>"363L00000X"</f>
        <v>363L00000X</v>
      </c>
      <c r="D10216" t="str">
        <f>"CHRISTIAN                ALEXIS                   "</f>
        <v xml:space="preserve">CHRISTIAN                ALEXIS                   </v>
      </c>
      <c r="E10216" t="str">
        <f>"NATCHEZ                   "</f>
        <v xml:space="preserve">NATCHEZ                   </v>
      </c>
      <c r="F10216" t="str">
        <f t="shared" si="286"/>
        <v>MS</v>
      </c>
    </row>
    <row r="10217" spans="1:6" x14ac:dyDescent="0.25">
      <c r="A10217" t="str">
        <f>"004239551"</f>
        <v>004239551</v>
      </c>
      <c r="B10217" t="str">
        <f>"1669050928"</f>
        <v>1669050928</v>
      </c>
      <c r="C10217" t="str">
        <f>"207P00000X"</f>
        <v>207P00000X</v>
      </c>
      <c r="D10217" t="str">
        <f>"CUMMINS                  ADAM                     "</f>
        <v xml:space="preserve">CUMMINS                  ADAM                     </v>
      </c>
      <c r="E10217" t="str">
        <f>"JACKSON                   "</f>
        <v xml:space="preserve">JACKSON                   </v>
      </c>
      <c r="F10217" t="str">
        <f t="shared" si="286"/>
        <v>MS</v>
      </c>
    </row>
    <row r="10218" spans="1:6" x14ac:dyDescent="0.25">
      <c r="A10218" t="str">
        <f>"004239837"</f>
        <v>004239837</v>
      </c>
      <c r="B10218" t="str">
        <f>"1760465058"</f>
        <v>1760465058</v>
      </c>
      <c r="C10218" t="str">
        <f>"207R00000X"</f>
        <v>207R00000X</v>
      </c>
      <c r="D10218" t="str">
        <f>"BOSARGE                  JOSEPH       R           "</f>
        <v xml:space="preserve">BOSARGE                  JOSEPH       R           </v>
      </c>
      <c r="E10218" t="str">
        <f>"GULFPORT                  "</f>
        <v xml:space="preserve">GULFPORT                  </v>
      </c>
      <c r="F10218" t="str">
        <f t="shared" si="286"/>
        <v>MS</v>
      </c>
    </row>
    <row r="10219" spans="1:6" x14ac:dyDescent="0.25">
      <c r="A10219" t="str">
        <f>"004251087"</f>
        <v>004251087</v>
      </c>
      <c r="B10219" t="str">
        <f>"1477526945"</f>
        <v>1477526945</v>
      </c>
      <c r="C10219" t="str">
        <f>"208600000X"</f>
        <v>208600000X</v>
      </c>
      <c r="D10219" t="str">
        <f>"HEGARTY                  DECLAN       F           "</f>
        <v xml:space="preserve">HEGARTY                  DECLAN       F           </v>
      </c>
      <c r="E10219" t="str">
        <f>"LUCEDALE                  "</f>
        <v xml:space="preserve">LUCEDALE                  </v>
      </c>
      <c r="F10219" t="str">
        <f t="shared" si="286"/>
        <v>MS</v>
      </c>
    </row>
    <row r="10220" spans="1:6" x14ac:dyDescent="0.25">
      <c r="A10220" t="str">
        <f>"004252075"</f>
        <v>004252075</v>
      </c>
      <c r="B10220" t="str">
        <f>"1578561262"</f>
        <v>1578561262</v>
      </c>
      <c r="C10220" t="str">
        <f>"363L00000X"</f>
        <v>363L00000X</v>
      </c>
      <c r="D10220" t="str">
        <f>"GRIMES                   BRENT        A           "</f>
        <v xml:space="preserve">GRIMES                   BRENT        A           </v>
      </c>
      <c r="E10220" t="str">
        <f>"CORINTH                   "</f>
        <v xml:space="preserve">CORINTH                   </v>
      </c>
      <c r="F10220" t="str">
        <f t="shared" si="286"/>
        <v>MS</v>
      </c>
    </row>
    <row r="10221" spans="1:6" x14ac:dyDescent="0.25">
      <c r="A10221" t="str">
        <f>"004253239"</f>
        <v>004253239</v>
      </c>
      <c r="B10221" t="str">
        <f>"1255946018"</f>
        <v>1255946018</v>
      </c>
      <c r="C10221" t="str">
        <f>"363L00000X"</f>
        <v>363L00000X</v>
      </c>
      <c r="D10221" t="str">
        <f>"SPRING                   JACOB        W           "</f>
        <v xml:space="preserve">SPRING                   JACOB        W           </v>
      </c>
      <c r="E10221" t="str">
        <f>"BROOKHAVEN                "</f>
        <v xml:space="preserve">BROOKHAVEN                </v>
      </c>
      <c r="F10221" t="str">
        <f t="shared" si="286"/>
        <v>MS</v>
      </c>
    </row>
    <row r="10222" spans="1:6" x14ac:dyDescent="0.25">
      <c r="A10222" t="str">
        <f>"004254848"</f>
        <v>004254848</v>
      </c>
      <c r="B10222" t="str">
        <f>"1528477692"</f>
        <v>1528477692</v>
      </c>
      <c r="C10222" t="str">
        <f>"152W00000X"</f>
        <v>152W00000X</v>
      </c>
      <c r="D10222" t="str">
        <f>"GIANG                    ANH          M           "</f>
        <v xml:space="preserve">GIANG                    ANH          M           </v>
      </c>
      <c r="E10222" t="str">
        <f>"MADISON                   "</f>
        <v xml:space="preserve">MADISON                   </v>
      </c>
      <c r="F10222" t="str">
        <f t="shared" si="286"/>
        <v>MS</v>
      </c>
    </row>
    <row r="10223" spans="1:6" x14ac:dyDescent="0.25">
      <c r="A10223" t="str">
        <f>"004255707"</f>
        <v>004255707</v>
      </c>
      <c r="B10223" t="str">
        <f>"1861605560"</f>
        <v>1861605560</v>
      </c>
      <c r="C10223" t="str">
        <f>"363L00000X"</f>
        <v>363L00000X</v>
      </c>
      <c r="D10223" t="str">
        <f>"VILLARRUBIA              LESLIE       R           "</f>
        <v xml:space="preserve">VILLARRUBIA              LESLIE       R           </v>
      </c>
      <c r="E10223" t="str">
        <f>"TUPELO                    "</f>
        <v xml:space="preserve">TUPELO                    </v>
      </c>
      <c r="F10223" t="str">
        <f t="shared" si="286"/>
        <v>MS</v>
      </c>
    </row>
    <row r="10224" spans="1:6" x14ac:dyDescent="0.25">
      <c r="A10224" t="str">
        <f>"004259867"</f>
        <v>004259867</v>
      </c>
      <c r="B10224" t="str">
        <f>"1083957823"</f>
        <v>1083957823</v>
      </c>
      <c r="C10224" t="str">
        <f>"2080P0204X"</f>
        <v>2080P0204X</v>
      </c>
      <c r="D10224" t="str">
        <f>"MARBREY                  CHRISTINA                "</f>
        <v xml:space="preserve">MARBREY                  CHRISTINA                </v>
      </c>
      <c r="E10224" t="str">
        <f>"JACKSON                   "</f>
        <v xml:space="preserve">JACKSON                   </v>
      </c>
      <c r="F10224" t="str">
        <f t="shared" si="286"/>
        <v>MS</v>
      </c>
    </row>
    <row r="10225" spans="1:6" x14ac:dyDescent="0.25">
      <c r="A10225" t="str">
        <f>"004270002"</f>
        <v>004270002</v>
      </c>
      <c r="B10225" t="str">
        <f>"1609069962"</f>
        <v>1609069962</v>
      </c>
      <c r="C10225" t="str">
        <f>"261QR1300X"</f>
        <v>261QR1300X</v>
      </c>
      <c r="D10225" t="str">
        <f>"SGH MEDICAL CLINIC                                "</f>
        <v xml:space="preserve">SGH MEDICAL CLINIC                                </v>
      </c>
      <c r="E10225" t="str">
        <f>"MENDENHALL                "</f>
        <v xml:space="preserve">MENDENHALL                </v>
      </c>
      <c r="F10225" t="str">
        <f t="shared" si="286"/>
        <v>MS</v>
      </c>
    </row>
    <row r="10226" spans="1:6" x14ac:dyDescent="0.25">
      <c r="A10226" t="str">
        <f>"004271891"</f>
        <v>004271891</v>
      </c>
      <c r="B10226" t="str">
        <f>"1740308055"</f>
        <v>1740308055</v>
      </c>
      <c r="C10226" t="str">
        <f>"122300000X"</f>
        <v>122300000X</v>
      </c>
      <c r="D10226" t="str">
        <f>"WINFORD                  STACEY       D           "</f>
        <v xml:space="preserve">WINFORD                  STACEY       D           </v>
      </c>
      <c r="E10226" t="str">
        <f>"CARROLLTON                "</f>
        <v xml:space="preserve">CARROLLTON                </v>
      </c>
      <c r="F10226" t="str">
        <f t="shared" si="286"/>
        <v>MS</v>
      </c>
    </row>
    <row r="10227" spans="1:6" x14ac:dyDescent="0.25">
      <c r="A10227" t="str">
        <f>"004272788"</f>
        <v>004272788</v>
      </c>
      <c r="B10227" t="str">
        <f>"1760790778"</f>
        <v>1760790778</v>
      </c>
      <c r="C10227" t="str">
        <f>"152W00000X"</f>
        <v>152W00000X</v>
      </c>
      <c r="D10227" t="str">
        <f>"BAY SPRINGS EYE CARE LLC                          "</f>
        <v xml:space="preserve">BAY SPRINGS EYE CARE LLC                          </v>
      </c>
      <c r="E10227" t="str">
        <f>"BAY SPRINGS               "</f>
        <v xml:space="preserve">BAY SPRINGS               </v>
      </c>
      <c r="F10227" t="str">
        <f t="shared" si="286"/>
        <v>MS</v>
      </c>
    </row>
    <row r="10228" spans="1:6" x14ac:dyDescent="0.25">
      <c r="A10228" t="str">
        <f>"004272866"</f>
        <v>004272866</v>
      </c>
      <c r="B10228" t="str">
        <f>"1427517770"</f>
        <v>1427517770</v>
      </c>
      <c r="C10228" t="str">
        <f>"363L00000X"</f>
        <v>363L00000X</v>
      </c>
      <c r="D10228" t="str">
        <f>"BELLINO                  TIFFANIE                 "</f>
        <v xml:space="preserve">BELLINO                  TIFFANIE                 </v>
      </c>
      <c r="E10228" t="str">
        <f>"POPLARVILLE               "</f>
        <v xml:space="preserve">POPLARVILLE               </v>
      </c>
      <c r="F10228" t="str">
        <f t="shared" si="286"/>
        <v>MS</v>
      </c>
    </row>
    <row r="10229" spans="1:6" x14ac:dyDescent="0.25">
      <c r="A10229" t="str">
        <f>"004273097"</f>
        <v>004273097</v>
      </c>
      <c r="B10229" t="str">
        <f>"1255822169"</f>
        <v>1255822169</v>
      </c>
      <c r="C10229" t="str">
        <f>"122300000X"</f>
        <v>122300000X</v>
      </c>
      <c r="D10229" t="str">
        <f>"KNIGHTON                 DANIEL                   "</f>
        <v xml:space="preserve">KNIGHTON                 DANIEL                   </v>
      </c>
      <c r="E10229" t="str">
        <f>"TUPELO                    "</f>
        <v xml:space="preserve">TUPELO                    </v>
      </c>
      <c r="F10229" t="str">
        <f t="shared" si="286"/>
        <v>MS</v>
      </c>
    </row>
    <row r="10230" spans="1:6" x14ac:dyDescent="0.25">
      <c r="A10230" t="str">
        <f>"004273311"</f>
        <v>004273311</v>
      </c>
      <c r="B10230" t="str">
        <f>"1013105451"</f>
        <v>1013105451</v>
      </c>
      <c r="C10230" t="str">
        <f>"1223X0400X"</f>
        <v>1223X0400X</v>
      </c>
      <c r="D10230" t="str">
        <f>"WILLIAMS                 MICHAEL      O           "</f>
        <v xml:space="preserve">WILLIAMS                 MICHAEL      O           </v>
      </c>
      <c r="E10230" t="str">
        <f>"GULFPORT                  "</f>
        <v xml:space="preserve">GULFPORT                  </v>
      </c>
      <c r="F10230" t="str">
        <f t="shared" si="286"/>
        <v>MS</v>
      </c>
    </row>
    <row r="10231" spans="1:6" x14ac:dyDescent="0.25">
      <c r="A10231" t="str">
        <f>"004274341"</f>
        <v>004274341</v>
      </c>
      <c r="B10231" t="str">
        <f>"1073142105"</f>
        <v>1073142105</v>
      </c>
      <c r="C10231" t="str">
        <f>"2084P0800X"</f>
        <v>2084P0800X</v>
      </c>
      <c r="D10231" t="str">
        <f>"PATEL                    AVANI                    "</f>
        <v xml:space="preserve">PATEL                    AVANI                    </v>
      </c>
      <c r="E10231" t="str">
        <f>"JACKSON                   "</f>
        <v xml:space="preserve">JACKSON                   </v>
      </c>
      <c r="F10231" t="str">
        <f t="shared" si="286"/>
        <v>MS</v>
      </c>
    </row>
    <row r="10232" spans="1:6" x14ac:dyDescent="0.25">
      <c r="A10232" t="str">
        <f>"004274568"</f>
        <v>004274568</v>
      </c>
      <c r="B10232" t="str">
        <f>"1598921793"</f>
        <v>1598921793</v>
      </c>
      <c r="C10232" t="str">
        <f>"363L00000X"</f>
        <v>363L00000X</v>
      </c>
      <c r="D10232" t="str">
        <f>"NASH                     JERRY        L           "</f>
        <v xml:space="preserve">NASH                     JERRY        L           </v>
      </c>
      <c r="E10232" t="str">
        <f>"PELAHATCHIE               "</f>
        <v xml:space="preserve">PELAHATCHIE               </v>
      </c>
      <c r="F10232" t="str">
        <f t="shared" si="286"/>
        <v>MS</v>
      </c>
    </row>
    <row r="10233" spans="1:6" x14ac:dyDescent="0.25">
      <c r="A10233" t="str">
        <f>"004274856"</f>
        <v>004274856</v>
      </c>
      <c r="B10233" t="str">
        <f>"1932233392"</f>
        <v>1932233392</v>
      </c>
      <c r="C10233" t="str">
        <f>"208800000X"</f>
        <v>208800000X</v>
      </c>
      <c r="D10233" t="str">
        <f>"GRAVERSEN                JENS         F           "</f>
        <v xml:space="preserve">GRAVERSEN                JENS         F           </v>
      </c>
      <c r="E10233" t="str">
        <f>"LAUREL                    "</f>
        <v xml:space="preserve">LAUREL                    </v>
      </c>
      <c r="F10233" t="str">
        <f t="shared" si="286"/>
        <v>MS</v>
      </c>
    </row>
    <row r="10234" spans="1:6" x14ac:dyDescent="0.25">
      <c r="A10234" t="str">
        <f>"004275520"</f>
        <v>004275520</v>
      </c>
      <c r="B10234" t="str">
        <f>"1710242466"</f>
        <v>1710242466</v>
      </c>
      <c r="C10234" t="str">
        <f>"363L00000X"</f>
        <v>363L00000X</v>
      </c>
      <c r="D10234" t="str">
        <f>"ASHLEY                   CANDICE                  "</f>
        <v xml:space="preserve">ASHLEY                   CANDICE                  </v>
      </c>
      <c r="E10234" t="str">
        <f>"FLORENCE                  "</f>
        <v xml:space="preserve">FLORENCE                  </v>
      </c>
      <c r="F10234" t="str">
        <f t="shared" si="286"/>
        <v>MS</v>
      </c>
    </row>
    <row r="10235" spans="1:6" x14ac:dyDescent="0.25">
      <c r="A10235" t="str">
        <f>"004275896"</f>
        <v>004275896</v>
      </c>
      <c r="B10235" t="str">
        <f>"1184958753"</f>
        <v>1184958753</v>
      </c>
      <c r="C10235" t="str">
        <f>"363L00000X"</f>
        <v>363L00000X</v>
      </c>
      <c r="D10235" t="str">
        <f>"SHIVERS                  ASHLEY       M           "</f>
        <v xml:space="preserve">SHIVERS                  ASHLEY       M           </v>
      </c>
      <c r="E10235" t="str">
        <f>"BRANDON                   "</f>
        <v xml:space="preserve">BRANDON                   </v>
      </c>
      <c r="F10235" t="str">
        <f t="shared" si="286"/>
        <v>MS</v>
      </c>
    </row>
    <row r="10236" spans="1:6" x14ac:dyDescent="0.25">
      <c r="A10236" t="str">
        <f>"004276084"</f>
        <v>004276084</v>
      </c>
      <c r="B10236" t="str">
        <f>"1184156804"</f>
        <v>1184156804</v>
      </c>
      <c r="C10236" t="str">
        <f>"207Q00000X"</f>
        <v>207Q00000X</v>
      </c>
      <c r="D10236" t="str">
        <f>"SANDERS                  MELISSA      E           "</f>
        <v xml:space="preserve">SANDERS                  MELISSA      E           </v>
      </c>
      <c r="E10236" t="str">
        <f>"RICHLAND                  "</f>
        <v xml:space="preserve">RICHLAND                  </v>
      </c>
      <c r="F10236" t="str">
        <f t="shared" si="286"/>
        <v>MS</v>
      </c>
    </row>
    <row r="10237" spans="1:6" x14ac:dyDescent="0.25">
      <c r="A10237" t="str">
        <f>"004276719"</f>
        <v>004276719</v>
      </c>
      <c r="B10237" t="str">
        <f>"1356780423"</f>
        <v>1356780423</v>
      </c>
      <c r="C10237" t="str">
        <f>"261QR1300X"</f>
        <v>261QR1300X</v>
      </c>
      <c r="D10237" t="str">
        <f>"BAPTIST ANDERSON FAMILY MEDICAL CENTER -ENTERPRISE"</f>
        <v>BAPTIST ANDERSON FAMILY MEDICAL CENTER -ENTERPRISE</v>
      </c>
      <c r="E10237" t="str">
        <f>"ENTERPRISE                "</f>
        <v xml:space="preserve">ENTERPRISE                </v>
      </c>
      <c r="F10237" t="str">
        <f t="shared" si="286"/>
        <v>MS</v>
      </c>
    </row>
    <row r="10238" spans="1:6" x14ac:dyDescent="0.25">
      <c r="A10238" t="str">
        <f>"004277345"</f>
        <v>004277345</v>
      </c>
      <c r="B10238" t="str">
        <f>"1598108896"</f>
        <v>1598108896</v>
      </c>
      <c r="C10238" t="str">
        <f>"367500000X"</f>
        <v>367500000X</v>
      </c>
      <c r="D10238" t="str">
        <f>"WALLACE                  CRAWFORD                 "</f>
        <v xml:space="preserve">WALLACE                  CRAWFORD                 </v>
      </c>
      <c r="E10238" t="str">
        <f>"PICAYUNE                  "</f>
        <v xml:space="preserve">PICAYUNE                  </v>
      </c>
      <c r="F10238" t="str">
        <f t="shared" ref="F10238:F10301" si="287">"MS"</f>
        <v>MS</v>
      </c>
    </row>
    <row r="10239" spans="1:6" x14ac:dyDescent="0.25">
      <c r="A10239" t="str">
        <f>"004277747"</f>
        <v>004277747</v>
      </c>
      <c r="B10239" t="str">
        <f>"1194017509"</f>
        <v>1194017509</v>
      </c>
      <c r="C10239" t="str">
        <f>"363L00000X"</f>
        <v>363L00000X</v>
      </c>
      <c r="D10239" t="str">
        <f>"ROLAND                   EDWINA                   "</f>
        <v xml:space="preserve">ROLAND                   EDWINA                   </v>
      </c>
      <c r="E10239" t="str">
        <f>"PASCAGOULA                "</f>
        <v xml:space="preserve">PASCAGOULA                </v>
      </c>
      <c r="F10239" t="str">
        <f t="shared" si="287"/>
        <v>MS</v>
      </c>
    </row>
    <row r="10240" spans="1:6" x14ac:dyDescent="0.25">
      <c r="A10240" t="str">
        <f>"004278332"</f>
        <v>004278332</v>
      </c>
      <c r="B10240" t="str">
        <f>"1669835310"</f>
        <v>1669835310</v>
      </c>
      <c r="C10240" t="str">
        <f>"261QR1300X"</f>
        <v>261QR1300X</v>
      </c>
      <c r="D10240" t="str">
        <f>"COMPLETE CARE RURAL HEALTH CLINIC                 "</f>
        <v xml:space="preserve">COMPLETE CARE RURAL HEALTH CLINIC                 </v>
      </c>
      <c r="E10240" t="str">
        <f>"VICKSBURG                 "</f>
        <v xml:space="preserve">VICKSBURG                 </v>
      </c>
      <c r="F10240" t="str">
        <f t="shared" si="287"/>
        <v>MS</v>
      </c>
    </row>
    <row r="10241" spans="1:6" x14ac:dyDescent="0.25">
      <c r="A10241" t="str">
        <f>"004279758"</f>
        <v>004279758</v>
      </c>
      <c r="B10241" t="str">
        <f>"1093144438"</f>
        <v>1093144438</v>
      </c>
      <c r="C10241" t="str">
        <f>"367500000X"</f>
        <v>367500000X</v>
      </c>
      <c r="D10241" t="str">
        <f>"WHITE                    COREY        A           "</f>
        <v xml:space="preserve">WHITE                    COREY        A           </v>
      </c>
      <c r="E10241" t="str">
        <f>"HATTIESBURG               "</f>
        <v xml:space="preserve">HATTIESBURG               </v>
      </c>
      <c r="F10241" t="str">
        <f t="shared" si="287"/>
        <v>MS</v>
      </c>
    </row>
    <row r="10242" spans="1:6" x14ac:dyDescent="0.25">
      <c r="A10242" t="str">
        <f>"004280069"</f>
        <v>004280069</v>
      </c>
      <c r="B10242" t="str">
        <f>"1316110745"</f>
        <v>1316110745</v>
      </c>
      <c r="C10242" t="str">
        <f>"208600000X"</f>
        <v>208600000X</v>
      </c>
      <c r="D10242" t="str">
        <f>"COMPTON                  NATHAN                   "</f>
        <v xml:space="preserve">COMPTON                  NATHAN                   </v>
      </c>
      <c r="E10242" t="str">
        <f>"HATTIESBURG               "</f>
        <v xml:space="preserve">HATTIESBURG               </v>
      </c>
      <c r="F10242" t="str">
        <f t="shared" si="287"/>
        <v>MS</v>
      </c>
    </row>
    <row r="10243" spans="1:6" x14ac:dyDescent="0.25">
      <c r="A10243" t="str">
        <f>"004281016"</f>
        <v>004281016</v>
      </c>
      <c r="B10243" t="str">
        <f>"1942798301"</f>
        <v>1942798301</v>
      </c>
      <c r="C10243" t="str">
        <f>"363L00000X"</f>
        <v>363L00000X</v>
      </c>
      <c r="D10243" t="str">
        <f>"REEVES                   MIRANDA                  "</f>
        <v xml:space="preserve">REEVES                   MIRANDA                  </v>
      </c>
      <c r="E10243" t="str">
        <f>"GULFPORT                  "</f>
        <v xml:space="preserve">GULFPORT                  </v>
      </c>
      <c r="F10243" t="str">
        <f t="shared" si="287"/>
        <v>MS</v>
      </c>
    </row>
    <row r="10244" spans="1:6" x14ac:dyDescent="0.25">
      <c r="A10244" t="str">
        <f>"004281233"</f>
        <v>004281233</v>
      </c>
      <c r="B10244" t="str">
        <f>"1235508342"</f>
        <v>1235508342</v>
      </c>
      <c r="C10244" t="str">
        <f>"122300000X"</f>
        <v>122300000X</v>
      </c>
      <c r="D10244" t="str">
        <f>"EAST MS ORAL &amp; FACIAL SURGERY LLC                 "</f>
        <v xml:space="preserve">EAST MS ORAL &amp; FACIAL SURGERY LLC                 </v>
      </c>
      <c r="E10244" t="str">
        <f>"MERIDIAN                  "</f>
        <v xml:space="preserve">MERIDIAN                  </v>
      </c>
      <c r="F10244" t="str">
        <f t="shared" si="287"/>
        <v>MS</v>
      </c>
    </row>
    <row r="10245" spans="1:6" x14ac:dyDescent="0.25">
      <c r="A10245" t="str">
        <f>"004281720"</f>
        <v>004281720</v>
      </c>
      <c r="B10245" t="str">
        <f>"1922521103"</f>
        <v>1922521103</v>
      </c>
      <c r="C10245" t="str">
        <f>"363L00000X"</f>
        <v>363L00000X</v>
      </c>
      <c r="D10245" t="str">
        <f>"ADKINS                   COURTNEY     T           "</f>
        <v xml:space="preserve">ADKINS                   COURTNEY     T           </v>
      </c>
      <c r="E10245" t="str">
        <f>"WAYNESBORO                "</f>
        <v xml:space="preserve">WAYNESBORO                </v>
      </c>
      <c r="F10245" t="str">
        <f t="shared" si="287"/>
        <v>MS</v>
      </c>
    </row>
    <row r="10246" spans="1:6" x14ac:dyDescent="0.25">
      <c r="A10246" t="str">
        <f>"004283804"</f>
        <v>004283804</v>
      </c>
      <c r="B10246" t="str">
        <f>"1588285860"</f>
        <v>1588285860</v>
      </c>
      <c r="C10246" t="str">
        <f>"261QA0600X"</f>
        <v>261QA0600X</v>
      </c>
      <c r="D10246" t="str">
        <f>"AT HOME ADULT DAY CARE CENTER                     "</f>
        <v xml:space="preserve">AT HOME ADULT DAY CARE CENTER                     </v>
      </c>
      <c r="E10246" t="str">
        <f>"GLOSTER                   "</f>
        <v xml:space="preserve">GLOSTER                   </v>
      </c>
      <c r="F10246" t="str">
        <f t="shared" si="287"/>
        <v>MS</v>
      </c>
    </row>
    <row r="10247" spans="1:6" x14ac:dyDescent="0.25">
      <c r="A10247" t="str">
        <f>"004284011"</f>
        <v>004284011</v>
      </c>
      <c r="B10247" t="str">
        <f>"1538189592"</f>
        <v>1538189592</v>
      </c>
      <c r="C10247" t="str">
        <f>"367A00000X"</f>
        <v>367A00000X</v>
      </c>
      <c r="D10247" t="str">
        <f>"SCAGGS                   JANICE                   "</f>
        <v xml:space="preserve">SCAGGS                   JANICE                   </v>
      </c>
      <c r="E10247" t="str">
        <f>"JACKSON                   "</f>
        <v xml:space="preserve">JACKSON                   </v>
      </c>
      <c r="F10247" t="str">
        <f t="shared" si="287"/>
        <v>MS</v>
      </c>
    </row>
    <row r="10248" spans="1:6" x14ac:dyDescent="0.25">
      <c r="A10248" t="str">
        <f>"004284750"</f>
        <v>004284750</v>
      </c>
      <c r="B10248" t="str">
        <f>"1831705565"</f>
        <v>1831705565</v>
      </c>
      <c r="C10248" t="str">
        <f>"363L00000X"</f>
        <v>363L00000X</v>
      </c>
      <c r="D10248" t="str">
        <f>"GULLICK                  EMALEE                   "</f>
        <v xml:space="preserve">GULLICK                  EMALEE                   </v>
      </c>
      <c r="E10248" t="str">
        <f>"TUPELO                    "</f>
        <v xml:space="preserve">TUPELO                    </v>
      </c>
      <c r="F10248" t="str">
        <f t="shared" si="287"/>
        <v>MS</v>
      </c>
    </row>
    <row r="10249" spans="1:6" x14ac:dyDescent="0.25">
      <c r="A10249" t="str">
        <f>"004284891"</f>
        <v>004284891</v>
      </c>
      <c r="B10249" t="str">
        <f>"1306158183"</f>
        <v>1306158183</v>
      </c>
      <c r="C10249" t="str">
        <f>"207P00000X"</f>
        <v>207P00000X</v>
      </c>
      <c r="D10249" t="str">
        <f>"PRYOR                    JASON        E           "</f>
        <v xml:space="preserve">PRYOR                    JASON        E           </v>
      </c>
      <c r="E10249" t="str">
        <f>"STARKVILLE                "</f>
        <v xml:space="preserve">STARKVILLE                </v>
      </c>
      <c r="F10249" t="str">
        <f t="shared" si="287"/>
        <v>MS</v>
      </c>
    </row>
    <row r="10250" spans="1:6" x14ac:dyDescent="0.25">
      <c r="A10250" t="str">
        <f>"004286068"</f>
        <v>004286068</v>
      </c>
      <c r="B10250" t="str">
        <f>"1700477015"</f>
        <v>1700477015</v>
      </c>
      <c r="C10250" t="str">
        <f>"261QR1300X"</f>
        <v>261QR1300X</v>
      </c>
      <c r="D10250" t="str">
        <f>"MRH MEDICAL GROUP, ACUTE CARE AND F               "</f>
        <v xml:space="preserve">MRH MEDICAL GROUP, ACUTE CARE AND F               </v>
      </c>
      <c r="E10250" t="str">
        <f>"PONTOTOC                  "</f>
        <v xml:space="preserve">PONTOTOC                  </v>
      </c>
      <c r="F10250" t="str">
        <f t="shared" si="287"/>
        <v>MS</v>
      </c>
    </row>
    <row r="10251" spans="1:6" x14ac:dyDescent="0.25">
      <c r="A10251" t="str">
        <f>"004289596"</f>
        <v>004289596</v>
      </c>
      <c r="B10251" t="str">
        <f>"1134437940"</f>
        <v>1134437940</v>
      </c>
      <c r="C10251" t="str">
        <f>"152W00000X"</f>
        <v>152W00000X</v>
      </c>
      <c r="D10251" t="str">
        <f>"MCFARLAND                HILARI       D           "</f>
        <v xml:space="preserve">MCFARLAND                HILARI       D           </v>
      </c>
      <c r="E10251" t="str">
        <f>"HATTIESBURG               "</f>
        <v xml:space="preserve">HATTIESBURG               </v>
      </c>
      <c r="F10251" t="str">
        <f t="shared" si="287"/>
        <v>MS</v>
      </c>
    </row>
    <row r="10252" spans="1:6" x14ac:dyDescent="0.25">
      <c r="A10252" t="str">
        <f>"004289812"</f>
        <v>004289812</v>
      </c>
      <c r="B10252" t="str">
        <f>"1447802103"</f>
        <v>1447802103</v>
      </c>
      <c r="C10252" t="str">
        <f>"363L00000X"</f>
        <v>363L00000X</v>
      </c>
      <c r="D10252" t="str">
        <f>"BASSI                    HEATHER                  "</f>
        <v xml:space="preserve">BASSI                    HEATHER                  </v>
      </c>
      <c r="E10252" t="str">
        <f>"HATTIESBURG               "</f>
        <v xml:space="preserve">HATTIESBURG               </v>
      </c>
      <c r="F10252" t="str">
        <f t="shared" si="287"/>
        <v>MS</v>
      </c>
    </row>
    <row r="10253" spans="1:6" x14ac:dyDescent="0.25">
      <c r="A10253" t="str">
        <f>"004289864"</f>
        <v>004289864</v>
      </c>
      <c r="B10253" t="str">
        <f>"1023343720"</f>
        <v>1023343720</v>
      </c>
      <c r="C10253" t="str">
        <f>"261QA1903X"</f>
        <v>261QA1903X</v>
      </c>
      <c r="D10253" t="str">
        <f>"HATTIESBURG SURGERY CENTER, LLC                   "</f>
        <v xml:space="preserve">HATTIESBURG SURGERY CENTER, LLC                   </v>
      </c>
      <c r="E10253" t="str">
        <f>"HATTIESBURG               "</f>
        <v xml:space="preserve">HATTIESBURG               </v>
      </c>
      <c r="F10253" t="str">
        <f t="shared" si="287"/>
        <v>MS</v>
      </c>
    </row>
    <row r="10254" spans="1:6" x14ac:dyDescent="0.25">
      <c r="A10254" t="str">
        <f>"004300313"</f>
        <v>004300313</v>
      </c>
      <c r="B10254" t="str">
        <f>"1073131074"</f>
        <v>1073131074</v>
      </c>
      <c r="C10254" t="str">
        <f>"363L00000X"</f>
        <v>363L00000X</v>
      </c>
      <c r="D10254" t="str">
        <f>"COCHRAN                  ALLISON                  "</f>
        <v xml:space="preserve">COCHRAN                  ALLISON                  </v>
      </c>
      <c r="E10254" t="str">
        <f>"GLUCKSTADT                "</f>
        <v xml:space="preserve">GLUCKSTADT                </v>
      </c>
      <c r="F10254" t="str">
        <f t="shared" si="287"/>
        <v>MS</v>
      </c>
    </row>
    <row r="10255" spans="1:6" x14ac:dyDescent="0.25">
      <c r="A10255" t="str">
        <f>"004300750"</f>
        <v>004300750</v>
      </c>
      <c r="B10255" t="str">
        <f>"1235436577"</f>
        <v>1235436577</v>
      </c>
      <c r="C10255" t="str">
        <f>"363L00000X"</f>
        <v>363L00000X</v>
      </c>
      <c r="D10255" t="str">
        <f>"QUARLES                  DAVID        T           "</f>
        <v xml:space="preserve">QUARLES                  DAVID        T           </v>
      </c>
      <c r="E10255" t="str">
        <f>"FLOWOOD                   "</f>
        <v xml:space="preserve">FLOWOOD                   </v>
      </c>
      <c r="F10255" t="str">
        <f t="shared" si="287"/>
        <v>MS</v>
      </c>
    </row>
    <row r="10256" spans="1:6" x14ac:dyDescent="0.25">
      <c r="A10256" t="str">
        <f>"004302086"</f>
        <v>004302086</v>
      </c>
      <c r="B10256" t="str">
        <f>"1114597044"</f>
        <v>1114597044</v>
      </c>
      <c r="C10256" t="str">
        <f>"363L00000X"</f>
        <v>363L00000X</v>
      </c>
      <c r="D10256" t="str">
        <f>"GAUGHF                   MEMORIE                  "</f>
        <v xml:space="preserve">GAUGHF                   MEMORIE                  </v>
      </c>
      <c r="E10256" t="str">
        <f>"BILOXI                    "</f>
        <v xml:space="preserve">BILOXI                    </v>
      </c>
      <c r="F10256" t="str">
        <f t="shared" si="287"/>
        <v>MS</v>
      </c>
    </row>
    <row r="10257" spans="1:6" x14ac:dyDescent="0.25">
      <c r="A10257" t="str">
        <f>"004302267"</f>
        <v>004302267</v>
      </c>
      <c r="B10257" t="str">
        <f>"1427336528"</f>
        <v>1427336528</v>
      </c>
      <c r="C10257" t="str">
        <f>"2080P0203X"</f>
        <v>2080P0203X</v>
      </c>
      <c r="D10257" t="str">
        <f>"THOMAS                   LISA-GAYE    C           "</f>
        <v xml:space="preserve">THOMAS                   LISA-GAYE    C           </v>
      </c>
      <c r="E10257" t="str">
        <f>"TUPELO                    "</f>
        <v xml:space="preserve">TUPELO                    </v>
      </c>
      <c r="F10257" t="str">
        <f t="shared" si="287"/>
        <v>MS</v>
      </c>
    </row>
    <row r="10258" spans="1:6" x14ac:dyDescent="0.25">
      <c r="A10258" t="str">
        <f>"004302800"</f>
        <v>004302800</v>
      </c>
      <c r="B10258" t="str">
        <f>"1124473053"</f>
        <v>1124473053</v>
      </c>
      <c r="C10258" t="str">
        <f>"207P00000X"</f>
        <v>207P00000X</v>
      </c>
      <c r="D10258" t="str">
        <f>"BRIGHTBILL               WHITNEY      J           "</f>
        <v xml:space="preserve">BRIGHTBILL               WHITNEY      J           </v>
      </c>
      <c r="E10258" t="str">
        <f>"JACKSON                   "</f>
        <v xml:space="preserve">JACKSON                   </v>
      </c>
      <c r="F10258" t="str">
        <f t="shared" si="287"/>
        <v>MS</v>
      </c>
    </row>
    <row r="10259" spans="1:6" x14ac:dyDescent="0.25">
      <c r="A10259" t="str">
        <f>"004304310"</f>
        <v>004304310</v>
      </c>
      <c r="B10259" t="str">
        <f>"1770182438"</f>
        <v>1770182438</v>
      </c>
      <c r="C10259" t="str">
        <f>"363L00000X"</f>
        <v>363L00000X</v>
      </c>
      <c r="D10259" t="str">
        <f>"CARTER                   TARA         P           "</f>
        <v xml:space="preserve">CARTER                   TARA         P           </v>
      </c>
      <c r="E10259" t="str">
        <f>"JACKSON                   "</f>
        <v xml:space="preserve">JACKSON                   </v>
      </c>
      <c r="F10259" t="str">
        <f t="shared" si="287"/>
        <v>MS</v>
      </c>
    </row>
    <row r="10260" spans="1:6" x14ac:dyDescent="0.25">
      <c r="A10260" t="str">
        <f>"004304705"</f>
        <v>004304705</v>
      </c>
      <c r="B10260" t="str">
        <f>"1871839555"</f>
        <v>1871839555</v>
      </c>
      <c r="C10260" t="str">
        <f>"367500000X"</f>
        <v>367500000X</v>
      </c>
      <c r="D10260" t="str">
        <f>"FUQUA                    JOSHUA       E           "</f>
        <v xml:space="preserve">FUQUA                    JOSHUA       E           </v>
      </c>
      <c r="E10260" t="str">
        <f>"JACKSON                   "</f>
        <v xml:space="preserve">JACKSON                   </v>
      </c>
      <c r="F10260" t="str">
        <f t="shared" si="287"/>
        <v>MS</v>
      </c>
    </row>
    <row r="10261" spans="1:6" x14ac:dyDescent="0.25">
      <c r="A10261" t="str">
        <f>"004304781"</f>
        <v>004304781</v>
      </c>
      <c r="B10261" t="str">
        <f>"1457541450"</f>
        <v>1457541450</v>
      </c>
      <c r="C10261" t="str">
        <f>"152W00000X"</f>
        <v>152W00000X</v>
      </c>
      <c r="D10261" t="str">
        <f>"BULLIN                   CHRISTOPHER  J           "</f>
        <v xml:space="preserve">BULLIN                   CHRISTOPHER  J           </v>
      </c>
      <c r="E10261" t="str">
        <f>"JACKSON                   "</f>
        <v xml:space="preserve">JACKSON                   </v>
      </c>
      <c r="F10261" t="str">
        <f t="shared" si="287"/>
        <v>MS</v>
      </c>
    </row>
    <row r="10262" spans="1:6" x14ac:dyDescent="0.25">
      <c r="A10262" t="str">
        <f>"004304791"</f>
        <v>004304791</v>
      </c>
      <c r="B10262" t="str">
        <f>"1316500887"</f>
        <v>1316500887</v>
      </c>
      <c r="C10262" t="str">
        <f>"363L00000X"</f>
        <v>363L00000X</v>
      </c>
      <c r="D10262" t="str">
        <f>"WALDRON                  HOLLIE                   "</f>
        <v xml:space="preserve">WALDRON                  HOLLIE                   </v>
      </c>
      <c r="E10262" t="str">
        <f>"TUPELO                    "</f>
        <v xml:space="preserve">TUPELO                    </v>
      </c>
      <c r="F10262" t="str">
        <f t="shared" si="287"/>
        <v>MS</v>
      </c>
    </row>
    <row r="10263" spans="1:6" x14ac:dyDescent="0.25">
      <c r="A10263" t="str">
        <f>"004305209"</f>
        <v>004305209</v>
      </c>
      <c r="B10263" t="str">
        <f>"1114959608"</f>
        <v>1114959608</v>
      </c>
      <c r="C10263" t="str">
        <f>"152W00000X"</f>
        <v>152W00000X</v>
      </c>
      <c r="D10263" t="str">
        <f>"EYE SPECIALISTS OF LA                             "</f>
        <v xml:space="preserve">EYE SPECIALISTS OF LA                             </v>
      </c>
      <c r="E10263" t="str">
        <f>"WOODVILLE                 "</f>
        <v xml:space="preserve">WOODVILLE                 </v>
      </c>
      <c r="F10263" t="str">
        <f t="shared" si="287"/>
        <v>MS</v>
      </c>
    </row>
    <row r="10264" spans="1:6" x14ac:dyDescent="0.25">
      <c r="A10264" t="str">
        <f>"004307760"</f>
        <v>004307760</v>
      </c>
      <c r="B10264" t="str">
        <f>"1821482548"</f>
        <v>1821482548</v>
      </c>
      <c r="C10264" t="str">
        <f>"261QA0600X"</f>
        <v>261QA0600X</v>
      </c>
      <c r="D10264" t="str">
        <f>"DELTA VALLEY ADULT DAY CARE                       "</f>
        <v xml:space="preserve">DELTA VALLEY ADULT DAY CARE                       </v>
      </c>
      <c r="E10264" t="str">
        <f>"BELZONI                   "</f>
        <v xml:space="preserve">BELZONI                   </v>
      </c>
      <c r="F10264" t="str">
        <f t="shared" si="287"/>
        <v>MS</v>
      </c>
    </row>
    <row r="10265" spans="1:6" x14ac:dyDescent="0.25">
      <c r="A10265" t="str">
        <f>"004308213"</f>
        <v>004308213</v>
      </c>
      <c r="B10265" t="str">
        <f>"1386038651"</f>
        <v>1386038651</v>
      </c>
      <c r="C10265" t="str">
        <f>"208800000X"</f>
        <v>208800000X</v>
      </c>
      <c r="D10265" t="str">
        <f>"DUFF                     JOEL         D           "</f>
        <v xml:space="preserve">DUFF                     JOEL         D           </v>
      </c>
      <c r="E10265" t="str">
        <f>"BROOKHAVEN                "</f>
        <v xml:space="preserve">BROOKHAVEN                </v>
      </c>
      <c r="F10265" t="str">
        <f t="shared" si="287"/>
        <v>MS</v>
      </c>
    </row>
    <row r="10266" spans="1:6" x14ac:dyDescent="0.25">
      <c r="A10266" t="str">
        <f>"004309583"</f>
        <v>004309583</v>
      </c>
      <c r="B10266" t="str">
        <f>"1942608112"</f>
        <v>1942608112</v>
      </c>
      <c r="C10266" t="str">
        <f>"122300000X"</f>
        <v>122300000X</v>
      </c>
      <c r="D10266" t="str">
        <f>"SMILES ON BROADWAY DENTAL CARE                    "</f>
        <v xml:space="preserve">SMILES ON BROADWAY DENTAL CARE                    </v>
      </c>
      <c r="E10266" t="str">
        <f>"JACKSON                   "</f>
        <v xml:space="preserve">JACKSON                   </v>
      </c>
      <c r="F10266" t="str">
        <f t="shared" si="287"/>
        <v>MS</v>
      </c>
    </row>
    <row r="10267" spans="1:6" x14ac:dyDescent="0.25">
      <c r="A10267" t="str">
        <f>"004320701"</f>
        <v>004320701</v>
      </c>
      <c r="B10267" t="str">
        <f>"1932378890"</f>
        <v>1932378890</v>
      </c>
      <c r="C10267" t="str">
        <f>"122300000X"</f>
        <v>122300000X</v>
      </c>
      <c r="D10267" t="str">
        <f>"SAGRERA                  THOMAS       P           "</f>
        <v xml:space="preserve">SAGRERA                  THOMAS       P           </v>
      </c>
      <c r="E10267" t="str">
        <f>"BILOXI                    "</f>
        <v xml:space="preserve">BILOXI                    </v>
      </c>
      <c r="F10267" t="str">
        <f t="shared" si="287"/>
        <v>MS</v>
      </c>
    </row>
    <row r="10268" spans="1:6" x14ac:dyDescent="0.25">
      <c r="A10268" t="str">
        <f>"004321325"</f>
        <v>004321325</v>
      </c>
      <c r="B10268" t="str">
        <f>"1720217367"</f>
        <v>1720217367</v>
      </c>
      <c r="C10268" t="str">
        <f>"208000000X"</f>
        <v>208000000X</v>
      </c>
      <c r="D10268" t="str">
        <f>"GILLIAM                  DAVID        E           "</f>
        <v xml:space="preserve">GILLIAM                  DAVID        E           </v>
      </c>
      <c r="E10268" t="str">
        <f>"JACKSON                   "</f>
        <v xml:space="preserve">JACKSON                   </v>
      </c>
      <c r="F10268" t="str">
        <f t="shared" si="287"/>
        <v>MS</v>
      </c>
    </row>
    <row r="10269" spans="1:6" x14ac:dyDescent="0.25">
      <c r="A10269" t="str">
        <f>"004321853"</f>
        <v>004321853</v>
      </c>
      <c r="B10269" t="str">
        <f>"1477824902"</f>
        <v>1477824902</v>
      </c>
      <c r="C10269" t="str">
        <f>"363L00000X"</f>
        <v>363L00000X</v>
      </c>
      <c r="D10269" t="str">
        <f>"WINDHAM                  CHELSEY      E           "</f>
        <v xml:space="preserve">WINDHAM                  CHELSEY      E           </v>
      </c>
      <c r="E10269" t="str">
        <f>"BILOXI                    "</f>
        <v xml:space="preserve">BILOXI                    </v>
      </c>
      <c r="F10269" t="str">
        <f t="shared" si="287"/>
        <v>MS</v>
      </c>
    </row>
    <row r="10270" spans="1:6" x14ac:dyDescent="0.25">
      <c r="A10270" t="str">
        <f>"004322326"</f>
        <v>004322326</v>
      </c>
      <c r="B10270" t="str">
        <f>"1396301198"</f>
        <v>1396301198</v>
      </c>
      <c r="C10270" t="str">
        <f>"363L00000X"</f>
        <v>363L00000X</v>
      </c>
      <c r="D10270" t="str">
        <f>"LUMPKIN                  STEPHANIE    H           "</f>
        <v xml:space="preserve">LUMPKIN                  STEPHANIE    H           </v>
      </c>
      <c r="E10270" t="str">
        <f>"GULFPORT                  "</f>
        <v xml:space="preserve">GULFPORT                  </v>
      </c>
      <c r="F10270" t="str">
        <f t="shared" si="287"/>
        <v>MS</v>
      </c>
    </row>
    <row r="10271" spans="1:6" x14ac:dyDescent="0.25">
      <c r="A10271" t="str">
        <f>"004323752"</f>
        <v>004323752</v>
      </c>
      <c r="B10271" t="str">
        <f>"1548840119"</f>
        <v>1548840119</v>
      </c>
      <c r="C10271" t="str">
        <f>"207P00000X"</f>
        <v>207P00000X</v>
      </c>
      <c r="D10271" t="str">
        <f>"THISTLE                  KYLE                     "</f>
        <v xml:space="preserve">THISTLE                  KYLE                     </v>
      </c>
      <c r="E10271" t="str">
        <f>"JACKSON                   "</f>
        <v xml:space="preserve">JACKSON                   </v>
      </c>
      <c r="F10271" t="str">
        <f t="shared" si="287"/>
        <v>MS</v>
      </c>
    </row>
    <row r="10272" spans="1:6" x14ac:dyDescent="0.25">
      <c r="A10272" t="str">
        <f>"004324593"</f>
        <v>004324593</v>
      </c>
      <c r="B10272" t="str">
        <f>"1285268235"</f>
        <v>1285268235</v>
      </c>
      <c r="C10272" t="str">
        <f>"363L00000X"</f>
        <v>363L00000X</v>
      </c>
      <c r="D10272" t="str">
        <f>"POWE                     SELENA       M           "</f>
        <v xml:space="preserve">POWE                     SELENA       M           </v>
      </c>
      <c r="E10272" t="str">
        <f>"FLOWOOD                   "</f>
        <v xml:space="preserve">FLOWOOD                   </v>
      </c>
      <c r="F10272" t="str">
        <f t="shared" si="287"/>
        <v>MS</v>
      </c>
    </row>
    <row r="10273" spans="1:6" x14ac:dyDescent="0.25">
      <c r="A10273" t="str">
        <f>"004324730"</f>
        <v>004324730</v>
      </c>
      <c r="B10273" t="str">
        <f>"1154514578"</f>
        <v>1154514578</v>
      </c>
      <c r="C10273" t="str">
        <f>"152W00000X"</f>
        <v>152W00000X</v>
      </c>
      <c r="D10273" t="str">
        <f>"LENOIR                   MARJORIE     M           "</f>
        <v xml:space="preserve">LENOIR                   MARJORIE     M           </v>
      </c>
      <c r="E10273" t="str">
        <f>"GLUCKSTADT                "</f>
        <v xml:space="preserve">GLUCKSTADT                </v>
      </c>
      <c r="F10273" t="str">
        <f t="shared" si="287"/>
        <v>MS</v>
      </c>
    </row>
    <row r="10274" spans="1:6" x14ac:dyDescent="0.25">
      <c r="A10274" t="str">
        <f>"004324857"</f>
        <v>004324857</v>
      </c>
      <c r="B10274" t="str">
        <f>"1104283068"</f>
        <v>1104283068</v>
      </c>
      <c r="C10274" t="str">
        <f>"363A00000X"</f>
        <v>363A00000X</v>
      </c>
      <c r="D10274" t="str">
        <f>"MORRIS                   HEATHER      G           "</f>
        <v xml:space="preserve">MORRIS                   HEATHER      G           </v>
      </c>
      <c r="E10274" t="str">
        <f>"JACKSON                   "</f>
        <v xml:space="preserve">JACKSON                   </v>
      </c>
      <c r="F10274" t="str">
        <f t="shared" si="287"/>
        <v>MS</v>
      </c>
    </row>
    <row r="10275" spans="1:6" x14ac:dyDescent="0.25">
      <c r="A10275" t="str">
        <f>"004325862"</f>
        <v>004325862</v>
      </c>
      <c r="B10275" t="str">
        <f>"1144841396"</f>
        <v>1144841396</v>
      </c>
      <c r="C10275" t="str">
        <f>"363A00000X"</f>
        <v>363A00000X</v>
      </c>
      <c r="D10275" t="str">
        <f>"BUTLER                   MINDY                    "</f>
        <v xml:space="preserve">BUTLER                   MINDY                    </v>
      </c>
      <c r="E10275" t="str">
        <f>"JACKSON                   "</f>
        <v xml:space="preserve">JACKSON                   </v>
      </c>
      <c r="F10275" t="str">
        <f t="shared" si="287"/>
        <v>MS</v>
      </c>
    </row>
    <row r="10276" spans="1:6" x14ac:dyDescent="0.25">
      <c r="A10276" t="str">
        <f>"004326569"</f>
        <v>004326569</v>
      </c>
      <c r="B10276" t="str">
        <f>"1700341450"</f>
        <v>1700341450</v>
      </c>
      <c r="C10276" t="str">
        <f>"363L00000X"</f>
        <v>363L00000X</v>
      </c>
      <c r="D10276" t="str">
        <f>"DEBOW                    KIMBERLY     T           "</f>
        <v xml:space="preserve">DEBOW                    KIMBERLY     T           </v>
      </c>
      <c r="E10276" t="str">
        <f>"GREENWOOD                 "</f>
        <v xml:space="preserve">GREENWOOD                 </v>
      </c>
      <c r="F10276" t="str">
        <f t="shared" si="287"/>
        <v>MS</v>
      </c>
    </row>
    <row r="10277" spans="1:6" x14ac:dyDescent="0.25">
      <c r="A10277" t="str">
        <f>"004327819"</f>
        <v>004327819</v>
      </c>
      <c r="B10277" t="str">
        <f>"1184879439"</f>
        <v>1184879439</v>
      </c>
      <c r="C10277" t="str">
        <f>"363L00000X"</f>
        <v>363L00000X</v>
      </c>
      <c r="D10277" t="str">
        <f>"BURGE                    GINA                     "</f>
        <v xml:space="preserve">BURGE                    GINA                     </v>
      </c>
      <c r="E10277" t="str">
        <f>"JACKSON                   "</f>
        <v xml:space="preserve">JACKSON                   </v>
      </c>
      <c r="F10277" t="str">
        <f t="shared" si="287"/>
        <v>MS</v>
      </c>
    </row>
    <row r="10278" spans="1:6" x14ac:dyDescent="0.25">
      <c r="A10278" t="str">
        <f>"004327898"</f>
        <v>004327898</v>
      </c>
      <c r="B10278" t="str">
        <f>"1023622081"</f>
        <v>1023622081</v>
      </c>
      <c r="C10278" t="str">
        <f>"363L00000X"</f>
        <v>363L00000X</v>
      </c>
      <c r="D10278" t="str">
        <f>"BALLARD                  MARTY        K           "</f>
        <v xml:space="preserve">BALLARD                  MARTY        K           </v>
      </c>
      <c r="E10278" t="str">
        <f>"BROOKHAVEN                "</f>
        <v xml:space="preserve">BROOKHAVEN                </v>
      </c>
      <c r="F10278" t="str">
        <f t="shared" si="287"/>
        <v>MS</v>
      </c>
    </row>
    <row r="10279" spans="1:6" x14ac:dyDescent="0.25">
      <c r="A10279" t="str">
        <f>"004329316"</f>
        <v>004329316</v>
      </c>
      <c r="B10279" t="str">
        <f>"1255338349"</f>
        <v>1255338349</v>
      </c>
      <c r="C10279" t="str">
        <f>"208000000X"</f>
        <v>208000000X</v>
      </c>
      <c r="D10279" t="str">
        <f>"SIMPSON                  SAMUEL       L           "</f>
        <v xml:space="preserve">SIMPSON                  SAMUEL       L           </v>
      </c>
      <c r="E10279" t="str">
        <f>"LONG BEACH                "</f>
        <v xml:space="preserve">LONG BEACH                </v>
      </c>
      <c r="F10279" t="str">
        <f t="shared" si="287"/>
        <v>MS</v>
      </c>
    </row>
    <row r="10280" spans="1:6" x14ac:dyDescent="0.25">
      <c r="A10280" t="str">
        <f>"004330099"</f>
        <v>004330099</v>
      </c>
      <c r="B10280" t="str">
        <f>"1639605967"</f>
        <v>1639605967</v>
      </c>
      <c r="C10280" t="str">
        <f>"363L00000X"</f>
        <v>363L00000X</v>
      </c>
      <c r="D10280" t="str">
        <f>"SCOTT                    LYNDIE       C           "</f>
        <v xml:space="preserve">SCOTT                    LYNDIE       C           </v>
      </c>
      <c r="E10280" t="str">
        <f>"NEW ALBANY                "</f>
        <v xml:space="preserve">NEW ALBANY                </v>
      </c>
      <c r="F10280" t="str">
        <f t="shared" si="287"/>
        <v>MS</v>
      </c>
    </row>
    <row r="10281" spans="1:6" x14ac:dyDescent="0.25">
      <c r="A10281" t="str">
        <f>"004330314"</f>
        <v>004330314</v>
      </c>
      <c r="B10281" t="str">
        <f>"1811108228"</f>
        <v>1811108228</v>
      </c>
      <c r="C10281" t="str">
        <f>"207L00000X"</f>
        <v>207L00000X</v>
      </c>
      <c r="D10281" t="str">
        <f>"BOWEN                    ROBERT       E           "</f>
        <v xml:space="preserve">BOWEN                    ROBERT       E           </v>
      </c>
      <c r="E10281" t="str">
        <f>"OXFORD                    "</f>
        <v xml:space="preserve">OXFORD                    </v>
      </c>
      <c r="F10281" t="str">
        <f t="shared" si="287"/>
        <v>MS</v>
      </c>
    </row>
    <row r="10282" spans="1:6" x14ac:dyDescent="0.25">
      <c r="A10282" t="str">
        <f>"004334707"</f>
        <v>004334707</v>
      </c>
      <c r="B10282" t="str">
        <f>"1093135154"</f>
        <v>1093135154</v>
      </c>
      <c r="C10282" t="str">
        <f>"2084P0800X"</f>
        <v>2084P0800X</v>
      </c>
      <c r="D10282" t="str">
        <f>"MARMALICH                DUSTIN                   "</f>
        <v xml:space="preserve">MARMALICH                DUSTIN                   </v>
      </c>
      <c r="E10282" t="str">
        <f>"LONG BEACH                "</f>
        <v xml:space="preserve">LONG BEACH                </v>
      </c>
      <c r="F10282" t="str">
        <f t="shared" si="287"/>
        <v>MS</v>
      </c>
    </row>
    <row r="10283" spans="1:6" x14ac:dyDescent="0.25">
      <c r="A10283" t="str">
        <f>"004335344"</f>
        <v>004335344</v>
      </c>
      <c r="B10283" t="str">
        <f>"1790379964"</f>
        <v>1790379964</v>
      </c>
      <c r="C10283" t="str">
        <f>"363L00000X"</f>
        <v>363L00000X</v>
      </c>
      <c r="D10283" t="str">
        <f>"RAMSEY                   MAE          L           "</f>
        <v xml:space="preserve">RAMSEY                   MAE          L           </v>
      </c>
      <c r="E10283" t="str">
        <f>"HATTIESBURG               "</f>
        <v xml:space="preserve">HATTIESBURG               </v>
      </c>
      <c r="F10283" t="str">
        <f t="shared" si="287"/>
        <v>MS</v>
      </c>
    </row>
    <row r="10284" spans="1:6" x14ac:dyDescent="0.25">
      <c r="A10284" t="str">
        <f>"004335371"</f>
        <v>004335371</v>
      </c>
      <c r="B10284" t="str">
        <f>"1275910663"</f>
        <v>1275910663</v>
      </c>
      <c r="C10284" t="str">
        <f>"261QR1300X"</f>
        <v>261QR1300X</v>
      </c>
      <c r="D10284" t="str">
        <f>"RUSH MEDICAL FOUNDATION                           "</f>
        <v xml:space="preserve">RUSH MEDICAL FOUNDATION                           </v>
      </c>
      <c r="E10284" t="str">
        <f>"MERIDIAN                  "</f>
        <v xml:space="preserve">MERIDIAN                  </v>
      </c>
      <c r="F10284" t="str">
        <f t="shared" si="287"/>
        <v>MS</v>
      </c>
    </row>
    <row r="10285" spans="1:6" x14ac:dyDescent="0.25">
      <c r="A10285" t="str">
        <f>"004335743"</f>
        <v>004335743</v>
      </c>
      <c r="B10285" t="str">
        <f>"1780038786"</f>
        <v>1780038786</v>
      </c>
      <c r="C10285" t="str">
        <f>"363L00000X"</f>
        <v>363L00000X</v>
      </c>
      <c r="D10285" t="str">
        <f>"ROBINSON                 KIZZY                    "</f>
        <v xml:space="preserve">ROBINSON                 KIZZY                    </v>
      </c>
      <c r="E10285" t="str">
        <f>"NATCHEZ                   "</f>
        <v xml:space="preserve">NATCHEZ                   </v>
      </c>
      <c r="F10285" t="str">
        <f t="shared" si="287"/>
        <v>MS</v>
      </c>
    </row>
    <row r="10286" spans="1:6" x14ac:dyDescent="0.25">
      <c r="A10286" t="str">
        <f>"004336011"</f>
        <v>004336011</v>
      </c>
      <c r="B10286" t="str">
        <f>"1366955817"</f>
        <v>1366955817</v>
      </c>
      <c r="C10286" t="str">
        <f>"261QF0400X"</f>
        <v>261QF0400X</v>
      </c>
      <c r="D10286" t="str">
        <f>"GMHC, INC./MPSD MERIDIAN HIGH COMMU               "</f>
        <v xml:space="preserve">GMHC, INC./MPSD MERIDIAN HIGH COMMU               </v>
      </c>
      <c r="E10286" t="str">
        <f>"MERIDIAN                  "</f>
        <v xml:space="preserve">MERIDIAN                  </v>
      </c>
      <c r="F10286" t="str">
        <f t="shared" si="287"/>
        <v>MS</v>
      </c>
    </row>
    <row r="10287" spans="1:6" x14ac:dyDescent="0.25">
      <c r="A10287" t="str">
        <f>"004336767"</f>
        <v>004336767</v>
      </c>
      <c r="B10287" t="str">
        <f>"1073254298"</f>
        <v>1073254298</v>
      </c>
      <c r="C10287" t="str">
        <f>"207P00000X"</f>
        <v>207P00000X</v>
      </c>
      <c r="D10287" t="str">
        <f>"FINN                     MORGAN                   "</f>
        <v xml:space="preserve">FINN                     MORGAN                   </v>
      </c>
      <c r="E10287" t="str">
        <f>"JACKSON                   "</f>
        <v xml:space="preserve">JACKSON                   </v>
      </c>
      <c r="F10287" t="str">
        <f t="shared" si="287"/>
        <v>MS</v>
      </c>
    </row>
    <row r="10288" spans="1:6" x14ac:dyDescent="0.25">
      <c r="A10288" t="str">
        <f>"004337398"</f>
        <v>004337398</v>
      </c>
      <c r="B10288" t="str">
        <f>"1205086691"</f>
        <v>1205086691</v>
      </c>
      <c r="C10288" t="str">
        <f>"152W00000X"</f>
        <v>152W00000X</v>
      </c>
      <c r="D10288" t="str">
        <f>"HILL FAMILY EYE CENTER INC                        "</f>
        <v xml:space="preserve">HILL FAMILY EYE CENTER INC                        </v>
      </c>
      <c r="E10288" t="str">
        <f>"BOONEVILLE                "</f>
        <v xml:space="preserve">BOONEVILLE                </v>
      </c>
      <c r="F10288" t="str">
        <f t="shared" si="287"/>
        <v>MS</v>
      </c>
    </row>
    <row r="10289" spans="1:6" x14ac:dyDescent="0.25">
      <c r="A10289" t="str">
        <f>"004338295"</f>
        <v>004338295</v>
      </c>
      <c r="B10289" t="str">
        <f>"1407895725"</f>
        <v>1407895725</v>
      </c>
      <c r="C10289" t="str">
        <f>"363L00000X"</f>
        <v>363L00000X</v>
      </c>
      <c r="D10289" t="str">
        <f>"FRYERY                   SHANNON      M           "</f>
        <v xml:space="preserve">FRYERY                   SHANNON      M           </v>
      </c>
      <c r="E10289" t="str">
        <f>"TUPELO                    "</f>
        <v xml:space="preserve">TUPELO                    </v>
      </c>
      <c r="F10289" t="str">
        <f t="shared" si="287"/>
        <v>MS</v>
      </c>
    </row>
    <row r="10290" spans="1:6" x14ac:dyDescent="0.25">
      <c r="A10290" t="str">
        <f>"004338898"</f>
        <v>004338898</v>
      </c>
      <c r="B10290" t="str">
        <f>"1295995223"</f>
        <v>1295995223</v>
      </c>
      <c r="C10290" t="str">
        <f>"207P00000X"</f>
        <v>207P00000X</v>
      </c>
      <c r="D10290" t="str">
        <f>"VEARRIER                 DAVID        J           "</f>
        <v xml:space="preserve">VEARRIER                 DAVID        J           </v>
      </c>
      <c r="E10290" t="str">
        <f>"JACKSON                   "</f>
        <v xml:space="preserve">JACKSON                   </v>
      </c>
      <c r="F10290" t="str">
        <f t="shared" si="287"/>
        <v>MS</v>
      </c>
    </row>
    <row r="10291" spans="1:6" x14ac:dyDescent="0.25">
      <c r="A10291" t="str">
        <f>"004339363"</f>
        <v>004339363</v>
      </c>
      <c r="B10291" t="str">
        <f>"1972693992"</f>
        <v>1972693992</v>
      </c>
      <c r="C10291" t="str">
        <f>"152W00000X"</f>
        <v>152W00000X</v>
      </c>
      <c r="D10291" t="str">
        <f>"PRESLEY                  MICHAEL      L           "</f>
        <v xml:space="preserve">PRESLEY                  MICHAEL      L           </v>
      </c>
      <c r="E10291" t="str">
        <f>"BELDEN                    "</f>
        <v xml:space="preserve">BELDEN                    </v>
      </c>
      <c r="F10291" t="str">
        <f t="shared" si="287"/>
        <v>MS</v>
      </c>
    </row>
    <row r="10292" spans="1:6" x14ac:dyDescent="0.25">
      <c r="A10292" t="str">
        <f>"004339376"</f>
        <v>004339376</v>
      </c>
      <c r="B10292" t="str">
        <f>"1588142731"</f>
        <v>1588142731</v>
      </c>
      <c r="C10292" t="str">
        <f>"363L00000X"</f>
        <v>363L00000X</v>
      </c>
      <c r="D10292" t="str">
        <f>"ELAM                     LACI         S           "</f>
        <v xml:space="preserve">ELAM                     LACI         S           </v>
      </c>
      <c r="E10292" t="str">
        <f>"HATTIESBURG               "</f>
        <v xml:space="preserve">HATTIESBURG               </v>
      </c>
      <c r="F10292" t="str">
        <f t="shared" si="287"/>
        <v>MS</v>
      </c>
    </row>
    <row r="10293" spans="1:6" x14ac:dyDescent="0.25">
      <c r="A10293" t="str">
        <f>"004350504"</f>
        <v>004350504</v>
      </c>
      <c r="B10293" t="str">
        <f>"1013016104"</f>
        <v>1013016104</v>
      </c>
      <c r="C10293" t="str">
        <f>"122300000X"</f>
        <v>122300000X</v>
      </c>
      <c r="D10293" t="str">
        <f>"WILLIS                   SHELDON                  "</f>
        <v xml:space="preserve">WILLIS                   SHELDON                  </v>
      </c>
      <c r="E10293" t="str">
        <f>"FLOWOOD                   "</f>
        <v xml:space="preserve">FLOWOOD                   </v>
      </c>
      <c r="F10293" t="str">
        <f t="shared" si="287"/>
        <v>MS</v>
      </c>
    </row>
    <row r="10294" spans="1:6" x14ac:dyDescent="0.25">
      <c r="A10294" t="str">
        <f>"004350800"</f>
        <v>004350800</v>
      </c>
      <c r="B10294" t="str">
        <f>"1497064265"</f>
        <v>1497064265</v>
      </c>
      <c r="C10294" t="str">
        <f>"367500000X"</f>
        <v>367500000X</v>
      </c>
      <c r="D10294" t="str">
        <f>"ABEL                     PATRICK      W           "</f>
        <v xml:space="preserve">ABEL                     PATRICK      W           </v>
      </c>
      <c r="E10294" t="str">
        <f>"TUPELO                    "</f>
        <v xml:space="preserve">TUPELO                    </v>
      </c>
      <c r="F10294" t="str">
        <f t="shared" si="287"/>
        <v>MS</v>
      </c>
    </row>
    <row r="10295" spans="1:6" x14ac:dyDescent="0.25">
      <c r="A10295" t="str">
        <f>"004351397"</f>
        <v>004351397</v>
      </c>
      <c r="B10295" t="str">
        <f>"1053993865"</f>
        <v>1053993865</v>
      </c>
      <c r="C10295" t="str">
        <f>"363L00000X"</f>
        <v>363L00000X</v>
      </c>
      <c r="D10295" t="str">
        <f>"BOYKIN                   BRITTANY     N           "</f>
        <v xml:space="preserve">BOYKIN                   BRITTANY     N           </v>
      </c>
      <c r="E10295" t="str">
        <f>"JACKSON                   "</f>
        <v xml:space="preserve">JACKSON                   </v>
      </c>
      <c r="F10295" t="str">
        <f t="shared" si="287"/>
        <v>MS</v>
      </c>
    </row>
    <row r="10296" spans="1:6" x14ac:dyDescent="0.25">
      <c r="A10296" t="str">
        <f>"004354249"</f>
        <v>004354249</v>
      </c>
      <c r="B10296" t="str">
        <f>"1891157467"</f>
        <v>1891157467</v>
      </c>
      <c r="C10296" t="str">
        <f>"363L00000X"</f>
        <v>363L00000X</v>
      </c>
      <c r="D10296" t="str">
        <f>"HILL                     SARAH        L           "</f>
        <v xml:space="preserve">HILL                     SARAH        L           </v>
      </c>
      <c r="E10296" t="str">
        <f>"BILOXI                    "</f>
        <v xml:space="preserve">BILOXI                    </v>
      </c>
      <c r="F10296" t="str">
        <f t="shared" si="287"/>
        <v>MS</v>
      </c>
    </row>
    <row r="10297" spans="1:6" x14ac:dyDescent="0.25">
      <c r="A10297" t="str">
        <f>"004354767"</f>
        <v>004354767</v>
      </c>
      <c r="B10297" t="str">
        <f>"1265632178"</f>
        <v>1265632178</v>
      </c>
      <c r="C10297" t="str">
        <f>"363L00000X"</f>
        <v>363L00000X</v>
      </c>
      <c r="D10297" t="str">
        <f>"EMISON                   TRENY        K           "</f>
        <v xml:space="preserve">EMISON                   TRENY        K           </v>
      </c>
      <c r="E10297" t="str">
        <f>"TUPELO                    "</f>
        <v xml:space="preserve">TUPELO                    </v>
      </c>
      <c r="F10297" t="str">
        <f t="shared" si="287"/>
        <v>MS</v>
      </c>
    </row>
    <row r="10298" spans="1:6" x14ac:dyDescent="0.25">
      <c r="A10298" t="str">
        <f>"004355050"</f>
        <v>004355050</v>
      </c>
      <c r="B10298" t="str">
        <f>"1598263709"</f>
        <v>1598263709</v>
      </c>
      <c r="C10298" t="str">
        <f>"363L00000X"</f>
        <v>363L00000X</v>
      </c>
      <c r="D10298" t="str">
        <f>"FLEMING                  CASEY        D           "</f>
        <v xml:space="preserve">FLEMING                  CASEY        D           </v>
      </c>
      <c r="E10298" t="str">
        <f>"LOUISVILLE                "</f>
        <v xml:space="preserve">LOUISVILLE                </v>
      </c>
      <c r="F10298" t="str">
        <f t="shared" si="287"/>
        <v>MS</v>
      </c>
    </row>
    <row r="10299" spans="1:6" x14ac:dyDescent="0.25">
      <c r="A10299" t="str">
        <f>"004355238"</f>
        <v>004355238</v>
      </c>
      <c r="B10299" t="str">
        <f>"1871622969"</f>
        <v>1871622969</v>
      </c>
      <c r="C10299" t="str">
        <f>"207Q00000X"</f>
        <v>207Q00000X</v>
      </c>
      <c r="D10299" t="str">
        <f>"PATEL                    CHANDRAKANT  P           "</f>
        <v xml:space="preserve">PATEL                    CHANDRAKANT  P           </v>
      </c>
      <c r="E10299" t="str">
        <f>"OLIVE BRANCH              "</f>
        <v xml:space="preserve">OLIVE BRANCH              </v>
      </c>
      <c r="F10299" t="str">
        <f t="shared" si="287"/>
        <v>MS</v>
      </c>
    </row>
    <row r="10300" spans="1:6" x14ac:dyDescent="0.25">
      <c r="A10300" t="str">
        <f>"004356392"</f>
        <v>004356392</v>
      </c>
      <c r="B10300" t="str">
        <f>"1952834350"</f>
        <v>1952834350</v>
      </c>
      <c r="C10300" t="str">
        <f>"207R00000X"</f>
        <v>207R00000X</v>
      </c>
      <c r="D10300" t="str">
        <f>"KINLOCH                  KEVIN        J           "</f>
        <v xml:space="preserve">KINLOCH                  KEVIN        J           </v>
      </c>
      <c r="E10300" t="str">
        <f>"JACKSON                   "</f>
        <v xml:space="preserve">JACKSON                   </v>
      </c>
      <c r="F10300" t="str">
        <f t="shared" si="287"/>
        <v>MS</v>
      </c>
    </row>
    <row r="10301" spans="1:6" x14ac:dyDescent="0.25">
      <c r="A10301" t="str">
        <f>"004357211"</f>
        <v>004357211</v>
      </c>
      <c r="B10301" t="str">
        <f>"1992105191"</f>
        <v>1992105191</v>
      </c>
      <c r="C10301" t="str">
        <f>"363L00000X"</f>
        <v>363L00000X</v>
      </c>
      <c r="D10301" t="str">
        <f>"LECHNER                  JAMI                     "</f>
        <v xml:space="preserve">LECHNER                  JAMI                     </v>
      </c>
      <c r="E10301" t="str">
        <f>"VANCLEAVE                 "</f>
        <v xml:space="preserve">VANCLEAVE                 </v>
      </c>
      <c r="F10301" t="str">
        <f t="shared" si="287"/>
        <v>MS</v>
      </c>
    </row>
    <row r="10302" spans="1:6" x14ac:dyDescent="0.25">
      <c r="A10302" t="str">
        <f>"004358321"</f>
        <v>004358321</v>
      </c>
      <c r="B10302" t="str">
        <f>"1891878005"</f>
        <v>1891878005</v>
      </c>
      <c r="C10302" t="str">
        <f>"207V00000X"</f>
        <v>207V00000X</v>
      </c>
      <c r="D10302" t="str">
        <f>"GRAY                     JERMAINE     E           "</f>
        <v xml:space="preserve">GRAY                     JERMAINE     E           </v>
      </c>
      <c r="E10302" t="str">
        <f>"JACKSON                   "</f>
        <v xml:space="preserve">JACKSON                   </v>
      </c>
      <c r="F10302" t="str">
        <f t="shared" ref="F10302:F10365" si="288">"MS"</f>
        <v>MS</v>
      </c>
    </row>
    <row r="10303" spans="1:6" x14ac:dyDescent="0.25">
      <c r="A10303" t="str">
        <f>"004358770"</f>
        <v>004358770</v>
      </c>
      <c r="B10303" t="str">
        <f>"1144831140"</f>
        <v>1144831140</v>
      </c>
      <c r="C10303" t="str">
        <f>"363L00000X"</f>
        <v>363L00000X</v>
      </c>
      <c r="D10303" t="str">
        <f>"PRUDHOMME                MANIVANH                 "</f>
        <v xml:space="preserve">PRUDHOMME                MANIVANH                 </v>
      </c>
      <c r="E10303" t="str">
        <f>"VICKSBURG                 "</f>
        <v xml:space="preserve">VICKSBURG                 </v>
      </c>
      <c r="F10303" t="str">
        <f t="shared" si="288"/>
        <v>MS</v>
      </c>
    </row>
    <row r="10304" spans="1:6" x14ac:dyDescent="0.25">
      <c r="A10304" t="str">
        <f>"004370211"</f>
        <v>004370211</v>
      </c>
      <c r="B10304" t="str">
        <f>"1588752810"</f>
        <v>1588752810</v>
      </c>
      <c r="C10304" t="str">
        <f>"363L00000X"</f>
        <v>363L00000X</v>
      </c>
      <c r="D10304" t="str">
        <f>"BERTSCHLER               ERICA                    "</f>
        <v xml:space="preserve">BERTSCHLER               ERICA                    </v>
      </c>
      <c r="E10304" t="str">
        <f>"BRANDON                   "</f>
        <v xml:space="preserve">BRANDON                   </v>
      </c>
      <c r="F10304" t="str">
        <f t="shared" si="288"/>
        <v>MS</v>
      </c>
    </row>
    <row r="10305" spans="1:6" x14ac:dyDescent="0.25">
      <c r="A10305" t="str">
        <f>"004372863"</f>
        <v>004372863</v>
      </c>
      <c r="B10305" t="str">
        <f>"1518329937"</f>
        <v>1518329937</v>
      </c>
      <c r="C10305" t="str">
        <f>"208000000X"</f>
        <v>208000000X</v>
      </c>
      <c r="D10305" t="str">
        <f>"HOBBS                    MITCHELL     W           "</f>
        <v xml:space="preserve">HOBBS                    MITCHELL     W           </v>
      </c>
      <c r="E10305" t="str">
        <f>"JACKSON                   "</f>
        <v xml:space="preserve">JACKSON                   </v>
      </c>
      <c r="F10305" t="str">
        <f t="shared" si="288"/>
        <v>MS</v>
      </c>
    </row>
    <row r="10306" spans="1:6" x14ac:dyDescent="0.25">
      <c r="A10306" t="str">
        <f>"004372879"</f>
        <v>004372879</v>
      </c>
      <c r="B10306" t="str">
        <f>"1578986915"</f>
        <v>1578986915</v>
      </c>
      <c r="C10306" t="str">
        <f>"363L00000X"</f>
        <v>363L00000X</v>
      </c>
      <c r="D10306" t="str">
        <f>"CARSON                   CHRISTOPHER  A           "</f>
        <v xml:space="preserve">CARSON                   CHRISTOPHER  A           </v>
      </c>
      <c r="E10306" t="str">
        <f>"JACKSON                   "</f>
        <v xml:space="preserve">JACKSON                   </v>
      </c>
      <c r="F10306" t="str">
        <f t="shared" si="288"/>
        <v>MS</v>
      </c>
    </row>
    <row r="10307" spans="1:6" x14ac:dyDescent="0.25">
      <c r="A10307" t="str">
        <f>"004373304"</f>
        <v>004373304</v>
      </c>
      <c r="B10307" t="str">
        <f>"1982256384"</f>
        <v>1982256384</v>
      </c>
      <c r="C10307" t="str">
        <f>"363L00000X"</f>
        <v>363L00000X</v>
      </c>
      <c r="D10307" t="str">
        <f>"CLAY                     AYANA        A           "</f>
        <v xml:space="preserve">CLAY                     AYANA        A           </v>
      </c>
      <c r="E10307" t="str">
        <f>"GULFPORT                  "</f>
        <v xml:space="preserve">GULFPORT                  </v>
      </c>
      <c r="F10307" t="str">
        <f t="shared" si="288"/>
        <v>MS</v>
      </c>
    </row>
    <row r="10308" spans="1:6" x14ac:dyDescent="0.25">
      <c r="A10308" t="str">
        <f>"004373337"</f>
        <v>004373337</v>
      </c>
      <c r="B10308" t="str">
        <f>"1558955344"</f>
        <v>1558955344</v>
      </c>
      <c r="C10308" t="str">
        <f>"363L00000X"</f>
        <v>363L00000X</v>
      </c>
      <c r="D10308" t="str">
        <f>"HOUSTON                  CANDACE                  "</f>
        <v xml:space="preserve">HOUSTON                  CANDACE                  </v>
      </c>
      <c r="E10308" t="str">
        <f>"JACKSON                   "</f>
        <v xml:space="preserve">JACKSON                   </v>
      </c>
      <c r="F10308" t="str">
        <f t="shared" si="288"/>
        <v>MS</v>
      </c>
    </row>
    <row r="10309" spans="1:6" x14ac:dyDescent="0.25">
      <c r="A10309" t="str">
        <f>"004374368"</f>
        <v>004374368</v>
      </c>
      <c r="B10309" t="str">
        <f>"1780293787"</f>
        <v>1780293787</v>
      </c>
      <c r="C10309" t="str">
        <f>"261QM3000X"</f>
        <v>261QM3000X</v>
      </c>
      <c r="D10309" t="str">
        <f>"STARKVILLE PEDIATRIC EXTENDED CARE                "</f>
        <v xml:space="preserve">STARKVILLE PEDIATRIC EXTENDED CARE                </v>
      </c>
      <c r="E10309" t="str">
        <f>"STARKVILLE                "</f>
        <v xml:space="preserve">STARKVILLE                </v>
      </c>
      <c r="F10309" t="str">
        <f t="shared" si="288"/>
        <v>MS</v>
      </c>
    </row>
    <row r="10310" spans="1:6" x14ac:dyDescent="0.25">
      <c r="A10310" t="str">
        <f>"004374866"</f>
        <v>004374866</v>
      </c>
      <c r="B10310" t="str">
        <f>"1477090728"</f>
        <v>1477090728</v>
      </c>
      <c r="C10310" t="str">
        <f>"363L00000X"</f>
        <v>363L00000X</v>
      </c>
      <c r="D10310" t="str">
        <f>"ANDERSON                 META         H           "</f>
        <v xml:space="preserve">ANDERSON                 META         H           </v>
      </c>
      <c r="E10310" t="str">
        <f>"LOUISE                    "</f>
        <v xml:space="preserve">LOUISE                    </v>
      </c>
      <c r="F10310" t="str">
        <f t="shared" si="288"/>
        <v>MS</v>
      </c>
    </row>
    <row r="10311" spans="1:6" x14ac:dyDescent="0.25">
      <c r="A10311" t="str">
        <f>"004377206"</f>
        <v>004377206</v>
      </c>
      <c r="B10311" t="str">
        <f>"1922492321"</f>
        <v>1922492321</v>
      </c>
      <c r="C10311" t="str">
        <f>"261QM1300X"</f>
        <v>261QM1300X</v>
      </c>
      <c r="D10311" t="str">
        <f>"BRUNO COUNSELING AND CONSULTING SER               "</f>
        <v xml:space="preserve">BRUNO COUNSELING AND CONSULTING SER               </v>
      </c>
      <c r="E10311" t="str">
        <f>"POPLARVILLE               "</f>
        <v xml:space="preserve">POPLARVILLE               </v>
      </c>
      <c r="F10311" t="str">
        <f t="shared" si="288"/>
        <v>MS</v>
      </c>
    </row>
    <row r="10312" spans="1:6" x14ac:dyDescent="0.25">
      <c r="A10312" t="str">
        <f>"004377890"</f>
        <v>004377890</v>
      </c>
      <c r="B10312" t="str">
        <f>"1023202272"</f>
        <v>1023202272</v>
      </c>
      <c r="C10312" t="str">
        <f>"2084N0400X"</f>
        <v>2084N0400X</v>
      </c>
      <c r="D10312" t="str">
        <f>"LETORT                   DEREK        T           "</f>
        <v xml:space="preserve">LETORT                   DEREK        T           </v>
      </c>
      <c r="E10312" t="str">
        <f>"JACKSON                   "</f>
        <v xml:space="preserve">JACKSON                   </v>
      </c>
      <c r="F10312" t="str">
        <f t="shared" si="288"/>
        <v>MS</v>
      </c>
    </row>
    <row r="10313" spans="1:6" x14ac:dyDescent="0.25">
      <c r="A10313" t="str">
        <f>"004378217"</f>
        <v>004378217</v>
      </c>
      <c r="B10313" t="str">
        <f>"1295117505"</f>
        <v>1295117505</v>
      </c>
      <c r="C10313" t="str">
        <f>"363L00000X"</f>
        <v>363L00000X</v>
      </c>
      <c r="D10313" t="str">
        <f>"KETCHUM                  ANNA                     "</f>
        <v xml:space="preserve">KETCHUM                  ANNA                     </v>
      </c>
      <c r="E10313" t="str">
        <f>"JACKSON                   "</f>
        <v xml:space="preserve">JACKSON                   </v>
      </c>
      <c r="F10313" t="str">
        <f t="shared" si="288"/>
        <v>MS</v>
      </c>
    </row>
    <row r="10314" spans="1:6" x14ac:dyDescent="0.25">
      <c r="A10314" t="str">
        <f>"004378509"</f>
        <v>004378509</v>
      </c>
      <c r="B10314" t="str">
        <f>"1386639359"</f>
        <v>1386639359</v>
      </c>
      <c r="C10314" t="str">
        <f>"363A00000X"</f>
        <v>363A00000X</v>
      </c>
      <c r="D10314" t="str">
        <f>"LENOIR                   ERIC         T           "</f>
        <v xml:space="preserve">LENOIR                   ERIC         T           </v>
      </c>
      <c r="E10314" t="str">
        <f>"JACKSON                   "</f>
        <v xml:space="preserve">JACKSON                   </v>
      </c>
      <c r="F10314" t="str">
        <f t="shared" si="288"/>
        <v>MS</v>
      </c>
    </row>
    <row r="10315" spans="1:6" x14ac:dyDescent="0.25">
      <c r="A10315" t="str">
        <f>"004379015"</f>
        <v>004379015</v>
      </c>
      <c r="B10315" t="str">
        <f>"1346707338"</f>
        <v>1346707338</v>
      </c>
      <c r="C10315" t="str">
        <f>"363L00000X"</f>
        <v>363L00000X</v>
      </c>
      <c r="D10315" t="str">
        <f>"COPELAND                 ESTHER                   "</f>
        <v xml:space="preserve">COPELAND                 ESTHER                   </v>
      </c>
      <c r="E10315" t="str">
        <f>"GREENWOOD                 "</f>
        <v xml:space="preserve">GREENWOOD                 </v>
      </c>
      <c r="F10315" t="str">
        <f t="shared" si="288"/>
        <v>MS</v>
      </c>
    </row>
    <row r="10316" spans="1:6" x14ac:dyDescent="0.25">
      <c r="A10316" t="str">
        <f>"004379857"</f>
        <v>004379857</v>
      </c>
      <c r="B10316" t="str">
        <f>"1821420712"</f>
        <v>1821420712</v>
      </c>
      <c r="C10316" t="str">
        <f>"152W00000X"</f>
        <v>152W00000X</v>
      </c>
      <c r="D10316" t="str">
        <f>"BERRY                    JARRAD       M           "</f>
        <v xml:space="preserve">BERRY                    JARRAD       M           </v>
      </c>
      <c r="E10316" t="str">
        <f>"PICAYUNE                  "</f>
        <v xml:space="preserve">PICAYUNE                  </v>
      </c>
      <c r="F10316" t="str">
        <f t="shared" si="288"/>
        <v>MS</v>
      </c>
    </row>
    <row r="10317" spans="1:6" x14ac:dyDescent="0.25">
      <c r="A10317" t="str">
        <f>"004380029"</f>
        <v>004380029</v>
      </c>
      <c r="B10317" t="str">
        <f>"1699717249"</f>
        <v>1699717249</v>
      </c>
      <c r="C10317" t="str">
        <f>"363L00000X"</f>
        <v>363L00000X</v>
      </c>
      <c r="D10317" t="str">
        <f>"SEELEY                   SAMUEL       D           "</f>
        <v xml:space="preserve">SEELEY                   SAMUEL       D           </v>
      </c>
      <c r="E10317" t="str">
        <f>"RULEVILLE                 "</f>
        <v xml:space="preserve">RULEVILLE                 </v>
      </c>
      <c r="F10317" t="str">
        <f t="shared" si="288"/>
        <v>MS</v>
      </c>
    </row>
    <row r="10318" spans="1:6" x14ac:dyDescent="0.25">
      <c r="A10318" t="str">
        <f>"004380504"</f>
        <v>004380504</v>
      </c>
      <c r="B10318" t="str">
        <f>"1396834370"</f>
        <v>1396834370</v>
      </c>
      <c r="C10318" t="str">
        <f>"261QM0801X"</f>
        <v>261QM0801X</v>
      </c>
      <c r="D10318" t="str">
        <f>"NORTH MISSISSIPPI REGIONAL CENTER                 "</f>
        <v xml:space="preserve">NORTH MISSISSIPPI REGIONAL CENTER                 </v>
      </c>
      <c r="E10318" t="str">
        <f>"OXFORD                    "</f>
        <v xml:space="preserve">OXFORD                    </v>
      </c>
      <c r="F10318" t="str">
        <f t="shared" si="288"/>
        <v>MS</v>
      </c>
    </row>
    <row r="10319" spans="1:6" x14ac:dyDescent="0.25">
      <c r="A10319" t="str">
        <f>"004380785"</f>
        <v>004380785</v>
      </c>
      <c r="B10319" t="str">
        <f>"1568105716"</f>
        <v>1568105716</v>
      </c>
      <c r="C10319" t="str">
        <f>"2084P0800X"</f>
        <v>2084P0800X</v>
      </c>
      <c r="D10319" t="str">
        <f>"PHAM                     MIMI                     "</f>
        <v xml:space="preserve">PHAM                     MIMI                     </v>
      </c>
      <c r="E10319" t="str">
        <f>"JACKSON                   "</f>
        <v xml:space="preserve">JACKSON                   </v>
      </c>
      <c r="F10319" t="str">
        <f t="shared" si="288"/>
        <v>MS</v>
      </c>
    </row>
    <row r="10320" spans="1:6" x14ac:dyDescent="0.25">
      <c r="A10320" t="str">
        <f>"004381563"</f>
        <v>004381563</v>
      </c>
      <c r="B10320" t="str">
        <f>"1710496559"</f>
        <v>1710496559</v>
      </c>
      <c r="C10320" t="str">
        <f>"363L00000X"</f>
        <v>363L00000X</v>
      </c>
      <c r="D10320" t="str">
        <f>"HARDIN                   MEGAN        C           "</f>
        <v xml:space="preserve">HARDIN                   MEGAN        C           </v>
      </c>
      <c r="E10320" t="str">
        <f>"HOULKA                    "</f>
        <v xml:space="preserve">HOULKA                    </v>
      </c>
      <c r="F10320" t="str">
        <f t="shared" si="288"/>
        <v>MS</v>
      </c>
    </row>
    <row r="10321" spans="1:6" x14ac:dyDescent="0.25">
      <c r="A10321" t="str">
        <f>"004382897"</f>
        <v>004382897</v>
      </c>
      <c r="B10321" t="str">
        <f>"1952742991"</f>
        <v>1952742991</v>
      </c>
      <c r="C10321" t="str">
        <f>"207R00000X"</f>
        <v>207R00000X</v>
      </c>
      <c r="D10321" t="str">
        <f>"THOTA                    NAGANATH                 "</f>
        <v xml:space="preserve">THOTA                    NAGANATH                 </v>
      </c>
      <c r="E10321" t="str">
        <f>"SOUTHAVEN                 "</f>
        <v xml:space="preserve">SOUTHAVEN                 </v>
      </c>
      <c r="F10321" t="str">
        <f t="shared" si="288"/>
        <v>MS</v>
      </c>
    </row>
    <row r="10322" spans="1:6" x14ac:dyDescent="0.25">
      <c r="A10322" t="str">
        <f>"004383027"</f>
        <v>004383027</v>
      </c>
      <c r="B10322" t="str">
        <f>"1164728085"</f>
        <v>1164728085</v>
      </c>
      <c r="C10322" t="str">
        <f>"122300000X"</f>
        <v>122300000X</v>
      </c>
      <c r="D10322" t="str">
        <f>"SIMPSON                  CASSY        S           "</f>
        <v xml:space="preserve">SIMPSON                  CASSY        S           </v>
      </c>
      <c r="E10322" t="str">
        <f>"NATCHEZ                   "</f>
        <v xml:space="preserve">NATCHEZ                   </v>
      </c>
      <c r="F10322" t="str">
        <f t="shared" si="288"/>
        <v>MS</v>
      </c>
    </row>
    <row r="10323" spans="1:6" x14ac:dyDescent="0.25">
      <c r="A10323" t="str">
        <f>"004383309"</f>
        <v>004383309</v>
      </c>
      <c r="B10323" t="str">
        <f>"1598043143"</f>
        <v>1598043143</v>
      </c>
      <c r="C10323" t="str">
        <f>"207T00000X"</f>
        <v>207T00000X</v>
      </c>
      <c r="D10323" t="str">
        <f>"GASPARD                  BRYAN                    "</f>
        <v xml:space="preserve">GASPARD                  BRYAN                    </v>
      </c>
      <c r="E10323" t="str">
        <f>"JACKSON                   "</f>
        <v xml:space="preserve">JACKSON                   </v>
      </c>
      <c r="F10323" t="str">
        <f t="shared" si="288"/>
        <v>MS</v>
      </c>
    </row>
    <row r="10324" spans="1:6" x14ac:dyDescent="0.25">
      <c r="A10324" t="str">
        <f>"004383354"</f>
        <v>004383354</v>
      </c>
      <c r="B10324" t="str">
        <f>"1275749541"</f>
        <v>1275749541</v>
      </c>
      <c r="C10324" t="str">
        <f>"207R00000X"</f>
        <v>207R00000X</v>
      </c>
      <c r="D10324" t="str">
        <f>"HANN                     MATTHEW      C           "</f>
        <v xml:space="preserve">HANN                     MATTHEW      C           </v>
      </c>
      <c r="E10324" t="str">
        <f>"GULFPORT                  "</f>
        <v xml:space="preserve">GULFPORT                  </v>
      </c>
      <c r="F10324" t="str">
        <f t="shared" si="288"/>
        <v>MS</v>
      </c>
    </row>
    <row r="10325" spans="1:6" x14ac:dyDescent="0.25">
      <c r="A10325" t="str">
        <f>"004383385"</f>
        <v>004383385</v>
      </c>
      <c r="B10325" t="str">
        <f>"1790347540"</f>
        <v>1790347540</v>
      </c>
      <c r="C10325" t="str">
        <f>"363L00000X"</f>
        <v>363L00000X</v>
      </c>
      <c r="D10325" t="str">
        <f>"RONQUILLO                TAYLOR       J           "</f>
        <v xml:space="preserve">RONQUILLO                TAYLOR       J           </v>
      </c>
      <c r="E10325" t="str">
        <f>"GULFPORT                  "</f>
        <v xml:space="preserve">GULFPORT                  </v>
      </c>
      <c r="F10325" t="str">
        <f t="shared" si="288"/>
        <v>MS</v>
      </c>
    </row>
    <row r="10326" spans="1:6" x14ac:dyDescent="0.25">
      <c r="A10326" t="str">
        <f>"004383568"</f>
        <v>004383568</v>
      </c>
      <c r="B10326" t="str">
        <f>"1467543611"</f>
        <v>1467543611</v>
      </c>
      <c r="C10326" t="str">
        <f>"207T00000X"</f>
        <v>207T00000X</v>
      </c>
      <c r="D10326" t="str">
        <f>"BELL                     AVA          H           "</f>
        <v xml:space="preserve">BELL                     AVA          H           </v>
      </c>
      <c r="E10326" t="str">
        <f>"HATTIESBURG               "</f>
        <v xml:space="preserve">HATTIESBURG               </v>
      </c>
      <c r="F10326" t="str">
        <f t="shared" si="288"/>
        <v>MS</v>
      </c>
    </row>
    <row r="10327" spans="1:6" x14ac:dyDescent="0.25">
      <c r="A10327" t="str">
        <f>"004383855"</f>
        <v>004383855</v>
      </c>
      <c r="B10327" t="str">
        <f>"1659891257"</f>
        <v>1659891257</v>
      </c>
      <c r="C10327" t="str">
        <f>"363L00000X"</f>
        <v>363L00000X</v>
      </c>
      <c r="D10327" t="str">
        <f>"MCLAURIN                 YVETTE                   "</f>
        <v xml:space="preserve">MCLAURIN                 YVETTE                   </v>
      </c>
      <c r="E10327" t="str">
        <f>"CANTON                    "</f>
        <v xml:space="preserve">CANTON                    </v>
      </c>
      <c r="F10327" t="str">
        <f t="shared" si="288"/>
        <v>MS</v>
      </c>
    </row>
    <row r="10328" spans="1:6" x14ac:dyDescent="0.25">
      <c r="A10328" t="str">
        <f>"004384328"</f>
        <v>004384328</v>
      </c>
      <c r="B10328" t="str">
        <f>"1912958679"</f>
        <v>1912958679</v>
      </c>
      <c r="C10328" t="str">
        <f>"261QF0400X"</f>
        <v>261QF0400X</v>
      </c>
      <c r="D10328" t="str">
        <f>"ROWAN ELEMENTARY SCHOOL                           "</f>
        <v xml:space="preserve">ROWAN ELEMENTARY SCHOOL                           </v>
      </c>
      <c r="E10328" t="str">
        <f>"HATTIESBURG               "</f>
        <v xml:space="preserve">HATTIESBURG               </v>
      </c>
      <c r="F10328" t="str">
        <f t="shared" si="288"/>
        <v>MS</v>
      </c>
    </row>
    <row r="10329" spans="1:6" x14ac:dyDescent="0.25">
      <c r="A10329" t="str">
        <f>"004385321"</f>
        <v>004385321</v>
      </c>
      <c r="B10329" t="str">
        <f>"1942511456"</f>
        <v>1942511456</v>
      </c>
      <c r="C10329" t="str">
        <f>"2085R0202X"</f>
        <v>2085R0202X</v>
      </c>
      <c r="D10329" t="str">
        <f>"JOHNSON                  AMANDA       B           "</f>
        <v xml:space="preserve">JOHNSON                  AMANDA       B           </v>
      </c>
      <c r="E10329" t="str">
        <f>"TUPELO                    "</f>
        <v xml:space="preserve">TUPELO                    </v>
      </c>
      <c r="F10329" t="str">
        <f t="shared" si="288"/>
        <v>MS</v>
      </c>
    </row>
    <row r="10330" spans="1:6" x14ac:dyDescent="0.25">
      <c r="A10330" t="str">
        <f>"004385578"</f>
        <v>004385578</v>
      </c>
      <c r="B10330" t="str">
        <f>"1548357643"</f>
        <v>1548357643</v>
      </c>
      <c r="C10330" t="str">
        <f>"2084P0804X"</f>
        <v>2084P0804X</v>
      </c>
      <c r="D10330" t="str">
        <f>"RODGERS                  SCOTT        M           "</f>
        <v xml:space="preserve">RODGERS                  SCOTT        M           </v>
      </c>
      <c r="E10330" t="str">
        <f>"JACKSON                   "</f>
        <v xml:space="preserve">JACKSON                   </v>
      </c>
      <c r="F10330" t="str">
        <f t="shared" si="288"/>
        <v>MS</v>
      </c>
    </row>
    <row r="10331" spans="1:6" x14ac:dyDescent="0.25">
      <c r="A10331" t="str">
        <f>"004387573"</f>
        <v>004387573</v>
      </c>
      <c r="B10331" t="str">
        <f>"1942255260"</f>
        <v>1942255260</v>
      </c>
      <c r="C10331" t="str">
        <f>"363L00000X"</f>
        <v>363L00000X</v>
      </c>
      <c r="D10331" t="str">
        <f>"HINES                    SUSAN        M           "</f>
        <v xml:space="preserve">HINES                    SUSAN        M           </v>
      </c>
      <c r="E10331" t="str">
        <f>"WEST POINT                "</f>
        <v xml:space="preserve">WEST POINT                </v>
      </c>
      <c r="F10331" t="str">
        <f t="shared" si="288"/>
        <v>MS</v>
      </c>
    </row>
    <row r="10332" spans="1:6" x14ac:dyDescent="0.25">
      <c r="A10332" t="str">
        <f>"004387711"</f>
        <v>004387711</v>
      </c>
      <c r="B10332" t="str">
        <f>"1528248960"</f>
        <v>1528248960</v>
      </c>
      <c r="C10332" t="str">
        <f>"2085R0202X"</f>
        <v>2085R0202X</v>
      </c>
      <c r="D10332" t="str">
        <f>"ALLMAN                   RUSSELL      E           "</f>
        <v xml:space="preserve">ALLMAN                   RUSSELL      E           </v>
      </c>
      <c r="E10332" t="str">
        <f>"GULFPORT                  "</f>
        <v xml:space="preserve">GULFPORT                  </v>
      </c>
      <c r="F10332" t="str">
        <f t="shared" si="288"/>
        <v>MS</v>
      </c>
    </row>
    <row r="10333" spans="1:6" x14ac:dyDescent="0.25">
      <c r="A10333" t="str">
        <f>"004387797"</f>
        <v>004387797</v>
      </c>
      <c r="B10333" t="str">
        <f>"1487165387"</f>
        <v>1487165387</v>
      </c>
      <c r="C10333" t="str">
        <f>"363L00000X"</f>
        <v>363L00000X</v>
      </c>
      <c r="D10333" t="str">
        <f>"PENNINGTON               WILLIAM      N           "</f>
        <v xml:space="preserve">PENNINGTON               WILLIAM      N           </v>
      </c>
      <c r="E10333" t="str">
        <f>"COLUMBUS                  "</f>
        <v xml:space="preserve">COLUMBUS                  </v>
      </c>
      <c r="F10333" t="str">
        <f t="shared" si="288"/>
        <v>MS</v>
      </c>
    </row>
    <row r="10334" spans="1:6" x14ac:dyDescent="0.25">
      <c r="A10334" t="str">
        <f>"004387816"</f>
        <v>004387816</v>
      </c>
      <c r="B10334" t="str">
        <f>"1881241123"</f>
        <v>1881241123</v>
      </c>
      <c r="C10334" t="str">
        <f>"363L00000X"</f>
        <v>363L00000X</v>
      </c>
      <c r="D10334" t="str">
        <f>"THOMAS                   MARY         R           "</f>
        <v xml:space="preserve">THOMAS                   MARY         R           </v>
      </c>
      <c r="E10334" t="str">
        <f>"SEBASTOPOL                "</f>
        <v xml:space="preserve">SEBASTOPOL                </v>
      </c>
      <c r="F10334" t="str">
        <f t="shared" si="288"/>
        <v>MS</v>
      </c>
    </row>
    <row r="10335" spans="1:6" x14ac:dyDescent="0.25">
      <c r="A10335" t="str">
        <f>"004388096"</f>
        <v>004388096</v>
      </c>
      <c r="B10335" t="str">
        <f>"1255919890"</f>
        <v>1255919890</v>
      </c>
      <c r="C10335" t="str">
        <f>"208000000X"</f>
        <v>208000000X</v>
      </c>
      <c r="D10335" t="str">
        <f>"KENT                     LINDSEY                  "</f>
        <v xml:space="preserve">KENT                     LINDSEY                  </v>
      </c>
      <c r="E10335" t="str">
        <f>"JACKSON                   "</f>
        <v xml:space="preserve">JACKSON                   </v>
      </c>
      <c r="F10335" t="str">
        <f t="shared" si="288"/>
        <v>MS</v>
      </c>
    </row>
    <row r="10336" spans="1:6" x14ac:dyDescent="0.25">
      <c r="A10336" t="str">
        <f>"004400861"</f>
        <v>004400861</v>
      </c>
      <c r="B10336" t="str">
        <f>"1417133083"</f>
        <v>1417133083</v>
      </c>
      <c r="C10336" t="str">
        <f>"363L00000X"</f>
        <v>363L00000X</v>
      </c>
      <c r="D10336" t="str">
        <f>"VINCHWATER               MICHELLE                 "</f>
        <v xml:space="preserve">VINCHWATER               MICHELLE                 </v>
      </c>
      <c r="E10336" t="str">
        <f>"PEARL                     "</f>
        <v xml:space="preserve">PEARL                     </v>
      </c>
      <c r="F10336" t="str">
        <f t="shared" si="288"/>
        <v>MS</v>
      </c>
    </row>
    <row r="10337" spans="1:6" x14ac:dyDescent="0.25">
      <c r="A10337" t="str">
        <f>"004401051"</f>
        <v>004401051</v>
      </c>
      <c r="B10337" t="str">
        <f>"1902892979"</f>
        <v>1902892979</v>
      </c>
      <c r="C10337" t="str">
        <f>"207N00000X"</f>
        <v>207N00000X</v>
      </c>
      <c r="D10337" t="str">
        <f>"HELMS                    STEPHEN      E           "</f>
        <v xml:space="preserve">HELMS                    STEPHEN      E           </v>
      </c>
      <c r="E10337" t="str">
        <f>"JACKSON                   "</f>
        <v xml:space="preserve">JACKSON                   </v>
      </c>
      <c r="F10337" t="str">
        <f t="shared" si="288"/>
        <v>MS</v>
      </c>
    </row>
    <row r="10338" spans="1:6" x14ac:dyDescent="0.25">
      <c r="A10338" t="str">
        <f>"004402308"</f>
        <v>004402308</v>
      </c>
      <c r="B10338" t="str">
        <f>"1205442746"</f>
        <v>1205442746</v>
      </c>
      <c r="C10338" t="str">
        <f>"363L00000X"</f>
        <v>363L00000X</v>
      </c>
      <c r="D10338" t="str">
        <f>"BRAY                     BREANNA      R           "</f>
        <v xml:space="preserve">BRAY                     BREANNA      R           </v>
      </c>
      <c r="E10338" t="str">
        <f>"PONTOTOC                  "</f>
        <v xml:space="preserve">PONTOTOC                  </v>
      </c>
      <c r="F10338" t="str">
        <f t="shared" si="288"/>
        <v>MS</v>
      </c>
    </row>
    <row r="10339" spans="1:6" x14ac:dyDescent="0.25">
      <c r="A10339" t="str">
        <f>"004403511"</f>
        <v>004403511</v>
      </c>
      <c r="B10339" t="str">
        <f>"1134794365"</f>
        <v>1134794365</v>
      </c>
      <c r="C10339" t="str">
        <f>"261QA0600X"</f>
        <v>261QA0600X</v>
      </c>
      <c r="D10339" t="str">
        <f>"ANGEL KEEPER ADULT DAY CARE                       "</f>
        <v xml:space="preserve">ANGEL KEEPER ADULT DAY CARE                       </v>
      </c>
      <c r="E10339" t="str">
        <f>"INDIANOLA                 "</f>
        <v xml:space="preserve">INDIANOLA                 </v>
      </c>
      <c r="F10339" t="str">
        <f t="shared" si="288"/>
        <v>MS</v>
      </c>
    </row>
    <row r="10340" spans="1:6" x14ac:dyDescent="0.25">
      <c r="A10340" t="str">
        <f>"004406094"</f>
        <v>004406094</v>
      </c>
      <c r="B10340" t="str">
        <f>"1679202295"</f>
        <v>1679202295</v>
      </c>
      <c r="C10340" t="str">
        <f>"122300000X"</f>
        <v>122300000X</v>
      </c>
      <c r="D10340" t="str">
        <f>"TRISTEZA                 STANLEY      N           "</f>
        <v xml:space="preserve">TRISTEZA                 STANLEY      N           </v>
      </c>
      <c r="E10340" t="str">
        <f>"SENATOBIA                 "</f>
        <v xml:space="preserve">SENATOBIA                 </v>
      </c>
      <c r="F10340" t="str">
        <f t="shared" si="288"/>
        <v>MS</v>
      </c>
    </row>
    <row r="10341" spans="1:6" x14ac:dyDescent="0.25">
      <c r="A10341" t="str">
        <f>"004406340"</f>
        <v>004406340</v>
      </c>
      <c r="B10341" t="str">
        <f>"1740709773"</f>
        <v>1740709773</v>
      </c>
      <c r="C10341" t="str">
        <f>"363L00000X"</f>
        <v>363L00000X</v>
      </c>
      <c r="D10341" t="str">
        <f>"RICE                     JUSTINE                  "</f>
        <v xml:space="preserve">RICE                     JUSTINE                  </v>
      </c>
      <c r="E10341" t="str">
        <f>"GULFPORT                  "</f>
        <v xml:space="preserve">GULFPORT                  </v>
      </c>
      <c r="F10341" t="str">
        <f t="shared" si="288"/>
        <v>MS</v>
      </c>
    </row>
    <row r="10342" spans="1:6" x14ac:dyDescent="0.25">
      <c r="A10342" t="str">
        <f>"004406348"</f>
        <v>004406348</v>
      </c>
      <c r="B10342" t="str">
        <f>"1679882286"</f>
        <v>1679882286</v>
      </c>
      <c r="C10342" t="str">
        <f>"363L00000X"</f>
        <v>363L00000X</v>
      </c>
      <c r="D10342" t="str">
        <f>"ALMOND                   KELLY        C           "</f>
        <v xml:space="preserve">ALMOND                   KELLY        C           </v>
      </c>
      <c r="E10342" t="str">
        <f>"BILOXI                    "</f>
        <v xml:space="preserve">BILOXI                    </v>
      </c>
      <c r="F10342" t="str">
        <f t="shared" si="288"/>
        <v>MS</v>
      </c>
    </row>
    <row r="10343" spans="1:6" x14ac:dyDescent="0.25">
      <c r="A10343" t="str">
        <f>"004408537"</f>
        <v>004408537</v>
      </c>
      <c r="B10343" t="str">
        <f>"1982935623"</f>
        <v>1982935623</v>
      </c>
      <c r="C10343" t="str">
        <f>"363L00000X"</f>
        <v>363L00000X</v>
      </c>
      <c r="D10343" t="str">
        <f>"HODGES                   PAMELA       G           "</f>
        <v xml:space="preserve">HODGES                   PAMELA       G           </v>
      </c>
      <c r="E10343" t="str">
        <f>"BALDWYN                   "</f>
        <v xml:space="preserve">BALDWYN                   </v>
      </c>
      <c r="F10343" t="str">
        <f t="shared" si="288"/>
        <v>MS</v>
      </c>
    </row>
    <row r="10344" spans="1:6" x14ac:dyDescent="0.25">
      <c r="A10344" t="str">
        <f>"004409228"</f>
        <v>004409228</v>
      </c>
      <c r="B10344" t="str">
        <f>"1124201074"</f>
        <v>1124201074</v>
      </c>
      <c r="C10344" t="str">
        <f>"1223X0400X"</f>
        <v>1223X0400X</v>
      </c>
      <c r="D10344" t="str">
        <f>"HEAD                     CHRISTY      D           "</f>
        <v xml:space="preserve">HEAD                     CHRISTY      D           </v>
      </c>
      <c r="E10344" t="str">
        <f>"HATTIESBURG               "</f>
        <v xml:space="preserve">HATTIESBURG               </v>
      </c>
      <c r="F10344" t="str">
        <f t="shared" si="288"/>
        <v>MS</v>
      </c>
    </row>
    <row r="10345" spans="1:6" x14ac:dyDescent="0.25">
      <c r="A10345" t="str">
        <f>"004420004"</f>
        <v>004420004</v>
      </c>
      <c r="B10345" t="str">
        <f>"1902548795"</f>
        <v>1902548795</v>
      </c>
      <c r="C10345" t="str">
        <f>"207X00000X"</f>
        <v>207X00000X</v>
      </c>
      <c r="D10345" t="str">
        <f>"CARTER                   JOSEPH       A           "</f>
        <v xml:space="preserve">CARTER                   JOSEPH       A           </v>
      </c>
      <c r="E10345" t="str">
        <f>"JACKSON                   "</f>
        <v xml:space="preserve">JACKSON                   </v>
      </c>
      <c r="F10345" t="str">
        <f t="shared" si="288"/>
        <v>MS</v>
      </c>
    </row>
    <row r="10346" spans="1:6" x14ac:dyDescent="0.25">
      <c r="A10346" t="str">
        <f>"004421307"</f>
        <v>004421307</v>
      </c>
      <c r="B10346" t="str">
        <f>"1841643442"</f>
        <v>1841643442</v>
      </c>
      <c r="C10346" t="str">
        <f>"367500000X"</f>
        <v>367500000X</v>
      </c>
      <c r="D10346" t="str">
        <f>"PARISH                   ZACHARY                  "</f>
        <v xml:space="preserve">PARISH                   ZACHARY                  </v>
      </c>
      <c r="E10346" t="str">
        <f>"COLUMBUS                  "</f>
        <v xml:space="preserve">COLUMBUS                  </v>
      </c>
      <c r="F10346" t="str">
        <f t="shared" si="288"/>
        <v>MS</v>
      </c>
    </row>
    <row r="10347" spans="1:6" x14ac:dyDescent="0.25">
      <c r="A10347" t="str">
        <f>"004421823"</f>
        <v>004421823</v>
      </c>
      <c r="B10347" t="str">
        <f>"1063824688"</f>
        <v>1063824688</v>
      </c>
      <c r="C10347" t="str">
        <f>"208800000X"</f>
        <v>208800000X</v>
      </c>
      <c r="D10347" t="str">
        <f>"MOORE                    JOHN         R           "</f>
        <v xml:space="preserve">MOORE                    JOHN         R           </v>
      </c>
      <c r="E10347" t="str">
        <f>"HATTIESBURG               "</f>
        <v xml:space="preserve">HATTIESBURG               </v>
      </c>
      <c r="F10347" t="str">
        <f t="shared" si="288"/>
        <v>MS</v>
      </c>
    </row>
    <row r="10348" spans="1:6" x14ac:dyDescent="0.25">
      <c r="A10348" t="str">
        <f>"004422546"</f>
        <v>004422546</v>
      </c>
      <c r="B10348" t="str">
        <f>"1922559772"</f>
        <v>1922559772</v>
      </c>
      <c r="C10348" t="str">
        <f>"363L00000X"</f>
        <v>363L00000X</v>
      </c>
      <c r="D10348" t="str">
        <f>"HILL                     BRUCE        E           "</f>
        <v xml:space="preserve">HILL                     BRUCE        E           </v>
      </c>
      <c r="E10348" t="str">
        <f>"MCCOMB                    "</f>
        <v xml:space="preserve">MCCOMB                    </v>
      </c>
      <c r="F10348" t="str">
        <f t="shared" si="288"/>
        <v>MS</v>
      </c>
    </row>
    <row r="10349" spans="1:6" x14ac:dyDescent="0.25">
      <c r="A10349" t="str">
        <f>"004423590"</f>
        <v>004423590</v>
      </c>
      <c r="B10349" t="str">
        <f>"1063709418"</f>
        <v>1063709418</v>
      </c>
      <c r="C10349" t="str">
        <f>"367500000X"</f>
        <v>367500000X</v>
      </c>
      <c r="D10349" t="str">
        <f>"SMITH II                 GEORGE       R           "</f>
        <v xml:space="preserve">SMITH II                 GEORGE       R           </v>
      </c>
      <c r="E10349" t="str">
        <f>"BAY ST LOUIS              "</f>
        <v xml:space="preserve">BAY ST LOUIS              </v>
      </c>
      <c r="F10349" t="str">
        <f t="shared" si="288"/>
        <v>MS</v>
      </c>
    </row>
    <row r="10350" spans="1:6" x14ac:dyDescent="0.25">
      <c r="A10350" t="str">
        <f>"004423872"</f>
        <v>004423872</v>
      </c>
      <c r="B10350" t="str">
        <f>"1851744213"</f>
        <v>1851744213</v>
      </c>
      <c r="C10350" t="str">
        <f>"363L00000X"</f>
        <v>363L00000X</v>
      </c>
      <c r="D10350" t="str">
        <f>"TRIEU                    ANGELICA                 "</f>
        <v xml:space="preserve">TRIEU                    ANGELICA                 </v>
      </c>
      <c r="E10350" t="str">
        <f>"BILOXI                    "</f>
        <v xml:space="preserve">BILOXI                    </v>
      </c>
      <c r="F10350" t="str">
        <f t="shared" si="288"/>
        <v>MS</v>
      </c>
    </row>
    <row r="10351" spans="1:6" x14ac:dyDescent="0.25">
      <c r="A10351" t="str">
        <f>"004425091"</f>
        <v>004425091</v>
      </c>
      <c r="B10351" t="str">
        <f>"1093137309"</f>
        <v>1093137309</v>
      </c>
      <c r="C10351" t="str">
        <f>"363L00000X"</f>
        <v>363L00000X</v>
      </c>
      <c r="D10351" t="str">
        <f>"HOBGOOD                  CAROL        E           "</f>
        <v xml:space="preserve">HOBGOOD                  CAROL        E           </v>
      </c>
      <c r="E10351" t="str">
        <f>"TYLERTOWN                 "</f>
        <v xml:space="preserve">TYLERTOWN                 </v>
      </c>
      <c r="F10351" t="str">
        <f t="shared" si="288"/>
        <v>MS</v>
      </c>
    </row>
    <row r="10352" spans="1:6" x14ac:dyDescent="0.25">
      <c r="A10352" t="str">
        <f>"004425849"</f>
        <v>004425849</v>
      </c>
      <c r="B10352" t="str">
        <f>"1619104627"</f>
        <v>1619104627</v>
      </c>
      <c r="C10352" t="str">
        <f>"208000000X"</f>
        <v>208000000X</v>
      </c>
      <c r="D10352" t="str">
        <f>"SCHNEIDER                KATHRYN      E           "</f>
        <v xml:space="preserve">SCHNEIDER                KATHRYN      E           </v>
      </c>
      <c r="E10352" t="str">
        <f>"JACKSON                   "</f>
        <v xml:space="preserve">JACKSON                   </v>
      </c>
      <c r="F10352" t="str">
        <f t="shared" si="288"/>
        <v>MS</v>
      </c>
    </row>
    <row r="10353" spans="1:6" x14ac:dyDescent="0.25">
      <c r="A10353" t="str">
        <f>"004426834"</f>
        <v>004426834</v>
      </c>
      <c r="B10353" t="str">
        <f>"1801348875"</f>
        <v>1801348875</v>
      </c>
      <c r="C10353" t="str">
        <f>"363L00000X"</f>
        <v>363L00000X</v>
      </c>
      <c r="D10353" t="str">
        <f>"WILLIAMS                 HOPE         E           "</f>
        <v xml:space="preserve">WILLIAMS                 HOPE         E           </v>
      </c>
      <c r="E10353" t="str">
        <f>"GREENVILLE                "</f>
        <v xml:space="preserve">GREENVILLE                </v>
      </c>
      <c r="F10353" t="str">
        <f t="shared" si="288"/>
        <v>MS</v>
      </c>
    </row>
    <row r="10354" spans="1:6" x14ac:dyDescent="0.25">
      <c r="A10354" t="str">
        <f>"004427852"</f>
        <v>004427852</v>
      </c>
      <c r="B10354" t="str">
        <f>"1568658458"</f>
        <v>1568658458</v>
      </c>
      <c r="C10354" t="str">
        <f>"2088P0231X"</f>
        <v>2088P0231X</v>
      </c>
      <c r="D10354" t="str">
        <f>"BEAN                     CHRISTOPHER  M           "</f>
        <v xml:space="preserve">BEAN                     CHRISTOPHER  M           </v>
      </c>
      <c r="E10354" t="str">
        <f>"JACKSON                   "</f>
        <v xml:space="preserve">JACKSON                   </v>
      </c>
      <c r="F10354" t="str">
        <f t="shared" si="288"/>
        <v>MS</v>
      </c>
    </row>
    <row r="10355" spans="1:6" x14ac:dyDescent="0.25">
      <c r="A10355" t="str">
        <f>"004430700"</f>
        <v>004430700</v>
      </c>
      <c r="B10355" t="str">
        <f>"1174010110"</f>
        <v>1174010110</v>
      </c>
      <c r="C10355" t="str">
        <f>"207P00000X"</f>
        <v>207P00000X</v>
      </c>
      <c r="D10355" t="str">
        <f>"NAPODANO                 RUDOLPH      J           "</f>
        <v xml:space="preserve">NAPODANO                 RUDOLPH      J           </v>
      </c>
      <c r="E10355" t="str">
        <f>"JACKSON                   "</f>
        <v xml:space="preserve">JACKSON                   </v>
      </c>
      <c r="F10355" t="str">
        <f t="shared" si="288"/>
        <v>MS</v>
      </c>
    </row>
    <row r="10356" spans="1:6" x14ac:dyDescent="0.25">
      <c r="A10356" t="str">
        <f>"004431059"</f>
        <v>004431059</v>
      </c>
      <c r="B10356" t="str">
        <f>"1619262318"</f>
        <v>1619262318</v>
      </c>
      <c r="C10356" t="str">
        <f>"122300000X"</f>
        <v>122300000X</v>
      </c>
      <c r="D10356" t="str">
        <f>"CRENSHAW                 LAUREN       T           "</f>
        <v xml:space="preserve">CRENSHAW                 LAUREN       T           </v>
      </c>
      <c r="E10356" t="str">
        <f>"JACKSON                   "</f>
        <v xml:space="preserve">JACKSON                   </v>
      </c>
      <c r="F10356" t="str">
        <f t="shared" si="288"/>
        <v>MS</v>
      </c>
    </row>
    <row r="10357" spans="1:6" x14ac:dyDescent="0.25">
      <c r="A10357" t="str">
        <f>"004431252"</f>
        <v>004431252</v>
      </c>
      <c r="B10357" t="str">
        <f>"1710411376"</f>
        <v>1710411376</v>
      </c>
      <c r="C10357" t="str">
        <f>"363L00000X"</f>
        <v>363L00000X</v>
      </c>
      <c r="D10357" t="str">
        <f>"SANDERS                  CATHERINE    R           "</f>
        <v xml:space="preserve">SANDERS                  CATHERINE    R           </v>
      </c>
      <c r="E10357" t="str">
        <f>"JACKSON                   "</f>
        <v xml:space="preserve">JACKSON                   </v>
      </c>
      <c r="F10357" t="str">
        <f t="shared" si="288"/>
        <v>MS</v>
      </c>
    </row>
    <row r="10358" spans="1:6" x14ac:dyDescent="0.25">
      <c r="A10358" t="str">
        <f>"004431581"</f>
        <v>004431581</v>
      </c>
      <c r="B10358" t="str">
        <f>"1689952707"</f>
        <v>1689952707</v>
      </c>
      <c r="C10358" t="str">
        <f>"261QR1300X"</f>
        <v>261QR1300X</v>
      </c>
      <c r="D10358" t="str">
        <f>"JEFFERSON DAVIS RURAL HEALTH CLINIC               "</f>
        <v xml:space="preserve">JEFFERSON DAVIS RURAL HEALTH CLINIC               </v>
      </c>
      <c r="E10358" t="str">
        <f>"PRENTISS                  "</f>
        <v xml:space="preserve">PRENTISS                  </v>
      </c>
      <c r="F10358" t="str">
        <f t="shared" si="288"/>
        <v>MS</v>
      </c>
    </row>
    <row r="10359" spans="1:6" x14ac:dyDescent="0.25">
      <c r="A10359" t="str">
        <f>"004431721"</f>
        <v>004431721</v>
      </c>
      <c r="B10359" t="str">
        <f>"1962641704"</f>
        <v>1962641704</v>
      </c>
      <c r="C10359" t="str">
        <f>"208600000X"</f>
        <v>208600000X</v>
      </c>
      <c r="D10359" t="str">
        <f>"STINSON                  JOSEPH       M           "</f>
        <v xml:space="preserve">STINSON                  JOSEPH       M           </v>
      </c>
      <c r="E10359" t="str">
        <f>"TUPELO                    "</f>
        <v xml:space="preserve">TUPELO                    </v>
      </c>
      <c r="F10359" t="str">
        <f t="shared" si="288"/>
        <v>MS</v>
      </c>
    </row>
    <row r="10360" spans="1:6" x14ac:dyDescent="0.25">
      <c r="A10360" t="str">
        <f>"004432807"</f>
        <v>004432807</v>
      </c>
      <c r="B10360" t="str">
        <f>"1912112780"</f>
        <v>1912112780</v>
      </c>
      <c r="C10360" t="str">
        <f>"152W00000X"</f>
        <v>152W00000X</v>
      </c>
      <c r="D10360" t="str">
        <f>"TAYLOR                   ANNA         P           "</f>
        <v xml:space="preserve">TAYLOR                   ANNA         P           </v>
      </c>
      <c r="E10360" t="str">
        <f>"BRANDON                   "</f>
        <v xml:space="preserve">BRANDON                   </v>
      </c>
      <c r="F10360" t="str">
        <f t="shared" si="288"/>
        <v>MS</v>
      </c>
    </row>
    <row r="10361" spans="1:6" x14ac:dyDescent="0.25">
      <c r="A10361" t="str">
        <f>"004434891"</f>
        <v>004434891</v>
      </c>
      <c r="B10361" t="str">
        <f>"1548259245"</f>
        <v>1548259245</v>
      </c>
      <c r="C10361" t="str">
        <f>"208600000X"</f>
        <v>208600000X</v>
      </c>
      <c r="D10361" t="str">
        <f>"PARNELL JR               DONALD                   "</f>
        <v xml:space="preserve">PARNELL JR               DONALD                   </v>
      </c>
      <c r="E10361" t="str">
        <f>"BATESVILLE                "</f>
        <v xml:space="preserve">BATESVILLE                </v>
      </c>
      <c r="F10361" t="str">
        <f t="shared" si="288"/>
        <v>MS</v>
      </c>
    </row>
    <row r="10362" spans="1:6" x14ac:dyDescent="0.25">
      <c r="A10362" t="str">
        <f>"004436306"</f>
        <v>004436306</v>
      </c>
      <c r="B10362" t="str">
        <f>"1346338035"</f>
        <v>1346338035</v>
      </c>
      <c r="C10362" t="str">
        <f>"363L00000X"</f>
        <v>363L00000X</v>
      </c>
      <c r="D10362" t="str">
        <f>"LINTON                   MARION       C           "</f>
        <v xml:space="preserve">LINTON                   MARION       C           </v>
      </c>
      <c r="E10362" t="str">
        <f>"MERIDIAN                  "</f>
        <v xml:space="preserve">MERIDIAN                  </v>
      </c>
      <c r="F10362" t="str">
        <f t="shared" si="288"/>
        <v>MS</v>
      </c>
    </row>
    <row r="10363" spans="1:6" x14ac:dyDescent="0.25">
      <c r="A10363" t="str">
        <f>"004437250"</f>
        <v>004437250</v>
      </c>
      <c r="B10363" t="str">
        <f>"1336224526"</f>
        <v>1336224526</v>
      </c>
      <c r="C10363" t="str">
        <f>"208000000X"</f>
        <v>208000000X</v>
      </c>
      <c r="D10363" t="str">
        <f>"DENNEY                   SAM          J           "</f>
        <v xml:space="preserve">DENNEY                   SAM          J           </v>
      </c>
      <c r="E10363" t="str">
        <f>"FLOWOOD                   "</f>
        <v xml:space="preserve">FLOWOOD                   </v>
      </c>
      <c r="F10363" t="str">
        <f t="shared" si="288"/>
        <v>MS</v>
      </c>
    </row>
    <row r="10364" spans="1:6" x14ac:dyDescent="0.25">
      <c r="A10364" t="str">
        <f>"004437305"</f>
        <v>004437305</v>
      </c>
      <c r="B10364" t="str">
        <f>"1720573959"</f>
        <v>1720573959</v>
      </c>
      <c r="C10364" t="str">
        <f>"363L00000X"</f>
        <v>363L00000X</v>
      </c>
      <c r="D10364" t="str">
        <f>"RAY                      ASHLEY       C           "</f>
        <v xml:space="preserve">RAY                      ASHLEY       C           </v>
      </c>
      <c r="E10364" t="str">
        <f>"GULFPORT                  "</f>
        <v xml:space="preserve">GULFPORT                  </v>
      </c>
      <c r="F10364" t="str">
        <f t="shared" si="288"/>
        <v>MS</v>
      </c>
    </row>
    <row r="10365" spans="1:6" x14ac:dyDescent="0.25">
      <c r="A10365" t="str">
        <f>"004437752"</f>
        <v>004437752</v>
      </c>
      <c r="B10365" t="str">
        <f>"1437370988"</f>
        <v>1437370988</v>
      </c>
      <c r="C10365" t="str">
        <f>"1223S0112X"</f>
        <v>1223S0112X</v>
      </c>
      <c r="D10365" t="str">
        <f>"HUNT                     KYLE         T           "</f>
        <v xml:space="preserve">HUNT                     KYLE         T           </v>
      </c>
      <c r="E10365" t="str">
        <f>"JACKSON                   "</f>
        <v xml:space="preserve">JACKSON                   </v>
      </c>
      <c r="F10365" t="str">
        <f t="shared" si="288"/>
        <v>MS</v>
      </c>
    </row>
    <row r="10366" spans="1:6" x14ac:dyDescent="0.25">
      <c r="A10366" t="str">
        <f>"004437797"</f>
        <v>004437797</v>
      </c>
      <c r="B10366" t="str">
        <f>"1235717588"</f>
        <v>1235717588</v>
      </c>
      <c r="C10366" t="str">
        <f>"207R00000X"</f>
        <v>207R00000X</v>
      </c>
      <c r="D10366" t="str">
        <f>"HELMHOUT                 WILSON                   "</f>
        <v xml:space="preserve">HELMHOUT                 WILSON                   </v>
      </c>
      <c r="E10366" t="str">
        <f>"JACKSON                   "</f>
        <v xml:space="preserve">JACKSON                   </v>
      </c>
      <c r="F10366" t="str">
        <f t="shared" ref="F10366:F10429" si="289">"MS"</f>
        <v>MS</v>
      </c>
    </row>
    <row r="10367" spans="1:6" x14ac:dyDescent="0.25">
      <c r="A10367" t="str">
        <f>"004438323"</f>
        <v>004438323</v>
      </c>
      <c r="B10367" t="str">
        <f>"1073925244"</f>
        <v>1073925244</v>
      </c>
      <c r="C10367" t="str">
        <f>"207Q00000X"</f>
        <v>207Q00000X</v>
      </c>
      <c r="D10367" t="str">
        <f>"BUCHANAN                 JONATHAN                 "</f>
        <v xml:space="preserve">BUCHANAN                 JONATHAN                 </v>
      </c>
      <c r="E10367" t="str">
        <f>"CARTHAGE                  "</f>
        <v xml:space="preserve">CARTHAGE                  </v>
      </c>
      <c r="F10367" t="str">
        <f t="shared" si="289"/>
        <v>MS</v>
      </c>
    </row>
    <row r="10368" spans="1:6" x14ac:dyDescent="0.25">
      <c r="A10368" t="str">
        <f>"004438724"</f>
        <v>004438724</v>
      </c>
      <c r="B10368" t="str">
        <f>"1073716825"</f>
        <v>1073716825</v>
      </c>
      <c r="C10368" t="str">
        <f>"363L00000X"</f>
        <v>363L00000X</v>
      </c>
      <c r="D10368" t="str">
        <f>"CARR                     MARTIN       W           "</f>
        <v xml:space="preserve">CARR                     MARTIN       W           </v>
      </c>
      <c r="E10368" t="str">
        <f>"CARRIERE                  "</f>
        <v xml:space="preserve">CARRIERE                  </v>
      </c>
      <c r="F10368" t="str">
        <f t="shared" si="289"/>
        <v>MS</v>
      </c>
    </row>
    <row r="10369" spans="1:6" x14ac:dyDescent="0.25">
      <c r="A10369" t="str">
        <f>"004451254"</f>
        <v>004451254</v>
      </c>
      <c r="B10369" t="str">
        <f>"1356504872"</f>
        <v>1356504872</v>
      </c>
      <c r="C10369" t="str">
        <f>"208000000X"</f>
        <v>208000000X</v>
      </c>
      <c r="D10369" t="str">
        <f>"EUBANKS                  ROBERT                   "</f>
        <v xml:space="preserve">EUBANKS                  ROBERT                   </v>
      </c>
      <c r="E10369" t="str">
        <f>"MERIDIAN                  "</f>
        <v xml:space="preserve">MERIDIAN                  </v>
      </c>
      <c r="F10369" t="str">
        <f t="shared" si="289"/>
        <v>MS</v>
      </c>
    </row>
    <row r="10370" spans="1:6" x14ac:dyDescent="0.25">
      <c r="A10370" t="str">
        <f>"004451396"</f>
        <v>004451396</v>
      </c>
      <c r="B10370" t="str">
        <f>"1790453249"</f>
        <v>1790453249</v>
      </c>
      <c r="C10370" t="str">
        <f>"363L00000X"</f>
        <v>363L00000X</v>
      </c>
      <c r="D10370" t="str">
        <f>"HILL                     MARIMICHAEL              "</f>
        <v xml:space="preserve">HILL                     MARIMICHAEL              </v>
      </c>
      <c r="E10370" t="str">
        <f>"CLEVELAND                 "</f>
        <v xml:space="preserve">CLEVELAND                 </v>
      </c>
      <c r="F10370" t="str">
        <f t="shared" si="289"/>
        <v>MS</v>
      </c>
    </row>
    <row r="10371" spans="1:6" x14ac:dyDescent="0.25">
      <c r="A10371" t="str">
        <f>"004451561"</f>
        <v>004451561</v>
      </c>
      <c r="B10371" t="str">
        <f>"1700176203"</f>
        <v>1700176203</v>
      </c>
      <c r="C10371" t="str">
        <f>"207X00000X"</f>
        <v>207X00000X</v>
      </c>
      <c r="D10371" t="str">
        <f>"SHEFFER                  BENJAMIN     W           "</f>
        <v xml:space="preserve">SHEFFER                  BENJAMIN     W           </v>
      </c>
      <c r="E10371" t="str">
        <f>"SOUTHAVEN                 "</f>
        <v xml:space="preserve">SOUTHAVEN                 </v>
      </c>
      <c r="F10371" t="str">
        <f t="shared" si="289"/>
        <v>MS</v>
      </c>
    </row>
    <row r="10372" spans="1:6" x14ac:dyDescent="0.25">
      <c r="A10372" t="str">
        <f>"004452200"</f>
        <v>004452200</v>
      </c>
      <c r="B10372" t="str">
        <f>"1336768795"</f>
        <v>1336768795</v>
      </c>
      <c r="C10372" t="str">
        <f>"208000000X"</f>
        <v>208000000X</v>
      </c>
      <c r="D10372" t="str">
        <f>"MIGUEL-QIN               ELISA                    "</f>
        <v xml:space="preserve">MIGUEL-QIN               ELISA                    </v>
      </c>
      <c r="E10372" t="str">
        <f>"JACKSON                   "</f>
        <v xml:space="preserve">JACKSON                   </v>
      </c>
      <c r="F10372" t="str">
        <f t="shared" si="289"/>
        <v>MS</v>
      </c>
    </row>
    <row r="10373" spans="1:6" x14ac:dyDescent="0.25">
      <c r="A10373" t="str">
        <f>"004453501"</f>
        <v>004453501</v>
      </c>
      <c r="B10373" t="str">
        <f>"1851765226"</f>
        <v>1851765226</v>
      </c>
      <c r="C10373" t="str">
        <f>"363L00000X"</f>
        <v>363L00000X</v>
      </c>
      <c r="D10373" t="str">
        <f>"COX                      SARA         R           "</f>
        <v xml:space="preserve">COX                      SARA         R           </v>
      </c>
      <c r="E10373" t="str">
        <f>"WEST POINT                "</f>
        <v xml:space="preserve">WEST POINT                </v>
      </c>
      <c r="F10373" t="str">
        <f t="shared" si="289"/>
        <v>MS</v>
      </c>
    </row>
    <row r="10374" spans="1:6" x14ac:dyDescent="0.25">
      <c r="A10374" t="str">
        <f>"004454042"</f>
        <v>004454042</v>
      </c>
      <c r="B10374" t="str">
        <f>"1811579964"</f>
        <v>1811579964</v>
      </c>
      <c r="C10374" t="str">
        <f>"363LF0000X"</f>
        <v>363LF0000X</v>
      </c>
      <c r="D10374" t="str">
        <f>"FORD                     MADISON      A           "</f>
        <v xml:space="preserve">FORD                     MADISON      A           </v>
      </c>
      <c r="E10374" t="str">
        <f>"WEST POINT                "</f>
        <v xml:space="preserve">WEST POINT                </v>
      </c>
      <c r="F10374" t="str">
        <f t="shared" si="289"/>
        <v>MS</v>
      </c>
    </row>
    <row r="10375" spans="1:6" x14ac:dyDescent="0.25">
      <c r="A10375" t="str">
        <f>"004454726"</f>
        <v>004454726</v>
      </c>
      <c r="B10375" t="str">
        <f>"1790911303"</f>
        <v>1790911303</v>
      </c>
      <c r="C10375" t="str">
        <f>"207Q00000X"</f>
        <v>207Q00000X</v>
      </c>
      <c r="D10375" t="str">
        <f>"ESTES                    KIMBERLY     J           "</f>
        <v xml:space="preserve">ESTES                    KIMBERLY     J           </v>
      </c>
      <c r="E10375" t="str">
        <f>"MEADVILLE                 "</f>
        <v xml:space="preserve">MEADVILLE                 </v>
      </c>
      <c r="F10375" t="str">
        <f t="shared" si="289"/>
        <v>MS</v>
      </c>
    </row>
    <row r="10376" spans="1:6" x14ac:dyDescent="0.25">
      <c r="A10376" t="str">
        <f>"004455509"</f>
        <v>004455509</v>
      </c>
      <c r="B10376" t="str">
        <f>"1902116064"</f>
        <v>1902116064</v>
      </c>
      <c r="C10376" t="str">
        <f>"363L00000X"</f>
        <v>363L00000X</v>
      </c>
      <c r="D10376" t="str">
        <f>"MOFFETT                  SHELLIE      J           "</f>
        <v xml:space="preserve">MOFFETT                  SHELLIE      J           </v>
      </c>
      <c r="E10376" t="str">
        <f>"AMORY                     "</f>
        <v xml:space="preserve">AMORY                     </v>
      </c>
      <c r="F10376" t="str">
        <f t="shared" si="289"/>
        <v>MS</v>
      </c>
    </row>
    <row r="10377" spans="1:6" x14ac:dyDescent="0.25">
      <c r="A10377" t="str">
        <f>"004455724"</f>
        <v>004455724</v>
      </c>
      <c r="B10377" t="str">
        <f>"1366616856"</f>
        <v>1366616856</v>
      </c>
      <c r="C10377" t="str">
        <f>"207P00000X"</f>
        <v>207P00000X</v>
      </c>
      <c r="D10377" t="str">
        <f>"FINNEGAN                 BRIAN                    "</f>
        <v xml:space="preserve">FINNEGAN                 BRIAN                    </v>
      </c>
      <c r="E10377" t="str">
        <f>"GREENVILLE                "</f>
        <v xml:space="preserve">GREENVILLE                </v>
      </c>
      <c r="F10377" t="str">
        <f t="shared" si="289"/>
        <v>MS</v>
      </c>
    </row>
    <row r="10378" spans="1:6" x14ac:dyDescent="0.25">
      <c r="A10378" t="str">
        <f>"004456307"</f>
        <v>004456307</v>
      </c>
      <c r="B10378" t="str">
        <f>"1841738275"</f>
        <v>1841738275</v>
      </c>
      <c r="C10378" t="str">
        <f>"363L00000X"</f>
        <v>363L00000X</v>
      </c>
      <c r="D10378" t="str">
        <f>"HOWARD                   CHRISTY                  "</f>
        <v xml:space="preserve">HOWARD                   CHRISTY                  </v>
      </c>
      <c r="E10378" t="str">
        <f>"VANCLEAVE                 "</f>
        <v xml:space="preserve">VANCLEAVE                 </v>
      </c>
      <c r="F10378" t="str">
        <f t="shared" si="289"/>
        <v>MS</v>
      </c>
    </row>
    <row r="10379" spans="1:6" x14ac:dyDescent="0.25">
      <c r="A10379" t="str">
        <f>"004456312"</f>
        <v>004456312</v>
      </c>
      <c r="B10379" t="str">
        <f>"1518131754"</f>
        <v>1518131754</v>
      </c>
      <c r="C10379" t="str">
        <f>"207V00000X"</f>
        <v>207V00000X</v>
      </c>
      <c r="D10379" t="str">
        <f>"MOORE                    BENJAMIN     C           "</f>
        <v xml:space="preserve">MOORE                    BENJAMIN     C           </v>
      </c>
      <c r="E10379" t="str">
        <f>"HATTIESBURG               "</f>
        <v xml:space="preserve">HATTIESBURG               </v>
      </c>
      <c r="F10379" t="str">
        <f t="shared" si="289"/>
        <v>MS</v>
      </c>
    </row>
    <row r="10380" spans="1:6" x14ac:dyDescent="0.25">
      <c r="A10380" t="str">
        <f>"004456521"</f>
        <v>004456521</v>
      </c>
      <c r="B10380" t="str">
        <f>"1720485600"</f>
        <v>1720485600</v>
      </c>
      <c r="C10380" t="str">
        <f>"363L00000X"</f>
        <v>363L00000X</v>
      </c>
      <c r="D10380" t="str">
        <f>"EASLEY                   AMY          W           "</f>
        <v xml:space="preserve">EASLEY                   AMY          W           </v>
      </c>
      <c r="E10380" t="str">
        <f>"BRANDON                   "</f>
        <v xml:space="preserve">BRANDON                   </v>
      </c>
      <c r="F10380" t="str">
        <f t="shared" si="289"/>
        <v>MS</v>
      </c>
    </row>
    <row r="10381" spans="1:6" x14ac:dyDescent="0.25">
      <c r="A10381" t="str">
        <f>"004457008"</f>
        <v>004457008</v>
      </c>
      <c r="B10381" t="str">
        <f>"1457913543"</f>
        <v>1457913543</v>
      </c>
      <c r="C10381" t="str">
        <f>"207R00000X"</f>
        <v>207R00000X</v>
      </c>
      <c r="D10381" t="str">
        <f>"LINDSEY                  JENNIFER                 "</f>
        <v xml:space="preserve">LINDSEY                  JENNIFER                 </v>
      </c>
      <c r="E10381" t="str">
        <f>"TUPELO                    "</f>
        <v xml:space="preserve">TUPELO                    </v>
      </c>
      <c r="F10381" t="str">
        <f t="shared" si="289"/>
        <v>MS</v>
      </c>
    </row>
    <row r="10382" spans="1:6" x14ac:dyDescent="0.25">
      <c r="A10382" t="str">
        <f>"004457069"</f>
        <v>004457069</v>
      </c>
      <c r="B10382" t="str">
        <f>"1134489362"</f>
        <v>1134489362</v>
      </c>
      <c r="C10382" t="str">
        <f>"367500000X"</f>
        <v>367500000X</v>
      </c>
      <c r="D10382" t="str">
        <f>"PERKINS                  RONALD       M           "</f>
        <v xml:space="preserve">PERKINS                  RONALD       M           </v>
      </c>
      <c r="E10382" t="str">
        <f>"HATTIESBURG               "</f>
        <v xml:space="preserve">HATTIESBURG               </v>
      </c>
      <c r="F10382" t="str">
        <f t="shared" si="289"/>
        <v>MS</v>
      </c>
    </row>
    <row r="10383" spans="1:6" x14ac:dyDescent="0.25">
      <c r="A10383" t="str">
        <f>"004457395"</f>
        <v>004457395</v>
      </c>
      <c r="B10383" t="str">
        <f>"1306338587"</f>
        <v>1306338587</v>
      </c>
      <c r="C10383" t="str">
        <f>"261QF0400X"</f>
        <v>261QF0400X</v>
      </c>
      <c r="D10383" t="str">
        <f>"ACCESS SCHOOL HEALTH - OKOLONA ELEM               "</f>
        <v xml:space="preserve">ACCESS SCHOOL HEALTH - OKOLONA ELEM               </v>
      </c>
      <c r="E10383" t="str">
        <f>"OKOLONA                   "</f>
        <v xml:space="preserve">OKOLONA                   </v>
      </c>
      <c r="F10383" t="str">
        <f t="shared" si="289"/>
        <v>MS</v>
      </c>
    </row>
    <row r="10384" spans="1:6" x14ac:dyDescent="0.25">
      <c r="A10384" t="str">
        <f>"004458578"</f>
        <v>004458578</v>
      </c>
      <c r="B10384" t="str">
        <f>"1265443063"</f>
        <v>1265443063</v>
      </c>
      <c r="C10384" t="str">
        <f>"363L00000X"</f>
        <v>363L00000X</v>
      </c>
      <c r="D10384" t="str">
        <f>"SERIO                    JOSE                     "</f>
        <v xml:space="preserve">SERIO                    JOSE                     </v>
      </c>
      <c r="E10384" t="str">
        <f>"NATCHEZ                   "</f>
        <v xml:space="preserve">NATCHEZ                   </v>
      </c>
      <c r="F10384" t="str">
        <f t="shared" si="289"/>
        <v>MS</v>
      </c>
    </row>
    <row r="10385" spans="1:6" x14ac:dyDescent="0.25">
      <c r="A10385" t="str">
        <f>"004459041"</f>
        <v>004459041</v>
      </c>
      <c r="B10385" t="str">
        <f>"1841799616"</f>
        <v>1841799616</v>
      </c>
      <c r="C10385" t="str">
        <f>"363A00000X"</f>
        <v>363A00000X</v>
      </c>
      <c r="D10385" t="str">
        <f>"HUGHES                   JEFFREY      B           "</f>
        <v xml:space="preserve">HUGHES                   JEFFREY      B           </v>
      </c>
      <c r="E10385" t="str">
        <f>"BELZONI                   "</f>
        <v xml:space="preserve">BELZONI                   </v>
      </c>
      <c r="F10385" t="str">
        <f t="shared" si="289"/>
        <v>MS</v>
      </c>
    </row>
    <row r="10386" spans="1:6" x14ac:dyDescent="0.25">
      <c r="A10386" t="str">
        <f>"004459244"</f>
        <v>004459244</v>
      </c>
      <c r="B10386" t="str">
        <f>"1205949047"</f>
        <v>1205949047</v>
      </c>
      <c r="C10386" t="str">
        <f>"122300000X"</f>
        <v>122300000X</v>
      </c>
      <c r="D10386" t="str">
        <f>"RHODES                   ERIN         T           "</f>
        <v xml:space="preserve">RHODES                   ERIN         T           </v>
      </c>
      <c r="E10386" t="str">
        <f>"HATTIESBURG               "</f>
        <v xml:space="preserve">HATTIESBURG               </v>
      </c>
      <c r="F10386" t="str">
        <f t="shared" si="289"/>
        <v>MS</v>
      </c>
    </row>
    <row r="10387" spans="1:6" x14ac:dyDescent="0.25">
      <c r="A10387" t="str">
        <f>"004459787"</f>
        <v>004459787</v>
      </c>
      <c r="B10387" t="str">
        <f>"1447590872"</f>
        <v>1447590872</v>
      </c>
      <c r="C10387" t="str">
        <f>"367500000X"</f>
        <v>367500000X</v>
      </c>
      <c r="D10387" t="str">
        <f>"HAHN                     JOSHUA       G           "</f>
        <v xml:space="preserve">HAHN                     JOSHUA       G           </v>
      </c>
      <c r="E10387" t="str">
        <f>"GULFPORT                  "</f>
        <v xml:space="preserve">GULFPORT                  </v>
      </c>
      <c r="F10387" t="str">
        <f t="shared" si="289"/>
        <v>MS</v>
      </c>
    </row>
    <row r="10388" spans="1:6" x14ac:dyDescent="0.25">
      <c r="A10388" t="str">
        <f>"004470364"</f>
        <v>004470364</v>
      </c>
      <c r="B10388" t="str">
        <f>"1881115038"</f>
        <v>1881115038</v>
      </c>
      <c r="C10388" t="str">
        <f>"363L00000X"</f>
        <v>363L00000X</v>
      </c>
      <c r="D10388" t="str">
        <f>"PAGE                     RACHAEL                  "</f>
        <v xml:space="preserve">PAGE                     RACHAEL                  </v>
      </c>
      <c r="E10388" t="str">
        <f>"PHILADELPHIA              "</f>
        <v xml:space="preserve">PHILADELPHIA              </v>
      </c>
      <c r="F10388" t="str">
        <f t="shared" si="289"/>
        <v>MS</v>
      </c>
    </row>
    <row r="10389" spans="1:6" x14ac:dyDescent="0.25">
      <c r="A10389" t="str">
        <f>"004472092"</f>
        <v>004472092</v>
      </c>
      <c r="B10389" t="str">
        <f>"1184208449"</f>
        <v>1184208449</v>
      </c>
      <c r="C10389" t="str">
        <f>"363L00000X"</f>
        <v>363L00000X</v>
      </c>
      <c r="D10389" t="str">
        <f>"ROSSI                    JENNIFER     E           "</f>
        <v xml:space="preserve">ROSSI                    JENNIFER     E           </v>
      </c>
      <c r="E10389" t="str">
        <f>"TUPELO                    "</f>
        <v xml:space="preserve">TUPELO                    </v>
      </c>
      <c r="F10389" t="str">
        <f t="shared" si="289"/>
        <v>MS</v>
      </c>
    </row>
    <row r="10390" spans="1:6" x14ac:dyDescent="0.25">
      <c r="A10390" t="str">
        <f>"004472876"</f>
        <v>004472876</v>
      </c>
      <c r="B10390" t="str">
        <f>"1194004994"</f>
        <v>1194004994</v>
      </c>
      <c r="C10390" t="str">
        <f>"122300000X"</f>
        <v>122300000X</v>
      </c>
      <c r="D10390" t="str">
        <f>"GULF COAST PEDIATRIC DENTISTRY PLLC               "</f>
        <v xml:space="preserve">GULF COAST PEDIATRIC DENTISTRY PLLC               </v>
      </c>
      <c r="E10390" t="str">
        <f>"GULFPORT                  "</f>
        <v xml:space="preserve">GULFPORT                  </v>
      </c>
      <c r="F10390" t="str">
        <f t="shared" si="289"/>
        <v>MS</v>
      </c>
    </row>
    <row r="10391" spans="1:6" x14ac:dyDescent="0.25">
      <c r="A10391" t="str">
        <f>"004473866"</f>
        <v>004473866</v>
      </c>
      <c r="B10391" t="str">
        <f>"1225024862"</f>
        <v>1225024862</v>
      </c>
      <c r="C10391" t="str">
        <f>"152W00000X"</f>
        <v>152W00000X</v>
      </c>
      <c r="D10391" t="str">
        <f>"JOHNSON RAGAN            KIMBERLY     N           "</f>
        <v xml:space="preserve">JOHNSON RAGAN            KIMBERLY     N           </v>
      </c>
      <c r="E10391" t="str">
        <f>"MADISON                   "</f>
        <v xml:space="preserve">MADISON                   </v>
      </c>
      <c r="F10391" t="str">
        <f t="shared" si="289"/>
        <v>MS</v>
      </c>
    </row>
    <row r="10392" spans="1:6" x14ac:dyDescent="0.25">
      <c r="A10392" t="str">
        <f>"004474081"</f>
        <v>004474081</v>
      </c>
      <c r="B10392" t="str">
        <f>"1356853345"</f>
        <v>1356853345</v>
      </c>
      <c r="C10392" t="str">
        <f>"363L00000X"</f>
        <v>363L00000X</v>
      </c>
      <c r="D10392" t="str">
        <f>"HORTON                   LAUREN       K           "</f>
        <v xml:space="preserve">HORTON                   LAUREN       K           </v>
      </c>
      <c r="E10392" t="str">
        <f>"CORINTH                   "</f>
        <v xml:space="preserve">CORINTH                   </v>
      </c>
      <c r="F10392" t="str">
        <f t="shared" si="289"/>
        <v>MS</v>
      </c>
    </row>
    <row r="10393" spans="1:6" x14ac:dyDescent="0.25">
      <c r="A10393" t="str">
        <f>"004474263"</f>
        <v>004474263</v>
      </c>
      <c r="B10393" t="str">
        <f>"1619305687"</f>
        <v>1619305687</v>
      </c>
      <c r="C10393" t="str">
        <f>"363L00000X"</f>
        <v>363L00000X</v>
      </c>
      <c r="D10393" t="str">
        <f>"HALLMARK                 CODI                     "</f>
        <v xml:space="preserve">HALLMARK                 CODI                     </v>
      </c>
      <c r="E10393" t="str">
        <f>"OKOLONA                   "</f>
        <v xml:space="preserve">OKOLONA                   </v>
      </c>
      <c r="F10393" t="str">
        <f t="shared" si="289"/>
        <v>MS</v>
      </c>
    </row>
    <row r="10394" spans="1:6" x14ac:dyDescent="0.25">
      <c r="A10394" t="str">
        <f>"004474786"</f>
        <v>004474786</v>
      </c>
      <c r="B10394" t="str">
        <f>"1861876310"</f>
        <v>1861876310</v>
      </c>
      <c r="C10394" t="str">
        <f>"363L00000X"</f>
        <v>363L00000X</v>
      </c>
      <c r="D10394" t="str">
        <f>"LEA                      ROSANNA      B           "</f>
        <v xml:space="preserve">LEA                      ROSANNA      B           </v>
      </c>
      <c r="E10394" t="str">
        <f>"JACKSON                   "</f>
        <v xml:space="preserve">JACKSON                   </v>
      </c>
      <c r="F10394" t="str">
        <f t="shared" si="289"/>
        <v>MS</v>
      </c>
    </row>
    <row r="10395" spans="1:6" x14ac:dyDescent="0.25">
      <c r="A10395" t="str">
        <f>"004475520"</f>
        <v>004475520</v>
      </c>
      <c r="B10395" t="str">
        <f>"1902814361"</f>
        <v>1902814361</v>
      </c>
      <c r="C10395" t="str">
        <f>"2084P0800X"</f>
        <v>2084P0800X</v>
      </c>
      <c r="D10395" t="str">
        <f>"DAUGHTREY                KENNETH      R           "</f>
        <v xml:space="preserve">DAUGHTREY                KENNETH      R           </v>
      </c>
      <c r="E10395" t="str">
        <f>"COLLINS                   "</f>
        <v xml:space="preserve">COLLINS                   </v>
      </c>
      <c r="F10395" t="str">
        <f t="shared" si="289"/>
        <v>MS</v>
      </c>
    </row>
    <row r="10396" spans="1:6" x14ac:dyDescent="0.25">
      <c r="A10396" t="str">
        <f>"004477207"</f>
        <v>004477207</v>
      </c>
      <c r="B10396" t="str">
        <f>"1992819197"</f>
        <v>1992819197</v>
      </c>
      <c r="C10396" t="str">
        <f>"207Q00000X"</f>
        <v>207Q00000X</v>
      </c>
      <c r="D10396" t="str">
        <f>"SANFORD                  TIMOTHY      H           "</f>
        <v xml:space="preserve">SANFORD                  TIMOTHY      H           </v>
      </c>
      <c r="E10396" t="str">
        <f>"DIBERVILLE                "</f>
        <v xml:space="preserve">DIBERVILLE                </v>
      </c>
      <c r="F10396" t="str">
        <f t="shared" si="289"/>
        <v>MS</v>
      </c>
    </row>
    <row r="10397" spans="1:6" x14ac:dyDescent="0.25">
      <c r="A10397" t="str">
        <f>"004477547"</f>
        <v>004477547</v>
      </c>
      <c r="B10397" t="str">
        <f>"1891386850"</f>
        <v>1891386850</v>
      </c>
      <c r="C10397" t="str">
        <f>"363A00000X"</f>
        <v>363A00000X</v>
      </c>
      <c r="D10397" t="str">
        <f>"FRAZIER                  ERIC                     "</f>
        <v xml:space="preserve">FRAZIER                  ERIC                     </v>
      </c>
      <c r="E10397" t="str">
        <f>"JACKSON                   "</f>
        <v xml:space="preserve">JACKSON                   </v>
      </c>
      <c r="F10397" t="str">
        <f t="shared" si="289"/>
        <v>MS</v>
      </c>
    </row>
    <row r="10398" spans="1:6" x14ac:dyDescent="0.25">
      <c r="A10398" t="str">
        <f>"004477821"</f>
        <v>004477821</v>
      </c>
      <c r="B10398" t="str">
        <f>"1003223306"</f>
        <v>1003223306</v>
      </c>
      <c r="C10398" t="str">
        <f>"261QR1300X"</f>
        <v>261QR1300X</v>
      </c>
      <c r="D10398" t="str">
        <f>"CHOCTAW MEDICAL CLINIC                            "</f>
        <v xml:space="preserve">CHOCTAW MEDICAL CLINIC                            </v>
      </c>
      <c r="E10398" t="str">
        <f>"ACKERMAN                  "</f>
        <v xml:space="preserve">ACKERMAN                  </v>
      </c>
      <c r="F10398" t="str">
        <f t="shared" si="289"/>
        <v>MS</v>
      </c>
    </row>
    <row r="10399" spans="1:6" x14ac:dyDescent="0.25">
      <c r="A10399" t="str">
        <f>"004478370"</f>
        <v>004478370</v>
      </c>
      <c r="B10399" t="str">
        <f>"1659383297"</f>
        <v>1659383297</v>
      </c>
      <c r="C10399" t="str">
        <f>"207R00000X"</f>
        <v>207R00000X</v>
      </c>
      <c r="D10399" t="str">
        <f>"GEORGE                   MATTHEW      K           "</f>
        <v xml:space="preserve">GEORGE                   MATTHEW      K           </v>
      </c>
      <c r="E10399" t="str">
        <f>"JACKSON                   "</f>
        <v xml:space="preserve">JACKSON                   </v>
      </c>
      <c r="F10399" t="str">
        <f t="shared" si="289"/>
        <v>MS</v>
      </c>
    </row>
    <row r="10400" spans="1:6" x14ac:dyDescent="0.25">
      <c r="A10400" t="str">
        <f>"004478868"</f>
        <v>004478868</v>
      </c>
      <c r="B10400" t="str">
        <f>"1679581599"</f>
        <v>1679581599</v>
      </c>
      <c r="C10400" t="str">
        <f>"261QF0400X"</f>
        <v>261QF0400X</v>
      </c>
      <c r="D10400" t="str">
        <f>"COASTAL FAMILY HEALTH CENTER                      "</f>
        <v xml:space="preserve">COASTAL FAMILY HEALTH CENTER                      </v>
      </c>
      <c r="E10400" t="str">
        <f>"MOSS POINT                "</f>
        <v xml:space="preserve">MOSS POINT                </v>
      </c>
      <c r="F10400" t="str">
        <f t="shared" si="289"/>
        <v>MS</v>
      </c>
    </row>
    <row r="10401" spans="1:6" x14ac:dyDescent="0.25">
      <c r="A10401" t="str">
        <f>"004480025"</f>
        <v>004480025</v>
      </c>
      <c r="B10401" t="str">
        <f>"1407493596"</f>
        <v>1407493596</v>
      </c>
      <c r="C10401" t="str">
        <f>"363L00000X"</f>
        <v>363L00000X</v>
      </c>
      <c r="D10401" t="str">
        <f>"THAMES                   KRISTEN      M           "</f>
        <v xml:space="preserve">THAMES                   KRISTEN      M           </v>
      </c>
      <c r="E10401" t="str">
        <f>"COLLINSVILLE              "</f>
        <v xml:space="preserve">COLLINSVILLE              </v>
      </c>
      <c r="F10401" t="str">
        <f t="shared" si="289"/>
        <v>MS</v>
      </c>
    </row>
    <row r="10402" spans="1:6" x14ac:dyDescent="0.25">
      <c r="A10402" t="str">
        <f>"004481354"</f>
        <v>004481354</v>
      </c>
      <c r="B10402" t="str">
        <f>"1841482197"</f>
        <v>1841482197</v>
      </c>
      <c r="C10402" t="str">
        <f>"363L00000X"</f>
        <v>363L00000X</v>
      </c>
      <c r="D10402" t="str">
        <f>"CHRESTMAN                SHERRY       M           "</f>
        <v xml:space="preserve">CHRESTMAN                SHERRY       M           </v>
      </c>
      <c r="E10402" t="str">
        <f>"GRENADA                   "</f>
        <v xml:space="preserve">GRENADA                   </v>
      </c>
      <c r="F10402" t="str">
        <f t="shared" si="289"/>
        <v>MS</v>
      </c>
    </row>
    <row r="10403" spans="1:6" x14ac:dyDescent="0.25">
      <c r="A10403" t="str">
        <f>"004481569"</f>
        <v>004481569</v>
      </c>
      <c r="B10403" t="str">
        <f>"1336540715"</f>
        <v>1336540715</v>
      </c>
      <c r="C10403" t="str">
        <f>"363L00000X"</f>
        <v>363L00000X</v>
      </c>
      <c r="D10403" t="str">
        <f>"WARE II                  JAMES        R           "</f>
        <v xml:space="preserve">WARE II                  JAMES        R           </v>
      </c>
      <c r="E10403" t="str">
        <f>"JACKSON                   "</f>
        <v xml:space="preserve">JACKSON                   </v>
      </c>
      <c r="F10403" t="str">
        <f t="shared" si="289"/>
        <v>MS</v>
      </c>
    </row>
    <row r="10404" spans="1:6" x14ac:dyDescent="0.25">
      <c r="A10404" t="str">
        <f>"004482745"</f>
        <v>004482745</v>
      </c>
      <c r="B10404" t="str">
        <f>"1821416280"</f>
        <v>1821416280</v>
      </c>
      <c r="C10404" t="str">
        <f>"363A00000X"</f>
        <v>363A00000X</v>
      </c>
      <c r="D10404" t="str">
        <f>"PITTS                    ALLISON      M           "</f>
        <v xml:space="preserve">PITTS                    ALLISON      M           </v>
      </c>
      <c r="E10404" t="str">
        <f>"JACKSON                   "</f>
        <v xml:space="preserve">JACKSON                   </v>
      </c>
      <c r="F10404" t="str">
        <f t="shared" si="289"/>
        <v>MS</v>
      </c>
    </row>
    <row r="10405" spans="1:6" x14ac:dyDescent="0.25">
      <c r="A10405" t="str">
        <f>"004484235"</f>
        <v>004484235</v>
      </c>
      <c r="B10405" t="str">
        <f>"1750795886"</f>
        <v>1750795886</v>
      </c>
      <c r="C10405" t="str">
        <f>"363L00000X"</f>
        <v>363L00000X</v>
      </c>
      <c r="D10405" t="str">
        <f>"CLEVELAND                JOY          H           "</f>
        <v xml:space="preserve">CLEVELAND                JOY          H           </v>
      </c>
      <c r="E10405" t="str">
        <f>"TUPELO                    "</f>
        <v xml:space="preserve">TUPELO                    </v>
      </c>
      <c r="F10405" t="str">
        <f t="shared" si="289"/>
        <v>MS</v>
      </c>
    </row>
    <row r="10406" spans="1:6" x14ac:dyDescent="0.25">
      <c r="A10406" t="str">
        <f>"004485048"</f>
        <v>004485048</v>
      </c>
      <c r="B10406" t="str">
        <f>"1033687611"</f>
        <v>1033687611</v>
      </c>
      <c r="C10406" t="str">
        <f>"261QF0400X"</f>
        <v>261QF0400X</v>
      </c>
      <c r="D10406" t="str">
        <f>"JACKSON-HINDS COMPREHENSIVE HEALTH                "</f>
        <v xml:space="preserve">JACKSON-HINDS COMPREHENSIVE HEALTH                </v>
      </c>
      <c r="E10406" t="str">
        <f>"RAYMOND                   "</f>
        <v xml:space="preserve">RAYMOND                   </v>
      </c>
      <c r="F10406" t="str">
        <f t="shared" si="289"/>
        <v>MS</v>
      </c>
    </row>
    <row r="10407" spans="1:6" x14ac:dyDescent="0.25">
      <c r="A10407" t="str">
        <f>"004486325"</f>
        <v>004486325</v>
      </c>
      <c r="B10407" t="str">
        <f>"1588651954"</f>
        <v>1588651954</v>
      </c>
      <c r="C10407" t="str">
        <f>"208000000X"</f>
        <v>208000000X</v>
      </c>
      <c r="D10407" t="str">
        <f>"PHILLIPS III             HARRY        V           "</f>
        <v xml:space="preserve">PHILLIPS III             HARRY        V           </v>
      </c>
      <c r="E10407" t="str">
        <f>"SOUTHAVEN                 "</f>
        <v xml:space="preserve">SOUTHAVEN                 </v>
      </c>
      <c r="F10407" t="str">
        <f t="shared" si="289"/>
        <v>MS</v>
      </c>
    </row>
    <row r="10408" spans="1:6" x14ac:dyDescent="0.25">
      <c r="A10408" t="str">
        <f>"004486569"</f>
        <v>004486569</v>
      </c>
      <c r="B10408" t="str">
        <f>"1043771561"</f>
        <v>1043771561</v>
      </c>
      <c r="C10408" t="str">
        <f>"207L00000X"</f>
        <v>207L00000X</v>
      </c>
      <c r="D10408" t="str">
        <f>"MAHANEY                  JUSTIN                   "</f>
        <v xml:space="preserve">MAHANEY                  JUSTIN                   </v>
      </c>
      <c r="E10408" t="str">
        <f>"JACKSON                   "</f>
        <v xml:space="preserve">JACKSON                   </v>
      </c>
      <c r="F10408" t="str">
        <f t="shared" si="289"/>
        <v>MS</v>
      </c>
    </row>
    <row r="10409" spans="1:6" x14ac:dyDescent="0.25">
      <c r="A10409" t="str">
        <f>"004487021"</f>
        <v>004487021</v>
      </c>
      <c r="B10409" t="str">
        <f>"1831430560"</f>
        <v>1831430560</v>
      </c>
      <c r="C10409" t="str">
        <f>"363L00000X"</f>
        <v>363L00000X</v>
      </c>
      <c r="D10409" t="str">
        <f>"HENRY                    BRANDI       R           "</f>
        <v xml:space="preserve">HENRY                    BRANDI       R           </v>
      </c>
      <c r="E10409" t="str">
        <f>"CORINTH                   "</f>
        <v xml:space="preserve">CORINTH                   </v>
      </c>
      <c r="F10409" t="str">
        <f t="shared" si="289"/>
        <v>MS</v>
      </c>
    </row>
    <row r="10410" spans="1:6" x14ac:dyDescent="0.25">
      <c r="A10410" t="str">
        <f>"004487595"</f>
        <v>004487595</v>
      </c>
      <c r="B10410" t="str">
        <f>"1477118594"</f>
        <v>1477118594</v>
      </c>
      <c r="C10410" t="str">
        <f>"208M00000X"</f>
        <v>208M00000X</v>
      </c>
      <c r="D10410" t="str">
        <f>"DODD                     ISAAC                    "</f>
        <v xml:space="preserve">DODD                     ISAAC                    </v>
      </c>
      <c r="E10410" t="str">
        <f>"JACKSON                   "</f>
        <v xml:space="preserve">JACKSON                   </v>
      </c>
      <c r="F10410" t="str">
        <f t="shared" si="289"/>
        <v>MS</v>
      </c>
    </row>
    <row r="10411" spans="1:6" x14ac:dyDescent="0.25">
      <c r="A10411" t="str">
        <f>"004489282"</f>
        <v>004489282</v>
      </c>
      <c r="B10411" t="str">
        <f>"1023391927"</f>
        <v>1023391927</v>
      </c>
      <c r="C10411" t="str">
        <f>"367500000X"</f>
        <v>367500000X</v>
      </c>
      <c r="D10411" t="str">
        <f>"COOK                     LAUREN       E           "</f>
        <v xml:space="preserve">COOK                     LAUREN       E           </v>
      </c>
      <c r="E10411" t="str">
        <f>"TUPELO                    "</f>
        <v xml:space="preserve">TUPELO                    </v>
      </c>
      <c r="F10411" t="str">
        <f t="shared" si="289"/>
        <v>MS</v>
      </c>
    </row>
    <row r="10412" spans="1:6" x14ac:dyDescent="0.25">
      <c r="A10412" t="str">
        <f>"004489286"</f>
        <v>004489286</v>
      </c>
      <c r="B10412" t="str">
        <f>"1073254256"</f>
        <v>1073254256</v>
      </c>
      <c r="C10412" t="str">
        <f>"207R00000X"</f>
        <v>207R00000X</v>
      </c>
      <c r="D10412" t="str">
        <f>"RUSHING                  BENJAMIN     J           "</f>
        <v xml:space="preserve">RUSHING                  BENJAMIN     J           </v>
      </c>
      <c r="E10412" t="str">
        <f>"JACKSON                   "</f>
        <v xml:space="preserve">JACKSON                   </v>
      </c>
      <c r="F10412" t="str">
        <f t="shared" si="289"/>
        <v>MS</v>
      </c>
    </row>
    <row r="10413" spans="1:6" x14ac:dyDescent="0.25">
      <c r="A10413" t="str">
        <f>"004489871"</f>
        <v>004489871</v>
      </c>
      <c r="B10413" t="str">
        <f>"1154635159"</f>
        <v>1154635159</v>
      </c>
      <c r="C10413" t="str">
        <f>"122300000X"</f>
        <v>122300000X</v>
      </c>
      <c r="D10413" t="str">
        <f>"NICHOLS                  MARGARET     E           "</f>
        <v xml:space="preserve">NICHOLS                  MARGARET     E           </v>
      </c>
      <c r="E10413" t="str">
        <f>"HATTIESBURG               "</f>
        <v xml:space="preserve">HATTIESBURG               </v>
      </c>
      <c r="F10413" t="str">
        <f t="shared" si="289"/>
        <v>MS</v>
      </c>
    </row>
    <row r="10414" spans="1:6" x14ac:dyDescent="0.25">
      <c r="A10414" t="str">
        <f>"004500520"</f>
        <v>004500520</v>
      </c>
      <c r="B10414" t="str">
        <f>"1669990040"</f>
        <v>1669990040</v>
      </c>
      <c r="C10414" t="str">
        <f>"363L00000X"</f>
        <v>363L00000X</v>
      </c>
      <c r="D10414" t="str">
        <f>"HILL                     AMANDA                   "</f>
        <v xml:space="preserve">HILL                     AMANDA                   </v>
      </c>
      <c r="E10414" t="str">
        <f>"CLEVELAND                 "</f>
        <v xml:space="preserve">CLEVELAND                 </v>
      </c>
      <c r="F10414" t="str">
        <f t="shared" si="289"/>
        <v>MS</v>
      </c>
    </row>
    <row r="10415" spans="1:6" x14ac:dyDescent="0.25">
      <c r="A10415" t="str">
        <f>"004501136"</f>
        <v>004501136</v>
      </c>
      <c r="B10415" t="str">
        <f>"1275145781"</f>
        <v>1275145781</v>
      </c>
      <c r="C10415" t="str">
        <f>"363L00000X"</f>
        <v>363L00000X</v>
      </c>
      <c r="D10415" t="str">
        <f>"ALLRED                   AMANDA                   "</f>
        <v xml:space="preserve">ALLRED                   AMANDA                   </v>
      </c>
      <c r="E10415" t="str">
        <f>"STARKVILLE                "</f>
        <v xml:space="preserve">STARKVILLE                </v>
      </c>
      <c r="F10415" t="str">
        <f t="shared" si="289"/>
        <v>MS</v>
      </c>
    </row>
    <row r="10416" spans="1:6" x14ac:dyDescent="0.25">
      <c r="A10416" t="str">
        <f>"004501349"</f>
        <v>004501349</v>
      </c>
      <c r="B10416" t="str">
        <f>"1730602806"</f>
        <v>1730602806</v>
      </c>
      <c r="C10416" t="str">
        <f>"208000000X"</f>
        <v>208000000X</v>
      </c>
      <c r="D10416" t="str">
        <f>"MOORE                    SIMONE                   "</f>
        <v xml:space="preserve">MOORE                    SIMONE                   </v>
      </c>
      <c r="E10416" t="str">
        <f>"MOUND BAYOU               "</f>
        <v xml:space="preserve">MOUND BAYOU               </v>
      </c>
      <c r="F10416" t="str">
        <f t="shared" si="289"/>
        <v>MS</v>
      </c>
    </row>
    <row r="10417" spans="1:6" x14ac:dyDescent="0.25">
      <c r="A10417" t="str">
        <f>"004501384"</f>
        <v>004501384</v>
      </c>
      <c r="B10417" t="str">
        <f>"1265622971"</f>
        <v>1265622971</v>
      </c>
      <c r="C10417" t="str">
        <f>"152W00000X"</f>
        <v>152W00000X</v>
      </c>
      <c r="D10417" t="str">
        <f>"DEW                      TARA         L           "</f>
        <v xml:space="preserve">DEW                      TARA         L           </v>
      </c>
      <c r="E10417" t="str">
        <f>"KOSCIUSKO                 "</f>
        <v xml:space="preserve">KOSCIUSKO                 </v>
      </c>
      <c r="F10417" t="str">
        <f t="shared" si="289"/>
        <v>MS</v>
      </c>
    </row>
    <row r="10418" spans="1:6" x14ac:dyDescent="0.25">
      <c r="A10418" t="str">
        <f>"004505519"</f>
        <v>004505519</v>
      </c>
      <c r="B10418" t="str">
        <f>"1215245667"</f>
        <v>1215245667</v>
      </c>
      <c r="C10418" t="str">
        <f>"122300000X"</f>
        <v>122300000X</v>
      </c>
      <c r="D10418" t="str">
        <f>"CHOW                     MATTHEW      J           "</f>
        <v xml:space="preserve">CHOW                     MATTHEW      J           </v>
      </c>
      <c r="E10418" t="str">
        <f>"CLARKSDALE                "</f>
        <v xml:space="preserve">CLARKSDALE                </v>
      </c>
      <c r="F10418" t="str">
        <f t="shared" si="289"/>
        <v>MS</v>
      </c>
    </row>
    <row r="10419" spans="1:6" x14ac:dyDescent="0.25">
      <c r="A10419" t="str">
        <f>"004506043"</f>
        <v>004506043</v>
      </c>
      <c r="B10419" t="str">
        <f>"1073923140"</f>
        <v>1073923140</v>
      </c>
      <c r="C10419" t="str">
        <f>"363A00000X"</f>
        <v>363A00000X</v>
      </c>
      <c r="D10419" t="str">
        <f>"KENNON                   KRISTI                   "</f>
        <v xml:space="preserve">KENNON                   KRISTI                   </v>
      </c>
      <c r="E10419" t="str">
        <f>"GULFPORT                  "</f>
        <v xml:space="preserve">GULFPORT                  </v>
      </c>
      <c r="F10419" t="str">
        <f t="shared" si="289"/>
        <v>MS</v>
      </c>
    </row>
    <row r="10420" spans="1:6" x14ac:dyDescent="0.25">
      <c r="A10420" t="str">
        <f>"004506281"</f>
        <v>004506281</v>
      </c>
      <c r="B10420" t="str">
        <f>"1346712791"</f>
        <v>1346712791</v>
      </c>
      <c r="C10420" t="str">
        <f>"363LF0000X"</f>
        <v>363LF0000X</v>
      </c>
      <c r="D10420" t="str">
        <f>"EVANS                    ANNY         S           "</f>
        <v xml:space="preserve">EVANS                    ANNY         S           </v>
      </c>
      <c r="E10420" t="str">
        <f>"HATTIESBURG               "</f>
        <v xml:space="preserve">HATTIESBURG               </v>
      </c>
      <c r="F10420" t="str">
        <f t="shared" si="289"/>
        <v>MS</v>
      </c>
    </row>
    <row r="10421" spans="1:6" x14ac:dyDescent="0.25">
      <c r="A10421" t="str">
        <f>"004506555"</f>
        <v>004506555</v>
      </c>
      <c r="B10421" t="str">
        <f>"1386781151"</f>
        <v>1386781151</v>
      </c>
      <c r="C10421" t="str">
        <f>"363L00000X"</f>
        <v>363L00000X</v>
      </c>
      <c r="D10421" t="str">
        <f>"GRIFFIN                  MANDA        S           "</f>
        <v xml:space="preserve">GRIFFIN                  MANDA        S           </v>
      </c>
      <c r="E10421" t="str">
        <f>"HOULKA                    "</f>
        <v xml:space="preserve">HOULKA                    </v>
      </c>
      <c r="F10421" t="str">
        <f t="shared" si="289"/>
        <v>MS</v>
      </c>
    </row>
    <row r="10422" spans="1:6" x14ac:dyDescent="0.25">
      <c r="A10422" t="str">
        <f>"004507321"</f>
        <v>004507321</v>
      </c>
      <c r="B10422" t="str">
        <f>"1275536252"</f>
        <v>1275536252</v>
      </c>
      <c r="C10422" t="str">
        <f>"1223S0112X"</f>
        <v>1223S0112X</v>
      </c>
      <c r="D10422" t="str">
        <f>"QUON                     DANIEL                   "</f>
        <v xml:space="preserve">QUON                     DANIEL                   </v>
      </c>
      <c r="E10422" t="str">
        <f>"JACKSON                   "</f>
        <v xml:space="preserve">JACKSON                   </v>
      </c>
      <c r="F10422" t="str">
        <f t="shared" si="289"/>
        <v>MS</v>
      </c>
    </row>
    <row r="10423" spans="1:6" x14ac:dyDescent="0.25">
      <c r="A10423" t="str">
        <f>"004507528"</f>
        <v>004507528</v>
      </c>
      <c r="B10423" t="str">
        <f>"1487753562"</f>
        <v>1487753562</v>
      </c>
      <c r="C10423" t="str">
        <f>"2084P0800X"</f>
        <v>2084P0800X</v>
      </c>
      <c r="D10423" t="str">
        <f>"LADNER                   MARK         E           "</f>
        <v xml:space="preserve">LADNER                   MARK         E           </v>
      </c>
      <c r="E10423" t="str">
        <f>"JACKSON                   "</f>
        <v xml:space="preserve">JACKSON                   </v>
      </c>
      <c r="F10423" t="str">
        <f t="shared" si="289"/>
        <v>MS</v>
      </c>
    </row>
    <row r="10424" spans="1:6" x14ac:dyDescent="0.25">
      <c r="A10424" t="str">
        <f>"004507754"</f>
        <v>004507754</v>
      </c>
      <c r="B10424" t="str">
        <f>"1093245755"</f>
        <v>1093245755</v>
      </c>
      <c r="C10424" t="str">
        <f>"363L00000X"</f>
        <v>363L00000X</v>
      </c>
      <c r="D10424" t="str">
        <f>"HOLYFIELD                WILLIAM      G           "</f>
        <v xml:space="preserve">HOLYFIELD                WILLIAM      G           </v>
      </c>
      <c r="E10424" t="str">
        <f>"JACKSON                   "</f>
        <v xml:space="preserve">JACKSON                   </v>
      </c>
      <c r="F10424" t="str">
        <f t="shared" si="289"/>
        <v>MS</v>
      </c>
    </row>
    <row r="10425" spans="1:6" x14ac:dyDescent="0.25">
      <c r="A10425" t="str">
        <f>"004507763"</f>
        <v>004507763</v>
      </c>
      <c r="B10425" t="str">
        <f>"1932589058"</f>
        <v>1932589058</v>
      </c>
      <c r="C10425" t="str">
        <f>"363L00000X"</f>
        <v>363L00000X</v>
      </c>
      <c r="D10425" t="str">
        <f>"WRIGHT                   KATHRYN      C           "</f>
        <v xml:space="preserve">WRIGHT                   KATHRYN      C           </v>
      </c>
      <c r="E10425" t="str">
        <f>"AMORY                     "</f>
        <v xml:space="preserve">AMORY                     </v>
      </c>
      <c r="F10425" t="str">
        <f t="shared" si="289"/>
        <v>MS</v>
      </c>
    </row>
    <row r="10426" spans="1:6" x14ac:dyDescent="0.25">
      <c r="A10426" t="str">
        <f>"004507765"</f>
        <v>004507765</v>
      </c>
      <c r="B10426" t="str">
        <f>"1659769065"</f>
        <v>1659769065</v>
      </c>
      <c r="C10426" t="str">
        <f>"363L00000X"</f>
        <v>363L00000X</v>
      </c>
      <c r="D10426" t="str">
        <f>"TUBBS                    JOSEPH                   "</f>
        <v xml:space="preserve">TUBBS                    JOSEPH                   </v>
      </c>
      <c r="E10426" t="str">
        <f>"BATESVILLE                "</f>
        <v xml:space="preserve">BATESVILLE                </v>
      </c>
      <c r="F10426" t="str">
        <f t="shared" si="289"/>
        <v>MS</v>
      </c>
    </row>
    <row r="10427" spans="1:6" x14ac:dyDescent="0.25">
      <c r="A10427" t="str">
        <f>"004508001"</f>
        <v>004508001</v>
      </c>
      <c r="B10427" t="str">
        <f>"1396939542"</f>
        <v>1396939542</v>
      </c>
      <c r="C10427" t="str">
        <f>"152W00000X"</f>
        <v>152W00000X</v>
      </c>
      <c r="D10427" t="str">
        <f>"HARDEN                   TED          G           "</f>
        <v xml:space="preserve">HARDEN                   TED          G           </v>
      </c>
      <c r="E10427" t="str">
        <f>"HATTIESBURG               "</f>
        <v xml:space="preserve">HATTIESBURG               </v>
      </c>
      <c r="F10427" t="str">
        <f t="shared" si="289"/>
        <v>MS</v>
      </c>
    </row>
    <row r="10428" spans="1:6" x14ac:dyDescent="0.25">
      <c r="A10428" t="str">
        <f>"004509395"</f>
        <v>004509395</v>
      </c>
      <c r="B10428" t="str">
        <f>"1912430844"</f>
        <v>1912430844</v>
      </c>
      <c r="C10428" t="str">
        <f>"207R00000X"</f>
        <v>207R00000X</v>
      </c>
      <c r="D10428" t="str">
        <f>"ISSEH                    NAZIH                    "</f>
        <v xml:space="preserve">ISSEH                    NAZIH                    </v>
      </c>
      <c r="E10428" t="str">
        <f>"SOUTHAVEN                 "</f>
        <v xml:space="preserve">SOUTHAVEN                 </v>
      </c>
      <c r="F10428" t="str">
        <f t="shared" si="289"/>
        <v>MS</v>
      </c>
    </row>
    <row r="10429" spans="1:6" x14ac:dyDescent="0.25">
      <c r="A10429" t="str">
        <f>"004509838"</f>
        <v>004509838</v>
      </c>
      <c r="B10429" t="str">
        <f>"1922032481"</f>
        <v>1922032481</v>
      </c>
      <c r="C10429" t="str">
        <f>"208800000X"</f>
        <v>208800000X</v>
      </c>
      <c r="D10429" t="str">
        <f>"HUCKABAY                 CHADWICK     A           "</f>
        <v xml:space="preserve">HUCKABAY                 CHADWICK     A           </v>
      </c>
      <c r="E10429" t="str">
        <f>"JACKSON                   "</f>
        <v xml:space="preserve">JACKSON                   </v>
      </c>
      <c r="F10429" t="str">
        <f t="shared" si="289"/>
        <v>MS</v>
      </c>
    </row>
    <row r="10430" spans="1:6" x14ac:dyDescent="0.25">
      <c r="A10430" t="str">
        <f>"004520717"</f>
        <v>004520717</v>
      </c>
      <c r="B10430" t="str">
        <f>"1578049276"</f>
        <v>1578049276</v>
      </c>
      <c r="C10430" t="str">
        <f>"363L00000X"</f>
        <v>363L00000X</v>
      </c>
      <c r="D10430" t="str">
        <f>"JACKSON                  MELISSA      B           "</f>
        <v xml:space="preserve">JACKSON                  MELISSA      B           </v>
      </c>
      <c r="E10430" t="str">
        <f>"CLINTON                   "</f>
        <v xml:space="preserve">CLINTON                   </v>
      </c>
      <c r="F10430" t="str">
        <f t="shared" ref="F10430:F10493" si="290">"MS"</f>
        <v>MS</v>
      </c>
    </row>
    <row r="10431" spans="1:6" x14ac:dyDescent="0.25">
      <c r="A10431" t="str">
        <f>"004522750"</f>
        <v>004522750</v>
      </c>
      <c r="B10431" t="str">
        <f>"1659721736"</f>
        <v>1659721736</v>
      </c>
      <c r="C10431" t="str">
        <f>"207Q00000X"</f>
        <v>207Q00000X</v>
      </c>
      <c r="D10431" t="str">
        <f>"MITCHELL                 KRISTIN                  "</f>
        <v xml:space="preserve">MITCHELL                 KRISTIN                  </v>
      </c>
      <c r="E10431" t="str">
        <f>"PONTOTOC                  "</f>
        <v xml:space="preserve">PONTOTOC                  </v>
      </c>
      <c r="F10431" t="str">
        <f t="shared" si="290"/>
        <v>MS</v>
      </c>
    </row>
    <row r="10432" spans="1:6" x14ac:dyDescent="0.25">
      <c r="A10432" t="str">
        <f>"004522879"</f>
        <v>004522879</v>
      </c>
      <c r="B10432" t="str">
        <f>"1629189949"</f>
        <v>1629189949</v>
      </c>
      <c r="C10432" t="str">
        <f>"367500000X"</f>
        <v>367500000X</v>
      </c>
      <c r="D10432" t="str">
        <f>"LOCKHART                 GEOFFREY     R           "</f>
        <v xml:space="preserve">LOCKHART                 GEOFFREY     R           </v>
      </c>
      <c r="E10432" t="str">
        <f>"STARKVILLE                "</f>
        <v xml:space="preserve">STARKVILLE                </v>
      </c>
      <c r="F10432" t="str">
        <f t="shared" si="290"/>
        <v>MS</v>
      </c>
    </row>
    <row r="10433" spans="1:6" x14ac:dyDescent="0.25">
      <c r="A10433" t="str">
        <f>"004523059"</f>
        <v>004523059</v>
      </c>
      <c r="B10433" t="str">
        <f>"1629463674"</f>
        <v>1629463674</v>
      </c>
      <c r="C10433" t="str">
        <f>"207R00000X"</f>
        <v>207R00000X</v>
      </c>
      <c r="D10433" t="str">
        <f>"DAVIS                    CODY                     "</f>
        <v xml:space="preserve">DAVIS                    CODY                     </v>
      </c>
      <c r="E10433" t="str">
        <f>"OXFORD                    "</f>
        <v xml:space="preserve">OXFORD                    </v>
      </c>
      <c r="F10433" t="str">
        <f t="shared" si="290"/>
        <v>MS</v>
      </c>
    </row>
    <row r="10434" spans="1:6" x14ac:dyDescent="0.25">
      <c r="A10434" t="str">
        <f>"004524201"</f>
        <v>004524201</v>
      </c>
      <c r="B10434" t="str">
        <f>"1407478209"</f>
        <v>1407478209</v>
      </c>
      <c r="C10434" t="str">
        <f>"367500000X"</f>
        <v>367500000X</v>
      </c>
      <c r="D10434" t="str">
        <f>"PHILLIPS                 LAURA                    "</f>
        <v xml:space="preserve">PHILLIPS                 LAURA                    </v>
      </c>
      <c r="E10434" t="str">
        <f>"FLOWOOD                   "</f>
        <v xml:space="preserve">FLOWOOD                   </v>
      </c>
      <c r="F10434" t="str">
        <f t="shared" si="290"/>
        <v>MS</v>
      </c>
    </row>
    <row r="10435" spans="1:6" x14ac:dyDescent="0.25">
      <c r="A10435" t="str">
        <f>"004524749"</f>
        <v>004524749</v>
      </c>
      <c r="B10435" t="str">
        <f>"1245333483"</f>
        <v>1245333483</v>
      </c>
      <c r="C10435" t="str">
        <f>"122300000X"</f>
        <v>122300000X</v>
      </c>
      <c r="D10435" t="str">
        <f>"PAPANIA                  JASON        C           "</f>
        <v xml:space="preserve">PAPANIA                  JASON        C           </v>
      </c>
      <c r="E10435" t="str">
        <f>"GULFPORT                  "</f>
        <v xml:space="preserve">GULFPORT                  </v>
      </c>
      <c r="F10435" t="str">
        <f t="shared" si="290"/>
        <v>MS</v>
      </c>
    </row>
    <row r="10436" spans="1:6" x14ac:dyDescent="0.25">
      <c r="A10436" t="str">
        <f>"004526240"</f>
        <v>004526240</v>
      </c>
      <c r="B10436" t="str">
        <f>"1831453158"</f>
        <v>1831453158</v>
      </c>
      <c r="C10436" t="str">
        <f>"207X00000X"</f>
        <v>207X00000X</v>
      </c>
      <c r="D10436" t="str">
        <f>"SANDIFER                 PHILLIP      A           "</f>
        <v xml:space="preserve">SANDIFER                 PHILLIP      A           </v>
      </c>
      <c r="E10436" t="str">
        <f>"TUPELO                    "</f>
        <v xml:space="preserve">TUPELO                    </v>
      </c>
      <c r="F10436" t="str">
        <f t="shared" si="290"/>
        <v>MS</v>
      </c>
    </row>
    <row r="10437" spans="1:6" x14ac:dyDescent="0.25">
      <c r="A10437" t="str">
        <f>"004526588"</f>
        <v>004526588</v>
      </c>
      <c r="B10437" t="str">
        <f>"1144887845"</f>
        <v>1144887845</v>
      </c>
      <c r="C10437" t="str">
        <f>"363A00000X"</f>
        <v>363A00000X</v>
      </c>
      <c r="D10437" t="str">
        <f>"CHILDS                   MICAH                    "</f>
        <v xml:space="preserve">CHILDS                   MICAH                    </v>
      </c>
      <c r="E10437" t="str">
        <f>"HATTIESBURG               "</f>
        <v xml:space="preserve">HATTIESBURG               </v>
      </c>
      <c r="F10437" t="str">
        <f t="shared" si="290"/>
        <v>MS</v>
      </c>
    </row>
    <row r="10438" spans="1:6" x14ac:dyDescent="0.25">
      <c r="A10438" t="str">
        <f>"004527201"</f>
        <v>004527201</v>
      </c>
      <c r="B10438" t="str">
        <f>"1518585603"</f>
        <v>1518585603</v>
      </c>
      <c r="C10438" t="str">
        <f>"363L00000X"</f>
        <v>363L00000X</v>
      </c>
      <c r="D10438" t="str">
        <f>"EDWARDS                  KELSEY                   "</f>
        <v xml:space="preserve">EDWARDS                  KELSEY                   </v>
      </c>
      <c r="E10438" t="str">
        <f>"JACKSON                   "</f>
        <v xml:space="preserve">JACKSON                   </v>
      </c>
      <c r="F10438" t="str">
        <f t="shared" si="290"/>
        <v>MS</v>
      </c>
    </row>
    <row r="10439" spans="1:6" x14ac:dyDescent="0.25">
      <c r="A10439" t="str">
        <f>"004528212"</f>
        <v>004528212</v>
      </c>
      <c r="B10439" t="str">
        <f>"1073285573"</f>
        <v>1073285573</v>
      </c>
      <c r="C10439" t="str">
        <f>"363L00000X"</f>
        <v>363L00000X</v>
      </c>
      <c r="D10439" t="str">
        <f>"JORDAN                   MALLORY      O           "</f>
        <v xml:space="preserve">JORDAN                   MALLORY      O           </v>
      </c>
      <c r="E10439" t="str">
        <f>"BAY SPRINGS               "</f>
        <v xml:space="preserve">BAY SPRINGS               </v>
      </c>
      <c r="F10439" t="str">
        <f t="shared" si="290"/>
        <v>MS</v>
      </c>
    </row>
    <row r="10440" spans="1:6" x14ac:dyDescent="0.25">
      <c r="A10440" t="str">
        <f>"004528323"</f>
        <v>004528323</v>
      </c>
      <c r="B10440" t="str">
        <f>"1487074712"</f>
        <v>1487074712</v>
      </c>
      <c r="C10440" t="str">
        <f>"208000000X"</f>
        <v>208000000X</v>
      </c>
      <c r="D10440" t="str">
        <f>"BAKKE                    JOSHUA                   "</f>
        <v xml:space="preserve">BAKKE                    JOSHUA                   </v>
      </c>
      <c r="E10440" t="str">
        <f>"OLIVE BRANCH              "</f>
        <v xml:space="preserve">OLIVE BRANCH              </v>
      </c>
      <c r="F10440" t="str">
        <f t="shared" si="290"/>
        <v>MS</v>
      </c>
    </row>
    <row r="10441" spans="1:6" x14ac:dyDescent="0.25">
      <c r="A10441" t="str">
        <f>"004530011"</f>
        <v>004530011</v>
      </c>
      <c r="B10441" t="str">
        <f>"1033671557"</f>
        <v>1033671557</v>
      </c>
      <c r="C10441" t="str">
        <f>"207R00000X"</f>
        <v>207R00000X</v>
      </c>
      <c r="D10441" t="str">
        <f>"PRICE                    ALEXANDRA    M           "</f>
        <v xml:space="preserve">PRICE                    ALEXANDRA    M           </v>
      </c>
      <c r="E10441" t="str">
        <f>"SUMMIT                    "</f>
        <v xml:space="preserve">SUMMIT                    </v>
      </c>
      <c r="F10441" t="str">
        <f t="shared" si="290"/>
        <v>MS</v>
      </c>
    </row>
    <row r="10442" spans="1:6" x14ac:dyDescent="0.25">
      <c r="A10442" t="str">
        <f>"004531200"</f>
        <v>004531200</v>
      </c>
      <c r="B10442" t="str">
        <f>"1003497587"</f>
        <v>1003497587</v>
      </c>
      <c r="C10442" t="str">
        <f>"363L00000X"</f>
        <v>363L00000X</v>
      </c>
      <c r="D10442" t="str">
        <f>"JEFFREY                  HEATHER      L           "</f>
        <v xml:space="preserve">JEFFREY                  HEATHER      L           </v>
      </c>
      <c r="E10442" t="str">
        <f>"GULFPORT                  "</f>
        <v xml:space="preserve">GULFPORT                  </v>
      </c>
      <c r="F10442" t="str">
        <f t="shared" si="290"/>
        <v>MS</v>
      </c>
    </row>
    <row r="10443" spans="1:6" x14ac:dyDescent="0.25">
      <c r="A10443" t="str">
        <f>"004532801"</f>
        <v>004532801</v>
      </c>
      <c r="B10443" t="str">
        <f>"1275897670"</f>
        <v>1275897670</v>
      </c>
      <c r="C10443" t="str">
        <f>"207R00000X"</f>
        <v>207R00000X</v>
      </c>
      <c r="D10443" t="str">
        <f>"THURMOND                 PATRICK      R           "</f>
        <v xml:space="preserve">THURMOND                 PATRICK      R           </v>
      </c>
      <c r="E10443" t="str">
        <f>"JACKSON                   "</f>
        <v xml:space="preserve">JACKSON                   </v>
      </c>
      <c r="F10443" t="str">
        <f t="shared" si="290"/>
        <v>MS</v>
      </c>
    </row>
    <row r="10444" spans="1:6" x14ac:dyDescent="0.25">
      <c r="A10444" t="str">
        <f>"004534794"</f>
        <v>004534794</v>
      </c>
      <c r="B10444" t="str">
        <f>"1639510142"</f>
        <v>1639510142</v>
      </c>
      <c r="C10444" t="str">
        <f>"363L00000X"</f>
        <v>363L00000X</v>
      </c>
      <c r="D10444" t="str">
        <f>"KEYS                     JOSEPH       C           "</f>
        <v xml:space="preserve">KEYS                     JOSEPH       C           </v>
      </c>
      <c r="E10444" t="str">
        <f>"PASCAGOULA                "</f>
        <v xml:space="preserve">PASCAGOULA                </v>
      </c>
      <c r="F10444" t="str">
        <f t="shared" si="290"/>
        <v>MS</v>
      </c>
    </row>
    <row r="10445" spans="1:6" x14ac:dyDescent="0.25">
      <c r="A10445" t="str">
        <f>"004535090"</f>
        <v>004535090</v>
      </c>
      <c r="B10445" t="str">
        <f>"1659905271"</f>
        <v>1659905271</v>
      </c>
      <c r="C10445" t="str">
        <f>"363L00000X"</f>
        <v>363L00000X</v>
      </c>
      <c r="D10445" t="str">
        <f>"PARISH                   CANDICE      E           "</f>
        <v xml:space="preserve">PARISH                   CANDICE      E           </v>
      </c>
      <c r="E10445" t="str">
        <f>"KOSCIUSKO                 "</f>
        <v xml:space="preserve">KOSCIUSKO                 </v>
      </c>
      <c r="F10445" t="str">
        <f t="shared" si="290"/>
        <v>MS</v>
      </c>
    </row>
    <row r="10446" spans="1:6" x14ac:dyDescent="0.25">
      <c r="A10446" t="str">
        <f>"004535864"</f>
        <v>004535864</v>
      </c>
      <c r="B10446" t="str">
        <f>"1821291790"</f>
        <v>1821291790</v>
      </c>
      <c r="C10446" t="str">
        <f>"2085R0202X"</f>
        <v>2085R0202X</v>
      </c>
      <c r="D10446" t="str">
        <f>"WADSWORTH                MARGARET     C           "</f>
        <v xml:space="preserve">WADSWORTH                MARGARET     C           </v>
      </c>
      <c r="E10446" t="str">
        <f>"JACKSON                   "</f>
        <v xml:space="preserve">JACKSON                   </v>
      </c>
      <c r="F10446" t="str">
        <f t="shared" si="290"/>
        <v>MS</v>
      </c>
    </row>
    <row r="10447" spans="1:6" x14ac:dyDescent="0.25">
      <c r="A10447" t="str">
        <f>"004537068"</f>
        <v>004537068</v>
      </c>
      <c r="B10447" t="str">
        <f>"1700211141"</f>
        <v>1700211141</v>
      </c>
      <c r="C10447" t="str">
        <f>"207RR0500X"</f>
        <v>207RR0500X</v>
      </c>
      <c r="D10447" t="str">
        <f>"FOMIN                    ALEXEY                   "</f>
        <v xml:space="preserve">FOMIN                    ALEXEY                   </v>
      </c>
      <c r="E10447" t="str">
        <f>"HATTIESBURG               "</f>
        <v xml:space="preserve">HATTIESBURG               </v>
      </c>
      <c r="F10447" t="str">
        <f t="shared" si="290"/>
        <v>MS</v>
      </c>
    </row>
    <row r="10448" spans="1:6" x14ac:dyDescent="0.25">
      <c r="A10448" t="str">
        <f>"004537783"</f>
        <v>004537783</v>
      </c>
      <c r="B10448" t="str">
        <f>"1700515905"</f>
        <v>1700515905</v>
      </c>
      <c r="C10448" t="str">
        <f>"122300000X"</f>
        <v>122300000X</v>
      </c>
      <c r="D10448" t="str">
        <f>"OXFORD PEDIATRIC DENTISTRY                        "</f>
        <v xml:space="preserve">OXFORD PEDIATRIC DENTISTRY                        </v>
      </c>
      <c r="E10448" t="str">
        <f>"OXFORD                    "</f>
        <v xml:space="preserve">OXFORD                    </v>
      </c>
      <c r="F10448" t="str">
        <f t="shared" si="290"/>
        <v>MS</v>
      </c>
    </row>
    <row r="10449" spans="1:6" x14ac:dyDescent="0.25">
      <c r="A10449" t="str">
        <f>"004538555"</f>
        <v>004538555</v>
      </c>
      <c r="B10449" t="str">
        <f>"1972597961"</f>
        <v>1972597961</v>
      </c>
      <c r="C10449" t="str">
        <f>"207RP1001X"</f>
        <v>207RP1001X</v>
      </c>
      <c r="D10449" t="str">
        <f>"RAPPAI                   MARIA                    "</f>
        <v xml:space="preserve">RAPPAI                   MARIA                    </v>
      </c>
      <c r="E10449" t="str">
        <f>"JACKSON                   "</f>
        <v xml:space="preserve">JACKSON                   </v>
      </c>
      <c r="F10449" t="str">
        <f t="shared" si="290"/>
        <v>MS</v>
      </c>
    </row>
    <row r="10450" spans="1:6" x14ac:dyDescent="0.25">
      <c r="A10450" t="str">
        <f>"004550047"</f>
        <v>004550047</v>
      </c>
      <c r="B10450" t="str">
        <f>"1174813646"</f>
        <v>1174813646</v>
      </c>
      <c r="C10450" t="str">
        <f>"207Q00000X"</f>
        <v>207Q00000X</v>
      </c>
      <c r="D10450" t="str">
        <f>"SONAIKE                  VICTOR                   "</f>
        <v xml:space="preserve">SONAIKE                  VICTOR                   </v>
      </c>
      <c r="E10450" t="str">
        <f>"BAY SAINT LOUIS           "</f>
        <v xml:space="preserve">BAY SAINT LOUIS           </v>
      </c>
      <c r="F10450" t="str">
        <f t="shared" si="290"/>
        <v>MS</v>
      </c>
    </row>
    <row r="10451" spans="1:6" x14ac:dyDescent="0.25">
      <c r="A10451" t="str">
        <f>"004551345"</f>
        <v>004551345</v>
      </c>
      <c r="B10451" t="str">
        <f>"1144687583"</f>
        <v>1144687583</v>
      </c>
      <c r="C10451" t="str">
        <f>"363L00000X"</f>
        <v>363L00000X</v>
      </c>
      <c r="D10451" t="str">
        <f>"ROBINSON                 JERAD                    "</f>
        <v xml:space="preserve">ROBINSON                 JERAD                    </v>
      </c>
      <c r="E10451" t="str">
        <f>"MADISON                   "</f>
        <v xml:space="preserve">MADISON                   </v>
      </c>
      <c r="F10451" t="str">
        <f t="shared" si="290"/>
        <v>MS</v>
      </c>
    </row>
    <row r="10452" spans="1:6" x14ac:dyDescent="0.25">
      <c r="A10452" t="str">
        <f>"004552378"</f>
        <v>004552378</v>
      </c>
      <c r="B10452" t="str">
        <f>"1659785202"</f>
        <v>1659785202</v>
      </c>
      <c r="C10452" t="str">
        <f>"122300000X"</f>
        <v>122300000X</v>
      </c>
      <c r="D10452" t="str">
        <f>"HAIK                     KARLA        D           "</f>
        <v xml:space="preserve">HAIK                     KARLA        D           </v>
      </c>
      <c r="E10452" t="str">
        <f>"VICKSBURG                 "</f>
        <v xml:space="preserve">VICKSBURG                 </v>
      </c>
      <c r="F10452" t="str">
        <f t="shared" si="290"/>
        <v>MS</v>
      </c>
    </row>
    <row r="10453" spans="1:6" x14ac:dyDescent="0.25">
      <c r="A10453" t="str">
        <f>"004552545"</f>
        <v>004552545</v>
      </c>
      <c r="B10453" t="str">
        <f>"1336568054"</f>
        <v>1336568054</v>
      </c>
      <c r="C10453" t="str">
        <f>"207R00000X"</f>
        <v>207R00000X</v>
      </c>
      <c r="D10453" t="str">
        <f>"GILLESPIE                WILLIAM      M           "</f>
        <v xml:space="preserve">GILLESPIE                WILLIAM      M           </v>
      </c>
      <c r="E10453" t="str">
        <f>"COLUMBUS                  "</f>
        <v xml:space="preserve">COLUMBUS                  </v>
      </c>
      <c r="F10453" t="str">
        <f t="shared" si="290"/>
        <v>MS</v>
      </c>
    </row>
    <row r="10454" spans="1:6" x14ac:dyDescent="0.25">
      <c r="A10454" t="str">
        <f>"004553776"</f>
        <v>004553776</v>
      </c>
      <c r="B10454" t="str">
        <f>"1548673320"</f>
        <v>1548673320</v>
      </c>
      <c r="C10454" t="str">
        <f>"122300000X"</f>
        <v>122300000X</v>
      </c>
      <c r="D10454" t="str">
        <f>"PARK PLACE DENTAL                                 "</f>
        <v xml:space="preserve">PARK PLACE DENTAL                                 </v>
      </c>
      <c r="E10454" t="str">
        <f>"BOONEVILLE                "</f>
        <v xml:space="preserve">BOONEVILLE                </v>
      </c>
      <c r="F10454" t="str">
        <f t="shared" si="290"/>
        <v>MS</v>
      </c>
    </row>
    <row r="10455" spans="1:6" x14ac:dyDescent="0.25">
      <c r="A10455" t="str">
        <f>"004554277"</f>
        <v>004554277</v>
      </c>
      <c r="B10455" t="str">
        <f>"1972538718"</f>
        <v>1972538718</v>
      </c>
      <c r="C10455" t="str">
        <f>"363L00000X"</f>
        <v>363L00000X</v>
      </c>
      <c r="D10455" t="str">
        <f>"TAYLOR                   TAMMY        T           "</f>
        <v xml:space="preserve">TAYLOR                   TAMMY        T           </v>
      </c>
      <c r="E10455" t="str">
        <f>"OXFORD                    "</f>
        <v xml:space="preserve">OXFORD                    </v>
      </c>
      <c r="F10455" t="str">
        <f t="shared" si="290"/>
        <v>MS</v>
      </c>
    </row>
    <row r="10456" spans="1:6" x14ac:dyDescent="0.25">
      <c r="A10456" t="str">
        <f>"004554501"</f>
        <v>004554501</v>
      </c>
      <c r="B10456" t="str">
        <f>"1689850620"</f>
        <v>1689850620</v>
      </c>
      <c r="C10456" t="str">
        <f>"207RH0003X"</f>
        <v>207RH0003X</v>
      </c>
      <c r="D10456" t="str">
        <f>"DELRIE JR                RONALD       D           "</f>
        <v xml:space="preserve">DELRIE JR                RONALD       D           </v>
      </c>
      <c r="E10456" t="str">
        <f>"MCCOMB                    "</f>
        <v xml:space="preserve">MCCOMB                    </v>
      </c>
      <c r="F10456" t="str">
        <f t="shared" si="290"/>
        <v>MS</v>
      </c>
    </row>
    <row r="10457" spans="1:6" x14ac:dyDescent="0.25">
      <c r="A10457" t="str">
        <f>"004555399"</f>
        <v>004555399</v>
      </c>
      <c r="B10457" t="str">
        <f>"1396202396"</f>
        <v>1396202396</v>
      </c>
      <c r="C10457" t="str">
        <f>"363L00000X"</f>
        <v>363L00000X</v>
      </c>
      <c r="D10457" t="str">
        <f>"MONCURE                  ROXANE                   "</f>
        <v xml:space="preserve">MONCURE                  ROXANE                   </v>
      </c>
      <c r="E10457" t="str">
        <f>"VICKSBURG                 "</f>
        <v xml:space="preserve">VICKSBURG                 </v>
      </c>
      <c r="F10457" t="str">
        <f t="shared" si="290"/>
        <v>MS</v>
      </c>
    </row>
    <row r="10458" spans="1:6" x14ac:dyDescent="0.25">
      <c r="A10458" t="str">
        <f>"004555590"</f>
        <v>004555590</v>
      </c>
      <c r="B10458" t="str">
        <f>"1356498224"</f>
        <v>1356498224</v>
      </c>
      <c r="C10458" t="str">
        <f>"207ZP0102X"</f>
        <v>207ZP0102X</v>
      </c>
      <c r="D10458" t="str">
        <f>"FASIG                    KRISTINA     J           "</f>
        <v xml:space="preserve">FASIG                    KRISTINA     J           </v>
      </c>
      <c r="E10458" t="str">
        <f>"SOUTHAVEN                 "</f>
        <v xml:space="preserve">SOUTHAVEN                 </v>
      </c>
      <c r="F10458" t="str">
        <f t="shared" si="290"/>
        <v>MS</v>
      </c>
    </row>
    <row r="10459" spans="1:6" x14ac:dyDescent="0.25">
      <c r="A10459" t="str">
        <f>"004556297"</f>
        <v>004556297</v>
      </c>
      <c r="B10459" t="str">
        <f>"1225027832"</f>
        <v>1225027832</v>
      </c>
      <c r="C10459" t="str">
        <f>"363LF0000X"</f>
        <v>363LF0000X</v>
      </c>
      <c r="D10459" t="str">
        <f>"WILSON                   CHARLA                   "</f>
        <v xml:space="preserve">WILSON                   CHARLA                   </v>
      </c>
      <c r="E10459" t="str">
        <f>"OLIVE BRANCH              "</f>
        <v xml:space="preserve">OLIVE BRANCH              </v>
      </c>
      <c r="F10459" t="str">
        <f t="shared" si="290"/>
        <v>MS</v>
      </c>
    </row>
    <row r="10460" spans="1:6" x14ac:dyDescent="0.25">
      <c r="A10460" t="str">
        <f>"004557205"</f>
        <v>004557205</v>
      </c>
      <c r="B10460" t="str">
        <f>"1154901445"</f>
        <v>1154901445</v>
      </c>
      <c r="C10460" t="str">
        <f>"363L00000X"</f>
        <v>363L00000X</v>
      </c>
      <c r="D10460" t="str">
        <f>"NOBLES                   LINDSEY      J           "</f>
        <v xml:space="preserve">NOBLES                   LINDSEY      J           </v>
      </c>
      <c r="E10460" t="str">
        <f>"MAGNOLIA                  "</f>
        <v xml:space="preserve">MAGNOLIA                  </v>
      </c>
      <c r="F10460" t="str">
        <f t="shared" si="290"/>
        <v>MS</v>
      </c>
    </row>
    <row r="10461" spans="1:6" x14ac:dyDescent="0.25">
      <c r="A10461" t="str">
        <f>"004558008"</f>
        <v>004558008</v>
      </c>
      <c r="B10461" t="str">
        <f>"1760653034"</f>
        <v>1760653034</v>
      </c>
      <c r="C10461" t="str">
        <f>"122300000X"</f>
        <v>122300000X</v>
      </c>
      <c r="D10461" t="str">
        <f>"DAWKINS JR               WARD         E           "</f>
        <v xml:space="preserve">DAWKINS JR               WARD         E           </v>
      </c>
      <c r="E10461" t="str">
        <f>"OXFORD                    "</f>
        <v xml:space="preserve">OXFORD                    </v>
      </c>
      <c r="F10461" t="str">
        <f t="shared" si="290"/>
        <v>MS</v>
      </c>
    </row>
    <row r="10462" spans="1:6" x14ac:dyDescent="0.25">
      <c r="A10462" t="str">
        <f>"004558868"</f>
        <v>004558868</v>
      </c>
      <c r="B10462" t="str">
        <f>"1124798392"</f>
        <v>1124798392</v>
      </c>
      <c r="C10462" t="str">
        <f>"363L00000X"</f>
        <v>363L00000X</v>
      </c>
      <c r="D10462" t="str">
        <f>"BRASSFIELD               CRYSTAL                  "</f>
        <v xml:space="preserve">BRASSFIELD               CRYSTAL                  </v>
      </c>
      <c r="E10462" t="str">
        <f>"MERIDIAN                  "</f>
        <v xml:space="preserve">MERIDIAN                  </v>
      </c>
      <c r="F10462" t="str">
        <f t="shared" si="290"/>
        <v>MS</v>
      </c>
    </row>
    <row r="10463" spans="1:6" x14ac:dyDescent="0.25">
      <c r="A10463" t="str">
        <f>"004570786"</f>
        <v>004570786</v>
      </c>
      <c r="B10463" t="str">
        <f>"1558727560"</f>
        <v>1558727560</v>
      </c>
      <c r="C10463" t="str">
        <f>"363L00000X"</f>
        <v>363L00000X</v>
      </c>
      <c r="D10463" t="str">
        <f>"BROOKS-CLEMONS           URSULA       S           "</f>
        <v xml:space="preserve">BROOKS-CLEMONS           URSULA       S           </v>
      </c>
      <c r="E10463" t="str">
        <f>"MCCOMB                    "</f>
        <v xml:space="preserve">MCCOMB                    </v>
      </c>
      <c r="F10463" t="str">
        <f t="shared" si="290"/>
        <v>MS</v>
      </c>
    </row>
    <row r="10464" spans="1:6" x14ac:dyDescent="0.25">
      <c r="A10464" t="str">
        <f>"004571219"</f>
        <v>004571219</v>
      </c>
      <c r="B10464" t="str">
        <f>"1760674949"</f>
        <v>1760674949</v>
      </c>
      <c r="C10464" t="str">
        <f>"363L00000X"</f>
        <v>363L00000X</v>
      </c>
      <c r="D10464" t="str">
        <f>"BURROUGHS                RALPH        L           "</f>
        <v xml:space="preserve">BURROUGHS                RALPH        L           </v>
      </c>
      <c r="E10464" t="str">
        <f>"GULFPORT                  "</f>
        <v xml:space="preserve">GULFPORT                  </v>
      </c>
      <c r="F10464" t="str">
        <f t="shared" si="290"/>
        <v>MS</v>
      </c>
    </row>
    <row r="10465" spans="1:6" x14ac:dyDescent="0.25">
      <c r="A10465" t="str">
        <f>"004574021"</f>
        <v>004574021</v>
      </c>
      <c r="B10465" t="str">
        <f>"1831413772"</f>
        <v>1831413772</v>
      </c>
      <c r="C10465" t="str">
        <f>"261QA1903X"</f>
        <v>261QA1903X</v>
      </c>
      <c r="D10465" t="str">
        <f>"OXFORD UROCARE PPL                                "</f>
        <v xml:space="preserve">OXFORD UROCARE PPL                                </v>
      </c>
      <c r="E10465" t="str">
        <f>"OXFORD                    "</f>
        <v xml:space="preserve">OXFORD                    </v>
      </c>
      <c r="F10465" t="str">
        <f t="shared" si="290"/>
        <v>MS</v>
      </c>
    </row>
    <row r="10466" spans="1:6" x14ac:dyDescent="0.25">
      <c r="A10466" t="str">
        <f>"004574372"</f>
        <v>004574372</v>
      </c>
      <c r="B10466" t="str">
        <f>"1801101696"</f>
        <v>1801101696</v>
      </c>
      <c r="C10466" t="str">
        <f>"122300000X"</f>
        <v>122300000X</v>
      </c>
      <c r="D10466" t="str">
        <f>"VANPELT                  HEATHER      M           "</f>
        <v xml:space="preserve">VANPELT                  HEATHER      M           </v>
      </c>
      <c r="E10466" t="str">
        <f>"MACON                     "</f>
        <v xml:space="preserve">MACON                     </v>
      </c>
      <c r="F10466" t="str">
        <f t="shared" si="290"/>
        <v>MS</v>
      </c>
    </row>
    <row r="10467" spans="1:6" x14ac:dyDescent="0.25">
      <c r="A10467" t="str">
        <f>"004574762"</f>
        <v>004574762</v>
      </c>
      <c r="B10467" t="str">
        <f>"1720477714"</f>
        <v>1720477714</v>
      </c>
      <c r="C10467" t="str">
        <f>"363L00000X"</f>
        <v>363L00000X</v>
      </c>
      <c r="D10467" t="str">
        <f>"OSBOURN                  LACEY        G           "</f>
        <v xml:space="preserve">OSBOURN                  LACEY        G           </v>
      </c>
      <c r="E10467" t="str">
        <f>"GULFPORT                  "</f>
        <v xml:space="preserve">GULFPORT                  </v>
      </c>
      <c r="F10467" t="str">
        <f t="shared" si="290"/>
        <v>MS</v>
      </c>
    </row>
    <row r="10468" spans="1:6" x14ac:dyDescent="0.25">
      <c r="A10468" t="str">
        <f>"004574829"</f>
        <v>004574829</v>
      </c>
      <c r="B10468" t="str">
        <f>"1679561948"</f>
        <v>1679561948</v>
      </c>
      <c r="C10468" t="str">
        <f>"207RG0100X"</f>
        <v>207RG0100X</v>
      </c>
      <c r="D10468" t="str">
        <f>"PETRO                    MICHELLE     A           "</f>
        <v xml:space="preserve">PETRO                    MICHELLE     A           </v>
      </c>
      <c r="E10468" t="str">
        <f>"FLOWOOD                   "</f>
        <v xml:space="preserve">FLOWOOD                   </v>
      </c>
      <c r="F10468" t="str">
        <f t="shared" si="290"/>
        <v>MS</v>
      </c>
    </row>
    <row r="10469" spans="1:6" x14ac:dyDescent="0.25">
      <c r="A10469" t="str">
        <f>"004575251"</f>
        <v>004575251</v>
      </c>
      <c r="B10469" t="str">
        <f>"1609288141"</f>
        <v>1609288141</v>
      </c>
      <c r="C10469" t="str">
        <f>"208000000X"</f>
        <v>208000000X</v>
      </c>
      <c r="D10469" t="str">
        <f>"CARDEN                   NICOLE       E           "</f>
        <v xml:space="preserve">CARDEN                   NICOLE       E           </v>
      </c>
      <c r="E10469" t="str">
        <f>"PETAL                     "</f>
        <v xml:space="preserve">PETAL                     </v>
      </c>
      <c r="F10469" t="str">
        <f t="shared" si="290"/>
        <v>MS</v>
      </c>
    </row>
    <row r="10470" spans="1:6" x14ac:dyDescent="0.25">
      <c r="A10470" t="str">
        <f>"004576536"</f>
        <v>004576536</v>
      </c>
      <c r="B10470" t="str">
        <f>"1982877551"</f>
        <v>1982877551</v>
      </c>
      <c r="C10470" t="str">
        <f>"2080P0204X"</f>
        <v>2080P0204X</v>
      </c>
      <c r="D10470" t="str">
        <f>"AITKEN                   EMEM         J           "</f>
        <v xml:space="preserve">AITKEN                   EMEM         J           </v>
      </c>
      <c r="E10470" t="str">
        <f>"JACKSON                   "</f>
        <v xml:space="preserve">JACKSON                   </v>
      </c>
      <c r="F10470" t="str">
        <f t="shared" si="290"/>
        <v>MS</v>
      </c>
    </row>
    <row r="10471" spans="1:6" x14ac:dyDescent="0.25">
      <c r="A10471" t="str">
        <f>"004577259"</f>
        <v>004577259</v>
      </c>
      <c r="B10471" t="str">
        <f>"1174869747"</f>
        <v>1174869747</v>
      </c>
      <c r="C10471" t="str">
        <f>"363L00000X"</f>
        <v>363L00000X</v>
      </c>
      <c r="D10471" t="str">
        <f>"PEARCE                   LAUREN       B           "</f>
        <v xml:space="preserve">PEARCE                   LAUREN       B           </v>
      </c>
      <c r="E10471" t="str">
        <f>"JACKSON                   "</f>
        <v xml:space="preserve">JACKSON                   </v>
      </c>
      <c r="F10471" t="str">
        <f t="shared" si="290"/>
        <v>MS</v>
      </c>
    </row>
    <row r="10472" spans="1:6" x14ac:dyDescent="0.25">
      <c r="A10472" t="str">
        <f>"004580003"</f>
        <v>004580003</v>
      </c>
      <c r="B10472" t="str">
        <f>"1336398510"</f>
        <v>1336398510</v>
      </c>
      <c r="C10472" t="str">
        <f>"207Q00000X"</f>
        <v>207Q00000X</v>
      </c>
      <c r="D10472" t="str">
        <f>"SOOD                     HARPREET                 "</f>
        <v xml:space="preserve">SOOD                     HARPREET                 </v>
      </c>
      <c r="E10472" t="str">
        <f>"COLLINS                   "</f>
        <v xml:space="preserve">COLLINS                   </v>
      </c>
      <c r="F10472" t="str">
        <f t="shared" si="290"/>
        <v>MS</v>
      </c>
    </row>
    <row r="10473" spans="1:6" x14ac:dyDescent="0.25">
      <c r="A10473" t="str">
        <f>"004580071"</f>
        <v>004580071</v>
      </c>
      <c r="B10473" t="str">
        <f>"1760134357"</f>
        <v>1760134357</v>
      </c>
      <c r="C10473" t="str">
        <f>"363L00000X"</f>
        <v>363L00000X</v>
      </c>
      <c r="D10473" t="str">
        <f>"MARTIN                   GINNY                    "</f>
        <v xml:space="preserve">MARTIN                   GINNY                    </v>
      </c>
      <c r="E10473" t="str">
        <f>"PONTOTOC                  "</f>
        <v xml:space="preserve">PONTOTOC                  </v>
      </c>
      <c r="F10473" t="str">
        <f t="shared" si="290"/>
        <v>MS</v>
      </c>
    </row>
    <row r="10474" spans="1:6" x14ac:dyDescent="0.25">
      <c r="A10474" t="str">
        <f>"004580379"</f>
        <v>004580379</v>
      </c>
      <c r="B10474" t="str">
        <f>"1689614240"</f>
        <v>1689614240</v>
      </c>
      <c r="C10474" t="str">
        <f>"207W00000X"</f>
        <v>207W00000X</v>
      </c>
      <c r="D10474" t="str">
        <f>"CROWDER                  KIMBERLY     A           "</f>
        <v xml:space="preserve">CROWDER                  KIMBERLY     A           </v>
      </c>
      <c r="E10474" t="str">
        <f>"JACKSON                   "</f>
        <v xml:space="preserve">JACKSON                   </v>
      </c>
      <c r="F10474" t="str">
        <f t="shared" si="290"/>
        <v>MS</v>
      </c>
    </row>
    <row r="10475" spans="1:6" x14ac:dyDescent="0.25">
      <c r="A10475" t="str">
        <f>"004580733"</f>
        <v>004580733</v>
      </c>
      <c r="B10475" t="str">
        <f>"1447662861"</f>
        <v>1447662861</v>
      </c>
      <c r="C10475" t="str">
        <f>"207R00000X"</f>
        <v>207R00000X</v>
      </c>
      <c r="D10475" t="str">
        <f>"UDLER                    ILIYA                    "</f>
        <v xml:space="preserve">UDLER                    ILIYA                    </v>
      </c>
      <c r="E10475" t="str">
        <f>"JACKSON                   "</f>
        <v xml:space="preserve">JACKSON                   </v>
      </c>
      <c r="F10475" t="str">
        <f t="shared" si="290"/>
        <v>MS</v>
      </c>
    </row>
    <row r="10476" spans="1:6" x14ac:dyDescent="0.25">
      <c r="A10476" t="str">
        <f>"004581039"</f>
        <v>004581039</v>
      </c>
      <c r="B10476" t="str">
        <f>"1053536045"</f>
        <v>1053536045</v>
      </c>
      <c r="C10476" t="str">
        <f>"122300000X"</f>
        <v>122300000X</v>
      </c>
      <c r="D10476" t="str">
        <f>"TOMLINSON                CLARA                    "</f>
        <v xml:space="preserve">TOMLINSON                CLARA                    </v>
      </c>
      <c r="E10476" t="str">
        <f>"BATESVILLE                "</f>
        <v xml:space="preserve">BATESVILLE                </v>
      </c>
      <c r="F10476" t="str">
        <f t="shared" si="290"/>
        <v>MS</v>
      </c>
    </row>
    <row r="10477" spans="1:6" x14ac:dyDescent="0.25">
      <c r="A10477" t="str">
        <f>"004581759"</f>
        <v>004581759</v>
      </c>
      <c r="B10477" t="str">
        <f>"1033723325"</f>
        <v>1033723325</v>
      </c>
      <c r="C10477" t="str">
        <f>"363L00000X"</f>
        <v>363L00000X</v>
      </c>
      <c r="D10477" t="str">
        <f>"CALLIHAN                 EDWARD       S           "</f>
        <v xml:space="preserve">CALLIHAN                 EDWARD       S           </v>
      </c>
      <c r="E10477" t="str">
        <f>"BYRAM                     "</f>
        <v xml:space="preserve">BYRAM                     </v>
      </c>
      <c r="F10477" t="str">
        <f t="shared" si="290"/>
        <v>MS</v>
      </c>
    </row>
    <row r="10478" spans="1:6" x14ac:dyDescent="0.25">
      <c r="A10478" t="str">
        <f>"004582082"</f>
        <v>004582082</v>
      </c>
      <c r="B10478" t="str">
        <f>"1659832772"</f>
        <v>1659832772</v>
      </c>
      <c r="C10478" t="str">
        <f>"207R00000X"</f>
        <v>207R00000X</v>
      </c>
      <c r="D10478" t="str">
        <f>"GANIM                    ISMAIL       A           "</f>
        <v xml:space="preserve">GANIM                    ISMAIL       A           </v>
      </c>
      <c r="E10478" t="str">
        <f>"JACKSON                   "</f>
        <v xml:space="preserve">JACKSON                   </v>
      </c>
      <c r="F10478" t="str">
        <f t="shared" si="290"/>
        <v>MS</v>
      </c>
    </row>
    <row r="10479" spans="1:6" x14ac:dyDescent="0.25">
      <c r="A10479" t="str">
        <f>"004583056"</f>
        <v>004583056</v>
      </c>
      <c r="B10479" t="str">
        <f>"1881364354"</f>
        <v>1881364354</v>
      </c>
      <c r="C10479" t="str">
        <f>"363L00000X"</f>
        <v>363L00000X</v>
      </c>
      <c r="D10479" t="str">
        <f>"MCGILL                   ANDREA                   "</f>
        <v xml:space="preserve">MCGILL                   ANDREA                   </v>
      </c>
      <c r="E10479" t="str">
        <f>"HATTIESBURG               "</f>
        <v xml:space="preserve">HATTIESBURG               </v>
      </c>
      <c r="F10479" t="str">
        <f t="shared" si="290"/>
        <v>MS</v>
      </c>
    </row>
    <row r="10480" spans="1:6" x14ac:dyDescent="0.25">
      <c r="A10480" t="str">
        <f>"004583219"</f>
        <v>004583219</v>
      </c>
      <c r="B10480" t="str">
        <f>"1619236106"</f>
        <v>1619236106</v>
      </c>
      <c r="C10480" t="str">
        <f>"2080P0216X"</f>
        <v>2080P0216X</v>
      </c>
      <c r="D10480" t="str">
        <f>"TASAN                    LAURA        A           "</f>
        <v xml:space="preserve">TASAN                    LAURA        A           </v>
      </c>
      <c r="E10480" t="str">
        <f>"JACKSON                   "</f>
        <v xml:space="preserve">JACKSON                   </v>
      </c>
      <c r="F10480" t="str">
        <f t="shared" si="290"/>
        <v>MS</v>
      </c>
    </row>
    <row r="10481" spans="1:6" x14ac:dyDescent="0.25">
      <c r="A10481" t="str">
        <f>"004583552"</f>
        <v>004583552</v>
      </c>
      <c r="B10481" t="str">
        <f>"1043490246"</f>
        <v>1043490246</v>
      </c>
      <c r="C10481" t="str">
        <f>"208000000X"</f>
        <v>208000000X</v>
      </c>
      <c r="D10481" t="str">
        <f>"SIMS                     TAMMY        L           "</f>
        <v xml:space="preserve">SIMS                     TAMMY        L           </v>
      </c>
      <c r="E10481" t="str">
        <f>"CLINTON                   "</f>
        <v xml:space="preserve">CLINTON                   </v>
      </c>
      <c r="F10481" t="str">
        <f t="shared" si="290"/>
        <v>MS</v>
      </c>
    </row>
    <row r="10482" spans="1:6" x14ac:dyDescent="0.25">
      <c r="A10482" t="str">
        <f>"004583764"</f>
        <v>004583764</v>
      </c>
      <c r="B10482" t="str">
        <f>"1356388250"</f>
        <v>1356388250</v>
      </c>
      <c r="C10482" t="str">
        <f>"207RP1001X"</f>
        <v>207RP1001X</v>
      </c>
      <c r="D10482" t="str">
        <f>"MUNIR                    AMAN         U           "</f>
        <v xml:space="preserve">MUNIR                    AMAN         U           </v>
      </c>
      <c r="E10482" t="str">
        <f>"RULEVILLE                 "</f>
        <v xml:space="preserve">RULEVILLE                 </v>
      </c>
      <c r="F10482" t="str">
        <f t="shared" si="290"/>
        <v>MS</v>
      </c>
    </row>
    <row r="10483" spans="1:6" x14ac:dyDescent="0.25">
      <c r="A10483" t="str">
        <f>"004583805"</f>
        <v>004583805</v>
      </c>
      <c r="B10483" t="str">
        <f>"1689831125"</f>
        <v>1689831125</v>
      </c>
      <c r="C10483" t="str">
        <f>"1223S0112X"</f>
        <v>1223S0112X</v>
      </c>
      <c r="D10483" t="str">
        <f>"VAN METER                CHARLES      J           "</f>
        <v xml:space="preserve">VAN METER                CHARLES      J           </v>
      </c>
      <c r="E10483" t="str">
        <f>"BRANDON                   "</f>
        <v xml:space="preserve">BRANDON                   </v>
      </c>
      <c r="F10483" t="str">
        <f t="shared" si="290"/>
        <v>MS</v>
      </c>
    </row>
    <row r="10484" spans="1:6" x14ac:dyDescent="0.25">
      <c r="A10484" t="str">
        <f>"004584751"</f>
        <v>004584751</v>
      </c>
      <c r="B10484" t="str">
        <f>"1972875995"</f>
        <v>1972875995</v>
      </c>
      <c r="C10484" t="str">
        <f>"363L00000X"</f>
        <v>363L00000X</v>
      </c>
      <c r="D10484" t="str">
        <f>"MOFFETT                  KATELYN                  "</f>
        <v xml:space="preserve">MOFFETT                  KATELYN                  </v>
      </c>
      <c r="E10484" t="str">
        <f>"MERIDIAN                  "</f>
        <v xml:space="preserve">MERIDIAN                  </v>
      </c>
      <c r="F10484" t="str">
        <f t="shared" si="290"/>
        <v>MS</v>
      </c>
    </row>
    <row r="10485" spans="1:6" x14ac:dyDescent="0.25">
      <c r="A10485" t="str">
        <f>"004584791"</f>
        <v>004584791</v>
      </c>
      <c r="B10485" t="str">
        <f>"1730507096"</f>
        <v>1730507096</v>
      </c>
      <c r="C10485" t="str">
        <f>"207R00000X"</f>
        <v>207R00000X</v>
      </c>
      <c r="D10485" t="str">
        <f>"CULLINANE, JR            WILLIAM      R           "</f>
        <v xml:space="preserve">CULLINANE, JR            WILLIAM      R           </v>
      </c>
      <c r="E10485" t="str">
        <f>"GULFPORT                  "</f>
        <v xml:space="preserve">GULFPORT                  </v>
      </c>
      <c r="F10485" t="str">
        <f t="shared" si="290"/>
        <v>MS</v>
      </c>
    </row>
    <row r="10486" spans="1:6" x14ac:dyDescent="0.25">
      <c r="A10486" t="str">
        <f>"004585581"</f>
        <v>004585581</v>
      </c>
      <c r="B10486" t="str">
        <f>"1790270874"</f>
        <v>1790270874</v>
      </c>
      <c r="C10486" t="str">
        <f>"363L00000X"</f>
        <v>363L00000X</v>
      </c>
      <c r="D10486" t="str">
        <f>"SMITH                    LACY         B           "</f>
        <v xml:space="preserve">SMITH                    LACY         B           </v>
      </c>
      <c r="E10486" t="str">
        <f>"JACKSON                   "</f>
        <v xml:space="preserve">JACKSON                   </v>
      </c>
      <c r="F10486" t="str">
        <f t="shared" si="290"/>
        <v>MS</v>
      </c>
    </row>
    <row r="10487" spans="1:6" x14ac:dyDescent="0.25">
      <c r="A10487" t="str">
        <f>"004586221"</f>
        <v>004586221</v>
      </c>
      <c r="B10487" t="str">
        <f>"1295974988"</f>
        <v>1295974988</v>
      </c>
      <c r="C10487" t="str">
        <f>"207P00000X"</f>
        <v>207P00000X</v>
      </c>
      <c r="D10487" t="str">
        <f>"NICHOLS                  ANTONE       M           "</f>
        <v xml:space="preserve">NICHOLS                  ANTONE       M           </v>
      </c>
      <c r="E10487" t="str">
        <f>"OXFORD                    "</f>
        <v xml:space="preserve">OXFORD                    </v>
      </c>
      <c r="F10487" t="str">
        <f t="shared" si="290"/>
        <v>MS</v>
      </c>
    </row>
    <row r="10488" spans="1:6" x14ac:dyDescent="0.25">
      <c r="A10488" t="str">
        <f>"004586327"</f>
        <v>004586327</v>
      </c>
      <c r="B10488" t="str">
        <f>"1225281868"</f>
        <v>1225281868</v>
      </c>
      <c r="C10488" t="str">
        <f>"363L00000X"</f>
        <v>363L00000X</v>
      </c>
      <c r="D10488" t="str">
        <f>"FORD                     VICTORIA     A           "</f>
        <v xml:space="preserve">FORD                     VICTORIA     A           </v>
      </c>
      <c r="E10488" t="str">
        <f>"HATTIESBURG               "</f>
        <v xml:space="preserve">HATTIESBURG               </v>
      </c>
      <c r="F10488" t="str">
        <f t="shared" si="290"/>
        <v>MS</v>
      </c>
    </row>
    <row r="10489" spans="1:6" x14ac:dyDescent="0.25">
      <c r="A10489" t="str">
        <f>"004586367"</f>
        <v>004586367</v>
      </c>
      <c r="B10489" t="str">
        <f>"1376950204"</f>
        <v>1376950204</v>
      </c>
      <c r="C10489" t="str">
        <f>"363L00000X"</f>
        <v>363L00000X</v>
      </c>
      <c r="D10489" t="str">
        <f>"GOLDSMITH                BRANDON      M           "</f>
        <v xml:space="preserve">GOLDSMITH                BRANDON      M           </v>
      </c>
      <c r="E10489" t="str">
        <f>"LEXINGTON                 "</f>
        <v xml:space="preserve">LEXINGTON                 </v>
      </c>
      <c r="F10489" t="str">
        <f t="shared" si="290"/>
        <v>MS</v>
      </c>
    </row>
    <row r="10490" spans="1:6" x14ac:dyDescent="0.25">
      <c r="A10490" t="str">
        <f>"004586756"</f>
        <v>004586756</v>
      </c>
      <c r="B10490" t="str">
        <f>"1356489272"</f>
        <v>1356489272</v>
      </c>
      <c r="C10490" t="str">
        <f>"363L00000X"</f>
        <v>363L00000X</v>
      </c>
      <c r="D10490" t="str">
        <f>"PORTER                   MARY         E           "</f>
        <v xml:space="preserve">PORTER                   MARY         E           </v>
      </c>
      <c r="E10490" t="str">
        <f>"MADISON                   "</f>
        <v xml:space="preserve">MADISON                   </v>
      </c>
      <c r="F10490" t="str">
        <f t="shared" si="290"/>
        <v>MS</v>
      </c>
    </row>
    <row r="10491" spans="1:6" x14ac:dyDescent="0.25">
      <c r="A10491" t="str">
        <f>"004587001"</f>
        <v>004587001</v>
      </c>
      <c r="B10491" t="str">
        <f>"1538134994"</f>
        <v>1538134994</v>
      </c>
      <c r="C10491" t="str">
        <f>"207P00000X"</f>
        <v>207P00000X</v>
      </c>
      <c r="D10491" t="str">
        <f>"TIDWELL                  CHRISTOPHER  W           "</f>
        <v xml:space="preserve">TIDWELL                  CHRISTOPHER  W           </v>
      </c>
      <c r="E10491" t="str">
        <f>"CARTHAGE                  "</f>
        <v xml:space="preserve">CARTHAGE                  </v>
      </c>
      <c r="F10491" t="str">
        <f t="shared" si="290"/>
        <v>MS</v>
      </c>
    </row>
    <row r="10492" spans="1:6" x14ac:dyDescent="0.25">
      <c r="A10492" t="str">
        <f>"004587363"</f>
        <v>004587363</v>
      </c>
      <c r="B10492" t="str">
        <f>"1386389583"</f>
        <v>1386389583</v>
      </c>
      <c r="C10492" t="str">
        <f>"207R00000X"</f>
        <v>207R00000X</v>
      </c>
      <c r="D10492" t="str">
        <f>"AULTMAN                  JOSHUA       H           "</f>
        <v xml:space="preserve">AULTMAN                  JOSHUA       H           </v>
      </c>
      <c r="E10492" t="str">
        <f>"JACKSON                   "</f>
        <v xml:space="preserve">JACKSON                   </v>
      </c>
      <c r="F10492" t="str">
        <f t="shared" si="290"/>
        <v>MS</v>
      </c>
    </row>
    <row r="10493" spans="1:6" x14ac:dyDescent="0.25">
      <c r="A10493" t="str">
        <f>"004588714"</f>
        <v>004588714</v>
      </c>
      <c r="B10493" t="str">
        <f>"1427406362"</f>
        <v>1427406362</v>
      </c>
      <c r="C10493" t="str">
        <f>"207P00000X"</f>
        <v>207P00000X</v>
      </c>
      <c r="D10493" t="str">
        <f>"WHITTINGTON              ANDREW                   "</f>
        <v xml:space="preserve">WHITTINGTON              ANDREW                   </v>
      </c>
      <c r="E10493" t="str">
        <f>"OXFORD                    "</f>
        <v xml:space="preserve">OXFORD                    </v>
      </c>
      <c r="F10493" t="str">
        <f t="shared" si="290"/>
        <v>MS</v>
      </c>
    </row>
    <row r="10494" spans="1:6" x14ac:dyDescent="0.25">
      <c r="A10494" t="str">
        <f>"004589261"</f>
        <v>004589261</v>
      </c>
      <c r="B10494" t="str">
        <f>"1346542420"</f>
        <v>1346542420</v>
      </c>
      <c r="C10494" t="str">
        <f>"367500000X"</f>
        <v>367500000X</v>
      </c>
      <c r="D10494" t="str">
        <f>"PARKER                   ELISABETH    C           "</f>
        <v xml:space="preserve">PARKER                   ELISABETH    C           </v>
      </c>
      <c r="E10494" t="str">
        <f>"JACKSON                   "</f>
        <v xml:space="preserve">JACKSON                   </v>
      </c>
      <c r="F10494" t="str">
        <f t="shared" ref="F10494:F10557" si="291">"MS"</f>
        <v>MS</v>
      </c>
    </row>
    <row r="10495" spans="1:6" x14ac:dyDescent="0.25">
      <c r="A10495" t="str">
        <f>"004600075"</f>
        <v>004600075</v>
      </c>
      <c r="B10495" t="str">
        <f>"1992935266"</f>
        <v>1992935266</v>
      </c>
      <c r="C10495" t="str">
        <f>"207Q00000X"</f>
        <v>207Q00000X</v>
      </c>
      <c r="D10495" t="str">
        <f>"JENNINGS                 WILLIAM      T           "</f>
        <v xml:space="preserve">JENNINGS                 WILLIAM      T           </v>
      </c>
      <c r="E10495" t="str">
        <f>"TUPELO                    "</f>
        <v xml:space="preserve">TUPELO                    </v>
      </c>
      <c r="F10495" t="str">
        <f t="shared" si="291"/>
        <v>MS</v>
      </c>
    </row>
    <row r="10496" spans="1:6" x14ac:dyDescent="0.25">
      <c r="A10496" t="str">
        <f>"004600368"</f>
        <v>004600368</v>
      </c>
      <c r="B10496" t="str">
        <f>"1336247816"</f>
        <v>1336247816</v>
      </c>
      <c r="C10496" t="str">
        <f>"152W00000X"</f>
        <v>152W00000X</v>
      </c>
      <c r="D10496" t="str">
        <f>"RANDLE                   ERIC         D           "</f>
        <v xml:space="preserve">RANDLE                   ERIC         D           </v>
      </c>
      <c r="E10496" t="str">
        <f>"OXFORD                    "</f>
        <v xml:space="preserve">OXFORD                    </v>
      </c>
      <c r="F10496" t="str">
        <f t="shared" si="291"/>
        <v>MS</v>
      </c>
    </row>
    <row r="10497" spans="1:6" x14ac:dyDescent="0.25">
      <c r="A10497" t="str">
        <f>"004602055"</f>
        <v>004602055</v>
      </c>
      <c r="B10497" t="str">
        <f>"1699262089"</f>
        <v>1699262089</v>
      </c>
      <c r="C10497" t="str">
        <f>"261QR1300X"</f>
        <v>261QR1300X</v>
      </c>
      <c r="D10497" t="str">
        <f>"BOA VIDA HOSPITAL OF ABERDEEN MS LLC              "</f>
        <v xml:space="preserve">BOA VIDA HOSPITAL OF ABERDEEN MS LLC              </v>
      </c>
      <c r="E10497" t="str">
        <f>"AMORY                     "</f>
        <v xml:space="preserve">AMORY                     </v>
      </c>
      <c r="F10497" t="str">
        <f t="shared" si="291"/>
        <v>MS</v>
      </c>
    </row>
    <row r="10498" spans="1:6" x14ac:dyDescent="0.25">
      <c r="A10498" t="str">
        <f>"004602204"</f>
        <v>004602204</v>
      </c>
      <c r="B10498" t="str">
        <f>"1487900098"</f>
        <v>1487900098</v>
      </c>
      <c r="C10498" t="str">
        <f>"363L00000X"</f>
        <v>363L00000X</v>
      </c>
      <c r="D10498" t="str">
        <f>"TENHET                   ALISHA       B           "</f>
        <v xml:space="preserve">TENHET                   ALISHA       B           </v>
      </c>
      <c r="E10498" t="str">
        <f>"KILMICHAEL                "</f>
        <v xml:space="preserve">KILMICHAEL                </v>
      </c>
      <c r="F10498" t="str">
        <f t="shared" si="291"/>
        <v>MS</v>
      </c>
    </row>
    <row r="10499" spans="1:6" x14ac:dyDescent="0.25">
      <c r="A10499" t="str">
        <f>"004602524"</f>
        <v>004602524</v>
      </c>
      <c r="B10499" t="str">
        <f>"1619431210"</f>
        <v>1619431210</v>
      </c>
      <c r="C10499" t="str">
        <f>"261QA0600X"</f>
        <v>261QA0600X</v>
      </c>
      <c r="D10499" t="str">
        <f>"DEBORAH D GIBBS                                   "</f>
        <v xml:space="preserve">DEBORAH D GIBBS                                   </v>
      </c>
      <c r="E10499" t="str">
        <f>"CLEVELAND                 "</f>
        <v xml:space="preserve">CLEVELAND                 </v>
      </c>
      <c r="F10499" t="str">
        <f t="shared" si="291"/>
        <v>MS</v>
      </c>
    </row>
    <row r="10500" spans="1:6" x14ac:dyDescent="0.25">
      <c r="A10500" t="str">
        <f>"004603550"</f>
        <v>004603550</v>
      </c>
      <c r="B10500" t="str">
        <f>"1265963623"</f>
        <v>1265963623</v>
      </c>
      <c r="C10500" t="str">
        <f>"261QF0400X"</f>
        <v>261QF0400X</v>
      </c>
      <c r="D10500" t="str">
        <f>"ACCESS FAMILY HEALTH-NETTLETON CLIN               "</f>
        <v xml:space="preserve">ACCESS FAMILY HEALTH-NETTLETON CLIN               </v>
      </c>
      <c r="E10500" t="str">
        <f>"NETTLETON                 "</f>
        <v xml:space="preserve">NETTLETON                 </v>
      </c>
      <c r="F10500" t="str">
        <f t="shared" si="291"/>
        <v>MS</v>
      </c>
    </row>
    <row r="10501" spans="1:6" x14ac:dyDescent="0.25">
      <c r="A10501" t="str">
        <f>"004603708"</f>
        <v>004603708</v>
      </c>
      <c r="B10501" t="str">
        <f>"1740201078"</f>
        <v>1740201078</v>
      </c>
      <c r="C10501" t="str">
        <f>"207Q00000X"</f>
        <v>207Q00000X</v>
      </c>
      <c r="D10501" t="str">
        <f>"GIPSON                   MICHAEL      J           "</f>
        <v xml:space="preserve">GIPSON                   MICHAEL      J           </v>
      </c>
      <c r="E10501" t="str">
        <f>"TUPELO                    "</f>
        <v xml:space="preserve">TUPELO                    </v>
      </c>
      <c r="F10501" t="str">
        <f t="shared" si="291"/>
        <v>MS</v>
      </c>
    </row>
    <row r="10502" spans="1:6" x14ac:dyDescent="0.25">
      <c r="A10502" t="str">
        <f>"004603795"</f>
        <v>004603795</v>
      </c>
      <c r="B10502" t="str">
        <f>"1720207509"</f>
        <v>1720207509</v>
      </c>
      <c r="C10502" t="str">
        <f>"207Y00000X"</f>
        <v>207Y00000X</v>
      </c>
      <c r="D10502" t="str">
        <f>"LEWIS                    ANDREA       M           "</f>
        <v xml:space="preserve">LEWIS                    ANDREA       M           </v>
      </c>
      <c r="E10502" t="str">
        <f>"JACKSON                   "</f>
        <v xml:space="preserve">JACKSON                   </v>
      </c>
      <c r="F10502" t="str">
        <f t="shared" si="291"/>
        <v>MS</v>
      </c>
    </row>
    <row r="10503" spans="1:6" x14ac:dyDescent="0.25">
      <c r="A10503" t="str">
        <f>"004604543"</f>
        <v>004604543</v>
      </c>
      <c r="B10503" t="str">
        <f>"1710549852"</f>
        <v>1710549852</v>
      </c>
      <c r="C10503" t="str">
        <f>"122300000X"</f>
        <v>122300000X</v>
      </c>
      <c r="D10503" t="str">
        <f>"MAGNOLIA SMILES FAMILY DENTISTRY                  "</f>
        <v xml:space="preserve">MAGNOLIA SMILES FAMILY DENTISTRY                  </v>
      </c>
      <c r="E10503" t="str">
        <f>"MAGEE                     "</f>
        <v xml:space="preserve">MAGEE                     </v>
      </c>
      <c r="F10503" t="str">
        <f t="shared" si="291"/>
        <v>MS</v>
      </c>
    </row>
    <row r="10504" spans="1:6" x14ac:dyDescent="0.25">
      <c r="A10504" t="str">
        <f>"004604768"</f>
        <v>004604768</v>
      </c>
      <c r="B10504" t="str">
        <f>"1790717478"</f>
        <v>1790717478</v>
      </c>
      <c r="C10504" t="str">
        <f>"207RG0100X"</f>
        <v>207RG0100X</v>
      </c>
      <c r="D10504" t="str">
        <f>"JOHNSTON                 RICHARD      L           "</f>
        <v xml:space="preserve">JOHNSTON                 RICHARD      L           </v>
      </c>
      <c r="E10504" t="str">
        <f>"COLUMBUS                  "</f>
        <v xml:space="preserve">COLUMBUS                  </v>
      </c>
      <c r="F10504" t="str">
        <f t="shared" si="291"/>
        <v>MS</v>
      </c>
    </row>
    <row r="10505" spans="1:6" x14ac:dyDescent="0.25">
      <c r="A10505" t="str">
        <f>"004606834"</f>
        <v>004606834</v>
      </c>
      <c r="B10505" t="str">
        <f>"1265801682"</f>
        <v>1265801682</v>
      </c>
      <c r="C10505" t="str">
        <f>"363L00000X"</f>
        <v>363L00000X</v>
      </c>
      <c r="D10505" t="str">
        <f>"MAHALITC                 HOLLY        N           "</f>
        <v xml:space="preserve">MAHALITC                 HOLLY        N           </v>
      </c>
      <c r="E10505" t="str">
        <f>"GREENVILLE                "</f>
        <v xml:space="preserve">GREENVILLE                </v>
      </c>
      <c r="F10505" t="str">
        <f t="shared" si="291"/>
        <v>MS</v>
      </c>
    </row>
    <row r="10506" spans="1:6" x14ac:dyDescent="0.25">
      <c r="A10506" t="str">
        <f>"004608201"</f>
        <v>004608201</v>
      </c>
      <c r="B10506" t="str">
        <f>"1780261867"</f>
        <v>1780261867</v>
      </c>
      <c r="C10506" t="str">
        <f>"363L00000X"</f>
        <v>363L00000X</v>
      </c>
      <c r="D10506" t="str">
        <f>"AUSTIN                   ERICKA                   "</f>
        <v xml:space="preserve">AUSTIN                   ERICKA                   </v>
      </c>
      <c r="E10506" t="str">
        <f>"ROBINSONVILLE             "</f>
        <v xml:space="preserve">ROBINSONVILLE             </v>
      </c>
      <c r="F10506" t="str">
        <f t="shared" si="291"/>
        <v>MS</v>
      </c>
    </row>
    <row r="10507" spans="1:6" x14ac:dyDescent="0.25">
      <c r="A10507" t="str">
        <f>"004608339"</f>
        <v>004608339</v>
      </c>
      <c r="B10507" t="str">
        <f>"1316370356"</f>
        <v>1316370356</v>
      </c>
      <c r="C10507" t="str">
        <f>"363L00000X"</f>
        <v>363L00000X</v>
      </c>
      <c r="D10507" t="str">
        <f>"FARR                     COLEMAN      R           "</f>
        <v xml:space="preserve">FARR                     COLEMAN      R           </v>
      </c>
      <c r="E10507" t="str">
        <f>"JACKSON                   "</f>
        <v xml:space="preserve">JACKSON                   </v>
      </c>
      <c r="F10507" t="str">
        <f t="shared" si="291"/>
        <v>MS</v>
      </c>
    </row>
    <row r="10508" spans="1:6" x14ac:dyDescent="0.25">
      <c r="A10508" t="str">
        <f>"004622201"</f>
        <v>004622201</v>
      </c>
      <c r="B10508" t="str">
        <f>"1467022939"</f>
        <v>1467022939</v>
      </c>
      <c r="C10508" t="str">
        <f>"363L00000X"</f>
        <v>363L00000X</v>
      </c>
      <c r="D10508" t="str">
        <f>"MIDDLETON                WEATON                   "</f>
        <v xml:space="preserve">MIDDLETON                WEATON                   </v>
      </c>
      <c r="E10508" t="str">
        <f>"LAUREL                    "</f>
        <v xml:space="preserve">LAUREL                    </v>
      </c>
      <c r="F10508" t="str">
        <f t="shared" si="291"/>
        <v>MS</v>
      </c>
    </row>
    <row r="10509" spans="1:6" x14ac:dyDescent="0.25">
      <c r="A10509" t="str">
        <f>"004624305"</f>
        <v>004624305</v>
      </c>
      <c r="B10509" t="str">
        <f>"1003468786"</f>
        <v>1003468786</v>
      </c>
      <c r="C10509" t="str">
        <f>"363L00000X"</f>
        <v>363L00000X</v>
      </c>
      <c r="D10509" t="str">
        <f>"MOSS                     DAWN                     "</f>
        <v xml:space="preserve">MOSS                     DAWN                     </v>
      </c>
      <c r="E10509" t="str">
        <f>"NATCHEZ                   "</f>
        <v xml:space="preserve">NATCHEZ                   </v>
      </c>
      <c r="F10509" t="str">
        <f t="shared" si="291"/>
        <v>MS</v>
      </c>
    </row>
    <row r="10510" spans="1:6" x14ac:dyDescent="0.25">
      <c r="A10510" t="str">
        <f>"004625328"</f>
        <v>004625328</v>
      </c>
      <c r="B10510" t="str">
        <f>"1205466984"</f>
        <v>1205466984</v>
      </c>
      <c r="C10510" t="str">
        <f>"363A00000X"</f>
        <v>363A00000X</v>
      </c>
      <c r="D10510" t="str">
        <f>"SELLERS                  RACHEL                   "</f>
        <v xml:space="preserve">SELLERS                  RACHEL                   </v>
      </c>
      <c r="E10510" t="str">
        <f>"RIDGELAND                 "</f>
        <v xml:space="preserve">RIDGELAND                 </v>
      </c>
      <c r="F10510" t="str">
        <f t="shared" si="291"/>
        <v>MS</v>
      </c>
    </row>
    <row r="10511" spans="1:6" x14ac:dyDescent="0.25">
      <c r="A10511" t="str">
        <f>"004625559"</f>
        <v>004625559</v>
      </c>
      <c r="B10511" t="str">
        <f>"1205305455"</f>
        <v>1205305455</v>
      </c>
      <c r="C10511" t="str">
        <f>"363L00000X"</f>
        <v>363L00000X</v>
      </c>
      <c r="D10511" t="str">
        <f>"PEOPLES                  JENNIFER     D           "</f>
        <v xml:space="preserve">PEOPLES                  JENNIFER     D           </v>
      </c>
      <c r="E10511" t="str">
        <f>"HATTIESBURG               "</f>
        <v xml:space="preserve">HATTIESBURG               </v>
      </c>
      <c r="F10511" t="str">
        <f t="shared" si="291"/>
        <v>MS</v>
      </c>
    </row>
    <row r="10512" spans="1:6" x14ac:dyDescent="0.25">
      <c r="A10512" t="str">
        <f>"004626308"</f>
        <v>004626308</v>
      </c>
      <c r="B10512" t="str">
        <f>"1649779760"</f>
        <v>1649779760</v>
      </c>
      <c r="C10512" t="str">
        <f>"363L00000X"</f>
        <v>363L00000X</v>
      </c>
      <c r="D10512" t="str">
        <f>"LOCKE                    KRISTEN                  "</f>
        <v xml:space="preserve">LOCKE                    KRISTEN                  </v>
      </c>
      <c r="E10512" t="str">
        <f>"HERNANDO                  "</f>
        <v xml:space="preserve">HERNANDO                  </v>
      </c>
      <c r="F10512" t="str">
        <f t="shared" si="291"/>
        <v>MS</v>
      </c>
    </row>
    <row r="10513" spans="1:6" x14ac:dyDescent="0.25">
      <c r="A10513" t="str">
        <f>"004626507"</f>
        <v>004626507</v>
      </c>
      <c r="B10513" t="str">
        <f>"1780881128"</f>
        <v>1780881128</v>
      </c>
      <c r="C10513" t="str">
        <f>"207R00000X"</f>
        <v>207R00000X</v>
      </c>
      <c r="D10513" t="str">
        <f>"ALEXANDER                LAURA        E           "</f>
        <v xml:space="preserve">ALEXANDER                LAURA        E           </v>
      </c>
      <c r="E10513" t="str">
        <f>"MERIDIAN                  "</f>
        <v xml:space="preserve">MERIDIAN                  </v>
      </c>
      <c r="F10513" t="str">
        <f t="shared" si="291"/>
        <v>MS</v>
      </c>
    </row>
    <row r="10514" spans="1:6" x14ac:dyDescent="0.25">
      <c r="A10514" t="str">
        <f>"004626886"</f>
        <v>004626886</v>
      </c>
      <c r="B10514" t="str">
        <f>"1770760357"</f>
        <v>1770760357</v>
      </c>
      <c r="C10514" t="str">
        <f>"2084P0800X"</f>
        <v>2084P0800X</v>
      </c>
      <c r="D10514" t="str">
        <f>"GOREE                    SANTRISE     B           "</f>
        <v xml:space="preserve">GOREE                    SANTRISE     B           </v>
      </c>
      <c r="E10514" t="str">
        <f>"TUPELO                    "</f>
        <v xml:space="preserve">TUPELO                    </v>
      </c>
      <c r="F10514" t="str">
        <f t="shared" si="291"/>
        <v>MS</v>
      </c>
    </row>
    <row r="10515" spans="1:6" x14ac:dyDescent="0.25">
      <c r="A10515" t="str">
        <f>"004627304"</f>
        <v>004627304</v>
      </c>
      <c r="B10515" t="str">
        <f>"1841364528"</f>
        <v>1841364528</v>
      </c>
      <c r="C10515" t="str">
        <f>"363LF0000X"</f>
        <v>363LF0000X</v>
      </c>
      <c r="D10515" t="str">
        <f>"JOHNSON                  CARYN        A           "</f>
        <v xml:space="preserve">JOHNSON                  CARYN        A           </v>
      </c>
      <c r="E10515" t="str">
        <f>"JACKSON                   "</f>
        <v xml:space="preserve">JACKSON                   </v>
      </c>
      <c r="F10515" t="str">
        <f t="shared" si="291"/>
        <v>MS</v>
      </c>
    </row>
    <row r="10516" spans="1:6" x14ac:dyDescent="0.25">
      <c r="A10516" t="str">
        <f>"004627837"</f>
        <v>004627837</v>
      </c>
      <c r="B10516" t="str">
        <f>"1528416641"</f>
        <v>1528416641</v>
      </c>
      <c r="C10516" t="str">
        <f>"261QA1903X"</f>
        <v>261QA1903X</v>
      </c>
      <c r="D10516" t="str">
        <f>"SOUTHERN EYE CENTER                               "</f>
        <v xml:space="preserve">SOUTHERN EYE CENTER                               </v>
      </c>
      <c r="E10516" t="str">
        <f>"LAUREL                    "</f>
        <v xml:space="preserve">LAUREL                    </v>
      </c>
      <c r="F10516" t="str">
        <f t="shared" si="291"/>
        <v>MS</v>
      </c>
    </row>
    <row r="10517" spans="1:6" x14ac:dyDescent="0.25">
      <c r="A10517" t="str">
        <f>"004628251"</f>
        <v>004628251</v>
      </c>
      <c r="B10517" t="str">
        <f>"1902102668"</f>
        <v>1902102668</v>
      </c>
      <c r="C10517" t="str">
        <f>"207L00000X"</f>
        <v>207L00000X</v>
      </c>
      <c r="D10517" t="str">
        <f>"KURNUTALA                LAKSHMI      N           "</f>
        <v xml:space="preserve">KURNUTALA                LAKSHMI      N           </v>
      </c>
      <c r="E10517" t="str">
        <f>"JACKSON                   "</f>
        <v xml:space="preserve">JACKSON                   </v>
      </c>
      <c r="F10517" t="str">
        <f t="shared" si="291"/>
        <v>MS</v>
      </c>
    </row>
    <row r="10518" spans="1:6" x14ac:dyDescent="0.25">
      <c r="A10518" t="str">
        <f>"004628272"</f>
        <v>004628272</v>
      </c>
      <c r="B10518" t="str">
        <f>"1477563104"</f>
        <v>1477563104</v>
      </c>
      <c r="C10518" t="str">
        <f>"207RE0101X"</f>
        <v>207RE0101X</v>
      </c>
      <c r="D10518" t="str">
        <f>"SCHIEFER                 AMANDA       J           "</f>
        <v xml:space="preserve">SCHIEFER                 AMANDA       J           </v>
      </c>
      <c r="E10518" t="str">
        <f>"JACKSON                   "</f>
        <v xml:space="preserve">JACKSON                   </v>
      </c>
      <c r="F10518" t="str">
        <f t="shared" si="291"/>
        <v>MS</v>
      </c>
    </row>
    <row r="10519" spans="1:6" x14ac:dyDescent="0.25">
      <c r="A10519" t="str">
        <f>"004628593"</f>
        <v>004628593</v>
      </c>
      <c r="B10519" t="str">
        <f>"1548786932"</f>
        <v>1548786932</v>
      </c>
      <c r="C10519" t="str">
        <f>"363L00000X"</f>
        <v>363L00000X</v>
      </c>
      <c r="D10519" t="str">
        <f>"MCDANIEL                 DONALD       W           "</f>
        <v xml:space="preserve">MCDANIEL                 DONALD       W           </v>
      </c>
      <c r="E10519" t="str">
        <f>"PORT GIBSON               "</f>
        <v xml:space="preserve">PORT GIBSON               </v>
      </c>
      <c r="F10519" t="str">
        <f t="shared" si="291"/>
        <v>MS</v>
      </c>
    </row>
    <row r="10520" spans="1:6" x14ac:dyDescent="0.25">
      <c r="A10520" t="str">
        <f>"004628700"</f>
        <v>004628700</v>
      </c>
      <c r="B10520" t="str">
        <f>"1932855244"</f>
        <v>1932855244</v>
      </c>
      <c r="C10520" t="str">
        <f>"363L00000X"</f>
        <v>363L00000X</v>
      </c>
      <c r="D10520" t="str">
        <f>"HOLLOWAY                 HEATHER      L           "</f>
        <v xml:space="preserve">HOLLOWAY                 HEATHER      L           </v>
      </c>
      <c r="E10520" t="str">
        <f>"PONTOTOC                  "</f>
        <v xml:space="preserve">PONTOTOC                  </v>
      </c>
      <c r="F10520" t="str">
        <f t="shared" si="291"/>
        <v>MS</v>
      </c>
    </row>
    <row r="10521" spans="1:6" x14ac:dyDescent="0.25">
      <c r="A10521" t="str">
        <f>"004628844"</f>
        <v>004628844</v>
      </c>
      <c r="B10521" t="str">
        <f>"1285098301"</f>
        <v>1285098301</v>
      </c>
      <c r="C10521" t="str">
        <f>"208M00000X"</f>
        <v>208M00000X</v>
      </c>
      <c r="D10521" t="str">
        <f>"MORRIS                   JOHN         D           "</f>
        <v xml:space="preserve">MORRIS                   JOHN         D           </v>
      </c>
      <c r="E10521" t="str">
        <f>"MERIDIAN                  "</f>
        <v xml:space="preserve">MERIDIAN                  </v>
      </c>
      <c r="F10521" t="str">
        <f t="shared" si="291"/>
        <v>MS</v>
      </c>
    </row>
    <row r="10522" spans="1:6" x14ac:dyDescent="0.25">
      <c r="A10522" t="str">
        <f>"004629211"</f>
        <v>004629211</v>
      </c>
      <c r="B10522" t="str">
        <f>"1073526760"</f>
        <v>1073526760</v>
      </c>
      <c r="C10522" t="str">
        <f>"122300000X"</f>
        <v>122300000X</v>
      </c>
      <c r="D10522" t="str">
        <f>"SMITH                    RICHARD      L           "</f>
        <v xml:space="preserve">SMITH                    RICHARD      L           </v>
      </c>
      <c r="E10522" t="str">
        <f>"MADISON                   "</f>
        <v xml:space="preserve">MADISON                   </v>
      </c>
      <c r="F10522" t="str">
        <f t="shared" si="291"/>
        <v>MS</v>
      </c>
    </row>
    <row r="10523" spans="1:6" x14ac:dyDescent="0.25">
      <c r="A10523" t="str">
        <f>"004629754"</f>
        <v>004629754</v>
      </c>
      <c r="B10523" t="str">
        <f>"1912382060"</f>
        <v>1912382060</v>
      </c>
      <c r="C10523" t="str">
        <f>"261QR1300X"</f>
        <v>261QR1300X</v>
      </c>
      <c r="D10523" t="str">
        <f>"KILMICHAEL FAMILY MEDICAL CLINIC                  "</f>
        <v xml:space="preserve">KILMICHAEL FAMILY MEDICAL CLINIC                  </v>
      </c>
      <c r="E10523" t="str">
        <f>"KILMICHAEL                "</f>
        <v xml:space="preserve">KILMICHAEL                </v>
      </c>
      <c r="F10523" t="str">
        <f t="shared" si="291"/>
        <v>MS</v>
      </c>
    </row>
    <row r="10524" spans="1:6" x14ac:dyDescent="0.25">
      <c r="A10524" t="str">
        <f>"004629782"</f>
        <v>004629782</v>
      </c>
      <c r="B10524" t="str">
        <f>"1063925519"</f>
        <v>1063925519</v>
      </c>
      <c r="C10524" t="str">
        <f>"363L00000X"</f>
        <v>363L00000X</v>
      </c>
      <c r="D10524" t="str">
        <f>"GUESS                    MARANDA      J           "</f>
        <v xml:space="preserve">GUESS                    MARANDA      J           </v>
      </c>
      <c r="E10524" t="str">
        <f>"MCCOMB                    "</f>
        <v xml:space="preserve">MCCOMB                    </v>
      </c>
      <c r="F10524" t="str">
        <f t="shared" si="291"/>
        <v>MS</v>
      </c>
    </row>
    <row r="10525" spans="1:6" x14ac:dyDescent="0.25">
      <c r="A10525" t="str">
        <f>"004630811"</f>
        <v>004630811</v>
      </c>
      <c r="B10525" t="str">
        <f>"1841566288"</f>
        <v>1841566288</v>
      </c>
      <c r="C10525" t="str">
        <f>"207RC0000X"</f>
        <v>207RC0000X</v>
      </c>
      <c r="D10525" t="str">
        <f>"MCCLENDON                ERIC         E           "</f>
        <v xml:space="preserve">MCCLENDON                ERIC         E           </v>
      </c>
      <c r="E10525" t="str">
        <f>"COLUMBUS                  "</f>
        <v xml:space="preserve">COLUMBUS                  </v>
      </c>
      <c r="F10525" t="str">
        <f t="shared" si="291"/>
        <v>MS</v>
      </c>
    </row>
    <row r="10526" spans="1:6" x14ac:dyDescent="0.25">
      <c r="A10526" t="str">
        <f>"004633753"</f>
        <v>004633753</v>
      </c>
      <c r="B10526" t="str">
        <f>"1942680582"</f>
        <v>1942680582</v>
      </c>
      <c r="C10526" t="str">
        <f>"122300000X"</f>
        <v>122300000X</v>
      </c>
      <c r="D10526" t="str">
        <f>"SUMRALL                  KRISTEN                  "</f>
        <v xml:space="preserve">SUMRALL                  KRISTEN                  </v>
      </c>
      <c r="E10526" t="str">
        <f>"QUITMAN                   "</f>
        <v xml:space="preserve">QUITMAN                   </v>
      </c>
      <c r="F10526" t="str">
        <f t="shared" si="291"/>
        <v>MS</v>
      </c>
    </row>
    <row r="10527" spans="1:6" x14ac:dyDescent="0.25">
      <c r="A10527" t="str">
        <f>"004634252"</f>
        <v>004634252</v>
      </c>
      <c r="B10527" t="str">
        <f>"1215543756"</f>
        <v>1215543756</v>
      </c>
      <c r="C10527" t="str">
        <f>"363L00000X"</f>
        <v>363L00000X</v>
      </c>
      <c r="D10527" t="str">
        <f>"TILLMAN                  JUSTIN                   "</f>
        <v xml:space="preserve">TILLMAN                  JUSTIN                   </v>
      </c>
      <c r="E10527" t="str">
        <f>"GULFPORT                  "</f>
        <v xml:space="preserve">GULFPORT                  </v>
      </c>
      <c r="F10527" t="str">
        <f t="shared" si="291"/>
        <v>MS</v>
      </c>
    </row>
    <row r="10528" spans="1:6" x14ac:dyDescent="0.25">
      <c r="A10528" t="str">
        <f>"004634811"</f>
        <v>004634811</v>
      </c>
      <c r="B10528" t="str">
        <f>"1881909125"</f>
        <v>1881909125</v>
      </c>
      <c r="C10528" t="str">
        <f>"363L00000X"</f>
        <v>363L00000X</v>
      </c>
      <c r="D10528" t="str">
        <f>"THRASH                   BRENDA       K           "</f>
        <v xml:space="preserve">THRASH                   BRENDA       K           </v>
      </c>
      <c r="E10528" t="str">
        <f>"VICKSBURG                 "</f>
        <v xml:space="preserve">VICKSBURG                 </v>
      </c>
      <c r="F10528" t="str">
        <f t="shared" si="291"/>
        <v>MS</v>
      </c>
    </row>
    <row r="10529" spans="1:6" x14ac:dyDescent="0.25">
      <c r="A10529" t="str">
        <f>"004635220"</f>
        <v>004635220</v>
      </c>
      <c r="B10529" t="str">
        <f>"1871989343"</f>
        <v>1871989343</v>
      </c>
      <c r="C10529" t="str">
        <f>"208000000X"</f>
        <v>208000000X</v>
      </c>
      <c r="D10529" t="str">
        <f>"BROWN                    CLAUDINE     L           "</f>
        <v xml:space="preserve">BROWN                    CLAUDINE     L           </v>
      </c>
      <c r="E10529" t="str">
        <f>"JACKSON                   "</f>
        <v xml:space="preserve">JACKSON                   </v>
      </c>
      <c r="F10529" t="str">
        <f t="shared" si="291"/>
        <v>MS</v>
      </c>
    </row>
    <row r="10530" spans="1:6" x14ac:dyDescent="0.25">
      <c r="A10530" t="str">
        <f>"004635505"</f>
        <v>004635505</v>
      </c>
      <c r="B10530" t="str">
        <f>"1932309648"</f>
        <v>1932309648</v>
      </c>
      <c r="C10530" t="str">
        <f>"1223X0400X"</f>
        <v>1223X0400X</v>
      </c>
      <c r="D10530" t="str">
        <f>"DOUGLAS                  KEVIN        S           "</f>
        <v xml:space="preserve">DOUGLAS                  KEVIN        S           </v>
      </c>
      <c r="E10530" t="str">
        <f>"MERIDIAN                  "</f>
        <v xml:space="preserve">MERIDIAN                  </v>
      </c>
      <c r="F10530" t="str">
        <f t="shared" si="291"/>
        <v>MS</v>
      </c>
    </row>
    <row r="10531" spans="1:6" x14ac:dyDescent="0.25">
      <c r="A10531" t="str">
        <f>"004635763"</f>
        <v>004635763</v>
      </c>
      <c r="B10531" t="str">
        <f>"1689679441"</f>
        <v>1689679441</v>
      </c>
      <c r="C10531" t="str">
        <f>"207W00000X"</f>
        <v>207W00000X</v>
      </c>
      <c r="D10531" t="str">
        <f>"KHAMAPIRAD               TAWAN        S           "</f>
        <v xml:space="preserve">KHAMAPIRAD               TAWAN        S           </v>
      </c>
      <c r="E10531" t="str">
        <f>"CORINTH                   "</f>
        <v xml:space="preserve">CORINTH                   </v>
      </c>
      <c r="F10531" t="str">
        <f t="shared" si="291"/>
        <v>MS</v>
      </c>
    </row>
    <row r="10532" spans="1:6" x14ac:dyDescent="0.25">
      <c r="A10532" t="str">
        <f>"004638265"</f>
        <v>004638265</v>
      </c>
      <c r="B10532" t="str">
        <f>"1033340690"</f>
        <v>1033340690</v>
      </c>
      <c r="C10532" t="str">
        <f>"363L00000X"</f>
        <v>363L00000X</v>
      </c>
      <c r="D10532" t="str">
        <f>"ROGERS                   JAMES        J           "</f>
        <v xml:space="preserve">ROGERS                   JAMES        J           </v>
      </c>
      <c r="E10532" t="str">
        <f>"WAYNESBORO                "</f>
        <v xml:space="preserve">WAYNESBORO                </v>
      </c>
      <c r="F10532" t="str">
        <f t="shared" si="291"/>
        <v>MS</v>
      </c>
    </row>
    <row r="10533" spans="1:6" x14ac:dyDescent="0.25">
      <c r="A10533" t="str">
        <f>"004639538"</f>
        <v>004639538</v>
      </c>
      <c r="B10533" t="str">
        <f>"1114399375"</f>
        <v>1114399375</v>
      </c>
      <c r="C10533" t="str">
        <f>"363L00000X"</f>
        <v>363L00000X</v>
      </c>
      <c r="D10533" t="str">
        <f>"ROBINSON                 BRANDI                   "</f>
        <v xml:space="preserve">ROBINSON                 BRANDI                   </v>
      </c>
      <c r="E10533" t="str">
        <f>"QUITMAN                   "</f>
        <v xml:space="preserve">QUITMAN                   </v>
      </c>
      <c r="F10533" t="str">
        <f t="shared" si="291"/>
        <v>MS</v>
      </c>
    </row>
    <row r="10534" spans="1:6" x14ac:dyDescent="0.25">
      <c r="A10534" t="str">
        <f>"004650312"</f>
        <v>004650312</v>
      </c>
      <c r="B10534" t="str">
        <f>"1376596932"</f>
        <v>1376596932</v>
      </c>
      <c r="C10534" t="str">
        <f>"207R00000X"</f>
        <v>207R00000X</v>
      </c>
      <c r="D10534" t="str">
        <f>"ZEIN AHMED               MOHAMMED     E           "</f>
        <v xml:space="preserve">ZEIN AHMED               MOHAMMED     E           </v>
      </c>
      <c r="E10534" t="str">
        <f>"VICKSBURG                 "</f>
        <v xml:space="preserve">VICKSBURG                 </v>
      </c>
      <c r="F10534" t="str">
        <f t="shared" si="291"/>
        <v>MS</v>
      </c>
    </row>
    <row r="10535" spans="1:6" x14ac:dyDescent="0.25">
      <c r="A10535" t="str">
        <f>"004650361"</f>
        <v>004650361</v>
      </c>
      <c r="B10535" t="str">
        <f>"1528249554"</f>
        <v>1528249554</v>
      </c>
      <c r="C10535" t="str">
        <f>"208600000X"</f>
        <v>208600000X</v>
      </c>
      <c r="D10535" t="str">
        <f>"SIMPLER                  JEREMY       J           "</f>
        <v xml:space="preserve">SIMPLER                  JEREMY       J           </v>
      </c>
      <c r="E10535" t="str">
        <f>"PASCAGOULA                "</f>
        <v xml:space="preserve">PASCAGOULA                </v>
      </c>
      <c r="F10535" t="str">
        <f t="shared" si="291"/>
        <v>MS</v>
      </c>
    </row>
    <row r="10536" spans="1:6" x14ac:dyDescent="0.25">
      <c r="A10536" t="str">
        <f>"004651581"</f>
        <v>004651581</v>
      </c>
      <c r="B10536" t="str">
        <f>"1750906707"</f>
        <v>1750906707</v>
      </c>
      <c r="C10536" t="str">
        <f>"122300000X"</f>
        <v>122300000X</v>
      </c>
      <c r="D10536" t="str">
        <f>"LEAF RIVER DENTAL LLC                             "</f>
        <v xml:space="preserve">LEAF RIVER DENTAL LLC                             </v>
      </c>
      <c r="E10536" t="str">
        <f>"PETAL                     "</f>
        <v xml:space="preserve">PETAL                     </v>
      </c>
      <c r="F10536" t="str">
        <f t="shared" si="291"/>
        <v>MS</v>
      </c>
    </row>
    <row r="10537" spans="1:6" x14ac:dyDescent="0.25">
      <c r="A10537" t="str">
        <f>"004651803"</f>
        <v>004651803</v>
      </c>
      <c r="B10537" t="str">
        <f>"1043977507"</f>
        <v>1043977507</v>
      </c>
      <c r="C10537" t="str">
        <f>"363L00000X"</f>
        <v>363L00000X</v>
      </c>
      <c r="D10537" t="str">
        <f>"CROSBY                   FAITH        A           "</f>
        <v xml:space="preserve">CROSBY                   FAITH        A           </v>
      </c>
      <c r="E10537" t="str">
        <f>"GULFPORT                  "</f>
        <v xml:space="preserve">GULFPORT                  </v>
      </c>
      <c r="F10537" t="str">
        <f t="shared" si="291"/>
        <v>MS</v>
      </c>
    </row>
    <row r="10538" spans="1:6" x14ac:dyDescent="0.25">
      <c r="A10538" t="str">
        <f>"004652302"</f>
        <v>004652302</v>
      </c>
      <c r="B10538" t="str">
        <f>"1164920484"</f>
        <v>1164920484</v>
      </c>
      <c r="C10538" t="str">
        <f>"152W00000X"</f>
        <v>152W00000X</v>
      </c>
      <c r="D10538" t="str">
        <f>"WELLS VISION                                      "</f>
        <v xml:space="preserve">WELLS VISION                                      </v>
      </c>
      <c r="E10538" t="str">
        <f>"HAZLEHURST                "</f>
        <v xml:space="preserve">HAZLEHURST                </v>
      </c>
      <c r="F10538" t="str">
        <f t="shared" si="291"/>
        <v>MS</v>
      </c>
    </row>
    <row r="10539" spans="1:6" x14ac:dyDescent="0.25">
      <c r="A10539" t="str">
        <f>"004653373"</f>
        <v>004653373</v>
      </c>
      <c r="B10539" t="str">
        <f>"1285307363"</f>
        <v>1285307363</v>
      </c>
      <c r="C10539" t="str">
        <f>"363L00000X"</f>
        <v>363L00000X</v>
      </c>
      <c r="D10539" t="str">
        <f>"GOSS                     NATHAN                   "</f>
        <v xml:space="preserve">GOSS                     NATHAN                   </v>
      </c>
      <c r="E10539" t="str">
        <f>"MADISON                   "</f>
        <v xml:space="preserve">MADISON                   </v>
      </c>
      <c r="F10539" t="str">
        <f t="shared" si="291"/>
        <v>MS</v>
      </c>
    </row>
    <row r="10540" spans="1:6" x14ac:dyDescent="0.25">
      <c r="A10540" t="str">
        <f>"004654046"</f>
        <v>004654046</v>
      </c>
      <c r="B10540" t="str">
        <f>"1285184416"</f>
        <v>1285184416</v>
      </c>
      <c r="C10540" t="str">
        <f>"261QR1300X"</f>
        <v>261QR1300X</v>
      </c>
      <c r="D10540" t="str">
        <f>"CHILDREN'S CLINIC                                 "</f>
        <v xml:space="preserve">CHILDREN'S CLINIC                                 </v>
      </c>
      <c r="E10540" t="str">
        <f>"WEST POINT                "</f>
        <v xml:space="preserve">WEST POINT                </v>
      </c>
      <c r="F10540" t="str">
        <f t="shared" si="291"/>
        <v>MS</v>
      </c>
    </row>
    <row r="10541" spans="1:6" x14ac:dyDescent="0.25">
      <c r="A10541" t="str">
        <f>"004655354"</f>
        <v>004655354</v>
      </c>
      <c r="B10541" t="str">
        <f>"1194111666"</f>
        <v>1194111666</v>
      </c>
      <c r="C10541" t="str">
        <f>"208000000X"</f>
        <v>208000000X</v>
      </c>
      <c r="D10541" t="str">
        <f>"SAXTON                   GRANT        P           "</f>
        <v xml:space="preserve">SAXTON                   GRANT        P           </v>
      </c>
      <c r="E10541" t="str">
        <f>"LAUREL                    "</f>
        <v xml:space="preserve">LAUREL                    </v>
      </c>
      <c r="F10541" t="str">
        <f t="shared" si="291"/>
        <v>MS</v>
      </c>
    </row>
    <row r="10542" spans="1:6" x14ac:dyDescent="0.25">
      <c r="A10542" t="str">
        <f>"004657298"</f>
        <v>004657298</v>
      </c>
      <c r="B10542" t="str">
        <f>"1295377968"</f>
        <v>1295377968</v>
      </c>
      <c r="C10542" t="str">
        <f>"363L00000X"</f>
        <v>363L00000X</v>
      </c>
      <c r="D10542" t="str">
        <f>"HARKEY                   JESSICA      S           "</f>
        <v xml:space="preserve">HARKEY                   JESSICA      S           </v>
      </c>
      <c r="E10542" t="str">
        <f>"CORINTH                   "</f>
        <v xml:space="preserve">CORINTH                   </v>
      </c>
      <c r="F10542" t="str">
        <f t="shared" si="291"/>
        <v>MS</v>
      </c>
    </row>
    <row r="10543" spans="1:6" x14ac:dyDescent="0.25">
      <c r="A10543" t="str">
        <f>"004658360"</f>
        <v>004658360</v>
      </c>
      <c r="B10543" t="str">
        <f>"1992338719"</f>
        <v>1992338719</v>
      </c>
      <c r="C10543" t="str">
        <f>"363L00000X"</f>
        <v>363L00000X</v>
      </c>
      <c r="D10543" t="str">
        <f>"MEADOW                   DERRICK                  "</f>
        <v xml:space="preserve">MEADOW                   DERRICK                  </v>
      </c>
      <c r="E10543" t="str">
        <f>"CORINTH                   "</f>
        <v xml:space="preserve">CORINTH                   </v>
      </c>
      <c r="F10543" t="str">
        <f t="shared" si="291"/>
        <v>MS</v>
      </c>
    </row>
    <row r="10544" spans="1:6" x14ac:dyDescent="0.25">
      <c r="A10544" t="str">
        <f>"004658513"</f>
        <v>004658513</v>
      </c>
      <c r="B10544" t="str">
        <f>"1578031498"</f>
        <v>1578031498</v>
      </c>
      <c r="C10544" t="str">
        <f>"367500000X"</f>
        <v>367500000X</v>
      </c>
      <c r="D10544" t="str">
        <f>"DIXON                    MYISHA       J           "</f>
        <v xml:space="preserve">DIXON                    MYISHA       J           </v>
      </c>
      <c r="E10544" t="str">
        <f>"JACKSON                   "</f>
        <v xml:space="preserve">JACKSON                   </v>
      </c>
      <c r="F10544" t="str">
        <f t="shared" si="291"/>
        <v>MS</v>
      </c>
    </row>
    <row r="10545" spans="1:6" x14ac:dyDescent="0.25">
      <c r="A10545" t="str">
        <f>"004671271"</f>
        <v>004671271</v>
      </c>
      <c r="B10545" t="str">
        <f>"1104243831"</f>
        <v>1104243831</v>
      </c>
      <c r="C10545" t="str">
        <f>"363LF0000X"</f>
        <v>363LF0000X</v>
      </c>
      <c r="D10545" t="str">
        <f>"WILSON                   TANYANEKA    L           "</f>
        <v xml:space="preserve">WILSON                   TANYANEKA    L           </v>
      </c>
      <c r="E10545" t="str">
        <f>"MERIDIAN                  "</f>
        <v xml:space="preserve">MERIDIAN                  </v>
      </c>
      <c r="F10545" t="str">
        <f t="shared" si="291"/>
        <v>MS</v>
      </c>
    </row>
    <row r="10546" spans="1:6" x14ac:dyDescent="0.25">
      <c r="A10546" t="str">
        <f>"004671703"</f>
        <v>004671703</v>
      </c>
      <c r="B10546" t="str">
        <f>"1326650110"</f>
        <v>1326650110</v>
      </c>
      <c r="C10546" t="str">
        <f>"363L00000X"</f>
        <v>363L00000X</v>
      </c>
      <c r="D10546" t="str">
        <f>"MABRY                    JULIE        S           "</f>
        <v xml:space="preserve">MABRY                    JULIE        S           </v>
      </c>
      <c r="E10546" t="str">
        <f>"GREENVILLE                "</f>
        <v xml:space="preserve">GREENVILLE                </v>
      </c>
      <c r="F10546" t="str">
        <f t="shared" si="291"/>
        <v>MS</v>
      </c>
    </row>
    <row r="10547" spans="1:6" x14ac:dyDescent="0.25">
      <c r="A10547" t="str">
        <f>"004672730"</f>
        <v>004672730</v>
      </c>
      <c r="B10547" t="str">
        <f>"1063945475"</f>
        <v>1063945475</v>
      </c>
      <c r="C10547" t="str">
        <f>"207R00000X"</f>
        <v>207R00000X</v>
      </c>
      <c r="D10547" t="str">
        <f>"COLEMAN                  JOHN                     "</f>
        <v xml:space="preserve">COLEMAN                  JOHN                     </v>
      </c>
      <c r="E10547" t="str">
        <f>"FOREST                    "</f>
        <v xml:space="preserve">FOREST                    </v>
      </c>
      <c r="F10547" t="str">
        <f t="shared" si="291"/>
        <v>MS</v>
      </c>
    </row>
    <row r="10548" spans="1:6" x14ac:dyDescent="0.25">
      <c r="A10548" t="str">
        <f>"004672859"</f>
        <v>004672859</v>
      </c>
      <c r="B10548" t="str">
        <f>"1083025951"</f>
        <v>1083025951</v>
      </c>
      <c r="C10548" t="str">
        <f>"208800000X"</f>
        <v>208800000X</v>
      </c>
      <c r="D10548" t="str">
        <f>"GOWDEY                   ANDREW                   "</f>
        <v xml:space="preserve">GOWDEY                   ANDREW                   </v>
      </c>
      <c r="E10548" t="str">
        <f>"OXFORD                    "</f>
        <v xml:space="preserve">OXFORD                    </v>
      </c>
      <c r="F10548" t="str">
        <f t="shared" si="291"/>
        <v>MS</v>
      </c>
    </row>
    <row r="10549" spans="1:6" x14ac:dyDescent="0.25">
      <c r="A10549" t="str">
        <f>"004673022"</f>
        <v>004673022</v>
      </c>
      <c r="B10549" t="str">
        <f>"1174980213"</f>
        <v>1174980213</v>
      </c>
      <c r="C10549" t="str">
        <f>"363A00000X"</f>
        <v>363A00000X</v>
      </c>
      <c r="D10549" t="str">
        <f>"BYNUM                    MARSHALL     J           "</f>
        <v xml:space="preserve">BYNUM                    MARSHALL     J           </v>
      </c>
      <c r="E10549" t="str">
        <f>"HATTIESBURG               "</f>
        <v xml:space="preserve">HATTIESBURG               </v>
      </c>
      <c r="F10549" t="str">
        <f t="shared" si="291"/>
        <v>MS</v>
      </c>
    </row>
    <row r="10550" spans="1:6" x14ac:dyDescent="0.25">
      <c r="A10550" t="str">
        <f>"004673261"</f>
        <v>004673261</v>
      </c>
      <c r="B10550" t="str">
        <f>"1780105239"</f>
        <v>1780105239</v>
      </c>
      <c r="C10550" t="str">
        <f>"122300000X"</f>
        <v>122300000X</v>
      </c>
      <c r="D10550" t="str">
        <f>"SAXON                    ANNA         C           "</f>
        <v xml:space="preserve">SAXON                    ANNA         C           </v>
      </c>
      <c r="E10550" t="str">
        <f>"PHILADELPHIA              "</f>
        <v xml:space="preserve">PHILADELPHIA              </v>
      </c>
      <c r="F10550" t="str">
        <f t="shared" si="291"/>
        <v>MS</v>
      </c>
    </row>
    <row r="10551" spans="1:6" x14ac:dyDescent="0.25">
      <c r="A10551" t="str">
        <f>"004673700"</f>
        <v>004673700</v>
      </c>
      <c r="B10551" t="str">
        <f>"1639424963"</f>
        <v>1639424963</v>
      </c>
      <c r="C10551" t="str">
        <f>"122300000X"</f>
        <v>122300000X</v>
      </c>
      <c r="D10551" t="str">
        <f>"OBRYAN DENTAL CLINIC                              "</f>
        <v xml:space="preserve">OBRYAN DENTAL CLINIC                              </v>
      </c>
      <c r="E10551" t="str">
        <f>"BRANDON                   "</f>
        <v xml:space="preserve">BRANDON                   </v>
      </c>
      <c r="F10551" t="str">
        <f t="shared" si="291"/>
        <v>MS</v>
      </c>
    </row>
    <row r="10552" spans="1:6" x14ac:dyDescent="0.25">
      <c r="A10552" t="str">
        <f>"004673790"</f>
        <v>004673790</v>
      </c>
      <c r="B10552" t="str">
        <f>"1548820897"</f>
        <v>1548820897</v>
      </c>
      <c r="C10552" t="str">
        <f>"363L00000X"</f>
        <v>363L00000X</v>
      </c>
      <c r="D10552" t="str">
        <f>"FLOOD                    SHANNON      L           "</f>
        <v xml:space="preserve">FLOOD                    SHANNON      L           </v>
      </c>
      <c r="E10552" t="str">
        <f>"FLOWOOD                   "</f>
        <v xml:space="preserve">FLOWOOD                   </v>
      </c>
      <c r="F10552" t="str">
        <f t="shared" si="291"/>
        <v>MS</v>
      </c>
    </row>
    <row r="10553" spans="1:6" x14ac:dyDescent="0.25">
      <c r="A10553" t="str">
        <f>"004674207"</f>
        <v>004674207</v>
      </c>
      <c r="B10553" t="str">
        <f>"1447565239"</f>
        <v>1447565239</v>
      </c>
      <c r="C10553" t="str">
        <f>"122300000X"</f>
        <v>122300000X</v>
      </c>
      <c r="D10553" t="str">
        <f>"WANG                     NIPING                   "</f>
        <v xml:space="preserve">WANG                     NIPING                   </v>
      </c>
      <c r="E10553" t="str">
        <f>"JACKSON                   "</f>
        <v xml:space="preserve">JACKSON                   </v>
      </c>
      <c r="F10553" t="str">
        <f t="shared" si="291"/>
        <v>MS</v>
      </c>
    </row>
    <row r="10554" spans="1:6" x14ac:dyDescent="0.25">
      <c r="A10554" t="str">
        <f>"004675362"</f>
        <v>004675362</v>
      </c>
      <c r="B10554" t="str">
        <f>"1942759766"</f>
        <v>1942759766</v>
      </c>
      <c r="C10554" t="str">
        <f>"363L00000X"</f>
        <v>363L00000X</v>
      </c>
      <c r="D10554" t="str">
        <f>"TATUM                    LINDSEY      K           "</f>
        <v xml:space="preserve">TATUM                    LINDSEY      K           </v>
      </c>
      <c r="E10554" t="str">
        <f>"JACKSON                   "</f>
        <v xml:space="preserve">JACKSON                   </v>
      </c>
      <c r="F10554" t="str">
        <f t="shared" si="291"/>
        <v>MS</v>
      </c>
    </row>
    <row r="10555" spans="1:6" x14ac:dyDescent="0.25">
      <c r="A10555" t="str">
        <f>"004676702"</f>
        <v>004676702</v>
      </c>
      <c r="B10555" t="str">
        <f>"1063994267"</f>
        <v>1063994267</v>
      </c>
      <c r="C10555" t="str">
        <f>"363L00000X"</f>
        <v>363L00000X</v>
      </c>
      <c r="D10555" t="str">
        <f>"WORTHEY                  KAYLA        N           "</f>
        <v xml:space="preserve">WORTHEY                  KAYLA        N           </v>
      </c>
      <c r="E10555" t="str">
        <f>"TUPELO                    "</f>
        <v xml:space="preserve">TUPELO                    </v>
      </c>
      <c r="F10555" t="str">
        <f t="shared" si="291"/>
        <v>MS</v>
      </c>
    </row>
    <row r="10556" spans="1:6" x14ac:dyDescent="0.25">
      <c r="A10556" t="str">
        <f>"004676826"</f>
        <v>004676826</v>
      </c>
      <c r="B10556" t="str">
        <f>"1275869950"</f>
        <v>1275869950</v>
      </c>
      <c r="C10556" t="str">
        <f>"363L00000X"</f>
        <v>363L00000X</v>
      </c>
      <c r="D10556" t="str">
        <f>"MARTIN CHAMBLEE          CRYSTAL      L           "</f>
        <v xml:space="preserve">MARTIN CHAMBLEE          CRYSTAL      L           </v>
      </c>
      <c r="E10556" t="str">
        <f>"CARTHAGE                  "</f>
        <v xml:space="preserve">CARTHAGE                  </v>
      </c>
      <c r="F10556" t="str">
        <f t="shared" si="291"/>
        <v>MS</v>
      </c>
    </row>
    <row r="10557" spans="1:6" x14ac:dyDescent="0.25">
      <c r="A10557" t="str">
        <f>"004677873"</f>
        <v>004677873</v>
      </c>
      <c r="B10557" t="str">
        <f>"1134356272"</f>
        <v>1134356272</v>
      </c>
      <c r="C10557" t="str">
        <f>"207Q00000X"</f>
        <v>207Q00000X</v>
      </c>
      <c r="D10557" t="str">
        <f>"ABEL                     KEVIN                    "</f>
        <v xml:space="preserve">ABEL                     KEVIN                    </v>
      </c>
      <c r="E10557" t="str">
        <f>"BALDWYN                   "</f>
        <v xml:space="preserve">BALDWYN                   </v>
      </c>
      <c r="F10557" t="str">
        <f t="shared" si="291"/>
        <v>MS</v>
      </c>
    </row>
    <row r="10558" spans="1:6" x14ac:dyDescent="0.25">
      <c r="A10558" t="str">
        <f>"004678598"</f>
        <v>004678598</v>
      </c>
      <c r="B10558" t="str">
        <f>"1437763240"</f>
        <v>1437763240</v>
      </c>
      <c r="C10558" t="str">
        <f>"261QM1300X"</f>
        <v>261QM1300X</v>
      </c>
      <c r="D10558" t="str">
        <f>"STARKVILLE WELLNESS GROUP                         "</f>
        <v xml:space="preserve">STARKVILLE WELLNESS GROUP                         </v>
      </c>
      <c r="E10558" t="str">
        <f>"STARKVILLE                "</f>
        <v xml:space="preserve">STARKVILLE                </v>
      </c>
      <c r="F10558" t="str">
        <f t="shared" ref="F10558:F10621" si="292">"MS"</f>
        <v>MS</v>
      </c>
    </row>
    <row r="10559" spans="1:6" x14ac:dyDescent="0.25">
      <c r="A10559" t="str">
        <f>"004679004"</f>
        <v>004679004</v>
      </c>
      <c r="B10559" t="str">
        <f>"1164807186"</f>
        <v>1164807186</v>
      </c>
      <c r="C10559" t="str">
        <f>"363L00000X"</f>
        <v>363L00000X</v>
      </c>
      <c r="D10559" t="str">
        <f>"RILEY                    PAMELA                   "</f>
        <v xml:space="preserve">RILEY                    PAMELA                   </v>
      </c>
      <c r="E10559" t="str">
        <f>"RIPLEY                    "</f>
        <v xml:space="preserve">RIPLEY                    </v>
      </c>
      <c r="F10559" t="str">
        <f t="shared" si="292"/>
        <v>MS</v>
      </c>
    </row>
    <row r="10560" spans="1:6" x14ac:dyDescent="0.25">
      <c r="A10560" t="str">
        <f>"004679751"</f>
        <v>004679751</v>
      </c>
      <c r="B10560" t="str">
        <f>"1407861834"</f>
        <v>1407861834</v>
      </c>
      <c r="C10560" t="str">
        <f>"152W00000X"</f>
        <v>152W00000X</v>
      </c>
      <c r="D10560" t="str">
        <f>"HOOKER JR                PHILLIP      A           "</f>
        <v xml:space="preserve">HOOKER JR                PHILLIP      A           </v>
      </c>
      <c r="E10560" t="str">
        <f>"SOUTHAVEN                 "</f>
        <v xml:space="preserve">SOUTHAVEN                 </v>
      </c>
      <c r="F10560" t="str">
        <f t="shared" si="292"/>
        <v>MS</v>
      </c>
    </row>
    <row r="10561" spans="1:6" x14ac:dyDescent="0.25">
      <c r="A10561" t="str">
        <f>"004680769"</f>
        <v>004680769</v>
      </c>
      <c r="B10561" t="str">
        <f>"1497123343"</f>
        <v>1497123343</v>
      </c>
      <c r="C10561" t="str">
        <f>"363L00000X"</f>
        <v>363L00000X</v>
      </c>
      <c r="D10561" t="str">
        <f>"HARRELL                  ERIN         C           "</f>
        <v xml:space="preserve">HARRELL                  ERIN         C           </v>
      </c>
      <c r="E10561" t="str">
        <f>"HERNANDO                  "</f>
        <v xml:space="preserve">HERNANDO                  </v>
      </c>
      <c r="F10561" t="str">
        <f t="shared" si="292"/>
        <v>MS</v>
      </c>
    </row>
    <row r="10562" spans="1:6" x14ac:dyDescent="0.25">
      <c r="A10562" t="str">
        <f>"004680904"</f>
        <v>004680904</v>
      </c>
      <c r="B10562" t="str">
        <f>"1174263875"</f>
        <v>1174263875</v>
      </c>
      <c r="C10562" t="str">
        <f>"207P00000X"</f>
        <v>207P00000X</v>
      </c>
      <c r="D10562" t="str">
        <f>"MACNEALY                 LYDIA                    "</f>
        <v xml:space="preserve">MACNEALY                 LYDIA                    </v>
      </c>
      <c r="E10562" t="str">
        <f>"JACKSON                   "</f>
        <v xml:space="preserve">JACKSON                   </v>
      </c>
      <c r="F10562" t="str">
        <f t="shared" si="292"/>
        <v>MS</v>
      </c>
    </row>
    <row r="10563" spans="1:6" x14ac:dyDescent="0.25">
      <c r="A10563" t="str">
        <f>"004682721"</f>
        <v>004682721</v>
      </c>
      <c r="B10563" t="str">
        <f>"1689157588"</f>
        <v>1689157588</v>
      </c>
      <c r="C10563" t="str">
        <f>"122300000X"</f>
        <v>122300000X</v>
      </c>
      <c r="D10563" t="str">
        <f>"HOP ORTHODONTICS LLC                              "</f>
        <v xml:space="preserve">HOP ORTHODONTICS LLC                              </v>
      </c>
      <c r="E10563" t="str">
        <f>"HATTIESBURG               "</f>
        <v xml:space="preserve">HATTIESBURG               </v>
      </c>
      <c r="F10563" t="str">
        <f t="shared" si="292"/>
        <v>MS</v>
      </c>
    </row>
    <row r="10564" spans="1:6" x14ac:dyDescent="0.25">
      <c r="A10564" t="str">
        <f>"004684502"</f>
        <v>004684502</v>
      </c>
      <c r="B10564" t="str">
        <f>"1457770588"</f>
        <v>1457770588</v>
      </c>
      <c r="C10564" t="str">
        <f>"207X00000X"</f>
        <v>207X00000X</v>
      </c>
      <c r="D10564" t="str">
        <f>"HESTER III               WILLIAM      A           "</f>
        <v xml:space="preserve">HESTER III               WILLIAM      A           </v>
      </c>
      <c r="E10564" t="str">
        <f>"SOUTHAVEN                 "</f>
        <v xml:space="preserve">SOUTHAVEN                 </v>
      </c>
      <c r="F10564" t="str">
        <f t="shared" si="292"/>
        <v>MS</v>
      </c>
    </row>
    <row r="10565" spans="1:6" x14ac:dyDescent="0.25">
      <c r="A10565" t="str">
        <f>"004684771"</f>
        <v>004684771</v>
      </c>
      <c r="B10565" t="str">
        <f>"1316257116"</f>
        <v>1316257116</v>
      </c>
      <c r="C10565" t="str">
        <f>"363L00000X"</f>
        <v>363L00000X</v>
      </c>
      <c r="D10565" t="str">
        <f>"TIPTON                   JEFFREY      P           "</f>
        <v xml:space="preserve">TIPTON                   JEFFREY      P           </v>
      </c>
      <c r="E10565" t="str">
        <f>"GULFPORT                  "</f>
        <v xml:space="preserve">GULFPORT                  </v>
      </c>
      <c r="F10565" t="str">
        <f t="shared" si="292"/>
        <v>MS</v>
      </c>
    </row>
    <row r="10566" spans="1:6" x14ac:dyDescent="0.25">
      <c r="A10566" t="str">
        <f>"004686307"</f>
        <v>004686307</v>
      </c>
      <c r="B10566" t="str">
        <f>"1578128336"</f>
        <v>1578128336</v>
      </c>
      <c r="C10566" t="str">
        <f>"363L00000X"</f>
        <v>363L00000X</v>
      </c>
      <c r="D10566" t="str">
        <f>"JUMPIERE                 DOROTHY                  "</f>
        <v xml:space="preserve">JUMPIERE                 DOROTHY                  </v>
      </c>
      <c r="E10566" t="str">
        <f>"WAVELAND                  "</f>
        <v xml:space="preserve">WAVELAND                  </v>
      </c>
      <c r="F10566" t="str">
        <f t="shared" si="292"/>
        <v>MS</v>
      </c>
    </row>
    <row r="10567" spans="1:6" x14ac:dyDescent="0.25">
      <c r="A10567" t="str">
        <f>"004687519"</f>
        <v>004687519</v>
      </c>
      <c r="B10567" t="str">
        <f>"1356805345"</f>
        <v>1356805345</v>
      </c>
      <c r="C10567" t="str">
        <f>"363L00000X"</f>
        <v>363L00000X</v>
      </c>
      <c r="D10567" t="str">
        <f>"MCLAURIN                 MONIQUE      M           "</f>
        <v xml:space="preserve">MCLAURIN                 MONIQUE      M           </v>
      </c>
      <c r="E10567" t="str">
        <f>"JACKSON                   "</f>
        <v xml:space="preserve">JACKSON                   </v>
      </c>
      <c r="F10567" t="str">
        <f t="shared" si="292"/>
        <v>MS</v>
      </c>
    </row>
    <row r="10568" spans="1:6" x14ac:dyDescent="0.25">
      <c r="A10568" t="str">
        <f>"004687592"</f>
        <v>004687592</v>
      </c>
      <c r="B10568" t="str">
        <f>"1851575260"</f>
        <v>1851575260</v>
      </c>
      <c r="C10568" t="str">
        <f>"367500000X"</f>
        <v>367500000X</v>
      </c>
      <c r="D10568" t="str">
        <f>"SELF JR                  MELVIN       L           "</f>
        <v xml:space="preserve">SELF JR                  MELVIN       L           </v>
      </c>
      <c r="E10568" t="str">
        <f>"OXFORD                    "</f>
        <v xml:space="preserve">OXFORD                    </v>
      </c>
      <c r="F10568" t="str">
        <f t="shared" si="292"/>
        <v>MS</v>
      </c>
    </row>
    <row r="10569" spans="1:6" x14ac:dyDescent="0.25">
      <c r="A10569" t="str">
        <f>"004689005"</f>
        <v>004689005</v>
      </c>
      <c r="B10569" t="str">
        <f>"1902180979"</f>
        <v>1902180979</v>
      </c>
      <c r="C10569" t="str">
        <f>"363L00000X"</f>
        <v>363L00000X</v>
      </c>
      <c r="D10569" t="str">
        <f>"STEWART                  MARY                     "</f>
        <v xml:space="preserve">STEWART                  MARY                     </v>
      </c>
      <c r="E10569" t="str">
        <f>"MERIDIAN                  "</f>
        <v xml:space="preserve">MERIDIAN                  </v>
      </c>
      <c r="F10569" t="str">
        <f t="shared" si="292"/>
        <v>MS</v>
      </c>
    </row>
    <row r="10570" spans="1:6" x14ac:dyDescent="0.25">
      <c r="A10570" t="str">
        <f>"004689322"</f>
        <v>004689322</v>
      </c>
      <c r="B10570" t="str">
        <f>"1245608686"</f>
        <v>1245608686</v>
      </c>
      <c r="C10570" t="str">
        <f>"367500000X"</f>
        <v>367500000X</v>
      </c>
      <c r="D10570" t="str">
        <f>"MCNAIR                   MICHAEL      C           "</f>
        <v xml:space="preserve">MCNAIR                   MICHAEL      C           </v>
      </c>
      <c r="E10570" t="str">
        <f>"CORINTH                   "</f>
        <v xml:space="preserve">CORINTH                   </v>
      </c>
      <c r="F10570" t="str">
        <f t="shared" si="292"/>
        <v>MS</v>
      </c>
    </row>
    <row r="10571" spans="1:6" x14ac:dyDescent="0.25">
      <c r="A10571" t="str">
        <f>"004689509"</f>
        <v>004689509</v>
      </c>
      <c r="B10571" t="str">
        <f>"1316147416"</f>
        <v>1316147416</v>
      </c>
      <c r="C10571" t="str">
        <f>"207P00000X"</f>
        <v>207P00000X</v>
      </c>
      <c r="D10571" t="str">
        <f>"HARRISON                 JAMES        M           "</f>
        <v xml:space="preserve">HARRISON                 JAMES        M           </v>
      </c>
      <c r="E10571" t="str">
        <f>"CLINTON                   "</f>
        <v xml:space="preserve">CLINTON                   </v>
      </c>
      <c r="F10571" t="str">
        <f t="shared" si="292"/>
        <v>MS</v>
      </c>
    </row>
    <row r="10572" spans="1:6" x14ac:dyDescent="0.25">
      <c r="A10572" t="str">
        <f>"004700200"</f>
        <v>004700200</v>
      </c>
      <c r="B10572" t="str">
        <f>"1417009382"</f>
        <v>1417009382</v>
      </c>
      <c r="C10572" t="str">
        <f>"122300000X"</f>
        <v>122300000X</v>
      </c>
      <c r="D10572" t="str">
        <f>"ROARK                    KINESHIA     A           "</f>
        <v xml:space="preserve">ROARK                    KINESHIA     A           </v>
      </c>
      <c r="E10572" t="str">
        <f>"HATTIESBURG               "</f>
        <v xml:space="preserve">HATTIESBURG               </v>
      </c>
      <c r="F10572" t="str">
        <f t="shared" si="292"/>
        <v>MS</v>
      </c>
    </row>
    <row r="10573" spans="1:6" x14ac:dyDescent="0.25">
      <c r="A10573" t="str">
        <f>"004700246"</f>
        <v>004700246</v>
      </c>
      <c r="B10573" t="str">
        <f>"1427044197"</f>
        <v>1427044197</v>
      </c>
      <c r="C10573" t="str">
        <f>"207X00000X"</f>
        <v>207X00000X</v>
      </c>
      <c r="D10573" t="str">
        <f>"CROCKARELL JR            JOHN         R           "</f>
        <v xml:space="preserve">CROCKARELL JR            JOHN         R           </v>
      </c>
      <c r="E10573" t="str">
        <f>"SOUTHAVEN                 "</f>
        <v xml:space="preserve">SOUTHAVEN                 </v>
      </c>
      <c r="F10573" t="str">
        <f t="shared" si="292"/>
        <v>MS</v>
      </c>
    </row>
    <row r="10574" spans="1:6" x14ac:dyDescent="0.25">
      <c r="A10574" t="str">
        <f>"004700569"</f>
        <v>004700569</v>
      </c>
      <c r="B10574" t="str">
        <f>"1346356862"</f>
        <v>1346356862</v>
      </c>
      <c r="C10574" t="str">
        <f>"207Q00000X"</f>
        <v>207Q00000X</v>
      </c>
      <c r="D10574" t="str">
        <f>"SANFORD                  TRACY        S           "</f>
        <v xml:space="preserve">SANFORD                  TRACY        S           </v>
      </c>
      <c r="E10574" t="str">
        <f>"DIBERVILLE                "</f>
        <v xml:space="preserve">DIBERVILLE                </v>
      </c>
      <c r="F10574" t="str">
        <f t="shared" si="292"/>
        <v>MS</v>
      </c>
    </row>
    <row r="10575" spans="1:6" x14ac:dyDescent="0.25">
      <c r="A10575" t="str">
        <f>"004700722"</f>
        <v>004700722</v>
      </c>
      <c r="B10575" t="str">
        <f>"1801837026"</f>
        <v>1801837026</v>
      </c>
      <c r="C10575" t="str">
        <f>"363L00000X"</f>
        <v>363L00000X</v>
      </c>
      <c r="D10575" t="str">
        <f>"SPENCER                  TERESA                   "</f>
        <v xml:space="preserve">SPENCER                  TERESA                   </v>
      </c>
      <c r="E10575" t="str">
        <f>"JACKSON                   "</f>
        <v xml:space="preserve">JACKSON                   </v>
      </c>
      <c r="F10575" t="str">
        <f t="shared" si="292"/>
        <v>MS</v>
      </c>
    </row>
    <row r="10576" spans="1:6" x14ac:dyDescent="0.25">
      <c r="A10576" t="str">
        <f>"004700881"</f>
        <v>004700881</v>
      </c>
      <c r="B10576" t="str">
        <f>"1255364337"</f>
        <v>1255364337</v>
      </c>
      <c r="C10576" t="str">
        <f>"208D00000X"</f>
        <v>208D00000X</v>
      </c>
      <c r="D10576" t="str">
        <f>"MORING                   JOSEPH       R           "</f>
        <v xml:space="preserve">MORING                   JOSEPH       R           </v>
      </c>
      <c r="E10576" t="str">
        <f>"ELLISVILLE                "</f>
        <v xml:space="preserve">ELLISVILLE                </v>
      </c>
      <c r="F10576" t="str">
        <f t="shared" si="292"/>
        <v>MS</v>
      </c>
    </row>
    <row r="10577" spans="1:6" x14ac:dyDescent="0.25">
      <c r="A10577" t="str">
        <f>"004704348"</f>
        <v>004704348</v>
      </c>
      <c r="B10577" t="str">
        <f>"1760646426"</f>
        <v>1760646426</v>
      </c>
      <c r="C10577" t="str">
        <f>"207Q00000X"</f>
        <v>207Q00000X</v>
      </c>
      <c r="D10577" t="str">
        <f>"JONES                    JESSICA      D           "</f>
        <v xml:space="preserve">JONES                    JESSICA      D           </v>
      </c>
      <c r="E10577" t="str">
        <f>"JACKSON                   "</f>
        <v xml:space="preserve">JACKSON                   </v>
      </c>
      <c r="F10577" t="str">
        <f t="shared" si="292"/>
        <v>MS</v>
      </c>
    </row>
    <row r="10578" spans="1:6" x14ac:dyDescent="0.25">
      <c r="A10578" t="str">
        <f>"004706066"</f>
        <v>004706066</v>
      </c>
      <c r="B10578" t="str">
        <f>"1790751469"</f>
        <v>1790751469</v>
      </c>
      <c r="C10578" t="str">
        <f>"207Q00000X"</f>
        <v>207Q00000X</v>
      </c>
      <c r="D10578" t="str">
        <f>"SCOTT                    RONALD       B           "</f>
        <v xml:space="preserve">SCOTT                    RONALD       B           </v>
      </c>
      <c r="E10578" t="str">
        <f>"NEW ALBANY                "</f>
        <v xml:space="preserve">NEW ALBANY                </v>
      </c>
      <c r="F10578" t="str">
        <f t="shared" si="292"/>
        <v>MS</v>
      </c>
    </row>
    <row r="10579" spans="1:6" x14ac:dyDescent="0.25">
      <c r="A10579" t="str">
        <f>"004706091"</f>
        <v>004706091</v>
      </c>
      <c r="B10579" t="str">
        <f>"1104496421"</f>
        <v>1104496421</v>
      </c>
      <c r="C10579" t="str">
        <f>"363L00000X"</f>
        <v>363L00000X</v>
      </c>
      <c r="D10579" t="str">
        <f>"EGERSON                  GENESSA                  "</f>
        <v xml:space="preserve">EGERSON                  GENESSA                  </v>
      </c>
      <c r="E10579" t="str">
        <f>"BATESVILLE                "</f>
        <v xml:space="preserve">BATESVILLE                </v>
      </c>
      <c r="F10579" t="str">
        <f t="shared" si="292"/>
        <v>MS</v>
      </c>
    </row>
    <row r="10580" spans="1:6" x14ac:dyDescent="0.25">
      <c r="A10580" t="str">
        <f>"004706763"</f>
        <v>004706763</v>
      </c>
      <c r="B10580" t="str">
        <f>"1124417761"</f>
        <v>1124417761</v>
      </c>
      <c r="C10580" t="str">
        <f>"363L00000X"</f>
        <v>363L00000X</v>
      </c>
      <c r="D10580" t="str">
        <f>"WALKER                   CLINTON      S           "</f>
        <v xml:space="preserve">WALKER                   CLINTON      S           </v>
      </c>
      <c r="E10580" t="str">
        <f>"JACKSON                   "</f>
        <v xml:space="preserve">JACKSON                   </v>
      </c>
      <c r="F10580" t="str">
        <f t="shared" si="292"/>
        <v>MS</v>
      </c>
    </row>
    <row r="10581" spans="1:6" x14ac:dyDescent="0.25">
      <c r="A10581" t="str">
        <f>"004707765"</f>
        <v>004707765</v>
      </c>
      <c r="B10581" t="str">
        <f>"1629309117"</f>
        <v>1629309117</v>
      </c>
      <c r="C10581" t="str">
        <f>"261QF0400X"</f>
        <v>261QF0400X</v>
      </c>
      <c r="D10581" t="str">
        <f>"COASTAL FAMILY HEALTH CENTER INC                  "</f>
        <v xml:space="preserve">COASTAL FAMILY HEALTH CENTER INC                  </v>
      </c>
      <c r="E10581" t="str">
        <f>"D'IBERVILLE               "</f>
        <v xml:space="preserve">D'IBERVILLE               </v>
      </c>
      <c r="F10581" t="str">
        <f t="shared" si="292"/>
        <v>MS</v>
      </c>
    </row>
    <row r="10582" spans="1:6" x14ac:dyDescent="0.25">
      <c r="A10582" t="str">
        <f>"004707818"</f>
        <v>004707818</v>
      </c>
      <c r="B10582" t="str">
        <f>"1528465606"</f>
        <v>1528465606</v>
      </c>
      <c r="C10582" t="str">
        <f>"367500000X"</f>
        <v>367500000X</v>
      </c>
      <c r="D10582" t="str">
        <f>"DAVIS                    JESSICA      D           "</f>
        <v xml:space="preserve">DAVIS                    JESSICA      D           </v>
      </c>
      <c r="E10582" t="str">
        <f>"JACKSON                   "</f>
        <v xml:space="preserve">JACKSON                   </v>
      </c>
      <c r="F10582" t="str">
        <f t="shared" si="292"/>
        <v>MS</v>
      </c>
    </row>
    <row r="10583" spans="1:6" x14ac:dyDescent="0.25">
      <c r="A10583" t="str">
        <f>"004707889"</f>
        <v>004707889</v>
      </c>
      <c r="B10583" t="str">
        <f>"1073047247"</f>
        <v>1073047247</v>
      </c>
      <c r="C10583" t="str">
        <f>"207W00000X"</f>
        <v>207W00000X</v>
      </c>
      <c r="D10583" t="str">
        <f>"MCGUFFEY                 CHARLES      D           "</f>
        <v xml:space="preserve">MCGUFFEY                 CHARLES      D           </v>
      </c>
      <c r="E10583" t="str">
        <f>"MADISON                   "</f>
        <v xml:space="preserve">MADISON                   </v>
      </c>
      <c r="F10583" t="str">
        <f t="shared" si="292"/>
        <v>MS</v>
      </c>
    </row>
    <row r="10584" spans="1:6" x14ac:dyDescent="0.25">
      <c r="A10584" t="str">
        <f>"004709000"</f>
        <v>004709000</v>
      </c>
      <c r="B10584" t="str">
        <f>"1063092724"</f>
        <v>1063092724</v>
      </c>
      <c r="C10584" t="str">
        <f>"207R00000X"</f>
        <v>207R00000X</v>
      </c>
      <c r="D10584" t="str">
        <f>"KORDSMEIER               JOSEPH                   "</f>
        <v xml:space="preserve">KORDSMEIER               JOSEPH                   </v>
      </c>
      <c r="E10584" t="str">
        <f>"CHARLESTON                "</f>
        <v xml:space="preserve">CHARLESTON                </v>
      </c>
      <c r="F10584" t="str">
        <f t="shared" si="292"/>
        <v>MS</v>
      </c>
    </row>
    <row r="10585" spans="1:6" x14ac:dyDescent="0.25">
      <c r="A10585" t="str">
        <f>"004709293"</f>
        <v>004709293</v>
      </c>
      <c r="B10585" t="str">
        <f>"1619558251"</f>
        <v>1619558251</v>
      </c>
      <c r="C10585" t="str">
        <f>"363L00000X"</f>
        <v>363L00000X</v>
      </c>
      <c r="D10585" t="str">
        <f>"RUSHING                  KRISTIE                  "</f>
        <v xml:space="preserve">RUSHING                  KRISTIE                  </v>
      </c>
      <c r="E10585" t="str">
        <f>"HATTIESBURG               "</f>
        <v xml:space="preserve">HATTIESBURG               </v>
      </c>
      <c r="F10585" t="str">
        <f t="shared" si="292"/>
        <v>MS</v>
      </c>
    </row>
    <row r="10586" spans="1:6" x14ac:dyDescent="0.25">
      <c r="A10586" t="str">
        <f>"004709739"</f>
        <v>004709739</v>
      </c>
      <c r="B10586" t="str">
        <f>"1578733986"</f>
        <v>1578733986</v>
      </c>
      <c r="C10586" t="str">
        <f>"363L00000X"</f>
        <v>363L00000X</v>
      </c>
      <c r="D10586" t="str">
        <f>"RAYBORN                  KIMBERLY     P           "</f>
        <v xml:space="preserve">RAYBORN                  KIMBERLY     P           </v>
      </c>
      <c r="E10586" t="str">
        <f>"GULFPORT                  "</f>
        <v xml:space="preserve">GULFPORT                  </v>
      </c>
      <c r="F10586" t="str">
        <f t="shared" si="292"/>
        <v>MS</v>
      </c>
    </row>
    <row r="10587" spans="1:6" x14ac:dyDescent="0.25">
      <c r="A10587" t="str">
        <f>"004720872"</f>
        <v>004720872</v>
      </c>
      <c r="B10587" t="str">
        <f>"1497728778"</f>
        <v>1497728778</v>
      </c>
      <c r="C10587" t="str">
        <f>"207Q00000X"</f>
        <v>207Q00000X</v>
      </c>
      <c r="D10587" t="str">
        <f>"CHEATHAM                 JOHN                     "</f>
        <v xml:space="preserve">CHEATHAM                 JOHN                     </v>
      </c>
      <c r="E10587" t="str">
        <f>"MERIDIAN                  "</f>
        <v xml:space="preserve">MERIDIAN                  </v>
      </c>
      <c r="F10587" t="str">
        <f t="shared" si="292"/>
        <v>MS</v>
      </c>
    </row>
    <row r="10588" spans="1:6" x14ac:dyDescent="0.25">
      <c r="A10588" t="str">
        <f>"004722052"</f>
        <v>004722052</v>
      </c>
      <c r="B10588" t="str">
        <f>"1659533412"</f>
        <v>1659533412</v>
      </c>
      <c r="C10588" t="str">
        <f>"207X00000X"</f>
        <v>207X00000X</v>
      </c>
      <c r="D10588" t="str">
        <f>"MARKS                    TYLER        G           "</f>
        <v xml:space="preserve">MARKS                    TYLER        G           </v>
      </c>
      <c r="E10588" t="str">
        <f>"TUPELO                    "</f>
        <v xml:space="preserve">TUPELO                    </v>
      </c>
      <c r="F10588" t="str">
        <f t="shared" si="292"/>
        <v>MS</v>
      </c>
    </row>
    <row r="10589" spans="1:6" x14ac:dyDescent="0.25">
      <c r="A10589" t="str">
        <f>"004722381"</f>
        <v>004722381</v>
      </c>
      <c r="B10589" t="str">
        <f>"1013647247"</f>
        <v>1013647247</v>
      </c>
      <c r="C10589" t="str">
        <f>"367500000X"</f>
        <v>367500000X</v>
      </c>
      <c r="D10589" t="str">
        <f>"CONN                     AUSTIN                   "</f>
        <v xml:space="preserve">CONN                     AUSTIN                   </v>
      </c>
      <c r="E10589" t="str">
        <f>"JACKSON                   "</f>
        <v xml:space="preserve">JACKSON                   </v>
      </c>
      <c r="F10589" t="str">
        <f t="shared" si="292"/>
        <v>MS</v>
      </c>
    </row>
    <row r="10590" spans="1:6" x14ac:dyDescent="0.25">
      <c r="A10590" t="str">
        <f>"004723758"</f>
        <v>004723758</v>
      </c>
      <c r="B10590" t="str">
        <f>"1811027436"</f>
        <v>1811027436</v>
      </c>
      <c r="C10590" t="str">
        <f>"207P00000X"</f>
        <v>207P00000X</v>
      </c>
      <c r="D10590" t="str">
        <f>"MORGAN                   JUSTIN       W           "</f>
        <v xml:space="preserve">MORGAN                   JUSTIN       W           </v>
      </c>
      <c r="E10590" t="str">
        <f>"TUPELO                    "</f>
        <v xml:space="preserve">TUPELO                    </v>
      </c>
      <c r="F10590" t="str">
        <f t="shared" si="292"/>
        <v>MS</v>
      </c>
    </row>
    <row r="10591" spans="1:6" x14ac:dyDescent="0.25">
      <c r="A10591" t="str">
        <f>"004724543"</f>
        <v>004724543</v>
      </c>
      <c r="B10591" t="str">
        <f>"1720421514"</f>
        <v>1720421514</v>
      </c>
      <c r="C10591" t="str">
        <f>"363L00000X"</f>
        <v>363L00000X</v>
      </c>
      <c r="D10591" t="str">
        <f>"HUMBERS                  AMANDA       S           "</f>
        <v xml:space="preserve">HUMBERS                  AMANDA       S           </v>
      </c>
      <c r="E10591" t="str">
        <f>"SOUTHAVEN                 "</f>
        <v xml:space="preserve">SOUTHAVEN                 </v>
      </c>
      <c r="F10591" t="str">
        <f t="shared" si="292"/>
        <v>MS</v>
      </c>
    </row>
    <row r="10592" spans="1:6" x14ac:dyDescent="0.25">
      <c r="A10592" t="str">
        <f>"004724722"</f>
        <v>004724722</v>
      </c>
      <c r="B10592" t="str">
        <f>"1033302765"</f>
        <v>1033302765</v>
      </c>
      <c r="C10592" t="str">
        <f>"152W00000X"</f>
        <v>152W00000X</v>
      </c>
      <c r="D10592" t="str">
        <f>"TATE HILL                ADAM                     "</f>
        <v xml:space="preserve">TATE HILL                ADAM                     </v>
      </c>
      <c r="E10592" t="str">
        <f>"BOONEVILLE                "</f>
        <v xml:space="preserve">BOONEVILLE                </v>
      </c>
      <c r="F10592" t="str">
        <f t="shared" si="292"/>
        <v>MS</v>
      </c>
    </row>
    <row r="10593" spans="1:6" x14ac:dyDescent="0.25">
      <c r="A10593" t="str">
        <f>"004726013"</f>
        <v>004726013</v>
      </c>
      <c r="B10593" t="str">
        <f>"1225340599"</f>
        <v>1225340599</v>
      </c>
      <c r="C10593" t="str">
        <f>"207Q00000X"</f>
        <v>207Q00000X</v>
      </c>
      <c r="D10593" t="str">
        <f>"HAND                     HOYET        A           "</f>
        <v xml:space="preserve">HAND                     HOYET        A           </v>
      </c>
      <c r="E10593" t="str">
        <f>"BILOXI                    "</f>
        <v xml:space="preserve">BILOXI                    </v>
      </c>
      <c r="F10593" t="str">
        <f t="shared" si="292"/>
        <v>MS</v>
      </c>
    </row>
    <row r="10594" spans="1:6" x14ac:dyDescent="0.25">
      <c r="A10594" t="str">
        <f>"004726513"</f>
        <v>004726513</v>
      </c>
      <c r="B10594" t="str">
        <f>"1760125264"</f>
        <v>1760125264</v>
      </c>
      <c r="C10594" t="str">
        <f>"363L00000X"</f>
        <v>363L00000X</v>
      </c>
      <c r="D10594" t="str">
        <f>"WESTBROOK                CHRISTEN     R           "</f>
        <v xml:space="preserve">WESTBROOK                CHRISTEN     R           </v>
      </c>
      <c r="E10594" t="str">
        <f>"GULFPORT                  "</f>
        <v xml:space="preserve">GULFPORT                  </v>
      </c>
      <c r="F10594" t="str">
        <f t="shared" si="292"/>
        <v>MS</v>
      </c>
    </row>
    <row r="10595" spans="1:6" x14ac:dyDescent="0.25">
      <c r="A10595" t="str">
        <f>"004726782"</f>
        <v>004726782</v>
      </c>
      <c r="B10595" t="str">
        <f>"1356862445"</f>
        <v>1356862445</v>
      </c>
      <c r="C10595" t="str">
        <f>"122300000X"</f>
        <v>122300000X</v>
      </c>
      <c r="D10595" t="str">
        <f>"SMILE COUNTRY ORTHODONTICS                        "</f>
        <v xml:space="preserve">SMILE COUNTRY ORTHODONTICS                        </v>
      </c>
      <c r="E10595" t="str">
        <f>"GULFPORT                  "</f>
        <v xml:space="preserve">GULFPORT                  </v>
      </c>
      <c r="F10595" t="str">
        <f t="shared" si="292"/>
        <v>MS</v>
      </c>
    </row>
    <row r="10596" spans="1:6" x14ac:dyDescent="0.25">
      <c r="A10596" t="str">
        <f>"004727537"</f>
        <v>004727537</v>
      </c>
      <c r="B10596" t="str">
        <f>"1528590460"</f>
        <v>1528590460</v>
      </c>
      <c r="C10596" t="str">
        <f>"208000000X"</f>
        <v>208000000X</v>
      </c>
      <c r="D10596" t="str">
        <f>"JACKSON                  MATTHEW      D           "</f>
        <v xml:space="preserve">JACKSON                  MATTHEW      D           </v>
      </c>
      <c r="E10596" t="str">
        <f>"HATTIESBURG               "</f>
        <v xml:space="preserve">HATTIESBURG               </v>
      </c>
      <c r="F10596" t="str">
        <f t="shared" si="292"/>
        <v>MS</v>
      </c>
    </row>
    <row r="10597" spans="1:6" x14ac:dyDescent="0.25">
      <c r="A10597" t="str">
        <f>"004727541"</f>
        <v>004727541</v>
      </c>
      <c r="B10597" t="str">
        <f>"1790071645"</f>
        <v>1790071645</v>
      </c>
      <c r="C10597" t="str">
        <f>"207RI0011X"</f>
        <v>207RI0011X</v>
      </c>
      <c r="D10597" t="str">
        <f>"HERNANDEZ                GABRIEL      A           "</f>
        <v xml:space="preserve">HERNANDEZ                GABRIEL      A           </v>
      </c>
      <c r="E10597" t="str">
        <f>"JACKSON                   "</f>
        <v xml:space="preserve">JACKSON                   </v>
      </c>
      <c r="F10597" t="str">
        <f t="shared" si="292"/>
        <v>MS</v>
      </c>
    </row>
    <row r="10598" spans="1:6" x14ac:dyDescent="0.25">
      <c r="A10598" t="str">
        <f>"004727863"</f>
        <v>004727863</v>
      </c>
      <c r="B10598" t="str">
        <f>"1336670983"</f>
        <v>1336670983</v>
      </c>
      <c r="C10598" t="str">
        <f>"2085R0202X"</f>
        <v>2085R0202X</v>
      </c>
      <c r="D10598" t="str">
        <f>"STACKS CARRAWAY          ALYSON                   "</f>
        <v xml:space="preserve">STACKS CARRAWAY          ALYSON                   </v>
      </c>
      <c r="E10598" t="str">
        <f>"JACKSON                   "</f>
        <v xml:space="preserve">JACKSON                   </v>
      </c>
      <c r="F10598" t="str">
        <f t="shared" si="292"/>
        <v>MS</v>
      </c>
    </row>
    <row r="10599" spans="1:6" x14ac:dyDescent="0.25">
      <c r="A10599" t="str">
        <f>"004728236"</f>
        <v>004728236</v>
      </c>
      <c r="B10599" t="str">
        <f>"1437539830"</f>
        <v>1437539830</v>
      </c>
      <c r="C10599" t="str">
        <f>"363L00000X"</f>
        <v>363L00000X</v>
      </c>
      <c r="D10599" t="str">
        <f>"CYLDE LEWIS              KIMBERLY     C           "</f>
        <v xml:space="preserve">CYLDE LEWIS              KIMBERLY     C           </v>
      </c>
      <c r="E10599" t="str">
        <f>"JACKSON                   "</f>
        <v xml:space="preserve">JACKSON                   </v>
      </c>
      <c r="F10599" t="str">
        <f t="shared" si="292"/>
        <v>MS</v>
      </c>
    </row>
    <row r="10600" spans="1:6" x14ac:dyDescent="0.25">
      <c r="A10600" t="str">
        <f>"004729081"</f>
        <v>004729081</v>
      </c>
      <c r="B10600" t="str">
        <f>"1215971288"</f>
        <v>1215971288</v>
      </c>
      <c r="C10600" t="str">
        <f>"363A00000X"</f>
        <v>363A00000X</v>
      </c>
      <c r="D10600" t="str">
        <f>"SUMRALL                  BRADLEY      F           "</f>
        <v xml:space="preserve">SUMRALL                  BRADLEY      F           </v>
      </c>
      <c r="E10600" t="str">
        <f>"COLUMBUS                  "</f>
        <v xml:space="preserve">COLUMBUS                  </v>
      </c>
      <c r="F10600" t="str">
        <f t="shared" si="292"/>
        <v>MS</v>
      </c>
    </row>
    <row r="10601" spans="1:6" x14ac:dyDescent="0.25">
      <c r="A10601" t="str">
        <f>"004729811"</f>
        <v>004729811</v>
      </c>
      <c r="B10601" t="str">
        <f>"1770933731"</f>
        <v>1770933731</v>
      </c>
      <c r="C10601" t="str">
        <f>"207R00000X"</f>
        <v>207R00000X</v>
      </c>
      <c r="D10601" t="str">
        <f>"MERINO                   CESAR        L           "</f>
        <v xml:space="preserve">MERINO                   CESAR        L           </v>
      </c>
      <c r="E10601" t="str">
        <f>"VICKSBURG                 "</f>
        <v xml:space="preserve">VICKSBURG                 </v>
      </c>
      <c r="F10601" t="str">
        <f t="shared" si="292"/>
        <v>MS</v>
      </c>
    </row>
    <row r="10602" spans="1:6" x14ac:dyDescent="0.25">
      <c r="A10602" t="str">
        <f>"004729829"</f>
        <v>004729829</v>
      </c>
      <c r="B10602" t="str">
        <f>"1437552155"</f>
        <v>1437552155</v>
      </c>
      <c r="C10602" t="str">
        <f>"363L00000X"</f>
        <v>363L00000X</v>
      </c>
      <c r="D10602" t="str">
        <f>"LOFTIN                   MARSHA                   "</f>
        <v xml:space="preserve">LOFTIN                   MARSHA                   </v>
      </c>
      <c r="E10602" t="str">
        <f>"FLOWOOD                   "</f>
        <v xml:space="preserve">FLOWOOD                   </v>
      </c>
      <c r="F10602" t="str">
        <f t="shared" si="292"/>
        <v>MS</v>
      </c>
    </row>
    <row r="10603" spans="1:6" x14ac:dyDescent="0.25">
      <c r="A10603" t="str">
        <f>"004731249"</f>
        <v>004731249</v>
      </c>
      <c r="B10603" t="str">
        <f>"1083995518"</f>
        <v>1083995518</v>
      </c>
      <c r="C10603" t="str">
        <f>"367500000X"</f>
        <v>367500000X</v>
      </c>
      <c r="D10603" t="str">
        <f>"BLACKMON                 AMANDA       B           "</f>
        <v xml:space="preserve">BLACKMON                 AMANDA       B           </v>
      </c>
      <c r="E10603" t="str">
        <f>"TUPELO                    "</f>
        <v xml:space="preserve">TUPELO                    </v>
      </c>
      <c r="F10603" t="str">
        <f t="shared" si="292"/>
        <v>MS</v>
      </c>
    </row>
    <row r="10604" spans="1:6" x14ac:dyDescent="0.25">
      <c r="A10604" t="str">
        <f>"004732084"</f>
        <v>004732084</v>
      </c>
      <c r="B10604" t="str">
        <f>"1225646110"</f>
        <v>1225646110</v>
      </c>
      <c r="C10604" t="str">
        <f>"363L00000X"</f>
        <v>363L00000X</v>
      </c>
      <c r="D10604" t="str">
        <f>"ARRINGTON                TABITHA      F           "</f>
        <v xml:space="preserve">ARRINGTON                TABITHA      F           </v>
      </c>
      <c r="E10604" t="str">
        <f>"SOUTHAVEN                 "</f>
        <v xml:space="preserve">SOUTHAVEN                 </v>
      </c>
      <c r="F10604" t="str">
        <f t="shared" si="292"/>
        <v>MS</v>
      </c>
    </row>
    <row r="10605" spans="1:6" x14ac:dyDescent="0.25">
      <c r="A10605" t="str">
        <f>"004733217"</f>
        <v>004733217</v>
      </c>
      <c r="B10605" t="str">
        <f>"1043634744"</f>
        <v>1043634744</v>
      </c>
      <c r="C10605" t="str">
        <f>"363L00000X"</f>
        <v>363L00000X</v>
      </c>
      <c r="D10605" t="str">
        <f>"ROSS                     ROBYNN       E           "</f>
        <v xml:space="preserve">ROSS                     ROBYNN       E           </v>
      </c>
      <c r="E10605" t="str">
        <f>"SARAH                     "</f>
        <v xml:space="preserve">SARAH                     </v>
      </c>
      <c r="F10605" t="str">
        <f t="shared" si="292"/>
        <v>MS</v>
      </c>
    </row>
    <row r="10606" spans="1:6" x14ac:dyDescent="0.25">
      <c r="A10606" t="str">
        <f>"004733764"</f>
        <v>004733764</v>
      </c>
      <c r="B10606" t="str">
        <f>"1861696221"</f>
        <v>1861696221</v>
      </c>
      <c r="C10606" t="str">
        <f>"2084P0804X"</f>
        <v>2084P0804X</v>
      </c>
      <c r="D10606" t="str">
        <f>"COBBETT                  ETHEL        M           "</f>
        <v xml:space="preserve">COBBETT                  ETHEL        M           </v>
      </c>
      <c r="E10606" t="str">
        <f>"HATTIESBURG               "</f>
        <v xml:space="preserve">HATTIESBURG               </v>
      </c>
      <c r="F10606" t="str">
        <f t="shared" si="292"/>
        <v>MS</v>
      </c>
    </row>
    <row r="10607" spans="1:6" x14ac:dyDescent="0.25">
      <c r="A10607" t="str">
        <f>"004733876"</f>
        <v>004733876</v>
      </c>
      <c r="B10607" t="str">
        <f>"1427218965"</f>
        <v>1427218965</v>
      </c>
      <c r="C10607" t="str">
        <f>"152W00000X"</f>
        <v>152W00000X</v>
      </c>
      <c r="D10607" t="str">
        <f>"EYE GROUP                                         "</f>
        <v xml:space="preserve">EYE GROUP                                         </v>
      </c>
      <c r="E10607" t="str">
        <f>"MADISON                   "</f>
        <v xml:space="preserve">MADISON                   </v>
      </c>
      <c r="F10607" t="str">
        <f t="shared" si="292"/>
        <v>MS</v>
      </c>
    </row>
    <row r="10608" spans="1:6" x14ac:dyDescent="0.25">
      <c r="A10608" t="str">
        <f>"004734254"</f>
        <v>004734254</v>
      </c>
      <c r="B10608" t="str">
        <f>"1588795132"</f>
        <v>1588795132</v>
      </c>
      <c r="C10608" t="str">
        <f>"122300000X"</f>
        <v>122300000X</v>
      </c>
      <c r="D10608" t="str">
        <f>"THOMAS G GROSS II DMD PA                          "</f>
        <v xml:space="preserve">THOMAS G GROSS II DMD PA                          </v>
      </c>
      <c r="E10608" t="str">
        <f>"CARTHAGE                  "</f>
        <v xml:space="preserve">CARTHAGE                  </v>
      </c>
      <c r="F10608" t="str">
        <f t="shared" si="292"/>
        <v>MS</v>
      </c>
    </row>
    <row r="10609" spans="1:6" x14ac:dyDescent="0.25">
      <c r="A10609" t="str">
        <f>"004735098"</f>
        <v>004735098</v>
      </c>
      <c r="B10609" t="str">
        <f>"1689129470"</f>
        <v>1689129470</v>
      </c>
      <c r="C10609" t="str">
        <f>"363L00000X"</f>
        <v>363L00000X</v>
      </c>
      <c r="D10609" t="str">
        <f>"BURNETT                  KARLA                    "</f>
        <v xml:space="preserve">BURNETT                  KARLA                    </v>
      </c>
      <c r="E10609" t="str">
        <f>"HOLLY SPRINGS             "</f>
        <v xml:space="preserve">HOLLY SPRINGS             </v>
      </c>
      <c r="F10609" t="str">
        <f t="shared" si="292"/>
        <v>MS</v>
      </c>
    </row>
    <row r="10610" spans="1:6" x14ac:dyDescent="0.25">
      <c r="A10610" t="str">
        <f>"004735364"</f>
        <v>004735364</v>
      </c>
      <c r="B10610" t="str">
        <f>"1477941870"</f>
        <v>1477941870</v>
      </c>
      <c r="C10610" t="str">
        <f>"363L00000X"</f>
        <v>363L00000X</v>
      </c>
      <c r="D10610" t="str">
        <f>"GIBSON                   ANGELA       D           "</f>
        <v xml:space="preserve">GIBSON                   ANGELA       D           </v>
      </c>
      <c r="E10610" t="str">
        <f>"RULEVILLE                 "</f>
        <v xml:space="preserve">RULEVILLE                 </v>
      </c>
      <c r="F10610" t="str">
        <f t="shared" si="292"/>
        <v>MS</v>
      </c>
    </row>
    <row r="10611" spans="1:6" x14ac:dyDescent="0.25">
      <c r="A10611" t="str">
        <f>"004737777"</f>
        <v>004737777</v>
      </c>
      <c r="B10611" t="str">
        <f>"1750830378"</f>
        <v>1750830378</v>
      </c>
      <c r="C10611" t="str">
        <f>"363L00000X"</f>
        <v>363L00000X</v>
      </c>
      <c r="D10611" t="str">
        <f>"HERRING                  REBECCA      L           "</f>
        <v xml:space="preserve">HERRING                  REBECCA      L           </v>
      </c>
      <c r="E10611" t="str">
        <f>"BRANDON                   "</f>
        <v xml:space="preserve">BRANDON                   </v>
      </c>
      <c r="F10611" t="str">
        <f t="shared" si="292"/>
        <v>MS</v>
      </c>
    </row>
    <row r="10612" spans="1:6" x14ac:dyDescent="0.25">
      <c r="A10612" t="str">
        <f>"004738825"</f>
        <v>004738825</v>
      </c>
      <c r="B10612" t="str">
        <f>"1295037372"</f>
        <v>1295037372</v>
      </c>
      <c r="C10612" t="str">
        <f>"261QF0400X"</f>
        <v>261QF0400X</v>
      </c>
      <c r="D10612" t="str">
        <f>"SCHOOL-BASED CLINIC ADAMS                         "</f>
        <v xml:space="preserve">SCHOOL-BASED CLINIC ADAMS                         </v>
      </c>
      <c r="E10612" t="str">
        <f>"NATCHEZ                   "</f>
        <v xml:space="preserve">NATCHEZ                   </v>
      </c>
      <c r="F10612" t="str">
        <f t="shared" si="292"/>
        <v>MS</v>
      </c>
    </row>
    <row r="10613" spans="1:6" x14ac:dyDescent="0.25">
      <c r="A10613" t="str">
        <f>"004739373"</f>
        <v>004739373</v>
      </c>
      <c r="B10613" t="str">
        <f>"1598340085"</f>
        <v>1598340085</v>
      </c>
      <c r="C10613" t="str">
        <f>"363A00000X"</f>
        <v>363A00000X</v>
      </c>
      <c r="D10613" t="str">
        <f>"BUI                      JONATHAN     M           "</f>
        <v xml:space="preserve">BUI                      JONATHAN     M           </v>
      </c>
      <c r="E10613" t="str">
        <f>"PASCAGOULA                "</f>
        <v xml:space="preserve">PASCAGOULA                </v>
      </c>
      <c r="F10613" t="str">
        <f t="shared" si="292"/>
        <v>MS</v>
      </c>
    </row>
    <row r="10614" spans="1:6" x14ac:dyDescent="0.25">
      <c r="A10614" t="str">
        <f>"004750080"</f>
        <v>004750080</v>
      </c>
      <c r="B10614" t="str">
        <f>"1235520693"</f>
        <v>1235520693</v>
      </c>
      <c r="C10614" t="str">
        <f>"363A00000X"</f>
        <v>363A00000X</v>
      </c>
      <c r="D10614" t="str">
        <f>"CAO                      TONY         N           "</f>
        <v xml:space="preserve">CAO                      TONY         N           </v>
      </c>
      <c r="E10614" t="str">
        <f>"BILOXI                    "</f>
        <v xml:space="preserve">BILOXI                    </v>
      </c>
      <c r="F10614" t="str">
        <f t="shared" si="292"/>
        <v>MS</v>
      </c>
    </row>
    <row r="10615" spans="1:6" x14ac:dyDescent="0.25">
      <c r="A10615" t="str">
        <f>"004750262"</f>
        <v>004750262</v>
      </c>
      <c r="B10615" t="str">
        <f>"1679079743"</f>
        <v>1679079743</v>
      </c>
      <c r="C10615" t="str">
        <f>"207R00000X"</f>
        <v>207R00000X</v>
      </c>
      <c r="D10615" t="str">
        <f>"ROBINSON                 MICHAEL      J           "</f>
        <v xml:space="preserve">ROBINSON                 MICHAEL      J           </v>
      </c>
      <c r="E10615" t="str">
        <f>"COLUMBUS                  "</f>
        <v xml:space="preserve">COLUMBUS                  </v>
      </c>
      <c r="F10615" t="str">
        <f t="shared" si="292"/>
        <v>MS</v>
      </c>
    </row>
    <row r="10616" spans="1:6" x14ac:dyDescent="0.25">
      <c r="A10616" t="str">
        <f>"004750350"</f>
        <v>004750350</v>
      </c>
      <c r="B10616" t="str">
        <f>"1336151604"</f>
        <v>1336151604</v>
      </c>
      <c r="C10616" t="str">
        <f>"207W00000X"</f>
        <v>207W00000X</v>
      </c>
      <c r="D10616" t="str">
        <f>"PETERS                   GEORGE                   "</f>
        <v xml:space="preserve">PETERS                   GEORGE                   </v>
      </c>
      <c r="E10616" t="str">
        <f>"BILOXI                    "</f>
        <v xml:space="preserve">BILOXI                    </v>
      </c>
      <c r="F10616" t="str">
        <f t="shared" si="292"/>
        <v>MS</v>
      </c>
    </row>
    <row r="10617" spans="1:6" x14ac:dyDescent="0.25">
      <c r="A10617" t="str">
        <f>"004750590"</f>
        <v>004750590</v>
      </c>
      <c r="B10617" t="str">
        <f>"1407239262"</f>
        <v>1407239262</v>
      </c>
      <c r="C10617" t="str">
        <f>"363L00000X"</f>
        <v>363L00000X</v>
      </c>
      <c r="D10617" t="str">
        <f>"MCNEIL                   FELICIA                  "</f>
        <v xml:space="preserve">MCNEIL                   FELICIA                  </v>
      </c>
      <c r="E10617" t="str">
        <f>"LUCEDALE                  "</f>
        <v xml:space="preserve">LUCEDALE                  </v>
      </c>
      <c r="F10617" t="str">
        <f t="shared" si="292"/>
        <v>MS</v>
      </c>
    </row>
    <row r="10618" spans="1:6" x14ac:dyDescent="0.25">
      <c r="A10618" t="str">
        <f>"004751204"</f>
        <v>004751204</v>
      </c>
      <c r="B10618" t="str">
        <f>"1194219584"</f>
        <v>1194219584</v>
      </c>
      <c r="C10618" t="str">
        <f>"363L00000X"</f>
        <v>363L00000X</v>
      </c>
      <c r="D10618" t="str">
        <f>"BOGGS                    GARY                     "</f>
        <v xml:space="preserve">BOGGS                    GARY                     </v>
      </c>
      <c r="E10618" t="str">
        <f>"JACKSON                   "</f>
        <v xml:space="preserve">JACKSON                   </v>
      </c>
      <c r="F10618" t="str">
        <f t="shared" si="292"/>
        <v>MS</v>
      </c>
    </row>
    <row r="10619" spans="1:6" x14ac:dyDescent="0.25">
      <c r="A10619" t="str">
        <f>"004752360"</f>
        <v>004752360</v>
      </c>
      <c r="B10619" t="str">
        <f>"1881368405"</f>
        <v>1881368405</v>
      </c>
      <c r="C10619" t="str">
        <f>"363L00000X"</f>
        <v>363L00000X</v>
      </c>
      <c r="D10619" t="str">
        <f>"MARTINEZ                 CATHERINE                "</f>
        <v xml:space="preserve">MARTINEZ                 CATHERINE                </v>
      </c>
      <c r="E10619" t="str">
        <f>"GULFPORT                  "</f>
        <v xml:space="preserve">GULFPORT                  </v>
      </c>
      <c r="F10619" t="str">
        <f t="shared" si="292"/>
        <v>MS</v>
      </c>
    </row>
    <row r="10620" spans="1:6" x14ac:dyDescent="0.25">
      <c r="A10620" t="str">
        <f>"004752851"</f>
        <v>004752851</v>
      </c>
      <c r="B10620" t="str">
        <f>"1366712473"</f>
        <v>1366712473</v>
      </c>
      <c r="C10620" t="str">
        <f>"367500000X"</f>
        <v>367500000X</v>
      </c>
      <c r="D10620" t="str">
        <f>"FLACCOMIO                LINDSEY                  "</f>
        <v xml:space="preserve">FLACCOMIO                LINDSEY                  </v>
      </c>
      <c r="E10620" t="str">
        <f>"HATTIESBURG               "</f>
        <v xml:space="preserve">HATTIESBURG               </v>
      </c>
      <c r="F10620" t="str">
        <f t="shared" si="292"/>
        <v>MS</v>
      </c>
    </row>
    <row r="10621" spans="1:6" x14ac:dyDescent="0.25">
      <c r="A10621" t="str">
        <f>"004753519"</f>
        <v>004753519</v>
      </c>
      <c r="B10621" t="str">
        <f>"1568756252"</f>
        <v>1568756252</v>
      </c>
      <c r="C10621" t="str">
        <f>"207Q00000X"</f>
        <v>207Q00000X</v>
      </c>
      <c r="D10621" t="str">
        <f>"GENTRY                   JAMES        D           "</f>
        <v xml:space="preserve">GENTRY                   JAMES        D           </v>
      </c>
      <c r="E10621" t="str">
        <f>"LOUISVILLE                "</f>
        <v xml:space="preserve">LOUISVILLE                </v>
      </c>
      <c r="F10621" t="str">
        <f t="shared" si="292"/>
        <v>MS</v>
      </c>
    </row>
    <row r="10622" spans="1:6" x14ac:dyDescent="0.25">
      <c r="A10622" t="str">
        <f>"004753806"</f>
        <v>004753806</v>
      </c>
      <c r="B10622" t="str">
        <f>"1407134109"</f>
        <v>1407134109</v>
      </c>
      <c r="C10622" t="str">
        <f>"1223P0221X"</f>
        <v>1223P0221X</v>
      </c>
      <c r="D10622" t="str">
        <f>"PHILLIPS                 ROENIKYA                 "</f>
        <v xml:space="preserve">PHILLIPS                 ROENIKYA                 </v>
      </c>
      <c r="E10622" t="str">
        <f>"CLEVELAND                 "</f>
        <v xml:space="preserve">CLEVELAND                 </v>
      </c>
      <c r="F10622" t="str">
        <f t="shared" ref="F10622:F10685" si="293">"MS"</f>
        <v>MS</v>
      </c>
    </row>
    <row r="10623" spans="1:6" x14ac:dyDescent="0.25">
      <c r="A10623" t="str">
        <f>"004754728"</f>
        <v>004754728</v>
      </c>
      <c r="B10623" t="str">
        <f>"1205915428"</f>
        <v>1205915428</v>
      </c>
      <c r="C10623" t="str">
        <f>"363L00000X"</f>
        <v>363L00000X</v>
      </c>
      <c r="D10623" t="str">
        <f>"PITTMAN                  DONNA        K           "</f>
        <v xml:space="preserve">PITTMAN                  DONNA        K           </v>
      </c>
      <c r="E10623" t="str">
        <f>"CANTON                    "</f>
        <v xml:space="preserve">CANTON                    </v>
      </c>
      <c r="F10623" t="str">
        <f t="shared" si="293"/>
        <v>MS</v>
      </c>
    </row>
    <row r="10624" spans="1:6" x14ac:dyDescent="0.25">
      <c r="A10624" t="str">
        <f>"004755061"</f>
        <v>004755061</v>
      </c>
      <c r="B10624" t="str">
        <f>"1083027890"</f>
        <v>1083027890</v>
      </c>
      <c r="C10624" t="str">
        <f>"122300000X"</f>
        <v>122300000X</v>
      </c>
      <c r="D10624" t="str">
        <f>"POYADOU                  LETASIA      A           "</f>
        <v xml:space="preserve">POYADOU                  LETASIA      A           </v>
      </c>
      <c r="E10624" t="str">
        <f>"BILOXI                    "</f>
        <v xml:space="preserve">BILOXI                    </v>
      </c>
      <c r="F10624" t="str">
        <f t="shared" si="293"/>
        <v>MS</v>
      </c>
    </row>
    <row r="10625" spans="1:6" x14ac:dyDescent="0.25">
      <c r="A10625" t="str">
        <f>"004755501"</f>
        <v>004755501</v>
      </c>
      <c r="B10625" t="str">
        <f>"1013596089"</f>
        <v>1013596089</v>
      </c>
      <c r="C10625" t="str">
        <f>"363L00000X"</f>
        <v>363L00000X</v>
      </c>
      <c r="D10625" t="str">
        <f>"DOYLE                    SHAVONNE                 "</f>
        <v xml:space="preserve">DOYLE                    SHAVONNE                 </v>
      </c>
      <c r="E10625" t="str">
        <f>"OXFORD                    "</f>
        <v xml:space="preserve">OXFORD                    </v>
      </c>
      <c r="F10625" t="str">
        <f t="shared" si="293"/>
        <v>MS</v>
      </c>
    </row>
    <row r="10626" spans="1:6" x14ac:dyDescent="0.25">
      <c r="A10626" t="str">
        <f>"004755740"</f>
        <v>004755740</v>
      </c>
      <c r="B10626" t="str">
        <f>"1871945816"</f>
        <v>1871945816</v>
      </c>
      <c r="C10626" t="str">
        <f>"363L00000X"</f>
        <v>363L00000X</v>
      </c>
      <c r="D10626" t="str">
        <f>"CHERRY                   MEAGAN       C           "</f>
        <v xml:space="preserve">CHERRY                   MEAGAN       C           </v>
      </c>
      <c r="E10626" t="str">
        <f>"TUPELO                    "</f>
        <v xml:space="preserve">TUPELO                    </v>
      </c>
      <c r="F10626" t="str">
        <f t="shared" si="293"/>
        <v>MS</v>
      </c>
    </row>
    <row r="10627" spans="1:6" x14ac:dyDescent="0.25">
      <c r="A10627" t="str">
        <f>"004756033"</f>
        <v>004756033</v>
      </c>
      <c r="B10627" t="str">
        <f>"1366603003"</f>
        <v>1366603003</v>
      </c>
      <c r="C10627" t="str">
        <f>"122300000X"</f>
        <v>122300000X</v>
      </c>
      <c r="D10627" t="str">
        <f>"MIDDLETON                PHILIP       A           "</f>
        <v xml:space="preserve">MIDDLETON                PHILIP       A           </v>
      </c>
      <c r="E10627" t="str">
        <f>"KOSCIUSKO                 "</f>
        <v xml:space="preserve">KOSCIUSKO                 </v>
      </c>
      <c r="F10627" t="str">
        <f t="shared" si="293"/>
        <v>MS</v>
      </c>
    </row>
    <row r="10628" spans="1:6" x14ac:dyDescent="0.25">
      <c r="A10628" t="str">
        <f>"004756090"</f>
        <v>004756090</v>
      </c>
      <c r="B10628" t="str">
        <f>"1760969208"</f>
        <v>1760969208</v>
      </c>
      <c r="C10628" t="str">
        <f>"363LF0000X"</f>
        <v>363LF0000X</v>
      </c>
      <c r="D10628" t="str">
        <f>"BRYAN                    TINA         G           "</f>
        <v xml:space="preserve">BRYAN                    TINA         G           </v>
      </c>
      <c r="E10628" t="str">
        <f>"NEW ALBANY                "</f>
        <v xml:space="preserve">NEW ALBANY                </v>
      </c>
      <c r="F10628" t="str">
        <f t="shared" si="293"/>
        <v>MS</v>
      </c>
    </row>
    <row r="10629" spans="1:6" x14ac:dyDescent="0.25">
      <c r="A10629" t="str">
        <f>"004756525"</f>
        <v>004756525</v>
      </c>
      <c r="B10629" t="str">
        <f>"1730491556"</f>
        <v>1730491556</v>
      </c>
      <c r="C10629" t="str">
        <f>"207P00000X"</f>
        <v>207P00000X</v>
      </c>
      <c r="D10629" t="str">
        <f>"DARSEY                   DAMON        A           "</f>
        <v xml:space="preserve">DARSEY                   DAMON        A           </v>
      </c>
      <c r="E10629" t="str">
        <f>"JACKSON                   "</f>
        <v xml:space="preserve">JACKSON                   </v>
      </c>
      <c r="F10629" t="str">
        <f t="shared" si="293"/>
        <v>MS</v>
      </c>
    </row>
    <row r="10630" spans="1:6" x14ac:dyDescent="0.25">
      <c r="A10630" t="str">
        <f>"004757521"</f>
        <v>004757521</v>
      </c>
      <c r="B10630" t="str">
        <f>"1518583129"</f>
        <v>1518583129</v>
      </c>
      <c r="C10630" t="str">
        <f>"363L00000X"</f>
        <v>363L00000X</v>
      </c>
      <c r="D10630" t="str">
        <f>"MCCULLOUGH               SUSAN        E           "</f>
        <v xml:space="preserve">MCCULLOUGH               SUSAN        E           </v>
      </c>
      <c r="E10630" t="str">
        <f>"SOUTHAVEN                 "</f>
        <v xml:space="preserve">SOUTHAVEN                 </v>
      </c>
      <c r="F10630" t="str">
        <f t="shared" si="293"/>
        <v>MS</v>
      </c>
    </row>
    <row r="10631" spans="1:6" x14ac:dyDescent="0.25">
      <c r="A10631" t="str">
        <f>"004758007"</f>
        <v>004758007</v>
      </c>
      <c r="B10631" t="str">
        <f>"1265087464"</f>
        <v>1265087464</v>
      </c>
      <c r="C10631" t="str">
        <f>"363A00000X"</f>
        <v>363A00000X</v>
      </c>
      <c r="D10631" t="str">
        <f>"SAVELY                   HANNAH       N           "</f>
        <v xml:space="preserve">SAVELY                   HANNAH       N           </v>
      </c>
      <c r="E10631" t="str">
        <f>"TUPELO                    "</f>
        <v xml:space="preserve">TUPELO                    </v>
      </c>
      <c r="F10631" t="str">
        <f t="shared" si="293"/>
        <v>MS</v>
      </c>
    </row>
    <row r="10632" spans="1:6" x14ac:dyDescent="0.25">
      <c r="A10632" t="str">
        <f>"004770521"</f>
        <v>004770521</v>
      </c>
      <c r="B10632" t="str">
        <f>"1023403524"</f>
        <v>1023403524</v>
      </c>
      <c r="C10632" t="str">
        <f>"2084N0402X"</f>
        <v>2084N0402X</v>
      </c>
      <c r="D10632" t="str">
        <f>"THOMPSON                 JAMES        E           "</f>
        <v xml:space="preserve">THOMPSON                 JAMES        E           </v>
      </c>
      <c r="E10632" t="str">
        <f>"JACKSON                   "</f>
        <v xml:space="preserve">JACKSON                   </v>
      </c>
      <c r="F10632" t="str">
        <f t="shared" si="293"/>
        <v>MS</v>
      </c>
    </row>
    <row r="10633" spans="1:6" x14ac:dyDescent="0.25">
      <c r="A10633" t="str">
        <f>"004771268"</f>
        <v>004771268</v>
      </c>
      <c r="B10633" t="str">
        <f>"1255364733"</f>
        <v>1255364733</v>
      </c>
      <c r="C10633" t="str">
        <f>"207V00000X"</f>
        <v>207V00000X</v>
      </c>
      <c r="D10633" t="str">
        <f>"PINKERTON                JAY          S           "</f>
        <v xml:space="preserve">PINKERTON                JAY          S           </v>
      </c>
      <c r="E10633" t="str">
        <f>"LUCEDALE                  "</f>
        <v xml:space="preserve">LUCEDALE                  </v>
      </c>
      <c r="F10633" t="str">
        <f t="shared" si="293"/>
        <v>MS</v>
      </c>
    </row>
    <row r="10634" spans="1:6" x14ac:dyDescent="0.25">
      <c r="A10634" t="str">
        <f>"004771528"</f>
        <v>004771528</v>
      </c>
      <c r="B10634" t="str">
        <f>"1295847432"</f>
        <v>1295847432</v>
      </c>
      <c r="C10634" t="str">
        <f>"152W00000X"</f>
        <v>152W00000X</v>
      </c>
      <c r="D10634" t="str">
        <f>"HAIRSTON                 TONYATTA     T           "</f>
        <v xml:space="preserve">HAIRSTON                 TONYATTA     T           </v>
      </c>
      <c r="E10634" t="str">
        <f>"JACKSON                   "</f>
        <v xml:space="preserve">JACKSON                   </v>
      </c>
      <c r="F10634" t="str">
        <f t="shared" si="293"/>
        <v>MS</v>
      </c>
    </row>
    <row r="10635" spans="1:6" x14ac:dyDescent="0.25">
      <c r="A10635" t="str">
        <f>"004773811"</f>
        <v>004773811</v>
      </c>
      <c r="B10635" t="str">
        <f>"1205495843"</f>
        <v>1205495843</v>
      </c>
      <c r="C10635" t="str">
        <f>"122300000X"</f>
        <v>122300000X</v>
      </c>
      <c r="D10635" t="str">
        <f>"STEWART                  DEVIN        J           "</f>
        <v xml:space="preserve">STEWART                  DEVIN        J           </v>
      </c>
      <c r="E10635" t="str">
        <f>"CANTON                    "</f>
        <v xml:space="preserve">CANTON                    </v>
      </c>
      <c r="F10635" t="str">
        <f t="shared" si="293"/>
        <v>MS</v>
      </c>
    </row>
    <row r="10636" spans="1:6" x14ac:dyDescent="0.25">
      <c r="A10636" t="str">
        <f>"004774531"</f>
        <v>004774531</v>
      </c>
      <c r="B10636" t="str">
        <f>"1063709525"</f>
        <v>1063709525</v>
      </c>
      <c r="C10636" t="str">
        <f>"207Q00000X"</f>
        <v>207Q00000X</v>
      </c>
      <c r="D10636" t="str">
        <f>"GREEN                    CIERRA       C           "</f>
        <v xml:space="preserve">GREEN                    CIERRA       C           </v>
      </c>
      <c r="E10636" t="str">
        <f>"LONG BEACH                "</f>
        <v xml:space="preserve">LONG BEACH                </v>
      </c>
      <c r="F10636" t="str">
        <f t="shared" si="293"/>
        <v>MS</v>
      </c>
    </row>
    <row r="10637" spans="1:6" x14ac:dyDescent="0.25">
      <c r="A10637" t="str">
        <f>"004774729"</f>
        <v>004774729</v>
      </c>
      <c r="B10637" t="str">
        <f>"1972564797"</f>
        <v>1972564797</v>
      </c>
      <c r="C10637" t="str">
        <f>"367500000X"</f>
        <v>367500000X</v>
      </c>
      <c r="D10637" t="str">
        <f>"SILVEY                   JILL         P           "</f>
        <v xml:space="preserve">SILVEY                   JILL         P           </v>
      </c>
      <c r="E10637" t="str">
        <f>"FLOWOOD                   "</f>
        <v xml:space="preserve">FLOWOOD                   </v>
      </c>
      <c r="F10637" t="str">
        <f t="shared" si="293"/>
        <v>MS</v>
      </c>
    </row>
    <row r="10638" spans="1:6" x14ac:dyDescent="0.25">
      <c r="A10638" t="str">
        <f>"004774854"</f>
        <v>004774854</v>
      </c>
      <c r="B10638" t="str">
        <f>"1659844553"</f>
        <v>1659844553</v>
      </c>
      <c r="C10638" t="str">
        <f>"363L00000X"</f>
        <v>363L00000X</v>
      </c>
      <c r="D10638" t="str">
        <f>"ROGERS                   LISA         M           "</f>
        <v xml:space="preserve">ROGERS                   LISA         M           </v>
      </c>
      <c r="E10638" t="str">
        <f>"SOUTHAVEN                 "</f>
        <v xml:space="preserve">SOUTHAVEN                 </v>
      </c>
      <c r="F10638" t="str">
        <f t="shared" si="293"/>
        <v>MS</v>
      </c>
    </row>
    <row r="10639" spans="1:6" x14ac:dyDescent="0.25">
      <c r="A10639" t="str">
        <f>"004775204"</f>
        <v>004775204</v>
      </c>
      <c r="B10639" t="str">
        <f>"1003267634"</f>
        <v>1003267634</v>
      </c>
      <c r="C10639" t="str">
        <f>"2080P0203X"</f>
        <v>2080P0203X</v>
      </c>
      <c r="D10639" t="str">
        <f>"KOMESWARAN               KAVIPRIYA                "</f>
        <v xml:space="preserve">KOMESWARAN               KAVIPRIYA                </v>
      </c>
      <c r="E10639" t="str">
        <f>"JACKSON                   "</f>
        <v xml:space="preserve">JACKSON                   </v>
      </c>
      <c r="F10639" t="str">
        <f t="shared" si="293"/>
        <v>MS</v>
      </c>
    </row>
    <row r="10640" spans="1:6" x14ac:dyDescent="0.25">
      <c r="A10640" t="str">
        <f>"004775269"</f>
        <v>004775269</v>
      </c>
      <c r="B10640" t="str">
        <f>"1093262610"</f>
        <v>1093262610</v>
      </c>
      <c r="C10640" t="str">
        <f>"363L00000X"</f>
        <v>363L00000X</v>
      </c>
      <c r="D10640" t="str">
        <f>"MONK                     KRYSTLE      W           "</f>
        <v xml:space="preserve">MONK                     KRYSTLE      W           </v>
      </c>
      <c r="E10640" t="str">
        <f>"RIDGELAND                 "</f>
        <v xml:space="preserve">RIDGELAND                 </v>
      </c>
      <c r="F10640" t="str">
        <f t="shared" si="293"/>
        <v>MS</v>
      </c>
    </row>
    <row r="10641" spans="1:6" x14ac:dyDescent="0.25">
      <c r="A10641" t="str">
        <f>"004776258"</f>
        <v>004776258</v>
      </c>
      <c r="B10641" t="str">
        <f>"1235115056"</f>
        <v>1235115056</v>
      </c>
      <c r="C10641" t="str">
        <f>"207P00000X"</f>
        <v>207P00000X</v>
      </c>
      <c r="D10641" t="str">
        <f>"SHAW                     MICHAEL      D           "</f>
        <v xml:space="preserve">SHAW                     MICHAEL      D           </v>
      </c>
      <c r="E10641" t="str">
        <f>"STARKVILLE                "</f>
        <v xml:space="preserve">STARKVILLE                </v>
      </c>
      <c r="F10641" t="str">
        <f t="shared" si="293"/>
        <v>MS</v>
      </c>
    </row>
    <row r="10642" spans="1:6" x14ac:dyDescent="0.25">
      <c r="A10642" t="str">
        <f>"004776524"</f>
        <v>004776524</v>
      </c>
      <c r="B10642" t="str">
        <f>"1518127620"</f>
        <v>1518127620</v>
      </c>
      <c r="C10642" t="str">
        <f>"207R00000X"</f>
        <v>207R00000X</v>
      </c>
      <c r="D10642" t="str">
        <f>"PATEL                    SHAILESH     M           "</f>
        <v xml:space="preserve">PATEL                    SHAILESH     M           </v>
      </c>
      <c r="E10642" t="str">
        <f>"OLIVE BRANCH              "</f>
        <v xml:space="preserve">OLIVE BRANCH              </v>
      </c>
      <c r="F10642" t="str">
        <f t="shared" si="293"/>
        <v>MS</v>
      </c>
    </row>
    <row r="10643" spans="1:6" x14ac:dyDescent="0.25">
      <c r="A10643" t="str">
        <f>"004777596"</f>
        <v>004777596</v>
      </c>
      <c r="B10643" t="str">
        <f>"1558651919"</f>
        <v>1558651919</v>
      </c>
      <c r="C10643" t="str">
        <f>"207R00000X"</f>
        <v>207R00000X</v>
      </c>
      <c r="D10643" t="str">
        <f>"BYNUM                    JOSEPH       A           "</f>
        <v xml:space="preserve">BYNUM                    JOSEPH       A           </v>
      </c>
      <c r="E10643" t="str">
        <f>"NEW ALBANY                "</f>
        <v xml:space="preserve">NEW ALBANY                </v>
      </c>
      <c r="F10643" t="str">
        <f t="shared" si="293"/>
        <v>MS</v>
      </c>
    </row>
    <row r="10644" spans="1:6" x14ac:dyDescent="0.25">
      <c r="A10644" t="str">
        <f>"004778509"</f>
        <v>004778509</v>
      </c>
      <c r="B10644" t="str">
        <f>"1518167949"</f>
        <v>1518167949</v>
      </c>
      <c r="C10644" t="str">
        <f>"363LP0808X"</f>
        <v>363LP0808X</v>
      </c>
      <c r="D10644" t="str">
        <f>"SPIERS                   SANDRA       J           "</f>
        <v xml:space="preserve">SPIERS                   SANDRA       J           </v>
      </c>
      <c r="E10644" t="str">
        <f>"PICAYUNE                  "</f>
        <v xml:space="preserve">PICAYUNE                  </v>
      </c>
      <c r="F10644" t="str">
        <f t="shared" si="293"/>
        <v>MS</v>
      </c>
    </row>
    <row r="10645" spans="1:6" x14ac:dyDescent="0.25">
      <c r="A10645" t="str">
        <f>"004779260"</f>
        <v>004779260</v>
      </c>
      <c r="B10645" t="str">
        <f>"1467521914"</f>
        <v>1467521914</v>
      </c>
      <c r="C10645" t="str">
        <f>"367500000X"</f>
        <v>367500000X</v>
      </c>
      <c r="D10645" t="str">
        <f>"SCHENK                   SUSAN        A           "</f>
        <v xml:space="preserve">SCHENK                   SUSAN        A           </v>
      </c>
      <c r="E10645" t="str">
        <f>"FLOWOOD                   "</f>
        <v xml:space="preserve">FLOWOOD                   </v>
      </c>
      <c r="F10645" t="str">
        <f t="shared" si="293"/>
        <v>MS</v>
      </c>
    </row>
    <row r="10646" spans="1:6" x14ac:dyDescent="0.25">
      <c r="A10646" t="str">
        <f>"004779525"</f>
        <v>004779525</v>
      </c>
      <c r="B10646" t="str">
        <f>"1043745243"</f>
        <v>1043745243</v>
      </c>
      <c r="C10646" t="str">
        <f>"207NP0225X"</f>
        <v>207NP0225X</v>
      </c>
      <c r="D10646" t="str">
        <f>"HUYNH                    THY          N           "</f>
        <v xml:space="preserve">HUYNH                    THY          N           </v>
      </c>
      <c r="E10646" t="str">
        <f>"JACKSON                   "</f>
        <v xml:space="preserve">JACKSON                   </v>
      </c>
      <c r="F10646" t="str">
        <f t="shared" si="293"/>
        <v>MS</v>
      </c>
    </row>
    <row r="10647" spans="1:6" x14ac:dyDescent="0.25">
      <c r="A10647" t="str">
        <f>"004782227"</f>
        <v>004782227</v>
      </c>
      <c r="B10647" t="str">
        <f>"1801288410"</f>
        <v>1801288410</v>
      </c>
      <c r="C10647" t="str">
        <f>"363L00000X"</f>
        <v>363L00000X</v>
      </c>
      <c r="D10647" t="str">
        <f>"THOMAS                   NELDA        C           "</f>
        <v xml:space="preserve">THOMAS                   NELDA        C           </v>
      </c>
      <c r="E10647" t="str">
        <f>"JACKSON                   "</f>
        <v xml:space="preserve">JACKSON                   </v>
      </c>
      <c r="F10647" t="str">
        <f t="shared" si="293"/>
        <v>MS</v>
      </c>
    </row>
    <row r="10648" spans="1:6" x14ac:dyDescent="0.25">
      <c r="A10648" t="str">
        <f>"004783224"</f>
        <v>004783224</v>
      </c>
      <c r="B10648" t="str">
        <f>"1093123275"</f>
        <v>1093123275</v>
      </c>
      <c r="C10648" t="str">
        <f>"363L00000X"</f>
        <v>363L00000X</v>
      </c>
      <c r="D10648" t="str">
        <f>"GUIN                     MICHAEL      B           "</f>
        <v xml:space="preserve">GUIN                     MICHAEL      B           </v>
      </c>
      <c r="E10648" t="str">
        <f>"MERIDIAN                  "</f>
        <v xml:space="preserve">MERIDIAN                  </v>
      </c>
      <c r="F10648" t="str">
        <f t="shared" si="293"/>
        <v>MS</v>
      </c>
    </row>
    <row r="10649" spans="1:6" x14ac:dyDescent="0.25">
      <c r="A10649" t="str">
        <f>"004783272"</f>
        <v>004783272</v>
      </c>
      <c r="B10649" t="str">
        <f>"1205597846"</f>
        <v>1205597846</v>
      </c>
      <c r="C10649" t="str">
        <f>"367500000X"</f>
        <v>367500000X</v>
      </c>
      <c r="D10649" t="str">
        <f>"DAVIS                    ELIZABETH    P           "</f>
        <v xml:space="preserve">DAVIS                    ELIZABETH    P           </v>
      </c>
      <c r="E10649" t="str">
        <f>"GULFPORT                  "</f>
        <v xml:space="preserve">GULFPORT                  </v>
      </c>
      <c r="F10649" t="str">
        <f t="shared" si="293"/>
        <v>MS</v>
      </c>
    </row>
    <row r="10650" spans="1:6" x14ac:dyDescent="0.25">
      <c r="A10650" t="str">
        <f>"004784010"</f>
        <v>004784010</v>
      </c>
      <c r="B10650" t="str">
        <f>"1972021608"</f>
        <v>1972021608</v>
      </c>
      <c r="C10650" t="str">
        <f>"363L00000X"</f>
        <v>363L00000X</v>
      </c>
      <c r="D10650" t="str">
        <f>"UNDERWOOD                DANA         B           "</f>
        <v xml:space="preserve">UNDERWOOD                DANA         B           </v>
      </c>
      <c r="E10650" t="str">
        <f>"OXFORD                    "</f>
        <v xml:space="preserve">OXFORD                    </v>
      </c>
      <c r="F10650" t="str">
        <f t="shared" si="293"/>
        <v>MS</v>
      </c>
    </row>
    <row r="10651" spans="1:6" x14ac:dyDescent="0.25">
      <c r="A10651" t="str">
        <f>"004784050"</f>
        <v>004784050</v>
      </c>
      <c r="B10651" t="str">
        <f>"1184091894"</f>
        <v>1184091894</v>
      </c>
      <c r="C10651" t="str">
        <f>"363LF0000X"</f>
        <v>363LF0000X</v>
      </c>
      <c r="D10651" t="str">
        <f>"THOMAS                   WYCONDAROGA  E           "</f>
        <v xml:space="preserve">THOMAS                   WYCONDAROGA  E           </v>
      </c>
      <c r="E10651" t="str">
        <f>"MOUND BAYOU               "</f>
        <v xml:space="preserve">MOUND BAYOU               </v>
      </c>
      <c r="F10651" t="str">
        <f t="shared" si="293"/>
        <v>MS</v>
      </c>
    </row>
    <row r="10652" spans="1:6" x14ac:dyDescent="0.25">
      <c r="A10652" t="str">
        <f>"004785301"</f>
        <v>004785301</v>
      </c>
      <c r="B10652" t="str">
        <f>"1346883162"</f>
        <v>1346883162</v>
      </c>
      <c r="C10652" t="str">
        <f>"363L00000X"</f>
        <v>363L00000X</v>
      </c>
      <c r="D10652" t="str">
        <f>"PATEL                    TARUNABEN    A           "</f>
        <v xml:space="preserve">PATEL                    TARUNABEN    A           </v>
      </c>
      <c r="E10652" t="str">
        <f>"CORINTH                   "</f>
        <v xml:space="preserve">CORINTH                   </v>
      </c>
      <c r="F10652" t="str">
        <f t="shared" si="293"/>
        <v>MS</v>
      </c>
    </row>
    <row r="10653" spans="1:6" x14ac:dyDescent="0.25">
      <c r="A10653" t="str">
        <f>"004785593"</f>
        <v>004785593</v>
      </c>
      <c r="B10653" t="str">
        <f>"1972792794"</f>
        <v>1972792794</v>
      </c>
      <c r="C10653" t="str">
        <f>"367500000X"</f>
        <v>367500000X</v>
      </c>
      <c r="D10653" t="str">
        <f>"WILLARD                  JULIE        P           "</f>
        <v xml:space="preserve">WILLARD                  JULIE        P           </v>
      </c>
      <c r="E10653" t="str">
        <f>"TUPELO                    "</f>
        <v xml:space="preserve">TUPELO                    </v>
      </c>
      <c r="F10653" t="str">
        <f t="shared" si="293"/>
        <v>MS</v>
      </c>
    </row>
    <row r="10654" spans="1:6" x14ac:dyDescent="0.25">
      <c r="A10654" t="str">
        <f>"004786024"</f>
        <v>004786024</v>
      </c>
      <c r="B10654" t="str">
        <f>"1508874769"</f>
        <v>1508874769</v>
      </c>
      <c r="C10654" t="str">
        <f>"261QF0400X"</f>
        <v>261QF0400X</v>
      </c>
      <c r="D10654" t="str">
        <f>"MINOR CARE CLINIC                                 "</f>
        <v xml:space="preserve">MINOR CARE CLINIC                                 </v>
      </c>
      <c r="E10654" t="str">
        <f>"HATTIESBURG               "</f>
        <v xml:space="preserve">HATTIESBURG               </v>
      </c>
      <c r="F10654" t="str">
        <f t="shared" si="293"/>
        <v>MS</v>
      </c>
    </row>
    <row r="10655" spans="1:6" x14ac:dyDescent="0.25">
      <c r="A10655" t="str">
        <f>"004786231"</f>
        <v>004786231</v>
      </c>
      <c r="B10655" t="str">
        <f>"1851832828"</f>
        <v>1851832828</v>
      </c>
      <c r="C10655" t="str">
        <f>"363L00000X"</f>
        <v>363L00000X</v>
      </c>
      <c r="D10655" t="str">
        <f>"DUBARD                   SARAH        A           "</f>
        <v xml:space="preserve">DUBARD                   SARAH        A           </v>
      </c>
      <c r="E10655" t="str">
        <f>"CANTON                    "</f>
        <v xml:space="preserve">CANTON                    </v>
      </c>
      <c r="F10655" t="str">
        <f t="shared" si="293"/>
        <v>MS</v>
      </c>
    </row>
    <row r="10656" spans="1:6" x14ac:dyDescent="0.25">
      <c r="A10656" t="str">
        <f>"004786322"</f>
        <v>004786322</v>
      </c>
      <c r="B10656" t="str">
        <f>"1861608721"</f>
        <v>1861608721</v>
      </c>
      <c r="C10656" t="str">
        <f>"208000000X"</f>
        <v>208000000X</v>
      </c>
      <c r="D10656" t="str">
        <f>"SULLIVAN                 MEGHAN       D           "</f>
        <v xml:space="preserve">SULLIVAN                 MEGHAN       D           </v>
      </c>
      <c r="E10656" t="str">
        <f>"SOUTHAVEN                 "</f>
        <v xml:space="preserve">SOUTHAVEN                 </v>
      </c>
      <c r="F10656" t="str">
        <f t="shared" si="293"/>
        <v>MS</v>
      </c>
    </row>
    <row r="10657" spans="1:6" x14ac:dyDescent="0.25">
      <c r="A10657" t="str">
        <f>"004787221"</f>
        <v>004787221</v>
      </c>
      <c r="B10657" t="str">
        <f>"1598954125"</f>
        <v>1598954125</v>
      </c>
      <c r="C10657" t="str">
        <f>"207R00000X"</f>
        <v>207R00000X</v>
      </c>
      <c r="D10657" t="str">
        <f>"LOFTISS                  CARRIE       M           "</f>
        <v xml:space="preserve">LOFTISS                  CARRIE       M           </v>
      </c>
      <c r="E10657" t="str">
        <f>"TUPELO                    "</f>
        <v xml:space="preserve">TUPELO                    </v>
      </c>
      <c r="F10657" t="str">
        <f t="shared" si="293"/>
        <v>MS</v>
      </c>
    </row>
    <row r="10658" spans="1:6" x14ac:dyDescent="0.25">
      <c r="A10658" t="str">
        <f>"004787335"</f>
        <v>004787335</v>
      </c>
      <c r="B10658" t="str">
        <f>"1023464732"</f>
        <v>1023464732</v>
      </c>
      <c r="C10658" t="str">
        <f>"207RN0300X"</f>
        <v>207RN0300X</v>
      </c>
      <c r="D10658" t="str">
        <f>"YEN                      TIMOTHY      E           "</f>
        <v xml:space="preserve">YEN                      TIMOTHY      E           </v>
      </c>
      <c r="E10658" t="str">
        <f>"JACKSON                   "</f>
        <v xml:space="preserve">JACKSON                   </v>
      </c>
      <c r="F10658" t="str">
        <f t="shared" si="293"/>
        <v>MS</v>
      </c>
    </row>
    <row r="10659" spans="1:6" x14ac:dyDescent="0.25">
      <c r="A10659" t="str">
        <f>"004788071"</f>
        <v>004788071</v>
      </c>
      <c r="B10659" t="str">
        <f>"1033723093"</f>
        <v>1033723093</v>
      </c>
      <c r="C10659" t="str">
        <f>"363L00000X"</f>
        <v>363L00000X</v>
      </c>
      <c r="D10659" t="str">
        <f>"RYALS                    AMBER        D           "</f>
        <v xml:space="preserve">RYALS                    AMBER        D           </v>
      </c>
      <c r="E10659" t="str">
        <f>"LAUREL                    "</f>
        <v xml:space="preserve">LAUREL                    </v>
      </c>
      <c r="F10659" t="str">
        <f t="shared" si="293"/>
        <v>MS</v>
      </c>
    </row>
    <row r="10660" spans="1:6" x14ac:dyDescent="0.25">
      <c r="A10660" t="str">
        <f>"004788270"</f>
        <v>004788270</v>
      </c>
      <c r="B10660" t="str">
        <f>"1316483084"</f>
        <v>1316483084</v>
      </c>
      <c r="C10660" t="str">
        <f>"363L00000X"</f>
        <v>363L00000X</v>
      </c>
      <c r="D10660" t="str">
        <f>"WHITE                    TRACI                    "</f>
        <v xml:space="preserve">WHITE                    TRACI                    </v>
      </c>
      <c r="E10660" t="str">
        <f>"VANCLEAVE                 "</f>
        <v xml:space="preserve">VANCLEAVE                 </v>
      </c>
      <c r="F10660" t="str">
        <f t="shared" si="293"/>
        <v>MS</v>
      </c>
    </row>
    <row r="10661" spans="1:6" x14ac:dyDescent="0.25">
      <c r="A10661" t="str">
        <f>"004788819"</f>
        <v>004788819</v>
      </c>
      <c r="B10661" t="str">
        <f>"1669777926"</f>
        <v>1669777926</v>
      </c>
      <c r="C10661" t="str">
        <f>"363L00000X"</f>
        <v>363L00000X</v>
      </c>
      <c r="D10661" t="str">
        <f>"BOATRIGHT                COURTNEY                 "</f>
        <v xml:space="preserve">BOATRIGHT                COURTNEY                 </v>
      </c>
      <c r="E10661" t="str">
        <f>"COLUMBUS                  "</f>
        <v xml:space="preserve">COLUMBUS                  </v>
      </c>
      <c r="F10661" t="str">
        <f t="shared" si="293"/>
        <v>MS</v>
      </c>
    </row>
    <row r="10662" spans="1:6" x14ac:dyDescent="0.25">
      <c r="A10662" t="str">
        <f>"004800061"</f>
        <v>004800061</v>
      </c>
      <c r="B10662" t="str">
        <f>"1386061778"</f>
        <v>1386061778</v>
      </c>
      <c r="C10662" t="str">
        <f>"363L00000X"</f>
        <v>363L00000X</v>
      </c>
      <c r="D10662" t="str">
        <f>"SOLDEVILA                KATHERINE    V           "</f>
        <v xml:space="preserve">SOLDEVILA                KATHERINE    V           </v>
      </c>
      <c r="E10662" t="str">
        <f>"OXFORD                    "</f>
        <v xml:space="preserve">OXFORD                    </v>
      </c>
      <c r="F10662" t="str">
        <f t="shared" si="293"/>
        <v>MS</v>
      </c>
    </row>
    <row r="10663" spans="1:6" x14ac:dyDescent="0.25">
      <c r="A10663" t="str">
        <f>"004801059"</f>
        <v>004801059</v>
      </c>
      <c r="B10663" t="str">
        <f>"1841630076"</f>
        <v>1841630076</v>
      </c>
      <c r="C10663" t="str">
        <f>"207R00000X"</f>
        <v>207R00000X</v>
      </c>
      <c r="D10663" t="str">
        <f>"SMITH                    LEAH                     "</f>
        <v xml:space="preserve">SMITH                    LEAH                     </v>
      </c>
      <c r="E10663" t="str">
        <f>"JACKSON                   "</f>
        <v xml:space="preserve">JACKSON                   </v>
      </c>
      <c r="F10663" t="str">
        <f t="shared" si="293"/>
        <v>MS</v>
      </c>
    </row>
    <row r="10664" spans="1:6" x14ac:dyDescent="0.25">
      <c r="A10664" t="str">
        <f>"004801259"</f>
        <v>004801259</v>
      </c>
      <c r="B10664" t="str">
        <f>"1770876377"</f>
        <v>1770876377</v>
      </c>
      <c r="C10664" t="str">
        <f>"363L00000X"</f>
        <v>363L00000X</v>
      </c>
      <c r="D10664" t="str">
        <f>"CAMPBELL                 AMY          C           "</f>
        <v xml:space="preserve">CAMPBELL                 AMY          C           </v>
      </c>
      <c r="E10664" t="str">
        <f>"FLOWOOD                   "</f>
        <v xml:space="preserve">FLOWOOD                   </v>
      </c>
      <c r="F10664" t="str">
        <f t="shared" si="293"/>
        <v>MS</v>
      </c>
    </row>
    <row r="10665" spans="1:6" x14ac:dyDescent="0.25">
      <c r="A10665" t="str">
        <f>"004801821"</f>
        <v>004801821</v>
      </c>
      <c r="B10665" t="str">
        <f>"1609156116"</f>
        <v>1609156116</v>
      </c>
      <c r="C10665" t="str">
        <f>"363L00000X"</f>
        <v>363L00000X</v>
      </c>
      <c r="D10665" t="str">
        <f>"SMITH                    MELISSA      C           "</f>
        <v xml:space="preserve">SMITH                    MELISSA      C           </v>
      </c>
      <c r="E10665" t="str">
        <f>"HATTIESBURG               "</f>
        <v xml:space="preserve">HATTIESBURG               </v>
      </c>
      <c r="F10665" t="str">
        <f t="shared" si="293"/>
        <v>MS</v>
      </c>
    </row>
    <row r="10666" spans="1:6" x14ac:dyDescent="0.25">
      <c r="A10666" t="str">
        <f>"004802528"</f>
        <v>004802528</v>
      </c>
      <c r="B10666" t="str">
        <f>"1326438706"</f>
        <v>1326438706</v>
      </c>
      <c r="C10666" t="str">
        <f>"152W00000X"</f>
        <v>152W00000X</v>
      </c>
      <c r="D10666" t="str">
        <f>"WELLS                    CHANNING     K           "</f>
        <v xml:space="preserve">WELLS                    CHANNING     K           </v>
      </c>
      <c r="E10666" t="str">
        <f>"HAZLEHURST                "</f>
        <v xml:space="preserve">HAZLEHURST                </v>
      </c>
      <c r="F10666" t="str">
        <f t="shared" si="293"/>
        <v>MS</v>
      </c>
    </row>
    <row r="10667" spans="1:6" x14ac:dyDescent="0.25">
      <c r="A10667" t="str">
        <f>"004802591"</f>
        <v>004802591</v>
      </c>
      <c r="B10667" t="str">
        <f>"1184971046"</f>
        <v>1184971046</v>
      </c>
      <c r="C10667" t="str">
        <f>"363L00000X"</f>
        <v>363L00000X</v>
      </c>
      <c r="D10667" t="str">
        <f>"THOMAS                   RHONDA       J           "</f>
        <v xml:space="preserve">THOMAS                   RHONDA       J           </v>
      </c>
      <c r="E10667" t="str">
        <f>"MONTICELLO                "</f>
        <v xml:space="preserve">MONTICELLO                </v>
      </c>
      <c r="F10667" t="str">
        <f t="shared" si="293"/>
        <v>MS</v>
      </c>
    </row>
    <row r="10668" spans="1:6" x14ac:dyDescent="0.25">
      <c r="A10668" t="str">
        <f>"004802715"</f>
        <v>004802715</v>
      </c>
      <c r="B10668" t="str">
        <f>"1750466876"</f>
        <v>1750466876</v>
      </c>
      <c r="C10668" t="str">
        <f>"2085R0202X"</f>
        <v>2085R0202X</v>
      </c>
      <c r="D10668" t="str">
        <f>"RHODEN                   SANDRA       J           "</f>
        <v xml:space="preserve">RHODEN                   SANDRA       J           </v>
      </c>
      <c r="E10668" t="str">
        <f>"MADISON                   "</f>
        <v xml:space="preserve">MADISON                   </v>
      </c>
      <c r="F10668" t="str">
        <f t="shared" si="293"/>
        <v>MS</v>
      </c>
    </row>
    <row r="10669" spans="1:6" x14ac:dyDescent="0.25">
      <c r="A10669" t="str">
        <f>"004802721"</f>
        <v>004802721</v>
      </c>
      <c r="B10669" t="str">
        <f>"1427728716"</f>
        <v>1427728716</v>
      </c>
      <c r="C10669" t="str">
        <f>"363L00000X"</f>
        <v>363L00000X</v>
      </c>
      <c r="D10669" t="str">
        <f>"JAMES                    JADE         E           "</f>
        <v xml:space="preserve">JAMES                    JADE         E           </v>
      </c>
      <c r="E10669" t="str">
        <f>"BURNSVILLE                "</f>
        <v xml:space="preserve">BURNSVILLE                </v>
      </c>
      <c r="F10669" t="str">
        <f t="shared" si="293"/>
        <v>MS</v>
      </c>
    </row>
    <row r="10670" spans="1:6" x14ac:dyDescent="0.25">
      <c r="A10670" t="str">
        <f>"004805897"</f>
        <v>004805897</v>
      </c>
      <c r="B10670" t="str">
        <f>"1568801108"</f>
        <v>1568801108</v>
      </c>
      <c r="C10670" t="str">
        <f>"363L00000X"</f>
        <v>363L00000X</v>
      </c>
      <c r="D10670" t="str">
        <f>"BOONE                    GABRIELLE    E           "</f>
        <v xml:space="preserve">BOONE                    GABRIELLE    E           </v>
      </c>
      <c r="E10670" t="str">
        <f>"MERIDIAN                  "</f>
        <v xml:space="preserve">MERIDIAN                  </v>
      </c>
      <c r="F10670" t="str">
        <f t="shared" si="293"/>
        <v>MS</v>
      </c>
    </row>
    <row r="10671" spans="1:6" x14ac:dyDescent="0.25">
      <c r="A10671" t="str">
        <f>"004807257"</f>
        <v>004807257</v>
      </c>
      <c r="B10671" t="str">
        <f>"1841272580"</f>
        <v>1841272580</v>
      </c>
      <c r="C10671" t="str">
        <f>"363L00000X"</f>
        <v>363L00000X</v>
      </c>
      <c r="D10671" t="str">
        <f>"HYLANDER                 TONYA        M           "</f>
        <v xml:space="preserve">HYLANDER                 TONYA        M           </v>
      </c>
      <c r="E10671" t="str">
        <f>"OLIVE BRANCH              "</f>
        <v xml:space="preserve">OLIVE BRANCH              </v>
      </c>
      <c r="F10671" t="str">
        <f t="shared" si="293"/>
        <v>MS</v>
      </c>
    </row>
    <row r="10672" spans="1:6" x14ac:dyDescent="0.25">
      <c r="A10672" t="str">
        <f>"004807555"</f>
        <v>004807555</v>
      </c>
      <c r="B10672" t="str">
        <f>"1083852131"</f>
        <v>1083852131</v>
      </c>
      <c r="C10672" t="str">
        <f>"363L00000X"</f>
        <v>363L00000X</v>
      </c>
      <c r="D10672" t="str">
        <f>"KNIGHT                   SARA                     "</f>
        <v xml:space="preserve">KNIGHT                   SARA                     </v>
      </c>
      <c r="E10672" t="str">
        <f>"JACKSON                   "</f>
        <v xml:space="preserve">JACKSON                   </v>
      </c>
      <c r="F10672" t="str">
        <f t="shared" si="293"/>
        <v>MS</v>
      </c>
    </row>
    <row r="10673" spans="1:6" x14ac:dyDescent="0.25">
      <c r="A10673" t="str">
        <f>"004808013"</f>
        <v>004808013</v>
      </c>
      <c r="B10673" t="str">
        <f>"1003433467"</f>
        <v>1003433467</v>
      </c>
      <c r="C10673" t="str">
        <f>"152W00000X"</f>
        <v>152W00000X</v>
      </c>
      <c r="D10673" t="str">
        <f>"REYNOLDS                 KATHERINE    E           "</f>
        <v xml:space="preserve">REYNOLDS                 KATHERINE    E           </v>
      </c>
      <c r="E10673" t="str">
        <f>"HATTIESBURG               "</f>
        <v xml:space="preserve">HATTIESBURG               </v>
      </c>
      <c r="F10673" t="str">
        <f t="shared" si="293"/>
        <v>MS</v>
      </c>
    </row>
    <row r="10674" spans="1:6" x14ac:dyDescent="0.25">
      <c r="A10674" t="str">
        <f>"004808541"</f>
        <v>004808541</v>
      </c>
      <c r="B10674" t="str">
        <f>"1487063053"</f>
        <v>1487063053</v>
      </c>
      <c r="C10674" t="str">
        <f>"122300000X"</f>
        <v>122300000X</v>
      </c>
      <c r="D10674" t="str">
        <f>"ZAKI                     MINA                     "</f>
        <v xml:space="preserve">ZAKI                     MINA                     </v>
      </c>
      <c r="E10674" t="str">
        <f>"SOUTHAVEN                 "</f>
        <v xml:space="preserve">SOUTHAVEN                 </v>
      </c>
      <c r="F10674" t="str">
        <f t="shared" si="293"/>
        <v>MS</v>
      </c>
    </row>
    <row r="10675" spans="1:6" x14ac:dyDescent="0.25">
      <c r="A10675" t="str">
        <f>"004809861"</f>
        <v>004809861</v>
      </c>
      <c r="B10675" t="str">
        <f>"1194790287"</f>
        <v>1194790287</v>
      </c>
      <c r="C10675" t="str">
        <f>"207Q00000X"</f>
        <v>207Q00000X</v>
      </c>
      <c r="D10675" t="str">
        <f>"FRYE                     RONALD       M           "</f>
        <v xml:space="preserve">FRYE                     RONALD       M           </v>
      </c>
      <c r="E10675" t="str">
        <f>"FAYETTE                   "</f>
        <v xml:space="preserve">FAYETTE                   </v>
      </c>
      <c r="F10675" t="str">
        <f t="shared" si="293"/>
        <v>MS</v>
      </c>
    </row>
    <row r="10676" spans="1:6" x14ac:dyDescent="0.25">
      <c r="A10676" t="str">
        <f>"004825058"</f>
        <v>004825058</v>
      </c>
      <c r="B10676" t="str">
        <f>"1861505448"</f>
        <v>1861505448</v>
      </c>
      <c r="C10676" t="str">
        <f>"207RC0000X"</f>
        <v>207RC0000X</v>
      </c>
      <c r="D10676" t="str">
        <f>"KING                     JOHN         J           "</f>
        <v xml:space="preserve">KING                     JOHN         J           </v>
      </c>
      <c r="E10676" t="str">
        <f>"COLUMBUS                  "</f>
        <v xml:space="preserve">COLUMBUS                  </v>
      </c>
      <c r="F10676" t="str">
        <f t="shared" si="293"/>
        <v>MS</v>
      </c>
    </row>
    <row r="10677" spans="1:6" x14ac:dyDescent="0.25">
      <c r="A10677" t="str">
        <f>"004826791"</f>
        <v>004826791</v>
      </c>
      <c r="B10677" t="str">
        <f>"1558599837"</f>
        <v>1558599837</v>
      </c>
      <c r="C10677" t="str">
        <f>"367500000X"</f>
        <v>367500000X</v>
      </c>
      <c r="D10677" t="str">
        <f>"O'REILLY                 KELLY        R           "</f>
        <v xml:space="preserve">O'REILLY                 KELLY        R           </v>
      </c>
      <c r="E10677" t="str">
        <f>"FLOWOOD                   "</f>
        <v xml:space="preserve">FLOWOOD                   </v>
      </c>
      <c r="F10677" t="str">
        <f t="shared" si="293"/>
        <v>MS</v>
      </c>
    </row>
    <row r="10678" spans="1:6" x14ac:dyDescent="0.25">
      <c r="A10678" t="str">
        <f>"004827830"</f>
        <v>004827830</v>
      </c>
      <c r="B10678" t="str">
        <f>"1306411566"</f>
        <v>1306411566</v>
      </c>
      <c r="C10678" t="str">
        <f>"363L00000X"</f>
        <v>363L00000X</v>
      </c>
      <c r="D10678" t="str">
        <f>"BURNHAM                  BRIDGET      K           "</f>
        <v xml:space="preserve">BURNHAM                  BRIDGET      K           </v>
      </c>
      <c r="E10678" t="str">
        <f>"LAUREL                    "</f>
        <v xml:space="preserve">LAUREL                    </v>
      </c>
      <c r="F10678" t="str">
        <f t="shared" si="293"/>
        <v>MS</v>
      </c>
    </row>
    <row r="10679" spans="1:6" x14ac:dyDescent="0.25">
      <c r="A10679" t="str">
        <f>"004828561"</f>
        <v>004828561</v>
      </c>
      <c r="B10679" t="str">
        <f>"1962716894"</f>
        <v>1962716894</v>
      </c>
      <c r="C10679" t="str">
        <f>"363L00000X"</f>
        <v>363L00000X</v>
      </c>
      <c r="D10679" t="str">
        <f>"ALEXANDER                KATHRYN      C           "</f>
        <v xml:space="preserve">ALEXANDER                KATHRYN      C           </v>
      </c>
      <c r="E10679" t="str">
        <f>"JACKSON                   "</f>
        <v xml:space="preserve">JACKSON                   </v>
      </c>
      <c r="F10679" t="str">
        <f t="shared" si="293"/>
        <v>MS</v>
      </c>
    </row>
    <row r="10680" spans="1:6" x14ac:dyDescent="0.25">
      <c r="A10680" t="str">
        <f>"004829713"</f>
        <v>004829713</v>
      </c>
      <c r="B10680" t="str">
        <f>"1457332066"</f>
        <v>1457332066</v>
      </c>
      <c r="C10680" t="str">
        <f>"207R00000X"</f>
        <v>207R00000X</v>
      </c>
      <c r="D10680" t="str">
        <f>"KEITH                    STEPHEN      P           "</f>
        <v xml:space="preserve">KEITH                    STEPHEN      P           </v>
      </c>
      <c r="E10680" t="str">
        <f>"MCCOMB                    "</f>
        <v xml:space="preserve">MCCOMB                    </v>
      </c>
      <c r="F10680" t="str">
        <f t="shared" si="293"/>
        <v>MS</v>
      </c>
    </row>
    <row r="10681" spans="1:6" x14ac:dyDescent="0.25">
      <c r="A10681" t="str">
        <f>"004830214"</f>
        <v>004830214</v>
      </c>
      <c r="B10681" t="str">
        <f>"1942695929"</f>
        <v>1942695929</v>
      </c>
      <c r="C10681" t="str">
        <f>"363L00000X"</f>
        <v>363L00000X</v>
      </c>
      <c r="D10681" t="str">
        <f>"PUCKETT                  TARA                     "</f>
        <v xml:space="preserve">PUCKETT                  TARA                     </v>
      </c>
      <c r="E10681" t="str">
        <f>"SENATOBIA                 "</f>
        <v xml:space="preserve">SENATOBIA                 </v>
      </c>
      <c r="F10681" t="str">
        <f t="shared" si="293"/>
        <v>MS</v>
      </c>
    </row>
    <row r="10682" spans="1:6" x14ac:dyDescent="0.25">
      <c r="A10682" t="str">
        <f>"004832311"</f>
        <v>004832311</v>
      </c>
      <c r="B10682" t="str">
        <f>"1619226032"</f>
        <v>1619226032</v>
      </c>
      <c r="C10682" t="str">
        <f>"363L00000X"</f>
        <v>363L00000X</v>
      </c>
      <c r="D10682" t="str">
        <f>"DAVIS                    LAURA                    "</f>
        <v xml:space="preserve">DAVIS                    LAURA                    </v>
      </c>
      <c r="E10682" t="str">
        <f>"OXFORD                    "</f>
        <v xml:space="preserve">OXFORD                    </v>
      </c>
      <c r="F10682" t="str">
        <f t="shared" si="293"/>
        <v>MS</v>
      </c>
    </row>
    <row r="10683" spans="1:6" x14ac:dyDescent="0.25">
      <c r="A10683" t="str">
        <f>"004832364"</f>
        <v>004832364</v>
      </c>
      <c r="B10683" t="str">
        <f>"1477957918"</f>
        <v>1477957918</v>
      </c>
      <c r="C10683" t="str">
        <f>"363L00000X"</f>
        <v>363L00000X</v>
      </c>
      <c r="D10683" t="str">
        <f>"PRICE                    TIFFANY                  "</f>
        <v xml:space="preserve">PRICE                    TIFFANY                  </v>
      </c>
      <c r="E10683" t="str">
        <f>"CHOCTAW                   "</f>
        <v xml:space="preserve">CHOCTAW                   </v>
      </c>
      <c r="F10683" t="str">
        <f t="shared" si="293"/>
        <v>MS</v>
      </c>
    </row>
    <row r="10684" spans="1:6" x14ac:dyDescent="0.25">
      <c r="A10684" t="str">
        <f>"004833503"</f>
        <v>004833503</v>
      </c>
      <c r="B10684" t="str">
        <f>"1285951970"</f>
        <v>1285951970</v>
      </c>
      <c r="C10684" t="str">
        <f>"261QF0400X"</f>
        <v>261QF0400X</v>
      </c>
      <c r="D10684" t="str">
        <f>"DELTA HEALTH CENTER INC                           "</f>
        <v xml:space="preserve">DELTA HEALTH CENTER INC                           </v>
      </c>
      <c r="E10684" t="str">
        <f>"CLEVELAND                 "</f>
        <v xml:space="preserve">CLEVELAND                 </v>
      </c>
      <c r="F10684" t="str">
        <f t="shared" si="293"/>
        <v>MS</v>
      </c>
    </row>
    <row r="10685" spans="1:6" x14ac:dyDescent="0.25">
      <c r="A10685" t="str">
        <f>"004834031"</f>
        <v>004834031</v>
      </c>
      <c r="B10685" t="str">
        <f>"1386395721"</f>
        <v>1386395721</v>
      </c>
      <c r="C10685" t="str">
        <f>"363L00000X"</f>
        <v>363L00000X</v>
      </c>
      <c r="D10685" t="str">
        <f>"MIDDLETON                CHARLES      H           "</f>
        <v xml:space="preserve">MIDDLETON                CHARLES      H           </v>
      </c>
      <c r="E10685" t="str">
        <f>"JACKSON                   "</f>
        <v xml:space="preserve">JACKSON                   </v>
      </c>
      <c r="F10685" t="str">
        <f t="shared" si="293"/>
        <v>MS</v>
      </c>
    </row>
    <row r="10686" spans="1:6" x14ac:dyDescent="0.25">
      <c r="A10686" t="str">
        <f>"004835709"</f>
        <v>004835709</v>
      </c>
      <c r="B10686" t="str">
        <f>"1982234183"</f>
        <v>1982234183</v>
      </c>
      <c r="C10686" t="str">
        <f>"363A00000X"</f>
        <v>363A00000X</v>
      </c>
      <c r="D10686" t="str">
        <f>"CARMODY                  EVA          M           "</f>
        <v xml:space="preserve">CARMODY                  EVA          M           </v>
      </c>
      <c r="E10686" t="str">
        <f>"JACKSON                   "</f>
        <v xml:space="preserve">JACKSON                   </v>
      </c>
      <c r="F10686" t="str">
        <f t="shared" ref="F10686:F10749" si="294">"MS"</f>
        <v>MS</v>
      </c>
    </row>
    <row r="10687" spans="1:6" x14ac:dyDescent="0.25">
      <c r="A10687" t="str">
        <f>"004836860"</f>
        <v>004836860</v>
      </c>
      <c r="B10687" t="str">
        <f>"1184162752"</f>
        <v>1184162752</v>
      </c>
      <c r="C10687" t="str">
        <f>"363L00000X"</f>
        <v>363L00000X</v>
      </c>
      <c r="D10687" t="str">
        <f>"LEWIS                    CATHERINE    F           "</f>
        <v xml:space="preserve">LEWIS                    CATHERINE    F           </v>
      </c>
      <c r="E10687" t="str">
        <f>"JACKSON                   "</f>
        <v xml:space="preserve">JACKSON                   </v>
      </c>
      <c r="F10687" t="str">
        <f t="shared" si="294"/>
        <v>MS</v>
      </c>
    </row>
    <row r="10688" spans="1:6" x14ac:dyDescent="0.25">
      <c r="A10688" t="str">
        <f>"004837303"</f>
        <v>004837303</v>
      </c>
      <c r="B10688" t="str">
        <f>"1366634669"</f>
        <v>1366634669</v>
      </c>
      <c r="C10688" t="str">
        <f>"261QA1903X"</f>
        <v>261QA1903X</v>
      </c>
      <c r="D10688" t="str">
        <f>"GI ASSOCIATES ENDOSCOPY CENTER                    "</f>
        <v xml:space="preserve">GI ASSOCIATES ENDOSCOPY CENTER                    </v>
      </c>
      <c r="E10688" t="str">
        <f>"VICKSBURG                 "</f>
        <v xml:space="preserve">VICKSBURG                 </v>
      </c>
      <c r="F10688" t="str">
        <f t="shared" si="294"/>
        <v>MS</v>
      </c>
    </row>
    <row r="10689" spans="1:6" x14ac:dyDescent="0.25">
      <c r="A10689" t="str">
        <f>"004839391"</f>
        <v>004839391</v>
      </c>
      <c r="B10689" t="str">
        <f>"1326093915"</f>
        <v>1326093915</v>
      </c>
      <c r="C10689" t="str">
        <f>"208000000X"</f>
        <v>208000000X</v>
      </c>
      <c r="D10689" t="str">
        <f>"FRANK                    ERICA        M           "</f>
        <v xml:space="preserve">FRANK                    ERICA        M           </v>
      </c>
      <c r="E10689" t="str">
        <f>"GULFPORT                  "</f>
        <v xml:space="preserve">GULFPORT                  </v>
      </c>
      <c r="F10689" t="str">
        <f t="shared" si="294"/>
        <v>MS</v>
      </c>
    </row>
    <row r="10690" spans="1:6" x14ac:dyDescent="0.25">
      <c r="A10690" t="str">
        <f>"004839506"</f>
        <v>004839506</v>
      </c>
      <c r="B10690" t="str">
        <f>"1710483532"</f>
        <v>1710483532</v>
      </c>
      <c r="C10690" t="str">
        <f>"208000000X"</f>
        <v>208000000X</v>
      </c>
      <c r="D10690" t="str">
        <f>"RUDSENSKE                NATALIE      E           "</f>
        <v xml:space="preserve">RUDSENSKE                NATALIE      E           </v>
      </c>
      <c r="E10690" t="str">
        <f>"JACKSON                   "</f>
        <v xml:space="preserve">JACKSON                   </v>
      </c>
      <c r="F10690" t="str">
        <f t="shared" si="294"/>
        <v>MS</v>
      </c>
    </row>
    <row r="10691" spans="1:6" x14ac:dyDescent="0.25">
      <c r="A10691" t="str">
        <f>"004850575"</f>
        <v>004850575</v>
      </c>
      <c r="B10691" t="str">
        <f>"1689961914"</f>
        <v>1689961914</v>
      </c>
      <c r="C10691" t="str">
        <f>"207Q00000X"</f>
        <v>207Q00000X</v>
      </c>
      <c r="D10691" t="str">
        <f>"DARSEY III               WILLIAM      S           "</f>
        <v xml:space="preserve">DARSEY III               WILLIAM      S           </v>
      </c>
      <c r="E10691" t="str">
        <f>"TUPELO                    "</f>
        <v xml:space="preserve">TUPELO                    </v>
      </c>
      <c r="F10691" t="str">
        <f t="shared" si="294"/>
        <v>MS</v>
      </c>
    </row>
    <row r="10692" spans="1:6" x14ac:dyDescent="0.25">
      <c r="A10692" t="str">
        <f>"004850907"</f>
        <v>004850907</v>
      </c>
      <c r="B10692" t="str">
        <f>"1497488779"</f>
        <v>1497488779</v>
      </c>
      <c r="C10692" t="str">
        <f>"363L00000X"</f>
        <v>363L00000X</v>
      </c>
      <c r="D10692" t="str">
        <f>"OLSON                    MARY         A           "</f>
        <v xml:space="preserve">OLSON                    MARY         A           </v>
      </c>
      <c r="E10692" t="str">
        <f>"HERNANDO                  "</f>
        <v xml:space="preserve">HERNANDO                  </v>
      </c>
      <c r="F10692" t="str">
        <f t="shared" si="294"/>
        <v>MS</v>
      </c>
    </row>
    <row r="10693" spans="1:6" x14ac:dyDescent="0.25">
      <c r="A10693" t="str">
        <f>"004851204"</f>
        <v>004851204</v>
      </c>
      <c r="B10693" t="str">
        <f>"1124167325"</f>
        <v>1124167325</v>
      </c>
      <c r="C10693" t="str">
        <f>"363L00000X"</f>
        <v>363L00000X</v>
      </c>
      <c r="D10693" t="str">
        <f>"GORDY                    MARY         A           "</f>
        <v xml:space="preserve">GORDY                    MARY         A           </v>
      </c>
      <c r="E10693" t="str">
        <f>"JACKSON                   "</f>
        <v xml:space="preserve">JACKSON                   </v>
      </c>
      <c r="F10693" t="str">
        <f t="shared" si="294"/>
        <v>MS</v>
      </c>
    </row>
    <row r="10694" spans="1:6" x14ac:dyDescent="0.25">
      <c r="A10694" t="str">
        <f>"004854276"</f>
        <v>004854276</v>
      </c>
      <c r="B10694" t="str">
        <f>"1124043641"</f>
        <v>1124043641</v>
      </c>
      <c r="C10694" t="str">
        <f>"207RC0000X"</f>
        <v>207RC0000X</v>
      </c>
      <c r="D10694" t="str">
        <f>"QUINTANA                 HUGO         A           "</f>
        <v xml:space="preserve">QUINTANA                 HUGO         A           </v>
      </c>
      <c r="E10694" t="str">
        <f>"PASCAGOULA                "</f>
        <v xml:space="preserve">PASCAGOULA                </v>
      </c>
      <c r="F10694" t="str">
        <f t="shared" si="294"/>
        <v>MS</v>
      </c>
    </row>
    <row r="10695" spans="1:6" x14ac:dyDescent="0.25">
      <c r="A10695" t="str">
        <f>"004854314"</f>
        <v>004854314</v>
      </c>
      <c r="B10695" t="str">
        <f>"1134152424"</f>
        <v>1134152424</v>
      </c>
      <c r="C10695" t="str">
        <f>"363L00000X"</f>
        <v>363L00000X</v>
      </c>
      <c r="D10695" t="str">
        <f>"KENDRICK                 BARBARA      F           "</f>
        <v xml:space="preserve">KENDRICK                 BARBARA      F           </v>
      </c>
      <c r="E10695" t="str">
        <f>"RIDGELAND                 "</f>
        <v xml:space="preserve">RIDGELAND                 </v>
      </c>
      <c r="F10695" t="str">
        <f t="shared" si="294"/>
        <v>MS</v>
      </c>
    </row>
    <row r="10696" spans="1:6" x14ac:dyDescent="0.25">
      <c r="A10696" t="str">
        <f>"004854379"</f>
        <v>004854379</v>
      </c>
      <c r="B10696" t="str">
        <f>"1003960907"</f>
        <v>1003960907</v>
      </c>
      <c r="C10696" t="str">
        <f>"363L00000X"</f>
        <v>363L00000X</v>
      </c>
      <c r="D10696" t="str">
        <f>"BRADFORD                 CONSTANCE                "</f>
        <v xml:space="preserve">BRADFORD                 CONSTANCE                </v>
      </c>
      <c r="E10696" t="str">
        <f>"MONTICELLO                "</f>
        <v xml:space="preserve">MONTICELLO                </v>
      </c>
      <c r="F10696" t="str">
        <f t="shared" si="294"/>
        <v>MS</v>
      </c>
    </row>
    <row r="10697" spans="1:6" x14ac:dyDescent="0.25">
      <c r="A10697" t="str">
        <f>"004856353"</f>
        <v>004856353</v>
      </c>
      <c r="B10697" t="str">
        <f>"1558761668"</f>
        <v>1558761668</v>
      </c>
      <c r="C10697" t="str">
        <f>"363L00000X"</f>
        <v>363L00000X</v>
      </c>
      <c r="D10697" t="str">
        <f>"GREER                    CHASSITY     W           "</f>
        <v xml:space="preserve">GREER                    CHASSITY     W           </v>
      </c>
      <c r="E10697" t="str">
        <f>"BYHALIA                   "</f>
        <v xml:space="preserve">BYHALIA                   </v>
      </c>
      <c r="F10697" t="str">
        <f t="shared" si="294"/>
        <v>MS</v>
      </c>
    </row>
    <row r="10698" spans="1:6" x14ac:dyDescent="0.25">
      <c r="A10698" t="str">
        <f>"004856806"</f>
        <v>004856806</v>
      </c>
      <c r="B10698" t="str">
        <f>"1437621323"</f>
        <v>1437621323</v>
      </c>
      <c r="C10698" t="str">
        <f>"363LF0000X"</f>
        <v>363LF0000X</v>
      </c>
      <c r="D10698" t="str">
        <f>"GANISON                  QUEENEICE    B           "</f>
        <v xml:space="preserve">GANISON                  QUEENEICE    B           </v>
      </c>
      <c r="E10698" t="str">
        <f>"MOUND BAYOU               "</f>
        <v xml:space="preserve">MOUND BAYOU               </v>
      </c>
      <c r="F10698" t="str">
        <f t="shared" si="294"/>
        <v>MS</v>
      </c>
    </row>
    <row r="10699" spans="1:6" x14ac:dyDescent="0.25">
      <c r="A10699" t="str">
        <f>"004856867"</f>
        <v>004856867</v>
      </c>
      <c r="B10699" t="str">
        <f>"1184058836"</f>
        <v>1184058836</v>
      </c>
      <c r="C10699" t="str">
        <f>"363L00000X"</f>
        <v>363L00000X</v>
      </c>
      <c r="D10699" t="str">
        <f>"DUKE                     LORI         S           "</f>
        <v xml:space="preserve">DUKE                     LORI         S           </v>
      </c>
      <c r="E10699" t="str">
        <f>"RIPLEY                    "</f>
        <v xml:space="preserve">RIPLEY                    </v>
      </c>
      <c r="F10699" t="str">
        <f t="shared" si="294"/>
        <v>MS</v>
      </c>
    </row>
    <row r="10700" spans="1:6" x14ac:dyDescent="0.25">
      <c r="A10700" t="str">
        <f>"004856882"</f>
        <v>004856882</v>
      </c>
      <c r="B10700" t="str">
        <f>"1144731985"</f>
        <v>1144731985</v>
      </c>
      <c r="C10700" t="str">
        <f>"363L00000X"</f>
        <v>363L00000X</v>
      </c>
      <c r="D10700" t="str">
        <f>"MASSEY                   CRYSTAL      N           "</f>
        <v xml:space="preserve">MASSEY                   CRYSTAL      N           </v>
      </c>
      <c r="E10700" t="str">
        <f>"ASHLAND                   "</f>
        <v xml:space="preserve">ASHLAND                   </v>
      </c>
      <c r="F10700" t="str">
        <f t="shared" si="294"/>
        <v>MS</v>
      </c>
    </row>
    <row r="10701" spans="1:6" x14ac:dyDescent="0.25">
      <c r="A10701" t="str">
        <f>"004857321"</f>
        <v>004857321</v>
      </c>
      <c r="B10701" t="str">
        <f>"1699252544"</f>
        <v>1699252544</v>
      </c>
      <c r="C10701" t="str">
        <f>"122300000X"</f>
        <v>122300000X</v>
      </c>
      <c r="D10701" t="str">
        <f>"GREEN STATES ANESTHESIA                           "</f>
        <v xml:space="preserve">GREEN STATES ANESTHESIA                           </v>
      </c>
      <c r="E10701" t="str">
        <f>"BILOXI                    "</f>
        <v xml:space="preserve">BILOXI                    </v>
      </c>
      <c r="F10701" t="str">
        <f t="shared" si="294"/>
        <v>MS</v>
      </c>
    </row>
    <row r="10702" spans="1:6" x14ac:dyDescent="0.25">
      <c r="A10702" t="str">
        <f>"004859042"</f>
        <v>004859042</v>
      </c>
      <c r="B10702" t="str">
        <f>"1497292239"</f>
        <v>1497292239</v>
      </c>
      <c r="C10702" t="str">
        <f>"122300000X"</f>
        <v>122300000X</v>
      </c>
      <c r="D10702" t="str">
        <f>"ADVANCED DENTAL CLINIC PLLC                       "</f>
        <v xml:space="preserve">ADVANCED DENTAL CLINIC PLLC                       </v>
      </c>
      <c r="E10702" t="str">
        <f>"RIDGELAND                 "</f>
        <v xml:space="preserve">RIDGELAND                 </v>
      </c>
      <c r="F10702" t="str">
        <f t="shared" si="294"/>
        <v>MS</v>
      </c>
    </row>
    <row r="10703" spans="1:6" x14ac:dyDescent="0.25">
      <c r="A10703" t="str">
        <f>"004870087"</f>
        <v>004870087</v>
      </c>
      <c r="B10703" t="str">
        <f>"1730325762"</f>
        <v>1730325762</v>
      </c>
      <c r="C10703" t="str">
        <f>"367500000X"</f>
        <v>367500000X</v>
      </c>
      <c r="D10703" t="str">
        <f>"JONES                    SHANERICKA   R           "</f>
        <v xml:space="preserve">JONES                    SHANERICKA   R           </v>
      </c>
      <c r="E10703" t="str">
        <f>"GULFPORT                  "</f>
        <v xml:space="preserve">GULFPORT                  </v>
      </c>
      <c r="F10703" t="str">
        <f t="shared" si="294"/>
        <v>MS</v>
      </c>
    </row>
    <row r="10704" spans="1:6" x14ac:dyDescent="0.25">
      <c r="A10704" t="str">
        <f>"004872256"</f>
        <v>004872256</v>
      </c>
      <c r="B10704" t="str">
        <f>"1184911612"</f>
        <v>1184911612</v>
      </c>
      <c r="C10704" t="str">
        <f>"208600000X"</f>
        <v>208600000X</v>
      </c>
      <c r="D10704" t="str">
        <f>"SALEEM                   TAIMUR                   "</f>
        <v xml:space="preserve">SALEEM                   TAIMUR                   </v>
      </c>
      <c r="E10704" t="str">
        <f>"JACKSON                   "</f>
        <v xml:space="preserve">JACKSON                   </v>
      </c>
      <c r="F10704" t="str">
        <f t="shared" si="294"/>
        <v>MS</v>
      </c>
    </row>
    <row r="10705" spans="1:6" x14ac:dyDescent="0.25">
      <c r="A10705" t="str">
        <f>"004872780"</f>
        <v>004872780</v>
      </c>
      <c r="B10705" t="str">
        <f>"1104589910"</f>
        <v>1104589910</v>
      </c>
      <c r="C10705" t="str">
        <f>"261QR1300X"</f>
        <v>261QR1300X</v>
      </c>
      <c r="D10705" t="str">
        <f>"MRH MEDICAL GROUP, HORN MEDICAL CLI               "</f>
        <v xml:space="preserve">MRH MEDICAL GROUP, HORN MEDICAL CLI               </v>
      </c>
      <c r="E10705" t="str">
        <f>"HOUSTON                   "</f>
        <v xml:space="preserve">HOUSTON                   </v>
      </c>
      <c r="F10705" t="str">
        <f t="shared" si="294"/>
        <v>MS</v>
      </c>
    </row>
    <row r="10706" spans="1:6" x14ac:dyDescent="0.25">
      <c r="A10706" t="str">
        <f>"004873326"</f>
        <v>004873326</v>
      </c>
      <c r="B10706" t="str">
        <f>"1780988949"</f>
        <v>1780988949</v>
      </c>
      <c r="C10706" t="str">
        <f>"363L00000X"</f>
        <v>363L00000X</v>
      </c>
      <c r="D10706" t="str">
        <f>"BRIDGES                  HOLLY        M           "</f>
        <v xml:space="preserve">BRIDGES                  HOLLY        M           </v>
      </c>
      <c r="E10706" t="str">
        <f>"JACKSON                   "</f>
        <v xml:space="preserve">JACKSON                   </v>
      </c>
      <c r="F10706" t="str">
        <f t="shared" si="294"/>
        <v>MS</v>
      </c>
    </row>
    <row r="10707" spans="1:6" x14ac:dyDescent="0.25">
      <c r="A10707" t="str">
        <f>"004874839"</f>
        <v>004874839</v>
      </c>
      <c r="B10707" t="str">
        <f>"1902013584"</f>
        <v>1902013584</v>
      </c>
      <c r="C10707" t="str">
        <f>"261QR1300X"</f>
        <v>261QR1300X</v>
      </c>
      <c r="D10707" t="str">
        <f>"MAGEE AFTER HOURS CLINIC                          "</f>
        <v xml:space="preserve">MAGEE AFTER HOURS CLINIC                          </v>
      </c>
      <c r="E10707" t="str">
        <f>"MAGEE                     "</f>
        <v xml:space="preserve">MAGEE                     </v>
      </c>
      <c r="F10707" t="str">
        <f t="shared" si="294"/>
        <v>MS</v>
      </c>
    </row>
    <row r="10708" spans="1:6" x14ac:dyDescent="0.25">
      <c r="A10708" t="str">
        <f>"004875030"</f>
        <v>004875030</v>
      </c>
      <c r="B10708" t="str">
        <f>"1679896575"</f>
        <v>1679896575</v>
      </c>
      <c r="C10708" t="str">
        <f>"363L00000X"</f>
        <v>363L00000X</v>
      </c>
      <c r="D10708" t="str">
        <f>"MIZELL                   AMANDA                   "</f>
        <v xml:space="preserve">MIZELL                   AMANDA                   </v>
      </c>
      <c r="E10708" t="str">
        <f>"GULFPORT                  "</f>
        <v xml:space="preserve">GULFPORT                  </v>
      </c>
      <c r="F10708" t="str">
        <f t="shared" si="294"/>
        <v>MS</v>
      </c>
    </row>
    <row r="10709" spans="1:6" x14ac:dyDescent="0.25">
      <c r="A10709" t="str">
        <f>"004875061"</f>
        <v>004875061</v>
      </c>
      <c r="B10709" t="str">
        <f>"1851688162"</f>
        <v>1851688162</v>
      </c>
      <c r="C10709" t="str">
        <f>"207Q00000X"</f>
        <v>207Q00000X</v>
      </c>
      <c r="D10709" t="str">
        <f>"MELTON                   KIT          C           "</f>
        <v xml:space="preserve">MELTON                   KIT          C           </v>
      </c>
      <c r="E10709" t="str">
        <f>"PASCAGOULA                "</f>
        <v xml:space="preserve">PASCAGOULA                </v>
      </c>
      <c r="F10709" t="str">
        <f t="shared" si="294"/>
        <v>MS</v>
      </c>
    </row>
    <row r="10710" spans="1:6" x14ac:dyDescent="0.25">
      <c r="A10710" t="str">
        <f>"004876071"</f>
        <v>004876071</v>
      </c>
      <c r="B10710" t="str">
        <f>"1912430935"</f>
        <v>1912430935</v>
      </c>
      <c r="C10710" t="str">
        <f>"207R00000X"</f>
        <v>207R00000X</v>
      </c>
      <c r="D10710" t="str">
        <f>"WILLIAMSON               LAUREN       E           "</f>
        <v xml:space="preserve">WILLIAMSON               LAUREN       E           </v>
      </c>
      <c r="E10710" t="str">
        <f>"MADISON                   "</f>
        <v xml:space="preserve">MADISON                   </v>
      </c>
      <c r="F10710" t="str">
        <f t="shared" si="294"/>
        <v>MS</v>
      </c>
    </row>
    <row r="10711" spans="1:6" x14ac:dyDescent="0.25">
      <c r="A10711" t="str">
        <f>"004876515"</f>
        <v>004876515</v>
      </c>
      <c r="B10711" t="str">
        <f>"1619188026"</f>
        <v>1619188026</v>
      </c>
      <c r="C10711" t="str">
        <f>"208000000X"</f>
        <v>208000000X</v>
      </c>
      <c r="D10711" t="str">
        <f>"GRIFFIN                  KAISHA                   "</f>
        <v xml:space="preserve">GRIFFIN                  KAISHA                   </v>
      </c>
      <c r="E10711" t="str">
        <f>"JACKSON                   "</f>
        <v xml:space="preserve">JACKSON                   </v>
      </c>
      <c r="F10711" t="str">
        <f t="shared" si="294"/>
        <v>MS</v>
      </c>
    </row>
    <row r="10712" spans="1:6" x14ac:dyDescent="0.25">
      <c r="A10712" t="str">
        <f>"004876809"</f>
        <v>004876809</v>
      </c>
      <c r="B10712" t="str">
        <f>"1003014606"</f>
        <v>1003014606</v>
      </c>
      <c r="C10712" t="str">
        <f>"207L00000X"</f>
        <v>207L00000X</v>
      </c>
      <c r="D10712" t="str">
        <f>"COMMISKEY                STEPHEN      W           "</f>
        <v xml:space="preserve">COMMISKEY                STEPHEN      W           </v>
      </c>
      <c r="E10712" t="str">
        <f>"WHITFIELD                 "</f>
        <v xml:space="preserve">WHITFIELD                 </v>
      </c>
      <c r="F10712" t="str">
        <f t="shared" si="294"/>
        <v>MS</v>
      </c>
    </row>
    <row r="10713" spans="1:6" x14ac:dyDescent="0.25">
      <c r="A10713" t="str">
        <f>"004878346"</f>
        <v>004878346</v>
      </c>
      <c r="B10713" t="str">
        <f>"1881703445"</f>
        <v>1881703445</v>
      </c>
      <c r="C10713" t="str">
        <f>"208000000X"</f>
        <v>208000000X</v>
      </c>
      <c r="D10713" t="str">
        <f>"SHOOK                    JONATHAN     W           "</f>
        <v xml:space="preserve">SHOOK                    JONATHAN     W           </v>
      </c>
      <c r="E10713" t="str">
        <f>"HATTIESBURG               "</f>
        <v xml:space="preserve">HATTIESBURG               </v>
      </c>
      <c r="F10713" t="str">
        <f t="shared" si="294"/>
        <v>MS</v>
      </c>
    </row>
    <row r="10714" spans="1:6" x14ac:dyDescent="0.25">
      <c r="A10714" t="str">
        <f>"004878574"</f>
        <v>004878574</v>
      </c>
      <c r="B10714" t="str">
        <f>"1023404100"</f>
        <v>1023404100</v>
      </c>
      <c r="C10714" t="str">
        <f>"207Q00000X"</f>
        <v>207Q00000X</v>
      </c>
      <c r="D10714" t="str">
        <f>"RAY                      HANNAH                   "</f>
        <v xml:space="preserve">RAY                      HANNAH                   </v>
      </c>
      <c r="E10714" t="str">
        <f>"INDIANOLA                 "</f>
        <v xml:space="preserve">INDIANOLA                 </v>
      </c>
      <c r="F10714" t="str">
        <f t="shared" si="294"/>
        <v>MS</v>
      </c>
    </row>
    <row r="10715" spans="1:6" x14ac:dyDescent="0.25">
      <c r="A10715" t="str">
        <f>"004879746"</f>
        <v>004879746</v>
      </c>
      <c r="B10715" t="str">
        <f>"1962057950"</f>
        <v>1962057950</v>
      </c>
      <c r="C10715" t="str">
        <f>"363L00000X"</f>
        <v>363L00000X</v>
      </c>
      <c r="D10715" t="str">
        <f>"LAFLEUR                  CHARLES      D           "</f>
        <v xml:space="preserve">LAFLEUR                  CHARLES      D           </v>
      </c>
      <c r="E10715" t="str">
        <f>"MERIDIAN                  "</f>
        <v xml:space="preserve">MERIDIAN                  </v>
      </c>
      <c r="F10715" t="str">
        <f t="shared" si="294"/>
        <v>MS</v>
      </c>
    </row>
    <row r="10716" spans="1:6" x14ac:dyDescent="0.25">
      <c r="A10716" t="str">
        <f>"004879898"</f>
        <v>004879898</v>
      </c>
      <c r="B10716" t="str">
        <f>"1851955009"</f>
        <v>1851955009</v>
      </c>
      <c r="C10716" t="str">
        <f>"261QM1300X"</f>
        <v>261QM1300X</v>
      </c>
      <c r="D10716" t="str">
        <f>"HOPE FAITH LOVE COUNSELING SERVICES               "</f>
        <v xml:space="preserve">HOPE FAITH LOVE COUNSELING SERVICES               </v>
      </c>
      <c r="E10716" t="str">
        <f>"ABERDEEN                  "</f>
        <v xml:space="preserve">ABERDEEN                  </v>
      </c>
      <c r="F10716" t="str">
        <f t="shared" si="294"/>
        <v>MS</v>
      </c>
    </row>
    <row r="10717" spans="1:6" x14ac:dyDescent="0.25">
      <c r="A10717" t="str">
        <f>"004880512"</f>
        <v>004880512</v>
      </c>
      <c r="B10717" t="str">
        <f>"1578505715"</f>
        <v>1578505715</v>
      </c>
      <c r="C10717" t="str">
        <f>"2084P0800X"</f>
        <v>2084P0800X</v>
      </c>
      <c r="D10717" t="str">
        <f>"DESAI                    KIRTIDA      D           "</f>
        <v xml:space="preserve">DESAI                    KIRTIDA      D           </v>
      </c>
      <c r="E10717" t="str">
        <f>"WHITFIELD                 "</f>
        <v xml:space="preserve">WHITFIELD                 </v>
      </c>
      <c r="F10717" t="str">
        <f t="shared" si="294"/>
        <v>MS</v>
      </c>
    </row>
    <row r="10718" spans="1:6" x14ac:dyDescent="0.25">
      <c r="A10718" t="str">
        <f>"004882355"</f>
        <v>004882355</v>
      </c>
      <c r="B10718" t="str">
        <f>"1306236617"</f>
        <v>1306236617</v>
      </c>
      <c r="C10718" t="str">
        <f>"363L00000X"</f>
        <v>363L00000X</v>
      </c>
      <c r="D10718" t="str">
        <f>"CANNON                   DONNA                    "</f>
        <v xml:space="preserve">CANNON                   DONNA                    </v>
      </c>
      <c r="E10718" t="str">
        <f>"MANTACHIE                 "</f>
        <v xml:space="preserve">MANTACHIE                 </v>
      </c>
      <c r="F10718" t="str">
        <f t="shared" si="294"/>
        <v>MS</v>
      </c>
    </row>
    <row r="10719" spans="1:6" x14ac:dyDescent="0.25">
      <c r="A10719" t="str">
        <f>"004883544"</f>
        <v>004883544</v>
      </c>
      <c r="B10719" t="str">
        <f>"1386117042"</f>
        <v>1386117042</v>
      </c>
      <c r="C10719" t="str">
        <f>"363L00000X"</f>
        <v>363L00000X</v>
      </c>
      <c r="D10719" t="str">
        <f>"HOLLEY                   APRIL                    "</f>
        <v xml:space="preserve">HOLLEY                   APRIL                    </v>
      </c>
      <c r="E10719" t="str">
        <f>"CORINTH                   "</f>
        <v xml:space="preserve">CORINTH                   </v>
      </c>
      <c r="F10719" t="str">
        <f t="shared" si="294"/>
        <v>MS</v>
      </c>
    </row>
    <row r="10720" spans="1:6" x14ac:dyDescent="0.25">
      <c r="A10720" t="str">
        <f>"004885391"</f>
        <v>004885391</v>
      </c>
      <c r="B10720" t="str">
        <f>"1528710761"</f>
        <v>1528710761</v>
      </c>
      <c r="C10720" t="str">
        <f>"122300000X"</f>
        <v>122300000X</v>
      </c>
      <c r="D10720" t="str">
        <f>"CHILDRENS DENTAL CENTER HERNANDO                  "</f>
        <v xml:space="preserve">CHILDRENS DENTAL CENTER HERNANDO                  </v>
      </c>
      <c r="E10720" t="str">
        <f>"HERNANDO                  "</f>
        <v xml:space="preserve">HERNANDO                  </v>
      </c>
      <c r="F10720" t="str">
        <f t="shared" si="294"/>
        <v>MS</v>
      </c>
    </row>
    <row r="10721" spans="1:6" x14ac:dyDescent="0.25">
      <c r="A10721" t="str">
        <f>"004885554"</f>
        <v>004885554</v>
      </c>
      <c r="B10721" t="str">
        <f>"1285760843"</f>
        <v>1285760843</v>
      </c>
      <c r="C10721" t="str">
        <f>"207P00000X"</f>
        <v>207P00000X</v>
      </c>
      <c r="D10721" t="str">
        <f>"BROWN                    STEPHEN      J           "</f>
        <v xml:space="preserve">BROWN                    STEPHEN      J           </v>
      </c>
      <c r="E10721" t="str">
        <f>"BROOKHAVEN                "</f>
        <v xml:space="preserve">BROOKHAVEN                </v>
      </c>
      <c r="F10721" t="str">
        <f t="shared" si="294"/>
        <v>MS</v>
      </c>
    </row>
    <row r="10722" spans="1:6" x14ac:dyDescent="0.25">
      <c r="A10722" t="str">
        <f>"004885860"</f>
        <v>004885860</v>
      </c>
      <c r="B10722" t="str">
        <f>"1912445685"</f>
        <v>1912445685</v>
      </c>
      <c r="C10722" t="str">
        <f>"363L00000X"</f>
        <v>363L00000X</v>
      </c>
      <c r="D10722" t="str">
        <f>"DECELL                   ROXANNE      L           "</f>
        <v xml:space="preserve">DECELL                   ROXANNE      L           </v>
      </c>
      <c r="E10722" t="str">
        <f>"POPLARVILLE               "</f>
        <v xml:space="preserve">POPLARVILLE               </v>
      </c>
      <c r="F10722" t="str">
        <f t="shared" si="294"/>
        <v>MS</v>
      </c>
    </row>
    <row r="10723" spans="1:6" x14ac:dyDescent="0.25">
      <c r="A10723" t="str">
        <f>"004887535"</f>
        <v>004887535</v>
      </c>
      <c r="B10723" t="str">
        <f>"1801058821"</f>
        <v>1801058821</v>
      </c>
      <c r="C10723" t="str">
        <f>"208800000X"</f>
        <v>208800000X</v>
      </c>
      <c r="D10723" t="str">
        <f>"MOORE                    CHARLES      R           "</f>
        <v xml:space="preserve">MOORE                    CHARLES      R           </v>
      </c>
      <c r="E10723" t="str">
        <f>"HATTIESBURG               "</f>
        <v xml:space="preserve">HATTIESBURG               </v>
      </c>
      <c r="F10723" t="str">
        <f t="shared" si="294"/>
        <v>MS</v>
      </c>
    </row>
    <row r="10724" spans="1:6" x14ac:dyDescent="0.25">
      <c r="A10724" t="str">
        <f>"004888006"</f>
        <v>004888006</v>
      </c>
      <c r="B10724" t="str">
        <f>"1972917565"</f>
        <v>1972917565</v>
      </c>
      <c r="C10724" t="str">
        <f>"122300000X"</f>
        <v>122300000X</v>
      </c>
      <c r="D10724" t="str">
        <f>"LAMB                     PATRICK                  "</f>
        <v xml:space="preserve">LAMB                     PATRICK                  </v>
      </c>
      <c r="E10724" t="str">
        <f>"BILOXI                    "</f>
        <v xml:space="preserve">BILOXI                    </v>
      </c>
      <c r="F10724" t="str">
        <f t="shared" si="294"/>
        <v>MS</v>
      </c>
    </row>
    <row r="10725" spans="1:6" x14ac:dyDescent="0.25">
      <c r="A10725" t="str">
        <f>"004888572"</f>
        <v>004888572</v>
      </c>
      <c r="B10725" t="str">
        <f>"1073944971"</f>
        <v>1073944971</v>
      </c>
      <c r="C10725" t="str">
        <f>"363L00000X"</f>
        <v>363L00000X</v>
      </c>
      <c r="D10725" t="str">
        <f>"FAGAN                    ANGELA       J           "</f>
        <v xml:space="preserve">FAGAN                    ANGELA       J           </v>
      </c>
      <c r="E10725" t="str">
        <f>"JACKSON                   "</f>
        <v xml:space="preserve">JACKSON                   </v>
      </c>
      <c r="F10725" t="str">
        <f t="shared" si="294"/>
        <v>MS</v>
      </c>
    </row>
    <row r="10726" spans="1:6" x14ac:dyDescent="0.25">
      <c r="A10726" t="str">
        <f>"004888581"</f>
        <v>004888581</v>
      </c>
      <c r="B10726" t="str">
        <f>"1992042246"</f>
        <v>1992042246</v>
      </c>
      <c r="C10726" t="str">
        <f>"367500000X"</f>
        <v>367500000X</v>
      </c>
      <c r="D10726" t="str">
        <f>"GADDIS                   JUSTIN                   "</f>
        <v xml:space="preserve">GADDIS                   JUSTIN                   </v>
      </c>
      <c r="E10726" t="str">
        <f>"JACKSON                   "</f>
        <v xml:space="preserve">JACKSON                   </v>
      </c>
      <c r="F10726" t="str">
        <f t="shared" si="294"/>
        <v>MS</v>
      </c>
    </row>
    <row r="10727" spans="1:6" x14ac:dyDescent="0.25">
      <c r="A10727" t="str">
        <f>"004888802"</f>
        <v>004888802</v>
      </c>
      <c r="B10727" t="str">
        <f>"1568401396"</f>
        <v>1568401396</v>
      </c>
      <c r="C10727" t="str">
        <f>"207Q00000X"</f>
        <v>207Q00000X</v>
      </c>
      <c r="D10727" t="str">
        <f>"LEVY                     ARTHUR                   "</f>
        <v xml:space="preserve">LEVY                     ARTHUR                   </v>
      </c>
      <c r="E10727" t="str">
        <f>"CLARKSDALE                "</f>
        <v xml:space="preserve">CLARKSDALE                </v>
      </c>
      <c r="F10727" t="str">
        <f t="shared" si="294"/>
        <v>MS</v>
      </c>
    </row>
    <row r="10728" spans="1:6" x14ac:dyDescent="0.25">
      <c r="A10728" t="str">
        <f>"004889024"</f>
        <v>004889024</v>
      </c>
      <c r="B10728" t="str">
        <f>"1851767644"</f>
        <v>1851767644</v>
      </c>
      <c r="C10728" t="str">
        <f>"363L00000X"</f>
        <v>363L00000X</v>
      </c>
      <c r="D10728" t="str">
        <f>"THOMPSON                 SARAH        C           "</f>
        <v xml:space="preserve">THOMPSON                 SARAH        C           </v>
      </c>
      <c r="E10728" t="str">
        <f>"JACKSON                   "</f>
        <v xml:space="preserve">JACKSON                   </v>
      </c>
      <c r="F10728" t="str">
        <f t="shared" si="294"/>
        <v>MS</v>
      </c>
    </row>
    <row r="10729" spans="1:6" x14ac:dyDescent="0.25">
      <c r="A10729" t="str">
        <f>"004889060"</f>
        <v>004889060</v>
      </c>
      <c r="B10729" t="str">
        <f>"1114448800"</f>
        <v>1114448800</v>
      </c>
      <c r="C10729" t="str">
        <f>"152W00000X"</f>
        <v>152W00000X</v>
      </c>
      <c r="D10729" t="str">
        <f>"BELLE VUE SPECIALTY EYE CARE                      "</f>
        <v xml:space="preserve">BELLE VUE SPECIALTY EYE CARE                      </v>
      </c>
      <c r="E10729" t="str">
        <f>"HATTIESBURG               "</f>
        <v xml:space="preserve">HATTIESBURG               </v>
      </c>
      <c r="F10729" t="str">
        <f t="shared" si="294"/>
        <v>MS</v>
      </c>
    </row>
    <row r="10730" spans="1:6" x14ac:dyDescent="0.25">
      <c r="A10730" t="str">
        <f>"004900757"</f>
        <v>004900757</v>
      </c>
      <c r="B10730" t="str">
        <f>"1295169019"</f>
        <v>1295169019</v>
      </c>
      <c r="C10730" t="str">
        <f>"363L00000X"</f>
        <v>363L00000X</v>
      </c>
      <c r="D10730" t="str">
        <f>"HILL                     LAURA        L           "</f>
        <v xml:space="preserve">HILL                     LAURA        L           </v>
      </c>
      <c r="E10730" t="str">
        <f>"OXFORD                    "</f>
        <v xml:space="preserve">OXFORD                    </v>
      </c>
      <c r="F10730" t="str">
        <f t="shared" si="294"/>
        <v>MS</v>
      </c>
    </row>
    <row r="10731" spans="1:6" x14ac:dyDescent="0.25">
      <c r="A10731" t="str">
        <f>"004901558"</f>
        <v>004901558</v>
      </c>
      <c r="B10731" t="str">
        <f>"1558929018"</f>
        <v>1558929018</v>
      </c>
      <c r="C10731" t="str">
        <f>"261QF0400X"</f>
        <v>261QF0400X</v>
      </c>
      <c r="D10731" t="str">
        <f>"ACCESS SCHOOL HEALTH -TREMONT                     "</f>
        <v xml:space="preserve">ACCESS SCHOOL HEALTH -TREMONT                     </v>
      </c>
      <c r="E10731" t="str">
        <f>"TREMONT                   "</f>
        <v xml:space="preserve">TREMONT                   </v>
      </c>
      <c r="F10731" t="str">
        <f t="shared" si="294"/>
        <v>MS</v>
      </c>
    </row>
    <row r="10732" spans="1:6" x14ac:dyDescent="0.25">
      <c r="A10732" t="str">
        <f>"004901563"</f>
        <v>004901563</v>
      </c>
      <c r="B10732" t="str">
        <f>"1679913099"</f>
        <v>1679913099</v>
      </c>
      <c r="C10732" t="str">
        <f>"363L00000X"</f>
        <v>363L00000X</v>
      </c>
      <c r="D10732" t="str">
        <f>"MARTIN                   TANDY        L           "</f>
        <v xml:space="preserve">MARTIN                   TANDY        L           </v>
      </c>
      <c r="E10732" t="str">
        <f>"HATTIESBURG               "</f>
        <v xml:space="preserve">HATTIESBURG               </v>
      </c>
      <c r="F10732" t="str">
        <f t="shared" si="294"/>
        <v>MS</v>
      </c>
    </row>
    <row r="10733" spans="1:6" x14ac:dyDescent="0.25">
      <c r="A10733" t="str">
        <f>"004902790"</f>
        <v>004902790</v>
      </c>
      <c r="B10733" t="str">
        <f>"1922515923"</f>
        <v>1922515923</v>
      </c>
      <c r="C10733" t="str">
        <f>"363A00000X"</f>
        <v>363A00000X</v>
      </c>
      <c r="D10733" t="str">
        <f>"COOPER                   KELCEY                   "</f>
        <v xml:space="preserve">COOPER                   KELCEY                   </v>
      </c>
      <c r="E10733" t="str">
        <f>"OLIVE BRANCH              "</f>
        <v xml:space="preserve">OLIVE BRANCH              </v>
      </c>
      <c r="F10733" t="str">
        <f t="shared" si="294"/>
        <v>MS</v>
      </c>
    </row>
    <row r="10734" spans="1:6" x14ac:dyDescent="0.25">
      <c r="A10734" t="str">
        <f>"004904060"</f>
        <v>004904060</v>
      </c>
      <c r="B10734" t="str">
        <f>"1336441591"</f>
        <v>1336441591</v>
      </c>
      <c r="C10734" t="str">
        <f>"122300000X"</f>
        <v>122300000X</v>
      </c>
      <c r="D10734" t="str">
        <f>"ROSS FAMILY DENTAL CLINIC                         "</f>
        <v xml:space="preserve">ROSS FAMILY DENTAL CLINIC                         </v>
      </c>
      <c r="E10734" t="str">
        <f>"OXFORD                    "</f>
        <v xml:space="preserve">OXFORD                    </v>
      </c>
      <c r="F10734" t="str">
        <f t="shared" si="294"/>
        <v>MS</v>
      </c>
    </row>
    <row r="10735" spans="1:6" x14ac:dyDescent="0.25">
      <c r="A10735" t="str">
        <f>"004904314"</f>
        <v>004904314</v>
      </c>
      <c r="B10735" t="str">
        <f>"1790795276"</f>
        <v>1790795276</v>
      </c>
      <c r="C10735" t="str">
        <f>"207Q00000X"</f>
        <v>207Q00000X</v>
      </c>
      <c r="D10735" t="str">
        <f>"MADDEN                   JOHN         B           "</f>
        <v xml:space="preserve">MADDEN                   JOHN         B           </v>
      </c>
      <c r="E10735" t="str">
        <f>"FLOWOOD                   "</f>
        <v xml:space="preserve">FLOWOOD                   </v>
      </c>
      <c r="F10735" t="str">
        <f t="shared" si="294"/>
        <v>MS</v>
      </c>
    </row>
    <row r="10736" spans="1:6" x14ac:dyDescent="0.25">
      <c r="A10736" t="str">
        <f>"004905557"</f>
        <v>004905557</v>
      </c>
      <c r="B10736" t="str">
        <f>"1205319530"</f>
        <v>1205319530</v>
      </c>
      <c r="C10736" t="str">
        <f>"363L00000X"</f>
        <v>363L00000X</v>
      </c>
      <c r="D10736" t="str">
        <f>"GULLICK                  CODY                     "</f>
        <v xml:space="preserve">GULLICK                  CODY                     </v>
      </c>
      <c r="E10736" t="str">
        <f>"SARDIS                    "</f>
        <v xml:space="preserve">SARDIS                    </v>
      </c>
      <c r="F10736" t="str">
        <f t="shared" si="294"/>
        <v>MS</v>
      </c>
    </row>
    <row r="10737" spans="1:6" x14ac:dyDescent="0.25">
      <c r="A10737" t="str">
        <f>"004906866"</f>
        <v>004906866</v>
      </c>
      <c r="B10737" t="str">
        <f>"1780837682"</f>
        <v>1780837682</v>
      </c>
      <c r="C10737" t="str">
        <f>"152W00000X"</f>
        <v>152W00000X</v>
      </c>
      <c r="D10737" t="str">
        <f>"TED G HARDEN OD PLLC                              "</f>
        <v xml:space="preserve">TED G HARDEN OD PLLC                              </v>
      </c>
      <c r="E10737" t="str">
        <f>"HATTIESBURG               "</f>
        <v xml:space="preserve">HATTIESBURG               </v>
      </c>
      <c r="F10737" t="str">
        <f t="shared" si="294"/>
        <v>MS</v>
      </c>
    </row>
    <row r="10738" spans="1:6" x14ac:dyDescent="0.25">
      <c r="A10738" t="str">
        <f>"004906870"</f>
        <v>004906870</v>
      </c>
      <c r="B10738" t="str">
        <f>"1679661086"</f>
        <v>1679661086</v>
      </c>
      <c r="C10738" t="str">
        <f>"363L00000X"</f>
        <v>363L00000X</v>
      </c>
      <c r="D10738" t="str">
        <f>"HORTON                   PATTY        M           "</f>
        <v xml:space="preserve">HORTON                   PATTY        M           </v>
      </c>
      <c r="E10738" t="str">
        <f>"MACON                     "</f>
        <v xml:space="preserve">MACON                     </v>
      </c>
      <c r="F10738" t="str">
        <f t="shared" si="294"/>
        <v>MS</v>
      </c>
    </row>
    <row r="10739" spans="1:6" x14ac:dyDescent="0.25">
      <c r="A10739" t="str">
        <f>"004909571"</f>
        <v>004909571</v>
      </c>
      <c r="B10739" t="str">
        <f>"1003258930"</f>
        <v>1003258930</v>
      </c>
      <c r="C10739" t="str">
        <f>"207R00000X"</f>
        <v>207R00000X</v>
      </c>
      <c r="D10739" t="str">
        <f>"JORDAN                   CHARANDLE    S           "</f>
        <v xml:space="preserve">JORDAN                   CHARANDLE    S           </v>
      </c>
      <c r="E10739" t="str">
        <f>"MERIDIAN                  "</f>
        <v xml:space="preserve">MERIDIAN                  </v>
      </c>
      <c r="F10739" t="str">
        <f t="shared" si="294"/>
        <v>MS</v>
      </c>
    </row>
    <row r="10740" spans="1:6" x14ac:dyDescent="0.25">
      <c r="A10740" t="str">
        <f>"004920780"</f>
        <v>004920780</v>
      </c>
      <c r="B10740" t="str">
        <f>"1932682515"</f>
        <v>1932682515</v>
      </c>
      <c r="C10740" t="str">
        <f>"152W00000X"</f>
        <v>152W00000X</v>
      </c>
      <c r="D10740" t="str">
        <f>"FELTZ VISION CENTER MS LLC                        "</f>
        <v xml:space="preserve">FELTZ VISION CENTER MS LLC                        </v>
      </c>
      <c r="E10740" t="str">
        <f>"MADISON                   "</f>
        <v xml:space="preserve">MADISON                   </v>
      </c>
      <c r="F10740" t="str">
        <f t="shared" si="294"/>
        <v>MS</v>
      </c>
    </row>
    <row r="10741" spans="1:6" x14ac:dyDescent="0.25">
      <c r="A10741" t="str">
        <f>"004921362"</f>
        <v>004921362</v>
      </c>
      <c r="B10741" t="str">
        <f>"1932644002"</f>
        <v>1932644002</v>
      </c>
      <c r="C10741" t="str">
        <f>"207Q00000X"</f>
        <v>207Q00000X</v>
      </c>
      <c r="D10741" t="str">
        <f>"SANFORD                  LAURA        A           "</f>
        <v xml:space="preserve">SANFORD                  LAURA        A           </v>
      </c>
      <c r="E10741" t="str">
        <f>"GULFPORT                  "</f>
        <v xml:space="preserve">GULFPORT                  </v>
      </c>
      <c r="F10741" t="str">
        <f t="shared" si="294"/>
        <v>MS</v>
      </c>
    </row>
    <row r="10742" spans="1:6" x14ac:dyDescent="0.25">
      <c r="A10742" t="str">
        <f>"004921851"</f>
        <v>004921851</v>
      </c>
      <c r="B10742" t="str">
        <f>"1215434261"</f>
        <v>1215434261</v>
      </c>
      <c r="C10742" t="str">
        <f>"207Q00000X"</f>
        <v>207Q00000X</v>
      </c>
      <c r="D10742" t="str">
        <f>"ROCK                     LEAH         B           "</f>
        <v xml:space="preserve">ROCK                     LEAH         B           </v>
      </c>
      <c r="E10742" t="str">
        <f>"RICHTON                   "</f>
        <v xml:space="preserve">RICHTON                   </v>
      </c>
      <c r="F10742" t="str">
        <f t="shared" si="294"/>
        <v>MS</v>
      </c>
    </row>
    <row r="10743" spans="1:6" x14ac:dyDescent="0.25">
      <c r="A10743" t="str">
        <f>"004922709"</f>
        <v>004922709</v>
      </c>
      <c r="B10743" t="str">
        <f>"1942752035"</f>
        <v>1942752035</v>
      </c>
      <c r="C10743" t="str">
        <f>"367500000X"</f>
        <v>367500000X</v>
      </c>
      <c r="D10743" t="str">
        <f>"DOWNING                  JOHN         D           "</f>
        <v xml:space="preserve">DOWNING                  JOHN         D           </v>
      </c>
      <c r="E10743" t="str">
        <f>"FLOWOOD                   "</f>
        <v xml:space="preserve">FLOWOOD                   </v>
      </c>
      <c r="F10743" t="str">
        <f t="shared" si="294"/>
        <v>MS</v>
      </c>
    </row>
    <row r="10744" spans="1:6" x14ac:dyDescent="0.25">
      <c r="A10744" t="str">
        <f>"004923244"</f>
        <v>004923244</v>
      </c>
      <c r="B10744" t="str">
        <f>"1568120194"</f>
        <v>1568120194</v>
      </c>
      <c r="C10744" t="str">
        <f>"122300000X"</f>
        <v>122300000X</v>
      </c>
      <c r="D10744" t="str">
        <f>"TUTOR FAMILY DENTISTRY LLC                        "</f>
        <v xml:space="preserve">TUTOR FAMILY DENTISTRY LLC                        </v>
      </c>
      <c r="E10744" t="str">
        <f>"PEARL                     "</f>
        <v xml:space="preserve">PEARL                     </v>
      </c>
      <c r="F10744" t="str">
        <f t="shared" si="294"/>
        <v>MS</v>
      </c>
    </row>
    <row r="10745" spans="1:6" x14ac:dyDescent="0.25">
      <c r="A10745" t="str">
        <f>"004923393"</f>
        <v>004923393</v>
      </c>
      <c r="B10745" t="str">
        <f>"1649371816"</f>
        <v>1649371816</v>
      </c>
      <c r="C10745" t="str">
        <f>"207V00000X"</f>
        <v>207V00000X</v>
      </c>
      <c r="D10745" t="str">
        <f>"MCMINN                   MISSY        J           "</f>
        <v xml:space="preserve">MCMINN                   MISSY        J           </v>
      </c>
      <c r="E10745" t="str">
        <f>"FLOWOOD                   "</f>
        <v xml:space="preserve">FLOWOOD                   </v>
      </c>
      <c r="F10745" t="str">
        <f t="shared" si="294"/>
        <v>MS</v>
      </c>
    </row>
    <row r="10746" spans="1:6" x14ac:dyDescent="0.25">
      <c r="A10746" t="str">
        <f>"004923575"</f>
        <v>004923575</v>
      </c>
      <c r="B10746" t="str">
        <f>"1376574921"</f>
        <v>1376574921</v>
      </c>
      <c r="C10746" t="str">
        <f>"207P00000X"</f>
        <v>207P00000X</v>
      </c>
      <c r="D10746" t="str">
        <f>"CARPENTER                SHAUN        R           "</f>
        <v xml:space="preserve">CARPENTER                SHAUN        R           </v>
      </c>
      <c r="E10746" t="str">
        <f>"VICKSBURG                 "</f>
        <v xml:space="preserve">VICKSBURG                 </v>
      </c>
      <c r="F10746" t="str">
        <f t="shared" si="294"/>
        <v>MS</v>
      </c>
    </row>
    <row r="10747" spans="1:6" x14ac:dyDescent="0.25">
      <c r="A10747" t="str">
        <f>"004924759"</f>
        <v>004924759</v>
      </c>
      <c r="B10747" t="str">
        <f>"1134728512"</f>
        <v>1134728512</v>
      </c>
      <c r="C10747" t="str">
        <f>"367500000X"</f>
        <v>367500000X</v>
      </c>
      <c r="D10747" t="str">
        <f>"MILLER                   JOSH                     "</f>
        <v xml:space="preserve">MILLER                   JOSH                     </v>
      </c>
      <c r="E10747" t="str">
        <f>"OLIVE BRANCH              "</f>
        <v xml:space="preserve">OLIVE BRANCH              </v>
      </c>
      <c r="F10747" t="str">
        <f t="shared" si="294"/>
        <v>MS</v>
      </c>
    </row>
    <row r="10748" spans="1:6" x14ac:dyDescent="0.25">
      <c r="A10748" t="str">
        <f>"004925032"</f>
        <v>004925032</v>
      </c>
      <c r="B10748" t="str">
        <f>"1548649528"</f>
        <v>1548649528</v>
      </c>
      <c r="C10748" t="str">
        <f>"2085R0202X"</f>
        <v>2085R0202X</v>
      </c>
      <c r="D10748" t="str">
        <f>"FRISCHHERTZ              SARAH                    "</f>
        <v xml:space="preserve">FRISCHHERTZ              SARAH                    </v>
      </c>
      <c r="E10748" t="str">
        <f>"CLEVELAND                 "</f>
        <v xml:space="preserve">CLEVELAND                 </v>
      </c>
      <c r="F10748" t="str">
        <f t="shared" si="294"/>
        <v>MS</v>
      </c>
    </row>
    <row r="10749" spans="1:6" x14ac:dyDescent="0.25">
      <c r="A10749" t="str">
        <f>"004927016"</f>
        <v>004927016</v>
      </c>
      <c r="B10749" t="str">
        <f>"1093004400"</f>
        <v>1093004400</v>
      </c>
      <c r="C10749" t="str">
        <f>"2085R0202X"</f>
        <v>2085R0202X</v>
      </c>
      <c r="D10749" t="str">
        <f>"NICHOLAS                 KATHRYN      C           "</f>
        <v xml:space="preserve">NICHOLAS                 KATHRYN      C           </v>
      </c>
      <c r="E10749" t="str">
        <f>"JACKSON                   "</f>
        <v xml:space="preserve">JACKSON                   </v>
      </c>
      <c r="F10749" t="str">
        <f t="shared" si="294"/>
        <v>MS</v>
      </c>
    </row>
    <row r="10750" spans="1:6" x14ac:dyDescent="0.25">
      <c r="A10750" t="str">
        <f>"004930708"</f>
        <v>004930708</v>
      </c>
      <c r="B10750" t="str">
        <f>"1528672276"</f>
        <v>1528672276</v>
      </c>
      <c r="C10750" t="str">
        <f>"363L00000X"</f>
        <v>363L00000X</v>
      </c>
      <c r="D10750" t="str">
        <f>"MCDANIEL                 MEGAN        E           "</f>
        <v xml:space="preserve">MCDANIEL                 MEGAN        E           </v>
      </c>
      <c r="E10750" t="str">
        <f>"FOREST                    "</f>
        <v xml:space="preserve">FOREST                    </v>
      </c>
      <c r="F10750" t="str">
        <f t="shared" ref="F10750:F10813" si="295">"MS"</f>
        <v>MS</v>
      </c>
    </row>
    <row r="10751" spans="1:6" x14ac:dyDescent="0.25">
      <c r="A10751" t="str">
        <f>"004931706"</f>
        <v>004931706</v>
      </c>
      <c r="B10751" t="str">
        <f>"1720216955"</f>
        <v>1720216955</v>
      </c>
      <c r="C10751" t="str">
        <f>"207Q00000X"</f>
        <v>207Q00000X</v>
      </c>
      <c r="D10751" t="str">
        <f>"HADLEY                   DEGAIL       J           "</f>
        <v xml:space="preserve">HADLEY                   DEGAIL       J           </v>
      </c>
      <c r="E10751" t="str">
        <f>"CLEVELAND                 "</f>
        <v xml:space="preserve">CLEVELAND                 </v>
      </c>
      <c r="F10751" t="str">
        <f t="shared" si="295"/>
        <v>MS</v>
      </c>
    </row>
    <row r="10752" spans="1:6" x14ac:dyDescent="0.25">
      <c r="A10752" t="str">
        <f>"004932507"</f>
        <v>004932507</v>
      </c>
      <c r="B10752" t="str">
        <f>"1487187068"</f>
        <v>1487187068</v>
      </c>
      <c r="C10752" t="str">
        <f>"363L00000X"</f>
        <v>363L00000X</v>
      </c>
      <c r="D10752" t="str">
        <f>"HARGETT                  CASEY                    "</f>
        <v xml:space="preserve">HARGETT                  CASEY                    </v>
      </c>
      <c r="E10752" t="str">
        <f>"TUPELO                    "</f>
        <v xml:space="preserve">TUPELO                    </v>
      </c>
      <c r="F10752" t="str">
        <f t="shared" si="295"/>
        <v>MS</v>
      </c>
    </row>
    <row r="10753" spans="1:6" x14ac:dyDescent="0.25">
      <c r="A10753" t="str">
        <f>"004932852"</f>
        <v>004932852</v>
      </c>
      <c r="B10753" t="str">
        <f>"1891135240"</f>
        <v>1891135240</v>
      </c>
      <c r="C10753" t="str">
        <f>"207P00000X"</f>
        <v>207P00000X</v>
      </c>
      <c r="D10753" t="str">
        <f>"GLASS                    ANDREW       F           "</f>
        <v xml:space="preserve">GLASS                    ANDREW       F           </v>
      </c>
      <c r="E10753" t="str">
        <f>"JACKSON                   "</f>
        <v xml:space="preserve">JACKSON                   </v>
      </c>
      <c r="F10753" t="str">
        <f t="shared" si="295"/>
        <v>MS</v>
      </c>
    </row>
    <row r="10754" spans="1:6" x14ac:dyDescent="0.25">
      <c r="A10754" t="str">
        <f>"004933323"</f>
        <v>004933323</v>
      </c>
      <c r="B10754" t="str">
        <f>"1730153586"</f>
        <v>1730153586</v>
      </c>
      <c r="C10754" t="str">
        <f>"207Q00000X"</f>
        <v>207Q00000X</v>
      </c>
      <c r="D10754" t="str">
        <f>"WANEE                    NEIL         R           "</f>
        <v xml:space="preserve">WANEE                    NEIL         R           </v>
      </c>
      <c r="E10754" t="str">
        <f>"SMITHVILLE                "</f>
        <v xml:space="preserve">SMITHVILLE                </v>
      </c>
      <c r="F10754" t="str">
        <f t="shared" si="295"/>
        <v>MS</v>
      </c>
    </row>
    <row r="10755" spans="1:6" x14ac:dyDescent="0.25">
      <c r="A10755" t="str">
        <f>"004934571"</f>
        <v>004934571</v>
      </c>
      <c r="B10755" t="str">
        <f>"1497190862"</f>
        <v>1497190862</v>
      </c>
      <c r="C10755" t="str">
        <f>"207RC0000X"</f>
        <v>207RC0000X</v>
      </c>
      <c r="D10755" t="str">
        <f>"HECKLE                   MARK         R           "</f>
        <v xml:space="preserve">HECKLE                   MARK         R           </v>
      </c>
      <c r="E10755" t="str">
        <f>"OLIVE BRANCH              "</f>
        <v xml:space="preserve">OLIVE BRANCH              </v>
      </c>
      <c r="F10755" t="str">
        <f t="shared" si="295"/>
        <v>MS</v>
      </c>
    </row>
    <row r="10756" spans="1:6" x14ac:dyDescent="0.25">
      <c r="A10756" t="str">
        <f>"004935341"</f>
        <v>004935341</v>
      </c>
      <c r="B10756" t="str">
        <f>"1255643268"</f>
        <v>1255643268</v>
      </c>
      <c r="C10756" t="str">
        <f>"207Q00000X"</f>
        <v>207Q00000X</v>
      </c>
      <c r="D10756" t="str">
        <f>"THERIOT                  CHRISTIE     H           "</f>
        <v xml:space="preserve">THERIOT                  CHRISTIE     H           </v>
      </c>
      <c r="E10756" t="str">
        <f>"DIAMONDHEAD               "</f>
        <v xml:space="preserve">DIAMONDHEAD               </v>
      </c>
      <c r="F10756" t="str">
        <f t="shared" si="295"/>
        <v>MS</v>
      </c>
    </row>
    <row r="10757" spans="1:6" x14ac:dyDescent="0.25">
      <c r="A10757" t="str">
        <f>"004935361"</f>
        <v>004935361</v>
      </c>
      <c r="B10757" t="str">
        <f>"1194209981"</f>
        <v>1194209981</v>
      </c>
      <c r="C10757" t="str">
        <f>"363L00000X"</f>
        <v>363L00000X</v>
      </c>
      <c r="D10757" t="str">
        <f>"GRAY                     ALAN         N           "</f>
        <v xml:space="preserve">GRAY                     ALAN         N           </v>
      </c>
      <c r="E10757" t="str">
        <f>"JACKSON                   "</f>
        <v xml:space="preserve">JACKSON                   </v>
      </c>
      <c r="F10757" t="str">
        <f t="shared" si="295"/>
        <v>MS</v>
      </c>
    </row>
    <row r="10758" spans="1:6" x14ac:dyDescent="0.25">
      <c r="A10758" t="str">
        <f>"004937040"</f>
        <v>004937040</v>
      </c>
      <c r="B10758" t="str">
        <f>"1659463495"</f>
        <v>1659463495</v>
      </c>
      <c r="C10758" t="str">
        <f>"152W00000X"</f>
        <v>152W00000X</v>
      </c>
      <c r="D10758" t="str">
        <f>"RAGAN FAMILY EYE CARE LLC                         "</f>
        <v xml:space="preserve">RAGAN FAMILY EYE CARE LLC                         </v>
      </c>
      <c r="E10758" t="str">
        <f>"MADISON                   "</f>
        <v xml:space="preserve">MADISON                   </v>
      </c>
      <c r="F10758" t="str">
        <f t="shared" si="295"/>
        <v>MS</v>
      </c>
    </row>
    <row r="10759" spans="1:6" x14ac:dyDescent="0.25">
      <c r="A10759" t="str">
        <f>"004937761"</f>
        <v>004937761</v>
      </c>
      <c r="B10759" t="str">
        <f>"1306215298"</f>
        <v>1306215298</v>
      </c>
      <c r="C10759" t="str">
        <f>"363L00000X"</f>
        <v>363L00000X</v>
      </c>
      <c r="D10759" t="str">
        <f>"MCCLOUD                  GREG         L           "</f>
        <v xml:space="preserve">MCCLOUD                  GREG         L           </v>
      </c>
      <c r="E10759" t="str">
        <f>"HATTIESBURG               "</f>
        <v xml:space="preserve">HATTIESBURG               </v>
      </c>
      <c r="F10759" t="str">
        <f t="shared" si="295"/>
        <v>MS</v>
      </c>
    </row>
    <row r="10760" spans="1:6" x14ac:dyDescent="0.25">
      <c r="A10760" t="str">
        <f>"004938212"</f>
        <v>004938212</v>
      </c>
      <c r="B10760" t="str">
        <f>"1114252160"</f>
        <v>1114252160</v>
      </c>
      <c r="C10760" t="str">
        <f>"363L00000X"</f>
        <v>363L00000X</v>
      </c>
      <c r="D10760" t="str">
        <f>"MCDUFFIE                 KATHERINE                "</f>
        <v xml:space="preserve">MCDUFFIE                 KATHERINE                </v>
      </c>
      <c r="E10760" t="str">
        <f>"TUPELO                    "</f>
        <v xml:space="preserve">TUPELO                    </v>
      </c>
      <c r="F10760" t="str">
        <f t="shared" si="295"/>
        <v>MS</v>
      </c>
    </row>
    <row r="10761" spans="1:6" x14ac:dyDescent="0.25">
      <c r="A10761" t="str">
        <f>"004938358"</f>
        <v>004938358</v>
      </c>
      <c r="B10761" t="str">
        <f>"1104053420"</f>
        <v>1104053420</v>
      </c>
      <c r="C10761" t="str">
        <f>"363L00000X"</f>
        <v>363L00000X</v>
      </c>
      <c r="D10761" t="str">
        <f>"COSTELLO                 DAVID                    "</f>
        <v xml:space="preserve">COSTELLO                 DAVID                    </v>
      </c>
      <c r="E10761" t="str">
        <f>"GULFPORT                  "</f>
        <v xml:space="preserve">GULFPORT                  </v>
      </c>
      <c r="F10761" t="str">
        <f t="shared" si="295"/>
        <v>MS</v>
      </c>
    </row>
    <row r="10762" spans="1:6" x14ac:dyDescent="0.25">
      <c r="A10762" t="str">
        <f>"004938529"</f>
        <v>004938529</v>
      </c>
      <c r="B10762" t="str">
        <f>"1396486684"</f>
        <v>1396486684</v>
      </c>
      <c r="C10762" t="str">
        <f>"207R00000X"</f>
        <v>207R00000X</v>
      </c>
      <c r="D10762" t="str">
        <f>"KENNEDY                  DANIEL       D           "</f>
        <v xml:space="preserve">KENNEDY                  DANIEL       D           </v>
      </c>
      <c r="E10762" t="str">
        <f>"JACKSON                   "</f>
        <v xml:space="preserve">JACKSON                   </v>
      </c>
      <c r="F10762" t="str">
        <f t="shared" si="295"/>
        <v>MS</v>
      </c>
    </row>
    <row r="10763" spans="1:6" x14ac:dyDescent="0.25">
      <c r="A10763" t="str">
        <f>"004938577"</f>
        <v>004938577</v>
      </c>
      <c r="B10763" t="str">
        <f>"1679820799"</f>
        <v>1679820799</v>
      </c>
      <c r="C10763" t="str">
        <f>"363L00000X"</f>
        <v>363L00000X</v>
      </c>
      <c r="D10763" t="str">
        <f>"SMITH                    CYNTHIA      H           "</f>
        <v xml:space="preserve">SMITH                    CYNTHIA      H           </v>
      </c>
      <c r="E10763" t="str">
        <f>"TUPELO                    "</f>
        <v xml:space="preserve">TUPELO                    </v>
      </c>
      <c r="F10763" t="str">
        <f t="shared" si="295"/>
        <v>MS</v>
      </c>
    </row>
    <row r="10764" spans="1:6" x14ac:dyDescent="0.25">
      <c r="A10764" t="str">
        <f>"004939509"</f>
        <v>004939509</v>
      </c>
      <c r="B10764" t="str">
        <f>"1740563543"</f>
        <v>1740563543</v>
      </c>
      <c r="C10764" t="str">
        <f>"363L00000X"</f>
        <v>363L00000X</v>
      </c>
      <c r="D10764" t="str">
        <f>"MOODY                    NATALIE                  "</f>
        <v xml:space="preserve">MOODY                    NATALIE                  </v>
      </c>
      <c r="E10764" t="str">
        <f>"BRANDON                   "</f>
        <v xml:space="preserve">BRANDON                   </v>
      </c>
      <c r="F10764" t="str">
        <f t="shared" si="295"/>
        <v>MS</v>
      </c>
    </row>
    <row r="10765" spans="1:6" x14ac:dyDescent="0.25">
      <c r="A10765" t="str">
        <f>"004951036"</f>
        <v>004951036</v>
      </c>
      <c r="B10765" t="str">
        <f>"1649499971"</f>
        <v>1649499971</v>
      </c>
      <c r="C10765" t="str">
        <f>"207X00000X"</f>
        <v>207X00000X</v>
      </c>
      <c r="D10765" t="str">
        <f>"KELLY                    DEREK        M           "</f>
        <v xml:space="preserve">KELLY                    DEREK        M           </v>
      </c>
      <c r="E10765" t="str">
        <f>"SOUTHAVEN                 "</f>
        <v xml:space="preserve">SOUTHAVEN                 </v>
      </c>
      <c r="F10765" t="str">
        <f t="shared" si="295"/>
        <v>MS</v>
      </c>
    </row>
    <row r="10766" spans="1:6" x14ac:dyDescent="0.25">
      <c r="A10766" t="str">
        <f>"004951293"</f>
        <v>004951293</v>
      </c>
      <c r="B10766" t="str">
        <f>"1730123142"</f>
        <v>1730123142</v>
      </c>
      <c r="C10766" t="str">
        <f>"208D00000X"</f>
        <v>208D00000X</v>
      </c>
      <c r="D10766" t="str">
        <f>"KNIGHT                   RUSSELL      A           "</f>
        <v xml:space="preserve">KNIGHT                   RUSSELL      A           </v>
      </c>
      <c r="E10766" t="str">
        <f>"TUPELO                    "</f>
        <v xml:space="preserve">TUPELO                    </v>
      </c>
      <c r="F10766" t="str">
        <f t="shared" si="295"/>
        <v>MS</v>
      </c>
    </row>
    <row r="10767" spans="1:6" x14ac:dyDescent="0.25">
      <c r="A10767" t="str">
        <f>"004952816"</f>
        <v>004952816</v>
      </c>
      <c r="B10767" t="str">
        <f>"1033404538"</f>
        <v>1033404538</v>
      </c>
      <c r="C10767" t="str">
        <f>"363L00000X"</f>
        <v>363L00000X</v>
      </c>
      <c r="D10767" t="str">
        <f>"DAWSON                   ELIZABETH    B           "</f>
        <v xml:space="preserve">DAWSON                   ELIZABETH    B           </v>
      </c>
      <c r="E10767" t="str">
        <f>"JACKSON                   "</f>
        <v xml:space="preserve">JACKSON                   </v>
      </c>
      <c r="F10767" t="str">
        <f t="shared" si="295"/>
        <v>MS</v>
      </c>
    </row>
    <row r="10768" spans="1:6" x14ac:dyDescent="0.25">
      <c r="A10768" t="str">
        <f>"004952899"</f>
        <v>004952899</v>
      </c>
      <c r="B10768" t="str">
        <f>"1437718426"</f>
        <v>1437718426</v>
      </c>
      <c r="C10768" t="str">
        <f>"363L00000X"</f>
        <v>363L00000X</v>
      </c>
      <c r="D10768" t="str">
        <f>"POWELL                   SUMMER                   "</f>
        <v xml:space="preserve">POWELL                   SUMMER                   </v>
      </c>
      <c r="E10768" t="str">
        <f>"NATCHEZ                   "</f>
        <v xml:space="preserve">NATCHEZ                   </v>
      </c>
      <c r="F10768" t="str">
        <f t="shared" si="295"/>
        <v>MS</v>
      </c>
    </row>
    <row r="10769" spans="1:6" x14ac:dyDescent="0.25">
      <c r="A10769" t="str">
        <f>"004953547"</f>
        <v>004953547</v>
      </c>
      <c r="B10769" t="str">
        <f>"1528421484"</f>
        <v>1528421484</v>
      </c>
      <c r="C10769" t="str">
        <f>"207R00000X"</f>
        <v>207R00000X</v>
      </c>
      <c r="D10769" t="str">
        <f>"SWINNEY                  BOBBY                    "</f>
        <v xml:space="preserve">SWINNEY                  BOBBY                    </v>
      </c>
      <c r="E10769" t="str">
        <f>"OCEAN SPRINGS             "</f>
        <v xml:space="preserve">OCEAN SPRINGS             </v>
      </c>
      <c r="F10769" t="str">
        <f t="shared" si="295"/>
        <v>MS</v>
      </c>
    </row>
    <row r="10770" spans="1:6" x14ac:dyDescent="0.25">
      <c r="A10770" t="str">
        <f>"004954064"</f>
        <v>004954064</v>
      </c>
      <c r="B10770" t="str">
        <f>"1295970721"</f>
        <v>1295970721</v>
      </c>
      <c r="C10770" t="str">
        <f>"207Q00000X"</f>
        <v>207Q00000X</v>
      </c>
      <c r="D10770" t="str">
        <f>"BARNES                   ROLANDO      S           "</f>
        <v xml:space="preserve">BARNES                   ROLANDO      S           </v>
      </c>
      <c r="E10770" t="str">
        <f>"GULFPORT                  "</f>
        <v xml:space="preserve">GULFPORT                  </v>
      </c>
      <c r="F10770" t="str">
        <f t="shared" si="295"/>
        <v>MS</v>
      </c>
    </row>
    <row r="10771" spans="1:6" x14ac:dyDescent="0.25">
      <c r="A10771" t="str">
        <f>"004954267"</f>
        <v>004954267</v>
      </c>
      <c r="B10771" t="str">
        <f>"1649460999"</f>
        <v>1649460999</v>
      </c>
      <c r="C10771" t="str">
        <f>"207T00000X"</f>
        <v>207T00000X</v>
      </c>
      <c r="D10771" t="str">
        <f>"WASHINGTON               CHAD         W           "</f>
        <v xml:space="preserve">WASHINGTON               CHAD         W           </v>
      </c>
      <c r="E10771" t="str">
        <f>"JACKSON                   "</f>
        <v xml:space="preserve">JACKSON                   </v>
      </c>
      <c r="F10771" t="str">
        <f t="shared" si="295"/>
        <v>MS</v>
      </c>
    </row>
    <row r="10772" spans="1:6" x14ac:dyDescent="0.25">
      <c r="A10772" t="str">
        <f>"004954816"</f>
        <v>004954816</v>
      </c>
      <c r="B10772" t="str">
        <f>"1598298739"</f>
        <v>1598298739</v>
      </c>
      <c r="C10772" t="str">
        <f>"207P00000X"</f>
        <v>207P00000X</v>
      </c>
      <c r="D10772" t="str">
        <f>"BUTLER                   JOEL                     "</f>
        <v xml:space="preserve">BUTLER                   JOEL                     </v>
      </c>
      <c r="E10772" t="str">
        <f>"COLUMBUS                  "</f>
        <v xml:space="preserve">COLUMBUS                  </v>
      </c>
      <c r="F10772" t="str">
        <f t="shared" si="295"/>
        <v>MS</v>
      </c>
    </row>
    <row r="10773" spans="1:6" x14ac:dyDescent="0.25">
      <c r="A10773" t="str">
        <f>"004955378"</f>
        <v>004955378</v>
      </c>
      <c r="B10773" t="str">
        <f>"1881884260"</f>
        <v>1881884260</v>
      </c>
      <c r="C10773" t="str">
        <f>"208600000X"</f>
        <v>208600000X</v>
      </c>
      <c r="D10773" t="str">
        <f>"WAHL                     GEORGIA      M           "</f>
        <v xml:space="preserve">WAHL                     GEORGIA      M           </v>
      </c>
      <c r="E10773" t="str">
        <f>"HATTIESBURG               "</f>
        <v xml:space="preserve">HATTIESBURG               </v>
      </c>
      <c r="F10773" t="str">
        <f t="shared" si="295"/>
        <v>MS</v>
      </c>
    </row>
    <row r="10774" spans="1:6" x14ac:dyDescent="0.25">
      <c r="A10774" t="str">
        <f>"004957014"</f>
        <v>004957014</v>
      </c>
      <c r="B10774" t="str">
        <f>"1649230376"</f>
        <v>1649230376</v>
      </c>
      <c r="C10774" t="str">
        <f>"367500000X"</f>
        <v>367500000X</v>
      </c>
      <c r="D10774" t="str">
        <f>"DEAS                     KATHRYN      W           "</f>
        <v xml:space="preserve">DEAS                     KATHRYN      W           </v>
      </c>
      <c r="E10774" t="str">
        <f>"MERIDIAN                  "</f>
        <v xml:space="preserve">MERIDIAN                  </v>
      </c>
      <c r="F10774" t="str">
        <f t="shared" si="295"/>
        <v>MS</v>
      </c>
    </row>
    <row r="10775" spans="1:6" x14ac:dyDescent="0.25">
      <c r="A10775" t="str">
        <f>"004957808"</f>
        <v>004957808</v>
      </c>
      <c r="B10775" t="str">
        <f>"1427328889"</f>
        <v>1427328889</v>
      </c>
      <c r="C10775" t="str">
        <f>"261QF0400X"</f>
        <v>261QF0400X</v>
      </c>
      <c r="D10775" t="str">
        <f>"HATTIESBURG HIGH SCHOOL CAMPUS CLIN               "</f>
        <v xml:space="preserve">HATTIESBURG HIGH SCHOOL CAMPUS CLIN               </v>
      </c>
      <c r="E10775" t="str">
        <f>"HATTIESBURG               "</f>
        <v xml:space="preserve">HATTIESBURG               </v>
      </c>
      <c r="F10775" t="str">
        <f t="shared" si="295"/>
        <v>MS</v>
      </c>
    </row>
    <row r="10776" spans="1:6" x14ac:dyDescent="0.25">
      <c r="A10776" t="str">
        <f>"004958005"</f>
        <v>004958005</v>
      </c>
      <c r="B10776" t="str">
        <f>"1104484765"</f>
        <v>1104484765</v>
      </c>
      <c r="C10776" t="str">
        <f>"122300000X"</f>
        <v>122300000X</v>
      </c>
      <c r="D10776" t="str">
        <f>"HENDRICK                 JENNYBETH    S           "</f>
        <v xml:space="preserve">HENDRICK                 JENNYBETH    S           </v>
      </c>
      <c r="E10776" t="str">
        <f>"CORINTH                   "</f>
        <v xml:space="preserve">CORINTH                   </v>
      </c>
      <c r="F10776" t="str">
        <f t="shared" si="295"/>
        <v>MS</v>
      </c>
    </row>
    <row r="10777" spans="1:6" x14ac:dyDescent="0.25">
      <c r="A10777" t="str">
        <f>"004959238"</f>
        <v>004959238</v>
      </c>
      <c r="B10777" t="str">
        <f>"1184944290"</f>
        <v>1184944290</v>
      </c>
      <c r="C10777" t="str">
        <f>"122300000X"</f>
        <v>122300000X</v>
      </c>
      <c r="D10777" t="str">
        <f>"HARRIS                   MATTHEW      J           "</f>
        <v xml:space="preserve">HARRIS                   MATTHEW      J           </v>
      </c>
      <c r="E10777" t="str">
        <f>"JACKSON                   "</f>
        <v xml:space="preserve">JACKSON                   </v>
      </c>
      <c r="F10777" t="str">
        <f t="shared" si="295"/>
        <v>MS</v>
      </c>
    </row>
    <row r="10778" spans="1:6" x14ac:dyDescent="0.25">
      <c r="A10778" t="str">
        <f>"004959388"</f>
        <v>004959388</v>
      </c>
      <c r="B10778" t="str">
        <f>"1154833572"</f>
        <v>1154833572</v>
      </c>
      <c r="C10778" t="str">
        <f>"152W00000X"</f>
        <v>152W00000X</v>
      </c>
      <c r="D10778" t="str">
        <f>"OXFORD EYE CLINIC &amp; OPTICAL PLLC                  "</f>
        <v xml:space="preserve">OXFORD EYE CLINIC &amp; OPTICAL PLLC                  </v>
      </c>
      <c r="E10778" t="str">
        <f>"OXFORD                    "</f>
        <v xml:space="preserve">OXFORD                    </v>
      </c>
      <c r="F10778" t="str">
        <f t="shared" si="295"/>
        <v>MS</v>
      </c>
    </row>
    <row r="10779" spans="1:6" x14ac:dyDescent="0.25">
      <c r="A10779" t="str">
        <f>"004970514"</f>
        <v>004970514</v>
      </c>
      <c r="B10779" t="str">
        <f>"1023249497"</f>
        <v>1023249497</v>
      </c>
      <c r="C10779" t="str">
        <f>"363L00000X"</f>
        <v>363L00000X</v>
      </c>
      <c r="D10779" t="str">
        <f>"VINCENT                  LYNN         A           "</f>
        <v xml:space="preserve">VINCENT                  LYNN         A           </v>
      </c>
      <c r="E10779" t="str">
        <f>"JACKSON                   "</f>
        <v xml:space="preserve">JACKSON                   </v>
      </c>
      <c r="F10779" t="str">
        <f t="shared" si="295"/>
        <v>MS</v>
      </c>
    </row>
    <row r="10780" spans="1:6" x14ac:dyDescent="0.25">
      <c r="A10780" t="str">
        <f>"004971328"</f>
        <v>004971328</v>
      </c>
      <c r="B10780" t="str">
        <f>"1053474577"</f>
        <v>1053474577</v>
      </c>
      <c r="C10780" t="str">
        <f>"207R00000X"</f>
        <v>207R00000X</v>
      </c>
      <c r="D10780" t="str">
        <f>"OSWALT                   CHRISTY      T           "</f>
        <v xml:space="preserve">OSWALT                   CHRISTY      T           </v>
      </c>
      <c r="E10780" t="str">
        <f>"TUPELO                    "</f>
        <v xml:space="preserve">TUPELO                    </v>
      </c>
      <c r="F10780" t="str">
        <f t="shared" si="295"/>
        <v>MS</v>
      </c>
    </row>
    <row r="10781" spans="1:6" x14ac:dyDescent="0.25">
      <c r="A10781" t="str">
        <f>"004972800"</f>
        <v>004972800</v>
      </c>
      <c r="B10781" t="str">
        <f>"1225073968"</f>
        <v>1225073968</v>
      </c>
      <c r="C10781" t="str">
        <f>"261QF0400X"</f>
        <v>261QF0400X</v>
      </c>
      <c r="D10781" t="str">
        <f>"RUNNELSTOWN SCHOOL                                "</f>
        <v xml:space="preserve">RUNNELSTOWN SCHOOL                                </v>
      </c>
      <c r="E10781" t="str">
        <f>"PETAL                     "</f>
        <v xml:space="preserve">PETAL                     </v>
      </c>
      <c r="F10781" t="str">
        <f t="shared" si="295"/>
        <v>MS</v>
      </c>
    </row>
    <row r="10782" spans="1:6" x14ac:dyDescent="0.25">
      <c r="A10782" t="str">
        <f>"004973557"</f>
        <v>004973557</v>
      </c>
      <c r="B10782" t="str">
        <f>"1215267018"</f>
        <v>1215267018</v>
      </c>
      <c r="C10782" t="str">
        <f>"363L00000X"</f>
        <v>363L00000X</v>
      </c>
      <c r="D10782" t="str">
        <f>"HARTZOG                  REBECCA      B           "</f>
        <v xml:space="preserve">HARTZOG                  REBECCA      B           </v>
      </c>
      <c r="E10782" t="str">
        <f>"HATTIESBURG               "</f>
        <v xml:space="preserve">HATTIESBURG               </v>
      </c>
      <c r="F10782" t="str">
        <f t="shared" si="295"/>
        <v>MS</v>
      </c>
    </row>
    <row r="10783" spans="1:6" x14ac:dyDescent="0.25">
      <c r="A10783" t="str">
        <f>"004973838"</f>
        <v>004973838</v>
      </c>
      <c r="B10783" t="str">
        <f>"1528327517"</f>
        <v>1528327517</v>
      </c>
      <c r="C10783" t="str">
        <f>"363L00000X"</f>
        <v>363L00000X</v>
      </c>
      <c r="D10783" t="str">
        <f>"BUTT                     SHERA        A           "</f>
        <v xml:space="preserve">BUTT                     SHERA        A           </v>
      </c>
      <c r="E10783" t="str">
        <f>"GULFPORT                  "</f>
        <v xml:space="preserve">GULFPORT                  </v>
      </c>
      <c r="F10783" t="str">
        <f t="shared" si="295"/>
        <v>MS</v>
      </c>
    </row>
    <row r="10784" spans="1:6" x14ac:dyDescent="0.25">
      <c r="A10784" t="str">
        <f>"004974073"</f>
        <v>004974073</v>
      </c>
      <c r="B10784" t="str">
        <f>"1386243574"</f>
        <v>1386243574</v>
      </c>
      <c r="C10784" t="str">
        <f>"363L00000X"</f>
        <v>363L00000X</v>
      </c>
      <c r="D10784" t="str">
        <f>"BALLARD                  CARL                     "</f>
        <v xml:space="preserve">BALLARD                  CARL                     </v>
      </c>
      <c r="E10784" t="str">
        <f>"TUPELO                    "</f>
        <v xml:space="preserve">TUPELO                    </v>
      </c>
      <c r="F10784" t="str">
        <f t="shared" si="295"/>
        <v>MS</v>
      </c>
    </row>
    <row r="10785" spans="1:6" x14ac:dyDescent="0.25">
      <c r="A10785" t="str">
        <f>"004974267"</f>
        <v>004974267</v>
      </c>
      <c r="B10785" t="str">
        <f>"1407112089"</f>
        <v>1407112089</v>
      </c>
      <c r="C10785" t="str">
        <f>"208000000X"</f>
        <v>208000000X</v>
      </c>
      <c r="D10785" t="str">
        <f>"PRESSLEY MOSS            ALICIA       M           "</f>
        <v xml:space="preserve">PRESSLEY MOSS            ALICIA       M           </v>
      </c>
      <c r="E10785" t="str">
        <f>"PICAYUNE                  "</f>
        <v xml:space="preserve">PICAYUNE                  </v>
      </c>
      <c r="F10785" t="str">
        <f t="shared" si="295"/>
        <v>MS</v>
      </c>
    </row>
    <row r="10786" spans="1:6" x14ac:dyDescent="0.25">
      <c r="A10786" t="str">
        <f>"004974282"</f>
        <v>004974282</v>
      </c>
      <c r="B10786" t="str">
        <f>"1346768819"</f>
        <v>1346768819</v>
      </c>
      <c r="C10786" t="str">
        <f>"363A00000X"</f>
        <v>363A00000X</v>
      </c>
      <c r="D10786" t="str">
        <f>"STEVENS                  HAMILTON     F           "</f>
        <v xml:space="preserve">STEVENS                  HAMILTON     F           </v>
      </c>
      <c r="E10786" t="str">
        <f>"HATTIESBURG               "</f>
        <v xml:space="preserve">HATTIESBURG               </v>
      </c>
      <c r="F10786" t="str">
        <f t="shared" si="295"/>
        <v>MS</v>
      </c>
    </row>
    <row r="10787" spans="1:6" x14ac:dyDescent="0.25">
      <c r="A10787" t="str">
        <f>"004975769"</f>
        <v>004975769</v>
      </c>
      <c r="B10787" t="str">
        <f>"1962622142"</f>
        <v>1962622142</v>
      </c>
      <c r="C10787" t="str">
        <f>"1223X0400X"</f>
        <v>1223X0400X</v>
      </c>
      <c r="D10787" t="str">
        <f>"WAKHAM                   MARLON       D           "</f>
        <v xml:space="preserve">WAKHAM                   MARLON       D           </v>
      </c>
      <c r="E10787" t="str">
        <f>"MERIDIAN                  "</f>
        <v xml:space="preserve">MERIDIAN                  </v>
      </c>
      <c r="F10787" t="str">
        <f t="shared" si="295"/>
        <v>MS</v>
      </c>
    </row>
    <row r="10788" spans="1:6" x14ac:dyDescent="0.25">
      <c r="A10788" t="str">
        <f>"004976259"</f>
        <v>004976259</v>
      </c>
      <c r="B10788" t="str">
        <f>"1568024552"</f>
        <v>1568024552</v>
      </c>
      <c r="C10788" t="str">
        <f>"363L00000X"</f>
        <v>363L00000X</v>
      </c>
      <c r="D10788" t="str">
        <f>"BROOKS                   SPENCER                  "</f>
        <v xml:space="preserve">BROOKS                   SPENCER                  </v>
      </c>
      <c r="E10788" t="str">
        <f>"JACKSON                   "</f>
        <v xml:space="preserve">JACKSON                   </v>
      </c>
      <c r="F10788" t="str">
        <f t="shared" si="295"/>
        <v>MS</v>
      </c>
    </row>
    <row r="10789" spans="1:6" x14ac:dyDescent="0.25">
      <c r="A10789" t="str">
        <f>"004977229"</f>
        <v>004977229</v>
      </c>
      <c r="B10789" t="str">
        <f>"1174937148"</f>
        <v>1174937148</v>
      </c>
      <c r="C10789" t="str">
        <f>"2084N0400X"</f>
        <v>2084N0400X</v>
      </c>
      <c r="D10789" t="str">
        <f>"GUNTURU                  MANASA                   "</f>
        <v xml:space="preserve">GUNTURU                  MANASA                   </v>
      </c>
      <c r="E10789" t="str">
        <f>"JACKSON                   "</f>
        <v xml:space="preserve">JACKSON                   </v>
      </c>
      <c r="F10789" t="str">
        <f t="shared" si="295"/>
        <v>MS</v>
      </c>
    </row>
    <row r="10790" spans="1:6" x14ac:dyDescent="0.25">
      <c r="A10790" t="str">
        <f>"004977346"</f>
        <v>004977346</v>
      </c>
      <c r="B10790" t="str">
        <f>"1619139474"</f>
        <v>1619139474</v>
      </c>
      <c r="C10790" t="str">
        <f>"207X00000X"</f>
        <v>207X00000X</v>
      </c>
      <c r="D10790" t="str">
        <f>"ROBERSON                 ROWLAND      M           "</f>
        <v xml:space="preserve">ROBERSON                 ROWLAND      M           </v>
      </c>
      <c r="E10790" t="str">
        <f>"TUPELO                    "</f>
        <v xml:space="preserve">TUPELO                    </v>
      </c>
      <c r="F10790" t="str">
        <f t="shared" si="295"/>
        <v>MS</v>
      </c>
    </row>
    <row r="10791" spans="1:6" x14ac:dyDescent="0.25">
      <c r="A10791" t="str">
        <f>"004978011"</f>
        <v>004978011</v>
      </c>
      <c r="B10791" t="str">
        <f>"1154677136"</f>
        <v>1154677136</v>
      </c>
      <c r="C10791" t="str">
        <f>"152W00000X"</f>
        <v>152W00000X</v>
      </c>
      <c r="D10791" t="str">
        <f>"MASSEY                   JOSHUA       C           "</f>
        <v xml:space="preserve">MASSEY                   JOSHUA       C           </v>
      </c>
      <c r="E10791" t="str">
        <f>"CANTON                    "</f>
        <v xml:space="preserve">CANTON                    </v>
      </c>
      <c r="F10791" t="str">
        <f t="shared" si="295"/>
        <v>MS</v>
      </c>
    </row>
    <row r="10792" spans="1:6" x14ac:dyDescent="0.25">
      <c r="A10792" t="str">
        <f>"004978292"</f>
        <v>004978292</v>
      </c>
      <c r="B10792" t="str">
        <f>"1306310230"</f>
        <v>1306310230</v>
      </c>
      <c r="C10792" t="str">
        <f>"363A00000X"</f>
        <v>363A00000X</v>
      </c>
      <c r="D10792" t="str">
        <f>"NORRIS                   MARY         K           "</f>
        <v xml:space="preserve">NORRIS                   MARY         K           </v>
      </c>
      <c r="E10792" t="str">
        <f>"SOUTHAVEN                 "</f>
        <v xml:space="preserve">SOUTHAVEN                 </v>
      </c>
      <c r="F10792" t="str">
        <f t="shared" si="295"/>
        <v>MS</v>
      </c>
    </row>
    <row r="10793" spans="1:6" x14ac:dyDescent="0.25">
      <c r="A10793" t="str">
        <f>"004983807"</f>
        <v>004983807</v>
      </c>
      <c r="B10793" t="str">
        <f>"1164462610"</f>
        <v>1164462610</v>
      </c>
      <c r="C10793" t="str">
        <f>"261QF0400X"</f>
        <v>261QF0400X</v>
      </c>
      <c r="D10793" t="str">
        <f>"DIXIE ATTENDANCE CENTER                           "</f>
        <v xml:space="preserve">DIXIE ATTENDANCE CENTER                           </v>
      </c>
      <c r="E10793" t="str">
        <f>"HATTIESBURG               "</f>
        <v xml:space="preserve">HATTIESBURG               </v>
      </c>
      <c r="F10793" t="str">
        <f t="shared" si="295"/>
        <v>MS</v>
      </c>
    </row>
    <row r="10794" spans="1:6" x14ac:dyDescent="0.25">
      <c r="A10794" t="str">
        <f>"004986562"</f>
        <v>004986562</v>
      </c>
      <c r="B10794" t="str">
        <f>"1295056034"</f>
        <v>1295056034</v>
      </c>
      <c r="C10794" t="str">
        <f>"122300000X"</f>
        <v>122300000X</v>
      </c>
      <c r="D10794" t="str">
        <f>"HARDIN                   CASSEY       R           "</f>
        <v xml:space="preserve">HARDIN                   CASSEY       R           </v>
      </c>
      <c r="E10794" t="str">
        <f>"INDIANOLA                 "</f>
        <v xml:space="preserve">INDIANOLA                 </v>
      </c>
      <c r="F10794" t="str">
        <f t="shared" si="295"/>
        <v>MS</v>
      </c>
    </row>
    <row r="10795" spans="1:6" x14ac:dyDescent="0.25">
      <c r="A10795" t="str">
        <f>"004988734"</f>
        <v>004988734</v>
      </c>
      <c r="B10795" t="str">
        <f>"1205052164"</f>
        <v>1205052164</v>
      </c>
      <c r="C10795" t="str">
        <f>"363L00000X"</f>
        <v>363L00000X</v>
      </c>
      <c r="D10795" t="str">
        <f>"CARAWAY                  CHAD         D           "</f>
        <v xml:space="preserve">CARAWAY                  CHAD         D           </v>
      </c>
      <c r="E10795" t="str">
        <f>"LAUREL                    "</f>
        <v xml:space="preserve">LAUREL                    </v>
      </c>
      <c r="F10795" t="str">
        <f t="shared" si="295"/>
        <v>MS</v>
      </c>
    </row>
    <row r="10796" spans="1:6" x14ac:dyDescent="0.25">
      <c r="A10796" t="str">
        <f>"004989239"</f>
        <v>004989239</v>
      </c>
      <c r="B10796" t="str">
        <f>"1982283008"</f>
        <v>1982283008</v>
      </c>
      <c r="C10796" t="str">
        <f>"261QA1903X"</f>
        <v>261QA1903X</v>
      </c>
      <c r="D10796" t="str">
        <f>"ADVANCED MEDICAL IMAGING OF                       "</f>
        <v xml:space="preserve">ADVANCED MEDICAL IMAGING OF                       </v>
      </c>
      <c r="E10796" t="str">
        <f>"GREENWOOD                 "</f>
        <v xml:space="preserve">GREENWOOD                 </v>
      </c>
      <c r="F10796" t="str">
        <f t="shared" si="295"/>
        <v>MS</v>
      </c>
    </row>
    <row r="10797" spans="1:6" x14ac:dyDescent="0.25">
      <c r="A10797" t="str">
        <f>"005000770"</f>
        <v>005000770</v>
      </c>
      <c r="B10797" t="str">
        <f>"1659391423"</f>
        <v>1659391423</v>
      </c>
      <c r="C10797" t="str">
        <f>"363L00000X"</f>
        <v>363L00000X</v>
      </c>
      <c r="D10797" t="str">
        <f>"BIDWELL                  JOSIE        H           "</f>
        <v xml:space="preserve">BIDWELL                  JOSIE        H           </v>
      </c>
      <c r="E10797" t="str">
        <f>"JACKSON                   "</f>
        <v xml:space="preserve">JACKSON                   </v>
      </c>
      <c r="F10797" t="str">
        <f t="shared" si="295"/>
        <v>MS</v>
      </c>
    </row>
    <row r="10798" spans="1:6" x14ac:dyDescent="0.25">
      <c r="A10798" t="str">
        <f>"005001245"</f>
        <v>005001245</v>
      </c>
      <c r="B10798" t="str">
        <f>"1306232541"</f>
        <v>1306232541</v>
      </c>
      <c r="C10798" t="str">
        <f>"207Q00000X"</f>
        <v>207Q00000X</v>
      </c>
      <c r="D10798" t="str">
        <f>"NANCE II                 RICHARD      A           "</f>
        <v xml:space="preserve">NANCE II                 RICHARD      A           </v>
      </c>
      <c r="E10798" t="str">
        <f>"MERIDIAN                  "</f>
        <v xml:space="preserve">MERIDIAN                  </v>
      </c>
      <c r="F10798" t="str">
        <f t="shared" si="295"/>
        <v>MS</v>
      </c>
    </row>
    <row r="10799" spans="1:6" x14ac:dyDescent="0.25">
      <c r="A10799" t="str">
        <f>"005001549"</f>
        <v>005001549</v>
      </c>
      <c r="B10799" t="str">
        <f>"1417275652"</f>
        <v>1417275652</v>
      </c>
      <c r="C10799" t="str">
        <f>"207RH0003X"</f>
        <v>207RH0003X</v>
      </c>
      <c r="D10799" t="str">
        <f>"ALLEN                    JOHN         C           "</f>
        <v xml:space="preserve">ALLEN                    JOHN         C           </v>
      </c>
      <c r="E10799" t="str">
        <f>"NEW ALBANY                "</f>
        <v xml:space="preserve">NEW ALBANY                </v>
      </c>
      <c r="F10799" t="str">
        <f t="shared" si="295"/>
        <v>MS</v>
      </c>
    </row>
    <row r="10800" spans="1:6" x14ac:dyDescent="0.25">
      <c r="A10800" t="str">
        <f>"005002037"</f>
        <v>005002037</v>
      </c>
      <c r="B10800" t="str">
        <f>"1861590457"</f>
        <v>1861590457</v>
      </c>
      <c r="C10800" t="str">
        <f>"207RC0001X"</f>
        <v>207RC0001X</v>
      </c>
      <c r="D10800" t="str">
        <f>"MCCEARLEY                SANDRA       S           "</f>
        <v xml:space="preserve">MCCEARLEY                SANDRA       S           </v>
      </c>
      <c r="E10800" t="str">
        <f>"JACKSON                   "</f>
        <v xml:space="preserve">JACKSON                   </v>
      </c>
      <c r="F10800" t="str">
        <f t="shared" si="295"/>
        <v>MS</v>
      </c>
    </row>
    <row r="10801" spans="1:6" x14ac:dyDescent="0.25">
      <c r="A10801" t="str">
        <f>"005002218"</f>
        <v>005002218</v>
      </c>
      <c r="B10801" t="str">
        <f>"1225787740"</f>
        <v>1225787740</v>
      </c>
      <c r="C10801" t="str">
        <f>"363L00000X"</f>
        <v>363L00000X</v>
      </c>
      <c r="D10801" t="str">
        <f>"WEAVER                   HALEY                    "</f>
        <v xml:space="preserve">WEAVER                   HALEY                    </v>
      </c>
      <c r="E10801" t="str">
        <f>"BILOXI                    "</f>
        <v xml:space="preserve">BILOXI                    </v>
      </c>
      <c r="F10801" t="str">
        <f t="shared" si="295"/>
        <v>MS</v>
      </c>
    </row>
    <row r="10802" spans="1:6" x14ac:dyDescent="0.25">
      <c r="A10802" t="str">
        <f>"005003535"</f>
        <v>005003535</v>
      </c>
      <c r="B10802" t="str">
        <f>"1023468659"</f>
        <v>1023468659</v>
      </c>
      <c r="C10802" t="str">
        <f>"122300000X"</f>
        <v>122300000X</v>
      </c>
      <c r="D10802" t="str">
        <f>"GOODMAN                  AMBRIE       P           "</f>
        <v xml:space="preserve">GOODMAN                  AMBRIE       P           </v>
      </c>
      <c r="E10802" t="str">
        <f>"NETTLETON                 "</f>
        <v xml:space="preserve">NETTLETON                 </v>
      </c>
      <c r="F10802" t="str">
        <f t="shared" si="295"/>
        <v>MS</v>
      </c>
    </row>
    <row r="10803" spans="1:6" x14ac:dyDescent="0.25">
      <c r="A10803" t="str">
        <f>"005005854"</f>
        <v>005005854</v>
      </c>
      <c r="B10803" t="str">
        <f>"1932518032"</f>
        <v>1932518032</v>
      </c>
      <c r="C10803" t="str">
        <f>"152W00000X"</f>
        <v>152W00000X</v>
      </c>
      <c r="D10803" t="str">
        <f>"BODFORD                  MALLORY                  "</f>
        <v xml:space="preserve">BODFORD                  MALLORY                  </v>
      </c>
      <c r="E10803" t="str">
        <f>"OLIVE BRANCH              "</f>
        <v xml:space="preserve">OLIVE BRANCH              </v>
      </c>
      <c r="F10803" t="str">
        <f t="shared" si="295"/>
        <v>MS</v>
      </c>
    </row>
    <row r="10804" spans="1:6" x14ac:dyDescent="0.25">
      <c r="A10804" t="str">
        <f>"005006258"</f>
        <v>005006258</v>
      </c>
      <c r="B10804" t="str">
        <f>"1679116644"</f>
        <v>1679116644</v>
      </c>
      <c r="C10804" t="str">
        <f>"363L00000X"</f>
        <v>363L00000X</v>
      </c>
      <c r="D10804" t="str">
        <f>"SELLERS                  FELICIA                  "</f>
        <v xml:space="preserve">SELLERS                  FELICIA                  </v>
      </c>
      <c r="E10804" t="str">
        <f>"MOSS POINT                "</f>
        <v xml:space="preserve">MOSS POINT                </v>
      </c>
      <c r="F10804" t="str">
        <f t="shared" si="295"/>
        <v>MS</v>
      </c>
    </row>
    <row r="10805" spans="1:6" x14ac:dyDescent="0.25">
      <c r="A10805" t="str">
        <f>"005007292"</f>
        <v>005007292</v>
      </c>
      <c r="B10805" t="str">
        <f>"1902398381"</f>
        <v>1902398381</v>
      </c>
      <c r="C10805" t="str">
        <f>"261QF0400X"</f>
        <v>261QF0400X</v>
      </c>
      <c r="D10805" t="str">
        <f>"ACCESS SCHOOL HEALTH-NORTH PONTOTOC               "</f>
        <v xml:space="preserve">ACCESS SCHOOL HEALTH-NORTH PONTOTOC               </v>
      </c>
      <c r="E10805" t="str">
        <f>"ECRU                      "</f>
        <v xml:space="preserve">ECRU                      </v>
      </c>
      <c r="F10805" t="str">
        <f t="shared" si="295"/>
        <v>MS</v>
      </c>
    </row>
    <row r="10806" spans="1:6" x14ac:dyDescent="0.25">
      <c r="A10806" t="str">
        <f>"005008260"</f>
        <v>005008260</v>
      </c>
      <c r="B10806" t="str">
        <f>"1952767857"</f>
        <v>1952767857</v>
      </c>
      <c r="C10806" t="str">
        <f>"367500000X"</f>
        <v>367500000X</v>
      </c>
      <c r="D10806" t="str">
        <f>"BOOS                     MARTHA       C           "</f>
        <v xml:space="preserve">BOOS                     MARTHA       C           </v>
      </c>
      <c r="E10806" t="str">
        <f>"HATTIESBURG               "</f>
        <v xml:space="preserve">HATTIESBURG               </v>
      </c>
      <c r="F10806" t="str">
        <f t="shared" si="295"/>
        <v>MS</v>
      </c>
    </row>
    <row r="10807" spans="1:6" x14ac:dyDescent="0.25">
      <c r="A10807" t="str">
        <f>"005008582"</f>
        <v>005008582</v>
      </c>
      <c r="B10807" t="str">
        <f>"1689664039"</f>
        <v>1689664039</v>
      </c>
      <c r="C10807" t="str">
        <f>"207Q00000X"</f>
        <v>207Q00000X</v>
      </c>
      <c r="D10807" t="str">
        <f>"HAND                     JOSHUA       P           "</f>
        <v xml:space="preserve">HAND                     JOSHUA       P           </v>
      </c>
      <c r="E10807" t="str">
        <f>"NEW AUGUSTA               "</f>
        <v xml:space="preserve">NEW AUGUSTA               </v>
      </c>
      <c r="F10807" t="str">
        <f t="shared" si="295"/>
        <v>MS</v>
      </c>
    </row>
    <row r="10808" spans="1:6" x14ac:dyDescent="0.25">
      <c r="A10808" t="str">
        <f>"005009568"</f>
        <v>005009568</v>
      </c>
      <c r="B10808" t="str">
        <f>"1023241767"</f>
        <v>1023241767</v>
      </c>
      <c r="C10808" t="str">
        <f>"122300000X"</f>
        <v>122300000X</v>
      </c>
      <c r="D10808" t="str">
        <f>"SUNNYBROOK DENTISTRY                              "</f>
        <v xml:space="preserve">SUNNYBROOK DENTISTRY                              </v>
      </c>
      <c r="E10808" t="str">
        <f>"JACKSON                   "</f>
        <v xml:space="preserve">JACKSON                   </v>
      </c>
      <c r="F10808" t="str">
        <f t="shared" si="295"/>
        <v>MS</v>
      </c>
    </row>
    <row r="10809" spans="1:6" x14ac:dyDescent="0.25">
      <c r="A10809" t="str">
        <f>"005020034"</f>
        <v>005020034</v>
      </c>
      <c r="B10809" t="str">
        <f>"1124117171"</f>
        <v>1124117171</v>
      </c>
      <c r="C10809" t="str">
        <f>"207Q00000X"</f>
        <v>207Q00000X</v>
      </c>
      <c r="D10809" t="str">
        <f>"GILLESPIE                GEORGE       E           "</f>
        <v xml:space="preserve">GILLESPIE                GEORGE       E           </v>
      </c>
      <c r="E10809" t="str">
        <f>"HATTIESBURG               "</f>
        <v xml:space="preserve">HATTIESBURG               </v>
      </c>
      <c r="F10809" t="str">
        <f t="shared" si="295"/>
        <v>MS</v>
      </c>
    </row>
    <row r="10810" spans="1:6" x14ac:dyDescent="0.25">
      <c r="A10810" t="str">
        <f>"005021086"</f>
        <v>005021086</v>
      </c>
      <c r="B10810" t="str">
        <f>"1417036419"</f>
        <v>1417036419</v>
      </c>
      <c r="C10810" t="str">
        <f>"367500000X"</f>
        <v>367500000X</v>
      </c>
      <c r="D10810" t="str">
        <f>"CARPENTER                ROBERT       P           "</f>
        <v xml:space="preserve">CARPENTER                ROBERT       P           </v>
      </c>
      <c r="E10810" t="str">
        <f>"JACKSON                   "</f>
        <v xml:space="preserve">JACKSON                   </v>
      </c>
      <c r="F10810" t="str">
        <f t="shared" si="295"/>
        <v>MS</v>
      </c>
    </row>
    <row r="10811" spans="1:6" x14ac:dyDescent="0.25">
      <c r="A10811" t="str">
        <f>"005021312"</f>
        <v>005021312</v>
      </c>
      <c r="B10811" t="str">
        <f>"1174539753"</f>
        <v>1174539753</v>
      </c>
      <c r="C10811" t="str">
        <f>"1223S0112X"</f>
        <v>1223S0112X</v>
      </c>
      <c r="D10811" t="str">
        <f>"WEST                     WILLIAM      F           "</f>
        <v xml:space="preserve">WEST                     WILLIAM      F           </v>
      </c>
      <c r="E10811" t="str">
        <f>"TUPELO                    "</f>
        <v xml:space="preserve">TUPELO                    </v>
      </c>
      <c r="F10811" t="str">
        <f t="shared" si="295"/>
        <v>MS</v>
      </c>
    </row>
    <row r="10812" spans="1:6" x14ac:dyDescent="0.25">
      <c r="A10812" t="str">
        <f>"005021719"</f>
        <v>005021719</v>
      </c>
      <c r="B10812" t="str">
        <f>"1437309978"</f>
        <v>1437309978</v>
      </c>
      <c r="C10812" t="str">
        <f>"363L00000X"</f>
        <v>363L00000X</v>
      </c>
      <c r="D10812" t="str">
        <f>"PATTERSON                STACEY       S           "</f>
        <v xml:space="preserve">PATTERSON                STACEY       S           </v>
      </c>
      <c r="E10812" t="str">
        <f>"HERNANDO                  "</f>
        <v xml:space="preserve">HERNANDO                  </v>
      </c>
      <c r="F10812" t="str">
        <f t="shared" si="295"/>
        <v>MS</v>
      </c>
    </row>
    <row r="10813" spans="1:6" x14ac:dyDescent="0.25">
      <c r="A10813" t="str">
        <f>"005021856"</f>
        <v>005021856</v>
      </c>
      <c r="B10813" t="str">
        <f>"1528223005"</f>
        <v>1528223005</v>
      </c>
      <c r="C10813" t="str">
        <f>"207V00000X"</f>
        <v>207V00000X</v>
      </c>
      <c r="D10813" t="str">
        <f>"ROBERTS                  JENNIFER     R           "</f>
        <v xml:space="preserve">ROBERTS                  JENNIFER     R           </v>
      </c>
      <c r="E10813" t="str">
        <f>"LAUREL                    "</f>
        <v xml:space="preserve">LAUREL                    </v>
      </c>
      <c r="F10813" t="str">
        <f t="shared" si="295"/>
        <v>MS</v>
      </c>
    </row>
    <row r="10814" spans="1:6" x14ac:dyDescent="0.25">
      <c r="A10814" t="str">
        <f>"005023576"</f>
        <v>005023576</v>
      </c>
      <c r="B10814" t="str">
        <f>"1699187393"</f>
        <v>1699187393</v>
      </c>
      <c r="C10814" t="str">
        <f>"363L00000X"</f>
        <v>363L00000X</v>
      </c>
      <c r="D10814" t="str">
        <f>"ESSER                    KIMBERLY     R           "</f>
        <v xml:space="preserve">ESSER                    KIMBERLY     R           </v>
      </c>
      <c r="E10814" t="str">
        <f>"GULFPORT                  "</f>
        <v xml:space="preserve">GULFPORT                  </v>
      </c>
      <c r="F10814" t="str">
        <f t="shared" ref="F10814:F10877" si="296">"MS"</f>
        <v>MS</v>
      </c>
    </row>
    <row r="10815" spans="1:6" x14ac:dyDescent="0.25">
      <c r="A10815" t="str">
        <f>"005024859"</f>
        <v>005024859</v>
      </c>
      <c r="B10815" t="str">
        <f>"1063889632"</f>
        <v>1063889632</v>
      </c>
      <c r="C10815" t="str">
        <f>"363LP0808X"</f>
        <v>363LP0808X</v>
      </c>
      <c r="D10815" t="str">
        <f>"KANG                     MIN JUNG     S           "</f>
        <v xml:space="preserve">KANG                     MIN JUNG     S           </v>
      </c>
      <c r="E10815" t="str">
        <f>"JACKSON                   "</f>
        <v xml:space="preserve">JACKSON                   </v>
      </c>
      <c r="F10815" t="str">
        <f t="shared" si="296"/>
        <v>MS</v>
      </c>
    </row>
    <row r="10816" spans="1:6" x14ac:dyDescent="0.25">
      <c r="A10816" t="str">
        <f>"005025008"</f>
        <v>005025008</v>
      </c>
      <c r="B10816" t="str">
        <f>"1881759702"</f>
        <v>1881759702</v>
      </c>
      <c r="C10816" t="str">
        <f>"208000000X"</f>
        <v>208000000X</v>
      </c>
      <c r="D10816" t="str">
        <f>"GRANT                    DANA         R           "</f>
        <v xml:space="preserve">GRANT                    DANA         R           </v>
      </c>
      <c r="E10816" t="str">
        <f>"RIDGELAND                 "</f>
        <v xml:space="preserve">RIDGELAND                 </v>
      </c>
      <c r="F10816" t="str">
        <f t="shared" si="296"/>
        <v>MS</v>
      </c>
    </row>
    <row r="10817" spans="1:6" x14ac:dyDescent="0.25">
      <c r="A10817" t="str">
        <f>"005025097"</f>
        <v>005025097</v>
      </c>
      <c r="B10817" t="str">
        <f>"1417442880"</f>
        <v>1417442880</v>
      </c>
      <c r="C10817" t="str">
        <f>"207Q00000X"</f>
        <v>207Q00000X</v>
      </c>
      <c r="D10817" t="str">
        <f>"ANDERSON                 TRAVIS       A           "</f>
        <v xml:space="preserve">ANDERSON                 TRAVIS       A           </v>
      </c>
      <c r="E10817" t="str">
        <f>"TUPELO                    "</f>
        <v xml:space="preserve">TUPELO                    </v>
      </c>
      <c r="F10817" t="str">
        <f t="shared" si="296"/>
        <v>MS</v>
      </c>
    </row>
    <row r="10818" spans="1:6" x14ac:dyDescent="0.25">
      <c r="A10818" t="str">
        <f>"005025207"</f>
        <v>005025207</v>
      </c>
      <c r="B10818" t="str">
        <f>"1104238153"</f>
        <v>1104238153</v>
      </c>
      <c r="C10818" t="str">
        <f>"207R00000X"</f>
        <v>207R00000X</v>
      </c>
      <c r="D10818" t="str">
        <f>"MURRAY                   MATTHEW      J           "</f>
        <v xml:space="preserve">MURRAY                   MATTHEW      J           </v>
      </c>
      <c r="E10818" t="str">
        <f>"GULFPORT                  "</f>
        <v xml:space="preserve">GULFPORT                  </v>
      </c>
      <c r="F10818" t="str">
        <f t="shared" si="296"/>
        <v>MS</v>
      </c>
    </row>
    <row r="10819" spans="1:6" x14ac:dyDescent="0.25">
      <c r="A10819" t="str">
        <f>"005025853"</f>
        <v>005025853</v>
      </c>
      <c r="B10819" t="str">
        <f>"1437121134"</f>
        <v>1437121134</v>
      </c>
      <c r="C10819" t="str">
        <f>"2085R0202X"</f>
        <v>2085R0202X</v>
      </c>
      <c r="D10819" t="str">
        <f>"WICHMAN                  NEVILLE      R           "</f>
        <v xml:space="preserve">WICHMAN                  NEVILLE      R           </v>
      </c>
      <c r="E10819" t="str">
        <f>"MERIDIAN                  "</f>
        <v xml:space="preserve">MERIDIAN                  </v>
      </c>
      <c r="F10819" t="str">
        <f t="shared" si="296"/>
        <v>MS</v>
      </c>
    </row>
    <row r="10820" spans="1:6" x14ac:dyDescent="0.25">
      <c r="A10820" t="str">
        <f>"005027085"</f>
        <v>005027085</v>
      </c>
      <c r="B10820" t="str">
        <f>"1912258450"</f>
        <v>1912258450</v>
      </c>
      <c r="C10820" t="str">
        <f>"363L00000X"</f>
        <v>363L00000X</v>
      </c>
      <c r="D10820" t="str">
        <f>"WARE                     ASHLEY       K           "</f>
        <v xml:space="preserve">WARE                     ASHLEY       K           </v>
      </c>
      <c r="E10820" t="str">
        <f>"PRENTISS                  "</f>
        <v xml:space="preserve">PRENTISS                  </v>
      </c>
      <c r="F10820" t="str">
        <f t="shared" si="296"/>
        <v>MS</v>
      </c>
    </row>
    <row r="10821" spans="1:6" x14ac:dyDescent="0.25">
      <c r="A10821" t="str">
        <f>"005029265"</f>
        <v>005029265</v>
      </c>
      <c r="B10821" t="str">
        <f>"1184853913"</f>
        <v>1184853913</v>
      </c>
      <c r="C10821" t="str">
        <f>"207W00000X"</f>
        <v>207W00000X</v>
      </c>
      <c r="D10821" t="str">
        <f>"AGRAWAL                  KHUSHBOO                 "</f>
        <v xml:space="preserve">AGRAWAL                  KHUSHBOO                 </v>
      </c>
      <c r="E10821" t="str">
        <f>"TUPELO                    "</f>
        <v xml:space="preserve">TUPELO                    </v>
      </c>
      <c r="F10821" t="str">
        <f t="shared" si="296"/>
        <v>MS</v>
      </c>
    </row>
    <row r="10822" spans="1:6" x14ac:dyDescent="0.25">
      <c r="A10822" t="str">
        <f>"005029569"</f>
        <v>005029569</v>
      </c>
      <c r="B10822" t="str">
        <f>"1093460099"</f>
        <v>1093460099</v>
      </c>
      <c r="C10822" t="str">
        <f>"363L00000X"</f>
        <v>363L00000X</v>
      </c>
      <c r="D10822" t="str">
        <f>"PATE                     EVA          D           "</f>
        <v xml:space="preserve">PATE                     EVA          D           </v>
      </c>
      <c r="E10822" t="str">
        <f>"WAYNESBORO                "</f>
        <v xml:space="preserve">WAYNESBORO                </v>
      </c>
      <c r="F10822" t="str">
        <f t="shared" si="296"/>
        <v>MS</v>
      </c>
    </row>
    <row r="10823" spans="1:6" x14ac:dyDescent="0.25">
      <c r="A10823" t="str">
        <f>"005032326"</f>
        <v>005032326</v>
      </c>
      <c r="B10823" t="str">
        <f>"1710227905"</f>
        <v>1710227905</v>
      </c>
      <c r="C10823" t="str">
        <f>"363L00000X"</f>
        <v>363L00000X</v>
      </c>
      <c r="D10823" t="str">
        <f>"TILLERY                  CASEY                    "</f>
        <v xml:space="preserve">TILLERY                  CASEY                    </v>
      </c>
      <c r="E10823" t="str">
        <f>"MERIDIAN                  "</f>
        <v xml:space="preserve">MERIDIAN                  </v>
      </c>
      <c r="F10823" t="str">
        <f t="shared" si="296"/>
        <v>MS</v>
      </c>
    </row>
    <row r="10824" spans="1:6" x14ac:dyDescent="0.25">
      <c r="A10824" t="str">
        <f>"005032760"</f>
        <v>005032760</v>
      </c>
      <c r="B10824" t="str">
        <f>"1386843407"</f>
        <v>1386843407</v>
      </c>
      <c r="C10824" t="str">
        <f>"363L00000X"</f>
        <v>363L00000X</v>
      </c>
      <c r="D10824" t="str">
        <f>"EMBRY                    MARGARET     B           "</f>
        <v xml:space="preserve">EMBRY                    MARGARET     B           </v>
      </c>
      <c r="E10824" t="str">
        <f>"OXFORD                    "</f>
        <v xml:space="preserve">OXFORD                    </v>
      </c>
      <c r="F10824" t="str">
        <f t="shared" si="296"/>
        <v>MS</v>
      </c>
    </row>
    <row r="10825" spans="1:6" x14ac:dyDescent="0.25">
      <c r="A10825" t="str">
        <f>"005032822"</f>
        <v>005032822</v>
      </c>
      <c r="B10825" t="str">
        <f>"1225317126"</f>
        <v>1225317126</v>
      </c>
      <c r="C10825" t="str">
        <f>"207R00000X"</f>
        <v>207R00000X</v>
      </c>
      <c r="D10825" t="str">
        <f>"SHEIKH                   MUHAMMAD     M           "</f>
        <v xml:space="preserve">SHEIKH                   MUHAMMAD     M           </v>
      </c>
      <c r="E10825" t="str">
        <f>"SOUTHAVEN                 "</f>
        <v xml:space="preserve">SOUTHAVEN                 </v>
      </c>
      <c r="F10825" t="str">
        <f t="shared" si="296"/>
        <v>MS</v>
      </c>
    </row>
    <row r="10826" spans="1:6" x14ac:dyDescent="0.25">
      <c r="A10826" t="str">
        <f>"005033511"</f>
        <v>005033511</v>
      </c>
      <c r="B10826" t="str">
        <f>"1407379084"</f>
        <v>1407379084</v>
      </c>
      <c r="C10826" t="str">
        <f>"363L00000X"</f>
        <v>363L00000X</v>
      </c>
      <c r="D10826" t="str">
        <f>"HOWELL                   EDWARD       E           "</f>
        <v xml:space="preserve">HOWELL                   EDWARD       E           </v>
      </c>
      <c r="E10826" t="str">
        <f>"LUCEDALE                  "</f>
        <v xml:space="preserve">LUCEDALE                  </v>
      </c>
      <c r="F10826" t="str">
        <f t="shared" si="296"/>
        <v>MS</v>
      </c>
    </row>
    <row r="10827" spans="1:6" x14ac:dyDescent="0.25">
      <c r="A10827" t="str">
        <f>"005033868"</f>
        <v>005033868</v>
      </c>
      <c r="B10827" t="str">
        <f>"1497162846"</f>
        <v>1497162846</v>
      </c>
      <c r="C10827" t="str">
        <f>"152W00000X"</f>
        <v>152W00000X</v>
      </c>
      <c r="D10827" t="str">
        <f>"OTTO                     DAVID        A           "</f>
        <v xml:space="preserve">OTTO                     DAVID        A           </v>
      </c>
      <c r="E10827" t="str">
        <f>"BAY SPRINGS               "</f>
        <v xml:space="preserve">BAY SPRINGS               </v>
      </c>
      <c r="F10827" t="str">
        <f t="shared" si="296"/>
        <v>MS</v>
      </c>
    </row>
    <row r="10828" spans="1:6" x14ac:dyDescent="0.25">
      <c r="A10828" t="str">
        <f>"005034060"</f>
        <v>005034060</v>
      </c>
      <c r="B10828" t="str">
        <f>"1649425596"</f>
        <v>1649425596</v>
      </c>
      <c r="C10828" t="str">
        <f>"1223S0112X"</f>
        <v>1223S0112X</v>
      </c>
      <c r="D10828" t="str">
        <f>"LALA                     ASIF         A           "</f>
        <v xml:space="preserve">LALA                     ASIF         A           </v>
      </c>
      <c r="E10828" t="str">
        <f>"MERIDIAN                  "</f>
        <v xml:space="preserve">MERIDIAN                  </v>
      </c>
      <c r="F10828" t="str">
        <f t="shared" si="296"/>
        <v>MS</v>
      </c>
    </row>
    <row r="10829" spans="1:6" x14ac:dyDescent="0.25">
      <c r="A10829" t="str">
        <f>"005034089"</f>
        <v>005034089</v>
      </c>
      <c r="B10829" t="str">
        <f>"1770781338"</f>
        <v>1770781338</v>
      </c>
      <c r="C10829" t="str">
        <f>"207X00000X"</f>
        <v>207X00000X</v>
      </c>
      <c r="D10829" t="str">
        <f>"BARRETT                  AUSTIN       M           "</f>
        <v xml:space="preserve">BARRETT                  AUSTIN       M           </v>
      </c>
      <c r="E10829" t="str">
        <f>"JACKSON                   "</f>
        <v xml:space="preserve">JACKSON                   </v>
      </c>
      <c r="F10829" t="str">
        <f t="shared" si="296"/>
        <v>MS</v>
      </c>
    </row>
    <row r="10830" spans="1:6" x14ac:dyDescent="0.25">
      <c r="A10830" t="str">
        <f>"005035265"</f>
        <v>005035265</v>
      </c>
      <c r="B10830" t="str">
        <f>"1376861849"</f>
        <v>1376861849</v>
      </c>
      <c r="C10830" t="str">
        <f>"207X00000X"</f>
        <v>207X00000X</v>
      </c>
      <c r="D10830" t="str">
        <f>"BETTIN                   CLAYTON      C           "</f>
        <v xml:space="preserve">BETTIN                   CLAYTON      C           </v>
      </c>
      <c r="E10830" t="str">
        <f>"SOUTHAVEN                 "</f>
        <v xml:space="preserve">SOUTHAVEN                 </v>
      </c>
      <c r="F10830" t="str">
        <f t="shared" si="296"/>
        <v>MS</v>
      </c>
    </row>
    <row r="10831" spans="1:6" x14ac:dyDescent="0.25">
      <c r="A10831" t="str">
        <f>"005035591"</f>
        <v>005035591</v>
      </c>
      <c r="B10831" t="str">
        <f>"1790933752"</f>
        <v>1790933752</v>
      </c>
      <c r="C10831" t="str">
        <f>"363L00000X"</f>
        <v>363L00000X</v>
      </c>
      <c r="D10831" t="str">
        <f>"VAUGHAN                  JESSICA      S           "</f>
        <v xml:space="preserve">VAUGHAN                  JESSICA      S           </v>
      </c>
      <c r="E10831" t="str">
        <f>"MERIDIAN                  "</f>
        <v xml:space="preserve">MERIDIAN                  </v>
      </c>
      <c r="F10831" t="str">
        <f t="shared" si="296"/>
        <v>MS</v>
      </c>
    </row>
    <row r="10832" spans="1:6" x14ac:dyDescent="0.25">
      <c r="A10832" t="str">
        <f>"005035791"</f>
        <v>005035791</v>
      </c>
      <c r="B10832" t="str">
        <f>"1801089347"</f>
        <v>1801089347</v>
      </c>
      <c r="C10832" t="str">
        <f>"2084N0400X"</f>
        <v>2084N0400X</v>
      </c>
      <c r="D10832" t="str">
        <f>"SI                       XIAOHONG                 "</f>
        <v xml:space="preserve">SI                       XIAOHONG                 </v>
      </c>
      <c r="E10832" t="str">
        <f>"TUPELO                    "</f>
        <v xml:space="preserve">TUPELO                    </v>
      </c>
      <c r="F10832" t="str">
        <f t="shared" si="296"/>
        <v>MS</v>
      </c>
    </row>
    <row r="10833" spans="1:6" x14ac:dyDescent="0.25">
      <c r="A10833" t="str">
        <f>"005036509"</f>
        <v>005036509</v>
      </c>
      <c r="B10833" t="str">
        <f>"1487135778"</f>
        <v>1487135778</v>
      </c>
      <c r="C10833" t="str">
        <f>"363L00000X"</f>
        <v>363L00000X</v>
      </c>
      <c r="D10833" t="str">
        <f>"JOBE                     ABBY                     "</f>
        <v xml:space="preserve">JOBE                     ABBY                     </v>
      </c>
      <c r="E10833" t="str">
        <f>"CARTHAGE                  "</f>
        <v xml:space="preserve">CARTHAGE                  </v>
      </c>
      <c r="F10833" t="str">
        <f t="shared" si="296"/>
        <v>MS</v>
      </c>
    </row>
    <row r="10834" spans="1:6" x14ac:dyDescent="0.25">
      <c r="A10834" t="str">
        <f>"005037357"</f>
        <v>005037357</v>
      </c>
      <c r="B10834" t="str">
        <f>"1699242891"</f>
        <v>1699242891</v>
      </c>
      <c r="C10834" t="str">
        <f>"261QM1300X"</f>
        <v>261QM1300X</v>
      </c>
      <c r="D10834" t="str">
        <f>"SAFE HARBOR CLINIC                                "</f>
        <v xml:space="preserve">SAFE HARBOR CLINIC                                </v>
      </c>
      <c r="E10834" t="str">
        <f>"LONG BEACH                "</f>
        <v xml:space="preserve">LONG BEACH                </v>
      </c>
      <c r="F10834" t="str">
        <f t="shared" si="296"/>
        <v>MS</v>
      </c>
    </row>
    <row r="10835" spans="1:6" x14ac:dyDescent="0.25">
      <c r="A10835" t="str">
        <f>"005038051"</f>
        <v>005038051</v>
      </c>
      <c r="B10835" t="str">
        <f>"1194188722"</f>
        <v>1194188722</v>
      </c>
      <c r="C10835" t="str">
        <f>"207Q00000X"</f>
        <v>207Q00000X</v>
      </c>
      <c r="D10835" t="str">
        <f>"DOUGLAS                  JESSICA      L           "</f>
        <v xml:space="preserve">DOUGLAS                  JESSICA      L           </v>
      </c>
      <c r="E10835" t="str">
        <f>"JACKSON                   "</f>
        <v xml:space="preserve">JACKSON                   </v>
      </c>
      <c r="F10835" t="str">
        <f t="shared" si="296"/>
        <v>MS</v>
      </c>
    </row>
    <row r="10836" spans="1:6" x14ac:dyDescent="0.25">
      <c r="A10836" t="str">
        <f>"005039016"</f>
        <v>005039016</v>
      </c>
      <c r="B10836" t="str">
        <f>"1952628398"</f>
        <v>1952628398</v>
      </c>
      <c r="C10836" t="str">
        <f>"363L00000X"</f>
        <v>363L00000X</v>
      </c>
      <c r="D10836" t="str">
        <f>"CAIN                     DEEDY        H           "</f>
        <v xml:space="preserve">CAIN                     DEEDY        H           </v>
      </c>
      <c r="E10836" t="str">
        <f>"LUCEDALE                  "</f>
        <v xml:space="preserve">LUCEDALE                  </v>
      </c>
      <c r="F10836" t="str">
        <f t="shared" si="296"/>
        <v>MS</v>
      </c>
    </row>
    <row r="10837" spans="1:6" x14ac:dyDescent="0.25">
      <c r="A10837" t="str">
        <f>"005039704"</f>
        <v>005039704</v>
      </c>
      <c r="B10837" t="str">
        <f>"1275917346"</f>
        <v>1275917346</v>
      </c>
      <c r="C10837" t="str">
        <f>"152W00000X"</f>
        <v>152W00000X</v>
      </c>
      <c r="D10837" t="str">
        <f>"MCKNIGHT                 CHELSEA      M           "</f>
        <v xml:space="preserve">MCKNIGHT                 CHELSEA      M           </v>
      </c>
      <c r="E10837" t="str">
        <f>"TUPELO                    "</f>
        <v xml:space="preserve">TUPELO                    </v>
      </c>
      <c r="F10837" t="str">
        <f t="shared" si="296"/>
        <v>MS</v>
      </c>
    </row>
    <row r="10838" spans="1:6" x14ac:dyDescent="0.25">
      <c r="A10838" t="str">
        <f>"005050099"</f>
        <v>005050099</v>
      </c>
      <c r="B10838" t="str">
        <f>"1447890298"</f>
        <v>1447890298</v>
      </c>
      <c r="C10838" t="str">
        <f>"363L00000X"</f>
        <v>363L00000X</v>
      </c>
      <c r="D10838" t="str">
        <f>"BAILEY                   MICHAELINE               "</f>
        <v xml:space="preserve">BAILEY                   MICHAELINE               </v>
      </c>
      <c r="E10838" t="str">
        <f>"HORN LAKE                 "</f>
        <v xml:space="preserve">HORN LAKE                 </v>
      </c>
      <c r="F10838" t="str">
        <f t="shared" si="296"/>
        <v>MS</v>
      </c>
    </row>
    <row r="10839" spans="1:6" x14ac:dyDescent="0.25">
      <c r="A10839" t="str">
        <f>"005050254"</f>
        <v>005050254</v>
      </c>
      <c r="B10839" t="str">
        <f>"1821537200"</f>
        <v>1821537200</v>
      </c>
      <c r="C10839" t="str">
        <f>"363L00000X"</f>
        <v>363L00000X</v>
      </c>
      <c r="D10839" t="str">
        <f>"DELANEY-DAVIS            JENNIFER                 "</f>
        <v xml:space="preserve">DELANEY-DAVIS            JENNIFER                 </v>
      </c>
      <c r="E10839" t="str">
        <f>"OCEAN SPRINGS             "</f>
        <v xml:space="preserve">OCEAN SPRINGS             </v>
      </c>
      <c r="F10839" t="str">
        <f t="shared" si="296"/>
        <v>MS</v>
      </c>
    </row>
    <row r="10840" spans="1:6" x14ac:dyDescent="0.25">
      <c r="A10840" t="str">
        <f>"005051851"</f>
        <v>005051851</v>
      </c>
      <c r="B10840" t="str">
        <f>"1811439490"</f>
        <v>1811439490</v>
      </c>
      <c r="C10840" t="str">
        <f>"363L00000X"</f>
        <v>363L00000X</v>
      </c>
      <c r="D10840" t="str">
        <f>"BROWN                    LUAN         L           "</f>
        <v xml:space="preserve">BROWN                    LUAN         L           </v>
      </c>
      <c r="E10840" t="str">
        <f>"OCEAN SPRINGS             "</f>
        <v xml:space="preserve">OCEAN SPRINGS             </v>
      </c>
      <c r="F10840" t="str">
        <f t="shared" si="296"/>
        <v>MS</v>
      </c>
    </row>
    <row r="10841" spans="1:6" x14ac:dyDescent="0.25">
      <c r="A10841" t="str">
        <f>"005052252"</f>
        <v>005052252</v>
      </c>
      <c r="B10841" t="str">
        <f>"1962842443"</f>
        <v>1962842443</v>
      </c>
      <c r="C10841" t="str">
        <f>"122300000X"</f>
        <v>122300000X</v>
      </c>
      <c r="D10841" t="str">
        <f>"WILLIAMS                 GARY         E           "</f>
        <v xml:space="preserve">WILLIAMS                 GARY         E           </v>
      </c>
      <c r="E10841" t="str">
        <f>"BYRAM                     "</f>
        <v xml:space="preserve">BYRAM                     </v>
      </c>
      <c r="F10841" t="str">
        <f t="shared" si="296"/>
        <v>MS</v>
      </c>
    </row>
    <row r="10842" spans="1:6" x14ac:dyDescent="0.25">
      <c r="A10842" t="str">
        <f>"005052801"</f>
        <v>005052801</v>
      </c>
      <c r="B10842" t="str">
        <f>"1063909497"</f>
        <v>1063909497</v>
      </c>
      <c r="C10842" t="str">
        <f>"208M00000X"</f>
        <v>208M00000X</v>
      </c>
      <c r="D10842" t="str">
        <f>"CREWS                    WILLIAM      S           "</f>
        <v xml:space="preserve">CREWS                    WILLIAM      S           </v>
      </c>
      <c r="E10842" t="str">
        <f>"JACKSON                   "</f>
        <v xml:space="preserve">JACKSON                   </v>
      </c>
      <c r="F10842" t="str">
        <f t="shared" si="296"/>
        <v>MS</v>
      </c>
    </row>
    <row r="10843" spans="1:6" x14ac:dyDescent="0.25">
      <c r="A10843" t="str">
        <f>"005053212"</f>
        <v>005053212</v>
      </c>
      <c r="B10843" t="str">
        <f>"1841808953"</f>
        <v>1841808953</v>
      </c>
      <c r="C10843" t="str">
        <f>"363L00000X"</f>
        <v>363L00000X</v>
      </c>
      <c r="D10843" t="str">
        <f>"HULTS                    KAYLA        P           "</f>
        <v xml:space="preserve">HULTS                    KAYLA        P           </v>
      </c>
      <c r="E10843" t="str">
        <f>"MOSS POINT                "</f>
        <v xml:space="preserve">MOSS POINT                </v>
      </c>
      <c r="F10843" t="str">
        <f t="shared" si="296"/>
        <v>MS</v>
      </c>
    </row>
    <row r="10844" spans="1:6" x14ac:dyDescent="0.25">
      <c r="A10844" t="str">
        <f>"005053241"</f>
        <v>005053241</v>
      </c>
      <c r="B10844" t="str">
        <f>"1790296960"</f>
        <v>1790296960</v>
      </c>
      <c r="C10844" t="str">
        <f>"363L00000X"</f>
        <v>363L00000X</v>
      </c>
      <c r="D10844" t="str">
        <f>"CAUSEY                   KIRSTIN      K           "</f>
        <v xml:space="preserve">CAUSEY                   KIRSTIN      K           </v>
      </c>
      <c r="E10844" t="str">
        <f>"JACKSON                   "</f>
        <v xml:space="preserve">JACKSON                   </v>
      </c>
      <c r="F10844" t="str">
        <f t="shared" si="296"/>
        <v>MS</v>
      </c>
    </row>
    <row r="10845" spans="1:6" x14ac:dyDescent="0.25">
      <c r="A10845" t="str">
        <f>"005053371"</f>
        <v>005053371</v>
      </c>
      <c r="B10845" t="str">
        <f>"1942793823"</f>
        <v>1942793823</v>
      </c>
      <c r="C10845" t="str">
        <f>"261QA1903X"</f>
        <v>261QA1903X</v>
      </c>
      <c r="D10845" t="str">
        <f>"STARKVILLE SURGERY CENTER LLC                     "</f>
        <v xml:space="preserve">STARKVILLE SURGERY CENTER LLC                     </v>
      </c>
      <c r="E10845" t="str">
        <f>"STARKVILLE                "</f>
        <v xml:space="preserve">STARKVILLE                </v>
      </c>
      <c r="F10845" t="str">
        <f t="shared" si="296"/>
        <v>MS</v>
      </c>
    </row>
    <row r="10846" spans="1:6" x14ac:dyDescent="0.25">
      <c r="A10846" t="str">
        <f>"005053844"</f>
        <v>005053844</v>
      </c>
      <c r="B10846" t="str">
        <f>"1982119228"</f>
        <v>1982119228</v>
      </c>
      <c r="C10846" t="str">
        <f>"363L00000X"</f>
        <v>363L00000X</v>
      </c>
      <c r="D10846" t="str">
        <f>"TAYLOR                   FELIX                    "</f>
        <v xml:space="preserve">TAYLOR                   FELIX                    </v>
      </c>
      <c r="E10846" t="str">
        <f>"GULFPORT                  "</f>
        <v xml:space="preserve">GULFPORT                  </v>
      </c>
      <c r="F10846" t="str">
        <f t="shared" si="296"/>
        <v>MS</v>
      </c>
    </row>
    <row r="10847" spans="1:6" x14ac:dyDescent="0.25">
      <c r="A10847" t="str">
        <f>"005054344"</f>
        <v>005054344</v>
      </c>
      <c r="B10847" t="str">
        <f>"1235232752"</f>
        <v>1235232752</v>
      </c>
      <c r="C10847" t="str">
        <f>"207RC0000X"</f>
        <v>207RC0000X</v>
      </c>
      <c r="D10847" t="str">
        <f>"RODRIGUEZ                JENNIFER     J           "</f>
        <v xml:space="preserve">RODRIGUEZ                JENNIFER     J           </v>
      </c>
      <c r="E10847" t="str">
        <f>"MERIDIAN                  "</f>
        <v xml:space="preserve">MERIDIAN                  </v>
      </c>
      <c r="F10847" t="str">
        <f t="shared" si="296"/>
        <v>MS</v>
      </c>
    </row>
    <row r="10848" spans="1:6" x14ac:dyDescent="0.25">
      <c r="A10848" t="str">
        <f>"005056260"</f>
        <v>005056260</v>
      </c>
      <c r="B10848" t="str">
        <f>"1912386863"</f>
        <v>1912386863</v>
      </c>
      <c r="C10848" t="str">
        <f>"207P00000X"</f>
        <v>207P00000X</v>
      </c>
      <c r="D10848" t="str">
        <f>"AINSWORTH                LUCAS        C           "</f>
        <v xml:space="preserve">AINSWORTH                LUCAS        C           </v>
      </c>
      <c r="E10848" t="str">
        <f>"BAY SAINT LOUIS           "</f>
        <v xml:space="preserve">BAY SAINT LOUIS           </v>
      </c>
      <c r="F10848" t="str">
        <f t="shared" si="296"/>
        <v>MS</v>
      </c>
    </row>
    <row r="10849" spans="1:6" x14ac:dyDescent="0.25">
      <c r="A10849" t="str">
        <f>"005070043"</f>
        <v>005070043</v>
      </c>
      <c r="B10849" t="str">
        <f>"1801108196"</f>
        <v>1801108196</v>
      </c>
      <c r="C10849" t="str">
        <f>"207Q00000X"</f>
        <v>207Q00000X</v>
      </c>
      <c r="D10849" t="str">
        <f>"TREADWELL                LAUREN       B           "</f>
        <v xml:space="preserve">TREADWELL                LAUREN       B           </v>
      </c>
      <c r="E10849" t="str">
        <f>"JACKSON                   "</f>
        <v xml:space="preserve">JACKSON                   </v>
      </c>
      <c r="F10849" t="str">
        <f t="shared" si="296"/>
        <v>MS</v>
      </c>
    </row>
    <row r="10850" spans="1:6" x14ac:dyDescent="0.25">
      <c r="A10850" t="str">
        <f>"005071800"</f>
        <v>005071800</v>
      </c>
      <c r="B10850" t="str">
        <f>"1821579707"</f>
        <v>1821579707</v>
      </c>
      <c r="C10850" t="str">
        <f>"363L00000X"</f>
        <v>363L00000X</v>
      </c>
      <c r="D10850" t="str">
        <f>"MUNNA                    HOLLIANNA    M           "</f>
        <v xml:space="preserve">MUNNA                    HOLLIANNA    M           </v>
      </c>
      <c r="E10850" t="str">
        <f>"HATTIESBURG               "</f>
        <v xml:space="preserve">HATTIESBURG               </v>
      </c>
      <c r="F10850" t="str">
        <f t="shared" si="296"/>
        <v>MS</v>
      </c>
    </row>
    <row r="10851" spans="1:6" x14ac:dyDescent="0.25">
      <c r="A10851" t="str">
        <f>"005073000"</f>
        <v>005073000</v>
      </c>
      <c r="B10851" t="str">
        <f>"1801877022"</f>
        <v>1801877022</v>
      </c>
      <c r="C10851" t="str">
        <f>"363A00000X"</f>
        <v>363A00000X</v>
      </c>
      <c r="D10851" t="str">
        <f>"WATTS JR                 BENJAMIN     P           "</f>
        <v xml:space="preserve">WATTS JR                 BENJAMIN     P           </v>
      </c>
      <c r="E10851" t="str">
        <f>"VANCLEAVE                 "</f>
        <v xml:space="preserve">VANCLEAVE                 </v>
      </c>
      <c r="F10851" t="str">
        <f t="shared" si="296"/>
        <v>MS</v>
      </c>
    </row>
    <row r="10852" spans="1:6" x14ac:dyDescent="0.25">
      <c r="A10852" t="str">
        <f>"005073060"</f>
        <v>005073060</v>
      </c>
      <c r="B10852" t="str">
        <f>"1124382635"</f>
        <v>1124382635</v>
      </c>
      <c r="C10852" t="str">
        <f>"363L00000X"</f>
        <v>363L00000X</v>
      </c>
      <c r="D10852" t="str">
        <f>"SWYNENBERG               VICTORIA                 "</f>
        <v xml:space="preserve">SWYNENBERG               VICTORIA                 </v>
      </c>
      <c r="E10852" t="str">
        <f>"MOSS POINT                "</f>
        <v xml:space="preserve">MOSS POINT                </v>
      </c>
      <c r="F10852" t="str">
        <f t="shared" si="296"/>
        <v>MS</v>
      </c>
    </row>
    <row r="10853" spans="1:6" x14ac:dyDescent="0.25">
      <c r="A10853" t="str">
        <f>"005073750"</f>
        <v>005073750</v>
      </c>
      <c r="B10853" t="str">
        <f>"1982649620"</f>
        <v>1982649620</v>
      </c>
      <c r="C10853" t="str">
        <f>"261QE0700X"</f>
        <v>261QE0700X</v>
      </c>
      <c r="D10853" t="str">
        <f>"SILVER CREEK DIALYSIS UNIT                        "</f>
        <v xml:space="preserve">SILVER CREEK DIALYSIS UNIT                        </v>
      </c>
      <c r="E10853" t="str">
        <f>"SILVER CREEK              "</f>
        <v xml:space="preserve">SILVER CREEK              </v>
      </c>
      <c r="F10853" t="str">
        <f t="shared" si="296"/>
        <v>MS</v>
      </c>
    </row>
    <row r="10854" spans="1:6" x14ac:dyDescent="0.25">
      <c r="A10854" t="str">
        <f>"005073815"</f>
        <v>005073815</v>
      </c>
      <c r="B10854" t="str">
        <f>"1437523511"</f>
        <v>1437523511</v>
      </c>
      <c r="C10854" t="str">
        <f>"261QM3000X"</f>
        <v>261QM3000X</v>
      </c>
      <c r="D10854" t="str">
        <f>"DELTA PEDIATRIC CARE                              "</f>
        <v xml:space="preserve">DELTA PEDIATRIC CARE                              </v>
      </c>
      <c r="E10854" t="str">
        <f>"LELAND                    "</f>
        <v xml:space="preserve">LELAND                    </v>
      </c>
      <c r="F10854" t="str">
        <f t="shared" si="296"/>
        <v>MS</v>
      </c>
    </row>
    <row r="10855" spans="1:6" x14ac:dyDescent="0.25">
      <c r="A10855" t="str">
        <f>"005075871"</f>
        <v>005075871</v>
      </c>
      <c r="B10855" t="str">
        <f>"1912003005"</f>
        <v>1912003005</v>
      </c>
      <c r="C10855" t="str">
        <f>"207RC0000X"</f>
        <v>207RC0000X</v>
      </c>
      <c r="D10855" t="str">
        <f>"ADAMS                    JOSEPH       C           "</f>
        <v xml:space="preserve">ADAMS                    JOSEPH       C           </v>
      </c>
      <c r="E10855" t="str">
        <f>"TUPELO                    "</f>
        <v xml:space="preserve">TUPELO                    </v>
      </c>
      <c r="F10855" t="str">
        <f t="shared" si="296"/>
        <v>MS</v>
      </c>
    </row>
    <row r="10856" spans="1:6" x14ac:dyDescent="0.25">
      <c r="A10856" t="str">
        <f>"005076067"</f>
        <v>005076067</v>
      </c>
      <c r="B10856" t="str">
        <f>"1093225070"</f>
        <v>1093225070</v>
      </c>
      <c r="C10856" t="str">
        <f>"363L00000X"</f>
        <v>363L00000X</v>
      </c>
      <c r="D10856" t="str">
        <f>"EDMONDSON                HEATHER      L           "</f>
        <v xml:space="preserve">EDMONDSON                HEATHER      L           </v>
      </c>
      <c r="E10856" t="str">
        <f>"BELMONT                   "</f>
        <v xml:space="preserve">BELMONT                   </v>
      </c>
      <c r="F10856" t="str">
        <f t="shared" si="296"/>
        <v>MS</v>
      </c>
    </row>
    <row r="10857" spans="1:6" x14ac:dyDescent="0.25">
      <c r="A10857" t="str">
        <f>"005076811"</f>
        <v>005076811</v>
      </c>
      <c r="B10857" t="str">
        <f>"1396030201"</f>
        <v>1396030201</v>
      </c>
      <c r="C10857" t="str">
        <f>"363L00000X"</f>
        <v>363L00000X</v>
      </c>
      <c r="D10857" t="str">
        <f>"SISSON                   FALON        R           "</f>
        <v xml:space="preserve">SISSON                   FALON        R           </v>
      </c>
      <c r="E10857" t="str">
        <f>"BILOXI                    "</f>
        <v xml:space="preserve">BILOXI                    </v>
      </c>
      <c r="F10857" t="str">
        <f t="shared" si="296"/>
        <v>MS</v>
      </c>
    </row>
    <row r="10858" spans="1:6" x14ac:dyDescent="0.25">
      <c r="A10858" t="str">
        <f>"005078069"</f>
        <v>005078069</v>
      </c>
      <c r="B10858" t="str">
        <f>"1730443078"</f>
        <v>1730443078</v>
      </c>
      <c r="C10858" t="str">
        <f>"207Q00000X"</f>
        <v>207Q00000X</v>
      </c>
      <c r="D10858" t="str">
        <f>"ROBERTS                  RONALD       B           "</f>
        <v xml:space="preserve">ROBERTS                  RONALD       B           </v>
      </c>
      <c r="E10858" t="str">
        <f>"RULEVILLE                 "</f>
        <v xml:space="preserve">RULEVILLE                 </v>
      </c>
      <c r="F10858" t="str">
        <f t="shared" si="296"/>
        <v>MS</v>
      </c>
    </row>
    <row r="10859" spans="1:6" x14ac:dyDescent="0.25">
      <c r="A10859" t="str">
        <f>"005078387"</f>
        <v>005078387</v>
      </c>
      <c r="B10859" t="str">
        <f>"1669092227"</f>
        <v>1669092227</v>
      </c>
      <c r="C10859" t="str">
        <f>"367500000X"</f>
        <v>367500000X</v>
      </c>
      <c r="D10859" t="str">
        <f>"STEPHENS                 CHRISTOPHER  L           "</f>
        <v xml:space="preserve">STEPHENS                 CHRISTOPHER  L           </v>
      </c>
      <c r="E10859" t="str">
        <f>"JACKSON                   "</f>
        <v xml:space="preserve">JACKSON                   </v>
      </c>
      <c r="F10859" t="str">
        <f t="shared" si="296"/>
        <v>MS</v>
      </c>
    </row>
    <row r="10860" spans="1:6" x14ac:dyDescent="0.25">
      <c r="A10860" t="str">
        <f>"005078728"</f>
        <v>005078728</v>
      </c>
      <c r="B10860" t="str">
        <f>"1659454650"</f>
        <v>1659454650</v>
      </c>
      <c r="C10860" t="str">
        <f>"363L00000X"</f>
        <v>363L00000X</v>
      </c>
      <c r="D10860" t="str">
        <f>"MELTON                   NANCY        W           "</f>
        <v xml:space="preserve">MELTON                   NANCY        W           </v>
      </c>
      <c r="E10860" t="str">
        <f>"CHOCTAW                   "</f>
        <v xml:space="preserve">CHOCTAW                   </v>
      </c>
      <c r="F10860" t="str">
        <f t="shared" si="296"/>
        <v>MS</v>
      </c>
    </row>
    <row r="10861" spans="1:6" x14ac:dyDescent="0.25">
      <c r="A10861" t="str">
        <f>"005078778"</f>
        <v>005078778</v>
      </c>
      <c r="B10861" t="str">
        <f>"1245788504"</f>
        <v>1245788504</v>
      </c>
      <c r="C10861" t="str">
        <f>"363L00000X"</f>
        <v>363L00000X</v>
      </c>
      <c r="D10861" t="str">
        <f>"WILLIAMS                 MELISSA      D           "</f>
        <v xml:space="preserve">WILLIAMS                 MELISSA      D           </v>
      </c>
      <c r="E10861" t="str">
        <f>"PONTOTOC                  "</f>
        <v xml:space="preserve">PONTOTOC                  </v>
      </c>
      <c r="F10861" t="str">
        <f t="shared" si="296"/>
        <v>MS</v>
      </c>
    </row>
    <row r="10862" spans="1:6" x14ac:dyDescent="0.25">
      <c r="A10862" t="str">
        <f>"005078896"</f>
        <v>005078896</v>
      </c>
      <c r="B10862" t="str">
        <f>"1609962216"</f>
        <v>1609962216</v>
      </c>
      <c r="C10862" t="str">
        <f>"122300000X"</f>
        <v>122300000X</v>
      </c>
      <c r="D10862" t="str">
        <f>"HOOD                     WILLIAM                  "</f>
        <v xml:space="preserve">HOOD                     WILLIAM                  </v>
      </c>
      <c r="E10862" t="str">
        <f>"MACON                     "</f>
        <v xml:space="preserve">MACON                     </v>
      </c>
      <c r="F10862" t="str">
        <f t="shared" si="296"/>
        <v>MS</v>
      </c>
    </row>
    <row r="10863" spans="1:6" x14ac:dyDescent="0.25">
      <c r="A10863" t="str">
        <f>"005079218"</f>
        <v>005079218</v>
      </c>
      <c r="B10863" t="str">
        <f>"1477620458"</f>
        <v>1477620458</v>
      </c>
      <c r="C10863" t="str">
        <f>"207V00000X"</f>
        <v>207V00000X</v>
      </c>
      <c r="D10863" t="str">
        <f>"TURNER, JR               DOUGLAS      M           "</f>
        <v xml:space="preserve">TURNER, JR               DOUGLAS      M           </v>
      </c>
      <c r="E10863" t="str">
        <f>"COLUMBUS                  "</f>
        <v xml:space="preserve">COLUMBUS                  </v>
      </c>
      <c r="F10863" t="str">
        <f t="shared" si="296"/>
        <v>MS</v>
      </c>
    </row>
    <row r="10864" spans="1:6" x14ac:dyDescent="0.25">
      <c r="A10864" t="str">
        <f>"005079358"</f>
        <v>005079358</v>
      </c>
      <c r="B10864" t="str">
        <f>"1275277014"</f>
        <v>1275277014</v>
      </c>
      <c r="C10864" t="str">
        <f>"122300000X"</f>
        <v>122300000X</v>
      </c>
      <c r="D10864" t="str">
        <f>"THOMAS W HODGE DMD PA                             "</f>
        <v xml:space="preserve">THOMAS W HODGE DMD PA                             </v>
      </c>
      <c r="E10864" t="str">
        <f>"BATESVILLE                "</f>
        <v xml:space="preserve">BATESVILLE                </v>
      </c>
      <c r="F10864" t="str">
        <f t="shared" si="296"/>
        <v>MS</v>
      </c>
    </row>
    <row r="10865" spans="1:6" x14ac:dyDescent="0.25">
      <c r="A10865" t="str">
        <f>"005080074"</f>
        <v>005080074</v>
      </c>
      <c r="B10865" t="str">
        <f>"1730729104"</f>
        <v>1730729104</v>
      </c>
      <c r="C10865" t="str">
        <f>"363L00000X"</f>
        <v>363L00000X</v>
      </c>
      <c r="D10865" t="str">
        <f>"BRIDGES                  JOSEPH       S           "</f>
        <v xml:space="preserve">BRIDGES                  JOSEPH       S           </v>
      </c>
      <c r="E10865" t="str">
        <f>"JACKSON                   "</f>
        <v xml:space="preserve">JACKSON                   </v>
      </c>
      <c r="F10865" t="str">
        <f t="shared" si="296"/>
        <v>MS</v>
      </c>
    </row>
    <row r="10866" spans="1:6" x14ac:dyDescent="0.25">
      <c r="A10866" t="str">
        <f>"005080509"</f>
        <v>005080509</v>
      </c>
      <c r="B10866" t="str">
        <f>"1215167150"</f>
        <v>1215167150</v>
      </c>
      <c r="C10866" t="str">
        <f>"208VP0014X"</f>
        <v>208VP0014X</v>
      </c>
      <c r="D10866" t="str">
        <f>"OAKES                    LUTHER       B           "</f>
        <v xml:space="preserve">OAKES                    LUTHER       B           </v>
      </c>
      <c r="E10866" t="str">
        <f>"GREENVILLE                "</f>
        <v xml:space="preserve">GREENVILLE                </v>
      </c>
      <c r="F10866" t="str">
        <f t="shared" si="296"/>
        <v>MS</v>
      </c>
    </row>
    <row r="10867" spans="1:6" x14ac:dyDescent="0.25">
      <c r="A10867" t="str">
        <f>"005080829"</f>
        <v>005080829</v>
      </c>
      <c r="B10867" t="str">
        <f>"1760451777"</f>
        <v>1760451777</v>
      </c>
      <c r="C10867" t="str">
        <f>"261QF0400X"</f>
        <v>261QF0400X</v>
      </c>
      <c r="D10867" t="str">
        <f>"HATTIESBURG HIGH SCHOOL                           "</f>
        <v xml:space="preserve">HATTIESBURG HIGH SCHOOL                           </v>
      </c>
      <c r="E10867" t="str">
        <f>"HATTIESBURG               "</f>
        <v xml:space="preserve">HATTIESBURG               </v>
      </c>
      <c r="F10867" t="str">
        <f t="shared" si="296"/>
        <v>MS</v>
      </c>
    </row>
    <row r="10868" spans="1:6" x14ac:dyDescent="0.25">
      <c r="A10868" t="str">
        <f>"005081568"</f>
        <v>005081568</v>
      </c>
      <c r="B10868" t="str">
        <f>"1912256132"</f>
        <v>1912256132</v>
      </c>
      <c r="C10868" t="str">
        <f>"367500000X"</f>
        <v>367500000X</v>
      </c>
      <c r="D10868" t="str">
        <f>"REED                     TONY                     "</f>
        <v xml:space="preserve">REED                     TONY                     </v>
      </c>
      <c r="E10868" t="str">
        <f>"JACKSON                   "</f>
        <v xml:space="preserve">JACKSON                   </v>
      </c>
      <c r="F10868" t="str">
        <f t="shared" si="296"/>
        <v>MS</v>
      </c>
    </row>
    <row r="10869" spans="1:6" x14ac:dyDescent="0.25">
      <c r="A10869" t="str">
        <f>"005082033"</f>
        <v>005082033</v>
      </c>
      <c r="B10869" t="str">
        <f>"1558431163"</f>
        <v>1558431163</v>
      </c>
      <c r="C10869" t="str">
        <f>"152W00000X"</f>
        <v>152W00000X</v>
      </c>
      <c r="D10869" t="str">
        <f>"SANDERS                  SCOTT        E           "</f>
        <v xml:space="preserve">SANDERS                  SCOTT        E           </v>
      </c>
      <c r="E10869" t="str">
        <f>"DIBERVILLE                "</f>
        <v xml:space="preserve">DIBERVILLE                </v>
      </c>
      <c r="F10869" t="str">
        <f t="shared" si="296"/>
        <v>MS</v>
      </c>
    </row>
    <row r="10870" spans="1:6" x14ac:dyDescent="0.25">
      <c r="A10870" t="str">
        <f>"005082057"</f>
        <v>005082057</v>
      </c>
      <c r="B10870" t="str">
        <f>"1770079337"</f>
        <v>1770079337</v>
      </c>
      <c r="C10870" t="str">
        <f>"363L00000X"</f>
        <v>363L00000X</v>
      </c>
      <c r="D10870" t="str">
        <f>"NECAISE                  JESSICA                  "</f>
        <v xml:space="preserve">NECAISE                  JESSICA                  </v>
      </c>
      <c r="E10870" t="str">
        <f>"DIAMONDHEAD               "</f>
        <v xml:space="preserve">DIAMONDHEAD               </v>
      </c>
      <c r="F10870" t="str">
        <f t="shared" si="296"/>
        <v>MS</v>
      </c>
    </row>
    <row r="10871" spans="1:6" x14ac:dyDescent="0.25">
      <c r="A10871" t="str">
        <f>"005082861"</f>
        <v>005082861</v>
      </c>
      <c r="B10871" t="str">
        <f>"1083848329"</f>
        <v>1083848329</v>
      </c>
      <c r="C10871" t="str">
        <f>"2085R0202X"</f>
        <v>2085R0202X</v>
      </c>
      <c r="D10871" t="str">
        <f>"ANGEL                    WESLEY       A           "</f>
        <v xml:space="preserve">ANGEL                    WESLEY       A           </v>
      </c>
      <c r="E10871" t="str">
        <f>"OLIVE BRANCH              "</f>
        <v xml:space="preserve">OLIVE BRANCH              </v>
      </c>
      <c r="F10871" t="str">
        <f t="shared" si="296"/>
        <v>MS</v>
      </c>
    </row>
    <row r="10872" spans="1:6" x14ac:dyDescent="0.25">
      <c r="A10872" t="str">
        <f>"005084709"</f>
        <v>005084709</v>
      </c>
      <c r="B10872" t="str">
        <f>"1093763245"</f>
        <v>1093763245</v>
      </c>
      <c r="C10872" t="str">
        <f>"208000000X"</f>
        <v>208000000X</v>
      </c>
      <c r="D10872" t="str">
        <f>"WEARY                    DANITA       R           "</f>
        <v xml:space="preserve">WEARY                    DANITA       R           </v>
      </c>
      <c r="E10872" t="str">
        <f>"NATCHEZ                   "</f>
        <v xml:space="preserve">NATCHEZ                   </v>
      </c>
      <c r="F10872" t="str">
        <f t="shared" si="296"/>
        <v>MS</v>
      </c>
    </row>
    <row r="10873" spans="1:6" x14ac:dyDescent="0.25">
      <c r="A10873" t="str">
        <f>"005084715"</f>
        <v>005084715</v>
      </c>
      <c r="B10873" t="str">
        <f>"1407430457"</f>
        <v>1407430457</v>
      </c>
      <c r="C10873" t="str">
        <f>"207Q00000X"</f>
        <v>207Q00000X</v>
      </c>
      <c r="D10873" t="str">
        <f>"ODURO-BOADU              KOFI                     "</f>
        <v xml:space="preserve">ODURO-BOADU              KOFI                     </v>
      </c>
      <c r="E10873" t="str">
        <f>"JACKSON                   "</f>
        <v xml:space="preserve">JACKSON                   </v>
      </c>
      <c r="F10873" t="str">
        <f t="shared" si="296"/>
        <v>MS</v>
      </c>
    </row>
    <row r="10874" spans="1:6" x14ac:dyDescent="0.25">
      <c r="A10874" t="str">
        <f>"005086561"</f>
        <v>005086561</v>
      </c>
      <c r="B10874" t="str">
        <f>"1174768287"</f>
        <v>1174768287</v>
      </c>
      <c r="C10874" t="str">
        <f>"207X00000X"</f>
        <v>207X00000X</v>
      </c>
      <c r="D10874" t="str">
        <f>"VAN OSTEN                GEORGE       K           "</f>
        <v xml:space="preserve">VAN OSTEN                GEORGE       K           </v>
      </c>
      <c r="E10874" t="str">
        <f>"TUPELO                    "</f>
        <v xml:space="preserve">TUPELO                    </v>
      </c>
      <c r="F10874" t="str">
        <f t="shared" si="296"/>
        <v>MS</v>
      </c>
    </row>
    <row r="10875" spans="1:6" x14ac:dyDescent="0.25">
      <c r="A10875" t="str">
        <f>"005087899"</f>
        <v>005087899</v>
      </c>
      <c r="B10875" t="str">
        <f>"1144304460"</f>
        <v>1144304460</v>
      </c>
      <c r="C10875" t="str">
        <f>"152W00000X"</f>
        <v>152W00000X</v>
      </c>
      <c r="D10875" t="str">
        <f>"MADISON PROFESSIONAL EYECARE ASSOCI               "</f>
        <v xml:space="preserve">MADISON PROFESSIONAL EYECARE ASSOCI               </v>
      </c>
      <c r="E10875" t="str">
        <f>"MADISON                   "</f>
        <v xml:space="preserve">MADISON                   </v>
      </c>
      <c r="F10875" t="str">
        <f t="shared" si="296"/>
        <v>MS</v>
      </c>
    </row>
    <row r="10876" spans="1:6" x14ac:dyDescent="0.25">
      <c r="A10876" t="str">
        <f>"005088061"</f>
        <v>005088061</v>
      </c>
      <c r="B10876" t="str">
        <f>"1215339080"</f>
        <v>1215339080</v>
      </c>
      <c r="C10876" t="str">
        <f>"363L00000X"</f>
        <v>363L00000X</v>
      </c>
      <c r="D10876" t="str">
        <f>"RIGDON                   JENNIFER     C           "</f>
        <v xml:space="preserve">RIGDON                   JENNIFER     C           </v>
      </c>
      <c r="E10876" t="str">
        <f>"WEST POINT                "</f>
        <v xml:space="preserve">WEST POINT                </v>
      </c>
      <c r="F10876" t="str">
        <f t="shared" si="296"/>
        <v>MS</v>
      </c>
    </row>
    <row r="10877" spans="1:6" x14ac:dyDescent="0.25">
      <c r="A10877" t="str">
        <f>"005088246"</f>
        <v>005088246</v>
      </c>
      <c r="B10877" t="str">
        <f>"1124474598"</f>
        <v>1124474598</v>
      </c>
      <c r="C10877" t="str">
        <f>"208000000X"</f>
        <v>208000000X</v>
      </c>
      <c r="D10877" t="str">
        <f>"GARISA                   JAMUNA       R           "</f>
        <v xml:space="preserve">GARISA                   JAMUNA       R           </v>
      </c>
      <c r="E10877" t="str">
        <f>"PICAYUNE                  "</f>
        <v xml:space="preserve">PICAYUNE                  </v>
      </c>
      <c r="F10877" t="str">
        <f t="shared" si="296"/>
        <v>MS</v>
      </c>
    </row>
    <row r="10878" spans="1:6" x14ac:dyDescent="0.25">
      <c r="A10878" t="str">
        <f>"005088262"</f>
        <v>005088262</v>
      </c>
      <c r="B10878" t="str">
        <f>"1831555002"</f>
        <v>1831555002</v>
      </c>
      <c r="C10878" t="str">
        <f>"363L00000X"</f>
        <v>363L00000X</v>
      </c>
      <c r="D10878" t="str">
        <f>"DUGAS                    ANNELLE      C           "</f>
        <v xml:space="preserve">DUGAS                    ANNELLE      C           </v>
      </c>
      <c r="E10878" t="str">
        <f>"HATTIESBURG               "</f>
        <v xml:space="preserve">HATTIESBURG               </v>
      </c>
      <c r="F10878" t="str">
        <f t="shared" ref="F10878:F10941" si="297">"MS"</f>
        <v>MS</v>
      </c>
    </row>
    <row r="10879" spans="1:6" x14ac:dyDescent="0.25">
      <c r="A10879" t="str">
        <f>"005088553"</f>
        <v>005088553</v>
      </c>
      <c r="B10879" t="str">
        <f>"1700327780"</f>
        <v>1700327780</v>
      </c>
      <c r="C10879" t="str">
        <f>"363L00000X"</f>
        <v>363L00000X</v>
      </c>
      <c r="D10879" t="str">
        <f>"CAHANA                   LUDMILA                  "</f>
        <v xml:space="preserve">CAHANA                   LUDMILA                  </v>
      </c>
      <c r="E10879" t="str">
        <f>"SOUTHAVEN                 "</f>
        <v xml:space="preserve">SOUTHAVEN                 </v>
      </c>
      <c r="F10879" t="str">
        <f t="shared" si="297"/>
        <v>MS</v>
      </c>
    </row>
    <row r="10880" spans="1:6" x14ac:dyDescent="0.25">
      <c r="A10880" t="str">
        <f>"005088733"</f>
        <v>005088733</v>
      </c>
      <c r="B10880" t="str">
        <f>"1407301237"</f>
        <v>1407301237</v>
      </c>
      <c r="C10880" t="str">
        <f>"363L00000X"</f>
        <v>363L00000X</v>
      </c>
      <c r="D10880" t="str">
        <f>"LUMPKIN FREEMAN          STEPHANIE    L           "</f>
        <v xml:space="preserve">LUMPKIN FREEMAN          STEPHANIE    L           </v>
      </c>
      <c r="E10880" t="str">
        <f>"PICAYUNE                  "</f>
        <v xml:space="preserve">PICAYUNE                  </v>
      </c>
      <c r="F10880" t="str">
        <f t="shared" si="297"/>
        <v>MS</v>
      </c>
    </row>
    <row r="10881" spans="1:6" x14ac:dyDescent="0.25">
      <c r="A10881" t="str">
        <f>"005088759"</f>
        <v>005088759</v>
      </c>
      <c r="B10881" t="str">
        <f>"1619989175"</f>
        <v>1619989175</v>
      </c>
      <c r="C10881" t="str">
        <f>"367500000X"</f>
        <v>367500000X</v>
      </c>
      <c r="D10881" t="str">
        <f>"SHIRLEY                  BEN          J           "</f>
        <v xml:space="preserve">SHIRLEY                  BEN          J           </v>
      </c>
      <c r="E10881" t="str">
        <f>"MERIDIAN                  "</f>
        <v xml:space="preserve">MERIDIAN                  </v>
      </c>
      <c r="F10881" t="str">
        <f t="shared" si="297"/>
        <v>MS</v>
      </c>
    </row>
    <row r="10882" spans="1:6" x14ac:dyDescent="0.25">
      <c r="A10882" t="str">
        <f>"005089351"</f>
        <v>005089351</v>
      </c>
      <c r="B10882" t="str">
        <f>"1760542138"</f>
        <v>1760542138</v>
      </c>
      <c r="C10882" t="str">
        <f>"207P00000X"</f>
        <v>207P00000X</v>
      </c>
      <c r="D10882" t="str">
        <f>"GRIFFITH                 KEVIN                    "</f>
        <v xml:space="preserve">GRIFFITH                 KEVIN                    </v>
      </c>
      <c r="E10882" t="str">
        <f>"GULFPORT                  "</f>
        <v xml:space="preserve">GULFPORT                  </v>
      </c>
      <c r="F10882" t="str">
        <f t="shared" si="297"/>
        <v>MS</v>
      </c>
    </row>
    <row r="10883" spans="1:6" x14ac:dyDescent="0.25">
      <c r="A10883" t="str">
        <f>"005089861"</f>
        <v>005089861</v>
      </c>
      <c r="B10883" t="str">
        <f>"1972743797"</f>
        <v>1972743797</v>
      </c>
      <c r="C10883" t="str">
        <f>"208G00000X"</f>
        <v>208G00000X</v>
      </c>
      <c r="D10883" t="str">
        <f>"MOREMEN                  JACOB        R           "</f>
        <v xml:space="preserve">MOREMEN                  JACOB        R           </v>
      </c>
      <c r="E10883" t="str">
        <f>"JACKSON                   "</f>
        <v xml:space="preserve">JACKSON                   </v>
      </c>
      <c r="F10883" t="str">
        <f t="shared" si="297"/>
        <v>MS</v>
      </c>
    </row>
    <row r="10884" spans="1:6" x14ac:dyDescent="0.25">
      <c r="A10884" t="str">
        <f>"005101014"</f>
        <v>005101014</v>
      </c>
      <c r="B10884" t="str">
        <f>"1265047484"</f>
        <v>1265047484</v>
      </c>
      <c r="C10884" t="str">
        <f>"363L00000X"</f>
        <v>363L00000X</v>
      </c>
      <c r="D10884" t="str">
        <f>"SLUSHER                  JAKOB        W           "</f>
        <v xml:space="preserve">SLUSHER                  JAKOB        W           </v>
      </c>
      <c r="E10884" t="str">
        <f>"QUITMAN                   "</f>
        <v xml:space="preserve">QUITMAN                   </v>
      </c>
      <c r="F10884" t="str">
        <f t="shared" si="297"/>
        <v>MS</v>
      </c>
    </row>
    <row r="10885" spans="1:6" x14ac:dyDescent="0.25">
      <c r="A10885" t="str">
        <f>"005101875"</f>
        <v>005101875</v>
      </c>
      <c r="B10885" t="str">
        <f>"1003128125"</f>
        <v>1003128125</v>
      </c>
      <c r="C10885" t="str">
        <f>"207L00000X"</f>
        <v>207L00000X</v>
      </c>
      <c r="D10885" t="str">
        <f>"MITCHELL                 LARKIN                   "</f>
        <v xml:space="preserve">MITCHELL                 LARKIN                   </v>
      </c>
      <c r="E10885" t="str">
        <f>"GREENVILLE                "</f>
        <v xml:space="preserve">GREENVILLE                </v>
      </c>
      <c r="F10885" t="str">
        <f t="shared" si="297"/>
        <v>MS</v>
      </c>
    </row>
    <row r="10886" spans="1:6" x14ac:dyDescent="0.25">
      <c r="A10886" t="str">
        <f>"005102203"</f>
        <v>005102203</v>
      </c>
      <c r="B10886" t="str">
        <f>"1740937036"</f>
        <v>1740937036</v>
      </c>
      <c r="C10886" t="str">
        <f>"363L00000X"</f>
        <v>363L00000X</v>
      </c>
      <c r="D10886" t="str">
        <f>"EMFINGER                 JULIE        B           "</f>
        <v xml:space="preserve">EMFINGER                 JULIE        B           </v>
      </c>
      <c r="E10886" t="str">
        <f>"LAUREL                    "</f>
        <v xml:space="preserve">LAUREL                    </v>
      </c>
      <c r="F10886" t="str">
        <f t="shared" si="297"/>
        <v>MS</v>
      </c>
    </row>
    <row r="10887" spans="1:6" x14ac:dyDescent="0.25">
      <c r="A10887" t="str">
        <f>"005102521"</f>
        <v>005102521</v>
      </c>
      <c r="B10887" t="str">
        <f>"1043633696"</f>
        <v>1043633696</v>
      </c>
      <c r="C10887" t="str">
        <f>"363L00000X"</f>
        <v>363L00000X</v>
      </c>
      <c r="D10887" t="str">
        <f>"SANDERS                  JENNIFER     C           "</f>
        <v xml:space="preserve">SANDERS                  JENNIFER     C           </v>
      </c>
      <c r="E10887" t="str">
        <f>"OLIVE BRANCH              "</f>
        <v xml:space="preserve">OLIVE BRANCH              </v>
      </c>
      <c r="F10887" t="str">
        <f t="shared" si="297"/>
        <v>MS</v>
      </c>
    </row>
    <row r="10888" spans="1:6" x14ac:dyDescent="0.25">
      <c r="A10888" t="str">
        <f>"005103351"</f>
        <v>005103351</v>
      </c>
      <c r="B10888" t="str">
        <f>"1215476064"</f>
        <v>1215476064</v>
      </c>
      <c r="C10888" t="str">
        <f>"363L00000X"</f>
        <v>363L00000X</v>
      </c>
      <c r="D10888" t="str">
        <f>"PRINCIOTTA               JONATHAN     D           "</f>
        <v xml:space="preserve">PRINCIOTTA               JONATHAN     D           </v>
      </c>
      <c r="E10888" t="str">
        <f>"JACKSON                   "</f>
        <v xml:space="preserve">JACKSON                   </v>
      </c>
      <c r="F10888" t="str">
        <f t="shared" si="297"/>
        <v>MS</v>
      </c>
    </row>
    <row r="10889" spans="1:6" x14ac:dyDescent="0.25">
      <c r="A10889" t="str">
        <f>"005103371"</f>
        <v>005103371</v>
      </c>
      <c r="B10889" t="str">
        <f>"1538246921"</f>
        <v>1538246921</v>
      </c>
      <c r="C10889" t="str">
        <f>"363A00000X"</f>
        <v>363A00000X</v>
      </c>
      <c r="D10889" t="str">
        <f>"YELVERTON                BENJAMIN     M           "</f>
        <v xml:space="preserve">YELVERTON                BENJAMIN     M           </v>
      </c>
      <c r="E10889" t="str">
        <f>"HATTIESBURG               "</f>
        <v xml:space="preserve">HATTIESBURG               </v>
      </c>
      <c r="F10889" t="str">
        <f t="shared" si="297"/>
        <v>MS</v>
      </c>
    </row>
    <row r="10890" spans="1:6" x14ac:dyDescent="0.25">
      <c r="A10890" t="str">
        <f>"005103721"</f>
        <v>005103721</v>
      </c>
      <c r="B10890" t="str">
        <f>"1952665325"</f>
        <v>1952665325</v>
      </c>
      <c r="C10890" t="str">
        <f>"208600000X"</f>
        <v>208600000X</v>
      </c>
      <c r="D10890" t="str">
        <f>"THOMPSON                 JENETTA      A           "</f>
        <v xml:space="preserve">THOMPSON                 JENETTA      A           </v>
      </c>
      <c r="E10890" t="str">
        <f>"JACKSON                   "</f>
        <v xml:space="preserve">JACKSON                   </v>
      </c>
      <c r="F10890" t="str">
        <f t="shared" si="297"/>
        <v>MS</v>
      </c>
    </row>
    <row r="10891" spans="1:6" x14ac:dyDescent="0.25">
      <c r="A10891" t="str">
        <f>"005103781"</f>
        <v>005103781</v>
      </c>
      <c r="B10891" t="str">
        <f>"1568664266"</f>
        <v>1568664266</v>
      </c>
      <c r="C10891" t="str">
        <f>"207P00000X"</f>
        <v>207P00000X</v>
      </c>
      <c r="D10891" t="str">
        <f>"GLEASON                  MICHAEL      N           "</f>
        <v xml:space="preserve">GLEASON                  MICHAEL      N           </v>
      </c>
      <c r="E10891" t="str">
        <f>"JACKSON                   "</f>
        <v xml:space="preserve">JACKSON                   </v>
      </c>
      <c r="F10891" t="str">
        <f t="shared" si="297"/>
        <v>MS</v>
      </c>
    </row>
    <row r="10892" spans="1:6" x14ac:dyDescent="0.25">
      <c r="A10892" t="str">
        <f>"005105324"</f>
        <v>005105324</v>
      </c>
      <c r="B10892" t="str">
        <f>"1972777290"</f>
        <v>1972777290</v>
      </c>
      <c r="C10892" t="str">
        <f>"2084N0400X"</f>
        <v>2084N0400X</v>
      </c>
      <c r="D10892" t="str">
        <f>"CORDINA                  STEVE        M           "</f>
        <v xml:space="preserve">CORDINA                  STEVE        M           </v>
      </c>
      <c r="E10892" t="str">
        <f>"SOUTHAVEN                 "</f>
        <v xml:space="preserve">SOUTHAVEN                 </v>
      </c>
      <c r="F10892" t="str">
        <f t="shared" si="297"/>
        <v>MS</v>
      </c>
    </row>
    <row r="10893" spans="1:6" x14ac:dyDescent="0.25">
      <c r="A10893" t="str">
        <f>"005105778"</f>
        <v>005105778</v>
      </c>
      <c r="B10893" t="str">
        <f>"1386842755"</f>
        <v>1386842755</v>
      </c>
      <c r="C10893" t="str">
        <f>"208800000X"</f>
        <v>208800000X</v>
      </c>
      <c r="D10893" t="str">
        <f>"SPENCER JR               DAVID        L           "</f>
        <v xml:space="preserve">SPENCER JR               DAVID        L           </v>
      </c>
      <c r="E10893" t="str">
        <f>"PASCAGOULA                "</f>
        <v xml:space="preserve">PASCAGOULA                </v>
      </c>
      <c r="F10893" t="str">
        <f t="shared" si="297"/>
        <v>MS</v>
      </c>
    </row>
    <row r="10894" spans="1:6" x14ac:dyDescent="0.25">
      <c r="A10894" t="str">
        <f>"005106265"</f>
        <v>005106265</v>
      </c>
      <c r="B10894" t="str">
        <f>"1720483779"</f>
        <v>1720483779</v>
      </c>
      <c r="C10894" t="str">
        <f>"363L00000X"</f>
        <v>363L00000X</v>
      </c>
      <c r="D10894" t="str">
        <f>"THOMAS                   DIANNA       M           "</f>
        <v xml:space="preserve">THOMAS                   DIANNA       M           </v>
      </c>
      <c r="E10894" t="str">
        <f>"GULFPORT                  "</f>
        <v xml:space="preserve">GULFPORT                  </v>
      </c>
      <c r="F10894" t="str">
        <f t="shared" si="297"/>
        <v>MS</v>
      </c>
    </row>
    <row r="10895" spans="1:6" x14ac:dyDescent="0.25">
      <c r="A10895" t="str">
        <f>"005107001"</f>
        <v>005107001</v>
      </c>
      <c r="B10895" t="str">
        <f>"1760092878"</f>
        <v>1760092878</v>
      </c>
      <c r="C10895" t="str">
        <f>"261QE0700X"</f>
        <v>261QE0700X</v>
      </c>
      <c r="D10895" t="str">
        <f>"FRESENIUS KIDNEY CARE NORTH JACKSON               "</f>
        <v xml:space="preserve">FRESENIUS KIDNEY CARE NORTH JACKSON               </v>
      </c>
      <c r="E10895" t="str">
        <f>"JACKSON                   "</f>
        <v xml:space="preserve">JACKSON                   </v>
      </c>
      <c r="F10895" t="str">
        <f t="shared" si="297"/>
        <v>MS</v>
      </c>
    </row>
    <row r="10896" spans="1:6" x14ac:dyDescent="0.25">
      <c r="A10896" t="str">
        <f>"005108237"</f>
        <v>005108237</v>
      </c>
      <c r="B10896" t="str">
        <f>"1568814655"</f>
        <v>1568814655</v>
      </c>
      <c r="C10896" t="str">
        <f>"363LF0000X"</f>
        <v>363LF0000X</v>
      </c>
      <c r="D10896" t="str">
        <f>"SMITH                    SHERRICA     S           "</f>
        <v xml:space="preserve">SMITH                    SHERRICA     S           </v>
      </c>
      <c r="E10896" t="str">
        <f>"MOORHEAD                  "</f>
        <v xml:space="preserve">MOORHEAD                  </v>
      </c>
      <c r="F10896" t="str">
        <f t="shared" si="297"/>
        <v>MS</v>
      </c>
    </row>
    <row r="10897" spans="1:6" x14ac:dyDescent="0.25">
      <c r="A10897" t="str">
        <f>"005108754"</f>
        <v>005108754</v>
      </c>
      <c r="B10897" t="str">
        <f>"1932787116"</f>
        <v>1932787116</v>
      </c>
      <c r="C10897" t="str">
        <f>"2084N0400X"</f>
        <v>2084N0400X</v>
      </c>
      <c r="D10897" t="str">
        <f>"BRITT                    ERIN                     "</f>
        <v xml:space="preserve">BRITT                    ERIN                     </v>
      </c>
      <c r="E10897" t="str">
        <f>"JACKSON                   "</f>
        <v xml:space="preserve">JACKSON                   </v>
      </c>
      <c r="F10897" t="str">
        <f t="shared" si="297"/>
        <v>MS</v>
      </c>
    </row>
    <row r="10898" spans="1:6" x14ac:dyDescent="0.25">
      <c r="A10898" t="str">
        <f>"005108802"</f>
        <v>005108802</v>
      </c>
      <c r="B10898" t="str">
        <f>"1225096860"</f>
        <v>1225096860</v>
      </c>
      <c r="C10898" t="str">
        <f>"2086S0129X"</f>
        <v>2086S0129X</v>
      </c>
      <c r="D10898" t="str">
        <f>"GRAHAM                   JOSEPH       A           "</f>
        <v xml:space="preserve">GRAHAM                   JOSEPH       A           </v>
      </c>
      <c r="E10898" t="str">
        <f>"GULFPORT                  "</f>
        <v xml:space="preserve">GULFPORT                  </v>
      </c>
      <c r="F10898" t="str">
        <f t="shared" si="297"/>
        <v>MS</v>
      </c>
    </row>
    <row r="10899" spans="1:6" x14ac:dyDescent="0.25">
      <c r="A10899" t="str">
        <f>"005109208"</f>
        <v>005109208</v>
      </c>
      <c r="B10899" t="str">
        <f>"1164759965"</f>
        <v>1164759965</v>
      </c>
      <c r="C10899" t="str">
        <f>"363L00000X"</f>
        <v>363L00000X</v>
      </c>
      <c r="D10899" t="str">
        <f>"RUPERT                   TYRONE       L           "</f>
        <v xml:space="preserve">RUPERT                   TYRONE       L           </v>
      </c>
      <c r="E10899" t="str">
        <f>"COLUMBUS                  "</f>
        <v xml:space="preserve">COLUMBUS                  </v>
      </c>
      <c r="F10899" t="str">
        <f t="shared" si="297"/>
        <v>MS</v>
      </c>
    </row>
    <row r="10900" spans="1:6" x14ac:dyDescent="0.25">
      <c r="A10900" t="str">
        <f>"005109210"</f>
        <v>005109210</v>
      </c>
      <c r="B10900" t="str">
        <f>"1568662393"</f>
        <v>1568662393</v>
      </c>
      <c r="C10900" t="str">
        <f>"207Q00000X"</f>
        <v>207Q00000X</v>
      </c>
      <c r="D10900" t="str">
        <f>"ISLAM                    NAHID                    "</f>
        <v xml:space="preserve">ISLAM                    NAHID                    </v>
      </c>
      <c r="E10900" t="str">
        <f>"MORTON                    "</f>
        <v xml:space="preserve">MORTON                    </v>
      </c>
      <c r="F10900" t="str">
        <f t="shared" si="297"/>
        <v>MS</v>
      </c>
    </row>
    <row r="10901" spans="1:6" x14ac:dyDescent="0.25">
      <c r="A10901" t="str">
        <f>"005109339"</f>
        <v>005109339</v>
      </c>
      <c r="B10901" t="str">
        <f>"1851331805"</f>
        <v>1851331805</v>
      </c>
      <c r="C10901" t="str">
        <f>"363L00000X"</f>
        <v>363L00000X</v>
      </c>
      <c r="D10901" t="str">
        <f>"HESTER-CONWAY            MOLLY        E           "</f>
        <v xml:space="preserve">HESTER-CONWAY            MOLLY        E           </v>
      </c>
      <c r="E10901" t="str">
        <f>"TUPELO                    "</f>
        <v xml:space="preserve">TUPELO                    </v>
      </c>
      <c r="F10901" t="str">
        <f t="shared" si="297"/>
        <v>MS</v>
      </c>
    </row>
    <row r="10902" spans="1:6" x14ac:dyDescent="0.25">
      <c r="A10902" t="str">
        <f>"005109511"</f>
        <v>005109511</v>
      </c>
      <c r="B10902" t="str">
        <f>"1033755343"</f>
        <v>1033755343</v>
      </c>
      <c r="C10902" t="str">
        <f>"261QF0400X"</f>
        <v>261QF0400X</v>
      </c>
      <c r="D10902" t="str">
        <f>"ACCESS SCHOOL HEALTH -NETTLETON                   "</f>
        <v xml:space="preserve">ACCESS SCHOOL HEALTH -NETTLETON                   </v>
      </c>
      <c r="E10902" t="str">
        <f>"NETTLETON                 "</f>
        <v xml:space="preserve">NETTLETON                 </v>
      </c>
      <c r="F10902" t="str">
        <f t="shared" si="297"/>
        <v>MS</v>
      </c>
    </row>
    <row r="10903" spans="1:6" x14ac:dyDescent="0.25">
      <c r="A10903" t="str">
        <f>"005109745"</f>
        <v>005109745</v>
      </c>
      <c r="B10903" t="str">
        <f>"1861479529"</f>
        <v>1861479529</v>
      </c>
      <c r="C10903" t="str">
        <f>"207W00000X"</f>
        <v>207W00000X</v>
      </c>
      <c r="D10903" t="str">
        <f>"GREMILLION               AVIT         J           "</f>
        <v xml:space="preserve">GREMILLION               AVIT         J           </v>
      </c>
      <c r="E10903" t="str">
        <f>"BILOXI                    "</f>
        <v xml:space="preserve">BILOXI                    </v>
      </c>
      <c r="F10903" t="str">
        <f t="shared" si="297"/>
        <v>MS</v>
      </c>
    </row>
    <row r="10904" spans="1:6" x14ac:dyDescent="0.25">
      <c r="A10904" t="str">
        <f>"005121044"</f>
        <v>005121044</v>
      </c>
      <c r="B10904" t="str">
        <f>"1497901607"</f>
        <v>1497901607</v>
      </c>
      <c r="C10904" t="str">
        <f>"207P00000X"</f>
        <v>207P00000X</v>
      </c>
      <c r="D10904" t="str">
        <f>"EVANS                    HEATHER                  "</f>
        <v xml:space="preserve">EVANS                    HEATHER                  </v>
      </c>
      <c r="E10904" t="str">
        <f>"JACKSON                   "</f>
        <v xml:space="preserve">JACKSON                   </v>
      </c>
      <c r="F10904" t="str">
        <f t="shared" si="297"/>
        <v>MS</v>
      </c>
    </row>
    <row r="10905" spans="1:6" x14ac:dyDescent="0.25">
      <c r="A10905" t="str">
        <f>"005121701"</f>
        <v>005121701</v>
      </c>
      <c r="B10905" t="str">
        <f>"1932639887"</f>
        <v>1932639887</v>
      </c>
      <c r="C10905" t="str">
        <f>"363L00000X"</f>
        <v>363L00000X</v>
      </c>
      <c r="D10905" t="str">
        <f>"EASOM                    CLINTON                  "</f>
        <v xml:space="preserve">EASOM                    CLINTON                  </v>
      </c>
      <c r="E10905" t="str">
        <f>"JACKSON                   "</f>
        <v xml:space="preserve">JACKSON                   </v>
      </c>
      <c r="F10905" t="str">
        <f t="shared" si="297"/>
        <v>MS</v>
      </c>
    </row>
    <row r="10906" spans="1:6" x14ac:dyDescent="0.25">
      <c r="A10906" t="str">
        <f>"005122053"</f>
        <v>005122053</v>
      </c>
      <c r="B10906" t="str">
        <f>"1710302922"</f>
        <v>1710302922</v>
      </c>
      <c r="C10906" t="str">
        <f>"363L00000X"</f>
        <v>363L00000X</v>
      </c>
      <c r="D10906" t="str">
        <f>"THOMAS                   TAMRA        L           "</f>
        <v xml:space="preserve">THOMAS                   TAMRA        L           </v>
      </c>
      <c r="E10906" t="str">
        <f>"HATTIESBURG               "</f>
        <v xml:space="preserve">HATTIESBURG               </v>
      </c>
      <c r="F10906" t="str">
        <f t="shared" si="297"/>
        <v>MS</v>
      </c>
    </row>
    <row r="10907" spans="1:6" x14ac:dyDescent="0.25">
      <c r="A10907" t="str">
        <f>"005122062"</f>
        <v>005122062</v>
      </c>
      <c r="B10907" t="str">
        <f>"1205229101"</f>
        <v>1205229101</v>
      </c>
      <c r="C10907" t="str">
        <f>"122300000X"</f>
        <v>122300000X</v>
      </c>
      <c r="D10907" t="str">
        <f>"MAGNOLIA SMILES FAMILY DENTISTRY PL               "</f>
        <v xml:space="preserve">MAGNOLIA SMILES FAMILY DENTISTRY PL               </v>
      </c>
      <c r="E10907" t="str">
        <f>"WAYNESBORO                "</f>
        <v xml:space="preserve">WAYNESBORO                </v>
      </c>
      <c r="F10907" t="str">
        <f t="shared" si="297"/>
        <v>MS</v>
      </c>
    </row>
    <row r="10908" spans="1:6" x14ac:dyDescent="0.25">
      <c r="A10908" t="str">
        <f>"005123835"</f>
        <v>005123835</v>
      </c>
      <c r="B10908" t="str">
        <f>"1750813010"</f>
        <v>1750813010</v>
      </c>
      <c r="C10908" t="str">
        <f>"152W00000X"</f>
        <v>152W00000X</v>
      </c>
      <c r="D10908" t="str">
        <f>"PRECISION VISION                                  "</f>
        <v xml:space="preserve">PRECISION VISION                                  </v>
      </c>
      <c r="E10908" t="str">
        <f>"LONG BEACH                "</f>
        <v xml:space="preserve">LONG BEACH                </v>
      </c>
      <c r="F10908" t="str">
        <f t="shared" si="297"/>
        <v>MS</v>
      </c>
    </row>
    <row r="10909" spans="1:6" x14ac:dyDescent="0.25">
      <c r="A10909" t="str">
        <f>"005126078"</f>
        <v>005126078</v>
      </c>
      <c r="B10909" t="str">
        <f>"1316256142"</f>
        <v>1316256142</v>
      </c>
      <c r="C10909" t="str">
        <f>"363L00000X"</f>
        <v>363L00000X</v>
      </c>
      <c r="D10909" t="str">
        <f>"LARMOUR                  WILLIAM      C           "</f>
        <v xml:space="preserve">LARMOUR                  WILLIAM      C           </v>
      </c>
      <c r="E10909" t="str">
        <f>"COLUMBUS                  "</f>
        <v xml:space="preserve">COLUMBUS                  </v>
      </c>
      <c r="F10909" t="str">
        <f t="shared" si="297"/>
        <v>MS</v>
      </c>
    </row>
    <row r="10910" spans="1:6" x14ac:dyDescent="0.25">
      <c r="A10910" t="str">
        <f>"005127224"</f>
        <v>005127224</v>
      </c>
      <c r="B10910" t="str">
        <f>"1053833541"</f>
        <v>1053833541</v>
      </c>
      <c r="C10910" t="str">
        <f>"152W00000X"</f>
        <v>152W00000X</v>
      </c>
      <c r="D10910" t="str">
        <f>"MORRISON                 TINDALL      D           "</f>
        <v xml:space="preserve">MORRISON                 TINDALL      D           </v>
      </c>
      <c r="E10910" t="str">
        <f>"STARKVILLE                "</f>
        <v xml:space="preserve">STARKVILLE                </v>
      </c>
      <c r="F10910" t="str">
        <f t="shared" si="297"/>
        <v>MS</v>
      </c>
    </row>
    <row r="10911" spans="1:6" x14ac:dyDescent="0.25">
      <c r="A10911" t="str">
        <f>"005127253"</f>
        <v>005127253</v>
      </c>
      <c r="B10911" t="str">
        <f>"1184258956"</f>
        <v>1184258956</v>
      </c>
      <c r="C10911" t="str">
        <f>"363L00000X"</f>
        <v>363L00000X</v>
      </c>
      <c r="D10911" t="str">
        <f>"ANDERSON                 SHARHONDA    M           "</f>
        <v xml:space="preserve">ANDERSON                 SHARHONDA    M           </v>
      </c>
      <c r="E10911" t="str">
        <f>"TERRY                     "</f>
        <v xml:space="preserve">TERRY                     </v>
      </c>
      <c r="F10911" t="str">
        <f t="shared" si="297"/>
        <v>MS</v>
      </c>
    </row>
    <row r="10912" spans="1:6" x14ac:dyDescent="0.25">
      <c r="A10912" t="str">
        <f>"005128206"</f>
        <v>005128206</v>
      </c>
      <c r="B10912" t="str">
        <f>"1588046155"</f>
        <v>1588046155</v>
      </c>
      <c r="C10912" t="str">
        <f>"363L00000X"</f>
        <v>363L00000X</v>
      </c>
      <c r="D10912" t="str">
        <f>"FANCHER                  DEVIN        C           "</f>
        <v xml:space="preserve">FANCHER                  DEVIN        C           </v>
      </c>
      <c r="E10912" t="str">
        <f>"TUPELO                    "</f>
        <v xml:space="preserve">TUPELO                    </v>
      </c>
      <c r="F10912" t="str">
        <f t="shared" si="297"/>
        <v>MS</v>
      </c>
    </row>
    <row r="10913" spans="1:6" x14ac:dyDescent="0.25">
      <c r="A10913" t="str">
        <f>"005130237"</f>
        <v>005130237</v>
      </c>
      <c r="B10913" t="str">
        <f>"1093157414"</f>
        <v>1093157414</v>
      </c>
      <c r="C10913" t="str">
        <f>"363L00000X"</f>
        <v>363L00000X</v>
      </c>
      <c r="D10913" t="str">
        <f>"CARROLL                  AMY          L           "</f>
        <v xml:space="preserve">CARROLL                  AMY          L           </v>
      </c>
      <c r="E10913" t="str">
        <f>"JACKSON                   "</f>
        <v xml:space="preserve">JACKSON                   </v>
      </c>
      <c r="F10913" t="str">
        <f t="shared" si="297"/>
        <v>MS</v>
      </c>
    </row>
    <row r="10914" spans="1:6" x14ac:dyDescent="0.25">
      <c r="A10914" t="str">
        <f>"005133231"</f>
        <v>005133231</v>
      </c>
      <c r="B10914" t="str">
        <f>"1538652151"</f>
        <v>1538652151</v>
      </c>
      <c r="C10914" t="str">
        <f>"122300000X"</f>
        <v>122300000X</v>
      </c>
      <c r="D10914" t="str">
        <f>"HOOVER                   MARY         C           "</f>
        <v xml:space="preserve">HOOVER                   MARY         C           </v>
      </c>
      <c r="E10914" t="str">
        <f>"WINONA                    "</f>
        <v xml:space="preserve">WINONA                    </v>
      </c>
      <c r="F10914" t="str">
        <f t="shared" si="297"/>
        <v>MS</v>
      </c>
    </row>
    <row r="10915" spans="1:6" x14ac:dyDescent="0.25">
      <c r="A10915" t="str">
        <f>"005133772"</f>
        <v>005133772</v>
      </c>
      <c r="B10915" t="str">
        <f>"1235553462"</f>
        <v>1235553462</v>
      </c>
      <c r="C10915" t="str">
        <f>"363L00000X"</f>
        <v>363L00000X</v>
      </c>
      <c r="D10915" t="str">
        <f>"HARRIS                   REBECCA      E           "</f>
        <v xml:space="preserve">HARRIS                   REBECCA      E           </v>
      </c>
      <c r="E10915" t="str">
        <f>"WIGGINS                   "</f>
        <v xml:space="preserve">WIGGINS                   </v>
      </c>
      <c r="F10915" t="str">
        <f t="shared" si="297"/>
        <v>MS</v>
      </c>
    </row>
    <row r="10916" spans="1:6" x14ac:dyDescent="0.25">
      <c r="A10916" t="str">
        <f>"005134308"</f>
        <v>005134308</v>
      </c>
      <c r="B10916" t="str">
        <f>"1578072245"</f>
        <v>1578072245</v>
      </c>
      <c r="C10916" t="str">
        <f>"363L00000X"</f>
        <v>363L00000X</v>
      </c>
      <c r="D10916" t="str">
        <f>"BAL                      GAGANDEEP                "</f>
        <v xml:space="preserve">BAL                      GAGANDEEP                </v>
      </c>
      <c r="E10916" t="str">
        <f>"RIDGELAND                 "</f>
        <v xml:space="preserve">RIDGELAND                 </v>
      </c>
      <c r="F10916" t="str">
        <f t="shared" si="297"/>
        <v>MS</v>
      </c>
    </row>
    <row r="10917" spans="1:6" x14ac:dyDescent="0.25">
      <c r="A10917" t="str">
        <f>"005135821"</f>
        <v>005135821</v>
      </c>
      <c r="B10917" t="str">
        <f>"1477753929"</f>
        <v>1477753929</v>
      </c>
      <c r="C10917" t="str">
        <f>"363L00000X"</f>
        <v>363L00000X</v>
      </c>
      <c r="D10917" t="str">
        <f>"COCKROFT                 LINDA        B           "</f>
        <v xml:space="preserve">COCKROFT                 LINDA        B           </v>
      </c>
      <c r="E10917" t="str">
        <f>"KOSCIUSKO                 "</f>
        <v xml:space="preserve">KOSCIUSKO                 </v>
      </c>
      <c r="F10917" t="str">
        <f t="shared" si="297"/>
        <v>MS</v>
      </c>
    </row>
    <row r="10918" spans="1:6" x14ac:dyDescent="0.25">
      <c r="A10918" t="str">
        <f>"005135841"</f>
        <v>005135841</v>
      </c>
      <c r="B10918" t="str">
        <f>"1518488048"</f>
        <v>1518488048</v>
      </c>
      <c r="C10918" t="str">
        <f>"363L00000X"</f>
        <v>363L00000X</v>
      </c>
      <c r="D10918" t="str">
        <f>"HUDSON                   JANA         H           "</f>
        <v xml:space="preserve">HUDSON                   JANA         H           </v>
      </c>
      <c r="E10918" t="str">
        <f>"HATTIESBURG               "</f>
        <v xml:space="preserve">HATTIESBURG               </v>
      </c>
      <c r="F10918" t="str">
        <f t="shared" si="297"/>
        <v>MS</v>
      </c>
    </row>
    <row r="10919" spans="1:6" x14ac:dyDescent="0.25">
      <c r="A10919" t="str">
        <f>"005136047"</f>
        <v>005136047</v>
      </c>
      <c r="B10919" t="str">
        <f>"1790205235"</f>
        <v>1790205235</v>
      </c>
      <c r="C10919" t="str">
        <f>"363L00000X"</f>
        <v>363L00000X</v>
      </c>
      <c r="D10919" t="str">
        <f>"MARKEY-GIARDINA          KATHRYN                  "</f>
        <v xml:space="preserve">MARKEY-GIARDINA          KATHRYN                  </v>
      </c>
      <c r="E10919" t="str">
        <f>"KOSCIUSKO                 "</f>
        <v xml:space="preserve">KOSCIUSKO                 </v>
      </c>
      <c r="F10919" t="str">
        <f t="shared" si="297"/>
        <v>MS</v>
      </c>
    </row>
    <row r="10920" spans="1:6" x14ac:dyDescent="0.25">
      <c r="A10920" t="str">
        <f>"005137242"</f>
        <v>005137242</v>
      </c>
      <c r="B10920" t="str">
        <f>"1386918191"</f>
        <v>1386918191</v>
      </c>
      <c r="C10920" t="str">
        <f>"261QA0600X"</f>
        <v>261QA0600X</v>
      </c>
      <c r="D10920" t="str">
        <f>"COMPASSIONATE HEARTS ADULT CENTER                 "</f>
        <v xml:space="preserve">COMPASSIONATE HEARTS ADULT CENTER                 </v>
      </c>
      <c r="E10920" t="str">
        <f>"MAGNOLIA                  "</f>
        <v xml:space="preserve">MAGNOLIA                  </v>
      </c>
      <c r="F10920" t="str">
        <f t="shared" si="297"/>
        <v>MS</v>
      </c>
    </row>
    <row r="10921" spans="1:6" x14ac:dyDescent="0.25">
      <c r="A10921" t="str">
        <f>"005137572"</f>
        <v>005137572</v>
      </c>
      <c r="B10921" t="str">
        <f>"1972047264"</f>
        <v>1972047264</v>
      </c>
      <c r="C10921" t="str">
        <f>"363L00000X"</f>
        <v>363L00000X</v>
      </c>
      <c r="D10921" t="str">
        <f>"JACKSON                  PAIGE        L           "</f>
        <v xml:space="preserve">JACKSON                  PAIGE        L           </v>
      </c>
      <c r="E10921" t="str">
        <f>"CHOCTAW                   "</f>
        <v xml:space="preserve">CHOCTAW                   </v>
      </c>
      <c r="F10921" t="str">
        <f t="shared" si="297"/>
        <v>MS</v>
      </c>
    </row>
    <row r="10922" spans="1:6" x14ac:dyDescent="0.25">
      <c r="A10922" t="str">
        <f>"005137836"</f>
        <v>005137836</v>
      </c>
      <c r="B10922" t="str">
        <f>"1053982900"</f>
        <v>1053982900</v>
      </c>
      <c r="C10922" t="str">
        <f>"363L00000X"</f>
        <v>363L00000X</v>
      </c>
      <c r="D10922" t="str">
        <f>"MCCORMICK                KAYLA                    "</f>
        <v xml:space="preserve">MCCORMICK                KAYLA                    </v>
      </c>
      <c r="E10922" t="str">
        <f>"JACKSON                   "</f>
        <v xml:space="preserve">JACKSON                   </v>
      </c>
      <c r="F10922" t="str">
        <f t="shared" si="297"/>
        <v>MS</v>
      </c>
    </row>
    <row r="10923" spans="1:6" x14ac:dyDescent="0.25">
      <c r="A10923" t="str">
        <f>"005138854"</f>
        <v>005138854</v>
      </c>
      <c r="B10923" t="str">
        <f>"1831597202"</f>
        <v>1831597202</v>
      </c>
      <c r="C10923" t="str">
        <f>"363L00000X"</f>
        <v>363L00000X</v>
      </c>
      <c r="D10923" t="str">
        <f>"CRAIG                    MARKUS       D           "</f>
        <v xml:space="preserve">CRAIG                    MARKUS       D           </v>
      </c>
      <c r="E10923" t="str">
        <f>"BAY SAINT LOUIS           "</f>
        <v xml:space="preserve">BAY SAINT LOUIS           </v>
      </c>
      <c r="F10923" t="str">
        <f t="shared" si="297"/>
        <v>MS</v>
      </c>
    </row>
    <row r="10924" spans="1:6" x14ac:dyDescent="0.25">
      <c r="A10924" t="str">
        <f>"005150500"</f>
        <v>005150500</v>
      </c>
      <c r="B10924" t="str">
        <f>"1437648854"</f>
        <v>1437648854</v>
      </c>
      <c r="C10924" t="str">
        <f>"363L00000X"</f>
        <v>363L00000X</v>
      </c>
      <c r="D10924" t="str">
        <f>"GIRLEY                   RAMONA                   "</f>
        <v xml:space="preserve">GIRLEY                   RAMONA                   </v>
      </c>
      <c r="E10924" t="str">
        <f>"GULFPORT                  "</f>
        <v xml:space="preserve">GULFPORT                  </v>
      </c>
      <c r="F10924" t="str">
        <f t="shared" si="297"/>
        <v>MS</v>
      </c>
    </row>
    <row r="10925" spans="1:6" x14ac:dyDescent="0.25">
      <c r="A10925" t="str">
        <f>"005151310"</f>
        <v>005151310</v>
      </c>
      <c r="B10925" t="str">
        <f>"1144962978"</f>
        <v>1144962978</v>
      </c>
      <c r="C10925" t="str">
        <f>"207Y00000X"</f>
        <v>207Y00000X</v>
      </c>
      <c r="D10925" t="str">
        <f>"KRECKER                  AMY                      "</f>
        <v xml:space="preserve">KRECKER                  AMY                      </v>
      </c>
      <c r="E10925" t="str">
        <f>"JACKSON                   "</f>
        <v xml:space="preserve">JACKSON                   </v>
      </c>
      <c r="F10925" t="str">
        <f t="shared" si="297"/>
        <v>MS</v>
      </c>
    </row>
    <row r="10926" spans="1:6" x14ac:dyDescent="0.25">
      <c r="A10926" t="str">
        <f>"005151502"</f>
        <v>005151502</v>
      </c>
      <c r="B10926" t="str">
        <f>"1336703099"</f>
        <v>1336703099</v>
      </c>
      <c r="C10926" t="str">
        <f>"261QR1300X"</f>
        <v>261QR1300X</v>
      </c>
      <c r="D10926" t="str">
        <f>"MRH MEDICAL GROUP, WEST POINT                     "</f>
        <v xml:space="preserve">MRH MEDICAL GROUP, WEST POINT                     </v>
      </c>
      <c r="E10926" t="str">
        <f>"WEST POINT                "</f>
        <v xml:space="preserve">WEST POINT                </v>
      </c>
      <c r="F10926" t="str">
        <f t="shared" si="297"/>
        <v>MS</v>
      </c>
    </row>
    <row r="10927" spans="1:6" x14ac:dyDescent="0.25">
      <c r="A10927" t="str">
        <f>"005152521"</f>
        <v>005152521</v>
      </c>
      <c r="B10927" t="str">
        <f>"1104045665"</f>
        <v>1104045665</v>
      </c>
      <c r="C10927" t="str">
        <f>"152W00000X"</f>
        <v>152W00000X</v>
      </c>
      <c r="D10927" t="str">
        <f>"ADVANCED EYECARE                                  "</f>
        <v xml:space="preserve">ADVANCED EYECARE                                  </v>
      </c>
      <c r="E10927" t="str">
        <f>"PICAYUNE                  "</f>
        <v xml:space="preserve">PICAYUNE                  </v>
      </c>
      <c r="F10927" t="str">
        <f t="shared" si="297"/>
        <v>MS</v>
      </c>
    </row>
    <row r="10928" spans="1:6" x14ac:dyDescent="0.25">
      <c r="A10928" t="str">
        <f>"005152549"</f>
        <v>005152549</v>
      </c>
      <c r="B10928" t="str">
        <f>"1164719621"</f>
        <v>1164719621</v>
      </c>
      <c r="C10928" t="str">
        <f>"2085R0202X"</f>
        <v>2085R0202X</v>
      </c>
      <c r="D10928" t="str">
        <f>"RAGLAND                  TIMOTHY      J           "</f>
        <v xml:space="preserve">RAGLAND                  TIMOTHY      J           </v>
      </c>
      <c r="E10928" t="str">
        <f>"JACKSON                   "</f>
        <v xml:space="preserve">JACKSON                   </v>
      </c>
      <c r="F10928" t="str">
        <f t="shared" si="297"/>
        <v>MS</v>
      </c>
    </row>
    <row r="10929" spans="1:6" x14ac:dyDescent="0.25">
      <c r="A10929" t="str">
        <f>"005153323"</f>
        <v>005153323</v>
      </c>
      <c r="B10929" t="str">
        <f>"1992058556"</f>
        <v>1992058556</v>
      </c>
      <c r="C10929" t="str">
        <f>"363A00000X"</f>
        <v>363A00000X</v>
      </c>
      <c r="D10929" t="str">
        <f>"WAGNER                   DYLAN        P           "</f>
        <v xml:space="preserve">WAGNER                   DYLAN        P           </v>
      </c>
      <c r="E10929" t="str">
        <f>"LAUREL                    "</f>
        <v xml:space="preserve">LAUREL                    </v>
      </c>
      <c r="F10929" t="str">
        <f t="shared" si="297"/>
        <v>MS</v>
      </c>
    </row>
    <row r="10930" spans="1:6" x14ac:dyDescent="0.25">
      <c r="A10930" t="str">
        <f>"005153760"</f>
        <v>005153760</v>
      </c>
      <c r="B10930" t="str">
        <f>"1205103512"</f>
        <v>1205103512</v>
      </c>
      <c r="C10930" t="str">
        <f>"367500000X"</f>
        <v>367500000X</v>
      </c>
      <c r="D10930" t="str">
        <f>"PARKER                   BETHANY                  "</f>
        <v xml:space="preserve">PARKER                   BETHANY                  </v>
      </c>
      <c r="E10930" t="str">
        <f>"GULFPORT                  "</f>
        <v xml:space="preserve">GULFPORT                  </v>
      </c>
      <c r="F10930" t="str">
        <f t="shared" si="297"/>
        <v>MS</v>
      </c>
    </row>
    <row r="10931" spans="1:6" x14ac:dyDescent="0.25">
      <c r="A10931" t="str">
        <f>"005154261"</f>
        <v>005154261</v>
      </c>
      <c r="B10931" t="str">
        <f>"1407487069"</f>
        <v>1407487069</v>
      </c>
      <c r="C10931" t="str">
        <f>"363L00000X"</f>
        <v>363L00000X</v>
      </c>
      <c r="D10931" t="str">
        <f>"RYBOLT                   LEAH                     "</f>
        <v xml:space="preserve">RYBOLT                   LEAH                     </v>
      </c>
      <c r="E10931" t="str">
        <f>"CLARKSDALE                "</f>
        <v xml:space="preserve">CLARKSDALE                </v>
      </c>
      <c r="F10931" t="str">
        <f t="shared" si="297"/>
        <v>MS</v>
      </c>
    </row>
    <row r="10932" spans="1:6" x14ac:dyDescent="0.25">
      <c r="A10932" t="str">
        <f>"005155766"</f>
        <v>005155766</v>
      </c>
      <c r="B10932" t="str">
        <f>"1871071399"</f>
        <v>1871071399</v>
      </c>
      <c r="C10932" t="str">
        <f>"363L00000X"</f>
        <v>363L00000X</v>
      </c>
      <c r="D10932" t="str">
        <f>"RILEY                    MARIANNA     C           "</f>
        <v xml:space="preserve">RILEY                    MARIANNA     C           </v>
      </c>
      <c r="E10932" t="str">
        <f>"JACKSON                   "</f>
        <v xml:space="preserve">JACKSON                   </v>
      </c>
      <c r="F10932" t="str">
        <f t="shared" si="297"/>
        <v>MS</v>
      </c>
    </row>
    <row r="10933" spans="1:6" x14ac:dyDescent="0.25">
      <c r="A10933" t="str">
        <f>"005156038"</f>
        <v>005156038</v>
      </c>
      <c r="B10933" t="str">
        <f>"1760618292"</f>
        <v>1760618292</v>
      </c>
      <c r="C10933" t="str">
        <f>"363L00000X"</f>
        <v>363L00000X</v>
      </c>
      <c r="D10933" t="str">
        <f>"FLYNN                    MATTHEW      E           "</f>
        <v xml:space="preserve">FLYNN                    MATTHEW      E           </v>
      </c>
      <c r="E10933" t="str">
        <f>"JACKSON                   "</f>
        <v xml:space="preserve">JACKSON                   </v>
      </c>
      <c r="F10933" t="str">
        <f t="shared" si="297"/>
        <v>MS</v>
      </c>
    </row>
    <row r="10934" spans="1:6" x14ac:dyDescent="0.25">
      <c r="A10934" t="str">
        <f>"005156761"</f>
        <v>005156761</v>
      </c>
      <c r="B10934" t="str">
        <f>"1023005360"</f>
        <v>1023005360</v>
      </c>
      <c r="C10934" t="str">
        <f>"208000000X"</f>
        <v>208000000X</v>
      </c>
      <c r="D10934" t="str">
        <f>"JONES                    BRADLEY      K           "</f>
        <v xml:space="preserve">JONES                    BRADLEY      K           </v>
      </c>
      <c r="E10934" t="str">
        <f>"OLIVE BRANCH              "</f>
        <v xml:space="preserve">OLIVE BRANCH              </v>
      </c>
      <c r="F10934" t="str">
        <f t="shared" si="297"/>
        <v>MS</v>
      </c>
    </row>
    <row r="10935" spans="1:6" x14ac:dyDescent="0.25">
      <c r="A10935" t="str">
        <f>"005156831"</f>
        <v>005156831</v>
      </c>
      <c r="B10935" t="str">
        <f>"1174965982"</f>
        <v>1174965982</v>
      </c>
      <c r="C10935" t="str">
        <f>"122300000X"</f>
        <v>122300000X</v>
      </c>
      <c r="D10935" t="str">
        <f>"GRAHAM                   VICTORIA     E           "</f>
        <v xml:space="preserve">GRAHAM                   VICTORIA     E           </v>
      </c>
      <c r="E10935" t="str">
        <f>"BOONEVILLE                "</f>
        <v xml:space="preserve">BOONEVILLE                </v>
      </c>
      <c r="F10935" t="str">
        <f t="shared" si="297"/>
        <v>MS</v>
      </c>
    </row>
    <row r="10936" spans="1:6" x14ac:dyDescent="0.25">
      <c r="A10936" t="str">
        <f>"005158239"</f>
        <v>005158239</v>
      </c>
      <c r="B10936" t="str">
        <f>"1710113998"</f>
        <v>1710113998</v>
      </c>
      <c r="C10936" t="str">
        <f>"2080P0203X"</f>
        <v>2080P0203X</v>
      </c>
      <c r="D10936" t="str">
        <f>"GAJULA                   VISWANATH                "</f>
        <v xml:space="preserve">GAJULA                   VISWANATH                </v>
      </c>
      <c r="E10936" t="str">
        <f>"TUPELO                    "</f>
        <v xml:space="preserve">TUPELO                    </v>
      </c>
      <c r="F10936" t="str">
        <f t="shared" si="297"/>
        <v>MS</v>
      </c>
    </row>
    <row r="10937" spans="1:6" x14ac:dyDescent="0.25">
      <c r="A10937" t="str">
        <f>"005158502"</f>
        <v>005158502</v>
      </c>
      <c r="B10937" t="str">
        <f>"1114173267"</f>
        <v>1114173267</v>
      </c>
      <c r="C10937" t="str">
        <f>"208M00000X"</f>
        <v>208M00000X</v>
      </c>
      <c r="D10937" t="str">
        <f>"MCKENZIE                 SEEMA        A           "</f>
        <v xml:space="preserve">MCKENZIE                 SEEMA        A           </v>
      </c>
      <c r="E10937" t="str">
        <f>"JACKSON                   "</f>
        <v xml:space="preserve">JACKSON                   </v>
      </c>
      <c r="F10937" t="str">
        <f t="shared" si="297"/>
        <v>MS</v>
      </c>
    </row>
    <row r="10938" spans="1:6" x14ac:dyDescent="0.25">
      <c r="A10938" t="str">
        <f>"005159813"</f>
        <v>005159813</v>
      </c>
      <c r="B10938" t="str">
        <f>"1275885378"</f>
        <v>1275885378</v>
      </c>
      <c r="C10938" t="str">
        <f>"261QR1300X"</f>
        <v>261QR1300X</v>
      </c>
      <c r="D10938" t="str">
        <f>"KEMPER CAH INC                                    "</f>
        <v xml:space="preserve">KEMPER CAH INC                                    </v>
      </c>
      <c r="E10938" t="str">
        <f>"MERIDIAN                  "</f>
        <v xml:space="preserve">MERIDIAN                  </v>
      </c>
      <c r="F10938" t="str">
        <f t="shared" si="297"/>
        <v>MS</v>
      </c>
    </row>
    <row r="10939" spans="1:6" x14ac:dyDescent="0.25">
      <c r="A10939" t="str">
        <f>"005170544"</f>
        <v>005170544</v>
      </c>
      <c r="B10939" t="str">
        <f>"1689996282"</f>
        <v>1689996282</v>
      </c>
      <c r="C10939" t="str">
        <f>"363L00000X"</f>
        <v>363L00000X</v>
      </c>
      <c r="D10939" t="str">
        <f>"FIVEASH                  PHYLLIS                  "</f>
        <v xml:space="preserve">FIVEASH                  PHYLLIS                  </v>
      </c>
      <c r="E10939" t="str">
        <f>"CORINTH                   "</f>
        <v xml:space="preserve">CORINTH                   </v>
      </c>
      <c r="F10939" t="str">
        <f t="shared" si="297"/>
        <v>MS</v>
      </c>
    </row>
    <row r="10940" spans="1:6" x14ac:dyDescent="0.25">
      <c r="A10940" t="str">
        <f>"005170886"</f>
        <v>005170886</v>
      </c>
      <c r="B10940" t="str">
        <f>"1013902725"</f>
        <v>1013902725</v>
      </c>
      <c r="C10940" t="str">
        <f>"207Q00000X"</f>
        <v>207Q00000X</v>
      </c>
      <c r="D10940" t="str">
        <f>"EPPERSON                 STEPHEN      P           "</f>
        <v xml:space="preserve">EPPERSON                 STEPHEN      P           </v>
      </c>
      <c r="E10940" t="str">
        <f>"JACKSON                   "</f>
        <v xml:space="preserve">JACKSON                   </v>
      </c>
      <c r="F10940" t="str">
        <f t="shared" si="297"/>
        <v>MS</v>
      </c>
    </row>
    <row r="10941" spans="1:6" x14ac:dyDescent="0.25">
      <c r="A10941" t="str">
        <f>"005172319"</f>
        <v>005172319</v>
      </c>
      <c r="B10941" t="str">
        <f>"1275929705"</f>
        <v>1275929705</v>
      </c>
      <c r="C10941" t="str">
        <f>"207VM0101X"</f>
        <v>207VM0101X</v>
      </c>
      <c r="D10941" t="str">
        <f>"HOGG III                 JAMES        P           "</f>
        <v xml:space="preserve">HOGG III                 JAMES        P           </v>
      </c>
      <c r="E10941" t="str">
        <f>"RIDGELAND                 "</f>
        <v xml:space="preserve">RIDGELAND                 </v>
      </c>
      <c r="F10941" t="str">
        <f t="shared" si="297"/>
        <v>MS</v>
      </c>
    </row>
    <row r="10942" spans="1:6" x14ac:dyDescent="0.25">
      <c r="A10942" t="str">
        <f>"005172325"</f>
        <v>005172325</v>
      </c>
      <c r="B10942" t="str">
        <f>"1285068270"</f>
        <v>1285068270</v>
      </c>
      <c r="C10942" t="str">
        <f>"363LA2100X"</f>
        <v>363LA2100X</v>
      </c>
      <c r="D10942" t="str">
        <f>"KING                     KELLI        D           "</f>
        <v xml:space="preserve">KING                     KELLI        D           </v>
      </c>
      <c r="E10942" t="str">
        <f>"COLUMBUS                  "</f>
        <v xml:space="preserve">COLUMBUS                  </v>
      </c>
      <c r="F10942" t="str">
        <f t="shared" ref="F10942:F11005" si="298">"MS"</f>
        <v>MS</v>
      </c>
    </row>
    <row r="10943" spans="1:6" x14ac:dyDescent="0.25">
      <c r="A10943" t="str">
        <f>"005172706"</f>
        <v>005172706</v>
      </c>
      <c r="B10943" t="str">
        <f>"1538154117"</f>
        <v>1538154117</v>
      </c>
      <c r="C10943" t="str">
        <f>"207W00000X"</f>
        <v>207W00000X</v>
      </c>
      <c r="D10943" t="str">
        <f>"CALZADA                  JORGE                    "</f>
        <v xml:space="preserve">CALZADA                  JORGE                    </v>
      </c>
      <c r="E10943" t="str">
        <f>"SOUTHAVEN                 "</f>
        <v xml:space="preserve">SOUTHAVEN                 </v>
      </c>
      <c r="F10943" t="str">
        <f t="shared" si="298"/>
        <v>MS</v>
      </c>
    </row>
    <row r="10944" spans="1:6" x14ac:dyDescent="0.25">
      <c r="A10944" t="str">
        <f>"005172735"</f>
        <v>005172735</v>
      </c>
      <c r="B10944" t="str">
        <f>"1639657604"</f>
        <v>1639657604</v>
      </c>
      <c r="C10944" t="str">
        <f>"363A00000X"</f>
        <v>363A00000X</v>
      </c>
      <c r="D10944" t="str">
        <f>"CLEMENTS                 JODI         B           "</f>
        <v xml:space="preserve">CLEMENTS                 JODI         B           </v>
      </c>
      <c r="E10944" t="str">
        <f>"COLUMBUS                  "</f>
        <v xml:space="preserve">COLUMBUS                  </v>
      </c>
      <c r="F10944" t="str">
        <f t="shared" si="298"/>
        <v>MS</v>
      </c>
    </row>
    <row r="10945" spans="1:6" x14ac:dyDescent="0.25">
      <c r="A10945" t="str">
        <f>"005173060"</f>
        <v>005173060</v>
      </c>
      <c r="B10945" t="str">
        <f>"1619387768"</f>
        <v>1619387768</v>
      </c>
      <c r="C10945" t="str">
        <f>"207P00000X"</f>
        <v>207P00000X</v>
      </c>
      <c r="D10945" t="str">
        <f>"DUNCAN                   MELISSA                  "</f>
        <v xml:space="preserve">DUNCAN                   MELISSA                  </v>
      </c>
      <c r="E10945" t="str">
        <f>"KOSCIUSKO                 "</f>
        <v xml:space="preserve">KOSCIUSKO                 </v>
      </c>
      <c r="F10945" t="str">
        <f t="shared" si="298"/>
        <v>MS</v>
      </c>
    </row>
    <row r="10946" spans="1:6" x14ac:dyDescent="0.25">
      <c r="A10946" t="str">
        <f>"005173381"</f>
        <v>005173381</v>
      </c>
      <c r="B10946" t="str">
        <f>"1265884175"</f>
        <v>1265884175</v>
      </c>
      <c r="C10946" t="str">
        <f>"363L00000X"</f>
        <v>363L00000X</v>
      </c>
      <c r="D10946" t="str">
        <f>"LINDSEY                  JESSIE       L           "</f>
        <v xml:space="preserve">LINDSEY                  JESSIE       L           </v>
      </c>
      <c r="E10946" t="str">
        <f>"VANCLEAVE                 "</f>
        <v xml:space="preserve">VANCLEAVE                 </v>
      </c>
      <c r="F10946" t="str">
        <f t="shared" si="298"/>
        <v>MS</v>
      </c>
    </row>
    <row r="10947" spans="1:6" x14ac:dyDescent="0.25">
      <c r="A10947" t="str">
        <f>"005175535"</f>
        <v>005175535</v>
      </c>
      <c r="B10947" t="str">
        <f>"1881636132"</f>
        <v>1881636132</v>
      </c>
      <c r="C10947" t="str">
        <f>"208000000X"</f>
        <v>208000000X</v>
      </c>
      <c r="D10947" t="str">
        <f>"HENIKEL                  OLUWASEUN    E           "</f>
        <v xml:space="preserve">HENIKEL                  OLUWASEUN    E           </v>
      </c>
      <c r="E10947" t="str">
        <f>"SOUTHAVEN                 "</f>
        <v xml:space="preserve">SOUTHAVEN                 </v>
      </c>
      <c r="F10947" t="str">
        <f t="shared" si="298"/>
        <v>MS</v>
      </c>
    </row>
    <row r="10948" spans="1:6" x14ac:dyDescent="0.25">
      <c r="A10948" t="str">
        <f>"005178232"</f>
        <v>005178232</v>
      </c>
      <c r="B10948" t="str">
        <f>"1891233300"</f>
        <v>1891233300</v>
      </c>
      <c r="C10948" t="str">
        <f>"363L00000X"</f>
        <v>363L00000X</v>
      </c>
      <c r="D10948" t="str">
        <f>"PATTERSON                SHERI                    "</f>
        <v xml:space="preserve">PATTERSON                SHERI                    </v>
      </c>
      <c r="E10948" t="str">
        <f>"TUPELO                    "</f>
        <v xml:space="preserve">TUPELO                    </v>
      </c>
      <c r="F10948" t="str">
        <f t="shared" si="298"/>
        <v>MS</v>
      </c>
    </row>
    <row r="10949" spans="1:6" x14ac:dyDescent="0.25">
      <c r="A10949" t="str">
        <f>"005179721"</f>
        <v>005179721</v>
      </c>
      <c r="B10949" t="str">
        <f>"1982017315"</f>
        <v>1982017315</v>
      </c>
      <c r="C10949" t="str">
        <f>"363L00000X"</f>
        <v>363L00000X</v>
      </c>
      <c r="D10949" t="str">
        <f>"HARDY                    JESSICA      L           "</f>
        <v xml:space="preserve">HARDY                    JESSICA      L           </v>
      </c>
      <c r="E10949" t="str">
        <f>"DE KALB                   "</f>
        <v xml:space="preserve">DE KALB                   </v>
      </c>
      <c r="F10949" t="str">
        <f t="shared" si="298"/>
        <v>MS</v>
      </c>
    </row>
    <row r="10950" spans="1:6" x14ac:dyDescent="0.25">
      <c r="A10950" t="str">
        <f>"005179894"</f>
        <v>005179894</v>
      </c>
      <c r="B10950" t="str">
        <f>"1194783985"</f>
        <v>1194783985</v>
      </c>
      <c r="C10950" t="str">
        <f>"261QF0400X"</f>
        <v>261QF0400X</v>
      </c>
      <c r="D10950" t="str">
        <f>"HAWKINS ELEMENTARY SCHOOL                         "</f>
        <v xml:space="preserve">HAWKINS ELEMENTARY SCHOOL                         </v>
      </c>
      <c r="E10950" t="str">
        <f>"HATTIESBURG               "</f>
        <v xml:space="preserve">HATTIESBURG               </v>
      </c>
      <c r="F10950" t="str">
        <f t="shared" si="298"/>
        <v>MS</v>
      </c>
    </row>
    <row r="10951" spans="1:6" x14ac:dyDescent="0.25">
      <c r="A10951" t="str">
        <f>"005180817"</f>
        <v>005180817</v>
      </c>
      <c r="B10951" t="str">
        <f>"1326248774"</f>
        <v>1326248774</v>
      </c>
      <c r="C10951" t="str">
        <f>"207Q00000X"</f>
        <v>207Q00000X</v>
      </c>
      <c r="D10951" t="str">
        <f>"STEPHENS                 JAMES        W           "</f>
        <v xml:space="preserve">STEPHENS                 JAMES        W           </v>
      </c>
      <c r="E10951" t="str">
        <f>"MONTICELLO                "</f>
        <v xml:space="preserve">MONTICELLO                </v>
      </c>
      <c r="F10951" t="str">
        <f t="shared" si="298"/>
        <v>MS</v>
      </c>
    </row>
    <row r="10952" spans="1:6" x14ac:dyDescent="0.25">
      <c r="A10952" t="str">
        <f>"005181070"</f>
        <v>005181070</v>
      </c>
      <c r="B10952" t="str">
        <f>"1003103516"</f>
        <v>1003103516</v>
      </c>
      <c r="C10952" t="str">
        <f>"207RE0101X"</f>
        <v>207RE0101X</v>
      </c>
      <c r="D10952" t="str">
        <f>"PACE                     REBECCA                  "</f>
        <v xml:space="preserve">PACE                     REBECCA                  </v>
      </c>
      <c r="E10952" t="str">
        <f>"JACKSON                   "</f>
        <v xml:space="preserve">JACKSON                   </v>
      </c>
      <c r="F10952" t="str">
        <f t="shared" si="298"/>
        <v>MS</v>
      </c>
    </row>
    <row r="10953" spans="1:6" x14ac:dyDescent="0.25">
      <c r="A10953" t="str">
        <f>"005181839"</f>
        <v>005181839</v>
      </c>
      <c r="B10953" t="str">
        <f>"1710551908"</f>
        <v>1710551908</v>
      </c>
      <c r="C10953" t="str">
        <f>"208D00000X"</f>
        <v>208D00000X</v>
      </c>
      <c r="D10953" t="str">
        <f>"HUFF                     ALEXANDER    D           "</f>
        <v xml:space="preserve">HUFF                     ALEXANDER    D           </v>
      </c>
      <c r="E10953" t="str">
        <f>"POPLARVILLE               "</f>
        <v xml:space="preserve">POPLARVILLE               </v>
      </c>
      <c r="F10953" t="str">
        <f t="shared" si="298"/>
        <v>MS</v>
      </c>
    </row>
    <row r="10954" spans="1:6" x14ac:dyDescent="0.25">
      <c r="A10954" t="str">
        <f>"005182292"</f>
        <v>005182292</v>
      </c>
      <c r="B10954" t="str">
        <f>"1477956126"</f>
        <v>1477956126</v>
      </c>
      <c r="C10954" t="str">
        <f>"261QM0801X"</f>
        <v>261QM0801X</v>
      </c>
      <c r="D10954" t="str">
        <f>"BRUCE PROFESSIONAL COUNSELING SERVI               "</f>
        <v xml:space="preserve">BRUCE PROFESSIONAL COUNSELING SERVI               </v>
      </c>
      <c r="E10954" t="str">
        <f>"NATCHEZ                   "</f>
        <v xml:space="preserve">NATCHEZ                   </v>
      </c>
      <c r="F10954" t="str">
        <f t="shared" si="298"/>
        <v>MS</v>
      </c>
    </row>
    <row r="10955" spans="1:6" x14ac:dyDescent="0.25">
      <c r="A10955" t="str">
        <f>"005183279"</f>
        <v>005183279</v>
      </c>
      <c r="B10955" t="str">
        <f>"1902292410"</f>
        <v>1902292410</v>
      </c>
      <c r="C10955" t="str">
        <f>"261QF0400X"</f>
        <v>261QF0400X</v>
      </c>
      <c r="D10955" t="str">
        <f>"CORINTH COMMUNITY HEALTH CENTER                   "</f>
        <v xml:space="preserve">CORINTH COMMUNITY HEALTH CENTER                   </v>
      </c>
      <c r="E10955" t="str">
        <f>"CORINTH                   "</f>
        <v xml:space="preserve">CORINTH                   </v>
      </c>
      <c r="F10955" t="str">
        <f t="shared" si="298"/>
        <v>MS</v>
      </c>
    </row>
    <row r="10956" spans="1:6" x14ac:dyDescent="0.25">
      <c r="A10956" t="str">
        <f>"005183339"</f>
        <v>005183339</v>
      </c>
      <c r="B10956" t="str">
        <f>"1134221419"</f>
        <v>1134221419</v>
      </c>
      <c r="C10956" t="str">
        <f>"207Q00000X"</f>
        <v>207Q00000X</v>
      </c>
      <c r="D10956" t="str">
        <f>"HATHCOCK                 STEPHEN      S           "</f>
        <v xml:space="preserve">HATHCOCK                 STEPHEN      S           </v>
      </c>
      <c r="E10956" t="str">
        <f>"FULTON                    "</f>
        <v xml:space="preserve">FULTON                    </v>
      </c>
      <c r="F10956" t="str">
        <f t="shared" si="298"/>
        <v>MS</v>
      </c>
    </row>
    <row r="10957" spans="1:6" x14ac:dyDescent="0.25">
      <c r="A10957" t="str">
        <f>"005183869"</f>
        <v>005183869</v>
      </c>
      <c r="B10957" t="str">
        <f>"1306343694"</f>
        <v>1306343694</v>
      </c>
      <c r="C10957" t="str">
        <f>"261QF0400X"</f>
        <v>261QF0400X</v>
      </c>
      <c r="D10957" t="str">
        <f>"COASTAL FAMILY HEALTH CENTER INC                  "</f>
        <v xml:space="preserve">COASTAL FAMILY HEALTH CENTER INC                  </v>
      </c>
      <c r="E10957" t="str">
        <f>"MOSS POINT                "</f>
        <v xml:space="preserve">MOSS POINT                </v>
      </c>
      <c r="F10957" t="str">
        <f t="shared" si="298"/>
        <v>MS</v>
      </c>
    </row>
    <row r="10958" spans="1:6" x14ac:dyDescent="0.25">
      <c r="A10958" t="str">
        <f>"005186019"</f>
        <v>005186019</v>
      </c>
      <c r="B10958" t="str">
        <f>"1225696024"</f>
        <v>1225696024</v>
      </c>
      <c r="C10958" t="str">
        <f>"207R00000X"</f>
        <v>207R00000X</v>
      </c>
      <c r="D10958" t="str">
        <f>"POOLE                    MARY                     "</f>
        <v xml:space="preserve">POOLE                    MARY                     </v>
      </c>
      <c r="E10958" t="str">
        <f>"CORINTH                   "</f>
        <v xml:space="preserve">CORINTH                   </v>
      </c>
      <c r="F10958" t="str">
        <f t="shared" si="298"/>
        <v>MS</v>
      </c>
    </row>
    <row r="10959" spans="1:6" x14ac:dyDescent="0.25">
      <c r="A10959" t="str">
        <f>"005186089"</f>
        <v>005186089</v>
      </c>
      <c r="B10959" t="str">
        <f>"1609242056"</f>
        <v>1609242056</v>
      </c>
      <c r="C10959" t="str">
        <f>"261QF0400X"</f>
        <v>261QF0400X</v>
      </c>
      <c r="D10959" t="str">
        <f>"PIKE COUNTY MEDICAL SERVICES                      "</f>
        <v xml:space="preserve">PIKE COUNTY MEDICAL SERVICES                      </v>
      </c>
      <c r="E10959" t="str">
        <f>"MCCOMB                    "</f>
        <v xml:space="preserve">MCCOMB                    </v>
      </c>
      <c r="F10959" t="str">
        <f t="shared" si="298"/>
        <v>MS</v>
      </c>
    </row>
    <row r="10960" spans="1:6" x14ac:dyDescent="0.25">
      <c r="A10960" t="str">
        <f>"005186206"</f>
        <v>005186206</v>
      </c>
      <c r="B10960" t="str">
        <f>"1790325124"</f>
        <v>1790325124</v>
      </c>
      <c r="C10960" t="str">
        <f>"363L00000X"</f>
        <v>363L00000X</v>
      </c>
      <c r="D10960" t="str">
        <f>"BROWN                    NANCY        L           "</f>
        <v xml:space="preserve">BROWN                    NANCY        L           </v>
      </c>
      <c r="E10960" t="str">
        <f>"MERIDIAN                  "</f>
        <v xml:space="preserve">MERIDIAN                  </v>
      </c>
      <c r="F10960" t="str">
        <f t="shared" si="298"/>
        <v>MS</v>
      </c>
    </row>
    <row r="10961" spans="1:6" x14ac:dyDescent="0.25">
      <c r="A10961" t="str">
        <f>"005186329"</f>
        <v>005186329</v>
      </c>
      <c r="B10961" t="str">
        <f>"1184614620"</f>
        <v>1184614620</v>
      </c>
      <c r="C10961" t="str">
        <f>"207RG0100X"</f>
        <v>207RG0100X</v>
      </c>
      <c r="D10961" t="str">
        <f>"JUSTICE                  CLARENCE     A           "</f>
        <v xml:space="preserve">JUSTICE                  CLARENCE     A           </v>
      </c>
      <c r="E10961" t="str">
        <f>"TUPELO                    "</f>
        <v xml:space="preserve">TUPELO                    </v>
      </c>
      <c r="F10961" t="str">
        <f t="shared" si="298"/>
        <v>MS</v>
      </c>
    </row>
    <row r="10962" spans="1:6" x14ac:dyDescent="0.25">
      <c r="A10962" t="str">
        <f>"005187392"</f>
        <v>005187392</v>
      </c>
      <c r="B10962" t="str">
        <f>"1982978771"</f>
        <v>1982978771</v>
      </c>
      <c r="C10962" t="str">
        <f>"363L00000X"</f>
        <v>363L00000X</v>
      </c>
      <c r="D10962" t="str">
        <f>"EVANS                    TRACI        R           "</f>
        <v xml:space="preserve">EVANS                    TRACI        R           </v>
      </c>
      <c r="E10962" t="str">
        <f>"GULFPORT                  "</f>
        <v xml:space="preserve">GULFPORT                  </v>
      </c>
      <c r="F10962" t="str">
        <f t="shared" si="298"/>
        <v>MS</v>
      </c>
    </row>
    <row r="10963" spans="1:6" x14ac:dyDescent="0.25">
      <c r="A10963" t="str">
        <f>"005188742"</f>
        <v>005188742</v>
      </c>
      <c r="B10963" t="str">
        <f>"1730605593"</f>
        <v>1730605593</v>
      </c>
      <c r="C10963" t="str">
        <f>"363L00000X"</f>
        <v>363L00000X</v>
      </c>
      <c r="D10963" t="str">
        <f>"JONES                    BRITTANY     L           "</f>
        <v xml:space="preserve">JONES                    BRITTANY     L           </v>
      </c>
      <c r="E10963" t="str">
        <f>"HATTIESBURG               "</f>
        <v xml:space="preserve">HATTIESBURG               </v>
      </c>
      <c r="F10963" t="str">
        <f t="shared" si="298"/>
        <v>MS</v>
      </c>
    </row>
    <row r="10964" spans="1:6" x14ac:dyDescent="0.25">
      <c r="A10964" t="str">
        <f>"005188833"</f>
        <v>005188833</v>
      </c>
      <c r="B10964" t="str">
        <f>"1700016763"</f>
        <v>1700016763</v>
      </c>
      <c r="C10964" t="str">
        <f>"207Q00000X"</f>
        <v>207Q00000X</v>
      </c>
      <c r="D10964" t="str">
        <f>"ALLA                     SRIDEVI                  "</f>
        <v xml:space="preserve">ALLA                     SRIDEVI                  </v>
      </c>
      <c r="E10964" t="str">
        <f>"JACKSON                   "</f>
        <v xml:space="preserve">JACKSON                   </v>
      </c>
      <c r="F10964" t="str">
        <f t="shared" si="298"/>
        <v>MS</v>
      </c>
    </row>
    <row r="10965" spans="1:6" x14ac:dyDescent="0.25">
      <c r="A10965" t="str">
        <f>"005189287"</f>
        <v>005189287</v>
      </c>
      <c r="B10965" t="str">
        <f>"1972109429"</f>
        <v>1972109429</v>
      </c>
      <c r="C10965" t="str">
        <f>"363LF0000X"</f>
        <v>363LF0000X</v>
      </c>
      <c r="D10965" t="str">
        <f>"BOSCO                    KAYLA        G           "</f>
        <v xml:space="preserve">BOSCO                    KAYLA        G           </v>
      </c>
      <c r="E10965" t="str">
        <f>"PASCAGOULA                "</f>
        <v xml:space="preserve">PASCAGOULA                </v>
      </c>
      <c r="F10965" t="str">
        <f t="shared" si="298"/>
        <v>MS</v>
      </c>
    </row>
    <row r="10966" spans="1:6" x14ac:dyDescent="0.25">
      <c r="A10966" t="str">
        <f>"005189569"</f>
        <v>005189569</v>
      </c>
      <c r="B10966" t="str">
        <f>"1023123353"</f>
        <v>1023123353</v>
      </c>
      <c r="C10966" t="str">
        <f>"2084N0400X"</f>
        <v>2084N0400X</v>
      </c>
      <c r="D10966" t="str">
        <f>"MAKSI                    JOSHUA       A           "</f>
        <v xml:space="preserve">MAKSI                    JOSHUA       A           </v>
      </c>
      <c r="E10966" t="str">
        <f>"HATTIESBURG               "</f>
        <v xml:space="preserve">HATTIESBURG               </v>
      </c>
      <c r="F10966" t="str">
        <f t="shared" si="298"/>
        <v>MS</v>
      </c>
    </row>
    <row r="10967" spans="1:6" x14ac:dyDescent="0.25">
      <c r="A10967" t="str">
        <f>"005189794"</f>
        <v>005189794</v>
      </c>
      <c r="B10967" t="str">
        <f>"1407102288"</f>
        <v>1407102288</v>
      </c>
      <c r="C10967" t="str">
        <f>"152W00000X"</f>
        <v>152W00000X</v>
      </c>
      <c r="D10967" t="str">
        <f>"PATRICK                  JOSHUA                   "</f>
        <v xml:space="preserve">PATRICK                  JOSHUA                   </v>
      </c>
      <c r="E10967" t="str">
        <f>"MERIDIAN                  "</f>
        <v xml:space="preserve">MERIDIAN                  </v>
      </c>
      <c r="F10967" t="str">
        <f t="shared" si="298"/>
        <v>MS</v>
      </c>
    </row>
    <row r="10968" spans="1:6" x14ac:dyDescent="0.25">
      <c r="A10968" t="str">
        <f>"005202031"</f>
        <v>005202031</v>
      </c>
      <c r="B10968" t="str">
        <f>"1417355694"</f>
        <v>1417355694</v>
      </c>
      <c r="C10968" t="str">
        <f>"363L00000X"</f>
        <v>363L00000X</v>
      </c>
      <c r="D10968" t="str">
        <f>"BELL                     KAMI         E           "</f>
        <v xml:space="preserve">BELL                     KAMI         E           </v>
      </c>
      <c r="E10968" t="str">
        <f>"GULFPORT                  "</f>
        <v xml:space="preserve">GULFPORT                  </v>
      </c>
      <c r="F10968" t="str">
        <f t="shared" si="298"/>
        <v>MS</v>
      </c>
    </row>
    <row r="10969" spans="1:6" x14ac:dyDescent="0.25">
      <c r="A10969" t="str">
        <f>"005202077"</f>
        <v>005202077</v>
      </c>
      <c r="B10969" t="str">
        <f>"1003043506"</f>
        <v>1003043506</v>
      </c>
      <c r="C10969" t="str">
        <f>"207X00000X"</f>
        <v>207X00000X</v>
      </c>
      <c r="D10969" t="str">
        <f>"LEWIS                    MATTHEW      W           "</f>
        <v xml:space="preserve">LEWIS                    MATTHEW      W           </v>
      </c>
      <c r="E10969" t="str">
        <f>"VANCLEAVE                 "</f>
        <v xml:space="preserve">VANCLEAVE                 </v>
      </c>
      <c r="F10969" t="str">
        <f t="shared" si="298"/>
        <v>MS</v>
      </c>
    </row>
    <row r="10970" spans="1:6" x14ac:dyDescent="0.25">
      <c r="A10970" t="str">
        <f>"005203067"</f>
        <v>005203067</v>
      </c>
      <c r="B10970" t="str">
        <f>"1053695668"</f>
        <v>1053695668</v>
      </c>
      <c r="C10970" t="str">
        <f>"363A00000X"</f>
        <v>363A00000X</v>
      </c>
      <c r="D10970" t="str">
        <f>"BURNSED                  BRYNNA                   "</f>
        <v xml:space="preserve">BURNSED                  BRYNNA                   </v>
      </c>
      <c r="E10970" t="str">
        <f>"NATCHEZ                   "</f>
        <v xml:space="preserve">NATCHEZ                   </v>
      </c>
      <c r="F10970" t="str">
        <f t="shared" si="298"/>
        <v>MS</v>
      </c>
    </row>
    <row r="10971" spans="1:6" x14ac:dyDescent="0.25">
      <c r="A10971" t="str">
        <f>"005203211"</f>
        <v>005203211</v>
      </c>
      <c r="B10971" t="str">
        <f>"1952616328"</f>
        <v>1952616328</v>
      </c>
      <c r="C10971" t="str">
        <f>"207R00000X"</f>
        <v>207R00000X</v>
      </c>
      <c r="D10971" t="str">
        <f>"INDUKURI VENKATA MADHAVA ASHOKA RAVI V            "</f>
        <v xml:space="preserve">INDUKURI VENKATA MADHAVA ASHOKA RAVI V            </v>
      </c>
      <c r="E10971" t="str">
        <f>"SOUTHAVEN                 "</f>
        <v xml:space="preserve">SOUTHAVEN                 </v>
      </c>
      <c r="F10971" t="str">
        <f t="shared" si="298"/>
        <v>MS</v>
      </c>
    </row>
    <row r="10972" spans="1:6" x14ac:dyDescent="0.25">
      <c r="A10972" t="str">
        <f>"005203247"</f>
        <v>005203247</v>
      </c>
      <c r="B10972" t="str">
        <f>"1053045013"</f>
        <v>1053045013</v>
      </c>
      <c r="C10972" t="str">
        <f>"363L00000X"</f>
        <v>363L00000X</v>
      </c>
      <c r="D10972" t="str">
        <f>"FITZGERALD               BRITTANY     M           "</f>
        <v xml:space="preserve">FITZGERALD               BRITTANY     M           </v>
      </c>
      <c r="E10972" t="str">
        <f>"FLOWOOD                   "</f>
        <v xml:space="preserve">FLOWOOD                   </v>
      </c>
      <c r="F10972" t="str">
        <f t="shared" si="298"/>
        <v>MS</v>
      </c>
    </row>
    <row r="10973" spans="1:6" x14ac:dyDescent="0.25">
      <c r="A10973" t="str">
        <f>"005203728"</f>
        <v>005203728</v>
      </c>
      <c r="B10973" t="str">
        <f>"1871034207"</f>
        <v>1871034207</v>
      </c>
      <c r="C10973" t="str">
        <f>"207W00000X"</f>
        <v>207W00000X</v>
      </c>
      <c r="D10973" t="str">
        <f>"MAYS                     KEVIN        M           "</f>
        <v xml:space="preserve">MAYS                     KEVIN        M           </v>
      </c>
      <c r="E10973" t="str">
        <f>"JACKSON                   "</f>
        <v xml:space="preserve">JACKSON                   </v>
      </c>
      <c r="F10973" t="str">
        <f t="shared" si="298"/>
        <v>MS</v>
      </c>
    </row>
    <row r="10974" spans="1:6" x14ac:dyDescent="0.25">
      <c r="A10974" t="str">
        <f>"005207259"</f>
        <v>005207259</v>
      </c>
      <c r="B10974" t="str">
        <f>"1316495328"</f>
        <v>1316495328</v>
      </c>
      <c r="C10974" t="str">
        <f>"363L00000X"</f>
        <v>363L00000X</v>
      </c>
      <c r="D10974" t="str">
        <f>"FULTON                   KARLA        M           "</f>
        <v xml:space="preserve">FULTON                   KARLA        M           </v>
      </c>
      <c r="E10974" t="str">
        <f>"JACKSON                   "</f>
        <v xml:space="preserve">JACKSON                   </v>
      </c>
      <c r="F10974" t="str">
        <f t="shared" si="298"/>
        <v>MS</v>
      </c>
    </row>
    <row r="10975" spans="1:6" x14ac:dyDescent="0.25">
      <c r="A10975" t="str">
        <f>"005207315"</f>
        <v>005207315</v>
      </c>
      <c r="B10975" t="str">
        <f>"1366912529"</f>
        <v>1366912529</v>
      </c>
      <c r="C10975" t="str">
        <f>"363L00000X"</f>
        <v>363L00000X</v>
      </c>
      <c r="D10975" t="str">
        <f>"BOLDEN                   CARISSA                  "</f>
        <v xml:space="preserve">BOLDEN                   CARISSA                  </v>
      </c>
      <c r="E10975" t="str">
        <f>"BILOXI                    "</f>
        <v xml:space="preserve">BILOXI                    </v>
      </c>
      <c r="F10975" t="str">
        <f t="shared" si="298"/>
        <v>MS</v>
      </c>
    </row>
    <row r="10976" spans="1:6" x14ac:dyDescent="0.25">
      <c r="A10976" t="str">
        <f>"005207521"</f>
        <v>005207521</v>
      </c>
      <c r="B10976" t="str">
        <f>"1114311446"</f>
        <v>1114311446</v>
      </c>
      <c r="C10976" t="str">
        <f>"363L00000X"</f>
        <v>363L00000X</v>
      </c>
      <c r="D10976" t="str">
        <f>"GREEN                    LAKEISHA     C           "</f>
        <v xml:space="preserve">GREEN                    LAKEISHA     C           </v>
      </c>
      <c r="E10976" t="str">
        <f>"JACKSON                   "</f>
        <v xml:space="preserve">JACKSON                   </v>
      </c>
      <c r="F10976" t="str">
        <f t="shared" si="298"/>
        <v>MS</v>
      </c>
    </row>
    <row r="10977" spans="1:6" x14ac:dyDescent="0.25">
      <c r="A10977" t="str">
        <f>"005207721"</f>
        <v>005207721</v>
      </c>
      <c r="B10977" t="str">
        <f>"1770138794"</f>
        <v>1770138794</v>
      </c>
      <c r="C10977" t="str">
        <f>"152W00000X"</f>
        <v>152W00000X</v>
      </c>
      <c r="D10977" t="str">
        <f>"MOORE-MASSEY             KARINA       E           "</f>
        <v xml:space="preserve">MOORE-MASSEY             KARINA       E           </v>
      </c>
      <c r="E10977" t="str">
        <f>"BILOXI                    "</f>
        <v xml:space="preserve">BILOXI                    </v>
      </c>
      <c r="F10977" t="str">
        <f t="shared" si="298"/>
        <v>MS</v>
      </c>
    </row>
    <row r="10978" spans="1:6" x14ac:dyDescent="0.25">
      <c r="A10978" t="str">
        <f>"005208066"</f>
        <v>005208066</v>
      </c>
      <c r="B10978" t="str">
        <f>"1477917409"</f>
        <v>1477917409</v>
      </c>
      <c r="C10978" t="str">
        <f>"2085R0001X"</f>
        <v>2085R0001X</v>
      </c>
      <c r="D10978" t="str">
        <f>"MERENIUK                 TODD                     "</f>
        <v xml:space="preserve">MERENIUK                 TODD                     </v>
      </c>
      <c r="E10978" t="str">
        <f>"OXFORD                    "</f>
        <v xml:space="preserve">OXFORD                    </v>
      </c>
      <c r="F10978" t="str">
        <f t="shared" si="298"/>
        <v>MS</v>
      </c>
    </row>
    <row r="10979" spans="1:6" x14ac:dyDescent="0.25">
      <c r="A10979" t="str">
        <f>"005208074"</f>
        <v>005208074</v>
      </c>
      <c r="B10979" t="str">
        <f>"1790392850"</f>
        <v>1790392850</v>
      </c>
      <c r="C10979" t="str">
        <f>"363L00000X"</f>
        <v>363L00000X</v>
      </c>
      <c r="D10979" t="str">
        <f>"ODOM                     HOLLY        K           "</f>
        <v xml:space="preserve">ODOM                     HOLLY        K           </v>
      </c>
      <c r="E10979" t="str">
        <f>"HATTIESBURG               "</f>
        <v xml:space="preserve">HATTIESBURG               </v>
      </c>
      <c r="F10979" t="str">
        <f t="shared" si="298"/>
        <v>MS</v>
      </c>
    </row>
    <row r="10980" spans="1:6" x14ac:dyDescent="0.25">
      <c r="A10980" t="str">
        <f>"005208342"</f>
        <v>005208342</v>
      </c>
      <c r="B10980" t="str">
        <f>"1942311212"</f>
        <v>1942311212</v>
      </c>
      <c r="C10980" t="str">
        <f>"208000000X"</f>
        <v>208000000X</v>
      </c>
      <c r="D10980" t="str">
        <f>"ELLISON                  PARKER       L           "</f>
        <v xml:space="preserve">ELLISON                  PARKER       L           </v>
      </c>
      <c r="E10980" t="str">
        <f>"MADISON                   "</f>
        <v xml:space="preserve">MADISON                   </v>
      </c>
      <c r="F10980" t="str">
        <f t="shared" si="298"/>
        <v>MS</v>
      </c>
    </row>
    <row r="10981" spans="1:6" x14ac:dyDescent="0.25">
      <c r="A10981" t="str">
        <f>"005208732"</f>
        <v>005208732</v>
      </c>
      <c r="B10981" t="str">
        <f>"1588853154"</f>
        <v>1588853154</v>
      </c>
      <c r="C10981" t="str">
        <f>"261QF0400X"</f>
        <v>261QF0400X</v>
      </c>
      <c r="D10981" t="str">
        <f>"FAMILY HEALTH CARE CLINIC INC                     "</f>
        <v xml:space="preserve">FAMILY HEALTH CARE CLINIC INC                     </v>
      </c>
      <c r="E10981" t="str">
        <f>"RALEIGH                   "</f>
        <v xml:space="preserve">RALEIGH                   </v>
      </c>
      <c r="F10981" t="str">
        <f t="shared" si="298"/>
        <v>MS</v>
      </c>
    </row>
    <row r="10982" spans="1:6" x14ac:dyDescent="0.25">
      <c r="A10982" t="str">
        <f>"005208871"</f>
        <v>005208871</v>
      </c>
      <c r="B10982" t="str">
        <f>"1639530454"</f>
        <v>1639530454</v>
      </c>
      <c r="C10982" t="str">
        <f>"152W00000X"</f>
        <v>152W00000X</v>
      </c>
      <c r="D10982" t="str">
        <f>"MS EYE CARE PA                                    "</f>
        <v xml:space="preserve">MS EYE CARE PA                                    </v>
      </c>
      <c r="E10982" t="str">
        <f>"MERIDIAN                  "</f>
        <v xml:space="preserve">MERIDIAN                  </v>
      </c>
      <c r="F10982" t="str">
        <f t="shared" si="298"/>
        <v>MS</v>
      </c>
    </row>
    <row r="10983" spans="1:6" x14ac:dyDescent="0.25">
      <c r="A10983" t="str">
        <f>"005209802"</f>
        <v>005209802</v>
      </c>
      <c r="B10983" t="str">
        <f>"1528298189"</f>
        <v>1528298189</v>
      </c>
      <c r="C10983" t="str">
        <f>"207R00000X"</f>
        <v>207R00000X</v>
      </c>
      <c r="D10983" t="str">
        <f>"WILLIAMS                 MATTHEW      D           "</f>
        <v xml:space="preserve">WILLIAMS                 MATTHEW      D           </v>
      </c>
      <c r="E10983" t="str">
        <f>"COLUMBUS                  "</f>
        <v xml:space="preserve">COLUMBUS                  </v>
      </c>
      <c r="F10983" t="str">
        <f t="shared" si="298"/>
        <v>MS</v>
      </c>
    </row>
    <row r="10984" spans="1:6" x14ac:dyDescent="0.25">
      <c r="A10984" t="str">
        <f>"005221211"</f>
        <v>005221211</v>
      </c>
      <c r="B10984" t="str">
        <f>"1639142870"</f>
        <v>1639142870</v>
      </c>
      <c r="C10984" t="str">
        <f>"367500000X"</f>
        <v>367500000X</v>
      </c>
      <c r="D10984" t="str">
        <f>"WOODS                    LEE          C           "</f>
        <v xml:space="preserve">WOODS                    LEE          C           </v>
      </c>
      <c r="E10984" t="str">
        <f>"FLOWOOD                   "</f>
        <v xml:space="preserve">FLOWOOD                   </v>
      </c>
      <c r="F10984" t="str">
        <f t="shared" si="298"/>
        <v>MS</v>
      </c>
    </row>
    <row r="10985" spans="1:6" x14ac:dyDescent="0.25">
      <c r="A10985" t="str">
        <f>"005221228"</f>
        <v>005221228</v>
      </c>
      <c r="B10985" t="str">
        <f>"1003291683"</f>
        <v>1003291683</v>
      </c>
      <c r="C10985" t="str">
        <f>"363L00000X"</f>
        <v>363L00000X</v>
      </c>
      <c r="D10985" t="str">
        <f>"WORSHAM                  CARRIE       J           "</f>
        <v xml:space="preserve">WORSHAM                  CARRIE       J           </v>
      </c>
      <c r="E10985" t="str">
        <f>"HORN LAKE                 "</f>
        <v xml:space="preserve">HORN LAKE                 </v>
      </c>
      <c r="F10985" t="str">
        <f t="shared" si="298"/>
        <v>MS</v>
      </c>
    </row>
    <row r="10986" spans="1:6" x14ac:dyDescent="0.25">
      <c r="A10986" t="str">
        <f>"005221548"</f>
        <v>005221548</v>
      </c>
      <c r="B10986" t="str">
        <f>"1992382642"</f>
        <v>1992382642</v>
      </c>
      <c r="C10986" t="str">
        <f>"207R00000X"</f>
        <v>207R00000X</v>
      </c>
      <c r="D10986" t="str">
        <f>"DECKER                   JAMES                    "</f>
        <v xml:space="preserve">DECKER                   JAMES                    </v>
      </c>
      <c r="E10986" t="str">
        <f>"JACKSON                   "</f>
        <v xml:space="preserve">JACKSON                   </v>
      </c>
      <c r="F10986" t="str">
        <f t="shared" si="298"/>
        <v>MS</v>
      </c>
    </row>
    <row r="10987" spans="1:6" x14ac:dyDescent="0.25">
      <c r="A10987" t="str">
        <f>"005222261"</f>
        <v>005222261</v>
      </c>
      <c r="B10987" t="str">
        <f>"1346390093"</f>
        <v>1346390093</v>
      </c>
      <c r="C10987" t="str">
        <f>"207Q00000X"</f>
        <v>207Q00000X</v>
      </c>
      <c r="D10987" t="str">
        <f>"BROWN                    JEFF         T           "</f>
        <v xml:space="preserve">BROWN                    JEFF         T           </v>
      </c>
      <c r="E10987" t="str">
        <f>"TUPELO                    "</f>
        <v xml:space="preserve">TUPELO                    </v>
      </c>
      <c r="F10987" t="str">
        <f t="shared" si="298"/>
        <v>MS</v>
      </c>
    </row>
    <row r="10988" spans="1:6" x14ac:dyDescent="0.25">
      <c r="A10988" t="str">
        <f>"005222589"</f>
        <v>005222589</v>
      </c>
      <c r="B10988" t="str">
        <f>"1144586546"</f>
        <v>1144586546</v>
      </c>
      <c r="C10988" t="str">
        <f>"152W00000X"</f>
        <v>152W00000X</v>
      </c>
      <c r="D10988" t="str">
        <f>"REFLECTIONS VISION CENTER                         "</f>
        <v xml:space="preserve">REFLECTIONS VISION CENTER                         </v>
      </c>
      <c r="E10988" t="str">
        <f>"GLUCKSTADT                "</f>
        <v xml:space="preserve">GLUCKSTADT                </v>
      </c>
      <c r="F10988" t="str">
        <f t="shared" si="298"/>
        <v>MS</v>
      </c>
    </row>
    <row r="10989" spans="1:6" x14ac:dyDescent="0.25">
      <c r="A10989" t="str">
        <f>"005223367"</f>
        <v>005223367</v>
      </c>
      <c r="B10989" t="str">
        <f>"1396771366"</f>
        <v>1396771366</v>
      </c>
      <c r="C10989" t="str">
        <f>"207RI0011X"</f>
        <v>207RI0011X</v>
      </c>
      <c r="D10989" t="str">
        <f>"GUILD                    CAMERON      S           "</f>
        <v xml:space="preserve">GUILD                    CAMERON      S           </v>
      </c>
      <c r="E10989" t="str">
        <f>"JACKSON                   "</f>
        <v xml:space="preserve">JACKSON                   </v>
      </c>
      <c r="F10989" t="str">
        <f t="shared" si="298"/>
        <v>MS</v>
      </c>
    </row>
    <row r="10990" spans="1:6" x14ac:dyDescent="0.25">
      <c r="A10990" t="str">
        <f>"005223768"</f>
        <v>005223768</v>
      </c>
      <c r="B10990" t="str">
        <f>"1508060724"</f>
        <v>1508060724</v>
      </c>
      <c r="C10990" t="str">
        <f>"152W00000X"</f>
        <v>152W00000X</v>
      </c>
      <c r="D10990" t="str">
        <f>"HARRELL                  JARROLD      A           "</f>
        <v xml:space="preserve">HARRELL                  JARROLD      A           </v>
      </c>
      <c r="E10990" t="str">
        <f>"MCCOMB                    "</f>
        <v xml:space="preserve">MCCOMB                    </v>
      </c>
      <c r="F10990" t="str">
        <f t="shared" si="298"/>
        <v>MS</v>
      </c>
    </row>
    <row r="10991" spans="1:6" x14ac:dyDescent="0.25">
      <c r="A10991" t="str">
        <f>"005224030"</f>
        <v>005224030</v>
      </c>
      <c r="B10991" t="str">
        <f>"1093246613"</f>
        <v>1093246613</v>
      </c>
      <c r="C10991" t="str">
        <f>"207P00000X"</f>
        <v>207P00000X</v>
      </c>
      <c r="D10991" t="str">
        <f>"SAMPONG                  EBENEZER     I           "</f>
        <v xml:space="preserve">SAMPONG                  EBENEZER     I           </v>
      </c>
      <c r="E10991" t="str">
        <f>"FOREST                    "</f>
        <v xml:space="preserve">FOREST                    </v>
      </c>
      <c r="F10991" t="str">
        <f t="shared" si="298"/>
        <v>MS</v>
      </c>
    </row>
    <row r="10992" spans="1:6" x14ac:dyDescent="0.25">
      <c r="A10992" t="str">
        <f>"005225058"</f>
        <v>005225058</v>
      </c>
      <c r="B10992" t="str">
        <f>"1285135228"</f>
        <v>1285135228</v>
      </c>
      <c r="C10992" t="str">
        <f>"363L00000X"</f>
        <v>363L00000X</v>
      </c>
      <c r="D10992" t="str">
        <f>"BYRD                     TERRI        L           "</f>
        <v xml:space="preserve">BYRD                     TERRI        L           </v>
      </c>
      <c r="E10992" t="str">
        <f>"COLLINS                   "</f>
        <v xml:space="preserve">COLLINS                   </v>
      </c>
      <c r="F10992" t="str">
        <f t="shared" si="298"/>
        <v>MS</v>
      </c>
    </row>
    <row r="10993" spans="1:6" x14ac:dyDescent="0.25">
      <c r="A10993" t="str">
        <f>"005225301"</f>
        <v>005225301</v>
      </c>
      <c r="B10993" t="str">
        <f>"1235506668"</f>
        <v>1235506668</v>
      </c>
      <c r="C10993" t="str">
        <f>"363L00000X"</f>
        <v>363L00000X</v>
      </c>
      <c r="D10993" t="str">
        <f>"WOOD                     LAUREN                   "</f>
        <v xml:space="preserve">WOOD                     LAUREN                   </v>
      </c>
      <c r="E10993" t="str">
        <f>"COLUMBUS                  "</f>
        <v xml:space="preserve">COLUMBUS                  </v>
      </c>
      <c r="F10993" t="str">
        <f t="shared" si="298"/>
        <v>MS</v>
      </c>
    </row>
    <row r="10994" spans="1:6" x14ac:dyDescent="0.25">
      <c r="A10994" t="str">
        <f>"005225582"</f>
        <v>005225582</v>
      </c>
      <c r="B10994" t="str">
        <f>"1215358783"</f>
        <v>1215358783</v>
      </c>
      <c r="C10994" t="str">
        <f>"261QF0400X"</f>
        <v>261QF0400X</v>
      </c>
      <c r="D10994" t="str">
        <f>"DELTA HEALTH CENTER GREENVILLE CENT               "</f>
        <v xml:space="preserve">DELTA HEALTH CENTER GREENVILLE CENT               </v>
      </c>
      <c r="E10994" t="str">
        <f>"GREENVILLE                "</f>
        <v xml:space="preserve">GREENVILLE                </v>
      </c>
      <c r="F10994" t="str">
        <f t="shared" si="298"/>
        <v>MS</v>
      </c>
    </row>
    <row r="10995" spans="1:6" x14ac:dyDescent="0.25">
      <c r="A10995" t="str">
        <f>"005226555"</f>
        <v>005226555</v>
      </c>
      <c r="B10995" t="str">
        <f>"1316963911"</f>
        <v>1316963911</v>
      </c>
      <c r="C10995" t="str">
        <f>"363L00000X"</f>
        <v>363L00000X</v>
      </c>
      <c r="D10995" t="str">
        <f>"CORDLE                   MARY         E           "</f>
        <v xml:space="preserve">CORDLE                   MARY         E           </v>
      </c>
      <c r="E10995" t="str">
        <f>"OCEAN SPRINGS             "</f>
        <v xml:space="preserve">OCEAN SPRINGS             </v>
      </c>
      <c r="F10995" t="str">
        <f t="shared" si="298"/>
        <v>MS</v>
      </c>
    </row>
    <row r="10996" spans="1:6" x14ac:dyDescent="0.25">
      <c r="A10996" t="str">
        <f>"005227003"</f>
        <v>005227003</v>
      </c>
      <c r="B10996" t="str">
        <f>"1699205989"</f>
        <v>1699205989</v>
      </c>
      <c r="C10996" t="str">
        <f>"207Q00000X"</f>
        <v>207Q00000X</v>
      </c>
      <c r="D10996" t="str">
        <f>"BONDS                    CAMERON                  "</f>
        <v xml:space="preserve">BONDS                    CAMERON                  </v>
      </c>
      <c r="E10996" t="str">
        <f>"IUKA                      "</f>
        <v xml:space="preserve">IUKA                      </v>
      </c>
      <c r="F10996" t="str">
        <f t="shared" si="298"/>
        <v>MS</v>
      </c>
    </row>
    <row r="10997" spans="1:6" x14ac:dyDescent="0.25">
      <c r="A10997" t="str">
        <f>"005229206"</f>
        <v>005229206</v>
      </c>
      <c r="B10997" t="str">
        <f>"1063973071"</f>
        <v>1063973071</v>
      </c>
      <c r="C10997" t="str">
        <f>"363L00000X"</f>
        <v>363L00000X</v>
      </c>
      <c r="D10997" t="str">
        <f>"COLEMAN                  JULIE                    "</f>
        <v xml:space="preserve">COLEMAN                  JULIE                    </v>
      </c>
      <c r="E10997" t="str">
        <f>"PHILADELPHIA              "</f>
        <v xml:space="preserve">PHILADELPHIA              </v>
      </c>
      <c r="F10997" t="str">
        <f t="shared" si="298"/>
        <v>MS</v>
      </c>
    </row>
    <row r="10998" spans="1:6" x14ac:dyDescent="0.25">
      <c r="A10998" t="str">
        <f>"005231510"</f>
        <v>005231510</v>
      </c>
      <c r="B10998" t="str">
        <f>"1326070541"</f>
        <v>1326070541</v>
      </c>
      <c r="C10998" t="str">
        <f>"367500000X"</f>
        <v>367500000X</v>
      </c>
      <c r="D10998" t="str">
        <f>"NELMS                    KAREN                    "</f>
        <v xml:space="preserve">NELMS                    KAREN                    </v>
      </c>
      <c r="E10998" t="str">
        <f>"JACKSON                   "</f>
        <v xml:space="preserve">JACKSON                   </v>
      </c>
      <c r="F10998" t="str">
        <f t="shared" si="298"/>
        <v>MS</v>
      </c>
    </row>
    <row r="10999" spans="1:6" x14ac:dyDescent="0.25">
      <c r="A10999" t="str">
        <f>"005232501"</f>
        <v>005232501</v>
      </c>
      <c r="B10999" t="str">
        <f>"1093234411"</f>
        <v>1093234411</v>
      </c>
      <c r="C10999" t="str">
        <f>"363L00000X"</f>
        <v>363L00000X</v>
      </c>
      <c r="D10999" t="str">
        <f>"HARRIS                   MATTHEW      J           "</f>
        <v xml:space="preserve">HARRIS                   MATTHEW      J           </v>
      </c>
      <c r="E10999" t="str">
        <f>"HAMILTON                  "</f>
        <v xml:space="preserve">HAMILTON                  </v>
      </c>
      <c r="F10999" t="str">
        <f t="shared" si="298"/>
        <v>MS</v>
      </c>
    </row>
    <row r="11000" spans="1:6" x14ac:dyDescent="0.25">
      <c r="A11000" t="str">
        <f>"005233545"</f>
        <v>005233545</v>
      </c>
      <c r="B11000" t="str">
        <f>"1487123923"</f>
        <v>1487123923</v>
      </c>
      <c r="C11000" t="str">
        <f>"363L00000X"</f>
        <v>363L00000X</v>
      </c>
      <c r="D11000" t="str">
        <f>"WARNER                   LEAH                     "</f>
        <v xml:space="preserve">WARNER                   LEAH                     </v>
      </c>
      <c r="E11000" t="str">
        <f>"JACKSON                   "</f>
        <v xml:space="preserve">JACKSON                   </v>
      </c>
      <c r="F11000" t="str">
        <f t="shared" si="298"/>
        <v>MS</v>
      </c>
    </row>
    <row r="11001" spans="1:6" x14ac:dyDescent="0.25">
      <c r="A11001" t="str">
        <f>"005233722"</f>
        <v>005233722</v>
      </c>
      <c r="B11001" t="str">
        <f>"1437592276"</f>
        <v>1437592276</v>
      </c>
      <c r="C11001" t="str">
        <f>"2085R0202X"</f>
        <v>2085R0202X</v>
      </c>
      <c r="D11001" t="str">
        <f>"DULANEY                  CALEB        R           "</f>
        <v xml:space="preserve">DULANEY                  CALEB        R           </v>
      </c>
      <c r="E11001" t="str">
        <f>"MERIDIAN                  "</f>
        <v xml:space="preserve">MERIDIAN                  </v>
      </c>
      <c r="F11001" t="str">
        <f t="shared" si="298"/>
        <v>MS</v>
      </c>
    </row>
    <row r="11002" spans="1:6" x14ac:dyDescent="0.25">
      <c r="A11002" t="str">
        <f>"005234353"</f>
        <v>005234353</v>
      </c>
      <c r="B11002" t="str">
        <f>"1053601591"</f>
        <v>1053601591</v>
      </c>
      <c r="C11002" t="str">
        <f>"207X00000X"</f>
        <v>207X00000X</v>
      </c>
      <c r="D11002" t="str">
        <f>"BROLIN                   TYLER        J           "</f>
        <v xml:space="preserve">BROLIN                   TYLER        J           </v>
      </c>
      <c r="E11002" t="str">
        <f>"SOUTHAVEN                 "</f>
        <v xml:space="preserve">SOUTHAVEN                 </v>
      </c>
      <c r="F11002" t="str">
        <f t="shared" si="298"/>
        <v>MS</v>
      </c>
    </row>
    <row r="11003" spans="1:6" x14ac:dyDescent="0.25">
      <c r="A11003" t="str">
        <f>"005235071"</f>
        <v>005235071</v>
      </c>
      <c r="B11003" t="str">
        <f>"1306254255"</f>
        <v>1306254255</v>
      </c>
      <c r="C11003" t="str">
        <f>"207Q00000X"</f>
        <v>207Q00000X</v>
      </c>
      <c r="D11003" t="str">
        <f>"TULLOS                   JESSICA      M           "</f>
        <v xml:space="preserve">TULLOS                   JESSICA      M           </v>
      </c>
      <c r="E11003" t="str">
        <f>"HATTIESBURG               "</f>
        <v xml:space="preserve">HATTIESBURG               </v>
      </c>
      <c r="F11003" t="str">
        <f t="shared" si="298"/>
        <v>MS</v>
      </c>
    </row>
    <row r="11004" spans="1:6" x14ac:dyDescent="0.25">
      <c r="A11004" t="str">
        <f>"005236338"</f>
        <v>005236338</v>
      </c>
      <c r="B11004" t="str">
        <f>"1770250334"</f>
        <v>1770250334</v>
      </c>
      <c r="C11004" t="str">
        <f>"367500000X"</f>
        <v>367500000X</v>
      </c>
      <c r="D11004" t="str">
        <f>"HOWELL                   JARROD                   "</f>
        <v xml:space="preserve">HOWELL                   JARROD                   </v>
      </c>
      <c r="E11004" t="str">
        <f>"PASCAGOULA                "</f>
        <v xml:space="preserve">PASCAGOULA                </v>
      </c>
      <c r="F11004" t="str">
        <f t="shared" si="298"/>
        <v>MS</v>
      </c>
    </row>
    <row r="11005" spans="1:6" x14ac:dyDescent="0.25">
      <c r="A11005" t="str">
        <f>"005236707"</f>
        <v>005236707</v>
      </c>
      <c r="B11005" t="str">
        <f>"1710537592"</f>
        <v>1710537592</v>
      </c>
      <c r="C11005" t="str">
        <f>"367500000X"</f>
        <v>367500000X</v>
      </c>
      <c r="D11005" t="str">
        <f>"MALONE                   JUSTIN       C           "</f>
        <v xml:space="preserve">MALONE                   JUSTIN       C           </v>
      </c>
      <c r="E11005" t="str">
        <f>"NEW ALBANY                "</f>
        <v xml:space="preserve">NEW ALBANY                </v>
      </c>
      <c r="F11005" t="str">
        <f t="shared" si="298"/>
        <v>MS</v>
      </c>
    </row>
    <row r="11006" spans="1:6" x14ac:dyDescent="0.25">
      <c r="A11006" t="str">
        <f>"005237351"</f>
        <v>005237351</v>
      </c>
      <c r="B11006" t="str">
        <f>"1023429941"</f>
        <v>1023429941</v>
      </c>
      <c r="C11006" t="str">
        <f>"207R00000X"</f>
        <v>207R00000X</v>
      </c>
      <c r="D11006" t="str">
        <f>"WILLIAMSON JR            THOMAS       C           "</f>
        <v xml:space="preserve">WILLIAMSON JR            THOMAS       C           </v>
      </c>
      <c r="E11006" t="str">
        <f>"JACKSON                   "</f>
        <v xml:space="preserve">JACKSON                   </v>
      </c>
      <c r="F11006" t="str">
        <f t="shared" ref="F11006:F11069" si="299">"MS"</f>
        <v>MS</v>
      </c>
    </row>
    <row r="11007" spans="1:6" x14ac:dyDescent="0.25">
      <c r="A11007" t="str">
        <f>"005237571"</f>
        <v>005237571</v>
      </c>
      <c r="B11007" t="str">
        <f>"1124680004"</f>
        <v>1124680004</v>
      </c>
      <c r="C11007" t="str">
        <f>"207Q00000X"</f>
        <v>207Q00000X</v>
      </c>
      <c r="D11007" t="str">
        <f>"BROWN IV                 WILLIAM                  "</f>
        <v xml:space="preserve">BROWN IV                 WILLIAM                  </v>
      </c>
      <c r="E11007" t="str">
        <f>"QUITMAN                   "</f>
        <v xml:space="preserve">QUITMAN                   </v>
      </c>
      <c r="F11007" t="str">
        <f t="shared" si="299"/>
        <v>MS</v>
      </c>
    </row>
    <row r="11008" spans="1:6" x14ac:dyDescent="0.25">
      <c r="A11008" t="str">
        <f>"005238248"</f>
        <v>005238248</v>
      </c>
      <c r="B11008" t="str">
        <f>"1285853408"</f>
        <v>1285853408</v>
      </c>
      <c r="C11008" t="str">
        <f>"122300000X"</f>
        <v>122300000X</v>
      </c>
      <c r="D11008" t="str">
        <f>"IVERSTINE                CASEY        L           "</f>
        <v xml:space="preserve">IVERSTINE                CASEY        L           </v>
      </c>
      <c r="E11008" t="str">
        <f>"NATCHEZ                   "</f>
        <v xml:space="preserve">NATCHEZ                   </v>
      </c>
      <c r="F11008" t="str">
        <f t="shared" si="299"/>
        <v>MS</v>
      </c>
    </row>
    <row r="11009" spans="1:6" x14ac:dyDescent="0.25">
      <c r="A11009" t="str">
        <f>"005238298"</f>
        <v>005238298</v>
      </c>
      <c r="B11009" t="str">
        <f>"1588690689"</f>
        <v>1588690689</v>
      </c>
      <c r="C11009" t="str">
        <f>"363LF0000X"</f>
        <v>363LF0000X</v>
      </c>
      <c r="D11009" t="str">
        <f>"VANCE                    PENNY        B           "</f>
        <v xml:space="preserve">VANCE                    PENNY        B           </v>
      </c>
      <c r="E11009" t="str">
        <f>"MOUND BAYOU               "</f>
        <v xml:space="preserve">MOUND BAYOU               </v>
      </c>
      <c r="F11009" t="str">
        <f t="shared" si="299"/>
        <v>MS</v>
      </c>
    </row>
    <row r="11010" spans="1:6" x14ac:dyDescent="0.25">
      <c r="A11010" t="str">
        <f>"005238528"</f>
        <v>005238528</v>
      </c>
      <c r="B11010" t="str">
        <f>"1255563052"</f>
        <v>1255563052</v>
      </c>
      <c r="C11010" t="str">
        <f>"363LF0000X"</f>
        <v>363LF0000X</v>
      </c>
      <c r="D11010" t="str">
        <f>"CHAPMAN                  ANNE         R           "</f>
        <v xml:space="preserve">CHAPMAN                  ANNE         R           </v>
      </c>
      <c r="E11010" t="str">
        <f>"JACKSON                   "</f>
        <v xml:space="preserve">JACKSON                   </v>
      </c>
      <c r="F11010" t="str">
        <f t="shared" si="299"/>
        <v>MS</v>
      </c>
    </row>
    <row r="11011" spans="1:6" x14ac:dyDescent="0.25">
      <c r="A11011" t="str">
        <f>"005239768"</f>
        <v>005239768</v>
      </c>
      <c r="B11011" t="str">
        <f>"1912359415"</f>
        <v>1912359415</v>
      </c>
      <c r="C11011" t="str">
        <f>"363L00000X"</f>
        <v>363L00000X</v>
      </c>
      <c r="D11011" t="str">
        <f>"KNOTTS                   MICHAEL      P           "</f>
        <v xml:space="preserve">KNOTTS                   MICHAEL      P           </v>
      </c>
      <c r="E11011" t="str">
        <f>"MOSS POINT                "</f>
        <v xml:space="preserve">MOSS POINT                </v>
      </c>
      <c r="F11011" t="str">
        <f t="shared" si="299"/>
        <v>MS</v>
      </c>
    </row>
    <row r="11012" spans="1:6" x14ac:dyDescent="0.25">
      <c r="A11012" t="str">
        <f>"005250546"</f>
        <v>005250546</v>
      </c>
      <c r="B11012" t="str">
        <f>"1801909916"</f>
        <v>1801909916</v>
      </c>
      <c r="C11012" t="str">
        <f>"363L00000X"</f>
        <v>363L00000X</v>
      </c>
      <c r="D11012" t="str">
        <f>"HALL                     ANITA        C           "</f>
        <v xml:space="preserve">HALL                     ANITA        C           </v>
      </c>
      <c r="E11012" t="str">
        <f>"GULFPORT                  "</f>
        <v xml:space="preserve">GULFPORT                  </v>
      </c>
      <c r="F11012" t="str">
        <f t="shared" si="299"/>
        <v>MS</v>
      </c>
    </row>
    <row r="11013" spans="1:6" x14ac:dyDescent="0.25">
      <c r="A11013" t="str">
        <f>"005250883"</f>
        <v>005250883</v>
      </c>
      <c r="B11013" t="str">
        <f>"1104332089"</f>
        <v>1104332089</v>
      </c>
      <c r="C11013" t="str">
        <f>"363L00000X"</f>
        <v>363L00000X</v>
      </c>
      <c r="D11013" t="str">
        <f>"MOORE                    CLARE        A           "</f>
        <v xml:space="preserve">MOORE                    CLARE        A           </v>
      </c>
      <c r="E11013" t="str">
        <f>"RULEVILLE                 "</f>
        <v xml:space="preserve">RULEVILLE                 </v>
      </c>
      <c r="F11013" t="str">
        <f t="shared" si="299"/>
        <v>MS</v>
      </c>
    </row>
    <row r="11014" spans="1:6" x14ac:dyDescent="0.25">
      <c r="A11014" t="str">
        <f>"005254251"</f>
        <v>005254251</v>
      </c>
      <c r="B11014" t="str">
        <f>"1336459668"</f>
        <v>1336459668</v>
      </c>
      <c r="C11014" t="str">
        <f>"152W00000X"</f>
        <v>152W00000X</v>
      </c>
      <c r="D11014" t="str">
        <f>"CRAWFORD EYE CARE LLC                             "</f>
        <v xml:space="preserve">CRAWFORD EYE CARE LLC                             </v>
      </c>
      <c r="E11014" t="str">
        <f>"RIDGELAND                 "</f>
        <v xml:space="preserve">RIDGELAND                 </v>
      </c>
      <c r="F11014" t="str">
        <f t="shared" si="299"/>
        <v>MS</v>
      </c>
    </row>
    <row r="11015" spans="1:6" x14ac:dyDescent="0.25">
      <c r="A11015" t="str">
        <f>"005254285"</f>
        <v>005254285</v>
      </c>
      <c r="B11015" t="str">
        <f>"1780157727"</f>
        <v>1780157727</v>
      </c>
      <c r="C11015" t="str">
        <f>"363L00000X"</f>
        <v>363L00000X</v>
      </c>
      <c r="D11015" t="str">
        <f>"CARPENTER                MEGAN        E           "</f>
        <v xml:space="preserve">CARPENTER                MEGAN        E           </v>
      </c>
      <c r="E11015" t="str">
        <f>"MARKS                     "</f>
        <v xml:space="preserve">MARKS                     </v>
      </c>
      <c r="F11015" t="str">
        <f t="shared" si="299"/>
        <v>MS</v>
      </c>
    </row>
    <row r="11016" spans="1:6" x14ac:dyDescent="0.25">
      <c r="A11016" t="str">
        <f>"005254312"</f>
        <v>005254312</v>
      </c>
      <c r="B11016" t="str">
        <f>"1083734867"</f>
        <v>1083734867</v>
      </c>
      <c r="C11016" t="str">
        <f>"152W00000X"</f>
        <v>152W00000X</v>
      </c>
      <c r="D11016" t="str">
        <f>"ENVISION EYE CARE                                 "</f>
        <v xml:space="preserve">ENVISION EYE CARE                                 </v>
      </c>
      <c r="E11016" t="str">
        <f>"JACKSON                   "</f>
        <v xml:space="preserve">JACKSON                   </v>
      </c>
      <c r="F11016" t="str">
        <f t="shared" si="299"/>
        <v>MS</v>
      </c>
    </row>
    <row r="11017" spans="1:6" x14ac:dyDescent="0.25">
      <c r="A11017" t="str">
        <f>"005255096"</f>
        <v>005255096</v>
      </c>
      <c r="B11017" t="str">
        <f>"1598865362"</f>
        <v>1598865362</v>
      </c>
      <c r="C11017" t="str">
        <f>"363L00000X"</f>
        <v>363L00000X</v>
      </c>
      <c r="D11017" t="str">
        <f>"NORTON                   SHERIE       R           "</f>
        <v xml:space="preserve">NORTON                   SHERIE       R           </v>
      </c>
      <c r="E11017" t="str">
        <f>"RIPLEY                    "</f>
        <v xml:space="preserve">RIPLEY                    </v>
      </c>
      <c r="F11017" t="str">
        <f t="shared" si="299"/>
        <v>MS</v>
      </c>
    </row>
    <row r="11018" spans="1:6" x14ac:dyDescent="0.25">
      <c r="A11018" t="str">
        <f>"005256859"</f>
        <v>005256859</v>
      </c>
      <c r="B11018" t="str">
        <f>"1679577555"</f>
        <v>1679577555</v>
      </c>
      <c r="C11018" t="str">
        <f>"363L00000X"</f>
        <v>363L00000X</v>
      </c>
      <c r="D11018" t="str">
        <f>"PRUITT                   KATHRYN      C           "</f>
        <v xml:space="preserve">PRUITT                   KATHRYN      C           </v>
      </c>
      <c r="E11018" t="str">
        <f>"OLIVE BRANCH              "</f>
        <v xml:space="preserve">OLIVE BRANCH              </v>
      </c>
      <c r="F11018" t="str">
        <f t="shared" si="299"/>
        <v>MS</v>
      </c>
    </row>
    <row r="11019" spans="1:6" x14ac:dyDescent="0.25">
      <c r="A11019" t="str">
        <f>"005257561"</f>
        <v>005257561</v>
      </c>
      <c r="B11019" t="str">
        <f>"1952641201"</f>
        <v>1952641201</v>
      </c>
      <c r="C11019" t="str">
        <f>"122300000X"</f>
        <v>122300000X</v>
      </c>
      <c r="D11019" t="str">
        <f>"JULIA R. HILL DMD PA                              "</f>
        <v xml:space="preserve">JULIA R. HILL DMD PA                              </v>
      </c>
      <c r="E11019" t="str">
        <f>"INDIANOLA                 "</f>
        <v xml:space="preserve">INDIANOLA                 </v>
      </c>
      <c r="F11019" t="str">
        <f t="shared" si="299"/>
        <v>MS</v>
      </c>
    </row>
    <row r="11020" spans="1:6" x14ac:dyDescent="0.25">
      <c r="A11020" t="str">
        <f>"005259761"</f>
        <v>005259761</v>
      </c>
      <c r="B11020" t="str">
        <f>"1962539577"</f>
        <v>1962539577</v>
      </c>
      <c r="C11020" t="str">
        <f>"207RI0200X"</f>
        <v>207RI0200X</v>
      </c>
      <c r="D11020" t="str">
        <f>"ALBRECHT                 SVENJA       J           "</f>
        <v xml:space="preserve">ALBRECHT                 SVENJA       J           </v>
      </c>
      <c r="E11020" t="str">
        <f>"JACKSON                   "</f>
        <v xml:space="preserve">JACKSON                   </v>
      </c>
      <c r="F11020" t="str">
        <f t="shared" si="299"/>
        <v>MS</v>
      </c>
    </row>
    <row r="11021" spans="1:6" x14ac:dyDescent="0.25">
      <c r="A11021" t="str">
        <f>"005270308"</f>
        <v>005270308</v>
      </c>
      <c r="B11021" t="str">
        <f>"1942443403"</f>
        <v>1942443403</v>
      </c>
      <c r="C11021" t="str">
        <f>"363L00000X"</f>
        <v>363L00000X</v>
      </c>
      <c r="D11021" t="str">
        <f>"MEECE                    TERESA       C           "</f>
        <v xml:space="preserve">MEECE                    TERESA       C           </v>
      </c>
      <c r="E11021" t="str">
        <f>"GULFPORT                  "</f>
        <v xml:space="preserve">GULFPORT                  </v>
      </c>
      <c r="F11021" t="str">
        <f t="shared" si="299"/>
        <v>MS</v>
      </c>
    </row>
    <row r="11022" spans="1:6" x14ac:dyDescent="0.25">
      <c r="A11022" t="str">
        <f>"005270386"</f>
        <v>005270386</v>
      </c>
      <c r="B11022" t="str">
        <f>"1811414196"</f>
        <v>1811414196</v>
      </c>
      <c r="C11022" t="str">
        <f>"363L00000X"</f>
        <v>363L00000X</v>
      </c>
      <c r="D11022" t="str">
        <f>"FISHER                   LESLIE                   "</f>
        <v xml:space="preserve">FISHER                   LESLIE                   </v>
      </c>
      <c r="E11022" t="str">
        <f>"RIDGELAND                 "</f>
        <v xml:space="preserve">RIDGELAND                 </v>
      </c>
      <c r="F11022" t="str">
        <f t="shared" si="299"/>
        <v>MS</v>
      </c>
    </row>
    <row r="11023" spans="1:6" x14ac:dyDescent="0.25">
      <c r="A11023" t="str">
        <f>"005271366"</f>
        <v>005271366</v>
      </c>
      <c r="B11023" t="str">
        <f>"1366999799"</f>
        <v>1366999799</v>
      </c>
      <c r="C11023" t="str">
        <f>"363L00000X"</f>
        <v>363L00000X</v>
      </c>
      <c r="D11023" t="str">
        <f>"HOWELL                   LORI         B           "</f>
        <v xml:space="preserve">HOWELL                   LORI         B           </v>
      </c>
      <c r="E11023" t="str">
        <f>"LAUREL                    "</f>
        <v xml:space="preserve">LAUREL                    </v>
      </c>
      <c r="F11023" t="str">
        <f t="shared" si="299"/>
        <v>MS</v>
      </c>
    </row>
    <row r="11024" spans="1:6" x14ac:dyDescent="0.25">
      <c r="A11024" t="str">
        <f>"005273051"</f>
        <v>005273051</v>
      </c>
      <c r="B11024" t="str">
        <f>"1114311198"</f>
        <v>1114311198</v>
      </c>
      <c r="C11024" t="str">
        <f>"207X00000X"</f>
        <v>207X00000X</v>
      </c>
      <c r="D11024" t="str">
        <f>"WILLIAMS                 JEB          H           "</f>
        <v xml:space="preserve">WILLIAMS                 JEB          H           </v>
      </c>
      <c r="E11024" t="str">
        <f>"TUPELO                    "</f>
        <v xml:space="preserve">TUPELO                    </v>
      </c>
      <c r="F11024" t="str">
        <f t="shared" si="299"/>
        <v>MS</v>
      </c>
    </row>
    <row r="11025" spans="1:6" x14ac:dyDescent="0.25">
      <c r="A11025" t="str">
        <f>"005273751"</f>
        <v>005273751</v>
      </c>
      <c r="B11025" t="str">
        <f>"1043462476"</f>
        <v>1043462476</v>
      </c>
      <c r="C11025" t="str">
        <f>"207Q00000X"</f>
        <v>207Q00000X</v>
      </c>
      <c r="D11025" t="str">
        <f>"JEFF                     SHEILA       K           "</f>
        <v xml:space="preserve">JEFF                     SHEILA       K           </v>
      </c>
      <c r="E11025" t="str">
        <f>"JACKSON                   "</f>
        <v xml:space="preserve">JACKSON                   </v>
      </c>
      <c r="F11025" t="str">
        <f t="shared" si="299"/>
        <v>MS</v>
      </c>
    </row>
    <row r="11026" spans="1:6" x14ac:dyDescent="0.25">
      <c r="A11026" t="str">
        <f>"005275295"</f>
        <v>005275295</v>
      </c>
      <c r="B11026" t="str">
        <f>"1255593364"</f>
        <v>1255593364</v>
      </c>
      <c r="C11026" t="str">
        <f>"363L00000X"</f>
        <v>363L00000X</v>
      </c>
      <c r="D11026" t="str">
        <f>"DIXON                    TAMMY        L           "</f>
        <v xml:space="preserve">DIXON                    TAMMY        L           </v>
      </c>
      <c r="E11026" t="str">
        <f>"BROOKHAVEN                "</f>
        <v xml:space="preserve">BROOKHAVEN                </v>
      </c>
      <c r="F11026" t="str">
        <f t="shared" si="299"/>
        <v>MS</v>
      </c>
    </row>
    <row r="11027" spans="1:6" x14ac:dyDescent="0.25">
      <c r="A11027" t="str">
        <f>"005275328"</f>
        <v>005275328</v>
      </c>
      <c r="B11027" t="str">
        <f>"1083869218"</f>
        <v>1083869218</v>
      </c>
      <c r="C11027" t="str">
        <f>"363L00000X"</f>
        <v>363L00000X</v>
      </c>
      <c r="D11027" t="str">
        <f>"PRINGLE                  CANDACE      B           "</f>
        <v xml:space="preserve">PRINGLE                  CANDACE      B           </v>
      </c>
      <c r="E11027" t="str">
        <f>"MERIDIAN                  "</f>
        <v xml:space="preserve">MERIDIAN                  </v>
      </c>
      <c r="F11027" t="str">
        <f t="shared" si="299"/>
        <v>MS</v>
      </c>
    </row>
    <row r="11028" spans="1:6" x14ac:dyDescent="0.25">
      <c r="A11028" t="str">
        <f>"005275550"</f>
        <v>005275550</v>
      </c>
      <c r="B11028" t="str">
        <f>"1679930929"</f>
        <v>1679930929</v>
      </c>
      <c r="C11028" t="str">
        <f>"363L00000X"</f>
        <v>363L00000X</v>
      </c>
      <c r="D11028" t="str">
        <f>"JORDAN                   CHRISTINA    D           "</f>
        <v xml:space="preserve">JORDAN                   CHRISTINA    D           </v>
      </c>
      <c r="E11028" t="str">
        <f>"TUPELO                    "</f>
        <v xml:space="preserve">TUPELO                    </v>
      </c>
      <c r="F11028" t="str">
        <f t="shared" si="299"/>
        <v>MS</v>
      </c>
    </row>
    <row r="11029" spans="1:6" x14ac:dyDescent="0.25">
      <c r="A11029" t="str">
        <f>"005277060"</f>
        <v>005277060</v>
      </c>
      <c r="B11029" t="str">
        <f>"1871001685"</f>
        <v>1871001685</v>
      </c>
      <c r="C11029" t="str">
        <f>"363A00000X"</f>
        <v>363A00000X</v>
      </c>
      <c r="D11029" t="str">
        <f>"BRADY                    MAYLEN                   "</f>
        <v xml:space="preserve">BRADY                    MAYLEN                   </v>
      </c>
      <c r="E11029" t="str">
        <f>"HATTIESBURG               "</f>
        <v xml:space="preserve">HATTIESBURG               </v>
      </c>
      <c r="F11029" t="str">
        <f t="shared" si="299"/>
        <v>MS</v>
      </c>
    </row>
    <row r="11030" spans="1:6" x14ac:dyDescent="0.25">
      <c r="A11030" t="str">
        <f>"005277343"</f>
        <v>005277343</v>
      </c>
      <c r="B11030" t="str">
        <f>"1003055005"</f>
        <v>1003055005</v>
      </c>
      <c r="C11030" t="str">
        <f>"363L00000X"</f>
        <v>363L00000X</v>
      </c>
      <c r="D11030" t="str">
        <f>"SMITH                    STEPHANIE    D           "</f>
        <v xml:space="preserve">SMITH                    STEPHANIE    D           </v>
      </c>
      <c r="E11030" t="str">
        <f>"BAY SPRINGS               "</f>
        <v xml:space="preserve">BAY SPRINGS               </v>
      </c>
      <c r="F11030" t="str">
        <f t="shared" si="299"/>
        <v>MS</v>
      </c>
    </row>
    <row r="11031" spans="1:6" x14ac:dyDescent="0.25">
      <c r="A11031" t="str">
        <f>"005277550"</f>
        <v>005277550</v>
      </c>
      <c r="B11031" t="str">
        <f>"1043453517"</f>
        <v>1043453517</v>
      </c>
      <c r="C11031" t="str">
        <f>"207V00000X"</f>
        <v>207V00000X</v>
      </c>
      <c r="D11031" t="str">
        <f>"JONES                    MELISSA      K           "</f>
        <v xml:space="preserve">JONES                    MELISSA      K           </v>
      </c>
      <c r="E11031" t="str">
        <f>"NATCHEZ                   "</f>
        <v xml:space="preserve">NATCHEZ                   </v>
      </c>
      <c r="F11031" t="str">
        <f t="shared" si="299"/>
        <v>MS</v>
      </c>
    </row>
    <row r="11032" spans="1:6" x14ac:dyDescent="0.25">
      <c r="A11032" t="str">
        <f>"005278814"</f>
        <v>005278814</v>
      </c>
      <c r="B11032" t="str">
        <f>"1285287698"</f>
        <v>1285287698</v>
      </c>
      <c r="C11032" t="str">
        <f>"363L00000X"</f>
        <v>363L00000X</v>
      </c>
      <c r="D11032" t="str">
        <f>"WALKER                   VERONICA                 "</f>
        <v xml:space="preserve">WALKER                   VERONICA                 </v>
      </c>
      <c r="E11032" t="str">
        <f>"BILOXI                    "</f>
        <v xml:space="preserve">BILOXI                    </v>
      </c>
      <c r="F11032" t="str">
        <f t="shared" si="299"/>
        <v>MS</v>
      </c>
    </row>
    <row r="11033" spans="1:6" x14ac:dyDescent="0.25">
      <c r="A11033" t="str">
        <f>"005279741"</f>
        <v>005279741</v>
      </c>
      <c r="B11033" t="str">
        <f>"1699779371"</f>
        <v>1699779371</v>
      </c>
      <c r="C11033" t="str">
        <f>"207R00000X"</f>
        <v>207R00000X</v>
      </c>
      <c r="D11033" t="str">
        <f>"RICHIE                   HEATHER      L           "</f>
        <v xml:space="preserve">RICHIE                   HEATHER      L           </v>
      </c>
      <c r="E11033" t="str">
        <f>"HATTIESBURG               "</f>
        <v xml:space="preserve">HATTIESBURG               </v>
      </c>
      <c r="F11033" t="str">
        <f t="shared" si="299"/>
        <v>MS</v>
      </c>
    </row>
    <row r="11034" spans="1:6" x14ac:dyDescent="0.25">
      <c r="A11034" t="str">
        <f>"005280570"</f>
        <v>005280570</v>
      </c>
      <c r="B11034" t="str">
        <f>"1790915395"</f>
        <v>1790915395</v>
      </c>
      <c r="C11034" t="str">
        <f>"261QR1300X"</f>
        <v>261QR1300X</v>
      </c>
      <c r="D11034" t="str">
        <f>"RIVER REGION RURAL HEALTH -MOB1                   "</f>
        <v xml:space="preserve">RIVER REGION RURAL HEALTH -MOB1                   </v>
      </c>
      <c r="E11034" t="str">
        <f>"VICKSBURG                 "</f>
        <v xml:space="preserve">VICKSBURG                 </v>
      </c>
      <c r="F11034" t="str">
        <f t="shared" si="299"/>
        <v>MS</v>
      </c>
    </row>
    <row r="11035" spans="1:6" x14ac:dyDescent="0.25">
      <c r="A11035" t="str">
        <f>"005280758"</f>
        <v>005280758</v>
      </c>
      <c r="B11035" t="str">
        <f>"1942431200"</f>
        <v>1942431200</v>
      </c>
      <c r="C11035" t="str">
        <f>"363L00000X"</f>
        <v>363L00000X</v>
      </c>
      <c r="D11035" t="str">
        <f>"ATWOOD                   AMANDA       W           "</f>
        <v xml:space="preserve">ATWOOD                   AMANDA       W           </v>
      </c>
      <c r="E11035" t="str">
        <f>"HAZLEHURST                "</f>
        <v xml:space="preserve">HAZLEHURST                </v>
      </c>
      <c r="F11035" t="str">
        <f t="shared" si="299"/>
        <v>MS</v>
      </c>
    </row>
    <row r="11036" spans="1:6" x14ac:dyDescent="0.25">
      <c r="A11036" t="str">
        <f>"005281127"</f>
        <v>005281127</v>
      </c>
      <c r="B11036" t="str">
        <f>"1568423440"</f>
        <v>1568423440</v>
      </c>
      <c r="C11036" t="str">
        <f>"207R00000X"</f>
        <v>207R00000X</v>
      </c>
      <c r="D11036" t="str">
        <f>"WELKER                   JAMES                    "</f>
        <v xml:space="preserve">WELKER                   JAMES                    </v>
      </c>
      <c r="E11036" t="str">
        <f>"TUPELO                    "</f>
        <v xml:space="preserve">TUPELO                    </v>
      </c>
      <c r="F11036" t="str">
        <f t="shared" si="299"/>
        <v>MS</v>
      </c>
    </row>
    <row r="11037" spans="1:6" x14ac:dyDescent="0.25">
      <c r="A11037" t="str">
        <f>"005282216"</f>
        <v>005282216</v>
      </c>
      <c r="B11037" t="str">
        <f>"1992786032"</f>
        <v>1992786032</v>
      </c>
      <c r="C11037" t="str">
        <f>"363L00000X"</f>
        <v>363L00000X</v>
      </c>
      <c r="D11037" t="str">
        <f>"LOCKHART                 CINDY                    "</f>
        <v xml:space="preserve">LOCKHART                 CINDY                    </v>
      </c>
      <c r="E11037" t="str">
        <f>"MISS STATE                "</f>
        <v xml:space="preserve">MISS STATE                </v>
      </c>
      <c r="F11037" t="str">
        <f t="shared" si="299"/>
        <v>MS</v>
      </c>
    </row>
    <row r="11038" spans="1:6" x14ac:dyDescent="0.25">
      <c r="A11038" t="str">
        <f>"005283311"</f>
        <v>005283311</v>
      </c>
      <c r="B11038" t="str">
        <f>"1598795957"</f>
        <v>1598795957</v>
      </c>
      <c r="C11038" t="str">
        <f>"2086S0122X"</f>
        <v>2086S0122X</v>
      </c>
      <c r="D11038" t="str">
        <f>"LONG JR                  JAMES        N           "</f>
        <v xml:space="preserve">LONG JR                  JAMES        N           </v>
      </c>
      <c r="E11038" t="str">
        <f>"CORINTH                   "</f>
        <v xml:space="preserve">CORINTH                   </v>
      </c>
      <c r="F11038" t="str">
        <f t="shared" si="299"/>
        <v>MS</v>
      </c>
    </row>
    <row r="11039" spans="1:6" x14ac:dyDescent="0.25">
      <c r="A11039" t="str">
        <f>"005283879"</f>
        <v>005283879</v>
      </c>
      <c r="B11039" t="str">
        <f>"1225794415"</f>
        <v>1225794415</v>
      </c>
      <c r="C11039" t="str">
        <f>"367500000X"</f>
        <v>367500000X</v>
      </c>
      <c r="D11039" t="str">
        <f>"BOND                     CHRISTOPHER  L           "</f>
        <v xml:space="preserve">BOND                     CHRISTOPHER  L           </v>
      </c>
      <c r="E11039" t="str">
        <f>"HATTIESBURG               "</f>
        <v xml:space="preserve">HATTIESBURG               </v>
      </c>
      <c r="F11039" t="str">
        <f t="shared" si="299"/>
        <v>MS</v>
      </c>
    </row>
    <row r="11040" spans="1:6" x14ac:dyDescent="0.25">
      <c r="A11040" t="str">
        <f>"005285844"</f>
        <v>005285844</v>
      </c>
      <c r="B11040" t="str">
        <f>"1679980072"</f>
        <v>1679980072</v>
      </c>
      <c r="C11040" t="str">
        <f>"207R00000X"</f>
        <v>207R00000X</v>
      </c>
      <c r="D11040" t="str">
        <f>"JABBOUR                  RAMI                     "</f>
        <v xml:space="preserve">JABBOUR                  RAMI                     </v>
      </c>
      <c r="E11040" t="str">
        <f>"HATTIESBURG               "</f>
        <v xml:space="preserve">HATTIESBURG               </v>
      </c>
      <c r="F11040" t="str">
        <f t="shared" si="299"/>
        <v>MS</v>
      </c>
    </row>
    <row r="11041" spans="1:6" x14ac:dyDescent="0.25">
      <c r="A11041" t="str">
        <f>"005286301"</f>
        <v>005286301</v>
      </c>
      <c r="B11041" t="str">
        <f>"1730742933"</f>
        <v>1730742933</v>
      </c>
      <c r="C11041" t="str">
        <f>"363L00000X"</f>
        <v>363L00000X</v>
      </c>
      <c r="D11041" t="str">
        <f>"MCCOY                    HANNA        R           "</f>
        <v xml:space="preserve">MCCOY                    HANNA        R           </v>
      </c>
      <c r="E11041" t="str">
        <f>"LAUREL                    "</f>
        <v xml:space="preserve">LAUREL                    </v>
      </c>
      <c r="F11041" t="str">
        <f t="shared" si="299"/>
        <v>MS</v>
      </c>
    </row>
    <row r="11042" spans="1:6" x14ac:dyDescent="0.25">
      <c r="A11042" t="str">
        <f>"005286852"</f>
        <v>005286852</v>
      </c>
      <c r="B11042" t="str">
        <f>"1093072985"</f>
        <v>1093072985</v>
      </c>
      <c r="C11042" t="str">
        <f>"363L00000X"</f>
        <v>363L00000X</v>
      </c>
      <c r="D11042" t="str">
        <f>"LITTLE                   BRITTANY     A           "</f>
        <v xml:space="preserve">LITTLE                   BRITTANY     A           </v>
      </c>
      <c r="E11042" t="str">
        <f>"JACKSON                   "</f>
        <v xml:space="preserve">JACKSON                   </v>
      </c>
      <c r="F11042" t="str">
        <f t="shared" si="299"/>
        <v>MS</v>
      </c>
    </row>
    <row r="11043" spans="1:6" x14ac:dyDescent="0.25">
      <c r="A11043" t="str">
        <f>"005287077"</f>
        <v>005287077</v>
      </c>
      <c r="B11043" t="str">
        <f>"1003842378"</f>
        <v>1003842378</v>
      </c>
      <c r="C11043" t="str">
        <f>"207RN0300X"</f>
        <v>207RN0300X</v>
      </c>
      <c r="D11043" t="str">
        <f>"BRITTON                  MARCUS       L           "</f>
        <v xml:space="preserve">BRITTON                  MARCUS       L           </v>
      </c>
      <c r="E11043" t="str">
        <f>"TUPELO                    "</f>
        <v xml:space="preserve">TUPELO                    </v>
      </c>
      <c r="F11043" t="str">
        <f t="shared" si="299"/>
        <v>MS</v>
      </c>
    </row>
    <row r="11044" spans="1:6" x14ac:dyDescent="0.25">
      <c r="A11044" t="str">
        <f>"005287340"</f>
        <v>005287340</v>
      </c>
      <c r="B11044" t="str">
        <f>"1619531662"</f>
        <v>1619531662</v>
      </c>
      <c r="C11044" t="str">
        <f>"363L00000X"</f>
        <v>363L00000X</v>
      </c>
      <c r="D11044" t="str">
        <f>"HOLLIMON                 KACIE        C           "</f>
        <v xml:space="preserve">HOLLIMON                 KACIE        C           </v>
      </c>
      <c r="E11044" t="str">
        <f>"TUPELO                    "</f>
        <v xml:space="preserve">TUPELO                    </v>
      </c>
      <c r="F11044" t="str">
        <f t="shared" si="299"/>
        <v>MS</v>
      </c>
    </row>
    <row r="11045" spans="1:6" x14ac:dyDescent="0.25">
      <c r="A11045" t="str">
        <f>"005288084"</f>
        <v>005288084</v>
      </c>
      <c r="B11045" t="str">
        <f>"1033648803"</f>
        <v>1033648803</v>
      </c>
      <c r="C11045" t="str">
        <f>"363L00000X"</f>
        <v>363L00000X</v>
      </c>
      <c r="D11045" t="str">
        <f>"NEWSOM                   NIKISHA      M           "</f>
        <v xml:space="preserve">NEWSOM                   NIKISHA      M           </v>
      </c>
      <c r="E11045" t="str">
        <f>"BYHALIA                   "</f>
        <v xml:space="preserve">BYHALIA                   </v>
      </c>
      <c r="F11045" t="str">
        <f t="shared" si="299"/>
        <v>MS</v>
      </c>
    </row>
    <row r="11046" spans="1:6" x14ac:dyDescent="0.25">
      <c r="A11046" t="str">
        <f>"005288795"</f>
        <v>005288795</v>
      </c>
      <c r="B11046" t="str">
        <f>"1285267476"</f>
        <v>1285267476</v>
      </c>
      <c r="C11046" t="str">
        <f>"363L00000X"</f>
        <v>363L00000X</v>
      </c>
      <c r="D11046" t="str">
        <f>"MCNEASE JR               DAVID        B           "</f>
        <v xml:space="preserve">MCNEASE JR               DAVID        B           </v>
      </c>
      <c r="E11046" t="str">
        <f>"GULFPORT                  "</f>
        <v xml:space="preserve">GULFPORT                  </v>
      </c>
      <c r="F11046" t="str">
        <f t="shared" si="299"/>
        <v>MS</v>
      </c>
    </row>
    <row r="11047" spans="1:6" x14ac:dyDescent="0.25">
      <c r="A11047" t="str">
        <f>"005288861"</f>
        <v>005288861</v>
      </c>
      <c r="B11047" t="str">
        <f>"1205322385"</f>
        <v>1205322385</v>
      </c>
      <c r="C11047" t="str">
        <f>"207RA0001X"</f>
        <v>207RA0001X</v>
      </c>
      <c r="D11047" t="str">
        <f>"PAPADIMITRIOU            LAMPROS                  "</f>
        <v xml:space="preserve">PAPADIMITRIOU            LAMPROS                  </v>
      </c>
      <c r="E11047" t="str">
        <f>"JACKSON                   "</f>
        <v xml:space="preserve">JACKSON                   </v>
      </c>
      <c r="F11047" t="str">
        <f t="shared" si="299"/>
        <v>MS</v>
      </c>
    </row>
    <row r="11048" spans="1:6" x14ac:dyDescent="0.25">
      <c r="A11048" t="str">
        <f>"005300064"</f>
        <v>005300064</v>
      </c>
      <c r="B11048" t="str">
        <f>"1295241388"</f>
        <v>1295241388</v>
      </c>
      <c r="C11048" t="str">
        <f>"367500000X"</f>
        <v>367500000X</v>
      </c>
      <c r="D11048" t="str">
        <f>"MONAGHAN                 NICOLINA     V           "</f>
        <v xml:space="preserve">MONAGHAN                 NICOLINA     V           </v>
      </c>
      <c r="E11048" t="str">
        <f>"JACKSON                   "</f>
        <v xml:space="preserve">JACKSON                   </v>
      </c>
      <c r="F11048" t="str">
        <f t="shared" si="299"/>
        <v>MS</v>
      </c>
    </row>
    <row r="11049" spans="1:6" x14ac:dyDescent="0.25">
      <c r="A11049" t="str">
        <f>"005300066"</f>
        <v>005300066</v>
      </c>
      <c r="B11049" t="str">
        <f>"1366739054"</f>
        <v>1366739054</v>
      </c>
      <c r="C11049" t="str">
        <f>"207RC0000X"</f>
        <v>207RC0000X</v>
      </c>
      <c r="D11049" t="str">
        <f>"BALLARD                  RICHARD      D           "</f>
        <v xml:space="preserve">BALLARD                  RICHARD      D           </v>
      </c>
      <c r="E11049" t="str">
        <f>"TUPELO                    "</f>
        <v xml:space="preserve">TUPELO                    </v>
      </c>
      <c r="F11049" t="str">
        <f t="shared" si="299"/>
        <v>MS</v>
      </c>
    </row>
    <row r="11050" spans="1:6" x14ac:dyDescent="0.25">
      <c r="A11050" t="str">
        <f>"005301763"</f>
        <v>005301763</v>
      </c>
      <c r="B11050" t="str">
        <f>"1992721658"</f>
        <v>1992721658</v>
      </c>
      <c r="C11050" t="str">
        <f>"2084N0400X"</f>
        <v>2084N0400X</v>
      </c>
      <c r="D11050" t="str">
        <f>"ZUBKOV                   ALEXANDER    Y           "</f>
        <v xml:space="preserve">ZUBKOV                   ALEXANDER    Y           </v>
      </c>
      <c r="E11050" t="str">
        <f>"SOUTHAVEN                 "</f>
        <v xml:space="preserve">SOUTHAVEN                 </v>
      </c>
      <c r="F11050" t="str">
        <f t="shared" si="299"/>
        <v>MS</v>
      </c>
    </row>
    <row r="11051" spans="1:6" x14ac:dyDescent="0.25">
      <c r="A11051" t="str">
        <f>"005303503"</f>
        <v>005303503</v>
      </c>
      <c r="B11051" t="str">
        <f>"1972851814"</f>
        <v>1972851814</v>
      </c>
      <c r="C11051" t="str">
        <f>"122300000X"</f>
        <v>122300000X</v>
      </c>
      <c r="D11051" t="str">
        <f>"DENTAL GROUP OF ELLISVILLE                        "</f>
        <v xml:space="preserve">DENTAL GROUP OF ELLISVILLE                        </v>
      </c>
      <c r="E11051" t="str">
        <f>"ELLISVILLE                "</f>
        <v xml:space="preserve">ELLISVILLE                </v>
      </c>
      <c r="F11051" t="str">
        <f t="shared" si="299"/>
        <v>MS</v>
      </c>
    </row>
    <row r="11052" spans="1:6" x14ac:dyDescent="0.25">
      <c r="A11052" t="str">
        <f>"005303743"</f>
        <v>005303743</v>
      </c>
      <c r="B11052" t="str">
        <f>"1083021984"</f>
        <v>1083021984</v>
      </c>
      <c r="C11052" t="str">
        <f>"363L00000X"</f>
        <v>363L00000X</v>
      </c>
      <c r="D11052" t="str">
        <f>"YOUNGER                  KA'TREVIA                "</f>
        <v xml:space="preserve">YOUNGER                  KA'TREVIA                </v>
      </c>
      <c r="E11052" t="str">
        <f>"JACKSON                   "</f>
        <v xml:space="preserve">JACKSON                   </v>
      </c>
      <c r="F11052" t="str">
        <f t="shared" si="299"/>
        <v>MS</v>
      </c>
    </row>
    <row r="11053" spans="1:6" x14ac:dyDescent="0.25">
      <c r="A11053" t="str">
        <f>"005303778"</f>
        <v>005303778</v>
      </c>
      <c r="B11053" t="str">
        <f>"1699900159"</f>
        <v>1699900159</v>
      </c>
      <c r="C11053" t="str">
        <f>"208000000X"</f>
        <v>208000000X</v>
      </c>
      <c r="D11053" t="str">
        <f>"MEEKS                    CHARLES      B           "</f>
        <v xml:space="preserve">MEEKS                    CHARLES      B           </v>
      </c>
      <c r="E11053" t="str">
        <f>"TUPELO                    "</f>
        <v xml:space="preserve">TUPELO                    </v>
      </c>
      <c r="F11053" t="str">
        <f t="shared" si="299"/>
        <v>MS</v>
      </c>
    </row>
    <row r="11054" spans="1:6" x14ac:dyDescent="0.25">
      <c r="A11054" t="str">
        <f>"005303810"</f>
        <v>005303810</v>
      </c>
      <c r="B11054" t="str">
        <f>"1548206857"</f>
        <v>1548206857</v>
      </c>
      <c r="C11054" t="str">
        <f>"261QF0400X"</f>
        <v>261QF0400X</v>
      </c>
      <c r="D11054" t="str">
        <f>"NORTH FORREST JR/SR HIGH SCHOOL                   "</f>
        <v xml:space="preserve">NORTH FORREST JR/SR HIGH SCHOOL                   </v>
      </c>
      <c r="E11054" t="str">
        <f>"HATTIESBURG               "</f>
        <v xml:space="preserve">HATTIESBURG               </v>
      </c>
      <c r="F11054" t="str">
        <f t="shared" si="299"/>
        <v>MS</v>
      </c>
    </row>
    <row r="11055" spans="1:6" x14ac:dyDescent="0.25">
      <c r="A11055" t="str">
        <f>"005304297"</f>
        <v>005304297</v>
      </c>
      <c r="B11055" t="str">
        <f>"1508201872"</f>
        <v>1508201872</v>
      </c>
      <c r="C11055" t="str">
        <f>"2084N0400X"</f>
        <v>2084N0400X</v>
      </c>
      <c r="D11055" t="str">
        <f>"NOWACKI                  NATHANIEL    B           "</f>
        <v xml:space="preserve">NOWACKI                  NATHANIEL    B           </v>
      </c>
      <c r="E11055" t="str">
        <f>"HATTIESBURG               "</f>
        <v xml:space="preserve">HATTIESBURG               </v>
      </c>
      <c r="F11055" t="str">
        <f t="shared" si="299"/>
        <v>MS</v>
      </c>
    </row>
    <row r="11056" spans="1:6" x14ac:dyDescent="0.25">
      <c r="A11056" t="str">
        <f>"005305059"</f>
        <v>005305059</v>
      </c>
      <c r="B11056" t="str">
        <f>"1972022382"</f>
        <v>1972022382</v>
      </c>
      <c r="C11056" t="str">
        <f>"363L00000X"</f>
        <v>363L00000X</v>
      </c>
      <c r="D11056" t="str">
        <f>"BEARD                    SHERRY                   "</f>
        <v xml:space="preserve">BEARD                    SHERRY                   </v>
      </c>
      <c r="E11056" t="str">
        <f>"RIPLEY                    "</f>
        <v xml:space="preserve">RIPLEY                    </v>
      </c>
      <c r="F11056" t="str">
        <f t="shared" si="299"/>
        <v>MS</v>
      </c>
    </row>
    <row r="11057" spans="1:6" x14ac:dyDescent="0.25">
      <c r="A11057" t="str">
        <f>"005305859"</f>
        <v>005305859</v>
      </c>
      <c r="B11057" t="str">
        <f>"1992807291"</f>
        <v>1992807291</v>
      </c>
      <c r="C11057" t="str">
        <f>"367500000X"</f>
        <v>367500000X</v>
      </c>
      <c r="D11057" t="str">
        <f>"LITTLE                   EDWARD       L           "</f>
        <v xml:space="preserve">LITTLE                   EDWARD       L           </v>
      </c>
      <c r="E11057" t="str">
        <f>"HATTIESBURG               "</f>
        <v xml:space="preserve">HATTIESBURG               </v>
      </c>
      <c r="F11057" t="str">
        <f t="shared" si="299"/>
        <v>MS</v>
      </c>
    </row>
    <row r="11058" spans="1:6" x14ac:dyDescent="0.25">
      <c r="A11058" t="str">
        <f>"005306316"</f>
        <v>005306316</v>
      </c>
      <c r="B11058" t="str">
        <f>"1063076511"</f>
        <v>1063076511</v>
      </c>
      <c r="C11058" t="str">
        <f>"261QR1300X"</f>
        <v>261QR1300X</v>
      </c>
      <c r="D11058" t="str">
        <f>"MRH MEDICAL GROUP, CORINTH ALCORN D               "</f>
        <v xml:space="preserve">MRH MEDICAL GROUP, CORINTH ALCORN D               </v>
      </c>
      <c r="E11058" t="str">
        <f>"CORINTH                   "</f>
        <v xml:space="preserve">CORINTH                   </v>
      </c>
      <c r="F11058" t="str">
        <f t="shared" si="299"/>
        <v>MS</v>
      </c>
    </row>
    <row r="11059" spans="1:6" x14ac:dyDescent="0.25">
      <c r="A11059" t="str">
        <f>"005307227"</f>
        <v>005307227</v>
      </c>
      <c r="B11059" t="str">
        <f>"1407067739"</f>
        <v>1407067739</v>
      </c>
      <c r="C11059" t="str">
        <f>"208000000X"</f>
        <v>208000000X</v>
      </c>
      <c r="D11059" t="str">
        <f>"SHANNON                  ANGELA       B           "</f>
        <v xml:space="preserve">SHANNON                  ANGELA       B           </v>
      </c>
      <c r="E11059" t="str">
        <f>"FLOWOOD                   "</f>
        <v xml:space="preserve">FLOWOOD                   </v>
      </c>
      <c r="F11059" t="str">
        <f t="shared" si="299"/>
        <v>MS</v>
      </c>
    </row>
    <row r="11060" spans="1:6" x14ac:dyDescent="0.25">
      <c r="A11060" t="str">
        <f>"005308309"</f>
        <v>005308309</v>
      </c>
      <c r="B11060" t="str">
        <f>"1780690750"</f>
        <v>1780690750</v>
      </c>
      <c r="C11060" t="str">
        <f>"207R00000X"</f>
        <v>207R00000X</v>
      </c>
      <c r="D11060" t="str">
        <f>"NORTHINGTON              DAVID        A           "</f>
        <v xml:space="preserve">NORTHINGTON              DAVID        A           </v>
      </c>
      <c r="E11060" t="str">
        <f>"GULFPORT                  "</f>
        <v xml:space="preserve">GULFPORT                  </v>
      </c>
      <c r="F11060" t="str">
        <f t="shared" si="299"/>
        <v>MS</v>
      </c>
    </row>
    <row r="11061" spans="1:6" x14ac:dyDescent="0.25">
      <c r="A11061" t="str">
        <f>"005308318"</f>
        <v>005308318</v>
      </c>
      <c r="B11061" t="str">
        <f>"1497340160"</f>
        <v>1497340160</v>
      </c>
      <c r="C11061" t="str">
        <f>"363A00000X"</f>
        <v>363A00000X</v>
      </c>
      <c r="D11061" t="str">
        <f>"BORHO                    ANDREW       M           "</f>
        <v xml:space="preserve">BORHO                    ANDREW       M           </v>
      </c>
      <c r="E11061" t="str">
        <f>"BILOXI                    "</f>
        <v xml:space="preserve">BILOXI                    </v>
      </c>
      <c r="F11061" t="str">
        <f t="shared" si="299"/>
        <v>MS</v>
      </c>
    </row>
    <row r="11062" spans="1:6" x14ac:dyDescent="0.25">
      <c r="A11062" t="str">
        <f>"005308319"</f>
        <v>005308319</v>
      </c>
      <c r="B11062" t="str">
        <f>"1851421192"</f>
        <v>1851421192</v>
      </c>
      <c r="C11062" t="str">
        <f>"363A00000X"</f>
        <v>363A00000X</v>
      </c>
      <c r="D11062" t="str">
        <f>"DAURO                    ANGELA       M           "</f>
        <v xml:space="preserve">DAURO                    ANGELA       M           </v>
      </c>
      <c r="E11062" t="str">
        <f>"BILOXI                    "</f>
        <v xml:space="preserve">BILOXI                    </v>
      </c>
      <c r="F11062" t="str">
        <f t="shared" si="299"/>
        <v>MS</v>
      </c>
    </row>
    <row r="11063" spans="1:6" x14ac:dyDescent="0.25">
      <c r="A11063" t="str">
        <f>"005309779"</f>
        <v>005309779</v>
      </c>
      <c r="B11063" t="str">
        <f>"1134510100"</f>
        <v>1134510100</v>
      </c>
      <c r="C11063" t="str">
        <f>"363L00000X"</f>
        <v>363L00000X</v>
      </c>
      <c r="D11063" t="str">
        <f>"BOYD                     ANGELA       D           "</f>
        <v xml:space="preserve">BOYD                     ANGELA       D           </v>
      </c>
      <c r="E11063" t="str">
        <f>"RIDGELAND                 "</f>
        <v xml:space="preserve">RIDGELAND                 </v>
      </c>
      <c r="F11063" t="str">
        <f t="shared" si="299"/>
        <v>MS</v>
      </c>
    </row>
    <row r="11064" spans="1:6" x14ac:dyDescent="0.25">
      <c r="A11064" t="str">
        <f>"005321225"</f>
        <v>005321225</v>
      </c>
      <c r="B11064" t="str">
        <f>"1912469156"</f>
        <v>1912469156</v>
      </c>
      <c r="C11064" t="str">
        <f>"363L00000X"</f>
        <v>363L00000X</v>
      </c>
      <c r="D11064" t="str">
        <f>"DEES                     BROOKE                   "</f>
        <v xml:space="preserve">DEES                     BROOKE                   </v>
      </c>
      <c r="E11064" t="str">
        <f>"BILOXI                    "</f>
        <v xml:space="preserve">BILOXI                    </v>
      </c>
      <c r="F11064" t="str">
        <f t="shared" si="299"/>
        <v>MS</v>
      </c>
    </row>
    <row r="11065" spans="1:6" x14ac:dyDescent="0.25">
      <c r="A11065" t="str">
        <f>"005322209"</f>
        <v>005322209</v>
      </c>
      <c r="B11065" t="str">
        <f>"1295230274"</f>
        <v>1295230274</v>
      </c>
      <c r="C11065" t="str">
        <f>"363L00000X"</f>
        <v>363L00000X</v>
      </c>
      <c r="D11065" t="str">
        <f>"KERSH                    BRITNEY      D           "</f>
        <v xml:space="preserve">KERSH                    BRITNEY      D           </v>
      </c>
      <c r="E11065" t="str">
        <f>"MERIDIAN                  "</f>
        <v xml:space="preserve">MERIDIAN                  </v>
      </c>
      <c r="F11065" t="str">
        <f t="shared" si="299"/>
        <v>MS</v>
      </c>
    </row>
    <row r="11066" spans="1:6" x14ac:dyDescent="0.25">
      <c r="A11066" t="str">
        <f>"005323206"</f>
        <v>005323206</v>
      </c>
      <c r="B11066" t="str">
        <f>"1558719625"</f>
        <v>1558719625</v>
      </c>
      <c r="C11066" t="str">
        <f>"207R00000X"</f>
        <v>207R00000X</v>
      </c>
      <c r="D11066" t="str">
        <f>"HARRIS                   SAMUEL                   "</f>
        <v xml:space="preserve">HARRIS                   SAMUEL                   </v>
      </c>
      <c r="E11066" t="str">
        <f>"OXFORD                    "</f>
        <v xml:space="preserve">OXFORD                    </v>
      </c>
      <c r="F11066" t="str">
        <f t="shared" si="299"/>
        <v>MS</v>
      </c>
    </row>
    <row r="11067" spans="1:6" x14ac:dyDescent="0.25">
      <c r="A11067" t="str">
        <f>"005323277"</f>
        <v>005323277</v>
      </c>
      <c r="B11067" t="str">
        <f>"1063005874"</f>
        <v>1063005874</v>
      </c>
      <c r="C11067" t="str">
        <f>"363L00000X"</f>
        <v>363L00000X</v>
      </c>
      <c r="D11067" t="str">
        <f>"ELLIS                    NAKESIA                  "</f>
        <v xml:space="preserve">ELLIS                    NAKESIA                  </v>
      </c>
      <c r="E11067" t="str">
        <f>"JACKSON                   "</f>
        <v xml:space="preserve">JACKSON                   </v>
      </c>
      <c r="F11067" t="str">
        <f t="shared" si="299"/>
        <v>MS</v>
      </c>
    </row>
    <row r="11068" spans="1:6" x14ac:dyDescent="0.25">
      <c r="A11068" t="str">
        <f>"005323701"</f>
        <v>005323701</v>
      </c>
      <c r="B11068" t="str">
        <f>"1194834747"</f>
        <v>1194834747</v>
      </c>
      <c r="C11068" t="str">
        <f>"207R00000X"</f>
        <v>207R00000X</v>
      </c>
      <c r="D11068" t="str">
        <f>"BLACKSTON                JOSEPH       W           "</f>
        <v xml:space="preserve">BLACKSTON                JOSEPH       W           </v>
      </c>
      <c r="E11068" t="str">
        <f>"VICKSBURG                 "</f>
        <v xml:space="preserve">VICKSBURG                 </v>
      </c>
      <c r="F11068" t="str">
        <f t="shared" si="299"/>
        <v>MS</v>
      </c>
    </row>
    <row r="11069" spans="1:6" x14ac:dyDescent="0.25">
      <c r="A11069" t="str">
        <f>"005324261"</f>
        <v>005324261</v>
      </c>
      <c r="B11069" t="str">
        <f>"1033725775"</f>
        <v>1033725775</v>
      </c>
      <c r="C11069" t="str">
        <f>"363L00000X"</f>
        <v>363L00000X</v>
      </c>
      <c r="D11069" t="str">
        <f>"BROWN                    JESSICA      N           "</f>
        <v xml:space="preserve">BROWN                    JESSICA      N           </v>
      </c>
      <c r="E11069" t="str">
        <f>"SOUTHAVEN                 "</f>
        <v xml:space="preserve">SOUTHAVEN                 </v>
      </c>
      <c r="F11069" t="str">
        <f t="shared" si="299"/>
        <v>MS</v>
      </c>
    </row>
    <row r="11070" spans="1:6" x14ac:dyDescent="0.25">
      <c r="A11070" t="str">
        <f>"005324298"</f>
        <v>005324298</v>
      </c>
      <c r="B11070" t="str">
        <f>"1770848434"</f>
        <v>1770848434</v>
      </c>
      <c r="C11070" t="str">
        <f>"363L00000X"</f>
        <v>363L00000X</v>
      </c>
      <c r="D11070" t="str">
        <f>"ALGEE                    LINDSEY      E           "</f>
        <v xml:space="preserve">ALGEE                    LINDSEY      E           </v>
      </c>
      <c r="E11070" t="str">
        <f>"RIPLEY                    "</f>
        <v xml:space="preserve">RIPLEY                    </v>
      </c>
      <c r="F11070" t="str">
        <f t="shared" ref="F11070:F11133" si="300">"MS"</f>
        <v>MS</v>
      </c>
    </row>
    <row r="11071" spans="1:6" x14ac:dyDescent="0.25">
      <c r="A11071" t="str">
        <f>"005325072"</f>
        <v>005325072</v>
      </c>
      <c r="B11071" t="str">
        <f>"1023469244"</f>
        <v>1023469244</v>
      </c>
      <c r="C11071" t="str">
        <f>"363L00000X"</f>
        <v>363L00000X</v>
      </c>
      <c r="D11071" t="str">
        <f>"WRIGHT                   MICHELLE     N           "</f>
        <v xml:space="preserve">WRIGHT                   MICHELLE     N           </v>
      </c>
      <c r="E11071" t="str">
        <f>"GULFPORT                  "</f>
        <v xml:space="preserve">GULFPORT                  </v>
      </c>
      <c r="F11071" t="str">
        <f t="shared" si="300"/>
        <v>MS</v>
      </c>
    </row>
    <row r="11072" spans="1:6" x14ac:dyDescent="0.25">
      <c r="A11072" t="str">
        <f>"005325811"</f>
        <v>005325811</v>
      </c>
      <c r="B11072" t="str">
        <f>"1962532929"</f>
        <v>1962532929</v>
      </c>
      <c r="C11072" t="str">
        <f>"207Q00000X"</f>
        <v>207Q00000X</v>
      </c>
      <c r="D11072" t="str">
        <f>"HUFFMAN III              JEWELL       J           "</f>
        <v xml:space="preserve">HUFFMAN III              JEWELL       J           </v>
      </c>
      <c r="E11072" t="str">
        <f>"EUPORA                    "</f>
        <v xml:space="preserve">EUPORA                    </v>
      </c>
      <c r="F11072" t="str">
        <f t="shared" si="300"/>
        <v>MS</v>
      </c>
    </row>
    <row r="11073" spans="1:6" x14ac:dyDescent="0.25">
      <c r="A11073" t="str">
        <f>"005325868"</f>
        <v>005325868</v>
      </c>
      <c r="B11073" t="str">
        <f>"1578748455"</f>
        <v>1578748455</v>
      </c>
      <c r="C11073" t="str">
        <f>"367500000X"</f>
        <v>367500000X</v>
      </c>
      <c r="D11073" t="str">
        <f>"SISTRUNK                 MARK         J           "</f>
        <v xml:space="preserve">SISTRUNK                 MARK         J           </v>
      </c>
      <c r="E11073" t="str">
        <f>"JACKSON                   "</f>
        <v xml:space="preserve">JACKSON                   </v>
      </c>
      <c r="F11073" t="str">
        <f t="shared" si="300"/>
        <v>MS</v>
      </c>
    </row>
    <row r="11074" spans="1:6" x14ac:dyDescent="0.25">
      <c r="A11074" t="str">
        <f>"005325895"</f>
        <v>005325895</v>
      </c>
      <c r="B11074" t="str">
        <f>"1649419334"</f>
        <v>1649419334</v>
      </c>
      <c r="C11074" t="str">
        <f>"363L00000X"</f>
        <v>363L00000X</v>
      </c>
      <c r="D11074" t="str">
        <f>"THOMAS                   LESIA                    "</f>
        <v xml:space="preserve">THOMAS                   LESIA                    </v>
      </c>
      <c r="E11074" t="str">
        <f>"GREENVILLE                "</f>
        <v xml:space="preserve">GREENVILLE                </v>
      </c>
      <c r="F11074" t="str">
        <f t="shared" si="300"/>
        <v>MS</v>
      </c>
    </row>
    <row r="11075" spans="1:6" x14ac:dyDescent="0.25">
      <c r="A11075" t="str">
        <f>"005326525"</f>
        <v>005326525</v>
      </c>
      <c r="B11075" t="str">
        <f>"1447665385"</f>
        <v>1447665385</v>
      </c>
      <c r="C11075" t="str">
        <f>"261QF0400X"</f>
        <v>261QF0400X</v>
      </c>
      <c r="D11075" t="str">
        <f>"DESOTO COMMUNITY HEALTH CENTER                    "</f>
        <v xml:space="preserve">DESOTO COMMUNITY HEALTH CENTER                    </v>
      </c>
      <c r="E11075" t="str">
        <f>"SOUTHAVEN                 "</f>
        <v xml:space="preserve">SOUTHAVEN                 </v>
      </c>
      <c r="F11075" t="str">
        <f t="shared" si="300"/>
        <v>MS</v>
      </c>
    </row>
    <row r="11076" spans="1:6" x14ac:dyDescent="0.25">
      <c r="A11076" t="str">
        <f>"005329389"</f>
        <v>005329389</v>
      </c>
      <c r="B11076" t="str">
        <f>"1962616482"</f>
        <v>1962616482</v>
      </c>
      <c r="C11076" t="str">
        <f>"208000000X"</f>
        <v>208000000X</v>
      </c>
      <c r="D11076" t="str">
        <f>"PADUDA                   KIMBERLY     N           "</f>
        <v xml:space="preserve">PADUDA                   KIMBERLY     N           </v>
      </c>
      <c r="E11076" t="str">
        <f>"JACKSON                   "</f>
        <v xml:space="preserve">JACKSON                   </v>
      </c>
      <c r="F11076" t="str">
        <f t="shared" si="300"/>
        <v>MS</v>
      </c>
    </row>
    <row r="11077" spans="1:6" x14ac:dyDescent="0.25">
      <c r="A11077" t="str">
        <f>"005330780"</f>
        <v>005330780</v>
      </c>
      <c r="B11077" t="str">
        <f>"1104201649"</f>
        <v>1104201649</v>
      </c>
      <c r="C11077" t="str">
        <f>"363LF0000X"</f>
        <v>363LF0000X</v>
      </c>
      <c r="D11077" t="str">
        <f>"CLARK                    JENNA        E           "</f>
        <v xml:space="preserve">CLARK                    JENNA        E           </v>
      </c>
      <c r="E11077" t="str">
        <f>"JACKSON                   "</f>
        <v xml:space="preserve">JACKSON                   </v>
      </c>
      <c r="F11077" t="str">
        <f t="shared" si="300"/>
        <v>MS</v>
      </c>
    </row>
    <row r="11078" spans="1:6" x14ac:dyDescent="0.25">
      <c r="A11078" t="str">
        <f>"005331247"</f>
        <v>005331247</v>
      </c>
      <c r="B11078" t="str">
        <f>"1972046282"</f>
        <v>1972046282</v>
      </c>
      <c r="C11078" t="str">
        <f>"367500000X"</f>
        <v>367500000X</v>
      </c>
      <c r="D11078" t="str">
        <f>"BERNARDO                 DANA         M           "</f>
        <v xml:space="preserve">BERNARDO                 DANA         M           </v>
      </c>
      <c r="E11078" t="str">
        <f>"HATTIESBURG               "</f>
        <v xml:space="preserve">HATTIESBURG               </v>
      </c>
      <c r="F11078" t="str">
        <f t="shared" si="300"/>
        <v>MS</v>
      </c>
    </row>
    <row r="11079" spans="1:6" x14ac:dyDescent="0.25">
      <c r="A11079" t="str">
        <f>"005331893"</f>
        <v>005331893</v>
      </c>
      <c r="B11079" t="str">
        <f>"1881958288"</f>
        <v>1881958288</v>
      </c>
      <c r="C11079" t="str">
        <f>"207Q00000X"</f>
        <v>207Q00000X</v>
      </c>
      <c r="D11079" t="str">
        <f>"MYERS                    SHANNON      J           "</f>
        <v xml:space="preserve">MYERS                    SHANNON      J           </v>
      </c>
      <c r="E11079" t="str">
        <f>"RULEVILLE                 "</f>
        <v xml:space="preserve">RULEVILLE                 </v>
      </c>
      <c r="F11079" t="str">
        <f t="shared" si="300"/>
        <v>MS</v>
      </c>
    </row>
    <row r="11080" spans="1:6" x14ac:dyDescent="0.25">
      <c r="A11080" t="str">
        <f>"005332046"</f>
        <v>005332046</v>
      </c>
      <c r="B11080" t="str">
        <f>"1164170734"</f>
        <v>1164170734</v>
      </c>
      <c r="C11080" t="str">
        <f>"363L00000X"</f>
        <v>363L00000X</v>
      </c>
      <c r="D11080" t="str">
        <f>"WINDHAM                  MADISON                  "</f>
        <v xml:space="preserve">WINDHAM                  MADISON                  </v>
      </c>
      <c r="E11080" t="str">
        <f>"NEWTON                    "</f>
        <v xml:space="preserve">NEWTON                    </v>
      </c>
      <c r="F11080" t="str">
        <f t="shared" si="300"/>
        <v>MS</v>
      </c>
    </row>
    <row r="11081" spans="1:6" x14ac:dyDescent="0.25">
      <c r="A11081" t="str">
        <f>"005332345"</f>
        <v>005332345</v>
      </c>
      <c r="B11081" t="str">
        <f>"1659787141"</f>
        <v>1659787141</v>
      </c>
      <c r="C11081" t="str">
        <f>"2080P0202X"</f>
        <v>2080P0202X</v>
      </c>
      <c r="D11081" t="str">
        <f>"CABLE                    KALYL                    "</f>
        <v xml:space="preserve">CABLE                    KALYL                    </v>
      </c>
      <c r="E11081" t="str">
        <f>"JACKSON                   "</f>
        <v xml:space="preserve">JACKSON                   </v>
      </c>
      <c r="F11081" t="str">
        <f t="shared" si="300"/>
        <v>MS</v>
      </c>
    </row>
    <row r="11082" spans="1:6" x14ac:dyDescent="0.25">
      <c r="A11082" t="str">
        <f>"005333246"</f>
        <v>005333246</v>
      </c>
      <c r="B11082" t="str">
        <f>"1205852092"</f>
        <v>1205852092</v>
      </c>
      <c r="C11082" t="str">
        <f>"1223G0001X"</f>
        <v>1223G0001X</v>
      </c>
      <c r="D11082" t="str">
        <f>"NEWTON                   ROBERT       D           "</f>
        <v xml:space="preserve">NEWTON                   ROBERT       D           </v>
      </c>
      <c r="E11082" t="str">
        <f>"AMORY                     "</f>
        <v xml:space="preserve">AMORY                     </v>
      </c>
      <c r="F11082" t="str">
        <f t="shared" si="300"/>
        <v>MS</v>
      </c>
    </row>
    <row r="11083" spans="1:6" x14ac:dyDescent="0.25">
      <c r="A11083" t="str">
        <f>"005333371"</f>
        <v>005333371</v>
      </c>
      <c r="B11083" t="str">
        <f>"1306931431"</f>
        <v>1306931431</v>
      </c>
      <c r="C11083" t="str">
        <f>"261QF0400X"</f>
        <v>261QF0400X</v>
      </c>
      <c r="D11083" t="str">
        <f>"COASTAL FAMILY HEALTH CENTER                      "</f>
        <v xml:space="preserve">COASTAL FAMILY HEALTH CENTER                      </v>
      </c>
      <c r="E11083" t="str">
        <f>"RICHTON                   "</f>
        <v xml:space="preserve">RICHTON                   </v>
      </c>
      <c r="F11083" t="str">
        <f t="shared" si="300"/>
        <v>MS</v>
      </c>
    </row>
    <row r="11084" spans="1:6" x14ac:dyDescent="0.25">
      <c r="A11084" t="str">
        <f>"005333571"</f>
        <v>005333571</v>
      </c>
      <c r="B11084" t="str">
        <f>"1235629973"</f>
        <v>1235629973</v>
      </c>
      <c r="C11084" t="str">
        <f>"208800000X"</f>
        <v>208800000X</v>
      </c>
      <c r="D11084" t="str">
        <f>"HYNES                    KIERAN       A           "</f>
        <v xml:space="preserve">HYNES                    KIERAN       A           </v>
      </c>
      <c r="E11084" t="str">
        <f>"JACKSON                   "</f>
        <v xml:space="preserve">JACKSON                   </v>
      </c>
      <c r="F11084" t="str">
        <f t="shared" si="300"/>
        <v>MS</v>
      </c>
    </row>
    <row r="11085" spans="1:6" x14ac:dyDescent="0.25">
      <c r="A11085" t="str">
        <f>"005336310"</f>
        <v>005336310</v>
      </c>
      <c r="B11085" t="str">
        <f>"1528018686"</f>
        <v>1528018686</v>
      </c>
      <c r="C11085" t="str">
        <f>"2085R0202X"</f>
        <v>2085R0202X</v>
      </c>
      <c r="D11085" t="str">
        <f>"DONOVAN JR               FRANCIS      D           "</f>
        <v xml:space="preserve">DONOVAN JR               FRANCIS      D           </v>
      </c>
      <c r="E11085" t="str">
        <f>"OLIVE BRANCH              "</f>
        <v xml:space="preserve">OLIVE BRANCH              </v>
      </c>
      <c r="F11085" t="str">
        <f t="shared" si="300"/>
        <v>MS</v>
      </c>
    </row>
    <row r="11086" spans="1:6" x14ac:dyDescent="0.25">
      <c r="A11086" t="str">
        <f>"005336383"</f>
        <v>005336383</v>
      </c>
      <c r="B11086" t="str">
        <f>"1427115146"</f>
        <v>1427115146</v>
      </c>
      <c r="C11086" t="str">
        <f>"1223X0400X"</f>
        <v>1223X0400X</v>
      </c>
      <c r="D11086" t="str">
        <f>"HUNSAKER                 STEPHEN                  "</f>
        <v xml:space="preserve">HUNSAKER                 STEPHEN                  </v>
      </c>
      <c r="E11086" t="str">
        <f>"SOUTHAVEN                 "</f>
        <v xml:space="preserve">SOUTHAVEN                 </v>
      </c>
      <c r="F11086" t="str">
        <f t="shared" si="300"/>
        <v>MS</v>
      </c>
    </row>
    <row r="11087" spans="1:6" x14ac:dyDescent="0.25">
      <c r="A11087" t="str">
        <f>"005337707"</f>
        <v>005337707</v>
      </c>
      <c r="B11087" t="str">
        <f>"1750302824"</f>
        <v>1750302824</v>
      </c>
      <c r="C11087" t="str">
        <f>"207V00000X"</f>
        <v>207V00000X</v>
      </c>
      <c r="D11087" t="str">
        <f>"TURNER                   KRISTEN      Y           "</f>
        <v xml:space="preserve">TURNER                   KRISTEN      Y           </v>
      </c>
      <c r="E11087" t="str">
        <f>"TUPELO                    "</f>
        <v xml:space="preserve">TUPELO                    </v>
      </c>
      <c r="F11087" t="str">
        <f t="shared" si="300"/>
        <v>MS</v>
      </c>
    </row>
    <row r="11088" spans="1:6" x14ac:dyDescent="0.25">
      <c r="A11088" t="str">
        <f>"005338018"</f>
        <v>005338018</v>
      </c>
      <c r="B11088" t="str">
        <f>"1245889807"</f>
        <v>1245889807</v>
      </c>
      <c r="C11088" t="str">
        <f>"363L00000X"</f>
        <v>363L00000X</v>
      </c>
      <c r="D11088" t="str">
        <f>"AGENT                    JAMIE                    "</f>
        <v xml:space="preserve">AGENT                    JAMIE                    </v>
      </c>
      <c r="E11088" t="str">
        <f>"PHILADELPHIA              "</f>
        <v xml:space="preserve">PHILADELPHIA              </v>
      </c>
      <c r="F11088" t="str">
        <f t="shared" si="300"/>
        <v>MS</v>
      </c>
    </row>
    <row r="11089" spans="1:6" x14ac:dyDescent="0.25">
      <c r="A11089" t="str">
        <f>"005338706"</f>
        <v>005338706</v>
      </c>
      <c r="B11089" t="str">
        <f>"1205954906"</f>
        <v>1205954906</v>
      </c>
      <c r="C11089" t="str">
        <f>"363L00000X"</f>
        <v>363L00000X</v>
      </c>
      <c r="D11089" t="str">
        <f>"FAIL                     PAMELA       R           "</f>
        <v xml:space="preserve">FAIL                     PAMELA       R           </v>
      </c>
      <c r="E11089" t="str">
        <f>"BAY SPRINGS               "</f>
        <v xml:space="preserve">BAY SPRINGS               </v>
      </c>
      <c r="F11089" t="str">
        <f t="shared" si="300"/>
        <v>MS</v>
      </c>
    </row>
    <row r="11090" spans="1:6" x14ac:dyDescent="0.25">
      <c r="A11090" t="str">
        <f>"005339201"</f>
        <v>005339201</v>
      </c>
      <c r="B11090" t="str">
        <f>"1073518577"</f>
        <v>1073518577</v>
      </c>
      <c r="C11090" t="str">
        <f>"208G00000X"</f>
        <v>208G00000X</v>
      </c>
      <c r="D11090" t="str">
        <f>"THEODORO                 DAVID        A           "</f>
        <v xml:space="preserve">THEODORO                 DAVID        A           </v>
      </c>
      <c r="E11090" t="str">
        <f>"JACKSON                   "</f>
        <v xml:space="preserve">JACKSON                   </v>
      </c>
      <c r="F11090" t="str">
        <f t="shared" si="300"/>
        <v>MS</v>
      </c>
    </row>
    <row r="11091" spans="1:6" x14ac:dyDescent="0.25">
      <c r="A11091" t="str">
        <f>"005350301"</f>
        <v>005350301</v>
      </c>
      <c r="B11091" t="str">
        <f>"1649602301"</f>
        <v>1649602301</v>
      </c>
      <c r="C11091" t="str">
        <f>"363L00000X"</f>
        <v>363L00000X</v>
      </c>
      <c r="D11091" t="str">
        <f>"PALMER                   JENNIFER                 "</f>
        <v xml:space="preserve">PALMER                   JENNIFER                 </v>
      </c>
      <c r="E11091" t="str">
        <f>"NOXAPATER                 "</f>
        <v xml:space="preserve">NOXAPATER                 </v>
      </c>
      <c r="F11091" t="str">
        <f t="shared" si="300"/>
        <v>MS</v>
      </c>
    </row>
    <row r="11092" spans="1:6" x14ac:dyDescent="0.25">
      <c r="A11092" t="str">
        <f>"005351554"</f>
        <v>005351554</v>
      </c>
      <c r="B11092" t="str">
        <f>"1922201870"</f>
        <v>1922201870</v>
      </c>
      <c r="C11092" t="str">
        <f>"207W00000X"</f>
        <v>207W00000X</v>
      </c>
      <c r="D11092" t="str">
        <f>"ZHUK                     STANISLAV    A           "</f>
        <v xml:space="preserve">ZHUK                     STANISLAV    A           </v>
      </c>
      <c r="E11092" t="str">
        <f>"GULFPORT                  "</f>
        <v xml:space="preserve">GULFPORT                  </v>
      </c>
      <c r="F11092" t="str">
        <f t="shared" si="300"/>
        <v>MS</v>
      </c>
    </row>
    <row r="11093" spans="1:6" x14ac:dyDescent="0.25">
      <c r="A11093" t="str">
        <f>"005351777"</f>
        <v>005351777</v>
      </c>
      <c r="B11093" t="str">
        <f>"1144452293"</f>
        <v>1144452293</v>
      </c>
      <c r="C11093" t="str">
        <f>"1223S0112X"</f>
        <v>1223S0112X</v>
      </c>
      <c r="D11093" t="str">
        <f>"WILLIAMS                 JAMES        F           "</f>
        <v xml:space="preserve">WILLIAMS                 JAMES        F           </v>
      </c>
      <c r="E11093" t="str">
        <f>"TUPELO                    "</f>
        <v xml:space="preserve">TUPELO                    </v>
      </c>
      <c r="F11093" t="str">
        <f t="shared" si="300"/>
        <v>MS</v>
      </c>
    </row>
    <row r="11094" spans="1:6" x14ac:dyDescent="0.25">
      <c r="A11094" t="str">
        <f>"005352582"</f>
        <v>005352582</v>
      </c>
      <c r="B11094" t="str">
        <f>"1285863886"</f>
        <v>1285863886</v>
      </c>
      <c r="C11094" t="str">
        <f>"208D00000X"</f>
        <v>208D00000X</v>
      </c>
      <c r="D11094" t="str">
        <f>"MCDONNELL                PRESTON      B           "</f>
        <v xml:space="preserve">MCDONNELL                PRESTON      B           </v>
      </c>
      <c r="E11094" t="str">
        <f>"HAZLEHURST                "</f>
        <v xml:space="preserve">HAZLEHURST                </v>
      </c>
      <c r="F11094" t="str">
        <f t="shared" si="300"/>
        <v>MS</v>
      </c>
    </row>
    <row r="11095" spans="1:6" x14ac:dyDescent="0.25">
      <c r="A11095" t="str">
        <f>"005354579"</f>
        <v>005354579</v>
      </c>
      <c r="B11095" t="str">
        <f>"1629274691"</f>
        <v>1629274691</v>
      </c>
      <c r="C11095" t="str">
        <f>"122300000X"</f>
        <v>122300000X</v>
      </c>
      <c r="D11095" t="str">
        <f>"HARDEN                   EMILY        L           "</f>
        <v xml:space="preserve">HARDEN                   EMILY        L           </v>
      </c>
      <c r="E11095" t="str">
        <f>"HATTIESBURG               "</f>
        <v xml:space="preserve">HATTIESBURG               </v>
      </c>
      <c r="F11095" t="str">
        <f t="shared" si="300"/>
        <v>MS</v>
      </c>
    </row>
    <row r="11096" spans="1:6" x14ac:dyDescent="0.25">
      <c r="A11096" t="str">
        <f>"005355778"</f>
        <v>005355778</v>
      </c>
      <c r="B11096" t="str">
        <f>"1285686618"</f>
        <v>1285686618</v>
      </c>
      <c r="C11096" t="str">
        <f>"207P00000X"</f>
        <v>207P00000X</v>
      </c>
      <c r="D11096" t="str">
        <f>"ANYANWU                  ALLYSON                  "</f>
        <v xml:space="preserve">ANYANWU                  ALLYSON                  </v>
      </c>
      <c r="E11096" t="str">
        <f>"WINONA                    "</f>
        <v xml:space="preserve">WINONA                    </v>
      </c>
      <c r="F11096" t="str">
        <f t="shared" si="300"/>
        <v>MS</v>
      </c>
    </row>
    <row r="11097" spans="1:6" x14ac:dyDescent="0.25">
      <c r="A11097" t="str">
        <f>"005356007"</f>
        <v>005356007</v>
      </c>
      <c r="B11097" t="str">
        <f>"1801383336"</f>
        <v>1801383336</v>
      </c>
      <c r="C11097" t="str">
        <f>"207R00000X"</f>
        <v>207R00000X</v>
      </c>
      <c r="D11097" t="str">
        <f>"CIARLONI                 EVAN                     "</f>
        <v xml:space="preserve">CIARLONI                 EVAN                     </v>
      </c>
      <c r="E11097" t="str">
        <f>"MORTON                    "</f>
        <v xml:space="preserve">MORTON                    </v>
      </c>
      <c r="F11097" t="str">
        <f t="shared" si="300"/>
        <v>MS</v>
      </c>
    </row>
    <row r="11098" spans="1:6" x14ac:dyDescent="0.25">
      <c r="A11098" t="str">
        <f>"005356339"</f>
        <v>005356339</v>
      </c>
      <c r="B11098" t="str">
        <f>"1740864446"</f>
        <v>1740864446</v>
      </c>
      <c r="C11098" t="str">
        <f>"363L00000X"</f>
        <v>363L00000X</v>
      </c>
      <c r="D11098" t="str">
        <f>"KENNEDY                  AMANDA       J           "</f>
        <v xml:space="preserve">KENNEDY                  AMANDA       J           </v>
      </c>
      <c r="E11098" t="str">
        <f>"FLOWOOD                   "</f>
        <v xml:space="preserve">FLOWOOD                   </v>
      </c>
      <c r="F11098" t="str">
        <f t="shared" si="300"/>
        <v>MS</v>
      </c>
    </row>
    <row r="11099" spans="1:6" x14ac:dyDescent="0.25">
      <c r="A11099" t="str">
        <f>"005356512"</f>
        <v>005356512</v>
      </c>
      <c r="B11099" t="str">
        <f>"1255360483"</f>
        <v>1255360483</v>
      </c>
      <c r="C11099" t="str">
        <f>"261QF0400X"</f>
        <v>261QF0400X</v>
      </c>
      <c r="D11099" t="str">
        <f>"JXN HINDS HTLH CTR VAN WINKLE SCHOO               "</f>
        <v xml:space="preserve">JXN HINDS HTLH CTR VAN WINKLE SCHOO               </v>
      </c>
      <c r="E11099" t="str">
        <f>"JACKSON                   "</f>
        <v xml:space="preserve">JACKSON                   </v>
      </c>
      <c r="F11099" t="str">
        <f t="shared" si="300"/>
        <v>MS</v>
      </c>
    </row>
    <row r="11100" spans="1:6" x14ac:dyDescent="0.25">
      <c r="A11100" t="str">
        <f>"005357253"</f>
        <v>005357253</v>
      </c>
      <c r="B11100" t="str">
        <f>"1558521021"</f>
        <v>1558521021</v>
      </c>
      <c r="C11100" t="str">
        <f>"207X00000X"</f>
        <v>207X00000X</v>
      </c>
      <c r="D11100" t="str">
        <f>"HALL                     JUSTIN       M           "</f>
        <v xml:space="preserve">HALL                     JUSTIN       M           </v>
      </c>
      <c r="E11100" t="str">
        <f>"COLUMBUS                  "</f>
        <v xml:space="preserve">COLUMBUS                  </v>
      </c>
      <c r="F11100" t="str">
        <f t="shared" si="300"/>
        <v>MS</v>
      </c>
    </row>
    <row r="11101" spans="1:6" x14ac:dyDescent="0.25">
      <c r="A11101" t="str">
        <f>"005358761"</f>
        <v>005358761</v>
      </c>
      <c r="B11101" t="str">
        <f>"1447602115"</f>
        <v>1447602115</v>
      </c>
      <c r="C11101" t="str">
        <f>"363L00000X"</f>
        <v>363L00000X</v>
      </c>
      <c r="D11101" t="str">
        <f>"JORDAN                   HANNAH                   "</f>
        <v xml:space="preserve">JORDAN                   HANNAH                   </v>
      </c>
      <c r="E11101" t="str">
        <f>"JACKSON                   "</f>
        <v xml:space="preserve">JACKSON                   </v>
      </c>
      <c r="F11101" t="str">
        <f t="shared" si="300"/>
        <v>MS</v>
      </c>
    </row>
    <row r="11102" spans="1:6" x14ac:dyDescent="0.25">
      <c r="A11102" t="str">
        <f>"005359854"</f>
        <v>005359854</v>
      </c>
      <c r="B11102" t="str">
        <f>"1184080640"</f>
        <v>1184080640</v>
      </c>
      <c r="C11102" t="str">
        <f>"363L00000X"</f>
        <v>363L00000X</v>
      </c>
      <c r="D11102" t="str">
        <f>"MINGA                    JOSHUA       L           "</f>
        <v xml:space="preserve">MINGA                    JOSHUA       L           </v>
      </c>
      <c r="E11102" t="str">
        <f>"ECRU                      "</f>
        <v xml:space="preserve">ECRU                      </v>
      </c>
      <c r="F11102" t="str">
        <f t="shared" si="300"/>
        <v>MS</v>
      </c>
    </row>
    <row r="11103" spans="1:6" x14ac:dyDescent="0.25">
      <c r="A11103" t="str">
        <f>"005370311"</f>
        <v>005370311</v>
      </c>
      <c r="B11103" t="str">
        <f>"1396148409"</f>
        <v>1396148409</v>
      </c>
      <c r="C11103" t="str">
        <f>"363L00000X"</f>
        <v>363L00000X</v>
      </c>
      <c r="D11103" t="str">
        <f>"KELLY                    KARLEE       E           "</f>
        <v xml:space="preserve">KELLY                    KARLEE       E           </v>
      </c>
      <c r="E11103" t="str">
        <f>"GREENWOOD                 "</f>
        <v xml:space="preserve">GREENWOOD                 </v>
      </c>
      <c r="F11103" t="str">
        <f t="shared" si="300"/>
        <v>MS</v>
      </c>
    </row>
    <row r="11104" spans="1:6" x14ac:dyDescent="0.25">
      <c r="A11104" t="str">
        <f>"005371528"</f>
        <v>005371528</v>
      </c>
      <c r="B11104" t="str">
        <f>"1740821941"</f>
        <v>1740821941</v>
      </c>
      <c r="C11104" t="str">
        <f>"363L00000X"</f>
        <v>363L00000X</v>
      </c>
      <c r="D11104" t="str">
        <f>"BOREN                    KATELYN      C           "</f>
        <v xml:space="preserve">BOREN                    KATELYN      C           </v>
      </c>
      <c r="E11104" t="str">
        <f>"TUPELO                    "</f>
        <v xml:space="preserve">TUPELO                    </v>
      </c>
      <c r="F11104" t="str">
        <f t="shared" si="300"/>
        <v>MS</v>
      </c>
    </row>
    <row r="11105" spans="1:6" x14ac:dyDescent="0.25">
      <c r="A11105" t="str">
        <f>"005372267"</f>
        <v>005372267</v>
      </c>
      <c r="B11105" t="str">
        <f>"1831746338"</f>
        <v>1831746338</v>
      </c>
      <c r="C11105" t="str">
        <f>"122300000X"</f>
        <v>122300000X</v>
      </c>
      <c r="D11105" t="str">
        <f>"WILLIAMS DENTAL AND ASSOCIATES                    "</f>
        <v xml:space="preserve">WILLIAMS DENTAL AND ASSOCIATES                    </v>
      </c>
      <c r="E11105" t="str">
        <f>"BYRAM                     "</f>
        <v xml:space="preserve">BYRAM                     </v>
      </c>
      <c r="F11105" t="str">
        <f t="shared" si="300"/>
        <v>MS</v>
      </c>
    </row>
    <row r="11106" spans="1:6" x14ac:dyDescent="0.25">
      <c r="A11106" t="str">
        <f>"005372791"</f>
        <v>005372791</v>
      </c>
      <c r="B11106" t="str">
        <f>"1659681328"</f>
        <v>1659681328</v>
      </c>
      <c r="C11106" t="str">
        <f>"363L00000X"</f>
        <v>363L00000X</v>
      </c>
      <c r="D11106" t="str">
        <f>"NICHOLS                  CRYSTAL                  "</f>
        <v xml:space="preserve">NICHOLS                  CRYSTAL                  </v>
      </c>
      <c r="E11106" t="str">
        <f>"TUPELO                    "</f>
        <v xml:space="preserve">TUPELO                    </v>
      </c>
      <c r="F11106" t="str">
        <f t="shared" si="300"/>
        <v>MS</v>
      </c>
    </row>
    <row r="11107" spans="1:6" x14ac:dyDescent="0.25">
      <c r="A11107" t="str">
        <f>"005373217"</f>
        <v>005373217</v>
      </c>
      <c r="B11107" t="str">
        <f>"1538118609"</f>
        <v>1538118609</v>
      </c>
      <c r="C11107" t="str">
        <f>"367500000X"</f>
        <v>367500000X</v>
      </c>
      <c r="D11107" t="str">
        <f>"MCCANN                   TYRONE                   "</f>
        <v xml:space="preserve">MCCANN                   TYRONE                   </v>
      </c>
      <c r="E11107" t="str">
        <f>"JACKSON                   "</f>
        <v xml:space="preserve">JACKSON                   </v>
      </c>
      <c r="F11107" t="str">
        <f t="shared" si="300"/>
        <v>MS</v>
      </c>
    </row>
    <row r="11108" spans="1:6" x14ac:dyDescent="0.25">
      <c r="A11108" t="str">
        <f>"005374741"</f>
        <v>005374741</v>
      </c>
      <c r="B11108" t="str">
        <f>"1295022861"</f>
        <v>1295022861</v>
      </c>
      <c r="C11108" t="str">
        <f>"207N00000X"</f>
        <v>207N00000X</v>
      </c>
      <c r="D11108" t="str">
        <f>"SAUL                     KENNETH      D           "</f>
        <v xml:space="preserve">SAUL                     KENNETH      D           </v>
      </c>
      <c r="E11108" t="str">
        <f>"MERIDIAN                  "</f>
        <v xml:space="preserve">MERIDIAN                  </v>
      </c>
      <c r="F11108" t="str">
        <f t="shared" si="300"/>
        <v>MS</v>
      </c>
    </row>
    <row r="11109" spans="1:6" x14ac:dyDescent="0.25">
      <c r="A11109" t="str">
        <f>"005375201"</f>
        <v>005375201</v>
      </c>
      <c r="B11109" t="str">
        <f>"1437210457"</f>
        <v>1437210457</v>
      </c>
      <c r="C11109" t="str">
        <f>"261QR1300X"</f>
        <v>261QR1300X</v>
      </c>
      <c r="D11109" t="str">
        <f>"FAMILY CARE MEDICAL CLINIC                        "</f>
        <v xml:space="preserve">FAMILY CARE MEDICAL CLINIC                        </v>
      </c>
      <c r="E11109" t="str">
        <f>"TUPELO                    "</f>
        <v xml:space="preserve">TUPELO                    </v>
      </c>
      <c r="F11109" t="str">
        <f t="shared" si="300"/>
        <v>MS</v>
      </c>
    </row>
    <row r="11110" spans="1:6" x14ac:dyDescent="0.25">
      <c r="A11110" t="str">
        <f>"005375374"</f>
        <v>005375374</v>
      </c>
      <c r="B11110" t="str">
        <f>"1821453648"</f>
        <v>1821453648</v>
      </c>
      <c r="C11110" t="str">
        <f>"363LP0808X"</f>
        <v>363LP0808X</v>
      </c>
      <c r="D11110" t="str">
        <f>"ALABI                    OLAMIDE      S           "</f>
        <v xml:space="preserve">ALABI                    OLAMIDE      S           </v>
      </c>
      <c r="E11110" t="str">
        <f>"TUPELO                    "</f>
        <v xml:space="preserve">TUPELO                    </v>
      </c>
      <c r="F11110" t="str">
        <f t="shared" si="300"/>
        <v>MS</v>
      </c>
    </row>
    <row r="11111" spans="1:6" x14ac:dyDescent="0.25">
      <c r="A11111" t="str">
        <f>"005375720"</f>
        <v>005375720</v>
      </c>
      <c r="B11111" t="str">
        <f>"1134752371"</f>
        <v>1134752371</v>
      </c>
      <c r="C11111" t="str">
        <f>"367500000X"</f>
        <v>367500000X</v>
      </c>
      <c r="D11111" t="str">
        <f>"SULLIVAN                 MARK                     "</f>
        <v xml:space="preserve">SULLIVAN                 MARK                     </v>
      </c>
      <c r="E11111" t="str">
        <f>"JACKSON                   "</f>
        <v xml:space="preserve">JACKSON                   </v>
      </c>
      <c r="F11111" t="str">
        <f t="shared" si="300"/>
        <v>MS</v>
      </c>
    </row>
    <row r="11112" spans="1:6" x14ac:dyDescent="0.25">
      <c r="A11112" t="str">
        <f>"005375774"</f>
        <v>005375774</v>
      </c>
      <c r="B11112" t="str">
        <f>"1447602610"</f>
        <v>1447602610</v>
      </c>
      <c r="C11112" t="str">
        <f>"261QM1300X"</f>
        <v>261QM1300X</v>
      </c>
      <c r="D11112" t="str">
        <f>"TRANSCULTURAL CARE LLC                            "</f>
        <v xml:space="preserve">TRANSCULTURAL CARE LLC                            </v>
      </c>
      <c r="E11112" t="str">
        <f>"OXFORD                    "</f>
        <v xml:space="preserve">OXFORD                    </v>
      </c>
      <c r="F11112" t="str">
        <f t="shared" si="300"/>
        <v>MS</v>
      </c>
    </row>
    <row r="11113" spans="1:6" x14ac:dyDescent="0.25">
      <c r="A11113" t="str">
        <f>"005375800"</f>
        <v>005375800</v>
      </c>
      <c r="B11113" t="str">
        <f>"1649567983"</f>
        <v>1649567983</v>
      </c>
      <c r="C11113" t="str">
        <f>"122300000X"</f>
        <v>122300000X</v>
      </c>
      <c r="D11113" t="str">
        <f>"FRANKLIN                 LAURA        N           "</f>
        <v xml:space="preserve">FRANKLIN                 LAURA        N           </v>
      </c>
      <c r="E11113" t="str">
        <f>"JACKSON                   "</f>
        <v xml:space="preserve">JACKSON                   </v>
      </c>
      <c r="F11113" t="str">
        <f t="shared" si="300"/>
        <v>MS</v>
      </c>
    </row>
    <row r="11114" spans="1:6" x14ac:dyDescent="0.25">
      <c r="A11114" t="str">
        <f>"005376221"</f>
        <v>005376221</v>
      </c>
      <c r="B11114" t="str">
        <f>"1134552078"</f>
        <v>1134552078</v>
      </c>
      <c r="C11114" t="str">
        <f>"208000000X"</f>
        <v>208000000X</v>
      </c>
      <c r="D11114" t="str">
        <f>"WINGO                    SYLVIA                   "</f>
        <v xml:space="preserve">WINGO                    SYLVIA                   </v>
      </c>
      <c r="E11114" t="str">
        <f>"MORTON                    "</f>
        <v xml:space="preserve">MORTON                    </v>
      </c>
      <c r="F11114" t="str">
        <f t="shared" si="300"/>
        <v>MS</v>
      </c>
    </row>
    <row r="11115" spans="1:6" x14ac:dyDescent="0.25">
      <c r="A11115" t="str">
        <f>"005377813"</f>
        <v>005377813</v>
      </c>
      <c r="B11115" t="str">
        <f>"1245349778"</f>
        <v>1245349778</v>
      </c>
      <c r="C11115" t="str">
        <f>"363L00000X"</f>
        <v>363L00000X</v>
      </c>
      <c r="D11115" t="str">
        <f>"TRENARY                  JUDY                     "</f>
        <v xml:space="preserve">TRENARY                  JUDY                     </v>
      </c>
      <c r="E11115" t="str">
        <f>"COLUMBUS                  "</f>
        <v xml:space="preserve">COLUMBUS                  </v>
      </c>
      <c r="F11115" t="str">
        <f t="shared" si="300"/>
        <v>MS</v>
      </c>
    </row>
    <row r="11116" spans="1:6" x14ac:dyDescent="0.25">
      <c r="A11116" t="str">
        <f>"005378324"</f>
        <v>005378324</v>
      </c>
      <c r="B11116" t="str">
        <f>"1053670166"</f>
        <v>1053670166</v>
      </c>
      <c r="C11116" t="str">
        <f>"207RC0000X"</f>
        <v>207RC0000X</v>
      </c>
      <c r="D11116" t="str">
        <f>"TASAN                    EDIZ                     "</f>
        <v xml:space="preserve">TASAN                    EDIZ                     </v>
      </c>
      <c r="E11116" t="str">
        <f>"OCEAN SPRINGS             "</f>
        <v xml:space="preserve">OCEAN SPRINGS             </v>
      </c>
      <c r="F11116" t="str">
        <f t="shared" si="300"/>
        <v>MS</v>
      </c>
    </row>
    <row r="11117" spans="1:6" x14ac:dyDescent="0.25">
      <c r="A11117" t="str">
        <f>"005378799"</f>
        <v>005378799</v>
      </c>
      <c r="B11117" t="str">
        <f>"1184687972"</f>
        <v>1184687972</v>
      </c>
      <c r="C11117" t="str">
        <f>"207R00000X"</f>
        <v>207R00000X</v>
      </c>
      <c r="D11117" t="str">
        <f>"MAYFIELD                 CORNELIUS    L           "</f>
        <v xml:space="preserve">MAYFIELD                 CORNELIUS    L           </v>
      </c>
      <c r="E11117" t="str">
        <f>"CHARLESTON                "</f>
        <v xml:space="preserve">CHARLESTON                </v>
      </c>
      <c r="F11117" t="str">
        <f t="shared" si="300"/>
        <v>MS</v>
      </c>
    </row>
    <row r="11118" spans="1:6" x14ac:dyDescent="0.25">
      <c r="A11118" t="str">
        <f>"005378825"</f>
        <v>005378825</v>
      </c>
      <c r="B11118" t="str">
        <f>"1215115845"</f>
        <v>1215115845</v>
      </c>
      <c r="C11118" t="str">
        <f>"363L00000X"</f>
        <v>363L00000X</v>
      </c>
      <c r="D11118" t="str">
        <f>"WARMATH                  GINGER       H           "</f>
        <v xml:space="preserve">WARMATH                  GINGER       H           </v>
      </c>
      <c r="E11118" t="str">
        <f>"SOUTHAVEN                 "</f>
        <v xml:space="preserve">SOUTHAVEN                 </v>
      </c>
      <c r="F11118" t="str">
        <f t="shared" si="300"/>
        <v>MS</v>
      </c>
    </row>
    <row r="11119" spans="1:6" x14ac:dyDescent="0.25">
      <c r="A11119" t="str">
        <f>"005380572"</f>
        <v>005380572</v>
      </c>
      <c r="B11119" t="str">
        <f>"1124480215"</f>
        <v>1124480215</v>
      </c>
      <c r="C11119" t="str">
        <f>"208600000X"</f>
        <v>208600000X</v>
      </c>
      <c r="D11119" t="str">
        <f>"GOOGE                    BENJAMIN     J           "</f>
        <v xml:space="preserve">GOOGE                    BENJAMIN     J           </v>
      </c>
      <c r="E11119" t="str">
        <f>"TUPELO                    "</f>
        <v xml:space="preserve">TUPELO                    </v>
      </c>
      <c r="F11119" t="str">
        <f t="shared" si="300"/>
        <v>MS</v>
      </c>
    </row>
    <row r="11120" spans="1:6" x14ac:dyDescent="0.25">
      <c r="A11120" t="str">
        <f>"005382075"</f>
        <v>005382075</v>
      </c>
      <c r="B11120" t="str">
        <f>"1174112098"</f>
        <v>1174112098</v>
      </c>
      <c r="C11120" t="str">
        <f>"363L00000X"</f>
        <v>363L00000X</v>
      </c>
      <c r="D11120" t="str">
        <f>"HINES                    GRACIE       A           "</f>
        <v xml:space="preserve">HINES                    GRACIE       A           </v>
      </c>
      <c r="E11120" t="str">
        <f>"BELZONI                   "</f>
        <v xml:space="preserve">BELZONI                   </v>
      </c>
      <c r="F11120" t="str">
        <f t="shared" si="300"/>
        <v>MS</v>
      </c>
    </row>
    <row r="11121" spans="1:6" x14ac:dyDescent="0.25">
      <c r="A11121" t="str">
        <f>"005382709"</f>
        <v>005382709</v>
      </c>
      <c r="B11121" t="str">
        <f>"1487124020"</f>
        <v>1487124020</v>
      </c>
      <c r="C11121" t="str">
        <f>"363A00000X"</f>
        <v>363A00000X</v>
      </c>
      <c r="D11121" t="str">
        <f>"MCMACKIN                 KAITLYN                  "</f>
        <v xml:space="preserve">MCMACKIN                 KAITLYN                  </v>
      </c>
      <c r="E11121" t="str">
        <f>"OCEAN SPRINGS             "</f>
        <v xml:space="preserve">OCEAN SPRINGS             </v>
      </c>
      <c r="F11121" t="str">
        <f t="shared" si="300"/>
        <v>MS</v>
      </c>
    </row>
    <row r="11122" spans="1:6" x14ac:dyDescent="0.25">
      <c r="A11122" t="str">
        <f>"005383097"</f>
        <v>005383097</v>
      </c>
      <c r="B11122" t="str">
        <f>"1841642733"</f>
        <v>1841642733</v>
      </c>
      <c r="C11122" t="str">
        <f>"363L00000X"</f>
        <v>363L00000X</v>
      </c>
      <c r="D11122" t="str">
        <f>"ANTHONY                  LISA         Y           "</f>
        <v xml:space="preserve">ANTHONY                  LISA         Y           </v>
      </c>
      <c r="E11122" t="str">
        <f>"BAY SAINT LOUIS           "</f>
        <v xml:space="preserve">BAY SAINT LOUIS           </v>
      </c>
      <c r="F11122" t="str">
        <f t="shared" si="300"/>
        <v>MS</v>
      </c>
    </row>
    <row r="11123" spans="1:6" x14ac:dyDescent="0.25">
      <c r="A11123" t="str">
        <f>"005384079"</f>
        <v>005384079</v>
      </c>
      <c r="B11123" t="str">
        <f>"1225701394"</f>
        <v>1225701394</v>
      </c>
      <c r="C11123" t="str">
        <f>"363L00000X"</f>
        <v>363L00000X</v>
      </c>
      <c r="D11123" t="str">
        <f>"FERGUSON                 JODILYN                  "</f>
        <v xml:space="preserve">FERGUSON                 JODILYN                  </v>
      </c>
      <c r="E11123" t="str">
        <f>"TUPELO                    "</f>
        <v xml:space="preserve">TUPELO                    </v>
      </c>
      <c r="F11123" t="str">
        <f t="shared" si="300"/>
        <v>MS</v>
      </c>
    </row>
    <row r="11124" spans="1:6" x14ac:dyDescent="0.25">
      <c r="A11124" t="str">
        <f>"005384293"</f>
        <v>005384293</v>
      </c>
      <c r="B11124" t="str">
        <f>"1174730519"</f>
        <v>1174730519</v>
      </c>
      <c r="C11124" t="str">
        <f>"207Q00000X"</f>
        <v>207Q00000X</v>
      </c>
      <c r="D11124" t="str">
        <f>"COOPER                   TANA         K           "</f>
        <v xml:space="preserve">COOPER                   TANA         K           </v>
      </c>
      <c r="E11124" t="str">
        <f>"BILOXI                    "</f>
        <v xml:space="preserve">BILOXI                    </v>
      </c>
      <c r="F11124" t="str">
        <f t="shared" si="300"/>
        <v>MS</v>
      </c>
    </row>
    <row r="11125" spans="1:6" x14ac:dyDescent="0.25">
      <c r="A11125" t="str">
        <f>"005384868"</f>
        <v>005384868</v>
      </c>
      <c r="B11125" t="str">
        <f>"1679748016"</f>
        <v>1679748016</v>
      </c>
      <c r="C11125" t="str">
        <f>"207RN0300X"</f>
        <v>207RN0300X</v>
      </c>
      <c r="D11125" t="str">
        <f>"WESTERVELT               JUSTIN       D           "</f>
        <v xml:space="preserve">WESTERVELT               JUSTIN       D           </v>
      </c>
      <c r="E11125" t="str">
        <f>"HATTIESBURG               "</f>
        <v xml:space="preserve">HATTIESBURG               </v>
      </c>
      <c r="F11125" t="str">
        <f t="shared" si="300"/>
        <v>MS</v>
      </c>
    </row>
    <row r="11126" spans="1:6" x14ac:dyDescent="0.25">
      <c r="A11126" t="str">
        <f>"005384872"</f>
        <v>005384872</v>
      </c>
      <c r="B11126" t="str">
        <f>"1174070684"</f>
        <v>1174070684</v>
      </c>
      <c r="C11126" t="str">
        <f>"363L00000X"</f>
        <v>363L00000X</v>
      </c>
      <c r="D11126" t="str">
        <f>"DEVAUGHN                 MALORIE      P           "</f>
        <v xml:space="preserve">DEVAUGHN                 MALORIE      P           </v>
      </c>
      <c r="E11126" t="str">
        <f>"STARKVILLE                "</f>
        <v xml:space="preserve">STARKVILLE                </v>
      </c>
      <c r="F11126" t="str">
        <f t="shared" si="300"/>
        <v>MS</v>
      </c>
    </row>
    <row r="11127" spans="1:6" x14ac:dyDescent="0.25">
      <c r="A11127" t="str">
        <f>"005385320"</f>
        <v>005385320</v>
      </c>
      <c r="B11127" t="str">
        <f>"1942792973"</f>
        <v>1942792973</v>
      </c>
      <c r="C11127" t="str">
        <f>"363L00000X"</f>
        <v>363L00000X</v>
      </c>
      <c r="D11127" t="str">
        <f>"BUCKHEISTER              HEATHER      L           "</f>
        <v xml:space="preserve">BUCKHEISTER              HEATHER      L           </v>
      </c>
      <c r="E11127" t="str">
        <f>"GULFPORT                  "</f>
        <v xml:space="preserve">GULFPORT                  </v>
      </c>
      <c r="F11127" t="str">
        <f t="shared" si="300"/>
        <v>MS</v>
      </c>
    </row>
    <row r="11128" spans="1:6" x14ac:dyDescent="0.25">
      <c r="A11128" t="str">
        <f>"005385812"</f>
        <v>005385812</v>
      </c>
      <c r="B11128" t="str">
        <f>"1427327725"</f>
        <v>1427327725</v>
      </c>
      <c r="C11128" t="str">
        <f>"122300000X"</f>
        <v>122300000X</v>
      </c>
      <c r="D11128" t="str">
        <f>"DIVINE DENTISTRY                                  "</f>
        <v xml:space="preserve">DIVINE DENTISTRY                                  </v>
      </c>
      <c r="E11128" t="str">
        <f>"GULFPORT                  "</f>
        <v xml:space="preserve">GULFPORT                  </v>
      </c>
      <c r="F11128" t="str">
        <f t="shared" si="300"/>
        <v>MS</v>
      </c>
    </row>
    <row r="11129" spans="1:6" x14ac:dyDescent="0.25">
      <c r="A11129" t="str">
        <f>"005386051"</f>
        <v>005386051</v>
      </c>
      <c r="B11129" t="str">
        <f>"1649643578"</f>
        <v>1649643578</v>
      </c>
      <c r="C11129" t="str">
        <f>"261QA0600X"</f>
        <v>261QA0600X</v>
      </c>
      <c r="D11129" t="str">
        <f>"REACHING OUR COMMUNITY ADULT DAYCAR               "</f>
        <v xml:space="preserve">REACHING OUR COMMUNITY ADULT DAYCAR               </v>
      </c>
      <c r="E11129" t="str">
        <f>"CLINTON                   "</f>
        <v xml:space="preserve">CLINTON                   </v>
      </c>
      <c r="F11129" t="str">
        <f t="shared" si="300"/>
        <v>MS</v>
      </c>
    </row>
    <row r="11130" spans="1:6" x14ac:dyDescent="0.25">
      <c r="A11130" t="str">
        <f>"005387807"</f>
        <v>005387807</v>
      </c>
      <c r="B11130" t="str">
        <f>"1114127222"</f>
        <v>1114127222</v>
      </c>
      <c r="C11130" t="str">
        <f>"207V00000X"</f>
        <v>207V00000X</v>
      </c>
      <c r="D11130" t="str">
        <f>"MEREDITH                 COURTNEY     E           "</f>
        <v xml:space="preserve">MEREDITH                 COURTNEY     E           </v>
      </c>
      <c r="E11130" t="str">
        <f>"BILOXI                    "</f>
        <v xml:space="preserve">BILOXI                    </v>
      </c>
      <c r="F11130" t="str">
        <f t="shared" si="300"/>
        <v>MS</v>
      </c>
    </row>
    <row r="11131" spans="1:6" x14ac:dyDescent="0.25">
      <c r="A11131" t="str">
        <f>"005388027"</f>
        <v>005388027</v>
      </c>
      <c r="B11131" t="str">
        <f>"1861622268"</f>
        <v>1861622268</v>
      </c>
      <c r="C11131" t="str">
        <f>"261QR1300X"</f>
        <v>261QR1300X</v>
      </c>
      <c r="D11131" t="str">
        <f>"RIVER REGION RURAL HEALTH -SC                     "</f>
        <v xml:space="preserve">RIVER REGION RURAL HEALTH -SC                     </v>
      </c>
      <c r="E11131" t="str">
        <f>"VICKSBURG                 "</f>
        <v xml:space="preserve">VICKSBURG                 </v>
      </c>
      <c r="F11131" t="str">
        <f t="shared" si="300"/>
        <v>MS</v>
      </c>
    </row>
    <row r="11132" spans="1:6" x14ac:dyDescent="0.25">
      <c r="A11132" t="str">
        <f>"005389300"</f>
        <v>005389300</v>
      </c>
      <c r="B11132" t="str">
        <f>"1861677742"</f>
        <v>1861677742</v>
      </c>
      <c r="C11132" t="str">
        <f>"367500000X"</f>
        <v>367500000X</v>
      </c>
      <c r="D11132" t="str">
        <f>"SHOWS                    ROBYN        M           "</f>
        <v xml:space="preserve">SHOWS                    ROBYN        M           </v>
      </c>
      <c r="E11132" t="str">
        <f>"JACKSON                   "</f>
        <v xml:space="preserve">JACKSON                   </v>
      </c>
      <c r="F11132" t="str">
        <f t="shared" si="300"/>
        <v>MS</v>
      </c>
    </row>
    <row r="11133" spans="1:6" x14ac:dyDescent="0.25">
      <c r="A11133" t="str">
        <f>"005401010"</f>
        <v>005401010</v>
      </c>
      <c r="B11133" t="str">
        <f>"1558910851"</f>
        <v>1558910851</v>
      </c>
      <c r="C11133" t="str">
        <f>"363L00000X"</f>
        <v>363L00000X</v>
      </c>
      <c r="D11133" t="str">
        <f>"DAVIDSON                 SABRINA      D           "</f>
        <v xml:space="preserve">DAVIDSON                 SABRINA      D           </v>
      </c>
      <c r="E11133" t="str">
        <f>"OXFORD                    "</f>
        <v xml:space="preserve">OXFORD                    </v>
      </c>
      <c r="F11133" t="str">
        <f t="shared" si="300"/>
        <v>MS</v>
      </c>
    </row>
    <row r="11134" spans="1:6" x14ac:dyDescent="0.25">
      <c r="A11134" t="str">
        <f>"005401590"</f>
        <v>005401590</v>
      </c>
      <c r="B11134" t="str">
        <f>"1023319936"</f>
        <v>1023319936</v>
      </c>
      <c r="C11134" t="str">
        <f>"363L00000X"</f>
        <v>363L00000X</v>
      </c>
      <c r="D11134" t="str">
        <f>"KNIGHT                   KISHA        L           "</f>
        <v xml:space="preserve">KNIGHT                   KISHA        L           </v>
      </c>
      <c r="E11134" t="str">
        <f>"HATTIESBURG               "</f>
        <v xml:space="preserve">HATTIESBURG               </v>
      </c>
      <c r="F11134" t="str">
        <f t="shared" ref="F11134:F11197" si="301">"MS"</f>
        <v>MS</v>
      </c>
    </row>
    <row r="11135" spans="1:6" x14ac:dyDescent="0.25">
      <c r="A11135" t="str">
        <f>"005402723"</f>
        <v>005402723</v>
      </c>
      <c r="B11135" t="str">
        <f>"1487708756"</f>
        <v>1487708756</v>
      </c>
      <c r="C11135" t="str">
        <f>"367500000X"</f>
        <v>367500000X</v>
      </c>
      <c r="D11135" t="str">
        <f>"HUFF                     RICHARD      F           "</f>
        <v xml:space="preserve">HUFF                     RICHARD      F           </v>
      </c>
      <c r="E11135" t="str">
        <f>"GULFPORT                  "</f>
        <v xml:space="preserve">GULFPORT                  </v>
      </c>
      <c r="F11135" t="str">
        <f t="shared" si="301"/>
        <v>MS</v>
      </c>
    </row>
    <row r="11136" spans="1:6" x14ac:dyDescent="0.25">
      <c r="A11136" t="str">
        <f>"005402860"</f>
        <v>005402860</v>
      </c>
      <c r="B11136" t="str">
        <f>"1568836815"</f>
        <v>1568836815</v>
      </c>
      <c r="C11136" t="str">
        <f>"363L00000X"</f>
        <v>363L00000X</v>
      </c>
      <c r="D11136" t="str">
        <f>"DAVIS                    SHELBY       P           "</f>
        <v xml:space="preserve">DAVIS                    SHELBY       P           </v>
      </c>
      <c r="E11136" t="str">
        <f>"RICHLAND                  "</f>
        <v xml:space="preserve">RICHLAND                  </v>
      </c>
      <c r="F11136" t="str">
        <f t="shared" si="301"/>
        <v>MS</v>
      </c>
    </row>
    <row r="11137" spans="1:6" x14ac:dyDescent="0.25">
      <c r="A11137" t="str">
        <f>"005403332"</f>
        <v>005403332</v>
      </c>
      <c r="B11137" t="str">
        <f>"1457811663"</f>
        <v>1457811663</v>
      </c>
      <c r="C11137" t="str">
        <f>"207Q00000X"</f>
        <v>207Q00000X</v>
      </c>
      <c r="D11137" t="str">
        <f>"BRISSON                  MICHAEL      P           "</f>
        <v xml:space="preserve">BRISSON                  MICHAEL      P           </v>
      </c>
      <c r="E11137" t="str">
        <f>"WAYNESBORO                "</f>
        <v xml:space="preserve">WAYNESBORO                </v>
      </c>
      <c r="F11137" t="str">
        <f t="shared" si="301"/>
        <v>MS</v>
      </c>
    </row>
    <row r="11138" spans="1:6" x14ac:dyDescent="0.25">
      <c r="A11138" t="str">
        <f>"005403741"</f>
        <v>005403741</v>
      </c>
      <c r="B11138" t="str">
        <f>"1750696498"</f>
        <v>1750696498</v>
      </c>
      <c r="C11138" t="str">
        <f>"363L00000X"</f>
        <v>363L00000X</v>
      </c>
      <c r="D11138" t="str">
        <f>"READY                    MISTI        L           "</f>
        <v xml:space="preserve">READY                    MISTI        L           </v>
      </c>
      <c r="E11138" t="str">
        <f>"FLOWOOD                   "</f>
        <v xml:space="preserve">FLOWOOD                   </v>
      </c>
      <c r="F11138" t="str">
        <f t="shared" si="301"/>
        <v>MS</v>
      </c>
    </row>
    <row r="11139" spans="1:6" x14ac:dyDescent="0.25">
      <c r="A11139" t="str">
        <f>"005404571"</f>
        <v>005404571</v>
      </c>
      <c r="B11139" t="str">
        <f>"1124419031"</f>
        <v>1124419031</v>
      </c>
      <c r="C11139" t="str">
        <f>"363L00000X"</f>
        <v>363L00000X</v>
      </c>
      <c r="D11139" t="str">
        <f>"WALKER                   AMY                      "</f>
        <v xml:space="preserve">WALKER                   AMY                      </v>
      </c>
      <c r="E11139" t="str">
        <f>"GULFPORT                  "</f>
        <v xml:space="preserve">GULFPORT                  </v>
      </c>
      <c r="F11139" t="str">
        <f t="shared" si="301"/>
        <v>MS</v>
      </c>
    </row>
    <row r="11140" spans="1:6" x14ac:dyDescent="0.25">
      <c r="A11140" t="str">
        <f>"005404716"</f>
        <v>005404716</v>
      </c>
      <c r="B11140" t="str">
        <f>"1174879720"</f>
        <v>1174879720</v>
      </c>
      <c r="C11140" t="str">
        <f>"363L00000X"</f>
        <v>363L00000X</v>
      </c>
      <c r="D11140" t="str">
        <f>"VANLANDINGHAM            ANSLEY       T           "</f>
        <v xml:space="preserve">VANLANDINGHAM            ANSLEY       T           </v>
      </c>
      <c r="E11140" t="str">
        <f>"CLEVELAND                 "</f>
        <v xml:space="preserve">CLEVELAND                 </v>
      </c>
      <c r="F11140" t="str">
        <f t="shared" si="301"/>
        <v>MS</v>
      </c>
    </row>
    <row r="11141" spans="1:6" x14ac:dyDescent="0.25">
      <c r="A11141" t="str">
        <f>"005406731"</f>
        <v>005406731</v>
      </c>
      <c r="B11141" t="str">
        <f>"1467681924"</f>
        <v>1467681924</v>
      </c>
      <c r="C11141" t="str">
        <f>"2085R0202X"</f>
        <v>2085R0202X</v>
      </c>
      <c r="D11141" t="str">
        <f>"CHAUDRY                  JOSEPH       R           "</f>
        <v xml:space="preserve">CHAUDRY                  JOSEPH       R           </v>
      </c>
      <c r="E11141" t="str">
        <f>"JACKSON                   "</f>
        <v xml:space="preserve">JACKSON                   </v>
      </c>
      <c r="F11141" t="str">
        <f t="shared" si="301"/>
        <v>MS</v>
      </c>
    </row>
    <row r="11142" spans="1:6" x14ac:dyDescent="0.25">
      <c r="A11142" t="str">
        <f>"005407034"</f>
        <v>005407034</v>
      </c>
      <c r="B11142" t="str">
        <f>"1073840021"</f>
        <v>1073840021</v>
      </c>
      <c r="C11142" t="str">
        <f>"363LP0808X"</f>
        <v>363LP0808X</v>
      </c>
      <c r="D11142" t="str">
        <f>"WRIGHT                   ALANNA       J           "</f>
        <v xml:space="preserve">WRIGHT                   ALANNA       J           </v>
      </c>
      <c r="E11142" t="str">
        <f>"JACKSON                   "</f>
        <v xml:space="preserve">JACKSON                   </v>
      </c>
      <c r="F11142" t="str">
        <f t="shared" si="301"/>
        <v>MS</v>
      </c>
    </row>
    <row r="11143" spans="1:6" x14ac:dyDescent="0.25">
      <c r="A11143" t="str">
        <f>"005408094"</f>
        <v>005408094</v>
      </c>
      <c r="B11143" t="str">
        <f>"1487755617"</f>
        <v>1487755617</v>
      </c>
      <c r="C11143" t="str">
        <f>"207Q00000X"</f>
        <v>207Q00000X</v>
      </c>
      <c r="D11143" t="str">
        <f>"HATHORN                  LANDALL      C           "</f>
        <v xml:space="preserve">HATHORN                  LANDALL      C           </v>
      </c>
      <c r="E11143" t="str">
        <f>"FLOWOOD                   "</f>
        <v xml:space="preserve">FLOWOOD                   </v>
      </c>
      <c r="F11143" t="str">
        <f t="shared" si="301"/>
        <v>MS</v>
      </c>
    </row>
    <row r="11144" spans="1:6" x14ac:dyDescent="0.25">
      <c r="A11144" t="str">
        <f>"005409863"</f>
        <v>005409863</v>
      </c>
      <c r="B11144" t="str">
        <f>"1831787662"</f>
        <v>1831787662</v>
      </c>
      <c r="C11144" t="str">
        <f>"363L00000X"</f>
        <v>363L00000X</v>
      </c>
      <c r="D11144" t="str">
        <f>"EVERETT                  CAROLINE     C           "</f>
        <v xml:space="preserve">EVERETT                  CAROLINE     C           </v>
      </c>
      <c r="E11144" t="str">
        <f>"MERIDIAN                  "</f>
        <v xml:space="preserve">MERIDIAN                  </v>
      </c>
      <c r="F11144" t="str">
        <f t="shared" si="301"/>
        <v>MS</v>
      </c>
    </row>
    <row r="11145" spans="1:6" x14ac:dyDescent="0.25">
      <c r="A11145" t="str">
        <f>"005420861"</f>
        <v>005420861</v>
      </c>
      <c r="B11145" t="str">
        <f>"1285082925"</f>
        <v>1285082925</v>
      </c>
      <c r="C11145" t="str">
        <f>"363L00000X"</f>
        <v>363L00000X</v>
      </c>
      <c r="D11145" t="str">
        <f>"GILLIS                   MARY         A           "</f>
        <v xml:space="preserve">GILLIS                   MARY         A           </v>
      </c>
      <c r="E11145" t="str">
        <f>"COLUMBUS                  "</f>
        <v xml:space="preserve">COLUMBUS                  </v>
      </c>
      <c r="F11145" t="str">
        <f t="shared" si="301"/>
        <v>MS</v>
      </c>
    </row>
    <row r="11146" spans="1:6" x14ac:dyDescent="0.25">
      <c r="A11146" t="str">
        <f>"005421592"</f>
        <v>005421592</v>
      </c>
      <c r="B11146" t="str">
        <f>"1053725044"</f>
        <v>1053725044</v>
      </c>
      <c r="C11146" t="str">
        <f>"2084N0400X"</f>
        <v>2084N0400X</v>
      </c>
      <c r="D11146" t="str">
        <f>"GOLTZ                    DAVIDA                   "</f>
        <v xml:space="preserve">GOLTZ                    DAVIDA                   </v>
      </c>
      <c r="E11146" t="str">
        <f>"SOUTHAVEN                 "</f>
        <v xml:space="preserve">SOUTHAVEN                 </v>
      </c>
      <c r="F11146" t="str">
        <f t="shared" si="301"/>
        <v>MS</v>
      </c>
    </row>
    <row r="11147" spans="1:6" x14ac:dyDescent="0.25">
      <c r="A11147" t="str">
        <f>"005423741"</f>
        <v>005423741</v>
      </c>
      <c r="B11147" t="str">
        <f>"1114339082"</f>
        <v>1114339082</v>
      </c>
      <c r="C11147" t="str">
        <f>"207R00000X"</f>
        <v>207R00000X</v>
      </c>
      <c r="D11147" t="str">
        <f>"MCDUFFEY                 DENISE       L           "</f>
        <v xml:space="preserve">MCDUFFEY                 DENISE       L           </v>
      </c>
      <c r="E11147" t="str">
        <f>"JACKSON                   "</f>
        <v xml:space="preserve">JACKSON                   </v>
      </c>
      <c r="F11147" t="str">
        <f t="shared" si="301"/>
        <v>MS</v>
      </c>
    </row>
    <row r="11148" spans="1:6" x14ac:dyDescent="0.25">
      <c r="A11148" t="str">
        <f>"005425345"</f>
        <v>005425345</v>
      </c>
      <c r="B11148" t="str">
        <f>"1336605526"</f>
        <v>1336605526</v>
      </c>
      <c r="C11148" t="str">
        <f>"363L00000X"</f>
        <v>363L00000X</v>
      </c>
      <c r="D11148" t="str">
        <f>"LEMLY                    AMY                      "</f>
        <v xml:space="preserve">LEMLY                    AMY                      </v>
      </c>
      <c r="E11148" t="str">
        <f>"JACKSON                   "</f>
        <v xml:space="preserve">JACKSON                   </v>
      </c>
      <c r="F11148" t="str">
        <f t="shared" si="301"/>
        <v>MS</v>
      </c>
    </row>
    <row r="11149" spans="1:6" x14ac:dyDescent="0.25">
      <c r="A11149" t="str">
        <f>"005425581"</f>
        <v>005425581</v>
      </c>
      <c r="B11149" t="str">
        <f>"1083386643"</f>
        <v>1083386643</v>
      </c>
      <c r="C11149" t="str">
        <f>"363L00000X"</f>
        <v>363L00000X</v>
      </c>
      <c r="D11149" t="str">
        <f>"FOREMAN                  TRACEY       M           "</f>
        <v xml:space="preserve">FOREMAN                  TRACEY       M           </v>
      </c>
      <c r="E11149" t="str">
        <f>"ECRU                      "</f>
        <v xml:space="preserve">ECRU                      </v>
      </c>
      <c r="F11149" t="str">
        <f t="shared" si="301"/>
        <v>MS</v>
      </c>
    </row>
    <row r="11150" spans="1:6" x14ac:dyDescent="0.25">
      <c r="A11150" t="str">
        <f>"005426707"</f>
        <v>005426707</v>
      </c>
      <c r="B11150" t="str">
        <f>"1194810408"</f>
        <v>1194810408</v>
      </c>
      <c r="C11150" t="str">
        <f>"2084N0400X"</f>
        <v>2084N0400X</v>
      </c>
      <c r="D11150" t="str">
        <f>"KARCHER                  CHRISTOPHER  P           "</f>
        <v xml:space="preserve">KARCHER                  CHRISTOPHER  P           </v>
      </c>
      <c r="E11150" t="str">
        <f>"OCEAN SPRINGS             "</f>
        <v xml:space="preserve">OCEAN SPRINGS             </v>
      </c>
      <c r="F11150" t="str">
        <f t="shared" si="301"/>
        <v>MS</v>
      </c>
    </row>
    <row r="11151" spans="1:6" x14ac:dyDescent="0.25">
      <c r="A11151" t="str">
        <f>"005427361"</f>
        <v>005427361</v>
      </c>
      <c r="B11151" t="str">
        <f>"1407296775"</f>
        <v>1407296775</v>
      </c>
      <c r="C11151" t="str">
        <f>"207Q00000X"</f>
        <v>207Q00000X</v>
      </c>
      <c r="D11151" t="str">
        <f>"JACKSON                  DARRIN       J           "</f>
        <v xml:space="preserve">JACKSON                  DARRIN       J           </v>
      </c>
      <c r="E11151" t="str">
        <f>"HAZLEHURST                "</f>
        <v xml:space="preserve">HAZLEHURST                </v>
      </c>
      <c r="F11151" t="str">
        <f t="shared" si="301"/>
        <v>MS</v>
      </c>
    </row>
    <row r="11152" spans="1:6" x14ac:dyDescent="0.25">
      <c r="A11152" t="str">
        <f>"005427755"</f>
        <v>005427755</v>
      </c>
      <c r="B11152" t="str">
        <f>"1235596107"</f>
        <v>1235596107</v>
      </c>
      <c r="C11152" t="str">
        <f>"208000000X"</f>
        <v>208000000X</v>
      </c>
      <c r="D11152" t="str">
        <f>"MEYER                    KATIE        M           "</f>
        <v xml:space="preserve">MEYER                    KATIE        M           </v>
      </c>
      <c r="E11152" t="str">
        <f>"TUPELO                    "</f>
        <v xml:space="preserve">TUPELO                    </v>
      </c>
      <c r="F11152" t="str">
        <f t="shared" si="301"/>
        <v>MS</v>
      </c>
    </row>
    <row r="11153" spans="1:6" x14ac:dyDescent="0.25">
      <c r="A11153" t="str">
        <f>"005428067"</f>
        <v>005428067</v>
      </c>
      <c r="B11153" t="str">
        <f>"1265513055"</f>
        <v>1265513055</v>
      </c>
      <c r="C11153" t="str">
        <f>"363L00000X"</f>
        <v>363L00000X</v>
      </c>
      <c r="D11153" t="str">
        <f>"HARRELL                  GAYLE        P           "</f>
        <v xml:space="preserve">HARRELL                  GAYLE        P           </v>
      </c>
      <c r="E11153" t="str">
        <f>"MORTON                    "</f>
        <v xml:space="preserve">MORTON                    </v>
      </c>
      <c r="F11153" t="str">
        <f t="shared" si="301"/>
        <v>MS</v>
      </c>
    </row>
    <row r="11154" spans="1:6" x14ac:dyDescent="0.25">
      <c r="A11154" t="str">
        <f>"005429351"</f>
        <v>005429351</v>
      </c>
      <c r="B11154" t="str">
        <f>"1194475558"</f>
        <v>1194475558</v>
      </c>
      <c r="C11154" t="str">
        <f>"207R00000X"</f>
        <v>207R00000X</v>
      </c>
      <c r="D11154" t="str">
        <f>"MCMULLAN                 MATTHEW      R           "</f>
        <v xml:space="preserve">MCMULLAN                 MATTHEW      R           </v>
      </c>
      <c r="E11154" t="str">
        <f>"JACKSON                   "</f>
        <v xml:space="preserve">JACKSON                   </v>
      </c>
      <c r="F11154" t="str">
        <f t="shared" si="301"/>
        <v>MS</v>
      </c>
    </row>
    <row r="11155" spans="1:6" x14ac:dyDescent="0.25">
      <c r="A11155" t="str">
        <f>"005430371"</f>
        <v>005430371</v>
      </c>
      <c r="B11155" t="str">
        <f>"1235698887"</f>
        <v>1235698887</v>
      </c>
      <c r="C11155" t="str">
        <f>"122300000X"</f>
        <v>122300000X</v>
      </c>
      <c r="D11155" t="str">
        <f>"DANIEL B. STORY II DMD                            "</f>
        <v xml:space="preserve">DANIEL B. STORY II DMD                            </v>
      </c>
      <c r="E11155" t="str">
        <f>"BELZONI                   "</f>
        <v xml:space="preserve">BELZONI                   </v>
      </c>
      <c r="F11155" t="str">
        <f t="shared" si="301"/>
        <v>MS</v>
      </c>
    </row>
    <row r="11156" spans="1:6" x14ac:dyDescent="0.25">
      <c r="A11156" t="str">
        <f>"005431016"</f>
        <v>005431016</v>
      </c>
      <c r="B11156" t="str">
        <f>"1043960529"</f>
        <v>1043960529</v>
      </c>
      <c r="C11156" t="str">
        <f>"208000000X"</f>
        <v>208000000X</v>
      </c>
      <c r="D11156" t="str">
        <f>"JOHNS                    COLLEEN      E           "</f>
        <v xml:space="preserve">JOHNS                    COLLEEN      E           </v>
      </c>
      <c r="E11156" t="str">
        <f>"JACKSON                   "</f>
        <v xml:space="preserve">JACKSON                   </v>
      </c>
      <c r="F11156" t="str">
        <f t="shared" si="301"/>
        <v>MS</v>
      </c>
    </row>
    <row r="11157" spans="1:6" x14ac:dyDescent="0.25">
      <c r="A11157" t="str">
        <f>"005431201"</f>
        <v>005431201</v>
      </c>
      <c r="B11157" t="str">
        <f>"1568093912"</f>
        <v>1568093912</v>
      </c>
      <c r="C11157" t="str">
        <f>"261QM1300X"</f>
        <v>261QM1300X</v>
      </c>
      <c r="D11157" t="str">
        <f>"IRBY PSYCHOLOGICAL SERVICES LLC                   "</f>
        <v xml:space="preserve">IRBY PSYCHOLOGICAL SERVICES LLC                   </v>
      </c>
      <c r="E11157" t="str">
        <f>"SOUTHAVEN                 "</f>
        <v xml:space="preserve">SOUTHAVEN                 </v>
      </c>
      <c r="F11157" t="str">
        <f t="shared" si="301"/>
        <v>MS</v>
      </c>
    </row>
    <row r="11158" spans="1:6" x14ac:dyDescent="0.25">
      <c r="A11158" t="str">
        <f>"005431572"</f>
        <v>005431572</v>
      </c>
      <c r="B11158" t="str">
        <f>"1073934576"</f>
        <v>1073934576</v>
      </c>
      <c r="C11158" t="str">
        <f>"363L00000X"</f>
        <v>363L00000X</v>
      </c>
      <c r="D11158" t="str">
        <f>"BECKHAM                  HANNAH       E           "</f>
        <v xml:space="preserve">BECKHAM                  HANNAH       E           </v>
      </c>
      <c r="E11158" t="str">
        <f>"CORINTH                   "</f>
        <v xml:space="preserve">CORINTH                   </v>
      </c>
      <c r="F11158" t="str">
        <f t="shared" si="301"/>
        <v>MS</v>
      </c>
    </row>
    <row r="11159" spans="1:6" x14ac:dyDescent="0.25">
      <c r="A11159" t="str">
        <f>"005431595"</f>
        <v>005431595</v>
      </c>
      <c r="B11159" t="str">
        <f>"1255360186"</f>
        <v>1255360186</v>
      </c>
      <c r="C11159" t="str">
        <f>"207X00000X"</f>
        <v>207X00000X</v>
      </c>
      <c r="D11159" t="str">
        <f>"CHAROGLU                 CONSTANTINE  P           "</f>
        <v xml:space="preserve">CHAROGLU                 CONSTANTINE  P           </v>
      </c>
      <c r="E11159" t="str">
        <f>"HATTIESBURG               "</f>
        <v xml:space="preserve">HATTIESBURG               </v>
      </c>
      <c r="F11159" t="str">
        <f t="shared" si="301"/>
        <v>MS</v>
      </c>
    </row>
    <row r="11160" spans="1:6" x14ac:dyDescent="0.25">
      <c r="A11160" t="str">
        <f>"005431879"</f>
        <v>005431879</v>
      </c>
      <c r="B11160" t="str">
        <f>"1396496253"</f>
        <v>1396496253</v>
      </c>
      <c r="C11160" t="str">
        <f>"363L00000X"</f>
        <v>363L00000X</v>
      </c>
      <c r="D11160" t="str">
        <f>"MCDAY                    KAREN        E           "</f>
        <v xml:space="preserve">MCDAY                    KAREN        E           </v>
      </c>
      <c r="E11160" t="str">
        <f>"PICAYUNE                  "</f>
        <v xml:space="preserve">PICAYUNE                  </v>
      </c>
      <c r="F11160" t="str">
        <f t="shared" si="301"/>
        <v>MS</v>
      </c>
    </row>
    <row r="11161" spans="1:6" x14ac:dyDescent="0.25">
      <c r="A11161" t="str">
        <f>"005434201"</f>
        <v>005434201</v>
      </c>
      <c r="B11161" t="str">
        <f>"1861929655"</f>
        <v>1861929655</v>
      </c>
      <c r="C11161" t="str">
        <f>"363A00000X"</f>
        <v>363A00000X</v>
      </c>
      <c r="D11161" t="str">
        <f>"BAILEY                   JOHN MARC                "</f>
        <v xml:space="preserve">BAILEY                   JOHN MARC                </v>
      </c>
      <c r="E11161" t="str">
        <f>"BILOXI                    "</f>
        <v xml:space="preserve">BILOXI                    </v>
      </c>
      <c r="F11161" t="str">
        <f t="shared" si="301"/>
        <v>MS</v>
      </c>
    </row>
    <row r="11162" spans="1:6" x14ac:dyDescent="0.25">
      <c r="A11162" t="str">
        <f>"005434893"</f>
        <v>005434893</v>
      </c>
      <c r="B11162" t="str">
        <f>"1245567775"</f>
        <v>1245567775</v>
      </c>
      <c r="C11162" t="str">
        <f>"363A00000X"</f>
        <v>363A00000X</v>
      </c>
      <c r="D11162" t="str">
        <f>"STAFFORD                 KASSIE       L           "</f>
        <v xml:space="preserve">STAFFORD                 KASSIE       L           </v>
      </c>
      <c r="E11162" t="str">
        <f>"GULFPORT                  "</f>
        <v xml:space="preserve">GULFPORT                  </v>
      </c>
      <c r="F11162" t="str">
        <f t="shared" si="301"/>
        <v>MS</v>
      </c>
    </row>
    <row r="11163" spans="1:6" x14ac:dyDescent="0.25">
      <c r="A11163" t="str">
        <f>"005435222"</f>
        <v>005435222</v>
      </c>
      <c r="B11163" t="str">
        <f>"1710008651"</f>
        <v>1710008651</v>
      </c>
      <c r="C11163" t="str">
        <f>"207RP1001X"</f>
        <v>207RP1001X</v>
      </c>
      <c r="D11163" t="str">
        <f>"WOOD                     TOMMY        A           "</f>
        <v xml:space="preserve">WOOD                     TOMMY        A           </v>
      </c>
      <c r="E11163" t="str">
        <f>"STARKVILLE                "</f>
        <v xml:space="preserve">STARKVILLE                </v>
      </c>
      <c r="F11163" t="str">
        <f t="shared" si="301"/>
        <v>MS</v>
      </c>
    </row>
    <row r="11164" spans="1:6" x14ac:dyDescent="0.25">
      <c r="A11164" t="str">
        <f>"005435530"</f>
        <v>005435530</v>
      </c>
      <c r="B11164" t="str">
        <f>"1144614165"</f>
        <v>1144614165</v>
      </c>
      <c r="C11164" t="str">
        <f>"363L00000X"</f>
        <v>363L00000X</v>
      </c>
      <c r="D11164" t="str">
        <f>"JACKSON                  RANDALL      E           "</f>
        <v xml:space="preserve">JACKSON                  RANDALL      E           </v>
      </c>
      <c r="E11164" t="str">
        <f>"MCCOMB                    "</f>
        <v xml:space="preserve">MCCOMB                    </v>
      </c>
      <c r="F11164" t="str">
        <f t="shared" si="301"/>
        <v>MS</v>
      </c>
    </row>
    <row r="11165" spans="1:6" x14ac:dyDescent="0.25">
      <c r="A11165" t="str">
        <f>"005436231"</f>
        <v>005436231</v>
      </c>
      <c r="B11165" t="str">
        <f>"1205910718"</f>
        <v>1205910718</v>
      </c>
      <c r="C11165" t="str">
        <f>"363L00000X"</f>
        <v>363L00000X</v>
      </c>
      <c r="D11165" t="str">
        <f>"RUSHING                  KAPPI        F           "</f>
        <v xml:space="preserve">RUSHING                  KAPPI        F           </v>
      </c>
      <c r="E11165" t="str">
        <f>"MCCOMB                    "</f>
        <v xml:space="preserve">MCCOMB                    </v>
      </c>
      <c r="F11165" t="str">
        <f t="shared" si="301"/>
        <v>MS</v>
      </c>
    </row>
    <row r="11166" spans="1:6" x14ac:dyDescent="0.25">
      <c r="A11166" t="str">
        <f>"005438039"</f>
        <v>005438039</v>
      </c>
      <c r="B11166" t="str">
        <f>"1689803603"</f>
        <v>1689803603</v>
      </c>
      <c r="C11166" t="str">
        <f>"208600000X"</f>
        <v>208600000X</v>
      </c>
      <c r="D11166" t="str">
        <f>"MAPLES                   NATHAN       D           "</f>
        <v xml:space="preserve">MAPLES                   NATHAN       D           </v>
      </c>
      <c r="E11166" t="str">
        <f>"JACKSON                   "</f>
        <v xml:space="preserve">JACKSON                   </v>
      </c>
      <c r="F11166" t="str">
        <f t="shared" si="301"/>
        <v>MS</v>
      </c>
    </row>
    <row r="11167" spans="1:6" x14ac:dyDescent="0.25">
      <c r="A11167" t="str">
        <f>"005438580"</f>
        <v>005438580</v>
      </c>
      <c r="B11167" t="str">
        <f>"1902926488"</f>
        <v>1902926488</v>
      </c>
      <c r="C11167" t="str">
        <f>"363L00000X"</f>
        <v>363L00000X</v>
      </c>
      <c r="D11167" t="str">
        <f>"THOMPSON                 PATRICIA     A           "</f>
        <v xml:space="preserve">THOMPSON                 PATRICIA     A           </v>
      </c>
      <c r="E11167" t="str">
        <f>"LUMBERTON                 "</f>
        <v xml:space="preserve">LUMBERTON                 </v>
      </c>
      <c r="F11167" t="str">
        <f t="shared" si="301"/>
        <v>MS</v>
      </c>
    </row>
    <row r="11168" spans="1:6" x14ac:dyDescent="0.25">
      <c r="A11168" t="str">
        <f>"005438767"</f>
        <v>005438767</v>
      </c>
      <c r="B11168" t="str">
        <f>"1346337920"</f>
        <v>1346337920</v>
      </c>
      <c r="C11168" t="str">
        <f>"363L00000X"</f>
        <v>363L00000X</v>
      </c>
      <c r="D11168" t="str">
        <f>"HARRINGTON               CYNTHIA                  "</f>
        <v xml:space="preserve">HARRINGTON               CYNTHIA                  </v>
      </c>
      <c r="E11168" t="str">
        <f>"MERIDIAN                  "</f>
        <v xml:space="preserve">MERIDIAN                  </v>
      </c>
      <c r="F11168" t="str">
        <f t="shared" si="301"/>
        <v>MS</v>
      </c>
    </row>
    <row r="11169" spans="1:6" x14ac:dyDescent="0.25">
      <c r="A11169" t="str">
        <f>"005439871"</f>
        <v>005439871</v>
      </c>
      <c r="B11169" t="str">
        <f>"1831512540"</f>
        <v>1831512540</v>
      </c>
      <c r="C11169" t="str">
        <f>"363L00000X"</f>
        <v>363L00000X</v>
      </c>
      <c r="D11169" t="str">
        <f>"MCDANIEL                 SAVANNAH     C           "</f>
        <v xml:space="preserve">MCDANIEL                 SAVANNAH     C           </v>
      </c>
      <c r="E11169" t="str">
        <f>"OCEAN SPRINGS             "</f>
        <v xml:space="preserve">OCEAN SPRINGS             </v>
      </c>
      <c r="F11169" t="str">
        <f t="shared" si="301"/>
        <v>MS</v>
      </c>
    </row>
    <row r="11170" spans="1:6" x14ac:dyDescent="0.25">
      <c r="A11170" t="str">
        <f>"005439877"</f>
        <v>005439877</v>
      </c>
      <c r="B11170" t="str">
        <f>"1730387655"</f>
        <v>1730387655</v>
      </c>
      <c r="C11170" t="str">
        <f>"122300000X"</f>
        <v>122300000X</v>
      </c>
      <c r="D11170" t="str">
        <f>"CASEY                    LEE          D           "</f>
        <v xml:space="preserve">CASEY                    LEE          D           </v>
      </c>
      <c r="E11170" t="str">
        <f>"LIBERTY                   "</f>
        <v xml:space="preserve">LIBERTY                   </v>
      </c>
      <c r="F11170" t="str">
        <f t="shared" si="301"/>
        <v>MS</v>
      </c>
    </row>
    <row r="11171" spans="1:6" x14ac:dyDescent="0.25">
      <c r="A11171" t="str">
        <f>"005450256"</f>
        <v>005450256</v>
      </c>
      <c r="B11171" t="str">
        <f>"1184129306"</f>
        <v>1184129306</v>
      </c>
      <c r="C11171" t="str">
        <f>"363L00000X"</f>
        <v>363L00000X</v>
      </c>
      <c r="D11171" t="str">
        <f>"COLLINS                  TAMMARIN                 "</f>
        <v xml:space="preserve">COLLINS                  TAMMARIN                 </v>
      </c>
      <c r="E11171" t="str">
        <f>"SHAW                      "</f>
        <v xml:space="preserve">SHAW                      </v>
      </c>
      <c r="F11171" t="str">
        <f t="shared" si="301"/>
        <v>MS</v>
      </c>
    </row>
    <row r="11172" spans="1:6" x14ac:dyDescent="0.25">
      <c r="A11172" t="str">
        <f>"005450270"</f>
        <v>005450270</v>
      </c>
      <c r="B11172" t="str">
        <f>"1780068056"</f>
        <v>1780068056</v>
      </c>
      <c r="C11172" t="str">
        <f>"363L00000X"</f>
        <v>363L00000X</v>
      </c>
      <c r="D11172" t="str">
        <f>"KELLEY                   AMELIA       M           "</f>
        <v xml:space="preserve">KELLEY                   AMELIA       M           </v>
      </c>
      <c r="E11172" t="str">
        <f>"MERIDIAN                  "</f>
        <v xml:space="preserve">MERIDIAN                  </v>
      </c>
      <c r="F11172" t="str">
        <f t="shared" si="301"/>
        <v>MS</v>
      </c>
    </row>
    <row r="11173" spans="1:6" x14ac:dyDescent="0.25">
      <c r="A11173" t="str">
        <f>"005451560"</f>
        <v>005451560</v>
      </c>
      <c r="B11173" t="str">
        <f>"1619007440"</f>
        <v>1619007440</v>
      </c>
      <c r="C11173" t="str">
        <f>"363A00000X"</f>
        <v>363A00000X</v>
      </c>
      <c r="D11173" t="str">
        <f>"GRIFFITH                 MARK                     "</f>
        <v xml:space="preserve">GRIFFITH                 MARK                     </v>
      </c>
      <c r="E11173" t="str">
        <f>"PASCAGOULA                "</f>
        <v xml:space="preserve">PASCAGOULA                </v>
      </c>
      <c r="F11173" t="str">
        <f t="shared" si="301"/>
        <v>MS</v>
      </c>
    </row>
    <row r="11174" spans="1:6" x14ac:dyDescent="0.25">
      <c r="A11174" t="str">
        <f>"005451597"</f>
        <v>005451597</v>
      </c>
      <c r="B11174" t="str">
        <f>"1821163692"</f>
        <v>1821163692</v>
      </c>
      <c r="C11174" t="str">
        <f>"207L00000X"</f>
        <v>207L00000X</v>
      </c>
      <c r="D11174" t="str">
        <f>"STEED                    SCOTT        F           "</f>
        <v xml:space="preserve">STEED                    SCOTT        F           </v>
      </c>
      <c r="E11174" t="str">
        <f>"OXFORD                    "</f>
        <v xml:space="preserve">OXFORD                    </v>
      </c>
      <c r="F11174" t="str">
        <f t="shared" si="301"/>
        <v>MS</v>
      </c>
    </row>
    <row r="11175" spans="1:6" x14ac:dyDescent="0.25">
      <c r="A11175" t="str">
        <f>"005452091"</f>
        <v>005452091</v>
      </c>
      <c r="B11175" t="str">
        <f>"1437162690"</f>
        <v>1437162690</v>
      </c>
      <c r="C11175" t="str">
        <f t="shared" ref="C11175:C11180" si="302">"363L00000X"</f>
        <v>363L00000X</v>
      </c>
      <c r="D11175" t="str">
        <f>"COLLINS                  NATIVEL      J           "</f>
        <v xml:space="preserve">COLLINS                  NATIVEL      J           </v>
      </c>
      <c r="E11175" t="str">
        <f>"TUPELO                    "</f>
        <v xml:space="preserve">TUPELO                    </v>
      </c>
      <c r="F11175" t="str">
        <f t="shared" si="301"/>
        <v>MS</v>
      </c>
    </row>
    <row r="11176" spans="1:6" x14ac:dyDescent="0.25">
      <c r="A11176" t="str">
        <f>"005453265"</f>
        <v>005453265</v>
      </c>
      <c r="B11176" t="str">
        <f>"1316253115"</f>
        <v>1316253115</v>
      </c>
      <c r="C11176" t="str">
        <f t="shared" si="302"/>
        <v>363L00000X</v>
      </c>
      <c r="D11176" t="str">
        <f>"HENDERSON                CARON        G           "</f>
        <v xml:space="preserve">HENDERSON                CARON        G           </v>
      </c>
      <c r="E11176" t="str">
        <f>"ACKERMAN                  "</f>
        <v xml:space="preserve">ACKERMAN                  </v>
      </c>
      <c r="F11176" t="str">
        <f t="shared" si="301"/>
        <v>MS</v>
      </c>
    </row>
    <row r="11177" spans="1:6" x14ac:dyDescent="0.25">
      <c r="A11177" t="str">
        <f>"005453899"</f>
        <v>005453899</v>
      </c>
      <c r="B11177" t="str">
        <f>"1912539362"</f>
        <v>1912539362</v>
      </c>
      <c r="C11177" t="str">
        <f t="shared" si="302"/>
        <v>363L00000X</v>
      </c>
      <c r="D11177" t="str">
        <f>"RUSHING                  SUSAN                    "</f>
        <v xml:space="preserve">RUSHING                  SUSAN                    </v>
      </c>
      <c r="E11177" t="str">
        <f>"COLUMBUS                  "</f>
        <v xml:space="preserve">COLUMBUS                  </v>
      </c>
      <c r="F11177" t="str">
        <f t="shared" si="301"/>
        <v>MS</v>
      </c>
    </row>
    <row r="11178" spans="1:6" x14ac:dyDescent="0.25">
      <c r="A11178" t="str">
        <f>"005455803"</f>
        <v>005455803</v>
      </c>
      <c r="B11178" t="str">
        <f>"1699230193"</f>
        <v>1699230193</v>
      </c>
      <c r="C11178" t="str">
        <f t="shared" si="302"/>
        <v>363L00000X</v>
      </c>
      <c r="D11178" t="str">
        <f>"MCVEIGH                  DANIELLE     C           "</f>
        <v xml:space="preserve">MCVEIGH                  DANIELLE     C           </v>
      </c>
      <c r="E11178" t="str">
        <f>"HATTIESBURG               "</f>
        <v xml:space="preserve">HATTIESBURG               </v>
      </c>
      <c r="F11178" t="str">
        <f t="shared" si="301"/>
        <v>MS</v>
      </c>
    </row>
    <row r="11179" spans="1:6" x14ac:dyDescent="0.25">
      <c r="A11179" t="str">
        <f>"005456030"</f>
        <v>005456030</v>
      </c>
      <c r="B11179" t="str">
        <f>"1285016279"</f>
        <v>1285016279</v>
      </c>
      <c r="C11179" t="str">
        <f t="shared" si="302"/>
        <v>363L00000X</v>
      </c>
      <c r="D11179" t="str">
        <f>"SHIPP                    MAGAN        L           "</f>
        <v xml:space="preserve">SHIPP                    MAGAN        L           </v>
      </c>
      <c r="E11179" t="str">
        <f>"BATESVILLE                "</f>
        <v xml:space="preserve">BATESVILLE                </v>
      </c>
      <c r="F11179" t="str">
        <f t="shared" si="301"/>
        <v>MS</v>
      </c>
    </row>
    <row r="11180" spans="1:6" x14ac:dyDescent="0.25">
      <c r="A11180" t="str">
        <f>"005457292"</f>
        <v>005457292</v>
      </c>
      <c r="B11180" t="str">
        <f>"1952936213"</f>
        <v>1952936213</v>
      </c>
      <c r="C11180" t="str">
        <f t="shared" si="302"/>
        <v>363L00000X</v>
      </c>
      <c r="D11180" t="str">
        <f>"HATCHER                  KEVIN                    "</f>
        <v xml:space="preserve">HATCHER                  KEVIN                    </v>
      </c>
      <c r="E11180" t="str">
        <f>"MERIDIAN                  "</f>
        <v xml:space="preserve">MERIDIAN                  </v>
      </c>
      <c r="F11180" t="str">
        <f t="shared" si="301"/>
        <v>MS</v>
      </c>
    </row>
    <row r="11181" spans="1:6" x14ac:dyDescent="0.25">
      <c r="A11181" t="str">
        <f>"005457340"</f>
        <v>005457340</v>
      </c>
      <c r="B11181" t="str">
        <f>"1902877608"</f>
        <v>1902877608</v>
      </c>
      <c r="C11181" t="str">
        <f>"207Y00000X"</f>
        <v>207Y00000X</v>
      </c>
      <c r="D11181" t="str">
        <f>"REED                     JOHN         M           "</f>
        <v xml:space="preserve">REED                     JOHN         M           </v>
      </c>
      <c r="E11181" t="str">
        <f>"JACKSON                   "</f>
        <v xml:space="preserve">JACKSON                   </v>
      </c>
      <c r="F11181" t="str">
        <f t="shared" si="301"/>
        <v>MS</v>
      </c>
    </row>
    <row r="11182" spans="1:6" x14ac:dyDescent="0.25">
      <c r="A11182" t="str">
        <f>"005457378"</f>
        <v>005457378</v>
      </c>
      <c r="B11182" t="str">
        <f>"1760550990"</f>
        <v>1760550990</v>
      </c>
      <c r="C11182" t="str">
        <f>"363L00000X"</f>
        <v>363L00000X</v>
      </c>
      <c r="D11182" t="str">
        <f>"THOMAS                   DONNA                    "</f>
        <v xml:space="preserve">THOMAS                   DONNA                    </v>
      </c>
      <c r="E11182" t="str">
        <f>"FLOWOOD                   "</f>
        <v xml:space="preserve">FLOWOOD                   </v>
      </c>
      <c r="F11182" t="str">
        <f t="shared" si="301"/>
        <v>MS</v>
      </c>
    </row>
    <row r="11183" spans="1:6" x14ac:dyDescent="0.25">
      <c r="A11183" t="str">
        <f>"005458719"</f>
        <v>005458719</v>
      </c>
      <c r="B11183" t="str">
        <f>"1770783672"</f>
        <v>1770783672</v>
      </c>
      <c r="C11183" t="str">
        <f>"207Q00000X"</f>
        <v>207Q00000X</v>
      </c>
      <c r="D11183" t="str">
        <f>"MELTON                   SHEREE       R           "</f>
        <v xml:space="preserve">MELTON                   SHEREE       R           </v>
      </c>
      <c r="E11183" t="str">
        <f>"BYRAM                     "</f>
        <v xml:space="preserve">BYRAM                     </v>
      </c>
      <c r="F11183" t="str">
        <f t="shared" si="301"/>
        <v>MS</v>
      </c>
    </row>
    <row r="11184" spans="1:6" x14ac:dyDescent="0.25">
      <c r="A11184" t="str">
        <f>"005458767"</f>
        <v>005458767</v>
      </c>
      <c r="B11184" t="str">
        <f>"1073831749"</f>
        <v>1073831749</v>
      </c>
      <c r="C11184" t="str">
        <f>"207Q00000X"</f>
        <v>207Q00000X</v>
      </c>
      <c r="D11184" t="str">
        <f>"MOMAH                    TOBE         S           "</f>
        <v xml:space="preserve">MOMAH                    TOBE         S           </v>
      </c>
      <c r="E11184" t="str">
        <f>"JACKSON                   "</f>
        <v xml:space="preserve">JACKSON                   </v>
      </c>
      <c r="F11184" t="str">
        <f t="shared" si="301"/>
        <v>MS</v>
      </c>
    </row>
    <row r="11185" spans="1:6" x14ac:dyDescent="0.25">
      <c r="A11185" t="str">
        <f>"005459296"</f>
        <v>005459296</v>
      </c>
      <c r="B11185" t="str">
        <f>"1316228935"</f>
        <v>1316228935</v>
      </c>
      <c r="C11185" t="str">
        <f>"152W00000X"</f>
        <v>152W00000X</v>
      </c>
      <c r="D11185" t="str">
        <f>"I-CHART LLC                                       "</f>
        <v xml:space="preserve">I-CHART LLC                                       </v>
      </c>
      <c r="E11185" t="str">
        <f>"HATTIESBURG               "</f>
        <v xml:space="preserve">HATTIESBURG               </v>
      </c>
      <c r="F11185" t="str">
        <f t="shared" si="301"/>
        <v>MS</v>
      </c>
    </row>
    <row r="11186" spans="1:6" x14ac:dyDescent="0.25">
      <c r="A11186" t="str">
        <f>"005471369"</f>
        <v>005471369</v>
      </c>
      <c r="B11186" t="str">
        <f>"1871625160"</f>
        <v>1871625160</v>
      </c>
      <c r="C11186" t="str">
        <f>"122300000X"</f>
        <v>122300000X</v>
      </c>
      <c r="D11186" t="str">
        <f>"GRIFFIN DENTAL P.A.                               "</f>
        <v xml:space="preserve">GRIFFIN DENTAL P.A.                               </v>
      </c>
      <c r="E11186" t="str">
        <f>"RIPLEY                    "</f>
        <v xml:space="preserve">RIPLEY                    </v>
      </c>
      <c r="F11186" t="str">
        <f t="shared" si="301"/>
        <v>MS</v>
      </c>
    </row>
    <row r="11187" spans="1:6" x14ac:dyDescent="0.25">
      <c r="A11187" t="str">
        <f>"005471708"</f>
        <v>005471708</v>
      </c>
      <c r="B11187" t="str">
        <f>"1053592840"</f>
        <v>1053592840</v>
      </c>
      <c r="C11187" t="str">
        <f>"207N00000X"</f>
        <v>207N00000X</v>
      </c>
      <c r="D11187" t="str">
        <f>"WALLER III               WILLIAM      L           "</f>
        <v xml:space="preserve">WALLER III               WILLIAM      L           </v>
      </c>
      <c r="E11187" t="str">
        <f>"HATTIESBURG               "</f>
        <v xml:space="preserve">HATTIESBURG               </v>
      </c>
      <c r="F11187" t="str">
        <f t="shared" si="301"/>
        <v>MS</v>
      </c>
    </row>
    <row r="11188" spans="1:6" x14ac:dyDescent="0.25">
      <c r="A11188" t="str">
        <f>"005472771"</f>
        <v>005472771</v>
      </c>
      <c r="B11188" t="str">
        <f>"1487986121"</f>
        <v>1487986121</v>
      </c>
      <c r="C11188" t="str">
        <f>"363L00000X"</f>
        <v>363L00000X</v>
      </c>
      <c r="D11188" t="str">
        <f>"PALOMBARO                ALLYSON      M           "</f>
        <v xml:space="preserve">PALOMBARO                ALLYSON      M           </v>
      </c>
      <c r="E11188" t="str">
        <f>"JACKSON                   "</f>
        <v xml:space="preserve">JACKSON                   </v>
      </c>
      <c r="F11188" t="str">
        <f t="shared" si="301"/>
        <v>MS</v>
      </c>
    </row>
    <row r="11189" spans="1:6" x14ac:dyDescent="0.25">
      <c r="A11189" t="str">
        <f>"005473037"</f>
        <v>005473037</v>
      </c>
      <c r="B11189" t="str">
        <f>"1770901654"</f>
        <v>1770901654</v>
      </c>
      <c r="C11189" t="str">
        <f>"152W00000X"</f>
        <v>152W00000X</v>
      </c>
      <c r="D11189" t="str">
        <f>"EYE CARE ASSOCIATES                               "</f>
        <v xml:space="preserve">EYE CARE ASSOCIATES                               </v>
      </c>
      <c r="E11189" t="str">
        <f>"TUPELO                    "</f>
        <v xml:space="preserve">TUPELO                    </v>
      </c>
      <c r="F11189" t="str">
        <f t="shared" si="301"/>
        <v>MS</v>
      </c>
    </row>
    <row r="11190" spans="1:6" x14ac:dyDescent="0.25">
      <c r="A11190" t="str">
        <f>"005473545"</f>
        <v>005473545</v>
      </c>
      <c r="B11190" t="str">
        <f>"1962021873"</f>
        <v>1962021873</v>
      </c>
      <c r="C11190" t="str">
        <f>"208800000X"</f>
        <v>208800000X</v>
      </c>
      <c r="D11190" t="str">
        <f>"CALDWELL                 JOSEPH                   "</f>
        <v xml:space="preserve">CALDWELL                 JOSEPH                   </v>
      </c>
      <c r="E11190" t="str">
        <f>"JACKSON                   "</f>
        <v xml:space="preserve">JACKSON                   </v>
      </c>
      <c r="F11190" t="str">
        <f t="shared" si="301"/>
        <v>MS</v>
      </c>
    </row>
    <row r="11191" spans="1:6" x14ac:dyDescent="0.25">
      <c r="A11191" t="str">
        <f>"005475076"</f>
        <v>005475076</v>
      </c>
      <c r="B11191" t="str">
        <f>"1144421496"</f>
        <v>1144421496</v>
      </c>
      <c r="C11191" t="str">
        <f>"261QM1300X"</f>
        <v>261QM1300X</v>
      </c>
      <c r="D11191" t="str">
        <f>"MILLCREEK OF PONTOTOC                             "</f>
        <v xml:space="preserve">MILLCREEK OF PONTOTOC                             </v>
      </c>
      <c r="E11191" t="str">
        <f>"PONTOTOC                  "</f>
        <v xml:space="preserve">PONTOTOC                  </v>
      </c>
      <c r="F11191" t="str">
        <f t="shared" si="301"/>
        <v>MS</v>
      </c>
    </row>
    <row r="11192" spans="1:6" x14ac:dyDescent="0.25">
      <c r="A11192" t="str">
        <f>"005475099"</f>
        <v>005475099</v>
      </c>
      <c r="B11192" t="str">
        <f>"1689791733"</f>
        <v>1689791733</v>
      </c>
      <c r="C11192" t="str">
        <f>"363L00000X"</f>
        <v>363L00000X</v>
      </c>
      <c r="D11192" t="str">
        <f>"ROWSEY                   MISTY        R           "</f>
        <v xml:space="preserve">ROWSEY                   MISTY        R           </v>
      </c>
      <c r="E11192" t="str">
        <f>"CORINTH                   "</f>
        <v xml:space="preserve">CORINTH                   </v>
      </c>
      <c r="F11192" t="str">
        <f t="shared" si="301"/>
        <v>MS</v>
      </c>
    </row>
    <row r="11193" spans="1:6" x14ac:dyDescent="0.25">
      <c r="A11193" t="str">
        <f>"005476356"</f>
        <v>005476356</v>
      </c>
      <c r="B11193" t="str">
        <f>"1649753161"</f>
        <v>1649753161</v>
      </c>
      <c r="C11193" t="str">
        <f>"363L00000X"</f>
        <v>363L00000X</v>
      </c>
      <c r="D11193" t="str">
        <f>"MARTIN                   TANISHA      L           "</f>
        <v xml:space="preserve">MARTIN                   TANISHA      L           </v>
      </c>
      <c r="E11193" t="str">
        <f>"BATESVILLE                "</f>
        <v xml:space="preserve">BATESVILLE                </v>
      </c>
      <c r="F11193" t="str">
        <f t="shared" si="301"/>
        <v>MS</v>
      </c>
    </row>
    <row r="11194" spans="1:6" x14ac:dyDescent="0.25">
      <c r="A11194" t="str">
        <f>"005476555"</f>
        <v>005476555</v>
      </c>
      <c r="B11194" t="str">
        <f>"1821420936"</f>
        <v>1821420936</v>
      </c>
      <c r="C11194" t="str">
        <f>"261QR1300X"</f>
        <v>261QR1300X</v>
      </c>
      <c r="D11194" t="str">
        <f>"DELTA PRIMARY CARE RURAL HEALTH CLI               "</f>
        <v xml:space="preserve">DELTA PRIMARY CARE RURAL HEALTH CLI               </v>
      </c>
      <c r="E11194" t="str">
        <f>"INDIANOLA                 "</f>
        <v xml:space="preserve">INDIANOLA                 </v>
      </c>
      <c r="F11194" t="str">
        <f t="shared" si="301"/>
        <v>MS</v>
      </c>
    </row>
    <row r="11195" spans="1:6" x14ac:dyDescent="0.25">
      <c r="A11195" t="str">
        <f>"005478394"</f>
        <v>005478394</v>
      </c>
      <c r="B11195" t="str">
        <f>"1588613194"</f>
        <v>1588613194</v>
      </c>
      <c r="C11195" t="str">
        <f>"207RC0001X"</f>
        <v>207RC0001X</v>
      </c>
      <c r="D11195" t="str">
        <f>"BERMAN                   ADAM         E           "</f>
        <v xml:space="preserve">BERMAN                   ADAM         E           </v>
      </c>
      <c r="E11195" t="str">
        <f>"JACKSON                   "</f>
        <v xml:space="preserve">JACKSON                   </v>
      </c>
      <c r="F11195" t="str">
        <f t="shared" si="301"/>
        <v>MS</v>
      </c>
    </row>
    <row r="11196" spans="1:6" x14ac:dyDescent="0.25">
      <c r="A11196" t="str">
        <f>"005479398"</f>
        <v>005479398</v>
      </c>
      <c r="B11196" t="str">
        <f>"1093851370"</f>
        <v>1093851370</v>
      </c>
      <c r="C11196" t="str">
        <f>"207L00000X"</f>
        <v>207L00000X</v>
      </c>
      <c r="D11196" t="str">
        <f>"WASEF                    MAHA         S           "</f>
        <v xml:space="preserve">WASEF                    MAHA         S           </v>
      </c>
      <c r="E11196" t="str">
        <f>"CLARKSDALE                "</f>
        <v xml:space="preserve">CLARKSDALE                </v>
      </c>
      <c r="F11196" t="str">
        <f t="shared" si="301"/>
        <v>MS</v>
      </c>
    </row>
    <row r="11197" spans="1:6" x14ac:dyDescent="0.25">
      <c r="A11197" t="str">
        <f>"005479825"</f>
        <v>005479825</v>
      </c>
      <c r="B11197" t="str">
        <f>"1689651036"</f>
        <v>1689651036</v>
      </c>
      <c r="C11197" t="str">
        <f>"207R00000X"</f>
        <v>207R00000X</v>
      </c>
      <c r="D11197" t="str">
        <f>"PATEL                    DHARMESH     S           "</f>
        <v xml:space="preserve">PATEL                    DHARMESH     S           </v>
      </c>
      <c r="E11197" t="str">
        <f>"SOUTHAVEN                 "</f>
        <v xml:space="preserve">SOUTHAVEN                 </v>
      </c>
      <c r="F11197" t="str">
        <f t="shared" si="301"/>
        <v>MS</v>
      </c>
    </row>
    <row r="11198" spans="1:6" x14ac:dyDescent="0.25">
      <c r="A11198" t="str">
        <f>"005480269"</f>
        <v>005480269</v>
      </c>
      <c r="B11198" t="str">
        <f>"1881608115"</f>
        <v>1881608115</v>
      </c>
      <c r="C11198" t="str">
        <f>"207R00000X"</f>
        <v>207R00000X</v>
      </c>
      <c r="D11198" t="str">
        <f>"EDUPUGANTI               HEMA         M           "</f>
        <v xml:space="preserve">EDUPUGANTI               HEMA         M           </v>
      </c>
      <c r="E11198" t="str">
        <f>"GULFPORT                  "</f>
        <v xml:space="preserve">GULFPORT                  </v>
      </c>
      <c r="F11198" t="str">
        <f t="shared" ref="F11198:F11261" si="303">"MS"</f>
        <v>MS</v>
      </c>
    </row>
    <row r="11199" spans="1:6" x14ac:dyDescent="0.25">
      <c r="A11199" t="str">
        <f>"005480550"</f>
        <v>005480550</v>
      </c>
      <c r="B11199" t="str">
        <f>"1811050594"</f>
        <v>1811050594</v>
      </c>
      <c r="C11199" t="str">
        <f>"207Q00000X"</f>
        <v>207Q00000X</v>
      </c>
      <c r="D11199" t="str">
        <f>"WILLIAMS                 MHEJA        M           "</f>
        <v xml:space="preserve">WILLIAMS                 MHEJA        M           </v>
      </c>
      <c r="E11199" t="str">
        <f>"PORT GIBSON               "</f>
        <v xml:space="preserve">PORT GIBSON               </v>
      </c>
      <c r="F11199" t="str">
        <f t="shared" si="303"/>
        <v>MS</v>
      </c>
    </row>
    <row r="11200" spans="1:6" x14ac:dyDescent="0.25">
      <c r="A11200" t="str">
        <f>"005481005"</f>
        <v>005481005</v>
      </c>
      <c r="B11200" t="str">
        <f>"1124468061"</f>
        <v>1124468061</v>
      </c>
      <c r="C11200" t="str">
        <f>"367500000X"</f>
        <v>367500000X</v>
      </c>
      <c r="D11200" t="str">
        <f>"MORROW                   BRITTANY     O           "</f>
        <v xml:space="preserve">MORROW                   BRITTANY     O           </v>
      </c>
      <c r="E11200" t="str">
        <f>"FLOWOOD                   "</f>
        <v xml:space="preserve">FLOWOOD                   </v>
      </c>
      <c r="F11200" t="str">
        <f t="shared" si="303"/>
        <v>MS</v>
      </c>
    </row>
    <row r="11201" spans="1:6" x14ac:dyDescent="0.25">
      <c r="A11201" t="str">
        <f>"005481207"</f>
        <v>005481207</v>
      </c>
      <c r="B11201" t="str">
        <f>"1134300569"</f>
        <v>1134300569</v>
      </c>
      <c r="C11201" t="str">
        <f>"122300000X"</f>
        <v>122300000X</v>
      </c>
      <c r="D11201" t="str">
        <f>"STUCKEY                  VICTOR       E           "</f>
        <v xml:space="preserve">STUCKEY                  VICTOR       E           </v>
      </c>
      <c r="E11201" t="str">
        <f>"GREENWOOD                 "</f>
        <v xml:space="preserve">GREENWOOD                 </v>
      </c>
      <c r="F11201" t="str">
        <f t="shared" si="303"/>
        <v>MS</v>
      </c>
    </row>
    <row r="11202" spans="1:6" x14ac:dyDescent="0.25">
      <c r="A11202" t="str">
        <f>"005481851"</f>
        <v>005481851</v>
      </c>
      <c r="B11202" t="str">
        <f>"1649450602"</f>
        <v>1649450602</v>
      </c>
      <c r="C11202" t="str">
        <f>"367500000X"</f>
        <v>367500000X</v>
      </c>
      <c r="D11202" t="str">
        <f>"BOYKIN                   RAYMOND      P           "</f>
        <v xml:space="preserve">BOYKIN                   RAYMOND      P           </v>
      </c>
      <c r="E11202" t="str">
        <f>"TUPELO                    "</f>
        <v xml:space="preserve">TUPELO                    </v>
      </c>
      <c r="F11202" t="str">
        <f t="shared" si="303"/>
        <v>MS</v>
      </c>
    </row>
    <row r="11203" spans="1:6" x14ac:dyDescent="0.25">
      <c r="A11203" t="str">
        <f>"005482096"</f>
        <v>005482096</v>
      </c>
      <c r="B11203" t="str">
        <f>"1831780857"</f>
        <v>1831780857</v>
      </c>
      <c r="C11203" t="str">
        <f>"363L00000X"</f>
        <v>363L00000X</v>
      </c>
      <c r="D11203" t="str">
        <f>"MUNN                     PAUL         T           "</f>
        <v xml:space="preserve">MUNN                     PAUL         T           </v>
      </c>
      <c r="E11203" t="str">
        <f>"MENDENHALL                "</f>
        <v xml:space="preserve">MENDENHALL                </v>
      </c>
      <c r="F11203" t="str">
        <f t="shared" si="303"/>
        <v>MS</v>
      </c>
    </row>
    <row r="11204" spans="1:6" x14ac:dyDescent="0.25">
      <c r="A11204" t="str">
        <f>"005482595"</f>
        <v>005482595</v>
      </c>
      <c r="B11204" t="str">
        <f>"1215192588"</f>
        <v>1215192588</v>
      </c>
      <c r="C11204" t="str">
        <f>"2085R0202X"</f>
        <v>2085R0202X</v>
      </c>
      <c r="D11204" t="str">
        <f>"MURPHREE                 JASON        M           "</f>
        <v xml:space="preserve">MURPHREE                 JASON        M           </v>
      </c>
      <c r="E11204" t="str">
        <f>"CORINTH                   "</f>
        <v xml:space="preserve">CORINTH                   </v>
      </c>
      <c r="F11204" t="str">
        <f t="shared" si="303"/>
        <v>MS</v>
      </c>
    </row>
    <row r="11205" spans="1:6" x14ac:dyDescent="0.25">
      <c r="A11205" t="str">
        <f>"005483521"</f>
        <v>005483521</v>
      </c>
      <c r="B11205" t="str">
        <f>"1992790463"</f>
        <v>1992790463</v>
      </c>
      <c r="C11205" t="str">
        <f>"207RG0100X"</f>
        <v>207RG0100X</v>
      </c>
      <c r="D11205" t="str">
        <f>"BARKER                   KEVIN        B           "</f>
        <v xml:space="preserve">BARKER                   KEVIN        B           </v>
      </c>
      <c r="E11205" t="str">
        <f>"HATTIESBURG               "</f>
        <v xml:space="preserve">HATTIESBURG               </v>
      </c>
      <c r="F11205" t="str">
        <f t="shared" si="303"/>
        <v>MS</v>
      </c>
    </row>
    <row r="11206" spans="1:6" x14ac:dyDescent="0.25">
      <c r="A11206" t="str">
        <f>"005486078"</f>
        <v>005486078</v>
      </c>
      <c r="B11206" t="str">
        <f>"1619362977"</f>
        <v>1619362977</v>
      </c>
      <c r="C11206" t="str">
        <f>"363L00000X"</f>
        <v>363L00000X</v>
      </c>
      <c r="D11206" t="str">
        <f>"HUDSON                   SHAMECA                  "</f>
        <v xml:space="preserve">HUDSON                   SHAMECA                  </v>
      </c>
      <c r="E11206" t="str">
        <f>"JACKSON                   "</f>
        <v xml:space="preserve">JACKSON                   </v>
      </c>
      <c r="F11206" t="str">
        <f t="shared" si="303"/>
        <v>MS</v>
      </c>
    </row>
    <row r="11207" spans="1:6" x14ac:dyDescent="0.25">
      <c r="A11207" t="str">
        <f>"005486344"</f>
        <v>005486344</v>
      </c>
      <c r="B11207" t="str">
        <f>"1013930296"</f>
        <v>1013930296</v>
      </c>
      <c r="C11207" t="str">
        <f>"207T00000X"</f>
        <v>207T00000X</v>
      </c>
      <c r="D11207" t="str">
        <f>"BROPHY                   JOHN                     "</f>
        <v xml:space="preserve">BROPHY                   JOHN                     </v>
      </c>
      <c r="E11207" t="str">
        <f>"SOUTHAVEN                 "</f>
        <v xml:space="preserve">SOUTHAVEN                 </v>
      </c>
      <c r="F11207" t="str">
        <f t="shared" si="303"/>
        <v>MS</v>
      </c>
    </row>
    <row r="11208" spans="1:6" x14ac:dyDescent="0.25">
      <c r="A11208" t="str">
        <f>"005487548"</f>
        <v>005487548</v>
      </c>
      <c r="B11208" t="str">
        <f>"1275762320"</f>
        <v>1275762320</v>
      </c>
      <c r="C11208" t="str">
        <f>"207Q00000X"</f>
        <v>207Q00000X</v>
      </c>
      <c r="D11208" t="str">
        <f>"WOOD                     ARTHUR       E           "</f>
        <v xml:space="preserve">WOOD                     ARTHUR       E           </v>
      </c>
      <c r="E11208" t="str">
        <f>"BROOKHAVEN                "</f>
        <v xml:space="preserve">BROOKHAVEN                </v>
      </c>
      <c r="F11208" t="str">
        <f t="shared" si="303"/>
        <v>MS</v>
      </c>
    </row>
    <row r="11209" spans="1:6" x14ac:dyDescent="0.25">
      <c r="A11209" t="str">
        <f>"005488283"</f>
        <v>005488283</v>
      </c>
      <c r="B11209" t="str">
        <f>"1740589761"</f>
        <v>1740589761</v>
      </c>
      <c r="C11209" t="str">
        <f>"363L00000X"</f>
        <v>363L00000X</v>
      </c>
      <c r="D11209" t="str">
        <f>"ASKEW                    SARA         A           "</f>
        <v xml:space="preserve">ASKEW                    SARA         A           </v>
      </c>
      <c r="E11209" t="str">
        <f>"QUITMAN                   "</f>
        <v xml:space="preserve">QUITMAN                   </v>
      </c>
      <c r="F11209" t="str">
        <f t="shared" si="303"/>
        <v>MS</v>
      </c>
    </row>
    <row r="11210" spans="1:6" x14ac:dyDescent="0.25">
      <c r="A11210" t="str">
        <f>"005501206"</f>
        <v>005501206</v>
      </c>
      <c r="B11210" t="str">
        <f>"1619018983"</f>
        <v>1619018983</v>
      </c>
      <c r="C11210" t="str">
        <f>"207RP1001X"</f>
        <v>207RP1001X</v>
      </c>
      <c r="D11210" t="str">
        <f>"YOUNIS                   WALID        G           "</f>
        <v xml:space="preserve">YOUNIS                   WALID        G           </v>
      </c>
      <c r="E11210" t="str">
        <f>"HATTIESBURG               "</f>
        <v xml:space="preserve">HATTIESBURG               </v>
      </c>
      <c r="F11210" t="str">
        <f t="shared" si="303"/>
        <v>MS</v>
      </c>
    </row>
    <row r="11211" spans="1:6" x14ac:dyDescent="0.25">
      <c r="A11211" t="str">
        <f>"005502890"</f>
        <v>005502890</v>
      </c>
      <c r="B11211" t="str">
        <f>"1518577337"</f>
        <v>1518577337</v>
      </c>
      <c r="C11211" t="str">
        <f>"152W00000X"</f>
        <v>152W00000X</v>
      </c>
      <c r="D11211" t="str">
        <f>"MORENO                   ALVARO       P           "</f>
        <v xml:space="preserve">MORENO                   ALVARO       P           </v>
      </c>
      <c r="E11211" t="str">
        <f>"PETAL                     "</f>
        <v xml:space="preserve">PETAL                     </v>
      </c>
      <c r="F11211" t="str">
        <f t="shared" si="303"/>
        <v>MS</v>
      </c>
    </row>
    <row r="11212" spans="1:6" x14ac:dyDescent="0.25">
      <c r="A11212" t="str">
        <f>"005502928"</f>
        <v>005502928</v>
      </c>
      <c r="B11212" t="str">
        <f>"1730395542"</f>
        <v>1730395542</v>
      </c>
      <c r="C11212" t="str">
        <f>"207X00000X"</f>
        <v>207X00000X</v>
      </c>
      <c r="D11212" t="str">
        <f>"SPENCE                   DAVID        D           "</f>
        <v xml:space="preserve">SPENCE                   DAVID        D           </v>
      </c>
      <c r="E11212" t="str">
        <f>"SOUTHAVEN                 "</f>
        <v xml:space="preserve">SOUTHAVEN                 </v>
      </c>
      <c r="F11212" t="str">
        <f t="shared" si="303"/>
        <v>MS</v>
      </c>
    </row>
    <row r="11213" spans="1:6" x14ac:dyDescent="0.25">
      <c r="A11213" t="str">
        <f>"005503121"</f>
        <v>005503121</v>
      </c>
      <c r="B11213" t="str">
        <f>"1881973642"</f>
        <v>1881973642</v>
      </c>
      <c r="C11213" t="str">
        <f>"261QM1300X"</f>
        <v>261QM1300X</v>
      </c>
      <c r="D11213" t="str">
        <f>"SERENITY PSYCHIATRIC OUTPATIENT                   "</f>
        <v xml:space="preserve">SERENITY PSYCHIATRIC OUTPATIENT                   </v>
      </c>
      <c r="E11213" t="str">
        <f>"MCCOMB                    "</f>
        <v xml:space="preserve">MCCOMB                    </v>
      </c>
      <c r="F11213" t="str">
        <f t="shared" si="303"/>
        <v>MS</v>
      </c>
    </row>
    <row r="11214" spans="1:6" x14ac:dyDescent="0.25">
      <c r="A11214" t="str">
        <f>"005504062"</f>
        <v>005504062</v>
      </c>
      <c r="B11214" t="str">
        <f>"1467600817"</f>
        <v>1467600817</v>
      </c>
      <c r="C11214" t="str">
        <f>"207Q00000X"</f>
        <v>207Q00000X</v>
      </c>
      <c r="D11214" t="str">
        <f>"WINFIELD                 TAMARA       C           "</f>
        <v xml:space="preserve">WINFIELD                 TAMARA       C           </v>
      </c>
      <c r="E11214" t="str">
        <f>"JACKSON                   "</f>
        <v xml:space="preserve">JACKSON                   </v>
      </c>
      <c r="F11214" t="str">
        <f t="shared" si="303"/>
        <v>MS</v>
      </c>
    </row>
    <row r="11215" spans="1:6" x14ac:dyDescent="0.25">
      <c r="A11215" t="str">
        <f>"005504096"</f>
        <v>005504096</v>
      </c>
      <c r="B11215" t="str">
        <f>"1912928086"</f>
        <v>1912928086</v>
      </c>
      <c r="C11215" t="str">
        <f>"207R00000X"</f>
        <v>207R00000X</v>
      </c>
      <c r="D11215" t="str">
        <f>"GONDWE                   JUSTICE      A           "</f>
        <v xml:space="preserve">GONDWE                   JUSTICE      A           </v>
      </c>
      <c r="E11215" t="str">
        <f>"GRENADA                   "</f>
        <v xml:space="preserve">GRENADA                   </v>
      </c>
      <c r="F11215" t="str">
        <f t="shared" si="303"/>
        <v>MS</v>
      </c>
    </row>
    <row r="11216" spans="1:6" x14ac:dyDescent="0.25">
      <c r="A11216" t="str">
        <f>"005504712"</f>
        <v>005504712</v>
      </c>
      <c r="B11216" t="str">
        <f>"1811490832"</f>
        <v>1811490832</v>
      </c>
      <c r="C11216" t="str">
        <f>"363L00000X"</f>
        <v>363L00000X</v>
      </c>
      <c r="D11216" t="str">
        <f>"TURNER                   LAUREN       H           "</f>
        <v xml:space="preserve">TURNER                   LAUREN       H           </v>
      </c>
      <c r="E11216" t="str">
        <f>"JACKSON                   "</f>
        <v xml:space="preserve">JACKSON                   </v>
      </c>
      <c r="F11216" t="str">
        <f t="shared" si="303"/>
        <v>MS</v>
      </c>
    </row>
    <row r="11217" spans="1:6" x14ac:dyDescent="0.25">
      <c r="A11217" t="str">
        <f>"005504762"</f>
        <v>005504762</v>
      </c>
      <c r="B11217" t="str">
        <f>"1801216684"</f>
        <v>1801216684</v>
      </c>
      <c r="C11217" t="str">
        <f>"261QE0700X"</f>
        <v>261QE0700X</v>
      </c>
      <c r="D11217" t="str">
        <f>"NORTH GULFPORT HOME PROGRAM                       "</f>
        <v xml:space="preserve">NORTH GULFPORT HOME PROGRAM                       </v>
      </c>
      <c r="E11217" t="str">
        <f>"GULFPORT                  "</f>
        <v xml:space="preserve">GULFPORT                  </v>
      </c>
      <c r="F11217" t="str">
        <f t="shared" si="303"/>
        <v>MS</v>
      </c>
    </row>
    <row r="11218" spans="1:6" x14ac:dyDescent="0.25">
      <c r="A11218" t="str">
        <f>"005506002"</f>
        <v>005506002</v>
      </c>
      <c r="B11218" t="str">
        <f>"1245808815"</f>
        <v>1245808815</v>
      </c>
      <c r="C11218" t="str">
        <f>"261QM1300X"</f>
        <v>261QM1300X</v>
      </c>
      <c r="D11218" t="str">
        <f>"ASCEND COUNSELING AND CONSULTING SE               "</f>
        <v xml:space="preserve">ASCEND COUNSELING AND CONSULTING SE               </v>
      </c>
      <c r="E11218" t="str">
        <f>"BROOKHAVEN                "</f>
        <v xml:space="preserve">BROOKHAVEN                </v>
      </c>
      <c r="F11218" t="str">
        <f t="shared" si="303"/>
        <v>MS</v>
      </c>
    </row>
    <row r="11219" spans="1:6" x14ac:dyDescent="0.25">
      <c r="A11219" t="str">
        <f>"005506014"</f>
        <v>005506014</v>
      </c>
      <c r="B11219" t="str">
        <f>"1043685498"</f>
        <v>1043685498</v>
      </c>
      <c r="C11219" t="str">
        <f>"363L00000X"</f>
        <v>363L00000X</v>
      </c>
      <c r="D11219" t="str">
        <f>"MCCAIN                   APRIL        M           "</f>
        <v xml:space="preserve">MCCAIN                   APRIL        M           </v>
      </c>
      <c r="E11219" t="str">
        <f>"TUPELO                    "</f>
        <v xml:space="preserve">TUPELO                    </v>
      </c>
      <c r="F11219" t="str">
        <f t="shared" si="303"/>
        <v>MS</v>
      </c>
    </row>
    <row r="11220" spans="1:6" x14ac:dyDescent="0.25">
      <c r="A11220" t="str">
        <f>"005506211"</f>
        <v>005506211</v>
      </c>
      <c r="B11220" t="str">
        <f>"1912347105"</f>
        <v>1912347105</v>
      </c>
      <c r="C11220" t="str">
        <f>"207W00000X"</f>
        <v>207W00000X</v>
      </c>
      <c r="D11220" t="str">
        <f>"CONFAIT                  CASSIE       N           "</f>
        <v xml:space="preserve">CONFAIT                  CASSIE       N           </v>
      </c>
      <c r="E11220" t="str">
        <f>"MERIDIAN                  "</f>
        <v xml:space="preserve">MERIDIAN                  </v>
      </c>
      <c r="F11220" t="str">
        <f t="shared" si="303"/>
        <v>MS</v>
      </c>
    </row>
    <row r="11221" spans="1:6" x14ac:dyDescent="0.25">
      <c r="A11221" t="str">
        <f>"005506346"</f>
        <v>005506346</v>
      </c>
      <c r="B11221" t="str">
        <f>"1427612183"</f>
        <v>1427612183</v>
      </c>
      <c r="C11221" t="str">
        <f>"261QR1300X"</f>
        <v>261QR1300X</v>
      </c>
      <c r="D11221" t="str">
        <f>"MRH MEDICAL GROUP, NETTLETON                      "</f>
        <v xml:space="preserve">MRH MEDICAL GROUP, NETTLETON                      </v>
      </c>
      <c r="E11221" t="str">
        <f>"NETTLETON                 "</f>
        <v xml:space="preserve">NETTLETON                 </v>
      </c>
      <c r="F11221" t="str">
        <f t="shared" si="303"/>
        <v>MS</v>
      </c>
    </row>
    <row r="11222" spans="1:6" x14ac:dyDescent="0.25">
      <c r="A11222" t="str">
        <f>"005508385"</f>
        <v>005508385</v>
      </c>
      <c r="B11222" t="str">
        <f>"1447578752"</f>
        <v>1447578752</v>
      </c>
      <c r="C11222" t="str">
        <f>"207W00000X"</f>
        <v>207W00000X</v>
      </c>
      <c r="D11222" t="str">
        <f>"KOSKO                    MARK         G           "</f>
        <v xml:space="preserve">KOSKO                    MARK         G           </v>
      </c>
      <c r="E11222" t="str">
        <f>"JACKSON                   "</f>
        <v xml:space="preserve">JACKSON                   </v>
      </c>
      <c r="F11222" t="str">
        <f t="shared" si="303"/>
        <v>MS</v>
      </c>
    </row>
    <row r="11223" spans="1:6" x14ac:dyDescent="0.25">
      <c r="A11223" t="str">
        <f>"005508815"</f>
        <v>005508815</v>
      </c>
      <c r="B11223" t="str">
        <f>"1003449398"</f>
        <v>1003449398</v>
      </c>
      <c r="C11223" t="str">
        <f>"363L00000X"</f>
        <v>363L00000X</v>
      </c>
      <c r="D11223" t="str">
        <f>"BUMP                     NATHANIEL    L           "</f>
        <v xml:space="preserve">BUMP                     NATHANIEL    L           </v>
      </c>
      <c r="E11223" t="str">
        <f>"PONTOTOC                  "</f>
        <v xml:space="preserve">PONTOTOC                  </v>
      </c>
      <c r="F11223" t="str">
        <f t="shared" si="303"/>
        <v>MS</v>
      </c>
    </row>
    <row r="11224" spans="1:6" x14ac:dyDescent="0.25">
      <c r="A11224" t="str">
        <f>"005508872"</f>
        <v>005508872</v>
      </c>
      <c r="B11224" t="str">
        <f>"1952694994"</f>
        <v>1952694994</v>
      </c>
      <c r="C11224" t="str">
        <f>"261QR1300X"</f>
        <v>261QR1300X</v>
      </c>
      <c r="D11224" t="str">
        <f>"MAIN STREET MEDICAL CLINIC OF MORTO               "</f>
        <v xml:space="preserve">MAIN STREET MEDICAL CLINIC OF MORTO               </v>
      </c>
      <c r="E11224" t="str">
        <f>"MORTON                    "</f>
        <v xml:space="preserve">MORTON                    </v>
      </c>
      <c r="F11224" t="str">
        <f t="shared" si="303"/>
        <v>MS</v>
      </c>
    </row>
    <row r="11225" spans="1:6" x14ac:dyDescent="0.25">
      <c r="A11225" t="str">
        <f>"005509206"</f>
        <v>005509206</v>
      </c>
      <c r="B11225" t="str">
        <f>"1467194316"</f>
        <v>1467194316</v>
      </c>
      <c r="C11225" t="str">
        <f>"261QM1300X"</f>
        <v>261QM1300X</v>
      </c>
      <c r="D11225" t="str">
        <f>"CENTER FOR BEHAVIOR ANALYTIC SERVIC               "</f>
        <v xml:space="preserve">CENTER FOR BEHAVIOR ANALYTIC SERVIC               </v>
      </c>
      <c r="E11225" t="str">
        <f>"TUPELO                    "</f>
        <v xml:space="preserve">TUPELO                    </v>
      </c>
      <c r="F11225" t="str">
        <f t="shared" si="303"/>
        <v>MS</v>
      </c>
    </row>
    <row r="11226" spans="1:6" x14ac:dyDescent="0.25">
      <c r="A11226" t="str">
        <f>"005521216"</f>
        <v>005521216</v>
      </c>
      <c r="B11226" t="str">
        <f>"1730656422"</f>
        <v>1730656422</v>
      </c>
      <c r="C11226" t="str">
        <f>"363L00000X"</f>
        <v>363L00000X</v>
      </c>
      <c r="D11226" t="str">
        <f>"MCCORMAC                 EMILY                    "</f>
        <v xml:space="preserve">MCCORMAC                 EMILY                    </v>
      </c>
      <c r="E11226" t="str">
        <f>"PONTOTOC                  "</f>
        <v xml:space="preserve">PONTOTOC                  </v>
      </c>
      <c r="F11226" t="str">
        <f t="shared" si="303"/>
        <v>MS</v>
      </c>
    </row>
    <row r="11227" spans="1:6" x14ac:dyDescent="0.25">
      <c r="A11227" t="str">
        <f>"005521313"</f>
        <v>005521313</v>
      </c>
      <c r="B11227" t="str">
        <f>"1871799684"</f>
        <v>1871799684</v>
      </c>
      <c r="C11227" t="str">
        <f>"207R00000X"</f>
        <v>207R00000X</v>
      </c>
      <c r="D11227" t="str">
        <f>"CAMPBELL                 WILLIAM      F           "</f>
        <v xml:space="preserve">CAMPBELL                 WILLIAM      F           </v>
      </c>
      <c r="E11227" t="str">
        <f>"JACKSON                   "</f>
        <v xml:space="preserve">JACKSON                   </v>
      </c>
      <c r="F11227" t="str">
        <f t="shared" si="303"/>
        <v>MS</v>
      </c>
    </row>
    <row r="11228" spans="1:6" x14ac:dyDescent="0.25">
      <c r="A11228" t="str">
        <f>"005521513"</f>
        <v>005521513</v>
      </c>
      <c r="B11228" t="str">
        <f>"1184988594"</f>
        <v>1184988594</v>
      </c>
      <c r="C11228" t="str">
        <f>"207RG0100X"</f>
        <v>207RG0100X</v>
      </c>
      <c r="D11228" t="str">
        <f>"WHATLEY                  JAMES        Z           "</f>
        <v xml:space="preserve">WHATLEY                  JAMES        Z           </v>
      </c>
      <c r="E11228" t="str">
        <f>"JACKSON                   "</f>
        <v xml:space="preserve">JACKSON                   </v>
      </c>
      <c r="F11228" t="str">
        <f t="shared" si="303"/>
        <v>MS</v>
      </c>
    </row>
    <row r="11229" spans="1:6" x14ac:dyDescent="0.25">
      <c r="A11229" t="str">
        <f>"005523045"</f>
        <v>005523045</v>
      </c>
      <c r="B11229" t="str">
        <f>"1679710933"</f>
        <v>1679710933</v>
      </c>
      <c r="C11229" t="str">
        <f>"363L00000X"</f>
        <v>363L00000X</v>
      </c>
      <c r="D11229" t="str">
        <f>"OLIPHANT                 KEISHA                   "</f>
        <v xml:space="preserve">OLIPHANT                 KEISHA                   </v>
      </c>
      <c r="E11229" t="str">
        <f>"NEWTON                    "</f>
        <v xml:space="preserve">NEWTON                    </v>
      </c>
      <c r="F11229" t="str">
        <f t="shared" si="303"/>
        <v>MS</v>
      </c>
    </row>
    <row r="11230" spans="1:6" x14ac:dyDescent="0.25">
      <c r="A11230" t="str">
        <f>"005523153"</f>
        <v>005523153</v>
      </c>
      <c r="B11230" t="str">
        <f>"1003087289"</f>
        <v>1003087289</v>
      </c>
      <c r="C11230" t="str">
        <f>"363L00000X"</f>
        <v>363L00000X</v>
      </c>
      <c r="D11230" t="str">
        <f>"MCCRANEY                 ERIC                     "</f>
        <v xml:space="preserve">MCCRANEY                 ERIC                     </v>
      </c>
      <c r="E11230" t="str">
        <f>"LUCEDALE                  "</f>
        <v xml:space="preserve">LUCEDALE                  </v>
      </c>
      <c r="F11230" t="str">
        <f t="shared" si="303"/>
        <v>MS</v>
      </c>
    </row>
    <row r="11231" spans="1:6" x14ac:dyDescent="0.25">
      <c r="A11231" t="str">
        <f>"005523278"</f>
        <v>005523278</v>
      </c>
      <c r="B11231" t="str">
        <f>"1518322098"</f>
        <v>1518322098</v>
      </c>
      <c r="C11231" t="str">
        <f>"367500000X"</f>
        <v>367500000X</v>
      </c>
      <c r="D11231" t="str">
        <f>"BENTON                   CHRISTOPHER  T           "</f>
        <v xml:space="preserve">BENTON                   CHRISTOPHER  T           </v>
      </c>
      <c r="E11231" t="str">
        <f>"OCEAN SPRINGS             "</f>
        <v xml:space="preserve">OCEAN SPRINGS             </v>
      </c>
      <c r="F11231" t="str">
        <f t="shared" si="303"/>
        <v>MS</v>
      </c>
    </row>
    <row r="11232" spans="1:6" x14ac:dyDescent="0.25">
      <c r="A11232" t="str">
        <f>"005524208"</f>
        <v>005524208</v>
      </c>
      <c r="B11232" t="str">
        <f>"1982248571"</f>
        <v>1982248571</v>
      </c>
      <c r="C11232" t="str">
        <f>"363L00000X"</f>
        <v>363L00000X</v>
      </c>
      <c r="D11232" t="str">
        <f>"FLOYD                    MELISSA      J           "</f>
        <v xml:space="preserve">FLOYD                    MELISSA      J           </v>
      </c>
      <c r="E11232" t="str">
        <f>"PICAYUNE                  "</f>
        <v xml:space="preserve">PICAYUNE                  </v>
      </c>
      <c r="F11232" t="str">
        <f t="shared" si="303"/>
        <v>MS</v>
      </c>
    </row>
    <row r="11233" spans="1:6" x14ac:dyDescent="0.25">
      <c r="A11233" t="str">
        <f>"005525004"</f>
        <v>005525004</v>
      </c>
      <c r="B11233" t="str">
        <f>"1437797602"</f>
        <v>1437797602</v>
      </c>
      <c r="C11233" t="str">
        <f>"363L00000X"</f>
        <v>363L00000X</v>
      </c>
      <c r="D11233" t="str">
        <f>"CHESTANG                 AIMEE        R           "</f>
        <v xml:space="preserve">CHESTANG                 AIMEE        R           </v>
      </c>
      <c r="E11233" t="str">
        <f>"BASSFIELD                 "</f>
        <v xml:space="preserve">BASSFIELD                 </v>
      </c>
      <c r="F11233" t="str">
        <f t="shared" si="303"/>
        <v>MS</v>
      </c>
    </row>
    <row r="11234" spans="1:6" x14ac:dyDescent="0.25">
      <c r="A11234" t="str">
        <f>"005525071"</f>
        <v>005525071</v>
      </c>
      <c r="B11234" t="str">
        <f>"1427425958"</f>
        <v>1427425958</v>
      </c>
      <c r="C11234" t="str">
        <f>"363L00000X"</f>
        <v>363L00000X</v>
      </c>
      <c r="D11234" t="str">
        <f>"HEATON                   ANNA                     "</f>
        <v xml:space="preserve">HEATON                   ANNA                     </v>
      </c>
      <c r="E11234" t="str">
        <f>"TUPELO                    "</f>
        <v xml:space="preserve">TUPELO                    </v>
      </c>
      <c r="F11234" t="str">
        <f t="shared" si="303"/>
        <v>MS</v>
      </c>
    </row>
    <row r="11235" spans="1:6" x14ac:dyDescent="0.25">
      <c r="A11235" t="str">
        <f>"005525771"</f>
        <v>005525771</v>
      </c>
      <c r="B11235" t="str">
        <f>"1447448667"</f>
        <v>1447448667</v>
      </c>
      <c r="C11235" t="str">
        <f>"261QF0400X"</f>
        <v>261QF0400X</v>
      </c>
      <c r="D11235" t="str">
        <f>"JHCHC-JIM HILL                                    "</f>
        <v xml:space="preserve">JHCHC-JIM HILL                                    </v>
      </c>
      <c r="E11235" t="str">
        <f>"JACKSON                   "</f>
        <v xml:space="preserve">JACKSON                   </v>
      </c>
      <c r="F11235" t="str">
        <f t="shared" si="303"/>
        <v>MS</v>
      </c>
    </row>
    <row r="11236" spans="1:6" x14ac:dyDescent="0.25">
      <c r="A11236" t="str">
        <f>"005526395"</f>
        <v>005526395</v>
      </c>
      <c r="B11236" t="str">
        <f>"1013067313"</f>
        <v>1013067313</v>
      </c>
      <c r="C11236" t="str">
        <f>"367500000X"</f>
        <v>367500000X</v>
      </c>
      <c r="D11236" t="str">
        <f>"GRAHAM                   AMANDA       L           "</f>
        <v xml:space="preserve">GRAHAM                   AMANDA       L           </v>
      </c>
      <c r="E11236" t="str">
        <f>"GULFPORT                  "</f>
        <v xml:space="preserve">GULFPORT                  </v>
      </c>
      <c r="F11236" t="str">
        <f t="shared" si="303"/>
        <v>MS</v>
      </c>
    </row>
    <row r="11237" spans="1:6" x14ac:dyDescent="0.25">
      <c r="A11237" t="str">
        <f>"005527346"</f>
        <v>005527346</v>
      </c>
      <c r="B11237" t="str">
        <f>"1932219524"</f>
        <v>1932219524</v>
      </c>
      <c r="C11237" t="str">
        <f>"261QF0400X"</f>
        <v>261QF0400X</v>
      </c>
      <c r="D11237" t="str">
        <f>"ACCESS FAMILY DENTAL CLINIC                       "</f>
        <v xml:space="preserve">ACCESS FAMILY DENTAL CLINIC                       </v>
      </c>
      <c r="E11237" t="str">
        <f>"SMITHVILLE                "</f>
        <v xml:space="preserve">SMITHVILLE                </v>
      </c>
      <c r="F11237" t="str">
        <f t="shared" si="303"/>
        <v>MS</v>
      </c>
    </row>
    <row r="11238" spans="1:6" x14ac:dyDescent="0.25">
      <c r="A11238" t="str">
        <f>"005527532"</f>
        <v>005527532</v>
      </c>
      <c r="B11238" t="str">
        <f>"1275874752"</f>
        <v>1275874752</v>
      </c>
      <c r="C11238" t="str">
        <f>"363L00000X"</f>
        <v>363L00000X</v>
      </c>
      <c r="D11238" t="str">
        <f>"STONE                    LANCE                    "</f>
        <v xml:space="preserve">STONE                    LANCE                    </v>
      </c>
      <c r="E11238" t="str">
        <f>"MCCOMB                    "</f>
        <v xml:space="preserve">MCCOMB                    </v>
      </c>
      <c r="F11238" t="str">
        <f t="shared" si="303"/>
        <v>MS</v>
      </c>
    </row>
    <row r="11239" spans="1:6" x14ac:dyDescent="0.25">
      <c r="A11239" t="str">
        <f>"005529869"</f>
        <v>005529869</v>
      </c>
      <c r="B11239" t="str">
        <f>"1316131568"</f>
        <v>1316131568</v>
      </c>
      <c r="C11239" t="str">
        <f>"2084N0400X"</f>
        <v>2084N0400X</v>
      </c>
      <c r="D11239" t="str">
        <f>"JONES                    KEITH        O           "</f>
        <v xml:space="preserve">JONES                    KEITH        O           </v>
      </c>
      <c r="E11239" t="str">
        <f>"HATTIESBURG               "</f>
        <v xml:space="preserve">HATTIESBURG               </v>
      </c>
      <c r="F11239" t="str">
        <f t="shared" si="303"/>
        <v>MS</v>
      </c>
    </row>
    <row r="11240" spans="1:6" x14ac:dyDescent="0.25">
      <c r="A11240" t="str">
        <f>"005530556"</f>
        <v>005530556</v>
      </c>
      <c r="B11240" t="str">
        <f>"1578020459"</f>
        <v>1578020459</v>
      </c>
      <c r="C11240" t="str">
        <f>"363L00000X"</f>
        <v>363L00000X</v>
      </c>
      <c r="D11240" t="str">
        <f>"BROWN LITTLE             JACQUELYNE               "</f>
        <v xml:space="preserve">BROWN LITTLE             JACQUELYNE               </v>
      </c>
      <c r="E11240" t="str">
        <f>"RULEVILLE                 "</f>
        <v xml:space="preserve">RULEVILLE                 </v>
      </c>
      <c r="F11240" t="str">
        <f t="shared" si="303"/>
        <v>MS</v>
      </c>
    </row>
    <row r="11241" spans="1:6" x14ac:dyDescent="0.25">
      <c r="A11241" t="str">
        <f>"005531810"</f>
        <v>005531810</v>
      </c>
      <c r="B11241" t="str">
        <f>"1427584408"</f>
        <v>1427584408</v>
      </c>
      <c r="C11241" t="str">
        <f>"207V00000X"</f>
        <v>207V00000X</v>
      </c>
      <c r="D11241" t="str">
        <f>"BILLSBY                  BRITTNEY     C           "</f>
        <v xml:space="preserve">BILLSBY                  BRITTNEY     C           </v>
      </c>
      <c r="E11241" t="str">
        <f>"TUPELO                    "</f>
        <v xml:space="preserve">TUPELO                    </v>
      </c>
      <c r="F11241" t="str">
        <f t="shared" si="303"/>
        <v>MS</v>
      </c>
    </row>
    <row r="11242" spans="1:6" x14ac:dyDescent="0.25">
      <c r="A11242" t="str">
        <f>"005531862"</f>
        <v>005531862</v>
      </c>
      <c r="B11242" t="str">
        <f>"1609323450"</f>
        <v>1609323450</v>
      </c>
      <c r="C11242" t="str">
        <f>"363L00000X"</f>
        <v>363L00000X</v>
      </c>
      <c r="D11242" t="str">
        <f>"OTTO                     MEGAN        R           "</f>
        <v xml:space="preserve">OTTO                     MEGAN        R           </v>
      </c>
      <c r="E11242" t="str">
        <f>"FOREST                    "</f>
        <v xml:space="preserve">FOREST                    </v>
      </c>
      <c r="F11242" t="str">
        <f t="shared" si="303"/>
        <v>MS</v>
      </c>
    </row>
    <row r="11243" spans="1:6" x14ac:dyDescent="0.25">
      <c r="A11243" t="str">
        <f>"005532216"</f>
        <v>005532216</v>
      </c>
      <c r="B11243" t="str">
        <f>"1578095238"</f>
        <v>1578095238</v>
      </c>
      <c r="C11243" t="str">
        <f>"208000000X"</f>
        <v>208000000X</v>
      </c>
      <c r="D11243" t="str">
        <f>"RAMEY                    KRISTEN      N           "</f>
        <v xml:space="preserve">RAMEY                    KRISTEN      N           </v>
      </c>
      <c r="E11243" t="str">
        <f>"HATTIESBURG               "</f>
        <v xml:space="preserve">HATTIESBURG               </v>
      </c>
      <c r="F11243" t="str">
        <f t="shared" si="303"/>
        <v>MS</v>
      </c>
    </row>
    <row r="11244" spans="1:6" x14ac:dyDescent="0.25">
      <c r="A11244" t="str">
        <f>"005532219"</f>
        <v>005532219</v>
      </c>
      <c r="B11244" t="str">
        <f>"1154402782"</f>
        <v>1154402782</v>
      </c>
      <c r="C11244" t="str">
        <f>"367500000X"</f>
        <v>367500000X</v>
      </c>
      <c r="D11244" t="str">
        <f>"ESTES                    BRIAN                    "</f>
        <v xml:space="preserve">ESTES                    BRIAN                    </v>
      </c>
      <c r="E11244" t="str">
        <f>"TUPELO                    "</f>
        <v xml:space="preserve">TUPELO                    </v>
      </c>
      <c r="F11244" t="str">
        <f t="shared" si="303"/>
        <v>MS</v>
      </c>
    </row>
    <row r="11245" spans="1:6" x14ac:dyDescent="0.25">
      <c r="A11245" t="str">
        <f>"005532271"</f>
        <v>005532271</v>
      </c>
      <c r="B11245" t="str">
        <f>"1548566441"</f>
        <v>1548566441</v>
      </c>
      <c r="C11245" t="str">
        <f>"363L00000X"</f>
        <v>363L00000X</v>
      </c>
      <c r="D11245" t="str">
        <f>"RED                      AYANA                    "</f>
        <v xml:space="preserve">RED                      AYANA                    </v>
      </c>
      <c r="E11245" t="str">
        <f>"VICKSBURG                 "</f>
        <v xml:space="preserve">VICKSBURG                 </v>
      </c>
      <c r="F11245" t="str">
        <f t="shared" si="303"/>
        <v>MS</v>
      </c>
    </row>
    <row r="11246" spans="1:6" x14ac:dyDescent="0.25">
      <c r="A11246" t="str">
        <f>"005532315"</f>
        <v>005532315</v>
      </c>
      <c r="B11246" t="str">
        <f>"1831553700"</f>
        <v>1831553700</v>
      </c>
      <c r="C11246" t="str">
        <f>"207R00000X"</f>
        <v>207R00000X</v>
      </c>
      <c r="D11246" t="str">
        <f>"FRYOUX                   JORDAN       T           "</f>
        <v xml:space="preserve">FRYOUX                   JORDAN       T           </v>
      </c>
      <c r="E11246" t="str">
        <f>"JACKSON                   "</f>
        <v xml:space="preserve">JACKSON                   </v>
      </c>
      <c r="F11246" t="str">
        <f t="shared" si="303"/>
        <v>MS</v>
      </c>
    </row>
    <row r="11247" spans="1:6" x14ac:dyDescent="0.25">
      <c r="A11247" t="str">
        <f>"005534513"</f>
        <v>005534513</v>
      </c>
      <c r="B11247" t="str">
        <f>"1437381076"</f>
        <v>1437381076</v>
      </c>
      <c r="C11247" t="str">
        <f>"152W00000X"</f>
        <v>152W00000X</v>
      </c>
      <c r="D11247" t="str">
        <f>"BALLARD                  MONICA       A           "</f>
        <v xml:space="preserve">BALLARD                  MONICA       A           </v>
      </c>
      <c r="E11247" t="str">
        <f>"RIPLEY                    "</f>
        <v xml:space="preserve">RIPLEY                    </v>
      </c>
      <c r="F11247" t="str">
        <f t="shared" si="303"/>
        <v>MS</v>
      </c>
    </row>
    <row r="11248" spans="1:6" x14ac:dyDescent="0.25">
      <c r="A11248" t="str">
        <f>"005534529"</f>
        <v>005534529</v>
      </c>
      <c r="B11248" t="str">
        <f>"1659724177"</f>
        <v>1659724177</v>
      </c>
      <c r="C11248" t="str">
        <f>"208800000X"</f>
        <v>208800000X</v>
      </c>
      <c r="D11248" t="str">
        <f>"PETERSON                 ADAM         M           "</f>
        <v xml:space="preserve">PETERSON                 ADAM         M           </v>
      </c>
      <c r="E11248" t="str">
        <f>"PASCAGOULA                "</f>
        <v xml:space="preserve">PASCAGOULA                </v>
      </c>
      <c r="F11248" t="str">
        <f t="shared" si="303"/>
        <v>MS</v>
      </c>
    </row>
    <row r="11249" spans="1:6" x14ac:dyDescent="0.25">
      <c r="A11249" t="str">
        <f>"005537736"</f>
        <v>005537736</v>
      </c>
      <c r="B11249" t="str">
        <f>"1427456144"</f>
        <v>1427456144</v>
      </c>
      <c r="C11249" t="str">
        <f>"122300000X"</f>
        <v>122300000X</v>
      </c>
      <c r="D11249" t="str">
        <f>"HEALTHY SMILES FAMILY DENTISTRY                   "</f>
        <v xml:space="preserve">HEALTHY SMILES FAMILY DENTISTRY                   </v>
      </c>
      <c r="E11249" t="str">
        <f>"GULFPORT                  "</f>
        <v xml:space="preserve">GULFPORT                  </v>
      </c>
      <c r="F11249" t="str">
        <f t="shared" si="303"/>
        <v>MS</v>
      </c>
    </row>
    <row r="11250" spans="1:6" x14ac:dyDescent="0.25">
      <c r="A11250" t="str">
        <f>"005538563"</f>
        <v>005538563</v>
      </c>
      <c r="B11250" t="str">
        <f>"1497843064"</f>
        <v>1497843064</v>
      </c>
      <c r="C11250" t="str">
        <f>"207L00000X"</f>
        <v>207L00000X</v>
      </c>
      <c r="D11250" t="str">
        <f>"BAHR                     MICAH        J           "</f>
        <v xml:space="preserve">BAHR                     MICAH        J           </v>
      </c>
      <c r="E11250" t="str">
        <f>"PASCAGOULA                "</f>
        <v xml:space="preserve">PASCAGOULA                </v>
      </c>
      <c r="F11250" t="str">
        <f t="shared" si="303"/>
        <v>MS</v>
      </c>
    </row>
    <row r="11251" spans="1:6" x14ac:dyDescent="0.25">
      <c r="A11251" t="str">
        <f>"005539595"</f>
        <v>005539595</v>
      </c>
      <c r="B11251" t="str">
        <f>"1336471515"</f>
        <v>1336471515</v>
      </c>
      <c r="C11251" t="str">
        <f>"363L00000X"</f>
        <v>363L00000X</v>
      </c>
      <c r="D11251" t="str">
        <f>"BRAY                     CARLA        H           "</f>
        <v xml:space="preserve">BRAY                     CARLA        H           </v>
      </c>
      <c r="E11251" t="str">
        <f>"RIPLEY                    "</f>
        <v xml:space="preserve">RIPLEY                    </v>
      </c>
      <c r="F11251" t="str">
        <f t="shared" si="303"/>
        <v>MS</v>
      </c>
    </row>
    <row r="11252" spans="1:6" x14ac:dyDescent="0.25">
      <c r="A11252" t="str">
        <f>"005551067"</f>
        <v>005551067</v>
      </c>
      <c r="B11252" t="str">
        <f>"1629550496"</f>
        <v>1629550496</v>
      </c>
      <c r="C11252" t="str">
        <f>"363L00000X"</f>
        <v>363L00000X</v>
      </c>
      <c r="D11252" t="str">
        <f>"WALLACE                  CRYSTAL      N           "</f>
        <v xml:space="preserve">WALLACE                  CRYSTAL      N           </v>
      </c>
      <c r="E11252" t="str">
        <f>"HATTIESBURG               "</f>
        <v xml:space="preserve">HATTIESBURG               </v>
      </c>
      <c r="F11252" t="str">
        <f t="shared" si="303"/>
        <v>MS</v>
      </c>
    </row>
    <row r="11253" spans="1:6" x14ac:dyDescent="0.25">
      <c r="A11253" t="str">
        <f>"005551111"</f>
        <v>005551111</v>
      </c>
      <c r="B11253" t="str">
        <f>"1003030578"</f>
        <v>1003030578</v>
      </c>
      <c r="C11253" t="str">
        <f>"207T00000X"</f>
        <v>207T00000X</v>
      </c>
      <c r="D11253" t="str">
        <f>"HUX                      FRANK        J           "</f>
        <v xml:space="preserve">HUX                      FRANK        J           </v>
      </c>
      <c r="E11253" t="str">
        <f>"HATTIESBURG               "</f>
        <v xml:space="preserve">HATTIESBURG               </v>
      </c>
      <c r="F11253" t="str">
        <f t="shared" si="303"/>
        <v>MS</v>
      </c>
    </row>
    <row r="11254" spans="1:6" x14ac:dyDescent="0.25">
      <c r="A11254" t="str">
        <f>"005551742"</f>
        <v>005551742</v>
      </c>
      <c r="B11254" t="str">
        <f>"1326451741"</f>
        <v>1326451741</v>
      </c>
      <c r="C11254" t="str">
        <f>"207Q00000X"</f>
        <v>207Q00000X</v>
      </c>
      <c r="D11254" t="str">
        <f>"WALKER                   MICAH        R           "</f>
        <v xml:space="preserve">WALKER                   MICAH        R           </v>
      </c>
      <c r="E11254" t="str">
        <f>"FLORA                     "</f>
        <v xml:space="preserve">FLORA                     </v>
      </c>
      <c r="F11254" t="str">
        <f t="shared" si="303"/>
        <v>MS</v>
      </c>
    </row>
    <row r="11255" spans="1:6" x14ac:dyDescent="0.25">
      <c r="A11255" t="str">
        <f>"005552091"</f>
        <v>005552091</v>
      </c>
      <c r="B11255" t="str">
        <f>"1316216716"</f>
        <v>1316216716</v>
      </c>
      <c r="C11255" t="str">
        <f>"122300000X"</f>
        <v>122300000X</v>
      </c>
      <c r="D11255" t="str">
        <f>"PEDIATRIC DENTAL GROUP OF HATTIESBU               "</f>
        <v xml:space="preserve">PEDIATRIC DENTAL GROUP OF HATTIESBU               </v>
      </c>
      <c r="E11255" t="str">
        <f>"HATTIESBURG               "</f>
        <v xml:space="preserve">HATTIESBURG               </v>
      </c>
      <c r="F11255" t="str">
        <f t="shared" si="303"/>
        <v>MS</v>
      </c>
    </row>
    <row r="11256" spans="1:6" x14ac:dyDescent="0.25">
      <c r="A11256" t="str">
        <f>"005553589"</f>
        <v>005553589</v>
      </c>
      <c r="B11256" t="str">
        <f>"1649621368"</f>
        <v>1649621368</v>
      </c>
      <c r="C11256" t="str">
        <f>"363L00000X"</f>
        <v>363L00000X</v>
      </c>
      <c r="D11256" t="str">
        <f>"MCCARTY                  KENDRICK                 "</f>
        <v xml:space="preserve">MCCARTY                  KENDRICK                 </v>
      </c>
      <c r="E11256" t="str">
        <f>"BILOXI                    "</f>
        <v xml:space="preserve">BILOXI                    </v>
      </c>
      <c r="F11256" t="str">
        <f t="shared" si="303"/>
        <v>MS</v>
      </c>
    </row>
    <row r="11257" spans="1:6" x14ac:dyDescent="0.25">
      <c r="A11257" t="str">
        <f>"005554051"</f>
        <v>005554051</v>
      </c>
      <c r="B11257" t="str">
        <f>"1417192931"</f>
        <v>1417192931</v>
      </c>
      <c r="C11257" t="str">
        <f>"363L00000X"</f>
        <v>363L00000X</v>
      </c>
      <c r="D11257" t="str">
        <f>"PEGGINS                  KRISTIE      N           "</f>
        <v xml:space="preserve">PEGGINS                  KRISTIE      N           </v>
      </c>
      <c r="E11257" t="str">
        <f>"SOUTHAVEN                 "</f>
        <v xml:space="preserve">SOUTHAVEN                 </v>
      </c>
      <c r="F11257" t="str">
        <f t="shared" si="303"/>
        <v>MS</v>
      </c>
    </row>
    <row r="11258" spans="1:6" x14ac:dyDescent="0.25">
      <c r="A11258" t="str">
        <f>"005554506"</f>
        <v>005554506</v>
      </c>
      <c r="B11258" t="str">
        <f>"1669068136"</f>
        <v>1669068136</v>
      </c>
      <c r="C11258" t="str">
        <f>"363L00000X"</f>
        <v>363L00000X</v>
      </c>
      <c r="D11258" t="str">
        <f>"NEAL                     JACQUELINE   L           "</f>
        <v xml:space="preserve">NEAL                     JACQUELINE   L           </v>
      </c>
      <c r="E11258" t="str">
        <f>"GULFPORT                  "</f>
        <v xml:space="preserve">GULFPORT                  </v>
      </c>
      <c r="F11258" t="str">
        <f t="shared" si="303"/>
        <v>MS</v>
      </c>
    </row>
    <row r="11259" spans="1:6" x14ac:dyDescent="0.25">
      <c r="A11259" t="str">
        <f>"005555520"</f>
        <v>005555520</v>
      </c>
      <c r="B11259" t="str">
        <f>"1356550594"</f>
        <v>1356550594</v>
      </c>
      <c r="C11259" t="str">
        <f>"207RC0000X"</f>
        <v>207RC0000X</v>
      </c>
      <c r="D11259" t="str">
        <f>"ADLAKHA                  SATJIT                   "</f>
        <v xml:space="preserve">ADLAKHA                  SATJIT                   </v>
      </c>
      <c r="E11259" t="str">
        <f>"OCEAN SPRINGS             "</f>
        <v xml:space="preserve">OCEAN SPRINGS             </v>
      </c>
      <c r="F11259" t="str">
        <f t="shared" si="303"/>
        <v>MS</v>
      </c>
    </row>
    <row r="11260" spans="1:6" x14ac:dyDescent="0.25">
      <c r="A11260" t="str">
        <f>"005555802"</f>
        <v>005555802</v>
      </c>
      <c r="B11260" t="str">
        <f>"1497409981"</f>
        <v>1497409981</v>
      </c>
      <c r="C11260" t="str">
        <f>"363L00000X"</f>
        <v>363L00000X</v>
      </c>
      <c r="D11260" t="str">
        <f>"WILLIAMS-LEWIS           SHAWUANNA                "</f>
        <v xml:space="preserve">WILLIAMS-LEWIS           SHAWUANNA                </v>
      </c>
      <c r="E11260" t="str">
        <f>"GULFPORT                  "</f>
        <v xml:space="preserve">GULFPORT                  </v>
      </c>
      <c r="F11260" t="str">
        <f t="shared" si="303"/>
        <v>MS</v>
      </c>
    </row>
    <row r="11261" spans="1:6" x14ac:dyDescent="0.25">
      <c r="A11261" t="str">
        <f>"005556089"</f>
        <v>005556089</v>
      </c>
      <c r="B11261" t="str">
        <f>"1508245226"</f>
        <v>1508245226</v>
      </c>
      <c r="C11261" t="str">
        <f>"207RN0300X"</f>
        <v>207RN0300X</v>
      </c>
      <c r="D11261" t="str">
        <f>"ELLIOTT                  JOHN         W           "</f>
        <v xml:space="preserve">ELLIOTT                  JOHN         W           </v>
      </c>
      <c r="E11261" t="str">
        <f>"TUPELO                    "</f>
        <v xml:space="preserve">TUPELO                    </v>
      </c>
      <c r="F11261" t="str">
        <f t="shared" si="303"/>
        <v>MS</v>
      </c>
    </row>
    <row r="11262" spans="1:6" x14ac:dyDescent="0.25">
      <c r="A11262" t="str">
        <f>"005556231"</f>
        <v>005556231</v>
      </c>
      <c r="B11262" t="str">
        <f>"1528556362"</f>
        <v>1528556362</v>
      </c>
      <c r="C11262" t="str">
        <f>"207Q00000X"</f>
        <v>207Q00000X</v>
      </c>
      <c r="D11262" t="str">
        <f>"ABLES SAPPINGTON         HOLLIE                   "</f>
        <v xml:space="preserve">ABLES SAPPINGTON         HOLLIE                   </v>
      </c>
      <c r="E11262" t="str">
        <f>"NEWTON                    "</f>
        <v xml:space="preserve">NEWTON                    </v>
      </c>
      <c r="F11262" t="str">
        <f t="shared" ref="F11262:F11325" si="304">"MS"</f>
        <v>MS</v>
      </c>
    </row>
    <row r="11263" spans="1:6" x14ac:dyDescent="0.25">
      <c r="A11263" t="str">
        <f>"005556532"</f>
        <v>005556532</v>
      </c>
      <c r="B11263" t="str">
        <f>"1811931454"</f>
        <v>1811931454</v>
      </c>
      <c r="C11263" t="str">
        <f>"207Q00000X"</f>
        <v>207Q00000X</v>
      </c>
      <c r="D11263" t="str">
        <f>"JACKSON                  JOY                      "</f>
        <v xml:space="preserve">JACKSON                  JOY                      </v>
      </c>
      <c r="E11263" t="str">
        <f>"JACKSON                   "</f>
        <v xml:space="preserve">JACKSON                   </v>
      </c>
      <c r="F11263" t="str">
        <f t="shared" si="304"/>
        <v>MS</v>
      </c>
    </row>
    <row r="11264" spans="1:6" x14ac:dyDescent="0.25">
      <c r="A11264" t="str">
        <f>"005556731"</f>
        <v>005556731</v>
      </c>
      <c r="B11264" t="str">
        <f>"1790928687"</f>
        <v>1790928687</v>
      </c>
      <c r="C11264" t="str">
        <f>"363L00000X"</f>
        <v>363L00000X</v>
      </c>
      <c r="D11264" t="str">
        <f>"BRUNSON                  ALLISON      B           "</f>
        <v xml:space="preserve">BRUNSON                  ALLISON      B           </v>
      </c>
      <c r="E11264" t="str">
        <f>"JACKSON                   "</f>
        <v xml:space="preserve">JACKSON                   </v>
      </c>
      <c r="F11264" t="str">
        <f t="shared" si="304"/>
        <v>MS</v>
      </c>
    </row>
    <row r="11265" spans="1:6" x14ac:dyDescent="0.25">
      <c r="A11265" t="str">
        <f>"005571351"</f>
        <v>005571351</v>
      </c>
      <c r="B11265" t="str">
        <f>"1124662309"</f>
        <v>1124662309</v>
      </c>
      <c r="C11265" t="str">
        <f>"363L00000X"</f>
        <v>363L00000X</v>
      </c>
      <c r="D11265" t="str">
        <f>"RAWSON                   JAMIE        R           "</f>
        <v xml:space="preserve">RAWSON                   JAMIE        R           </v>
      </c>
      <c r="E11265" t="str">
        <f>"MORTON                    "</f>
        <v xml:space="preserve">MORTON                    </v>
      </c>
      <c r="F11265" t="str">
        <f t="shared" si="304"/>
        <v>MS</v>
      </c>
    </row>
    <row r="11266" spans="1:6" x14ac:dyDescent="0.25">
      <c r="A11266" t="str">
        <f>"005573591"</f>
        <v>005573591</v>
      </c>
      <c r="B11266" t="str">
        <f>"1871972646"</f>
        <v>1871972646</v>
      </c>
      <c r="C11266" t="str">
        <f>"2085R0202X"</f>
        <v>2085R0202X</v>
      </c>
      <c r="D11266" t="str">
        <f>"BERLIN                   WILLIAM      P           "</f>
        <v xml:space="preserve">BERLIN                   WILLIAM      P           </v>
      </c>
      <c r="E11266" t="str">
        <f>"JACKSON                   "</f>
        <v xml:space="preserve">JACKSON                   </v>
      </c>
      <c r="F11266" t="str">
        <f t="shared" si="304"/>
        <v>MS</v>
      </c>
    </row>
    <row r="11267" spans="1:6" x14ac:dyDescent="0.25">
      <c r="A11267" t="str">
        <f>"005574060"</f>
        <v>005574060</v>
      </c>
      <c r="B11267" t="str">
        <f>"1598323511"</f>
        <v>1598323511</v>
      </c>
      <c r="C11267" t="str">
        <f>"363L00000X"</f>
        <v>363L00000X</v>
      </c>
      <c r="D11267" t="str">
        <f>"WATERS                   LAUREN                   "</f>
        <v xml:space="preserve">WATERS                   LAUREN                   </v>
      </c>
      <c r="E11267" t="str">
        <f>"IUKA                      "</f>
        <v xml:space="preserve">IUKA                      </v>
      </c>
      <c r="F11267" t="str">
        <f t="shared" si="304"/>
        <v>MS</v>
      </c>
    </row>
    <row r="11268" spans="1:6" x14ac:dyDescent="0.25">
      <c r="A11268" t="str">
        <f>"005574549"</f>
        <v>005574549</v>
      </c>
      <c r="B11268" t="str">
        <f>"1801256318"</f>
        <v>1801256318</v>
      </c>
      <c r="C11268" t="str">
        <f>"261QM3000X"</f>
        <v>261QM3000X</v>
      </c>
      <c r="D11268" t="str">
        <f>"CARING HANDS PPEC OF VICKSBURG                    "</f>
        <v xml:space="preserve">CARING HANDS PPEC OF VICKSBURG                    </v>
      </c>
      <c r="E11268" t="str">
        <f>"VICKSBURG                 "</f>
        <v xml:space="preserve">VICKSBURG                 </v>
      </c>
      <c r="F11268" t="str">
        <f t="shared" si="304"/>
        <v>MS</v>
      </c>
    </row>
    <row r="11269" spans="1:6" x14ac:dyDescent="0.25">
      <c r="A11269" t="str">
        <f>"005575518"</f>
        <v>005575518</v>
      </c>
      <c r="B11269" t="str">
        <f>"1962575472"</f>
        <v>1962575472</v>
      </c>
      <c r="C11269" t="str">
        <f>"152W00000X"</f>
        <v>152W00000X</v>
      </c>
      <c r="D11269" t="str">
        <f>"BELK EYE CLINIC                                   "</f>
        <v xml:space="preserve">BELK EYE CLINIC                                   </v>
      </c>
      <c r="E11269" t="str">
        <f>"GULFPORT                  "</f>
        <v xml:space="preserve">GULFPORT                  </v>
      </c>
      <c r="F11269" t="str">
        <f t="shared" si="304"/>
        <v>MS</v>
      </c>
    </row>
    <row r="11270" spans="1:6" x14ac:dyDescent="0.25">
      <c r="A11270" t="str">
        <f>"005575701"</f>
        <v>005575701</v>
      </c>
      <c r="B11270" t="str">
        <f>"1194497032"</f>
        <v>1194497032</v>
      </c>
      <c r="C11270" t="str">
        <f>"363L00000X"</f>
        <v>363L00000X</v>
      </c>
      <c r="D11270" t="str">
        <f>"BEANE                    MYLIE                    "</f>
        <v xml:space="preserve">BEANE                    MYLIE                    </v>
      </c>
      <c r="E11270" t="str">
        <f>"TUPELO                    "</f>
        <v xml:space="preserve">TUPELO                    </v>
      </c>
      <c r="F11270" t="str">
        <f t="shared" si="304"/>
        <v>MS</v>
      </c>
    </row>
    <row r="11271" spans="1:6" x14ac:dyDescent="0.25">
      <c r="A11271" t="str">
        <f>"005577721"</f>
        <v>005577721</v>
      </c>
      <c r="B11271" t="str">
        <f>"1245644913"</f>
        <v>1245644913</v>
      </c>
      <c r="C11271" t="str">
        <f>"363L00000X"</f>
        <v>363L00000X</v>
      </c>
      <c r="D11271" t="str">
        <f>"POSEY                    KRISTEN      S           "</f>
        <v xml:space="preserve">POSEY                    KRISTEN      S           </v>
      </c>
      <c r="E11271" t="str">
        <f>"JACKSON                   "</f>
        <v xml:space="preserve">JACKSON                   </v>
      </c>
      <c r="F11271" t="str">
        <f t="shared" si="304"/>
        <v>MS</v>
      </c>
    </row>
    <row r="11272" spans="1:6" x14ac:dyDescent="0.25">
      <c r="A11272" t="str">
        <f>"005579706"</f>
        <v>005579706</v>
      </c>
      <c r="B11272" t="str">
        <f>"1497068118"</f>
        <v>1497068118</v>
      </c>
      <c r="C11272" t="str">
        <f>"122300000X"</f>
        <v>122300000X</v>
      </c>
      <c r="D11272" t="str">
        <f>"CARTER                   STACEY       R           "</f>
        <v xml:space="preserve">CARTER                   STACEY       R           </v>
      </c>
      <c r="E11272" t="str">
        <f>"GULFPORT                  "</f>
        <v xml:space="preserve">GULFPORT                  </v>
      </c>
      <c r="F11272" t="str">
        <f t="shared" si="304"/>
        <v>MS</v>
      </c>
    </row>
    <row r="11273" spans="1:6" x14ac:dyDescent="0.25">
      <c r="A11273" t="str">
        <f>"005580006"</f>
        <v>005580006</v>
      </c>
      <c r="B11273" t="str">
        <f>"1083843551"</f>
        <v>1083843551</v>
      </c>
      <c r="C11273" t="str">
        <f>"122300000X"</f>
        <v>122300000X</v>
      </c>
      <c r="D11273" t="str">
        <f>"BROWN                    JASON        R           "</f>
        <v xml:space="preserve">BROWN                    JASON        R           </v>
      </c>
      <c r="E11273" t="str">
        <f>"YAZOO CITY                "</f>
        <v xml:space="preserve">YAZOO CITY                </v>
      </c>
      <c r="F11273" t="str">
        <f t="shared" si="304"/>
        <v>MS</v>
      </c>
    </row>
    <row r="11274" spans="1:6" x14ac:dyDescent="0.25">
      <c r="A11274" t="str">
        <f>"005580553"</f>
        <v>005580553</v>
      </c>
      <c r="B11274" t="str">
        <f>"1316676257"</f>
        <v>1316676257</v>
      </c>
      <c r="C11274" t="str">
        <f>"122300000X"</f>
        <v>122300000X</v>
      </c>
      <c r="D11274" t="str">
        <f>"BRUNI                    CATHERINE    L           "</f>
        <v xml:space="preserve">BRUNI                    CATHERINE    L           </v>
      </c>
      <c r="E11274" t="str">
        <f>"WAVELAND                  "</f>
        <v xml:space="preserve">WAVELAND                  </v>
      </c>
      <c r="F11274" t="str">
        <f t="shared" si="304"/>
        <v>MS</v>
      </c>
    </row>
    <row r="11275" spans="1:6" x14ac:dyDescent="0.25">
      <c r="A11275" t="str">
        <f>"005582211"</f>
        <v>005582211</v>
      </c>
      <c r="B11275" t="str">
        <f>"1730462771"</f>
        <v>1730462771</v>
      </c>
      <c r="C11275" t="str">
        <f>"208000000X"</f>
        <v>208000000X</v>
      </c>
      <c r="D11275" t="str">
        <f>"KARIMU                   MOSHOOD      B           "</f>
        <v xml:space="preserve">KARIMU                   MOSHOOD      B           </v>
      </c>
      <c r="E11275" t="str">
        <f>"TUPELO                    "</f>
        <v xml:space="preserve">TUPELO                    </v>
      </c>
      <c r="F11275" t="str">
        <f t="shared" si="304"/>
        <v>MS</v>
      </c>
    </row>
    <row r="11276" spans="1:6" x14ac:dyDescent="0.25">
      <c r="A11276" t="str">
        <f>"005583609"</f>
        <v>005583609</v>
      </c>
      <c r="B11276" t="str">
        <f>"1780948216"</f>
        <v>1780948216</v>
      </c>
      <c r="C11276" t="str">
        <f>"207K00000X"</f>
        <v>207K00000X</v>
      </c>
      <c r="D11276" t="str">
        <f>"OLMSTED                  BLAKE        R           "</f>
        <v xml:space="preserve">OLMSTED                  BLAKE        R           </v>
      </c>
      <c r="E11276" t="str">
        <f>"HATTIESBURG               "</f>
        <v xml:space="preserve">HATTIESBURG               </v>
      </c>
      <c r="F11276" t="str">
        <f t="shared" si="304"/>
        <v>MS</v>
      </c>
    </row>
    <row r="11277" spans="1:6" x14ac:dyDescent="0.25">
      <c r="A11277" t="str">
        <f>"005583831"</f>
        <v>005583831</v>
      </c>
      <c r="B11277" t="str">
        <f>"1811044613"</f>
        <v>1811044613</v>
      </c>
      <c r="C11277" t="str">
        <f>"207R00000X"</f>
        <v>207R00000X</v>
      </c>
      <c r="D11277" t="str">
        <f>"MARTIN                   KENISHA      R           "</f>
        <v xml:space="preserve">MARTIN                   KENISHA      R           </v>
      </c>
      <c r="E11277" t="str">
        <f>"JACKSON                   "</f>
        <v xml:space="preserve">JACKSON                   </v>
      </c>
      <c r="F11277" t="str">
        <f t="shared" si="304"/>
        <v>MS</v>
      </c>
    </row>
    <row r="11278" spans="1:6" x14ac:dyDescent="0.25">
      <c r="A11278" t="str">
        <f>"005584391"</f>
        <v>005584391</v>
      </c>
      <c r="B11278" t="str">
        <f>"1033361233"</f>
        <v>1033361233</v>
      </c>
      <c r="C11278" t="str">
        <f>"363LF0000X"</f>
        <v>363LF0000X</v>
      </c>
      <c r="D11278" t="str">
        <f>"DAVIS                    LELOUISE     T           "</f>
        <v xml:space="preserve">DAVIS                    LELOUISE     T           </v>
      </c>
      <c r="E11278" t="str">
        <f>"JACKSON                   "</f>
        <v xml:space="preserve">JACKSON                   </v>
      </c>
      <c r="F11278" t="str">
        <f t="shared" si="304"/>
        <v>MS</v>
      </c>
    </row>
    <row r="11279" spans="1:6" x14ac:dyDescent="0.25">
      <c r="A11279" t="str">
        <f>"005584850"</f>
        <v>005584850</v>
      </c>
      <c r="B11279" t="str">
        <f>"1063093870"</f>
        <v>1063093870</v>
      </c>
      <c r="C11279" t="str">
        <f>"363L00000X"</f>
        <v>363L00000X</v>
      </c>
      <c r="D11279" t="str">
        <f>"DUNLOP                   CHRISTA      C           "</f>
        <v xml:space="preserve">DUNLOP                   CHRISTA      C           </v>
      </c>
      <c r="E11279" t="str">
        <f>"SOUTHAVEN                 "</f>
        <v xml:space="preserve">SOUTHAVEN                 </v>
      </c>
      <c r="F11279" t="str">
        <f t="shared" si="304"/>
        <v>MS</v>
      </c>
    </row>
    <row r="11280" spans="1:6" x14ac:dyDescent="0.25">
      <c r="A11280" t="str">
        <f>"005585859"</f>
        <v>005585859</v>
      </c>
      <c r="B11280" t="str">
        <f>"1992474837"</f>
        <v>1992474837</v>
      </c>
      <c r="C11280" t="str">
        <f>"363L00000X"</f>
        <v>363L00000X</v>
      </c>
      <c r="D11280" t="str">
        <f>"MAINELLI                 ANNA         L           "</f>
        <v xml:space="preserve">MAINELLI                 ANNA         L           </v>
      </c>
      <c r="E11280" t="str">
        <f>"JACKSON                   "</f>
        <v xml:space="preserve">JACKSON                   </v>
      </c>
      <c r="F11280" t="str">
        <f t="shared" si="304"/>
        <v>MS</v>
      </c>
    </row>
    <row r="11281" spans="1:6" x14ac:dyDescent="0.25">
      <c r="A11281" t="str">
        <f>"005586705"</f>
        <v>005586705</v>
      </c>
      <c r="B11281" t="str">
        <f>"1144840489"</f>
        <v>1144840489</v>
      </c>
      <c r="C11281" t="str">
        <f>"363L00000X"</f>
        <v>363L00000X</v>
      </c>
      <c r="D11281" t="str">
        <f>"KELLY                    ELIZABETH    B           "</f>
        <v xml:space="preserve">KELLY                    ELIZABETH    B           </v>
      </c>
      <c r="E11281" t="str">
        <f>"WINONA                    "</f>
        <v xml:space="preserve">WINONA                    </v>
      </c>
      <c r="F11281" t="str">
        <f t="shared" si="304"/>
        <v>MS</v>
      </c>
    </row>
    <row r="11282" spans="1:6" x14ac:dyDescent="0.25">
      <c r="A11282" t="str">
        <f>"005587052"</f>
        <v>005587052</v>
      </c>
      <c r="B11282" t="str">
        <f>"1174068076"</f>
        <v>1174068076</v>
      </c>
      <c r="C11282" t="str">
        <f>"363L00000X"</f>
        <v>363L00000X</v>
      </c>
      <c r="D11282" t="str">
        <f>"PRITCHETT                RACHEAL      M           "</f>
        <v xml:space="preserve">PRITCHETT                RACHEAL      M           </v>
      </c>
      <c r="E11282" t="str">
        <f>"HATTIESBURG               "</f>
        <v xml:space="preserve">HATTIESBURG               </v>
      </c>
      <c r="F11282" t="str">
        <f t="shared" si="304"/>
        <v>MS</v>
      </c>
    </row>
    <row r="11283" spans="1:6" x14ac:dyDescent="0.25">
      <c r="A11283" t="str">
        <f>"005587711"</f>
        <v>005587711</v>
      </c>
      <c r="B11283" t="str">
        <f>"1629576517"</f>
        <v>1629576517</v>
      </c>
      <c r="C11283" t="str">
        <f>"152W00000X"</f>
        <v>152W00000X</v>
      </c>
      <c r="D11283" t="str">
        <f>"DODD                     WILLIAM      P           "</f>
        <v xml:space="preserve">DODD                     WILLIAM      P           </v>
      </c>
      <c r="E11283" t="str">
        <f>"CORINTH                   "</f>
        <v xml:space="preserve">CORINTH                   </v>
      </c>
      <c r="F11283" t="str">
        <f t="shared" si="304"/>
        <v>MS</v>
      </c>
    </row>
    <row r="11284" spans="1:6" x14ac:dyDescent="0.25">
      <c r="A11284" t="str">
        <f>"005587735"</f>
        <v>005587735</v>
      </c>
      <c r="B11284" t="str">
        <f>"1174791784"</f>
        <v>1174791784</v>
      </c>
      <c r="C11284" t="str">
        <f>"363L00000X"</f>
        <v>363L00000X</v>
      </c>
      <c r="D11284" t="str">
        <f>"TROTTER                  LAKIEVA      T           "</f>
        <v xml:space="preserve">TROTTER                  LAKIEVA      T           </v>
      </c>
      <c r="E11284" t="str">
        <f>"SOUTHAVEN                 "</f>
        <v xml:space="preserve">SOUTHAVEN                 </v>
      </c>
      <c r="F11284" t="str">
        <f t="shared" si="304"/>
        <v>MS</v>
      </c>
    </row>
    <row r="11285" spans="1:6" x14ac:dyDescent="0.25">
      <c r="A11285" t="str">
        <f>"005588277"</f>
        <v>005588277</v>
      </c>
      <c r="B11285" t="str">
        <f>"1063866077"</f>
        <v>1063866077</v>
      </c>
      <c r="C11285" t="str">
        <f>"363L00000X"</f>
        <v>363L00000X</v>
      </c>
      <c r="D11285" t="str">
        <f>"MCKAY                    SHOWANDA                 "</f>
        <v xml:space="preserve">MCKAY                    SHOWANDA                 </v>
      </c>
      <c r="E11285" t="str">
        <f>"SENATOBIA                 "</f>
        <v xml:space="preserve">SENATOBIA                 </v>
      </c>
      <c r="F11285" t="str">
        <f t="shared" si="304"/>
        <v>MS</v>
      </c>
    </row>
    <row r="11286" spans="1:6" x14ac:dyDescent="0.25">
      <c r="A11286" t="str">
        <f>"005588386"</f>
        <v>005588386</v>
      </c>
      <c r="B11286" t="str">
        <f>"1396250031"</f>
        <v>1396250031</v>
      </c>
      <c r="C11286" t="str">
        <f>"261QM0801X"</f>
        <v>261QM0801X</v>
      </c>
      <c r="D11286" t="str">
        <f>"LILLY PAD HOME HEALTH LLC                         "</f>
        <v xml:space="preserve">LILLY PAD HOME HEALTH LLC                         </v>
      </c>
      <c r="E11286" t="str">
        <f>"BRANDON                   "</f>
        <v xml:space="preserve">BRANDON                   </v>
      </c>
      <c r="F11286" t="str">
        <f t="shared" si="304"/>
        <v>MS</v>
      </c>
    </row>
    <row r="11287" spans="1:6" x14ac:dyDescent="0.25">
      <c r="A11287" t="str">
        <f>"005589096"</f>
        <v>005589096</v>
      </c>
      <c r="B11287" t="str">
        <f>"1427448786"</f>
        <v>1427448786</v>
      </c>
      <c r="C11287" t="str">
        <f>"208600000X"</f>
        <v>208600000X</v>
      </c>
      <c r="D11287" t="str">
        <f>"LADD                     SETH         B           "</f>
        <v xml:space="preserve">LADD                     SETH         B           </v>
      </c>
      <c r="E11287" t="str">
        <f>"LAUREL                    "</f>
        <v xml:space="preserve">LAUREL                    </v>
      </c>
      <c r="F11287" t="str">
        <f t="shared" si="304"/>
        <v>MS</v>
      </c>
    </row>
    <row r="11288" spans="1:6" x14ac:dyDescent="0.25">
      <c r="A11288" t="str">
        <f>"005600050"</f>
        <v>005600050</v>
      </c>
      <c r="B11288" t="str">
        <f>"1124605027"</f>
        <v>1124605027</v>
      </c>
      <c r="C11288" t="str">
        <f>"2084P0800X"</f>
        <v>2084P0800X</v>
      </c>
      <c r="D11288" t="str">
        <f>"THIGPEN                  PEYTON                   "</f>
        <v xml:space="preserve">THIGPEN                  PEYTON                   </v>
      </c>
      <c r="E11288" t="str">
        <f>"JACKSON                   "</f>
        <v xml:space="preserve">JACKSON                   </v>
      </c>
      <c r="F11288" t="str">
        <f t="shared" si="304"/>
        <v>MS</v>
      </c>
    </row>
    <row r="11289" spans="1:6" x14ac:dyDescent="0.25">
      <c r="A11289" t="str">
        <f>"005600238"</f>
        <v>005600238</v>
      </c>
      <c r="B11289" t="str">
        <f>"1023338761"</f>
        <v>1023338761</v>
      </c>
      <c r="C11289" t="str">
        <f>"122300000X"</f>
        <v>122300000X</v>
      </c>
      <c r="D11289" t="str">
        <f>"GAMBLIN                  JEFFERSON    R           "</f>
        <v xml:space="preserve">GAMBLIN                  JEFFERSON    R           </v>
      </c>
      <c r="E11289" t="str">
        <f>"HAZLEHURST                "</f>
        <v xml:space="preserve">HAZLEHURST                </v>
      </c>
      <c r="F11289" t="str">
        <f t="shared" si="304"/>
        <v>MS</v>
      </c>
    </row>
    <row r="11290" spans="1:6" x14ac:dyDescent="0.25">
      <c r="A11290" t="str">
        <f>"005600736"</f>
        <v>005600736</v>
      </c>
      <c r="B11290" t="str">
        <f>"1972910321"</f>
        <v>1972910321</v>
      </c>
      <c r="C11290" t="str">
        <f>"363L00000X"</f>
        <v>363L00000X</v>
      </c>
      <c r="D11290" t="str">
        <f>"RICHARDSON               JESSICA      H           "</f>
        <v xml:space="preserve">RICHARDSON               JESSICA      H           </v>
      </c>
      <c r="E11290" t="str">
        <f>"COFFEEVILLE               "</f>
        <v xml:space="preserve">COFFEEVILLE               </v>
      </c>
      <c r="F11290" t="str">
        <f t="shared" si="304"/>
        <v>MS</v>
      </c>
    </row>
    <row r="11291" spans="1:6" x14ac:dyDescent="0.25">
      <c r="A11291" t="str">
        <f>"005600753"</f>
        <v>005600753</v>
      </c>
      <c r="B11291" t="str">
        <f>"1548644644"</f>
        <v>1548644644</v>
      </c>
      <c r="C11291" t="str">
        <f>"261QA0600X"</f>
        <v>261QA0600X</v>
      </c>
      <c r="D11291" t="str">
        <f>"EMMANUEL RECREATIONAL CENTER                      "</f>
        <v xml:space="preserve">EMMANUEL RECREATIONAL CENTER                      </v>
      </c>
      <c r="E11291" t="str">
        <f>"PACE                      "</f>
        <v xml:space="preserve">PACE                      </v>
      </c>
      <c r="F11291" t="str">
        <f t="shared" si="304"/>
        <v>MS</v>
      </c>
    </row>
    <row r="11292" spans="1:6" x14ac:dyDescent="0.25">
      <c r="A11292" t="str">
        <f>"005601764"</f>
        <v>005601764</v>
      </c>
      <c r="B11292" t="str">
        <f>"1033622063"</f>
        <v>1033622063</v>
      </c>
      <c r="C11292" t="str">
        <f>"363L00000X"</f>
        <v>363L00000X</v>
      </c>
      <c r="D11292" t="str">
        <f>"BEEM                     ANGELA       A           "</f>
        <v xml:space="preserve">BEEM                     ANGELA       A           </v>
      </c>
      <c r="E11292" t="str">
        <f>"JACKSON                   "</f>
        <v xml:space="preserve">JACKSON                   </v>
      </c>
      <c r="F11292" t="str">
        <f t="shared" si="304"/>
        <v>MS</v>
      </c>
    </row>
    <row r="11293" spans="1:6" x14ac:dyDescent="0.25">
      <c r="A11293" t="str">
        <f>"005602763"</f>
        <v>005602763</v>
      </c>
      <c r="B11293" t="str">
        <f>"1063806933"</f>
        <v>1063806933</v>
      </c>
      <c r="C11293" t="str">
        <f>"363L00000X"</f>
        <v>363L00000X</v>
      </c>
      <c r="D11293" t="str">
        <f>"PAYNE                    JAMES                    "</f>
        <v xml:space="preserve">PAYNE                    JAMES                    </v>
      </c>
      <c r="E11293" t="str">
        <f>"BAY SAINT LOUIS           "</f>
        <v xml:space="preserve">BAY SAINT LOUIS           </v>
      </c>
      <c r="F11293" t="str">
        <f t="shared" si="304"/>
        <v>MS</v>
      </c>
    </row>
    <row r="11294" spans="1:6" x14ac:dyDescent="0.25">
      <c r="A11294" t="str">
        <f>"005606385"</f>
        <v>005606385</v>
      </c>
      <c r="B11294" t="str">
        <f>"1376725754"</f>
        <v>1376725754</v>
      </c>
      <c r="C11294" t="str">
        <f>"122300000X"</f>
        <v>122300000X</v>
      </c>
      <c r="D11294" t="str">
        <f>"SHAMBURGER               AMYE         L           "</f>
        <v xml:space="preserve">SHAMBURGER               AMYE         L           </v>
      </c>
      <c r="E11294" t="str">
        <f>"CARTHAGE                  "</f>
        <v xml:space="preserve">CARTHAGE                  </v>
      </c>
      <c r="F11294" t="str">
        <f t="shared" si="304"/>
        <v>MS</v>
      </c>
    </row>
    <row r="11295" spans="1:6" x14ac:dyDescent="0.25">
      <c r="A11295" t="str">
        <f>"005606571"</f>
        <v>005606571</v>
      </c>
      <c r="B11295" t="str">
        <f>"1619627080"</f>
        <v>1619627080</v>
      </c>
      <c r="C11295" t="str">
        <f>"208000000X"</f>
        <v>208000000X</v>
      </c>
      <c r="D11295" t="str">
        <f>"BURNHAM                  ALEXANDRA                "</f>
        <v xml:space="preserve">BURNHAM                  ALEXANDRA                </v>
      </c>
      <c r="E11295" t="str">
        <f>"JACKSON                   "</f>
        <v xml:space="preserve">JACKSON                   </v>
      </c>
      <c r="F11295" t="str">
        <f t="shared" si="304"/>
        <v>MS</v>
      </c>
    </row>
    <row r="11296" spans="1:6" x14ac:dyDescent="0.25">
      <c r="A11296" t="str">
        <f>"005607038"</f>
        <v>005607038</v>
      </c>
      <c r="B11296" t="str">
        <f>"1326580820"</f>
        <v>1326580820</v>
      </c>
      <c r="C11296" t="str">
        <f>"363L00000X"</f>
        <v>363L00000X</v>
      </c>
      <c r="D11296" t="str">
        <f>"MCKINLEY                 WILLIAM      B           "</f>
        <v xml:space="preserve">MCKINLEY                 WILLIAM      B           </v>
      </c>
      <c r="E11296" t="str">
        <f>"CARTHAGE                  "</f>
        <v xml:space="preserve">CARTHAGE                  </v>
      </c>
      <c r="F11296" t="str">
        <f t="shared" si="304"/>
        <v>MS</v>
      </c>
    </row>
    <row r="11297" spans="1:6" x14ac:dyDescent="0.25">
      <c r="A11297" t="str">
        <f>"005607098"</f>
        <v>005607098</v>
      </c>
      <c r="B11297" t="str">
        <f>"1043713167"</f>
        <v>1043713167</v>
      </c>
      <c r="C11297" t="str">
        <f>"363L00000X"</f>
        <v>363L00000X</v>
      </c>
      <c r="D11297" t="str">
        <f>"JUSTICE                  JENIFER                  "</f>
        <v xml:space="preserve">JUSTICE                  JENIFER                  </v>
      </c>
      <c r="E11297" t="str">
        <f>"FULTON                    "</f>
        <v xml:space="preserve">FULTON                    </v>
      </c>
      <c r="F11297" t="str">
        <f t="shared" si="304"/>
        <v>MS</v>
      </c>
    </row>
    <row r="11298" spans="1:6" x14ac:dyDescent="0.25">
      <c r="A11298" t="str">
        <f>"005608020"</f>
        <v>005608020</v>
      </c>
      <c r="B11298" t="str">
        <f>"1235172206"</f>
        <v>1235172206</v>
      </c>
      <c r="C11298" t="str">
        <f>"207Y00000X"</f>
        <v>207Y00000X</v>
      </c>
      <c r="D11298" t="str">
        <f>"EBY                      THOMAS       L           "</f>
        <v xml:space="preserve">EBY                      THOMAS       L           </v>
      </c>
      <c r="E11298" t="str">
        <f>"JACKSON                   "</f>
        <v xml:space="preserve">JACKSON                   </v>
      </c>
      <c r="F11298" t="str">
        <f t="shared" si="304"/>
        <v>MS</v>
      </c>
    </row>
    <row r="11299" spans="1:6" x14ac:dyDescent="0.25">
      <c r="A11299" t="str">
        <f>"005608381"</f>
        <v>005608381</v>
      </c>
      <c r="B11299" t="str">
        <f>"1679881312"</f>
        <v>1679881312</v>
      </c>
      <c r="C11299" t="str">
        <f>"363L00000X"</f>
        <v>363L00000X</v>
      </c>
      <c r="D11299" t="str">
        <f>"SOJOURNER                JENNIFER     M           "</f>
        <v xml:space="preserve">SOJOURNER                JENNIFER     M           </v>
      </c>
      <c r="E11299" t="str">
        <f>"CRYSTAL SPRINGS           "</f>
        <v xml:space="preserve">CRYSTAL SPRINGS           </v>
      </c>
      <c r="F11299" t="str">
        <f t="shared" si="304"/>
        <v>MS</v>
      </c>
    </row>
    <row r="11300" spans="1:6" x14ac:dyDescent="0.25">
      <c r="A11300" t="str">
        <f>"005620070"</f>
        <v>005620070</v>
      </c>
      <c r="B11300" t="str">
        <f>"1962866004"</f>
        <v>1962866004</v>
      </c>
      <c r="C11300" t="str">
        <f>"207RC0000X"</f>
        <v>207RC0000X</v>
      </c>
      <c r="D11300" t="str">
        <f>"DAUPHIN                  PATRICK      D           "</f>
        <v xml:space="preserve">DAUPHIN                  PATRICK      D           </v>
      </c>
      <c r="E11300" t="str">
        <f>"HATTIESBURG               "</f>
        <v xml:space="preserve">HATTIESBURG               </v>
      </c>
      <c r="F11300" t="str">
        <f t="shared" si="304"/>
        <v>MS</v>
      </c>
    </row>
    <row r="11301" spans="1:6" x14ac:dyDescent="0.25">
      <c r="A11301" t="str">
        <f>"005620288"</f>
        <v>005620288</v>
      </c>
      <c r="B11301" t="str">
        <f>"1962898015"</f>
        <v>1962898015</v>
      </c>
      <c r="C11301" t="str">
        <f>"207Q00000X"</f>
        <v>207Q00000X</v>
      </c>
      <c r="D11301" t="str">
        <f>"ALVAREZ                  KRISTIE      A           "</f>
        <v xml:space="preserve">ALVAREZ                  KRISTIE      A           </v>
      </c>
      <c r="E11301" t="str">
        <f>"BATESVILLE                "</f>
        <v xml:space="preserve">BATESVILLE                </v>
      </c>
      <c r="F11301" t="str">
        <f t="shared" si="304"/>
        <v>MS</v>
      </c>
    </row>
    <row r="11302" spans="1:6" x14ac:dyDescent="0.25">
      <c r="A11302" t="str">
        <f>"005620843"</f>
        <v>005620843</v>
      </c>
      <c r="B11302" t="str">
        <f>"1376804369"</f>
        <v>1376804369</v>
      </c>
      <c r="C11302" t="str">
        <f>"207Y00000X"</f>
        <v>207Y00000X</v>
      </c>
      <c r="D11302" t="str">
        <f>"SMITH                    STEVEN       P           "</f>
        <v xml:space="preserve">SMITH                    STEVEN       P           </v>
      </c>
      <c r="E11302" t="str">
        <f>"COLUMBUS                  "</f>
        <v xml:space="preserve">COLUMBUS                  </v>
      </c>
      <c r="F11302" t="str">
        <f t="shared" si="304"/>
        <v>MS</v>
      </c>
    </row>
    <row r="11303" spans="1:6" x14ac:dyDescent="0.25">
      <c r="A11303" t="str">
        <f>"005621002"</f>
        <v>005621002</v>
      </c>
      <c r="B11303" t="str">
        <f>"1679114821"</f>
        <v>1679114821</v>
      </c>
      <c r="C11303" t="str">
        <f>"363L00000X"</f>
        <v>363L00000X</v>
      </c>
      <c r="D11303" t="str">
        <f>"BISHOP                   CYNTHIA      A           "</f>
        <v xml:space="preserve">BISHOP                   CYNTHIA      A           </v>
      </c>
      <c r="E11303" t="str">
        <f>"MANTACHIE                 "</f>
        <v xml:space="preserve">MANTACHIE                 </v>
      </c>
      <c r="F11303" t="str">
        <f t="shared" si="304"/>
        <v>MS</v>
      </c>
    </row>
    <row r="11304" spans="1:6" x14ac:dyDescent="0.25">
      <c r="A11304" t="str">
        <f>"005621784"</f>
        <v>005621784</v>
      </c>
      <c r="B11304" t="str">
        <f>"1043249485"</f>
        <v>1043249485</v>
      </c>
      <c r="C11304" t="str">
        <f>"2085R0202X"</f>
        <v>2085R0202X</v>
      </c>
      <c r="D11304" t="str">
        <f>"HUDSON                   CLEVELAND    A           "</f>
        <v xml:space="preserve">HUDSON                   CLEVELAND    A           </v>
      </c>
      <c r="E11304" t="str">
        <f>"HATTIESBURG               "</f>
        <v xml:space="preserve">HATTIESBURG               </v>
      </c>
      <c r="F11304" t="str">
        <f t="shared" si="304"/>
        <v>MS</v>
      </c>
    </row>
    <row r="11305" spans="1:6" x14ac:dyDescent="0.25">
      <c r="A11305" t="str">
        <f>"005625397"</f>
        <v>005625397</v>
      </c>
      <c r="B11305" t="str">
        <f>"1477125169"</f>
        <v>1477125169</v>
      </c>
      <c r="C11305" t="str">
        <f>"363L00000X"</f>
        <v>363L00000X</v>
      </c>
      <c r="D11305" t="str">
        <f>"STRINGER                 SHAUNA       B           "</f>
        <v xml:space="preserve">STRINGER                 SHAUNA       B           </v>
      </c>
      <c r="E11305" t="str">
        <f>"GULFPORT                  "</f>
        <v xml:space="preserve">GULFPORT                  </v>
      </c>
      <c r="F11305" t="str">
        <f t="shared" si="304"/>
        <v>MS</v>
      </c>
    </row>
    <row r="11306" spans="1:6" x14ac:dyDescent="0.25">
      <c r="A11306" t="str">
        <f>"005626735"</f>
        <v>005626735</v>
      </c>
      <c r="B11306" t="str">
        <f>"1649481607"</f>
        <v>1649481607</v>
      </c>
      <c r="C11306" t="str">
        <f>"207RR0500X"</f>
        <v>207RR0500X</v>
      </c>
      <c r="D11306" t="str">
        <f>"TAYLOR                   JASON        K           "</f>
        <v xml:space="preserve">TAYLOR                   JASON        K           </v>
      </c>
      <c r="E11306" t="str">
        <f>"MADISON                   "</f>
        <v xml:space="preserve">MADISON                   </v>
      </c>
      <c r="F11306" t="str">
        <f t="shared" si="304"/>
        <v>MS</v>
      </c>
    </row>
    <row r="11307" spans="1:6" x14ac:dyDescent="0.25">
      <c r="A11307" t="str">
        <f>"005626773"</f>
        <v>005626773</v>
      </c>
      <c r="B11307" t="str">
        <f>"1811359938"</f>
        <v>1811359938</v>
      </c>
      <c r="C11307" t="str">
        <f>"2086S0127X"</f>
        <v>2086S0127X</v>
      </c>
      <c r="D11307" t="str">
        <f>"SUNDEEN                  AIMEE        D           "</f>
        <v xml:space="preserve">SUNDEEN                  AIMEE        D           </v>
      </c>
      <c r="E11307" t="str">
        <f>"HATTIESBURG               "</f>
        <v xml:space="preserve">HATTIESBURG               </v>
      </c>
      <c r="F11307" t="str">
        <f t="shared" si="304"/>
        <v>MS</v>
      </c>
    </row>
    <row r="11308" spans="1:6" x14ac:dyDescent="0.25">
      <c r="A11308" t="str">
        <f>"005628370"</f>
        <v>005628370</v>
      </c>
      <c r="B11308" t="str">
        <f>"1467729293"</f>
        <v>1467729293</v>
      </c>
      <c r="C11308" t="str">
        <f>"363L00000X"</f>
        <v>363L00000X</v>
      </c>
      <c r="D11308" t="str">
        <f>"PITTS                    KAREN                    "</f>
        <v xml:space="preserve">PITTS                    KAREN                    </v>
      </c>
      <c r="E11308" t="str">
        <f>"HATTIESBURG               "</f>
        <v xml:space="preserve">HATTIESBURG               </v>
      </c>
      <c r="F11308" t="str">
        <f t="shared" si="304"/>
        <v>MS</v>
      </c>
    </row>
    <row r="11309" spans="1:6" x14ac:dyDescent="0.25">
      <c r="A11309" t="str">
        <f>"005629864"</f>
        <v>005629864</v>
      </c>
      <c r="B11309" t="str">
        <f>"1568948016"</f>
        <v>1568948016</v>
      </c>
      <c r="C11309" t="str">
        <f>"363L00000X"</f>
        <v>363L00000X</v>
      </c>
      <c r="D11309" t="str">
        <f>"PONDER                   COURTNEY                 "</f>
        <v xml:space="preserve">PONDER                   COURTNEY                 </v>
      </c>
      <c r="E11309" t="str">
        <f>"BILOXI                    "</f>
        <v xml:space="preserve">BILOXI                    </v>
      </c>
      <c r="F11309" t="str">
        <f t="shared" si="304"/>
        <v>MS</v>
      </c>
    </row>
    <row r="11310" spans="1:6" x14ac:dyDescent="0.25">
      <c r="A11310" t="str">
        <f>"005630363"</f>
        <v>005630363</v>
      </c>
      <c r="B11310" t="str">
        <f>"1629364070"</f>
        <v>1629364070</v>
      </c>
      <c r="C11310" t="str">
        <f>"363L00000X"</f>
        <v>363L00000X</v>
      </c>
      <c r="D11310" t="str">
        <f>"MAY                      CHARLES      A           "</f>
        <v xml:space="preserve">MAY                      CHARLES      A           </v>
      </c>
      <c r="E11310" t="str">
        <f>"POPLARVILLE               "</f>
        <v xml:space="preserve">POPLARVILLE               </v>
      </c>
      <c r="F11310" t="str">
        <f t="shared" si="304"/>
        <v>MS</v>
      </c>
    </row>
    <row r="11311" spans="1:6" x14ac:dyDescent="0.25">
      <c r="A11311" t="str">
        <f>"005631288"</f>
        <v>005631288</v>
      </c>
      <c r="B11311" t="str">
        <f>"1346429214"</f>
        <v>1346429214</v>
      </c>
      <c r="C11311" t="str">
        <f>"363L00000X"</f>
        <v>363L00000X</v>
      </c>
      <c r="D11311" t="str">
        <f>"HARGROVE                 ELAINE                   "</f>
        <v xml:space="preserve">HARGROVE                 ELAINE                   </v>
      </c>
      <c r="E11311" t="str">
        <f>"JACKSON                   "</f>
        <v xml:space="preserve">JACKSON                   </v>
      </c>
      <c r="F11311" t="str">
        <f t="shared" si="304"/>
        <v>MS</v>
      </c>
    </row>
    <row r="11312" spans="1:6" x14ac:dyDescent="0.25">
      <c r="A11312" t="str">
        <f>"005632706"</f>
        <v>005632706</v>
      </c>
      <c r="B11312" t="str">
        <f>"1114246147"</f>
        <v>1114246147</v>
      </c>
      <c r="C11312" t="str">
        <f>"363L00000X"</f>
        <v>363L00000X</v>
      </c>
      <c r="D11312" t="str">
        <f>"WILKEY                   HEATHER      H           "</f>
        <v xml:space="preserve">WILKEY                   HEATHER      H           </v>
      </c>
      <c r="E11312" t="str">
        <f>"GREENWOOD                 "</f>
        <v xml:space="preserve">GREENWOOD                 </v>
      </c>
      <c r="F11312" t="str">
        <f t="shared" si="304"/>
        <v>MS</v>
      </c>
    </row>
    <row r="11313" spans="1:6" x14ac:dyDescent="0.25">
      <c r="A11313" t="str">
        <f>"005632834"</f>
        <v>005632834</v>
      </c>
      <c r="B11313" t="str">
        <f>"1740555267"</f>
        <v>1740555267</v>
      </c>
      <c r="C11313" t="str">
        <f>"261QR1300X"</f>
        <v>261QR1300X</v>
      </c>
      <c r="D11313" t="str">
        <f>"RANKIN RURAL MEDICAL CLINIC                       "</f>
        <v xml:space="preserve">RANKIN RURAL MEDICAL CLINIC                       </v>
      </c>
      <c r="E11313" t="str">
        <f>"RICHLAND                  "</f>
        <v xml:space="preserve">RICHLAND                  </v>
      </c>
      <c r="F11313" t="str">
        <f t="shared" si="304"/>
        <v>MS</v>
      </c>
    </row>
    <row r="11314" spans="1:6" x14ac:dyDescent="0.25">
      <c r="A11314" t="str">
        <f>"005634331"</f>
        <v>005634331</v>
      </c>
      <c r="B11314" t="str">
        <f>"1881946465"</f>
        <v>1881946465</v>
      </c>
      <c r="C11314" t="str">
        <f>"363L00000X"</f>
        <v>363L00000X</v>
      </c>
      <c r="D11314" t="str">
        <f>"JONES                    ROBBIE                   "</f>
        <v xml:space="preserve">JONES                    ROBBIE                   </v>
      </c>
      <c r="E11314" t="str">
        <f>"TUPELO                    "</f>
        <v xml:space="preserve">TUPELO                    </v>
      </c>
      <c r="F11314" t="str">
        <f t="shared" si="304"/>
        <v>MS</v>
      </c>
    </row>
    <row r="11315" spans="1:6" x14ac:dyDescent="0.25">
      <c r="A11315" t="str">
        <f>"005634545"</f>
        <v>005634545</v>
      </c>
      <c r="B11315" t="str">
        <f>"1245691161"</f>
        <v>1245691161</v>
      </c>
      <c r="C11315" t="str">
        <f>"208M00000X"</f>
        <v>208M00000X</v>
      </c>
      <c r="D11315" t="str">
        <f>"KNOTT                    ZACKARY      A           "</f>
        <v xml:space="preserve">KNOTT                    ZACKARY      A           </v>
      </c>
      <c r="E11315" t="str">
        <f>"JACKSON                   "</f>
        <v xml:space="preserve">JACKSON                   </v>
      </c>
      <c r="F11315" t="str">
        <f t="shared" si="304"/>
        <v>MS</v>
      </c>
    </row>
    <row r="11316" spans="1:6" x14ac:dyDescent="0.25">
      <c r="A11316" t="str">
        <f>"005634554"</f>
        <v>005634554</v>
      </c>
      <c r="B11316" t="str">
        <f>"1003096785"</f>
        <v>1003096785</v>
      </c>
      <c r="C11316" t="str">
        <f>"261QF0400X"</f>
        <v>261QF0400X</v>
      </c>
      <c r="D11316" t="str">
        <f>"OB/GYN CLINIC AT FAMILY HEALTH CENT               "</f>
        <v xml:space="preserve">OB/GYN CLINIC AT FAMILY HEALTH CENT               </v>
      </c>
      <c r="E11316" t="str">
        <f>"LAUREL                    "</f>
        <v xml:space="preserve">LAUREL                    </v>
      </c>
      <c r="F11316" t="str">
        <f t="shared" si="304"/>
        <v>MS</v>
      </c>
    </row>
    <row r="11317" spans="1:6" x14ac:dyDescent="0.25">
      <c r="A11317" t="str">
        <f>"005636313"</f>
        <v>005636313</v>
      </c>
      <c r="B11317" t="str">
        <f>"1073806246"</f>
        <v>1073806246</v>
      </c>
      <c r="C11317" t="str">
        <f>"363L00000X"</f>
        <v>363L00000X</v>
      </c>
      <c r="D11317" t="str">
        <f>"FAVRE                    CASEY        M           "</f>
        <v xml:space="preserve">FAVRE                    CASEY        M           </v>
      </c>
      <c r="E11317" t="str">
        <f>"BAY ST LOUIS              "</f>
        <v xml:space="preserve">BAY ST LOUIS              </v>
      </c>
      <c r="F11317" t="str">
        <f t="shared" si="304"/>
        <v>MS</v>
      </c>
    </row>
    <row r="11318" spans="1:6" x14ac:dyDescent="0.25">
      <c r="A11318" t="str">
        <f>"005636388"</f>
        <v>005636388</v>
      </c>
      <c r="B11318" t="str">
        <f>"1497272041"</f>
        <v>1497272041</v>
      </c>
      <c r="C11318" t="str">
        <f>"363L00000X"</f>
        <v>363L00000X</v>
      </c>
      <c r="D11318" t="str">
        <f>"WASHINGTON               HAZEL        M           "</f>
        <v xml:space="preserve">WASHINGTON               HAZEL        M           </v>
      </c>
      <c r="E11318" t="str">
        <f>"NATCHEZ                   "</f>
        <v xml:space="preserve">NATCHEZ                   </v>
      </c>
      <c r="F11318" t="str">
        <f t="shared" si="304"/>
        <v>MS</v>
      </c>
    </row>
    <row r="11319" spans="1:6" x14ac:dyDescent="0.25">
      <c r="A11319" t="str">
        <f>"005637711"</f>
        <v>005637711</v>
      </c>
      <c r="B11319" t="str">
        <f>"1912166703"</f>
        <v>1912166703</v>
      </c>
      <c r="C11319" t="str">
        <f>"207NS0135X"</f>
        <v>207NS0135X</v>
      </c>
      <c r="D11319" t="str">
        <f>"BLACK                    WILLIAM      H           "</f>
        <v xml:space="preserve">BLACK                    WILLIAM      H           </v>
      </c>
      <c r="E11319" t="str">
        <f>"JACKSON                   "</f>
        <v xml:space="preserve">JACKSON                   </v>
      </c>
      <c r="F11319" t="str">
        <f t="shared" si="304"/>
        <v>MS</v>
      </c>
    </row>
    <row r="11320" spans="1:6" x14ac:dyDescent="0.25">
      <c r="A11320" t="str">
        <f>"005638761"</f>
        <v>005638761</v>
      </c>
      <c r="B11320" t="str">
        <f>"1720246887"</f>
        <v>1720246887</v>
      </c>
      <c r="C11320" t="str">
        <f>"207R00000X"</f>
        <v>207R00000X</v>
      </c>
      <c r="D11320" t="str">
        <f>"PRUETT                   TAYLOR       S           "</f>
        <v xml:space="preserve">PRUETT                   TAYLOR       S           </v>
      </c>
      <c r="E11320" t="str">
        <f>"VICKSBURG                 "</f>
        <v xml:space="preserve">VICKSBURG                 </v>
      </c>
      <c r="F11320" t="str">
        <f t="shared" si="304"/>
        <v>MS</v>
      </c>
    </row>
    <row r="11321" spans="1:6" x14ac:dyDescent="0.25">
      <c r="A11321" t="str">
        <f>"005638867"</f>
        <v>005638867</v>
      </c>
      <c r="B11321" t="str">
        <f>"1134210693"</f>
        <v>1134210693</v>
      </c>
      <c r="C11321" t="str">
        <f>"363L00000X"</f>
        <v>363L00000X</v>
      </c>
      <c r="D11321" t="str">
        <f>"SINGLETON                CAROLE-LYNNE W           "</f>
        <v xml:space="preserve">SINGLETON                CAROLE-LYNNE W           </v>
      </c>
      <c r="E11321" t="str">
        <f>"FLORA                     "</f>
        <v xml:space="preserve">FLORA                     </v>
      </c>
      <c r="F11321" t="str">
        <f t="shared" si="304"/>
        <v>MS</v>
      </c>
    </row>
    <row r="11322" spans="1:6" x14ac:dyDescent="0.25">
      <c r="A11322" t="str">
        <f>"005639204"</f>
        <v>005639204</v>
      </c>
      <c r="B11322" t="str">
        <f>"1962905539"</f>
        <v>1962905539</v>
      </c>
      <c r="C11322" t="str">
        <f>"363L00000X"</f>
        <v>363L00000X</v>
      </c>
      <c r="D11322" t="str">
        <f>"BRINSON                  ROBIN        E           "</f>
        <v xml:space="preserve">BRINSON                  ROBIN        E           </v>
      </c>
      <c r="E11322" t="str">
        <f>"WHITFIELD                 "</f>
        <v xml:space="preserve">WHITFIELD                 </v>
      </c>
      <c r="F11322" t="str">
        <f t="shared" si="304"/>
        <v>MS</v>
      </c>
    </row>
    <row r="11323" spans="1:6" x14ac:dyDescent="0.25">
      <c r="A11323" t="str">
        <f>"005650379"</f>
        <v>005650379</v>
      </c>
      <c r="B11323" t="str">
        <f>"1972056299"</f>
        <v>1972056299</v>
      </c>
      <c r="C11323" t="str">
        <f>"363L00000X"</f>
        <v>363L00000X</v>
      </c>
      <c r="D11323" t="str">
        <f>"TUCKER                   BRITNEY      C           "</f>
        <v xml:space="preserve">TUCKER                   BRITNEY      C           </v>
      </c>
      <c r="E11323" t="str">
        <f>"STARKVILLE                "</f>
        <v xml:space="preserve">STARKVILLE                </v>
      </c>
      <c r="F11323" t="str">
        <f t="shared" si="304"/>
        <v>MS</v>
      </c>
    </row>
    <row r="11324" spans="1:6" x14ac:dyDescent="0.25">
      <c r="A11324" t="str">
        <f>"005650531"</f>
        <v>005650531</v>
      </c>
      <c r="B11324" t="str">
        <f>"1043617277"</f>
        <v>1043617277</v>
      </c>
      <c r="C11324" t="str">
        <f>"122300000X"</f>
        <v>122300000X</v>
      </c>
      <c r="D11324" t="str">
        <f>"SMILES-TO-GO LLC                                  "</f>
        <v xml:space="preserve">SMILES-TO-GO LLC                                  </v>
      </c>
      <c r="E11324" t="str">
        <f>"LIBERTY                   "</f>
        <v xml:space="preserve">LIBERTY                   </v>
      </c>
      <c r="F11324" t="str">
        <f t="shared" si="304"/>
        <v>MS</v>
      </c>
    </row>
    <row r="11325" spans="1:6" x14ac:dyDescent="0.25">
      <c r="A11325" t="str">
        <f>"005650842"</f>
        <v>005650842</v>
      </c>
      <c r="B11325" t="str">
        <f>"1063515807"</f>
        <v>1063515807</v>
      </c>
      <c r="C11325" t="str">
        <f>"207V00000X"</f>
        <v>207V00000X</v>
      </c>
      <c r="D11325" t="str">
        <f>"MOSES                    JENNIFER     S           "</f>
        <v xml:space="preserve">MOSES                    JENNIFER     S           </v>
      </c>
      <c r="E11325" t="str">
        <f>"JACKSON                   "</f>
        <v xml:space="preserve">JACKSON                   </v>
      </c>
      <c r="F11325" t="str">
        <f t="shared" si="304"/>
        <v>MS</v>
      </c>
    </row>
    <row r="11326" spans="1:6" x14ac:dyDescent="0.25">
      <c r="A11326" t="str">
        <f>"005651004"</f>
        <v>005651004</v>
      </c>
      <c r="B11326" t="str">
        <f>"1215359179"</f>
        <v>1215359179</v>
      </c>
      <c r="C11326" t="str">
        <f>"367500000X"</f>
        <v>367500000X</v>
      </c>
      <c r="D11326" t="str">
        <f>"PRITCHARD LAIRD          BROOK                    "</f>
        <v xml:space="preserve">PRITCHARD LAIRD          BROOK                    </v>
      </c>
      <c r="E11326" t="str">
        <f>"MONTICELLO                "</f>
        <v xml:space="preserve">MONTICELLO                </v>
      </c>
      <c r="F11326" t="str">
        <f t="shared" ref="F11326:F11389" si="305">"MS"</f>
        <v>MS</v>
      </c>
    </row>
    <row r="11327" spans="1:6" x14ac:dyDescent="0.25">
      <c r="A11327" t="str">
        <f>"005651063"</f>
        <v>005651063</v>
      </c>
      <c r="B11327" t="str">
        <f>"1831453208"</f>
        <v>1831453208</v>
      </c>
      <c r="C11327" t="str">
        <f>"208000000X"</f>
        <v>208000000X</v>
      </c>
      <c r="D11327" t="str">
        <f>"MCPHERSON                JOHN         R           "</f>
        <v xml:space="preserve">MCPHERSON                JOHN         R           </v>
      </c>
      <c r="E11327" t="str">
        <f>"AMORY                     "</f>
        <v xml:space="preserve">AMORY                     </v>
      </c>
      <c r="F11327" t="str">
        <f t="shared" si="305"/>
        <v>MS</v>
      </c>
    </row>
    <row r="11328" spans="1:6" x14ac:dyDescent="0.25">
      <c r="A11328" t="str">
        <f>"005651772"</f>
        <v>005651772</v>
      </c>
      <c r="B11328" t="str">
        <f>"1265854806"</f>
        <v>1265854806</v>
      </c>
      <c r="C11328" t="str">
        <f>"363L00000X"</f>
        <v>363L00000X</v>
      </c>
      <c r="D11328" t="str">
        <f>"FAVA                     MARGARET     D           "</f>
        <v xml:space="preserve">FAVA                     MARGARET     D           </v>
      </c>
      <c r="E11328" t="str">
        <f>"BOONEVILLE                "</f>
        <v xml:space="preserve">BOONEVILLE                </v>
      </c>
      <c r="F11328" t="str">
        <f t="shared" si="305"/>
        <v>MS</v>
      </c>
    </row>
    <row r="11329" spans="1:6" x14ac:dyDescent="0.25">
      <c r="A11329" t="str">
        <f>"005651806"</f>
        <v>005651806</v>
      </c>
      <c r="B11329" t="str">
        <f>"1558980177"</f>
        <v>1558980177</v>
      </c>
      <c r="C11329" t="str">
        <f>"207Q00000X"</f>
        <v>207Q00000X</v>
      </c>
      <c r="D11329" t="str">
        <f>"CASE                     MEGHAN       L           "</f>
        <v xml:space="preserve">CASE                     MEGHAN       L           </v>
      </c>
      <c r="E11329" t="str">
        <f>"BROOKHAVEN                "</f>
        <v xml:space="preserve">BROOKHAVEN                </v>
      </c>
      <c r="F11329" t="str">
        <f t="shared" si="305"/>
        <v>MS</v>
      </c>
    </row>
    <row r="11330" spans="1:6" x14ac:dyDescent="0.25">
      <c r="A11330" t="str">
        <f>"005652561"</f>
        <v>005652561</v>
      </c>
      <c r="B11330" t="str">
        <f>"1316416373"</f>
        <v>1316416373</v>
      </c>
      <c r="C11330" t="str">
        <f>"367500000X"</f>
        <v>367500000X</v>
      </c>
      <c r="D11330" t="str">
        <f>"MARTIN                   KAYLA        C           "</f>
        <v xml:space="preserve">MARTIN                   KAYLA        C           </v>
      </c>
      <c r="E11330" t="str">
        <f>"GULFPORT                  "</f>
        <v xml:space="preserve">GULFPORT                  </v>
      </c>
      <c r="F11330" t="str">
        <f t="shared" si="305"/>
        <v>MS</v>
      </c>
    </row>
    <row r="11331" spans="1:6" x14ac:dyDescent="0.25">
      <c r="A11331" t="str">
        <f>"005652778"</f>
        <v>005652778</v>
      </c>
      <c r="B11331" t="str">
        <f>"1457733552"</f>
        <v>1457733552</v>
      </c>
      <c r="C11331" t="str">
        <f>"363L00000X"</f>
        <v>363L00000X</v>
      </c>
      <c r="D11331" t="str">
        <f>"CORNELIUS                MOLLIE       B           "</f>
        <v xml:space="preserve">CORNELIUS                MOLLIE       B           </v>
      </c>
      <c r="E11331" t="str">
        <f>"COLUMBUS                  "</f>
        <v xml:space="preserve">COLUMBUS                  </v>
      </c>
      <c r="F11331" t="str">
        <f t="shared" si="305"/>
        <v>MS</v>
      </c>
    </row>
    <row r="11332" spans="1:6" x14ac:dyDescent="0.25">
      <c r="A11332" t="str">
        <f>"005652892"</f>
        <v>005652892</v>
      </c>
      <c r="B11332" t="str">
        <f>"1063882280"</f>
        <v>1063882280</v>
      </c>
      <c r="C11332" t="str">
        <f>"363L00000X"</f>
        <v>363L00000X</v>
      </c>
      <c r="D11332" t="str">
        <f>"LEWIS                    AUDRA                    "</f>
        <v xml:space="preserve">LEWIS                    AUDRA                    </v>
      </c>
      <c r="E11332" t="str">
        <f>"FLOWOOD                   "</f>
        <v xml:space="preserve">FLOWOOD                   </v>
      </c>
      <c r="F11332" t="str">
        <f t="shared" si="305"/>
        <v>MS</v>
      </c>
    </row>
    <row r="11333" spans="1:6" x14ac:dyDescent="0.25">
      <c r="A11333" t="str">
        <f>"005653823"</f>
        <v>005653823</v>
      </c>
      <c r="B11333" t="str">
        <f>"1942481437"</f>
        <v>1942481437</v>
      </c>
      <c r="C11333" t="str">
        <f>"207Q00000X"</f>
        <v>207Q00000X</v>
      </c>
      <c r="D11333" t="str">
        <f>"VOWELL                   CHRISTY      M           "</f>
        <v xml:space="preserve">VOWELL                   CHRISTY      M           </v>
      </c>
      <c r="E11333" t="str">
        <f>"EUPORA                    "</f>
        <v xml:space="preserve">EUPORA                    </v>
      </c>
      <c r="F11333" t="str">
        <f t="shared" si="305"/>
        <v>MS</v>
      </c>
    </row>
    <row r="11334" spans="1:6" x14ac:dyDescent="0.25">
      <c r="A11334" t="str">
        <f>"005654236"</f>
        <v>005654236</v>
      </c>
      <c r="B11334" t="str">
        <f>"1255758199"</f>
        <v>1255758199</v>
      </c>
      <c r="C11334" t="str">
        <f>"207W00000X"</f>
        <v>207W00000X</v>
      </c>
      <c r="D11334" t="str">
        <f>"SALISBURY                CHARLES      D           "</f>
        <v xml:space="preserve">SALISBURY                CHARLES      D           </v>
      </c>
      <c r="E11334" t="str">
        <f>"PASCAGOULA                "</f>
        <v xml:space="preserve">PASCAGOULA                </v>
      </c>
      <c r="F11334" t="str">
        <f t="shared" si="305"/>
        <v>MS</v>
      </c>
    </row>
    <row r="11335" spans="1:6" x14ac:dyDescent="0.25">
      <c r="A11335" t="str">
        <f>"005654317"</f>
        <v>005654317</v>
      </c>
      <c r="B11335" t="str">
        <f>"1891445201"</f>
        <v>1891445201</v>
      </c>
      <c r="C11335" t="str">
        <f>"207T00000X"</f>
        <v>207T00000X</v>
      </c>
      <c r="D11335" t="str">
        <f>"WINTER                   KENNETH                  "</f>
        <v xml:space="preserve">WINTER                   KENNETH                  </v>
      </c>
      <c r="E11335" t="str">
        <f>"JACKSON                   "</f>
        <v xml:space="preserve">JACKSON                   </v>
      </c>
      <c r="F11335" t="str">
        <f t="shared" si="305"/>
        <v>MS</v>
      </c>
    </row>
    <row r="11336" spans="1:6" x14ac:dyDescent="0.25">
      <c r="A11336" t="str">
        <f>"005654509"</f>
        <v>005654509</v>
      </c>
      <c r="B11336" t="str">
        <f>"1740337625"</f>
        <v>1740337625</v>
      </c>
      <c r="C11336" t="str">
        <f>"207X00000X"</f>
        <v>207X00000X</v>
      </c>
      <c r="D11336" t="str">
        <f>"THROCKMORTON             THOMAS       W           "</f>
        <v xml:space="preserve">THROCKMORTON             THOMAS       W           </v>
      </c>
      <c r="E11336" t="str">
        <f>"SOUTHAVEN                 "</f>
        <v xml:space="preserve">SOUTHAVEN                 </v>
      </c>
      <c r="F11336" t="str">
        <f t="shared" si="305"/>
        <v>MS</v>
      </c>
    </row>
    <row r="11337" spans="1:6" x14ac:dyDescent="0.25">
      <c r="A11337" t="str">
        <f>"005657777"</f>
        <v>005657777</v>
      </c>
      <c r="B11337" t="str">
        <f>"1477923241"</f>
        <v>1477923241</v>
      </c>
      <c r="C11337" t="str">
        <f>"363L00000X"</f>
        <v>363L00000X</v>
      </c>
      <c r="D11337" t="str">
        <f>"WILLIAMS                 JESSE        J           "</f>
        <v xml:space="preserve">WILLIAMS                 JESSE        J           </v>
      </c>
      <c r="E11337" t="str">
        <f>"JACKSON                   "</f>
        <v xml:space="preserve">JACKSON                   </v>
      </c>
      <c r="F11337" t="str">
        <f t="shared" si="305"/>
        <v>MS</v>
      </c>
    </row>
    <row r="11338" spans="1:6" x14ac:dyDescent="0.25">
      <c r="A11338" t="str">
        <f>"005658551"</f>
        <v>005658551</v>
      </c>
      <c r="B11338" t="str">
        <f>"1700274016"</f>
        <v>1700274016</v>
      </c>
      <c r="C11338" t="str">
        <f>"363L00000X"</f>
        <v>363L00000X</v>
      </c>
      <c r="D11338" t="str">
        <f>"WILLIAMS-DAVIS           CHRYSTAL     F           "</f>
        <v xml:space="preserve">WILLIAMS-DAVIS           CHRYSTAL     F           </v>
      </c>
      <c r="E11338" t="str">
        <f>"BYHALIA                   "</f>
        <v xml:space="preserve">BYHALIA                   </v>
      </c>
      <c r="F11338" t="str">
        <f t="shared" si="305"/>
        <v>MS</v>
      </c>
    </row>
    <row r="11339" spans="1:6" x14ac:dyDescent="0.25">
      <c r="A11339" t="str">
        <f>"005658863"</f>
        <v>005658863</v>
      </c>
      <c r="B11339" t="str">
        <f>"1356599237"</f>
        <v>1356599237</v>
      </c>
      <c r="C11339" t="str">
        <f>"1223P0221X"</f>
        <v>1223P0221X</v>
      </c>
      <c r="D11339" t="str">
        <f>"BURGESS                  MYEASHA      K           "</f>
        <v xml:space="preserve">BURGESS                  MYEASHA      K           </v>
      </c>
      <c r="E11339" t="str">
        <f>"HATTIESBURG               "</f>
        <v xml:space="preserve">HATTIESBURG               </v>
      </c>
      <c r="F11339" t="str">
        <f t="shared" si="305"/>
        <v>MS</v>
      </c>
    </row>
    <row r="11340" spans="1:6" x14ac:dyDescent="0.25">
      <c r="A11340" t="str">
        <f>"005670029"</f>
        <v>005670029</v>
      </c>
      <c r="B11340" t="str">
        <f>"1487045894"</f>
        <v>1487045894</v>
      </c>
      <c r="C11340" t="str">
        <f>"261QA0600X"</f>
        <v>261QA0600X</v>
      </c>
      <c r="D11340" t="str">
        <f>"PRECIOUS HANDS ADULT DAYCARE LLC                  "</f>
        <v xml:space="preserve">PRECIOUS HANDS ADULT DAYCARE LLC                  </v>
      </c>
      <c r="E11340" t="str">
        <f>"WINONA                    "</f>
        <v xml:space="preserve">WINONA                    </v>
      </c>
      <c r="F11340" t="str">
        <f t="shared" si="305"/>
        <v>MS</v>
      </c>
    </row>
    <row r="11341" spans="1:6" x14ac:dyDescent="0.25">
      <c r="A11341" t="str">
        <f>"005670721"</f>
        <v>005670721</v>
      </c>
      <c r="B11341" t="str">
        <f>"1427694231"</f>
        <v>1427694231</v>
      </c>
      <c r="C11341" t="str">
        <f>"363L00000X"</f>
        <v>363L00000X</v>
      </c>
      <c r="D11341" t="str">
        <f>"MCCOY                    TIMMY        L           "</f>
        <v xml:space="preserve">MCCOY                    TIMMY        L           </v>
      </c>
      <c r="E11341" t="str">
        <f>"BATESVILLE                "</f>
        <v xml:space="preserve">BATESVILLE                </v>
      </c>
      <c r="F11341" t="str">
        <f t="shared" si="305"/>
        <v>MS</v>
      </c>
    </row>
    <row r="11342" spans="1:6" x14ac:dyDescent="0.25">
      <c r="A11342" t="str">
        <f>"005671828"</f>
        <v>005671828</v>
      </c>
      <c r="B11342" t="str">
        <f>"1316936917"</f>
        <v>1316936917</v>
      </c>
      <c r="C11342" t="str">
        <f>"207Q00000X"</f>
        <v>207Q00000X</v>
      </c>
      <c r="D11342" t="str">
        <f>"HULING JR                RANDALL      T           "</f>
        <v xml:space="preserve">HULING JR                RANDALL      T           </v>
      </c>
      <c r="E11342" t="str">
        <f>"OLIVE BRANCH              "</f>
        <v xml:space="preserve">OLIVE BRANCH              </v>
      </c>
      <c r="F11342" t="str">
        <f t="shared" si="305"/>
        <v>MS</v>
      </c>
    </row>
    <row r="11343" spans="1:6" x14ac:dyDescent="0.25">
      <c r="A11343" t="str">
        <f>"005671834"</f>
        <v>005671834</v>
      </c>
      <c r="B11343" t="str">
        <f>"1912429630"</f>
        <v>1912429630</v>
      </c>
      <c r="C11343" t="str">
        <f>"152W00000X"</f>
        <v>152W00000X</v>
      </c>
      <c r="D11343" t="str">
        <f>"EARWOOD                  ASHLEY       O           "</f>
        <v xml:space="preserve">EARWOOD                  ASHLEY       O           </v>
      </c>
      <c r="E11343" t="str">
        <f>"WEST POINT                "</f>
        <v xml:space="preserve">WEST POINT                </v>
      </c>
      <c r="F11343" t="str">
        <f t="shared" si="305"/>
        <v>MS</v>
      </c>
    </row>
    <row r="11344" spans="1:6" x14ac:dyDescent="0.25">
      <c r="A11344" t="str">
        <f>"005672385"</f>
        <v>005672385</v>
      </c>
      <c r="B11344" t="str">
        <f>"1295904613"</f>
        <v>1295904613</v>
      </c>
      <c r="C11344" t="str">
        <f>"367500000X"</f>
        <v>367500000X</v>
      </c>
      <c r="D11344" t="str">
        <f>"FREEMAN                  WILLIAM      J           "</f>
        <v xml:space="preserve">FREEMAN                  WILLIAM      J           </v>
      </c>
      <c r="E11344" t="str">
        <f>"NEW ALBANY                "</f>
        <v xml:space="preserve">NEW ALBANY                </v>
      </c>
      <c r="F11344" t="str">
        <f t="shared" si="305"/>
        <v>MS</v>
      </c>
    </row>
    <row r="11345" spans="1:6" x14ac:dyDescent="0.25">
      <c r="A11345" t="str">
        <f>"005674025"</f>
        <v>005674025</v>
      </c>
      <c r="B11345" t="str">
        <f>"1851555106"</f>
        <v>1851555106</v>
      </c>
      <c r="C11345" t="str">
        <f>"152W00000X"</f>
        <v>152W00000X</v>
      </c>
      <c r="D11345" t="str">
        <f>"WALLY                    RYAN         S           "</f>
        <v xml:space="preserve">WALLY                    RYAN         S           </v>
      </c>
      <c r="E11345" t="str">
        <f>"OXFORD                    "</f>
        <v xml:space="preserve">OXFORD                    </v>
      </c>
      <c r="F11345" t="str">
        <f t="shared" si="305"/>
        <v>MS</v>
      </c>
    </row>
    <row r="11346" spans="1:6" x14ac:dyDescent="0.25">
      <c r="A11346" t="str">
        <f>"005674280"</f>
        <v>005674280</v>
      </c>
      <c r="B11346" t="str">
        <f>"1558673384"</f>
        <v>1558673384</v>
      </c>
      <c r="C11346" t="str">
        <f>"207R00000X"</f>
        <v>207R00000X</v>
      </c>
      <c r="D11346" t="str">
        <f>"JALAL                    SHWAN                    "</f>
        <v xml:space="preserve">JALAL                    SHWAN                    </v>
      </c>
      <c r="E11346" t="str">
        <f>"GULFPORT                  "</f>
        <v xml:space="preserve">GULFPORT                  </v>
      </c>
      <c r="F11346" t="str">
        <f t="shared" si="305"/>
        <v>MS</v>
      </c>
    </row>
    <row r="11347" spans="1:6" x14ac:dyDescent="0.25">
      <c r="A11347" t="str">
        <f>"005674733"</f>
        <v>005674733</v>
      </c>
      <c r="B11347" t="str">
        <f>"1811198005"</f>
        <v>1811198005</v>
      </c>
      <c r="C11347" t="str">
        <f>"207R00000X"</f>
        <v>207R00000X</v>
      </c>
      <c r="D11347" t="str">
        <f>"CHUSTZ                   PHILIP       L           "</f>
        <v xml:space="preserve">CHUSTZ                   PHILIP       L           </v>
      </c>
      <c r="E11347" t="str">
        <f>"JACKSON                   "</f>
        <v xml:space="preserve">JACKSON                   </v>
      </c>
      <c r="F11347" t="str">
        <f t="shared" si="305"/>
        <v>MS</v>
      </c>
    </row>
    <row r="11348" spans="1:6" x14ac:dyDescent="0.25">
      <c r="A11348" t="str">
        <f>"005675391"</f>
        <v>005675391</v>
      </c>
      <c r="B11348" t="str">
        <f>"1548780588"</f>
        <v>1548780588</v>
      </c>
      <c r="C11348" t="str">
        <f>"363L00000X"</f>
        <v>363L00000X</v>
      </c>
      <c r="D11348" t="str">
        <f>"KELLY                    STEVEN       L           "</f>
        <v xml:space="preserve">KELLY                    STEVEN       L           </v>
      </c>
      <c r="E11348" t="str">
        <f>"GULFPORT                  "</f>
        <v xml:space="preserve">GULFPORT                  </v>
      </c>
      <c r="F11348" t="str">
        <f t="shared" si="305"/>
        <v>MS</v>
      </c>
    </row>
    <row r="11349" spans="1:6" x14ac:dyDescent="0.25">
      <c r="A11349" t="str">
        <f>"005676764"</f>
        <v>005676764</v>
      </c>
      <c r="B11349" t="str">
        <f>"1194954578"</f>
        <v>1194954578</v>
      </c>
      <c r="C11349" t="str">
        <f>"207R00000X"</f>
        <v>207R00000X</v>
      </c>
      <c r="D11349" t="str">
        <f>"BOYD                     STEWART      A           "</f>
        <v xml:space="preserve">BOYD                     STEWART      A           </v>
      </c>
      <c r="E11349" t="str">
        <f>"FLOWOOD                   "</f>
        <v xml:space="preserve">FLOWOOD                   </v>
      </c>
      <c r="F11349" t="str">
        <f t="shared" si="305"/>
        <v>MS</v>
      </c>
    </row>
    <row r="11350" spans="1:6" x14ac:dyDescent="0.25">
      <c r="A11350" t="str">
        <f>"005679035"</f>
        <v>005679035</v>
      </c>
      <c r="B11350" t="str">
        <f>"1932102779"</f>
        <v>1932102779</v>
      </c>
      <c r="C11350" t="str">
        <f>"152W00000X"</f>
        <v>152W00000X</v>
      </c>
      <c r="D11350" t="str">
        <f>"ECKARD                   DAX          M           "</f>
        <v xml:space="preserve">ECKARD                   DAX          M           </v>
      </c>
      <c r="E11350" t="str">
        <f>"TUPELO                    "</f>
        <v xml:space="preserve">TUPELO                    </v>
      </c>
      <c r="F11350" t="str">
        <f t="shared" si="305"/>
        <v>MS</v>
      </c>
    </row>
    <row r="11351" spans="1:6" x14ac:dyDescent="0.25">
      <c r="A11351" t="str">
        <f>"005680310"</f>
        <v>005680310</v>
      </c>
      <c r="B11351" t="str">
        <f>"1013492248"</f>
        <v>1013492248</v>
      </c>
      <c r="C11351" t="str">
        <f>"363L00000X"</f>
        <v>363L00000X</v>
      </c>
      <c r="D11351" t="str">
        <f>"SOUTH                    JENNIFER     L           "</f>
        <v xml:space="preserve">SOUTH                    JENNIFER     L           </v>
      </c>
      <c r="E11351" t="str">
        <f>"CORINTH                   "</f>
        <v xml:space="preserve">CORINTH                   </v>
      </c>
      <c r="F11351" t="str">
        <f t="shared" si="305"/>
        <v>MS</v>
      </c>
    </row>
    <row r="11352" spans="1:6" x14ac:dyDescent="0.25">
      <c r="A11352" t="str">
        <f>"005680313"</f>
        <v>005680313</v>
      </c>
      <c r="B11352" t="str">
        <f>"1336405455"</f>
        <v>1336405455</v>
      </c>
      <c r="C11352" t="str">
        <f>"363L00000X"</f>
        <v>363L00000X</v>
      </c>
      <c r="D11352" t="str">
        <f>"RAMSEY                   STACIE       L           "</f>
        <v xml:space="preserve">RAMSEY                   STACIE       L           </v>
      </c>
      <c r="E11352" t="str">
        <f>"GULFPORT                  "</f>
        <v xml:space="preserve">GULFPORT                  </v>
      </c>
      <c r="F11352" t="str">
        <f t="shared" si="305"/>
        <v>MS</v>
      </c>
    </row>
    <row r="11353" spans="1:6" x14ac:dyDescent="0.25">
      <c r="A11353" t="str">
        <f>"005680375"</f>
        <v>005680375</v>
      </c>
      <c r="B11353" t="str">
        <f>"1962801779"</f>
        <v>1962801779</v>
      </c>
      <c r="C11353" t="str">
        <f>"363L00000X"</f>
        <v>363L00000X</v>
      </c>
      <c r="D11353" t="str">
        <f>"CRANFORD                 AMANDA       G           "</f>
        <v xml:space="preserve">CRANFORD                 AMANDA       G           </v>
      </c>
      <c r="E11353" t="str">
        <f>"QUITMAN                   "</f>
        <v xml:space="preserve">QUITMAN                   </v>
      </c>
      <c r="F11353" t="str">
        <f t="shared" si="305"/>
        <v>MS</v>
      </c>
    </row>
    <row r="11354" spans="1:6" x14ac:dyDescent="0.25">
      <c r="A11354" t="str">
        <f>"005681048"</f>
        <v>005681048</v>
      </c>
      <c r="B11354" t="str">
        <f>"1225784754"</f>
        <v>1225784754</v>
      </c>
      <c r="C11354" t="str">
        <f>"367500000X"</f>
        <v>367500000X</v>
      </c>
      <c r="D11354" t="str">
        <f>"PILGRIM                  LAUREN       E           "</f>
        <v xml:space="preserve">PILGRIM                  LAUREN       E           </v>
      </c>
      <c r="E11354" t="str">
        <f>"GREENWOOD                 "</f>
        <v xml:space="preserve">GREENWOOD                 </v>
      </c>
      <c r="F11354" t="str">
        <f t="shared" si="305"/>
        <v>MS</v>
      </c>
    </row>
    <row r="11355" spans="1:6" x14ac:dyDescent="0.25">
      <c r="A11355" t="str">
        <f>"005681094"</f>
        <v>005681094</v>
      </c>
      <c r="B11355" t="str">
        <f>"1881199818"</f>
        <v>1881199818</v>
      </c>
      <c r="C11355" t="str">
        <f>"363L00000X"</f>
        <v>363L00000X</v>
      </c>
      <c r="D11355" t="str">
        <f>"GARNER                   LAUREN       O           "</f>
        <v xml:space="preserve">GARNER                   LAUREN       O           </v>
      </c>
      <c r="E11355" t="str">
        <f>"HATTIESBURG               "</f>
        <v xml:space="preserve">HATTIESBURG               </v>
      </c>
      <c r="F11355" t="str">
        <f t="shared" si="305"/>
        <v>MS</v>
      </c>
    </row>
    <row r="11356" spans="1:6" x14ac:dyDescent="0.25">
      <c r="A11356" t="str">
        <f>"005681200"</f>
        <v>005681200</v>
      </c>
      <c r="B11356" t="str">
        <f>"1912676313"</f>
        <v>1912676313</v>
      </c>
      <c r="C11356" t="str">
        <f>"363L00000X"</f>
        <v>363L00000X</v>
      </c>
      <c r="D11356" t="str">
        <f>"LUKE                     LINDSAY                  "</f>
        <v xml:space="preserve">LUKE                     LINDSAY                  </v>
      </c>
      <c r="E11356" t="str">
        <f>"LAUREL                    "</f>
        <v xml:space="preserve">LAUREL                    </v>
      </c>
      <c r="F11356" t="str">
        <f t="shared" si="305"/>
        <v>MS</v>
      </c>
    </row>
    <row r="11357" spans="1:6" x14ac:dyDescent="0.25">
      <c r="A11357" t="str">
        <f>"005683205"</f>
        <v>005683205</v>
      </c>
      <c r="B11357" t="str">
        <f>"1881615573"</f>
        <v>1881615573</v>
      </c>
      <c r="C11357" t="str">
        <f>"2085R0202X"</f>
        <v>2085R0202X</v>
      </c>
      <c r="D11357" t="str">
        <f>"NUTTER                   KATHRYN      L           "</f>
        <v xml:space="preserve">NUTTER                   KATHRYN      L           </v>
      </c>
      <c r="E11357" t="str">
        <f>"JACKSON                   "</f>
        <v xml:space="preserve">JACKSON                   </v>
      </c>
      <c r="F11357" t="str">
        <f t="shared" si="305"/>
        <v>MS</v>
      </c>
    </row>
    <row r="11358" spans="1:6" x14ac:dyDescent="0.25">
      <c r="A11358" t="str">
        <f>"005683399"</f>
        <v>005683399</v>
      </c>
      <c r="B11358" t="str">
        <f>"1275911810"</f>
        <v>1275911810</v>
      </c>
      <c r="C11358" t="str">
        <f>"2080P0202X"</f>
        <v>2080P0202X</v>
      </c>
      <c r="D11358" t="str">
        <f>"KADOCHI                  MUSUNKUMUKI              "</f>
        <v xml:space="preserve">KADOCHI                  MUSUNKUMUKI              </v>
      </c>
      <c r="E11358" t="str">
        <f>"JACKSON                   "</f>
        <v xml:space="preserve">JACKSON                   </v>
      </c>
      <c r="F11358" t="str">
        <f t="shared" si="305"/>
        <v>MS</v>
      </c>
    </row>
    <row r="11359" spans="1:6" x14ac:dyDescent="0.25">
      <c r="A11359" t="str">
        <f>"005683755"</f>
        <v>005683755</v>
      </c>
      <c r="B11359" t="str">
        <f>"1467020149"</f>
        <v>1467020149</v>
      </c>
      <c r="C11359" t="str">
        <f>"261QM1300X"</f>
        <v>261QM1300X</v>
      </c>
      <c r="D11359" t="str">
        <f>"BEST DAY EVER COUNSELING SERVICES L               "</f>
        <v xml:space="preserve">BEST DAY EVER COUNSELING SERVICES L               </v>
      </c>
      <c r="E11359" t="str">
        <f>"WAYNESBORO                "</f>
        <v xml:space="preserve">WAYNESBORO                </v>
      </c>
      <c r="F11359" t="str">
        <f t="shared" si="305"/>
        <v>MS</v>
      </c>
    </row>
    <row r="11360" spans="1:6" x14ac:dyDescent="0.25">
      <c r="A11360" t="str">
        <f>"005683826"</f>
        <v>005683826</v>
      </c>
      <c r="B11360" t="str">
        <f>"1205355781"</f>
        <v>1205355781</v>
      </c>
      <c r="C11360" t="str">
        <f>"363L00000X"</f>
        <v>363L00000X</v>
      </c>
      <c r="D11360" t="str">
        <f>"NOWELL                   GAYDON                   "</f>
        <v xml:space="preserve">NOWELL                   GAYDON                   </v>
      </c>
      <c r="E11360" t="str">
        <f>"PHILADELPHIA              "</f>
        <v xml:space="preserve">PHILADELPHIA              </v>
      </c>
      <c r="F11360" t="str">
        <f t="shared" si="305"/>
        <v>MS</v>
      </c>
    </row>
    <row r="11361" spans="1:6" x14ac:dyDescent="0.25">
      <c r="A11361" t="str">
        <f>"005684216"</f>
        <v>005684216</v>
      </c>
      <c r="B11361" t="str">
        <f>"1558785782"</f>
        <v>1558785782</v>
      </c>
      <c r="C11361" t="str">
        <f>"207RC0000X"</f>
        <v>207RC0000X</v>
      </c>
      <c r="D11361" t="str">
        <f>"POLLOCK                  JONATHAN     P           "</f>
        <v xml:space="preserve">POLLOCK                  JONATHAN     P           </v>
      </c>
      <c r="E11361" t="str">
        <f>"HATTIESBURG               "</f>
        <v xml:space="preserve">HATTIESBURG               </v>
      </c>
      <c r="F11361" t="str">
        <f t="shared" si="305"/>
        <v>MS</v>
      </c>
    </row>
    <row r="11362" spans="1:6" x14ac:dyDescent="0.25">
      <c r="A11362" t="str">
        <f>"005684243"</f>
        <v>005684243</v>
      </c>
      <c r="B11362" t="str">
        <f>"1659735991"</f>
        <v>1659735991</v>
      </c>
      <c r="C11362" t="str">
        <f>"207V00000X"</f>
        <v>207V00000X</v>
      </c>
      <c r="D11362" t="str">
        <f>"STAHLER                  ANDREW       J           "</f>
        <v xml:space="preserve">STAHLER                  ANDREW       J           </v>
      </c>
      <c r="E11362" t="str">
        <f>"SOUTHAVEN                 "</f>
        <v xml:space="preserve">SOUTHAVEN                 </v>
      </c>
      <c r="F11362" t="str">
        <f t="shared" si="305"/>
        <v>MS</v>
      </c>
    </row>
    <row r="11363" spans="1:6" x14ac:dyDescent="0.25">
      <c r="A11363" t="str">
        <f>"005685060"</f>
        <v>005685060</v>
      </c>
      <c r="B11363" t="str">
        <f>"1093180531"</f>
        <v>1093180531</v>
      </c>
      <c r="C11363" t="str">
        <f>"363L00000X"</f>
        <v>363L00000X</v>
      </c>
      <c r="D11363" t="str">
        <f>"KENNEDY                  KIMBERLY                 "</f>
        <v xml:space="preserve">KENNEDY                  KIMBERLY                 </v>
      </c>
      <c r="E11363" t="str">
        <f>"LAUREL                    "</f>
        <v xml:space="preserve">LAUREL                    </v>
      </c>
      <c r="F11363" t="str">
        <f t="shared" si="305"/>
        <v>MS</v>
      </c>
    </row>
    <row r="11364" spans="1:6" x14ac:dyDescent="0.25">
      <c r="A11364" t="str">
        <f>"005685800"</f>
        <v>005685800</v>
      </c>
      <c r="B11364" t="str">
        <f>"1285155614"</f>
        <v>1285155614</v>
      </c>
      <c r="C11364" t="str">
        <f>"363L00000X"</f>
        <v>363L00000X</v>
      </c>
      <c r="D11364" t="str">
        <f>"NGUYEN                   TRUONG                   "</f>
        <v xml:space="preserve">NGUYEN                   TRUONG                   </v>
      </c>
      <c r="E11364" t="str">
        <f>"GULFPORT                  "</f>
        <v xml:space="preserve">GULFPORT                  </v>
      </c>
      <c r="F11364" t="str">
        <f t="shared" si="305"/>
        <v>MS</v>
      </c>
    </row>
    <row r="11365" spans="1:6" x14ac:dyDescent="0.25">
      <c r="A11365" t="str">
        <f>"005686303"</f>
        <v>005686303</v>
      </c>
      <c r="B11365" t="str">
        <f>"1699154294"</f>
        <v>1699154294</v>
      </c>
      <c r="C11365" t="str">
        <f>"208800000X"</f>
        <v>208800000X</v>
      </c>
      <c r="D11365" t="str">
        <f>"DOMINO                   MARIA        P           "</f>
        <v xml:space="preserve">DOMINO                   MARIA        P           </v>
      </c>
      <c r="E11365" t="str">
        <f>"JACKSON                   "</f>
        <v xml:space="preserve">JACKSON                   </v>
      </c>
      <c r="F11365" t="str">
        <f t="shared" si="305"/>
        <v>MS</v>
      </c>
    </row>
    <row r="11366" spans="1:6" x14ac:dyDescent="0.25">
      <c r="A11366" t="str">
        <f>"005686359"</f>
        <v>005686359</v>
      </c>
      <c r="B11366" t="str">
        <f>"1689107096"</f>
        <v>1689107096</v>
      </c>
      <c r="C11366" t="str">
        <f>"207R00000X"</f>
        <v>207R00000X</v>
      </c>
      <c r="D11366" t="str">
        <f>"JOINER                   WILLIE       F           "</f>
        <v xml:space="preserve">JOINER                   WILLIE       F           </v>
      </c>
      <c r="E11366" t="str">
        <f>"JACKSON                   "</f>
        <v xml:space="preserve">JACKSON                   </v>
      </c>
      <c r="F11366" t="str">
        <f t="shared" si="305"/>
        <v>MS</v>
      </c>
    </row>
    <row r="11367" spans="1:6" x14ac:dyDescent="0.25">
      <c r="A11367" t="str">
        <f>"005686800"</f>
        <v>005686800</v>
      </c>
      <c r="B11367" t="str">
        <f>"1871513721"</f>
        <v>1871513721</v>
      </c>
      <c r="C11367" t="str">
        <f>"207N00000X"</f>
        <v>207N00000X</v>
      </c>
      <c r="D11367" t="str">
        <f>"HAIRSTON                 BETHANY      R           "</f>
        <v xml:space="preserve">HAIRSTON                 BETHANY      R           </v>
      </c>
      <c r="E11367" t="str">
        <f>"COLUMBUS                  "</f>
        <v xml:space="preserve">COLUMBUS                  </v>
      </c>
      <c r="F11367" t="str">
        <f t="shared" si="305"/>
        <v>MS</v>
      </c>
    </row>
    <row r="11368" spans="1:6" x14ac:dyDescent="0.25">
      <c r="A11368" t="str">
        <f>"005686881"</f>
        <v>005686881</v>
      </c>
      <c r="B11368" t="str">
        <f>"1922756196"</f>
        <v>1922756196</v>
      </c>
      <c r="C11368" t="str">
        <f>"363L00000X"</f>
        <v>363L00000X</v>
      </c>
      <c r="D11368" t="str">
        <f>"DENNIS                   CAMERON                  "</f>
        <v xml:space="preserve">DENNIS                   CAMERON                  </v>
      </c>
      <c r="E11368" t="str">
        <f>"LAUREL                    "</f>
        <v xml:space="preserve">LAUREL                    </v>
      </c>
      <c r="F11368" t="str">
        <f t="shared" si="305"/>
        <v>MS</v>
      </c>
    </row>
    <row r="11369" spans="1:6" x14ac:dyDescent="0.25">
      <c r="A11369" t="str">
        <f>"005687341"</f>
        <v>005687341</v>
      </c>
      <c r="B11369" t="str">
        <f>"1265682462"</f>
        <v>1265682462</v>
      </c>
      <c r="C11369" t="str">
        <f>"207R00000X"</f>
        <v>207R00000X</v>
      </c>
      <c r="D11369" t="str">
        <f>"MACMILLAN                MARGARET                 "</f>
        <v xml:space="preserve">MACMILLAN                MARGARET                 </v>
      </c>
      <c r="E11369" t="str">
        <f>"OXFORD                    "</f>
        <v xml:space="preserve">OXFORD                    </v>
      </c>
      <c r="F11369" t="str">
        <f t="shared" si="305"/>
        <v>MS</v>
      </c>
    </row>
    <row r="11370" spans="1:6" x14ac:dyDescent="0.25">
      <c r="A11370" t="str">
        <f>"005687593"</f>
        <v>005687593</v>
      </c>
      <c r="B11370" t="str">
        <f>"1962581116"</f>
        <v>1962581116</v>
      </c>
      <c r="C11370" t="str">
        <f>"208000000X"</f>
        <v>208000000X</v>
      </c>
      <c r="D11370" t="str">
        <f>"CHEEMA                   YASMIN                   "</f>
        <v xml:space="preserve">CHEEMA                   YASMIN                   </v>
      </c>
      <c r="E11370" t="str">
        <f>"CLARKSDALE                "</f>
        <v xml:space="preserve">CLARKSDALE                </v>
      </c>
      <c r="F11370" t="str">
        <f t="shared" si="305"/>
        <v>MS</v>
      </c>
    </row>
    <row r="11371" spans="1:6" x14ac:dyDescent="0.25">
      <c r="A11371" t="str">
        <f>"005688222"</f>
        <v>005688222</v>
      </c>
      <c r="B11371" t="str">
        <f>"1588121578"</f>
        <v>1588121578</v>
      </c>
      <c r="C11371" t="str">
        <f>"363L00000X"</f>
        <v>363L00000X</v>
      </c>
      <c r="D11371" t="str">
        <f>"TRAN                     MAI          T           "</f>
        <v xml:space="preserve">TRAN                     MAI          T           </v>
      </c>
      <c r="E11371" t="str">
        <f>"GULFPORT                  "</f>
        <v xml:space="preserve">GULFPORT                  </v>
      </c>
      <c r="F11371" t="str">
        <f t="shared" si="305"/>
        <v>MS</v>
      </c>
    </row>
    <row r="11372" spans="1:6" x14ac:dyDescent="0.25">
      <c r="A11372" t="str">
        <f>"005688596"</f>
        <v>005688596</v>
      </c>
      <c r="B11372" t="str">
        <f>"1922347699"</f>
        <v>1922347699</v>
      </c>
      <c r="C11372" t="str">
        <f>"207R00000X"</f>
        <v>207R00000X</v>
      </c>
      <c r="D11372" t="str">
        <f>"FERNANDEZ                IVONNE                   "</f>
        <v xml:space="preserve">FERNANDEZ                IVONNE                   </v>
      </c>
      <c r="E11372" t="str">
        <f>"PICAYUNE                  "</f>
        <v xml:space="preserve">PICAYUNE                  </v>
      </c>
      <c r="F11372" t="str">
        <f t="shared" si="305"/>
        <v>MS</v>
      </c>
    </row>
    <row r="11373" spans="1:6" x14ac:dyDescent="0.25">
      <c r="A11373" t="str">
        <f>"005688830"</f>
        <v>005688830</v>
      </c>
      <c r="B11373" t="str">
        <f>"1760790976"</f>
        <v>1760790976</v>
      </c>
      <c r="C11373" t="str">
        <f>"207RP1001X"</f>
        <v>207RP1001X</v>
      </c>
      <c r="D11373" t="str">
        <f>"EL-HADDAD                HAITHAM                  "</f>
        <v xml:space="preserve">EL-HADDAD                HAITHAM                  </v>
      </c>
      <c r="E11373" t="str">
        <f>"SOUTHAVEN                 "</f>
        <v xml:space="preserve">SOUTHAVEN                 </v>
      </c>
      <c r="F11373" t="str">
        <f t="shared" si="305"/>
        <v>MS</v>
      </c>
    </row>
    <row r="11374" spans="1:6" x14ac:dyDescent="0.25">
      <c r="A11374" t="str">
        <f>"005688891"</f>
        <v>005688891</v>
      </c>
      <c r="B11374" t="str">
        <f>"1225226517"</f>
        <v>1225226517</v>
      </c>
      <c r="C11374" t="str">
        <f>"363A00000X"</f>
        <v>363A00000X</v>
      </c>
      <c r="D11374" t="str">
        <f>"MCDERMOTT                ANDREW       H           "</f>
        <v xml:space="preserve">MCDERMOTT                ANDREW       H           </v>
      </c>
      <c r="E11374" t="str">
        <f>"PASCAGOULA                "</f>
        <v xml:space="preserve">PASCAGOULA                </v>
      </c>
      <c r="F11374" t="str">
        <f t="shared" si="305"/>
        <v>MS</v>
      </c>
    </row>
    <row r="11375" spans="1:6" x14ac:dyDescent="0.25">
      <c r="A11375" t="str">
        <f>"005701508"</f>
        <v>005701508</v>
      </c>
      <c r="B11375" t="str">
        <f>"1629578273"</f>
        <v>1629578273</v>
      </c>
      <c r="C11375" t="str">
        <f>"363L00000X"</f>
        <v>363L00000X</v>
      </c>
      <c r="D11375" t="str">
        <f>"BISHOP                   ORLESHA      C           "</f>
        <v xml:space="preserve">BISHOP                   ORLESHA      C           </v>
      </c>
      <c r="E11375" t="str">
        <f>"CANTON                    "</f>
        <v xml:space="preserve">CANTON                    </v>
      </c>
      <c r="F11375" t="str">
        <f t="shared" si="305"/>
        <v>MS</v>
      </c>
    </row>
    <row r="11376" spans="1:6" x14ac:dyDescent="0.25">
      <c r="A11376" t="str">
        <f>"005702792"</f>
        <v>005702792</v>
      </c>
      <c r="B11376" t="str">
        <f>"1720082373"</f>
        <v>1720082373</v>
      </c>
      <c r="C11376" t="str">
        <f>"122300000X"</f>
        <v>122300000X</v>
      </c>
      <c r="D11376" t="str">
        <f>"MCALEXANDER              WILLIAM      P           "</f>
        <v xml:space="preserve">MCALEXANDER              WILLIAM      P           </v>
      </c>
      <c r="E11376" t="str">
        <f>"TUPELO                    "</f>
        <v xml:space="preserve">TUPELO                    </v>
      </c>
      <c r="F11376" t="str">
        <f t="shared" si="305"/>
        <v>MS</v>
      </c>
    </row>
    <row r="11377" spans="1:6" x14ac:dyDescent="0.25">
      <c r="A11377" t="str">
        <f>"005703817"</f>
        <v>005703817</v>
      </c>
      <c r="B11377" t="str">
        <f>"1649445115"</f>
        <v>1649445115</v>
      </c>
      <c r="C11377" t="str">
        <f>"363L00000X"</f>
        <v>363L00000X</v>
      </c>
      <c r="D11377" t="str">
        <f>"BRETEY                   TAMMY        M           "</f>
        <v xml:space="preserve">BRETEY                   TAMMY        M           </v>
      </c>
      <c r="E11377" t="str">
        <f>"FLOWOOD                   "</f>
        <v xml:space="preserve">FLOWOOD                   </v>
      </c>
      <c r="F11377" t="str">
        <f t="shared" si="305"/>
        <v>MS</v>
      </c>
    </row>
    <row r="11378" spans="1:6" x14ac:dyDescent="0.25">
      <c r="A11378" t="str">
        <f>"005705809"</f>
        <v>005705809</v>
      </c>
      <c r="B11378" t="str">
        <f>"1972898542"</f>
        <v>1972898542</v>
      </c>
      <c r="C11378" t="str">
        <f>"261QA0600X"</f>
        <v>261QA0600X</v>
      </c>
      <c r="D11378" t="str">
        <f>"ANGEL ADULT CENTER II                             "</f>
        <v xml:space="preserve">ANGEL ADULT CENTER II                             </v>
      </c>
      <c r="E11378" t="str">
        <f>"COURTLAND                 "</f>
        <v xml:space="preserve">COURTLAND                 </v>
      </c>
      <c r="F11378" t="str">
        <f t="shared" si="305"/>
        <v>MS</v>
      </c>
    </row>
    <row r="11379" spans="1:6" x14ac:dyDescent="0.25">
      <c r="A11379" t="str">
        <f>"005706349"</f>
        <v>005706349</v>
      </c>
      <c r="B11379" t="str">
        <f>"1992158281"</f>
        <v>1992158281</v>
      </c>
      <c r="C11379" t="str">
        <f>"363L00000X"</f>
        <v>363L00000X</v>
      </c>
      <c r="D11379" t="str">
        <f>"BANKS CARROL             BROOKE                   "</f>
        <v xml:space="preserve">BANKS CARROL             BROOKE                   </v>
      </c>
      <c r="E11379" t="str">
        <f>"JACKSON                   "</f>
        <v xml:space="preserve">JACKSON                   </v>
      </c>
      <c r="F11379" t="str">
        <f t="shared" si="305"/>
        <v>MS</v>
      </c>
    </row>
    <row r="11380" spans="1:6" x14ac:dyDescent="0.25">
      <c r="A11380" t="str">
        <f>"005707567"</f>
        <v>005707567</v>
      </c>
      <c r="B11380" t="str">
        <f>"1922515493"</f>
        <v>1922515493</v>
      </c>
      <c r="C11380" t="str">
        <f>"363L00000X"</f>
        <v>363L00000X</v>
      </c>
      <c r="D11380" t="str">
        <f>"SCHENK                   MEAGHAN      C           "</f>
        <v xml:space="preserve">SCHENK                   MEAGHAN      C           </v>
      </c>
      <c r="E11380" t="str">
        <f>"JACKSON                   "</f>
        <v xml:space="preserve">JACKSON                   </v>
      </c>
      <c r="F11380" t="str">
        <f t="shared" si="305"/>
        <v>MS</v>
      </c>
    </row>
    <row r="11381" spans="1:6" x14ac:dyDescent="0.25">
      <c r="A11381" t="str">
        <f>"005721802"</f>
        <v>005721802</v>
      </c>
      <c r="B11381" t="str">
        <f>"1184818213"</f>
        <v>1184818213</v>
      </c>
      <c r="C11381" t="str">
        <f>"208000000X"</f>
        <v>208000000X</v>
      </c>
      <c r="D11381" t="str">
        <f>"STEWART                  JAMES        H           "</f>
        <v xml:space="preserve">STEWART                  JAMES        H           </v>
      </c>
      <c r="E11381" t="str">
        <f>"MADISON                   "</f>
        <v xml:space="preserve">MADISON                   </v>
      </c>
      <c r="F11381" t="str">
        <f t="shared" si="305"/>
        <v>MS</v>
      </c>
    </row>
    <row r="11382" spans="1:6" x14ac:dyDescent="0.25">
      <c r="A11382" t="str">
        <f>"005722201"</f>
        <v>005722201</v>
      </c>
      <c r="B11382" t="str">
        <f>"1366630931"</f>
        <v>1366630931</v>
      </c>
      <c r="C11382" t="str">
        <f>"207P00000X"</f>
        <v>207P00000X</v>
      </c>
      <c r="D11382" t="str">
        <f>"KUO                      JEFFREY      S           "</f>
        <v xml:space="preserve">KUO                      JEFFREY      S           </v>
      </c>
      <c r="E11382" t="str">
        <f>"VICKSBURG                 "</f>
        <v xml:space="preserve">VICKSBURG                 </v>
      </c>
      <c r="F11382" t="str">
        <f t="shared" si="305"/>
        <v>MS</v>
      </c>
    </row>
    <row r="11383" spans="1:6" x14ac:dyDescent="0.25">
      <c r="A11383" t="str">
        <f>"005724366"</f>
        <v>005724366</v>
      </c>
      <c r="B11383" t="str">
        <f>"1659341238"</f>
        <v>1659341238</v>
      </c>
      <c r="C11383" t="str">
        <f>"363A00000X"</f>
        <v>363A00000X</v>
      </c>
      <c r="D11383" t="str">
        <f>"BREWER                   CHRISTOPHER  A           "</f>
        <v xml:space="preserve">BREWER                   CHRISTOPHER  A           </v>
      </c>
      <c r="E11383" t="str">
        <f>"MORTON                    "</f>
        <v xml:space="preserve">MORTON                    </v>
      </c>
      <c r="F11383" t="str">
        <f t="shared" si="305"/>
        <v>MS</v>
      </c>
    </row>
    <row r="11384" spans="1:6" x14ac:dyDescent="0.25">
      <c r="A11384" t="str">
        <f>"005725721"</f>
        <v>005725721</v>
      </c>
      <c r="B11384" t="str">
        <f>"1265747117"</f>
        <v>1265747117</v>
      </c>
      <c r="C11384" t="str">
        <f>"2084N0402X"</f>
        <v>2084N0402X</v>
      </c>
      <c r="D11384" t="str">
        <f>"HARALUR SREEKANTAIAH     YATHISH                  "</f>
        <v xml:space="preserve">HARALUR SREEKANTAIAH     YATHISH                  </v>
      </c>
      <c r="E11384" t="str">
        <f>"JACKSON                   "</f>
        <v xml:space="preserve">JACKSON                   </v>
      </c>
      <c r="F11384" t="str">
        <f t="shared" si="305"/>
        <v>MS</v>
      </c>
    </row>
    <row r="11385" spans="1:6" x14ac:dyDescent="0.25">
      <c r="A11385" t="str">
        <f>"005725791"</f>
        <v>005725791</v>
      </c>
      <c r="B11385" t="str">
        <f>"1497124762"</f>
        <v>1497124762</v>
      </c>
      <c r="C11385" t="str">
        <f t="shared" ref="C11385:C11393" si="306">"363L00000X"</f>
        <v>363L00000X</v>
      </c>
      <c r="D11385" t="str">
        <f>"MILLER                   PHILLIP      A           "</f>
        <v xml:space="preserve">MILLER                   PHILLIP      A           </v>
      </c>
      <c r="E11385" t="str">
        <f>"UNION                     "</f>
        <v xml:space="preserve">UNION                     </v>
      </c>
      <c r="F11385" t="str">
        <f t="shared" si="305"/>
        <v>MS</v>
      </c>
    </row>
    <row r="11386" spans="1:6" x14ac:dyDescent="0.25">
      <c r="A11386" t="str">
        <f>"005728092"</f>
        <v>005728092</v>
      </c>
      <c r="B11386" t="str">
        <f>"1215263652"</f>
        <v>1215263652</v>
      </c>
      <c r="C11386" t="str">
        <f t="shared" si="306"/>
        <v>363L00000X</v>
      </c>
      <c r="D11386" t="str">
        <f>"CARLISLE                 LAUREN       J           "</f>
        <v xml:space="preserve">CARLISLE                 LAUREN       J           </v>
      </c>
      <c r="E11386" t="str">
        <f>"AMORY                     "</f>
        <v xml:space="preserve">AMORY                     </v>
      </c>
      <c r="F11386" t="str">
        <f t="shared" si="305"/>
        <v>MS</v>
      </c>
    </row>
    <row r="11387" spans="1:6" x14ac:dyDescent="0.25">
      <c r="A11387" t="str">
        <f>"005728097"</f>
        <v>005728097</v>
      </c>
      <c r="B11387" t="str">
        <f>"1225705072"</f>
        <v>1225705072</v>
      </c>
      <c r="C11387" t="str">
        <f t="shared" si="306"/>
        <v>363L00000X</v>
      </c>
      <c r="D11387" t="str">
        <f>"CHRISTIAN                SARAH        R           "</f>
        <v xml:space="preserve">CHRISTIAN                SARAH        R           </v>
      </c>
      <c r="E11387" t="str">
        <f>"CORINTH                   "</f>
        <v xml:space="preserve">CORINTH                   </v>
      </c>
      <c r="F11387" t="str">
        <f t="shared" si="305"/>
        <v>MS</v>
      </c>
    </row>
    <row r="11388" spans="1:6" x14ac:dyDescent="0.25">
      <c r="A11388" t="str">
        <f>"005728327"</f>
        <v>005728327</v>
      </c>
      <c r="B11388" t="str">
        <f>"1891258893"</f>
        <v>1891258893</v>
      </c>
      <c r="C11388" t="str">
        <f t="shared" si="306"/>
        <v>363L00000X</v>
      </c>
      <c r="D11388" t="str">
        <f>"WHITTEMORE               LAURA        L           "</f>
        <v xml:space="preserve">WHITTEMORE               LAURA        L           </v>
      </c>
      <c r="E11388" t="str">
        <f>"RIDGELAND                 "</f>
        <v xml:space="preserve">RIDGELAND                 </v>
      </c>
      <c r="F11388" t="str">
        <f t="shared" si="305"/>
        <v>MS</v>
      </c>
    </row>
    <row r="11389" spans="1:6" x14ac:dyDescent="0.25">
      <c r="A11389" t="str">
        <f>"005728359"</f>
        <v>005728359</v>
      </c>
      <c r="B11389" t="str">
        <f>"1356531263"</f>
        <v>1356531263</v>
      </c>
      <c r="C11389" t="str">
        <f t="shared" si="306"/>
        <v>363L00000X</v>
      </c>
      <c r="D11389" t="str">
        <f>"DAWKINS                  HENRY        L           "</f>
        <v xml:space="preserve">DAWKINS                  HENRY        L           </v>
      </c>
      <c r="E11389" t="str">
        <f>"MCCOMB                    "</f>
        <v xml:space="preserve">MCCOMB                    </v>
      </c>
      <c r="F11389" t="str">
        <f t="shared" si="305"/>
        <v>MS</v>
      </c>
    </row>
    <row r="11390" spans="1:6" x14ac:dyDescent="0.25">
      <c r="A11390" t="str">
        <f>"005728527"</f>
        <v>005728527</v>
      </c>
      <c r="B11390" t="str">
        <f>"1841505567"</f>
        <v>1841505567</v>
      </c>
      <c r="C11390" t="str">
        <f t="shared" si="306"/>
        <v>363L00000X</v>
      </c>
      <c r="D11390" t="str">
        <f>"JACKSON                  ANGELA       A           "</f>
        <v xml:space="preserve">JACKSON                  ANGELA       A           </v>
      </c>
      <c r="E11390" t="str">
        <f>"JACKSON                   "</f>
        <v xml:space="preserve">JACKSON                   </v>
      </c>
      <c r="F11390" t="str">
        <f t="shared" ref="F11390:F11453" si="307">"MS"</f>
        <v>MS</v>
      </c>
    </row>
    <row r="11391" spans="1:6" x14ac:dyDescent="0.25">
      <c r="A11391" t="str">
        <f>"005728732"</f>
        <v>005728732</v>
      </c>
      <c r="B11391" t="str">
        <f>"1932576998"</f>
        <v>1932576998</v>
      </c>
      <c r="C11391" t="str">
        <f t="shared" si="306"/>
        <v>363L00000X</v>
      </c>
      <c r="D11391" t="str">
        <f>"GAINES                   MISTY        N           "</f>
        <v xml:space="preserve">GAINES                   MISTY        N           </v>
      </c>
      <c r="E11391" t="str">
        <f>"JACKSON                   "</f>
        <v xml:space="preserve">JACKSON                   </v>
      </c>
      <c r="F11391" t="str">
        <f t="shared" si="307"/>
        <v>MS</v>
      </c>
    </row>
    <row r="11392" spans="1:6" x14ac:dyDescent="0.25">
      <c r="A11392" t="str">
        <f>"005728765"</f>
        <v>005728765</v>
      </c>
      <c r="B11392" t="str">
        <f>"1215266556"</f>
        <v>1215266556</v>
      </c>
      <c r="C11392" t="str">
        <f t="shared" si="306"/>
        <v>363L00000X</v>
      </c>
      <c r="D11392" t="str">
        <f>"TUCKER                   EMILY        A           "</f>
        <v xml:space="preserve">TUCKER                   EMILY        A           </v>
      </c>
      <c r="E11392" t="str">
        <f>"JACKSON                   "</f>
        <v xml:space="preserve">JACKSON                   </v>
      </c>
      <c r="F11392" t="str">
        <f t="shared" si="307"/>
        <v>MS</v>
      </c>
    </row>
    <row r="11393" spans="1:6" x14ac:dyDescent="0.25">
      <c r="A11393" t="str">
        <f>"005731372"</f>
        <v>005731372</v>
      </c>
      <c r="B11393" t="str">
        <f>"1679934624"</f>
        <v>1679934624</v>
      </c>
      <c r="C11393" t="str">
        <f t="shared" si="306"/>
        <v>363L00000X</v>
      </c>
      <c r="D11393" t="str">
        <f>"CARR                     CARMEN       N           "</f>
        <v xml:space="preserve">CARR                     CARMEN       N           </v>
      </c>
      <c r="E11393" t="str">
        <f>"FLOWOOD                   "</f>
        <v xml:space="preserve">FLOWOOD                   </v>
      </c>
      <c r="F11393" t="str">
        <f t="shared" si="307"/>
        <v>MS</v>
      </c>
    </row>
    <row r="11394" spans="1:6" x14ac:dyDescent="0.25">
      <c r="A11394" t="str">
        <f>"005733809"</f>
        <v>005733809</v>
      </c>
      <c r="B11394" t="str">
        <f>"1376005850"</f>
        <v>1376005850</v>
      </c>
      <c r="C11394" t="str">
        <f>"207R00000X"</f>
        <v>207R00000X</v>
      </c>
      <c r="D11394" t="str">
        <f>"GOODFELLOW               THOR         M           "</f>
        <v xml:space="preserve">GOODFELLOW               THOR         M           </v>
      </c>
      <c r="E11394" t="str">
        <f>"JACKSON                   "</f>
        <v xml:space="preserve">JACKSON                   </v>
      </c>
      <c r="F11394" t="str">
        <f t="shared" si="307"/>
        <v>MS</v>
      </c>
    </row>
    <row r="11395" spans="1:6" x14ac:dyDescent="0.25">
      <c r="A11395" t="str">
        <f>"005734543"</f>
        <v>005734543</v>
      </c>
      <c r="B11395" t="str">
        <f>"1740377399"</f>
        <v>1740377399</v>
      </c>
      <c r="C11395" t="str">
        <f>"122300000X"</f>
        <v>122300000X</v>
      </c>
      <c r="D11395" t="str">
        <f>"MCQUARTERS-NORMAN        MARCIA       L           "</f>
        <v xml:space="preserve">MCQUARTERS-NORMAN        MARCIA       L           </v>
      </c>
      <c r="E11395" t="str">
        <f>"MERIDIAN                  "</f>
        <v xml:space="preserve">MERIDIAN                  </v>
      </c>
      <c r="F11395" t="str">
        <f t="shared" si="307"/>
        <v>MS</v>
      </c>
    </row>
    <row r="11396" spans="1:6" x14ac:dyDescent="0.25">
      <c r="A11396" t="str">
        <f>"005735373"</f>
        <v>005735373</v>
      </c>
      <c r="B11396" t="str">
        <f>"1790926780"</f>
        <v>1790926780</v>
      </c>
      <c r="C11396" t="str">
        <f>"207N00000X"</f>
        <v>207N00000X</v>
      </c>
      <c r="D11396" t="str">
        <f>"ROSE                     ELIZABETH    R           "</f>
        <v xml:space="preserve">ROSE                     ELIZABETH    R           </v>
      </c>
      <c r="E11396" t="str">
        <f>"HATTIESBURG               "</f>
        <v xml:space="preserve">HATTIESBURG               </v>
      </c>
      <c r="F11396" t="str">
        <f t="shared" si="307"/>
        <v>MS</v>
      </c>
    </row>
    <row r="11397" spans="1:6" x14ac:dyDescent="0.25">
      <c r="A11397" t="str">
        <f>"005735563"</f>
        <v>005735563</v>
      </c>
      <c r="B11397" t="str">
        <f>"1962013664"</f>
        <v>1962013664</v>
      </c>
      <c r="C11397" t="str">
        <f>"363L00000X"</f>
        <v>363L00000X</v>
      </c>
      <c r="D11397" t="str">
        <f>"MOFFATT                  HOLLIE                   "</f>
        <v xml:space="preserve">MOFFATT                  HOLLIE                   </v>
      </c>
      <c r="E11397" t="str">
        <f>"TUPELO                    "</f>
        <v xml:space="preserve">TUPELO                    </v>
      </c>
      <c r="F11397" t="str">
        <f t="shared" si="307"/>
        <v>MS</v>
      </c>
    </row>
    <row r="11398" spans="1:6" x14ac:dyDescent="0.25">
      <c r="A11398" t="str">
        <f>"005736065"</f>
        <v>005736065</v>
      </c>
      <c r="B11398" t="str">
        <f>"1679635320"</f>
        <v>1679635320</v>
      </c>
      <c r="C11398" t="str">
        <f>"122300000X"</f>
        <v>122300000X</v>
      </c>
      <c r="D11398" t="str">
        <f>"BARKLEY                  PHILLIP      J           "</f>
        <v xml:space="preserve">BARKLEY                  PHILLIP      J           </v>
      </c>
      <c r="E11398" t="str">
        <f>"CLARKSDALE                "</f>
        <v xml:space="preserve">CLARKSDALE                </v>
      </c>
      <c r="F11398" t="str">
        <f t="shared" si="307"/>
        <v>MS</v>
      </c>
    </row>
    <row r="11399" spans="1:6" x14ac:dyDescent="0.25">
      <c r="A11399" t="str">
        <f>"005736374"</f>
        <v>005736374</v>
      </c>
      <c r="B11399" t="str">
        <f>"1457896417"</f>
        <v>1457896417</v>
      </c>
      <c r="C11399" t="str">
        <f>"363L00000X"</f>
        <v>363L00000X</v>
      </c>
      <c r="D11399" t="str">
        <f>"WILSON                   DOROTHY                  "</f>
        <v xml:space="preserve">WILSON                   DOROTHY                  </v>
      </c>
      <c r="E11399" t="str">
        <f>"TUPELO                    "</f>
        <v xml:space="preserve">TUPELO                    </v>
      </c>
      <c r="F11399" t="str">
        <f t="shared" si="307"/>
        <v>MS</v>
      </c>
    </row>
    <row r="11400" spans="1:6" x14ac:dyDescent="0.25">
      <c r="A11400" t="str">
        <f>"005736808"</f>
        <v>005736808</v>
      </c>
      <c r="B11400" t="str">
        <f>"1679792295"</f>
        <v>1679792295</v>
      </c>
      <c r="C11400" t="str">
        <f>"207Y00000X"</f>
        <v>207Y00000X</v>
      </c>
      <c r="D11400" t="str">
        <f>"JEFFCOAT                 BENJAMIN     T           "</f>
        <v xml:space="preserve">JEFFCOAT                 BENJAMIN     T           </v>
      </c>
      <c r="E11400" t="str">
        <f>"FLOWOOD                   "</f>
        <v xml:space="preserve">FLOWOOD                   </v>
      </c>
      <c r="F11400" t="str">
        <f t="shared" si="307"/>
        <v>MS</v>
      </c>
    </row>
    <row r="11401" spans="1:6" x14ac:dyDescent="0.25">
      <c r="A11401" t="str">
        <f>"005737522"</f>
        <v>005737522</v>
      </c>
      <c r="B11401" t="str">
        <f>"1871976068"</f>
        <v>1871976068</v>
      </c>
      <c r="C11401" t="str">
        <f>"122300000X"</f>
        <v>122300000X</v>
      </c>
      <c r="D11401" t="str">
        <f>"CHANCE                   SUZANNE      M           "</f>
        <v xml:space="preserve">CHANCE                   SUZANNE      M           </v>
      </c>
      <c r="E11401" t="str">
        <f>"MONTICELLO                "</f>
        <v xml:space="preserve">MONTICELLO                </v>
      </c>
      <c r="F11401" t="str">
        <f t="shared" si="307"/>
        <v>MS</v>
      </c>
    </row>
    <row r="11402" spans="1:6" x14ac:dyDescent="0.25">
      <c r="A11402" t="str">
        <f>"005739089"</f>
        <v>005739089</v>
      </c>
      <c r="B11402" t="str">
        <f>"1972133353"</f>
        <v>1972133353</v>
      </c>
      <c r="C11402" t="str">
        <f>"363A00000X"</f>
        <v>363A00000X</v>
      </c>
      <c r="D11402" t="str">
        <f>"SCHOPP                   JUSTIN       B           "</f>
        <v xml:space="preserve">SCHOPP                   JUSTIN       B           </v>
      </c>
      <c r="E11402" t="str">
        <f>"JACKSON                   "</f>
        <v xml:space="preserve">JACKSON                   </v>
      </c>
      <c r="F11402" t="str">
        <f t="shared" si="307"/>
        <v>MS</v>
      </c>
    </row>
    <row r="11403" spans="1:6" x14ac:dyDescent="0.25">
      <c r="A11403" t="str">
        <f>"005750542"</f>
        <v>005750542</v>
      </c>
      <c r="B11403" t="str">
        <f>"1740659960"</f>
        <v>1740659960</v>
      </c>
      <c r="C11403" t="str">
        <f t="shared" ref="C11403:C11408" si="308">"363L00000X"</f>
        <v>363L00000X</v>
      </c>
      <c r="D11403" t="str">
        <f>"STEWART                  TERRY        B           "</f>
        <v xml:space="preserve">STEWART                  TERRY        B           </v>
      </c>
      <c r="E11403" t="str">
        <f>"TUPELO                    "</f>
        <v xml:space="preserve">TUPELO                    </v>
      </c>
      <c r="F11403" t="str">
        <f t="shared" si="307"/>
        <v>MS</v>
      </c>
    </row>
    <row r="11404" spans="1:6" x14ac:dyDescent="0.25">
      <c r="A11404" t="str">
        <f>"005751784"</f>
        <v>005751784</v>
      </c>
      <c r="B11404" t="str">
        <f>"1174822076"</f>
        <v>1174822076</v>
      </c>
      <c r="C11404" t="str">
        <f t="shared" si="308"/>
        <v>363L00000X</v>
      </c>
      <c r="D11404" t="str">
        <f>"SCHEPENS                 LAURA        M           "</f>
        <v xml:space="preserve">SCHEPENS                 LAURA        M           </v>
      </c>
      <c r="E11404" t="str">
        <f>"PASCAGOULA                "</f>
        <v xml:space="preserve">PASCAGOULA                </v>
      </c>
      <c r="F11404" t="str">
        <f t="shared" si="307"/>
        <v>MS</v>
      </c>
    </row>
    <row r="11405" spans="1:6" x14ac:dyDescent="0.25">
      <c r="A11405" t="str">
        <f>"005752310"</f>
        <v>005752310</v>
      </c>
      <c r="B11405" t="str">
        <f>"1952574048"</f>
        <v>1952574048</v>
      </c>
      <c r="C11405" t="str">
        <f t="shared" si="308"/>
        <v>363L00000X</v>
      </c>
      <c r="D11405" t="str">
        <f>"GIST                     GAVIN        G           "</f>
        <v xml:space="preserve">GIST                     GAVIN        G           </v>
      </c>
      <c r="E11405" t="str">
        <f>"CLARKSDALE                "</f>
        <v xml:space="preserve">CLARKSDALE                </v>
      </c>
      <c r="F11405" t="str">
        <f t="shared" si="307"/>
        <v>MS</v>
      </c>
    </row>
    <row r="11406" spans="1:6" x14ac:dyDescent="0.25">
      <c r="A11406" t="str">
        <f>"005753720"</f>
        <v>005753720</v>
      </c>
      <c r="B11406" t="str">
        <f>"1477633253"</f>
        <v>1477633253</v>
      </c>
      <c r="C11406" t="str">
        <f t="shared" si="308"/>
        <v>363L00000X</v>
      </c>
      <c r="D11406" t="str">
        <f>"TOUCHSTONE               KAREN                    "</f>
        <v xml:space="preserve">TOUCHSTONE               KAREN                    </v>
      </c>
      <c r="E11406" t="str">
        <f>"BUDE                      "</f>
        <v xml:space="preserve">BUDE                      </v>
      </c>
      <c r="F11406" t="str">
        <f t="shared" si="307"/>
        <v>MS</v>
      </c>
    </row>
    <row r="11407" spans="1:6" x14ac:dyDescent="0.25">
      <c r="A11407" t="str">
        <f>"005754052"</f>
        <v>005754052</v>
      </c>
      <c r="B11407" t="str">
        <f>"1043768005"</f>
        <v>1043768005</v>
      </c>
      <c r="C11407" t="str">
        <f t="shared" si="308"/>
        <v>363L00000X</v>
      </c>
      <c r="D11407" t="str">
        <f>"ROBINETTE                BETHANY                  "</f>
        <v xml:space="preserve">ROBINETTE                BETHANY                  </v>
      </c>
      <c r="E11407" t="str">
        <f>"JACKSON                   "</f>
        <v xml:space="preserve">JACKSON                   </v>
      </c>
      <c r="F11407" t="str">
        <f t="shared" si="307"/>
        <v>MS</v>
      </c>
    </row>
    <row r="11408" spans="1:6" x14ac:dyDescent="0.25">
      <c r="A11408" t="str">
        <f>"005758051"</f>
        <v>005758051</v>
      </c>
      <c r="B11408" t="str">
        <f>"1578183802"</f>
        <v>1578183802</v>
      </c>
      <c r="C11408" t="str">
        <f t="shared" si="308"/>
        <v>363L00000X</v>
      </c>
      <c r="D11408" t="str">
        <f>"BEASLEY                  LAUREN                   "</f>
        <v xml:space="preserve">BEASLEY                  LAUREN                   </v>
      </c>
      <c r="E11408" t="str">
        <f>"COLUMBUS                  "</f>
        <v xml:space="preserve">COLUMBUS                  </v>
      </c>
      <c r="F11408" t="str">
        <f t="shared" si="307"/>
        <v>MS</v>
      </c>
    </row>
    <row r="11409" spans="1:6" x14ac:dyDescent="0.25">
      <c r="A11409" t="str">
        <f>"005759241"</f>
        <v>005759241</v>
      </c>
      <c r="B11409" t="str">
        <f>"1861832909"</f>
        <v>1861832909</v>
      </c>
      <c r="C11409" t="str">
        <f>"122300000X"</f>
        <v>122300000X</v>
      </c>
      <c r="D11409" t="str">
        <f>"ROMERO                   JENNIFER     G           "</f>
        <v xml:space="preserve">ROMERO                   JENNIFER     G           </v>
      </c>
      <c r="E11409" t="str">
        <f>"SENATOBIA                 "</f>
        <v xml:space="preserve">SENATOBIA                 </v>
      </c>
      <c r="F11409" t="str">
        <f t="shared" si="307"/>
        <v>MS</v>
      </c>
    </row>
    <row r="11410" spans="1:6" x14ac:dyDescent="0.25">
      <c r="A11410" t="str">
        <f>"005770521"</f>
        <v>005770521</v>
      </c>
      <c r="B11410" t="str">
        <f>"1275763823"</f>
        <v>1275763823</v>
      </c>
      <c r="C11410" t="str">
        <f>"207R00000X"</f>
        <v>207R00000X</v>
      </c>
      <c r="D11410" t="str">
        <f>"PHILLIPS                 STUART       L           "</f>
        <v xml:space="preserve">PHILLIPS                 STUART       L           </v>
      </c>
      <c r="E11410" t="str">
        <f>"PASCAGOULA                "</f>
        <v xml:space="preserve">PASCAGOULA                </v>
      </c>
      <c r="F11410" t="str">
        <f t="shared" si="307"/>
        <v>MS</v>
      </c>
    </row>
    <row r="11411" spans="1:6" x14ac:dyDescent="0.25">
      <c r="A11411" t="str">
        <f>"005773334"</f>
        <v>005773334</v>
      </c>
      <c r="B11411" t="str">
        <f>"1275820847"</f>
        <v>1275820847</v>
      </c>
      <c r="C11411" t="str">
        <f>"207R00000X"</f>
        <v>207R00000X</v>
      </c>
      <c r="D11411" t="str">
        <f>"GARRIGA                  BRANDON                  "</f>
        <v xml:space="preserve">GARRIGA                  BRANDON                  </v>
      </c>
      <c r="E11411" t="str">
        <f>"JACKSON                   "</f>
        <v xml:space="preserve">JACKSON                   </v>
      </c>
      <c r="F11411" t="str">
        <f t="shared" si="307"/>
        <v>MS</v>
      </c>
    </row>
    <row r="11412" spans="1:6" x14ac:dyDescent="0.25">
      <c r="A11412" t="str">
        <f>"005774529"</f>
        <v>005774529</v>
      </c>
      <c r="B11412" t="str">
        <f>"1104550896"</f>
        <v>1104550896</v>
      </c>
      <c r="C11412" t="str">
        <f>"122300000X"</f>
        <v>122300000X</v>
      </c>
      <c r="D11412" t="str">
        <f>"PETERMAN                 HANNAH       J           "</f>
        <v xml:space="preserve">PETERMAN                 HANNAH       J           </v>
      </c>
      <c r="E11412" t="str">
        <f>"POPLARVILLE               "</f>
        <v xml:space="preserve">POPLARVILLE               </v>
      </c>
      <c r="F11412" t="str">
        <f t="shared" si="307"/>
        <v>MS</v>
      </c>
    </row>
    <row r="11413" spans="1:6" x14ac:dyDescent="0.25">
      <c r="A11413" t="str">
        <f>"005774759"</f>
        <v>005774759</v>
      </c>
      <c r="B11413" t="str">
        <f>"1700190592"</f>
        <v>1700190592</v>
      </c>
      <c r="C11413" t="str">
        <f>"363L00000X"</f>
        <v>363L00000X</v>
      </c>
      <c r="D11413" t="str">
        <f>"MCKENZIE                 ROSHUNDIA    L           "</f>
        <v xml:space="preserve">MCKENZIE                 ROSHUNDIA    L           </v>
      </c>
      <c r="E11413" t="str">
        <f>"MERIDIAN                  "</f>
        <v xml:space="preserve">MERIDIAN                  </v>
      </c>
      <c r="F11413" t="str">
        <f t="shared" si="307"/>
        <v>MS</v>
      </c>
    </row>
    <row r="11414" spans="1:6" x14ac:dyDescent="0.25">
      <c r="A11414" t="str">
        <f>"005775009"</f>
        <v>005775009</v>
      </c>
      <c r="B11414" t="str">
        <f>"1811270093"</f>
        <v>1811270093</v>
      </c>
      <c r="C11414" t="str">
        <f>"367500000X"</f>
        <v>367500000X</v>
      </c>
      <c r="D11414" t="str">
        <f>"ROWAN                    REGENA       B           "</f>
        <v xml:space="preserve">ROWAN                    REGENA       B           </v>
      </c>
      <c r="E11414" t="str">
        <f>"TUPELO                    "</f>
        <v xml:space="preserve">TUPELO                    </v>
      </c>
      <c r="F11414" t="str">
        <f t="shared" si="307"/>
        <v>MS</v>
      </c>
    </row>
    <row r="11415" spans="1:6" x14ac:dyDescent="0.25">
      <c r="A11415" t="str">
        <f>"005775706"</f>
        <v>005775706</v>
      </c>
      <c r="B11415" t="str">
        <f>"1629514286"</f>
        <v>1629514286</v>
      </c>
      <c r="C11415" t="str">
        <f>"363L00000X"</f>
        <v>363L00000X</v>
      </c>
      <c r="D11415" t="str">
        <f>"GEORGE                   TRACIE       D           "</f>
        <v xml:space="preserve">GEORGE                   TRACIE       D           </v>
      </c>
      <c r="E11415" t="str">
        <f>"VANCLEAVE                 "</f>
        <v xml:space="preserve">VANCLEAVE                 </v>
      </c>
      <c r="F11415" t="str">
        <f t="shared" si="307"/>
        <v>MS</v>
      </c>
    </row>
    <row r="11416" spans="1:6" x14ac:dyDescent="0.25">
      <c r="A11416" t="str">
        <f>"005778021"</f>
        <v>005778021</v>
      </c>
      <c r="B11416" t="str">
        <f>"1689994469"</f>
        <v>1689994469</v>
      </c>
      <c r="C11416" t="str">
        <f>"207P00000X"</f>
        <v>207P00000X</v>
      </c>
      <c r="D11416" t="str">
        <f>"WARE                     SIDNEY       L           "</f>
        <v xml:space="preserve">WARE                     SIDNEY       L           </v>
      </c>
      <c r="E11416" t="str">
        <f>"TUPELO                    "</f>
        <v xml:space="preserve">TUPELO                    </v>
      </c>
      <c r="F11416" t="str">
        <f t="shared" si="307"/>
        <v>MS</v>
      </c>
    </row>
    <row r="11417" spans="1:6" x14ac:dyDescent="0.25">
      <c r="A11417" t="str">
        <f>"005778269"</f>
        <v>005778269</v>
      </c>
      <c r="B11417" t="str">
        <f>"1013663384"</f>
        <v>1013663384</v>
      </c>
      <c r="C11417" t="str">
        <f>"261QM1300X"</f>
        <v>261QM1300X</v>
      </c>
      <c r="D11417" t="str">
        <f>"RISE PSYCHOTHERAPY AND FAMILY SUPPO               "</f>
        <v xml:space="preserve">RISE PSYCHOTHERAPY AND FAMILY SUPPO               </v>
      </c>
      <c r="E11417" t="str">
        <f>"BILOXI                    "</f>
        <v xml:space="preserve">BILOXI                    </v>
      </c>
      <c r="F11417" t="str">
        <f t="shared" si="307"/>
        <v>MS</v>
      </c>
    </row>
    <row r="11418" spans="1:6" x14ac:dyDescent="0.25">
      <c r="A11418" t="str">
        <f>"005782753"</f>
        <v>005782753</v>
      </c>
      <c r="B11418" t="str">
        <f>"1932446051"</f>
        <v>1932446051</v>
      </c>
      <c r="C11418" t="str">
        <f>"261QF0400X"</f>
        <v>261QF0400X</v>
      </c>
      <c r="D11418" t="str">
        <f>"SOUTHEAST MISSISSIPPI RURAL HEALTH                "</f>
        <v xml:space="preserve">SOUTHEAST MISSISSIPPI RURAL HEALTH                </v>
      </c>
      <c r="E11418" t="str">
        <f>"PETAL                     "</f>
        <v xml:space="preserve">PETAL                     </v>
      </c>
      <c r="F11418" t="str">
        <f t="shared" si="307"/>
        <v>MS</v>
      </c>
    </row>
    <row r="11419" spans="1:6" x14ac:dyDescent="0.25">
      <c r="A11419" t="str">
        <f>"005783386"</f>
        <v>005783386</v>
      </c>
      <c r="B11419" t="str">
        <f>"1962678037"</f>
        <v>1962678037</v>
      </c>
      <c r="C11419" t="str">
        <f>"207V00000X"</f>
        <v>207V00000X</v>
      </c>
      <c r="D11419" t="str">
        <f>"EDWARDS                  LEIGH        B           "</f>
        <v xml:space="preserve">EDWARDS                  LEIGH        B           </v>
      </c>
      <c r="E11419" t="str">
        <f>"JACKSON                   "</f>
        <v xml:space="preserve">JACKSON                   </v>
      </c>
      <c r="F11419" t="str">
        <f t="shared" si="307"/>
        <v>MS</v>
      </c>
    </row>
    <row r="11420" spans="1:6" x14ac:dyDescent="0.25">
      <c r="A11420" t="str">
        <f>"005783828"</f>
        <v>005783828</v>
      </c>
      <c r="B11420" t="str">
        <f>"1922546589"</f>
        <v>1922546589</v>
      </c>
      <c r="C11420" t="str">
        <f>"363L00000X"</f>
        <v>363L00000X</v>
      </c>
      <c r="D11420" t="str">
        <f>"VALENTINE                AMY          E           "</f>
        <v xml:space="preserve">VALENTINE                AMY          E           </v>
      </c>
      <c r="E11420" t="str">
        <f>"JACKSON                   "</f>
        <v xml:space="preserve">JACKSON                   </v>
      </c>
      <c r="F11420" t="str">
        <f t="shared" si="307"/>
        <v>MS</v>
      </c>
    </row>
    <row r="11421" spans="1:6" x14ac:dyDescent="0.25">
      <c r="A11421" t="str">
        <f>"005785021"</f>
        <v>005785021</v>
      </c>
      <c r="B11421" t="str">
        <f>"1982632014"</f>
        <v>1982632014</v>
      </c>
      <c r="C11421" t="str">
        <f>"367500000X"</f>
        <v>367500000X</v>
      </c>
      <c r="D11421" t="str">
        <f>"BARBER                   KEVEN        L           "</f>
        <v xml:space="preserve">BARBER                   KEVEN        L           </v>
      </c>
      <c r="E11421" t="str">
        <f>"TUPELO                    "</f>
        <v xml:space="preserve">TUPELO                    </v>
      </c>
      <c r="F11421" t="str">
        <f t="shared" si="307"/>
        <v>MS</v>
      </c>
    </row>
    <row r="11422" spans="1:6" x14ac:dyDescent="0.25">
      <c r="A11422" t="str">
        <f>"005785365"</f>
        <v>005785365</v>
      </c>
      <c r="B11422" t="str">
        <f>"1962800011"</f>
        <v>1962800011</v>
      </c>
      <c r="C11422" t="str">
        <f>"152W00000X"</f>
        <v>152W00000X</v>
      </c>
      <c r="D11422" t="str">
        <f>"POPLARVILLE EYE CLINIC LLC                        "</f>
        <v xml:space="preserve">POPLARVILLE EYE CLINIC LLC                        </v>
      </c>
      <c r="E11422" t="str">
        <f>"POPLARVILLE               "</f>
        <v xml:space="preserve">POPLARVILLE               </v>
      </c>
      <c r="F11422" t="str">
        <f t="shared" si="307"/>
        <v>MS</v>
      </c>
    </row>
    <row r="11423" spans="1:6" x14ac:dyDescent="0.25">
      <c r="A11423" t="str">
        <f>"005787589"</f>
        <v>005787589</v>
      </c>
      <c r="B11423" t="str">
        <f>"1366475030"</f>
        <v>1366475030</v>
      </c>
      <c r="C11423" t="str">
        <f>"207P00000X"</f>
        <v>207P00000X</v>
      </c>
      <c r="D11423" t="str">
        <f>"MORIARITY                RISA                     "</f>
        <v xml:space="preserve">MORIARITY                RISA                     </v>
      </c>
      <c r="E11423" t="str">
        <f>"JACKSON                   "</f>
        <v xml:space="preserve">JACKSON                   </v>
      </c>
      <c r="F11423" t="str">
        <f t="shared" si="307"/>
        <v>MS</v>
      </c>
    </row>
    <row r="11424" spans="1:6" x14ac:dyDescent="0.25">
      <c r="A11424" t="str">
        <f>"005788218"</f>
        <v>005788218</v>
      </c>
      <c r="B11424" t="str">
        <f>"1487631461"</f>
        <v>1487631461</v>
      </c>
      <c r="C11424" t="str">
        <f>"363L00000X"</f>
        <v>363L00000X</v>
      </c>
      <c r="D11424" t="str">
        <f>"MORGAN                   LISA         D           "</f>
        <v xml:space="preserve">MORGAN                   LISA         D           </v>
      </c>
      <c r="E11424" t="str">
        <f>"WIGGINS                   "</f>
        <v xml:space="preserve">WIGGINS                   </v>
      </c>
      <c r="F11424" t="str">
        <f t="shared" si="307"/>
        <v>MS</v>
      </c>
    </row>
    <row r="11425" spans="1:6" x14ac:dyDescent="0.25">
      <c r="A11425" t="str">
        <f>"005789090"</f>
        <v>005789090</v>
      </c>
      <c r="B11425" t="str">
        <f>"1851373625"</f>
        <v>1851373625</v>
      </c>
      <c r="C11425" t="str">
        <f>"1223S0112X"</f>
        <v>1223S0112X</v>
      </c>
      <c r="D11425" t="str">
        <f>"BROWN                    JEFFREY      S           "</f>
        <v xml:space="preserve">BROWN                    JEFFREY      S           </v>
      </c>
      <c r="E11425" t="str">
        <f>"MADISON                   "</f>
        <v xml:space="preserve">MADISON                   </v>
      </c>
      <c r="F11425" t="str">
        <f t="shared" si="307"/>
        <v>MS</v>
      </c>
    </row>
    <row r="11426" spans="1:6" x14ac:dyDescent="0.25">
      <c r="A11426" t="str">
        <f>"005789291"</f>
        <v>005789291</v>
      </c>
      <c r="B11426" t="str">
        <f>"1124070719"</f>
        <v>1124070719</v>
      </c>
      <c r="C11426" t="str">
        <f>"367500000X"</f>
        <v>367500000X</v>
      </c>
      <c r="D11426" t="str">
        <f>"GAVIN                    ROY          C           "</f>
        <v xml:space="preserve">GAVIN                    ROY          C           </v>
      </c>
      <c r="E11426" t="str">
        <f>"HATTIESBURG               "</f>
        <v xml:space="preserve">HATTIESBURG               </v>
      </c>
      <c r="F11426" t="str">
        <f t="shared" si="307"/>
        <v>MS</v>
      </c>
    </row>
    <row r="11427" spans="1:6" x14ac:dyDescent="0.25">
      <c r="A11427" t="str">
        <f>"005800329"</f>
        <v>005800329</v>
      </c>
      <c r="B11427" t="str">
        <f>"1518380120"</f>
        <v>1518380120</v>
      </c>
      <c r="C11427" t="str">
        <f>"363L00000X"</f>
        <v>363L00000X</v>
      </c>
      <c r="D11427" t="str">
        <f>"BROWN                    KEILA        L           "</f>
        <v xml:space="preserve">BROWN                    KEILA        L           </v>
      </c>
      <c r="E11427" t="str">
        <f>"JACKSON                   "</f>
        <v xml:space="preserve">JACKSON                   </v>
      </c>
      <c r="F11427" t="str">
        <f t="shared" si="307"/>
        <v>MS</v>
      </c>
    </row>
    <row r="11428" spans="1:6" x14ac:dyDescent="0.25">
      <c r="A11428" t="str">
        <f>"005800954"</f>
        <v>005800954</v>
      </c>
      <c r="B11428" t="str">
        <f>"1114689692"</f>
        <v>1114689692</v>
      </c>
      <c r="C11428" t="str">
        <f>"363L00000X"</f>
        <v>363L00000X</v>
      </c>
      <c r="D11428" t="str">
        <f>"MCCARTY                  BRITTANY     A           "</f>
        <v xml:space="preserve">MCCARTY                  BRITTANY     A           </v>
      </c>
      <c r="E11428" t="str">
        <f>"RALEIGH                   "</f>
        <v xml:space="preserve">RALEIGH                   </v>
      </c>
      <c r="F11428" t="str">
        <f t="shared" si="307"/>
        <v>MS</v>
      </c>
    </row>
    <row r="11429" spans="1:6" x14ac:dyDescent="0.25">
      <c r="A11429" t="str">
        <f>"005801095"</f>
        <v>005801095</v>
      </c>
      <c r="B11429" t="str">
        <f>"1427554823"</f>
        <v>1427554823</v>
      </c>
      <c r="C11429" t="str">
        <f>"207R00000X"</f>
        <v>207R00000X</v>
      </c>
      <c r="D11429" t="str">
        <f>"DAVIS                    CODY                     "</f>
        <v xml:space="preserve">DAVIS                    CODY                     </v>
      </c>
      <c r="E11429" t="str">
        <f>"LUCEDALE                  "</f>
        <v xml:space="preserve">LUCEDALE                  </v>
      </c>
      <c r="F11429" t="str">
        <f t="shared" si="307"/>
        <v>MS</v>
      </c>
    </row>
    <row r="11430" spans="1:6" x14ac:dyDescent="0.25">
      <c r="A11430" t="str">
        <f>"005801549"</f>
        <v>005801549</v>
      </c>
      <c r="B11430" t="str">
        <f>"1275907354"</f>
        <v>1275907354</v>
      </c>
      <c r="C11430" t="str">
        <f>"363L00000X"</f>
        <v>363L00000X</v>
      </c>
      <c r="D11430" t="str">
        <f>"DICHIARA                 ABBEY        J           "</f>
        <v xml:space="preserve">DICHIARA                 ABBEY        J           </v>
      </c>
      <c r="E11430" t="str">
        <f>"COLUMBUS                  "</f>
        <v xml:space="preserve">COLUMBUS                  </v>
      </c>
      <c r="F11430" t="str">
        <f t="shared" si="307"/>
        <v>MS</v>
      </c>
    </row>
    <row r="11431" spans="1:6" x14ac:dyDescent="0.25">
      <c r="A11431" t="str">
        <f>"005802031"</f>
        <v>005802031</v>
      </c>
      <c r="B11431" t="str">
        <f>"1902847163"</f>
        <v>1902847163</v>
      </c>
      <c r="C11431" t="str">
        <f>"363L00000X"</f>
        <v>363L00000X</v>
      </c>
      <c r="D11431" t="str">
        <f>"HALL                     PATRICIA     D           "</f>
        <v xml:space="preserve">HALL                     PATRICIA     D           </v>
      </c>
      <c r="E11431" t="str">
        <f>"GULFPORT                  "</f>
        <v xml:space="preserve">GULFPORT                  </v>
      </c>
      <c r="F11431" t="str">
        <f t="shared" si="307"/>
        <v>MS</v>
      </c>
    </row>
    <row r="11432" spans="1:6" x14ac:dyDescent="0.25">
      <c r="A11432" t="str">
        <f>"005802361"</f>
        <v>005802361</v>
      </c>
      <c r="B11432" t="str">
        <f>"1760921696"</f>
        <v>1760921696</v>
      </c>
      <c r="C11432" t="str">
        <f>"363L00000X"</f>
        <v>363L00000X</v>
      </c>
      <c r="D11432" t="str">
        <f>"SCOTT                    TRACY                    "</f>
        <v xml:space="preserve">SCOTT                    TRACY                    </v>
      </c>
      <c r="E11432" t="str">
        <f>"BYHALIA                   "</f>
        <v xml:space="preserve">BYHALIA                   </v>
      </c>
      <c r="F11432" t="str">
        <f t="shared" si="307"/>
        <v>MS</v>
      </c>
    </row>
    <row r="11433" spans="1:6" x14ac:dyDescent="0.25">
      <c r="A11433" t="str">
        <f>"005804250"</f>
        <v>005804250</v>
      </c>
      <c r="B11433" t="str">
        <f>"1720528011"</f>
        <v>1720528011</v>
      </c>
      <c r="C11433" t="str">
        <f>"363L00000X"</f>
        <v>363L00000X</v>
      </c>
      <c r="D11433" t="str">
        <f>"THARP                    MICHELLE                 "</f>
        <v xml:space="preserve">THARP                    MICHELLE                 </v>
      </c>
      <c r="E11433" t="str">
        <f>"JACKSON                   "</f>
        <v xml:space="preserve">JACKSON                   </v>
      </c>
      <c r="F11433" t="str">
        <f t="shared" si="307"/>
        <v>MS</v>
      </c>
    </row>
    <row r="11434" spans="1:6" x14ac:dyDescent="0.25">
      <c r="A11434" t="str">
        <f>"005805509"</f>
        <v>005805509</v>
      </c>
      <c r="B11434" t="str">
        <f>"1619035029"</f>
        <v>1619035029</v>
      </c>
      <c r="C11434" t="str">
        <f>"363A00000X"</f>
        <v>363A00000X</v>
      </c>
      <c r="D11434" t="str">
        <f>"CLARK                    KARMEN       R           "</f>
        <v xml:space="preserve">CLARK                    KARMEN       R           </v>
      </c>
      <c r="E11434" t="str">
        <f>"OCEAN SPRINGS             "</f>
        <v xml:space="preserve">OCEAN SPRINGS             </v>
      </c>
      <c r="F11434" t="str">
        <f t="shared" si="307"/>
        <v>MS</v>
      </c>
    </row>
    <row r="11435" spans="1:6" x14ac:dyDescent="0.25">
      <c r="A11435" t="str">
        <f>"005805572"</f>
        <v>005805572</v>
      </c>
      <c r="B11435" t="str">
        <f>"1053304881"</f>
        <v>1053304881</v>
      </c>
      <c r="C11435" t="str">
        <f>"207R00000X"</f>
        <v>207R00000X</v>
      </c>
      <c r="D11435" t="str">
        <f>"KALE                     DEEPALI      R           "</f>
        <v xml:space="preserve">KALE                     DEEPALI      R           </v>
      </c>
      <c r="E11435" t="str">
        <f>"GREENVILLE                "</f>
        <v xml:space="preserve">GREENVILLE                </v>
      </c>
      <c r="F11435" t="str">
        <f t="shared" si="307"/>
        <v>MS</v>
      </c>
    </row>
    <row r="11436" spans="1:6" x14ac:dyDescent="0.25">
      <c r="A11436" t="str">
        <f>"005808531"</f>
        <v>005808531</v>
      </c>
      <c r="B11436" t="str">
        <f>"1518412691"</f>
        <v>1518412691</v>
      </c>
      <c r="C11436" t="str">
        <f>"363L00000X"</f>
        <v>363L00000X</v>
      </c>
      <c r="D11436" t="str">
        <f>"HORTON                   STARLA       H           "</f>
        <v xml:space="preserve">HORTON                   STARLA       H           </v>
      </c>
      <c r="E11436" t="str">
        <f>"TUPELO                    "</f>
        <v xml:space="preserve">TUPELO                    </v>
      </c>
      <c r="F11436" t="str">
        <f t="shared" si="307"/>
        <v>MS</v>
      </c>
    </row>
    <row r="11437" spans="1:6" x14ac:dyDescent="0.25">
      <c r="A11437" t="str">
        <f>"005820369"</f>
        <v>005820369</v>
      </c>
      <c r="B11437" t="str">
        <f>"1255723854"</f>
        <v>1255723854</v>
      </c>
      <c r="C11437" t="str">
        <f>"261QA0600X"</f>
        <v>261QA0600X</v>
      </c>
      <c r="D11437" t="str">
        <f>"HOL FAMILY LIFE ADC CENTER                        "</f>
        <v xml:space="preserve">HOL FAMILY LIFE ADC CENTER                        </v>
      </c>
      <c r="E11437" t="str">
        <f>"HATTIESBURG               "</f>
        <v xml:space="preserve">HATTIESBURG               </v>
      </c>
      <c r="F11437" t="str">
        <f t="shared" si="307"/>
        <v>MS</v>
      </c>
    </row>
    <row r="11438" spans="1:6" x14ac:dyDescent="0.25">
      <c r="A11438" t="str">
        <f>"005820575"</f>
        <v>005820575</v>
      </c>
      <c r="B11438" t="str">
        <f>"1932591468"</f>
        <v>1932591468</v>
      </c>
      <c r="C11438" t="str">
        <f>"261QR1300X"</f>
        <v>261QR1300X</v>
      </c>
      <c r="D11438" t="str">
        <f>"HOLCOMB CLINIC                                    "</f>
        <v xml:space="preserve">HOLCOMB CLINIC                                    </v>
      </c>
      <c r="E11438" t="str">
        <f>"GRENADA                   "</f>
        <v xml:space="preserve">GRENADA                   </v>
      </c>
      <c r="F11438" t="str">
        <f t="shared" si="307"/>
        <v>MS</v>
      </c>
    </row>
    <row r="11439" spans="1:6" x14ac:dyDescent="0.25">
      <c r="A11439" t="str">
        <f>"005821751"</f>
        <v>005821751</v>
      </c>
      <c r="B11439" t="str">
        <f>"1679018410"</f>
        <v>1679018410</v>
      </c>
      <c r="C11439" t="str">
        <f>"363A00000X"</f>
        <v>363A00000X</v>
      </c>
      <c r="D11439" t="str">
        <f>"ALLRED                   CASSIE       B           "</f>
        <v xml:space="preserve">ALLRED                   CASSIE       B           </v>
      </c>
      <c r="E11439" t="str">
        <f>"HOLLY SPRINGS             "</f>
        <v xml:space="preserve">HOLLY SPRINGS             </v>
      </c>
      <c r="F11439" t="str">
        <f t="shared" si="307"/>
        <v>MS</v>
      </c>
    </row>
    <row r="11440" spans="1:6" x14ac:dyDescent="0.25">
      <c r="A11440" t="str">
        <f>"005822327"</f>
        <v>005822327</v>
      </c>
      <c r="B11440" t="str">
        <f>"1689096505"</f>
        <v>1689096505</v>
      </c>
      <c r="C11440" t="str">
        <f>"363L00000X"</f>
        <v>363L00000X</v>
      </c>
      <c r="D11440" t="str">
        <f>"GRESSETT                 WENDY        D           "</f>
        <v xml:space="preserve">GRESSETT                 WENDY        D           </v>
      </c>
      <c r="E11440" t="str">
        <f>"NEWTON                    "</f>
        <v xml:space="preserve">NEWTON                    </v>
      </c>
      <c r="F11440" t="str">
        <f t="shared" si="307"/>
        <v>MS</v>
      </c>
    </row>
    <row r="11441" spans="1:6" x14ac:dyDescent="0.25">
      <c r="A11441" t="str">
        <f>"005822714"</f>
        <v>005822714</v>
      </c>
      <c r="B11441" t="str">
        <f>"1093366775"</f>
        <v>1093366775</v>
      </c>
      <c r="C11441" t="str">
        <f>"261QM1300X"</f>
        <v>261QM1300X</v>
      </c>
      <c r="D11441" t="str">
        <f>"PHOENIX BEHAVIORAL HEALTH CENTER                  "</f>
        <v xml:space="preserve">PHOENIX BEHAVIORAL HEALTH CENTER                  </v>
      </c>
      <c r="E11441" t="str">
        <f>"OCEAN SPRINGS             "</f>
        <v xml:space="preserve">OCEAN SPRINGS             </v>
      </c>
      <c r="F11441" t="str">
        <f t="shared" si="307"/>
        <v>MS</v>
      </c>
    </row>
    <row r="11442" spans="1:6" x14ac:dyDescent="0.25">
      <c r="A11442" t="str">
        <f>"005822824"</f>
        <v>005822824</v>
      </c>
      <c r="B11442" t="str">
        <f>"1811340201"</f>
        <v>1811340201</v>
      </c>
      <c r="C11442" t="str">
        <f>"207Q00000X"</f>
        <v>207Q00000X</v>
      </c>
      <c r="D11442" t="str">
        <f>"CALCOTE                  JOSHUA                   "</f>
        <v xml:space="preserve">CALCOTE                  JOSHUA                   </v>
      </c>
      <c r="E11442" t="str">
        <f>"TUPELO                    "</f>
        <v xml:space="preserve">TUPELO                    </v>
      </c>
      <c r="F11442" t="str">
        <f t="shared" si="307"/>
        <v>MS</v>
      </c>
    </row>
    <row r="11443" spans="1:6" x14ac:dyDescent="0.25">
      <c r="A11443" t="str">
        <f>"005823077"</f>
        <v>005823077</v>
      </c>
      <c r="B11443" t="str">
        <f>"1982282414"</f>
        <v>1982282414</v>
      </c>
      <c r="C11443" t="str">
        <f>"208000000X"</f>
        <v>208000000X</v>
      </c>
      <c r="D11443" t="str">
        <f>"WILTSHIRE                ABIGAIL                  "</f>
        <v xml:space="preserve">WILTSHIRE                ABIGAIL                  </v>
      </c>
      <c r="E11443" t="str">
        <f>"JACKSON                   "</f>
        <v xml:space="preserve">JACKSON                   </v>
      </c>
      <c r="F11443" t="str">
        <f t="shared" si="307"/>
        <v>MS</v>
      </c>
    </row>
    <row r="11444" spans="1:6" x14ac:dyDescent="0.25">
      <c r="A11444" t="str">
        <f>"005824251"</f>
        <v>005824251</v>
      </c>
      <c r="B11444" t="str">
        <f>"1205001005"</f>
        <v>1205001005</v>
      </c>
      <c r="C11444" t="str">
        <f>"152W00000X"</f>
        <v>152W00000X</v>
      </c>
      <c r="D11444" t="str">
        <f>"OPTICAL 2000 OF RICHLAND                          "</f>
        <v xml:space="preserve">OPTICAL 2000 OF RICHLAND                          </v>
      </c>
      <c r="E11444" t="str">
        <f>"RICHLAND                  "</f>
        <v xml:space="preserve">RICHLAND                  </v>
      </c>
      <c r="F11444" t="str">
        <f t="shared" si="307"/>
        <v>MS</v>
      </c>
    </row>
    <row r="11445" spans="1:6" x14ac:dyDescent="0.25">
      <c r="A11445" t="str">
        <f>"005824517"</f>
        <v>005824517</v>
      </c>
      <c r="B11445" t="str">
        <f>"1225566128"</f>
        <v>1225566128</v>
      </c>
      <c r="C11445" t="str">
        <f>"363L00000X"</f>
        <v>363L00000X</v>
      </c>
      <c r="D11445" t="str">
        <f>"DYE                      EVA          N           "</f>
        <v xml:space="preserve">DYE                      EVA          N           </v>
      </c>
      <c r="E11445" t="str">
        <f>"MERIDIAN                  "</f>
        <v xml:space="preserve">MERIDIAN                  </v>
      </c>
      <c r="F11445" t="str">
        <f t="shared" si="307"/>
        <v>MS</v>
      </c>
    </row>
    <row r="11446" spans="1:6" x14ac:dyDescent="0.25">
      <c r="A11446" t="str">
        <f>"005824576"</f>
        <v>005824576</v>
      </c>
      <c r="B11446" t="str">
        <f>"1467022574"</f>
        <v>1467022574</v>
      </c>
      <c r="C11446" t="str">
        <f>"363L00000X"</f>
        <v>363L00000X</v>
      </c>
      <c r="D11446" t="str">
        <f>"CARPENTER                JESSICA      L           "</f>
        <v xml:space="preserve">CARPENTER                JESSICA      L           </v>
      </c>
      <c r="E11446" t="str">
        <f>"IUKA                      "</f>
        <v xml:space="preserve">IUKA                      </v>
      </c>
      <c r="F11446" t="str">
        <f t="shared" si="307"/>
        <v>MS</v>
      </c>
    </row>
    <row r="11447" spans="1:6" x14ac:dyDescent="0.25">
      <c r="A11447" t="str">
        <f>"005824748"</f>
        <v>005824748</v>
      </c>
      <c r="B11447" t="str">
        <f>"1598191298"</f>
        <v>1598191298</v>
      </c>
      <c r="C11447" t="str">
        <f>"363L00000X"</f>
        <v>363L00000X</v>
      </c>
      <c r="D11447" t="str">
        <f>"KELLY                    PENNY        L           "</f>
        <v xml:space="preserve">KELLY                    PENNY        L           </v>
      </c>
      <c r="E11447" t="str">
        <f>"JACKSON                   "</f>
        <v xml:space="preserve">JACKSON                   </v>
      </c>
      <c r="F11447" t="str">
        <f t="shared" si="307"/>
        <v>MS</v>
      </c>
    </row>
    <row r="11448" spans="1:6" x14ac:dyDescent="0.25">
      <c r="A11448" t="str">
        <f>"005824814"</f>
        <v>005824814</v>
      </c>
      <c r="B11448" t="str">
        <f>"1356761597"</f>
        <v>1356761597</v>
      </c>
      <c r="C11448" t="str">
        <f>"207L00000X"</f>
        <v>207L00000X</v>
      </c>
      <c r="D11448" t="str">
        <f>"ALAM                     OSCAR                    "</f>
        <v xml:space="preserve">ALAM                     OSCAR                    </v>
      </c>
      <c r="E11448" t="str">
        <f>"JACKSON                   "</f>
        <v xml:space="preserve">JACKSON                   </v>
      </c>
      <c r="F11448" t="str">
        <f t="shared" si="307"/>
        <v>MS</v>
      </c>
    </row>
    <row r="11449" spans="1:6" x14ac:dyDescent="0.25">
      <c r="A11449" t="str">
        <f>"005825324"</f>
        <v>005825324</v>
      </c>
      <c r="B11449" t="str">
        <f>"1649824434"</f>
        <v>1649824434</v>
      </c>
      <c r="C11449" t="str">
        <f>"152W00000X"</f>
        <v>152W00000X</v>
      </c>
      <c r="D11449" t="str">
        <f>"SOUTHERN EYE CARE OF FLOWOOD PA                   "</f>
        <v xml:space="preserve">SOUTHERN EYE CARE OF FLOWOOD PA                   </v>
      </c>
      <c r="E11449" t="str">
        <f>"FLOWOOD                   "</f>
        <v xml:space="preserve">FLOWOOD                   </v>
      </c>
      <c r="F11449" t="str">
        <f t="shared" si="307"/>
        <v>MS</v>
      </c>
    </row>
    <row r="11450" spans="1:6" x14ac:dyDescent="0.25">
      <c r="A11450" t="str">
        <f>"005825537"</f>
        <v>005825537</v>
      </c>
      <c r="B11450" t="str">
        <f>"1043657455"</f>
        <v>1043657455</v>
      </c>
      <c r="C11450" t="str">
        <f>"208M00000X"</f>
        <v>208M00000X</v>
      </c>
      <c r="D11450" t="str">
        <f>"TUMMA                    RAJACHENDRA              "</f>
        <v xml:space="preserve">TUMMA                    RAJACHENDRA              </v>
      </c>
      <c r="E11450" t="str">
        <f>"TUPELO                    "</f>
        <v xml:space="preserve">TUPELO                    </v>
      </c>
      <c r="F11450" t="str">
        <f t="shared" si="307"/>
        <v>MS</v>
      </c>
    </row>
    <row r="11451" spans="1:6" x14ac:dyDescent="0.25">
      <c r="A11451" t="str">
        <f>"005825798"</f>
        <v>005825798</v>
      </c>
      <c r="B11451" t="str">
        <f>"1932113404"</f>
        <v>1932113404</v>
      </c>
      <c r="C11451" t="str">
        <f>"152W00000X"</f>
        <v>152W00000X</v>
      </c>
      <c r="D11451" t="str">
        <f>"BEDDINGFIELD             JASON        M           "</f>
        <v xml:space="preserve">BEDDINGFIELD             JASON        M           </v>
      </c>
      <c r="E11451" t="str">
        <f>"LAUREL                    "</f>
        <v xml:space="preserve">LAUREL                    </v>
      </c>
      <c r="F11451" t="str">
        <f t="shared" si="307"/>
        <v>MS</v>
      </c>
    </row>
    <row r="11452" spans="1:6" x14ac:dyDescent="0.25">
      <c r="A11452" t="str">
        <f>"005826312"</f>
        <v>005826312</v>
      </c>
      <c r="B11452" t="str">
        <f>"1659003580"</f>
        <v>1659003580</v>
      </c>
      <c r="C11452" t="str">
        <f>"363L00000X"</f>
        <v>363L00000X</v>
      </c>
      <c r="D11452" t="str">
        <f>"LADNER                   AMBER                    "</f>
        <v xml:space="preserve">LADNER                   AMBER                    </v>
      </c>
      <c r="E11452" t="str">
        <f>"BAY SAINT LOUIS           "</f>
        <v xml:space="preserve">BAY SAINT LOUIS           </v>
      </c>
      <c r="F11452" t="str">
        <f t="shared" si="307"/>
        <v>MS</v>
      </c>
    </row>
    <row r="11453" spans="1:6" x14ac:dyDescent="0.25">
      <c r="A11453" t="str">
        <f>"005826531"</f>
        <v>005826531</v>
      </c>
      <c r="B11453" t="str">
        <f>"1285639955"</f>
        <v>1285639955</v>
      </c>
      <c r="C11453" t="str">
        <f>"207X00000X"</f>
        <v>207X00000X</v>
      </c>
      <c r="D11453" t="str">
        <f>"REED                     LORI         K           "</f>
        <v xml:space="preserve">REED                     LORI         K           </v>
      </c>
      <c r="E11453" t="str">
        <f>"JACKSON                   "</f>
        <v xml:space="preserve">JACKSON                   </v>
      </c>
      <c r="F11453" t="str">
        <f t="shared" si="307"/>
        <v>MS</v>
      </c>
    </row>
    <row r="11454" spans="1:6" x14ac:dyDescent="0.25">
      <c r="A11454" t="str">
        <f>"005826891"</f>
        <v>005826891</v>
      </c>
      <c r="B11454" t="str">
        <f>"1386125383"</f>
        <v>1386125383</v>
      </c>
      <c r="C11454" t="str">
        <f>"363L00000X"</f>
        <v>363L00000X</v>
      </c>
      <c r="D11454" t="str">
        <f>"SAMUEL                   KENDRA                   "</f>
        <v xml:space="preserve">SAMUEL                   KENDRA                   </v>
      </c>
      <c r="E11454" t="str">
        <f>"WIGGINS                   "</f>
        <v xml:space="preserve">WIGGINS                   </v>
      </c>
      <c r="F11454" t="str">
        <f t="shared" ref="F11454:F11517" si="309">"MS"</f>
        <v>MS</v>
      </c>
    </row>
    <row r="11455" spans="1:6" x14ac:dyDescent="0.25">
      <c r="A11455" t="str">
        <f>"005827049"</f>
        <v>005827049</v>
      </c>
      <c r="B11455" t="str">
        <f>"1700370319"</f>
        <v>1700370319</v>
      </c>
      <c r="C11455" t="str">
        <f>"207Q00000X"</f>
        <v>207Q00000X</v>
      </c>
      <c r="D11455" t="str">
        <f>"DOWDY                    MATTHEW                  "</f>
        <v xml:space="preserve">DOWDY                    MATTHEW                  </v>
      </c>
      <c r="E11455" t="str">
        <f>"TUPELO                    "</f>
        <v xml:space="preserve">TUPELO                    </v>
      </c>
      <c r="F11455" t="str">
        <f t="shared" si="309"/>
        <v>MS</v>
      </c>
    </row>
    <row r="11456" spans="1:6" x14ac:dyDescent="0.25">
      <c r="A11456" t="str">
        <f>"005827353"</f>
        <v>005827353</v>
      </c>
      <c r="B11456" t="str">
        <f>"1215395348"</f>
        <v>1215395348</v>
      </c>
      <c r="C11456" t="str">
        <f>"367500000X"</f>
        <v>367500000X</v>
      </c>
      <c r="D11456" t="str">
        <f>"GAVIN                    KATY         G           "</f>
        <v xml:space="preserve">GAVIN                    KATY         G           </v>
      </c>
      <c r="E11456" t="str">
        <f>"HATTIESBURG               "</f>
        <v xml:space="preserve">HATTIESBURG               </v>
      </c>
      <c r="F11456" t="str">
        <f t="shared" si="309"/>
        <v>MS</v>
      </c>
    </row>
    <row r="11457" spans="1:6" x14ac:dyDescent="0.25">
      <c r="A11457" t="str">
        <f>"005828295"</f>
        <v>005828295</v>
      </c>
      <c r="B11457" t="str">
        <f>"1295770709"</f>
        <v>1295770709</v>
      </c>
      <c r="C11457" t="str">
        <f>"207R00000X"</f>
        <v>207R00000X</v>
      </c>
      <c r="D11457" t="str">
        <f>"SINGH                    SATWINDER                "</f>
        <v xml:space="preserve">SINGH                    SATWINDER                </v>
      </c>
      <c r="E11457" t="str">
        <f>"GREENVILLE                "</f>
        <v xml:space="preserve">GREENVILLE                </v>
      </c>
      <c r="F11457" t="str">
        <f t="shared" si="309"/>
        <v>MS</v>
      </c>
    </row>
    <row r="11458" spans="1:6" x14ac:dyDescent="0.25">
      <c r="A11458" t="str">
        <f>"005828526"</f>
        <v>005828526</v>
      </c>
      <c r="B11458" t="str">
        <f>"1194211094"</f>
        <v>1194211094</v>
      </c>
      <c r="C11458" t="str">
        <f>"363L00000X"</f>
        <v>363L00000X</v>
      </c>
      <c r="D11458" t="str">
        <f>"HAZZARD                  CARLY        M           "</f>
        <v xml:space="preserve">HAZZARD                  CARLY        M           </v>
      </c>
      <c r="E11458" t="str">
        <f>"RULEVILLE                 "</f>
        <v xml:space="preserve">RULEVILLE                 </v>
      </c>
      <c r="F11458" t="str">
        <f t="shared" si="309"/>
        <v>MS</v>
      </c>
    </row>
    <row r="11459" spans="1:6" x14ac:dyDescent="0.25">
      <c r="A11459" t="str">
        <f>"005828828"</f>
        <v>005828828</v>
      </c>
      <c r="B11459" t="str">
        <f>"1811302847"</f>
        <v>1811302847</v>
      </c>
      <c r="C11459" t="str">
        <f>"363L00000X"</f>
        <v>363L00000X</v>
      </c>
      <c r="D11459" t="str">
        <f>"MAGEE                    MARY         K           "</f>
        <v xml:space="preserve">MAGEE                    MARY         K           </v>
      </c>
      <c r="E11459" t="str">
        <f>"JACKSON                   "</f>
        <v xml:space="preserve">JACKSON                   </v>
      </c>
      <c r="F11459" t="str">
        <f t="shared" si="309"/>
        <v>MS</v>
      </c>
    </row>
    <row r="11460" spans="1:6" x14ac:dyDescent="0.25">
      <c r="A11460" t="str">
        <f>"005830268"</f>
        <v>005830268</v>
      </c>
      <c r="B11460" t="str">
        <f>"1477955177"</f>
        <v>1477955177</v>
      </c>
      <c r="C11460" t="str">
        <f>"363L00000X"</f>
        <v>363L00000X</v>
      </c>
      <c r="D11460" t="str">
        <f>"HUFFSTATLER              MARLANA                  "</f>
        <v xml:space="preserve">HUFFSTATLER              MARLANA                  </v>
      </c>
      <c r="E11460" t="str">
        <f>"TUPELO                    "</f>
        <v xml:space="preserve">TUPELO                    </v>
      </c>
      <c r="F11460" t="str">
        <f t="shared" si="309"/>
        <v>MS</v>
      </c>
    </row>
    <row r="11461" spans="1:6" x14ac:dyDescent="0.25">
      <c r="A11461" t="str">
        <f>"005832528"</f>
        <v>005832528</v>
      </c>
      <c r="B11461" t="str">
        <f>"1568990232"</f>
        <v>1568990232</v>
      </c>
      <c r="C11461" t="str">
        <f>"207X00000X"</f>
        <v>207X00000X</v>
      </c>
      <c r="D11461" t="str">
        <f>"DRAKE                    LUKE         C           "</f>
        <v xml:space="preserve">DRAKE                    LUKE         C           </v>
      </c>
      <c r="E11461" t="str">
        <f>"BILOXI                    "</f>
        <v xml:space="preserve">BILOXI                    </v>
      </c>
      <c r="F11461" t="str">
        <f t="shared" si="309"/>
        <v>MS</v>
      </c>
    </row>
    <row r="11462" spans="1:6" x14ac:dyDescent="0.25">
      <c r="A11462" t="str">
        <f>"005833715"</f>
        <v>005833715</v>
      </c>
      <c r="B11462" t="str">
        <f>"1801084744"</f>
        <v>1801084744</v>
      </c>
      <c r="C11462" t="str">
        <f>"122300000X"</f>
        <v>122300000X</v>
      </c>
      <c r="D11462" t="str">
        <f>"MCCURDY                  WENDY        R           "</f>
        <v xml:space="preserve">MCCURDY                  WENDY        R           </v>
      </c>
      <c r="E11462" t="str">
        <f>"HATTIESBURG               "</f>
        <v xml:space="preserve">HATTIESBURG               </v>
      </c>
      <c r="F11462" t="str">
        <f t="shared" si="309"/>
        <v>MS</v>
      </c>
    </row>
    <row r="11463" spans="1:6" x14ac:dyDescent="0.25">
      <c r="A11463" t="str">
        <f>"005836331"</f>
        <v>005836331</v>
      </c>
      <c r="B11463" t="str">
        <f>"1720453673"</f>
        <v>1720453673</v>
      </c>
      <c r="C11463" t="str">
        <f>"363L00000X"</f>
        <v>363L00000X</v>
      </c>
      <c r="D11463" t="str">
        <f>"GEORGE                   KHALILAH     C           "</f>
        <v xml:space="preserve">GEORGE                   KHALILAH     C           </v>
      </c>
      <c r="E11463" t="str">
        <f>"GRENADA                   "</f>
        <v xml:space="preserve">GRENADA                   </v>
      </c>
      <c r="F11463" t="str">
        <f t="shared" si="309"/>
        <v>MS</v>
      </c>
    </row>
    <row r="11464" spans="1:6" x14ac:dyDescent="0.25">
      <c r="A11464" t="str">
        <f>"005836717"</f>
        <v>005836717</v>
      </c>
      <c r="B11464" t="str">
        <f>"1225685381"</f>
        <v>1225685381</v>
      </c>
      <c r="C11464" t="str">
        <f>"363L00000X"</f>
        <v>363L00000X</v>
      </c>
      <c r="D11464" t="str">
        <f>"HALL                     CHARLAYSHA   S           "</f>
        <v xml:space="preserve">HALL                     CHARLAYSHA   S           </v>
      </c>
      <c r="E11464" t="str">
        <f>"GULFPORT                  "</f>
        <v xml:space="preserve">GULFPORT                  </v>
      </c>
      <c r="F11464" t="str">
        <f t="shared" si="309"/>
        <v>MS</v>
      </c>
    </row>
    <row r="11465" spans="1:6" x14ac:dyDescent="0.25">
      <c r="A11465" t="str">
        <f>"005836742"</f>
        <v>005836742</v>
      </c>
      <c r="B11465" t="str">
        <f>"1588812341"</f>
        <v>1588812341</v>
      </c>
      <c r="C11465" t="str">
        <f>"122300000X"</f>
        <v>122300000X</v>
      </c>
      <c r="D11465" t="str">
        <f>"JANORKAR                 DEEPTI                   "</f>
        <v xml:space="preserve">JANORKAR                 DEEPTI                   </v>
      </c>
      <c r="E11465" t="str">
        <f>"JACKSON                   "</f>
        <v xml:space="preserve">JACKSON                   </v>
      </c>
      <c r="F11465" t="str">
        <f t="shared" si="309"/>
        <v>MS</v>
      </c>
    </row>
    <row r="11466" spans="1:6" x14ac:dyDescent="0.25">
      <c r="A11466" t="str">
        <f>"005837711"</f>
        <v>005837711</v>
      </c>
      <c r="B11466" t="str">
        <f>"1093214819"</f>
        <v>1093214819</v>
      </c>
      <c r="C11466" t="str">
        <f>"261QA1903X"</f>
        <v>261QA1903X</v>
      </c>
      <c r="D11466" t="str">
        <f>"PREMIER SURGICAL CENTER LLC                       "</f>
        <v xml:space="preserve">PREMIER SURGICAL CENTER LLC                       </v>
      </c>
      <c r="E11466" t="str">
        <f>"MADISON                   "</f>
        <v xml:space="preserve">MADISON                   </v>
      </c>
      <c r="F11466" t="str">
        <f t="shared" si="309"/>
        <v>MS</v>
      </c>
    </row>
    <row r="11467" spans="1:6" x14ac:dyDescent="0.25">
      <c r="A11467" t="str">
        <f>"005838065"</f>
        <v>005838065</v>
      </c>
      <c r="B11467" t="str">
        <f>"1750693206"</f>
        <v>1750693206</v>
      </c>
      <c r="C11467" t="str">
        <f>"207L00000X"</f>
        <v>207L00000X</v>
      </c>
      <c r="D11467" t="str">
        <f>"TORREY                   ALAN         J           "</f>
        <v xml:space="preserve">TORREY                   ALAN         J           </v>
      </c>
      <c r="E11467" t="str">
        <f>"VICKSBURG                 "</f>
        <v xml:space="preserve">VICKSBURG                 </v>
      </c>
      <c r="F11467" t="str">
        <f t="shared" si="309"/>
        <v>MS</v>
      </c>
    </row>
    <row r="11468" spans="1:6" x14ac:dyDescent="0.25">
      <c r="A11468" t="str">
        <f>"005838340"</f>
        <v>005838340</v>
      </c>
      <c r="B11468" t="str">
        <f>"1053598433"</f>
        <v>1053598433</v>
      </c>
      <c r="C11468" t="str">
        <f>"122300000X"</f>
        <v>122300000X</v>
      </c>
      <c r="D11468" t="str">
        <f>"WELLS                    LESLIE       R           "</f>
        <v xml:space="preserve">WELLS                    LESLIE       R           </v>
      </c>
      <c r="E11468" t="str">
        <f>"NEW AUGUSTA               "</f>
        <v xml:space="preserve">NEW AUGUSTA               </v>
      </c>
      <c r="F11468" t="str">
        <f t="shared" si="309"/>
        <v>MS</v>
      </c>
    </row>
    <row r="11469" spans="1:6" x14ac:dyDescent="0.25">
      <c r="A11469" t="str">
        <f>"005838803"</f>
        <v>005838803</v>
      </c>
      <c r="B11469" t="str">
        <f>"1770824955"</f>
        <v>1770824955</v>
      </c>
      <c r="C11469" t="str">
        <f>"363L00000X"</f>
        <v>363L00000X</v>
      </c>
      <c r="D11469" t="str">
        <f>"STANLEY                  KIMBERLY     M           "</f>
        <v xml:space="preserve">STANLEY                  KIMBERLY     M           </v>
      </c>
      <c r="E11469" t="str">
        <f>"MANTACHIE                 "</f>
        <v xml:space="preserve">MANTACHIE                 </v>
      </c>
      <c r="F11469" t="str">
        <f t="shared" si="309"/>
        <v>MS</v>
      </c>
    </row>
    <row r="11470" spans="1:6" x14ac:dyDescent="0.25">
      <c r="A11470" t="str">
        <f>"005850217"</f>
        <v>005850217</v>
      </c>
      <c r="B11470" t="str">
        <f>"1255612081"</f>
        <v>1255612081</v>
      </c>
      <c r="C11470" t="str">
        <f>"363L00000X"</f>
        <v>363L00000X</v>
      </c>
      <c r="D11470" t="str">
        <f>"JANZEN                   AMBER        L           "</f>
        <v xml:space="preserve">JANZEN                   AMBER        L           </v>
      </c>
      <c r="E11470" t="str">
        <f>"BOONEVILLE                "</f>
        <v xml:space="preserve">BOONEVILLE                </v>
      </c>
      <c r="F11470" t="str">
        <f t="shared" si="309"/>
        <v>MS</v>
      </c>
    </row>
    <row r="11471" spans="1:6" x14ac:dyDescent="0.25">
      <c r="A11471" t="str">
        <f>"005850722"</f>
        <v>005850722</v>
      </c>
      <c r="B11471" t="str">
        <f>"1285947408"</f>
        <v>1285947408</v>
      </c>
      <c r="C11471" t="str">
        <f>"261QM0801X"</f>
        <v>261QM0801X</v>
      </c>
      <c r="D11471" t="str">
        <f>"ELLISVILLE STATE SCHOOL                           "</f>
        <v xml:space="preserve">ELLISVILLE STATE SCHOOL                           </v>
      </c>
      <c r="E11471" t="str">
        <f>"ELLISVILLE                "</f>
        <v xml:space="preserve">ELLISVILLE                </v>
      </c>
      <c r="F11471" t="str">
        <f t="shared" si="309"/>
        <v>MS</v>
      </c>
    </row>
    <row r="11472" spans="1:6" x14ac:dyDescent="0.25">
      <c r="A11472" t="str">
        <f>"005851267"</f>
        <v>005851267</v>
      </c>
      <c r="B11472" t="str">
        <f>"1538344064"</f>
        <v>1538344064</v>
      </c>
      <c r="C11472" t="str">
        <f>"363L00000X"</f>
        <v>363L00000X</v>
      </c>
      <c r="D11472" t="str">
        <f>"SHELBY                   PEGGY        H           "</f>
        <v xml:space="preserve">SHELBY                   PEGGY        H           </v>
      </c>
      <c r="E11472" t="str">
        <f>"FLOWOOD                   "</f>
        <v xml:space="preserve">FLOWOOD                   </v>
      </c>
      <c r="F11472" t="str">
        <f t="shared" si="309"/>
        <v>MS</v>
      </c>
    </row>
    <row r="11473" spans="1:6" x14ac:dyDescent="0.25">
      <c r="A11473" t="str">
        <f>"005851817"</f>
        <v>005851817</v>
      </c>
      <c r="B11473" t="str">
        <f>"1194745315"</f>
        <v>1194745315</v>
      </c>
      <c r="C11473" t="str">
        <f>"363L00000X"</f>
        <v>363L00000X</v>
      </c>
      <c r="D11473" t="str">
        <f>"BRYANT                   MICHELE      R           "</f>
        <v xml:space="preserve">BRYANT                   MICHELE      R           </v>
      </c>
      <c r="E11473" t="str">
        <f>"PRENTISS                  "</f>
        <v xml:space="preserve">PRENTISS                  </v>
      </c>
      <c r="F11473" t="str">
        <f t="shared" si="309"/>
        <v>MS</v>
      </c>
    </row>
    <row r="11474" spans="1:6" x14ac:dyDescent="0.25">
      <c r="A11474" t="str">
        <f>"005852094"</f>
        <v>005852094</v>
      </c>
      <c r="B11474" t="str">
        <f>"1548400781"</f>
        <v>1548400781</v>
      </c>
      <c r="C11474" t="str">
        <f>"207P00000X"</f>
        <v>207P00000X</v>
      </c>
      <c r="D11474" t="str">
        <f>"POND                     RYAN         M           "</f>
        <v xml:space="preserve">POND                     RYAN         M           </v>
      </c>
      <c r="E11474" t="str">
        <f>"TUPELO                    "</f>
        <v xml:space="preserve">TUPELO                    </v>
      </c>
      <c r="F11474" t="str">
        <f t="shared" si="309"/>
        <v>MS</v>
      </c>
    </row>
    <row r="11475" spans="1:6" x14ac:dyDescent="0.25">
      <c r="A11475" t="str">
        <f>"005852567"</f>
        <v>005852567</v>
      </c>
      <c r="B11475" t="str">
        <f>"1336680529"</f>
        <v>1336680529</v>
      </c>
      <c r="C11475" t="str">
        <f>"261QR1300X"</f>
        <v>261QR1300X</v>
      </c>
      <c r="D11475" t="str">
        <f>"CHILDREN'S INTERNATIONAL MEDICAL GR               "</f>
        <v xml:space="preserve">CHILDREN'S INTERNATIONAL MEDICAL GR               </v>
      </c>
      <c r="E11475" t="str">
        <f>"BAY ST LOUIS              "</f>
        <v xml:space="preserve">BAY ST LOUIS              </v>
      </c>
      <c r="F11475" t="str">
        <f t="shared" si="309"/>
        <v>MS</v>
      </c>
    </row>
    <row r="11476" spans="1:6" x14ac:dyDescent="0.25">
      <c r="A11476" t="str">
        <f>"005854037"</f>
        <v>005854037</v>
      </c>
      <c r="B11476" t="str">
        <f>"1225283096"</f>
        <v>1225283096</v>
      </c>
      <c r="C11476" t="str">
        <f>"207Q00000X"</f>
        <v>207Q00000X</v>
      </c>
      <c r="D11476" t="str">
        <f>"MUMALLAH                 HAFIDA                   "</f>
        <v xml:space="preserve">MUMALLAH                 HAFIDA                   </v>
      </c>
      <c r="E11476" t="str">
        <f>"OXFORD                    "</f>
        <v xml:space="preserve">OXFORD                    </v>
      </c>
      <c r="F11476" t="str">
        <f t="shared" si="309"/>
        <v>MS</v>
      </c>
    </row>
    <row r="11477" spans="1:6" x14ac:dyDescent="0.25">
      <c r="A11477" t="str">
        <f>"005854215"</f>
        <v>005854215</v>
      </c>
      <c r="B11477" t="str">
        <f>"1679543102"</f>
        <v>1679543102</v>
      </c>
      <c r="C11477" t="str">
        <f>"207Q00000X"</f>
        <v>207Q00000X</v>
      </c>
      <c r="D11477" t="str">
        <f>"KELLUM                   RONALD       F           "</f>
        <v xml:space="preserve">KELLUM                   RONALD       F           </v>
      </c>
      <c r="E11477" t="str">
        <f>"DIAMONDHEAD               "</f>
        <v xml:space="preserve">DIAMONDHEAD               </v>
      </c>
      <c r="F11477" t="str">
        <f t="shared" si="309"/>
        <v>MS</v>
      </c>
    </row>
    <row r="11478" spans="1:6" x14ac:dyDescent="0.25">
      <c r="A11478" t="str">
        <f>"005854833"</f>
        <v>005854833</v>
      </c>
      <c r="B11478" t="str">
        <f>"1700020005"</f>
        <v>1700020005</v>
      </c>
      <c r="C11478" t="str">
        <f>"208600000X"</f>
        <v>208600000X</v>
      </c>
      <c r="D11478" t="str">
        <f>"HOLLEY                   ANDY         W           "</f>
        <v xml:space="preserve">HOLLEY                   ANDY         W           </v>
      </c>
      <c r="E11478" t="str">
        <f>"CORINTH                   "</f>
        <v xml:space="preserve">CORINTH                   </v>
      </c>
      <c r="F11478" t="str">
        <f t="shared" si="309"/>
        <v>MS</v>
      </c>
    </row>
    <row r="11479" spans="1:6" x14ac:dyDescent="0.25">
      <c r="A11479" t="str">
        <f>"005856558"</f>
        <v>005856558</v>
      </c>
      <c r="B11479" t="str">
        <f>"1215939269"</f>
        <v>1215939269</v>
      </c>
      <c r="C11479" t="str">
        <f>"207P00000X"</f>
        <v>207P00000X</v>
      </c>
      <c r="D11479" t="str">
        <f>"BAH                      MOHAMMED                 "</f>
        <v xml:space="preserve">BAH                      MOHAMMED                 </v>
      </c>
      <c r="E11479" t="str">
        <f>"OLIVE BRANCH              "</f>
        <v xml:space="preserve">OLIVE BRANCH              </v>
      </c>
      <c r="F11479" t="str">
        <f t="shared" si="309"/>
        <v>MS</v>
      </c>
    </row>
    <row r="11480" spans="1:6" x14ac:dyDescent="0.25">
      <c r="A11480" t="str">
        <f>"005856864"</f>
        <v>005856864</v>
      </c>
      <c r="B11480" t="str">
        <f>"1396006458"</f>
        <v>1396006458</v>
      </c>
      <c r="C11480" t="str">
        <f>"122300000X"</f>
        <v>122300000X</v>
      </c>
      <c r="D11480" t="str">
        <f>"MUNDRA                   DEEPTHI                  "</f>
        <v xml:space="preserve">MUNDRA                   DEEPTHI                  </v>
      </c>
      <c r="E11480" t="str">
        <f>"FOREST                    "</f>
        <v xml:space="preserve">FOREST                    </v>
      </c>
      <c r="F11480" t="str">
        <f t="shared" si="309"/>
        <v>MS</v>
      </c>
    </row>
    <row r="11481" spans="1:6" x14ac:dyDescent="0.25">
      <c r="A11481" t="str">
        <f>"005857094"</f>
        <v>005857094</v>
      </c>
      <c r="B11481" t="str">
        <f>"1467797977"</f>
        <v>1467797977</v>
      </c>
      <c r="C11481" t="str">
        <f>"363L00000X"</f>
        <v>363L00000X</v>
      </c>
      <c r="D11481" t="str">
        <f>"EASTER                   JAMES        A           "</f>
        <v xml:space="preserve">EASTER                   JAMES        A           </v>
      </c>
      <c r="E11481" t="str">
        <f>"ABERDEEN                  "</f>
        <v xml:space="preserve">ABERDEEN                  </v>
      </c>
      <c r="F11481" t="str">
        <f t="shared" si="309"/>
        <v>MS</v>
      </c>
    </row>
    <row r="11482" spans="1:6" x14ac:dyDescent="0.25">
      <c r="A11482" t="str">
        <f>"005857525"</f>
        <v>005857525</v>
      </c>
      <c r="B11482" t="str">
        <f>"1538666193"</f>
        <v>1538666193</v>
      </c>
      <c r="C11482" t="str">
        <f>"207L00000X"</f>
        <v>207L00000X</v>
      </c>
      <c r="D11482" t="str">
        <f>"SCHARFENSTEIN            SCOTT        A           "</f>
        <v xml:space="preserve">SCHARFENSTEIN            SCOTT        A           </v>
      </c>
      <c r="E11482" t="str">
        <f>"GULFPORT                  "</f>
        <v xml:space="preserve">GULFPORT                  </v>
      </c>
      <c r="F11482" t="str">
        <f t="shared" si="309"/>
        <v>MS</v>
      </c>
    </row>
    <row r="11483" spans="1:6" x14ac:dyDescent="0.25">
      <c r="A11483" t="str">
        <f>"005857553"</f>
        <v>005857553</v>
      </c>
      <c r="B11483" t="str">
        <f>"1326511031"</f>
        <v>1326511031</v>
      </c>
      <c r="C11483" t="str">
        <f>"363L00000X"</f>
        <v>363L00000X</v>
      </c>
      <c r="D11483" t="str">
        <f>"SANFORD                  ASHLEY       D           "</f>
        <v xml:space="preserve">SANFORD                  ASHLEY       D           </v>
      </c>
      <c r="E11483" t="str">
        <f>"TYLERTOWN                 "</f>
        <v xml:space="preserve">TYLERTOWN                 </v>
      </c>
      <c r="F11483" t="str">
        <f t="shared" si="309"/>
        <v>MS</v>
      </c>
    </row>
    <row r="11484" spans="1:6" x14ac:dyDescent="0.25">
      <c r="A11484" t="str">
        <f>"005857711"</f>
        <v>005857711</v>
      </c>
      <c r="B11484" t="str">
        <f>"1215134010"</f>
        <v>1215134010</v>
      </c>
      <c r="C11484" t="str">
        <f>"363L00000X"</f>
        <v>363L00000X</v>
      </c>
      <c r="D11484" t="str">
        <f>"FARMER                   LASHONDRA    J           "</f>
        <v xml:space="preserve">FARMER                   LASHONDRA    J           </v>
      </c>
      <c r="E11484" t="str">
        <f>"JACKSON                   "</f>
        <v xml:space="preserve">JACKSON                   </v>
      </c>
      <c r="F11484" t="str">
        <f t="shared" si="309"/>
        <v>MS</v>
      </c>
    </row>
    <row r="11485" spans="1:6" x14ac:dyDescent="0.25">
      <c r="A11485" t="str">
        <f>"005858037"</f>
        <v>005858037</v>
      </c>
      <c r="B11485" t="str">
        <f>"1285882662"</f>
        <v>1285882662</v>
      </c>
      <c r="C11485" t="str">
        <f>"261QR1300X"</f>
        <v>261QR1300X</v>
      </c>
      <c r="D11485" t="str">
        <f>"WAYNESBORO FAMILY MEDICINE &amp; OBSTET               "</f>
        <v xml:space="preserve">WAYNESBORO FAMILY MEDICINE &amp; OBSTET               </v>
      </c>
      <c r="E11485" t="str">
        <f>"WAYNESBORO                "</f>
        <v xml:space="preserve">WAYNESBORO                </v>
      </c>
      <c r="F11485" t="str">
        <f t="shared" si="309"/>
        <v>MS</v>
      </c>
    </row>
    <row r="11486" spans="1:6" x14ac:dyDescent="0.25">
      <c r="A11486" t="str">
        <f>"005858524"</f>
        <v>005858524</v>
      </c>
      <c r="B11486" t="str">
        <f>"1376186734"</f>
        <v>1376186734</v>
      </c>
      <c r="C11486" t="str">
        <f>"363L00000X"</f>
        <v>363L00000X</v>
      </c>
      <c r="D11486" t="str">
        <f>"LITTLE                   TAYLOR                   "</f>
        <v xml:space="preserve">LITTLE                   TAYLOR                   </v>
      </c>
      <c r="E11486" t="str">
        <f>"OCEAN SPRINGS             "</f>
        <v xml:space="preserve">OCEAN SPRINGS             </v>
      </c>
      <c r="F11486" t="str">
        <f t="shared" si="309"/>
        <v>MS</v>
      </c>
    </row>
    <row r="11487" spans="1:6" x14ac:dyDescent="0.25">
      <c r="A11487" t="str">
        <f>"005859035"</f>
        <v>005859035</v>
      </c>
      <c r="B11487" t="str">
        <f>"1518404235"</f>
        <v>1518404235</v>
      </c>
      <c r="C11487" t="str">
        <f>"363L00000X"</f>
        <v>363L00000X</v>
      </c>
      <c r="D11487" t="str">
        <f>"BROSH                    TIFFANY                  "</f>
        <v xml:space="preserve">BROSH                    TIFFANY                  </v>
      </c>
      <c r="E11487" t="str">
        <f>"GULFPORT                  "</f>
        <v xml:space="preserve">GULFPORT                  </v>
      </c>
      <c r="F11487" t="str">
        <f t="shared" si="309"/>
        <v>MS</v>
      </c>
    </row>
    <row r="11488" spans="1:6" x14ac:dyDescent="0.25">
      <c r="A11488" t="str">
        <f>"005859866"</f>
        <v>005859866</v>
      </c>
      <c r="B11488" t="str">
        <f>"1376858761"</f>
        <v>1376858761</v>
      </c>
      <c r="C11488" t="str">
        <f>"363L00000X"</f>
        <v>363L00000X</v>
      </c>
      <c r="D11488" t="str">
        <f>"BYRD                     MINDY        J           "</f>
        <v xml:space="preserve">BYRD                     MINDY        J           </v>
      </c>
      <c r="E11488" t="str">
        <f>"JACKSON                   "</f>
        <v xml:space="preserve">JACKSON                   </v>
      </c>
      <c r="F11488" t="str">
        <f t="shared" si="309"/>
        <v>MS</v>
      </c>
    </row>
    <row r="11489" spans="1:6" x14ac:dyDescent="0.25">
      <c r="A11489" t="str">
        <f>"005870208"</f>
        <v>005870208</v>
      </c>
      <c r="B11489" t="str">
        <f>"1477803252"</f>
        <v>1477803252</v>
      </c>
      <c r="C11489" t="str">
        <f>"363L00000X"</f>
        <v>363L00000X</v>
      </c>
      <c r="D11489" t="str">
        <f>"LANDIS                   HOPE         E           "</f>
        <v xml:space="preserve">LANDIS                   HOPE         E           </v>
      </c>
      <c r="E11489" t="str">
        <f>"GULFPORT                  "</f>
        <v xml:space="preserve">GULFPORT                  </v>
      </c>
      <c r="F11489" t="str">
        <f t="shared" si="309"/>
        <v>MS</v>
      </c>
    </row>
    <row r="11490" spans="1:6" x14ac:dyDescent="0.25">
      <c r="A11490" t="str">
        <f>"005871001"</f>
        <v>005871001</v>
      </c>
      <c r="B11490" t="str">
        <f>"1467095927"</f>
        <v>1467095927</v>
      </c>
      <c r="C11490" t="str">
        <f>"363L00000X"</f>
        <v>363L00000X</v>
      </c>
      <c r="D11490" t="str">
        <f>"OWEN                     TAMATHA                  "</f>
        <v xml:space="preserve">OWEN                     TAMATHA                  </v>
      </c>
      <c r="E11490" t="str">
        <f>"MAGEE                     "</f>
        <v xml:space="preserve">MAGEE                     </v>
      </c>
      <c r="F11490" t="str">
        <f t="shared" si="309"/>
        <v>MS</v>
      </c>
    </row>
    <row r="11491" spans="1:6" x14ac:dyDescent="0.25">
      <c r="A11491" t="str">
        <f>"005871393"</f>
        <v>005871393</v>
      </c>
      <c r="B11491" t="str">
        <f>"1932157500"</f>
        <v>1932157500</v>
      </c>
      <c r="C11491" t="str">
        <f>"1223S0112X"</f>
        <v>1223S0112X</v>
      </c>
      <c r="D11491" t="str">
        <f>"CALOSS JR                RONALD                   "</f>
        <v xml:space="preserve">CALOSS JR                RONALD                   </v>
      </c>
      <c r="E11491" t="str">
        <f>"JACKSON                   "</f>
        <v xml:space="preserve">JACKSON                   </v>
      </c>
      <c r="F11491" t="str">
        <f t="shared" si="309"/>
        <v>MS</v>
      </c>
    </row>
    <row r="11492" spans="1:6" x14ac:dyDescent="0.25">
      <c r="A11492" t="str">
        <f>"005871552"</f>
        <v>005871552</v>
      </c>
      <c r="B11492" t="str">
        <f>"1730555699"</f>
        <v>1730555699</v>
      </c>
      <c r="C11492" t="str">
        <f>"363L00000X"</f>
        <v>363L00000X</v>
      </c>
      <c r="D11492" t="str">
        <f>"REED                     CALLIE       S           "</f>
        <v xml:space="preserve">REED                     CALLIE       S           </v>
      </c>
      <c r="E11492" t="str">
        <f>"CLEVELAND                 "</f>
        <v xml:space="preserve">CLEVELAND                 </v>
      </c>
      <c r="F11492" t="str">
        <f t="shared" si="309"/>
        <v>MS</v>
      </c>
    </row>
    <row r="11493" spans="1:6" x14ac:dyDescent="0.25">
      <c r="A11493" t="str">
        <f>"005871764"</f>
        <v>005871764</v>
      </c>
      <c r="B11493" t="str">
        <f>"1023481595"</f>
        <v>1023481595</v>
      </c>
      <c r="C11493" t="str">
        <f>"261QR1300X"</f>
        <v>261QR1300X</v>
      </c>
      <c r="D11493" t="str">
        <f>"BAPTIST MEDICAL GROUP KOSCIUSKO PRIMARY           "</f>
        <v xml:space="preserve">BAPTIST MEDICAL GROUP KOSCIUSKO PRIMARY           </v>
      </c>
      <c r="E11493" t="str">
        <f>"KOSCIUSKO                 "</f>
        <v xml:space="preserve">KOSCIUSKO                 </v>
      </c>
      <c r="F11493" t="str">
        <f t="shared" si="309"/>
        <v>MS</v>
      </c>
    </row>
    <row r="11494" spans="1:6" x14ac:dyDescent="0.25">
      <c r="A11494" t="str">
        <f>"005872244"</f>
        <v>005872244</v>
      </c>
      <c r="B11494" t="str">
        <f>"1255927687"</f>
        <v>1255927687</v>
      </c>
      <c r="C11494" t="str">
        <f>"363L00000X"</f>
        <v>363L00000X</v>
      </c>
      <c r="D11494" t="str">
        <f>"JENNINGS                 SUMMER                   "</f>
        <v xml:space="preserve">JENNINGS                 SUMMER                   </v>
      </c>
      <c r="E11494" t="str">
        <f>"TUPELO                    "</f>
        <v xml:space="preserve">TUPELO                    </v>
      </c>
      <c r="F11494" t="str">
        <f t="shared" si="309"/>
        <v>MS</v>
      </c>
    </row>
    <row r="11495" spans="1:6" x14ac:dyDescent="0.25">
      <c r="A11495" t="str">
        <f>"005872361"</f>
        <v>005872361</v>
      </c>
      <c r="B11495" t="str">
        <f>"1376157487"</f>
        <v>1376157487</v>
      </c>
      <c r="C11495" t="str">
        <f>"363L00000X"</f>
        <v>363L00000X</v>
      </c>
      <c r="D11495" t="str">
        <f>"STALLWORTH               REBEKAH      N           "</f>
        <v xml:space="preserve">STALLWORTH               REBEKAH      N           </v>
      </c>
      <c r="E11495" t="str">
        <f>"PASCAGOULA                "</f>
        <v xml:space="preserve">PASCAGOULA                </v>
      </c>
      <c r="F11495" t="str">
        <f t="shared" si="309"/>
        <v>MS</v>
      </c>
    </row>
    <row r="11496" spans="1:6" x14ac:dyDescent="0.25">
      <c r="A11496" t="str">
        <f>"005872769"</f>
        <v>005872769</v>
      </c>
      <c r="B11496" t="str">
        <f>"1598983108"</f>
        <v>1598983108</v>
      </c>
      <c r="C11496" t="str">
        <f>"208600000X"</f>
        <v>208600000X</v>
      </c>
      <c r="D11496" t="str">
        <f>"MUKHERJEE                SOURABH                  "</f>
        <v xml:space="preserve">MUKHERJEE                SOURABH                  </v>
      </c>
      <c r="E11496" t="str">
        <f>"HATTIESBURG               "</f>
        <v xml:space="preserve">HATTIESBURG               </v>
      </c>
      <c r="F11496" t="str">
        <f t="shared" si="309"/>
        <v>MS</v>
      </c>
    </row>
    <row r="11497" spans="1:6" x14ac:dyDescent="0.25">
      <c r="A11497" t="str">
        <f>"005873206"</f>
        <v>005873206</v>
      </c>
      <c r="B11497" t="str">
        <f>"1609125269"</f>
        <v>1609125269</v>
      </c>
      <c r="C11497" t="str">
        <f>"367500000X"</f>
        <v>367500000X</v>
      </c>
      <c r="D11497" t="str">
        <f>"NABORS                   ALICIA       M           "</f>
        <v xml:space="preserve">NABORS                   ALICIA       M           </v>
      </c>
      <c r="E11497" t="str">
        <f>"BOONEVILLE                "</f>
        <v xml:space="preserve">BOONEVILLE                </v>
      </c>
      <c r="F11497" t="str">
        <f t="shared" si="309"/>
        <v>MS</v>
      </c>
    </row>
    <row r="11498" spans="1:6" x14ac:dyDescent="0.25">
      <c r="A11498" t="str">
        <f>"005873367"</f>
        <v>005873367</v>
      </c>
      <c r="B11498" t="str">
        <f>"1497262943"</f>
        <v>1497262943</v>
      </c>
      <c r="C11498" t="str">
        <f>"363L00000X"</f>
        <v>363L00000X</v>
      </c>
      <c r="D11498" t="str">
        <f>"BALIUS                   GLENDA                   "</f>
        <v xml:space="preserve">BALIUS                   GLENDA                   </v>
      </c>
      <c r="E11498" t="str">
        <f>"PASCAGOULA                "</f>
        <v xml:space="preserve">PASCAGOULA                </v>
      </c>
      <c r="F11498" t="str">
        <f t="shared" si="309"/>
        <v>MS</v>
      </c>
    </row>
    <row r="11499" spans="1:6" x14ac:dyDescent="0.25">
      <c r="A11499" t="str">
        <f>"005874747"</f>
        <v>005874747</v>
      </c>
      <c r="B11499" t="str">
        <f>"1245987098"</f>
        <v>1245987098</v>
      </c>
      <c r="C11499" t="str">
        <f>"363L00000X"</f>
        <v>363L00000X</v>
      </c>
      <c r="D11499" t="str">
        <f>"MAYE                     SHEDRIEKA                "</f>
        <v xml:space="preserve">MAYE                     SHEDRIEKA                </v>
      </c>
      <c r="E11499" t="str">
        <f>"HATTIESBURG               "</f>
        <v xml:space="preserve">HATTIESBURG               </v>
      </c>
      <c r="F11499" t="str">
        <f t="shared" si="309"/>
        <v>MS</v>
      </c>
    </row>
    <row r="11500" spans="1:6" x14ac:dyDescent="0.25">
      <c r="A11500" t="str">
        <f>"005876264"</f>
        <v>005876264</v>
      </c>
      <c r="B11500" t="str">
        <f>"1235683665"</f>
        <v>1235683665</v>
      </c>
      <c r="C11500" t="str">
        <f>"363L00000X"</f>
        <v>363L00000X</v>
      </c>
      <c r="D11500" t="str">
        <f>"BEISEL                   LORI         S           "</f>
        <v xml:space="preserve">BEISEL                   LORI         S           </v>
      </c>
      <c r="E11500" t="str">
        <f>"COLUMBIA                  "</f>
        <v xml:space="preserve">COLUMBIA                  </v>
      </c>
      <c r="F11500" t="str">
        <f t="shared" si="309"/>
        <v>MS</v>
      </c>
    </row>
    <row r="11501" spans="1:6" x14ac:dyDescent="0.25">
      <c r="A11501" t="str">
        <f>"005878841"</f>
        <v>005878841</v>
      </c>
      <c r="B11501" t="str">
        <f>"1912390865"</f>
        <v>1912390865</v>
      </c>
      <c r="C11501" t="str">
        <f>"261QA0600X"</f>
        <v>261QA0600X</v>
      </c>
      <c r="D11501" t="str">
        <f>"LHC SENIORS ASSOCIATION INC                       "</f>
        <v xml:space="preserve">LHC SENIORS ASSOCIATION INC                       </v>
      </c>
      <c r="E11501" t="str">
        <f>"CLINTON                   "</f>
        <v xml:space="preserve">CLINTON                   </v>
      </c>
      <c r="F11501" t="str">
        <f t="shared" si="309"/>
        <v>MS</v>
      </c>
    </row>
    <row r="11502" spans="1:6" x14ac:dyDescent="0.25">
      <c r="A11502" t="str">
        <f>"005880376"</f>
        <v>005880376</v>
      </c>
      <c r="B11502" t="str">
        <f>"1407235971"</f>
        <v>1407235971</v>
      </c>
      <c r="C11502" t="str">
        <f>"261QR1300X"</f>
        <v>261QR1300X</v>
      </c>
      <c r="D11502" t="str">
        <f>"SOUTHERN WOMEN'S HEALTH, PLLC                     "</f>
        <v xml:space="preserve">SOUTHERN WOMEN'S HEALTH, PLLC                     </v>
      </c>
      <c r="E11502" t="str">
        <f>"ELLISVILLE                "</f>
        <v xml:space="preserve">ELLISVILLE                </v>
      </c>
      <c r="F11502" t="str">
        <f t="shared" si="309"/>
        <v>MS</v>
      </c>
    </row>
    <row r="11503" spans="1:6" x14ac:dyDescent="0.25">
      <c r="A11503" t="str">
        <f>"005880549"</f>
        <v>005880549</v>
      </c>
      <c r="B11503" t="str">
        <f>"1609188911"</f>
        <v>1609188911</v>
      </c>
      <c r="C11503" t="str">
        <f>"207R00000X"</f>
        <v>207R00000X</v>
      </c>
      <c r="D11503" t="str">
        <f>"CARTER                   CORY                     "</f>
        <v xml:space="preserve">CARTER                   CORY                     </v>
      </c>
      <c r="E11503" t="str">
        <f>"PASCAGOULA                "</f>
        <v xml:space="preserve">PASCAGOULA                </v>
      </c>
      <c r="F11503" t="str">
        <f t="shared" si="309"/>
        <v>MS</v>
      </c>
    </row>
    <row r="11504" spans="1:6" x14ac:dyDescent="0.25">
      <c r="A11504" t="str">
        <f>"005881753"</f>
        <v>005881753</v>
      </c>
      <c r="B11504" t="str">
        <f>"1760519474"</f>
        <v>1760519474</v>
      </c>
      <c r="C11504" t="str">
        <f>"363A00000X"</f>
        <v>363A00000X</v>
      </c>
      <c r="D11504" t="str">
        <f>"CLARK                    ANNA                     "</f>
        <v xml:space="preserve">CLARK                    ANNA                     </v>
      </c>
      <c r="E11504" t="str">
        <f>"GULFPORT                  "</f>
        <v xml:space="preserve">GULFPORT                  </v>
      </c>
      <c r="F11504" t="str">
        <f t="shared" si="309"/>
        <v>MS</v>
      </c>
    </row>
    <row r="11505" spans="1:6" x14ac:dyDescent="0.25">
      <c r="A11505" t="str">
        <f>"005884351"</f>
        <v>005884351</v>
      </c>
      <c r="B11505" t="str">
        <f>"1326274598"</f>
        <v>1326274598</v>
      </c>
      <c r="C11505" t="str">
        <f>"122300000X"</f>
        <v>122300000X</v>
      </c>
      <c r="D11505" t="str">
        <f>"MCCABE                   MATTHEW      C           "</f>
        <v xml:space="preserve">MCCABE                   MATTHEW      C           </v>
      </c>
      <c r="E11505" t="str">
        <f>"GULFPORT                  "</f>
        <v xml:space="preserve">GULFPORT                  </v>
      </c>
      <c r="F11505" t="str">
        <f t="shared" si="309"/>
        <v>MS</v>
      </c>
    </row>
    <row r="11506" spans="1:6" x14ac:dyDescent="0.25">
      <c r="A11506" t="str">
        <f>"005884598"</f>
        <v>005884598</v>
      </c>
      <c r="B11506" t="str">
        <f>"1700422151"</f>
        <v>1700422151</v>
      </c>
      <c r="C11506" t="str">
        <f>"363L00000X"</f>
        <v>363L00000X</v>
      </c>
      <c r="D11506" t="str">
        <f>"BELL                     HOLLY        N           "</f>
        <v xml:space="preserve">BELL                     HOLLY        N           </v>
      </c>
      <c r="E11506" t="str">
        <f>"TUPELO                    "</f>
        <v xml:space="preserve">TUPELO                    </v>
      </c>
      <c r="F11506" t="str">
        <f t="shared" si="309"/>
        <v>MS</v>
      </c>
    </row>
    <row r="11507" spans="1:6" x14ac:dyDescent="0.25">
      <c r="A11507" t="str">
        <f>"005884740"</f>
        <v>005884740</v>
      </c>
      <c r="B11507" t="str">
        <f>"1720368855"</f>
        <v>1720368855</v>
      </c>
      <c r="C11507" t="str">
        <f>"363L00000X"</f>
        <v>363L00000X</v>
      </c>
      <c r="D11507" t="str">
        <f>"CAMPBELL                 MADELENA     T           "</f>
        <v xml:space="preserve">CAMPBELL                 MADELENA     T           </v>
      </c>
      <c r="E11507" t="str">
        <f>"GULFPORT                  "</f>
        <v xml:space="preserve">GULFPORT                  </v>
      </c>
      <c r="F11507" t="str">
        <f t="shared" si="309"/>
        <v>MS</v>
      </c>
    </row>
    <row r="11508" spans="1:6" x14ac:dyDescent="0.25">
      <c r="A11508" t="str">
        <f>"005885081"</f>
        <v>005885081</v>
      </c>
      <c r="B11508" t="str">
        <f>"1528312519"</f>
        <v>1528312519</v>
      </c>
      <c r="C11508" t="str">
        <f>"261QF0400X"</f>
        <v>261QF0400X</v>
      </c>
      <c r="D11508" t="str">
        <f>"COASTAL FAMILY HEALTH CENTER INC                  "</f>
        <v xml:space="preserve">COASTAL FAMILY HEALTH CENTER INC                  </v>
      </c>
      <c r="E11508" t="str">
        <f>"BILOXI                    "</f>
        <v xml:space="preserve">BILOXI                    </v>
      </c>
      <c r="F11508" t="str">
        <f t="shared" si="309"/>
        <v>MS</v>
      </c>
    </row>
    <row r="11509" spans="1:6" x14ac:dyDescent="0.25">
      <c r="A11509" t="str">
        <f>"005885307"</f>
        <v>005885307</v>
      </c>
      <c r="B11509" t="str">
        <f>"1386720241"</f>
        <v>1386720241</v>
      </c>
      <c r="C11509" t="str">
        <f>"363L00000X"</f>
        <v>363L00000X</v>
      </c>
      <c r="D11509" t="str">
        <f>"EDRINGTON                BETTY        D           "</f>
        <v xml:space="preserve">EDRINGTON                BETTY        D           </v>
      </c>
      <c r="E11509" t="str">
        <f>"LONG BEACH                "</f>
        <v xml:space="preserve">LONG BEACH                </v>
      </c>
      <c r="F11509" t="str">
        <f t="shared" si="309"/>
        <v>MS</v>
      </c>
    </row>
    <row r="11510" spans="1:6" x14ac:dyDescent="0.25">
      <c r="A11510" t="str">
        <f>"005887297"</f>
        <v>005887297</v>
      </c>
      <c r="B11510" t="str">
        <f>"1528449675"</f>
        <v>1528449675</v>
      </c>
      <c r="C11510" t="str">
        <f>"207Q00000X"</f>
        <v>207Q00000X</v>
      </c>
      <c r="D11510" t="str">
        <f>"RICHARD                  CHRISTOPHER              "</f>
        <v xml:space="preserve">RICHARD                  CHRISTOPHER              </v>
      </c>
      <c r="E11510" t="str">
        <f>"WEST POINT                "</f>
        <v xml:space="preserve">WEST POINT                </v>
      </c>
      <c r="F11510" t="str">
        <f t="shared" si="309"/>
        <v>MS</v>
      </c>
    </row>
    <row r="11511" spans="1:6" x14ac:dyDescent="0.25">
      <c r="A11511" t="str">
        <f>"005887358"</f>
        <v>005887358</v>
      </c>
      <c r="B11511" t="str">
        <f>"1265695068"</f>
        <v>1265695068</v>
      </c>
      <c r="C11511" t="str">
        <f>"122300000X"</f>
        <v>122300000X</v>
      </c>
      <c r="D11511" t="str">
        <f>"SUNNYBROOK DENTISTRY                              "</f>
        <v xml:space="preserve">SUNNYBROOK DENTISTRY                              </v>
      </c>
      <c r="E11511" t="str">
        <f>"BILOXI                    "</f>
        <v xml:space="preserve">BILOXI                    </v>
      </c>
      <c r="F11511" t="str">
        <f t="shared" si="309"/>
        <v>MS</v>
      </c>
    </row>
    <row r="11512" spans="1:6" x14ac:dyDescent="0.25">
      <c r="A11512" t="str">
        <f>"005887390"</f>
        <v>005887390</v>
      </c>
      <c r="B11512" t="str">
        <f>"1295370088"</f>
        <v>1295370088</v>
      </c>
      <c r="C11512" t="str">
        <f>"363LF0000X"</f>
        <v>363LF0000X</v>
      </c>
      <c r="D11512" t="str">
        <f>"PACE                     NATALIE      K           "</f>
        <v xml:space="preserve">PACE                     NATALIE      K           </v>
      </c>
      <c r="E11512" t="str">
        <f>"RIDGELAND                 "</f>
        <v xml:space="preserve">RIDGELAND                 </v>
      </c>
      <c r="F11512" t="str">
        <f t="shared" si="309"/>
        <v>MS</v>
      </c>
    </row>
    <row r="11513" spans="1:6" x14ac:dyDescent="0.25">
      <c r="A11513" t="str">
        <f>"005887538"</f>
        <v>005887538</v>
      </c>
      <c r="B11513" t="str">
        <f>"1902835473"</f>
        <v>1902835473</v>
      </c>
      <c r="C11513" t="str">
        <f>"363L00000X"</f>
        <v>363L00000X</v>
      </c>
      <c r="D11513" t="str">
        <f>"JENSEN                   CYNTHIA      A           "</f>
        <v xml:space="preserve">JENSEN                   CYNTHIA      A           </v>
      </c>
      <c r="E11513" t="str">
        <f>"PASCAGOULA                "</f>
        <v xml:space="preserve">PASCAGOULA                </v>
      </c>
      <c r="F11513" t="str">
        <f t="shared" si="309"/>
        <v>MS</v>
      </c>
    </row>
    <row r="11514" spans="1:6" x14ac:dyDescent="0.25">
      <c r="A11514" t="str">
        <f>"005887806"</f>
        <v>005887806</v>
      </c>
      <c r="B11514" t="str">
        <f>"1619124310"</f>
        <v>1619124310</v>
      </c>
      <c r="C11514" t="str">
        <f>"207V00000X"</f>
        <v>207V00000X</v>
      </c>
      <c r="D11514" t="str">
        <f>"LOGAN                    QUINISHA     K           "</f>
        <v xml:space="preserve">LOGAN                    QUINISHA     K           </v>
      </c>
      <c r="E11514" t="str">
        <f>"STARKVILLE                "</f>
        <v xml:space="preserve">STARKVILLE                </v>
      </c>
      <c r="F11514" t="str">
        <f t="shared" si="309"/>
        <v>MS</v>
      </c>
    </row>
    <row r="11515" spans="1:6" x14ac:dyDescent="0.25">
      <c r="A11515" t="str">
        <f>"005900018"</f>
        <v>005900018</v>
      </c>
      <c r="B11515" t="str">
        <f>"1396967519"</f>
        <v>1396967519</v>
      </c>
      <c r="C11515" t="str">
        <f>"122300000X"</f>
        <v>122300000X</v>
      </c>
      <c r="D11515" t="str">
        <f>"MARVEGGIO                MARGO        R           "</f>
        <v xml:space="preserve">MARVEGGIO                MARGO        R           </v>
      </c>
      <c r="E11515" t="str">
        <f>"JACKSON                   "</f>
        <v xml:space="preserve">JACKSON                   </v>
      </c>
      <c r="F11515" t="str">
        <f t="shared" si="309"/>
        <v>MS</v>
      </c>
    </row>
    <row r="11516" spans="1:6" x14ac:dyDescent="0.25">
      <c r="A11516" t="str">
        <f>"005900898"</f>
        <v>005900898</v>
      </c>
      <c r="B11516" t="str">
        <f>"1518991090"</f>
        <v>1518991090</v>
      </c>
      <c r="C11516" t="str">
        <f>"207R00000X"</f>
        <v>207R00000X</v>
      </c>
      <c r="D11516" t="str">
        <f>"HORN                     MICHELLE     M           "</f>
        <v xml:space="preserve">HORN                     MICHELLE     M           </v>
      </c>
      <c r="E11516" t="str">
        <f>"JACKSON                   "</f>
        <v xml:space="preserve">JACKSON                   </v>
      </c>
      <c r="F11516" t="str">
        <f t="shared" si="309"/>
        <v>MS</v>
      </c>
    </row>
    <row r="11517" spans="1:6" x14ac:dyDescent="0.25">
      <c r="A11517" t="str">
        <f>"005901332"</f>
        <v>005901332</v>
      </c>
      <c r="B11517" t="str">
        <f>"1073661419"</f>
        <v>1073661419</v>
      </c>
      <c r="C11517" t="str">
        <f>"363L00000X"</f>
        <v>363L00000X</v>
      </c>
      <c r="D11517" t="str">
        <f>"BARTRAN                  LORI         H           "</f>
        <v xml:space="preserve">BARTRAN                  LORI         H           </v>
      </c>
      <c r="E11517" t="str">
        <f>"HATTIESBURG               "</f>
        <v xml:space="preserve">HATTIESBURG               </v>
      </c>
      <c r="F11517" t="str">
        <f t="shared" si="309"/>
        <v>MS</v>
      </c>
    </row>
    <row r="11518" spans="1:6" x14ac:dyDescent="0.25">
      <c r="A11518" t="str">
        <f>"005902071"</f>
        <v>005902071</v>
      </c>
      <c r="B11518" t="str">
        <f>"1629225354"</f>
        <v>1629225354</v>
      </c>
      <c r="C11518" t="str">
        <f>"152W00000X"</f>
        <v>152W00000X</v>
      </c>
      <c r="D11518" t="str">
        <f>"HARRELL FAMILY EYE CLINIC NO 2 INC                "</f>
        <v xml:space="preserve">HARRELL FAMILY EYE CLINIC NO 2 INC                </v>
      </c>
      <c r="E11518" t="str">
        <f>"MCCOMB                    "</f>
        <v xml:space="preserve">MCCOMB                    </v>
      </c>
      <c r="F11518" t="str">
        <f t="shared" ref="F11518:F11581" si="310">"MS"</f>
        <v>MS</v>
      </c>
    </row>
    <row r="11519" spans="1:6" x14ac:dyDescent="0.25">
      <c r="A11519" t="str">
        <f>"005904845"</f>
        <v>005904845</v>
      </c>
      <c r="B11519" t="str">
        <f>"1275847873"</f>
        <v>1275847873</v>
      </c>
      <c r="C11519" t="str">
        <f>"363L00000X"</f>
        <v>363L00000X</v>
      </c>
      <c r="D11519" t="str">
        <f>"ROBERTS                  LASAUNDRA                "</f>
        <v xml:space="preserve">ROBERTS                  LASAUNDRA                </v>
      </c>
      <c r="E11519" t="str">
        <f>"MERIDIAN                  "</f>
        <v xml:space="preserve">MERIDIAN                  </v>
      </c>
      <c r="F11519" t="str">
        <f t="shared" si="310"/>
        <v>MS</v>
      </c>
    </row>
    <row r="11520" spans="1:6" x14ac:dyDescent="0.25">
      <c r="A11520" t="str">
        <f>"005905039"</f>
        <v>005905039</v>
      </c>
      <c r="B11520" t="str">
        <f>"1457446700"</f>
        <v>1457446700</v>
      </c>
      <c r="C11520" t="str">
        <f>"261QM1300X"</f>
        <v>261QM1300X</v>
      </c>
      <c r="D11520" t="str">
        <f>"APPLIED PSYCHOLOGY CENTER PC                      "</f>
        <v xml:space="preserve">APPLIED PSYCHOLOGY CENTER PC                      </v>
      </c>
      <c r="E11520" t="str">
        <f>"OCEAN SPRINGS             "</f>
        <v xml:space="preserve">OCEAN SPRINGS             </v>
      </c>
      <c r="F11520" t="str">
        <f t="shared" si="310"/>
        <v>MS</v>
      </c>
    </row>
    <row r="11521" spans="1:6" x14ac:dyDescent="0.25">
      <c r="A11521" t="str">
        <f>"005905868"</f>
        <v>005905868</v>
      </c>
      <c r="B11521" t="str">
        <f>"1730576257"</f>
        <v>1730576257</v>
      </c>
      <c r="C11521" t="str">
        <f>"2084P0800X"</f>
        <v>2084P0800X</v>
      </c>
      <c r="D11521" t="str">
        <f>"LIUBICICH                JEFFREY      F           "</f>
        <v xml:space="preserve">LIUBICICH                JEFFREY      F           </v>
      </c>
      <c r="E11521" t="str">
        <f>"SOUTHAVEN                 "</f>
        <v xml:space="preserve">SOUTHAVEN                 </v>
      </c>
      <c r="F11521" t="str">
        <f t="shared" si="310"/>
        <v>MS</v>
      </c>
    </row>
    <row r="11522" spans="1:6" x14ac:dyDescent="0.25">
      <c r="A11522" t="str">
        <f>"005907262"</f>
        <v>005907262</v>
      </c>
      <c r="B11522" t="str">
        <f>"1720520562"</f>
        <v>1720520562</v>
      </c>
      <c r="C11522" t="str">
        <f>"363L00000X"</f>
        <v>363L00000X</v>
      </c>
      <c r="D11522" t="str">
        <f>"KNIGHT                   MACK         E           "</f>
        <v xml:space="preserve">KNIGHT                   MACK         E           </v>
      </c>
      <c r="E11522" t="str">
        <f>"MOSELLE                   "</f>
        <v xml:space="preserve">MOSELLE                   </v>
      </c>
      <c r="F11522" t="str">
        <f t="shared" si="310"/>
        <v>MS</v>
      </c>
    </row>
    <row r="11523" spans="1:6" x14ac:dyDescent="0.25">
      <c r="A11523" t="str">
        <f>"005909358"</f>
        <v>005909358</v>
      </c>
      <c r="B11523" t="str">
        <f>"1629477690"</f>
        <v>1629477690</v>
      </c>
      <c r="C11523" t="str">
        <f>"363L00000X"</f>
        <v>363L00000X</v>
      </c>
      <c r="D11523" t="str">
        <f>"PARKER                   DENNETTA     D           "</f>
        <v xml:space="preserve">PARKER                   DENNETTA     D           </v>
      </c>
      <c r="E11523" t="str">
        <f>"FLOWOOD                   "</f>
        <v xml:space="preserve">FLOWOOD                   </v>
      </c>
      <c r="F11523" t="str">
        <f t="shared" si="310"/>
        <v>MS</v>
      </c>
    </row>
    <row r="11524" spans="1:6" x14ac:dyDescent="0.25">
      <c r="A11524" t="str">
        <f>"005921367"</f>
        <v>005921367</v>
      </c>
      <c r="B11524" t="str">
        <f>"1578923454"</f>
        <v>1578923454</v>
      </c>
      <c r="C11524" t="str">
        <f>"363L00000X"</f>
        <v>363L00000X</v>
      </c>
      <c r="D11524" t="str">
        <f>"WORDLAW                  LEASE                    "</f>
        <v xml:space="preserve">WORDLAW                  LEASE                    </v>
      </c>
      <c r="E11524" t="str">
        <f>"FLOWOOD                   "</f>
        <v xml:space="preserve">FLOWOOD                   </v>
      </c>
      <c r="F11524" t="str">
        <f t="shared" si="310"/>
        <v>MS</v>
      </c>
    </row>
    <row r="11525" spans="1:6" x14ac:dyDescent="0.25">
      <c r="A11525" t="str">
        <f>"005923243"</f>
        <v>005923243</v>
      </c>
      <c r="B11525" t="str">
        <f>"1013992890"</f>
        <v>1013992890</v>
      </c>
      <c r="C11525" t="str">
        <f>"207P00000X"</f>
        <v>207P00000X</v>
      </c>
      <c r="D11525" t="str">
        <f>"GELFORD                  BRENDON      L           "</f>
        <v xml:space="preserve">GELFORD                  BRENDON      L           </v>
      </c>
      <c r="E11525" t="str">
        <f>"TUPELO                    "</f>
        <v xml:space="preserve">TUPELO                    </v>
      </c>
      <c r="F11525" t="str">
        <f t="shared" si="310"/>
        <v>MS</v>
      </c>
    </row>
    <row r="11526" spans="1:6" x14ac:dyDescent="0.25">
      <c r="A11526" t="str">
        <f>"005923506"</f>
        <v>005923506</v>
      </c>
      <c r="B11526" t="str">
        <f>"1639824543"</f>
        <v>1639824543</v>
      </c>
      <c r="C11526" t="str">
        <f>"363L00000X"</f>
        <v>363L00000X</v>
      </c>
      <c r="D11526" t="str">
        <f>"DOBBS                    LUCINDA                  "</f>
        <v xml:space="preserve">DOBBS                    LUCINDA                  </v>
      </c>
      <c r="E11526" t="str">
        <f>"TUPELO                    "</f>
        <v xml:space="preserve">TUPELO                    </v>
      </c>
      <c r="F11526" t="str">
        <f t="shared" si="310"/>
        <v>MS</v>
      </c>
    </row>
    <row r="11527" spans="1:6" x14ac:dyDescent="0.25">
      <c r="A11527" t="str">
        <f>"005923555"</f>
        <v>005923555</v>
      </c>
      <c r="B11527" t="str">
        <f>"1184093189"</f>
        <v>1184093189</v>
      </c>
      <c r="C11527" t="str">
        <f>"363L00000X"</f>
        <v>363L00000X</v>
      </c>
      <c r="D11527" t="str">
        <f>"LESLEY                   KIRSTIE      E           "</f>
        <v xml:space="preserve">LESLEY                   KIRSTIE      E           </v>
      </c>
      <c r="E11527" t="str">
        <f>"JACKSON                   "</f>
        <v xml:space="preserve">JACKSON                   </v>
      </c>
      <c r="F11527" t="str">
        <f t="shared" si="310"/>
        <v>MS</v>
      </c>
    </row>
    <row r="11528" spans="1:6" x14ac:dyDescent="0.25">
      <c r="A11528" t="str">
        <f>"005924350"</f>
        <v>005924350</v>
      </c>
      <c r="B11528" t="str">
        <f>"1336118843"</f>
        <v>1336118843</v>
      </c>
      <c r="C11528" t="str">
        <f>"208600000X"</f>
        <v>208600000X</v>
      </c>
      <c r="D11528" t="str">
        <f>"FARMER                   GUY          R           "</f>
        <v xml:space="preserve">FARMER                   GUY          R           </v>
      </c>
      <c r="E11528" t="str">
        <f>"NEW ALBANY                "</f>
        <v xml:space="preserve">NEW ALBANY                </v>
      </c>
      <c r="F11528" t="str">
        <f t="shared" si="310"/>
        <v>MS</v>
      </c>
    </row>
    <row r="11529" spans="1:6" x14ac:dyDescent="0.25">
      <c r="A11529" t="str">
        <f>"005924862"</f>
        <v>005924862</v>
      </c>
      <c r="B11529" t="str">
        <f>"1811381957"</f>
        <v>1811381957</v>
      </c>
      <c r="C11529" t="str">
        <f>"2086X0206X"</f>
        <v>2086X0206X</v>
      </c>
      <c r="D11529" t="str">
        <f>"BRISTER                  KELLY        A           "</f>
        <v xml:space="preserve">BRISTER                  KELLY        A           </v>
      </c>
      <c r="E11529" t="str">
        <f>"JACKSON                   "</f>
        <v xml:space="preserve">JACKSON                   </v>
      </c>
      <c r="F11529" t="str">
        <f t="shared" si="310"/>
        <v>MS</v>
      </c>
    </row>
    <row r="11530" spans="1:6" x14ac:dyDescent="0.25">
      <c r="A11530" t="str">
        <f>"005925391"</f>
        <v>005925391</v>
      </c>
      <c r="B11530" t="str">
        <f>"1952780967"</f>
        <v>1952780967</v>
      </c>
      <c r="C11530" t="str">
        <f>"207L00000X"</f>
        <v>207L00000X</v>
      </c>
      <c r="D11530" t="str">
        <f>"CESAR DO NASCIMENTO      CLAUDIO                  "</f>
        <v xml:space="preserve">CESAR DO NASCIMENTO      CLAUDIO                  </v>
      </c>
      <c r="E11530" t="str">
        <f>"JACKSON                   "</f>
        <v xml:space="preserve">JACKSON                   </v>
      </c>
      <c r="F11530" t="str">
        <f t="shared" si="310"/>
        <v>MS</v>
      </c>
    </row>
    <row r="11531" spans="1:6" x14ac:dyDescent="0.25">
      <c r="A11531" t="str">
        <f>"005927057"</f>
        <v>005927057</v>
      </c>
      <c r="B11531" t="str">
        <f>"1831644350"</f>
        <v>1831644350</v>
      </c>
      <c r="C11531" t="str">
        <f>"363L00000X"</f>
        <v>363L00000X</v>
      </c>
      <c r="D11531" t="str">
        <f>"MORRIS                   ANDREW       S           "</f>
        <v xml:space="preserve">MORRIS                   ANDREW       S           </v>
      </c>
      <c r="E11531" t="str">
        <f>"FLOWOOD                   "</f>
        <v xml:space="preserve">FLOWOOD                   </v>
      </c>
      <c r="F11531" t="str">
        <f t="shared" si="310"/>
        <v>MS</v>
      </c>
    </row>
    <row r="11532" spans="1:6" x14ac:dyDescent="0.25">
      <c r="A11532" t="str">
        <f>"005927766"</f>
        <v>005927766</v>
      </c>
      <c r="B11532" t="str">
        <f>"1326538315"</f>
        <v>1326538315</v>
      </c>
      <c r="C11532" t="str">
        <f>"363L00000X"</f>
        <v>363L00000X</v>
      </c>
      <c r="D11532" t="str">
        <f>"COPELAND                 JASON        B           "</f>
        <v xml:space="preserve">COPELAND                 JASON        B           </v>
      </c>
      <c r="E11532" t="str">
        <f>"STARKVILLE                "</f>
        <v xml:space="preserve">STARKVILLE                </v>
      </c>
      <c r="F11532" t="str">
        <f t="shared" si="310"/>
        <v>MS</v>
      </c>
    </row>
    <row r="11533" spans="1:6" x14ac:dyDescent="0.25">
      <c r="A11533" t="str">
        <f>"005929704"</f>
        <v>005929704</v>
      </c>
      <c r="B11533" t="str">
        <f>"1861812596"</f>
        <v>1861812596</v>
      </c>
      <c r="C11533" t="str">
        <f>"207V00000X"</f>
        <v>207V00000X</v>
      </c>
      <c r="D11533" t="str">
        <f>"MITCHELL                 COURTNEY                 "</f>
        <v xml:space="preserve">MITCHELL                 COURTNEY                 </v>
      </c>
      <c r="E11533" t="str">
        <f>"JACKSON                   "</f>
        <v xml:space="preserve">JACKSON                   </v>
      </c>
      <c r="F11533" t="str">
        <f t="shared" si="310"/>
        <v>MS</v>
      </c>
    </row>
    <row r="11534" spans="1:6" x14ac:dyDescent="0.25">
      <c r="A11534" t="str">
        <f>"005930307"</f>
        <v>005930307</v>
      </c>
      <c r="B11534" t="str">
        <f>"1508906629"</f>
        <v>1508906629</v>
      </c>
      <c r="C11534" t="str">
        <f>"363L00000X"</f>
        <v>363L00000X</v>
      </c>
      <c r="D11534" t="str">
        <f>"MESSER                   ALICE        F           "</f>
        <v xml:space="preserve">MESSER                   ALICE        F           </v>
      </c>
      <c r="E11534" t="str">
        <f>"FLOWOOD                   "</f>
        <v xml:space="preserve">FLOWOOD                   </v>
      </c>
      <c r="F11534" t="str">
        <f t="shared" si="310"/>
        <v>MS</v>
      </c>
    </row>
    <row r="11535" spans="1:6" x14ac:dyDescent="0.25">
      <c r="A11535" t="str">
        <f>"005930913"</f>
        <v>005930913</v>
      </c>
      <c r="B11535" t="str">
        <f>"1336432756"</f>
        <v>1336432756</v>
      </c>
      <c r="C11535" t="str">
        <f>"207R00000X"</f>
        <v>207R00000X</v>
      </c>
      <c r="D11535" t="str">
        <f>"BERSABE                  ADRIAN       R           "</f>
        <v xml:space="preserve">BERSABE                  ADRIAN       R           </v>
      </c>
      <c r="E11535" t="str">
        <f>"GULFPORT                  "</f>
        <v xml:space="preserve">GULFPORT                  </v>
      </c>
      <c r="F11535" t="str">
        <f t="shared" si="310"/>
        <v>MS</v>
      </c>
    </row>
    <row r="11536" spans="1:6" x14ac:dyDescent="0.25">
      <c r="A11536" t="str">
        <f>"005931015"</f>
        <v>005931015</v>
      </c>
      <c r="B11536" t="str">
        <f>"1326699075"</f>
        <v>1326699075</v>
      </c>
      <c r="C11536" t="str">
        <f>"367500000X"</f>
        <v>367500000X</v>
      </c>
      <c r="D11536" t="str">
        <f>"ABBOTT                   HARITHA                  "</f>
        <v xml:space="preserve">ABBOTT                   HARITHA                  </v>
      </c>
      <c r="E11536" t="str">
        <f>"TUPELO                    "</f>
        <v xml:space="preserve">TUPELO                    </v>
      </c>
      <c r="F11536" t="str">
        <f t="shared" si="310"/>
        <v>MS</v>
      </c>
    </row>
    <row r="11537" spans="1:6" x14ac:dyDescent="0.25">
      <c r="A11537" t="str">
        <f>"005931210"</f>
        <v>005931210</v>
      </c>
      <c r="B11537" t="str">
        <f>"1841554250"</f>
        <v>1841554250</v>
      </c>
      <c r="C11537" t="str">
        <f>"207RP1001X"</f>
        <v>207RP1001X</v>
      </c>
      <c r="D11537" t="str">
        <f>"TULLOS                   BOBBY        W           "</f>
        <v xml:space="preserve">TULLOS                   BOBBY        W           </v>
      </c>
      <c r="E11537" t="str">
        <f>"TUPELO                    "</f>
        <v xml:space="preserve">TUPELO                    </v>
      </c>
      <c r="F11537" t="str">
        <f t="shared" si="310"/>
        <v>MS</v>
      </c>
    </row>
    <row r="11538" spans="1:6" x14ac:dyDescent="0.25">
      <c r="A11538" t="str">
        <f>"005931318"</f>
        <v>005931318</v>
      </c>
      <c r="B11538" t="str">
        <f>"1942812805"</f>
        <v>1942812805</v>
      </c>
      <c r="C11538" t="str">
        <f>"261QM0801X"</f>
        <v>261QM0801X</v>
      </c>
      <c r="D11538" t="str">
        <f>"DMN BEHAVIORAL AND COUNSELING GROUP               "</f>
        <v xml:space="preserve">DMN BEHAVIORAL AND COUNSELING GROUP               </v>
      </c>
      <c r="E11538" t="str">
        <f>"JACKSON                   "</f>
        <v xml:space="preserve">JACKSON                   </v>
      </c>
      <c r="F11538" t="str">
        <f t="shared" si="310"/>
        <v>MS</v>
      </c>
    </row>
    <row r="11539" spans="1:6" x14ac:dyDescent="0.25">
      <c r="A11539" t="str">
        <f>"005933790"</f>
        <v>005933790</v>
      </c>
      <c r="B11539" t="str">
        <f>"1952339335"</f>
        <v>1952339335</v>
      </c>
      <c r="C11539" t="str">
        <f>"363L00000X"</f>
        <v>363L00000X</v>
      </c>
      <c r="D11539" t="str">
        <f>"YOUNG                    GERALDINE    Q           "</f>
        <v xml:space="preserve">YOUNG                    GERALDINE    Q           </v>
      </c>
      <c r="E11539" t="str">
        <f>"CANTON                    "</f>
        <v xml:space="preserve">CANTON                    </v>
      </c>
      <c r="F11539" t="str">
        <f t="shared" si="310"/>
        <v>MS</v>
      </c>
    </row>
    <row r="11540" spans="1:6" x14ac:dyDescent="0.25">
      <c r="A11540" t="str">
        <f>"005935316"</f>
        <v>005935316</v>
      </c>
      <c r="B11540" t="str">
        <f>"1194991976"</f>
        <v>1194991976</v>
      </c>
      <c r="C11540" t="str">
        <f>"261QF0400X"</f>
        <v>261QF0400X</v>
      </c>
      <c r="D11540" t="str">
        <f>"ACCESS FAMILY HEALTH TUPELO                       "</f>
        <v xml:space="preserve">ACCESS FAMILY HEALTH TUPELO                       </v>
      </c>
      <c r="E11540" t="str">
        <f>"TUPELO                    "</f>
        <v xml:space="preserve">TUPELO                    </v>
      </c>
      <c r="F11540" t="str">
        <f t="shared" si="310"/>
        <v>MS</v>
      </c>
    </row>
    <row r="11541" spans="1:6" x14ac:dyDescent="0.25">
      <c r="A11541" t="str">
        <f>"005937047"</f>
        <v>005937047</v>
      </c>
      <c r="B11541" t="str">
        <f>"1750889929"</f>
        <v>1750889929</v>
      </c>
      <c r="C11541" t="str">
        <f>"363L00000X"</f>
        <v>363L00000X</v>
      </c>
      <c r="D11541" t="str">
        <f>"HUEY                     REBAKAH      L           "</f>
        <v xml:space="preserve">HUEY                     REBAKAH      L           </v>
      </c>
      <c r="E11541" t="str">
        <f>"TUPELO                    "</f>
        <v xml:space="preserve">TUPELO                    </v>
      </c>
      <c r="F11541" t="str">
        <f t="shared" si="310"/>
        <v>MS</v>
      </c>
    </row>
    <row r="11542" spans="1:6" x14ac:dyDescent="0.25">
      <c r="A11542" t="str">
        <f>"005937807"</f>
        <v>005937807</v>
      </c>
      <c r="B11542" t="str">
        <f>"1407107063"</f>
        <v>1407107063</v>
      </c>
      <c r="C11542" t="str">
        <f>"122300000X"</f>
        <v>122300000X</v>
      </c>
      <c r="D11542" t="str">
        <f>"GENE BAINES DMD                                   "</f>
        <v xml:space="preserve">GENE BAINES DMD                                   </v>
      </c>
      <c r="E11542" t="str">
        <f>"GREENWOOD                 "</f>
        <v xml:space="preserve">GREENWOOD                 </v>
      </c>
      <c r="F11542" t="str">
        <f t="shared" si="310"/>
        <v>MS</v>
      </c>
    </row>
    <row r="11543" spans="1:6" x14ac:dyDescent="0.25">
      <c r="A11543" t="str">
        <f>"005937858"</f>
        <v>005937858</v>
      </c>
      <c r="B11543" t="str">
        <f>"1366854028"</f>
        <v>1366854028</v>
      </c>
      <c r="C11543" t="str">
        <f>"207Y00000X"</f>
        <v>207Y00000X</v>
      </c>
      <c r="D11543" t="str">
        <f>"CHRISTOPHER              LAURA        H           "</f>
        <v xml:space="preserve">CHRISTOPHER              LAURA        H           </v>
      </c>
      <c r="E11543" t="str">
        <f>"FLOWOOD                   "</f>
        <v xml:space="preserve">FLOWOOD                   </v>
      </c>
      <c r="F11543" t="str">
        <f t="shared" si="310"/>
        <v>MS</v>
      </c>
    </row>
    <row r="11544" spans="1:6" x14ac:dyDescent="0.25">
      <c r="A11544" t="str">
        <f>"005938350"</f>
        <v>005938350</v>
      </c>
      <c r="B11544" t="str">
        <f>"1790166841"</f>
        <v>1790166841</v>
      </c>
      <c r="C11544" t="str">
        <f>"207Q00000X"</f>
        <v>207Q00000X</v>
      </c>
      <c r="D11544" t="str">
        <f>"WILKERSON                STEPHEN      C           "</f>
        <v xml:space="preserve">WILKERSON                STEPHEN      C           </v>
      </c>
      <c r="E11544" t="str">
        <f>"WEST POINT                "</f>
        <v xml:space="preserve">WEST POINT                </v>
      </c>
      <c r="F11544" t="str">
        <f t="shared" si="310"/>
        <v>MS</v>
      </c>
    </row>
    <row r="11545" spans="1:6" x14ac:dyDescent="0.25">
      <c r="A11545" t="str">
        <f>"005939288"</f>
        <v>005939288</v>
      </c>
      <c r="B11545" t="str">
        <f>"1013167352"</f>
        <v>1013167352</v>
      </c>
      <c r="C11545" t="str">
        <f>"363L00000X"</f>
        <v>363L00000X</v>
      </c>
      <c r="D11545" t="str">
        <f>"NUNNALLY                 CHRISTINA    K           "</f>
        <v xml:space="preserve">NUNNALLY                 CHRISTINA    K           </v>
      </c>
      <c r="E11545" t="str">
        <f>"ASHLAND                   "</f>
        <v xml:space="preserve">ASHLAND                   </v>
      </c>
      <c r="F11545" t="str">
        <f t="shared" si="310"/>
        <v>MS</v>
      </c>
    </row>
    <row r="11546" spans="1:6" x14ac:dyDescent="0.25">
      <c r="A11546" t="str">
        <f>"005939334"</f>
        <v>005939334</v>
      </c>
      <c r="B11546" t="str">
        <f>"1922582220"</f>
        <v>1922582220</v>
      </c>
      <c r="C11546" t="str">
        <f>"363L00000X"</f>
        <v>363L00000X</v>
      </c>
      <c r="D11546" t="str">
        <f>"CLARK                    SARAH                    "</f>
        <v xml:space="preserve">CLARK                    SARAH                    </v>
      </c>
      <c r="E11546" t="str">
        <f>"COLLINS                   "</f>
        <v xml:space="preserve">COLLINS                   </v>
      </c>
      <c r="F11546" t="str">
        <f t="shared" si="310"/>
        <v>MS</v>
      </c>
    </row>
    <row r="11547" spans="1:6" x14ac:dyDescent="0.25">
      <c r="A11547" t="str">
        <f>"005951091"</f>
        <v>005951091</v>
      </c>
      <c r="B11547" t="str">
        <f>"1407008337"</f>
        <v>1407008337</v>
      </c>
      <c r="C11547" t="str">
        <f>"122300000X"</f>
        <v>122300000X</v>
      </c>
      <c r="D11547" t="str">
        <f>"STARKVILLE PEDIATRIC DENTISTRY                    "</f>
        <v xml:space="preserve">STARKVILLE PEDIATRIC DENTISTRY                    </v>
      </c>
      <c r="E11547" t="str">
        <f>"STARKVILLE                "</f>
        <v xml:space="preserve">STARKVILLE                </v>
      </c>
      <c r="F11547" t="str">
        <f t="shared" si="310"/>
        <v>MS</v>
      </c>
    </row>
    <row r="11548" spans="1:6" x14ac:dyDescent="0.25">
      <c r="A11548" t="str">
        <f>"005952735"</f>
        <v>005952735</v>
      </c>
      <c r="B11548" t="str">
        <f>"1134111867"</f>
        <v>1134111867</v>
      </c>
      <c r="C11548" t="str">
        <f>"207VX0201X"</f>
        <v>207VX0201X</v>
      </c>
      <c r="D11548" t="str">
        <f>"RIDGWAY                  MILDRED                  "</f>
        <v xml:space="preserve">RIDGWAY                  MILDRED                  </v>
      </c>
      <c r="E11548" t="str">
        <f>"JACKSON                   "</f>
        <v xml:space="preserve">JACKSON                   </v>
      </c>
      <c r="F11548" t="str">
        <f t="shared" si="310"/>
        <v>MS</v>
      </c>
    </row>
    <row r="11549" spans="1:6" x14ac:dyDescent="0.25">
      <c r="A11549" t="str">
        <f>"005952757"</f>
        <v>005952757</v>
      </c>
      <c r="B11549" t="str">
        <f>"1366884082"</f>
        <v>1366884082</v>
      </c>
      <c r="C11549" t="str">
        <f>"2085R0204X"</f>
        <v>2085R0204X</v>
      </c>
      <c r="D11549" t="str">
        <f>"VASANI                   JAY          D           "</f>
        <v xml:space="preserve">VASANI                   JAY          D           </v>
      </c>
      <c r="E11549" t="str">
        <f>"JACKSON                   "</f>
        <v xml:space="preserve">JACKSON                   </v>
      </c>
      <c r="F11549" t="str">
        <f t="shared" si="310"/>
        <v>MS</v>
      </c>
    </row>
    <row r="11550" spans="1:6" x14ac:dyDescent="0.25">
      <c r="A11550" t="str">
        <f>"005953205"</f>
        <v>005953205</v>
      </c>
      <c r="B11550" t="str">
        <f>"1528066313"</f>
        <v>1528066313</v>
      </c>
      <c r="C11550" t="str">
        <f>"207R00000X"</f>
        <v>207R00000X</v>
      </c>
      <c r="D11550" t="str">
        <f>"THOMAS                   ALAN                     "</f>
        <v xml:space="preserve">THOMAS                   ALAN                     </v>
      </c>
      <c r="E11550" t="str">
        <f>"CORINTH                   "</f>
        <v xml:space="preserve">CORINTH                   </v>
      </c>
      <c r="F11550" t="str">
        <f t="shared" si="310"/>
        <v>MS</v>
      </c>
    </row>
    <row r="11551" spans="1:6" x14ac:dyDescent="0.25">
      <c r="A11551" t="str">
        <f>"005954541"</f>
        <v>005954541</v>
      </c>
      <c r="B11551" t="str">
        <f>"1407398845"</f>
        <v>1407398845</v>
      </c>
      <c r="C11551" t="str">
        <f>"363L00000X"</f>
        <v>363L00000X</v>
      </c>
      <c r="D11551" t="str">
        <f>"BRACEY                   BRITTNEY     E           "</f>
        <v xml:space="preserve">BRACEY                   BRITTNEY     E           </v>
      </c>
      <c r="E11551" t="str">
        <f>"COLUMBIA                  "</f>
        <v xml:space="preserve">COLUMBIA                  </v>
      </c>
      <c r="F11551" t="str">
        <f t="shared" si="310"/>
        <v>MS</v>
      </c>
    </row>
    <row r="11552" spans="1:6" x14ac:dyDescent="0.25">
      <c r="A11552" t="str">
        <f>"005955081"</f>
        <v>005955081</v>
      </c>
      <c r="B11552" t="str">
        <f>"1699093955"</f>
        <v>1699093955</v>
      </c>
      <c r="C11552" t="str">
        <f>"208600000X"</f>
        <v>208600000X</v>
      </c>
      <c r="D11552" t="str">
        <f>"REYNOLDS                 CHARLES      A           "</f>
        <v xml:space="preserve">REYNOLDS                 CHARLES      A           </v>
      </c>
      <c r="E11552" t="str">
        <f>"BROOKHAVEN                "</f>
        <v xml:space="preserve">BROOKHAVEN                </v>
      </c>
      <c r="F11552" t="str">
        <f t="shared" si="310"/>
        <v>MS</v>
      </c>
    </row>
    <row r="11553" spans="1:6" x14ac:dyDescent="0.25">
      <c r="A11553" t="str">
        <f>"005955546"</f>
        <v>005955546</v>
      </c>
      <c r="B11553" t="str">
        <f>"1194143974"</f>
        <v>1194143974</v>
      </c>
      <c r="C11553" t="str">
        <f>"207V00000X"</f>
        <v>207V00000X</v>
      </c>
      <c r="D11553" t="str">
        <f>"CUDWORTH                 RACHEL       W           "</f>
        <v xml:space="preserve">CUDWORTH                 RACHEL       W           </v>
      </c>
      <c r="E11553" t="str">
        <f>"LAUREL                    "</f>
        <v xml:space="preserve">LAUREL                    </v>
      </c>
      <c r="F11553" t="str">
        <f t="shared" si="310"/>
        <v>MS</v>
      </c>
    </row>
    <row r="11554" spans="1:6" x14ac:dyDescent="0.25">
      <c r="A11554" t="str">
        <f>"005956046"</f>
        <v>005956046</v>
      </c>
      <c r="B11554" t="str">
        <f>"1073797338"</f>
        <v>1073797338</v>
      </c>
      <c r="C11554" t="str">
        <f>"363L00000X"</f>
        <v>363L00000X</v>
      </c>
      <c r="D11554" t="str">
        <f>"GODBOLD                  JENNIFER     S           "</f>
        <v xml:space="preserve">GODBOLD                  JENNIFER     S           </v>
      </c>
      <c r="E11554" t="str">
        <f>"JACKSON                   "</f>
        <v xml:space="preserve">JACKSON                   </v>
      </c>
      <c r="F11554" t="str">
        <f t="shared" si="310"/>
        <v>MS</v>
      </c>
    </row>
    <row r="11555" spans="1:6" x14ac:dyDescent="0.25">
      <c r="A11555" t="str">
        <f>"005957002"</f>
        <v>005957002</v>
      </c>
      <c r="B11555" t="str">
        <f>"1891900569"</f>
        <v>1891900569</v>
      </c>
      <c r="C11555" t="str">
        <f>"208800000X"</f>
        <v>208800000X</v>
      </c>
      <c r="D11555" t="str">
        <f>"THOMAS                   KENNETH      R           "</f>
        <v xml:space="preserve">THOMAS                   KENNETH      R           </v>
      </c>
      <c r="E11555" t="str">
        <f>"STARKVILLE                "</f>
        <v xml:space="preserve">STARKVILLE                </v>
      </c>
      <c r="F11555" t="str">
        <f t="shared" si="310"/>
        <v>MS</v>
      </c>
    </row>
    <row r="11556" spans="1:6" x14ac:dyDescent="0.25">
      <c r="A11556" t="str">
        <f>"005957065"</f>
        <v>005957065</v>
      </c>
      <c r="B11556" t="str">
        <f>"1720241201"</f>
        <v>1720241201</v>
      </c>
      <c r="C11556" t="str">
        <f>"207R00000X"</f>
        <v>207R00000X</v>
      </c>
      <c r="D11556" t="str">
        <f>"EUBANKS                  JENNIFER     T           "</f>
        <v xml:space="preserve">EUBANKS                  JENNIFER     T           </v>
      </c>
      <c r="E11556" t="str">
        <f>"MERIDIAN                  "</f>
        <v xml:space="preserve">MERIDIAN                  </v>
      </c>
      <c r="F11556" t="str">
        <f t="shared" si="310"/>
        <v>MS</v>
      </c>
    </row>
    <row r="11557" spans="1:6" x14ac:dyDescent="0.25">
      <c r="A11557" t="str">
        <f>"005957571"</f>
        <v>005957571</v>
      </c>
      <c r="B11557" t="str">
        <f>"1245845502"</f>
        <v>1245845502</v>
      </c>
      <c r="C11557" t="str">
        <f>"363LP0808X"</f>
        <v>363LP0808X</v>
      </c>
      <c r="D11557" t="str">
        <f>"KIDD                     JASON                    "</f>
        <v xml:space="preserve">KIDD                     JASON                    </v>
      </c>
      <c r="E11557" t="str">
        <f>"NEW ALBANY                "</f>
        <v xml:space="preserve">NEW ALBANY                </v>
      </c>
      <c r="F11557" t="str">
        <f t="shared" si="310"/>
        <v>MS</v>
      </c>
    </row>
    <row r="11558" spans="1:6" x14ac:dyDescent="0.25">
      <c r="A11558" t="str">
        <f>"005957798"</f>
        <v>005957798</v>
      </c>
      <c r="B11558" t="str">
        <f>"1932145067"</f>
        <v>1932145067</v>
      </c>
      <c r="C11558" t="str">
        <f>"207P00000X"</f>
        <v>207P00000X</v>
      </c>
      <c r="D11558" t="str">
        <f>"MONTGOMERY               GRETCHEN     S           "</f>
        <v xml:space="preserve">MONTGOMERY               GRETCHEN     S           </v>
      </c>
      <c r="E11558" t="str">
        <f>"JACKSON                   "</f>
        <v xml:space="preserve">JACKSON                   </v>
      </c>
      <c r="F11558" t="str">
        <f t="shared" si="310"/>
        <v>MS</v>
      </c>
    </row>
    <row r="11559" spans="1:6" x14ac:dyDescent="0.25">
      <c r="A11559" t="str">
        <f>"005958040"</f>
        <v>005958040</v>
      </c>
      <c r="B11559" t="str">
        <f>"1134581242"</f>
        <v>1134581242</v>
      </c>
      <c r="C11559" t="str">
        <f>"2086S0102X"</f>
        <v>2086S0102X</v>
      </c>
      <c r="D11559" t="str">
        <f>"ENOS                     JULIA        A           "</f>
        <v xml:space="preserve">ENOS                     JULIA        A           </v>
      </c>
      <c r="E11559" t="str">
        <f>"JACKSON                   "</f>
        <v xml:space="preserve">JACKSON                   </v>
      </c>
      <c r="F11559" t="str">
        <f t="shared" si="310"/>
        <v>MS</v>
      </c>
    </row>
    <row r="11560" spans="1:6" x14ac:dyDescent="0.25">
      <c r="A11560" t="str">
        <f>"005958373"</f>
        <v>005958373</v>
      </c>
      <c r="B11560" t="str">
        <f>"1972171338"</f>
        <v>1972171338</v>
      </c>
      <c r="C11560" t="str">
        <f>"122300000X"</f>
        <v>122300000X</v>
      </c>
      <c r="D11560" t="str">
        <f>"MOSES                    WILSON       B           "</f>
        <v xml:space="preserve">MOSES                    WILSON       B           </v>
      </c>
      <c r="E11560" t="str">
        <f>"GREENWOOD                 "</f>
        <v xml:space="preserve">GREENWOOD                 </v>
      </c>
      <c r="F11560" t="str">
        <f t="shared" si="310"/>
        <v>MS</v>
      </c>
    </row>
    <row r="11561" spans="1:6" x14ac:dyDescent="0.25">
      <c r="A11561" t="str">
        <f>"005959245"</f>
        <v>005959245</v>
      </c>
      <c r="B11561" t="str">
        <f>"1689187155"</f>
        <v>1689187155</v>
      </c>
      <c r="C11561" t="str">
        <f>"261QF0400X"</f>
        <v>261QF0400X</v>
      </c>
      <c r="D11561" t="str">
        <f>"GMHC INC MPSD WEST END T J HARRIS                 "</f>
        <v xml:space="preserve">GMHC INC MPSD WEST END T J HARRIS                 </v>
      </c>
      <c r="E11561" t="str">
        <f>"MERIDIAN                  "</f>
        <v xml:space="preserve">MERIDIAN                  </v>
      </c>
      <c r="F11561" t="str">
        <f t="shared" si="310"/>
        <v>MS</v>
      </c>
    </row>
    <row r="11562" spans="1:6" x14ac:dyDescent="0.25">
      <c r="A11562" t="str">
        <f>"005972573"</f>
        <v>005972573</v>
      </c>
      <c r="B11562" t="str">
        <f>"1609070283"</f>
        <v>1609070283</v>
      </c>
      <c r="C11562" t="str">
        <f>"207RX0202X"</f>
        <v>207RX0202X</v>
      </c>
      <c r="D11562" t="str">
        <f>"WASHINGTON               TECHKSELL                "</f>
        <v xml:space="preserve">WASHINGTON               TECHKSELL                </v>
      </c>
      <c r="E11562" t="str">
        <f>"PASCAGOULA                "</f>
        <v xml:space="preserve">PASCAGOULA                </v>
      </c>
      <c r="F11562" t="str">
        <f t="shared" si="310"/>
        <v>MS</v>
      </c>
    </row>
    <row r="11563" spans="1:6" x14ac:dyDescent="0.25">
      <c r="A11563" t="str">
        <f>"005973558"</f>
        <v>005973558</v>
      </c>
      <c r="B11563" t="str">
        <f>"1902873185"</f>
        <v>1902873185</v>
      </c>
      <c r="C11563" t="str">
        <f>"2084N0400X"</f>
        <v>2084N0400X</v>
      </c>
      <c r="D11563" t="str">
        <f>"DASILVA                  LEONARD      D           "</f>
        <v xml:space="preserve">DASILVA                  LEONARD      D           </v>
      </c>
      <c r="E11563" t="str">
        <f>"SOUTHAVEN                 "</f>
        <v xml:space="preserve">SOUTHAVEN                 </v>
      </c>
      <c r="F11563" t="str">
        <f t="shared" si="310"/>
        <v>MS</v>
      </c>
    </row>
    <row r="11564" spans="1:6" x14ac:dyDescent="0.25">
      <c r="A11564" t="str">
        <f>"005973564"</f>
        <v>005973564</v>
      </c>
      <c r="B11564" t="str">
        <f>"1336422021"</f>
        <v>1336422021</v>
      </c>
      <c r="C11564" t="str">
        <f>"363L00000X"</f>
        <v>363L00000X</v>
      </c>
      <c r="D11564" t="str">
        <f>"BROWN                    ELIZABETH    W           "</f>
        <v xml:space="preserve">BROWN                    ELIZABETH    W           </v>
      </c>
      <c r="E11564" t="str">
        <f>"BROOKHAVEN                "</f>
        <v xml:space="preserve">BROOKHAVEN                </v>
      </c>
      <c r="F11564" t="str">
        <f t="shared" si="310"/>
        <v>MS</v>
      </c>
    </row>
    <row r="11565" spans="1:6" x14ac:dyDescent="0.25">
      <c r="A11565" t="str">
        <f>"005973851"</f>
        <v>005973851</v>
      </c>
      <c r="B11565" t="str">
        <f>"1760971030"</f>
        <v>1760971030</v>
      </c>
      <c r="C11565" t="str">
        <f>"363A00000X"</f>
        <v>363A00000X</v>
      </c>
      <c r="D11565" t="str">
        <f>"ROWLEY                   CALLAN       H           "</f>
        <v xml:space="preserve">ROWLEY                   CALLAN       H           </v>
      </c>
      <c r="E11565" t="str">
        <f>"TUPELO                    "</f>
        <v xml:space="preserve">TUPELO                    </v>
      </c>
      <c r="F11565" t="str">
        <f t="shared" si="310"/>
        <v>MS</v>
      </c>
    </row>
    <row r="11566" spans="1:6" x14ac:dyDescent="0.25">
      <c r="A11566" t="str">
        <f>"005974037"</f>
        <v>005974037</v>
      </c>
      <c r="B11566" t="str">
        <f>"1154799625"</f>
        <v>1154799625</v>
      </c>
      <c r="C11566" t="str">
        <f>"363L00000X"</f>
        <v>363L00000X</v>
      </c>
      <c r="D11566" t="str">
        <f>"BERRY                    REGINA       W           "</f>
        <v xml:space="preserve">BERRY                    REGINA       W           </v>
      </c>
      <c r="E11566" t="str">
        <f>"JACKSON                   "</f>
        <v xml:space="preserve">JACKSON                   </v>
      </c>
      <c r="F11566" t="str">
        <f t="shared" si="310"/>
        <v>MS</v>
      </c>
    </row>
    <row r="11567" spans="1:6" x14ac:dyDescent="0.25">
      <c r="A11567" t="str">
        <f>"005974518"</f>
        <v>005974518</v>
      </c>
      <c r="B11567" t="str">
        <f>"1952935256"</f>
        <v>1952935256</v>
      </c>
      <c r="C11567" t="str">
        <f>"363A00000X"</f>
        <v>363A00000X</v>
      </c>
      <c r="D11567" t="str">
        <f>"SCARBOROUGH              LAUREN       A           "</f>
        <v xml:space="preserve">SCARBOROUGH              LAUREN       A           </v>
      </c>
      <c r="E11567" t="str">
        <f>"TUPELO                    "</f>
        <v xml:space="preserve">TUPELO                    </v>
      </c>
      <c r="F11567" t="str">
        <f t="shared" si="310"/>
        <v>MS</v>
      </c>
    </row>
    <row r="11568" spans="1:6" x14ac:dyDescent="0.25">
      <c r="A11568" t="str">
        <f>"005975012"</f>
        <v>005975012</v>
      </c>
      <c r="B11568" t="str">
        <f>"1881920817"</f>
        <v>1881920817</v>
      </c>
      <c r="C11568" t="str">
        <f>"363L00000X"</f>
        <v>363L00000X</v>
      </c>
      <c r="D11568" t="str">
        <f>"HOLLIMON                 BRIAN        C           "</f>
        <v xml:space="preserve">HOLLIMON                 BRIAN        C           </v>
      </c>
      <c r="E11568" t="str">
        <f>"POPLARVILLE               "</f>
        <v xml:space="preserve">POPLARVILLE               </v>
      </c>
      <c r="F11568" t="str">
        <f t="shared" si="310"/>
        <v>MS</v>
      </c>
    </row>
    <row r="11569" spans="1:6" x14ac:dyDescent="0.25">
      <c r="A11569" t="str">
        <f>"005976078"</f>
        <v>005976078</v>
      </c>
      <c r="B11569" t="str">
        <f>"1851792626"</f>
        <v>1851792626</v>
      </c>
      <c r="C11569" t="str">
        <f>"363L00000X"</f>
        <v>363L00000X</v>
      </c>
      <c r="D11569" t="str">
        <f>"FONDREN                  AMANDA                   "</f>
        <v xml:space="preserve">FONDREN                  AMANDA                   </v>
      </c>
      <c r="E11569" t="str">
        <f>"WEST POINT                "</f>
        <v xml:space="preserve">WEST POINT                </v>
      </c>
      <c r="F11569" t="str">
        <f t="shared" si="310"/>
        <v>MS</v>
      </c>
    </row>
    <row r="11570" spans="1:6" x14ac:dyDescent="0.25">
      <c r="A11570" t="str">
        <f>"005976701"</f>
        <v>005976701</v>
      </c>
      <c r="B11570" t="str">
        <f>"1295353290"</f>
        <v>1295353290</v>
      </c>
      <c r="C11570" t="str">
        <f>"363L00000X"</f>
        <v>363L00000X</v>
      </c>
      <c r="D11570" t="str">
        <f>"ALLEN                    ASHLEY                   "</f>
        <v xml:space="preserve">ALLEN                    ASHLEY                   </v>
      </c>
      <c r="E11570" t="str">
        <f>"RICHLAND                  "</f>
        <v xml:space="preserve">RICHLAND                  </v>
      </c>
      <c r="F11570" t="str">
        <f t="shared" si="310"/>
        <v>MS</v>
      </c>
    </row>
    <row r="11571" spans="1:6" x14ac:dyDescent="0.25">
      <c r="A11571" t="str">
        <f>"005977095"</f>
        <v>005977095</v>
      </c>
      <c r="B11571" t="str">
        <f>"1356803837"</f>
        <v>1356803837</v>
      </c>
      <c r="C11571" t="str">
        <f>"207R00000X"</f>
        <v>207R00000X</v>
      </c>
      <c r="D11571" t="str">
        <f>"HARVEY                   TAYLOR       W           "</f>
        <v xml:space="preserve">HARVEY                   TAYLOR       W           </v>
      </c>
      <c r="E11571" t="str">
        <f>"JACKSON                   "</f>
        <v xml:space="preserve">JACKSON                   </v>
      </c>
      <c r="F11571" t="str">
        <f t="shared" si="310"/>
        <v>MS</v>
      </c>
    </row>
    <row r="11572" spans="1:6" x14ac:dyDescent="0.25">
      <c r="A11572" t="str">
        <f>"005977519"</f>
        <v>005977519</v>
      </c>
      <c r="B11572" t="str">
        <f>"1215460555"</f>
        <v>1215460555</v>
      </c>
      <c r="C11572" t="str">
        <f>"207R00000X"</f>
        <v>207R00000X</v>
      </c>
      <c r="D11572" t="str">
        <f>"SLOAN                    MEREDITH     E           "</f>
        <v xml:space="preserve">SLOAN                    MEREDITH     E           </v>
      </c>
      <c r="E11572" t="str">
        <f>"JACKSON                   "</f>
        <v xml:space="preserve">JACKSON                   </v>
      </c>
      <c r="F11572" t="str">
        <f t="shared" si="310"/>
        <v>MS</v>
      </c>
    </row>
    <row r="11573" spans="1:6" x14ac:dyDescent="0.25">
      <c r="A11573" t="str">
        <f>"005979849"</f>
        <v>005979849</v>
      </c>
      <c r="B11573" t="str">
        <f>"1699087627"</f>
        <v>1699087627</v>
      </c>
      <c r="C11573" t="str">
        <f>"363L00000X"</f>
        <v>363L00000X</v>
      </c>
      <c r="D11573" t="str">
        <f>"LIGHTSEY                 LINDA                    "</f>
        <v xml:space="preserve">LIGHTSEY                 LINDA                    </v>
      </c>
      <c r="E11573" t="str">
        <f>"GULFPORT                  "</f>
        <v xml:space="preserve">GULFPORT                  </v>
      </c>
      <c r="F11573" t="str">
        <f t="shared" si="310"/>
        <v>MS</v>
      </c>
    </row>
    <row r="11574" spans="1:6" x14ac:dyDescent="0.25">
      <c r="A11574" t="str">
        <f>"005980328"</f>
        <v>005980328</v>
      </c>
      <c r="B11574" t="str">
        <f>"1497193023"</f>
        <v>1497193023</v>
      </c>
      <c r="C11574" t="str">
        <f>"261QE0700X"</f>
        <v>261QE0700X</v>
      </c>
      <c r="D11574" t="str">
        <f>"FRESENIUS MEDICAL CARE LAKELAND HOM               "</f>
        <v xml:space="preserve">FRESENIUS MEDICAL CARE LAKELAND HOM               </v>
      </c>
      <c r="E11574" t="str">
        <f>"FLOWOOD                   "</f>
        <v xml:space="preserve">FLOWOOD                   </v>
      </c>
      <c r="F11574" t="str">
        <f t="shared" si="310"/>
        <v>MS</v>
      </c>
    </row>
    <row r="11575" spans="1:6" x14ac:dyDescent="0.25">
      <c r="A11575" t="str">
        <f>"005981257"</f>
        <v>005981257</v>
      </c>
      <c r="B11575" t="str">
        <f>"1164483814"</f>
        <v>1164483814</v>
      </c>
      <c r="C11575" t="str">
        <f>"207R00000X"</f>
        <v>207R00000X</v>
      </c>
      <c r="D11575" t="str">
        <f>"HULSEY                   CATHERINE    C           "</f>
        <v xml:space="preserve">HULSEY                   CATHERINE    C           </v>
      </c>
      <c r="E11575" t="str">
        <f>"HATTIESBURG               "</f>
        <v xml:space="preserve">HATTIESBURG               </v>
      </c>
      <c r="F11575" t="str">
        <f t="shared" si="310"/>
        <v>MS</v>
      </c>
    </row>
    <row r="11576" spans="1:6" x14ac:dyDescent="0.25">
      <c r="A11576" t="str">
        <f>"005982070"</f>
        <v>005982070</v>
      </c>
      <c r="B11576" t="str">
        <f>"1174574701"</f>
        <v>1174574701</v>
      </c>
      <c r="C11576" t="str">
        <f>"2084N0400X"</f>
        <v>2084N0400X</v>
      </c>
      <c r="D11576" t="str">
        <f>"MESSENGER                KATHLEEN     A           "</f>
        <v xml:space="preserve">MESSENGER                KATHLEEN     A           </v>
      </c>
      <c r="E11576" t="str">
        <f>"HATTIESBURG               "</f>
        <v xml:space="preserve">HATTIESBURG               </v>
      </c>
      <c r="F11576" t="str">
        <f t="shared" si="310"/>
        <v>MS</v>
      </c>
    </row>
    <row r="11577" spans="1:6" x14ac:dyDescent="0.25">
      <c r="A11577" t="str">
        <f>"005983278"</f>
        <v>005983278</v>
      </c>
      <c r="B11577" t="str">
        <f>"1891970521"</f>
        <v>1891970521</v>
      </c>
      <c r="C11577" t="str">
        <f>"207V00000X"</f>
        <v>207V00000X</v>
      </c>
      <c r="D11577" t="str">
        <f>"DARBY                    MARIE        M           "</f>
        <v xml:space="preserve">DARBY                    MARIE        M           </v>
      </c>
      <c r="E11577" t="str">
        <f>"HATTIESBURG               "</f>
        <v xml:space="preserve">HATTIESBURG               </v>
      </c>
      <c r="F11577" t="str">
        <f t="shared" si="310"/>
        <v>MS</v>
      </c>
    </row>
    <row r="11578" spans="1:6" x14ac:dyDescent="0.25">
      <c r="A11578" t="str">
        <f>"005983815"</f>
        <v>005983815</v>
      </c>
      <c r="B11578" t="str">
        <f>"1477575561"</f>
        <v>1477575561</v>
      </c>
      <c r="C11578" t="str">
        <f>"363L00000X"</f>
        <v>363L00000X</v>
      </c>
      <c r="D11578" t="str">
        <f>"TIMS                     BROOKE       N           "</f>
        <v xml:space="preserve">TIMS                     BROOKE       N           </v>
      </c>
      <c r="E11578" t="str">
        <f>"CLEVELAND                 "</f>
        <v xml:space="preserve">CLEVELAND                 </v>
      </c>
      <c r="F11578" t="str">
        <f t="shared" si="310"/>
        <v>MS</v>
      </c>
    </row>
    <row r="11579" spans="1:6" x14ac:dyDescent="0.25">
      <c r="A11579" t="str">
        <f>"005984753"</f>
        <v>005984753</v>
      </c>
      <c r="B11579" t="str">
        <f>"1851879126"</f>
        <v>1851879126</v>
      </c>
      <c r="C11579" t="str">
        <f>"363L00000X"</f>
        <v>363L00000X</v>
      </c>
      <c r="D11579" t="str">
        <f>"GRANT                    KATINA       M           "</f>
        <v xml:space="preserve">GRANT                    KATINA       M           </v>
      </c>
      <c r="E11579" t="str">
        <f>"CANTON                    "</f>
        <v xml:space="preserve">CANTON                    </v>
      </c>
      <c r="F11579" t="str">
        <f t="shared" si="310"/>
        <v>MS</v>
      </c>
    </row>
    <row r="11580" spans="1:6" x14ac:dyDescent="0.25">
      <c r="A11580" t="str">
        <f>"005985016"</f>
        <v>005985016</v>
      </c>
      <c r="B11580" t="str">
        <f>"1649536947"</f>
        <v>1649536947</v>
      </c>
      <c r="C11580" t="str">
        <f>"363L00000X"</f>
        <v>363L00000X</v>
      </c>
      <c r="D11580" t="str">
        <f>"ROBINSON                 TIMOTHY      R           "</f>
        <v xml:space="preserve">ROBINSON                 TIMOTHY      R           </v>
      </c>
      <c r="E11580" t="str">
        <f>"GULFPORT                  "</f>
        <v xml:space="preserve">GULFPORT                  </v>
      </c>
      <c r="F11580" t="str">
        <f t="shared" si="310"/>
        <v>MS</v>
      </c>
    </row>
    <row r="11581" spans="1:6" x14ac:dyDescent="0.25">
      <c r="A11581" t="str">
        <f>"005985349"</f>
        <v>005985349</v>
      </c>
      <c r="B11581" t="str">
        <f>"1669552642"</f>
        <v>1669552642</v>
      </c>
      <c r="C11581" t="str">
        <f>"363L00000X"</f>
        <v>363L00000X</v>
      </c>
      <c r="D11581" t="str">
        <f>"CALLAHAN                 SHERRY       D           "</f>
        <v xml:space="preserve">CALLAHAN                 SHERRY       D           </v>
      </c>
      <c r="E11581" t="str">
        <f>"CORINTH                   "</f>
        <v xml:space="preserve">CORINTH                   </v>
      </c>
      <c r="F11581" t="str">
        <f t="shared" si="310"/>
        <v>MS</v>
      </c>
    </row>
    <row r="11582" spans="1:6" x14ac:dyDescent="0.25">
      <c r="A11582" t="str">
        <f>"005986361"</f>
        <v>005986361</v>
      </c>
      <c r="B11582" t="str">
        <f>"1407267859"</f>
        <v>1407267859</v>
      </c>
      <c r="C11582" t="str">
        <f>"367500000X"</f>
        <v>367500000X</v>
      </c>
      <c r="D11582" t="str">
        <f>"BATEMAN                  MATTHEW                  "</f>
        <v xml:space="preserve">BATEMAN                  MATTHEW                  </v>
      </c>
      <c r="E11582" t="str">
        <f>"RULEVILLE                 "</f>
        <v xml:space="preserve">RULEVILLE                 </v>
      </c>
      <c r="F11582" t="str">
        <f t="shared" ref="F11582:F11645" si="311">"MS"</f>
        <v>MS</v>
      </c>
    </row>
    <row r="11583" spans="1:6" x14ac:dyDescent="0.25">
      <c r="A11583" t="str">
        <f>"005986876"</f>
        <v>005986876</v>
      </c>
      <c r="B11583" t="str">
        <f>"1538521901"</f>
        <v>1538521901</v>
      </c>
      <c r="C11583" t="str">
        <f>"208000000X"</f>
        <v>208000000X</v>
      </c>
      <c r="D11583" t="str">
        <f>"BARNES-WOODS             CONSTANCE    P           "</f>
        <v xml:space="preserve">BARNES-WOODS             CONSTANCE    P           </v>
      </c>
      <c r="E11583" t="str">
        <f>"RIDGELAND                 "</f>
        <v xml:space="preserve">RIDGELAND                 </v>
      </c>
      <c r="F11583" t="str">
        <f t="shared" si="311"/>
        <v>MS</v>
      </c>
    </row>
    <row r="11584" spans="1:6" x14ac:dyDescent="0.25">
      <c r="A11584" t="str">
        <f>"005987239"</f>
        <v>005987239</v>
      </c>
      <c r="B11584" t="str">
        <f>"1790909414"</f>
        <v>1790909414</v>
      </c>
      <c r="C11584" t="str">
        <f>"363A00000X"</f>
        <v>363A00000X</v>
      </c>
      <c r="D11584" t="str">
        <f>"PAGE                     MICHAEL      B           "</f>
        <v xml:space="preserve">PAGE                     MICHAEL      B           </v>
      </c>
      <c r="E11584" t="str">
        <f>"NEW ALBANY                "</f>
        <v xml:space="preserve">NEW ALBANY                </v>
      </c>
      <c r="F11584" t="str">
        <f t="shared" si="311"/>
        <v>MS</v>
      </c>
    </row>
    <row r="11585" spans="1:6" x14ac:dyDescent="0.25">
      <c r="A11585" t="str">
        <f>"005987748"</f>
        <v>005987748</v>
      </c>
      <c r="B11585" t="str">
        <f>"1750660163"</f>
        <v>1750660163</v>
      </c>
      <c r="C11585" t="str">
        <f>"363L00000X"</f>
        <v>363L00000X</v>
      </c>
      <c r="D11585" t="str">
        <f>"MCCOY                    LINDA        T           "</f>
        <v xml:space="preserve">MCCOY                    LINDA        T           </v>
      </c>
      <c r="E11585" t="str">
        <f>"BRANDON                   "</f>
        <v xml:space="preserve">BRANDON                   </v>
      </c>
      <c r="F11585" t="str">
        <f t="shared" si="311"/>
        <v>MS</v>
      </c>
    </row>
    <row r="11586" spans="1:6" x14ac:dyDescent="0.25">
      <c r="A11586" t="str">
        <f>"005987793"</f>
        <v>005987793</v>
      </c>
      <c r="B11586" t="str">
        <f>"1720528680"</f>
        <v>1720528680</v>
      </c>
      <c r="C11586" t="str">
        <f>"363L00000X"</f>
        <v>363L00000X</v>
      </c>
      <c r="D11586" t="str">
        <f>"CREEL                    ALISON                   "</f>
        <v xml:space="preserve">CREEL                    ALISON                   </v>
      </c>
      <c r="E11586" t="str">
        <f>"HATTIESBURG               "</f>
        <v xml:space="preserve">HATTIESBURG               </v>
      </c>
      <c r="F11586" t="str">
        <f t="shared" si="311"/>
        <v>MS</v>
      </c>
    </row>
    <row r="11587" spans="1:6" x14ac:dyDescent="0.25">
      <c r="A11587" t="str">
        <f>"005988306"</f>
        <v>005988306</v>
      </c>
      <c r="B11587" t="str">
        <f>"1447560719"</f>
        <v>1447560719</v>
      </c>
      <c r="C11587" t="str">
        <f>"207RN0300X"</f>
        <v>207RN0300X</v>
      </c>
      <c r="D11587" t="str">
        <f>"GOEL                     ARVIND                   "</f>
        <v xml:space="preserve">GOEL                     ARVIND                   </v>
      </c>
      <c r="E11587" t="str">
        <f>"SOUTHAVEN                 "</f>
        <v xml:space="preserve">SOUTHAVEN                 </v>
      </c>
      <c r="F11587" t="str">
        <f t="shared" si="311"/>
        <v>MS</v>
      </c>
    </row>
    <row r="11588" spans="1:6" x14ac:dyDescent="0.25">
      <c r="A11588" t="str">
        <f>"005989006"</f>
        <v>005989006</v>
      </c>
      <c r="B11588" t="str">
        <f>"1649429481"</f>
        <v>1649429481</v>
      </c>
      <c r="C11588" t="str">
        <f>"363L00000X"</f>
        <v>363L00000X</v>
      </c>
      <c r="D11588" t="str">
        <f>"SOUTH                    TERESA       M           "</f>
        <v xml:space="preserve">SOUTH                    TERESA       M           </v>
      </c>
      <c r="E11588" t="str">
        <f>"IUKA                      "</f>
        <v xml:space="preserve">IUKA                      </v>
      </c>
      <c r="F11588" t="str">
        <f t="shared" si="311"/>
        <v>MS</v>
      </c>
    </row>
    <row r="11589" spans="1:6" x14ac:dyDescent="0.25">
      <c r="A11589" t="str">
        <f>"006000714"</f>
        <v>006000714</v>
      </c>
      <c r="B11589" t="str">
        <f>"1134133556"</f>
        <v>1134133556</v>
      </c>
      <c r="C11589" t="str">
        <f>"207R00000X"</f>
        <v>207R00000X</v>
      </c>
      <c r="D11589" t="str">
        <f>"OZUA                     EDWIN        I           "</f>
        <v xml:space="preserve">OZUA                     EDWIN        I           </v>
      </c>
      <c r="E11589" t="str">
        <f>"CLARKSDALE                "</f>
        <v xml:space="preserve">CLARKSDALE                </v>
      </c>
      <c r="F11589" t="str">
        <f t="shared" si="311"/>
        <v>MS</v>
      </c>
    </row>
    <row r="11590" spans="1:6" x14ac:dyDescent="0.25">
      <c r="A11590" t="str">
        <f>"006000736"</f>
        <v>006000736</v>
      </c>
      <c r="B11590" t="str">
        <f>"1447514914"</f>
        <v>1447514914</v>
      </c>
      <c r="C11590" t="str">
        <f>"2085P0229X"</f>
        <v>2085P0229X</v>
      </c>
      <c r="D11590" t="str">
        <f>"ALLRED                   LINDSEY      H           "</f>
        <v xml:space="preserve">ALLRED                   LINDSEY      H           </v>
      </c>
      <c r="E11590" t="str">
        <f>"JACKSON                   "</f>
        <v xml:space="preserve">JACKSON                   </v>
      </c>
      <c r="F11590" t="str">
        <f t="shared" si="311"/>
        <v>MS</v>
      </c>
    </row>
    <row r="11591" spans="1:6" x14ac:dyDescent="0.25">
      <c r="A11591" t="str">
        <f>"006001032"</f>
        <v>006001032</v>
      </c>
      <c r="B11591" t="str">
        <f>"1770005258"</f>
        <v>1770005258</v>
      </c>
      <c r="C11591" t="str">
        <f>"152W00000X"</f>
        <v>152W00000X</v>
      </c>
      <c r="D11591" t="str">
        <f>"HERRING                  CHRISTOPHER  B           "</f>
        <v xml:space="preserve">HERRING                  CHRISTOPHER  B           </v>
      </c>
      <c r="E11591" t="str">
        <f>"ACKERMAN                  "</f>
        <v xml:space="preserve">ACKERMAN                  </v>
      </c>
      <c r="F11591" t="str">
        <f t="shared" si="311"/>
        <v>MS</v>
      </c>
    </row>
    <row r="11592" spans="1:6" x14ac:dyDescent="0.25">
      <c r="A11592" t="str">
        <f>"006001254"</f>
        <v>006001254</v>
      </c>
      <c r="B11592" t="str">
        <f>"1427565076"</f>
        <v>1427565076</v>
      </c>
      <c r="C11592" t="str">
        <f>"363L00000X"</f>
        <v>363L00000X</v>
      </c>
      <c r="D11592" t="str">
        <f>"GLOVER                   JESSICA      K           "</f>
        <v xml:space="preserve">GLOVER                   JESSICA      K           </v>
      </c>
      <c r="E11592" t="str">
        <f>"IUKA                      "</f>
        <v xml:space="preserve">IUKA                      </v>
      </c>
      <c r="F11592" t="str">
        <f t="shared" si="311"/>
        <v>MS</v>
      </c>
    </row>
    <row r="11593" spans="1:6" x14ac:dyDescent="0.25">
      <c r="A11593" t="str">
        <f>"006002852"</f>
        <v>006002852</v>
      </c>
      <c r="B11593" t="str">
        <f>"1558764738"</f>
        <v>1558764738</v>
      </c>
      <c r="C11593" t="str">
        <f>"363L00000X"</f>
        <v>363L00000X</v>
      </c>
      <c r="D11593" t="str">
        <f>"WROTEN                   LORI         L           "</f>
        <v xml:space="preserve">WROTEN                   LORI         L           </v>
      </c>
      <c r="E11593" t="str">
        <f>"VICKSBURG                 "</f>
        <v xml:space="preserve">VICKSBURG                 </v>
      </c>
      <c r="F11593" t="str">
        <f t="shared" si="311"/>
        <v>MS</v>
      </c>
    </row>
    <row r="11594" spans="1:6" x14ac:dyDescent="0.25">
      <c r="A11594" t="str">
        <f>"006003098"</f>
        <v>006003098</v>
      </c>
      <c r="B11594" t="str">
        <f>"1699716837"</f>
        <v>1699716837</v>
      </c>
      <c r="C11594" t="str">
        <f>"207RP1001X"</f>
        <v>207RP1001X</v>
      </c>
      <c r="D11594" t="str">
        <f>"HAYNES                   DEMONDES                 "</f>
        <v xml:space="preserve">HAYNES                   DEMONDES                 </v>
      </c>
      <c r="E11594" t="str">
        <f>"JACKSON                   "</f>
        <v xml:space="preserve">JACKSON                   </v>
      </c>
      <c r="F11594" t="str">
        <f t="shared" si="311"/>
        <v>MS</v>
      </c>
    </row>
    <row r="11595" spans="1:6" x14ac:dyDescent="0.25">
      <c r="A11595" t="str">
        <f>"006003886"</f>
        <v>006003886</v>
      </c>
      <c r="B11595" t="str">
        <f>"1790907707"</f>
        <v>1790907707</v>
      </c>
      <c r="C11595" t="str">
        <f>"363L00000X"</f>
        <v>363L00000X</v>
      </c>
      <c r="D11595" t="str">
        <f>"FLOWERS                  CARRIE       R           "</f>
        <v xml:space="preserve">FLOWERS                  CARRIE       R           </v>
      </c>
      <c r="E11595" t="str">
        <f>"FLOWOOD                   "</f>
        <v xml:space="preserve">FLOWOOD                   </v>
      </c>
      <c r="F11595" t="str">
        <f t="shared" si="311"/>
        <v>MS</v>
      </c>
    </row>
    <row r="11596" spans="1:6" x14ac:dyDescent="0.25">
      <c r="A11596" t="str">
        <f>"006005546"</f>
        <v>006005546</v>
      </c>
      <c r="B11596" t="str">
        <f>"1881240752"</f>
        <v>1881240752</v>
      </c>
      <c r="C11596" t="str">
        <f>"261QF0400X"</f>
        <v>261QF0400X</v>
      </c>
      <c r="D11596" t="str">
        <f>"DHC-CARVER ELEMENTARY SCHOOL                      "</f>
        <v xml:space="preserve">DHC-CARVER ELEMENTARY SCHOOL                      </v>
      </c>
      <c r="E11596" t="str">
        <f>"INDIANOLA                 "</f>
        <v xml:space="preserve">INDIANOLA                 </v>
      </c>
      <c r="F11596" t="str">
        <f t="shared" si="311"/>
        <v>MS</v>
      </c>
    </row>
    <row r="11597" spans="1:6" x14ac:dyDescent="0.25">
      <c r="A11597" t="str">
        <f>"006007203"</f>
        <v>006007203</v>
      </c>
      <c r="B11597" t="str">
        <f>"1134257629"</f>
        <v>1134257629</v>
      </c>
      <c r="C11597" t="str">
        <f>"363L00000X"</f>
        <v>363L00000X</v>
      </c>
      <c r="D11597" t="str">
        <f>"VAN SLYKE                BOBBIE       G           "</f>
        <v xml:space="preserve">VAN SLYKE                BOBBIE       G           </v>
      </c>
      <c r="E11597" t="str">
        <f>"CORINTH                   "</f>
        <v xml:space="preserve">CORINTH                   </v>
      </c>
      <c r="F11597" t="str">
        <f t="shared" si="311"/>
        <v>MS</v>
      </c>
    </row>
    <row r="11598" spans="1:6" x14ac:dyDescent="0.25">
      <c r="A11598" t="str">
        <f>"006007531"</f>
        <v>006007531</v>
      </c>
      <c r="B11598" t="str">
        <f>"1124069521"</f>
        <v>1124069521</v>
      </c>
      <c r="C11598" t="str">
        <f>"207R00000X"</f>
        <v>207R00000X</v>
      </c>
      <c r="D11598" t="str">
        <f>"KOTIKALAPUDI             SIVARAMA     K           "</f>
        <v xml:space="preserve">KOTIKALAPUDI             SIVARAMA     K           </v>
      </c>
      <c r="E11598" t="str">
        <f>"HATTIESBURG               "</f>
        <v xml:space="preserve">HATTIESBURG               </v>
      </c>
      <c r="F11598" t="str">
        <f t="shared" si="311"/>
        <v>MS</v>
      </c>
    </row>
    <row r="11599" spans="1:6" x14ac:dyDescent="0.25">
      <c r="A11599" t="str">
        <f>"006007840"</f>
        <v>006007840</v>
      </c>
      <c r="B11599" t="str">
        <f>"1508029448"</f>
        <v>1508029448</v>
      </c>
      <c r="C11599" t="str">
        <f>"122300000X"</f>
        <v>122300000X</v>
      </c>
      <c r="D11599" t="str">
        <f>"DENTAL ARTS OF CORINTH, PLLC                      "</f>
        <v xml:space="preserve">DENTAL ARTS OF CORINTH, PLLC                      </v>
      </c>
      <c r="E11599" t="str">
        <f>"CORINTH                   "</f>
        <v xml:space="preserve">CORINTH                   </v>
      </c>
      <c r="F11599" t="str">
        <f t="shared" si="311"/>
        <v>MS</v>
      </c>
    </row>
    <row r="11600" spans="1:6" x14ac:dyDescent="0.25">
      <c r="A11600" t="str">
        <f>"006008872"</f>
        <v>006008872</v>
      </c>
      <c r="B11600" t="str">
        <f>"1497730469"</f>
        <v>1497730469</v>
      </c>
      <c r="C11600" t="str">
        <f>"2085R0202X"</f>
        <v>2085R0202X</v>
      </c>
      <c r="D11600" t="str">
        <f>"YORK                     JAMES        A           "</f>
        <v xml:space="preserve">YORK                     JAMES        A           </v>
      </c>
      <c r="E11600" t="str">
        <f>"HATTIESBURG               "</f>
        <v xml:space="preserve">HATTIESBURG               </v>
      </c>
      <c r="F11600" t="str">
        <f t="shared" si="311"/>
        <v>MS</v>
      </c>
    </row>
    <row r="11601" spans="1:6" x14ac:dyDescent="0.25">
      <c r="A11601" t="str">
        <f>"006020069"</f>
        <v>006020069</v>
      </c>
      <c r="B11601" t="str">
        <f>"1285685230"</f>
        <v>1285685230</v>
      </c>
      <c r="C11601" t="str">
        <f>"152W00000X"</f>
        <v>152W00000X</v>
      </c>
      <c r="D11601" t="str">
        <f>"EYE EXAMINERS INC                                 "</f>
        <v xml:space="preserve">EYE EXAMINERS INC                                 </v>
      </c>
      <c r="E11601" t="str">
        <f>"HATTIESBURG               "</f>
        <v xml:space="preserve">HATTIESBURG               </v>
      </c>
      <c r="F11601" t="str">
        <f t="shared" si="311"/>
        <v>MS</v>
      </c>
    </row>
    <row r="11602" spans="1:6" x14ac:dyDescent="0.25">
      <c r="A11602" t="str">
        <f>"006022064"</f>
        <v>006022064</v>
      </c>
      <c r="B11602" t="str">
        <f>"1457304990"</f>
        <v>1457304990</v>
      </c>
      <c r="C11602" t="str">
        <f>"2085R0202X"</f>
        <v>2085R0202X</v>
      </c>
      <c r="D11602" t="str">
        <f>"TOYE                     LEON         R           "</f>
        <v xml:space="preserve">TOYE                     LEON         R           </v>
      </c>
      <c r="E11602" t="str">
        <f>"HATTIESBURG               "</f>
        <v xml:space="preserve">HATTIESBURG               </v>
      </c>
      <c r="F11602" t="str">
        <f t="shared" si="311"/>
        <v>MS</v>
      </c>
    </row>
    <row r="11603" spans="1:6" x14ac:dyDescent="0.25">
      <c r="A11603" t="str">
        <f>"006022391"</f>
        <v>006022391</v>
      </c>
      <c r="B11603" t="str">
        <f>"1245527902"</f>
        <v>1245527902</v>
      </c>
      <c r="C11603" t="str">
        <f>"207Q00000X"</f>
        <v>207Q00000X</v>
      </c>
      <c r="D11603" t="str">
        <f>"MILLER                   LAURA        J           "</f>
        <v xml:space="preserve">MILLER                   LAURA        J           </v>
      </c>
      <c r="E11603" t="str">
        <f>"BROOKHAVEN                "</f>
        <v xml:space="preserve">BROOKHAVEN                </v>
      </c>
      <c r="F11603" t="str">
        <f t="shared" si="311"/>
        <v>MS</v>
      </c>
    </row>
    <row r="11604" spans="1:6" x14ac:dyDescent="0.25">
      <c r="A11604" t="str">
        <f>"006022503"</f>
        <v>006022503</v>
      </c>
      <c r="B11604" t="str">
        <f>"1427515816"</f>
        <v>1427515816</v>
      </c>
      <c r="C11604" t="str">
        <f>"363L00000X"</f>
        <v>363L00000X</v>
      </c>
      <c r="D11604" t="str">
        <f>"HARRIS                   LATARSHIA    S           "</f>
        <v xml:space="preserve">HARRIS                   LATARSHIA    S           </v>
      </c>
      <c r="E11604" t="str">
        <f>"JACKSON                   "</f>
        <v xml:space="preserve">JACKSON                   </v>
      </c>
      <c r="F11604" t="str">
        <f t="shared" si="311"/>
        <v>MS</v>
      </c>
    </row>
    <row r="11605" spans="1:6" x14ac:dyDescent="0.25">
      <c r="A11605" t="str">
        <f>"006022776"</f>
        <v>006022776</v>
      </c>
      <c r="B11605" t="str">
        <f>"1659355949"</f>
        <v>1659355949</v>
      </c>
      <c r="C11605" t="str">
        <f>"207R00000X"</f>
        <v>207R00000X</v>
      </c>
      <c r="D11605" t="str">
        <f>"ULLAH                    MOHAMMAD     I           "</f>
        <v xml:space="preserve">ULLAH                    MOHAMMAD     I           </v>
      </c>
      <c r="E11605" t="str">
        <f>"JACKSON                   "</f>
        <v xml:space="preserve">JACKSON                   </v>
      </c>
      <c r="F11605" t="str">
        <f t="shared" si="311"/>
        <v>MS</v>
      </c>
    </row>
    <row r="11606" spans="1:6" x14ac:dyDescent="0.25">
      <c r="A11606" t="str">
        <f>"006023540"</f>
        <v>006023540</v>
      </c>
      <c r="B11606" t="str">
        <f>"1720163066"</f>
        <v>1720163066</v>
      </c>
      <c r="C11606" t="str">
        <f>"207R00000X"</f>
        <v>207R00000X</v>
      </c>
      <c r="D11606" t="str">
        <f>"CRAIG                    THOMAS       E           "</f>
        <v xml:space="preserve">CRAIG                    THOMAS       E           </v>
      </c>
      <c r="E11606" t="str">
        <f>"NATCHEZ                   "</f>
        <v xml:space="preserve">NATCHEZ                   </v>
      </c>
      <c r="F11606" t="str">
        <f t="shared" si="311"/>
        <v>MS</v>
      </c>
    </row>
    <row r="11607" spans="1:6" x14ac:dyDescent="0.25">
      <c r="A11607" t="str">
        <f>"006026233"</f>
        <v>006026233</v>
      </c>
      <c r="B11607" t="str">
        <f>"1275892705"</f>
        <v>1275892705</v>
      </c>
      <c r="C11607" t="str">
        <f>"363L00000X"</f>
        <v>363L00000X</v>
      </c>
      <c r="D11607" t="str">
        <f>"KIMBRELL                 JILLIAN      F           "</f>
        <v xml:space="preserve">KIMBRELL                 JILLIAN      F           </v>
      </c>
      <c r="E11607" t="str">
        <f>"PASCAGOULA                "</f>
        <v xml:space="preserve">PASCAGOULA                </v>
      </c>
      <c r="F11607" t="str">
        <f t="shared" si="311"/>
        <v>MS</v>
      </c>
    </row>
    <row r="11608" spans="1:6" x14ac:dyDescent="0.25">
      <c r="A11608" t="str">
        <f>"006026855"</f>
        <v>006026855</v>
      </c>
      <c r="B11608" t="str">
        <f>"1457739997"</f>
        <v>1457739997</v>
      </c>
      <c r="C11608" t="str">
        <f>"363L00000X"</f>
        <v>363L00000X</v>
      </c>
      <c r="D11608" t="str">
        <f>"SABINS                   JOSHUA                   "</f>
        <v xml:space="preserve">SABINS                   JOSHUA                   </v>
      </c>
      <c r="E11608" t="str">
        <f>"JACKSON                   "</f>
        <v xml:space="preserve">JACKSON                   </v>
      </c>
      <c r="F11608" t="str">
        <f t="shared" si="311"/>
        <v>MS</v>
      </c>
    </row>
    <row r="11609" spans="1:6" x14ac:dyDescent="0.25">
      <c r="A11609" t="str">
        <f>"006027230"</f>
        <v>006027230</v>
      </c>
      <c r="B11609" t="str">
        <f>"1548471956"</f>
        <v>1548471956</v>
      </c>
      <c r="C11609" t="str">
        <f>"208600000X"</f>
        <v>208600000X</v>
      </c>
      <c r="D11609" t="str">
        <f>"CARROLL                  JONATHAN     D           "</f>
        <v xml:space="preserve">CARROLL                  JONATHAN     D           </v>
      </c>
      <c r="E11609" t="str">
        <f>"JACKSON                   "</f>
        <v xml:space="preserve">JACKSON                   </v>
      </c>
      <c r="F11609" t="str">
        <f t="shared" si="311"/>
        <v>MS</v>
      </c>
    </row>
    <row r="11610" spans="1:6" x14ac:dyDescent="0.25">
      <c r="A11610" t="str">
        <f>"006027878"</f>
        <v>006027878</v>
      </c>
      <c r="B11610" t="str">
        <f>"1508013293"</f>
        <v>1508013293</v>
      </c>
      <c r="C11610" t="str">
        <f>"152W00000X"</f>
        <v>152W00000X</v>
      </c>
      <c r="D11610" t="str">
        <f>"PHILLIPS                 TRACY        B           "</f>
        <v xml:space="preserve">PHILLIPS                 TRACY        B           </v>
      </c>
      <c r="E11610" t="str">
        <f>"MERIDIAN                  "</f>
        <v xml:space="preserve">MERIDIAN                  </v>
      </c>
      <c r="F11610" t="str">
        <f t="shared" si="311"/>
        <v>MS</v>
      </c>
    </row>
    <row r="11611" spans="1:6" x14ac:dyDescent="0.25">
      <c r="A11611" t="str">
        <f>"006028047"</f>
        <v>006028047</v>
      </c>
      <c r="B11611" t="str">
        <f>"1104236850"</f>
        <v>1104236850</v>
      </c>
      <c r="C11611" t="str">
        <f>"2084P0800X"</f>
        <v>2084P0800X</v>
      </c>
      <c r="D11611" t="str">
        <f>"JOHNSON                  SHAKEVIA     V           "</f>
        <v xml:space="preserve">JOHNSON                  SHAKEVIA     V           </v>
      </c>
      <c r="E11611" t="str">
        <f>"RIDGELAND                 "</f>
        <v xml:space="preserve">RIDGELAND                 </v>
      </c>
      <c r="F11611" t="str">
        <f t="shared" si="311"/>
        <v>MS</v>
      </c>
    </row>
    <row r="11612" spans="1:6" x14ac:dyDescent="0.25">
      <c r="A11612" t="str">
        <f>"006028793"</f>
        <v>006028793</v>
      </c>
      <c r="B11612" t="str">
        <f>"1730261686"</f>
        <v>1730261686</v>
      </c>
      <c r="C11612" t="str">
        <f>"207R00000X"</f>
        <v>207R00000X</v>
      </c>
      <c r="D11612" t="str">
        <f>"MUZAMMIL                 AYESHA                   "</f>
        <v xml:space="preserve">MUZAMMIL                 AYESHA                   </v>
      </c>
      <c r="E11612" t="str">
        <f>"SOUTHAVEN                 "</f>
        <v xml:space="preserve">SOUTHAVEN                 </v>
      </c>
      <c r="F11612" t="str">
        <f t="shared" si="311"/>
        <v>MS</v>
      </c>
    </row>
    <row r="11613" spans="1:6" x14ac:dyDescent="0.25">
      <c r="A11613" t="str">
        <f>"006029871"</f>
        <v>006029871</v>
      </c>
      <c r="B11613" t="str">
        <f>"1710374038"</f>
        <v>1710374038</v>
      </c>
      <c r="C11613" t="str">
        <f>"207R00000X"</f>
        <v>207R00000X</v>
      </c>
      <c r="D11613" t="str">
        <f>"BRISCOE                  MARSHALL     A           "</f>
        <v xml:space="preserve">BRISCOE                  MARSHALL     A           </v>
      </c>
      <c r="E11613" t="str">
        <f>"MADISON                   "</f>
        <v xml:space="preserve">MADISON                   </v>
      </c>
      <c r="F11613" t="str">
        <f t="shared" si="311"/>
        <v>MS</v>
      </c>
    </row>
    <row r="11614" spans="1:6" x14ac:dyDescent="0.25">
      <c r="A11614" t="str">
        <f>"006031359"</f>
        <v>006031359</v>
      </c>
      <c r="B11614" t="str">
        <f>"1699066746"</f>
        <v>1699066746</v>
      </c>
      <c r="C11614" t="str">
        <f>"261QR1300X"</f>
        <v>261QR1300X</v>
      </c>
      <c r="D11614" t="str">
        <f>"BAPTIST MEDICAL GROUP YAZOO PRIMARY               "</f>
        <v xml:space="preserve">BAPTIST MEDICAL GROUP YAZOO PRIMARY               </v>
      </c>
      <c r="E11614" t="str">
        <f>"YAZOO CITY                "</f>
        <v xml:space="preserve">YAZOO CITY                </v>
      </c>
      <c r="F11614" t="str">
        <f t="shared" si="311"/>
        <v>MS</v>
      </c>
    </row>
    <row r="11615" spans="1:6" x14ac:dyDescent="0.25">
      <c r="A11615" t="str">
        <f>"006033023"</f>
        <v>006033023</v>
      </c>
      <c r="B11615" t="str">
        <f>"1972935641"</f>
        <v>1972935641</v>
      </c>
      <c r="C11615" t="str">
        <f>"367500000X"</f>
        <v>367500000X</v>
      </c>
      <c r="D11615" t="str">
        <f>"SHANNON                  JASON                    "</f>
        <v xml:space="preserve">SHANNON                  JASON                    </v>
      </c>
      <c r="E11615" t="str">
        <f>"JACKSON                   "</f>
        <v xml:space="preserve">JACKSON                   </v>
      </c>
      <c r="F11615" t="str">
        <f t="shared" si="311"/>
        <v>MS</v>
      </c>
    </row>
    <row r="11616" spans="1:6" x14ac:dyDescent="0.25">
      <c r="A11616" t="str">
        <f>"006033800"</f>
        <v>006033800</v>
      </c>
      <c r="B11616" t="str">
        <f>"1285741983"</f>
        <v>1285741983</v>
      </c>
      <c r="C11616" t="str">
        <f>"207P00000X"</f>
        <v>207P00000X</v>
      </c>
      <c r="D11616" t="str">
        <f>"BEARRY                   JOHN                     "</f>
        <v xml:space="preserve">BEARRY                   JOHN                     </v>
      </c>
      <c r="E11616" t="str">
        <f>"GREENVILLE                "</f>
        <v xml:space="preserve">GREENVILLE                </v>
      </c>
      <c r="F11616" t="str">
        <f t="shared" si="311"/>
        <v>MS</v>
      </c>
    </row>
    <row r="11617" spans="1:6" x14ac:dyDescent="0.25">
      <c r="A11617" t="str">
        <f>"006033851"</f>
        <v>006033851</v>
      </c>
      <c r="B11617" t="str">
        <f>"1366541872"</f>
        <v>1366541872</v>
      </c>
      <c r="C11617" t="str">
        <f>"208000000X"</f>
        <v>208000000X</v>
      </c>
      <c r="D11617" t="str">
        <f>"RILEY                    JULIA        E           "</f>
        <v xml:space="preserve">RILEY                    JULIA        E           </v>
      </c>
      <c r="E11617" t="str">
        <f>"PHILADELPHIA              "</f>
        <v xml:space="preserve">PHILADELPHIA              </v>
      </c>
      <c r="F11617" t="str">
        <f t="shared" si="311"/>
        <v>MS</v>
      </c>
    </row>
    <row r="11618" spans="1:6" x14ac:dyDescent="0.25">
      <c r="A11618" t="str">
        <f>"006036719"</f>
        <v>006036719</v>
      </c>
      <c r="B11618" t="str">
        <f>"1598382640"</f>
        <v>1598382640</v>
      </c>
      <c r="C11618" t="str">
        <f>"207Q00000X"</f>
        <v>207Q00000X</v>
      </c>
      <c r="D11618" t="str">
        <f>"WILKERSON                ERIC         L           "</f>
        <v xml:space="preserve">WILKERSON                ERIC         L           </v>
      </c>
      <c r="E11618" t="str">
        <f>"GREENVILLE                "</f>
        <v xml:space="preserve">GREENVILLE                </v>
      </c>
      <c r="F11618" t="str">
        <f t="shared" si="311"/>
        <v>MS</v>
      </c>
    </row>
    <row r="11619" spans="1:6" x14ac:dyDescent="0.25">
      <c r="A11619" t="str">
        <f>"006037296"</f>
        <v>006037296</v>
      </c>
      <c r="B11619" t="str">
        <f>"1184810012"</f>
        <v>1184810012</v>
      </c>
      <c r="C11619" t="str">
        <f>"2084N0400X"</f>
        <v>2084N0400X</v>
      </c>
      <c r="D11619" t="str">
        <f>"SCARFF                   TIFFANY      A           "</f>
        <v xml:space="preserve">SCARFF                   TIFFANY      A           </v>
      </c>
      <c r="E11619" t="str">
        <f>"JACKSON                   "</f>
        <v xml:space="preserve">JACKSON                   </v>
      </c>
      <c r="F11619" t="str">
        <f t="shared" si="311"/>
        <v>MS</v>
      </c>
    </row>
    <row r="11620" spans="1:6" x14ac:dyDescent="0.25">
      <c r="A11620" t="str">
        <f>"006038715"</f>
        <v>006038715</v>
      </c>
      <c r="B11620" t="str">
        <f>"1427045038"</f>
        <v>1427045038</v>
      </c>
      <c r="C11620" t="str">
        <f>"208000000X"</f>
        <v>208000000X</v>
      </c>
      <c r="D11620" t="str">
        <f>"ROBERTSON                KENNETH      R           "</f>
        <v xml:space="preserve">ROBERTSON                KENNETH      R           </v>
      </c>
      <c r="E11620" t="str">
        <f>"SOUTHAVEN                 "</f>
        <v xml:space="preserve">SOUTHAVEN                 </v>
      </c>
      <c r="F11620" t="str">
        <f t="shared" si="311"/>
        <v>MS</v>
      </c>
    </row>
    <row r="11621" spans="1:6" x14ac:dyDescent="0.25">
      <c r="A11621" t="str">
        <f>"006050013"</f>
        <v>006050013</v>
      </c>
      <c r="B11621" t="str">
        <f>"1154483394"</f>
        <v>1154483394</v>
      </c>
      <c r="C11621" t="str">
        <f>"207RN0300X"</f>
        <v>207RN0300X</v>
      </c>
      <c r="D11621" t="str">
        <f>"BEISSEL                  CANON        J           "</f>
        <v xml:space="preserve">BEISSEL                  CANON        J           </v>
      </c>
      <c r="E11621" t="str">
        <f>"GRENADA                   "</f>
        <v xml:space="preserve">GRENADA                   </v>
      </c>
      <c r="F11621" t="str">
        <f t="shared" si="311"/>
        <v>MS</v>
      </c>
    </row>
    <row r="11622" spans="1:6" x14ac:dyDescent="0.25">
      <c r="A11622" t="str">
        <f>"006050290"</f>
        <v>006050290</v>
      </c>
      <c r="B11622" t="str">
        <f>"1013357458"</f>
        <v>1013357458</v>
      </c>
      <c r="C11622" t="str">
        <f>"207R00000X"</f>
        <v>207R00000X</v>
      </c>
      <c r="D11622" t="str">
        <f>"RUSSELL, JR              HORACE       A           "</f>
        <v xml:space="preserve">RUSSELL, JR              HORACE       A           </v>
      </c>
      <c r="E11622" t="str">
        <f>"CANTON                    "</f>
        <v xml:space="preserve">CANTON                    </v>
      </c>
      <c r="F11622" t="str">
        <f t="shared" si="311"/>
        <v>MS</v>
      </c>
    </row>
    <row r="11623" spans="1:6" x14ac:dyDescent="0.25">
      <c r="A11623" t="str">
        <f>"006052338"</f>
        <v>006052338</v>
      </c>
      <c r="B11623" t="str">
        <f>"1154097152"</f>
        <v>1154097152</v>
      </c>
      <c r="C11623" t="str">
        <f>"363L00000X"</f>
        <v>363L00000X</v>
      </c>
      <c r="D11623" t="str">
        <f>"ELKIN                    ERICA                    "</f>
        <v xml:space="preserve">ELKIN                    ERICA                    </v>
      </c>
      <c r="E11623" t="str">
        <f>"COLUMBUS                  "</f>
        <v xml:space="preserve">COLUMBUS                  </v>
      </c>
      <c r="F11623" t="str">
        <f t="shared" si="311"/>
        <v>MS</v>
      </c>
    </row>
    <row r="11624" spans="1:6" x14ac:dyDescent="0.25">
      <c r="A11624" t="str">
        <f>"006052789"</f>
        <v>006052789</v>
      </c>
      <c r="B11624" t="str">
        <f>"1740744572"</f>
        <v>1740744572</v>
      </c>
      <c r="C11624" t="str">
        <f>"363L00000X"</f>
        <v>363L00000X</v>
      </c>
      <c r="D11624" t="str">
        <f>"SMITH                    KLANCIE      A           "</f>
        <v xml:space="preserve">SMITH                    KLANCIE      A           </v>
      </c>
      <c r="E11624" t="str">
        <f>"COLUMBUS                  "</f>
        <v xml:space="preserve">COLUMBUS                  </v>
      </c>
      <c r="F11624" t="str">
        <f t="shared" si="311"/>
        <v>MS</v>
      </c>
    </row>
    <row r="11625" spans="1:6" x14ac:dyDescent="0.25">
      <c r="A11625" t="str">
        <f>"006052845"</f>
        <v>006052845</v>
      </c>
      <c r="B11625" t="str">
        <f>"1780089649"</f>
        <v>1780089649</v>
      </c>
      <c r="C11625" t="str">
        <f>"363LF0000X"</f>
        <v>363LF0000X</v>
      </c>
      <c r="D11625" t="str">
        <f>"COLLINS                  LATASHA      M           "</f>
        <v xml:space="preserve">COLLINS                  LATASHA      M           </v>
      </c>
      <c r="E11625" t="str">
        <f>"JACKSON                   "</f>
        <v xml:space="preserve">JACKSON                   </v>
      </c>
      <c r="F11625" t="str">
        <f t="shared" si="311"/>
        <v>MS</v>
      </c>
    </row>
    <row r="11626" spans="1:6" x14ac:dyDescent="0.25">
      <c r="A11626" t="str">
        <f>"006057749"</f>
        <v>006057749</v>
      </c>
      <c r="B11626" t="str">
        <f>"1760645246"</f>
        <v>1760645246</v>
      </c>
      <c r="C11626" t="str">
        <f>"207P00000X"</f>
        <v>207P00000X</v>
      </c>
      <c r="D11626" t="str">
        <f>"MYERS                    JESSICA      L           "</f>
        <v xml:space="preserve">MYERS                    JESSICA      L           </v>
      </c>
      <c r="E11626" t="str">
        <f>"PHILADELPHIA              "</f>
        <v xml:space="preserve">PHILADELPHIA              </v>
      </c>
      <c r="F11626" t="str">
        <f t="shared" si="311"/>
        <v>MS</v>
      </c>
    </row>
    <row r="11627" spans="1:6" x14ac:dyDescent="0.25">
      <c r="A11627" t="str">
        <f>"006058352"</f>
        <v>006058352</v>
      </c>
      <c r="B11627" t="str">
        <f>"1417186974"</f>
        <v>1417186974</v>
      </c>
      <c r="C11627" t="str">
        <f>"207P00000X"</f>
        <v>207P00000X</v>
      </c>
      <c r="D11627" t="str">
        <f>"ROBERTSON                BROWN                    "</f>
        <v xml:space="preserve">ROBERTSON                BROWN                    </v>
      </c>
      <c r="E11627" t="str">
        <f>"OLIVE BRANCH              "</f>
        <v xml:space="preserve">OLIVE BRANCH              </v>
      </c>
      <c r="F11627" t="str">
        <f t="shared" si="311"/>
        <v>MS</v>
      </c>
    </row>
    <row r="11628" spans="1:6" x14ac:dyDescent="0.25">
      <c r="A11628" t="str">
        <f>"006059293"</f>
        <v>006059293</v>
      </c>
      <c r="B11628" t="str">
        <f>"1396200408"</f>
        <v>1396200408</v>
      </c>
      <c r="C11628" t="str">
        <f>"363L00000X"</f>
        <v>363L00000X</v>
      </c>
      <c r="D11628" t="str">
        <f>"NABORS                   PAIGE                    "</f>
        <v xml:space="preserve">NABORS                   PAIGE                    </v>
      </c>
      <c r="E11628" t="str">
        <f>"TUPELO                    "</f>
        <v xml:space="preserve">TUPELO                    </v>
      </c>
      <c r="F11628" t="str">
        <f t="shared" si="311"/>
        <v>MS</v>
      </c>
    </row>
    <row r="11629" spans="1:6" x14ac:dyDescent="0.25">
      <c r="A11629" t="str">
        <f>"006071313"</f>
        <v>006071313</v>
      </c>
      <c r="B11629" t="str">
        <f>"1881293371"</f>
        <v>1881293371</v>
      </c>
      <c r="C11629" t="str">
        <f>"363L00000X"</f>
        <v>363L00000X</v>
      </c>
      <c r="D11629" t="str">
        <f>"FERNANDEZ                HANNA        S           "</f>
        <v xml:space="preserve">FERNANDEZ                HANNA        S           </v>
      </c>
      <c r="E11629" t="str">
        <f>"GULFPORT                  "</f>
        <v xml:space="preserve">GULFPORT                  </v>
      </c>
      <c r="F11629" t="str">
        <f t="shared" si="311"/>
        <v>MS</v>
      </c>
    </row>
    <row r="11630" spans="1:6" x14ac:dyDescent="0.25">
      <c r="A11630" t="str">
        <f>"006071341"</f>
        <v>006071341</v>
      </c>
      <c r="B11630" t="str">
        <f>"1538167564"</f>
        <v>1538167564</v>
      </c>
      <c r="C11630" t="str">
        <f>"261QF0400X"</f>
        <v>261QF0400X</v>
      </c>
      <c r="D11630" t="str">
        <f>"QUITMAN COUNTY SCHOOL BASED CLINIC                "</f>
        <v xml:space="preserve">QUITMAN COUNTY SCHOOL BASED CLINIC                </v>
      </c>
      <c r="E11630" t="str">
        <f>"MARKS                     "</f>
        <v xml:space="preserve">MARKS                     </v>
      </c>
      <c r="F11630" t="str">
        <f t="shared" si="311"/>
        <v>MS</v>
      </c>
    </row>
    <row r="11631" spans="1:6" x14ac:dyDescent="0.25">
      <c r="A11631" t="str">
        <f>"006073789"</f>
        <v>006073789</v>
      </c>
      <c r="B11631" t="str">
        <f>"1225532450"</f>
        <v>1225532450</v>
      </c>
      <c r="C11631" t="str">
        <f>"363L00000X"</f>
        <v>363L00000X</v>
      </c>
      <c r="D11631" t="str">
        <f>"STIFF                    TABITHA      N           "</f>
        <v xml:space="preserve">STIFF                    TABITHA      N           </v>
      </c>
      <c r="E11631" t="str">
        <f>"VICKSBURG                 "</f>
        <v xml:space="preserve">VICKSBURG                 </v>
      </c>
      <c r="F11631" t="str">
        <f t="shared" si="311"/>
        <v>MS</v>
      </c>
    </row>
    <row r="11632" spans="1:6" x14ac:dyDescent="0.25">
      <c r="A11632" t="str">
        <f>"006074260"</f>
        <v>006074260</v>
      </c>
      <c r="B11632" t="str">
        <f>"1881645281"</f>
        <v>1881645281</v>
      </c>
      <c r="C11632" t="str">
        <f>"367500000X"</f>
        <v>367500000X</v>
      </c>
      <c r="D11632" t="str">
        <f>"HODGSON                  GEOFFREY     R           "</f>
        <v xml:space="preserve">HODGSON                  GEOFFREY     R           </v>
      </c>
      <c r="E11632" t="str">
        <f>"BROOKHAVEN                "</f>
        <v xml:space="preserve">BROOKHAVEN                </v>
      </c>
      <c r="F11632" t="str">
        <f t="shared" si="311"/>
        <v>MS</v>
      </c>
    </row>
    <row r="11633" spans="1:6" x14ac:dyDescent="0.25">
      <c r="A11633" t="str">
        <f>"006074350"</f>
        <v>006074350</v>
      </c>
      <c r="B11633" t="str">
        <f>"1184081234"</f>
        <v>1184081234</v>
      </c>
      <c r="C11633" t="str">
        <f>"363A00000X"</f>
        <v>363A00000X</v>
      </c>
      <c r="D11633" t="str">
        <f>"DAVIS                    TAMMY        S           "</f>
        <v xml:space="preserve">DAVIS                    TAMMY        S           </v>
      </c>
      <c r="E11633" t="str">
        <f>"JACKSON                   "</f>
        <v xml:space="preserve">JACKSON                   </v>
      </c>
      <c r="F11633" t="str">
        <f t="shared" si="311"/>
        <v>MS</v>
      </c>
    </row>
    <row r="11634" spans="1:6" x14ac:dyDescent="0.25">
      <c r="A11634" t="str">
        <f>"006075021"</f>
        <v>006075021</v>
      </c>
      <c r="B11634" t="str">
        <f>"1114110996"</f>
        <v>1114110996</v>
      </c>
      <c r="C11634" t="str">
        <f>"152W00000X"</f>
        <v>152W00000X</v>
      </c>
      <c r="D11634" t="str">
        <f>"ANGELA M THOMAS OD INC                            "</f>
        <v xml:space="preserve">ANGELA M THOMAS OD INC                            </v>
      </c>
      <c r="E11634" t="str">
        <f>"KOSCIUSKO                 "</f>
        <v xml:space="preserve">KOSCIUSKO                 </v>
      </c>
      <c r="F11634" t="str">
        <f t="shared" si="311"/>
        <v>MS</v>
      </c>
    </row>
    <row r="11635" spans="1:6" x14ac:dyDescent="0.25">
      <c r="A11635" t="str">
        <f>"006075268"</f>
        <v>006075268</v>
      </c>
      <c r="B11635" t="str">
        <f>"1114980042"</f>
        <v>1114980042</v>
      </c>
      <c r="C11635" t="str">
        <f>"207Q00000X"</f>
        <v>207Q00000X</v>
      </c>
      <c r="D11635" t="str">
        <f>"PRATT                    HEIDI        D           "</f>
        <v xml:space="preserve">PRATT                    HEIDI        D           </v>
      </c>
      <c r="E11635" t="str">
        <f>"WATER VALLEY              "</f>
        <v xml:space="preserve">WATER VALLEY              </v>
      </c>
      <c r="F11635" t="str">
        <f t="shared" si="311"/>
        <v>MS</v>
      </c>
    </row>
    <row r="11636" spans="1:6" x14ac:dyDescent="0.25">
      <c r="A11636" t="str">
        <f>"006076788"</f>
        <v>006076788</v>
      </c>
      <c r="B11636" t="str">
        <f>"1740500958"</f>
        <v>1740500958</v>
      </c>
      <c r="C11636" t="str">
        <f>"208VP0014X"</f>
        <v>208VP0014X</v>
      </c>
      <c r="D11636" t="str">
        <f>"TUCKER                   JOSHUA       E           "</f>
        <v xml:space="preserve">TUCKER                   JOSHUA       E           </v>
      </c>
      <c r="E11636" t="str">
        <f>"PASCAGOULA                "</f>
        <v xml:space="preserve">PASCAGOULA                </v>
      </c>
      <c r="F11636" t="str">
        <f t="shared" si="311"/>
        <v>MS</v>
      </c>
    </row>
    <row r="11637" spans="1:6" x14ac:dyDescent="0.25">
      <c r="A11637" t="str">
        <f>"006079813"</f>
        <v>006079813</v>
      </c>
      <c r="B11637" t="str">
        <f>"1164815007"</f>
        <v>1164815007</v>
      </c>
      <c r="C11637" t="str">
        <f>"363L00000X"</f>
        <v>363L00000X</v>
      </c>
      <c r="D11637" t="str">
        <f>"BESSONETTE               ELLANIE      L           "</f>
        <v xml:space="preserve">BESSONETTE               ELLANIE      L           </v>
      </c>
      <c r="E11637" t="str">
        <f>"BROOKHAVEN                "</f>
        <v xml:space="preserve">BROOKHAVEN                </v>
      </c>
      <c r="F11637" t="str">
        <f t="shared" si="311"/>
        <v>MS</v>
      </c>
    </row>
    <row r="11638" spans="1:6" x14ac:dyDescent="0.25">
      <c r="A11638" t="str">
        <f>"006082500"</f>
        <v>006082500</v>
      </c>
      <c r="B11638" t="str">
        <f>"1902379795"</f>
        <v>1902379795</v>
      </c>
      <c r="C11638" t="str">
        <f>"363L00000X"</f>
        <v>363L00000X</v>
      </c>
      <c r="D11638" t="str">
        <f>"ROGERS                   KALI         D           "</f>
        <v xml:space="preserve">ROGERS                   KALI         D           </v>
      </c>
      <c r="E11638" t="str">
        <f>"LOUISVILLE                "</f>
        <v xml:space="preserve">LOUISVILLE                </v>
      </c>
      <c r="F11638" t="str">
        <f t="shared" si="311"/>
        <v>MS</v>
      </c>
    </row>
    <row r="11639" spans="1:6" x14ac:dyDescent="0.25">
      <c r="A11639" t="str">
        <f>"006082519"</f>
        <v>006082519</v>
      </c>
      <c r="B11639" t="str">
        <f>"1992861298"</f>
        <v>1992861298</v>
      </c>
      <c r="C11639" t="str">
        <f>"367500000X"</f>
        <v>367500000X</v>
      </c>
      <c r="D11639" t="str">
        <f>"KING                     MICHAEL      S           "</f>
        <v xml:space="preserve">KING                     MICHAEL      S           </v>
      </c>
      <c r="E11639" t="str">
        <f>"FLOWOOD                   "</f>
        <v xml:space="preserve">FLOWOOD                   </v>
      </c>
      <c r="F11639" t="str">
        <f t="shared" si="311"/>
        <v>MS</v>
      </c>
    </row>
    <row r="11640" spans="1:6" x14ac:dyDescent="0.25">
      <c r="A11640" t="str">
        <f>"006082527"</f>
        <v>006082527</v>
      </c>
      <c r="B11640" t="str">
        <f>"1164841201"</f>
        <v>1164841201</v>
      </c>
      <c r="C11640" t="str">
        <f>"207P00000X"</f>
        <v>207P00000X</v>
      </c>
      <c r="D11640" t="str">
        <f>"HOLLAND                  BENJAMIN     D           "</f>
        <v xml:space="preserve">HOLLAND                  BENJAMIN     D           </v>
      </c>
      <c r="E11640" t="str">
        <f>"OCEAN SPRINGS             "</f>
        <v xml:space="preserve">OCEAN SPRINGS             </v>
      </c>
      <c r="F11640" t="str">
        <f t="shared" si="311"/>
        <v>MS</v>
      </c>
    </row>
    <row r="11641" spans="1:6" x14ac:dyDescent="0.25">
      <c r="A11641" t="str">
        <f>"006082706"</f>
        <v>006082706</v>
      </c>
      <c r="B11641" t="str">
        <f>"1356493951"</f>
        <v>1356493951</v>
      </c>
      <c r="C11641" t="str">
        <f>"207Q00000X"</f>
        <v>207Q00000X</v>
      </c>
      <c r="D11641" t="str">
        <f>"BOYETTE                  KRISTA       L           "</f>
        <v xml:space="preserve">BOYETTE                  KRISTA       L           </v>
      </c>
      <c r="E11641" t="str">
        <f>"PHILADELPHIA              "</f>
        <v xml:space="preserve">PHILADELPHIA              </v>
      </c>
      <c r="F11641" t="str">
        <f t="shared" si="311"/>
        <v>MS</v>
      </c>
    </row>
    <row r="11642" spans="1:6" x14ac:dyDescent="0.25">
      <c r="A11642" t="str">
        <f>"006084099"</f>
        <v>006084099</v>
      </c>
      <c r="B11642" t="str">
        <f>"1104293463"</f>
        <v>1104293463</v>
      </c>
      <c r="C11642" t="str">
        <f>"363L00000X"</f>
        <v>363L00000X</v>
      </c>
      <c r="D11642" t="str">
        <f>"MYERS                    BRADLEY      M           "</f>
        <v xml:space="preserve">MYERS                    BRADLEY      M           </v>
      </c>
      <c r="E11642" t="str">
        <f>"HATTIESBURG               "</f>
        <v xml:space="preserve">HATTIESBURG               </v>
      </c>
      <c r="F11642" t="str">
        <f t="shared" si="311"/>
        <v>MS</v>
      </c>
    </row>
    <row r="11643" spans="1:6" x14ac:dyDescent="0.25">
      <c r="A11643" t="str">
        <f>"006084255"</f>
        <v>006084255</v>
      </c>
      <c r="B11643" t="str">
        <f>"1700132545"</f>
        <v>1700132545</v>
      </c>
      <c r="C11643" t="str">
        <f>"208600000X"</f>
        <v>208600000X</v>
      </c>
      <c r="D11643" t="str">
        <f>"HALL                     JOHN         J           "</f>
        <v xml:space="preserve">HALL                     JOHN         J           </v>
      </c>
      <c r="E11643" t="str">
        <f>"PASCAGOULA                "</f>
        <v xml:space="preserve">PASCAGOULA                </v>
      </c>
      <c r="F11643" t="str">
        <f t="shared" si="311"/>
        <v>MS</v>
      </c>
    </row>
    <row r="11644" spans="1:6" x14ac:dyDescent="0.25">
      <c r="A11644" t="str">
        <f>"006085387"</f>
        <v>006085387</v>
      </c>
      <c r="B11644" t="str">
        <f>"1346521119"</f>
        <v>1346521119</v>
      </c>
      <c r="C11644" t="str">
        <f>"152W00000X"</f>
        <v>152W00000X</v>
      </c>
      <c r="D11644" t="str">
        <f>"BELLIPANNI               MATTHEW      B           "</f>
        <v xml:space="preserve">BELLIPANNI               MATTHEW      B           </v>
      </c>
      <c r="E11644" t="str">
        <f>"INDIANOLA                 "</f>
        <v xml:space="preserve">INDIANOLA                 </v>
      </c>
      <c r="F11644" t="str">
        <f t="shared" si="311"/>
        <v>MS</v>
      </c>
    </row>
    <row r="11645" spans="1:6" x14ac:dyDescent="0.25">
      <c r="A11645" t="str">
        <f>"006085766"</f>
        <v>006085766</v>
      </c>
      <c r="B11645" t="str">
        <f>"1952406589"</f>
        <v>1952406589</v>
      </c>
      <c r="C11645" t="str">
        <f>"208000000X"</f>
        <v>208000000X</v>
      </c>
      <c r="D11645" t="str">
        <f>"GRISHAM                  JENNIFER     L           "</f>
        <v xml:space="preserve">GRISHAM                  JENNIFER     L           </v>
      </c>
      <c r="E11645" t="str">
        <f>"TUPELO                    "</f>
        <v xml:space="preserve">TUPELO                    </v>
      </c>
      <c r="F11645" t="str">
        <f t="shared" si="311"/>
        <v>MS</v>
      </c>
    </row>
    <row r="11646" spans="1:6" x14ac:dyDescent="0.25">
      <c r="A11646" t="str">
        <f>"006085870"</f>
        <v>006085870</v>
      </c>
      <c r="B11646" t="str">
        <f>"1578979852"</f>
        <v>1578979852</v>
      </c>
      <c r="C11646" t="str">
        <f>"363L00000X"</f>
        <v>363L00000X</v>
      </c>
      <c r="D11646" t="str">
        <f>"GAUDET ESTAY             TARA                     "</f>
        <v xml:space="preserve">GAUDET ESTAY             TARA                     </v>
      </c>
      <c r="E11646" t="str">
        <f>"MCCOMB                    "</f>
        <v xml:space="preserve">MCCOMB                    </v>
      </c>
      <c r="F11646" t="str">
        <f t="shared" ref="F11646:F11709" si="312">"MS"</f>
        <v>MS</v>
      </c>
    </row>
    <row r="11647" spans="1:6" x14ac:dyDescent="0.25">
      <c r="A11647" t="str">
        <f>"006087068"</f>
        <v>006087068</v>
      </c>
      <c r="B11647" t="str">
        <f>"1073903894"</f>
        <v>1073903894</v>
      </c>
      <c r="C11647" t="str">
        <f>"363L00000X"</f>
        <v>363L00000X</v>
      </c>
      <c r="D11647" t="str">
        <f>"TOUCHSTONE               ERIN                     "</f>
        <v xml:space="preserve">TOUCHSTONE               ERIN                     </v>
      </c>
      <c r="E11647" t="str">
        <f>"BRANDON                   "</f>
        <v xml:space="preserve">BRANDON                   </v>
      </c>
      <c r="F11647" t="str">
        <f t="shared" si="312"/>
        <v>MS</v>
      </c>
    </row>
    <row r="11648" spans="1:6" x14ac:dyDescent="0.25">
      <c r="A11648" t="str">
        <f>"006087316"</f>
        <v>006087316</v>
      </c>
      <c r="B11648" t="str">
        <f>"1689864662"</f>
        <v>1689864662</v>
      </c>
      <c r="C11648" t="str">
        <f>"122300000X"</f>
        <v>122300000X</v>
      </c>
      <c r="D11648" t="str">
        <f>"SUNNYBROOK DENTISTRY                              "</f>
        <v xml:space="preserve">SUNNYBROOK DENTISTRY                              </v>
      </c>
      <c r="E11648" t="str">
        <f>"JACKSON                   "</f>
        <v xml:space="preserve">JACKSON                   </v>
      </c>
      <c r="F11648" t="str">
        <f t="shared" si="312"/>
        <v>MS</v>
      </c>
    </row>
    <row r="11649" spans="1:6" x14ac:dyDescent="0.25">
      <c r="A11649" t="str">
        <f>"006088001"</f>
        <v>006088001</v>
      </c>
      <c r="B11649" t="str">
        <f>"1871690180"</f>
        <v>1871690180</v>
      </c>
      <c r="C11649" t="str">
        <f>"2080P0201X"</f>
        <v>2080P0201X</v>
      </c>
      <c r="D11649" t="str">
        <f>"SCHMIDT                  LINDA        G           "</f>
        <v xml:space="preserve">SCHMIDT                  LINDA        G           </v>
      </c>
      <c r="E11649" t="str">
        <f>"JACKSON                   "</f>
        <v xml:space="preserve">JACKSON                   </v>
      </c>
      <c r="F11649" t="str">
        <f t="shared" si="312"/>
        <v>MS</v>
      </c>
    </row>
    <row r="11650" spans="1:6" x14ac:dyDescent="0.25">
      <c r="A11650" t="str">
        <f>"006088754"</f>
        <v>006088754</v>
      </c>
      <c r="B11650" t="str">
        <f>"1427580570"</f>
        <v>1427580570</v>
      </c>
      <c r="C11650" t="str">
        <f>"207P00000X"</f>
        <v>207P00000X</v>
      </c>
      <c r="D11650" t="str">
        <f>"SPEAR                    MEAGAN                   "</f>
        <v xml:space="preserve">SPEAR                    MEAGAN                   </v>
      </c>
      <c r="E11650" t="str">
        <f>"GULFPORT                  "</f>
        <v xml:space="preserve">GULFPORT                  </v>
      </c>
      <c r="F11650" t="str">
        <f t="shared" si="312"/>
        <v>MS</v>
      </c>
    </row>
    <row r="11651" spans="1:6" x14ac:dyDescent="0.25">
      <c r="A11651" t="str">
        <f>"006089381"</f>
        <v>006089381</v>
      </c>
      <c r="B11651" t="str">
        <f>"1902434491"</f>
        <v>1902434491</v>
      </c>
      <c r="C11651" t="str">
        <f>"207P00000X"</f>
        <v>207P00000X</v>
      </c>
      <c r="D11651" t="str">
        <f>"ARAIN                    UNSA                     "</f>
        <v xml:space="preserve">ARAIN                    UNSA                     </v>
      </c>
      <c r="E11651" t="str">
        <f>"JACKSON                   "</f>
        <v xml:space="preserve">JACKSON                   </v>
      </c>
      <c r="F11651" t="str">
        <f t="shared" si="312"/>
        <v>MS</v>
      </c>
    </row>
    <row r="11652" spans="1:6" x14ac:dyDescent="0.25">
      <c r="A11652" t="str">
        <f>"006089890"</f>
        <v>006089890</v>
      </c>
      <c r="B11652" t="str">
        <f>"1295374312"</f>
        <v>1295374312</v>
      </c>
      <c r="C11652" t="str">
        <f>"363L00000X"</f>
        <v>363L00000X</v>
      </c>
      <c r="D11652" t="str">
        <f>"SANDERS                  ADREECE                  "</f>
        <v xml:space="preserve">SANDERS                  ADREECE                  </v>
      </c>
      <c r="E11652" t="str">
        <f>"MCCOMB                    "</f>
        <v xml:space="preserve">MCCOMB                    </v>
      </c>
      <c r="F11652" t="str">
        <f t="shared" si="312"/>
        <v>MS</v>
      </c>
    </row>
    <row r="11653" spans="1:6" x14ac:dyDescent="0.25">
      <c r="A11653" t="str">
        <f>"006100885"</f>
        <v>006100885</v>
      </c>
      <c r="B11653" t="str">
        <f>"1306370648"</f>
        <v>1306370648</v>
      </c>
      <c r="C11653" t="str">
        <f>"363L00000X"</f>
        <v>363L00000X</v>
      </c>
      <c r="D11653" t="str">
        <f>"SUDDUTH                  ASHLEY                   "</f>
        <v xml:space="preserve">SUDDUTH                  ASHLEY                   </v>
      </c>
      <c r="E11653" t="str">
        <f>"RIDGELAND                 "</f>
        <v xml:space="preserve">RIDGELAND                 </v>
      </c>
      <c r="F11653" t="str">
        <f t="shared" si="312"/>
        <v>MS</v>
      </c>
    </row>
    <row r="11654" spans="1:6" x14ac:dyDescent="0.25">
      <c r="A11654" t="str">
        <f>"006100886"</f>
        <v>006100886</v>
      </c>
      <c r="B11654" t="str">
        <f>"1578958468"</f>
        <v>1578958468</v>
      </c>
      <c r="C11654" t="str">
        <f>"208000000X"</f>
        <v>208000000X</v>
      </c>
      <c r="D11654" t="str">
        <f>"COUSIN                   JOSHUA                   "</f>
        <v xml:space="preserve">COUSIN                   JOSHUA                   </v>
      </c>
      <c r="E11654" t="str">
        <f>"JACKSON                   "</f>
        <v xml:space="preserve">JACKSON                   </v>
      </c>
      <c r="F11654" t="str">
        <f t="shared" si="312"/>
        <v>MS</v>
      </c>
    </row>
    <row r="11655" spans="1:6" x14ac:dyDescent="0.25">
      <c r="A11655" t="str">
        <f>"006101246"</f>
        <v>006101246</v>
      </c>
      <c r="B11655" t="str">
        <f>"1255625463"</f>
        <v>1255625463</v>
      </c>
      <c r="C11655" t="str">
        <f>"207P00000X"</f>
        <v>207P00000X</v>
      </c>
      <c r="D11655" t="str">
        <f>"WOFFORD III              JOHN         D           "</f>
        <v xml:space="preserve">WOFFORD III              JOHN         D           </v>
      </c>
      <c r="E11655" t="str">
        <f>"JACKSON                   "</f>
        <v xml:space="preserve">JACKSON                   </v>
      </c>
      <c r="F11655" t="str">
        <f t="shared" si="312"/>
        <v>MS</v>
      </c>
    </row>
    <row r="11656" spans="1:6" x14ac:dyDescent="0.25">
      <c r="A11656" t="str">
        <f>"006102596"</f>
        <v>006102596</v>
      </c>
      <c r="B11656" t="str">
        <f>"1003125873"</f>
        <v>1003125873</v>
      </c>
      <c r="C11656" t="str">
        <f>"367500000X"</f>
        <v>367500000X</v>
      </c>
      <c r="D11656" t="str">
        <f>"ABEL                     LAUREN       E           "</f>
        <v xml:space="preserve">ABEL                     LAUREN       E           </v>
      </c>
      <c r="E11656" t="str">
        <f>"TUPELO                    "</f>
        <v xml:space="preserve">TUPELO                    </v>
      </c>
      <c r="F11656" t="str">
        <f t="shared" si="312"/>
        <v>MS</v>
      </c>
    </row>
    <row r="11657" spans="1:6" x14ac:dyDescent="0.25">
      <c r="A11657" t="str">
        <f>"006105593"</f>
        <v>006105593</v>
      </c>
      <c r="B11657" t="str">
        <f>"1144301458"</f>
        <v>1144301458</v>
      </c>
      <c r="C11657" t="str">
        <f>"363A00000X"</f>
        <v>363A00000X</v>
      </c>
      <c r="D11657" t="str">
        <f>"LARSEN                   ASHLEY       J           "</f>
        <v xml:space="preserve">LARSEN                   ASHLEY       J           </v>
      </c>
      <c r="E11657" t="str">
        <f>"OCEAN SPRINGS             "</f>
        <v xml:space="preserve">OCEAN SPRINGS             </v>
      </c>
      <c r="F11657" t="str">
        <f t="shared" si="312"/>
        <v>MS</v>
      </c>
    </row>
    <row r="11658" spans="1:6" x14ac:dyDescent="0.25">
      <c r="A11658" t="str">
        <f>"006105744"</f>
        <v>006105744</v>
      </c>
      <c r="B11658" t="str">
        <f>"1578009809"</f>
        <v>1578009809</v>
      </c>
      <c r="C11658" t="str">
        <f>"367500000X"</f>
        <v>367500000X</v>
      </c>
      <c r="D11658" t="str">
        <f>"SLOAN                    BRENNON      W           "</f>
        <v xml:space="preserve">SLOAN                    BRENNON      W           </v>
      </c>
      <c r="E11658" t="str">
        <f>"JACKSON                   "</f>
        <v xml:space="preserve">JACKSON                   </v>
      </c>
      <c r="F11658" t="str">
        <f t="shared" si="312"/>
        <v>MS</v>
      </c>
    </row>
    <row r="11659" spans="1:6" x14ac:dyDescent="0.25">
      <c r="A11659" t="str">
        <f>"006107004"</f>
        <v>006107004</v>
      </c>
      <c r="B11659" t="str">
        <f>"1144789801"</f>
        <v>1144789801</v>
      </c>
      <c r="C11659" t="str">
        <f>"363A00000X"</f>
        <v>363A00000X</v>
      </c>
      <c r="D11659" t="str">
        <f>"BURRIS                   LAURA        L           "</f>
        <v xml:space="preserve">BURRIS                   LAURA        L           </v>
      </c>
      <c r="E11659" t="str">
        <f>"JACKSON                   "</f>
        <v xml:space="preserve">JACKSON                   </v>
      </c>
      <c r="F11659" t="str">
        <f t="shared" si="312"/>
        <v>MS</v>
      </c>
    </row>
    <row r="11660" spans="1:6" x14ac:dyDescent="0.25">
      <c r="A11660" t="str">
        <f>"006107379"</f>
        <v>006107379</v>
      </c>
      <c r="B11660" t="str">
        <f>"1679769657"</f>
        <v>1679769657</v>
      </c>
      <c r="C11660" t="str">
        <f>"363L00000X"</f>
        <v>363L00000X</v>
      </c>
      <c r="D11660" t="str">
        <f>"RUSSELL                  REBECCA      H           "</f>
        <v xml:space="preserve">RUSSELL                  REBECCA      H           </v>
      </c>
      <c r="E11660" t="str">
        <f>"JACKSON                   "</f>
        <v xml:space="preserve">JACKSON                   </v>
      </c>
      <c r="F11660" t="str">
        <f t="shared" si="312"/>
        <v>MS</v>
      </c>
    </row>
    <row r="11661" spans="1:6" x14ac:dyDescent="0.25">
      <c r="A11661" t="str">
        <f>"006108051"</f>
        <v>006108051</v>
      </c>
      <c r="B11661" t="str">
        <f>"1457389140"</f>
        <v>1457389140</v>
      </c>
      <c r="C11661" t="str">
        <f>"207P00000X"</f>
        <v>207P00000X</v>
      </c>
      <c r="D11661" t="str">
        <f>"JENNINGS                 JOHN         C           "</f>
        <v xml:space="preserve">JENNINGS                 JOHN         C           </v>
      </c>
      <c r="E11661" t="str">
        <f>"HATTIESBURG               "</f>
        <v xml:space="preserve">HATTIESBURG               </v>
      </c>
      <c r="F11661" t="str">
        <f t="shared" si="312"/>
        <v>MS</v>
      </c>
    </row>
    <row r="11662" spans="1:6" x14ac:dyDescent="0.25">
      <c r="A11662" t="str">
        <f>"006109360"</f>
        <v>006109360</v>
      </c>
      <c r="B11662" t="str">
        <f>"1679750525"</f>
        <v>1679750525</v>
      </c>
      <c r="C11662" t="str">
        <f>"367500000X"</f>
        <v>367500000X</v>
      </c>
      <c r="D11662" t="str">
        <f>"DAVIS                    JAMES        C           "</f>
        <v xml:space="preserve">DAVIS                    JAMES        C           </v>
      </c>
      <c r="E11662" t="str">
        <f>"JACKSON                   "</f>
        <v xml:space="preserve">JACKSON                   </v>
      </c>
      <c r="F11662" t="str">
        <f t="shared" si="312"/>
        <v>MS</v>
      </c>
    </row>
    <row r="11663" spans="1:6" x14ac:dyDescent="0.25">
      <c r="A11663" t="str">
        <f>"006120031"</f>
        <v>006120031</v>
      </c>
      <c r="B11663" t="str">
        <f>"1982978607"</f>
        <v>1982978607</v>
      </c>
      <c r="C11663" t="str">
        <f>"363L00000X"</f>
        <v>363L00000X</v>
      </c>
      <c r="D11663" t="str">
        <f>"WHEELOCK                 KRISTEN      E           "</f>
        <v xml:space="preserve">WHEELOCK                 KRISTEN      E           </v>
      </c>
      <c r="E11663" t="str">
        <f>"GULFPORT                  "</f>
        <v xml:space="preserve">GULFPORT                  </v>
      </c>
      <c r="F11663" t="str">
        <f t="shared" si="312"/>
        <v>MS</v>
      </c>
    </row>
    <row r="11664" spans="1:6" x14ac:dyDescent="0.25">
      <c r="A11664" t="str">
        <f>"006122352"</f>
        <v>006122352</v>
      </c>
      <c r="B11664" t="str">
        <f>"1104056415"</f>
        <v>1104056415</v>
      </c>
      <c r="C11664" t="str">
        <f>"207P00000X"</f>
        <v>207P00000X</v>
      </c>
      <c r="D11664" t="str">
        <f>"NICHOLS III              JAMES        R           "</f>
        <v xml:space="preserve">NICHOLS III              JAMES        R           </v>
      </c>
      <c r="E11664" t="str">
        <f>"JACKSON                   "</f>
        <v xml:space="preserve">JACKSON                   </v>
      </c>
      <c r="F11664" t="str">
        <f t="shared" si="312"/>
        <v>MS</v>
      </c>
    </row>
    <row r="11665" spans="1:6" x14ac:dyDescent="0.25">
      <c r="A11665" t="str">
        <f>"006122531"</f>
        <v>006122531</v>
      </c>
      <c r="B11665" t="str">
        <f>"1508313446"</f>
        <v>1508313446</v>
      </c>
      <c r="C11665" t="str">
        <f>"363L00000X"</f>
        <v>363L00000X</v>
      </c>
      <c r="D11665" t="str">
        <f>"FOXWORTH                 LORI         S           "</f>
        <v xml:space="preserve">FOXWORTH                 LORI         S           </v>
      </c>
      <c r="E11665" t="str">
        <f>"HATTIESBURG               "</f>
        <v xml:space="preserve">HATTIESBURG               </v>
      </c>
      <c r="F11665" t="str">
        <f t="shared" si="312"/>
        <v>MS</v>
      </c>
    </row>
    <row r="11666" spans="1:6" x14ac:dyDescent="0.25">
      <c r="A11666" t="str">
        <f>"006122731"</f>
        <v>006122731</v>
      </c>
      <c r="B11666" t="str">
        <f>"1760447056"</f>
        <v>1760447056</v>
      </c>
      <c r="C11666" t="str">
        <f>"208000000X"</f>
        <v>208000000X</v>
      </c>
      <c r="D11666" t="str">
        <f>"MYERS                    ALICE        H           "</f>
        <v xml:space="preserve">MYERS                    ALICE        H           </v>
      </c>
      <c r="E11666" t="str">
        <f>"HATTIESBURG               "</f>
        <v xml:space="preserve">HATTIESBURG               </v>
      </c>
      <c r="F11666" t="str">
        <f t="shared" si="312"/>
        <v>MS</v>
      </c>
    </row>
    <row r="11667" spans="1:6" x14ac:dyDescent="0.25">
      <c r="A11667" t="str">
        <f>"006124766"</f>
        <v>006124766</v>
      </c>
      <c r="B11667" t="str">
        <f>"1982379871"</f>
        <v>1982379871</v>
      </c>
      <c r="C11667" t="str">
        <f>"363L00000X"</f>
        <v>363L00000X</v>
      </c>
      <c r="D11667" t="str">
        <f>"HYATT                    CODY                     "</f>
        <v xml:space="preserve">HYATT                    CODY                     </v>
      </c>
      <c r="E11667" t="str">
        <f>"WAYNESBORO                "</f>
        <v xml:space="preserve">WAYNESBORO                </v>
      </c>
      <c r="F11667" t="str">
        <f t="shared" si="312"/>
        <v>MS</v>
      </c>
    </row>
    <row r="11668" spans="1:6" x14ac:dyDescent="0.25">
      <c r="A11668" t="str">
        <f>"006124867"</f>
        <v>006124867</v>
      </c>
      <c r="B11668" t="str">
        <f>"1356414908"</f>
        <v>1356414908</v>
      </c>
      <c r="C11668" t="str">
        <f>"207Q00000X"</f>
        <v>207Q00000X</v>
      </c>
      <c r="D11668" t="str">
        <f>"DORCIK                   MICHAEL      D           "</f>
        <v xml:space="preserve">DORCIK                   MICHAEL      D           </v>
      </c>
      <c r="E11668" t="str">
        <f>"BILOXI                    "</f>
        <v xml:space="preserve">BILOXI                    </v>
      </c>
      <c r="F11668" t="str">
        <f t="shared" si="312"/>
        <v>MS</v>
      </c>
    </row>
    <row r="11669" spans="1:6" x14ac:dyDescent="0.25">
      <c r="A11669" t="str">
        <f>"006125306"</f>
        <v>006125306</v>
      </c>
      <c r="B11669" t="str">
        <f>"1508494089"</f>
        <v>1508494089</v>
      </c>
      <c r="C11669" t="str">
        <f>"207P00000X"</f>
        <v>207P00000X</v>
      </c>
      <c r="D11669" t="str">
        <f>"KEELING                  MAX          H           "</f>
        <v xml:space="preserve">KEELING                  MAX          H           </v>
      </c>
      <c r="E11669" t="str">
        <f>"JACKSON                   "</f>
        <v xml:space="preserve">JACKSON                   </v>
      </c>
      <c r="F11669" t="str">
        <f t="shared" si="312"/>
        <v>MS</v>
      </c>
    </row>
    <row r="11670" spans="1:6" x14ac:dyDescent="0.25">
      <c r="A11670" t="str">
        <f>"006126396"</f>
        <v>006126396</v>
      </c>
      <c r="B11670" t="str">
        <f>"1356442578"</f>
        <v>1356442578</v>
      </c>
      <c r="C11670" t="str">
        <f>"207Q00000X"</f>
        <v>207Q00000X</v>
      </c>
      <c r="D11670" t="str">
        <f>"TORREY                   BRIAN        S           "</f>
        <v xml:space="preserve">TORREY                   BRIAN        S           </v>
      </c>
      <c r="E11670" t="str">
        <f>"MADISON                   "</f>
        <v xml:space="preserve">MADISON                   </v>
      </c>
      <c r="F11670" t="str">
        <f t="shared" si="312"/>
        <v>MS</v>
      </c>
    </row>
    <row r="11671" spans="1:6" x14ac:dyDescent="0.25">
      <c r="A11671" t="str">
        <f>"006126881"</f>
        <v>006126881</v>
      </c>
      <c r="B11671" t="str">
        <f>"1255829453"</f>
        <v>1255829453</v>
      </c>
      <c r="C11671" t="str">
        <f>"207R00000X"</f>
        <v>207R00000X</v>
      </c>
      <c r="D11671" t="str">
        <f>"RIEM                     DAVID        W           "</f>
        <v xml:space="preserve">RIEM                     DAVID        W           </v>
      </c>
      <c r="E11671" t="str">
        <f>"JACKSON                   "</f>
        <v xml:space="preserve">JACKSON                   </v>
      </c>
      <c r="F11671" t="str">
        <f t="shared" si="312"/>
        <v>MS</v>
      </c>
    </row>
    <row r="11672" spans="1:6" x14ac:dyDescent="0.25">
      <c r="A11672" t="str">
        <f>"006127322"</f>
        <v>006127322</v>
      </c>
      <c r="B11672" t="str">
        <f>"1558590430"</f>
        <v>1558590430</v>
      </c>
      <c r="C11672" t="str">
        <f>"363L00000X"</f>
        <v>363L00000X</v>
      </c>
      <c r="D11672" t="str">
        <f>"TRITT                    RONNIE                   "</f>
        <v xml:space="preserve">TRITT                    RONNIE                   </v>
      </c>
      <c r="E11672" t="str">
        <f>"CHARLESTON                "</f>
        <v xml:space="preserve">CHARLESTON                </v>
      </c>
      <c r="F11672" t="str">
        <f t="shared" si="312"/>
        <v>MS</v>
      </c>
    </row>
    <row r="11673" spans="1:6" x14ac:dyDescent="0.25">
      <c r="A11673" t="str">
        <f>"006130713"</f>
        <v>006130713</v>
      </c>
      <c r="B11673" t="str">
        <f>"1548770514"</f>
        <v>1548770514</v>
      </c>
      <c r="C11673" t="str">
        <f>"363L00000X"</f>
        <v>363L00000X</v>
      </c>
      <c r="D11673" t="str">
        <f>"ARNOLD                   LARRY        R           "</f>
        <v xml:space="preserve">ARNOLD                   LARRY        R           </v>
      </c>
      <c r="E11673" t="str">
        <f>"BALDWYN                   "</f>
        <v xml:space="preserve">BALDWYN                   </v>
      </c>
      <c r="F11673" t="str">
        <f t="shared" si="312"/>
        <v>MS</v>
      </c>
    </row>
    <row r="11674" spans="1:6" x14ac:dyDescent="0.25">
      <c r="A11674" t="str">
        <f>"006130888"</f>
        <v>006130888</v>
      </c>
      <c r="B11674" t="str">
        <f>"1417370479"</f>
        <v>1417370479</v>
      </c>
      <c r="C11674" t="str">
        <f>"367500000X"</f>
        <v>367500000X</v>
      </c>
      <c r="D11674" t="str">
        <f>"MILLER                   SELEANA      M           "</f>
        <v xml:space="preserve">MILLER                   SELEANA      M           </v>
      </c>
      <c r="E11674" t="str">
        <f>"COLUMBUS                  "</f>
        <v xml:space="preserve">COLUMBUS                  </v>
      </c>
      <c r="F11674" t="str">
        <f t="shared" si="312"/>
        <v>MS</v>
      </c>
    </row>
    <row r="11675" spans="1:6" x14ac:dyDescent="0.25">
      <c r="A11675" t="str">
        <f>"006131790"</f>
        <v>006131790</v>
      </c>
      <c r="B11675" t="str">
        <f>"1093373110"</f>
        <v>1093373110</v>
      </c>
      <c r="C11675" t="str">
        <f>"363L00000X"</f>
        <v>363L00000X</v>
      </c>
      <c r="D11675" t="str">
        <f>"THAMES                   SARAH        N           "</f>
        <v xml:space="preserve">THAMES                   SARAH        N           </v>
      </c>
      <c r="E11675" t="str">
        <f>"LAUREL                    "</f>
        <v xml:space="preserve">LAUREL                    </v>
      </c>
      <c r="F11675" t="str">
        <f t="shared" si="312"/>
        <v>MS</v>
      </c>
    </row>
    <row r="11676" spans="1:6" x14ac:dyDescent="0.25">
      <c r="A11676" t="str">
        <f>"006131849"</f>
        <v>006131849</v>
      </c>
      <c r="B11676" t="str">
        <f>"1972095065"</f>
        <v>1972095065</v>
      </c>
      <c r="C11676" t="str">
        <f>"261QF0400X"</f>
        <v>261QF0400X</v>
      </c>
      <c r="D11676" t="str">
        <f>"ACCESS SCHOOL HEALTH - SMITHVILLE                 "</f>
        <v xml:space="preserve">ACCESS SCHOOL HEALTH - SMITHVILLE                 </v>
      </c>
      <c r="E11676" t="str">
        <f>"SMITHVILLE                "</f>
        <v xml:space="preserve">SMITHVILLE                </v>
      </c>
      <c r="F11676" t="str">
        <f t="shared" si="312"/>
        <v>MS</v>
      </c>
    </row>
    <row r="11677" spans="1:6" x14ac:dyDescent="0.25">
      <c r="A11677" t="str">
        <f>"006131868"</f>
        <v>006131868</v>
      </c>
      <c r="B11677" t="str">
        <f>"1033290655"</f>
        <v>1033290655</v>
      </c>
      <c r="C11677" t="str">
        <f>"367500000X"</f>
        <v>367500000X</v>
      </c>
      <c r="D11677" t="str">
        <f>"DAVIS                    WILLIAM      C           "</f>
        <v xml:space="preserve">DAVIS                    WILLIAM      C           </v>
      </c>
      <c r="E11677" t="str">
        <f>"COLUMBUS                  "</f>
        <v xml:space="preserve">COLUMBUS                  </v>
      </c>
      <c r="F11677" t="str">
        <f t="shared" si="312"/>
        <v>MS</v>
      </c>
    </row>
    <row r="11678" spans="1:6" x14ac:dyDescent="0.25">
      <c r="A11678" t="str">
        <f>"006132262"</f>
        <v>006132262</v>
      </c>
      <c r="B11678" t="str">
        <f>"1720563596"</f>
        <v>1720563596</v>
      </c>
      <c r="C11678" t="str">
        <f>"363L00000X"</f>
        <v>363L00000X</v>
      </c>
      <c r="D11678" t="str">
        <f>"SMITH                    STEPHANIE    E           "</f>
        <v xml:space="preserve">SMITH                    STEPHANIE    E           </v>
      </c>
      <c r="E11678" t="str">
        <f>"TUPELO                    "</f>
        <v xml:space="preserve">TUPELO                    </v>
      </c>
      <c r="F11678" t="str">
        <f t="shared" si="312"/>
        <v>MS</v>
      </c>
    </row>
    <row r="11679" spans="1:6" x14ac:dyDescent="0.25">
      <c r="A11679" t="str">
        <f>"006132281"</f>
        <v>006132281</v>
      </c>
      <c r="B11679" t="str">
        <f>"1134507965"</f>
        <v>1134507965</v>
      </c>
      <c r="C11679" t="str">
        <f>"152W00000X"</f>
        <v>152W00000X</v>
      </c>
      <c r="D11679" t="str">
        <f>"MANNING                  CHRISSY      M           "</f>
        <v xml:space="preserve">MANNING                  CHRISSY      M           </v>
      </c>
      <c r="E11679" t="str">
        <f>"INDIANOLA                 "</f>
        <v xml:space="preserve">INDIANOLA                 </v>
      </c>
      <c r="F11679" t="str">
        <f t="shared" si="312"/>
        <v>MS</v>
      </c>
    </row>
    <row r="11680" spans="1:6" x14ac:dyDescent="0.25">
      <c r="A11680" t="str">
        <f>"006132825"</f>
        <v>006132825</v>
      </c>
      <c r="B11680" t="str">
        <f>"1548894488"</f>
        <v>1548894488</v>
      </c>
      <c r="C11680" t="str">
        <f>"261QM1300X"</f>
        <v>261QM1300X</v>
      </c>
      <c r="D11680" t="str">
        <f>"DAY TO DAY COUNSELING                             "</f>
        <v xml:space="preserve">DAY TO DAY COUNSELING                             </v>
      </c>
      <c r="E11680" t="str">
        <f>"TUPELO                    "</f>
        <v xml:space="preserve">TUPELO                    </v>
      </c>
      <c r="F11680" t="str">
        <f t="shared" si="312"/>
        <v>MS</v>
      </c>
    </row>
    <row r="11681" spans="1:6" x14ac:dyDescent="0.25">
      <c r="A11681" t="str">
        <f>"006134066"</f>
        <v>006134066</v>
      </c>
      <c r="B11681" t="str">
        <f>"1447478342"</f>
        <v>1447478342</v>
      </c>
      <c r="C11681" t="str">
        <f>"363L00000X"</f>
        <v>363L00000X</v>
      </c>
      <c r="D11681" t="str">
        <f>"TAYLOR                   KAKECHA                  "</f>
        <v xml:space="preserve">TAYLOR                   KAKECHA                  </v>
      </c>
      <c r="E11681" t="str">
        <f>"BROOKHAVEN                "</f>
        <v xml:space="preserve">BROOKHAVEN                </v>
      </c>
      <c r="F11681" t="str">
        <f t="shared" si="312"/>
        <v>MS</v>
      </c>
    </row>
    <row r="11682" spans="1:6" x14ac:dyDescent="0.25">
      <c r="A11682" t="str">
        <f>"006134501"</f>
        <v>006134501</v>
      </c>
      <c r="B11682" t="str">
        <f>"1679237432"</f>
        <v>1679237432</v>
      </c>
      <c r="C11682" t="str">
        <f>"363L00000X"</f>
        <v>363L00000X</v>
      </c>
      <c r="D11682" t="str">
        <f>"LISHMAN                  ELIZABETH    C           "</f>
        <v xml:space="preserve">LISHMAN                  ELIZABETH    C           </v>
      </c>
      <c r="E11682" t="str">
        <f>"JACKSON                   "</f>
        <v xml:space="preserve">JACKSON                   </v>
      </c>
      <c r="F11682" t="str">
        <f t="shared" si="312"/>
        <v>MS</v>
      </c>
    </row>
    <row r="11683" spans="1:6" x14ac:dyDescent="0.25">
      <c r="A11683" t="str">
        <f>"006135231"</f>
        <v>006135231</v>
      </c>
      <c r="B11683" t="str">
        <f>"1518228741"</f>
        <v>1518228741</v>
      </c>
      <c r="C11683" t="str">
        <f>"208600000X"</f>
        <v>208600000X</v>
      </c>
      <c r="D11683" t="str">
        <f>"BERGLIND                 WILLIAM      J           "</f>
        <v xml:space="preserve">BERGLIND                 WILLIAM      J           </v>
      </c>
      <c r="E11683" t="str">
        <f>"GULFPORT                  "</f>
        <v xml:space="preserve">GULFPORT                  </v>
      </c>
      <c r="F11683" t="str">
        <f t="shared" si="312"/>
        <v>MS</v>
      </c>
    </row>
    <row r="11684" spans="1:6" x14ac:dyDescent="0.25">
      <c r="A11684" t="str">
        <f>"006135570"</f>
        <v>006135570</v>
      </c>
      <c r="B11684" t="str">
        <f>"1083138226"</f>
        <v>1083138226</v>
      </c>
      <c r="C11684" t="str">
        <f>"363L00000X"</f>
        <v>363L00000X</v>
      </c>
      <c r="D11684" t="str">
        <f>"WILLIAMS                 ALVIN                    "</f>
        <v xml:space="preserve">WILLIAMS                 ALVIN                    </v>
      </c>
      <c r="E11684" t="str">
        <f>"TYLERTOWN                 "</f>
        <v xml:space="preserve">TYLERTOWN                 </v>
      </c>
      <c r="F11684" t="str">
        <f t="shared" si="312"/>
        <v>MS</v>
      </c>
    </row>
    <row r="11685" spans="1:6" x14ac:dyDescent="0.25">
      <c r="A11685" t="str">
        <f>"006136312"</f>
        <v>006136312</v>
      </c>
      <c r="B11685" t="str">
        <f>"1457641276"</f>
        <v>1457641276</v>
      </c>
      <c r="C11685" t="str">
        <f>"363L00000X"</f>
        <v>363L00000X</v>
      </c>
      <c r="D11685" t="str">
        <f>"LOCKLEY                  BRANDI       R           "</f>
        <v xml:space="preserve">LOCKLEY                  BRANDI       R           </v>
      </c>
      <c r="E11685" t="str">
        <f>"HATTIESBURG               "</f>
        <v xml:space="preserve">HATTIESBURG               </v>
      </c>
      <c r="F11685" t="str">
        <f t="shared" si="312"/>
        <v>MS</v>
      </c>
    </row>
    <row r="11686" spans="1:6" x14ac:dyDescent="0.25">
      <c r="A11686" t="str">
        <f>"006136780"</f>
        <v>006136780</v>
      </c>
      <c r="B11686" t="str">
        <f>"1972823359"</f>
        <v>1972823359</v>
      </c>
      <c r="C11686" t="str">
        <f>"363L00000X"</f>
        <v>363L00000X</v>
      </c>
      <c r="D11686" t="str">
        <f>"ROBINSON                 CASSIE       C           "</f>
        <v xml:space="preserve">ROBINSON                 CASSIE       C           </v>
      </c>
      <c r="E11686" t="str">
        <f>"CORINTH                   "</f>
        <v xml:space="preserve">CORINTH                   </v>
      </c>
      <c r="F11686" t="str">
        <f t="shared" si="312"/>
        <v>MS</v>
      </c>
    </row>
    <row r="11687" spans="1:6" x14ac:dyDescent="0.25">
      <c r="A11687" t="str">
        <f>"006150091"</f>
        <v>006150091</v>
      </c>
      <c r="B11687" t="str">
        <f>"1609024835"</f>
        <v>1609024835</v>
      </c>
      <c r="C11687" t="str">
        <f>"363L00000X"</f>
        <v>363L00000X</v>
      </c>
      <c r="D11687" t="str">
        <f>"KIMBROUGH                JUNE         G           "</f>
        <v xml:space="preserve">KIMBROUGH                JUNE         G           </v>
      </c>
      <c r="E11687" t="str">
        <f>"MADISON                   "</f>
        <v xml:space="preserve">MADISON                   </v>
      </c>
      <c r="F11687" t="str">
        <f t="shared" si="312"/>
        <v>MS</v>
      </c>
    </row>
    <row r="11688" spans="1:6" x14ac:dyDescent="0.25">
      <c r="A11688" t="str">
        <f>"006150219"</f>
        <v>006150219</v>
      </c>
      <c r="B11688" t="str">
        <f>"1104078567"</f>
        <v>1104078567</v>
      </c>
      <c r="C11688" t="str">
        <f>"2085R0204X"</f>
        <v>2085R0204X</v>
      </c>
      <c r="D11688" t="str">
        <f>"CAMPBELL                 GARTH        S           "</f>
        <v xml:space="preserve">CAMPBELL                 GARTH        S           </v>
      </c>
      <c r="E11688" t="str">
        <f>"JACKSON                   "</f>
        <v xml:space="preserve">JACKSON                   </v>
      </c>
      <c r="F11688" t="str">
        <f t="shared" si="312"/>
        <v>MS</v>
      </c>
    </row>
    <row r="11689" spans="1:6" x14ac:dyDescent="0.25">
      <c r="A11689" t="str">
        <f>"006150307"</f>
        <v>006150307</v>
      </c>
      <c r="B11689" t="str">
        <f>"1144735481"</f>
        <v>1144735481</v>
      </c>
      <c r="C11689" t="str">
        <f>"122300000X"</f>
        <v>122300000X</v>
      </c>
      <c r="D11689" t="str">
        <f>"PEOPLES DENTAL PA                                 "</f>
        <v xml:space="preserve">PEOPLES DENTAL PA                                 </v>
      </c>
      <c r="E11689" t="str">
        <f>"STARKVILLE                "</f>
        <v xml:space="preserve">STARKVILLE                </v>
      </c>
      <c r="F11689" t="str">
        <f t="shared" si="312"/>
        <v>MS</v>
      </c>
    </row>
    <row r="11690" spans="1:6" x14ac:dyDescent="0.25">
      <c r="A11690" t="str">
        <f>"006151397"</f>
        <v>006151397</v>
      </c>
      <c r="B11690" t="str">
        <f>"1710179023"</f>
        <v>1710179023</v>
      </c>
      <c r="C11690" t="str">
        <f>"122300000X"</f>
        <v>122300000X</v>
      </c>
      <c r="D11690" t="str">
        <f>"KHATRI                   AVANI        H           "</f>
        <v xml:space="preserve">KHATRI                   AVANI        H           </v>
      </c>
      <c r="E11690" t="str">
        <f>"JACKSON                   "</f>
        <v xml:space="preserve">JACKSON                   </v>
      </c>
      <c r="F11690" t="str">
        <f t="shared" si="312"/>
        <v>MS</v>
      </c>
    </row>
    <row r="11691" spans="1:6" x14ac:dyDescent="0.25">
      <c r="A11691" t="str">
        <f>"006152598"</f>
        <v>006152598</v>
      </c>
      <c r="B11691" t="str">
        <f>"1710418546"</f>
        <v>1710418546</v>
      </c>
      <c r="C11691" t="str">
        <f>"208800000X"</f>
        <v>208800000X</v>
      </c>
      <c r="D11691" t="str">
        <f>"MOSS                     MATTHEW      C           "</f>
        <v xml:space="preserve">MOSS                     MATTHEW      C           </v>
      </c>
      <c r="E11691" t="str">
        <f>"JACKSON                   "</f>
        <v xml:space="preserve">JACKSON                   </v>
      </c>
      <c r="F11691" t="str">
        <f t="shared" si="312"/>
        <v>MS</v>
      </c>
    </row>
    <row r="11692" spans="1:6" x14ac:dyDescent="0.25">
      <c r="A11692" t="str">
        <f>"006153521"</f>
        <v>006153521</v>
      </c>
      <c r="B11692" t="str">
        <f>"1619245768"</f>
        <v>1619245768</v>
      </c>
      <c r="C11692" t="str">
        <f>"367500000X"</f>
        <v>367500000X</v>
      </c>
      <c r="D11692" t="str">
        <f>"MORGAN                   STEVE        J           "</f>
        <v xml:space="preserve">MORGAN                   STEVE        J           </v>
      </c>
      <c r="E11692" t="str">
        <f>"GULFPORT                  "</f>
        <v xml:space="preserve">GULFPORT                  </v>
      </c>
      <c r="F11692" t="str">
        <f t="shared" si="312"/>
        <v>MS</v>
      </c>
    </row>
    <row r="11693" spans="1:6" x14ac:dyDescent="0.25">
      <c r="A11693" t="str">
        <f>"006154081"</f>
        <v>006154081</v>
      </c>
      <c r="B11693" t="str">
        <f>"1962940544"</f>
        <v>1962940544</v>
      </c>
      <c r="C11693" t="str">
        <f>"363A00000X"</f>
        <v>363A00000X</v>
      </c>
      <c r="D11693" t="str">
        <f>"HUFF                     KATHLEEN     R           "</f>
        <v xml:space="preserve">HUFF                     KATHLEEN     R           </v>
      </c>
      <c r="E11693" t="str">
        <f>"CENTREVILLE               "</f>
        <v xml:space="preserve">CENTREVILLE               </v>
      </c>
      <c r="F11693" t="str">
        <f t="shared" si="312"/>
        <v>MS</v>
      </c>
    </row>
    <row r="11694" spans="1:6" x14ac:dyDescent="0.25">
      <c r="A11694" t="str">
        <f>"006154519"</f>
        <v>006154519</v>
      </c>
      <c r="B11694" t="str">
        <f>"1740612878"</f>
        <v>1740612878</v>
      </c>
      <c r="C11694" t="str">
        <f>"363L00000X"</f>
        <v>363L00000X</v>
      </c>
      <c r="D11694" t="str">
        <f>"HATCHER                  BRADLEY      K           "</f>
        <v xml:space="preserve">HATCHER                  BRADLEY      K           </v>
      </c>
      <c r="E11694" t="str">
        <f>"RIPLEY                    "</f>
        <v xml:space="preserve">RIPLEY                    </v>
      </c>
      <c r="F11694" t="str">
        <f t="shared" si="312"/>
        <v>MS</v>
      </c>
    </row>
    <row r="11695" spans="1:6" x14ac:dyDescent="0.25">
      <c r="A11695" t="str">
        <f>"006155002"</f>
        <v>006155002</v>
      </c>
      <c r="B11695" t="str">
        <f>"1497382121"</f>
        <v>1497382121</v>
      </c>
      <c r="C11695" t="str">
        <f>"363L00000X"</f>
        <v>363L00000X</v>
      </c>
      <c r="D11695" t="str">
        <f>"SCROGGINS                ANNA                     "</f>
        <v xml:space="preserve">SCROGGINS                ANNA                     </v>
      </c>
      <c r="E11695" t="str">
        <f>"YAZOO CITY                "</f>
        <v xml:space="preserve">YAZOO CITY                </v>
      </c>
      <c r="F11695" t="str">
        <f t="shared" si="312"/>
        <v>MS</v>
      </c>
    </row>
    <row r="11696" spans="1:6" x14ac:dyDescent="0.25">
      <c r="A11696" t="str">
        <f>"006156804"</f>
        <v>006156804</v>
      </c>
      <c r="B11696" t="str">
        <f>"1154343481"</f>
        <v>1154343481</v>
      </c>
      <c r="C11696" t="str">
        <f>"207Q00000X"</f>
        <v>207Q00000X</v>
      </c>
      <c r="D11696" t="str">
        <f>"REYNOLDS                 CHRISTOPHER  S           "</f>
        <v xml:space="preserve">REYNOLDS                 CHRISTOPHER  S           </v>
      </c>
      <c r="E11696" t="str">
        <f>"BOONEVILLE                "</f>
        <v xml:space="preserve">BOONEVILLE                </v>
      </c>
      <c r="F11696" t="str">
        <f t="shared" si="312"/>
        <v>MS</v>
      </c>
    </row>
    <row r="11697" spans="1:6" x14ac:dyDescent="0.25">
      <c r="A11697" t="str">
        <f>"006156851"</f>
        <v>006156851</v>
      </c>
      <c r="B11697" t="str">
        <f>"1518361922"</f>
        <v>1518361922</v>
      </c>
      <c r="C11697" t="str">
        <f>"363L00000X"</f>
        <v>363L00000X</v>
      </c>
      <c r="D11697" t="str">
        <f>"MILLER                   EDGAR                    "</f>
        <v xml:space="preserve">MILLER                   EDGAR                    </v>
      </c>
      <c r="E11697" t="str">
        <f>"JACKSON                   "</f>
        <v xml:space="preserve">JACKSON                   </v>
      </c>
      <c r="F11697" t="str">
        <f t="shared" si="312"/>
        <v>MS</v>
      </c>
    </row>
    <row r="11698" spans="1:6" x14ac:dyDescent="0.25">
      <c r="A11698" t="str">
        <f>"006157850"</f>
        <v>006157850</v>
      </c>
      <c r="B11698" t="str">
        <f>"1255408332"</f>
        <v>1255408332</v>
      </c>
      <c r="C11698" t="str">
        <f>"208000000X"</f>
        <v>208000000X</v>
      </c>
      <c r="D11698" t="str">
        <f>"EDWARDS                  JOSEPH       D           "</f>
        <v xml:space="preserve">EDWARDS                  JOSEPH       D           </v>
      </c>
      <c r="E11698" t="str">
        <f>"BRANDON                   "</f>
        <v xml:space="preserve">BRANDON                   </v>
      </c>
      <c r="F11698" t="str">
        <f t="shared" si="312"/>
        <v>MS</v>
      </c>
    </row>
    <row r="11699" spans="1:6" x14ac:dyDescent="0.25">
      <c r="A11699" t="str">
        <f>"006170308"</f>
        <v>006170308</v>
      </c>
      <c r="B11699" t="str">
        <f>"1245892777"</f>
        <v>1245892777</v>
      </c>
      <c r="C11699" t="str">
        <f>"363L00000X"</f>
        <v>363L00000X</v>
      </c>
      <c r="D11699" t="str">
        <f>"MOSES                    CAROL        C           "</f>
        <v xml:space="preserve">MOSES                    CAROL        C           </v>
      </c>
      <c r="E11699" t="str">
        <f>"GREENWOOD                 "</f>
        <v xml:space="preserve">GREENWOOD                 </v>
      </c>
      <c r="F11699" t="str">
        <f t="shared" si="312"/>
        <v>MS</v>
      </c>
    </row>
    <row r="11700" spans="1:6" x14ac:dyDescent="0.25">
      <c r="A11700" t="str">
        <f>"006170362"</f>
        <v>006170362</v>
      </c>
      <c r="B11700" t="str">
        <f>"1275147175"</f>
        <v>1275147175</v>
      </c>
      <c r="C11700" t="str">
        <f>"363L00000X"</f>
        <v>363L00000X</v>
      </c>
      <c r="D11700" t="str">
        <f>"MCMILLIN                 KIMBERLY     H           "</f>
        <v xml:space="preserve">MCMILLIN                 KIMBERLY     H           </v>
      </c>
      <c r="E11700" t="str">
        <f>"STARKVILLE                "</f>
        <v xml:space="preserve">STARKVILLE                </v>
      </c>
      <c r="F11700" t="str">
        <f t="shared" si="312"/>
        <v>MS</v>
      </c>
    </row>
    <row r="11701" spans="1:6" x14ac:dyDescent="0.25">
      <c r="A11701" t="str">
        <f>"006171308"</f>
        <v>006171308</v>
      </c>
      <c r="B11701" t="str">
        <f>"1982205423"</f>
        <v>1982205423</v>
      </c>
      <c r="C11701" t="str">
        <f>"363L00000X"</f>
        <v>363L00000X</v>
      </c>
      <c r="D11701" t="str">
        <f>"EVANS                    RONEQUA      M           "</f>
        <v xml:space="preserve">EVANS                    RONEQUA      M           </v>
      </c>
      <c r="E11701" t="str">
        <f>"JACKSON                   "</f>
        <v xml:space="preserve">JACKSON                   </v>
      </c>
      <c r="F11701" t="str">
        <f t="shared" si="312"/>
        <v>MS</v>
      </c>
    </row>
    <row r="11702" spans="1:6" x14ac:dyDescent="0.25">
      <c r="A11702" t="str">
        <f>"006172516"</f>
        <v>006172516</v>
      </c>
      <c r="B11702" t="str">
        <f>"1700234192"</f>
        <v>1700234192</v>
      </c>
      <c r="C11702" t="str">
        <f>"207ZP0102X"</f>
        <v>207ZP0102X</v>
      </c>
      <c r="D11702" t="str">
        <f>"CHAHAR                   SATYAPAL                 "</f>
        <v xml:space="preserve">CHAHAR                   SATYAPAL                 </v>
      </c>
      <c r="E11702" t="str">
        <f>"JACKSON                   "</f>
        <v xml:space="preserve">JACKSON                   </v>
      </c>
      <c r="F11702" t="str">
        <f t="shared" si="312"/>
        <v>MS</v>
      </c>
    </row>
    <row r="11703" spans="1:6" x14ac:dyDescent="0.25">
      <c r="A11703" t="str">
        <f>"006173013"</f>
        <v>006173013</v>
      </c>
      <c r="B11703" t="str">
        <f>"1740206515"</f>
        <v>1740206515</v>
      </c>
      <c r="C11703" t="str">
        <f>"2085R0202X"</f>
        <v>2085R0202X</v>
      </c>
      <c r="D11703" t="str">
        <f>"CASHWELL                 LEIGH        A           "</f>
        <v xml:space="preserve">CASHWELL                 LEIGH        A           </v>
      </c>
      <c r="E11703" t="str">
        <f>"LUCEDALE                  "</f>
        <v xml:space="preserve">LUCEDALE                  </v>
      </c>
      <c r="F11703" t="str">
        <f t="shared" si="312"/>
        <v>MS</v>
      </c>
    </row>
    <row r="11704" spans="1:6" x14ac:dyDescent="0.25">
      <c r="A11704" t="str">
        <f>"006175811"</f>
        <v>006175811</v>
      </c>
      <c r="B11704" t="str">
        <f>"1629355342"</f>
        <v>1629355342</v>
      </c>
      <c r="C11704" t="str">
        <f>"363L00000X"</f>
        <v>363L00000X</v>
      </c>
      <c r="D11704" t="str">
        <f>"WELCH                    BRANDY       C           "</f>
        <v xml:space="preserve">WELCH                    BRANDY       C           </v>
      </c>
      <c r="E11704" t="str">
        <f>"JACKSON                   "</f>
        <v xml:space="preserve">JACKSON                   </v>
      </c>
      <c r="F11704" t="str">
        <f t="shared" si="312"/>
        <v>MS</v>
      </c>
    </row>
    <row r="11705" spans="1:6" x14ac:dyDescent="0.25">
      <c r="A11705" t="str">
        <f>"006178571"</f>
        <v>006178571</v>
      </c>
      <c r="B11705" t="str">
        <f>"1427069699"</f>
        <v>1427069699</v>
      </c>
      <c r="C11705" t="str">
        <f>"367500000X"</f>
        <v>367500000X</v>
      </c>
      <c r="D11705" t="str">
        <f>"IVEY                     DUSTIN       B           "</f>
        <v xml:space="preserve">IVEY                     DUSTIN       B           </v>
      </c>
      <c r="E11705" t="str">
        <f>"MERIDIAN                  "</f>
        <v xml:space="preserve">MERIDIAN                  </v>
      </c>
      <c r="F11705" t="str">
        <f t="shared" si="312"/>
        <v>MS</v>
      </c>
    </row>
    <row r="11706" spans="1:6" x14ac:dyDescent="0.25">
      <c r="A11706" t="str">
        <f>"006178710"</f>
        <v>006178710</v>
      </c>
      <c r="B11706" t="str">
        <f>"1265493332"</f>
        <v>1265493332</v>
      </c>
      <c r="C11706" t="str">
        <f>"207RP1001X"</f>
        <v>207RP1001X</v>
      </c>
      <c r="D11706" t="str">
        <f>"RAGGIO                   MICHAEL      J           "</f>
        <v xml:space="preserve">RAGGIO                   MICHAEL      J           </v>
      </c>
      <c r="E11706" t="str">
        <f>"HATTIESBURG               "</f>
        <v xml:space="preserve">HATTIESBURG               </v>
      </c>
      <c r="F11706" t="str">
        <f t="shared" si="312"/>
        <v>MS</v>
      </c>
    </row>
    <row r="11707" spans="1:6" x14ac:dyDescent="0.25">
      <c r="A11707" t="str">
        <f>"006179845"</f>
        <v>006179845</v>
      </c>
      <c r="B11707" t="str">
        <f>"1922402247"</f>
        <v>1922402247</v>
      </c>
      <c r="C11707" t="str">
        <f>"363L00000X"</f>
        <v>363L00000X</v>
      </c>
      <c r="D11707" t="str">
        <f>"HOUZE-REED               LATISHA      P           "</f>
        <v xml:space="preserve">HOUZE-REED               LATISHA      P           </v>
      </c>
      <c r="E11707" t="str">
        <f>"SANDERSVILLE              "</f>
        <v xml:space="preserve">SANDERSVILLE              </v>
      </c>
      <c r="F11707" t="str">
        <f t="shared" si="312"/>
        <v>MS</v>
      </c>
    </row>
    <row r="11708" spans="1:6" x14ac:dyDescent="0.25">
      <c r="A11708" t="str">
        <f>"006180721"</f>
        <v>006180721</v>
      </c>
      <c r="B11708" t="str">
        <f>"1073567251"</f>
        <v>1073567251</v>
      </c>
      <c r="C11708" t="str">
        <f>"207RN0300X"</f>
        <v>207RN0300X</v>
      </c>
      <c r="D11708" t="str">
        <f>"ADELEYE                  OLUFEMI      O           "</f>
        <v xml:space="preserve">ADELEYE                  OLUFEMI      O           </v>
      </c>
      <c r="E11708" t="str">
        <f>"SOUTHAVEN                 "</f>
        <v xml:space="preserve">SOUTHAVEN                 </v>
      </c>
      <c r="F11708" t="str">
        <f t="shared" si="312"/>
        <v>MS</v>
      </c>
    </row>
    <row r="11709" spans="1:6" x14ac:dyDescent="0.25">
      <c r="A11709" t="str">
        <f>"006181016"</f>
        <v>006181016</v>
      </c>
      <c r="B11709" t="str">
        <f>"1245976224"</f>
        <v>1245976224</v>
      </c>
      <c r="C11709" t="str">
        <f>"363L00000X"</f>
        <v>363L00000X</v>
      </c>
      <c r="D11709" t="str">
        <f>"STEWART                  MICHELLE                 "</f>
        <v xml:space="preserve">STEWART                  MICHELLE                 </v>
      </c>
      <c r="E11709" t="str">
        <f>"GULFPORT                  "</f>
        <v xml:space="preserve">GULFPORT                  </v>
      </c>
      <c r="F11709" t="str">
        <f t="shared" si="312"/>
        <v>MS</v>
      </c>
    </row>
    <row r="11710" spans="1:6" x14ac:dyDescent="0.25">
      <c r="A11710" t="str">
        <f>"006181203"</f>
        <v>006181203</v>
      </c>
      <c r="B11710" t="str">
        <f>"1588225775"</f>
        <v>1588225775</v>
      </c>
      <c r="C11710" t="str">
        <f>"363L00000X"</f>
        <v>363L00000X</v>
      </c>
      <c r="D11710" t="str">
        <f>"WATSON                   KRISTINE                 "</f>
        <v xml:space="preserve">WATSON                   KRISTINE                 </v>
      </c>
      <c r="E11710" t="str">
        <f>"JACKSON                   "</f>
        <v xml:space="preserve">JACKSON                   </v>
      </c>
      <c r="F11710" t="str">
        <f t="shared" ref="F11710:F11773" si="313">"MS"</f>
        <v>MS</v>
      </c>
    </row>
    <row r="11711" spans="1:6" x14ac:dyDescent="0.25">
      <c r="A11711" t="str">
        <f>"006181398"</f>
        <v>006181398</v>
      </c>
      <c r="B11711" t="str">
        <f>"1922194224"</f>
        <v>1922194224</v>
      </c>
      <c r="C11711" t="str">
        <f>"1223P0221X"</f>
        <v>1223P0221X</v>
      </c>
      <c r="D11711" t="str">
        <f>"MIDDLETON                ANDREW       S           "</f>
        <v xml:space="preserve">MIDDLETON                ANDREW       S           </v>
      </c>
      <c r="E11711" t="str">
        <f>"HATTIESBURG               "</f>
        <v xml:space="preserve">HATTIESBURG               </v>
      </c>
      <c r="F11711" t="str">
        <f t="shared" si="313"/>
        <v>MS</v>
      </c>
    </row>
    <row r="11712" spans="1:6" x14ac:dyDescent="0.25">
      <c r="A11712" t="str">
        <f>"006181702"</f>
        <v>006181702</v>
      </c>
      <c r="B11712" t="str">
        <f>"1710472758"</f>
        <v>1710472758</v>
      </c>
      <c r="C11712" t="str">
        <f>"363L00000X"</f>
        <v>363L00000X</v>
      </c>
      <c r="D11712" t="str">
        <f>"SMITH                    RAGEN                    "</f>
        <v xml:space="preserve">SMITH                    RAGEN                    </v>
      </c>
      <c r="E11712" t="str">
        <f>"JACKSON                   "</f>
        <v xml:space="preserve">JACKSON                   </v>
      </c>
      <c r="F11712" t="str">
        <f t="shared" si="313"/>
        <v>MS</v>
      </c>
    </row>
    <row r="11713" spans="1:6" x14ac:dyDescent="0.25">
      <c r="A11713" t="str">
        <f>"006183232"</f>
        <v>006183232</v>
      </c>
      <c r="B11713" t="str">
        <f>"1184074643"</f>
        <v>1184074643</v>
      </c>
      <c r="C11713" t="str">
        <f>"363L00000X"</f>
        <v>363L00000X</v>
      </c>
      <c r="D11713" t="str">
        <f>"MASON                    GLENN        H           "</f>
        <v xml:space="preserve">MASON                    GLENN        H           </v>
      </c>
      <c r="E11713" t="str">
        <f>"COLUMBUS                  "</f>
        <v xml:space="preserve">COLUMBUS                  </v>
      </c>
      <c r="F11713" t="str">
        <f t="shared" si="313"/>
        <v>MS</v>
      </c>
    </row>
    <row r="11714" spans="1:6" x14ac:dyDescent="0.25">
      <c r="A11714" t="str">
        <f>"006184835"</f>
        <v>006184835</v>
      </c>
      <c r="B11714" t="str">
        <f>"1801802913"</f>
        <v>1801802913</v>
      </c>
      <c r="C11714" t="str">
        <f>"152W00000X"</f>
        <v>152W00000X</v>
      </c>
      <c r="D11714" t="str">
        <f>"LOTT                     MEGAN        R           "</f>
        <v xml:space="preserve">LOTT                     MEGAN        R           </v>
      </c>
      <c r="E11714" t="str">
        <f>"HATTIESBURG               "</f>
        <v xml:space="preserve">HATTIESBURG               </v>
      </c>
      <c r="F11714" t="str">
        <f t="shared" si="313"/>
        <v>MS</v>
      </c>
    </row>
    <row r="11715" spans="1:6" x14ac:dyDescent="0.25">
      <c r="A11715" t="str">
        <f>"006184861"</f>
        <v>006184861</v>
      </c>
      <c r="B11715" t="str">
        <f>"1467446963"</f>
        <v>1467446963</v>
      </c>
      <c r="C11715" t="str">
        <f>"208000000X"</f>
        <v>208000000X</v>
      </c>
      <c r="D11715" t="str">
        <f>"WILLIAMS                 WENDY        E           "</f>
        <v xml:space="preserve">WILLIAMS                 WENDY        E           </v>
      </c>
      <c r="E11715" t="str">
        <f>"BILOXI                    "</f>
        <v xml:space="preserve">BILOXI                    </v>
      </c>
      <c r="F11715" t="str">
        <f t="shared" si="313"/>
        <v>MS</v>
      </c>
    </row>
    <row r="11716" spans="1:6" x14ac:dyDescent="0.25">
      <c r="A11716" t="str">
        <f>"006185252"</f>
        <v>006185252</v>
      </c>
      <c r="B11716" t="str">
        <f>"1194323170"</f>
        <v>1194323170</v>
      </c>
      <c r="C11716" t="str">
        <f>"261QR1300X"</f>
        <v>261QR1300X</v>
      </c>
      <c r="D11716" t="str">
        <f>"LAIRD HOSPITAL INC                                "</f>
        <v xml:space="preserve">LAIRD HOSPITAL INC                                </v>
      </c>
      <c r="E11716" t="str">
        <f>"NEWTON                    "</f>
        <v xml:space="preserve">NEWTON                    </v>
      </c>
      <c r="F11716" t="str">
        <f t="shared" si="313"/>
        <v>MS</v>
      </c>
    </row>
    <row r="11717" spans="1:6" x14ac:dyDescent="0.25">
      <c r="A11717" t="str">
        <f>"006185530"</f>
        <v>006185530</v>
      </c>
      <c r="B11717" t="str">
        <f>"1679988604"</f>
        <v>1679988604</v>
      </c>
      <c r="C11717" t="str">
        <f>"207RC0000X"</f>
        <v>207RC0000X</v>
      </c>
      <c r="D11717" t="str">
        <f>"SPANGLER                 ALISON       L           "</f>
        <v xml:space="preserve">SPANGLER                 ALISON       L           </v>
      </c>
      <c r="E11717" t="str">
        <f>"OXFORD                    "</f>
        <v xml:space="preserve">OXFORD                    </v>
      </c>
      <c r="F11717" t="str">
        <f t="shared" si="313"/>
        <v>MS</v>
      </c>
    </row>
    <row r="11718" spans="1:6" x14ac:dyDescent="0.25">
      <c r="A11718" t="str">
        <f>"006185541"</f>
        <v>006185541</v>
      </c>
      <c r="B11718" t="str">
        <f>"1225325699"</f>
        <v>1225325699</v>
      </c>
      <c r="C11718" t="str">
        <f>"207RX0202X"</f>
        <v>207RX0202X</v>
      </c>
      <c r="D11718" t="str">
        <f>"SUGGS                    MARGIE       J           "</f>
        <v xml:space="preserve">SUGGS                    MARGIE       J           </v>
      </c>
      <c r="E11718" t="str">
        <f>"JACKSON                   "</f>
        <v xml:space="preserve">JACKSON                   </v>
      </c>
      <c r="F11718" t="str">
        <f t="shared" si="313"/>
        <v>MS</v>
      </c>
    </row>
    <row r="11719" spans="1:6" x14ac:dyDescent="0.25">
      <c r="A11719" t="str">
        <f>"006187511"</f>
        <v>006187511</v>
      </c>
      <c r="B11719" t="str">
        <f>"1033437587"</f>
        <v>1033437587</v>
      </c>
      <c r="C11719" t="str">
        <f>"363L00000X"</f>
        <v>363L00000X</v>
      </c>
      <c r="D11719" t="str">
        <f>"SYKES                    TARA         L           "</f>
        <v xml:space="preserve">SYKES                    TARA         L           </v>
      </c>
      <c r="E11719" t="str">
        <f>"DIBERVILLE                "</f>
        <v xml:space="preserve">DIBERVILLE                </v>
      </c>
      <c r="F11719" t="str">
        <f t="shared" si="313"/>
        <v>MS</v>
      </c>
    </row>
    <row r="11720" spans="1:6" x14ac:dyDescent="0.25">
      <c r="A11720" t="str">
        <f>"006188884"</f>
        <v>006188884</v>
      </c>
      <c r="B11720" t="str">
        <f>"1174606289"</f>
        <v>1174606289</v>
      </c>
      <c r="C11720" t="str">
        <f>"363L00000X"</f>
        <v>363L00000X</v>
      </c>
      <c r="D11720" t="str">
        <f>"MOFFETT                  SHANNON      L           "</f>
        <v xml:space="preserve">MOFFETT                  SHANNON      L           </v>
      </c>
      <c r="E11720" t="str">
        <f>"JACKSON                   "</f>
        <v xml:space="preserve">JACKSON                   </v>
      </c>
      <c r="F11720" t="str">
        <f t="shared" si="313"/>
        <v>MS</v>
      </c>
    </row>
    <row r="11721" spans="1:6" x14ac:dyDescent="0.25">
      <c r="A11721" t="str">
        <f>"006189002"</f>
        <v>006189002</v>
      </c>
      <c r="B11721" t="str">
        <f>"1992719181"</f>
        <v>1992719181</v>
      </c>
      <c r="C11721" t="str">
        <f>"2085R0202X"</f>
        <v>2085R0202X</v>
      </c>
      <c r="D11721" t="str">
        <f>"SEXTON                   ROBERT       G           "</f>
        <v xml:space="preserve">SEXTON                   ROBERT       G           </v>
      </c>
      <c r="E11721" t="str">
        <f>"CORINTH                   "</f>
        <v xml:space="preserve">CORINTH                   </v>
      </c>
      <c r="F11721" t="str">
        <f t="shared" si="313"/>
        <v>MS</v>
      </c>
    </row>
    <row r="11722" spans="1:6" x14ac:dyDescent="0.25">
      <c r="A11722" t="str">
        <f>"006200263"</f>
        <v>006200263</v>
      </c>
      <c r="B11722" t="str">
        <f>"1972971679"</f>
        <v>1972971679</v>
      </c>
      <c r="C11722" t="str">
        <f>"261QE0700X"</f>
        <v>261QE0700X</v>
      </c>
      <c r="D11722" t="str">
        <f>"TUPELO HOME THERAPIES                             "</f>
        <v xml:space="preserve">TUPELO HOME THERAPIES                             </v>
      </c>
      <c r="E11722" t="str">
        <f>"TUPELO                    "</f>
        <v xml:space="preserve">TUPELO                    </v>
      </c>
      <c r="F11722" t="str">
        <f t="shared" si="313"/>
        <v>MS</v>
      </c>
    </row>
    <row r="11723" spans="1:6" x14ac:dyDescent="0.25">
      <c r="A11723" t="str">
        <f>"006200326"</f>
        <v>006200326</v>
      </c>
      <c r="B11723" t="str">
        <f>"1750842258"</f>
        <v>1750842258</v>
      </c>
      <c r="C11723" t="str">
        <f>"207Y00000X"</f>
        <v>207Y00000X</v>
      </c>
      <c r="D11723" t="str">
        <f>"STEVENS                  BENJAMIN     P           "</f>
        <v xml:space="preserve">STEVENS                  BENJAMIN     P           </v>
      </c>
      <c r="E11723" t="str">
        <f>"LAUREL                    "</f>
        <v xml:space="preserve">LAUREL                    </v>
      </c>
      <c r="F11723" t="str">
        <f t="shared" si="313"/>
        <v>MS</v>
      </c>
    </row>
    <row r="11724" spans="1:6" x14ac:dyDescent="0.25">
      <c r="A11724" t="str">
        <f>"006202721"</f>
        <v>006202721</v>
      </c>
      <c r="B11724" t="str">
        <f>"1992773535"</f>
        <v>1992773535</v>
      </c>
      <c r="C11724" t="str">
        <f>"207Q00000X"</f>
        <v>207Q00000X</v>
      </c>
      <c r="D11724" t="str">
        <f>"JOHNSON                  KEVIN        R           "</f>
        <v xml:space="preserve">JOHNSON                  KEVIN        R           </v>
      </c>
      <c r="E11724" t="str">
        <f>"TUPELO                    "</f>
        <v xml:space="preserve">TUPELO                    </v>
      </c>
      <c r="F11724" t="str">
        <f t="shared" si="313"/>
        <v>MS</v>
      </c>
    </row>
    <row r="11725" spans="1:6" x14ac:dyDescent="0.25">
      <c r="A11725" t="str">
        <f>"006203599"</f>
        <v>006203599</v>
      </c>
      <c r="B11725" t="str">
        <f>"1023422052"</f>
        <v>1023422052</v>
      </c>
      <c r="C11725" t="str">
        <f>"122300000X"</f>
        <v>122300000X</v>
      </c>
      <c r="D11725" t="str">
        <f>"BILLS III                ROBERT       C           "</f>
        <v xml:space="preserve">BILLS III                ROBERT       C           </v>
      </c>
      <c r="E11725" t="str">
        <f>"PONTOTOC                  "</f>
        <v xml:space="preserve">PONTOTOC                  </v>
      </c>
      <c r="F11725" t="str">
        <f t="shared" si="313"/>
        <v>MS</v>
      </c>
    </row>
    <row r="11726" spans="1:6" x14ac:dyDescent="0.25">
      <c r="A11726" t="str">
        <f>"006204508"</f>
        <v>006204508</v>
      </c>
      <c r="B11726" t="str">
        <f>"1841752730"</f>
        <v>1841752730</v>
      </c>
      <c r="C11726" t="str">
        <f>"208000000X"</f>
        <v>208000000X</v>
      </c>
      <c r="D11726" t="str">
        <f>"ELZAKI                   YASMIN                   "</f>
        <v xml:space="preserve">ELZAKI                   YASMIN                   </v>
      </c>
      <c r="E11726" t="str">
        <f>"JACKSON                   "</f>
        <v xml:space="preserve">JACKSON                   </v>
      </c>
      <c r="F11726" t="str">
        <f t="shared" si="313"/>
        <v>MS</v>
      </c>
    </row>
    <row r="11727" spans="1:6" x14ac:dyDescent="0.25">
      <c r="A11727" t="str">
        <f>"006204861"</f>
        <v>006204861</v>
      </c>
      <c r="B11727" t="str">
        <f>"1750723110"</f>
        <v>1750723110</v>
      </c>
      <c r="C11727" t="str">
        <f>"207R00000X"</f>
        <v>207R00000X</v>
      </c>
      <c r="D11727" t="str">
        <f>"PREECE                   JOHN         P           "</f>
        <v xml:space="preserve">PREECE                   JOHN         P           </v>
      </c>
      <c r="E11727" t="str">
        <f>"CORINTH                   "</f>
        <v xml:space="preserve">CORINTH                   </v>
      </c>
      <c r="F11727" t="str">
        <f t="shared" si="313"/>
        <v>MS</v>
      </c>
    </row>
    <row r="11728" spans="1:6" x14ac:dyDescent="0.25">
      <c r="A11728" t="str">
        <f>"006207069"</f>
        <v>006207069</v>
      </c>
      <c r="B11728" t="str">
        <f>"1639258411"</f>
        <v>1639258411</v>
      </c>
      <c r="C11728" t="str">
        <f>"152W00000X"</f>
        <v>152W00000X</v>
      </c>
      <c r="D11728" t="str">
        <f>"GILICH                   JOHNEEN      E           "</f>
        <v xml:space="preserve">GILICH                   JOHNEEN      E           </v>
      </c>
      <c r="E11728" t="str">
        <f>"BILOXI                    "</f>
        <v xml:space="preserve">BILOXI                    </v>
      </c>
      <c r="F11728" t="str">
        <f t="shared" si="313"/>
        <v>MS</v>
      </c>
    </row>
    <row r="11729" spans="1:6" x14ac:dyDescent="0.25">
      <c r="A11729" t="str">
        <f>"006207340"</f>
        <v>006207340</v>
      </c>
      <c r="B11729" t="str">
        <f>"1346354081"</f>
        <v>1346354081</v>
      </c>
      <c r="C11729" t="str">
        <f>"208800000X"</f>
        <v>208800000X</v>
      </c>
      <c r="D11729" t="str">
        <f>"WILSON JR                WOODIE       J           "</f>
        <v xml:space="preserve">WILSON JR                WOODIE       J           </v>
      </c>
      <c r="E11729" t="str">
        <f>"HATTIESBURG               "</f>
        <v xml:space="preserve">HATTIESBURG               </v>
      </c>
      <c r="F11729" t="str">
        <f t="shared" si="313"/>
        <v>MS</v>
      </c>
    </row>
    <row r="11730" spans="1:6" x14ac:dyDescent="0.25">
      <c r="A11730" t="str">
        <f>"006207856"</f>
        <v>006207856</v>
      </c>
      <c r="B11730" t="str">
        <f>"1710391545"</f>
        <v>1710391545</v>
      </c>
      <c r="C11730" t="str">
        <f>"122300000X"</f>
        <v>122300000X</v>
      </c>
      <c r="D11730" t="str">
        <f>"TERRANCE WARE DDS                                 "</f>
        <v xml:space="preserve">TERRANCE WARE DDS                                 </v>
      </c>
      <c r="E11730" t="str">
        <f>"JACKSON                   "</f>
        <v xml:space="preserve">JACKSON                   </v>
      </c>
      <c r="F11730" t="str">
        <f t="shared" si="313"/>
        <v>MS</v>
      </c>
    </row>
    <row r="11731" spans="1:6" x14ac:dyDescent="0.25">
      <c r="A11731" t="str">
        <f>"006208014"</f>
        <v>006208014</v>
      </c>
      <c r="B11731" t="str">
        <f>"1396346607"</f>
        <v>1396346607</v>
      </c>
      <c r="C11731" t="str">
        <f>"363L00000X"</f>
        <v>363L00000X</v>
      </c>
      <c r="D11731" t="str">
        <f>"HANNAH                   ASHLEIGH     R           "</f>
        <v xml:space="preserve">HANNAH                   ASHLEIGH     R           </v>
      </c>
      <c r="E11731" t="str">
        <f>"JACKSON                   "</f>
        <v xml:space="preserve">JACKSON                   </v>
      </c>
      <c r="F11731" t="str">
        <f t="shared" si="313"/>
        <v>MS</v>
      </c>
    </row>
    <row r="11732" spans="1:6" x14ac:dyDescent="0.25">
      <c r="A11732" t="str">
        <f>"006208060"</f>
        <v>006208060</v>
      </c>
      <c r="B11732" t="str">
        <f>"1225239411"</f>
        <v>1225239411</v>
      </c>
      <c r="C11732" t="str">
        <f>"363L00000X"</f>
        <v>363L00000X</v>
      </c>
      <c r="D11732" t="str">
        <f>"MOORE                    TRENITA      L           "</f>
        <v xml:space="preserve">MOORE                    TRENITA      L           </v>
      </c>
      <c r="E11732" t="str">
        <f>"BILOXI                    "</f>
        <v xml:space="preserve">BILOXI                    </v>
      </c>
      <c r="F11732" t="str">
        <f t="shared" si="313"/>
        <v>MS</v>
      </c>
    </row>
    <row r="11733" spans="1:6" x14ac:dyDescent="0.25">
      <c r="A11733" t="str">
        <f>"006208260"</f>
        <v>006208260</v>
      </c>
      <c r="B11733" t="str">
        <f>"1285601856"</f>
        <v>1285601856</v>
      </c>
      <c r="C11733" t="str">
        <f>"207Q00000X"</f>
        <v>207Q00000X</v>
      </c>
      <c r="D11733" t="str">
        <f>"DREYER                   KRISTI       L           "</f>
        <v xml:space="preserve">DREYER                   KRISTI       L           </v>
      </c>
      <c r="E11733" t="str">
        <f>"COLUMBUS                  "</f>
        <v xml:space="preserve">COLUMBUS                  </v>
      </c>
      <c r="F11733" t="str">
        <f t="shared" si="313"/>
        <v>MS</v>
      </c>
    </row>
    <row r="11734" spans="1:6" x14ac:dyDescent="0.25">
      <c r="A11734" t="str">
        <f>"006209822"</f>
        <v>006209822</v>
      </c>
      <c r="B11734" t="str">
        <f>"1528148483"</f>
        <v>1528148483</v>
      </c>
      <c r="C11734" t="str">
        <f>"207R00000X"</f>
        <v>207R00000X</v>
      </c>
      <c r="D11734" t="str">
        <f>"JACKSON                  MELINDA      M           "</f>
        <v xml:space="preserve">JACKSON                  MELINDA      M           </v>
      </c>
      <c r="E11734" t="str">
        <f>"JACKSON                   "</f>
        <v xml:space="preserve">JACKSON                   </v>
      </c>
      <c r="F11734" t="str">
        <f t="shared" si="313"/>
        <v>MS</v>
      </c>
    </row>
    <row r="11735" spans="1:6" x14ac:dyDescent="0.25">
      <c r="A11735" t="str">
        <f>"006220337"</f>
        <v>006220337</v>
      </c>
      <c r="B11735" t="str">
        <f>"1952313843"</f>
        <v>1952313843</v>
      </c>
      <c r="C11735" t="str">
        <f>"367500000X"</f>
        <v>367500000X</v>
      </c>
      <c r="D11735" t="str">
        <f>"SPIERS JR                THOMAS       D           "</f>
        <v xml:space="preserve">SPIERS JR                THOMAS       D           </v>
      </c>
      <c r="E11735" t="str">
        <f>"LAUREL                    "</f>
        <v xml:space="preserve">LAUREL                    </v>
      </c>
      <c r="F11735" t="str">
        <f t="shared" si="313"/>
        <v>MS</v>
      </c>
    </row>
    <row r="11736" spans="1:6" x14ac:dyDescent="0.25">
      <c r="A11736" t="str">
        <f>"006221705"</f>
        <v>006221705</v>
      </c>
      <c r="B11736" t="str">
        <f>"1487162319"</f>
        <v>1487162319</v>
      </c>
      <c r="C11736" t="str">
        <f>"363L00000X"</f>
        <v>363L00000X</v>
      </c>
      <c r="D11736" t="str">
        <f>"SMITH                    MARY         C           "</f>
        <v xml:space="preserve">SMITH                    MARY         C           </v>
      </c>
      <c r="E11736" t="str">
        <f>"JACKSON                   "</f>
        <v xml:space="preserve">JACKSON                   </v>
      </c>
      <c r="F11736" t="str">
        <f t="shared" si="313"/>
        <v>MS</v>
      </c>
    </row>
    <row r="11737" spans="1:6" x14ac:dyDescent="0.25">
      <c r="A11737" t="str">
        <f>"006222055"</f>
        <v>006222055</v>
      </c>
      <c r="B11737" t="str">
        <f>"1407148935"</f>
        <v>1407148935</v>
      </c>
      <c r="C11737" t="str">
        <f>"208C00000X"</f>
        <v>208C00000X</v>
      </c>
      <c r="D11737" t="str">
        <f>"BROWN                    RAMON        A           "</f>
        <v xml:space="preserve">BROWN                    RAMON        A           </v>
      </c>
      <c r="E11737" t="str">
        <f>"BILOXI                    "</f>
        <v xml:space="preserve">BILOXI                    </v>
      </c>
      <c r="F11737" t="str">
        <f t="shared" si="313"/>
        <v>MS</v>
      </c>
    </row>
    <row r="11738" spans="1:6" x14ac:dyDescent="0.25">
      <c r="A11738" t="str">
        <f>"006222257"</f>
        <v>006222257</v>
      </c>
      <c r="B11738" t="str">
        <f>"1164862264"</f>
        <v>1164862264</v>
      </c>
      <c r="C11738" t="str">
        <f>"207P00000X"</f>
        <v>207P00000X</v>
      </c>
      <c r="D11738" t="str">
        <f>"HODA                     NICHOLAS     E           "</f>
        <v xml:space="preserve">HODA                     NICHOLAS     E           </v>
      </c>
      <c r="E11738" t="str">
        <f>"JACKSON                   "</f>
        <v xml:space="preserve">JACKSON                   </v>
      </c>
      <c r="F11738" t="str">
        <f t="shared" si="313"/>
        <v>MS</v>
      </c>
    </row>
    <row r="11739" spans="1:6" x14ac:dyDescent="0.25">
      <c r="A11739" t="str">
        <f>"006222555"</f>
        <v>006222555</v>
      </c>
      <c r="B11739" t="str">
        <f>"1902369457"</f>
        <v>1902369457</v>
      </c>
      <c r="C11739" t="str">
        <f>"363L00000X"</f>
        <v>363L00000X</v>
      </c>
      <c r="D11739" t="str">
        <f>"FRANKLIN                 REBECCA      J           "</f>
        <v xml:space="preserve">FRANKLIN                 REBECCA      J           </v>
      </c>
      <c r="E11739" t="str">
        <f>"WINONA                    "</f>
        <v xml:space="preserve">WINONA                    </v>
      </c>
      <c r="F11739" t="str">
        <f t="shared" si="313"/>
        <v>MS</v>
      </c>
    </row>
    <row r="11740" spans="1:6" x14ac:dyDescent="0.25">
      <c r="A11740" t="str">
        <f>"006224377"</f>
        <v>006224377</v>
      </c>
      <c r="B11740" t="str">
        <f>"1861990111"</f>
        <v>1861990111</v>
      </c>
      <c r="C11740" t="str">
        <f>"363L00000X"</f>
        <v>363L00000X</v>
      </c>
      <c r="D11740" t="str">
        <f>"GAMMEL                   AMY          M           "</f>
        <v xml:space="preserve">GAMMEL                   AMY          M           </v>
      </c>
      <c r="E11740" t="str">
        <f>"WINONA                    "</f>
        <v xml:space="preserve">WINONA                    </v>
      </c>
      <c r="F11740" t="str">
        <f t="shared" si="313"/>
        <v>MS</v>
      </c>
    </row>
    <row r="11741" spans="1:6" x14ac:dyDescent="0.25">
      <c r="A11741" t="str">
        <f>"006225219"</f>
        <v>006225219</v>
      </c>
      <c r="B11741" t="str">
        <f>"1770849580"</f>
        <v>1770849580</v>
      </c>
      <c r="C11741" t="str">
        <f>"363L00000X"</f>
        <v>363L00000X</v>
      </c>
      <c r="D11741" t="str">
        <f>"DUMAL                    KATHERINE    R           "</f>
        <v xml:space="preserve">DUMAL                    KATHERINE    R           </v>
      </c>
      <c r="E11741" t="str">
        <f>"GULFPORT                  "</f>
        <v xml:space="preserve">GULFPORT                  </v>
      </c>
      <c r="F11741" t="str">
        <f t="shared" si="313"/>
        <v>MS</v>
      </c>
    </row>
    <row r="11742" spans="1:6" x14ac:dyDescent="0.25">
      <c r="A11742" t="str">
        <f>"006225261"</f>
        <v>006225261</v>
      </c>
      <c r="B11742" t="str">
        <f>"1679759898"</f>
        <v>1679759898</v>
      </c>
      <c r="C11742" t="str">
        <f>"2085R0202X"</f>
        <v>2085R0202X</v>
      </c>
      <c r="D11742" t="str">
        <f>"ALI                      MOHAMMAD     A           "</f>
        <v xml:space="preserve">ALI                      MOHAMMAD     A           </v>
      </c>
      <c r="E11742" t="str">
        <f>"JACKSON                   "</f>
        <v xml:space="preserve">JACKSON                   </v>
      </c>
      <c r="F11742" t="str">
        <f t="shared" si="313"/>
        <v>MS</v>
      </c>
    </row>
    <row r="11743" spans="1:6" x14ac:dyDescent="0.25">
      <c r="A11743" t="str">
        <f>"006225598"</f>
        <v>006225598</v>
      </c>
      <c r="B11743" t="str">
        <f>"1750709028"</f>
        <v>1750709028</v>
      </c>
      <c r="C11743" t="str">
        <f>"207ZP0102X"</f>
        <v>207ZP0102X</v>
      </c>
      <c r="D11743" t="str">
        <f>"DUNN                     ANDREW       L           "</f>
        <v xml:space="preserve">DUNN                     ANDREW       L           </v>
      </c>
      <c r="E11743" t="str">
        <f>"HATTIESBURG               "</f>
        <v xml:space="preserve">HATTIESBURG               </v>
      </c>
      <c r="F11743" t="str">
        <f t="shared" si="313"/>
        <v>MS</v>
      </c>
    </row>
    <row r="11744" spans="1:6" x14ac:dyDescent="0.25">
      <c r="A11744" t="str">
        <f>"006225754"</f>
        <v>006225754</v>
      </c>
      <c r="B11744" t="str">
        <f>"1588037972"</f>
        <v>1588037972</v>
      </c>
      <c r="C11744" t="str">
        <f>"363L00000X"</f>
        <v>363L00000X</v>
      </c>
      <c r="D11744" t="str">
        <f>"MCPHERSON                KRISTEN      P           "</f>
        <v xml:space="preserve">MCPHERSON                KRISTEN      P           </v>
      </c>
      <c r="E11744" t="str">
        <f>"FLOWOOD                   "</f>
        <v xml:space="preserve">FLOWOOD                   </v>
      </c>
      <c r="F11744" t="str">
        <f t="shared" si="313"/>
        <v>MS</v>
      </c>
    </row>
    <row r="11745" spans="1:6" x14ac:dyDescent="0.25">
      <c r="A11745" t="str">
        <f>"006225817"</f>
        <v>006225817</v>
      </c>
      <c r="B11745" t="str">
        <f>"1588053052"</f>
        <v>1588053052</v>
      </c>
      <c r="C11745" t="str">
        <f>"363LG0600X"</f>
        <v>363LG0600X</v>
      </c>
      <c r="D11745" t="str">
        <f>"COLE                     JUSTIN       L           "</f>
        <v xml:space="preserve">COLE                     JUSTIN       L           </v>
      </c>
      <c r="E11745" t="str">
        <f>"JACKSON                   "</f>
        <v xml:space="preserve">JACKSON                   </v>
      </c>
      <c r="F11745" t="str">
        <f t="shared" si="313"/>
        <v>MS</v>
      </c>
    </row>
    <row r="11746" spans="1:6" x14ac:dyDescent="0.25">
      <c r="A11746" t="str">
        <f>"006226014"</f>
        <v>006226014</v>
      </c>
      <c r="B11746" t="str">
        <f>"1881198075"</f>
        <v>1881198075</v>
      </c>
      <c r="C11746" t="str">
        <f>"207P00000X"</f>
        <v>207P00000X</v>
      </c>
      <c r="D11746" t="str">
        <f>"UNGER                    JEREMY                   "</f>
        <v xml:space="preserve">UNGER                    JEREMY                   </v>
      </c>
      <c r="E11746" t="str">
        <f>"LAUREL                    "</f>
        <v xml:space="preserve">LAUREL                    </v>
      </c>
      <c r="F11746" t="str">
        <f t="shared" si="313"/>
        <v>MS</v>
      </c>
    </row>
    <row r="11747" spans="1:6" x14ac:dyDescent="0.25">
      <c r="A11747" t="str">
        <f>"006226201"</f>
        <v>006226201</v>
      </c>
      <c r="B11747" t="str">
        <f>"1700292166"</f>
        <v>1700292166</v>
      </c>
      <c r="C11747" t="str">
        <f>"363L00000X"</f>
        <v>363L00000X</v>
      </c>
      <c r="D11747" t="str">
        <f>"JONES                    ANYA         G           "</f>
        <v xml:space="preserve">JONES                    ANYA         G           </v>
      </c>
      <c r="E11747" t="str">
        <f>"CHOCTAW                   "</f>
        <v xml:space="preserve">CHOCTAW                   </v>
      </c>
      <c r="F11747" t="str">
        <f t="shared" si="313"/>
        <v>MS</v>
      </c>
    </row>
    <row r="11748" spans="1:6" x14ac:dyDescent="0.25">
      <c r="A11748" t="str">
        <f>"006227091"</f>
        <v>006227091</v>
      </c>
      <c r="B11748" t="str">
        <f>"1568757201"</f>
        <v>1568757201</v>
      </c>
      <c r="C11748" t="str">
        <f>"208000000X"</f>
        <v>208000000X</v>
      </c>
      <c r="D11748" t="str">
        <f>"WARRINGTON               JAMES        E           "</f>
        <v xml:space="preserve">WARRINGTON               JAMES        E           </v>
      </c>
      <c r="E11748" t="str">
        <f>"OXFORD                    "</f>
        <v xml:space="preserve">OXFORD                    </v>
      </c>
      <c r="F11748" t="str">
        <f t="shared" si="313"/>
        <v>MS</v>
      </c>
    </row>
    <row r="11749" spans="1:6" x14ac:dyDescent="0.25">
      <c r="A11749" t="str">
        <f>"006227886"</f>
        <v>006227886</v>
      </c>
      <c r="B11749" t="str">
        <f>"1053743781"</f>
        <v>1053743781</v>
      </c>
      <c r="C11749" t="str">
        <f>"152W00000X"</f>
        <v>152W00000X</v>
      </c>
      <c r="D11749" t="str">
        <f>"ROGERS FAMILY EYE CARE LLC                        "</f>
        <v xml:space="preserve">ROGERS FAMILY EYE CARE LLC                        </v>
      </c>
      <c r="E11749" t="str">
        <f>"RIDGELAND                 "</f>
        <v xml:space="preserve">RIDGELAND                 </v>
      </c>
      <c r="F11749" t="str">
        <f t="shared" si="313"/>
        <v>MS</v>
      </c>
    </row>
    <row r="11750" spans="1:6" x14ac:dyDescent="0.25">
      <c r="A11750" t="str">
        <f>"006229517"</f>
        <v>006229517</v>
      </c>
      <c r="B11750" t="str">
        <f>"1023609658"</f>
        <v>1023609658</v>
      </c>
      <c r="C11750" t="str">
        <f>"261QR1300X"</f>
        <v>261QR1300X</v>
      </c>
      <c r="D11750" t="str">
        <f>"MRH MEDICAL GROUP, PREMIER DIABETES               "</f>
        <v xml:space="preserve">MRH MEDICAL GROUP, PREMIER DIABETES               </v>
      </c>
      <c r="E11750" t="str">
        <f>"BELDEN                    "</f>
        <v xml:space="preserve">BELDEN                    </v>
      </c>
      <c r="F11750" t="str">
        <f t="shared" si="313"/>
        <v>MS</v>
      </c>
    </row>
    <row r="11751" spans="1:6" x14ac:dyDescent="0.25">
      <c r="A11751" t="str">
        <f>"006229807"</f>
        <v>006229807</v>
      </c>
      <c r="B11751" t="str">
        <f>"1568813558"</f>
        <v>1568813558</v>
      </c>
      <c r="C11751" t="str">
        <f>"363L00000X"</f>
        <v>363L00000X</v>
      </c>
      <c r="D11751" t="str">
        <f>"LAMBERT                  JOHN         C           "</f>
        <v xml:space="preserve">LAMBERT                  JOHN         C           </v>
      </c>
      <c r="E11751" t="str">
        <f>"BROOKHAVEN                "</f>
        <v xml:space="preserve">BROOKHAVEN                </v>
      </c>
      <c r="F11751" t="str">
        <f t="shared" si="313"/>
        <v>MS</v>
      </c>
    </row>
    <row r="11752" spans="1:6" x14ac:dyDescent="0.25">
      <c r="A11752" t="str">
        <f>"006230032"</f>
        <v>006230032</v>
      </c>
      <c r="B11752" t="str">
        <f>"1508934464"</f>
        <v>1508934464</v>
      </c>
      <c r="C11752" t="str">
        <f>"208VP0014X"</f>
        <v>208VP0014X</v>
      </c>
      <c r="D11752" t="str">
        <f>"EDMISTON                 BART         J           "</f>
        <v xml:space="preserve">EDMISTON                 BART         J           </v>
      </c>
      <c r="E11752" t="str">
        <f>"BILOXI                    "</f>
        <v xml:space="preserve">BILOXI                    </v>
      </c>
      <c r="F11752" t="str">
        <f t="shared" si="313"/>
        <v>MS</v>
      </c>
    </row>
    <row r="11753" spans="1:6" x14ac:dyDescent="0.25">
      <c r="A11753" t="str">
        <f>"006230066"</f>
        <v>006230066</v>
      </c>
      <c r="B11753" t="str">
        <f>"1073253381"</f>
        <v>1073253381</v>
      </c>
      <c r="C11753" t="str">
        <f>"207W00000X"</f>
        <v>207W00000X</v>
      </c>
      <c r="D11753" t="str">
        <f>"SALVADOR                 DANIEL                   "</f>
        <v xml:space="preserve">SALVADOR                 DANIEL                   </v>
      </c>
      <c r="E11753" t="str">
        <f>"JACKSON                   "</f>
        <v xml:space="preserve">JACKSON                   </v>
      </c>
      <c r="F11753" t="str">
        <f t="shared" si="313"/>
        <v>MS</v>
      </c>
    </row>
    <row r="11754" spans="1:6" x14ac:dyDescent="0.25">
      <c r="A11754" t="str">
        <f>"006230860"</f>
        <v>006230860</v>
      </c>
      <c r="B11754" t="str">
        <f>"1992092548"</f>
        <v>1992092548</v>
      </c>
      <c r="C11754" t="str">
        <f>"2084N0400X"</f>
        <v>2084N0400X</v>
      </c>
      <c r="D11754" t="str">
        <f>"GANGADHARA               SHREYAS                  "</f>
        <v xml:space="preserve">GANGADHARA               SHREYAS                  </v>
      </c>
      <c r="E11754" t="str">
        <f>"JACKSON                   "</f>
        <v xml:space="preserve">JACKSON                   </v>
      </c>
      <c r="F11754" t="str">
        <f t="shared" si="313"/>
        <v>MS</v>
      </c>
    </row>
    <row r="11755" spans="1:6" x14ac:dyDescent="0.25">
      <c r="A11755" t="str">
        <f>"006231595"</f>
        <v>006231595</v>
      </c>
      <c r="B11755" t="str">
        <f>"1982913729"</f>
        <v>1982913729</v>
      </c>
      <c r="C11755" t="str">
        <f>"363L00000X"</f>
        <v>363L00000X</v>
      </c>
      <c r="D11755" t="str">
        <f>"GARNER                   JESSICA      A           "</f>
        <v xml:space="preserve">GARNER                   JESSICA      A           </v>
      </c>
      <c r="E11755" t="str">
        <f>"RALEIGH                   "</f>
        <v xml:space="preserve">RALEIGH                   </v>
      </c>
      <c r="F11755" t="str">
        <f t="shared" si="313"/>
        <v>MS</v>
      </c>
    </row>
    <row r="11756" spans="1:6" x14ac:dyDescent="0.25">
      <c r="A11756" t="str">
        <f>"006231763"</f>
        <v>006231763</v>
      </c>
      <c r="B11756" t="str">
        <f>"1407268386"</f>
        <v>1407268386</v>
      </c>
      <c r="C11756" t="str">
        <f>"208600000X"</f>
        <v>208600000X</v>
      </c>
      <c r="D11756" t="str">
        <f>"HARRISON                 JON          B           "</f>
        <v xml:space="preserve">HARRISON                 JON          B           </v>
      </c>
      <c r="E11756" t="str">
        <f>"HATTIESBURG               "</f>
        <v xml:space="preserve">HATTIESBURG               </v>
      </c>
      <c r="F11756" t="str">
        <f t="shared" si="313"/>
        <v>MS</v>
      </c>
    </row>
    <row r="11757" spans="1:6" x14ac:dyDescent="0.25">
      <c r="A11757" t="str">
        <f>"006231797"</f>
        <v>006231797</v>
      </c>
      <c r="B11757" t="str">
        <f>"1881770378"</f>
        <v>1881770378</v>
      </c>
      <c r="C11757" t="str">
        <f>"363A00000X"</f>
        <v>363A00000X</v>
      </c>
      <c r="D11757" t="str">
        <f>"BLAIR                    JESSICA      A           "</f>
        <v xml:space="preserve">BLAIR                    JESSICA      A           </v>
      </c>
      <c r="E11757" t="str">
        <f>"GULFPORT                  "</f>
        <v xml:space="preserve">GULFPORT                  </v>
      </c>
      <c r="F11757" t="str">
        <f t="shared" si="313"/>
        <v>MS</v>
      </c>
    </row>
    <row r="11758" spans="1:6" x14ac:dyDescent="0.25">
      <c r="A11758" t="str">
        <f>"006233378"</f>
        <v>006233378</v>
      </c>
      <c r="B11758" t="str">
        <f>"1730552787"</f>
        <v>1730552787</v>
      </c>
      <c r="C11758" t="str">
        <f>"363L00000X"</f>
        <v>363L00000X</v>
      </c>
      <c r="D11758" t="str">
        <f>"CROSS                    ALEXIS       L           "</f>
        <v xml:space="preserve">CROSS                    ALEXIS       L           </v>
      </c>
      <c r="E11758" t="str">
        <f>"VICKSBURG                 "</f>
        <v xml:space="preserve">VICKSBURG                 </v>
      </c>
      <c r="F11758" t="str">
        <f t="shared" si="313"/>
        <v>MS</v>
      </c>
    </row>
    <row r="11759" spans="1:6" x14ac:dyDescent="0.25">
      <c r="A11759" t="str">
        <f>"006233735"</f>
        <v>006233735</v>
      </c>
      <c r="B11759" t="str">
        <f>"1104292895"</f>
        <v>1104292895</v>
      </c>
      <c r="C11759" t="str">
        <f>"363L00000X"</f>
        <v>363L00000X</v>
      </c>
      <c r="D11759" t="str">
        <f>"BLASSINGAME              KATHERINE    R           "</f>
        <v xml:space="preserve">BLASSINGAME              KATHERINE    R           </v>
      </c>
      <c r="E11759" t="str">
        <f>"NEW ALBANY                "</f>
        <v xml:space="preserve">NEW ALBANY                </v>
      </c>
      <c r="F11759" t="str">
        <f t="shared" si="313"/>
        <v>MS</v>
      </c>
    </row>
    <row r="11760" spans="1:6" x14ac:dyDescent="0.25">
      <c r="A11760" t="str">
        <f>"006233844"</f>
        <v>006233844</v>
      </c>
      <c r="B11760" t="str">
        <f>"1790144210"</f>
        <v>1790144210</v>
      </c>
      <c r="C11760" t="str">
        <f>"122300000X"</f>
        <v>122300000X</v>
      </c>
      <c r="D11760" t="str">
        <f>"ONE SMILE DENTAL GROUP                            "</f>
        <v xml:space="preserve">ONE SMILE DENTAL GROUP                            </v>
      </c>
      <c r="E11760" t="str">
        <f>"PONTOTOC                  "</f>
        <v xml:space="preserve">PONTOTOC                  </v>
      </c>
      <c r="F11760" t="str">
        <f t="shared" si="313"/>
        <v>MS</v>
      </c>
    </row>
    <row r="11761" spans="1:6" x14ac:dyDescent="0.25">
      <c r="A11761" t="str">
        <f>"006234311"</f>
        <v>006234311</v>
      </c>
      <c r="B11761" t="str">
        <f>"1568446334"</f>
        <v>1568446334</v>
      </c>
      <c r="C11761" t="str">
        <f>"207L00000X"</f>
        <v>207L00000X</v>
      </c>
      <c r="D11761" t="str">
        <f>"MCREYNOLDS               JOHN         T           "</f>
        <v xml:space="preserve">MCREYNOLDS               JOHN         T           </v>
      </c>
      <c r="E11761" t="str">
        <f>"COLUMBUS                  "</f>
        <v xml:space="preserve">COLUMBUS                  </v>
      </c>
      <c r="F11761" t="str">
        <f t="shared" si="313"/>
        <v>MS</v>
      </c>
    </row>
    <row r="11762" spans="1:6" x14ac:dyDescent="0.25">
      <c r="A11762" t="str">
        <f>"006234804"</f>
        <v>006234804</v>
      </c>
      <c r="B11762" t="str">
        <f>"1558604934"</f>
        <v>1558604934</v>
      </c>
      <c r="C11762" t="str">
        <f>"207Y00000X"</f>
        <v>207Y00000X</v>
      </c>
      <c r="D11762" t="str">
        <f>"SCHIMMEL                 ELIZABETH    K           "</f>
        <v xml:space="preserve">SCHIMMEL                 ELIZABETH    K           </v>
      </c>
      <c r="E11762" t="str">
        <f>"FLOWOOD                   "</f>
        <v xml:space="preserve">FLOWOOD                   </v>
      </c>
      <c r="F11762" t="str">
        <f t="shared" si="313"/>
        <v>MS</v>
      </c>
    </row>
    <row r="11763" spans="1:6" x14ac:dyDescent="0.25">
      <c r="A11763" t="str">
        <f>"006235079"</f>
        <v>006235079</v>
      </c>
      <c r="B11763" t="str">
        <f>"1225704976"</f>
        <v>1225704976</v>
      </c>
      <c r="C11763" t="str">
        <f>"363LF0000X"</f>
        <v>363LF0000X</v>
      </c>
      <c r="D11763" t="str">
        <f>"BARRON                   LATORYA                  "</f>
        <v xml:space="preserve">BARRON                   LATORYA                  </v>
      </c>
      <c r="E11763" t="str">
        <f>"MERIDIAN                  "</f>
        <v xml:space="preserve">MERIDIAN                  </v>
      </c>
      <c r="F11763" t="str">
        <f t="shared" si="313"/>
        <v>MS</v>
      </c>
    </row>
    <row r="11764" spans="1:6" x14ac:dyDescent="0.25">
      <c r="A11764" t="str">
        <f>"006235293"</f>
        <v>006235293</v>
      </c>
      <c r="B11764" t="str">
        <f>"1689131401"</f>
        <v>1689131401</v>
      </c>
      <c r="C11764" t="str">
        <f>"363L00000X"</f>
        <v>363L00000X</v>
      </c>
      <c r="D11764" t="str">
        <f>"CAIN                     AMY          M           "</f>
        <v xml:space="preserve">CAIN                     AMY          M           </v>
      </c>
      <c r="E11764" t="str">
        <f>"CLEVELAND                 "</f>
        <v xml:space="preserve">CLEVELAND                 </v>
      </c>
      <c r="F11764" t="str">
        <f t="shared" si="313"/>
        <v>MS</v>
      </c>
    </row>
    <row r="11765" spans="1:6" x14ac:dyDescent="0.25">
      <c r="A11765" t="str">
        <f>"006236897"</f>
        <v>006236897</v>
      </c>
      <c r="B11765" t="str">
        <f>"1982648382"</f>
        <v>1982648382</v>
      </c>
      <c r="C11765" t="str">
        <f>"363L00000X"</f>
        <v>363L00000X</v>
      </c>
      <c r="D11765" t="str">
        <f>"BENSON                   JEANNE       R           "</f>
        <v xml:space="preserve">BENSON                   JEANNE       R           </v>
      </c>
      <c r="E11765" t="str">
        <f>"TUPELO                    "</f>
        <v xml:space="preserve">TUPELO                    </v>
      </c>
      <c r="F11765" t="str">
        <f t="shared" si="313"/>
        <v>MS</v>
      </c>
    </row>
    <row r="11766" spans="1:6" x14ac:dyDescent="0.25">
      <c r="A11766" t="str">
        <f>"006239077"</f>
        <v>006239077</v>
      </c>
      <c r="B11766" t="str">
        <f>"1376566869"</f>
        <v>1376566869</v>
      </c>
      <c r="C11766" t="str">
        <f>"207V00000X"</f>
        <v>207V00000X</v>
      </c>
      <c r="D11766" t="str">
        <f>"DAIGLE                   DONIELLE     A           "</f>
        <v xml:space="preserve">DAIGLE                   DONIELLE     A           </v>
      </c>
      <c r="E11766" t="str">
        <f>"GULFPORT                  "</f>
        <v xml:space="preserve">GULFPORT                  </v>
      </c>
      <c r="F11766" t="str">
        <f t="shared" si="313"/>
        <v>MS</v>
      </c>
    </row>
    <row r="11767" spans="1:6" x14ac:dyDescent="0.25">
      <c r="A11767" t="str">
        <f>"006250099"</f>
        <v>006250099</v>
      </c>
      <c r="B11767" t="str">
        <f>"1013985225"</f>
        <v>1013985225</v>
      </c>
      <c r="C11767" t="str">
        <f>"363L00000X"</f>
        <v>363L00000X</v>
      </c>
      <c r="D11767" t="str">
        <f>"MCCOY                    HANNAH       J           "</f>
        <v xml:space="preserve">MCCOY                    HANNAH       J           </v>
      </c>
      <c r="E11767" t="str">
        <f>"TUPELO                    "</f>
        <v xml:space="preserve">TUPELO                    </v>
      </c>
      <c r="F11767" t="str">
        <f t="shared" si="313"/>
        <v>MS</v>
      </c>
    </row>
    <row r="11768" spans="1:6" x14ac:dyDescent="0.25">
      <c r="A11768" t="str">
        <f>"006252395"</f>
        <v>006252395</v>
      </c>
      <c r="B11768" t="str">
        <f>"1619051877"</f>
        <v>1619051877</v>
      </c>
      <c r="C11768" t="str">
        <f>"207P00000X"</f>
        <v>207P00000X</v>
      </c>
      <c r="D11768" t="str">
        <f>"LEVIN                    PHILIP       L           "</f>
        <v xml:space="preserve">LEVIN                    PHILIP       L           </v>
      </c>
      <c r="E11768" t="str">
        <f>"GULFPORT                  "</f>
        <v xml:space="preserve">GULFPORT                  </v>
      </c>
      <c r="F11768" t="str">
        <f t="shared" si="313"/>
        <v>MS</v>
      </c>
    </row>
    <row r="11769" spans="1:6" x14ac:dyDescent="0.25">
      <c r="A11769" t="str">
        <f>"006252590"</f>
        <v>006252590</v>
      </c>
      <c r="B11769" t="str">
        <f>"1386840619"</f>
        <v>1386840619</v>
      </c>
      <c r="C11769" t="str">
        <f>"208000000X"</f>
        <v>208000000X</v>
      </c>
      <c r="D11769" t="str">
        <f>"WITT                     AMANDA       L           "</f>
        <v xml:space="preserve">WITT                     AMANDA       L           </v>
      </c>
      <c r="E11769" t="str">
        <f>"JACKSON                   "</f>
        <v xml:space="preserve">JACKSON                   </v>
      </c>
      <c r="F11769" t="str">
        <f t="shared" si="313"/>
        <v>MS</v>
      </c>
    </row>
    <row r="11770" spans="1:6" x14ac:dyDescent="0.25">
      <c r="A11770" t="str">
        <f>"006253329"</f>
        <v>006253329</v>
      </c>
      <c r="B11770" t="str">
        <f>"1376784058"</f>
        <v>1376784058</v>
      </c>
      <c r="C11770" t="str">
        <f>"363L00000X"</f>
        <v>363L00000X</v>
      </c>
      <c r="D11770" t="str">
        <f>"PRINCE                   PAMELA       R           "</f>
        <v xml:space="preserve">PRINCE                   PAMELA       R           </v>
      </c>
      <c r="E11770" t="str">
        <f>"PHILADELPHIA              "</f>
        <v xml:space="preserve">PHILADELPHIA              </v>
      </c>
      <c r="F11770" t="str">
        <f t="shared" si="313"/>
        <v>MS</v>
      </c>
    </row>
    <row r="11771" spans="1:6" x14ac:dyDescent="0.25">
      <c r="A11771" t="str">
        <f>"006254252"</f>
        <v>006254252</v>
      </c>
      <c r="B11771" t="str">
        <f>"1912219072"</f>
        <v>1912219072</v>
      </c>
      <c r="C11771" t="str">
        <f>"363L00000X"</f>
        <v>363L00000X</v>
      </c>
      <c r="D11771" t="str">
        <f>"ROBINSON                 LESLIE       B           "</f>
        <v xml:space="preserve">ROBINSON                 LESLIE       B           </v>
      </c>
      <c r="E11771" t="str">
        <f>"YAZOO CITY                "</f>
        <v xml:space="preserve">YAZOO CITY                </v>
      </c>
      <c r="F11771" t="str">
        <f t="shared" si="313"/>
        <v>MS</v>
      </c>
    </row>
    <row r="11772" spans="1:6" x14ac:dyDescent="0.25">
      <c r="A11772" t="str">
        <f>"006254574"</f>
        <v>006254574</v>
      </c>
      <c r="B11772" t="str">
        <f>"1790237170"</f>
        <v>1790237170</v>
      </c>
      <c r="C11772" t="str">
        <f>"261QA0600X"</f>
        <v>261QA0600X</v>
      </c>
      <c r="D11772" t="str">
        <f>"JERUSALEM LIFE ADJUSTMENT CENTER                  "</f>
        <v xml:space="preserve">JERUSALEM LIFE ADJUSTMENT CENTER                  </v>
      </c>
      <c r="E11772" t="str">
        <f>"CHARLESTON                "</f>
        <v xml:space="preserve">CHARLESTON                </v>
      </c>
      <c r="F11772" t="str">
        <f t="shared" si="313"/>
        <v>MS</v>
      </c>
    </row>
    <row r="11773" spans="1:6" x14ac:dyDescent="0.25">
      <c r="A11773" t="str">
        <f>"006257251"</f>
        <v>006257251</v>
      </c>
      <c r="B11773" t="str">
        <f>"1144631649"</f>
        <v>1144631649</v>
      </c>
      <c r="C11773" t="str">
        <f>"2080H0002X"</f>
        <v>2080H0002X</v>
      </c>
      <c r="D11773" t="str">
        <f>"HAYSLETT                 ANDREW       R           "</f>
        <v xml:space="preserve">HAYSLETT                 ANDREW       R           </v>
      </c>
      <c r="E11773" t="str">
        <f>"JACKSON                   "</f>
        <v xml:space="preserve">JACKSON                   </v>
      </c>
      <c r="F11773" t="str">
        <f t="shared" si="313"/>
        <v>MS</v>
      </c>
    </row>
    <row r="11774" spans="1:6" x14ac:dyDescent="0.25">
      <c r="A11774" t="str">
        <f>"006257784"</f>
        <v>006257784</v>
      </c>
      <c r="B11774" t="str">
        <f>"1366693871"</f>
        <v>1366693871</v>
      </c>
      <c r="C11774" t="str">
        <f>"122300000X"</f>
        <v>122300000X</v>
      </c>
      <c r="D11774" t="str">
        <f>"NEELY DENTAL CLINIC PC                            "</f>
        <v xml:space="preserve">NEELY DENTAL CLINIC PC                            </v>
      </c>
      <c r="E11774" t="str">
        <f>"MAGEE                     "</f>
        <v xml:space="preserve">MAGEE                     </v>
      </c>
      <c r="F11774" t="str">
        <f t="shared" ref="F11774:F11837" si="314">"MS"</f>
        <v>MS</v>
      </c>
    </row>
    <row r="11775" spans="1:6" x14ac:dyDescent="0.25">
      <c r="A11775" t="str">
        <f>"006258526"</f>
        <v>006258526</v>
      </c>
      <c r="B11775" t="str">
        <f>"1861150427"</f>
        <v>1861150427</v>
      </c>
      <c r="C11775" t="str">
        <f>"122300000X"</f>
        <v>122300000X</v>
      </c>
      <c r="D11775" t="str">
        <f>"OXFORD DENTAL CLINIC                              "</f>
        <v xml:space="preserve">OXFORD DENTAL CLINIC                              </v>
      </c>
      <c r="E11775" t="str">
        <f>"OXFORD                    "</f>
        <v xml:space="preserve">OXFORD                    </v>
      </c>
      <c r="F11775" t="str">
        <f t="shared" si="314"/>
        <v>MS</v>
      </c>
    </row>
    <row r="11776" spans="1:6" x14ac:dyDescent="0.25">
      <c r="A11776" t="str">
        <f>"006258755"</f>
        <v>006258755</v>
      </c>
      <c r="B11776" t="str">
        <f>"1225232895"</f>
        <v>1225232895</v>
      </c>
      <c r="C11776" t="str">
        <f>"207RC0000X"</f>
        <v>207RC0000X</v>
      </c>
      <c r="D11776" t="str">
        <f>"HAILEY                   LARRY        S           "</f>
        <v xml:space="preserve">HAILEY                   LARRY        S           </v>
      </c>
      <c r="E11776" t="str">
        <f>"MERIDIAN                  "</f>
        <v xml:space="preserve">MERIDIAN                  </v>
      </c>
      <c r="F11776" t="str">
        <f t="shared" si="314"/>
        <v>MS</v>
      </c>
    </row>
    <row r="11777" spans="1:6" x14ac:dyDescent="0.25">
      <c r="A11777" t="str">
        <f>"006258877"</f>
        <v>006258877</v>
      </c>
      <c r="B11777" t="str">
        <f>"1972037851"</f>
        <v>1972037851</v>
      </c>
      <c r="C11777" t="str">
        <f>"363L00000X"</f>
        <v>363L00000X</v>
      </c>
      <c r="D11777" t="str">
        <f>"MEYERS                   SUMMER                   "</f>
        <v xml:space="preserve">MEYERS                   SUMMER                   </v>
      </c>
      <c r="E11777" t="str">
        <f>"GULFPORT                  "</f>
        <v xml:space="preserve">GULFPORT                  </v>
      </c>
      <c r="F11777" t="str">
        <f t="shared" si="314"/>
        <v>MS</v>
      </c>
    </row>
    <row r="11778" spans="1:6" x14ac:dyDescent="0.25">
      <c r="A11778" t="str">
        <f>"006271218"</f>
        <v>006271218</v>
      </c>
      <c r="B11778" t="str">
        <f>"1770873721"</f>
        <v>1770873721</v>
      </c>
      <c r="C11778" t="str">
        <f>"207V00000X"</f>
        <v>207V00000X</v>
      </c>
      <c r="D11778" t="str">
        <f>"TAHERI                   MICHELLE                 "</f>
        <v xml:space="preserve">TAHERI                   MICHELLE                 </v>
      </c>
      <c r="E11778" t="str">
        <f>"JACKSON                   "</f>
        <v xml:space="preserve">JACKSON                   </v>
      </c>
      <c r="F11778" t="str">
        <f t="shared" si="314"/>
        <v>MS</v>
      </c>
    </row>
    <row r="11779" spans="1:6" x14ac:dyDescent="0.25">
      <c r="A11779" t="str">
        <f>"006273354"</f>
        <v>006273354</v>
      </c>
      <c r="B11779" t="str">
        <f>"1689085474"</f>
        <v>1689085474</v>
      </c>
      <c r="C11779" t="str">
        <f>"1223P0221X"</f>
        <v>1223P0221X</v>
      </c>
      <c r="D11779" t="str">
        <f>"NICHOLS                  JONATHAN     R           "</f>
        <v xml:space="preserve">NICHOLS                  JONATHAN     R           </v>
      </c>
      <c r="E11779" t="str">
        <f>"HATTIESBURG               "</f>
        <v xml:space="preserve">HATTIESBURG               </v>
      </c>
      <c r="F11779" t="str">
        <f t="shared" si="314"/>
        <v>MS</v>
      </c>
    </row>
    <row r="11780" spans="1:6" x14ac:dyDescent="0.25">
      <c r="A11780" t="str">
        <f>"006274091"</f>
        <v>006274091</v>
      </c>
      <c r="B11780" t="str">
        <f>"1265851646"</f>
        <v>1265851646</v>
      </c>
      <c r="C11780" t="str">
        <f>"207Q00000X"</f>
        <v>207Q00000X</v>
      </c>
      <c r="D11780" t="str">
        <f>"PENTON                   CHRISTOPHER  A           "</f>
        <v xml:space="preserve">PENTON                   CHRISTOPHER  A           </v>
      </c>
      <c r="E11780" t="str">
        <f>"HATTIESBURG               "</f>
        <v xml:space="preserve">HATTIESBURG               </v>
      </c>
      <c r="F11780" t="str">
        <f t="shared" si="314"/>
        <v>MS</v>
      </c>
    </row>
    <row r="11781" spans="1:6" x14ac:dyDescent="0.25">
      <c r="A11781" t="str">
        <f>"006275325"</f>
        <v>006275325</v>
      </c>
      <c r="B11781" t="str">
        <f>"1164448981"</f>
        <v>1164448981</v>
      </c>
      <c r="C11781" t="str">
        <f>"363L00000X"</f>
        <v>363L00000X</v>
      </c>
      <c r="D11781" t="str">
        <f>"MITCHELL                 VALARIE      A           "</f>
        <v xml:space="preserve">MITCHELL                 VALARIE      A           </v>
      </c>
      <c r="E11781" t="str">
        <f>"CORINTH                   "</f>
        <v xml:space="preserve">CORINTH                   </v>
      </c>
      <c r="F11781" t="str">
        <f t="shared" si="314"/>
        <v>MS</v>
      </c>
    </row>
    <row r="11782" spans="1:6" x14ac:dyDescent="0.25">
      <c r="A11782" t="str">
        <f>"006276379"</f>
        <v>006276379</v>
      </c>
      <c r="B11782" t="str">
        <f>"1821186917"</f>
        <v>1821186917</v>
      </c>
      <c r="C11782" t="str">
        <f>"363L00000X"</f>
        <v>363L00000X</v>
      </c>
      <c r="D11782" t="str">
        <f>"COVINGTON                MEREDITH     H           "</f>
        <v xml:space="preserve">COVINGTON                MEREDITH     H           </v>
      </c>
      <c r="E11782" t="str">
        <f>"JACKSON                   "</f>
        <v xml:space="preserve">JACKSON                   </v>
      </c>
      <c r="F11782" t="str">
        <f t="shared" si="314"/>
        <v>MS</v>
      </c>
    </row>
    <row r="11783" spans="1:6" x14ac:dyDescent="0.25">
      <c r="A11783" t="str">
        <f>"006276506"</f>
        <v>006276506</v>
      </c>
      <c r="B11783" t="str">
        <f>"1023224250"</f>
        <v>1023224250</v>
      </c>
      <c r="C11783" t="str">
        <f>"208600000X"</f>
        <v>208600000X</v>
      </c>
      <c r="D11783" t="str">
        <f>"SHELL                    DAN          H           "</f>
        <v xml:space="preserve">SHELL                    DAN          H           </v>
      </c>
      <c r="E11783" t="str">
        <f>"OXFORD                    "</f>
        <v xml:space="preserve">OXFORD                    </v>
      </c>
      <c r="F11783" t="str">
        <f t="shared" si="314"/>
        <v>MS</v>
      </c>
    </row>
    <row r="11784" spans="1:6" x14ac:dyDescent="0.25">
      <c r="A11784" t="str">
        <f>"006276751"</f>
        <v>006276751</v>
      </c>
      <c r="B11784" t="str">
        <f>"1285175869"</f>
        <v>1285175869</v>
      </c>
      <c r="C11784" t="str">
        <f>"363L00000X"</f>
        <v>363L00000X</v>
      </c>
      <c r="D11784" t="str">
        <f>"ANTHONY                  ASHLEY       H           "</f>
        <v xml:space="preserve">ANTHONY                  ASHLEY       H           </v>
      </c>
      <c r="E11784" t="str">
        <f>"JACKSON                   "</f>
        <v xml:space="preserve">JACKSON                   </v>
      </c>
      <c r="F11784" t="str">
        <f t="shared" si="314"/>
        <v>MS</v>
      </c>
    </row>
    <row r="11785" spans="1:6" x14ac:dyDescent="0.25">
      <c r="A11785" t="str">
        <f>"006277093"</f>
        <v>006277093</v>
      </c>
      <c r="B11785" t="str">
        <f>"1336378819"</f>
        <v>1336378819</v>
      </c>
      <c r="C11785" t="str">
        <f>"207Q00000X"</f>
        <v>207Q00000X</v>
      </c>
      <c r="D11785" t="str">
        <f>"MCILWAIN                 AMBER        H           "</f>
        <v xml:space="preserve">MCILWAIN                 AMBER        H           </v>
      </c>
      <c r="E11785" t="str">
        <f>"DIAMONDHEAD               "</f>
        <v xml:space="preserve">DIAMONDHEAD               </v>
      </c>
      <c r="F11785" t="str">
        <f t="shared" si="314"/>
        <v>MS</v>
      </c>
    </row>
    <row r="11786" spans="1:6" x14ac:dyDescent="0.25">
      <c r="A11786" t="str">
        <f>"006277345"</f>
        <v>006277345</v>
      </c>
      <c r="B11786" t="str">
        <f>"1093791220"</f>
        <v>1093791220</v>
      </c>
      <c r="C11786" t="str">
        <f>"2084N0400X"</f>
        <v>2084N0400X</v>
      </c>
      <c r="D11786" t="str">
        <f>"WOLFE                    JIMMY        V           "</f>
        <v xml:space="preserve">WOLFE                    JIMMY        V           </v>
      </c>
      <c r="E11786" t="str">
        <f>"JACKSON                   "</f>
        <v xml:space="preserve">JACKSON                   </v>
      </c>
      <c r="F11786" t="str">
        <f t="shared" si="314"/>
        <v>MS</v>
      </c>
    </row>
    <row r="11787" spans="1:6" x14ac:dyDescent="0.25">
      <c r="A11787" t="str">
        <f>"006277705"</f>
        <v>006277705</v>
      </c>
      <c r="B11787" t="str">
        <f>"1255840492"</f>
        <v>1255840492</v>
      </c>
      <c r="C11787" t="str">
        <f>"363L00000X"</f>
        <v>363L00000X</v>
      </c>
      <c r="D11787" t="str">
        <f>"WATKINS                  AUSTIN                   "</f>
        <v xml:space="preserve">WATKINS                  AUSTIN                   </v>
      </c>
      <c r="E11787" t="str">
        <f>"IUKA                      "</f>
        <v xml:space="preserve">IUKA                      </v>
      </c>
      <c r="F11787" t="str">
        <f t="shared" si="314"/>
        <v>MS</v>
      </c>
    </row>
    <row r="11788" spans="1:6" x14ac:dyDescent="0.25">
      <c r="A11788" t="str">
        <f>"006278532"</f>
        <v>006278532</v>
      </c>
      <c r="B11788" t="str">
        <f>"1396993663"</f>
        <v>1396993663</v>
      </c>
      <c r="C11788" t="str">
        <f>"207N00000X"</f>
        <v>207N00000X</v>
      </c>
      <c r="D11788" t="str">
        <f>"ADAMS                    AMY          D           "</f>
        <v xml:space="preserve">ADAMS                    AMY          D           </v>
      </c>
      <c r="E11788" t="str">
        <f>"LAUREL                    "</f>
        <v xml:space="preserve">LAUREL                    </v>
      </c>
      <c r="F11788" t="str">
        <f t="shared" si="314"/>
        <v>MS</v>
      </c>
    </row>
    <row r="11789" spans="1:6" x14ac:dyDescent="0.25">
      <c r="A11789" t="str">
        <f>"006279075"</f>
        <v>006279075</v>
      </c>
      <c r="B11789" t="str">
        <f>"1780666313"</f>
        <v>1780666313</v>
      </c>
      <c r="C11789" t="str">
        <f>"208000000X"</f>
        <v>208000000X</v>
      </c>
      <c r="D11789" t="str">
        <f>"BENTON                   TODD         A           "</f>
        <v xml:space="preserve">BENTON                   TODD         A           </v>
      </c>
      <c r="E11789" t="str">
        <f>"HATTIESBURG               "</f>
        <v xml:space="preserve">HATTIESBURG               </v>
      </c>
      <c r="F11789" t="str">
        <f t="shared" si="314"/>
        <v>MS</v>
      </c>
    </row>
    <row r="11790" spans="1:6" x14ac:dyDescent="0.25">
      <c r="A11790" t="str">
        <f>"006279708"</f>
        <v>006279708</v>
      </c>
      <c r="B11790" t="str">
        <f>"1679984546"</f>
        <v>1679984546</v>
      </c>
      <c r="C11790" t="str">
        <f>"2085R0202X"</f>
        <v>2085R0202X</v>
      </c>
      <c r="D11790" t="str">
        <f>"DARUWALLA                VISTASP      J           "</f>
        <v xml:space="preserve">DARUWALLA                VISTASP      J           </v>
      </c>
      <c r="E11790" t="str">
        <f>"LAUREL                    "</f>
        <v xml:space="preserve">LAUREL                    </v>
      </c>
      <c r="F11790" t="str">
        <f t="shared" si="314"/>
        <v>MS</v>
      </c>
    </row>
    <row r="11791" spans="1:6" x14ac:dyDescent="0.25">
      <c r="A11791" t="str">
        <f>"006279770"</f>
        <v>006279770</v>
      </c>
      <c r="B11791" t="str">
        <f>"1386306355"</f>
        <v>1386306355</v>
      </c>
      <c r="C11791" t="str">
        <f>"363L00000X"</f>
        <v>363L00000X</v>
      </c>
      <c r="D11791" t="str">
        <f>"NEAL                     KATIE        R           "</f>
        <v xml:space="preserve">NEAL                     KATIE        R           </v>
      </c>
      <c r="E11791" t="str">
        <f>"MONTICELLO                "</f>
        <v xml:space="preserve">MONTICELLO                </v>
      </c>
      <c r="F11791" t="str">
        <f t="shared" si="314"/>
        <v>MS</v>
      </c>
    </row>
    <row r="11792" spans="1:6" x14ac:dyDescent="0.25">
      <c r="A11792" t="str">
        <f>"006282515"</f>
        <v>006282515</v>
      </c>
      <c r="B11792" t="str">
        <f>"1124284427"</f>
        <v>1124284427</v>
      </c>
      <c r="C11792" t="str">
        <f>"2086S0129X"</f>
        <v>2086S0129X</v>
      </c>
      <c r="D11792" t="str">
        <f>"ALTERMAN                 DANIEL                   "</f>
        <v xml:space="preserve">ALTERMAN                 DANIEL                   </v>
      </c>
      <c r="E11792" t="str">
        <f>"SOUTHAVEN                 "</f>
        <v xml:space="preserve">SOUTHAVEN                 </v>
      </c>
      <c r="F11792" t="str">
        <f t="shared" si="314"/>
        <v>MS</v>
      </c>
    </row>
    <row r="11793" spans="1:6" x14ac:dyDescent="0.25">
      <c r="A11793" t="str">
        <f>"006283268"</f>
        <v>006283268</v>
      </c>
      <c r="B11793" t="str">
        <f>"1023320322"</f>
        <v>1023320322</v>
      </c>
      <c r="C11793" t="str">
        <f>"207L00000X"</f>
        <v>207L00000X</v>
      </c>
      <c r="D11793" t="str">
        <f>"HUTTO                    ERIC         D           "</f>
        <v xml:space="preserve">HUTTO                    ERIC         D           </v>
      </c>
      <c r="E11793" t="str">
        <f>"OXFORD                    "</f>
        <v xml:space="preserve">OXFORD                    </v>
      </c>
      <c r="F11793" t="str">
        <f t="shared" si="314"/>
        <v>MS</v>
      </c>
    </row>
    <row r="11794" spans="1:6" x14ac:dyDescent="0.25">
      <c r="A11794" t="str">
        <f>"006283506"</f>
        <v>006283506</v>
      </c>
      <c r="B11794" t="str">
        <f>"1346548096"</f>
        <v>1346548096</v>
      </c>
      <c r="C11794" t="str">
        <f>"363L00000X"</f>
        <v>363L00000X</v>
      </c>
      <c r="D11794" t="str">
        <f>"OSBORNE                  AMANDA       L           "</f>
        <v xml:space="preserve">OSBORNE                  AMANDA       L           </v>
      </c>
      <c r="E11794" t="str">
        <f>"GULFPORT                  "</f>
        <v xml:space="preserve">GULFPORT                  </v>
      </c>
      <c r="F11794" t="str">
        <f t="shared" si="314"/>
        <v>MS</v>
      </c>
    </row>
    <row r="11795" spans="1:6" x14ac:dyDescent="0.25">
      <c r="A11795" t="str">
        <f>"006285547"</f>
        <v>006285547</v>
      </c>
      <c r="B11795" t="str">
        <f>"1760716385"</f>
        <v>1760716385</v>
      </c>
      <c r="C11795" t="str">
        <f>"261QM1300X"</f>
        <v>261QM1300X</v>
      </c>
      <c r="D11795" t="str">
        <f>"SYCAMORE TREE COUNSELING SERVICES                 "</f>
        <v xml:space="preserve">SYCAMORE TREE COUNSELING SERVICES                 </v>
      </c>
      <c r="E11795" t="str">
        <f>"HATTIESBURG               "</f>
        <v xml:space="preserve">HATTIESBURG               </v>
      </c>
      <c r="F11795" t="str">
        <f t="shared" si="314"/>
        <v>MS</v>
      </c>
    </row>
    <row r="11796" spans="1:6" x14ac:dyDescent="0.25">
      <c r="A11796" t="str">
        <f>"006286014"</f>
        <v>006286014</v>
      </c>
      <c r="B11796" t="str">
        <f>"1447407895"</f>
        <v>1447407895</v>
      </c>
      <c r="C11796" t="str">
        <f>"363L00000X"</f>
        <v>363L00000X</v>
      </c>
      <c r="D11796" t="str">
        <f>"RIVES                    SHANNON                  "</f>
        <v xml:space="preserve">RIVES                    SHANNON                  </v>
      </c>
      <c r="E11796" t="str">
        <f>"FLOWOOD                   "</f>
        <v xml:space="preserve">FLOWOOD                   </v>
      </c>
      <c r="F11796" t="str">
        <f t="shared" si="314"/>
        <v>MS</v>
      </c>
    </row>
    <row r="11797" spans="1:6" x14ac:dyDescent="0.25">
      <c r="A11797" t="str">
        <f>"006286038"</f>
        <v>006286038</v>
      </c>
      <c r="B11797" t="str">
        <f>"1912258377"</f>
        <v>1912258377</v>
      </c>
      <c r="C11797" t="str">
        <f>"367500000X"</f>
        <v>367500000X</v>
      </c>
      <c r="D11797" t="str">
        <f>"HOCUTT                   MONICA       D           "</f>
        <v xml:space="preserve">HOCUTT                   MONICA       D           </v>
      </c>
      <c r="E11797" t="str">
        <f>"COLUMBUS                  "</f>
        <v xml:space="preserve">COLUMBUS                  </v>
      </c>
      <c r="F11797" t="str">
        <f t="shared" si="314"/>
        <v>MS</v>
      </c>
    </row>
    <row r="11798" spans="1:6" x14ac:dyDescent="0.25">
      <c r="A11798" t="str">
        <f>"006287523"</f>
        <v>006287523</v>
      </c>
      <c r="B11798" t="str">
        <f>"1083073233"</f>
        <v>1083073233</v>
      </c>
      <c r="C11798" t="str">
        <f>"363A00000X"</f>
        <v>363A00000X</v>
      </c>
      <c r="D11798" t="str">
        <f>"DURR                     MARY         A           "</f>
        <v xml:space="preserve">DURR                     MARY         A           </v>
      </c>
      <c r="E11798" t="str">
        <f>"JACKSON                   "</f>
        <v xml:space="preserve">JACKSON                   </v>
      </c>
      <c r="F11798" t="str">
        <f t="shared" si="314"/>
        <v>MS</v>
      </c>
    </row>
    <row r="11799" spans="1:6" x14ac:dyDescent="0.25">
      <c r="A11799" t="str">
        <f>"006287863"</f>
        <v>006287863</v>
      </c>
      <c r="B11799" t="str">
        <f>"1770007452"</f>
        <v>1770007452</v>
      </c>
      <c r="C11799" t="str">
        <f>"363L00000X"</f>
        <v>363L00000X</v>
      </c>
      <c r="D11799" t="str">
        <f>"EMBREY                   BLAKE                    "</f>
        <v xml:space="preserve">EMBREY                   BLAKE                    </v>
      </c>
      <c r="E11799" t="str">
        <f>"SARDIS                    "</f>
        <v xml:space="preserve">SARDIS                    </v>
      </c>
      <c r="F11799" t="str">
        <f t="shared" si="314"/>
        <v>MS</v>
      </c>
    </row>
    <row r="11800" spans="1:6" x14ac:dyDescent="0.25">
      <c r="A11800" t="str">
        <f>"006300013"</f>
        <v>006300013</v>
      </c>
      <c r="B11800" t="str">
        <f>"1538179585"</f>
        <v>1538179585</v>
      </c>
      <c r="C11800" t="str">
        <f>"261QR1300X"</f>
        <v>261QR1300X</v>
      </c>
      <c r="D11800" t="str">
        <f>"HOLMES FAMILY MEDICAL CLINIC                      "</f>
        <v xml:space="preserve">HOLMES FAMILY MEDICAL CLINIC                      </v>
      </c>
      <c r="E11800" t="str">
        <f>"LEXINGTON                 "</f>
        <v xml:space="preserve">LEXINGTON                 </v>
      </c>
      <c r="F11800" t="str">
        <f t="shared" si="314"/>
        <v>MS</v>
      </c>
    </row>
    <row r="11801" spans="1:6" x14ac:dyDescent="0.25">
      <c r="A11801" t="str">
        <f>"006300723"</f>
        <v>006300723</v>
      </c>
      <c r="B11801" t="str">
        <f>"1730387366"</f>
        <v>1730387366</v>
      </c>
      <c r="C11801" t="str">
        <f>"2085R0202X"</f>
        <v>2085R0202X</v>
      </c>
      <c r="D11801" t="str">
        <f>"GATLIN                   JOSEPH       L           "</f>
        <v xml:space="preserve">GATLIN                   JOSEPH       L           </v>
      </c>
      <c r="E11801" t="str">
        <f>"JACKSON                   "</f>
        <v xml:space="preserve">JACKSON                   </v>
      </c>
      <c r="F11801" t="str">
        <f t="shared" si="314"/>
        <v>MS</v>
      </c>
    </row>
    <row r="11802" spans="1:6" x14ac:dyDescent="0.25">
      <c r="A11802" t="str">
        <f>"006301518"</f>
        <v>006301518</v>
      </c>
      <c r="B11802" t="str">
        <f>"1194286252"</f>
        <v>1194286252</v>
      </c>
      <c r="C11802" t="str">
        <f>"207Q00000X"</f>
        <v>207Q00000X</v>
      </c>
      <c r="D11802" t="str">
        <f>"THOMPSON                 SHOMARI      D           "</f>
        <v xml:space="preserve">THOMPSON                 SHOMARI      D           </v>
      </c>
      <c r="E11802" t="str">
        <f>"HATTIESBURG               "</f>
        <v xml:space="preserve">HATTIESBURG               </v>
      </c>
      <c r="F11802" t="str">
        <f t="shared" si="314"/>
        <v>MS</v>
      </c>
    </row>
    <row r="11803" spans="1:6" x14ac:dyDescent="0.25">
      <c r="A11803" t="str">
        <f>"006302002"</f>
        <v>006302002</v>
      </c>
      <c r="B11803" t="str">
        <f>"1740210616"</f>
        <v>1740210616</v>
      </c>
      <c r="C11803" t="str">
        <f>"207P00000X"</f>
        <v>207P00000X</v>
      </c>
      <c r="D11803" t="str">
        <f>"KAHN                     PATRICIA                 "</f>
        <v xml:space="preserve">KAHN                     PATRICIA                 </v>
      </c>
      <c r="E11803" t="str">
        <f>"GREENVILLE                "</f>
        <v xml:space="preserve">GREENVILLE                </v>
      </c>
      <c r="F11803" t="str">
        <f t="shared" si="314"/>
        <v>MS</v>
      </c>
    </row>
    <row r="11804" spans="1:6" x14ac:dyDescent="0.25">
      <c r="A11804" t="str">
        <f>"006307760"</f>
        <v>006307760</v>
      </c>
      <c r="B11804" t="str">
        <f>"1780102335"</f>
        <v>1780102335</v>
      </c>
      <c r="C11804" t="str">
        <f>"261QM0801X"</f>
        <v>261QM0801X</v>
      </c>
      <c r="D11804" t="str">
        <f>"ILLUMINATED DIRECTION LLC                         "</f>
        <v xml:space="preserve">ILLUMINATED DIRECTION LLC                         </v>
      </c>
      <c r="E11804" t="str">
        <f>"BILOXI                    "</f>
        <v xml:space="preserve">BILOXI                    </v>
      </c>
      <c r="F11804" t="str">
        <f t="shared" si="314"/>
        <v>MS</v>
      </c>
    </row>
    <row r="11805" spans="1:6" x14ac:dyDescent="0.25">
      <c r="A11805" t="str">
        <f>"006308530"</f>
        <v>006308530</v>
      </c>
      <c r="B11805" t="str">
        <f>"1437416260"</f>
        <v>1437416260</v>
      </c>
      <c r="C11805" t="str">
        <f>"208000000X"</f>
        <v>208000000X</v>
      </c>
      <c r="D11805" t="str">
        <f>"BROWN                    BETH         F           "</f>
        <v xml:space="preserve">BROWN                    BETH         F           </v>
      </c>
      <c r="E11805" t="str">
        <f>"SOUTHAVEN                 "</f>
        <v xml:space="preserve">SOUTHAVEN                 </v>
      </c>
      <c r="F11805" t="str">
        <f t="shared" si="314"/>
        <v>MS</v>
      </c>
    </row>
    <row r="11806" spans="1:6" x14ac:dyDescent="0.25">
      <c r="A11806" t="str">
        <f>"006308777"</f>
        <v>006308777</v>
      </c>
      <c r="B11806" t="str">
        <f>"1962864942"</f>
        <v>1962864942</v>
      </c>
      <c r="C11806" t="str">
        <f>"207L00000X"</f>
        <v>207L00000X</v>
      </c>
      <c r="D11806" t="str">
        <f>"NELSON                   CAROLYN      M           "</f>
        <v xml:space="preserve">NELSON                   CAROLYN      M           </v>
      </c>
      <c r="E11806" t="str">
        <f>"JACKSON                   "</f>
        <v xml:space="preserve">JACKSON                   </v>
      </c>
      <c r="F11806" t="str">
        <f t="shared" si="314"/>
        <v>MS</v>
      </c>
    </row>
    <row r="11807" spans="1:6" x14ac:dyDescent="0.25">
      <c r="A11807" t="str">
        <f>"006309815"</f>
        <v>006309815</v>
      </c>
      <c r="B11807" t="str">
        <f>"1033603022"</f>
        <v>1033603022</v>
      </c>
      <c r="C11807" t="str">
        <f>"363A00000X"</f>
        <v>363A00000X</v>
      </c>
      <c r="D11807" t="str">
        <f>"SMITH                    HANNAH       H           "</f>
        <v xml:space="preserve">SMITH                    HANNAH       H           </v>
      </c>
      <c r="E11807" t="str">
        <f>"TUPELO                    "</f>
        <v xml:space="preserve">TUPELO                    </v>
      </c>
      <c r="F11807" t="str">
        <f t="shared" si="314"/>
        <v>MS</v>
      </c>
    </row>
    <row r="11808" spans="1:6" x14ac:dyDescent="0.25">
      <c r="A11808" t="str">
        <f>"006321718"</f>
        <v>006321718</v>
      </c>
      <c r="B11808" t="str">
        <f>"1356605752"</f>
        <v>1356605752</v>
      </c>
      <c r="C11808" t="str">
        <f>"207R00000X"</f>
        <v>207R00000X</v>
      </c>
      <c r="D11808" t="str">
        <f>"TAYLOR                   JEREMY       S           "</f>
        <v xml:space="preserve">TAYLOR                   JEREMY       S           </v>
      </c>
      <c r="E11808" t="str">
        <f>"JACKSON                   "</f>
        <v xml:space="preserve">JACKSON                   </v>
      </c>
      <c r="F11808" t="str">
        <f t="shared" si="314"/>
        <v>MS</v>
      </c>
    </row>
    <row r="11809" spans="1:6" x14ac:dyDescent="0.25">
      <c r="A11809" t="str">
        <f>"006324746"</f>
        <v>006324746</v>
      </c>
      <c r="B11809" t="str">
        <f>"1669944120"</f>
        <v>1669944120</v>
      </c>
      <c r="C11809" t="str">
        <f>"261QE0700X"</f>
        <v>261QE0700X</v>
      </c>
      <c r="D11809" t="str">
        <f>"ADAMS COUNTY HOME                                 "</f>
        <v xml:space="preserve">ADAMS COUNTY HOME                                 </v>
      </c>
      <c r="E11809" t="str">
        <f>"NATCHEZ                   "</f>
        <v xml:space="preserve">NATCHEZ                   </v>
      </c>
      <c r="F11809" t="str">
        <f t="shared" si="314"/>
        <v>MS</v>
      </c>
    </row>
    <row r="11810" spans="1:6" x14ac:dyDescent="0.25">
      <c r="A11810" t="str">
        <f>"006324817"</f>
        <v>006324817</v>
      </c>
      <c r="B11810" t="str">
        <f>"1154563005"</f>
        <v>1154563005</v>
      </c>
      <c r="C11810" t="str">
        <f>"363L00000X"</f>
        <v>363L00000X</v>
      </c>
      <c r="D11810" t="str">
        <f>"FITZGERALD               VICKI        A           "</f>
        <v xml:space="preserve">FITZGERALD               VICKI        A           </v>
      </c>
      <c r="E11810" t="str">
        <f>"TUPELO                    "</f>
        <v xml:space="preserve">TUPELO                    </v>
      </c>
      <c r="F11810" t="str">
        <f t="shared" si="314"/>
        <v>MS</v>
      </c>
    </row>
    <row r="11811" spans="1:6" x14ac:dyDescent="0.25">
      <c r="A11811" t="str">
        <f>"006325756"</f>
        <v>006325756</v>
      </c>
      <c r="B11811" t="str">
        <f>"1780253633"</f>
        <v>1780253633</v>
      </c>
      <c r="C11811" t="str">
        <f>"152W00000X"</f>
        <v>152W00000X</v>
      </c>
      <c r="D11811" t="str">
        <f>"HENZEN                   BREELEY                  "</f>
        <v xml:space="preserve">HENZEN                   BREELEY                  </v>
      </c>
      <c r="E11811" t="str">
        <f>"WIGGINS                   "</f>
        <v xml:space="preserve">WIGGINS                   </v>
      </c>
      <c r="F11811" t="str">
        <f t="shared" si="314"/>
        <v>MS</v>
      </c>
    </row>
    <row r="11812" spans="1:6" x14ac:dyDescent="0.25">
      <c r="A11812" t="str">
        <f>"006326035"</f>
        <v>006326035</v>
      </c>
      <c r="B11812" t="str">
        <f>"1447282991"</f>
        <v>1447282991</v>
      </c>
      <c r="C11812" t="str">
        <f>"207R00000X"</f>
        <v>207R00000X</v>
      </c>
      <c r="D11812" t="str">
        <f>"JAIN                     MUKESH                   "</f>
        <v xml:space="preserve">JAIN                     MUKESH                   </v>
      </c>
      <c r="E11812" t="str">
        <f>"SOUTHAVEN                 "</f>
        <v xml:space="preserve">SOUTHAVEN                 </v>
      </c>
      <c r="F11812" t="str">
        <f t="shared" si="314"/>
        <v>MS</v>
      </c>
    </row>
    <row r="11813" spans="1:6" x14ac:dyDescent="0.25">
      <c r="A11813" t="str">
        <f>"006326293"</f>
        <v>006326293</v>
      </c>
      <c r="B11813" t="str">
        <f>"1811507114"</f>
        <v>1811507114</v>
      </c>
      <c r="C11813" t="str">
        <f>"363L00000X"</f>
        <v>363L00000X</v>
      </c>
      <c r="D11813" t="str">
        <f>"FLOWERS                  AMBER                    "</f>
        <v xml:space="preserve">FLOWERS                  AMBER                    </v>
      </c>
      <c r="E11813" t="str">
        <f>"CENTREVILLE               "</f>
        <v xml:space="preserve">CENTREVILLE               </v>
      </c>
      <c r="F11813" t="str">
        <f t="shared" si="314"/>
        <v>MS</v>
      </c>
    </row>
    <row r="11814" spans="1:6" x14ac:dyDescent="0.25">
      <c r="A11814" t="str">
        <f>"006327336"</f>
        <v>006327336</v>
      </c>
      <c r="B11814" t="str">
        <f>"1811302425"</f>
        <v>1811302425</v>
      </c>
      <c r="C11814" t="str">
        <f>"367500000X"</f>
        <v>367500000X</v>
      </c>
      <c r="D11814" t="str">
        <f>"RANKIN                   DAWN                     "</f>
        <v xml:space="preserve">RANKIN                   DAWN                     </v>
      </c>
      <c r="E11814" t="str">
        <f>"HATTIESBURG               "</f>
        <v xml:space="preserve">HATTIESBURG               </v>
      </c>
      <c r="F11814" t="str">
        <f t="shared" si="314"/>
        <v>MS</v>
      </c>
    </row>
    <row r="11815" spans="1:6" x14ac:dyDescent="0.25">
      <c r="A11815" t="str">
        <f>"006327752"</f>
        <v>006327752</v>
      </c>
      <c r="B11815" t="str">
        <f>"1629495452"</f>
        <v>1629495452</v>
      </c>
      <c r="C11815" t="str">
        <f>"261QF0400X"</f>
        <v>261QF0400X</v>
      </c>
      <c r="D11815" t="str">
        <f>"DELTA HEALTH CENTER INC                           "</f>
        <v xml:space="preserve">DELTA HEALTH CENTER INC                           </v>
      </c>
      <c r="E11815" t="str">
        <f>"INDIANOLA                 "</f>
        <v xml:space="preserve">INDIANOLA                 </v>
      </c>
      <c r="F11815" t="str">
        <f t="shared" si="314"/>
        <v>MS</v>
      </c>
    </row>
    <row r="11816" spans="1:6" x14ac:dyDescent="0.25">
      <c r="A11816" t="str">
        <f>"006327842"</f>
        <v>006327842</v>
      </c>
      <c r="B11816" t="str">
        <f>"1922486398"</f>
        <v>1922486398</v>
      </c>
      <c r="C11816" t="str">
        <f>"363LF0000X"</f>
        <v>363LF0000X</v>
      </c>
      <c r="D11816" t="str">
        <f>"DUGAS                    MISTY        M           "</f>
        <v xml:space="preserve">DUGAS                    MISTY        M           </v>
      </c>
      <c r="E11816" t="str">
        <f>"JACKSON                   "</f>
        <v xml:space="preserve">JACKSON                   </v>
      </c>
      <c r="F11816" t="str">
        <f t="shared" si="314"/>
        <v>MS</v>
      </c>
    </row>
    <row r="11817" spans="1:6" x14ac:dyDescent="0.25">
      <c r="A11817" t="str">
        <f>"006328798"</f>
        <v>006328798</v>
      </c>
      <c r="B11817" t="str">
        <f>"1194393603"</f>
        <v>1194393603</v>
      </c>
      <c r="C11817" t="str">
        <f>"363L00000X"</f>
        <v>363L00000X</v>
      </c>
      <c r="D11817" t="str">
        <f>"GARRETT                  BAILEY       L           "</f>
        <v xml:space="preserve">GARRETT                  BAILEY       L           </v>
      </c>
      <c r="E11817" t="str">
        <f>"TUPELO                    "</f>
        <v xml:space="preserve">TUPELO                    </v>
      </c>
      <c r="F11817" t="str">
        <f t="shared" si="314"/>
        <v>MS</v>
      </c>
    </row>
    <row r="11818" spans="1:6" x14ac:dyDescent="0.25">
      <c r="A11818" t="str">
        <f>"006328832"</f>
        <v>006328832</v>
      </c>
      <c r="B11818" t="str">
        <f>"1003006602"</f>
        <v>1003006602</v>
      </c>
      <c r="C11818" t="str">
        <f>"208600000X"</f>
        <v>208600000X</v>
      </c>
      <c r="D11818" t="str">
        <f>"NASAJPOUR                HOSSEIN      J           "</f>
        <v xml:space="preserve">NASAJPOUR                HOSSEIN      J           </v>
      </c>
      <c r="E11818" t="str">
        <f>"LAUREL                    "</f>
        <v xml:space="preserve">LAUREL                    </v>
      </c>
      <c r="F11818" t="str">
        <f t="shared" si="314"/>
        <v>MS</v>
      </c>
    </row>
    <row r="11819" spans="1:6" x14ac:dyDescent="0.25">
      <c r="A11819" t="str">
        <f>"006329590"</f>
        <v>006329590</v>
      </c>
      <c r="B11819" t="str">
        <f>"1376169904"</f>
        <v>1376169904</v>
      </c>
      <c r="C11819" t="str">
        <f>"363L00000X"</f>
        <v>363L00000X</v>
      </c>
      <c r="D11819" t="str">
        <f>"COOPER                   DARRAH       P           "</f>
        <v xml:space="preserve">COOPER                   DARRAH       P           </v>
      </c>
      <c r="E11819" t="str">
        <f>"CORINTH                   "</f>
        <v xml:space="preserve">CORINTH                   </v>
      </c>
      <c r="F11819" t="str">
        <f t="shared" si="314"/>
        <v>MS</v>
      </c>
    </row>
    <row r="11820" spans="1:6" x14ac:dyDescent="0.25">
      <c r="A11820" t="str">
        <f>"006330067"</f>
        <v>006330067</v>
      </c>
      <c r="B11820" t="str">
        <f>"1518341072"</f>
        <v>1518341072</v>
      </c>
      <c r="C11820" t="str">
        <f>"363L00000X"</f>
        <v>363L00000X</v>
      </c>
      <c r="D11820" t="str">
        <f>"STEGALL                  STEPHANIE                "</f>
        <v xml:space="preserve">STEGALL                  STEPHANIE                </v>
      </c>
      <c r="E11820" t="str">
        <f>"TUPELO                    "</f>
        <v xml:space="preserve">TUPELO                    </v>
      </c>
      <c r="F11820" t="str">
        <f t="shared" si="314"/>
        <v>MS</v>
      </c>
    </row>
    <row r="11821" spans="1:6" x14ac:dyDescent="0.25">
      <c r="A11821" t="str">
        <f>"006330350"</f>
        <v>006330350</v>
      </c>
      <c r="B11821" t="str">
        <f>"1700254562"</f>
        <v>1700254562</v>
      </c>
      <c r="C11821" t="str">
        <f>"363L00000X"</f>
        <v>363L00000X</v>
      </c>
      <c r="D11821" t="str">
        <f>"MATTINA                  JANE                     "</f>
        <v xml:space="preserve">MATTINA                  JANE                     </v>
      </c>
      <c r="E11821" t="str">
        <f>"BILOXI                    "</f>
        <v xml:space="preserve">BILOXI                    </v>
      </c>
      <c r="F11821" t="str">
        <f t="shared" si="314"/>
        <v>MS</v>
      </c>
    </row>
    <row r="11822" spans="1:6" x14ac:dyDescent="0.25">
      <c r="A11822" t="str">
        <f>"006330848"</f>
        <v>006330848</v>
      </c>
      <c r="B11822" t="str">
        <f>"1376749333"</f>
        <v>1376749333</v>
      </c>
      <c r="C11822" t="str">
        <f>"2084P0800X"</f>
        <v>2084P0800X</v>
      </c>
      <c r="D11822" t="str">
        <f>"WATERMAN                 SUSAN        A           "</f>
        <v xml:space="preserve">WATERMAN                 SUSAN        A           </v>
      </c>
      <c r="E11822" t="str">
        <f>"SOUTHAVEN                 "</f>
        <v xml:space="preserve">SOUTHAVEN                 </v>
      </c>
      <c r="F11822" t="str">
        <f t="shared" si="314"/>
        <v>MS</v>
      </c>
    </row>
    <row r="11823" spans="1:6" x14ac:dyDescent="0.25">
      <c r="A11823" t="str">
        <f>"006330889"</f>
        <v>006330889</v>
      </c>
      <c r="B11823" t="str">
        <f>"1306399902"</f>
        <v>1306399902</v>
      </c>
      <c r="C11823" t="str">
        <f>"208000000X"</f>
        <v>208000000X</v>
      </c>
      <c r="D11823" t="str">
        <f>"PITOCCHI                 ANA          T           "</f>
        <v xml:space="preserve">PITOCCHI                 ANA          T           </v>
      </c>
      <c r="E11823" t="str">
        <f>"OCEAN SPRINGS             "</f>
        <v xml:space="preserve">OCEAN SPRINGS             </v>
      </c>
      <c r="F11823" t="str">
        <f t="shared" si="314"/>
        <v>MS</v>
      </c>
    </row>
    <row r="11824" spans="1:6" x14ac:dyDescent="0.25">
      <c r="A11824" t="str">
        <f>"006331244"</f>
        <v>006331244</v>
      </c>
      <c r="B11824" t="str">
        <f>"1942547161"</f>
        <v>1942547161</v>
      </c>
      <c r="C11824" t="str">
        <f>"261QR1300X"</f>
        <v>261QR1300X</v>
      </c>
      <c r="D11824" t="str">
        <f>"OAKLAND MEDICAL CLINIC                            "</f>
        <v xml:space="preserve">OAKLAND MEDICAL CLINIC                            </v>
      </c>
      <c r="E11824" t="str">
        <f>"OAKLAND                   "</f>
        <v xml:space="preserve">OAKLAND                   </v>
      </c>
      <c r="F11824" t="str">
        <f t="shared" si="314"/>
        <v>MS</v>
      </c>
    </row>
    <row r="11825" spans="1:6" x14ac:dyDescent="0.25">
      <c r="A11825" t="str">
        <f>"006331709"</f>
        <v>006331709</v>
      </c>
      <c r="B11825" t="str">
        <f>"1215232731"</f>
        <v>1215232731</v>
      </c>
      <c r="C11825" t="str">
        <f>"363L00000X"</f>
        <v>363L00000X</v>
      </c>
      <c r="D11825" t="str">
        <f>"HOOPER                   AMANDA       M           "</f>
        <v xml:space="preserve">HOOPER                   AMANDA       M           </v>
      </c>
      <c r="E11825" t="str">
        <f>"VICKSBURG                 "</f>
        <v xml:space="preserve">VICKSBURG                 </v>
      </c>
      <c r="F11825" t="str">
        <f t="shared" si="314"/>
        <v>MS</v>
      </c>
    </row>
    <row r="11826" spans="1:6" x14ac:dyDescent="0.25">
      <c r="A11826" t="str">
        <f>"006332225"</f>
        <v>006332225</v>
      </c>
      <c r="B11826" t="str">
        <f>"1427421528"</f>
        <v>1427421528</v>
      </c>
      <c r="C11826" t="str">
        <f>"363L00000X"</f>
        <v>363L00000X</v>
      </c>
      <c r="D11826" t="str">
        <f>"GARRISON                 KRISTIN      C           "</f>
        <v xml:space="preserve">GARRISON                 KRISTIN      C           </v>
      </c>
      <c r="E11826" t="str">
        <f>"NEW ALBANY                "</f>
        <v xml:space="preserve">NEW ALBANY                </v>
      </c>
      <c r="F11826" t="str">
        <f t="shared" si="314"/>
        <v>MS</v>
      </c>
    </row>
    <row r="11827" spans="1:6" x14ac:dyDescent="0.25">
      <c r="A11827" t="str">
        <f>"006333880"</f>
        <v>006333880</v>
      </c>
      <c r="B11827" t="str">
        <f>"1386897635"</f>
        <v>1386897635</v>
      </c>
      <c r="C11827" t="str">
        <f>"363L00000X"</f>
        <v>363L00000X</v>
      </c>
      <c r="D11827" t="str">
        <f>"KINABREW                 NAKECIA      D           "</f>
        <v xml:space="preserve">KINABREW                 NAKECIA      D           </v>
      </c>
      <c r="E11827" t="str">
        <f>"FLOWOOD                   "</f>
        <v xml:space="preserve">FLOWOOD                   </v>
      </c>
      <c r="F11827" t="str">
        <f t="shared" si="314"/>
        <v>MS</v>
      </c>
    </row>
    <row r="11828" spans="1:6" x14ac:dyDescent="0.25">
      <c r="A11828" t="str">
        <f>"006334392"</f>
        <v>006334392</v>
      </c>
      <c r="B11828" t="str">
        <f>"1992258461"</f>
        <v>1992258461</v>
      </c>
      <c r="C11828" t="str">
        <f>"152W00000X"</f>
        <v>152W00000X</v>
      </c>
      <c r="D11828" t="str">
        <f>"PHYFER                   ROBERT       C           "</f>
        <v xml:space="preserve">PHYFER                   ROBERT       C           </v>
      </c>
      <c r="E11828" t="str">
        <f>"COLUMBUS                  "</f>
        <v xml:space="preserve">COLUMBUS                  </v>
      </c>
      <c r="F11828" t="str">
        <f t="shared" si="314"/>
        <v>MS</v>
      </c>
    </row>
    <row r="11829" spans="1:6" x14ac:dyDescent="0.25">
      <c r="A11829" t="str">
        <f>"006334721"</f>
        <v>006334721</v>
      </c>
      <c r="B11829" t="str">
        <f>"1467479550"</f>
        <v>1467479550</v>
      </c>
      <c r="C11829" t="str">
        <f>"363A00000X"</f>
        <v>363A00000X</v>
      </c>
      <c r="D11829" t="str">
        <f>"STORK                    JERRY        L           "</f>
        <v xml:space="preserve">STORK                    JERRY        L           </v>
      </c>
      <c r="E11829" t="str">
        <f>"HATTIESBURG               "</f>
        <v xml:space="preserve">HATTIESBURG               </v>
      </c>
      <c r="F11829" t="str">
        <f t="shared" si="314"/>
        <v>MS</v>
      </c>
    </row>
    <row r="11830" spans="1:6" x14ac:dyDescent="0.25">
      <c r="A11830" t="str">
        <f>"006335232"</f>
        <v>006335232</v>
      </c>
      <c r="B11830" t="str">
        <f>"1699921957"</f>
        <v>1699921957</v>
      </c>
      <c r="C11830" t="str">
        <f>"122300000X"</f>
        <v>122300000X</v>
      </c>
      <c r="D11830" t="str">
        <f>"GRISSOM                  JASON        S           "</f>
        <v xml:space="preserve">GRISSOM                  JASON        S           </v>
      </c>
      <c r="E11830" t="str">
        <f>"FOREST                    "</f>
        <v xml:space="preserve">FOREST                    </v>
      </c>
      <c r="F11830" t="str">
        <f t="shared" si="314"/>
        <v>MS</v>
      </c>
    </row>
    <row r="11831" spans="1:6" x14ac:dyDescent="0.25">
      <c r="A11831" t="str">
        <f>"006335619"</f>
        <v>006335619</v>
      </c>
      <c r="B11831" t="str">
        <f>"1952575193"</f>
        <v>1952575193</v>
      </c>
      <c r="C11831" t="str">
        <f t="shared" ref="C11831:C11836" si="315">"363L00000X"</f>
        <v>363L00000X</v>
      </c>
      <c r="D11831" t="str">
        <f>"GENTRY                   SUSAN        E           "</f>
        <v xml:space="preserve">GENTRY                   SUSAN        E           </v>
      </c>
      <c r="E11831" t="str">
        <f>"BROOKLYN                  "</f>
        <v xml:space="preserve">BROOKLYN                  </v>
      </c>
      <c r="F11831" t="str">
        <f t="shared" si="314"/>
        <v>MS</v>
      </c>
    </row>
    <row r="11832" spans="1:6" x14ac:dyDescent="0.25">
      <c r="A11832" t="str">
        <f>"006339593"</f>
        <v>006339593</v>
      </c>
      <c r="B11832" t="str">
        <f>"1013689611"</f>
        <v>1013689611</v>
      </c>
      <c r="C11832" t="str">
        <f t="shared" si="315"/>
        <v>363L00000X</v>
      </c>
      <c r="D11832" t="str">
        <f>"CALVERT                  PAMELA                   "</f>
        <v xml:space="preserve">CALVERT                  PAMELA                   </v>
      </c>
      <c r="E11832" t="str">
        <f>"PONTOTOC                  "</f>
        <v xml:space="preserve">PONTOTOC                  </v>
      </c>
      <c r="F11832" t="str">
        <f t="shared" si="314"/>
        <v>MS</v>
      </c>
    </row>
    <row r="11833" spans="1:6" x14ac:dyDescent="0.25">
      <c r="A11833" t="str">
        <f>"006350285"</f>
        <v>006350285</v>
      </c>
      <c r="B11833" t="str">
        <f>"1972868628"</f>
        <v>1972868628</v>
      </c>
      <c r="C11833" t="str">
        <f t="shared" si="315"/>
        <v>363L00000X</v>
      </c>
      <c r="D11833" t="str">
        <f>"STEWART                  HANNAH       S           "</f>
        <v xml:space="preserve">STEWART                  HANNAH       S           </v>
      </c>
      <c r="E11833" t="str">
        <f>"STARKVILLE                "</f>
        <v xml:space="preserve">STARKVILLE                </v>
      </c>
      <c r="F11833" t="str">
        <f t="shared" si="314"/>
        <v>MS</v>
      </c>
    </row>
    <row r="11834" spans="1:6" x14ac:dyDescent="0.25">
      <c r="A11834" t="str">
        <f>"006350548"</f>
        <v>006350548</v>
      </c>
      <c r="B11834" t="str">
        <f>"1750798344"</f>
        <v>1750798344</v>
      </c>
      <c r="C11834" t="str">
        <f t="shared" si="315"/>
        <v>363L00000X</v>
      </c>
      <c r="D11834" t="str">
        <f>"LANGLEY                  CHRISTIAN                "</f>
        <v xml:space="preserve">LANGLEY                  CHRISTIAN                </v>
      </c>
      <c r="E11834" t="str">
        <f>"PICAYUNE                  "</f>
        <v xml:space="preserve">PICAYUNE                  </v>
      </c>
      <c r="F11834" t="str">
        <f t="shared" si="314"/>
        <v>MS</v>
      </c>
    </row>
    <row r="11835" spans="1:6" x14ac:dyDescent="0.25">
      <c r="A11835" t="str">
        <f>"006352389"</f>
        <v>006352389</v>
      </c>
      <c r="B11835" t="str">
        <f>"1881635225"</f>
        <v>1881635225</v>
      </c>
      <c r="C11835" t="str">
        <f t="shared" si="315"/>
        <v>363L00000X</v>
      </c>
      <c r="D11835" t="str">
        <f>"KLEIN                    LANCE                    "</f>
        <v xml:space="preserve">KLEIN                    LANCE                    </v>
      </c>
      <c r="E11835" t="str">
        <f>"FLOWOOD                   "</f>
        <v xml:space="preserve">FLOWOOD                   </v>
      </c>
      <c r="F11835" t="str">
        <f t="shared" si="314"/>
        <v>MS</v>
      </c>
    </row>
    <row r="11836" spans="1:6" x14ac:dyDescent="0.25">
      <c r="A11836" t="str">
        <f>"006353210"</f>
        <v>006353210</v>
      </c>
      <c r="B11836" t="str">
        <f>"1679021588"</f>
        <v>1679021588</v>
      </c>
      <c r="C11836" t="str">
        <f t="shared" si="315"/>
        <v>363L00000X</v>
      </c>
      <c r="D11836" t="str">
        <f>"GARRETT                  LINDA        D           "</f>
        <v xml:space="preserve">GARRETT                  LINDA        D           </v>
      </c>
      <c r="E11836" t="str">
        <f>"HAMILTON                  "</f>
        <v xml:space="preserve">HAMILTON                  </v>
      </c>
      <c r="F11836" t="str">
        <f t="shared" si="314"/>
        <v>MS</v>
      </c>
    </row>
    <row r="11837" spans="1:6" x14ac:dyDescent="0.25">
      <c r="A11837" t="str">
        <f>"006354861"</f>
        <v>006354861</v>
      </c>
      <c r="B11837" t="str">
        <f>"1942406269"</f>
        <v>1942406269</v>
      </c>
      <c r="C11837" t="str">
        <f>"152W00000X"</f>
        <v>152W00000X</v>
      </c>
      <c r="D11837" t="str">
        <f>"MAIOLATESI               LEONARD      R           "</f>
        <v xml:space="preserve">MAIOLATESI               LEONARD      R           </v>
      </c>
      <c r="E11837" t="str">
        <f>"GULFPORT                  "</f>
        <v xml:space="preserve">GULFPORT                  </v>
      </c>
      <c r="F11837" t="str">
        <f t="shared" si="314"/>
        <v>MS</v>
      </c>
    </row>
    <row r="11838" spans="1:6" x14ac:dyDescent="0.25">
      <c r="A11838" t="str">
        <f>"006355356"</f>
        <v>006355356</v>
      </c>
      <c r="B11838" t="str">
        <f>"1013357961"</f>
        <v>1013357961</v>
      </c>
      <c r="C11838" t="str">
        <f>"2085R0202X"</f>
        <v>2085R0202X</v>
      </c>
      <c r="D11838" t="str">
        <f>"TURNER                   NICHOLAS     A           "</f>
        <v xml:space="preserve">TURNER                   NICHOLAS     A           </v>
      </c>
      <c r="E11838" t="str">
        <f>"JACKSON                   "</f>
        <v xml:space="preserve">JACKSON                   </v>
      </c>
      <c r="F11838" t="str">
        <f t="shared" ref="F11838:F11901" si="316">"MS"</f>
        <v>MS</v>
      </c>
    </row>
    <row r="11839" spans="1:6" x14ac:dyDescent="0.25">
      <c r="A11839" t="str">
        <f>"006356200"</f>
        <v>006356200</v>
      </c>
      <c r="B11839" t="str">
        <f>"1487104675"</f>
        <v>1487104675</v>
      </c>
      <c r="C11839" t="str">
        <f>"363L00000X"</f>
        <v>363L00000X</v>
      </c>
      <c r="D11839" t="str">
        <f>"JUSTICE                  ANGEL        I           "</f>
        <v xml:space="preserve">JUSTICE                  ANGEL        I           </v>
      </c>
      <c r="E11839" t="str">
        <f>"TUPELO                    "</f>
        <v xml:space="preserve">TUPELO                    </v>
      </c>
      <c r="F11839" t="str">
        <f t="shared" si="316"/>
        <v>MS</v>
      </c>
    </row>
    <row r="11840" spans="1:6" x14ac:dyDescent="0.25">
      <c r="A11840" t="str">
        <f>"006356838"</f>
        <v>006356838</v>
      </c>
      <c r="B11840" t="str">
        <f>"1649280983"</f>
        <v>1649280983</v>
      </c>
      <c r="C11840" t="str">
        <f>"207R00000X"</f>
        <v>207R00000X</v>
      </c>
      <c r="D11840" t="str">
        <f>"SHEPPARD                 JERRY        M           "</f>
        <v xml:space="preserve">SHEPPARD                 JERRY        M           </v>
      </c>
      <c r="E11840" t="str">
        <f>"JACKSON                   "</f>
        <v xml:space="preserve">JACKSON                   </v>
      </c>
      <c r="F11840" t="str">
        <f t="shared" si="316"/>
        <v>MS</v>
      </c>
    </row>
    <row r="11841" spans="1:6" x14ac:dyDescent="0.25">
      <c r="A11841" t="str">
        <f>"006357305"</f>
        <v>006357305</v>
      </c>
      <c r="B11841" t="str">
        <f>"1902162811"</f>
        <v>1902162811</v>
      </c>
      <c r="C11841" t="str">
        <f>"122300000X"</f>
        <v>122300000X</v>
      </c>
      <c r="D11841" t="str">
        <f>"SOUTH DELTA DENTAL CLINIC LLC                     "</f>
        <v xml:space="preserve">SOUTH DELTA DENTAL CLINIC LLC                     </v>
      </c>
      <c r="E11841" t="str">
        <f>"ROLLING FORK              "</f>
        <v xml:space="preserve">ROLLING FORK              </v>
      </c>
      <c r="F11841" t="str">
        <f t="shared" si="316"/>
        <v>MS</v>
      </c>
    </row>
    <row r="11842" spans="1:6" x14ac:dyDescent="0.25">
      <c r="A11842" t="str">
        <f>"006359236"</f>
        <v>006359236</v>
      </c>
      <c r="B11842" t="str">
        <f>"1215454269"</f>
        <v>1215454269</v>
      </c>
      <c r="C11842" t="str">
        <f>"367500000X"</f>
        <v>367500000X</v>
      </c>
      <c r="D11842" t="str">
        <f>"JOHNSON                  JULI                     "</f>
        <v xml:space="preserve">JOHNSON                  JULI                     </v>
      </c>
      <c r="E11842" t="str">
        <f>"JACKSON                   "</f>
        <v xml:space="preserve">JACKSON                   </v>
      </c>
      <c r="F11842" t="str">
        <f t="shared" si="316"/>
        <v>MS</v>
      </c>
    </row>
    <row r="11843" spans="1:6" x14ac:dyDescent="0.25">
      <c r="A11843" t="str">
        <f>"006359772"</f>
        <v>006359772</v>
      </c>
      <c r="B11843" t="str">
        <f>"1669783668"</f>
        <v>1669783668</v>
      </c>
      <c r="C11843" t="str">
        <f>"207R00000X"</f>
        <v>207R00000X</v>
      </c>
      <c r="D11843" t="str">
        <f>"SMITH                    BENJAMIN                 "</f>
        <v xml:space="preserve">SMITH                    BENJAMIN                 </v>
      </c>
      <c r="E11843" t="str">
        <f>"GULFPORT                  "</f>
        <v xml:space="preserve">GULFPORT                  </v>
      </c>
      <c r="F11843" t="str">
        <f t="shared" si="316"/>
        <v>MS</v>
      </c>
    </row>
    <row r="11844" spans="1:6" x14ac:dyDescent="0.25">
      <c r="A11844" t="str">
        <f>"006370067"</f>
        <v>006370067</v>
      </c>
      <c r="B11844" t="str">
        <f>"1841720620"</f>
        <v>1841720620</v>
      </c>
      <c r="C11844" t="str">
        <f>"122300000X"</f>
        <v>122300000X</v>
      </c>
      <c r="D11844" t="str">
        <f>"RHOADS                   BRYAN        L           "</f>
        <v xml:space="preserve">RHOADS                   BRYAN        L           </v>
      </c>
      <c r="E11844" t="str">
        <f>"SOUTHAVEN                 "</f>
        <v xml:space="preserve">SOUTHAVEN                 </v>
      </c>
      <c r="F11844" t="str">
        <f t="shared" si="316"/>
        <v>MS</v>
      </c>
    </row>
    <row r="11845" spans="1:6" x14ac:dyDescent="0.25">
      <c r="A11845" t="str">
        <f>"006373201"</f>
        <v>006373201</v>
      </c>
      <c r="B11845" t="str">
        <f>"1649550708"</f>
        <v>1649550708</v>
      </c>
      <c r="C11845" t="str">
        <f>"363L00000X"</f>
        <v>363L00000X</v>
      </c>
      <c r="D11845" t="str">
        <f>"STEGALL                  TERESA       K           "</f>
        <v xml:space="preserve">STEGALL                  TERESA       K           </v>
      </c>
      <c r="E11845" t="str">
        <f>"GRENADA                   "</f>
        <v xml:space="preserve">GRENADA                   </v>
      </c>
      <c r="F11845" t="str">
        <f t="shared" si="316"/>
        <v>MS</v>
      </c>
    </row>
    <row r="11846" spans="1:6" x14ac:dyDescent="0.25">
      <c r="A11846" t="str">
        <f>"006374315"</f>
        <v>006374315</v>
      </c>
      <c r="B11846" t="str">
        <f>"1326395799"</f>
        <v>1326395799</v>
      </c>
      <c r="C11846" t="str">
        <f>"122300000X"</f>
        <v>122300000X</v>
      </c>
      <c r="D11846" t="str">
        <f>"HAPPY SMILES DENTISTRY-MERIDIAN                   "</f>
        <v xml:space="preserve">HAPPY SMILES DENTISTRY-MERIDIAN                   </v>
      </c>
      <c r="E11846" t="str">
        <f>"MERIDIAN                  "</f>
        <v xml:space="preserve">MERIDIAN                  </v>
      </c>
      <c r="F11846" t="str">
        <f t="shared" si="316"/>
        <v>MS</v>
      </c>
    </row>
    <row r="11847" spans="1:6" x14ac:dyDescent="0.25">
      <c r="A11847" t="str">
        <f>"006375266"</f>
        <v>006375266</v>
      </c>
      <c r="B11847" t="str">
        <f>"1669987335"</f>
        <v>1669987335</v>
      </c>
      <c r="C11847" t="str">
        <f>"207Q00000X"</f>
        <v>207Q00000X</v>
      </c>
      <c r="D11847" t="str">
        <f>"BROWN                    JASON        B           "</f>
        <v xml:space="preserve">BROWN                    JASON        B           </v>
      </c>
      <c r="E11847" t="str">
        <f>"CLARKSDALE                "</f>
        <v xml:space="preserve">CLARKSDALE                </v>
      </c>
      <c r="F11847" t="str">
        <f t="shared" si="316"/>
        <v>MS</v>
      </c>
    </row>
    <row r="11848" spans="1:6" x14ac:dyDescent="0.25">
      <c r="A11848" t="str">
        <f>"006375274"</f>
        <v>006375274</v>
      </c>
      <c r="B11848" t="str">
        <f>"1770243552"</f>
        <v>1770243552</v>
      </c>
      <c r="C11848" t="str">
        <f>"363L00000X"</f>
        <v>363L00000X</v>
      </c>
      <c r="D11848" t="str">
        <f>"GLIDEWELL                MISTY                    "</f>
        <v xml:space="preserve">GLIDEWELL                MISTY                    </v>
      </c>
      <c r="E11848" t="str">
        <f>"BELMONT                   "</f>
        <v xml:space="preserve">BELMONT                   </v>
      </c>
      <c r="F11848" t="str">
        <f t="shared" si="316"/>
        <v>MS</v>
      </c>
    </row>
    <row r="11849" spans="1:6" x14ac:dyDescent="0.25">
      <c r="A11849" t="str">
        <f>"006375287"</f>
        <v>006375287</v>
      </c>
      <c r="B11849" t="str">
        <f>"1962494294"</f>
        <v>1962494294</v>
      </c>
      <c r="C11849" t="str">
        <f>"207N00000X"</f>
        <v>207N00000X</v>
      </c>
      <c r="D11849" t="str">
        <f>"WINGFIELD                ANGELA       B           "</f>
        <v xml:space="preserve">WINGFIELD                ANGELA       B           </v>
      </c>
      <c r="E11849" t="str">
        <f>"GULFPORT                  "</f>
        <v xml:space="preserve">GULFPORT                  </v>
      </c>
      <c r="F11849" t="str">
        <f t="shared" si="316"/>
        <v>MS</v>
      </c>
    </row>
    <row r="11850" spans="1:6" x14ac:dyDescent="0.25">
      <c r="A11850" t="str">
        <f>"006377295"</f>
        <v>006377295</v>
      </c>
      <c r="B11850" t="str">
        <f>"1982218053"</f>
        <v>1982218053</v>
      </c>
      <c r="C11850" t="str">
        <f>"363L00000X"</f>
        <v>363L00000X</v>
      </c>
      <c r="D11850" t="str">
        <f>"MOSLEY                   ERICA        A           "</f>
        <v xml:space="preserve">MOSLEY                   ERICA        A           </v>
      </c>
      <c r="E11850" t="str">
        <f>"MERIDIAN                  "</f>
        <v xml:space="preserve">MERIDIAN                  </v>
      </c>
      <c r="F11850" t="str">
        <f t="shared" si="316"/>
        <v>MS</v>
      </c>
    </row>
    <row r="11851" spans="1:6" x14ac:dyDescent="0.25">
      <c r="A11851" t="str">
        <f>"006377539"</f>
        <v>006377539</v>
      </c>
      <c r="B11851" t="str">
        <f>"1861739922"</f>
        <v>1861739922</v>
      </c>
      <c r="C11851" t="str">
        <f>"363L00000X"</f>
        <v>363L00000X</v>
      </c>
      <c r="D11851" t="str">
        <f>"SHIRLEY                  GEORGIA      C           "</f>
        <v xml:space="preserve">SHIRLEY                  GEORGIA      C           </v>
      </c>
      <c r="E11851" t="str">
        <f>"JACKSON                   "</f>
        <v xml:space="preserve">JACKSON                   </v>
      </c>
      <c r="F11851" t="str">
        <f t="shared" si="316"/>
        <v>MS</v>
      </c>
    </row>
    <row r="11852" spans="1:6" x14ac:dyDescent="0.25">
      <c r="A11852" t="str">
        <f>"006377843"</f>
        <v>006377843</v>
      </c>
      <c r="B11852" t="str">
        <f>"1801244702"</f>
        <v>1801244702</v>
      </c>
      <c r="C11852" t="str">
        <f>"363L00000X"</f>
        <v>363L00000X</v>
      </c>
      <c r="D11852" t="str">
        <f>"GUNN                     AMBER        B           "</f>
        <v xml:space="preserve">GUNN                     AMBER        B           </v>
      </c>
      <c r="E11852" t="str">
        <f>"JACKSON                   "</f>
        <v xml:space="preserve">JACKSON                   </v>
      </c>
      <c r="F11852" t="str">
        <f t="shared" si="316"/>
        <v>MS</v>
      </c>
    </row>
    <row r="11853" spans="1:6" x14ac:dyDescent="0.25">
      <c r="A11853" t="str">
        <f>"006378099"</f>
        <v>006378099</v>
      </c>
      <c r="B11853" t="str">
        <f>"1588955348"</f>
        <v>1588955348</v>
      </c>
      <c r="C11853" t="str">
        <f>"207P00000X"</f>
        <v>207P00000X</v>
      </c>
      <c r="D11853" t="str">
        <f>"ROGERS                   JEREMY       S           "</f>
        <v xml:space="preserve">ROGERS                   JEREMY       S           </v>
      </c>
      <c r="E11853" t="str">
        <f>"LAUREL                    "</f>
        <v xml:space="preserve">LAUREL                    </v>
      </c>
      <c r="F11853" t="str">
        <f t="shared" si="316"/>
        <v>MS</v>
      </c>
    </row>
    <row r="11854" spans="1:6" x14ac:dyDescent="0.25">
      <c r="A11854" t="str">
        <f>"006379087"</f>
        <v>006379087</v>
      </c>
      <c r="B11854" t="str">
        <f>"1568065027"</f>
        <v>1568065027</v>
      </c>
      <c r="C11854" t="str">
        <f>"363L00000X"</f>
        <v>363L00000X</v>
      </c>
      <c r="D11854" t="str">
        <f>"KELLUM                   SHANNON                  "</f>
        <v xml:space="preserve">KELLUM                   SHANNON                  </v>
      </c>
      <c r="E11854" t="str">
        <f>"EUPORA                    "</f>
        <v xml:space="preserve">EUPORA                    </v>
      </c>
      <c r="F11854" t="str">
        <f t="shared" si="316"/>
        <v>MS</v>
      </c>
    </row>
    <row r="11855" spans="1:6" x14ac:dyDescent="0.25">
      <c r="A11855" t="str">
        <f>"006379501"</f>
        <v>006379501</v>
      </c>
      <c r="B11855" t="str">
        <f>"1902434988"</f>
        <v>1902434988</v>
      </c>
      <c r="C11855" t="str">
        <f>"207L00000X"</f>
        <v>207L00000X</v>
      </c>
      <c r="D11855" t="str">
        <f>"MCRAE                    ALEXANDER    W           "</f>
        <v xml:space="preserve">MCRAE                    ALEXANDER    W           </v>
      </c>
      <c r="E11855" t="str">
        <f>"JACKSON                   "</f>
        <v xml:space="preserve">JACKSON                   </v>
      </c>
      <c r="F11855" t="str">
        <f t="shared" si="316"/>
        <v>MS</v>
      </c>
    </row>
    <row r="11856" spans="1:6" x14ac:dyDescent="0.25">
      <c r="A11856" t="str">
        <f>"006379507"</f>
        <v>006379507</v>
      </c>
      <c r="B11856" t="str">
        <f>"1003305228"</f>
        <v>1003305228</v>
      </c>
      <c r="C11856" t="str">
        <f>"122300000X"</f>
        <v>122300000X</v>
      </c>
      <c r="D11856" t="str">
        <f>"WHITE                    JAMIE                    "</f>
        <v xml:space="preserve">WHITE                    JAMIE                    </v>
      </c>
      <c r="E11856" t="str">
        <f>"JACKSON                   "</f>
        <v xml:space="preserve">JACKSON                   </v>
      </c>
      <c r="F11856" t="str">
        <f t="shared" si="316"/>
        <v>MS</v>
      </c>
    </row>
    <row r="11857" spans="1:6" x14ac:dyDescent="0.25">
      <c r="A11857" t="str">
        <f>"006379755"</f>
        <v>006379755</v>
      </c>
      <c r="B11857" t="str">
        <f>"1831536713"</f>
        <v>1831536713</v>
      </c>
      <c r="C11857" t="str">
        <f>"2080N0001X"</f>
        <v>2080N0001X</v>
      </c>
      <c r="D11857" t="str">
        <f>"SMITHHART                WILLIAM      E           "</f>
        <v xml:space="preserve">SMITHHART                WILLIAM      E           </v>
      </c>
      <c r="E11857" t="str">
        <f>"FLOWOOD                   "</f>
        <v xml:space="preserve">FLOWOOD                   </v>
      </c>
      <c r="F11857" t="str">
        <f t="shared" si="316"/>
        <v>MS</v>
      </c>
    </row>
    <row r="11858" spans="1:6" x14ac:dyDescent="0.25">
      <c r="A11858" t="str">
        <f>"006380301"</f>
        <v>006380301</v>
      </c>
      <c r="B11858" t="str">
        <f>"1013357276"</f>
        <v>1013357276</v>
      </c>
      <c r="C11858" t="str">
        <f>"207R00000X"</f>
        <v>207R00000X</v>
      </c>
      <c r="D11858" t="str">
        <f>"LUTER                    MEGHAN       A           "</f>
        <v xml:space="preserve">LUTER                    MEGHAN       A           </v>
      </c>
      <c r="E11858" t="str">
        <f>"TUPELO                    "</f>
        <v xml:space="preserve">TUPELO                    </v>
      </c>
      <c r="F11858" t="str">
        <f t="shared" si="316"/>
        <v>MS</v>
      </c>
    </row>
    <row r="11859" spans="1:6" x14ac:dyDescent="0.25">
      <c r="A11859" t="str">
        <f>"006381004"</f>
        <v>006381004</v>
      </c>
      <c r="B11859" t="str">
        <f>"1346994183"</f>
        <v>1346994183</v>
      </c>
      <c r="C11859" t="str">
        <f>"363L00000X"</f>
        <v>363L00000X</v>
      </c>
      <c r="D11859" t="str">
        <f>"LE                       KIM          T           "</f>
        <v xml:space="preserve">LE                       KIM          T           </v>
      </c>
      <c r="E11859" t="str">
        <f>"GULFPORT                  "</f>
        <v xml:space="preserve">GULFPORT                  </v>
      </c>
      <c r="F11859" t="str">
        <f t="shared" si="316"/>
        <v>MS</v>
      </c>
    </row>
    <row r="11860" spans="1:6" x14ac:dyDescent="0.25">
      <c r="A11860" t="str">
        <f>"006382033"</f>
        <v>006382033</v>
      </c>
      <c r="B11860" t="str">
        <f>"1497197859"</f>
        <v>1497197859</v>
      </c>
      <c r="C11860" t="str">
        <f>"2084P0800X"</f>
        <v>2084P0800X</v>
      </c>
      <c r="D11860" t="str">
        <f>"SINGH                    AMANDEEP                 "</f>
        <v xml:space="preserve">SINGH                    AMANDEEP                 </v>
      </c>
      <c r="E11860" t="str">
        <f>"LAUREL                    "</f>
        <v xml:space="preserve">LAUREL                    </v>
      </c>
      <c r="F11860" t="str">
        <f t="shared" si="316"/>
        <v>MS</v>
      </c>
    </row>
    <row r="11861" spans="1:6" x14ac:dyDescent="0.25">
      <c r="A11861" t="str">
        <f>"006382543"</f>
        <v>006382543</v>
      </c>
      <c r="B11861" t="str">
        <f>"1558701706"</f>
        <v>1558701706</v>
      </c>
      <c r="C11861" t="str">
        <f>"207R00000X"</f>
        <v>207R00000X</v>
      </c>
      <c r="D11861" t="str">
        <f>"KRISHNA                  CHANDRA      K           "</f>
        <v xml:space="preserve">KRISHNA                  CHANDRA      K           </v>
      </c>
      <c r="E11861" t="str">
        <f>"OXFORD                    "</f>
        <v xml:space="preserve">OXFORD                    </v>
      </c>
      <c r="F11861" t="str">
        <f t="shared" si="316"/>
        <v>MS</v>
      </c>
    </row>
    <row r="11862" spans="1:6" x14ac:dyDescent="0.25">
      <c r="A11862" t="str">
        <f>"006383271"</f>
        <v>006383271</v>
      </c>
      <c r="B11862" t="str">
        <f>"1689969735"</f>
        <v>1689969735</v>
      </c>
      <c r="C11862" t="str">
        <f>"207N00000X"</f>
        <v>207N00000X</v>
      </c>
      <c r="D11862" t="str">
        <f>"BYRD                     ADAM         C           "</f>
        <v xml:space="preserve">BYRD                     ADAM         C           </v>
      </c>
      <c r="E11862" t="str">
        <f>"JACKSON                   "</f>
        <v xml:space="preserve">JACKSON                   </v>
      </c>
      <c r="F11862" t="str">
        <f t="shared" si="316"/>
        <v>MS</v>
      </c>
    </row>
    <row r="11863" spans="1:6" x14ac:dyDescent="0.25">
      <c r="A11863" t="str">
        <f>"006383878"</f>
        <v>006383878</v>
      </c>
      <c r="B11863" t="str">
        <f>"1952662157"</f>
        <v>1952662157</v>
      </c>
      <c r="C11863" t="str">
        <f>"261QM1300X"</f>
        <v>261QM1300X</v>
      </c>
      <c r="D11863" t="str">
        <f>"AUTISM CENTER OF NORTH MS                         "</f>
        <v xml:space="preserve">AUTISM CENTER OF NORTH MS                         </v>
      </c>
      <c r="E11863" t="str">
        <f>"TUPELO                    "</f>
        <v xml:space="preserve">TUPELO                    </v>
      </c>
      <c r="F11863" t="str">
        <f t="shared" si="316"/>
        <v>MS</v>
      </c>
    </row>
    <row r="11864" spans="1:6" x14ac:dyDescent="0.25">
      <c r="A11864" t="str">
        <f>"006385771"</f>
        <v>006385771</v>
      </c>
      <c r="B11864" t="str">
        <f>"1366473464"</f>
        <v>1366473464</v>
      </c>
      <c r="C11864" t="str">
        <f>"207Q00000X"</f>
        <v>207Q00000X</v>
      </c>
      <c r="D11864" t="str">
        <f>"HELLRUNG                 MARC         C           "</f>
        <v xml:space="preserve">HELLRUNG                 MARC         C           </v>
      </c>
      <c r="E11864" t="str">
        <f>"BRANDON                   "</f>
        <v xml:space="preserve">BRANDON                   </v>
      </c>
      <c r="F11864" t="str">
        <f t="shared" si="316"/>
        <v>MS</v>
      </c>
    </row>
    <row r="11865" spans="1:6" x14ac:dyDescent="0.25">
      <c r="A11865" t="str">
        <f>"006387393"</f>
        <v>006387393</v>
      </c>
      <c r="B11865" t="str">
        <f>"1154314110"</f>
        <v>1154314110</v>
      </c>
      <c r="C11865" t="str">
        <f>"208000000X"</f>
        <v>208000000X</v>
      </c>
      <c r="D11865" t="str">
        <f>"GILLESPIE                TIMOTHY      G           "</f>
        <v xml:space="preserve">GILLESPIE                TIMOTHY      G           </v>
      </c>
      <c r="E11865" t="str">
        <f>"OLIVE BRANCH              "</f>
        <v xml:space="preserve">OLIVE BRANCH              </v>
      </c>
      <c r="F11865" t="str">
        <f t="shared" si="316"/>
        <v>MS</v>
      </c>
    </row>
    <row r="11866" spans="1:6" x14ac:dyDescent="0.25">
      <c r="A11866" t="str">
        <f>"006388035"</f>
        <v>006388035</v>
      </c>
      <c r="B11866" t="str">
        <f>"1649735135"</f>
        <v>1649735135</v>
      </c>
      <c r="C11866" t="str">
        <f>"363A00000X"</f>
        <v>363A00000X</v>
      </c>
      <c r="D11866" t="str">
        <f>"HOLLAND                  CARTER       G           "</f>
        <v xml:space="preserve">HOLLAND                  CARTER       G           </v>
      </c>
      <c r="E11866" t="str">
        <f>"HATTIESBURG               "</f>
        <v xml:space="preserve">HATTIESBURG               </v>
      </c>
      <c r="F11866" t="str">
        <f t="shared" si="316"/>
        <v>MS</v>
      </c>
    </row>
    <row r="11867" spans="1:6" x14ac:dyDescent="0.25">
      <c r="A11867" t="str">
        <f>"006388827"</f>
        <v>006388827</v>
      </c>
      <c r="B11867" t="str">
        <f>"1891978953"</f>
        <v>1891978953</v>
      </c>
      <c r="C11867" t="str">
        <f>"261QE0700X"</f>
        <v>261QE0700X</v>
      </c>
      <c r="D11867" t="str">
        <f>"DRG FAYETTE, PLLC                                 "</f>
        <v xml:space="preserve">DRG FAYETTE, PLLC                                 </v>
      </c>
      <c r="E11867" t="str">
        <f>"FAYETTE                   "</f>
        <v xml:space="preserve">FAYETTE                   </v>
      </c>
      <c r="F11867" t="str">
        <f t="shared" si="316"/>
        <v>MS</v>
      </c>
    </row>
    <row r="11868" spans="1:6" x14ac:dyDescent="0.25">
      <c r="A11868" t="str">
        <f>"006389053"</f>
        <v>006389053</v>
      </c>
      <c r="B11868" t="str">
        <f>"1316487994"</f>
        <v>1316487994</v>
      </c>
      <c r="C11868" t="str">
        <f>"363L00000X"</f>
        <v>363L00000X</v>
      </c>
      <c r="D11868" t="str">
        <f>"CARTER                   MARY         E           "</f>
        <v xml:space="preserve">CARTER                   MARY         E           </v>
      </c>
      <c r="E11868" t="str">
        <f>"CORINTH                   "</f>
        <v xml:space="preserve">CORINTH                   </v>
      </c>
      <c r="F11868" t="str">
        <f t="shared" si="316"/>
        <v>MS</v>
      </c>
    </row>
    <row r="11869" spans="1:6" x14ac:dyDescent="0.25">
      <c r="A11869" t="str">
        <f>"006389899"</f>
        <v>006389899</v>
      </c>
      <c r="B11869" t="str">
        <f>"1154535375"</f>
        <v>1154535375</v>
      </c>
      <c r="C11869" t="str">
        <f>"208000000X"</f>
        <v>208000000X</v>
      </c>
      <c r="D11869" t="str">
        <f>"SCHAEFER                 MARY         A           "</f>
        <v xml:space="preserve">SCHAEFER                 MARY         A           </v>
      </c>
      <c r="E11869" t="str">
        <f>"CHOCTAW                   "</f>
        <v xml:space="preserve">CHOCTAW                   </v>
      </c>
      <c r="F11869" t="str">
        <f t="shared" si="316"/>
        <v>MS</v>
      </c>
    </row>
    <row r="11870" spans="1:6" x14ac:dyDescent="0.25">
      <c r="A11870" t="str">
        <f>"006400753"</f>
        <v>006400753</v>
      </c>
      <c r="B11870" t="str">
        <f>"1235339516"</f>
        <v>1235339516</v>
      </c>
      <c r="C11870" t="str">
        <f>"207Q00000X"</f>
        <v>207Q00000X</v>
      </c>
      <c r="D11870" t="str">
        <f>"TAYLOR                   KATHRYN      G           "</f>
        <v xml:space="preserve">TAYLOR                   KATHRYN      G           </v>
      </c>
      <c r="E11870" t="str">
        <f>"JACKSON                   "</f>
        <v xml:space="preserve">JACKSON                   </v>
      </c>
      <c r="F11870" t="str">
        <f t="shared" si="316"/>
        <v>MS</v>
      </c>
    </row>
    <row r="11871" spans="1:6" x14ac:dyDescent="0.25">
      <c r="A11871" t="str">
        <f>"006400767"</f>
        <v>006400767</v>
      </c>
      <c r="B11871" t="str">
        <f>"1588022602"</f>
        <v>1588022602</v>
      </c>
      <c r="C11871" t="str">
        <f>"367500000X"</f>
        <v>367500000X</v>
      </c>
      <c r="D11871" t="str">
        <f>"TURNER                   CHRISTOPHER  B           "</f>
        <v xml:space="preserve">TURNER                   CHRISTOPHER  B           </v>
      </c>
      <c r="E11871" t="str">
        <f>"MERIDIAN                  "</f>
        <v xml:space="preserve">MERIDIAN                  </v>
      </c>
      <c r="F11871" t="str">
        <f t="shared" si="316"/>
        <v>MS</v>
      </c>
    </row>
    <row r="11872" spans="1:6" x14ac:dyDescent="0.25">
      <c r="A11872" t="str">
        <f>"006402500"</f>
        <v>006402500</v>
      </c>
      <c r="B11872" t="str">
        <f>"1942761382"</f>
        <v>1942761382</v>
      </c>
      <c r="C11872" t="str">
        <f>"363L00000X"</f>
        <v>363L00000X</v>
      </c>
      <c r="D11872" t="str">
        <f>"ROBERTS                  ERIN         K           "</f>
        <v xml:space="preserve">ROBERTS                  ERIN         K           </v>
      </c>
      <c r="E11872" t="str">
        <f>"HATTIESBURG               "</f>
        <v xml:space="preserve">HATTIESBURG               </v>
      </c>
      <c r="F11872" t="str">
        <f t="shared" si="316"/>
        <v>MS</v>
      </c>
    </row>
    <row r="11873" spans="1:6" x14ac:dyDescent="0.25">
      <c r="A11873" t="str">
        <f>"006403005"</f>
        <v>006403005</v>
      </c>
      <c r="B11873" t="str">
        <f>"1497820310"</f>
        <v>1497820310</v>
      </c>
      <c r="C11873" t="str">
        <f>"261QR1300X"</f>
        <v>261QR1300X</v>
      </c>
      <c r="D11873" t="str">
        <f>"NURSEMED INC                                      "</f>
        <v xml:space="preserve">NURSEMED INC                                      </v>
      </c>
      <c r="E11873" t="str">
        <f>"BALDWYN                   "</f>
        <v xml:space="preserve">BALDWYN                   </v>
      </c>
      <c r="F11873" t="str">
        <f t="shared" si="316"/>
        <v>MS</v>
      </c>
    </row>
    <row r="11874" spans="1:6" x14ac:dyDescent="0.25">
      <c r="A11874" t="str">
        <f>"006404731"</f>
        <v>006404731</v>
      </c>
      <c r="B11874" t="str">
        <f>"1821335894"</f>
        <v>1821335894</v>
      </c>
      <c r="C11874" t="str">
        <f>"261QF0400X"</f>
        <v>261QF0400X</v>
      </c>
      <c r="D11874" t="str">
        <f>"SOUTHEAST MISSISSIPPI RURAL HEALTHC               "</f>
        <v xml:space="preserve">SOUTHEAST MISSISSIPPI RURAL HEALTHC               </v>
      </c>
      <c r="E11874" t="str">
        <f>"PETAL                     "</f>
        <v xml:space="preserve">PETAL                     </v>
      </c>
      <c r="F11874" t="str">
        <f t="shared" si="316"/>
        <v>MS</v>
      </c>
    </row>
    <row r="11875" spans="1:6" x14ac:dyDescent="0.25">
      <c r="A11875" t="str">
        <f>"006404762"</f>
        <v>006404762</v>
      </c>
      <c r="B11875" t="str">
        <f>"1669851846"</f>
        <v>1669851846</v>
      </c>
      <c r="C11875" t="str">
        <f>"207R00000X"</f>
        <v>207R00000X</v>
      </c>
      <c r="D11875" t="str">
        <f>"FLETCHER                 STEPHEN                  "</f>
        <v xml:space="preserve">FLETCHER                 STEPHEN                  </v>
      </c>
      <c r="E11875" t="str">
        <f>"HATTIESBURG               "</f>
        <v xml:space="preserve">HATTIESBURG               </v>
      </c>
      <c r="F11875" t="str">
        <f t="shared" si="316"/>
        <v>MS</v>
      </c>
    </row>
    <row r="11876" spans="1:6" x14ac:dyDescent="0.25">
      <c r="A11876" t="str">
        <f>"006404790"</f>
        <v>006404790</v>
      </c>
      <c r="B11876" t="str">
        <f>"1437702693"</f>
        <v>1437702693</v>
      </c>
      <c r="C11876" t="str">
        <f>"363L00000X"</f>
        <v>363L00000X</v>
      </c>
      <c r="D11876" t="str">
        <f>"STEVENS                  MELISSA                  "</f>
        <v xml:space="preserve">STEVENS                  MELISSA                  </v>
      </c>
      <c r="E11876" t="str">
        <f>"RICHLAND                  "</f>
        <v xml:space="preserve">RICHLAND                  </v>
      </c>
      <c r="F11876" t="str">
        <f t="shared" si="316"/>
        <v>MS</v>
      </c>
    </row>
    <row r="11877" spans="1:6" x14ac:dyDescent="0.25">
      <c r="A11877" t="str">
        <f>"006407535"</f>
        <v>006407535</v>
      </c>
      <c r="B11877" t="str">
        <f>"1205065554"</f>
        <v>1205065554</v>
      </c>
      <c r="C11877" t="str">
        <f>"207R00000X"</f>
        <v>207R00000X</v>
      </c>
      <c r="D11877" t="str">
        <f>"BRIDGES                  JAMES        K           "</f>
        <v xml:space="preserve">BRIDGES                  JAMES        K           </v>
      </c>
      <c r="E11877" t="str">
        <f>"MADISON                   "</f>
        <v xml:space="preserve">MADISON                   </v>
      </c>
      <c r="F11877" t="str">
        <f t="shared" si="316"/>
        <v>MS</v>
      </c>
    </row>
    <row r="11878" spans="1:6" x14ac:dyDescent="0.25">
      <c r="A11878" t="str">
        <f>"006408789"</f>
        <v>006408789</v>
      </c>
      <c r="B11878" t="str">
        <f>"1740742683"</f>
        <v>1740742683</v>
      </c>
      <c r="C11878" t="str">
        <f>"207P00000X"</f>
        <v>207P00000X</v>
      </c>
      <c r="D11878" t="str">
        <f>"REDDING                  JONATHAN                 "</f>
        <v xml:space="preserve">REDDING                  JONATHAN                 </v>
      </c>
      <c r="E11878" t="str">
        <f>"LAUREL                    "</f>
        <v xml:space="preserve">LAUREL                    </v>
      </c>
      <c r="F11878" t="str">
        <f t="shared" si="316"/>
        <v>MS</v>
      </c>
    </row>
    <row r="11879" spans="1:6" x14ac:dyDescent="0.25">
      <c r="A11879" t="str">
        <f>"006409362"</f>
        <v>006409362</v>
      </c>
      <c r="B11879" t="str">
        <f>"1407247315"</f>
        <v>1407247315</v>
      </c>
      <c r="C11879" t="str">
        <f>"363L00000X"</f>
        <v>363L00000X</v>
      </c>
      <c r="D11879" t="str">
        <f>"KERSHAW-BERRY            VALARIE                  "</f>
        <v xml:space="preserve">KERSHAW-BERRY            VALARIE                  </v>
      </c>
      <c r="E11879" t="str">
        <f>"FLOWOOD                   "</f>
        <v xml:space="preserve">FLOWOOD                   </v>
      </c>
      <c r="F11879" t="str">
        <f t="shared" si="316"/>
        <v>MS</v>
      </c>
    </row>
    <row r="11880" spans="1:6" x14ac:dyDescent="0.25">
      <c r="A11880" t="str">
        <f>"006409770"</f>
        <v>006409770</v>
      </c>
      <c r="B11880" t="str">
        <f>"1265814511"</f>
        <v>1265814511</v>
      </c>
      <c r="C11880" t="str">
        <f>"207P00000X"</f>
        <v>207P00000X</v>
      </c>
      <c r="D11880" t="str">
        <f>"HUDGINS                  SARAH                    "</f>
        <v xml:space="preserve">HUDGINS                  SARAH                    </v>
      </c>
      <c r="E11880" t="str">
        <f>"PICAYUNE                  "</f>
        <v xml:space="preserve">PICAYUNE                  </v>
      </c>
      <c r="F11880" t="str">
        <f t="shared" si="316"/>
        <v>MS</v>
      </c>
    </row>
    <row r="11881" spans="1:6" x14ac:dyDescent="0.25">
      <c r="A11881" t="str">
        <f>"006420342"</f>
        <v>006420342</v>
      </c>
      <c r="B11881" t="str">
        <f>"1770731689"</f>
        <v>1770731689</v>
      </c>
      <c r="C11881" t="str">
        <f>"2086S0127X"</f>
        <v>2086S0127X</v>
      </c>
      <c r="D11881" t="str">
        <f>"BATSON                   SHUNTAYE     D           "</f>
        <v xml:space="preserve">BATSON                   SHUNTAYE     D           </v>
      </c>
      <c r="E11881" t="str">
        <f>"JACKSON                   "</f>
        <v xml:space="preserve">JACKSON                   </v>
      </c>
      <c r="F11881" t="str">
        <f t="shared" si="316"/>
        <v>MS</v>
      </c>
    </row>
    <row r="11882" spans="1:6" x14ac:dyDescent="0.25">
      <c r="A11882" t="str">
        <f>"006420526"</f>
        <v>006420526</v>
      </c>
      <c r="B11882" t="str">
        <f>"1467751917"</f>
        <v>1467751917</v>
      </c>
      <c r="C11882" t="str">
        <f>"363L00000X"</f>
        <v>363L00000X</v>
      </c>
      <c r="D11882" t="str">
        <f>"BURGESS                  GRETA        M           "</f>
        <v xml:space="preserve">BURGESS                  GRETA        M           </v>
      </c>
      <c r="E11882" t="str">
        <f>"AMORY                     "</f>
        <v xml:space="preserve">AMORY                     </v>
      </c>
      <c r="F11882" t="str">
        <f t="shared" si="316"/>
        <v>MS</v>
      </c>
    </row>
    <row r="11883" spans="1:6" x14ac:dyDescent="0.25">
      <c r="A11883" t="str">
        <f>"006420719"</f>
        <v>006420719</v>
      </c>
      <c r="B11883" t="str">
        <f>"1255593265"</f>
        <v>1255593265</v>
      </c>
      <c r="C11883" t="str">
        <f>"207R00000X"</f>
        <v>207R00000X</v>
      </c>
      <c r="D11883" t="str">
        <f>"BRITT                    BLAINE       C           "</f>
        <v xml:space="preserve">BRITT                    BLAINE       C           </v>
      </c>
      <c r="E11883" t="str">
        <f>"BROOKHAVEN                "</f>
        <v xml:space="preserve">BROOKHAVEN                </v>
      </c>
      <c r="F11883" t="str">
        <f t="shared" si="316"/>
        <v>MS</v>
      </c>
    </row>
    <row r="11884" spans="1:6" x14ac:dyDescent="0.25">
      <c r="A11884" t="str">
        <f>"006422571"</f>
        <v>006422571</v>
      </c>
      <c r="B11884" t="str">
        <f>"1164706578"</f>
        <v>1164706578</v>
      </c>
      <c r="C11884" t="str">
        <f>"367500000X"</f>
        <v>367500000X</v>
      </c>
      <c r="D11884" t="str">
        <f>"LAMB                     MONDA                    "</f>
        <v xml:space="preserve">LAMB                     MONDA                    </v>
      </c>
      <c r="E11884" t="str">
        <f>"TUPELO                    "</f>
        <v xml:space="preserve">TUPELO                    </v>
      </c>
      <c r="F11884" t="str">
        <f t="shared" si="316"/>
        <v>MS</v>
      </c>
    </row>
    <row r="11885" spans="1:6" x14ac:dyDescent="0.25">
      <c r="A11885" t="str">
        <f>"006423019"</f>
        <v>006423019</v>
      </c>
      <c r="B11885" t="str">
        <f>"1790988194"</f>
        <v>1790988194</v>
      </c>
      <c r="C11885" t="str">
        <f>"207P00000X"</f>
        <v>207P00000X</v>
      </c>
      <c r="D11885" t="str">
        <f>"BUNDY                    LISA         M           "</f>
        <v xml:space="preserve">BUNDY                    LISA         M           </v>
      </c>
      <c r="E11885" t="str">
        <f>"CORINTH                   "</f>
        <v xml:space="preserve">CORINTH                   </v>
      </c>
      <c r="F11885" t="str">
        <f t="shared" si="316"/>
        <v>MS</v>
      </c>
    </row>
    <row r="11886" spans="1:6" x14ac:dyDescent="0.25">
      <c r="A11886" t="str">
        <f>"006424743"</f>
        <v>006424743</v>
      </c>
      <c r="B11886" t="str">
        <f>"1770994030"</f>
        <v>1770994030</v>
      </c>
      <c r="C11886" t="str">
        <f>"207RC0000X"</f>
        <v>207RC0000X</v>
      </c>
      <c r="D11886" t="str">
        <f>"DEERE                    BRADLEY      P           "</f>
        <v xml:space="preserve">DEERE                    BRADLEY      P           </v>
      </c>
      <c r="E11886" t="str">
        <f>"JACKSON                   "</f>
        <v xml:space="preserve">JACKSON                   </v>
      </c>
      <c r="F11886" t="str">
        <f t="shared" si="316"/>
        <v>MS</v>
      </c>
    </row>
    <row r="11887" spans="1:6" x14ac:dyDescent="0.25">
      <c r="A11887" t="str">
        <f>"006425036"</f>
        <v>006425036</v>
      </c>
      <c r="B11887" t="str">
        <f>"1336490713"</f>
        <v>1336490713</v>
      </c>
      <c r="C11887" t="str">
        <f>"363L00000X"</f>
        <v>363L00000X</v>
      </c>
      <c r="D11887" t="str">
        <f>"ARRINGTON                LACIE        F           "</f>
        <v xml:space="preserve">ARRINGTON                LACIE        F           </v>
      </c>
      <c r="E11887" t="str">
        <f>"LELAND                    "</f>
        <v xml:space="preserve">LELAND                    </v>
      </c>
      <c r="F11887" t="str">
        <f t="shared" si="316"/>
        <v>MS</v>
      </c>
    </row>
    <row r="11888" spans="1:6" x14ac:dyDescent="0.25">
      <c r="A11888" t="str">
        <f>"006425300"</f>
        <v>006425300</v>
      </c>
      <c r="B11888" t="str">
        <f>"1649480971"</f>
        <v>1649480971</v>
      </c>
      <c r="C11888" t="str">
        <f>"207Q00000X"</f>
        <v>207Q00000X</v>
      </c>
      <c r="D11888" t="str">
        <f>"PACE HERNDON             GINGER       N           "</f>
        <v xml:space="preserve">PACE HERNDON             GINGER       N           </v>
      </c>
      <c r="E11888" t="str">
        <f>"SUMRALL                   "</f>
        <v xml:space="preserve">SUMRALL                   </v>
      </c>
      <c r="F11888" t="str">
        <f t="shared" si="316"/>
        <v>MS</v>
      </c>
    </row>
    <row r="11889" spans="1:6" x14ac:dyDescent="0.25">
      <c r="A11889" t="str">
        <f>"006425360"</f>
        <v>006425360</v>
      </c>
      <c r="B11889" t="str">
        <f>"1851841548"</f>
        <v>1851841548</v>
      </c>
      <c r="C11889" t="str">
        <f>"363L00000X"</f>
        <v>363L00000X</v>
      </c>
      <c r="D11889" t="str">
        <f>"ADCOCK                   DOROTHY      L           "</f>
        <v xml:space="preserve">ADCOCK                   DOROTHY      L           </v>
      </c>
      <c r="E11889" t="str">
        <f>"JACKSON                   "</f>
        <v xml:space="preserve">JACKSON                   </v>
      </c>
      <c r="F11889" t="str">
        <f t="shared" si="316"/>
        <v>MS</v>
      </c>
    </row>
    <row r="11890" spans="1:6" x14ac:dyDescent="0.25">
      <c r="A11890" t="str">
        <f>"006425712"</f>
        <v>006425712</v>
      </c>
      <c r="B11890" t="str">
        <f>"1285661934"</f>
        <v>1285661934</v>
      </c>
      <c r="C11890" t="str">
        <f>"2085R0202X"</f>
        <v>2085R0202X</v>
      </c>
      <c r="D11890" t="str">
        <f>"SOLOMON                  NEIL         J           "</f>
        <v xml:space="preserve">SOLOMON                  NEIL         J           </v>
      </c>
      <c r="E11890" t="str">
        <f>"HATTIESBURG               "</f>
        <v xml:space="preserve">HATTIESBURG               </v>
      </c>
      <c r="F11890" t="str">
        <f t="shared" si="316"/>
        <v>MS</v>
      </c>
    </row>
    <row r="11891" spans="1:6" x14ac:dyDescent="0.25">
      <c r="A11891" t="str">
        <f>"006425721"</f>
        <v>006425721</v>
      </c>
      <c r="B11891" t="str">
        <f>"1922367978"</f>
        <v>1922367978</v>
      </c>
      <c r="C11891" t="str">
        <f>"207ZP0105X"</f>
        <v>207ZP0105X</v>
      </c>
      <c r="D11891" t="str">
        <f>"LEDOUX                   SHAWN        J           "</f>
        <v xml:space="preserve">LEDOUX                   SHAWN        J           </v>
      </c>
      <c r="E11891" t="str">
        <f>"HATTIESBURG               "</f>
        <v xml:space="preserve">HATTIESBURG               </v>
      </c>
      <c r="F11891" t="str">
        <f t="shared" si="316"/>
        <v>MS</v>
      </c>
    </row>
    <row r="11892" spans="1:6" x14ac:dyDescent="0.25">
      <c r="A11892" t="str">
        <f>"006426706"</f>
        <v>006426706</v>
      </c>
      <c r="B11892" t="str">
        <f>"1326294562"</f>
        <v>1326294562</v>
      </c>
      <c r="C11892" t="str">
        <f>"2084N0400X"</f>
        <v>2084N0400X</v>
      </c>
      <c r="D11892" t="str">
        <f>"ZANGIABADI               AMIRHOSSEIN              "</f>
        <v xml:space="preserve">ZANGIABADI               AMIRHOSSEIN              </v>
      </c>
      <c r="E11892" t="str">
        <f>"SOUTHAVEN                 "</f>
        <v xml:space="preserve">SOUTHAVEN                 </v>
      </c>
      <c r="F11892" t="str">
        <f t="shared" si="316"/>
        <v>MS</v>
      </c>
    </row>
    <row r="11893" spans="1:6" x14ac:dyDescent="0.25">
      <c r="A11893" t="str">
        <f>"006426760"</f>
        <v>006426760</v>
      </c>
      <c r="B11893" t="str">
        <f>"1558788026"</f>
        <v>1558788026</v>
      </c>
      <c r="C11893" t="str">
        <f>"152W00000X"</f>
        <v>152W00000X</v>
      </c>
      <c r="D11893" t="str">
        <f>"ATTAR                    ROYA                     "</f>
        <v xml:space="preserve">ATTAR                    ROYA                     </v>
      </c>
      <c r="E11893" t="str">
        <f>"JACKSON                   "</f>
        <v xml:space="preserve">JACKSON                   </v>
      </c>
      <c r="F11893" t="str">
        <f t="shared" si="316"/>
        <v>MS</v>
      </c>
    </row>
    <row r="11894" spans="1:6" x14ac:dyDescent="0.25">
      <c r="A11894" t="str">
        <f>"006427823"</f>
        <v>006427823</v>
      </c>
      <c r="B11894" t="str">
        <f>"1104036177"</f>
        <v>1104036177</v>
      </c>
      <c r="C11894" t="str">
        <f>"363L00000X"</f>
        <v>363L00000X</v>
      </c>
      <c r="D11894" t="str">
        <f>"SPREAFICO                MARY         E           "</f>
        <v xml:space="preserve">SPREAFICO                MARY         E           </v>
      </c>
      <c r="E11894" t="str">
        <f>"SEBASTOPOL                "</f>
        <v xml:space="preserve">SEBASTOPOL                </v>
      </c>
      <c r="F11894" t="str">
        <f t="shared" si="316"/>
        <v>MS</v>
      </c>
    </row>
    <row r="11895" spans="1:6" x14ac:dyDescent="0.25">
      <c r="A11895" t="str">
        <f>"006429080"</f>
        <v>006429080</v>
      </c>
      <c r="B11895" t="str">
        <f>"1356514988"</f>
        <v>1356514988</v>
      </c>
      <c r="C11895" t="str">
        <f>"207X00000X"</f>
        <v>207X00000X</v>
      </c>
      <c r="D11895" t="str">
        <f>"COX                      MICHAEL      J           "</f>
        <v xml:space="preserve">COX                      MICHAEL      J           </v>
      </c>
      <c r="E11895" t="str">
        <f>"HATTIESBURG               "</f>
        <v xml:space="preserve">HATTIESBURG               </v>
      </c>
      <c r="F11895" t="str">
        <f t="shared" si="316"/>
        <v>MS</v>
      </c>
    </row>
    <row r="11896" spans="1:6" x14ac:dyDescent="0.25">
      <c r="A11896" t="str">
        <f>"006429576"</f>
        <v>006429576</v>
      </c>
      <c r="B11896" t="str">
        <f>"1447690854"</f>
        <v>1447690854</v>
      </c>
      <c r="C11896" t="str">
        <f>"207R00000X"</f>
        <v>207R00000X</v>
      </c>
      <c r="D11896" t="str">
        <f>"SHORES                   JOEL                     "</f>
        <v xml:space="preserve">SHORES                   JOEL                     </v>
      </c>
      <c r="E11896" t="str">
        <f>"LAUREL                    "</f>
        <v xml:space="preserve">LAUREL                    </v>
      </c>
      <c r="F11896" t="str">
        <f t="shared" si="316"/>
        <v>MS</v>
      </c>
    </row>
    <row r="11897" spans="1:6" x14ac:dyDescent="0.25">
      <c r="A11897" t="str">
        <f>"006430931"</f>
        <v>006430931</v>
      </c>
      <c r="B11897" t="str">
        <f>"1386121176"</f>
        <v>1386121176</v>
      </c>
      <c r="C11897" t="str">
        <f>"2084N0400X"</f>
        <v>2084N0400X</v>
      </c>
      <c r="D11897" t="str">
        <f>"DOVIDAUSKAS              NERIJUS                  "</f>
        <v xml:space="preserve">DOVIDAUSKAS              NERIJUS                  </v>
      </c>
      <c r="E11897" t="str">
        <f>"JACKSON                   "</f>
        <v xml:space="preserve">JACKSON                   </v>
      </c>
      <c r="F11897" t="str">
        <f t="shared" si="316"/>
        <v>MS</v>
      </c>
    </row>
    <row r="11898" spans="1:6" x14ac:dyDescent="0.25">
      <c r="A11898" t="str">
        <f>"006431326"</f>
        <v>006431326</v>
      </c>
      <c r="B11898" t="str">
        <f>"1992313951"</f>
        <v>1992313951</v>
      </c>
      <c r="C11898" t="str">
        <f>"122300000X"</f>
        <v>122300000X</v>
      </c>
      <c r="D11898" t="str">
        <f>"ELLZEY                   BURKE        L           "</f>
        <v xml:space="preserve">ELLZEY                   BURKE        L           </v>
      </c>
      <c r="E11898" t="str">
        <f>"HATTIESBURG               "</f>
        <v xml:space="preserve">HATTIESBURG               </v>
      </c>
      <c r="F11898" t="str">
        <f t="shared" si="316"/>
        <v>MS</v>
      </c>
    </row>
    <row r="11899" spans="1:6" x14ac:dyDescent="0.25">
      <c r="A11899" t="str">
        <f>"006432790"</f>
        <v>006432790</v>
      </c>
      <c r="B11899" t="str">
        <f>"1518219914"</f>
        <v>1518219914</v>
      </c>
      <c r="C11899" t="str">
        <f>"363L00000X"</f>
        <v>363L00000X</v>
      </c>
      <c r="D11899" t="str">
        <f>"JAQUES                   GLORIA       S           "</f>
        <v xml:space="preserve">JAQUES                   GLORIA       S           </v>
      </c>
      <c r="E11899" t="str">
        <f>"JACKSON                   "</f>
        <v xml:space="preserve">JACKSON                   </v>
      </c>
      <c r="F11899" t="str">
        <f t="shared" si="316"/>
        <v>MS</v>
      </c>
    </row>
    <row r="11900" spans="1:6" x14ac:dyDescent="0.25">
      <c r="A11900" t="str">
        <f>"006434044"</f>
        <v>006434044</v>
      </c>
      <c r="B11900" t="str">
        <f>"1417202433"</f>
        <v>1417202433</v>
      </c>
      <c r="C11900" t="str">
        <f>"363L00000X"</f>
        <v>363L00000X</v>
      </c>
      <c r="D11900" t="str">
        <f>"LESSLEY                  JENNIFER     L           "</f>
        <v xml:space="preserve">LESSLEY                  JENNIFER     L           </v>
      </c>
      <c r="E11900" t="str">
        <f>"NATCHEZ                   "</f>
        <v xml:space="preserve">NATCHEZ                   </v>
      </c>
      <c r="F11900" t="str">
        <f t="shared" si="316"/>
        <v>MS</v>
      </c>
    </row>
    <row r="11901" spans="1:6" x14ac:dyDescent="0.25">
      <c r="A11901" t="str">
        <f>"006434356"</f>
        <v>006434356</v>
      </c>
      <c r="B11901" t="str">
        <f>"1891100970"</f>
        <v>1891100970</v>
      </c>
      <c r="C11901" t="str">
        <f>"363LF0000X"</f>
        <v>363LF0000X</v>
      </c>
      <c r="D11901" t="str">
        <f>"EASLEY                   JILL         T           "</f>
        <v xml:space="preserve">EASLEY                   JILL         T           </v>
      </c>
      <c r="E11901" t="str">
        <f>"MADISON                   "</f>
        <v xml:space="preserve">MADISON                   </v>
      </c>
      <c r="F11901" t="str">
        <f t="shared" si="316"/>
        <v>MS</v>
      </c>
    </row>
    <row r="11902" spans="1:6" x14ac:dyDescent="0.25">
      <c r="A11902" t="str">
        <f>"006434705"</f>
        <v>006434705</v>
      </c>
      <c r="B11902" t="str">
        <f>"1972006419"</f>
        <v>1972006419</v>
      </c>
      <c r="C11902" t="str">
        <f>"363L00000X"</f>
        <v>363L00000X</v>
      </c>
      <c r="D11902" t="str">
        <f>"BARRON                   MICHAEL      H           "</f>
        <v xml:space="preserve">BARRON                   MICHAEL      H           </v>
      </c>
      <c r="E11902" t="str">
        <f>"BALDWYN                   "</f>
        <v xml:space="preserve">BALDWYN                   </v>
      </c>
      <c r="F11902" t="str">
        <f t="shared" ref="F11902:F11965" si="317">"MS"</f>
        <v>MS</v>
      </c>
    </row>
    <row r="11903" spans="1:6" x14ac:dyDescent="0.25">
      <c r="A11903" t="str">
        <f>"006435092"</f>
        <v>006435092</v>
      </c>
      <c r="B11903" t="str">
        <f>"1699937680"</f>
        <v>1699937680</v>
      </c>
      <c r="C11903" t="str">
        <f>"207Q00000X"</f>
        <v>207Q00000X</v>
      </c>
      <c r="D11903" t="str">
        <f>"SHIPLEY                  SONYA        R           "</f>
        <v xml:space="preserve">SHIPLEY                  SONYA        R           </v>
      </c>
      <c r="E11903" t="str">
        <f>"JACKSON                   "</f>
        <v xml:space="preserve">JACKSON                   </v>
      </c>
      <c r="F11903" t="str">
        <f t="shared" si="317"/>
        <v>MS</v>
      </c>
    </row>
    <row r="11904" spans="1:6" x14ac:dyDescent="0.25">
      <c r="A11904" t="str">
        <f>"006435397"</f>
        <v>006435397</v>
      </c>
      <c r="B11904" t="str">
        <f>"1588016455"</f>
        <v>1588016455</v>
      </c>
      <c r="C11904" t="str">
        <f>"208M00000X"</f>
        <v>208M00000X</v>
      </c>
      <c r="D11904" t="str">
        <f>"ZAFAR                    YOUSAF                   "</f>
        <v xml:space="preserve">ZAFAR                    YOUSAF                   </v>
      </c>
      <c r="E11904" t="str">
        <f>"JACKSON                   "</f>
        <v xml:space="preserve">JACKSON                   </v>
      </c>
      <c r="F11904" t="str">
        <f t="shared" si="317"/>
        <v>MS</v>
      </c>
    </row>
    <row r="11905" spans="1:6" x14ac:dyDescent="0.25">
      <c r="A11905" t="str">
        <f>"006436091"</f>
        <v>006436091</v>
      </c>
      <c r="B11905" t="str">
        <f>"1861639015"</f>
        <v>1861639015</v>
      </c>
      <c r="C11905" t="str">
        <f>"363L00000X"</f>
        <v>363L00000X</v>
      </c>
      <c r="D11905" t="str">
        <f>"THOMAS                   KATHERINE    B           "</f>
        <v xml:space="preserve">THOMAS                   KATHERINE    B           </v>
      </c>
      <c r="E11905" t="str">
        <f>"GULFPORT                  "</f>
        <v xml:space="preserve">GULFPORT                  </v>
      </c>
      <c r="F11905" t="str">
        <f t="shared" si="317"/>
        <v>MS</v>
      </c>
    </row>
    <row r="11906" spans="1:6" x14ac:dyDescent="0.25">
      <c r="A11906" t="str">
        <f>"006436218"</f>
        <v>006436218</v>
      </c>
      <c r="B11906" t="str">
        <f>"1073920716"</f>
        <v>1073920716</v>
      </c>
      <c r="C11906" t="str">
        <f>"363L00000X"</f>
        <v>363L00000X</v>
      </c>
      <c r="D11906" t="str">
        <f>"BASS                     WILLIAM                  "</f>
        <v xml:space="preserve">BASS                     WILLIAM                  </v>
      </c>
      <c r="E11906" t="str">
        <f>"MCCOMB                    "</f>
        <v xml:space="preserve">MCCOMB                    </v>
      </c>
      <c r="F11906" t="str">
        <f t="shared" si="317"/>
        <v>MS</v>
      </c>
    </row>
    <row r="11907" spans="1:6" x14ac:dyDescent="0.25">
      <c r="A11907" t="str">
        <f>"006436375"</f>
        <v>006436375</v>
      </c>
      <c r="B11907" t="str">
        <f>"1033170535"</f>
        <v>1033170535</v>
      </c>
      <c r="C11907" t="str">
        <f>"208600000X"</f>
        <v>208600000X</v>
      </c>
      <c r="D11907" t="str">
        <f>"HINDMAN                  JASON        W           "</f>
        <v xml:space="preserve">HINDMAN                  JASON        W           </v>
      </c>
      <c r="E11907" t="str">
        <f>"SOUTHAVEN                 "</f>
        <v xml:space="preserve">SOUTHAVEN                 </v>
      </c>
      <c r="F11907" t="str">
        <f t="shared" si="317"/>
        <v>MS</v>
      </c>
    </row>
    <row r="11908" spans="1:6" x14ac:dyDescent="0.25">
      <c r="A11908" t="str">
        <f>"006437241"</f>
        <v>006437241</v>
      </c>
      <c r="B11908" t="str">
        <f>"1245489947"</f>
        <v>1245489947</v>
      </c>
      <c r="C11908" t="str">
        <f>"367500000X"</f>
        <v>367500000X</v>
      </c>
      <c r="D11908" t="str">
        <f>"ADAMS                    BECKY        A           "</f>
        <v xml:space="preserve">ADAMS                    BECKY        A           </v>
      </c>
      <c r="E11908" t="str">
        <f>"TUPELO                    "</f>
        <v xml:space="preserve">TUPELO                    </v>
      </c>
      <c r="F11908" t="str">
        <f t="shared" si="317"/>
        <v>MS</v>
      </c>
    </row>
    <row r="11909" spans="1:6" x14ac:dyDescent="0.25">
      <c r="A11909" t="str">
        <f>"006437250"</f>
        <v>006437250</v>
      </c>
      <c r="B11909" t="str">
        <f>"1871935189"</f>
        <v>1871935189</v>
      </c>
      <c r="C11909" t="str">
        <f>"363L00000X"</f>
        <v>363L00000X</v>
      </c>
      <c r="D11909" t="str">
        <f>"CARR                     JASON        E           "</f>
        <v xml:space="preserve">CARR                     JASON        E           </v>
      </c>
      <c r="E11909" t="str">
        <f>"FOREST                    "</f>
        <v xml:space="preserve">FOREST                    </v>
      </c>
      <c r="F11909" t="str">
        <f t="shared" si="317"/>
        <v>MS</v>
      </c>
    </row>
    <row r="11910" spans="1:6" x14ac:dyDescent="0.25">
      <c r="A11910" t="str">
        <f>"006438843"</f>
        <v>006438843</v>
      </c>
      <c r="B11910" t="str">
        <f>"1184647885"</f>
        <v>1184647885</v>
      </c>
      <c r="C11910" t="str">
        <f>"367500000X"</f>
        <v>367500000X</v>
      </c>
      <c r="D11910" t="str">
        <f>"GRAHAM                   RANDALL      W           "</f>
        <v xml:space="preserve">GRAHAM                   RANDALL      W           </v>
      </c>
      <c r="E11910" t="str">
        <f>"LAUREL                    "</f>
        <v xml:space="preserve">LAUREL                    </v>
      </c>
      <c r="F11910" t="str">
        <f t="shared" si="317"/>
        <v>MS</v>
      </c>
    </row>
    <row r="11911" spans="1:6" x14ac:dyDescent="0.25">
      <c r="A11911" t="str">
        <f>"006439791"</f>
        <v>006439791</v>
      </c>
      <c r="B11911" t="str">
        <f>"1215462031"</f>
        <v>1215462031</v>
      </c>
      <c r="C11911" t="str">
        <f>"207R00000X"</f>
        <v>207R00000X</v>
      </c>
      <c r="D11911" t="str">
        <f>"FREY                     ELIZABETH                "</f>
        <v xml:space="preserve">FREY                     ELIZABETH                </v>
      </c>
      <c r="E11911" t="str">
        <f>"OXFORD                    "</f>
        <v xml:space="preserve">OXFORD                    </v>
      </c>
      <c r="F11911" t="str">
        <f t="shared" si="317"/>
        <v>MS</v>
      </c>
    </row>
    <row r="11912" spans="1:6" x14ac:dyDescent="0.25">
      <c r="A11912" t="str">
        <f>"006450522"</f>
        <v>006450522</v>
      </c>
      <c r="B11912" t="str">
        <f>"1760963805"</f>
        <v>1760963805</v>
      </c>
      <c r="C11912" t="str">
        <f>"363L00000X"</f>
        <v>363L00000X</v>
      </c>
      <c r="D11912" t="str">
        <f>"RIGNEY                   LEAH                     "</f>
        <v xml:space="preserve">RIGNEY                   LEAH                     </v>
      </c>
      <c r="E11912" t="str">
        <f>"JACKSON                   "</f>
        <v xml:space="preserve">JACKSON                   </v>
      </c>
      <c r="F11912" t="str">
        <f t="shared" si="317"/>
        <v>MS</v>
      </c>
    </row>
    <row r="11913" spans="1:6" x14ac:dyDescent="0.25">
      <c r="A11913" t="str">
        <f>"006450708"</f>
        <v>006450708</v>
      </c>
      <c r="B11913" t="str">
        <f>"1376286880"</f>
        <v>1376286880</v>
      </c>
      <c r="C11913" t="str">
        <f>"363L00000X"</f>
        <v>363L00000X</v>
      </c>
      <c r="D11913" t="str">
        <f>"MOLPUS                   MADISON      H           "</f>
        <v xml:space="preserve">MOLPUS                   MADISON      H           </v>
      </c>
      <c r="E11913" t="str">
        <f>"JACKSON                   "</f>
        <v xml:space="preserve">JACKSON                   </v>
      </c>
      <c r="F11913" t="str">
        <f t="shared" si="317"/>
        <v>MS</v>
      </c>
    </row>
    <row r="11914" spans="1:6" x14ac:dyDescent="0.25">
      <c r="A11914" t="str">
        <f>"006452520"</f>
        <v>006452520</v>
      </c>
      <c r="B11914" t="str">
        <f>"1114567617"</f>
        <v>1114567617</v>
      </c>
      <c r="C11914" t="str">
        <f>"363L00000X"</f>
        <v>363L00000X</v>
      </c>
      <c r="D11914" t="str">
        <f>"WOMACK                   KRISTEN      J           "</f>
        <v xml:space="preserve">WOMACK                   KRISTEN      J           </v>
      </c>
      <c r="E11914" t="str">
        <f>"LIBERTY                   "</f>
        <v xml:space="preserve">LIBERTY                   </v>
      </c>
      <c r="F11914" t="str">
        <f t="shared" si="317"/>
        <v>MS</v>
      </c>
    </row>
    <row r="11915" spans="1:6" x14ac:dyDescent="0.25">
      <c r="A11915" t="str">
        <f>"006453038"</f>
        <v>006453038</v>
      </c>
      <c r="B11915" t="str">
        <f>"1881038842"</f>
        <v>1881038842</v>
      </c>
      <c r="C11915" t="str">
        <f>"207R00000X"</f>
        <v>207R00000X</v>
      </c>
      <c r="D11915" t="str">
        <f>"ROSENBLATT               WILLIAM      T           "</f>
        <v xml:space="preserve">ROSENBLATT               WILLIAM      T           </v>
      </c>
      <c r="E11915" t="str">
        <f>"COLUMBUS                  "</f>
        <v xml:space="preserve">COLUMBUS                  </v>
      </c>
      <c r="F11915" t="str">
        <f t="shared" si="317"/>
        <v>MS</v>
      </c>
    </row>
    <row r="11916" spans="1:6" x14ac:dyDescent="0.25">
      <c r="A11916" t="str">
        <f>"006453341"</f>
        <v>006453341</v>
      </c>
      <c r="B11916" t="str">
        <f>"1104231695"</f>
        <v>1104231695</v>
      </c>
      <c r="C11916" t="str">
        <f>"363A00000X"</f>
        <v>363A00000X</v>
      </c>
      <c r="D11916" t="str">
        <f>"KIMBROUGH                KYLE         W           "</f>
        <v xml:space="preserve">KIMBROUGH                KYLE         W           </v>
      </c>
      <c r="E11916" t="str">
        <f>"PETAL                     "</f>
        <v xml:space="preserve">PETAL                     </v>
      </c>
      <c r="F11916" t="str">
        <f t="shared" si="317"/>
        <v>MS</v>
      </c>
    </row>
    <row r="11917" spans="1:6" x14ac:dyDescent="0.25">
      <c r="A11917" t="str">
        <f>"006453392"</f>
        <v>006453392</v>
      </c>
      <c r="B11917" t="str">
        <f>"1356853139"</f>
        <v>1356853139</v>
      </c>
      <c r="C11917" t="str">
        <f>"363L00000X"</f>
        <v>363L00000X</v>
      </c>
      <c r="D11917" t="str">
        <f>"JENKINS                  TAMMIE       R           "</f>
        <v xml:space="preserve">JENKINS                  TAMMIE       R           </v>
      </c>
      <c r="E11917" t="str">
        <f>"HATTIESBURG               "</f>
        <v xml:space="preserve">HATTIESBURG               </v>
      </c>
      <c r="F11917" t="str">
        <f t="shared" si="317"/>
        <v>MS</v>
      </c>
    </row>
    <row r="11918" spans="1:6" x14ac:dyDescent="0.25">
      <c r="A11918" t="str">
        <f>"006453568"</f>
        <v>006453568</v>
      </c>
      <c r="B11918" t="str">
        <f>"1457615601"</f>
        <v>1457615601</v>
      </c>
      <c r="C11918" t="str">
        <f>"207Q00000X"</f>
        <v>207Q00000X</v>
      </c>
      <c r="D11918" t="str">
        <f>"DUKE                     JUSTIN       C           "</f>
        <v xml:space="preserve">DUKE                     JUSTIN       C           </v>
      </c>
      <c r="E11918" t="str">
        <f>"TUPELO                    "</f>
        <v xml:space="preserve">TUPELO                    </v>
      </c>
      <c r="F11918" t="str">
        <f t="shared" si="317"/>
        <v>MS</v>
      </c>
    </row>
    <row r="11919" spans="1:6" x14ac:dyDescent="0.25">
      <c r="A11919" t="str">
        <f>"006454254"</f>
        <v>006454254</v>
      </c>
      <c r="B11919" t="str">
        <f>"1073990917"</f>
        <v>1073990917</v>
      </c>
      <c r="C11919" t="str">
        <f>"261QA0600X"</f>
        <v>261QA0600X</v>
      </c>
      <c r="D11919" t="str">
        <f>"NORTH MISSISSIPPI ADULT DAY CARE SE               "</f>
        <v xml:space="preserve">NORTH MISSISSIPPI ADULT DAY CARE SE               </v>
      </c>
      <c r="E11919" t="str">
        <f>"COLDWATER                 "</f>
        <v xml:space="preserve">COLDWATER                 </v>
      </c>
      <c r="F11919" t="str">
        <f t="shared" si="317"/>
        <v>MS</v>
      </c>
    </row>
    <row r="11920" spans="1:6" x14ac:dyDescent="0.25">
      <c r="A11920" t="str">
        <f>"006454851"</f>
        <v>006454851</v>
      </c>
      <c r="B11920" t="str">
        <f>"1871856534"</f>
        <v>1871856534</v>
      </c>
      <c r="C11920" t="str">
        <f>"367500000X"</f>
        <v>367500000X</v>
      </c>
      <c r="D11920" t="str">
        <f>"SUMMERS                  ROBERT                   "</f>
        <v xml:space="preserve">SUMMERS                  ROBERT                   </v>
      </c>
      <c r="E11920" t="str">
        <f>"KOSCIUSKO                 "</f>
        <v xml:space="preserve">KOSCIUSKO                 </v>
      </c>
      <c r="F11920" t="str">
        <f t="shared" si="317"/>
        <v>MS</v>
      </c>
    </row>
    <row r="11921" spans="1:6" x14ac:dyDescent="0.25">
      <c r="A11921" t="str">
        <f>"006455057"</f>
        <v>006455057</v>
      </c>
      <c r="B11921" t="str">
        <f>"1821120072"</f>
        <v>1821120072</v>
      </c>
      <c r="C11921" t="str">
        <f>"207W00000X"</f>
        <v>207W00000X</v>
      </c>
      <c r="D11921" t="str">
        <f>"HANCOCK                  HEATHER      A           "</f>
        <v xml:space="preserve">HANCOCK                  HEATHER      A           </v>
      </c>
      <c r="E11921" t="str">
        <f>"TUPELO                    "</f>
        <v xml:space="preserve">TUPELO                    </v>
      </c>
      <c r="F11921" t="str">
        <f t="shared" si="317"/>
        <v>MS</v>
      </c>
    </row>
    <row r="11922" spans="1:6" x14ac:dyDescent="0.25">
      <c r="A11922" t="str">
        <f>"006455085"</f>
        <v>006455085</v>
      </c>
      <c r="B11922" t="str">
        <f>"1669854964"</f>
        <v>1669854964</v>
      </c>
      <c r="C11922" t="str">
        <f>"207Q00000X"</f>
        <v>207Q00000X</v>
      </c>
      <c r="D11922" t="str">
        <f>"STEELE                   JANEE'       R           "</f>
        <v xml:space="preserve">STEELE                   JANEE'       R           </v>
      </c>
      <c r="E11922" t="str">
        <f>"WEST POINT                "</f>
        <v xml:space="preserve">WEST POINT                </v>
      </c>
      <c r="F11922" t="str">
        <f t="shared" si="317"/>
        <v>MS</v>
      </c>
    </row>
    <row r="11923" spans="1:6" x14ac:dyDescent="0.25">
      <c r="A11923" t="str">
        <f>"006456061"</f>
        <v>006456061</v>
      </c>
      <c r="B11923" t="str">
        <f>"1073916557"</f>
        <v>1073916557</v>
      </c>
      <c r="C11923" t="str">
        <f>"363L00000X"</f>
        <v>363L00000X</v>
      </c>
      <c r="D11923" t="str">
        <f>"EUBANKS                  DANIELLE     M           "</f>
        <v xml:space="preserve">EUBANKS                  DANIELLE     M           </v>
      </c>
      <c r="E11923" t="str">
        <f>"LEAKESVILLE               "</f>
        <v xml:space="preserve">LEAKESVILLE               </v>
      </c>
      <c r="F11923" t="str">
        <f t="shared" si="317"/>
        <v>MS</v>
      </c>
    </row>
    <row r="11924" spans="1:6" x14ac:dyDescent="0.25">
      <c r="A11924" t="str">
        <f>"006456342"</f>
        <v>006456342</v>
      </c>
      <c r="B11924" t="str">
        <f>"1043662430"</f>
        <v>1043662430</v>
      </c>
      <c r="C11924" t="str">
        <f>"363L00000X"</f>
        <v>363L00000X</v>
      </c>
      <c r="D11924" t="str">
        <f>"MATTHEWS                 SABRINA      B           "</f>
        <v xml:space="preserve">MATTHEWS                 SABRINA      B           </v>
      </c>
      <c r="E11924" t="str">
        <f>"GREENWOOD                 "</f>
        <v xml:space="preserve">GREENWOOD                 </v>
      </c>
      <c r="F11924" t="str">
        <f t="shared" si="317"/>
        <v>MS</v>
      </c>
    </row>
    <row r="11925" spans="1:6" x14ac:dyDescent="0.25">
      <c r="A11925" t="str">
        <f>"006456815"</f>
        <v>006456815</v>
      </c>
      <c r="B11925" t="str">
        <f>"1255867511"</f>
        <v>1255867511</v>
      </c>
      <c r="C11925" t="str">
        <f>"2085R0202X"</f>
        <v>2085R0202X</v>
      </c>
      <c r="D11925" t="str">
        <f>"KEEL                     ISAAC                    "</f>
        <v xml:space="preserve">KEEL                     ISAAC                    </v>
      </c>
      <c r="E11925" t="str">
        <f>"GULFPORT                  "</f>
        <v xml:space="preserve">GULFPORT                  </v>
      </c>
      <c r="F11925" t="str">
        <f t="shared" si="317"/>
        <v>MS</v>
      </c>
    </row>
    <row r="11926" spans="1:6" x14ac:dyDescent="0.25">
      <c r="A11926" t="str">
        <f>"006471003"</f>
        <v>006471003</v>
      </c>
      <c r="B11926" t="str">
        <f>"1295730224"</f>
        <v>1295730224</v>
      </c>
      <c r="C11926" t="str">
        <f>"207RC0000X"</f>
        <v>207RC0000X</v>
      </c>
      <c r="D11926" t="str">
        <f>"LEMAY                    THOMAS       B           "</f>
        <v xml:space="preserve">LEMAY                    THOMAS       B           </v>
      </c>
      <c r="E11926" t="str">
        <f>"NATCHEZ                   "</f>
        <v xml:space="preserve">NATCHEZ                   </v>
      </c>
      <c r="F11926" t="str">
        <f t="shared" si="317"/>
        <v>MS</v>
      </c>
    </row>
    <row r="11927" spans="1:6" x14ac:dyDescent="0.25">
      <c r="A11927" t="str">
        <f>"006472833"</f>
        <v>006472833</v>
      </c>
      <c r="B11927" t="str">
        <f>"1417370313"</f>
        <v>1417370313</v>
      </c>
      <c r="C11927" t="str">
        <f>"261QM1300X"</f>
        <v>261QM1300X</v>
      </c>
      <c r="D11927" t="str">
        <f>"UR INCORPORATED                                   "</f>
        <v xml:space="preserve">UR INCORPORATED                                   </v>
      </c>
      <c r="E11927" t="str">
        <f>"JACKSON                   "</f>
        <v xml:space="preserve">JACKSON                   </v>
      </c>
      <c r="F11927" t="str">
        <f t="shared" si="317"/>
        <v>MS</v>
      </c>
    </row>
    <row r="11928" spans="1:6" x14ac:dyDescent="0.25">
      <c r="A11928" t="str">
        <f>"006473301"</f>
        <v>006473301</v>
      </c>
      <c r="B11928" t="str">
        <f>"1417366725"</f>
        <v>1417366725</v>
      </c>
      <c r="C11928" t="str">
        <f>"122300000X"</f>
        <v>122300000X</v>
      </c>
      <c r="D11928" t="str">
        <f>"PEARL RIVER DENTAL                                "</f>
        <v xml:space="preserve">PEARL RIVER DENTAL                                </v>
      </c>
      <c r="E11928" t="str">
        <f>"PEARL                     "</f>
        <v xml:space="preserve">PEARL                     </v>
      </c>
      <c r="F11928" t="str">
        <f t="shared" si="317"/>
        <v>MS</v>
      </c>
    </row>
    <row r="11929" spans="1:6" x14ac:dyDescent="0.25">
      <c r="A11929" t="str">
        <f>"006474065"</f>
        <v>006474065</v>
      </c>
      <c r="B11929" t="str">
        <f>"1003495706"</f>
        <v>1003495706</v>
      </c>
      <c r="C11929" t="str">
        <f>"261QM1300X"</f>
        <v>261QM1300X</v>
      </c>
      <c r="D11929" t="str">
        <f>"HEART TO HEART COUNSELING SERVICES                "</f>
        <v xml:space="preserve">HEART TO HEART COUNSELING SERVICES                </v>
      </c>
      <c r="E11929" t="str">
        <f>"TUPELO                    "</f>
        <v xml:space="preserve">TUPELO                    </v>
      </c>
      <c r="F11929" t="str">
        <f t="shared" si="317"/>
        <v>MS</v>
      </c>
    </row>
    <row r="11930" spans="1:6" x14ac:dyDescent="0.25">
      <c r="A11930" t="str">
        <f>"006474086"</f>
        <v>006474086</v>
      </c>
      <c r="B11930" t="str">
        <f>"1841766656"</f>
        <v>1841766656</v>
      </c>
      <c r="C11930" t="str">
        <f>"363L00000X"</f>
        <v>363L00000X</v>
      </c>
      <c r="D11930" t="str">
        <f>"REED                     ANGELA       P           "</f>
        <v xml:space="preserve">REED                     ANGELA       P           </v>
      </c>
      <c r="E11930" t="str">
        <f>"EUPORA                    "</f>
        <v xml:space="preserve">EUPORA                    </v>
      </c>
      <c r="F11930" t="str">
        <f t="shared" si="317"/>
        <v>MS</v>
      </c>
    </row>
    <row r="11931" spans="1:6" x14ac:dyDescent="0.25">
      <c r="A11931" t="str">
        <f>"006474210"</f>
        <v>006474210</v>
      </c>
      <c r="B11931" t="str">
        <f>"1164573515"</f>
        <v>1164573515</v>
      </c>
      <c r="C11931" t="str">
        <f>"207V00000X"</f>
        <v>207V00000X</v>
      </c>
      <c r="D11931" t="str">
        <f>"GOODFELLOW               KEITH        G           "</f>
        <v xml:space="preserve">GOODFELLOW               KEITH        G           </v>
      </c>
      <c r="E11931" t="str">
        <f>"BILOXI                    "</f>
        <v xml:space="preserve">BILOXI                    </v>
      </c>
      <c r="F11931" t="str">
        <f t="shared" si="317"/>
        <v>MS</v>
      </c>
    </row>
    <row r="11932" spans="1:6" x14ac:dyDescent="0.25">
      <c r="A11932" t="str">
        <f>"006474339"</f>
        <v>006474339</v>
      </c>
      <c r="B11932" t="str">
        <f>"1285263103"</f>
        <v>1285263103</v>
      </c>
      <c r="C11932" t="str">
        <f>"363L00000X"</f>
        <v>363L00000X</v>
      </c>
      <c r="D11932" t="str">
        <f>"CRUTHIRDS                COURTNEY     L           "</f>
        <v xml:space="preserve">CRUTHIRDS                COURTNEY     L           </v>
      </c>
      <c r="E11932" t="str">
        <f>"HATTIESBURG               "</f>
        <v xml:space="preserve">HATTIESBURG               </v>
      </c>
      <c r="F11932" t="str">
        <f t="shared" si="317"/>
        <v>MS</v>
      </c>
    </row>
    <row r="11933" spans="1:6" x14ac:dyDescent="0.25">
      <c r="A11933" t="str">
        <f>"006475301"</f>
        <v>006475301</v>
      </c>
      <c r="B11933" t="str">
        <f>"1336427822"</f>
        <v>1336427822</v>
      </c>
      <c r="C11933" t="str">
        <f>"152W00000X"</f>
        <v>152W00000X</v>
      </c>
      <c r="D11933" t="str">
        <f>"SOUTHERN EYE CARE OF CLINTON                      "</f>
        <v xml:space="preserve">SOUTHERN EYE CARE OF CLINTON                      </v>
      </c>
      <c r="E11933" t="str">
        <f>"CLINTON                   "</f>
        <v xml:space="preserve">CLINTON                   </v>
      </c>
      <c r="F11933" t="str">
        <f t="shared" si="317"/>
        <v>MS</v>
      </c>
    </row>
    <row r="11934" spans="1:6" x14ac:dyDescent="0.25">
      <c r="A11934" t="str">
        <f>"006475751"</f>
        <v>006475751</v>
      </c>
      <c r="B11934" t="str">
        <f>"1114969656"</f>
        <v>1114969656</v>
      </c>
      <c r="C11934" t="str">
        <f>"363A00000X"</f>
        <v>363A00000X</v>
      </c>
      <c r="D11934" t="str">
        <f>"FINCH III                MARCUS       D           "</f>
        <v xml:space="preserve">FINCH III                MARCUS       D           </v>
      </c>
      <c r="E11934" t="str">
        <f>"PETAL                     "</f>
        <v xml:space="preserve">PETAL                     </v>
      </c>
      <c r="F11934" t="str">
        <f t="shared" si="317"/>
        <v>MS</v>
      </c>
    </row>
    <row r="11935" spans="1:6" x14ac:dyDescent="0.25">
      <c r="A11935" t="str">
        <f>"006475799"</f>
        <v>006475799</v>
      </c>
      <c r="B11935" t="str">
        <f>"1750653382"</f>
        <v>1750653382</v>
      </c>
      <c r="C11935" t="str">
        <f>"363L00000X"</f>
        <v>363L00000X</v>
      </c>
      <c r="D11935" t="str">
        <f>"WHITEHEAD                LESA         S           "</f>
        <v xml:space="preserve">WHITEHEAD                LESA         S           </v>
      </c>
      <c r="E11935" t="str">
        <f>"BROOKHAVEN                "</f>
        <v xml:space="preserve">BROOKHAVEN                </v>
      </c>
      <c r="F11935" t="str">
        <f t="shared" si="317"/>
        <v>MS</v>
      </c>
    </row>
    <row r="11936" spans="1:6" x14ac:dyDescent="0.25">
      <c r="A11936" t="str">
        <f>"006476221"</f>
        <v>006476221</v>
      </c>
      <c r="B11936" t="str">
        <f>"1891155867"</f>
        <v>1891155867</v>
      </c>
      <c r="C11936" t="str">
        <f>"207V00000X"</f>
        <v>207V00000X</v>
      </c>
      <c r="D11936" t="str">
        <f>"BROWN                    BRITTNEY     J           "</f>
        <v xml:space="preserve">BROWN                    BRITTNEY     J           </v>
      </c>
      <c r="E11936" t="str">
        <f>"HATTIESBURG               "</f>
        <v xml:space="preserve">HATTIESBURG               </v>
      </c>
      <c r="F11936" t="str">
        <f t="shared" si="317"/>
        <v>MS</v>
      </c>
    </row>
    <row r="11937" spans="1:6" x14ac:dyDescent="0.25">
      <c r="A11937" t="str">
        <f>"006478835"</f>
        <v>006478835</v>
      </c>
      <c r="B11937" t="str">
        <f>"1871003988"</f>
        <v>1871003988</v>
      </c>
      <c r="C11937" t="str">
        <f>"363L00000X"</f>
        <v>363L00000X</v>
      </c>
      <c r="D11937" t="str">
        <f>"HUBBARD                  STEPHANIE    W           "</f>
        <v xml:space="preserve">HUBBARD                  STEPHANIE    W           </v>
      </c>
      <c r="E11937" t="str">
        <f>"STARKVILLE                "</f>
        <v xml:space="preserve">STARKVILLE                </v>
      </c>
      <c r="F11937" t="str">
        <f t="shared" si="317"/>
        <v>MS</v>
      </c>
    </row>
    <row r="11938" spans="1:6" x14ac:dyDescent="0.25">
      <c r="A11938" t="str">
        <f>"006479201"</f>
        <v>006479201</v>
      </c>
      <c r="B11938" t="str">
        <f>"1457489429"</f>
        <v>1457489429</v>
      </c>
      <c r="C11938" t="str">
        <f>"207Y00000X"</f>
        <v>207Y00000X</v>
      </c>
      <c r="D11938" t="str">
        <f>"SISK                     JAMIE        D           "</f>
        <v xml:space="preserve">SISK                     JAMIE        D           </v>
      </c>
      <c r="E11938" t="str">
        <f>"LAUREL                    "</f>
        <v xml:space="preserve">LAUREL                    </v>
      </c>
      <c r="F11938" t="str">
        <f t="shared" si="317"/>
        <v>MS</v>
      </c>
    </row>
    <row r="11939" spans="1:6" x14ac:dyDescent="0.25">
      <c r="A11939" t="str">
        <f>"006479238"</f>
        <v>006479238</v>
      </c>
      <c r="B11939" t="str">
        <f>"1942659735"</f>
        <v>1942659735</v>
      </c>
      <c r="C11939" t="str">
        <f>"363L00000X"</f>
        <v>363L00000X</v>
      </c>
      <c r="D11939" t="str">
        <f>"RIGDON                   LINDSEY      N           "</f>
        <v xml:space="preserve">RIGDON                   LINDSEY      N           </v>
      </c>
      <c r="E11939" t="str">
        <f>"MERIDIAN                  "</f>
        <v xml:space="preserve">MERIDIAN                  </v>
      </c>
      <c r="F11939" t="str">
        <f t="shared" si="317"/>
        <v>MS</v>
      </c>
    </row>
    <row r="11940" spans="1:6" x14ac:dyDescent="0.25">
      <c r="A11940" t="str">
        <f>"006479354"</f>
        <v>006479354</v>
      </c>
      <c r="B11940" t="str">
        <f>"1902257165"</f>
        <v>1902257165</v>
      </c>
      <c r="C11940" t="str">
        <f>"363L00000X"</f>
        <v>363L00000X</v>
      </c>
      <c r="D11940" t="str">
        <f>"CLIBURN                  CANDICE      N           "</f>
        <v xml:space="preserve">CLIBURN                  CANDICE      N           </v>
      </c>
      <c r="E11940" t="str">
        <f>"BROOKHAVEN                "</f>
        <v xml:space="preserve">BROOKHAVEN                </v>
      </c>
      <c r="F11940" t="str">
        <f t="shared" si="317"/>
        <v>MS</v>
      </c>
    </row>
    <row r="11941" spans="1:6" x14ac:dyDescent="0.25">
      <c r="A11941" t="str">
        <f>"006480543"</f>
        <v>006480543</v>
      </c>
      <c r="B11941" t="str">
        <f>"1447733910"</f>
        <v>1447733910</v>
      </c>
      <c r="C11941" t="str">
        <f>"363L00000X"</f>
        <v>363L00000X</v>
      </c>
      <c r="D11941" t="str">
        <f>"STIDHAM                  EMILY        J           "</f>
        <v xml:space="preserve">STIDHAM                  EMILY        J           </v>
      </c>
      <c r="E11941" t="str">
        <f>"STARKVILLE                "</f>
        <v xml:space="preserve">STARKVILLE                </v>
      </c>
      <c r="F11941" t="str">
        <f t="shared" si="317"/>
        <v>MS</v>
      </c>
    </row>
    <row r="11942" spans="1:6" x14ac:dyDescent="0.25">
      <c r="A11942" t="str">
        <f>"006481203"</f>
        <v>006481203</v>
      </c>
      <c r="B11942" t="str">
        <f>"1861462178"</f>
        <v>1861462178</v>
      </c>
      <c r="C11942" t="str">
        <f>"2084P0800X"</f>
        <v>2084P0800X</v>
      </c>
      <c r="D11942" t="str">
        <f>"ARNOLD                   TIMOTHY      L           "</f>
        <v xml:space="preserve">ARNOLD                   TIMOTHY      L           </v>
      </c>
      <c r="E11942" t="str">
        <f>"MERIDIAN                  "</f>
        <v xml:space="preserve">MERIDIAN                  </v>
      </c>
      <c r="F11942" t="str">
        <f t="shared" si="317"/>
        <v>MS</v>
      </c>
    </row>
    <row r="11943" spans="1:6" x14ac:dyDescent="0.25">
      <c r="A11943" t="str">
        <f>"006481261"</f>
        <v>006481261</v>
      </c>
      <c r="B11943" t="str">
        <f>"1568982122"</f>
        <v>1568982122</v>
      </c>
      <c r="C11943" t="str">
        <f>"122300000X"</f>
        <v>122300000X</v>
      </c>
      <c r="D11943" t="str">
        <f>"HAMM                     CHRISTOPHER  A           "</f>
        <v xml:space="preserve">HAMM                     CHRISTOPHER  A           </v>
      </c>
      <c r="E11943" t="str">
        <f>"LUCEDALE                  "</f>
        <v xml:space="preserve">LUCEDALE                  </v>
      </c>
      <c r="F11943" t="str">
        <f t="shared" si="317"/>
        <v>MS</v>
      </c>
    </row>
    <row r="11944" spans="1:6" x14ac:dyDescent="0.25">
      <c r="A11944" t="str">
        <f>"006483211"</f>
        <v>006483211</v>
      </c>
      <c r="B11944" t="str">
        <f>"1295303675"</f>
        <v>1295303675</v>
      </c>
      <c r="C11944" t="str">
        <f>"363L00000X"</f>
        <v>363L00000X</v>
      </c>
      <c r="D11944" t="str">
        <f>"LEA                      MAGEN        L           "</f>
        <v xml:space="preserve">LEA                      MAGEN        L           </v>
      </c>
      <c r="E11944" t="str">
        <f>"HATTIESBURG               "</f>
        <v xml:space="preserve">HATTIESBURG               </v>
      </c>
      <c r="F11944" t="str">
        <f t="shared" si="317"/>
        <v>MS</v>
      </c>
    </row>
    <row r="11945" spans="1:6" x14ac:dyDescent="0.25">
      <c r="A11945" t="str">
        <f>"006483217"</f>
        <v>006483217</v>
      </c>
      <c r="B11945" t="str">
        <f>"1477919603"</f>
        <v>1477919603</v>
      </c>
      <c r="C11945" t="str">
        <f>"261QF0400X"</f>
        <v>261QF0400X</v>
      </c>
      <c r="D11945" t="str">
        <f>"FAMILY HEALTH CENTER INC                          "</f>
        <v xml:space="preserve">FAMILY HEALTH CENTER INC                          </v>
      </c>
      <c r="E11945" t="str">
        <f>"WAYNESBORO                "</f>
        <v xml:space="preserve">WAYNESBORO                </v>
      </c>
      <c r="F11945" t="str">
        <f t="shared" si="317"/>
        <v>MS</v>
      </c>
    </row>
    <row r="11946" spans="1:6" x14ac:dyDescent="0.25">
      <c r="A11946" t="str">
        <f>"006483301"</f>
        <v>006483301</v>
      </c>
      <c r="B11946" t="str">
        <f>"1235342056"</f>
        <v>1235342056</v>
      </c>
      <c r="C11946" t="str">
        <f>"152W00000X"</f>
        <v>152W00000X</v>
      </c>
      <c r="D11946" t="str">
        <f>"CLARKSDALE VISION CENTER PA                       "</f>
        <v xml:space="preserve">CLARKSDALE VISION CENTER PA                       </v>
      </c>
      <c r="E11946" t="str">
        <f>"CLARKSDALE                "</f>
        <v xml:space="preserve">CLARKSDALE                </v>
      </c>
      <c r="F11946" t="str">
        <f t="shared" si="317"/>
        <v>MS</v>
      </c>
    </row>
    <row r="11947" spans="1:6" x14ac:dyDescent="0.25">
      <c r="A11947" t="str">
        <f>"006484070"</f>
        <v>006484070</v>
      </c>
      <c r="B11947" t="str">
        <f>"1508871195"</f>
        <v>1508871195</v>
      </c>
      <c r="C11947" t="str">
        <f>"152W00000X"</f>
        <v>152W00000X</v>
      </c>
      <c r="D11947" t="str">
        <f>"SHIPP                    JASMINE      D           "</f>
        <v xml:space="preserve">SHIPP                    JASMINE      D           </v>
      </c>
      <c r="E11947" t="str">
        <f>"CLEVELAND                 "</f>
        <v xml:space="preserve">CLEVELAND                 </v>
      </c>
      <c r="F11947" t="str">
        <f t="shared" si="317"/>
        <v>MS</v>
      </c>
    </row>
    <row r="11948" spans="1:6" x14ac:dyDescent="0.25">
      <c r="A11948" t="str">
        <f>"006486338"</f>
        <v>006486338</v>
      </c>
      <c r="B11948" t="str">
        <f>"1174043632"</f>
        <v>1174043632</v>
      </c>
      <c r="C11948" t="str">
        <f>"261QR1300X"</f>
        <v>261QR1300X</v>
      </c>
      <c r="D11948" t="str">
        <f>"BAPTIST CALHOUN RURAL HEALTH CLINIC               "</f>
        <v xml:space="preserve">BAPTIST CALHOUN RURAL HEALTH CLINIC               </v>
      </c>
      <c r="E11948" t="str">
        <f>"CALHOUN CITY              "</f>
        <v xml:space="preserve">CALHOUN CITY              </v>
      </c>
      <c r="F11948" t="str">
        <f t="shared" si="317"/>
        <v>MS</v>
      </c>
    </row>
    <row r="11949" spans="1:6" x14ac:dyDescent="0.25">
      <c r="A11949" t="str">
        <f>"006487398"</f>
        <v>006487398</v>
      </c>
      <c r="B11949" t="str">
        <f>"1467735266"</f>
        <v>1467735266</v>
      </c>
      <c r="C11949" t="str">
        <f>"363L00000X"</f>
        <v>363L00000X</v>
      </c>
      <c r="D11949" t="str">
        <f>"WALDROP                  LAUREN       C           "</f>
        <v xml:space="preserve">WALDROP                  LAUREN       C           </v>
      </c>
      <c r="E11949" t="str">
        <f>"TUPELO                    "</f>
        <v xml:space="preserve">TUPELO                    </v>
      </c>
      <c r="F11949" t="str">
        <f t="shared" si="317"/>
        <v>MS</v>
      </c>
    </row>
    <row r="11950" spans="1:6" x14ac:dyDescent="0.25">
      <c r="A11950" t="str">
        <f>"006487860"</f>
        <v>006487860</v>
      </c>
      <c r="B11950" t="str">
        <f>"1659330231"</f>
        <v>1659330231</v>
      </c>
      <c r="C11950" t="str">
        <f>"152W00000X"</f>
        <v>152W00000X</v>
      </c>
      <c r="D11950" t="str">
        <f>"ALDINGER                 SEAN                     "</f>
        <v xml:space="preserve">ALDINGER                 SEAN                     </v>
      </c>
      <c r="E11950" t="str">
        <f>"OLIVE BRANCH              "</f>
        <v xml:space="preserve">OLIVE BRANCH              </v>
      </c>
      <c r="F11950" t="str">
        <f t="shared" si="317"/>
        <v>MS</v>
      </c>
    </row>
    <row r="11951" spans="1:6" x14ac:dyDescent="0.25">
      <c r="A11951" t="str">
        <f>"006488764"</f>
        <v>006488764</v>
      </c>
      <c r="B11951" t="str">
        <f>"1518279173"</f>
        <v>1518279173</v>
      </c>
      <c r="C11951" t="str">
        <f>"207R00000X"</f>
        <v>207R00000X</v>
      </c>
      <c r="D11951" t="str">
        <f>"JOLLY                    DAVID        B           "</f>
        <v xml:space="preserve">JOLLY                    DAVID        B           </v>
      </c>
      <c r="E11951" t="str">
        <f>"WEST POINT                "</f>
        <v xml:space="preserve">WEST POINT                </v>
      </c>
      <c r="F11951" t="str">
        <f t="shared" si="317"/>
        <v>MS</v>
      </c>
    </row>
    <row r="11952" spans="1:6" x14ac:dyDescent="0.25">
      <c r="A11952" t="str">
        <f>"006489555"</f>
        <v>006489555</v>
      </c>
      <c r="B11952" t="str">
        <f>"1508125576"</f>
        <v>1508125576</v>
      </c>
      <c r="C11952" t="str">
        <f>"207Q00000X"</f>
        <v>207Q00000X</v>
      </c>
      <c r="D11952" t="str">
        <f>"TULLOS                   KELLY        N           "</f>
        <v xml:space="preserve">TULLOS                   KELLY        N           </v>
      </c>
      <c r="E11952" t="str">
        <f>"LAUREL                    "</f>
        <v xml:space="preserve">LAUREL                    </v>
      </c>
      <c r="F11952" t="str">
        <f t="shared" si="317"/>
        <v>MS</v>
      </c>
    </row>
    <row r="11953" spans="1:6" x14ac:dyDescent="0.25">
      <c r="A11953" t="str">
        <f>"006501070"</f>
        <v>006501070</v>
      </c>
      <c r="B11953" t="str">
        <f>"1114920394"</f>
        <v>1114920394</v>
      </c>
      <c r="C11953" t="str">
        <f>"2085R0202X"</f>
        <v>2085R0202X</v>
      </c>
      <c r="D11953" t="str">
        <f>"BOALS                    JENNIFER     R           "</f>
        <v xml:space="preserve">BOALS                    JENNIFER     R           </v>
      </c>
      <c r="E11953" t="str">
        <f>"OLIVE BRANCH              "</f>
        <v xml:space="preserve">OLIVE BRANCH              </v>
      </c>
      <c r="F11953" t="str">
        <f t="shared" si="317"/>
        <v>MS</v>
      </c>
    </row>
    <row r="11954" spans="1:6" x14ac:dyDescent="0.25">
      <c r="A11954" t="str">
        <f>"006501102"</f>
        <v>006501102</v>
      </c>
      <c r="B11954" t="str">
        <f>"1578190443"</f>
        <v>1578190443</v>
      </c>
      <c r="C11954" t="str">
        <f>"363L00000X"</f>
        <v>363L00000X</v>
      </c>
      <c r="D11954" t="str">
        <f>"MILLER                   RAVEN        T           "</f>
        <v xml:space="preserve">MILLER                   RAVEN        T           </v>
      </c>
      <c r="E11954" t="str">
        <f>"ELLISVILLE                "</f>
        <v xml:space="preserve">ELLISVILLE                </v>
      </c>
      <c r="F11954" t="str">
        <f t="shared" si="317"/>
        <v>MS</v>
      </c>
    </row>
    <row r="11955" spans="1:6" x14ac:dyDescent="0.25">
      <c r="A11955" t="str">
        <f>"006502260"</f>
        <v>006502260</v>
      </c>
      <c r="B11955" t="str">
        <f>"1538805601"</f>
        <v>1538805601</v>
      </c>
      <c r="C11955" t="str">
        <f>"208600000X"</f>
        <v>208600000X</v>
      </c>
      <c r="D11955" t="str">
        <f>"DIPAOLO                  DANIELLA                 "</f>
        <v xml:space="preserve">DIPAOLO                  DANIELLA                 </v>
      </c>
      <c r="E11955" t="str">
        <f>"JACKSON                   "</f>
        <v xml:space="preserve">JACKSON                   </v>
      </c>
      <c r="F11955" t="str">
        <f t="shared" si="317"/>
        <v>MS</v>
      </c>
    </row>
    <row r="11956" spans="1:6" x14ac:dyDescent="0.25">
      <c r="A11956" t="str">
        <f>"006503778"</f>
        <v>006503778</v>
      </c>
      <c r="B11956" t="str">
        <f>"1326378357"</f>
        <v>1326378357</v>
      </c>
      <c r="C11956" t="str">
        <f>"367500000X"</f>
        <v>367500000X</v>
      </c>
      <c r="D11956" t="str">
        <f>"BROWN                    BENJAMIN     B           "</f>
        <v xml:space="preserve">BROWN                    BENJAMIN     B           </v>
      </c>
      <c r="E11956" t="str">
        <f>"JACKSON                   "</f>
        <v xml:space="preserve">JACKSON                   </v>
      </c>
      <c r="F11956" t="str">
        <f t="shared" si="317"/>
        <v>MS</v>
      </c>
    </row>
    <row r="11957" spans="1:6" x14ac:dyDescent="0.25">
      <c r="A11957" t="str">
        <f>"006504764"</f>
        <v>006504764</v>
      </c>
      <c r="B11957" t="str">
        <f>"1922264068"</f>
        <v>1922264068</v>
      </c>
      <c r="C11957" t="str">
        <f>"207R00000X"</f>
        <v>207R00000X</v>
      </c>
      <c r="D11957" t="str">
        <f>"MILLS                    VICTOR       L           "</f>
        <v xml:space="preserve">MILLS                    VICTOR       L           </v>
      </c>
      <c r="E11957" t="str">
        <f>"STARKVILLE                "</f>
        <v xml:space="preserve">STARKVILLE                </v>
      </c>
      <c r="F11957" t="str">
        <f t="shared" si="317"/>
        <v>MS</v>
      </c>
    </row>
    <row r="11958" spans="1:6" x14ac:dyDescent="0.25">
      <c r="A11958" t="str">
        <f>"006505873"</f>
        <v>006505873</v>
      </c>
      <c r="B11958" t="str">
        <f>"1144626706"</f>
        <v>1144626706</v>
      </c>
      <c r="C11958" t="str">
        <f>"363A00000X"</f>
        <v>363A00000X</v>
      </c>
      <c r="D11958" t="str">
        <f>"HARRISON                 PREETHI      S           "</f>
        <v xml:space="preserve">HARRISON                 PREETHI      S           </v>
      </c>
      <c r="E11958" t="str">
        <f>"GULFPORT                  "</f>
        <v xml:space="preserve">GULFPORT                  </v>
      </c>
      <c r="F11958" t="str">
        <f t="shared" si="317"/>
        <v>MS</v>
      </c>
    </row>
    <row r="11959" spans="1:6" x14ac:dyDescent="0.25">
      <c r="A11959" t="str">
        <f>"006506386"</f>
        <v>006506386</v>
      </c>
      <c r="B11959" t="str">
        <f>"1043585953"</f>
        <v>1043585953</v>
      </c>
      <c r="C11959" t="str">
        <f>"152W00000X"</f>
        <v>152W00000X</v>
      </c>
      <c r="D11959" t="str">
        <f>"TOTAL EYE CARE OF FULTON PA                       "</f>
        <v xml:space="preserve">TOTAL EYE CARE OF FULTON PA                       </v>
      </c>
      <c r="E11959" t="str">
        <f>"FULTON                    "</f>
        <v xml:space="preserve">FULTON                    </v>
      </c>
      <c r="F11959" t="str">
        <f t="shared" si="317"/>
        <v>MS</v>
      </c>
    </row>
    <row r="11960" spans="1:6" x14ac:dyDescent="0.25">
      <c r="A11960" t="str">
        <f>"006506735"</f>
        <v>006506735</v>
      </c>
      <c r="B11960" t="str">
        <f>"1750735452"</f>
        <v>1750735452</v>
      </c>
      <c r="C11960" t="str">
        <f>"363L00000X"</f>
        <v>363L00000X</v>
      </c>
      <c r="D11960" t="str">
        <f>"WILLIAMS                 CONNIE       R           "</f>
        <v xml:space="preserve">WILLIAMS                 CONNIE       R           </v>
      </c>
      <c r="E11960" t="str">
        <f>"JACKSON                   "</f>
        <v xml:space="preserve">JACKSON                   </v>
      </c>
      <c r="F11960" t="str">
        <f t="shared" si="317"/>
        <v>MS</v>
      </c>
    </row>
    <row r="11961" spans="1:6" x14ac:dyDescent="0.25">
      <c r="A11961" t="str">
        <f>"006508393"</f>
        <v>006508393</v>
      </c>
      <c r="B11961" t="str">
        <f>"1760627996"</f>
        <v>1760627996</v>
      </c>
      <c r="C11961" t="str">
        <f>"207X00000X"</f>
        <v>207X00000X</v>
      </c>
      <c r="D11961" t="str">
        <f>"BRIEN                    GLENN A                  "</f>
        <v xml:space="preserve">BRIEN                    GLENN A                  </v>
      </c>
      <c r="E11961" t="str">
        <f>"FLOWOOD                   "</f>
        <v xml:space="preserve">FLOWOOD                   </v>
      </c>
      <c r="F11961" t="str">
        <f t="shared" si="317"/>
        <v>MS</v>
      </c>
    </row>
    <row r="11962" spans="1:6" x14ac:dyDescent="0.25">
      <c r="A11962" t="str">
        <f>"006508709"</f>
        <v>006508709</v>
      </c>
      <c r="B11962" t="str">
        <f>"1447991310"</f>
        <v>1447991310</v>
      </c>
      <c r="C11962" t="str">
        <f>"208D00000X"</f>
        <v>208D00000X</v>
      </c>
      <c r="D11962" t="str">
        <f>"MENZIES                  TYLER        A           "</f>
        <v xml:space="preserve">MENZIES                  TYLER        A           </v>
      </c>
      <c r="E11962" t="str">
        <f>"HATTIESBURG               "</f>
        <v xml:space="preserve">HATTIESBURG               </v>
      </c>
      <c r="F11962" t="str">
        <f t="shared" si="317"/>
        <v>MS</v>
      </c>
    </row>
    <row r="11963" spans="1:6" x14ac:dyDescent="0.25">
      <c r="A11963" t="str">
        <f>"006509703"</f>
        <v>006509703</v>
      </c>
      <c r="B11963" t="str">
        <f>"1588278006"</f>
        <v>1588278006</v>
      </c>
      <c r="C11963" t="str">
        <f>"363L00000X"</f>
        <v>363L00000X</v>
      </c>
      <c r="D11963" t="str">
        <f>"LEE                      SHAYLA       S           "</f>
        <v xml:space="preserve">LEE                      SHAYLA       S           </v>
      </c>
      <c r="E11963" t="str">
        <f>"SONTAG                    "</f>
        <v xml:space="preserve">SONTAG                    </v>
      </c>
      <c r="F11963" t="str">
        <f t="shared" si="317"/>
        <v>MS</v>
      </c>
    </row>
    <row r="11964" spans="1:6" x14ac:dyDescent="0.25">
      <c r="A11964" t="str">
        <f>"006520767"</f>
        <v>006520767</v>
      </c>
      <c r="B11964" t="str">
        <f>"1922033927"</f>
        <v>1922033927</v>
      </c>
      <c r="C11964" t="str">
        <f>"207X00000X"</f>
        <v>207X00000X</v>
      </c>
      <c r="D11964" t="str">
        <f>"BOYD                     DANIEL       L           "</f>
        <v xml:space="preserve">BOYD                     DANIEL       L           </v>
      </c>
      <c r="E11964" t="str">
        <f>"OXFORD                    "</f>
        <v xml:space="preserve">OXFORD                    </v>
      </c>
      <c r="F11964" t="str">
        <f t="shared" si="317"/>
        <v>MS</v>
      </c>
    </row>
    <row r="11965" spans="1:6" x14ac:dyDescent="0.25">
      <c r="A11965" t="str">
        <f>"006521577"</f>
        <v>006521577</v>
      </c>
      <c r="B11965" t="str">
        <f>"1568874303"</f>
        <v>1568874303</v>
      </c>
      <c r="C11965" t="str">
        <f>"208000000X"</f>
        <v>208000000X</v>
      </c>
      <c r="D11965" t="str">
        <f>"LIVINGSTON               ERIN         N           "</f>
        <v xml:space="preserve">LIVINGSTON               ERIN         N           </v>
      </c>
      <c r="E11965" t="str">
        <f>"AMORY                     "</f>
        <v xml:space="preserve">AMORY                     </v>
      </c>
      <c r="F11965" t="str">
        <f t="shared" si="317"/>
        <v>MS</v>
      </c>
    </row>
    <row r="11966" spans="1:6" x14ac:dyDescent="0.25">
      <c r="A11966" t="str">
        <f>"006522007"</f>
        <v>006522007</v>
      </c>
      <c r="B11966" t="str">
        <f>"1437557170"</f>
        <v>1437557170</v>
      </c>
      <c r="C11966" t="str">
        <f>"363L00000X"</f>
        <v>363L00000X</v>
      </c>
      <c r="D11966" t="str">
        <f>"WREN                     MEREDITH     H           "</f>
        <v xml:space="preserve">WREN                     MEREDITH     H           </v>
      </c>
      <c r="E11966" t="str">
        <f>"HATTIESBURG               "</f>
        <v xml:space="preserve">HATTIESBURG               </v>
      </c>
      <c r="F11966" t="str">
        <f t="shared" ref="F11966:F12029" si="318">"MS"</f>
        <v>MS</v>
      </c>
    </row>
    <row r="11967" spans="1:6" x14ac:dyDescent="0.25">
      <c r="A11967" t="str">
        <f>"006522755"</f>
        <v>006522755</v>
      </c>
      <c r="B11967" t="str">
        <f>"1841602778"</f>
        <v>1841602778</v>
      </c>
      <c r="C11967" t="str">
        <f>"207RE0101X"</f>
        <v>207RE0101X</v>
      </c>
      <c r="D11967" t="str">
        <f>"WRIGHT                   VIRGINIA     S           "</f>
        <v xml:space="preserve">WRIGHT                   VIRGINIA     S           </v>
      </c>
      <c r="E11967" t="str">
        <f>"JACKSON                   "</f>
        <v xml:space="preserve">JACKSON                   </v>
      </c>
      <c r="F11967" t="str">
        <f t="shared" si="318"/>
        <v>MS</v>
      </c>
    </row>
    <row r="11968" spans="1:6" x14ac:dyDescent="0.25">
      <c r="A11968" t="str">
        <f>"006522813"</f>
        <v>006522813</v>
      </c>
      <c r="B11968" t="str">
        <f>"1851688436"</f>
        <v>1851688436</v>
      </c>
      <c r="C11968" t="str">
        <f>"207RG0300X"</f>
        <v>207RG0300X</v>
      </c>
      <c r="D11968" t="str">
        <f>"GIBSON                   SCOTT        O           "</f>
        <v xml:space="preserve">GIBSON                   SCOTT        O           </v>
      </c>
      <c r="E11968" t="str">
        <f>"JACKSON                   "</f>
        <v xml:space="preserve">JACKSON                   </v>
      </c>
      <c r="F11968" t="str">
        <f t="shared" si="318"/>
        <v>MS</v>
      </c>
    </row>
    <row r="11969" spans="1:6" x14ac:dyDescent="0.25">
      <c r="A11969" t="str">
        <f>"006523572"</f>
        <v>006523572</v>
      </c>
      <c r="B11969" t="str">
        <f>"1396761185"</f>
        <v>1396761185</v>
      </c>
      <c r="C11969" t="str">
        <f>"2085R0202X"</f>
        <v>2085R0202X</v>
      </c>
      <c r="D11969" t="str">
        <f>"KHAN                     MAJID                    "</f>
        <v xml:space="preserve">KHAN                     MAJID                    </v>
      </c>
      <c r="E11969" t="str">
        <f>"JACKSON                   "</f>
        <v xml:space="preserve">JACKSON                   </v>
      </c>
      <c r="F11969" t="str">
        <f t="shared" si="318"/>
        <v>MS</v>
      </c>
    </row>
    <row r="11970" spans="1:6" x14ac:dyDescent="0.25">
      <c r="A11970" t="str">
        <f>"006523862"</f>
        <v>006523862</v>
      </c>
      <c r="B11970" t="str">
        <f>"1992908065"</f>
        <v>1992908065</v>
      </c>
      <c r="C11970" t="str">
        <f>"207P00000X"</f>
        <v>207P00000X</v>
      </c>
      <c r="D11970" t="str">
        <f>"BUSH                     RICHARD                  "</f>
        <v xml:space="preserve">BUSH                     RICHARD                  </v>
      </c>
      <c r="E11970" t="str">
        <f>"JACKSON                   "</f>
        <v xml:space="preserve">JACKSON                   </v>
      </c>
      <c r="F11970" t="str">
        <f t="shared" si="318"/>
        <v>MS</v>
      </c>
    </row>
    <row r="11971" spans="1:6" x14ac:dyDescent="0.25">
      <c r="A11971" t="str">
        <f>"006524301"</f>
        <v>006524301</v>
      </c>
      <c r="B11971" t="str">
        <f>"1932540960"</f>
        <v>1932540960</v>
      </c>
      <c r="C11971" t="str">
        <f>"207RC0000X"</f>
        <v>207RC0000X</v>
      </c>
      <c r="D11971" t="str">
        <f>"SALAHUDDIN               USMAN        I           "</f>
        <v xml:space="preserve">SALAHUDDIN               USMAN        I           </v>
      </c>
      <c r="E11971" t="str">
        <f>"MERIDIAN                  "</f>
        <v xml:space="preserve">MERIDIAN                  </v>
      </c>
      <c r="F11971" t="str">
        <f t="shared" si="318"/>
        <v>MS</v>
      </c>
    </row>
    <row r="11972" spans="1:6" x14ac:dyDescent="0.25">
      <c r="A11972" t="str">
        <f>"006524884"</f>
        <v>006524884</v>
      </c>
      <c r="B11972" t="str">
        <f>"1346466596"</f>
        <v>1346466596</v>
      </c>
      <c r="C11972" t="str">
        <f>"207RG0100X"</f>
        <v>207RG0100X</v>
      </c>
      <c r="D11972" t="str">
        <f>"PLOTT                    ERIC         V           "</f>
        <v xml:space="preserve">PLOTT                    ERIC         V           </v>
      </c>
      <c r="E11972" t="str">
        <f>"MERIDIAN                  "</f>
        <v xml:space="preserve">MERIDIAN                  </v>
      </c>
      <c r="F11972" t="str">
        <f t="shared" si="318"/>
        <v>MS</v>
      </c>
    </row>
    <row r="11973" spans="1:6" x14ac:dyDescent="0.25">
      <c r="A11973" t="str">
        <f>"006525571"</f>
        <v>006525571</v>
      </c>
      <c r="B11973" t="str">
        <f>"1023487139"</f>
        <v>1023487139</v>
      </c>
      <c r="C11973" t="str">
        <f>"261QA0600X"</f>
        <v>261QA0600X</v>
      </c>
      <c r="D11973" t="str">
        <f>"TENDER TOUCH                                      "</f>
        <v xml:space="preserve">TENDER TOUCH                                      </v>
      </c>
      <c r="E11973" t="str">
        <f>"LAUREL                    "</f>
        <v xml:space="preserve">LAUREL                    </v>
      </c>
      <c r="F11973" t="str">
        <f t="shared" si="318"/>
        <v>MS</v>
      </c>
    </row>
    <row r="11974" spans="1:6" x14ac:dyDescent="0.25">
      <c r="A11974" t="str">
        <f>"006525737"</f>
        <v>006525737</v>
      </c>
      <c r="B11974" t="str">
        <f>"1891258463"</f>
        <v>1891258463</v>
      </c>
      <c r="C11974" t="str">
        <f>"122300000X"</f>
        <v>122300000X</v>
      </c>
      <c r="D11974" t="str">
        <f>"STANFORD DENTAL CLINIC, LLC                       "</f>
        <v xml:space="preserve">STANFORD DENTAL CLINIC, LLC                       </v>
      </c>
      <c r="E11974" t="str">
        <f>"RIPLEY                    "</f>
        <v xml:space="preserve">RIPLEY                    </v>
      </c>
      <c r="F11974" t="str">
        <f t="shared" si="318"/>
        <v>MS</v>
      </c>
    </row>
    <row r="11975" spans="1:6" x14ac:dyDescent="0.25">
      <c r="A11975" t="str">
        <f>"006526797"</f>
        <v>006526797</v>
      </c>
      <c r="B11975" t="str">
        <f>"1447678255"</f>
        <v>1447678255</v>
      </c>
      <c r="C11975" t="str">
        <f>"207P00000X"</f>
        <v>207P00000X</v>
      </c>
      <c r="D11975" t="str">
        <f>"GUNALDA                  JONAH        C           "</f>
        <v xml:space="preserve">GUNALDA                  JONAH        C           </v>
      </c>
      <c r="E11975" t="str">
        <f>"JACKSON                   "</f>
        <v xml:space="preserve">JACKSON                   </v>
      </c>
      <c r="F11975" t="str">
        <f t="shared" si="318"/>
        <v>MS</v>
      </c>
    </row>
    <row r="11976" spans="1:6" x14ac:dyDescent="0.25">
      <c r="A11976" t="str">
        <f>"006527227"</f>
        <v>006527227</v>
      </c>
      <c r="B11976" t="str">
        <f>"1215145222"</f>
        <v>1215145222</v>
      </c>
      <c r="C11976" t="str">
        <f>"2084P0800X"</f>
        <v>2084P0800X</v>
      </c>
      <c r="D11976" t="str">
        <f>"GORDON                   JESSICA                  "</f>
        <v xml:space="preserve">GORDON                   JESSICA                  </v>
      </c>
      <c r="E11976" t="str">
        <f>"FLOWOOD                   "</f>
        <v xml:space="preserve">FLOWOOD                   </v>
      </c>
      <c r="F11976" t="str">
        <f t="shared" si="318"/>
        <v>MS</v>
      </c>
    </row>
    <row r="11977" spans="1:6" x14ac:dyDescent="0.25">
      <c r="A11977" t="str">
        <f>"006527544"</f>
        <v>006527544</v>
      </c>
      <c r="B11977" t="str">
        <f>"1790019354"</f>
        <v>1790019354</v>
      </c>
      <c r="C11977" t="str">
        <f>"363L00000X"</f>
        <v>363L00000X</v>
      </c>
      <c r="D11977" t="str">
        <f>"EDWARDS                  JENNIFER     B           "</f>
        <v xml:space="preserve">EDWARDS                  JENNIFER     B           </v>
      </c>
      <c r="E11977" t="str">
        <f>"BROOKHAVEN                "</f>
        <v xml:space="preserve">BROOKHAVEN                </v>
      </c>
      <c r="F11977" t="str">
        <f t="shared" si="318"/>
        <v>MS</v>
      </c>
    </row>
    <row r="11978" spans="1:6" x14ac:dyDescent="0.25">
      <c r="A11978" t="str">
        <f>"006528220"</f>
        <v>006528220</v>
      </c>
      <c r="B11978" t="str">
        <f>"1306454848"</f>
        <v>1306454848</v>
      </c>
      <c r="C11978" t="str">
        <f>"122300000X"</f>
        <v>122300000X</v>
      </c>
      <c r="D11978" t="str">
        <f>"HAWKINS                  HUNTER       M           "</f>
        <v xml:space="preserve">HAWKINS                  HUNTER       M           </v>
      </c>
      <c r="E11978" t="str">
        <f>"PETAL                     "</f>
        <v xml:space="preserve">PETAL                     </v>
      </c>
      <c r="F11978" t="str">
        <f t="shared" si="318"/>
        <v>MS</v>
      </c>
    </row>
    <row r="11979" spans="1:6" x14ac:dyDescent="0.25">
      <c r="A11979" t="str">
        <f>"006528886"</f>
        <v>006528886</v>
      </c>
      <c r="B11979" t="str">
        <f>"1194332007"</f>
        <v>1194332007</v>
      </c>
      <c r="C11979" t="str">
        <f>"363L00000X"</f>
        <v>363L00000X</v>
      </c>
      <c r="D11979" t="str">
        <f>"HAMBLIN                  SAMANTHA                 "</f>
        <v xml:space="preserve">HAMBLIN                  SAMANTHA                 </v>
      </c>
      <c r="E11979" t="str">
        <f>"SOUTHAVEN                 "</f>
        <v xml:space="preserve">SOUTHAVEN                 </v>
      </c>
      <c r="F11979" t="str">
        <f t="shared" si="318"/>
        <v>MS</v>
      </c>
    </row>
    <row r="11980" spans="1:6" x14ac:dyDescent="0.25">
      <c r="A11980" t="str">
        <f>"006529522"</f>
        <v>006529522</v>
      </c>
      <c r="B11980" t="str">
        <f>"1285837575"</f>
        <v>1285837575</v>
      </c>
      <c r="C11980" t="str">
        <f>"207K00000X"</f>
        <v>207K00000X</v>
      </c>
      <c r="D11980" t="str">
        <f>"NIOLET                   PAUL         D           "</f>
        <v xml:space="preserve">NIOLET                   PAUL         D           </v>
      </c>
      <c r="E11980" t="str">
        <f>"OCEAN SPRINGS             "</f>
        <v xml:space="preserve">OCEAN SPRINGS             </v>
      </c>
      <c r="F11980" t="str">
        <f t="shared" si="318"/>
        <v>MS</v>
      </c>
    </row>
    <row r="11981" spans="1:6" x14ac:dyDescent="0.25">
      <c r="A11981" t="str">
        <f>"006532769"</f>
        <v>006532769</v>
      </c>
      <c r="B11981" t="str">
        <f>"1932590452"</f>
        <v>1932590452</v>
      </c>
      <c r="C11981" t="str">
        <f>"363L00000X"</f>
        <v>363L00000X</v>
      </c>
      <c r="D11981" t="str">
        <f>"WARRINGTON WILLS         MALLORY      M           "</f>
        <v xml:space="preserve">WARRINGTON WILLS         MALLORY      M           </v>
      </c>
      <c r="E11981" t="str">
        <f>"OXFORD                    "</f>
        <v xml:space="preserve">OXFORD                    </v>
      </c>
      <c r="F11981" t="str">
        <f t="shared" si="318"/>
        <v>MS</v>
      </c>
    </row>
    <row r="11982" spans="1:6" x14ac:dyDescent="0.25">
      <c r="A11982" t="str">
        <f>"006534072"</f>
        <v>006534072</v>
      </c>
      <c r="B11982" t="str">
        <f>"1518906551"</f>
        <v>1518906551</v>
      </c>
      <c r="C11982" t="str">
        <f>"363L00000X"</f>
        <v>363L00000X</v>
      </c>
      <c r="D11982" t="str">
        <f>"WATSON                   CHRISTINE    M           "</f>
        <v xml:space="preserve">WATSON                   CHRISTINE    M           </v>
      </c>
      <c r="E11982" t="str">
        <f>"FLOWOOD                   "</f>
        <v xml:space="preserve">FLOWOOD                   </v>
      </c>
      <c r="F11982" t="str">
        <f t="shared" si="318"/>
        <v>MS</v>
      </c>
    </row>
    <row r="11983" spans="1:6" x14ac:dyDescent="0.25">
      <c r="A11983" t="str">
        <f>"006536033"</f>
        <v>006536033</v>
      </c>
      <c r="B11983" t="str">
        <f>"1326211475"</f>
        <v>1326211475</v>
      </c>
      <c r="C11983" t="str">
        <f>"207P00000X"</f>
        <v>207P00000X</v>
      </c>
      <c r="D11983" t="str">
        <f>"WEBER                    DREW         S           "</f>
        <v xml:space="preserve">WEBER                    DREW         S           </v>
      </c>
      <c r="E11983" t="str">
        <f>"GULFPORT                  "</f>
        <v xml:space="preserve">GULFPORT                  </v>
      </c>
      <c r="F11983" t="str">
        <f t="shared" si="318"/>
        <v>MS</v>
      </c>
    </row>
    <row r="11984" spans="1:6" x14ac:dyDescent="0.25">
      <c r="A11984" t="str">
        <f>"006536201"</f>
        <v>006536201</v>
      </c>
      <c r="B11984" t="str">
        <f>"1144800251"</f>
        <v>1144800251</v>
      </c>
      <c r="C11984" t="str">
        <f>"363L00000X"</f>
        <v>363L00000X</v>
      </c>
      <c r="D11984" t="str">
        <f>"KERR                     KATIE                    "</f>
        <v xml:space="preserve">KERR                     KATIE                    </v>
      </c>
      <c r="E11984" t="str">
        <f>"BOONEVILLE                "</f>
        <v xml:space="preserve">BOONEVILLE                </v>
      </c>
      <c r="F11984" t="str">
        <f t="shared" si="318"/>
        <v>MS</v>
      </c>
    </row>
    <row r="11985" spans="1:6" x14ac:dyDescent="0.25">
      <c r="A11985" t="str">
        <f>"006537004"</f>
        <v>006537004</v>
      </c>
      <c r="B11985" t="str">
        <f>"1548754211"</f>
        <v>1548754211</v>
      </c>
      <c r="C11985" t="str">
        <f>"363L00000X"</f>
        <v>363L00000X</v>
      </c>
      <c r="D11985" t="str">
        <f>"WILLSON                  CRYSTAL      C           "</f>
        <v xml:space="preserve">WILLSON                  CRYSTAL      C           </v>
      </c>
      <c r="E11985" t="str">
        <f>"BROOKHAVEN                "</f>
        <v xml:space="preserve">BROOKHAVEN                </v>
      </c>
      <c r="F11985" t="str">
        <f t="shared" si="318"/>
        <v>MS</v>
      </c>
    </row>
    <row r="11986" spans="1:6" x14ac:dyDescent="0.25">
      <c r="A11986" t="str">
        <f>"006537247"</f>
        <v>006537247</v>
      </c>
      <c r="B11986" t="str">
        <f>"1528048626"</f>
        <v>1528048626</v>
      </c>
      <c r="C11986" t="str">
        <f>"367500000X"</f>
        <v>367500000X</v>
      </c>
      <c r="D11986" t="str">
        <f>"BERRY                    KEVIN                    "</f>
        <v xml:space="preserve">BERRY                    KEVIN                    </v>
      </c>
      <c r="E11986" t="str">
        <f>"SOUTHAVEN                 "</f>
        <v xml:space="preserve">SOUTHAVEN                 </v>
      </c>
      <c r="F11986" t="str">
        <f t="shared" si="318"/>
        <v>MS</v>
      </c>
    </row>
    <row r="11987" spans="1:6" x14ac:dyDescent="0.25">
      <c r="A11987" t="str">
        <f>"006539858"</f>
        <v>006539858</v>
      </c>
      <c r="B11987" t="str">
        <f>"1023460326"</f>
        <v>1023460326</v>
      </c>
      <c r="C11987" t="str">
        <f>"152W00000X"</f>
        <v>152W00000X</v>
      </c>
      <c r="D11987" t="str">
        <f>"MAGEE                    PRESLEE      T           "</f>
        <v xml:space="preserve">MAGEE                    PRESLEE      T           </v>
      </c>
      <c r="E11987" t="str">
        <f>"GREENWOOD                 "</f>
        <v xml:space="preserve">GREENWOOD                 </v>
      </c>
      <c r="F11987" t="str">
        <f t="shared" si="318"/>
        <v>MS</v>
      </c>
    </row>
    <row r="11988" spans="1:6" x14ac:dyDescent="0.25">
      <c r="A11988" t="str">
        <f>"006550800"</f>
        <v>006550800</v>
      </c>
      <c r="B11988" t="str">
        <f>"1982689816"</f>
        <v>1982689816</v>
      </c>
      <c r="C11988" t="str">
        <f>"2085R0202X"</f>
        <v>2085R0202X</v>
      </c>
      <c r="D11988" t="str">
        <f>"SMYTH                    ANDREW       T           "</f>
        <v xml:space="preserve">SMYTH                    ANDREW       T           </v>
      </c>
      <c r="E11988" t="str">
        <f>"JACKSON                   "</f>
        <v xml:space="preserve">JACKSON                   </v>
      </c>
      <c r="F11988" t="str">
        <f t="shared" si="318"/>
        <v>MS</v>
      </c>
    </row>
    <row r="11989" spans="1:6" x14ac:dyDescent="0.25">
      <c r="A11989" t="str">
        <f>"006550855"</f>
        <v>006550855</v>
      </c>
      <c r="B11989" t="str">
        <f>"1609369586"</f>
        <v>1609369586</v>
      </c>
      <c r="C11989" t="str">
        <f>"363L00000X"</f>
        <v>363L00000X</v>
      </c>
      <c r="D11989" t="str">
        <f>"HAVENS WILBANKS          VICTORIA                 "</f>
        <v xml:space="preserve">HAVENS WILBANKS          VICTORIA                 </v>
      </c>
      <c r="E11989" t="str">
        <f>"BATESVILLE                "</f>
        <v xml:space="preserve">BATESVILLE                </v>
      </c>
      <c r="F11989" t="str">
        <f t="shared" si="318"/>
        <v>MS</v>
      </c>
    </row>
    <row r="11990" spans="1:6" x14ac:dyDescent="0.25">
      <c r="A11990" t="str">
        <f>"006551291"</f>
        <v>006551291</v>
      </c>
      <c r="B11990" t="str">
        <f>"1508382060"</f>
        <v>1508382060</v>
      </c>
      <c r="C11990" t="str">
        <f>"152W00000X"</f>
        <v>152W00000X</v>
      </c>
      <c r="D11990" t="str">
        <f>"TOTAL EYE CARE AMORY                              "</f>
        <v xml:space="preserve">TOTAL EYE CARE AMORY                              </v>
      </c>
      <c r="E11990" t="str">
        <f>"AMORY                     "</f>
        <v xml:space="preserve">AMORY                     </v>
      </c>
      <c r="F11990" t="str">
        <f t="shared" si="318"/>
        <v>MS</v>
      </c>
    </row>
    <row r="11991" spans="1:6" x14ac:dyDescent="0.25">
      <c r="A11991" t="str">
        <f>"006551373"</f>
        <v>006551373</v>
      </c>
      <c r="B11991" t="str">
        <f>"1568424851"</f>
        <v>1568424851</v>
      </c>
      <c r="C11991" t="str">
        <f>"208G00000X"</f>
        <v>208G00000X</v>
      </c>
      <c r="D11991" t="str">
        <f>"WILLIAMS                 JASON        A           "</f>
        <v xml:space="preserve">WILLIAMS                 JASON        A           </v>
      </c>
      <c r="E11991" t="str">
        <f>"OCEAN SPRINGS             "</f>
        <v xml:space="preserve">OCEAN SPRINGS             </v>
      </c>
      <c r="F11991" t="str">
        <f t="shared" si="318"/>
        <v>MS</v>
      </c>
    </row>
    <row r="11992" spans="1:6" x14ac:dyDescent="0.25">
      <c r="A11992" t="str">
        <f>"006552751"</f>
        <v>006552751</v>
      </c>
      <c r="B11992" t="str">
        <f>"1740381045"</f>
        <v>1740381045</v>
      </c>
      <c r="C11992" t="str">
        <f>"208800000X"</f>
        <v>208800000X</v>
      </c>
      <c r="D11992" t="str">
        <f>"POUND                    CHARLES      R           "</f>
        <v xml:space="preserve">POUND                    CHARLES      R           </v>
      </c>
      <c r="E11992" t="str">
        <f>"JACKSON                   "</f>
        <v xml:space="preserve">JACKSON                   </v>
      </c>
      <c r="F11992" t="str">
        <f t="shared" si="318"/>
        <v>MS</v>
      </c>
    </row>
    <row r="11993" spans="1:6" x14ac:dyDescent="0.25">
      <c r="A11993" t="str">
        <f>"006554253"</f>
        <v>006554253</v>
      </c>
      <c r="B11993" t="str">
        <f>"1437768272"</f>
        <v>1437768272</v>
      </c>
      <c r="C11993" t="str">
        <f>"363L00000X"</f>
        <v>363L00000X</v>
      </c>
      <c r="D11993" t="str">
        <f>"RIGDON                   ELAINE       B           "</f>
        <v xml:space="preserve">RIGDON                   ELAINE       B           </v>
      </c>
      <c r="E11993" t="str">
        <f>"MERIDIAN                  "</f>
        <v xml:space="preserve">MERIDIAN                  </v>
      </c>
      <c r="F11993" t="str">
        <f t="shared" si="318"/>
        <v>MS</v>
      </c>
    </row>
    <row r="11994" spans="1:6" x14ac:dyDescent="0.25">
      <c r="A11994" t="str">
        <f>"006554886"</f>
        <v>006554886</v>
      </c>
      <c r="B11994" t="str">
        <f>"1316315823"</f>
        <v>1316315823</v>
      </c>
      <c r="C11994" t="str">
        <f>"207R00000X"</f>
        <v>207R00000X</v>
      </c>
      <c r="D11994" t="str">
        <f>"ALKHATIB                 MOHAMMAD                 "</f>
        <v xml:space="preserve">ALKHATIB                 MOHAMMAD                 </v>
      </c>
      <c r="E11994" t="str">
        <f>"OXFORD                    "</f>
        <v xml:space="preserve">OXFORD                    </v>
      </c>
      <c r="F11994" t="str">
        <f t="shared" si="318"/>
        <v>MS</v>
      </c>
    </row>
    <row r="11995" spans="1:6" x14ac:dyDescent="0.25">
      <c r="A11995" t="str">
        <f>"006555203"</f>
        <v>006555203</v>
      </c>
      <c r="B11995" t="str">
        <f>"1407237365"</f>
        <v>1407237365</v>
      </c>
      <c r="C11995" t="str">
        <f>"207Q00000X"</f>
        <v>207Q00000X</v>
      </c>
      <c r="D11995" t="str">
        <f>"DAVIS                    WILLIAM      P           "</f>
        <v xml:space="preserve">DAVIS                    WILLIAM      P           </v>
      </c>
      <c r="E11995" t="str">
        <f>"TUPELO                    "</f>
        <v xml:space="preserve">TUPELO                    </v>
      </c>
      <c r="F11995" t="str">
        <f t="shared" si="318"/>
        <v>MS</v>
      </c>
    </row>
    <row r="11996" spans="1:6" x14ac:dyDescent="0.25">
      <c r="A11996" t="str">
        <f>"006558368"</f>
        <v>006558368</v>
      </c>
      <c r="B11996" t="str">
        <f>"1184824666"</f>
        <v>1184824666</v>
      </c>
      <c r="C11996" t="str">
        <f>"208D00000X"</f>
        <v>208D00000X</v>
      </c>
      <c r="D11996" t="str">
        <f>"WOODS                    WESLEY       S           "</f>
        <v xml:space="preserve">WOODS                    WESLEY       S           </v>
      </c>
      <c r="E11996" t="str">
        <f>"TUPELO                    "</f>
        <v xml:space="preserve">TUPELO                    </v>
      </c>
      <c r="F11996" t="str">
        <f t="shared" si="318"/>
        <v>MS</v>
      </c>
    </row>
    <row r="11997" spans="1:6" x14ac:dyDescent="0.25">
      <c r="A11997" t="str">
        <f>"006558851"</f>
        <v>006558851</v>
      </c>
      <c r="B11997" t="str">
        <f>"1396497814"</f>
        <v>1396497814</v>
      </c>
      <c r="C11997" t="str">
        <f>"261QM1300X"</f>
        <v>261QM1300X</v>
      </c>
      <c r="D11997" t="str">
        <f>"ASPIRE COUNSELING, LLC                            "</f>
        <v xml:space="preserve">ASPIRE COUNSELING, LLC                            </v>
      </c>
      <c r="E11997" t="str">
        <f>"BROOKHAVEN                "</f>
        <v xml:space="preserve">BROOKHAVEN                </v>
      </c>
      <c r="F11997" t="str">
        <f t="shared" si="318"/>
        <v>MS</v>
      </c>
    </row>
    <row r="11998" spans="1:6" x14ac:dyDescent="0.25">
      <c r="A11998" t="str">
        <f>"006558886"</f>
        <v>006558886</v>
      </c>
      <c r="B11998" t="str">
        <f>"1063445542"</f>
        <v>1063445542</v>
      </c>
      <c r="C11998" t="str">
        <f>"261QA1903X"</f>
        <v>261QA1903X</v>
      </c>
      <c r="D11998" t="str">
        <f>"TOTAL PAIN CARE LLC                               "</f>
        <v xml:space="preserve">TOTAL PAIN CARE LLC                               </v>
      </c>
      <c r="E11998" t="str">
        <f>"MERIDIAN                  "</f>
        <v xml:space="preserve">MERIDIAN                  </v>
      </c>
      <c r="F11998" t="str">
        <f t="shared" si="318"/>
        <v>MS</v>
      </c>
    </row>
    <row r="11999" spans="1:6" x14ac:dyDescent="0.25">
      <c r="A11999" t="str">
        <f>"006559092"</f>
        <v>006559092</v>
      </c>
      <c r="B11999" t="str">
        <f>"1083841712"</f>
        <v>1083841712</v>
      </c>
      <c r="C11999" t="str">
        <f>"363L00000X"</f>
        <v>363L00000X</v>
      </c>
      <c r="D11999" t="str">
        <f>"WILEY                    DANDRIA      T           "</f>
        <v xml:space="preserve">WILEY                    DANDRIA      T           </v>
      </c>
      <c r="E11999" t="str">
        <f>"GULFPORT                  "</f>
        <v xml:space="preserve">GULFPORT                  </v>
      </c>
      <c r="F11999" t="str">
        <f t="shared" si="318"/>
        <v>MS</v>
      </c>
    </row>
    <row r="12000" spans="1:6" x14ac:dyDescent="0.25">
      <c r="A12000" t="str">
        <f>"006570707"</f>
        <v>006570707</v>
      </c>
      <c r="B12000" t="str">
        <f>"1023079068"</f>
        <v>1023079068</v>
      </c>
      <c r="C12000" t="str">
        <f>"152W00000X"</f>
        <v>152W00000X</v>
      </c>
      <c r="D12000" t="str">
        <f>"DOWDY                    HEATHER      M           "</f>
        <v xml:space="preserve">DOWDY                    HEATHER      M           </v>
      </c>
      <c r="E12000" t="str">
        <f>"SOUTHAVEN                 "</f>
        <v xml:space="preserve">SOUTHAVEN                 </v>
      </c>
      <c r="F12000" t="str">
        <f t="shared" si="318"/>
        <v>MS</v>
      </c>
    </row>
    <row r="12001" spans="1:6" x14ac:dyDescent="0.25">
      <c r="A12001" t="str">
        <f>"006571268"</f>
        <v>006571268</v>
      </c>
      <c r="B12001" t="str">
        <f>"1912136490"</f>
        <v>1912136490</v>
      </c>
      <c r="C12001" t="str">
        <f>"207R00000X"</f>
        <v>207R00000X</v>
      </c>
      <c r="D12001" t="str">
        <f>"OUZTS                    CHARLES      A           "</f>
        <v xml:space="preserve">OUZTS                    CHARLES      A           </v>
      </c>
      <c r="E12001" t="str">
        <f>"FLOWOOD                   "</f>
        <v xml:space="preserve">FLOWOOD                   </v>
      </c>
      <c r="F12001" t="str">
        <f t="shared" si="318"/>
        <v>MS</v>
      </c>
    </row>
    <row r="12002" spans="1:6" x14ac:dyDescent="0.25">
      <c r="A12002" t="str">
        <f>"006571366"</f>
        <v>006571366</v>
      </c>
      <c r="B12002" t="str">
        <f>"1588305122"</f>
        <v>1588305122</v>
      </c>
      <c r="C12002" t="str">
        <f>"207Y00000X"</f>
        <v>207Y00000X</v>
      </c>
      <c r="D12002" t="str">
        <f>"DRISKILL                 BRIAN        L           "</f>
        <v xml:space="preserve">DRISKILL                 BRIAN        L           </v>
      </c>
      <c r="E12002" t="str">
        <f>"JACKSON                   "</f>
        <v xml:space="preserve">JACKSON                   </v>
      </c>
      <c r="F12002" t="str">
        <f t="shared" si="318"/>
        <v>MS</v>
      </c>
    </row>
    <row r="12003" spans="1:6" x14ac:dyDescent="0.25">
      <c r="A12003" t="str">
        <f>"006572715"</f>
        <v>006572715</v>
      </c>
      <c r="B12003" t="str">
        <f>"1932144243"</f>
        <v>1932144243</v>
      </c>
      <c r="C12003" t="str">
        <f>"261QR1300X"</f>
        <v>261QR1300X</v>
      </c>
      <c r="D12003" t="str">
        <f>"MADISON CANTON MEDICAL CLINIC                     "</f>
        <v xml:space="preserve">MADISON CANTON MEDICAL CLINIC                     </v>
      </c>
      <c r="E12003" t="str">
        <f>"CANTON                    "</f>
        <v xml:space="preserve">CANTON                    </v>
      </c>
      <c r="F12003" t="str">
        <f t="shared" si="318"/>
        <v>MS</v>
      </c>
    </row>
    <row r="12004" spans="1:6" x14ac:dyDescent="0.25">
      <c r="A12004" t="str">
        <f>"006573501"</f>
        <v>006573501</v>
      </c>
      <c r="B12004" t="str">
        <f>"1265574859"</f>
        <v>1265574859</v>
      </c>
      <c r="C12004" t="str">
        <f>"207L00000X"</f>
        <v>207L00000X</v>
      </c>
      <c r="D12004" t="str">
        <f>"CARTER                   JOHN         G           "</f>
        <v xml:space="preserve">CARTER                   JOHN         G           </v>
      </c>
      <c r="E12004" t="str">
        <f>"GULFPORT                  "</f>
        <v xml:space="preserve">GULFPORT                  </v>
      </c>
      <c r="F12004" t="str">
        <f t="shared" si="318"/>
        <v>MS</v>
      </c>
    </row>
    <row r="12005" spans="1:6" x14ac:dyDescent="0.25">
      <c r="A12005" t="str">
        <f>"006573738"</f>
        <v>006573738</v>
      </c>
      <c r="B12005" t="str">
        <f>"1366706772"</f>
        <v>1366706772</v>
      </c>
      <c r="C12005" t="str">
        <f>"207V00000X"</f>
        <v>207V00000X</v>
      </c>
      <c r="D12005" t="str">
        <f>"BELL CATCHINGS           KEISHA       M           "</f>
        <v xml:space="preserve">BELL CATCHINGS           KEISHA       M           </v>
      </c>
      <c r="E12005" t="str">
        <f>"JACKSON                   "</f>
        <v xml:space="preserve">JACKSON                   </v>
      </c>
      <c r="F12005" t="str">
        <f t="shared" si="318"/>
        <v>MS</v>
      </c>
    </row>
    <row r="12006" spans="1:6" x14ac:dyDescent="0.25">
      <c r="A12006" t="str">
        <f>"006575521"</f>
        <v>006575521</v>
      </c>
      <c r="B12006" t="str">
        <f>"1467868372"</f>
        <v>1467868372</v>
      </c>
      <c r="C12006" t="str">
        <f>"261QF0400X"</f>
        <v>261QF0400X</v>
      </c>
      <c r="D12006" t="str">
        <f>"GARY ROAD ELEMENTARY SCHOOL                       "</f>
        <v xml:space="preserve">GARY ROAD ELEMENTARY SCHOOL                       </v>
      </c>
      <c r="E12006" t="str">
        <f>"BYRAM                     "</f>
        <v xml:space="preserve">BYRAM                     </v>
      </c>
      <c r="F12006" t="str">
        <f t="shared" si="318"/>
        <v>MS</v>
      </c>
    </row>
    <row r="12007" spans="1:6" x14ac:dyDescent="0.25">
      <c r="A12007" t="str">
        <f>"006576047"</f>
        <v>006576047</v>
      </c>
      <c r="B12007" t="str">
        <f>"1265088421"</f>
        <v>1265088421</v>
      </c>
      <c r="C12007" t="str">
        <f>"261QF0400X"</f>
        <v>261QF0400X</v>
      </c>
      <c r="D12007" t="str">
        <f>"A. W. JAMES ELEMENTARY                            "</f>
        <v xml:space="preserve">A. W. JAMES ELEMENTARY                            </v>
      </c>
      <c r="E12007" t="str">
        <f>"DREW                      "</f>
        <v xml:space="preserve">DREW                      </v>
      </c>
      <c r="F12007" t="str">
        <f t="shared" si="318"/>
        <v>MS</v>
      </c>
    </row>
    <row r="12008" spans="1:6" x14ac:dyDescent="0.25">
      <c r="A12008" t="str">
        <f>"006576295"</f>
        <v>006576295</v>
      </c>
      <c r="B12008" t="str">
        <f>"1386987766"</f>
        <v>1386987766</v>
      </c>
      <c r="C12008" t="str">
        <f>"208600000X"</f>
        <v>208600000X</v>
      </c>
      <c r="D12008" t="str">
        <f>"BITTENBINDER             REBECCA      E           "</f>
        <v xml:space="preserve">BITTENBINDER             REBECCA      E           </v>
      </c>
      <c r="E12008" t="str">
        <f>"SOUTHAVEN                 "</f>
        <v xml:space="preserve">SOUTHAVEN                 </v>
      </c>
      <c r="F12008" t="str">
        <f t="shared" si="318"/>
        <v>MS</v>
      </c>
    </row>
    <row r="12009" spans="1:6" x14ac:dyDescent="0.25">
      <c r="A12009" t="str">
        <f>"006576706"</f>
        <v>006576706</v>
      </c>
      <c r="B12009" t="str">
        <f>"1386930477"</f>
        <v>1386930477</v>
      </c>
      <c r="C12009" t="str">
        <f>"363L00000X"</f>
        <v>363L00000X</v>
      </c>
      <c r="D12009" t="str">
        <f>"LEE                      KAREN                    "</f>
        <v xml:space="preserve">LEE                      KAREN                    </v>
      </c>
      <c r="E12009" t="str">
        <f>"HATTIESBURG               "</f>
        <v xml:space="preserve">HATTIESBURG               </v>
      </c>
      <c r="F12009" t="str">
        <f t="shared" si="318"/>
        <v>MS</v>
      </c>
    </row>
    <row r="12010" spans="1:6" x14ac:dyDescent="0.25">
      <c r="A12010" t="str">
        <f>"006577053"</f>
        <v>006577053</v>
      </c>
      <c r="B12010" t="str">
        <f>"1528473261"</f>
        <v>1528473261</v>
      </c>
      <c r="C12010" t="str">
        <f>"363L00000X"</f>
        <v>363L00000X</v>
      </c>
      <c r="D12010" t="str">
        <f>"LIDDELL                  MARSHEA      S           "</f>
        <v xml:space="preserve">LIDDELL                  MARSHEA      S           </v>
      </c>
      <c r="E12010" t="str">
        <f>"OCEAN SPRINGS             "</f>
        <v xml:space="preserve">OCEAN SPRINGS             </v>
      </c>
      <c r="F12010" t="str">
        <f t="shared" si="318"/>
        <v>MS</v>
      </c>
    </row>
    <row r="12011" spans="1:6" x14ac:dyDescent="0.25">
      <c r="A12011" t="str">
        <f>"006577306"</f>
        <v>006577306</v>
      </c>
      <c r="B12011" t="str">
        <f>"1548770563"</f>
        <v>1548770563</v>
      </c>
      <c r="C12011" t="str">
        <f>"363L00000X"</f>
        <v>363L00000X</v>
      </c>
      <c r="D12011" t="str">
        <f>"FLYNN                    MAEGAN                   "</f>
        <v xml:space="preserve">FLYNN                    MAEGAN                   </v>
      </c>
      <c r="E12011" t="str">
        <f>"TUPELO                    "</f>
        <v xml:space="preserve">TUPELO                    </v>
      </c>
      <c r="F12011" t="str">
        <f t="shared" si="318"/>
        <v>MS</v>
      </c>
    </row>
    <row r="12012" spans="1:6" x14ac:dyDescent="0.25">
      <c r="A12012" t="str">
        <f>"006577892"</f>
        <v>006577892</v>
      </c>
      <c r="B12012" t="str">
        <f>"1134435498"</f>
        <v>1134435498</v>
      </c>
      <c r="C12012" t="str">
        <f>"261QR1300X"</f>
        <v>261QR1300X</v>
      </c>
      <c r="D12012" t="str">
        <f>"FAMILY CARE OF SEMINARY                           "</f>
        <v xml:space="preserve">FAMILY CARE OF SEMINARY                           </v>
      </c>
      <c r="E12012" t="str">
        <f>"SEMINARY                  "</f>
        <v xml:space="preserve">SEMINARY                  </v>
      </c>
      <c r="F12012" t="str">
        <f t="shared" si="318"/>
        <v>MS</v>
      </c>
    </row>
    <row r="12013" spans="1:6" x14ac:dyDescent="0.25">
      <c r="A12013" t="str">
        <f>"006578016"</f>
        <v>006578016</v>
      </c>
      <c r="B12013" t="str">
        <f>"1083845614"</f>
        <v>1083845614</v>
      </c>
      <c r="C12013" t="str">
        <f>"152W00000X"</f>
        <v>152W00000X</v>
      </c>
      <c r="D12013" t="str">
        <f>"NORWOOD                  ALLISON      B           "</f>
        <v xml:space="preserve">NORWOOD                  ALLISON      B           </v>
      </c>
      <c r="E12013" t="str">
        <f>"NEW ALBANY                "</f>
        <v xml:space="preserve">NEW ALBANY                </v>
      </c>
      <c r="F12013" t="str">
        <f t="shared" si="318"/>
        <v>MS</v>
      </c>
    </row>
    <row r="12014" spans="1:6" x14ac:dyDescent="0.25">
      <c r="A12014" t="str">
        <f>"006580551"</f>
        <v>006580551</v>
      </c>
      <c r="B12014" t="str">
        <f>"1538684857"</f>
        <v>1538684857</v>
      </c>
      <c r="C12014" t="str">
        <f>"363L00000X"</f>
        <v>363L00000X</v>
      </c>
      <c r="D12014" t="str">
        <f>"BALLINGER                SARAH        M           "</f>
        <v xml:space="preserve">BALLINGER                SARAH        M           </v>
      </c>
      <c r="E12014" t="str">
        <f>"JACKSON                   "</f>
        <v xml:space="preserve">JACKSON                   </v>
      </c>
      <c r="F12014" t="str">
        <f t="shared" si="318"/>
        <v>MS</v>
      </c>
    </row>
    <row r="12015" spans="1:6" x14ac:dyDescent="0.25">
      <c r="A12015" t="str">
        <f>"006581329"</f>
        <v>006581329</v>
      </c>
      <c r="B12015" t="str">
        <f>"1821005265"</f>
        <v>1821005265</v>
      </c>
      <c r="C12015" t="str">
        <f>"207RC0000X"</f>
        <v>207RC0000X</v>
      </c>
      <c r="D12015" t="str">
        <f>"PIERCE, IV               PAUL         W           "</f>
        <v xml:space="preserve">PIERCE, IV               PAUL         W           </v>
      </c>
      <c r="E12015" t="str">
        <f>"VICKSBURG                 "</f>
        <v xml:space="preserve">VICKSBURG                 </v>
      </c>
      <c r="F12015" t="str">
        <f t="shared" si="318"/>
        <v>MS</v>
      </c>
    </row>
    <row r="12016" spans="1:6" x14ac:dyDescent="0.25">
      <c r="A12016" t="str">
        <f>"006582041"</f>
        <v>006582041</v>
      </c>
      <c r="B12016" t="str">
        <f>"1932478476"</f>
        <v>1932478476</v>
      </c>
      <c r="C12016" t="str">
        <f>"261QR1300X"</f>
        <v>261QR1300X</v>
      </c>
      <c r="D12016" t="str">
        <f>"SCOTT REGIONAL MEDICAL CENTER INC                 "</f>
        <v xml:space="preserve">SCOTT REGIONAL MEDICAL CENTER INC                 </v>
      </c>
      <c r="E12016" t="str">
        <f>"LAKE                      "</f>
        <v xml:space="preserve">LAKE                      </v>
      </c>
      <c r="F12016" t="str">
        <f t="shared" si="318"/>
        <v>MS</v>
      </c>
    </row>
    <row r="12017" spans="1:6" x14ac:dyDescent="0.25">
      <c r="A12017" t="str">
        <f>"006582877"</f>
        <v>006582877</v>
      </c>
      <c r="B12017" t="str">
        <f>"1639705791"</f>
        <v>1639705791</v>
      </c>
      <c r="C12017" t="str">
        <f>"363L00000X"</f>
        <v>363L00000X</v>
      </c>
      <c r="D12017" t="str">
        <f>"STOKES                   JESSICA                  "</f>
        <v xml:space="preserve">STOKES                   JESSICA                  </v>
      </c>
      <c r="E12017" t="str">
        <f>"PHILADELPHIA              "</f>
        <v xml:space="preserve">PHILADELPHIA              </v>
      </c>
      <c r="F12017" t="str">
        <f t="shared" si="318"/>
        <v>MS</v>
      </c>
    </row>
    <row r="12018" spans="1:6" x14ac:dyDescent="0.25">
      <c r="A12018" t="str">
        <f>"006583259"</f>
        <v>006583259</v>
      </c>
      <c r="B12018" t="str">
        <f>"1194926766"</f>
        <v>1194926766</v>
      </c>
      <c r="C12018" t="str">
        <f>"207X00000X"</f>
        <v>207X00000X</v>
      </c>
      <c r="D12018" t="str">
        <f>"DEWS                     ROBERT       C           "</f>
        <v xml:space="preserve">DEWS                     ROBERT       C           </v>
      </c>
      <c r="E12018" t="str">
        <f>"HATTIESBURG               "</f>
        <v xml:space="preserve">HATTIESBURG               </v>
      </c>
      <c r="F12018" t="str">
        <f t="shared" si="318"/>
        <v>MS</v>
      </c>
    </row>
    <row r="12019" spans="1:6" x14ac:dyDescent="0.25">
      <c r="A12019" t="str">
        <f>"006583766"</f>
        <v>006583766</v>
      </c>
      <c r="B12019" t="str">
        <f>"1457798399"</f>
        <v>1457798399</v>
      </c>
      <c r="C12019" t="str">
        <f>"207V00000X"</f>
        <v>207V00000X</v>
      </c>
      <c r="D12019" t="str">
        <f>"DENNEY                   LAYSON       L           "</f>
        <v xml:space="preserve">DENNEY                   LAYSON       L           </v>
      </c>
      <c r="E12019" t="str">
        <f>"FLOWOOD                   "</f>
        <v xml:space="preserve">FLOWOOD                   </v>
      </c>
      <c r="F12019" t="str">
        <f t="shared" si="318"/>
        <v>MS</v>
      </c>
    </row>
    <row r="12020" spans="1:6" x14ac:dyDescent="0.25">
      <c r="A12020" t="str">
        <f>"006584005"</f>
        <v>006584005</v>
      </c>
      <c r="B12020" t="str">
        <f>"1205892536"</f>
        <v>1205892536</v>
      </c>
      <c r="C12020" t="str">
        <f>"207V00000X"</f>
        <v>207V00000X</v>
      </c>
      <c r="D12020" t="str">
        <f>"FERGUSON                 JAMES        D           "</f>
        <v xml:space="preserve">FERGUSON                 JAMES        D           </v>
      </c>
      <c r="E12020" t="str">
        <f>"HATTIESBURG               "</f>
        <v xml:space="preserve">HATTIESBURG               </v>
      </c>
      <c r="F12020" t="str">
        <f t="shared" si="318"/>
        <v>MS</v>
      </c>
    </row>
    <row r="12021" spans="1:6" x14ac:dyDescent="0.25">
      <c r="A12021" t="str">
        <f>"006584011"</f>
        <v>006584011</v>
      </c>
      <c r="B12021" t="str">
        <f>"1700086014"</f>
        <v>1700086014</v>
      </c>
      <c r="C12021" t="str">
        <f>"207Q00000X"</f>
        <v>207Q00000X</v>
      </c>
      <c r="D12021" t="str">
        <f>"VALENTINE                COURTNEY                 "</f>
        <v xml:space="preserve">VALENTINE                COURTNEY                 </v>
      </c>
      <c r="E12021" t="str">
        <f>"LUCEDALE                  "</f>
        <v xml:space="preserve">LUCEDALE                  </v>
      </c>
      <c r="F12021" t="str">
        <f t="shared" si="318"/>
        <v>MS</v>
      </c>
    </row>
    <row r="12022" spans="1:6" x14ac:dyDescent="0.25">
      <c r="A12022" t="str">
        <f>"006584364"</f>
        <v>006584364</v>
      </c>
      <c r="B12022" t="str">
        <f>"1194168682"</f>
        <v>1194168682</v>
      </c>
      <c r="C12022" t="str">
        <f>"363L00000X"</f>
        <v>363L00000X</v>
      </c>
      <c r="D12022" t="str">
        <f>"BARTHOLOMEW              JAMI         C           "</f>
        <v xml:space="preserve">BARTHOLOMEW              JAMI         C           </v>
      </c>
      <c r="E12022" t="str">
        <f>"OLIVE BRANCH              "</f>
        <v xml:space="preserve">OLIVE BRANCH              </v>
      </c>
      <c r="F12022" t="str">
        <f t="shared" si="318"/>
        <v>MS</v>
      </c>
    </row>
    <row r="12023" spans="1:6" x14ac:dyDescent="0.25">
      <c r="A12023" t="str">
        <f>"006586222"</f>
        <v>006586222</v>
      </c>
      <c r="B12023" t="str">
        <f>"1902242035"</f>
        <v>1902242035</v>
      </c>
      <c r="C12023" t="str">
        <f>"207RG0100X"</f>
        <v>207RG0100X</v>
      </c>
      <c r="D12023" t="str">
        <f>"PINSON                   ROSS         F           "</f>
        <v xml:space="preserve">PINSON                   ROSS         F           </v>
      </c>
      <c r="E12023" t="str">
        <f>"OCEAN SPRINGS             "</f>
        <v xml:space="preserve">OCEAN SPRINGS             </v>
      </c>
      <c r="F12023" t="str">
        <f t="shared" si="318"/>
        <v>MS</v>
      </c>
    </row>
    <row r="12024" spans="1:6" x14ac:dyDescent="0.25">
      <c r="A12024" t="str">
        <f>"006587241"</f>
        <v>006587241</v>
      </c>
      <c r="B12024" t="str">
        <f>"1255645446"</f>
        <v>1255645446</v>
      </c>
      <c r="C12024" t="str">
        <f>"207RN0300X"</f>
        <v>207RN0300X</v>
      </c>
      <c r="D12024" t="str">
        <f>"VAITLA                   PRADEEP      K           "</f>
        <v xml:space="preserve">VAITLA                   PRADEEP      K           </v>
      </c>
      <c r="E12024" t="str">
        <f>"JACKSON                   "</f>
        <v xml:space="preserve">JACKSON                   </v>
      </c>
      <c r="F12024" t="str">
        <f t="shared" si="318"/>
        <v>MS</v>
      </c>
    </row>
    <row r="12025" spans="1:6" x14ac:dyDescent="0.25">
      <c r="A12025" t="str">
        <f>"006587816"</f>
        <v>006587816</v>
      </c>
      <c r="B12025" t="str">
        <f>"1497394803"</f>
        <v>1497394803</v>
      </c>
      <c r="C12025" t="str">
        <f>"367500000X"</f>
        <v>367500000X</v>
      </c>
      <c r="D12025" t="str">
        <f>"DEARMAN                  JAMES        D           "</f>
        <v xml:space="preserve">DEARMAN                  JAMES        D           </v>
      </c>
      <c r="E12025" t="str">
        <f>"HATTIESBURG               "</f>
        <v xml:space="preserve">HATTIESBURG               </v>
      </c>
      <c r="F12025" t="str">
        <f t="shared" si="318"/>
        <v>MS</v>
      </c>
    </row>
    <row r="12026" spans="1:6" x14ac:dyDescent="0.25">
      <c r="A12026" t="str">
        <f>"006588343"</f>
        <v>006588343</v>
      </c>
      <c r="B12026" t="str">
        <f>"1942318589"</f>
        <v>1942318589</v>
      </c>
      <c r="C12026" t="str">
        <f>"208000000X"</f>
        <v>208000000X</v>
      </c>
      <c r="D12026" t="str">
        <f>"PENNY                    AMANDA       S           "</f>
        <v xml:space="preserve">PENNY                    AMANDA       S           </v>
      </c>
      <c r="E12026" t="str">
        <f>"JACKSON                   "</f>
        <v xml:space="preserve">JACKSON                   </v>
      </c>
      <c r="F12026" t="str">
        <f t="shared" si="318"/>
        <v>MS</v>
      </c>
    </row>
    <row r="12027" spans="1:6" x14ac:dyDescent="0.25">
      <c r="A12027" t="str">
        <f>"006589359"</f>
        <v>006589359</v>
      </c>
      <c r="B12027" t="str">
        <f>"1962847384"</f>
        <v>1962847384</v>
      </c>
      <c r="C12027" t="str">
        <f>"207N00000X"</f>
        <v>207N00000X</v>
      </c>
      <c r="D12027" t="str">
        <f>"WEBB                     MARGARET                 "</f>
        <v xml:space="preserve">WEBB                     MARGARET                 </v>
      </c>
      <c r="E12027" t="str">
        <f>"JACKSON                   "</f>
        <v xml:space="preserve">JACKSON                   </v>
      </c>
      <c r="F12027" t="str">
        <f t="shared" si="318"/>
        <v>MS</v>
      </c>
    </row>
    <row r="12028" spans="1:6" x14ac:dyDescent="0.25">
      <c r="A12028" t="str">
        <f>"006589362"</f>
        <v>006589362</v>
      </c>
      <c r="B12028" t="str">
        <f>"1578084521"</f>
        <v>1578084521</v>
      </c>
      <c r="C12028" t="str">
        <f>"363L00000X"</f>
        <v>363L00000X</v>
      </c>
      <c r="D12028" t="str">
        <f>"BRACEY                   CHRISTOPHER  H           "</f>
        <v xml:space="preserve">BRACEY                   CHRISTOPHER  H           </v>
      </c>
      <c r="E12028" t="str">
        <f>"MCCOMB                    "</f>
        <v xml:space="preserve">MCCOMB                    </v>
      </c>
      <c r="F12028" t="str">
        <f t="shared" si="318"/>
        <v>MS</v>
      </c>
    </row>
    <row r="12029" spans="1:6" x14ac:dyDescent="0.25">
      <c r="A12029" t="str">
        <f>"006600273"</f>
        <v>006600273</v>
      </c>
      <c r="B12029" t="str">
        <f>"1295009330"</f>
        <v>1295009330</v>
      </c>
      <c r="C12029" t="str">
        <f>"363L00000X"</f>
        <v>363L00000X</v>
      </c>
      <c r="D12029" t="str">
        <f>"BOOTH                    TARA         J           "</f>
        <v xml:space="preserve">BOOTH                    TARA         J           </v>
      </c>
      <c r="E12029" t="str">
        <f>"JACKSON                   "</f>
        <v xml:space="preserve">JACKSON                   </v>
      </c>
      <c r="F12029" t="str">
        <f t="shared" si="318"/>
        <v>MS</v>
      </c>
    </row>
    <row r="12030" spans="1:6" x14ac:dyDescent="0.25">
      <c r="A12030" t="str">
        <f>"006601819"</f>
        <v>006601819</v>
      </c>
      <c r="B12030" t="str">
        <f>"1184786717"</f>
        <v>1184786717</v>
      </c>
      <c r="C12030" t="str">
        <f>"363L00000X"</f>
        <v>363L00000X</v>
      </c>
      <c r="D12030" t="str">
        <f>"CARLISLE                 DIANE        C           "</f>
        <v xml:space="preserve">CARLISLE                 DIANE        C           </v>
      </c>
      <c r="E12030" t="str">
        <f>"JACKSON                   "</f>
        <v xml:space="preserve">JACKSON                   </v>
      </c>
      <c r="F12030" t="str">
        <f t="shared" ref="F12030:F12093" si="319">"MS"</f>
        <v>MS</v>
      </c>
    </row>
    <row r="12031" spans="1:6" x14ac:dyDescent="0.25">
      <c r="A12031" t="str">
        <f>"006602262"</f>
        <v>006602262</v>
      </c>
      <c r="B12031" t="str">
        <f>"1801479720"</f>
        <v>1801479720</v>
      </c>
      <c r="C12031" t="str">
        <f>"363L00000X"</f>
        <v>363L00000X</v>
      </c>
      <c r="D12031" t="str">
        <f>"HOLLOWAY                 CANDACE      B           "</f>
        <v xml:space="preserve">HOLLOWAY                 CANDACE      B           </v>
      </c>
      <c r="E12031" t="str">
        <f>"CANTON                    "</f>
        <v xml:space="preserve">CANTON                    </v>
      </c>
      <c r="F12031" t="str">
        <f t="shared" si="319"/>
        <v>MS</v>
      </c>
    </row>
    <row r="12032" spans="1:6" x14ac:dyDescent="0.25">
      <c r="A12032" t="str">
        <f>"006604794"</f>
        <v>006604794</v>
      </c>
      <c r="B12032" t="str">
        <f>"1659866895"</f>
        <v>1659866895</v>
      </c>
      <c r="C12032" t="str">
        <f>"207RC0000X"</f>
        <v>207RC0000X</v>
      </c>
      <c r="D12032" t="str">
        <f>"SMITH                    DANTWAN                  "</f>
        <v xml:space="preserve">SMITH                    DANTWAN                  </v>
      </c>
      <c r="E12032" t="str">
        <f>"JACKSON                   "</f>
        <v xml:space="preserve">JACKSON                   </v>
      </c>
      <c r="F12032" t="str">
        <f t="shared" si="319"/>
        <v>MS</v>
      </c>
    </row>
    <row r="12033" spans="1:6" x14ac:dyDescent="0.25">
      <c r="A12033" t="str">
        <f>"006605028"</f>
        <v>006605028</v>
      </c>
      <c r="B12033" t="str">
        <f>"1164479812"</f>
        <v>1164479812</v>
      </c>
      <c r="C12033" t="str">
        <f>"207W00000X"</f>
        <v>207W00000X</v>
      </c>
      <c r="D12033" t="str">
        <f>"HUANG                    BO                       "</f>
        <v xml:space="preserve">HUANG                    BO                       </v>
      </c>
      <c r="E12033" t="str">
        <f>"JACKSON                   "</f>
        <v xml:space="preserve">JACKSON                   </v>
      </c>
      <c r="F12033" t="str">
        <f t="shared" si="319"/>
        <v>MS</v>
      </c>
    </row>
    <row r="12034" spans="1:6" x14ac:dyDescent="0.25">
      <c r="A12034" t="str">
        <f>"006605510"</f>
        <v>006605510</v>
      </c>
      <c r="B12034" t="str">
        <f>"1760877948"</f>
        <v>1760877948</v>
      </c>
      <c r="C12034" t="str">
        <f>"207Q00000X"</f>
        <v>207Q00000X</v>
      </c>
      <c r="D12034" t="str">
        <f>"FISHER                   JASON        A           "</f>
        <v xml:space="preserve">FISHER                   JASON        A           </v>
      </c>
      <c r="E12034" t="str">
        <f>"HATTIESBURG               "</f>
        <v xml:space="preserve">HATTIESBURG               </v>
      </c>
      <c r="F12034" t="str">
        <f t="shared" si="319"/>
        <v>MS</v>
      </c>
    </row>
    <row r="12035" spans="1:6" x14ac:dyDescent="0.25">
      <c r="A12035" t="str">
        <f>"006606778"</f>
        <v>006606778</v>
      </c>
      <c r="B12035" t="str">
        <f>"1811217409"</f>
        <v>1811217409</v>
      </c>
      <c r="C12035" t="str">
        <f>"363A00000X"</f>
        <v>363A00000X</v>
      </c>
      <c r="D12035" t="str">
        <f>"BLACKWELL                BLEN         D           "</f>
        <v xml:space="preserve">BLACKWELL                BLEN         D           </v>
      </c>
      <c r="E12035" t="str">
        <f>"HATTIESBURG               "</f>
        <v xml:space="preserve">HATTIESBURG               </v>
      </c>
      <c r="F12035" t="str">
        <f t="shared" si="319"/>
        <v>MS</v>
      </c>
    </row>
    <row r="12036" spans="1:6" x14ac:dyDescent="0.25">
      <c r="A12036" t="str">
        <f>"006606788"</f>
        <v>006606788</v>
      </c>
      <c r="B12036" t="str">
        <f>"1366918195"</f>
        <v>1366918195</v>
      </c>
      <c r="C12036" t="str">
        <f>"363L00000X"</f>
        <v>363L00000X</v>
      </c>
      <c r="D12036" t="str">
        <f>"ROACH                    AMANDA                   "</f>
        <v xml:space="preserve">ROACH                    AMANDA                   </v>
      </c>
      <c r="E12036" t="str">
        <f>"VICKSBURG                 "</f>
        <v xml:space="preserve">VICKSBURG                 </v>
      </c>
      <c r="F12036" t="str">
        <f t="shared" si="319"/>
        <v>MS</v>
      </c>
    </row>
    <row r="12037" spans="1:6" x14ac:dyDescent="0.25">
      <c r="A12037" t="str">
        <f>"006607278"</f>
        <v>006607278</v>
      </c>
      <c r="B12037" t="str">
        <f>"1861808974"</f>
        <v>1861808974</v>
      </c>
      <c r="C12037" t="str">
        <f>"363L00000X"</f>
        <v>363L00000X</v>
      </c>
      <c r="D12037" t="str">
        <f>"HICKMAN                  ASHLEY       H           "</f>
        <v xml:space="preserve">HICKMAN                  ASHLEY       H           </v>
      </c>
      <c r="E12037" t="str">
        <f>"BROOKHAVEN                "</f>
        <v xml:space="preserve">BROOKHAVEN                </v>
      </c>
      <c r="F12037" t="str">
        <f t="shared" si="319"/>
        <v>MS</v>
      </c>
    </row>
    <row r="12038" spans="1:6" x14ac:dyDescent="0.25">
      <c r="A12038" t="str">
        <f>"006607859"</f>
        <v>006607859</v>
      </c>
      <c r="B12038" t="str">
        <f>"1316429434"</f>
        <v>1316429434</v>
      </c>
      <c r="C12038" t="str">
        <f>"363L00000X"</f>
        <v>363L00000X</v>
      </c>
      <c r="D12038" t="str">
        <f>"AUSTIN                   CASSIE       L           "</f>
        <v xml:space="preserve">AUSTIN                   CASSIE       L           </v>
      </c>
      <c r="E12038" t="str">
        <f>"PONTOTOC                  "</f>
        <v xml:space="preserve">PONTOTOC                  </v>
      </c>
      <c r="F12038" t="str">
        <f t="shared" si="319"/>
        <v>MS</v>
      </c>
    </row>
    <row r="12039" spans="1:6" x14ac:dyDescent="0.25">
      <c r="A12039" t="str">
        <f>"006608712"</f>
        <v>006608712</v>
      </c>
      <c r="B12039" t="str">
        <f>"1730520842"</f>
        <v>1730520842</v>
      </c>
      <c r="C12039" t="str">
        <f>"2085R0202X"</f>
        <v>2085R0202X</v>
      </c>
      <c r="D12039" t="str">
        <f>"RAY                      DAVID        M           "</f>
        <v xml:space="preserve">RAY                      DAVID        M           </v>
      </c>
      <c r="E12039" t="str">
        <f>"MERIDIAN                  "</f>
        <v xml:space="preserve">MERIDIAN                  </v>
      </c>
      <c r="F12039" t="str">
        <f t="shared" si="319"/>
        <v>MS</v>
      </c>
    </row>
    <row r="12040" spans="1:6" x14ac:dyDescent="0.25">
      <c r="A12040" t="str">
        <f>"006608789"</f>
        <v>006608789</v>
      </c>
      <c r="B12040" t="str">
        <f>"1417946013"</f>
        <v>1417946013</v>
      </c>
      <c r="C12040" t="str">
        <f>"207X00000X"</f>
        <v>207X00000X</v>
      </c>
      <c r="D12040" t="str">
        <f>"LEIS                     HENRY        T           "</f>
        <v xml:space="preserve">LEIS                     HENRY        T           </v>
      </c>
      <c r="E12040" t="str">
        <f>"GULFPORT                  "</f>
        <v xml:space="preserve">GULFPORT                  </v>
      </c>
      <c r="F12040" t="str">
        <f t="shared" si="319"/>
        <v>MS</v>
      </c>
    </row>
    <row r="12041" spans="1:6" x14ac:dyDescent="0.25">
      <c r="A12041" t="str">
        <f>"006608851"</f>
        <v>006608851</v>
      </c>
      <c r="B12041" t="str">
        <f>"1932413762"</f>
        <v>1932413762</v>
      </c>
      <c r="C12041" t="str">
        <f>"363L00000X"</f>
        <v>363L00000X</v>
      </c>
      <c r="D12041" t="str">
        <f>"DRIGGERS                 BENDAN       B           "</f>
        <v xml:space="preserve">DRIGGERS                 BENDAN       B           </v>
      </c>
      <c r="E12041" t="str">
        <f>"WAYNESBORO                "</f>
        <v xml:space="preserve">WAYNESBORO                </v>
      </c>
      <c r="F12041" t="str">
        <f t="shared" si="319"/>
        <v>MS</v>
      </c>
    </row>
    <row r="12042" spans="1:6" x14ac:dyDescent="0.25">
      <c r="A12042" t="str">
        <f>"006609743"</f>
        <v>006609743</v>
      </c>
      <c r="B12042" t="str">
        <f>"1982801585"</f>
        <v>1982801585</v>
      </c>
      <c r="C12042" t="str">
        <f>"2086S0129X"</f>
        <v>2086S0129X</v>
      </c>
      <c r="D12042" t="str">
        <f>"BAKHTAWAR                HUMAYUN                  "</f>
        <v xml:space="preserve">BAKHTAWAR                HUMAYUN                  </v>
      </c>
      <c r="E12042" t="str">
        <f>"HATTIESBURG               "</f>
        <v xml:space="preserve">HATTIESBURG               </v>
      </c>
      <c r="F12042" t="str">
        <f t="shared" si="319"/>
        <v>MS</v>
      </c>
    </row>
    <row r="12043" spans="1:6" x14ac:dyDescent="0.25">
      <c r="A12043" t="str">
        <f>"006621563"</f>
        <v>006621563</v>
      </c>
      <c r="B12043" t="str">
        <f>"1548667173"</f>
        <v>1548667173</v>
      </c>
      <c r="C12043" t="str">
        <f>"122300000X"</f>
        <v>122300000X</v>
      </c>
      <c r="D12043" t="str">
        <f>"PRESTON HUGH LEE III DDS PA                       "</f>
        <v xml:space="preserve">PRESTON HUGH LEE III DDS PA                       </v>
      </c>
      <c r="E12043" t="str">
        <f>"OXFORD                    "</f>
        <v xml:space="preserve">OXFORD                    </v>
      </c>
      <c r="F12043" t="str">
        <f t="shared" si="319"/>
        <v>MS</v>
      </c>
    </row>
    <row r="12044" spans="1:6" x14ac:dyDescent="0.25">
      <c r="A12044" t="str">
        <f>"006621752"</f>
        <v>006621752</v>
      </c>
      <c r="B12044" t="str">
        <f>"1528624160"</f>
        <v>1528624160</v>
      </c>
      <c r="C12044" t="str">
        <f>"363A00000X"</f>
        <v>363A00000X</v>
      </c>
      <c r="D12044" t="str">
        <f>"WILLIAMS                 RAVEN        S           "</f>
        <v xml:space="preserve">WILLIAMS                 RAVEN        S           </v>
      </c>
      <c r="E12044" t="str">
        <f>"MOUND BAYOU               "</f>
        <v xml:space="preserve">MOUND BAYOU               </v>
      </c>
      <c r="F12044" t="str">
        <f t="shared" si="319"/>
        <v>MS</v>
      </c>
    </row>
    <row r="12045" spans="1:6" x14ac:dyDescent="0.25">
      <c r="A12045" t="str">
        <f>"006621755"</f>
        <v>006621755</v>
      </c>
      <c r="B12045" t="str">
        <f>"1932272200"</f>
        <v>1932272200</v>
      </c>
      <c r="C12045" t="str">
        <f>"363L00000X"</f>
        <v>363L00000X</v>
      </c>
      <c r="D12045" t="str">
        <f>"HODGES                   DONNA        A           "</f>
        <v xml:space="preserve">HODGES                   DONNA        A           </v>
      </c>
      <c r="E12045" t="str">
        <f>"MADISON                   "</f>
        <v xml:space="preserve">MADISON                   </v>
      </c>
      <c r="F12045" t="str">
        <f t="shared" si="319"/>
        <v>MS</v>
      </c>
    </row>
    <row r="12046" spans="1:6" x14ac:dyDescent="0.25">
      <c r="A12046" t="str">
        <f>"006621790"</f>
        <v>006621790</v>
      </c>
      <c r="B12046" t="str">
        <f>"1295937928"</f>
        <v>1295937928</v>
      </c>
      <c r="C12046" t="str">
        <f>"207X00000X"</f>
        <v>207X00000X</v>
      </c>
      <c r="D12046" t="str">
        <f>"KOSKO                    JOHN         H           "</f>
        <v xml:space="preserve">KOSKO                    JOHN         H           </v>
      </c>
      <c r="E12046" t="str">
        <f>"HATTIESBURG               "</f>
        <v xml:space="preserve">HATTIESBURG               </v>
      </c>
      <c r="F12046" t="str">
        <f t="shared" si="319"/>
        <v>MS</v>
      </c>
    </row>
    <row r="12047" spans="1:6" x14ac:dyDescent="0.25">
      <c r="A12047" t="str">
        <f>"006621825"</f>
        <v>006621825</v>
      </c>
      <c r="B12047" t="str">
        <f>"1962631150"</f>
        <v>1962631150</v>
      </c>
      <c r="C12047" t="str">
        <f>"207W00000X"</f>
        <v>207W00000X</v>
      </c>
      <c r="D12047" t="str">
        <f>"ZOGHBY                   JONATHAN     T           "</f>
        <v xml:space="preserve">ZOGHBY                   JONATHAN     T           </v>
      </c>
      <c r="E12047" t="str">
        <f>"OXFORD                    "</f>
        <v xml:space="preserve">OXFORD                    </v>
      </c>
      <c r="F12047" t="str">
        <f t="shared" si="319"/>
        <v>MS</v>
      </c>
    </row>
    <row r="12048" spans="1:6" x14ac:dyDescent="0.25">
      <c r="A12048" t="str">
        <f>"006624740"</f>
        <v>006624740</v>
      </c>
      <c r="B12048" t="str">
        <f>"1306254057"</f>
        <v>1306254057</v>
      </c>
      <c r="C12048" t="str">
        <f>"152W00000X"</f>
        <v>152W00000X</v>
      </c>
      <c r="D12048" t="str">
        <f>"SOUTHERN EYE CARE OF FOREST                       "</f>
        <v xml:space="preserve">SOUTHERN EYE CARE OF FOREST                       </v>
      </c>
      <c r="E12048" t="str">
        <f>"FOREST                    "</f>
        <v xml:space="preserve">FOREST                    </v>
      </c>
      <c r="F12048" t="str">
        <f t="shared" si="319"/>
        <v>MS</v>
      </c>
    </row>
    <row r="12049" spans="1:6" x14ac:dyDescent="0.25">
      <c r="A12049" t="str">
        <f>"006627042"</f>
        <v>006627042</v>
      </c>
      <c r="B12049" t="str">
        <f>"1922469063"</f>
        <v>1922469063</v>
      </c>
      <c r="C12049" t="str">
        <f>"363L00000X"</f>
        <v>363L00000X</v>
      </c>
      <c r="D12049" t="str">
        <f>"TYNER                    KIMBERLY     E           "</f>
        <v xml:space="preserve">TYNER                    KIMBERLY     E           </v>
      </c>
      <c r="E12049" t="str">
        <f>"JACKSON                   "</f>
        <v xml:space="preserve">JACKSON                   </v>
      </c>
      <c r="F12049" t="str">
        <f t="shared" si="319"/>
        <v>MS</v>
      </c>
    </row>
    <row r="12050" spans="1:6" x14ac:dyDescent="0.25">
      <c r="A12050" t="str">
        <f>"006627515"</f>
        <v>006627515</v>
      </c>
      <c r="B12050" t="str">
        <f>"1144476250"</f>
        <v>1144476250</v>
      </c>
      <c r="C12050" t="str">
        <f>"122300000X"</f>
        <v>122300000X</v>
      </c>
      <c r="D12050" t="str">
        <f>"HENCE                    MARQUINET    C           "</f>
        <v xml:space="preserve">HENCE                    MARQUINET    C           </v>
      </c>
      <c r="E12050" t="str">
        <f>"MOUND BAYOU               "</f>
        <v xml:space="preserve">MOUND BAYOU               </v>
      </c>
      <c r="F12050" t="str">
        <f t="shared" si="319"/>
        <v>MS</v>
      </c>
    </row>
    <row r="12051" spans="1:6" x14ac:dyDescent="0.25">
      <c r="A12051" t="str">
        <f>"006627889"</f>
        <v>006627889</v>
      </c>
      <c r="B12051" t="str">
        <f>"1851050579"</f>
        <v>1851050579</v>
      </c>
      <c r="C12051" t="str">
        <f>"261QR1300X"</f>
        <v>261QR1300X</v>
      </c>
      <c r="D12051" t="str">
        <f>"FAST PACE MISSISSIPPI, PLLC                       "</f>
        <v xml:space="preserve">FAST PACE MISSISSIPPI, PLLC                       </v>
      </c>
      <c r="E12051" t="str">
        <f>"CARTHAGE                  "</f>
        <v xml:space="preserve">CARTHAGE                  </v>
      </c>
      <c r="F12051" t="str">
        <f t="shared" si="319"/>
        <v>MS</v>
      </c>
    </row>
    <row r="12052" spans="1:6" x14ac:dyDescent="0.25">
      <c r="A12052" t="str">
        <f>"006628063"</f>
        <v>006628063</v>
      </c>
      <c r="B12052" t="str">
        <f>"1508216680"</f>
        <v>1508216680</v>
      </c>
      <c r="C12052" t="str">
        <f>"207L00000X"</f>
        <v>207L00000X</v>
      </c>
      <c r="D12052" t="str">
        <f>"TARIQ                    RAYHAN                   "</f>
        <v xml:space="preserve">TARIQ                    RAYHAN                   </v>
      </c>
      <c r="E12052" t="str">
        <f>"LAUREL                    "</f>
        <v xml:space="preserve">LAUREL                    </v>
      </c>
      <c r="F12052" t="str">
        <f t="shared" si="319"/>
        <v>MS</v>
      </c>
    </row>
    <row r="12053" spans="1:6" x14ac:dyDescent="0.25">
      <c r="A12053" t="str">
        <f>"006628594"</f>
        <v>006628594</v>
      </c>
      <c r="B12053" t="str">
        <f>"1295976272"</f>
        <v>1295976272</v>
      </c>
      <c r="C12053" t="str">
        <f>"2085R0202X"</f>
        <v>2085R0202X</v>
      </c>
      <c r="D12053" t="str">
        <f>"HALL                     ERIC                     "</f>
        <v xml:space="preserve">HALL                     ERIC                     </v>
      </c>
      <c r="E12053" t="str">
        <f>"CLEVELAND                 "</f>
        <v xml:space="preserve">CLEVELAND                 </v>
      </c>
      <c r="F12053" t="str">
        <f t="shared" si="319"/>
        <v>MS</v>
      </c>
    </row>
    <row r="12054" spans="1:6" x14ac:dyDescent="0.25">
      <c r="A12054" t="str">
        <f>"006629278"</f>
        <v>006629278</v>
      </c>
      <c r="B12054" t="str">
        <f>"1477540169"</f>
        <v>1477540169</v>
      </c>
      <c r="C12054" t="str">
        <f>"208100000X"</f>
        <v>208100000X</v>
      </c>
      <c r="D12054" t="str">
        <f>"PARK                     ASHLEY       L           "</f>
        <v xml:space="preserve">PARK                     ASHLEY       L           </v>
      </c>
      <c r="E12054" t="str">
        <f>"SOUTHAVEN                 "</f>
        <v xml:space="preserve">SOUTHAVEN                 </v>
      </c>
      <c r="F12054" t="str">
        <f t="shared" si="319"/>
        <v>MS</v>
      </c>
    </row>
    <row r="12055" spans="1:6" x14ac:dyDescent="0.25">
      <c r="A12055" t="str">
        <f>"006629325"</f>
        <v>006629325</v>
      </c>
      <c r="B12055" t="str">
        <f>"1952759060"</f>
        <v>1952759060</v>
      </c>
      <c r="C12055" t="str">
        <f>"207L00000X"</f>
        <v>207L00000X</v>
      </c>
      <c r="D12055" t="str">
        <f>"DAVIS                    CHRISTOPHER              "</f>
        <v xml:space="preserve">DAVIS                    CHRISTOPHER              </v>
      </c>
      <c r="E12055" t="str">
        <f>"FLOWOOD                   "</f>
        <v xml:space="preserve">FLOWOOD                   </v>
      </c>
      <c r="F12055" t="str">
        <f t="shared" si="319"/>
        <v>MS</v>
      </c>
    </row>
    <row r="12056" spans="1:6" x14ac:dyDescent="0.25">
      <c r="A12056" t="str">
        <f>"006629334"</f>
        <v>006629334</v>
      </c>
      <c r="B12056" t="str">
        <f>"1245474998"</f>
        <v>1245474998</v>
      </c>
      <c r="C12056" t="str">
        <f>"363LA2100X"</f>
        <v>363LA2100X</v>
      </c>
      <c r="D12056" t="str">
        <f>"ANTHONY                  STEVEN       S           "</f>
        <v xml:space="preserve">ANTHONY                  STEVEN       S           </v>
      </c>
      <c r="E12056" t="str">
        <f>"JACKSON                   "</f>
        <v xml:space="preserve">JACKSON                   </v>
      </c>
      <c r="F12056" t="str">
        <f t="shared" si="319"/>
        <v>MS</v>
      </c>
    </row>
    <row r="12057" spans="1:6" x14ac:dyDescent="0.25">
      <c r="A12057" t="str">
        <f>"006630374"</f>
        <v>006630374</v>
      </c>
      <c r="B12057" t="str">
        <f>"1659682284"</f>
        <v>1659682284</v>
      </c>
      <c r="C12057" t="str">
        <f>"207R00000X"</f>
        <v>207R00000X</v>
      </c>
      <c r="D12057" t="str">
        <f>"PARR                     ALEXANDER    W           "</f>
        <v xml:space="preserve">PARR                     ALEXANDER    W           </v>
      </c>
      <c r="E12057" t="str">
        <f>"JACKSON                   "</f>
        <v xml:space="preserve">JACKSON                   </v>
      </c>
      <c r="F12057" t="str">
        <f t="shared" si="319"/>
        <v>MS</v>
      </c>
    </row>
    <row r="12058" spans="1:6" x14ac:dyDescent="0.25">
      <c r="A12058" t="str">
        <f>"006630589"</f>
        <v>006630589</v>
      </c>
      <c r="B12058" t="str">
        <f>"1164971131"</f>
        <v>1164971131</v>
      </c>
      <c r="C12058" t="str">
        <f>"363L00000X"</f>
        <v>363L00000X</v>
      </c>
      <c r="D12058" t="str">
        <f>"LARRY                    JANINE       G           "</f>
        <v xml:space="preserve">LARRY                    JANINE       G           </v>
      </c>
      <c r="E12058" t="str">
        <f>"JACKSON                   "</f>
        <v xml:space="preserve">JACKSON                   </v>
      </c>
      <c r="F12058" t="str">
        <f t="shared" si="319"/>
        <v>MS</v>
      </c>
    </row>
    <row r="12059" spans="1:6" x14ac:dyDescent="0.25">
      <c r="A12059" t="str">
        <f>"006632306"</f>
        <v>006632306</v>
      </c>
      <c r="B12059" t="str">
        <f>"1578082137"</f>
        <v>1578082137</v>
      </c>
      <c r="C12059" t="str">
        <f>"363L00000X"</f>
        <v>363L00000X</v>
      </c>
      <c r="D12059" t="str">
        <f>"MOORE                    KAYLA        A           "</f>
        <v xml:space="preserve">MOORE                    KAYLA        A           </v>
      </c>
      <c r="E12059" t="str">
        <f>"TUPELO                    "</f>
        <v xml:space="preserve">TUPELO                    </v>
      </c>
      <c r="F12059" t="str">
        <f t="shared" si="319"/>
        <v>MS</v>
      </c>
    </row>
    <row r="12060" spans="1:6" x14ac:dyDescent="0.25">
      <c r="A12060" t="str">
        <f>"006633594"</f>
        <v>006633594</v>
      </c>
      <c r="B12060" t="str">
        <f>"1467524215"</f>
        <v>1467524215</v>
      </c>
      <c r="C12060" t="str">
        <f>"207W00000X"</f>
        <v>207W00000X</v>
      </c>
      <c r="D12060" t="str">
        <f>"RAY                      COURTNEY     J           "</f>
        <v xml:space="preserve">RAY                      COURTNEY     J           </v>
      </c>
      <c r="E12060" t="str">
        <f>"BILOXI                    "</f>
        <v xml:space="preserve">BILOXI                    </v>
      </c>
      <c r="F12060" t="str">
        <f t="shared" si="319"/>
        <v>MS</v>
      </c>
    </row>
    <row r="12061" spans="1:6" x14ac:dyDescent="0.25">
      <c r="A12061" t="str">
        <f>"006633737"</f>
        <v>006633737</v>
      </c>
      <c r="B12061" t="str">
        <f>"1972916633"</f>
        <v>1972916633</v>
      </c>
      <c r="C12061" t="str">
        <f>"207R00000X"</f>
        <v>207R00000X</v>
      </c>
      <c r="D12061" t="str">
        <f>"DUCKWORTH                SAVANNAH                 "</f>
        <v xml:space="preserve">DUCKWORTH                SAVANNAH                 </v>
      </c>
      <c r="E12061" t="str">
        <f>"JACKSON                   "</f>
        <v xml:space="preserve">JACKSON                   </v>
      </c>
      <c r="F12061" t="str">
        <f t="shared" si="319"/>
        <v>MS</v>
      </c>
    </row>
    <row r="12062" spans="1:6" x14ac:dyDescent="0.25">
      <c r="A12062" t="str">
        <f>"006636853"</f>
        <v>006636853</v>
      </c>
      <c r="B12062" t="str">
        <f>"1265420467"</f>
        <v>1265420467</v>
      </c>
      <c r="C12062" t="str">
        <f>"208600000X"</f>
        <v>208600000X</v>
      </c>
      <c r="D12062" t="str">
        <f>"BRUNSTON JR              ROBERT       L           "</f>
        <v xml:space="preserve">BRUNSTON JR              ROBERT       L           </v>
      </c>
      <c r="E12062" t="str">
        <f>"GREENVILLE                "</f>
        <v xml:space="preserve">GREENVILLE                </v>
      </c>
      <c r="F12062" t="str">
        <f t="shared" si="319"/>
        <v>MS</v>
      </c>
    </row>
    <row r="12063" spans="1:6" x14ac:dyDescent="0.25">
      <c r="A12063" t="str">
        <f>"006637516"</f>
        <v>006637516</v>
      </c>
      <c r="B12063" t="str">
        <f>"1972161891"</f>
        <v>1972161891</v>
      </c>
      <c r="C12063" t="str">
        <f>"363A00000X"</f>
        <v>363A00000X</v>
      </c>
      <c r="D12063" t="str">
        <f>"TAYLOR                   ALLISON      J           "</f>
        <v xml:space="preserve">TAYLOR                   ALLISON      J           </v>
      </c>
      <c r="E12063" t="str">
        <f>"JACKSON                   "</f>
        <v xml:space="preserve">JACKSON                   </v>
      </c>
      <c r="F12063" t="str">
        <f t="shared" si="319"/>
        <v>MS</v>
      </c>
    </row>
    <row r="12064" spans="1:6" x14ac:dyDescent="0.25">
      <c r="A12064" t="str">
        <f>"006639591"</f>
        <v>006639591</v>
      </c>
      <c r="B12064" t="str">
        <f>"1366062572"</f>
        <v>1366062572</v>
      </c>
      <c r="C12064" t="str">
        <f>"363L00000X"</f>
        <v>363L00000X</v>
      </c>
      <c r="D12064" t="str">
        <f>"UNDERWOOD                TANYA                    "</f>
        <v xml:space="preserve">UNDERWOOD                TANYA                    </v>
      </c>
      <c r="E12064" t="str">
        <f>"TUPELO                    "</f>
        <v xml:space="preserve">TUPELO                    </v>
      </c>
      <c r="F12064" t="str">
        <f t="shared" si="319"/>
        <v>MS</v>
      </c>
    </row>
    <row r="12065" spans="1:6" x14ac:dyDescent="0.25">
      <c r="A12065" t="str">
        <f>"006650795"</f>
        <v>006650795</v>
      </c>
      <c r="B12065" t="str">
        <f>"1457596082"</f>
        <v>1457596082</v>
      </c>
      <c r="C12065" t="str">
        <f>"367500000X"</f>
        <v>367500000X</v>
      </c>
      <c r="D12065" t="str">
        <f>"MAY                      JERRY        B           "</f>
        <v xml:space="preserve">MAY                      JERRY        B           </v>
      </c>
      <c r="E12065" t="str">
        <f>"MERIDIAN                  "</f>
        <v xml:space="preserve">MERIDIAN                  </v>
      </c>
      <c r="F12065" t="str">
        <f t="shared" si="319"/>
        <v>MS</v>
      </c>
    </row>
    <row r="12066" spans="1:6" x14ac:dyDescent="0.25">
      <c r="A12066" t="str">
        <f>"006651367"</f>
        <v>006651367</v>
      </c>
      <c r="B12066" t="str">
        <f>"1689792640"</f>
        <v>1689792640</v>
      </c>
      <c r="C12066" t="str">
        <f>"122300000X"</f>
        <v>122300000X</v>
      </c>
      <c r="D12066" t="str">
        <f>"LITTLEJOHN               ROBERT       L           "</f>
        <v xml:space="preserve">LITTLEJOHN               ROBERT       L           </v>
      </c>
      <c r="E12066" t="str">
        <f>"GREENWOOD                 "</f>
        <v xml:space="preserve">GREENWOOD                 </v>
      </c>
      <c r="F12066" t="str">
        <f t="shared" si="319"/>
        <v>MS</v>
      </c>
    </row>
    <row r="12067" spans="1:6" x14ac:dyDescent="0.25">
      <c r="A12067" t="str">
        <f>"006653760"</f>
        <v>006653760</v>
      </c>
      <c r="B12067" t="str">
        <f>"1023287349"</f>
        <v>1023287349</v>
      </c>
      <c r="C12067" t="str">
        <f>"367500000X"</f>
        <v>367500000X</v>
      </c>
      <c r="D12067" t="str">
        <f>"PATANO                   LEAH                     "</f>
        <v xml:space="preserve">PATANO                   LEAH                     </v>
      </c>
      <c r="E12067" t="str">
        <f>"PASCAGOULA                "</f>
        <v xml:space="preserve">PASCAGOULA                </v>
      </c>
      <c r="F12067" t="str">
        <f t="shared" si="319"/>
        <v>MS</v>
      </c>
    </row>
    <row r="12068" spans="1:6" x14ac:dyDescent="0.25">
      <c r="A12068" t="str">
        <f>"006654277"</f>
        <v>006654277</v>
      </c>
      <c r="B12068" t="str">
        <f>"1295300085"</f>
        <v>1295300085</v>
      </c>
      <c r="C12068" t="str">
        <f>"208D00000X"</f>
        <v>208D00000X</v>
      </c>
      <c r="D12068" t="str">
        <f>"FULKS                    TAYLOR       N           "</f>
        <v xml:space="preserve">FULKS                    TAYLOR       N           </v>
      </c>
      <c r="E12068" t="str">
        <f>"HATTIESBURG               "</f>
        <v xml:space="preserve">HATTIESBURG               </v>
      </c>
      <c r="F12068" t="str">
        <f t="shared" si="319"/>
        <v>MS</v>
      </c>
    </row>
    <row r="12069" spans="1:6" x14ac:dyDescent="0.25">
      <c r="A12069" t="str">
        <f>"006655019"</f>
        <v>006655019</v>
      </c>
      <c r="B12069" t="str">
        <f>"1134733728"</f>
        <v>1134733728</v>
      </c>
      <c r="C12069" t="str">
        <f>"363L00000X"</f>
        <v>363L00000X</v>
      </c>
      <c r="D12069" t="str">
        <f>"DUBOSE                   COURTNEY                 "</f>
        <v xml:space="preserve">DUBOSE                   COURTNEY                 </v>
      </c>
      <c r="E12069" t="str">
        <f>"WAYNESBORO                "</f>
        <v xml:space="preserve">WAYNESBORO                </v>
      </c>
      <c r="F12069" t="str">
        <f t="shared" si="319"/>
        <v>MS</v>
      </c>
    </row>
    <row r="12070" spans="1:6" x14ac:dyDescent="0.25">
      <c r="A12070" t="str">
        <f>"006656855"</f>
        <v>006656855</v>
      </c>
      <c r="B12070" t="str">
        <f>"1265830541"</f>
        <v>1265830541</v>
      </c>
      <c r="C12070" t="str">
        <f>"363L00000X"</f>
        <v>363L00000X</v>
      </c>
      <c r="D12070" t="str">
        <f>"HOLMES                   KASIE        S           "</f>
        <v xml:space="preserve">HOLMES                   KASIE        S           </v>
      </c>
      <c r="E12070" t="str">
        <f>"BROOKHAVEN                "</f>
        <v xml:space="preserve">BROOKHAVEN                </v>
      </c>
      <c r="F12070" t="str">
        <f t="shared" si="319"/>
        <v>MS</v>
      </c>
    </row>
    <row r="12071" spans="1:6" x14ac:dyDescent="0.25">
      <c r="A12071" t="str">
        <f>"006657347"</f>
        <v>006657347</v>
      </c>
      <c r="B12071" t="str">
        <f>"1093287773"</f>
        <v>1093287773</v>
      </c>
      <c r="C12071" t="str">
        <f>"363L00000X"</f>
        <v>363L00000X</v>
      </c>
      <c r="D12071" t="str">
        <f>"SMITH HILBERT            KATHYRN      M           "</f>
        <v xml:space="preserve">SMITH HILBERT            KATHYRN      M           </v>
      </c>
      <c r="E12071" t="str">
        <f>"TUPELO                    "</f>
        <v xml:space="preserve">TUPELO                    </v>
      </c>
      <c r="F12071" t="str">
        <f t="shared" si="319"/>
        <v>MS</v>
      </c>
    </row>
    <row r="12072" spans="1:6" x14ac:dyDescent="0.25">
      <c r="A12072" t="str">
        <f>"006658202"</f>
        <v>006658202</v>
      </c>
      <c r="B12072" t="str">
        <f>"1154355428"</f>
        <v>1154355428</v>
      </c>
      <c r="C12072" t="str">
        <f>"363L00000X"</f>
        <v>363L00000X</v>
      </c>
      <c r="D12072" t="str">
        <f>"ATKINSON                 MICHELLE     S           "</f>
        <v xml:space="preserve">ATKINSON                 MICHELLE     S           </v>
      </c>
      <c r="E12072" t="str">
        <f>"CHOCTAW                   "</f>
        <v xml:space="preserve">CHOCTAW                   </v>
      </c>
      <c r="F12072" t="str">
        <f t="shared" si="319"/>
        <v>MS</v>
      </c>
    </row>
    <row r="12073" spans="1:6" x14ac:dyDescent="0.25">
      <c r="A12073" t="str">
        <f>"006658793"</f>
        <v>006658793</v>
      </c>
      <c r="B12073" t="str">
        <f>"1730796376"</f>
        <v>1730796376</v>
      </c>
      <c r="C12073" t="str">
        <f>"363L00000X"</f>
        <v>363L00000X</v>
      </c>
      <c r="D12073" t="str">
        <f>"MCFARLAND                MARLANA      L           "</f>
        <v xml:space="preserve">MCFARLAND                MARLANA      L           </v>
      </c>
      <c r="E12073" t="str">
        <f>"TUPELO                    "</f>
        <v xml:space="preserve">TUPELO                    </v>
      </c>
      <c r="F12073" t="str">
        <f t="shared" si="319"/>
        <v>MS</v>
      </c>
    </row>
    <row r="12074" spans="1:6" x14ac:dyDescent="0.25">
      <c r="A12074" t="str">
        <f>"006659073"</f>
        <v>006659073</v>
      </c>
      <c r="B12074" t="str">
        <f>"1891792586"</f>
        <v>1891792586</v>
      </c>
      <c r="C12074" t="str">
        <f>"208600000X"</f>
        <v>208600000X</v>
      </c>
      <c r="D12074" t="str">
        <f>"VALLETTE                 RICHARD      C           "</f>
        <v xml:space="preserve">VALLETTE                 RICHARD      C           </v>
      </c>
      <c r="E12074" t="str">
        <f>"COLUMBUS                  "</f>
        <v xml:space="preserve">COLUMBUS                  </v>
      </c>
      <c r="F12074" t="str">
        <f t="shared" si="319"/>
        <v>MS</v>
      </c>
    </row>
    <row r="12075" spans="1:6" x14ac:dyDescent="0.25">
      <c r="A12075" t="str">
        <f>"006670011"</f>
        <v>006670011</v>
      </c>
      <c r="B12075" t="str">
        <f>"1588623250"</f>
        <v>1588623250</v>
      </c>
      <c r="C12075" t="str">
        <f>"367500000X"</f>
        <v>367500000X</v>
      </c>
      <c r="D12075" t="str">
        <f>"JUNEAU                   JODY         P           "</f>
        <v xml:space="preserve">JUNEAU                   JODY         P           </v>
      </c>
      <c r="E12075" t="str">
        <f>"PASCAGOULA                "</f>
        <v xml:space="preserve">PASCAGOULA                </v>
      </c>
      <c r="F12075" t="str">
        <f t="shared" si="319"/>
        <v>MS</v>
      </c>
    </row>
    <row r="12076" spans="1:6" x14ac:dyDescent="0.25">
      <c r="A12076" t="str">
        <f>"006670725"</f>
        <v>006670725</v>
      </c>
      <c r="B12076" t="str">
        <f>"1417110982"</f>
        <v>1417110982</v>
      </c>
      <c r="C12076" t="str">
        <f>"207RG0100X"</f>
        <v>207RG0100X</v>
      </c>
      <c r="D12076" t="str">
        <f>"BOATRIGHT                BENJAMIN     T           "</f>
        <v xml:space="preserve">BOATRIGHT                BENJAMIN     T           </v>
      </c>
      <c r="E12076" t="str">
        <f>"AMORY                     "</f>
        <v xml:space="preserve">AMORY                     </v>
      </c>
      <c r="F12076" t="str">
        <f t="shared" si="319"/>
        <v>MS</v>
      </c>
    </row>
    <row r="12077" spans="1:6" x14ac:dyDescent="0.25">
      <c r="A12077" t="str">
        <f>"006670791"</f>
        <v>006670791</v>
      </c>
      <c r="B12077" t="str">
        <f>"1023307840"</f>
        <v>1023307840</v>
      </c>
      <c r="C12077" t="str">
        <f>"363L00000X"</f>
        <v>363L00000X</v>
      </c>
      <c r="D12077" t="str">
        <f>"APOSTOLIDIS              KIMBERLY     D           "</f>
        <v xml:space="preserve">APOSTOLIDIS              KIMBERLY     D           </v>
      </c>
      <c r="E12077" t="str">
        <f>"JACKSON                   "</f>
        <v xml:space="preserve">JACKSON                   </v>
      </c>
      <c r="F12077" t="str">
        <f t="shared" si="319"/>
        <v>MS</v>
      </c>
    </row>
    <row r="12078" spans="1:6" x14ac:dyDescent="0.25">
      <c r="A12078" t="str">
        <f>"006672579"</f>
        <v>006672579</v>
      </c>
      <c r="B12078" t="str">
        <f>"1245431493"</f>
        <v>1245431493</v>
      </c>
      <c r="C12078" t="str">
        <f>"363L00000X"</f>
        <v>363L00000X</v>
      </c>
      <c r="D12078" t="str">
        <f>"CRAFT                    BRANDON      J           "</f>
        <v xml:space="preserve">CRAFT                    BRANDON      J           </v>
      </c>
      <c r="E12078" t="str">
        <f>"MERIDIAN                  "</f>
        <v xml:space="preserve">MERIDIAN                  </v>
      </c>
      <c r="F12078" t="str">
        <f t="shared" si="319"/>
        <v>MS</v>
      </c>
    </row>
    <row r="12079" spans="1:6" x14ac:dyDescent="0.25">
      <c r="A12079" t="str">
        <f>"006673353"</f>
        <v>006673353</v>
      </c>
      <c r="B12079" t="str">
        <f>"1013951854"</f>
        <v>1013951854</v>
      </c>
      <c r="C12079" t="str">
        <f>"363L00000X"</f>
        <v>363L00000X</v>
      </c>
      <c r="D12079" t="str">
        <f>"LEE                      LYNDELL      S           "</f>
        <v xml:space="preserve">LEE                      LYNDELL      S           </v>
      </c>
      <c r="E12079" t="str">
        <f>"HATTIESBURG               "</f>
        <v xml:space="preserve">HATTIESBURG               </v>
      </c>
      <c r="F12079" t="str">
        <f t="shared" si="319"/>
        <v>MS</v>
      </c>
    </row>
    <row r="12080" spans="1:6" x14ac:dyDescent="0.25">
      <c r="A12080" t="str">
        <f>"006673726"</f>
        <v>006673726</v>
      </c>
      <c r="B12080" t="str">
        <f>"1518980051"</f>
        <v>1518980051</v>
      </c>
      <c r="C12080" t="str">
        <f>"152W00000X"</f>
        <v>152W00000X</v>
      </c>
      <c r="D12080" t="str">
        <f>"GRAY                     PHILLIP      A           "</f>
        <v xml:space="preserve">GRAY                     PHILLIP      A           </v>
      </c>
      <c r="E12080" t="str">
        <f>"IUKA                      "</f>
        <v xml:space="preserve">IUKA                      </v>
      </c>
      <c r="F12080" t="str">
        <f t="shared" si="319"/>
        <v>MS</v>
      </c>
    </row>
    <row r="12081" spans="1:6" x14ac:dyDescent="0.25">
      <c r="A12081" t="str">
        <f>"006676328"</f>
        <v>006676328</v>
      </c>
      <c r="B12081" t="str">
        <f>"1801298278"</f>
        <v>1801298278</v>
      </c>
      <c r="C12081" t="str">
        <f>"363L00000X"</f>
        <v>363L00000X</v>
      </c>
      <c r="D12081" t="str">
        <f>"MCLIN                    PHAEDRA      B           "</f>
        <v xml:space="preserve">MCLIN                    PHAEDRA      B           </v>
      </c>
      <c r="E12081" t="str">
        <f>"PURVIS                    "</f>
        <v xml:space="preserve">PURVIS                    </v>
      </c>
      <c r="F12081" t="str">
        <f t="shared" si="319"/>
        <v>MS</v>
      </c>
    </row>
    <row r="12082" spans="1:6" x14ac:dyDescent="0.25">
      <c r="A12082" t="str">
        <f>"006677512"</f>
        <v>006677512</v>
      </c>
      <c r="B12082" t="str">
        <f>"1689951774"</f>
        <v>1689951774</v>
      </c>
      <c r="C12082" t="str">
        <f>"363L00000X"</f>
        <v>363L00000X</v>
      </c>
      <c r="D12082" t="str">
        <f>"YORK                     ALICIA       B           "</f>
        <v xml:space="preserve">YORK                     ALICIA       B           </v>
      </c>
      <c r="E12082" t="str">
        <f>"SOUTHAVEN                 "</f>
        <v xml:space="preserve">SOUTHAVEN                 </v>
      </c>
      <c r="F12082" t="str">
        <f t="shared" si="319"/>
        <v>MS</v>
      </c>
    </row>
    <row r="12083" spans="1:6" x14ac:dyDescent="0.25">
      <c r="A12083" t="str">
        <f>"006677544"</f>
        <v>006677544</v>
      </c>
      <c r="B12083" t="str">
        <f>"1871752998"</f>
        <v>1871752998</v>
      </c>
      <c r="C12083" t="str">
        <f>"207ZP0105X"</f>
        <v>207ZP0105X</v>
      </c>
      <c r="D12083" t="str">
        <f>"CHASTAIN                 ELIZABETH    C           "</f>
        <v xml:space="preserve">CHASTAIN                 ELIZABETH    C           </v>
      </c>
      <c r="E12083" t="str">
        <f>"JACKSON                   "</f>
        <v xml:space="preserve">JACKSON                   </v>
      </c>
      <c r="F12083" t="str">
        <f t="shared" si="319"/>
        <v>MS</v>
      </c>
    </row>
    <row r="12084" spans="1:6" x14ac:dyDescent="0.25">
      <c r="A12084" t="str">
        <f>"006677594"</f>
        <v>006677594</v>
      </c>
      <c r="B12084" t="str">
        <f>"1770897522"</f>
        <v>1770897522</v>
      </c>
      <c r="C12084" t="str">
        <f>"207RC0200X"</f>
        <v>207RC0200X</v>
      </c>
      <c r="D12084" t="str">
        <f>"ERRICO                   MICHAEL      A           "</f>
        <v xml:space="preserve">ERRICO                   MICHAEL      A           </v>
      </c>
      <c r="E12084" t="str">
        <f>"PASCAGOULA                "</f>
        <v xml:space="preserve">PASCAGOULA                </v>
      </c>
      <c r="F12084" t="str">
        <f t="shared" si="319"/>
        <v>MS</v>
      </c>
    </row>
    <row r="12085" spans="1:6" x14ac:dyDescent="0.25">
      <c r="A12085" t="str">
        <f>"006678813"</f>
        <v>006678813</v>
      </c>
      <c r="B12085" t="str">
        <f>"1407109945"</f>
        <v>1407109945</v>
      </c>
      <c r="C12085" t="str">
        <f>"363L00000X"</f>
        <v>363L00000X</v>
      </c>
      <c r="D12085" t="str">
        <f>"BYRD                     LEA          A           "</f>
        <v xml:space="preserve">BYRD                     LEA          A           </v>
      </c>
      <c r="E12085" t="str">
        <f>"CLARKSDALE                "</f>
        <v xml:space="preserve">CLARKSDALE                </v>
      </c>
      <c r="F12085" t="str">
        <f t="shared" si="319"/>
        <v>MS</v>
      </c>
    </row>
    <row r="12086" spans="1:6" x14ac:dyDescent="0.25">
      <c r="A12086" t="str">
        <f>"006679856"</f>
        <v>006679856</v>
      </c>
      <c r="B12086" t="str">
        <f>"1073064820"</f>
        <v>1073064820</v>
      </c>
      <c r="C12086" t="str">
        <f>"363A00000X"</f>
        <v>363A00000X</v>
      </c>
      <c r="D12086" t="str">
        <f>"MINGA                    KATHLEEN     E           "</f>
        <v xml:space="preserve">MINGA                    KATHLEEN     E           </v>
      </c>
      <c r="E12086" t="str">
        <f>"NEW ALBANY                "</f>
        <v xml:space="preserve">NEW ALBANY                </v>
      </c>
      <c r="F12086" t="str">
        <f t="shared" si="319"/>
        <v>MS</v>
      </c>
    </row>
    <row r="12087" spans="1:6" x14ac:dyDescent="0.25">
      <c r="A12087" t="str">
        <f>"006680002"</f>
        <v>006680002</v>
      </c>
      <c r="B12087" t="str">
        <f>"1619205069"</f>
        <v>1619205069</v>
      </c>
      <c r="C12087" t="str">
        <f>"363L00000X"</f>
        <v>363L00000X</v>
      </c>
      <c r="D12087" t="str">
        <f>"MILEY                    SALLYE       A           "</f>
        <v xml:space="preserve">MILEY                    SALLYE       A           </v>
      </c>
      <c r="E12087" t="str">
        <f>"NEWTON                    "</f>
        <v xml:space="preserve">NEWTON                    </v>
      </c>
      <c r="F12087" t="str">
        <f t="shared" si="319"/>
        <v>MS</v>
      </c>
    </row>
    <row r="12088" spans="1:6" x14ac:dyDescent="0.25">
      <c r="A12088" t="str">
        <f>"006680046"</f>
        <v>006680046</v>
      </c>
      <c r="B12088" t="str">
        <f>"1740226976"</f>
        <v>1740226976</v>
      </c>
      <c r="C12088" t="str">
        <f>"261QF0400X"</f>
        <v>261QF0400X</v>
      </c>
      <c r="D12088" t="str">
        <f>"PERRY CENTRAL HIGH SCHOOL                         "</f>
        <v xml:space="preserve">PERRY CENTRAL HIGH SCHOOL                         </v>
      </c>
      <c r="E12088" t="str">
        <f>"NEW AUGUSTA               "</f>
        <v xml:space="preserve">NEW AUGUSTA               </v>
      </c>
      <c r="F12088" t="str">
        <f t="shared" si="319"/>
        <v>MS</v>
      </c>
    </row>
    <row r="12089" spans="1:6" x14ac:dyDescent="0.25">
      <c r="A12089" t="str">
        <f>"006680716"</f>
        <v>006680716</v>
      </c>
      <c r="B12089" t="str">
        <f>"1114481488"</f>
        <v>1114481488</v>
      </c>
      <c r="C12089" t="str">
        <f>"363L00000X"</f>
        <v>363L00000X</v>
      </c>
      <c r="D12089" t="str">
        <f>"FORE                     HANNAH                   "</f>
        <v xml:space="preserve">FORE                     HANNAH                   </v>
      </c>
      <c r="E12089" t="str">
        <f>"WIGGINS                   "</f>
        <v xml:space="preserve">WIGGINS                   </v>
      </c>
      <c r="F12089" t="str">
        <f t="shared" si="319"/>
        <v>MS</v>
      </c>
    </row>
    <row r="12090" spans="1:6" x14ac:dyDescent="0.25">
      <c r="A12090" t="str">
        <f>"006681525"</f>
        <v>006681525</v>
      </c>
      <c r="B12090" t="str">
        <f>"1992368799"</f>
        <v>1992368799</v>
      </c>
      <c r="C12090" t="str">
        <f>"363L00000X"</f>
        <v>363L00000X</v>
      </c>
      <c r="D12090" t="str">
        <f>"JONES                    KACEY                    "</f>
        <v xml:space="preserve">JONES                    KACEY                    </v>
      </c>
      <c r="E12090" t="str">
        <f>"FOREST                    "</f>
        <v xml:space="preserve">FOREST                    </v>
      </c>
      <c r="F12090" t="str">
        <f t="shared" si="319"/>
        <v>MS</v>
      </c>
    </row>
    <row r="12091" spans="1:6" x14ac:dyDescent="0.25">
      <c r="A12091" t="str">
        <f>"006681838"</f>
        <v>006681838</v>
      </c>
      <c r="B12091" t="str">
        <f>"1528475217"</f>
        <v>1528475217</v>
      </c>
      <c r="C12091" t="str">
        <f>"363L00000X"</f>
        <v>363L00000X</v>
      </c>
      <c r="D12091" t="str">
        <f>"LILLEY                   YOSHIE       S           "</f>
        <v xml:space="preserve">LILLEY                   YOSHIE       S           </v>
      </c>
      <c r="E12091" t="str">
        <f>"ACKERMAN                  "</f>
        <v xml:space="preserve">ACKERMAN                  </v>
      </c>
      <c r="F12091" t="str">
        <f t="shared" si="319"/>
        <v>MS</v>
      </c>
    </row>
    <row r="12092" spans="1:6" x14ac:dyDescent="0.25">
      <c r="A12092" t="str">
        <f>"006681860"</f>
        <v>006681860</v>
      </c>
      <c r="B12092" t="str">
        <f>"1871992818"</f>
        <v>1871992818</v>
      </c>
      <c r="C12092" t="str">
        <f>"363L00000X"</f>
        <v>363L00000X</v>
      </c>
      <c r="D12092" t="str">
        <f>"WEST                     NATASHA      Y           "</f>
        <v xml:space="preserve">WEST                     NATASHA      Y           </v>
      </c>
      <c r="E12092" t="str">
        <f>"VICKSBURG                 "</f>
        <v xml:space="preserve">VICKSBURG                 </v>
      </c>
      <c r="F12092" t="str">
        <f t="shared" si="319"/>
        <v>MS</v>
      </c>
    </row>
    <row r="12093" spans="1:6" x14ac:dyDescent="0.25">
      <c r="A12093" t="str">
        <f>"006682203"</f>
        <v>006682203</v>
      </c>
      <c r="B12093" t="str">
        <f>"1710593462"</f>
        <v>1710593462</v>
      </c>
      <c r="C12093" t="str">
        <f>"363L00000X"</f>
        <v>363L00000X</v>
      </c>
      <c r="D12093" t="str">
        <f>"CLARK                    SAMANTHA                 "</f>
        <v xml:space="preserve">CLARK                    SAMANTHA                 </v>
      </c>
      <c r="E12093" t="str">
        <f>"OXFORD                    "</f>
        <v xml:space="preserve">OXFORD                    </v>
      </c>
      <c r="F12093" t="str">
        <f t="shared" si="319"/>
        <v>MS</v>
      </c>
    </row>
    <row r="12094" spans="1:6" x14ac:dyDescent="0.25">
      <c r="A12094" t="str">
        <f>"006682557"</f>
        <v>006682557</v>
      </c>
      <c r="B12094" t="str">
        <f>"1336308287"</f>
        <v>1336308287</v>
      </c>
      <c r="C12094" t="str">
        <f>"207T00000X"</f>
        <v>207T00000X</v>
      </c>
      <c r="D12094" t="str">
        <f>"MARKS                    JARED                    "</f>
        <v xml:space="preserve">MARKS                    JARED                    </v>
      </c>
      <c r="E12094" t="str">
        <f>"JACKSON                   "</f>
        <v xml:space="preserve">JACKSON                   </v>
      </c>
      <c r="F12094" t="str">
        <f t="shared" ref="F12094:F12157" si="320">"MS"</f>
        <v>MS</v>
      </c>
    </row>
    <row r="12095" spans="1:6" x14ac:dyDescent="0.25">
      <c r="A12095" t="str">
        <f>"006684078"</f>
        <v>006684078</v>
      </c>
      <c r="B12095" t="str">
        <f>"1700975984"</f>
        <v>1700975984</v>
      </c>
      <c r="C12095" t="str">
        <f>"2084P0800X"</f>
        <v>2084P0800X</v>
      </c>
      <c r="D12095" t="str">
        <f>"TINGLE                   CAROLYN      V           "</f>
        <v xml:space="preserve">TINGLE                   CAROLYN      V           </v>
      </c>
      <c r="E12095" t="str">
        <f>"GREENWOOD                 "</f>
        <v xml:space="preserve">GREENWOOD                 </v>
      </c>
      <c r="F12095" t="str">
        <f t="shared" si="320"/>
        <v>MS</v>
      </c>
    </row>
    <row r="12096" spans="1:6" x14ac:dyDescent="0.25">
      <c r="A12096" t="str">
        <f>"006684275"</f>
        <v>006684275</v>
      </c>
      <c r="B12096" t="str">
        <f>"1457386435"</f>
        <v>1457386435</v>
      </c>
      <c r="C12096" t="str">
        <f>"207L00000X"</f>
        <v>207L00000X</v>
      </c>
      <c r="D12096" t="str">
        <f>"CURLING                  PATRICK      E           "</f>
        <v xml:space="preserve">CURLING                  PATRICK      E           </v>
      </c>
      <c r="E12096" t="str">
        <f>"JACKSON                   "</f>
        <v xml:space="preserve">JACKSON                   </v>
      </c>
      <c r="F12096" t="str">
        <f t="shared" si="320"/>
        <v>MS</v>
      </c>
    </row>
    <row r="12097" spans="1:6" x14ac:dyDescent="0.25">
      <c r="A12097" t="str">
        <f>"006685060"</f>
        <v>006685060</v>
      </c>
      <c r="B12097" t="str">
        <f>"1730340563"</f>
        <v>1730340563</v>
      </c>
      <c r="C12097" t="str">
        <f>"363L00000X"</f>
        <v>363L00000X</v>
      </c>
      <c r="D12097" t="str">
        <f>"BOOKER                   KAYTI        A           "</f>
        <v xml:space="preserve">BOOKER                   KAYTI        A           </v>
      </c>
      <c r="E12097" t="str">
        <f>"SEBASTOPOL                "</f>
        <v xml:space="preserve">SEBASTOPOL                </v>
      </c>
      <c r="F12097" t="str">
        <f t="shared" si="320"/>
        <v>MS</v>
      </c>
    </row>
    <row r="12098" spans="1:6" x14ac:dyDescent="0.25">
      <c r="A12098" t="str">
        <f>"006686745"</f>
        <v>006686745</v>
      </c>
      <c r="B12098" t="str">
        <f>"1043521842"</f>
        <v>1043521842</v>
      </c>
      <c r="C12098" t="str">
        <f>"363L00000X"</f>
        <v>363L00000X</v>
      </c>
      <c r="D12098" t="str">
        <f>"LITTLEJOHN               NAKIA        R           "</f>
        <v xml:space="preserve">LITTLEJOHN               NAKIA        R           </v>
      </c>
      <c r="E12098" t="str">
        <f>"GULFPORT                  "</f>
        <v xml:space="preserve">GULFPORT                  </v>
      </c>
      <c r="F12098" t="str">
        <f t="shared" si="320"/>
        <v>MS</v>
      </c>
    </row>
    <row r="12099" spans="1:6" x14ac:dyDescent="0.25">
      <c r="A12099" t="str">
        <f>"006688263"</f>
        <v>006688263</v>
      </c>
      <c r="B12099" t="str">
        <f>"1124247341"</f>
        <v>1124247341</v>
      </c>
      <c r="C12099" t="str">
        <f>"207RR0500X"</f>
        <v>207RR0500X</v>
      </c>
      <c r="D12099" t="str">
        <f>"CARROLL                  MATTHEW                  "</f>
        <v xml:space="preserve">CARROLL                  MATTHEW                  </v>
      </c>
      <c r="E12099" t="str">
        <f>"OCEAN SPRINGS             "</f>
        <v xml:space="preserve">OCEAN SPRINGS             </v>
      </c>
      <c r="F12099" t="str">
        <f t="shared" si="320"/>
        <v>MS</v>
      </c>
    </row>
    <row r="12100" spans="1:6" x14ac:dyDescent="0.25">
      <c r="A12100" t="str">
        <f>"006688734"</f>
        <v>006688734</v>
      </c>
      <c r="B12100" t="str">
        <f>"1194468579"</f>
        <v>1194468579</v>
      </c>
      <c r="C12100" t="str">
        <f>"207V00000X"</f>
        <v>207V00000X</v>
      </c>
      <c r="D12100" t="str">
        <f>"CARTER                   ELLEN        B           "</f>
        <v xml:space="preserve">CARTER                   ELLEN        B           </v>
      </c>
      <c r="E12100" t="str">
        <f>"JACKSON                   "</f>
        <v xml:space="preserve">JACKSON                   </v>
      </c>
      <c r="F12100" t="str">
        <f t="shared" si="320"/>
        <v>MS</v>
      </c>
    </row>
    <row r="12101" spans="1:6" x14ac:dyDescent="0.25">
      <c r="A12101" t="str">
        <f>"006689590"</f>
        <v>006689590</v>
      </c>
      <c r="B12101" t="str">
        <f>"1740500214"</f>
        <v>1740500214</v>
      </c>
      <c r="C12101" t="str">
        <f>"363L00000X"</f>
        <v>363L00000X</v>
      </c>
      <c r="D12101" t="str">
        <f>"LITTERER                 RACHEL       E           "</f>
        <v xml:space="preserve">LITTERER                 RACHEL       E           </v>
      </c>
      <c r="E12101" t="str">
        <f>"ROBINSONVILLE             "</f>
        <v xml:space="preserve">ROBINSONVILLE             </v>
      </c>
      <c r="F12101" t="str">
        <f t="shared" si="320"/>
        <v>MS</v>
      </c>
    </row>
    <row r="12102" spans="1:6" x14ac:dyDescent="0.25">
      <c r="A12102" t="str">
        <f>"006700086"</f>
        <v>006700086</v>
      </c>
      <c r="B12102" t="str">
        <f>"1356749691"</f>
        <v>1356749691</v>
      </c>
      <c r="C12102" t="str">
        <f>"363L00000X"</f>
        <v>363L00000X</v>
      </c>
      <c r="D12102" t="str">
        <f>"OLSON                    BRITTANY                 "</f>
        <v xml:space="preserve">OLSON                    BRITTANY                 </v>
      </c>
      <c r="E12102" t="str">
        <f>"LONG BEACH                "</f>
        <v xml:space="preserve">LONG BEACH                </v>
      </c>
      <c r="F12102" t="str">
        <f t="shared" si="320"/>
        <v>MS</v>
      </c>
    </row>
    <row r="12103" spans="1:6" x14ac:dyDescent="0.25">
      <c r="A12103" t="str">
        <f>"006700861"</f>
        <v>006700861</v>
      </c>
      <c r="B12103" t="str">
        <f>"1619377199"</f>
        <v>1619377199</v>
      </c>
      <c r="C12103" t="str">
        <f>"363L00000X"</f>
        <v>363L00000X</v>
      </c>
      <c r="D12103" t="str">
        <f>"DAVIS                    TIMOTHY      G           "</f>
        <v xml:space="preserve">DAVIS                    TIMOTHY      G           </v>
      </c>
      <c r="E12103" t="str">
        <f>"HERNANDO                  "</f>
        <v xml:space="preserve">HERNANDO                  </v>
      </c>
      <c r="F12103" t="str">
        <f t="shared" si="320"/>
        <v>MS</v>
      </c>
    </row>
    <row r="12104" spans="1:6" x14ac:dyDescent="0.25">
      <c r="A12104" t="str">
        <f>"006701213"</f>
        <v>006701213</v>
      </c>
      <c r="B12104" t="str">
        <f>"1386703171"</f>
        <v>1386703171</v>
      </c>
      <c r="C12104" t="str">
        <f>"363L00000X"</f>
        <v>363L00000X</v>
      </c>
      <c r="D12104" t="str">
        <f>"PACE                     ROLANDA      T           "</f>
        <v xml:space="preserve">PACE                     ROLANDA      T           </v>
      </c>
      <c r="E12104" t="str">
        <f>"MERIDIAN                  "</f>
        <v xml:space="preserve">MERIDIAN                  </v>
      </c>
      <c r="F12104" t="str">
        <f t="shared" si="320"/>
        <v>MS</v>
      </c>
    </row>
    <row r="12105" spans="1:6" x14ac:dyDescent="0.25">
      <c r="A12105" t="str">
        <f>"006701368"</f>
        <v>006701368</v>
      </c>
      <c r="B12105" t="str">
        <f>"1699197574"</f>
        <v>1699197574</v>
      </c>
      <c r="C12105" t="str">
        <f>"122300000X"</f>
        <v>122300000X</v>
      </c>
      <c r="D12105" t="str">
        <f>"THE PEDIATRIC DENTAL STUDIO                       "</f>
        <v xml:space="preserve">THE PEDIATRIC DENTAL STUDIO                       </v>
      </c>
      <c r="E12105" t="str">
        <f>"PEARL                     "</f>
        <v xml:space="preserve">PEARL                     </v>
      </c>
      <c r="F12105" t="str">
        <f t="shared" si="320"/>
        <v>MS</v>
      </c>
    </row>
    <row r="12106" spans="1:6" x14ac:dyDescent="0.25">
      <c r="A12106" t="str">
        <f>"006702298"</f>
        <v>006702298</v>
      </c>
      <c r="B12106" t="str">
        <f>"1326402066"</f>
        <v>1326402066</v>
      </c>
      <c r="C12106" t="str">
        <f>"207RN0300X"</f>
        <v>207RN0300X</v>
      </c>
      <c r="D12106" t="str">
        <f>"WASHINGTON               JASMINE      T           "</f>
        <v xml:space="preserve">WASHINGTON               JASMINE      T           </v>
      </c>
      <c r="E12106" t="str">
        <f>"HATTIESBURG               "</f>
        <v xml:space="preserve">HATTIESBURG               </v>
      </c>
      <c r="F12106" t="str">
        <f t="shared" si="320"/>
        <v>MS</v>
      </c>
    </row>
    <row r="12107" spans="1:6" x14ac:dyDescent="0.25">
      <c r="A12107" t="str">
        <f>"006704091"</f>
        <v>006704091</v>
      </c>
      <c r="B12107" t="str">
        <f>"1548785850"</f>
        <v>1548785850</v>
      </c>
      <c r="C12107" t="str">
        <f>"363A00000X"</f>
        <v>363A00000X</v>
      </c>
      <c r="D12107" t="str">
        <f>"BAUCUM                   MADELYN      A           "</f>
        <v xml:space="preserve">BAUCUM                   MADELYN      A           </v>
      </c>
      <c r="E12107" t="str">
        <f>"LAUREL                    "</f>
        <v xml:space="preserve">LAUREL                    </v>
      </c>
      <c r="F12107" t="str">
        <f t="shared" si="320"/>
        <v>MS</v>
      </c>
    </row>
    <row r="12108" spans="1:6" x14ac:dyDescent="0.25">
      <c r="A12108" t="str">
        <f>"006704215"</f>
        <v>006704215</v>
      </c>
      <c r="B12108" t="str">
        <f>"1881884872"</f>
        <v>1881884872</v>
      </c>
      <c r="C12108" t="str">
        <f>"152W00000X"</f>
        <v>152W00000X</v>
      </c>
      <c r="D12108" t="str">
        <f>"PHILLIPS                 MICHAEL      J           "</f>
        <v xml:space="preserve">PHILLIPS                 MICHAEL      J           </v>
      </c>
      <c r="E12108" t="str">
        <f>"RIDGELAND                 "</f>
        <v xml:space="preserve">RIDGELAND                 </v>
      </c>
      <c r="F12108" t="str">
        <f t="shared" si="320"/>
        <v>MS</v>
      </c>
    </row>
    <row r="12109" spans="1:6" x14ac:dyDescent="0.25">
      <c r="A12109" t="str">
        <f>"006705340"</f>
        <v>006705340</v>
      </c>
      <c r="B12109" t="str">
        <f>"1023527017"</f>
        <v>1023527017</v>
      </c>
      <c r="C12109" t="str">
        <f>"363L00000X"</f>
        <v>363L00000X</v>
      </c>
      <c r="D12109" t="str">
        <f>"WATERS SHIELDS           KATHERINE                "</f>
        <v xml:space="preserve">WATERS SHIELDS           KATHERINE                </v>
      </c>
      <c r="E12109" t="str">
        <f>"OXFORD                    "</f>
        <v xml:space="preserve">OXFORD                    </v>
      </c>
      <c r="F12109" t="str">
        <f t="shared" si="320"/>
        <v>MS</v>
      </c>
    </row>
    <row r="12110" spans="1:6" x14ac:dyDescent="0.25">
      <c r="A12110" t="str">
        <f>"006706775"</f>
        <v>006706775</v>
      </c>
      <c r="B12110" t="str">
        <f>"1477191021"</f>
        <v>1477191021</v>
      </c>
      <c r="C12110" t="str">
        <f>"1223X0400X"</f>
        <v>1223X0400X</v>
      </c>
      <c r="D12110" t="str">
        <f>"WHITE                    SPENCER      T           "</f>
        <v xml:space="preserve">WHITE                    SPENCER      T           </v>
      </c>
      <c r="E12110" t="str">
        <f>"GREENWOOD                 "</f>
        <v xml:space="preserve">GREENWOOD                 </v>
      </c>
      <c r="F12110" t="str">
        <f t="shared" si="320"/>
        <v>MS</v>
      </c>
    </row>
    <row r="12111" spans="1:6" x14ac:dyDescent="0.25">
      <c r="A12111" t="str">
        <f>"006707899"</f>
        <v>006707899</v>
      </c>
      <c r="B12111" t="str">
        <f>"1699099911"</f>
        <v>1699099911</v>
      </c>
      <c r="C12111" t="str">
        <f>"363L00000X"</f>
        <v>363L00000X</v>
      </c>
      <c r="D12111" t="str">
        <f>"KING                     MICHAEL      D           "</f>
        <v xml:space="preserve">KING                     MICHAEL      D           </v>
      </c>
      <c r="E12111" t="str">
        <f>"OXFORD                    "</f>
        <v xml:space="preserve">OXFORD                    </v>
      </c>
      <c r="F12111" t="str">
        <f t="shared" si="320"/>
        <v>MS</v>
      </c>
    </row>
    <row r="12112" spans="1:6" x14ac:dyDescent="0.25">
      <c r="A12112" t="str">
        <f>"006708221"</f>
        <v>006708221</v>
      </c>
      <c r="B12112" t="str">
        <f>"1023290012"</f>
        <v>1023290012</v>
      </c>
      <c r="C12112" t="str">
        <f>"122300000X"</f>
        <v>122300000X</v>
      </c>
      <c r="D12112" t="str">
        <f>"MISSISSIPPI DENTISTRY FOR CHILDREN                "</f>
        <v xml:space="preserve">MISSISSIPPI DENTISTRY FOR CHILDREN                </v>
      </c>
      <c r="E12112" t="str">
        <f>"MCCOMB                    "</f>
        <v xml:space="preserve">MCCOMB                    </v>
      </c>
      <c r="F12112" t="str">
        <f t="shared" si="320"/>
        <v>MS</v>
      </c>
    </row>
    <row r="12113" spans="1:6" x14ac:dyDescent="0.25">
      <c r="A12113" t="str">
        <f>"006709263"</f>
        <v>006709263</v>
      </c>
      <c r="B12113" t="str">
        <f>"1053486860"</f>
        <v>1053486860</v>
      </c>
      <c r="C12113" t="str">
        <f>"208000000X"</f>
        <v>208000000X</v>
      </c>
      <c r="D12113" t="str">
        <f>"ULMER                    APRIL        L           "</f>
        <v xml:space="preserve">ULMER                    APRIL        L           </v>
      </c>
      <c r="E12113" t="str">
        <f>"GULFPORT                  "</f>
        <v xml:space="preserve">GULFPORT                  </v>
      </c>
      <c r="F12113" t="str">
        <f t="shared" si="320"/>
        <v>MS</v>
      </c>
    </row>
    <row r="12114" spans="1:6" x14ac:dyDescent="0.25">
      <c r="A12114" t="str">
        <f>"006720290"</f>
        <v>006720290</v>
      </c>
      <c r="B12114" t="str">
        <f>"1104237007"</f>
        <v>1104237007</v>
      </c>
      <c r="C12114" t="str">
        <f>"207RI0011X"</f>
        <v>207RI0011X</v>
      </c>
      <c r="D12114" t="str">
        <f>"WHITE                    JEREMY       S           "</f>
        <v xml:space="preserve">WHITE                    JEREMY       S           </v>
      </c>
      <c r="E12114" t="str">
        <f>"JACKSON                   "</f>
        <v xml:space="preserve">JACKSON                   </v>
      </c>
      <c r="F12114" t="str">
        <f t="shared" si="320"/>
        <v>MS</v>
      </c>
    </row>
    <row r="12115" spans="1:6" x14ac:dyDescent="0.25">
      <c r="A12115" t="str">
        <f>"006724030"</f>
        <v>006724030</v>
      </c>
      <c r="B12115" t="str">
        <f>"1588168132"</f>
        <v>1588168132</v>
      </c>
      <c r="C12115" t="str">
        <f>"207R00000X"</f>
        <v>207R00000X</v>
      </c>
      <c r="D12115" t="str">
        <f>"ZUMBRO                   CALEB        E           "</f>
        <v xml:space="preserve">ZUMBRO                   CALEB        E           </v>
      </c>
      <c r="E12115" t="str">
        <f>"JACKSON                   "</f>
        <v xml:space="preserve">JACKSON                   </v>
      </c>
      <c r="F12115" t="str">
        <f t="shared" si="320"/>
        <v>MS</v>
      </c>
    </row>
    <row r="12116" spans="1:6" x14ac:dyDescent="0.25">
      <c r="A12116" t="str">
        <f>"006724502"</f>
        <v>006724502</v>
      </c>
      <c r="B12116" t="str">
        <f>"1407858541"</f>
        <v>1407858541</v>
      </c>
      <c r="C12116" t="str">
        <f>"207RC0000X"</f>
        <v>207RC0000X</v>
      </c>
      <c r="D12116" t="str">
        <f>"JORANSEN                 RANDALL      S           "</f>
        <v xml:space="preserve">JORANSEN                 RANDALL      S           </v>
      </c>
      <c r="E12116" t="str">
        <f>"MERIDIAN                  "</f>
        <v xml:space="preserve">MERIDIAN                  </v>
      </c>
      <c r="F12116" t="str">
        <f t="shared" si="320"/>
        <v>MS</v>
      </c>
    </row>
    <row r="12117" spans="1:6" x14ac:dyDescent="0.25">
      <c r="A12117" t="str">
        <f>"006725307"</f>
        <v>006725307</v>
      </c>
      <c r="B12117" t="str">
        <f>"1275186850"</f>
        <v>1275186850</v>
      </c>
      <c r="C12117" t="str">
        <f>"363L00000X"</f>
        <v>363L00000X</v>
      </c>
      <c r="D12117" t="str">
        <f>"NEWSOME                  ERIKA        L           "</f>
        <v xml:space="preserve">NEWSOME                  ERIKA        L           </v>
      </c>
      <c r="E12117" t="str">
        <f>"HATTIESBURG               "</f>
        <v xml:space="preserve">HATTIESBURG               </v>
      </c>
      <c r="F12117" t="str">
        <f t="shared" si="320"/>
        <v>MS</v>
      </c>
    </row>
    <row r="12118" spans="1:6" x14ac:dyDescent="0.25">
      <c r="A12118" t="str">
        <f>"006725319"</f>
        <v>006725319</v>
      </c>
      <c r="B12118" t="str">
        <f>"1912294224"</f>
        <v>1912294224</v>
      </c>
      <c r="C12118" t="str">
        <f>"207Q00000X"</f>
        <v>207Q00000X</v>
      </c>
      <c r="D12118" t="str">
        <f>"ANDERSON                 SARAH                    "</f>
        <v xml:space="preserve">ANDERSON                 SARAH                    </v>
      </c>
      <c r="E12118" t="str">
        <f>"MERIDIAN                  "</f>
        <v xml:space="preserve">MERIDIAN                  </v>
      </c>
      <c r="F12118" t="str">
        <f t="shared" si="320"/>
        <v>MS</v>
      </c>
    </row>
    <row r="12119" spans="1:6" x14ac:dyDescent="0.25">
      <c r="A12119" t="str">
        <f>"006727260"</f>
        <v>006727260</v>
      </c>
      <c r="B12119" t="str">
        <f>"1760723779"</f>
        <v>1760723779</v>
      </c>
      <c r="C12119" t="str">
        <f>"363L00000X"</f>
        <v>363L00000X</v>
      </c>
      <c r="D12119" t="str">
        <f>"MASSEY                   KAYLA        S           "</f>
        <v xml:space="preserve">MASSEY                   KAYLA        S           </v>
      </c>
      <c r="E12119" t="str">
        <f>"SENATOBIA                 "</f>
        <v xml:space="preserve">SENATOBIA                 </v>
      </c>
      <c r="F12119" t="str">
        <f t="shared" si="320"/>
        <v>MS</v>
      </c>
    </row>
    <row r="12120" spans="1:6" x14ac:dyDescent="0.25">
      <c r="A12120" t="str">
        <f>"006727269"</f>
        <v>006727269</v>
      </c>
      <c r="B12120" t="str">
        <f>"1487960159"</f>
        <v>1487960159</v>
      </c>
      <c r="C12120" t="str">
        <f>"363L00000X"</f>
        <v>363L00000X</v>
      </c>
      <c r="D12120" t="str">
        <f>"THORNHILL                CHRISTY      J           "</f>
        <v xml:space="preserve">THORNHILL                CHRISTY      J           </v>
      </c>
      <c r="E12120" t="str">
        <f>"SOUTHAVEN                 "</f>
        <v xml:space="preserve">SOUTHAVEN                 </v>
      </c>
      <c r="F12120" t="str">
        <f t="shared" si="320"/>
        <v>MS</v>
      </c>
    </row>
    <row r="12121" spans="1:6" x14ac:dyDescent="0.25">
      <c r="A12121" t="str">
        <f>"006727558"</f>
        <v>006727558</v>
      </c>
      <c r="B12121" t="str">
        <f>"1275961393"</f>
        <v>1275961393</v>
      </c>
      <c r="C12121" t="str">
        <f>"261QA0600X"</f>
        <v>261QA0600X</v>
      </c>
      <c r="D12121" t="str">
        <f>"OURTIME ADULT DAY CARE SERVICES                   "</f>
        <v xml:space="preserve">OURTIME ADULT DAY CARE SERVICES                   </v>
      </c>
      <c r="E12121" t="str">
        <f>"JACKSON                   "</f>
        <v xml:space="preserve">JACKSON                   </v>
      </c>
      <c r="F12121" t="str">
        <f t="shared" si="320"/>
        <v>MS</v>
      </c>
    </row>
    <row r="12122" spans="1:6" x14ac:dyDescent="0.25">
      <c r="A12122" t="str">
        <f>"006728279"</f>
        <v>006728279</v>
      </c>
      <c r="B12122" t="str">
        <f>"1407336423"</f>
        <v>1407336423</v>
      </c>
      <c r="C12122" t="str">
        <f>"363L00000X"</f>
        <v>363L00000X</v>
      </c>
      <c r="D12122" t="str">
        <f>"TINSON                   KELLY        L           "</f>
        <v xml:space="preserve">TINSON                   KELLY        L           </v>
      </c>
      <c r="E12122" t="str">
        <f>"GULFPORT                  "</f>
        <v xml:space="preserve">GULFPORT                  </v>
      </c>
      <c r="F12122" t="str">
        <f t="shared" si="320"/>
        <v>MS</v>
      </c>
    </row>
    <row r="12123" spans="1:6" x14ac:dyDescent="0.25">
      <c r="A12123" t="str">
        <f>"006728529"</f>
        <v>006728529</v>
      </c>
      <c r="B12123" t="str">
        <f>"1487148987"</f>
        <v>1487148987</v>
      </c>
      <c r="C12123" t="str">
        <f>"207P00000X"</f>
        <v>207P00000X</v>
      </c>
      <c r="D12123" t="str">
        <f>"ALKOFAHI                 ALA                      "</f>
        <v xml:space="preserve">ALKOFAHI                 ALA                      </v>
      </c>
      <c r="E12123" t="str">
        <f>"OXFORD                    "</f>
        <v xml:space="preserve">OXFORD                    </v>
      </c>
      <c r="F12123" t="str">
        <f t="shared" si="320"/>
        <v>MS</v>
      </c>
    </row>
    <row r="12124" spans="1:6" x14ac:dyDescent="0.25">
      <c r="A12124" t="str">
        <f>"006729302"</f>
        <v>006729302</v>
      </c>
      <c r="B12124" t="str">
        <f>"1760047906"</f>
        <v>1760047906</v>
      </c>
      <c r="C12124" t="str">
        <f>"207Q00000X"</f>
        <v>207Q00000X</v>
      </c>
      <c r="D12124" t="str">
        <f>"AL-WADEI                 MOHAMMED     H           "</f>
        <v xml:space="preserve">AL-WADEI                 MOHAMMED     H           </v>
      </c>
      <c r="E12124" t="str">
        <f>"SOUTHAVEN                 "</f>
        <v xml:space="preserve">SOUTHAVEN                 </v>
      </c>
      <c r="F12124" t="str">
        <f t="shared" si="320"/>
        <v>MS</v>
      </c>
    </row>
    <row r="12125" spans="1:6" x14ac:dyDescent="0.25">
      <c r="A12125" t="str">
        <f>"006730519"</f>
        <v>006730519</v>
      </c>
      <c r="B12125" t="str">
        <f>"1932397908"</f>
        <v>1932397908</v>
      </c>
      <c r="C12125" t="str">
        <f>"363L00000X"</f>
        <v>363L00000X</v>
      </c>
      <c r="D12125" t="str">
        <f>"WINTER                   VANESSA      E           "</f>
        <v xml:space="preserve">WINTER                   VANESSA      E           </v>
      </c>
      <c r="E12125" t="str">
        <f>"TUPELO                    "</f>
        <v xml:space="preserve">TUPELO                    </v>
      </c>
      <c r="F12125" t="str">
        <f t="shared" si="320"/>
        <v>MS</v>
      </c>
    </row>
    <row r="12126" spans="1:6" x14ac:dyDescent="0.25">
      <c r="A12126" t="str">
        <f>"006731701"</f>
        <v>006731701</v>
      </c>
      <c r="B12126" t="str">
        <f>"1548491673"</f>
        <v>1548491673</v>
      </c>
      <c r="C12126" t="str">
        <f>"207R00000X"</f>
        <v>207R00000X</v>
      </c>
      <c r="D12126" t="str">
        <f>"JAMPANA                  SRINIVASA    V           "</f>
        <v xml:space="preserve">JAMPANA                  SRINIVASA    V           </v>
      </c>
      <c r="E12126" t="str">
        <f>"SOUTHAVEN                 "</f>
        <v xml:space="preserve">SOUTHAVEN                 </v>
      </c>
      <c r="F12126" t="str">
        <f t="shared" si="320"/>
        <v>MS</v>
      </c>
    </row>
    <row r="12127" spans="1:6" x14ac:dyDescent="0.25">
      <c r="A12127" t="str">
        <f>"006732570"</f>
        <v>006732570</v>
      </c>
      <c r="B12127" t="str">
        <f>"1326052119"</f>
        <v>1326052119</v>
      </c>
      <c r="C12127" t="str">
        <f>"207V00000X"</f>
        <v>207V00000X</v>
      </c>
      <c r="D12127" t="str">
        <f>"HOOD                     WILLIAM      A           "</f>
        <v xml:space="preserve">HOOD                     WILLIAM      A           </v>
      </c>
      <c r="E12127" t="str">
        <f>"FLOWOOD                   "</f>
        <v xml:space="preserve">FLOWOOD                   </v>
      </c>
      <c r="F12127" t="str">
        <f t="shared" si="320"/>
        <v>MS</v>
      </c>
    </row>
    <row r="12128" spans="1:6" x14ac:dyDescent="0.25">
      <c r="A12128" t="str">
        <f>"006732581"</f>
        <v>006732581</v>
      </c>
      <c r="B12128" t="str">
        <f>"1477069037"</f>
        <v>1477069037</v>
      </c>
      <c r="C12128" t="str">
        <f>"261QM0801X"</f>
        <v>261QM0801X</v>
      </c>
      <c r="D12128" t="str">
        <f>"SOUTHERN CHRISTIAN SERVICES FOR CHI               "</f>
        <v xml:space="preserve">SOUTHERN CHRISTIAN SERVICES FOR CHI               </v>
      </c>
      <c r="E12128" t="str">
        <f>"JACKSON                   "</f>
        <v xml:space="preserve">JACKSON                   </v>
      </c>
      <c r="F12128" t="str">
        <f t="shared" si="320"/>
        <v>MS</v>
      </c>
    </row>
    <row r="12129" spans="1:6" x14ac:dyDescent="0.25">
      <c r="A12129" t="str">
        <f>"006733004"</f>
        <v>006733004</v>
      </c>
      <c r="B12129" t="str">
        <f>"1154961340"</f>
        <v>1154961340</v>
      </c>
      <c r="C12129" t="str">
        <f>"367500000X"</f>
        <v>367500000X</v>
      </c>
      <c r="D12129" t="str">
        <f>"MILEY                    WILLIAM      B           "</f>
        <v xml:space="preserve">MILEY                    WILLIAM      B           </v>
      </c>
      <c r="E12129" t="str">
        <f>"JACKSON                   "</f>
        <v xml:space="preserve">JACKSON                   </v>
      </c>
      <c r="F12129" t="str">
        <f t="shared" si="320"/>
        <v>MS</v>
      </c>
    </row>
    <row r="12130" spans="1:6" x14ac:dyDescent="0.25">
      <c r="A12130" t="str">
        <f>"006733780"</f>
        <v>006733780</v>
      </c>
      <c r="B12130" t="str">
        <f>"1720092331"</f>
        <v>1720092331</v>
      </c>
      <c r="C12130" t="str">
        <f>"208D00000X"</f>
        <v>208D00000X</v>
      </c>
      <c r="D12130" t="str">
        <f>"ROGERS                   HERBERT      G           "</f>
        <v xml:space="preserve">ROGERS                   HERBERT      G           </v>
      </c>
      <c r="E12130" t="str">
        <f>"LAUREL                    "</f>
        <v xml:space="preserve">LAUREL                    </v>
      </c>
      <c r="F12130" t="str">
        <f t="shared" si="320"/>
        <v>MS</v>
      </c>
    </row>
    <row r="12131" spans="1:6" x14ac:dyDescent="0.25">
      <c r="A12131" t="str">
        <f>"006734387"</f>
        <v>006734387</v>
      </c>
      <c r="B12131" t="str">
        <f>"1013489319"</f>
        <v>1013489319</v>
      </c>
      <c r="C12131" t="str">
        <f>"363L00000X"</f>
        <v>363L00000X</v>
      </c>
      <c r="D12131" t="str">
        <f>"FAULKNER                 KELSEY                   "</f>
        <v xml:space="preserve">FAULKNER                 KELSEY                   </v>
      </c>
      <c r="E12131" t="str">
        <f>"CHARLESTON                "</f>
        <v xml:space="preserve">CHARLESTON                </v>
      </c>
      <c r="F12131" t="str">
        <f t="shared" si="320"/>
        <v>MS</v>
      </c>
    </row>
    <row r="12132" spans="1:6" x14ac:dyDescent="0.25">
      <c r="A12132" t="str">
        <f>"006734701"</f>
        <v>006734701</v>
      </c>
      <c r="B12132" t="str">
        <f>"1659965846"</f>
        <v>1659965846</v>
      </c>
      <c r="C12132" t="str">
        <f>"261QM1300X"</f>
        <v>261QM1300X</v>
      </c>
      <c r="D12132" t="str">
        <f>"HEARTS OF HEALING THERAPIES, LLC                  "</f>
        <v xml:space="preserve">HEARTS OF HEALING THERAPIES, LLC                  </v>
      </c>
      <c r="E12132" t="str">
        <f>"SALTILLO                  "</f>
        <v xml:space="preserve">SALTILLO                  </v>
      </c>
      <c r="F12132" t="str">
        <f t="shared" si="320"/>
        <v>MS</v>
      </c>
    </row>
    <row r="12133" spans="1:6" x14ac:dyDescent="0.25">
      <c r="A12133" t="str">
        <f>"006736355"</f>
        <v>006736355</v>
      </c>
      <c r="B12133" t="str">
        <f>"1952690224"</f>
        <v>1952690224</v>
      </c>
      <c r="C12133" t="str">
        <f>"208600000X"</f>
        <v>208600000X</v>
      </c>
      <c r="D12133" t="str">
        <f>"CADDELL                  KIRK         A           "</f>
        <v xml:space="preserve">CADDELL                  KIRK         A           </v>
      </c>
      <c r="E12133" t="str">
        <f>"AMORY                     "</f>
        <v xml:space="preserve">AMORY                     </v>
      </c>
      <c r="F12133" t="str">
        <f t="shared" si="320"/>
        <v>MS</v>
      </c>
    </row>
    <row r="12134" spans="1:6" x14ac:dyDescent="0.25">
      <c r="A12134" t="str">
        <f>"006738721"</f>
        <v>006738721</v>
      </c>
      <c r="B12134" t="str">
        <f>"1124274196"</f>
        <v>1124274196</v>
      </c>
      <c r="C12134" t="str">
        <f>"261QF0400X"</f>
        <v>261QF0400X</v>
      </c>
      <c r="D12134" t="str">
        <f>"FAMILY HEALTH CARE CLINIC INC                     "</f>
        <v xml:space="preserve">FAMILY HEALTH CARE CLINIC INC                     </v>
      </c>
      <c r="E12134" t="str">
        <f>"WINONA                    "</f>
        <v xml:space="preserve">WINONA                    </v>
      </c>
      <c r="F12134" t="str">
        <f t="shared" si="320"/>
        <v>MS</v>
      </c>
    </row>
    <row r="12135" spans="1:6" x14ac:dyDescent="0.25">
      <c r="A12135" t="str">
        <f>"006739305"</f>
        <v>006739305</v>
      </c>
      <c r="B12135" t="str">
        <f>"1841728292"</f>
        <v>1841728292</v>
      </c>
      <c r="C12135" t="str">
        <f>"363L00000X"</f>
        <v>363L00000X</v>
      </c>
      <c r="D12135" t="str">
        <f>"MCKINNEY                 DAPHNE       W           "</f>
        <v xml:space="preserve">MCKINNEY                 DAPHNE       W           </v>
      </c>
      <c r="E12135" t="str">
        <f>"GREENWOOD                 "</f>
        <v xml:space="preserve">GREENWOOD                 </v>
      </c>
      <c r="F12135" t="str">
        <f t="shared" si="320"/>
        <v>MS</v>
      </c>
    </row>
    <row r="12136" spans="1:6" x14ac:dyDescent="0.25">
      <c r="A12136" t="str">
        <f>"006750527"</f>
        <v>006750527</v>
      </c>
      <c r="B12136" t="str">
        <f>"1326570763"</f>
        <v>1326570763</v>
      </c>
      <c r="C12136" t="str">
        <f>"363L00000X"</f>
        <v>363L00000X</v>
      </c>
      <c r="D12136" t="str">
        <f>"BICKEL                   JENNIFER                 "</f>
        <v xml:space="preserve">BICKEL                   JENNIFER                 </v>
      </c>
      <c r="E12136" t="str">
        <f>"GULFPORT                  "</f>
        <v xml:space="preserve">GULFPORT                  </v>
      </c>
      <c r="F12136" t="str">
        <f t="shared" si="320"/>
        <v>MS</v>
      </c>
    </row>
    <row r="12137" spans="1:6" x14ac:dyDescent="0.25">
      <c r="A12137" t="str">
        <f>"006752203"</f>
        <v>006752203</v>
      </c>
      <c r="B12137" t="str">
        <f>"1902100654"</f>
        <v>1902100654</v>
      </c>
      <c r="C12137" t="str">
        <f>"363L00000X"</f>
        <v>363L00000X</v>
      </c>
      <c r="D12137" t="str">
        <f>"CHRISTIAN                AVA          P           "</f>
        <v xml:space="preserve">CHRISTIAN                AVA          P           </v>
      </c>
      <c r="E12137" t="str">
        <f>"JACKSON                   "</f>
        <v xml:space="preserve">JACKSON                   </v>
      </c>
      <c r="F12137" t="str">
        <f t="shared" si="320"/>
        <v>MS</v>
      </c>
    </row>
    <row r="12138" spans="1:6" x14ac:dyDescent="0.25">
      <c r="A12138" t="str">
        <f>"006752300"</f>
        <v>006752300</v>
      </c>
      <c r="B12138" t="str">
        <f>"1801951496"</f>
        <v>1801951496</v>
      </c>
      <c r="C12138" t="str">
        <f>"208600000X"</f>
        <v>208600000X</v>
      </c>
      <c r="D12138" t="str">
        <f>"ANDERSON                 CHRISTOPHER  D           "</f>
        <v xml:space="preserve">ANDERSON                 CHRISTOPHER  D           </v>
      </c>
      <c r="E12138" t="str">
        <f>"JACKSON                   "</f>
        <v xml:space="preserve">JACKSON                   </v>
      </c>
      <c r="F12138" t="str">
        <f t="shared" si="320"/>
        <v>MS</v>
      </c>
    </row>
    <row r="12139" spans="1:6" x14ac:dyDescent="0.25">
      <c r="A12139" t="str">
        <f>"006752891"</f>
        <v>006752891</v>
      </c>
      <c r="B12139" t="str">
        <f>"1427531193"</f>
        <v>1427531193</v>
      </c>
      <c r="C12139" t="str">
        <f>"363L00000X"</f>
        <v>363L00000X</v>
      </c>
      <c r="D12139" t="str">
        <f>"BISHOP                   HEATHER      H           "</f>
        <v xml:space="preserve">BISHOP                   HEATHER      H           </v>
      </c>
      <c r="E12139" t="str">
        <f>"NEW ALBANY                "</f>
        <v xml:space="preserve">NEW ALBANY                </v>
      </c>
      <c r="F12139" t="str">
        <f t="shared" si="320"/>
        <v>MS</v>
      </c>
    </row>
    <row r="12140" spans="1:6" x14ac:dyDescent="0.25">
      <c r="A12140" t="str">
        <f>"006754203"</f>
        <v>006754203</v>
      </c>
      <c r="B12140" t="str">
        <f>"1073574687"</f>
        <v>1073574687</v>
      </c>
      <c r="C12140" t="str">
        <f>"363L00000X"</f>
        <v>363L00000X</v>
      </c>
      <c r="D12140" t="str">
        <f>"PARKER                   GREGORY      D           "</f>
        <v xml:space="preserve">PARKER                   GREGORY      D           </v>
      </c>
      <c r="E12140" t="str">
        <f>"GULFPORT                  "</f>
        <v xml:space="preserve">GULFPORT                  </v>
      </c>
      <c r="F12140" t="str">
        <f t="shared" si="320"/>
        <v>MS</v>
      </c>
    </row>
    <row r="12141" spans="1:6" x14ac:dyDescent="0.25">
      <c r="A12141" t="str">
        <f>"006755201"</f>
        <v>006755201</v>
      </c>
      <c r="B12141" t="str">
        <f>"1609809771"</f>
        <v>1609809771</v>
      </c>
      <c r="C12141" t="str">
        <f>"207R00000X"</f>
        <v>207R00000X</v>
      </c>
      <c r="D12141" t="str">
        <f>"HARBOUR                  JO           L           "</f>
        <v xml:space="preserve">HARBOUR                  JO           L           </v>
      </c>
      <c r="E12141" t="str">
        <f>"WHITFIELD                 "</f>
        <v xml:space="preserve">WHITFIELD                 </v>
      </c>
      <c r="F12141" t="str">
        <f t="shared" si="320"/>
        <v>MS</v>
      </c>
    </row>
    <row r="12142" spans="1:6" x14ac:dyDescent="0.25">
      <c r="A12142" t="str">
        <f>"006756257"</f>
        <v>006756257</v>
      </c>
      <c r="B12142" t="str">
        <f>"1427558329"</f>
        <v>1427558329</v>
      </c>
      <c r="C12142" t="str">
        <f>"363L00000X"</f>
        <v>363L00000X</v>
      </c>
      <c r="D12142" t="str">
        <f>"JONES                    AMANDA                   "</f>
        <v xml:space="preserve">JONES                    AMANDA                   </v>
      </c>
      <c r="E12142" t="str">
        <f>"COLUMBUS                  "</f>
        <v xml:space="preserve">COLUMBUS                  </v>
      </c>
      <c r="F12142" t="str">
        <f t="shared" si="320"/>
        <v>MS</v>
      </c>
    </row>
    <row r="12143" spans="1:6" x14ac:dyDescent="0.25">
      <c r="A12143" t="str">
        <f>"006757261"</f>
        <v>006757261</v>
      </c>
      <c r="B12143" t="str">
        <f>"1366890238"</f>
        <v>1366890238</v>
      </c>
      <c r="C12143" t="str">
        <f>"261QR1300X"</f>
        <v>261QR1300X</v>
      </c>
      <c r="D12143" t="str">
        <f>"PEDIATRIC AND ADOLESCENT CLINIC                   "</f>
        <v xml:space="preserve">PEDIATRIC AND ADOLESCENT CLINIC                   </v>
      </c>
      <c r="E12143" t="str">
        <f>"NATCHEZ                   "</f>
        <v xml:space="preserve">NATCHEZ                   </v>
      </c>
      <c r="F12143" t="str">
        <f t="shared" si="320"/>
        <v>MS</v>
      </c>
    </row>
    <row r="12144" spans="1:6" x14ac:dyDescent="0.25">
      <c r="A12144" t="str">
        <f>"006757777"</f>
        <v>006757777</v>
      </c>
      <c r="B12144" t="str">
        <f>"1285043612"</f>
        <v>1285043612</v>
      </c>
      <c r="C12144" t="str">
        <f>"363L00000X"</f>
        <v>363L00000X</v>
      </c>
      <c r="D12144" t="str">
        <f>"SATTERWHITE              VANESSA      N           "</f>
        <v xml:space="preserve">SATTERWHITE              VANESSA      N           </v>
      </c>
      <c r="E12144" t="str">
        <f>"FLOWOOD                   "</f>
        <v xml:space="preserve">FLOWOOD                   </v>
      </c>
      <c r="F12144" t="str">
        <f t="shared" si="320"/>
        <v>MS</v>
      </c>
    </row>
    <row r="12145" spans="1:6" x14ac:dyDescent="0.25">
      <c r="A12145" t="str">
        <f>"006758720"</f>
        <v>006758720</v>
      </c>
      <c r="B12145" t="str">
        <f>"1437579091"</f>
        <v>1437579091</v>
      </c>
      <c r="C12145" t="str">
        <f>"363L00000X"</f>
        <v>363L00000X</v>
      </c>
      <c r="D12145" t="str">
        <f>"WILSON                   STEPHANIE    L           "</f>
        <v xml:space="preserve">WILSON                   STEPHANIE    L           </v>
      </c>
      <c r="E12145" t="str">
        <f>"PASCAGOULA                "</f>
        <v xml:space="preserve">PASCAGOULA                </v>
      </c>
      <c r="F12145" t="str">
        <f t="shared" si="320"/>
        <v>MS</v>
      </c>
    </row>
    <row r="12146" spans="1:6" x14ac:dyDescent="0.25">
      <c r="A12146" t="str">
        <f>"006770063"</f>
        <v>006770063</v>
      </c>
      <c r="B12146" t="str">
        <f>"1821758707"</f>
        <v>1821758707</v>
      </c>
      <c r="C12146" t="str">
        <f>"363L00000X"</f>
        <v>363L00000X</v>
      </c>
      <c r="D12146" t="str">
        <f>"MCCLURE                  MORGAN                   "</f>
        <v xml:space="preserve">MCCLURE                  MORGAN                   </v>
      </c>
      <c r="E12146" t="str">
        <f>"MERIDIAN                  "</f>
        <v xml:space="preserve">MERIDIAN                  </v>
      </c>
      <c r="F12146" t="str">
        <f t="shared" si="320"/>
        <v>MS</v>
      </c>
    </row>
    <row r="12147" spans="1:6" x14ac:dyDescent="0.25">
      <c r="A12147" t="str">
        <f>"006771370"</f>
        <v>006771370</v>
      </c>
      <c r="B12147" t="str">
        <f>"1093784209"</f>
        <v>1093784209</v>
      </c>
      <c r="C12147" t="str">
        <f>"208000000X"</f>
        <v>208000000X</v>
      </c>
      <c r="D12147" t="str">
        <f>"HUDDLESTON               VIVIAN       E           "</f>
        <v xml:space="preserve">HUDDLESTON               VIVIAN       E           </v>
      </c>
      <c r="E12147" t="str">
        <f>"GREENWOOD                 "</f>
        <v xml:space="preserve">GREENWOOD                 </v>
      </c>
      <c r="F12147" t="str">
        <f t="shared" si="320"/>
        <v>MS</v>
      </c>
    </row>
    <row r="12148" spans="1:6" x14ac:dyDescent="0.25">
      <c r="A12148" t="str">
        <f>"006772519"</f>
        <v>006772519</v>
      </c>
      <c r="B12148" t="str">
        <f>"1780949503"</f>
        <v>1780949503</v>
      </c>
      <c r="C12148" t="str">
        <f>"363L00000X"</f>
        <v>363L00000X</v>
      </c>
      <c r="D12148" t="str">
        <f>"DAVIDSON                 JAMIE        V           "</f>
        <v xml:space="preserve">DAVIDSON                 JAMIE        V           </v>
      </c>
      <c r="E12148" t="str">
        <f>"JACKSON                   "</f>
        <v xml:space="preserve">JACKSON                   </v>
      </c>
      <c r="F12148" t="str">
        <f t="shared" si="320"/>
        <v>MS</v>
      </c>
    </row>
    <row r="12149" spans="1:6" x14ac:dyDescent="0.25">
      <c r="A12149" t="str">
        <f>"006772751"</f>
        <v>006772751</v>
      </c>
      <c r="B12149" t="str">
        <f>"1023629847"</f>
        <v>1023629847</v>
      </c>
      <c r="C12149" t="str">
        <f>"363L00000X"</f>
        <v>363L00000X</v>
      </c>
      <c r="D12149" t="str">
        <f>"FORE                     ARIEL        N           "</f>
        <v xml:space="preserve">FORE                     ARIEL        N           </v>
      </c>
      <c r="E12149" t="str">
        <f>"PASCAGOULA                "</f>
        <v xml:space="preserve">PASCAGOULA                </v>
      </c>
      <c r="F12149" t="str">
        <f t="shared" si="320"/>
        <v>MS</v>
      </c>
    </row>
    <row r="12150" spans="1:6" x14ac:dyDescent="0.25">
      <c r="A12150" t="str">
        <f>"006772854"</f>
        <v>006772854</v>
      </c>
      <c r="B12150" t="str">
        <f>"1245330133"</f>
        <v>1245330133</v>
      </c>
      <c r="C12150" t="str">
        <f>"2084N0400X"</f>
        <v>2084N0400X</v>
      </c>
      <c r="D12150" t="str">
        <f>"MOORE                    ALAN         R           "</f>
        <v xml:space="preserve">MOORE                    ALAN         R           </v>
      </c>
      <c r="E12150" t="str">
        <f>"JACKSON                   "</f>
        <v xml:space="preserve">JACKSON                   </v>
      </c>
      <c r="F12150" t="str">
        <f t="shared" si="320"/>
        <v>MS</v>
      </c>
    </row>
    <row r="12151" spans="1:6" x14ac:dyDescent="0.25">
      <c r="A12151" t="str">
        <f>"006773255"</f>
        <v>006773255</v>
      </c>
      <c r="B12151" t="str">
        <f>"1124323175"</f>
        <v>1124323175</v>
      </c>
      <c r="C12151" t="str">
        <f>"363L00000X"</f>
        <v>363L00000X</v>
      </c>
      <c r="D12151" t="str">
        <f>"NOPPER                   WENDI        L           "</f>
        <v xml:space="preserve">NOPPER                   WENDI        L           </v>
      </c>
      <c r="E12151" t="str">
        <f>"FLOWOOD                   "</f>
        <v xml:space="preserve">FLOWOOD                   </v>
      </c>
      <c r="F12151" t="str">
        <f t="shared" si="320"/>
        <v>MS</v>
      </c>
    </row>
    <row r="12152" spans="1:6" x14ac:dyDescent="0.25">
      <c r="A12152" t="str">
        <f>"006773597"</f>
        <v>006773597</v>
      </c>
      <c r="B12152" t="str">
        <f>"1760905004"</f>
        <v>1760905004</v>
      </c>
      <c r="C12152" t="str">
        <f>"363LP0808X"</f>
        <v>363LP0808X</v>
      </c>
      <c r="D12152" t="str">
        <f>"MYERS                    CARRI                    "</f>
        <v xml:space="preserve">MYERS                    CARRI                    </v>
      </c>
      <c r="E12152" t="str">
        <f>"DECATUR                   "</f>
        <v xml:space="preserve">DECATUR                   </v>
      </c>
      <c r="F12152" t="str">
        <f t="shared" si="320"/>
        <v>MS</v>
      </c>
    </row>
    <row r="12153" spans="1:6" x14ac:dyDescent="0.25">
      <c r="A12153" t="str">
        <f>"006773829"</f>
        <v>006773829</v>
      </c>
      <c r="B12153" t="str">
        <f>"1043672132"</f>
        <v>1043672132</v>
      </c>
      <c r="C12153" t="str">
        <f>"207X00000X"</f>
        <v>207X00000X</v>
      </c>
      <c r="D12153" t="str">
        <f>"BROWN                    JAMES        T           "</f>
        <v xml:space="preserve">BROWN                    JAMES        T           </v>
      </c>
      <c r="E12153" t="str">
        <f>"FLOWOOD                   "</f>
        <v xml:space="preserve">FLOWOOD                   </v>
      </c>
      <c r="F12153" t="str">
        <f t="shared" si="320"/>
        <v>MS</v>
      </c>
    </row>
    <row r="12154" spans="1:6" x14ac:dyDescent="0.25">
      <c r="A12154" t="str">
        <f>"006773878"</f>
        <v>006773878</v>
      </c>
      <c r="B12154" t="str">
        <f>"1720155427"</f>
        <v>1720155427</v>
      </c>
      <c r="C12154" t="str">
        <f>"122300000X"</f>
        <v>122300000X</v>
      </c>
      <c r="D12154" t="str">
        <f>"LOTT                     JAMES        R           "</f>
        <v xml:space="preserve">LOTT                     JAMES        R           </v>
      </c>
      <c r="E12154" t="str">
        <f>"JACKSON                   "</f>
        <v xml:space="preserve">JACKSON                   </v>
      </c>
      <c r="F12154" t="str">
        <f t="shared" si="320"/>
        <v>MS</v>
      </c>
    </row>
    <row r="12155" spans="1:6" x14ac:dyDescent="0.25">
      <c r="A12155" t="str">
        <f>"006776019"</f>
        <v>006776019</v>
      </c>
      <c r="B12155" t="str">
        <f>"1467555771"</f>
        <v>1467555771</v>
      </c>
      <c r="C12155" t="str">
        <f>"207X00000X"</f>
        <v>207X00000X</v>
      </c>
      <c r="D12155" t="str">
        <f>"BAYLIS                   THOMAS       B           "</f>
        <v xml:space="preserve">BAYLIS                   THOMAS       B           </v>
      </c>
      <c r="E12155" t="str">
        <f>"LAUREL                    "</f>
        <v xml:space="preserve">LAUREL                    </v>
      </c>
      <c r="F12155" t="str">
        <f t="shared" si="320"/>
        <v>MS</v>
      </c>
    </row>
    <row r="12156" spans="1:6" x14ac:dyDescent="0.25">
      <c r="A12156" t="str">
        <f>"006778397"</f>
        <v>006778397</v>
      </c>
      <c r="B12156" t="str">
        <f>"1205587854"</f>
        <v>1205587854</v>
      </c>
      <c r="C12156" t="str">
        <f>"363L00000X"</f>
        <v>363L00000X</v>
      </c>
      <c r="D12156" t="str">
        <f>"MICHAEL                  HUNTER       S           "</f>
        <v xml:space="preserve">MICHAEL                  HUNTER       S           </v>
      </c>
      <c r="E12156" t="str">
        <f>"RIPLEY                    "</f>
        <v xml:space="preserve">RIPLEY                    </v>
      </c>
      <c r="F12156" t="str">
        <f t="shared" si="320"/>
        <v>MS</v>
      </c>
    </row>
    <row r="12157" spans="1:6" x14ac:dyDescent="0.25">
      <c r="A12157" t="str">
        <f>"006778577"</f>
        <v>006778577</v>
      </c>
      <c r="B12157" t="str">
        <f>"1205887338"</f>
        <v>1205887338</v>
      </c>
      <c r="C12157" t="str">
        <f>"207T00000X"</f>
        <v>207T00000X</v>
      </c>
      <c r="D12157" t="str">
        <f>"CLATTERBUCK              RICHARD      E           "</f>
        <v xml:space="preserve">CLATTERBUCK              RICHARD      E           </v>
      </c>
      <c r="E12157" t="str">
        <f>"HATTIESBURG               "</f>
        <v xml:space="preserve">HATTIESBURG               </v>
      </c>
      <c r="F12157" t="str">
        <f t="shared" si="320"/>
        <v>MS</v>
      </c>
    </row>
    <row r="12158" spans="1:6" x14ac:dyDescent="0.25">
      <c r="A12158" t="str">
        <f>"006778782"</f>
        <v>006778782</v>
      </c>
      <c r="B12158" t="str">
        <f>"1972781037"</f>
        <v>1972781037</v>
      </c>
      <c r="C12158" t="str">
        <f>"207N00000X"</f>
        <v>207N00000X</v>
      </c>
      <c r="D12158" t="str">
        <f>"FLISCHEL                 AMY                      "</f>
        <v xml:space="preserve">FLISCHEL                 AMY                      </v>
      </c>
      <c r="E12158" t="str">
        <f>"JACKSON                   "</f>
        <v xml:space="preserve">JACKSON                   </v>
      </c>
      <c r="F12158" t="str">
        <f t="shared" ref="F12158:F12221" si="321">"MS"</f>
        <v>MS</v>
      </c>
    </row>
    <row r="12159" spans="1:6" x14ac:dyDescent="0.25">
      <c r="A12159" t="str">
        <f>"006778836"</f>
        <v>006778836</v>
      </c>
      <c r="B12159" t="str">
        <f>"1164499109"</f>
        <v>1164499109</v>
      </c>
      <c r="C12159" t="str">
        <f>"122300000X"</f>
        <v>122300000X</v>
      </c>
      <c r="D12159" t="str">
        <f>"RUBEL                    BARRY        S           "</f>
        <v xml:space="preserve">RUBEL                    BARRY        S           </v>
      </c>
      <c r="E12159" t="str">
        <f>"CANTON                    "</f>
        <v xml:space="preserve">CANTON                    </v>
      </c>
      <c r="F12159" t="str">
        <f t="shared" si="321"/>
        <v>MS</v>
      </c>
    </row>
    <row r="12160" spans="1:6" x14ac:dyDescent="0.25">
      <c r="A12160" t="str">
        <f>"006779034"</f>
        <v>006779034</v>
      </c>
      <c r="B12160" t="str">
        <f>"1174693329"</f>
        <v>1174693329</v>
      </c>
      <c r="C12160" t="str">
        <f>"1223X0400X"</f>
        <v>1223X0400X</v>
      </c>
      <c r="D12160" t="str">
        <f>"MCLACHLAN                ANDREA       L           "</f>
        <v xml:space="preserve">MCLACHLAN                ANDREA       L           </v>
      </c>
      <c r="E12160" t="str">
        <f>"SOUTHAVEN                 "</f>
        <v xml:space="preserve">SOUTHAVEN                 </v>
      </c>
      <c r="F12160" t="str">
        <f t="shared" si="321"/>
        <v>MS</v>
      </c>
    </row>
    <row r="12161" spans="1:6" x14ac:dyDescent="0.25">
      <c r="A12161" t="str">
        <f>"006780348"</f>
        <v>006780348</v>
      </c>
      <c r="B12161" t="str">
        <f>"1194064188"</f>
        <v>1194064188</v>
      </c>
      <c r="C12161" t="str">
        <f>"363L00000X"</f>
        <v>363L00000X</v>
      </c>
      <c r="D12161" t="str">
        <f>"MARTIN                   AMBER        N           "</f>
        <v xml:space="preserve">MARTIN                   AMBER        N           </v>
      </c>
      <c r="E12161" t="str">
        <f>"BROOKHAVEN                "</f>
        <v xml:space="preserve">BROOKHAVEN                </v>
      </c>
      <c r="F12161" t="str">
        <f t="shared" si="321"/>
        <v>MS</v>
      </c>
    </row>
    <row r="12162" spans="1:6" x14ac:dyDescent="0.25">
      <c r="A12162" t="str">
        <f>"006781267"</f>
        <v>006781267</v>
      </c>
      <c r="B12162" t="str">
        <f>"1699127027"</f>
        <v>1699127027</v>
      </c>
      <c r="C12162" t="str">
        <f>"363L00000X"</f>
        <v>363L00000X</v>
      </c>
      <c r="D12162" t="str">
        <f>"STEGALL                  JACINTA      T           "</f>
        <v xml:space="preserve">STEGALL                  JACINTA      T           </v>
      </c>
      <c r="E12162" t="str">
        <f>"GULFPORT                  "</f>
        <v xml:space="preserve">GULFPORT                  </v>
      </c>
      <c r="F12162" t="str">
        <f t="shared" si="321"/>
        <v>MS</v>
      </c>
    </row>
    <row r="12163" spans="1:6" x14ac:dyDescent="0.25">
      <c r="A12163" t="str">
        <f>"006781511"</f>
        <v>006781511</v>
      </c>
      <c r="B12163" t="str">
        <f>"1548459019"</f>
        <v>1548459019</v>
      </c>
      <c r="C12163" t="str">
        <f>"363L00000X"</f>
        <v>363L00000X</v>
      </c>
      <c r="D12163" t="str">
        <f>"SAMUEL                   EUREKIA      D           "</f>
        <v xml:space="preserve">SAMUEL                   EUREKIA      D           </v>
      </c>
      <c r="E12163" t="str">
        <f>"JACKSON                   "</f>
        <v xml:space="preserve">JACKSON                   </v>
      </c>
      <c r="F12163" t="str">
        <f t="shared" si="321"/>
        <v>MS</v>
      </c>
    </row>
    <row r="12164" spans="1:6" x14ac:dyDescent="0.25">
      <c r="A12164" t="str">
        <f>"006782344"</f>
        <v>006782344</v>
      </c>
      <c r="B12164" t="str">
        <f>"1386392298"</f>
        <v>1386392298</v>
      </c>
      <c r="C12164" t="str">
        <f>"363L00000X"</f>
        <v>363L00000X</v>
      </c>
      <c r="D12164" t="str">
        <f>"SARRETT                  SHELLY       K           "</f>
        <v xml:space="preserve">SARRETT                  SHELLY       K           </v>
      </c>
      <c r="E12164" t="str">
        <f>"YAZOO CITY                "</f>
        <v xml:space="preserve">YAZOO CITY                </v>
      </c>
      <c r="F12164" t="str">
        <f t="shared" si="321"/>
        <v>MS</v>
      </c>
    </row>
    <row r="12165" spans="1:6" x14ac:dyDescent="0.25">
      <c r="A12165" t="str">
        <f>"006782723"</f>
        <v>006782723</v>
      </c>
      <c r="B12165" t="str">
        <f>"1073544615"</f>
        <v>1073544615</v>
      </c>
      <c r="C12165" t="str">
        <f>"207P00000X"</f>
        <v>207P00000X</v>
      </c>
      <c r="D12165" t="str">
        <f>"OWEN                     ROBERT       C           "</f>
        <v xml:space="preserve">OWEN                     ROBERT       C           </v>
      </c>
      <c r="E12165" t="str">
        <f>"HATTIESBURG               "</f>
        <v xml:space="preserve">HATTIESBURG               </v>
      </c>
      <c r="F12165" t="str">
        <f t="shared" si="321"/>
        <v>MS</v>
      </c>
    </row>
    <row r="12166" spans="1:6" x14ac:dyDescent="0.25">
      <c r="A12166" t="str">
        <f>"006783742"</f>
        <v>006783742</v>
      </c>
      <c r="B12166" t="str">
        <f>"1285951574"</f>
        <v>1285951574</v>
      </c>
      <c r="C12166" t="str">
        <f>"207R00000X"</f>
        <v>207R00000X</v>
      </c>
      <c r="D12166" t="str">
        <f>"CLARK                    AMANDA       V           "</f>
        <v xml:space="preserve">CLARK                    AMANDA       V           </v>
      </c>
      <c r="E12166" t="str">
        <f>"JACKSON                   "</f>
        <v xml:space="preserve">JACKSON                   </v>
      </c>
      <c r="F12166" t="str">
        <f t="shared" si="321"/>
        <v>MS</v>
      </c>
    </row>
    <row r="12167" spans="1:6" x14ac:dyDescent="0.25">
      <c r="A12167" t="str">
        <f>"006785238"</f>
        <v>006785238</v>
      </c>
      <c r="B12167" t="str">
        <f>"1730270786"</f>
        <v>1730270786</v>
      </c>
      <c r="C12167" t="str">
        <f>"207R00000X"</f>
        <v>207R00000X</v>
      </c>
      <c r="D12167" t="str">
        <f>"WHEELER                  HAROLD       J           "</f>
        <v xml:space="preserve">WHEELER                  HAROLD       J           </v>
      </c>
      <c r="E12167" t="str">
        <f>"GREENWOOD                 "</f>
        <v xml:space="preserve">GREENWOOD                 </v>
      </c>
      <c r="F12167" t="str">
        <f t="shared" si="321"/>
        <v>MS</v>
      </c>
    </row>
    <row r="12168" spans="1:6" x14ac:dyDescent="0.25">
      <c r="A12168" t="str">
        <f>"006785358"</f>
        <v>006785358</v>
      </c>
      <c r="B12168" t="str">
        <f>"1104376102"</f>
        <v>1104376102</v>
      </c>
      <c r="C12168" t="str">
        <f>"367500000X"</f>
        <v>367500000X</v>
      </c>
      <c r="D12168" t="str">
        <f>"FIGUEIREDO               BRANDON      S           "</f>
        <v xml:space="preserve">FIGUEIREDO               BRANDON      S           </v>
      </c>
      <c r="E12168" t="str">
        <f>"HATTIESBURG               "</f>
        <v xml:space="preserve">HATTIESBURG               </v>
      </c>
      <c r="F12168" t="str">
        <f t="shared" si="321"/>
        <v>MS</v>
      </c>
    </row>
    <row r="12169" spans="1:6" x14ac:dyDescent="0.25">
      <c r="A12169" t="str">
        <f>"006786311"</f>
        <v>006786311</v>
      </c>
      <c r="B12169" t="str">
        <f>"1164727269"</f>
        <v>1164727269</v>
      </c>
      <c r="C12169" t="str">
        <f>"363L00000X"</f>
        <v>363L00000X</v>
      </c>
      <c r="D12169" t="str">
        <f>"HOLLEY                   TONIAH                   "</f>
        <v xml:space="preserve">HOLLEY                   TONIAH                   </v>
      </c>
      <c r="E12169" t="str">
        <f>"PHILADELPHIA              "</f>
        <v xml:space="preserve">PHILADELPHIA              </v>
      </c>
      <c r="F12169" t="str">
        <f t="shared" si="321"/>
        <v>MS</v>
      </c>
    </row>
    <row r="12170" spans="1:6" x14ac:dyDescent="0.25">
      <c r="A12170" t="str">
        <f>"006787895"</f>
        <v>006787895</v>
      </c>
      <c r="B12170" t="str">
        <f>"1720191380"</f>
        <v>1720191380</v>
      </c>
      <c r="C12170" t="str">
        <f>"152W00000X"</f>
        <v>152W00000X</v>
      </c>
      <c r="D12170" t="str">
        <f>"HOPKINS                  ROCHELLE     M           "</f>
        <v xml:space="preserve">HOPKINS                  ROCHELLE     M           </v>
      </c>
      <c r="E12170" t="str">
        <f>"HATTIESBURG               "</f>
        <v xml:space="preserve">HATTIESBURG               </v>
      </c>
      <c r="F12170" t="str">
        <f t="shared" si="321"/>
        <v>MS</v>
      </c>
    </row>
    <row r="12171" spans="1:6" x14ac:dyDescent="0.25">
      <c r="A12171" t="str">
        <f>"006788293"</f>
        <v>006788293</v>
      </c>
      <c r="B12171" t="str">
        <f>"1255427696"</f>
        <v>1255427696</v>
      </c>
      <c r="C12171" t="str">
        <f>"207Y00000X"</f>
        <v>207Y00000X</v>
      </c>
      <c r="D12171" t="str">
        <f>"LEE                      STEPHEN      F           "</f>
        <v xml:space="preserve">LEE                      STEPHEN      F           </v>
      </c>
      <c r="E12171" t="str">
        <f>"FLOWOOD                   "</f>
        <v xml:space="preserve">FLOWOOD                   </v>
      </c>
      <c r="F12171" t="str">
        <f t="shared" si="321"/>
        <v>MS</v>
      </c>
    </row>
    <row r="12172" spans="1:6" x14ac:dyDescent="0.25">
      <c r="A12172" t="str">
        <f>"006788335"</f>
        <v>006788335</v>
      </c>
      <c r="B12172" t="str">
        <f>"1881631828"</f>
        <v>1881631828</v>
      </c>
      <c r="C12172" t="str">
        <f>"367500000X"</f>
        <v>367500000X</v>
      </c>
      <c r="D12172" t="str">
        <f>"LEWIS                    TIMOTHY      L           "</f>
        <v xml:space="preserve">LEWIS                    TIMOTHY      L           </v>
      </c>
      <c r="E12172" t="str">
        <f>"HATTIESBURG               "</f>
        <v xml:space="preserve">HATTIESBURG               </v>
      </c>
      <c r="F12172" t="str">
        <f t="shared" si="321"/>
        <v>MS</v>
      </c>
    </row>
    <row r="12173" spans="1:6" x14ac:dyDescent="0.25">
      <c r="A12173" t="str">
        <f>"006788771"</f>
        <v>006788771</v>
      </c>
      <c r="B12173" t="str">
        <f>"1598743890"</f>
        <v>1598743890</v>
      </c>
      <c r="C12173" t="str">
        <f>"207RI0200X"</f>
        <v>207RI0200X</v>
      </c>
      <c r="D12173" t="str">
        <f>"CONGER                   NICHOLAS                 "</f>
        <v xml:space="preserve">CONGER                   NICHOLAS                 </v>
      </c>
      <c r="E12173" t="str">
        <f>"GULFPORT                  "</f>
        <v xml:space="preserve">GULFPORT                  </v>
      </c>
      <c r="F12173" t="str">
        <f t="shared" si="321"/>
        <v>MS</v>
      </c>
    </row>
    <row r="12174" spans="1:6" x14ac:dyDescent="0.25">
      <c r="A12174" t="str">
        <f>"006789745"</f>
        <v>006789745</v>
      </c>
      <c r="B12174" t="str">
        <f>"1023314416"</f>
        <v>1023314416</v>
      </c>
      <c r="C12174" t="str">
        <f>"363L00000X"</f>
        <v>363L00000X</v>
      </c>
      <c r="D12174" t="str">
        <f>"MALLEY                   JENNIFER     L           "</f>
        <v xml:space="preserve">MALLEY                   JENNIFER     L           </v>
      </c>
      <c r="E12174" t="str">
        <f>"BILOXI                    "</f>
        <v xml:space="preserve">BILOXI                    </v>
      </c>
      <c r="F12174" t="str">
        <f t="shared" si="321"/>
        <v>MS</v>
      </c>
    </row>
    <row r="12175" spans="1:6" x14ac:dyDescent="0.25">
      <c r="A12175" t="str">
        <f>"006802590"</f>
        <v>006802590</v>
      </c>
      <c r="B12175" t="str">
        <f>"1134711245"</f>
        <v>1134711245</v>
      </c>
      <c r="C12175" t="str">
        <f>"363L00000X"</f>
        <v>363L00000X</v>
      </c>
      <c r="D12175" t="str">
        <f>"HAGAN                    MONICA       A           "</f>
        <v xml:space="preserve">HAGAN                    MONICA       A           </v>
      </c>
      <c r="E12175" t="str">
        <f>"MERIDIAN                  "</f>
        <v xml:space="preserve">MERIDIAN                  </v>
      </c>
      <c r="F12175" t="str">
        <f t="shared" si="321"/>
        <v>MS</v>
      </c>
    </row>
    <row r="12176" spans="1:6" x14ac:dyDescent="0.25">
      <c r="A12176" t="str">
        <f>"006804011"</f>
        <v>006804011</v>
      </c>
      <c r="B12176" t="str">
        <f>"1255719415"</f>
        <v>1255719415</v>
      </c>
      <c r="C12176" t="str">
        <f>"207Q00000X"</f>
        <v>207Q00000X</v>
      </c>
      <c r="D12176" t="str">
        <f>"TEAGUE                   TERRI        J           "</f>
        <v xml:space="preserve">TEAGUE                   TERRI        J           </v>
      </c>
      <c r="E12176" t="str">
        <f>"PONTOTOC                  "</f>
        <v xml:space="preserve">PONTOTOC                  </v>
      </c>
      <c r="F12176" t="str">
        <f t="shared" si="321"/>
        <v>MS</v>
      </c>
    </row>
    <row r="12177" spans="1:6" x14ac:dyDescent="0.25">
      <c r="A12177" t="str">
        <f>"006805077"</f>
        <v>006805077</v>
      </c>
      <c r="B12177" t="str">
        <f>"1609321702"</f>
        <v>1609321702</v>
      </c>
      <c r="C12177" t="str">
        <f>"363L00000X"</f>
        <v>363L00000X</v>
      </c>
      <c r="D12177" t="str">
        <f>"FLOYD                    ASHLEY       S           "</f>
        <v xml:space="preserve">FLOYD                    ASHLEY       S           </v>
      </c>
      <c r="E12177" t="str">
        <f>"ELLISVILLE                "</f>
        <v xml:space="preserve">ELLISVILLE                </v>
      </c>
      <c r="F12177" t="str">
        <f t="shared" si="321"/>
        <v>MS</v>
      </c>
    </row>
    <row r="12178" spans="1:6" x14ac:dyDescent="0.25">
      <c r="A12178" t="str">
        <f>"006805392"</f>
        <v>006805392</v>
      </c>
      <c r="B12178" t="str">
        <f>"1588607329"</f>
        <v>1588607329</v>
      </c>
      <c r="C12178" t="str">
        <f>"207Q00000X"</f>
        <v>207Q00000X</v>
      </c>
      <c r="D12178" t="str">
        <f>"GERMAIN                  GERARD                   "</f>
        <v xml:space="preserve">GERMAIN                  GERARD                   </v>
      </c>
      <c r="E12178" t="str">
        <f>"HAZLEHURST                "</f>
        <v xml:space="preserve">HAZLEHURST                </v>
      </c>
      <c r="F12178" t="str">
        <f t="shared" si="321"/>
        <v>MS</v>
      </c>
    </row>
    <row r="12179" spans="1:6" x14ac:dyDescent="0.25">
      <c r="A12179" t="str">
        <f>"006807020"</f>
        <v>006807020</v>
      </c>
      <c r="B12179" t="str">
        <f>"1346582178"</f>
        <v>1346582178</v>
      </c>
      <c r="C12179" t="str">
        <f>"207R00000X"</f>
        <v>207R00000X</v>
      </c>
      <c r="D12179" t="str">
        <f>"KURDI                    YAHYA        M           "</f>
        <v xml:space="preserve">KURDI                    YAHYA        M           </v>
      </c>
      <c r="E12179" t="str">
        <f>"TUPELO                    "</f>
        <v xml:space="preserve">TUPELO                    </v>
      </c>
      <c r="F12179" t="str">
        <f t="shared" si="321"/>
        <v>MS</v>
      </c>
    </row>
    <row r="12180" spans="1:6" x14ac:dyDescent="0.25">
      <c r="A12180" t="str">
        <f>"006807331"</f>
        <v>006807331</v>
      </c>
      <c r="B12180" t="str">
        <f>"1770593014"</f>
        <v>1770593014</v>
      </c>
      <c r="C12180" t="str">
        <f>"207R00000X"</f>
        <v>207R00000X</v>
      </c>
      <c r="D12180" t="str">
        <f>"BALL                     KENNETH      C           "</f>
        <v xml:space="preserve">BALL                     KENNETH      C           </v>
      </c>
      <c r="E12180" t="str">
        <f>"JACKSON                   "</f>
        <v xml:space="preserve">JACKSON                   </v>
      </c>
      <c r="F12180" t="str">
        <f t="shared" si="321"/>
        <v>MS</v>
      </c>
    </row>
    <row r="12181" spans="1:6" x14ac:dyDescent="0.25">
      <c r="A12181" t="str">
        <f>"006807766"</f>
        <v>006807766</v>
      </c>
      <c r="B12181" t="str">
        <f>"1437363967"</f>
        <v>1437363967</v>
      </c>
      <c r="C12181" t="str">
        <f>"2080P0207X"</f>
        <v>2080P0207X</v>
      </c>
      <c r="D12181" t="str">
        <f>"HERRINGTON               BETTY        L           "</f>
        <v xml:space="preserve">HERRINGTON               BETTY        L           </v>
      </c>
      <c r="E12181" t="str">
        <f>"JACKSON                   "</f>
        <v xml:space="preserve">JACKSON                   </v>
      </c>
      <c r="F12181" t="str">
        <f t="shared" si="321"/>
        <v>MS</v>
      </c>
    </row>
    <row r="12182" spans="1:6" x14ac:dyDescent="0.25">
      <c r="A12182" t="str">
        <f>"006809362"</f>
        <v>006809362</v>
      </c>
      <c r="B12182" t="str">
        <f>"1215013073"</f>
        <v>1215013073</v>
      </c>
      <c r="C12182" t="str">
        <f>"363L00000X"</f>
        <v>363L00000X</v>
      </c>
      <c r="D12182" t="str">
        <f>"BALLARD                  DEANNA       D           "</f>
        <v xml:space="preserve">BALLARD                  DEANNA       D           </v>
      </c>
      <c r="E12182" t="str">
        <f>"MEADVILLE                 "</f>
        <v xml:space="preserve">MEADVILLE                 </v>
      </c>
      <c r="F12182" t="str">
        <f t="shared" si="321"/>
        <v>MS</v>
      </c>
    </row>
    <row r="12183" spans="1:6" x14ac:dyDescent="0.25">
      <c r="A12183" t="str">
        <f>"006817082"</f>
        <v>006817082</v>
      </c>
      <c r="B12183" t="str">
        <f>"1073711313"</f>
        <v>1073711313</v>
      </c>
      <c r="C12183" t="str">
        <f>"208600000X"</f>
        <v>208600000X</v>
      </c>
      <c r="D12183" t="str">
        <f>"HAMILTON                 BRIAN        S           "</f>
        <v xml:space="preserve">HAMILTON                 BRIAN        S           </v>
      </c>
      <c r="E12183" t="str">
        <f>"JACKSON                   "</f>
        <v xml:space="preserve">JACKSON                   </v>
      </c>
      <c r="F12183" t="str">
        <f t="shared" si="321"/>
        <v>MS</v>
      </c>
    </row>
    <row r="12184" spans="1:6" x14ac:dyDescent="0.25">
      <c r="A12184" t="str">
        <f>"006820261"</f>
        <v>006820261</v>
      </c>
      <c r="B12184" t="str">
        <f>"1669886594"</f>
        <v>1669886594</v>
      </c>
      <c r="C12184" t="str">
        <f>"207Q00000X"</f>
        <v>207Q00000X</v>
      </c>
      <c r="D12184" t="str">
        <f>"HOGUE                    JOSEPH       D           "</f>
        <v xml:space="preserve">HOGUE                    JOSEPH       D           </v>
      </c>
      <c r="E12184" t="str">
        <f>"SOUTHAVEN                 "</f>
        <v xml:space="preserve">SOUTHAVEN                 </v>
      </c>
      <c r="F12184" t="str">
        <f t="shared" si="321"/>
        <v>MS</v>
      </c>
    </row>
    <row r="12185" spans="1:6" x14ac:dyDescent="0.25">
      <c r="A12185" t="str">
        <f>"006820386"</f>
        <v>006820386</v>
      </c>
      <c r="B12185" t="str">
        <f>"1760578843"</f>
        <v>1760578843</v>
      </c>
      <c r="C12185" t="str">
        <f>"367500000X"</f>
        <v>367500000X</v>
      </c>
      <c r="D12185" t="str">
        <f>"BECKY EVERETT                                     "</f>
        <v xml:space="preserve">BECKY EVERETT                                     </v>
      </c>
      <c r="E12185" t="str">
        <f>"FLOWOOD                   "</f>
        <v xml:space="preserve">FLOWOOD                   </v>
      </c>
      <c r="F12185" t="str">
        <f t="shared" si="321"/>
        <v>MS</v>
      </c>
    </row>
    <row r="12186" spans="1:6" x14ac:dyDescent="0.25">
      <c r="A12186" t="str">
        <f>"006821508"</f>
        <v>006821508</v>
      </c>
      <c r="B12186" t="str">
        <f>"1932314291"</f>
        <v>1932314291</v>
      </c>
      <c r="C12186" t="str">
        <f>"2080P0203X"</f>
        <v>2080P0203X</v>
      </c>
      <c r="D12186" t="str">
        <f>"HONG                     JENNIFER     L           "</f>
        <v xml:space="preserve">HONG                     JENNIFER     L           </v>
      </c>
      <c r="E12186" t="str">
        <f>"JACKSON                   "</f>
        <v xml:space="preserve">JACKSON                   </v>
      </c>
      <c r="F12186" t="str">
        <f t="shared" si="321"/>
        <v>MS</v>
      </c>
    </row>
    <row r="12187" spans="1:6" x14ac:dyDescent="0.25">
      <c r="A12187" t="str">
        <f>"006822851"</f>
        <v>006822851</v>
      </c>
      <c r="B12187" t="str">
        <f>"1295220101"</f>
        <v>1295220101</v>
      </c>
      <c r="C12187" t="str">
        <f>"152W00000X"</f>
        <v>152W00000X</v>
      </c>
      <c r="D12187" t="str">
        <f>"FORD VISION CLINIC                                "</f>
        <v xml:space="preserve">FORD VISION CLINIC                                </v>
      </c>
      <c r="E12187" t="str">
        <f>"STARKVILLE                "</f>
        <v xml:space="preserve">STARKVILLE                </v>
      </c>
      <c r="F12187" t="str">
        <f t="shared" si="321"/>
        <v>MS</v>
      </c>
    </row>
    <row r="12188" spans="1:6" x14ac:dyDescent="0.25">
      <c r="A12188" t="str">
        <f>"006822869"</f>
        <v>006822869</v>
      </c>
      <c r="B12188" t="str">
        <f>"1114668902"</f>
        <v>1114668902</v>
      </c>
      <c r="C12188" t="str">
        <f>"367500000X"</f>
        <v>367500000X</v>
      </c>
      <c r="D12188" t="str">
        <f>"WARREN                   LAUREN       H           "</f>
        <v xml:space="preserve">WARREN                   LAUREN       H           </v>
      </c>
      <c r="E12188" t="str">
        <f>"HATTIESBURG               "</f>
        <v xml:space="preserve">HATTIESBURG               </v>
      </c>
      <c r="F12188" t="str">
        <f t="shared" si="321"/>
        <v>MS</v>
      </c>
    </row>
    <row r="12189" spans="1:6" x14ac:dyDescent="0.25">
      <c r="A12189" t="str">
        <f>"006824815"</f>
        <v>006824815</v>
      </c>
      <c r="B12189" t="str">
        <f>"1073263422"</f>
        <v>1073263422</v>
      </c>
      <c r="C12189" t="str">
        <f>"207R00000X"</f>
        <v>207R00000X</v>
      </c>
      <c r="D12189" t="str">
        <f>"WIYGUL                   BLAIR                    "</f>
        <v xml:space="preserve">WIYGUL                   BLAIR                    </v>
      </c>
      <c r="E12189" t="str">
        <f>"JACKSON                   "</f>
        <v xml:space="preserve">JACKSON                   </v>
      </c>
      <c r="F12189" t="str">
        <f t="shared" si="321"/>
        <v>MS</v>
      </c>
    </row>
    <row r="12190" spans="1:6" x14ac:dyDescent="0.25">
      <c r="A12190" t="str">
        <f>"006825007"</f>
        <v>006825007</v>
      </c>
      <c r="B12190" t="str">
        <f>"1861683203"</f>
        <v>1861683203</v>
      </c>
      <c r="C12190" t="str">
        <f>"207X00000X"</f>
        <v>207X00000X</v>
      </c>
      <c r="D12190" t="str">
        <f>"DZUGAN                   SERGEY       S           "</f>
        <v xml:space="preserve">DZUGAN                   SERGEY       S           </v>
      </c>
      <c r="E12190" t="str">
        <f>"HATTIESBURG               "</f>
        <v xml:space="preserve">HATTIESBURG               </v>
      </c>
      <c r="F12190" t="str">
        <f t="shared" si="321"/>
        <v>MS</v>
      </c>
    </row>
    <row r="12191" spans="1:6" x14ac:dyDescent="0.25">
      <c r="A12191" t="str">
        <f>"006826341"</f>
        <v>006826341</v>
      </c>
      <c r="B12191" t="str">
        <f>"1366042277"</f>
        <v>1366042277</v>
      </c>
      <c r="C12191" t="str">
        <f>"363LF0000X"</f>
        <v>363LF0000X</v>
      </c>
      <c r="D12191" t="str">
        <f>"THORNTON                 SYLVESTER    L           "</f>
        <v xml:space="preserve">THORNTON                 SYLVESTER    L           </v>
      </c>
      <c r="E12191" t="str">
        <f>"CLARKSDALE                "</f>
        <v xml:space="preserve">CLARKSDALE                </v>
      </c>
      <c r="F12191" t="str">
        <f t="shared" si="321"/>
        <v>MS</v>
      </c>
    </row>
    <row r="12192" spans="1:6" x14ac:dyDescent="0.25">
      <c r="A12192" t="str">
        <f>"006826705"</f>
        <v>006826705</v>
      </c>
      <c r="B12192" t="str">
        <f>"1528246576"</f>
        <v>1528246576</v>
      </c>
      <c r="C12192" t="str">
        <f>"363L00000X"</f>
        <v>363L00000X</v>
      </c>
      <c r="D12192" t="str">
        <f>"CARTER                   STACEY       A           "</f>
        <v xml:space="preserve">CARTER                   STACEY       A           </v>
      </c>
      <c r="E12192" t="str">
        <f>"RIDGELAND                 "</f>
        <v xml:space="preserve">RIDGELAND                 </v>
      </c>
      <c r="F12192" t="str">
        <f t="shared" si="321"/>
        <v>MS</v>
      </c>
    </row>
    <row r="12193" spans="1:6" x14ac:dyDescent="0.25">
      <c r="A12193" t="str">
        <f>"006826808"</f>
        <v>006826808</v>
      </c>
      <c r="B12193" t="str">
        <f>"1427278894"</f>
        <v>1427278894</v>
      </c>
      <c r="C12193" t="str">
        <f>"207N00000X"</f>
        <v>207N00000X</v>
      </c>
      <c r="D12193" t="str">
        <f>"NEWLON                   HEATHER      R           "</f>
        <v xml:space="preserve">NEWLON                   HEATHER      R           </v>
      </c>
      <c r="E12193" t="str">
        <f>"MCCOMB                    "</f>
        <v xml:space="preserve">MCCOMB                    </v>
      </c>
      <c r="F12193" t="str">
        <f t="shared" si="321"/>
        <v>MS</v>
      </c>
    </row>
    <row r="12194" spans="1:6" x14ac:dyDescent="0.25">
      <c r="A12194" t="str">
        <f>"006827243"</f>
        <v>006827243</v>
      </c>
      <c r="B12194" t="str">
        <f>"1558772558"</f>
        <v>1558772558</v>
      </c>
      <c r="C12194" t="str">
        <f>"208000000X"</f>
        <v>208000000X</v>
      </c>
      <c r="D12194" t="str">
        <f>"SCOGGIN                  DARREN       T           "</f>
        <v xml:space="preserve">SCOGGIN                  DARREN       T           </v>
      </c>
      <c r="E12194" t="str">
        <f>"JACKSON                   "</f>
        <v xml:space="preserve">JACKSON                   </v>
      </c>
      <c r="F12194" t="str">
        <f t="shared" si="321"/>
        <v>MS</v>
      </c>
    </row>
    <row r="12195" spans="1:6" x14ac:dyDescent="0.25">
      <c r="A12195" t="str">
        <f>"006827854"</f>
        <v>006827854</v>
      </c>
      <c r="B12195" t="str">
        <f>"1033506837"</f>
        <v>1033506837</v>
      </c>
      <c r="C12195" t="str">
        <f>"363L00000X"</f>
        <v>363L00000X</v>
      </c>
      <c r="D12195" t="str">
        <f>"FRIERSON                 APRIL        V           "</f>
        <v xml:space="preserve">FRIERSON                 APRIL        V           </v>
      </c>
      <c r="E12195" t="str">
        <f>"HATTIESBURG               "</f>
        <v xml:space="preserve">HATTIESBURG               </v>
      </c>
      <c r="F12195" t="str">
        <f t="shared" si="321"/>
        <v>MS</v>
      </c>
    </row>
    <row r="12196" spans="1:6" x14ac:dyDescent="0.25">
      <c r="A12196" t="str">
        <f>"006828701"</f>
        <v>006828701</v>
      </c>
      <c r="B12196" t="str">
        <f>"1265456206"</f>
        <v>1265456206</v>
      </c>
      <c r="C12196" t="str">
        <f>"207Q00000X"</f>
        <v>207Q00000X</v>
      </c>
      <c r="D12196" t="str">
        <f>"JOHNSTON                 WILLIAM      E           "</f>
        <v xml:space="preserve">JOHNSTON                 WILLIAM      E           </v>
      </c>
      <c r="E12196" t="str">
        <f>"VICKSBURG                 "</f>
        <v xml:space="preserve">VICKSBURG                 </v>
      </c>
      <c r="F12196" t="str">
        <f t="shared" si="321"/>
        <v>MS</v>
      </c>
    </row>
    <row r="12197" spans="1:6" x14ac:dyDescent="0.25">
      <c r="A12197" t="str">
        <f>"006829214"</f>
        <v>006829214</v>
      </c>
      <c r="B12197" t="str">
        <f>"1548572274"</f>
        <v>1548572274</v>
      </c>
      <c r="C12197" t="str">
        <f>"2084P0800X"</f>
        <v>2084P0800X</v>
      </c>
      <c r="D12197" t="str">
        <f>"BHANDARI                 UMESH                    "</f>
        <v xml:space="preserve">BHANDARI                 UMESH                    </v>
      </c>
      <c r="E12197" t="str">
        <f>"HATTIESBURG               "</f>
        <v xml:space="preserve">HATTIESBURG               </v>
      </c>
      <c r="F12197" t="str">
        <f t="shared" si="321"/>
        <v>MS</v>
      </c>
    </row>
    <row r="12198" spans="1:6" x14ac:dyDescent="0.25">
      <c r="A12198" t="str">
        <f>"006829553"</f>
        <v>006829553</v>
      </c>
      <c r="B12198" t="str">
        <f>"1588325534"</f>
        <v>1588325534</v>
      </c>
      <c r="C12198" t="str">
        <f>"367500000X"</f>
        <v>367500000X</v>
      </c>
      <c r="D12198" t="str">
        <f>"HAYS                     ZACHARY      J           "</f>
        <v xml:space="preserve">HAYS                     ZACHARY      J           </v>
      </c>
      <c r="E12198" t="str">
        <f>"JACKSON                   "</f>
        <v xml:space="preserve">JACKSON                   </v>
      </c>
      <c r="F12198" t="str">
        <f t="shared" si="321"/>
        <v>MS</v>
      </c>
    </row>
    <row r="12199" spans="1:6" x14ac:dyDescent="0.25">
      <c r="A12199" t="str">
        <f>"006829717"</f>
        <v>006829717</v>
      </c>
      <c r="B12199" t="str">
        <f>"1851731277"</f>
        <v>1851731277</v>
      </c>
      <c r="C12199" t="str">
        <f>"207V00000X"</f>
        <v>207V00000X</v>
      </c>
      <c r="D12199" t="str">
        <f>"COOLEY                   CHAD         E           "</f>
        <v xml:space="preserve">COOLEY                   CHAD         E           </v>
      </c>
      <c r="E12199" t="str">
        <f>"FLOWOOD                   "</f>
        <v xml:space="preserve">FLOWOOD                   </v>
      </c>
      <c r="F12199" t="str">
        <f t="shared" si="321"/>
        <v>MS</v>
      </c>
    </row>
    <row r="12200" spans="1:6" x14ac:dyDescent="0.25">
      <c r="A12200" t="str">
        <f>"006830322"</f>
        <v>006830322</v>
      </c>
      <c r="B12200" t="str">
        <f>"1598328684"</f>
        <v>1598328684</v>
      </c>
      <c r="C12200" t="str">
        <f>"363L00000X"</f>
        <v>363L00000X</v>
      </c>
      <c r="D12200" t="str">
        <f>"PEEPLES                  CAROLINE                 "</f>
        <v xml:space="preserve">PEEPLES                  CAROLINE                 </v>
      </c>
      <c r="E12200" t="str">
        <f>"FLOWOOD                   "</f>
        <v xml:space="preserve">FLOWOOD                   </v>
      </c>
      <c r="F12200" t="str">
        <f t="shared" si="321"/>
        <v>MS</v>
      </c>
    </row>
    <row r="12201" spans="1:6" x14ac:dyDescent="0.25">
      <c r="A12201" t="str">
        <f>"006830572"</f>
        <v>006830572</v>
      </c>
      <c r="B12201" t="str">
        <f>"1083088835"</f>
        <v>1083088835</v>
      </c>
      <c r="C12201" t="str">
        <f>"261QA0600X"</f>
        <v>261QA0600X</v>
      </c>
      <c r="D12201" t="str">
        <f>"GLGADC                                            "</f>
        <v xml:space="preserve">GLGADC                                            </v>
      </c>
      <c r="E12201" t="str">
        <f>"CANTON                    "</f>
        <v xml:space="preserve">CANTON                    </v>
      </c>
      <c r="F12201" t="str">
        <f t="shared" si="321"/>
        <v>MS</v>
      </c>
    </row>
    <row r="12202" spans="1:6" x14ac:dyDescent="0.25">
      <c r="A12202" t="str">
        <f>"006832032"</f>
        <v>006832032</v>
      </c>
      <c r="B12202" t="str">
        <f>"1902992118"</f>
        <v>1902992118</v>
      </c>
      <c r="C12202" t="str">
        <f>"207RC0000X"</f>
        <v>207RC0000X</v>
      </c>
      <c r="D12202" t="str">
        <f>"STRONG                   MARK         H           "</f>
        <v xml:space="preserve">STRONG                   MARK         H           </v>
      </c>
      <c r="E12202" t="str">
        <f>"OXFORD                    "</f>
        <v xml:space="preserve">OXFORD                    </v>
      </c>
      <c r="F12202" t="str">
        <f t="shared" si="321"/>
        <v>MS</v>
      </c>
    </row>
    <row r="12203" spans="1:6" x14ac:dyDescent="0.25">
      <c r="A12203" t="str">
        <f>"006835211"</f>
        <v>006835211</v>
      </c>
      <c r="B12203" t="str">
        <f>"1578757076"</f>
        <v>1578757076</v>
      </c>
      <c r="C12203" t="str">
        <f>"152W00000X"</f>
        <v>152W00000X</v>
      </c>
      <c r="D12203" t="str">
        <f>"PRIMARY EYE CARE AND OPTICAL OF ME                "</f>
        <v xml:space="preserve">PRIMARY EYE CARE AND OPTICAL OF ME                </v>
      </c>
      <c r="E12203" t="str">
        <f>"MERIDIAN                  "</f>
        <v xml:space="preserve">MERIDIAN                  </v>
      </c>
      <c r="F12203" t="str">
        <f t="shared" si="321"/>
        <v>MS</v>
      </c>
    </row>
    <row r="12204" spans="1:6" x14ac:dyDescent="0.25">
      <c r="A12204" t="str">
        <f>"006835533"</f>
        <v>006835533</v>
      </c>
      <c r="B12204" t="str">
        <f>"1477817799"</f>
        <v>1477817799</v>
      </c>
      <c r="C12204" t="str">
        <f>"207X00000X"</f>
        <v>207X00000X</v>
      </c>
      <c r="D12204" t="str">
        <f>"MILLER                   MATTHEW      A           "</f>
        <v xml:space="preserve">MILLER                   MATTHEW      A           </v>
      </c>
      <c r="E12204" t="str">
        <f>"TUPELO                    "</f>
        <v xml:space="preserve">TUPELO                    </v>
      </c>
      <c r="F12204" t="str">
        <f t="shared" si="321"/>
        <v>MS</v>
      </c>
    </row>
    <row r="12205" spans="1:6" x14ac:dyDescent="0.25">
      <c r="A12205" t="str">
        <f>"006836395"</f>
        <v>006836395</v>
      </c>
      <c r="B12205" t="str">
        <f>"1457958282"</f>
        <v>1457958282</v>
      </c>
      <c r="C12205" t="str">
        <f>"367500000X"</f>
        <v>367500000X</v>
      </c>
      <c r="D12205" t="str">
        <f>"JOHNSON                  BENJAMIN                 "</f>
        <v xml:space="preserve">JOHNSON                  BENJAMIN                 </v>
      </c>
      <c r="E12205" t="str">
        <f>"TUPELO                    "</f>
        <v xml:space="preserve">TUPELO                    </v>
      </c>
      <c r="F12205" t="str">
        <f t="shared" si="321"/>
        <v>MS</v>
      </c>
    </row>
    <row r="12206" spans="1:6" x14ac:dyDescent="0.25">
      <c r="A12206" t="str">
        <f>"006837510"</f>
        <v>006837510</v>
      </c>
      <c r="B12206" t="str">
        <f>"1144862970"</f>
        <v>1144862970</v>
      </c>
      <c r="C12206" t="str">
        <f>"363L00000X"</f>
        <v>363L00000X</v>
      </c>
      <c r="D12206" t="str">
        <f>"HARRIS                   BOBBY        J           "</f>
        <v xml:space="preserve">HARRIS                   BOBBY        J           </v>
      </c>
      <c r="E12206" t="str">
        <f>"WAYNESBORO                "</f>
        <v xml:space="preserve">WAYNESBORO                </v>
      </c>
      <c r="F12206" t="str">
        <f t="shared" si="321"/>
        <v>MS</v>
      </c>
    </row>
    <row r="12207" spans="1:6" x14ac:dyDescent="0.25">
      <c r="A12207" t="str">
        <f>"006837707"</f>
        <v>006837707</v>
      </c>
      <c r="B12207" t="str">
        <f>"1295005478"</f>
        <v>1295005478</v>
      </c>
      <c r="C12207" t="str">
        <f>"367500000X"</f>
        <v>367500000X</v>
      </c>
      <c r="D12207" t="str">
        <f>"GOZA                     DANIEL       B           "</f>
        <v xml:space="preserve">GOZA                     DANIEL       B           </v>
      </c>
      <c r="E12207" t="str">
        <f>"BROOKHAVEN                "</f>
        <v xml:space="preserve">BROOKHAVEN                </v>
      </c>
      <c r="F12207" t="str">
        <f t="shared" si="321"/>
        <v>MS</v>
      </c>
    </row>
    <row r="12208" spans="1:6" x14ac:dyDescent="0.25">
      <c r="A12208" t="str">
        <f>"006838310"</f>
        <v>006838310</v>
      </c>
      <c r="B12208" t="str">
        <f>"1013535780"</f>
        <v>1013535780</v>
      </c>
      <c r="C12208" t="str">
        <f>"261QE0700X"</f>
        <v>261QE0700X</v>
      </c>
      <c r="D12208" t="str">
        <f>"FRESENIUS KIDNEY CARE MERIDIAN HOME               "</f>
        <v xml:space="preserve">FRESENIUS KIDNEY CARE MERIDIAN HOME               </v>
      </c>
      <c r="E12208" t="str">
        <f>"MERIDIAN                  "</f>
        <v xml:space="preserve">MERIDIAN                  </v>
      </c>
      <c r="F12208" t="str">
        <f t="shared" si="321"/>
        <v>MS</v>
      </c>
    </row>
    <row r="12209" spans="1:6" x14ac:dyDescent="0.25">
      <c r="A12209" t="str">
        <f>"006838758"</f>
        <v>006838758</v>
      </c>
      <c r="B12209" t="str">
        <f>"1740757145"</f>
        <v>1740757145</v>
      </c>
      <c r="C12209" t="str">
        <f>"363L00000X"</f>
        <v>363L00000X</v>
      </c>
      <c r="D12209" t="str">
        <f>"WALLACE                  KARLA        M           "</f>
        <v xml:space="preserve">WALLACE                  KARLA        M           </v>
      </c>
      <c r="E12209" t="str">
        <f>"MONTICELLO                "</f>
        <v xml:space="preserve">MONTICELLO                </v>
      </c>
      <c r="F12209" t="str">
        <f t="shared" si="321"/>
        <v>MS</v>
      </c>
    </row>
    <row r="12210" spans="1:6" x14ac:dyDescent="0.25">
      <c r="A12210" t="str">
        <f>"006852215"</f>
        <v>006852215</v>
      </c>
      <c r="B12210" t="str">
        <f>"1669826111"</f>
        <v>1669826111</v>
      </c>
      <c r="C12210" t="str">
        <f>"207Q00000X"</f>
        <v>207Q00000X</v>
      </c>
      <c r="D12210" t="str">
        <f>"TAYLOR                   ANTOINETTE   R           "</f>
        <v xml:space="preserve">TAYLOR                   ANTOINETTE   R           </v>
      </c>
      <c r="E12210" t="str">
        <f>"JACKSON                   "</f>
        <v xml:space="preserve">JACKSON                   </v>
      </c>
      <c r="F12210" t="str">
        <f t="shared" si="321"/>
        <v>MS</v>
      </c>
    </row>
    <row r="12211" spans="1:6" x14ac:dyDescent="0.25">
      <c r="A12211" t="str">
        <f>"006852808"</f>
        <v>006852808</v>
      </c>
      <c r="B12211" t="str">
        <f>"1295273670"</f>
        <v>1295273670</v>
      </c>
      <c r="C12211" t="str">
        <f>"363L00000X"</f>
        <v>363L00000X</v>
      </c>
      <c r="D12211" t="str">
        <f>"BOUNDS                   MATTHEW      K           "</f>
        <v xml:space="preserve">BOUNDS                   MATTHEW      K           </v>
      </c>
      <c r="E12211" t="str">
        <f>"FAYETTE                   "</f>
        <v xml:space="preserve">FAYETTE                   </v>
      </c>
      <c r="F12211" t="str">
        <f t="shared" si="321"/>
        <v>MS</v>
      </c>
    </row>
    <row r="12212" spans="1:6" x14ac:dyDescent="0.25">
      <c r="A12212" t="str">
        <f>"006852827"</f>
        <v>006852827</v>
      </c>
      <c r="B12212" t="str">
        <f>"1447261649"</f>
        <v>1447261649</v>
      </c>
      <c r="C12212" t="str">
        <f>"363L00000X"</f>
        <v>363L00000X</v>
      </c>
      <c r="D12212" t="str">
        <f>"REDMOND                  JENNIFER     M           "</f>
        <v xml:space="preserve">REDMOND                  JENNIFER     M           </v>
      </c>
      <c r="E12212" t="str">
        <f>"LUCEDALE                  "</f>
        <v xml:space="preserve">LUCEDALE                  </v>
      </c>
      <c r="F12212" t="str">
        <f t="shared" si="321"/>
        <v>MS</v>
      </c>
    </row>
    <row r="12213" spans="1:6" x14ac:dyDescent="0.25">
      <c r="A12213" t="str">
        <f>"006852892"</f>
        <v>006852892</v>
      </c>
      <c r="B12213" t="str">
        <f>"1073559100"</f>
        <v>1073559100</v>
      </c>
      <c r="C12213" t="str">
        <f>"207ND0900X"</f>
        <v>207ND0900X</v>
      </c>
      <c r="D12213" t="str">
        <f>"WARD                     KIMBERLEY    M           "</f>
        <v xml:space="preserve">WARD                     KIMBERLEY    M           </v>
      </c>
      <c r="E12213" t="str">
        <f>"JACKSON                   "</f>
        <v xml:space="preserve">JACKSON                   </v>
      </c>
      <c r="F12213" t="str">
        <f t="shared" si="321"/>
        <v>MS</v>
      </c>
    </row>
    <row r="12214" spans="1:6" x14ac:dyDescent="0.25">
      <c r="A12214" t="str">
        <f>"006853361"</f>
        <v>006853361</v>
      </c>
      <c r="B12214" t="str">
        <f>"1457850729"</f>
        <v>1457850729</v>
      </c>
      <c r="C12214" t="str">
        <f>"363L00000X"</f>
        <v>363L00000X</v>
      </c>
      <c r="D12214" t="str">
        <f>"WEATHERFORD              LINDSAY                  "</f>
        <v xml:space="preserve">WEATHERFORD              LINDSAY                  </v>
      </c>
      <c r="E12214" t="str">
        <f>"TUPELO                    "</f>
        <v xml:space="preserve">TUPELO                    </v>
      </c>
      <c r="F12214" t="str">
        <f t="shared" si="321"/>
        <v>MS</v>
      </c>
    </row>
    <row r="12215" spans="1:6" x14ac:dyDescent="0.25">
      <c r="A12215" t="str">
        <f>"006853522"</f>
        <v>006853522</v>
      </c>
      <c r="B12215" t="str">
        <f>"1134572357"</f>
        <v>1134572357</v>
      </c>
      <c r="C12215" t="str">
        <f>"363L00000X"</f>
        <v>363L00000X</v>
      </c>
      <c r="D12215" t="str">
        <f>"CHOATE                   AMBER        A           "</f>
        <v xml:space="preserve">CHOATE                   AMBER        A           </v>
      </c>
      <c r="E12215" t="str">
        <f>"CORINTH                   "</f>
        <v xml:space="preserve">CORINTH                   </v>
      </c>
      <c r="F12215" t="str">
        <f t="shared" si="321"/>
        <v>MS</v>
      </c>
    </row>
    <row r="12216" spans="1:6" x14ac:dyDescent="0.25">
      <c r="A12216" t="str">
        <f>"006853598"</f>
        <v>006853598</v>
      </c>
      <c r="B12216" t="str">
        <f>"1114421252"</f>
        <v>1114421252</v>
      </c>
      <c r="C12216" t="str">
        <f>"207P00000X"</f>
        <v>207P00000X</v>
      </c>
      <c r="D12216" t="str">
        <f>"THOMAS                   MICAH        D           "</f>
        <v xml:space="preserve">THOMAS                   MICAH        D           </v>
      </c>
      <c r="E12216" t="str">
        <f>"SOUTHAVEN                 "</f>
        <v xml:space="preserve">SOUTHAVEN                 </v>
      </c>
      <c r="F12216" t="str">
        <f t="shared" si="321"/>
        <v>MS</v>
      </c>
    </row>
    <row r="12217" spans="1:6" x14ac:dyDescent="0.25">
      <c r="A12217" t="str">
        <f>"006854021"</f>
        <v>006854021</v>
      </c>
      <c r="B12217" t="str">
        <f>"1043505266"</f>
        <v>1043505266</v>
      </c>
      <c r="C12217" t="str">
        <f>"363L00000X"</f>
        <v>363L00000X</v>
      </c>
      <c r="D12217" t="str">
        <f>"PARTRIDGE                LESLIE       A           "</f>
        <v xml:space="preserve">PARTRIDGE                LESLIE       A           </v>
      </c>
      <c r="E12217" t="str">
        <f>"JACKSON                   "</f>
        <v xml:space="preserve">JACKSON                   </v>
      </c>
      <c r="F12217" t="str">
        <f t="shared" si="321"/>
        <v>MS</v>
      </c>
    </row>
    <row r="12218" spans="1:6" x14ac:dyDescent="0.25">
      <c r="A12218" t="str">
        <f>"006854373"</f>
        <v>006854373</v>
      </c>
      <c r="B12218" t="str">
        <f>"1255914438"</f>
        <v>1255914438</v>
      </c>
      <c r="C12218" t="str">
        <f>"363L00000X"</f>
        <v>363L00000X</v>
      </c>
      <c r="D12218" t="str">
        <f>"SPROWLES                 BAILEY                   "</f>
        <v xml:space="preserve">SPROWLES                 BAILEY                   </v>
      </c>
      <c r="E12218" t="str">
        <f>"RICHLAND                  "</f>
        <v xml:space="preserve">RICHLAND                  </v>
      </c>
      <c r="F12218" t="str">
        <f t="shared" si="321"/>
        <v>MS</v>
      </c>
    </row>
    <row r="12219" spans="1:6" x14ac:dyDescent="0.25">
      <c r="A12219" t="str">
        <f>"006854554"</f>
        <v>006854554</v>
      </c>
      <c r="B12219" t="str">
        <f>"1649711508"</f>
        <v>1649711508</v>
      </c>
      <c r="C12219" t="str">
        <f>"363L00000X"</f>
        <v>363L00000X</v>
      </c>
      <c r="D12219" t="str">
        <f>"POLK                     LAKESHA      D           "</f>
        <v xml:space="preserve">POLK                     LAKESHA      D           </v>
      </c>
      <c r="E12219" t="str">
        <f>"SOUTHAVEN                 "</f>
        <v xml:space="preserve">SOUTHAVEN                 </v>
      </c>
      <c r="F12219" t="str">
        <f t="shared" si="321"/>
        <v>MS</v>
      </c>
    </row>
    <row r="12220" spans="1:6" x14ac:dyDescent="0.25">
      <c r="A12220" t="str">
        <f>"006856779"</f>
        <v>006856779</v>
      </c>
      <c r="B12220" t="str">
        <f>"1053511626"</f>
        <v>1053511626</v>
      </c>
      <c r="C12220" t="str">
        <f>"207Q00000X"</f>
        <v>207Q00000X</v>
      </c>
      <c r="D12220" t="str">
        <f>"NORRIS                   DAVID        M           "</f>
        <v xml:space="preserve">NORRIS                   DAVID        M           </v>
      </c>
      <c r="E12220" t="str">
        <f>"JACKSON                   "</f>
        <v xml:space="preserve">JACKSON                   </v>
      </c>
      <c r="F12220" t="str">
        <f t="shared" si="321"/>
        <v>MS</v>
      </c>
    </row>
    <row r="12221" spans="1:6" x14ac:dyDescent="0.25">
      <c r="A12221" t="str">
        <f>"006857594"</f>
        <v>006857594</v>
      </c>
      <c r="B12221" t="str">
        <f>"1770564411"</f>
        <v>1770564411</v>
      </c>
      <c r="C12221" t="str">
        <f>"208D00000X"</f>
        <v>208D00000X</v>
      </c>
      <c r="D12221" t="str">
        <f>"ARMSTRONG                WILLIAM      D           "</f>
        <v xml:space="preserve">ARMSTRONG                WILLIAM      D           </v>
      </c>
      <c r="E12221" t="str">
        <f>"JACKSON                   "</f>
        <v xml:space="preserve">JACKSON                   </v>
      </c>
      <c r="F12221" t="str">
        <f t="shared" si="321"/>
        <v>MS</v>
      </c>
    </row>
    <row r="12222" spans="1:6" x14ac:dyDescent="0.25">
      <c r="A12222" t="str">
        <f>"006858257"</f>
        <v>006858257</v>
      </c>
      <c r="B12222" t="str">
        <f>"1699086751"</f>
        <v>1699086751</v>
      </c>
      <c r="C12222" t="str">
        <f>"122300000X"</f>
        <v>122300000X</v>
      </c>
      <c r="D12222" t="str">
        <f>"ESTEP                    JASON        R           "</f>
        <v xml:space="preserve">ESTEP                    JASON        R           </v>
      </c>
      <c r="E12222" t="str">
        <f>"POPLARVILLE               "</f>
        <v xml:space="preserve">POPLARVILLE               </v>
      </c>
      <c r="F12222" t="str">
        <f t="shared" ref="F12222:F12285" si="322">"MS"</f>
        <v>MS</v>
      </c>
    </row>
    <row r="12223" spans="1:6" x14ac:dyDescent="0.25">
      <c r="A12223" t="str">
        <f>"006870336"</f>
        <v>006870336</v>
      </c>
      <c r="B12223" t="str">
        <f>"1245289172"</f>
        <v>1245289172</v>
      </c>
      <c r="C12223" t="str">
        <f>"261QR1300X"</f>
        <v>261QR1300X</v>
      </c>
      <c r="D12223" t="str">
        <f>"LAWRENCE COUNTY FAMILY PRACTICE                   "</f>
        <v xml:space="preserve">LAWRENCE COUNTY FAMILY PRACTICE                   </v>
      </c>
      <c r="E12223" t="str">
        <f>"MONTICELLO                "</f>
        <v xml:space="preserve">MONTICELLO                </v>
      </c>
      <c r="F12223" t="str">
        <f t="shared" si="322"/>
        <v>MS</v>
      </c>
    </row>
    <row r="12224" spans="1:6" x14ac:dyDescent="0.25">
      <c r="A12224" t="str">
        <f>"006871501"</f>
        <v>006871501</v>
      </c>
      <c r="B12224" t="str">
        <f>"1033478367"</f>
        <v>1033478367</v>
      </c>
      <c r="C12224" t="str">
        <f>"207X00000X"</f>
        <v>207X00000X</v>
      </c>
      <c r="D12224" t="str">
        <f>"RUSH                     LANE         N           "</f>
        <v xml:space="preserve">RUSH                     LANE         N           </v>
      </c>
      <c r="E12224" t="str">
        <f>"COLUMBUS                  "</f>
        <v xml:space="preserve">COLUMBUS                  </v>
      </c>
      <c r="F12224" t="str">
        <f t="shared" si="322"/>
        <v>MS</v>
      </c>
    </row>
    <row r="12225" spans="1:6" x14ac:dyDescent="0.25">
      <c r="A12225" t="str">
        <f>"006873595"</f>
        <v>006873595</v>
      </c>
      <c r="B12225" t="str">
        <f>"1447778998"</f>
        <v>1447778998</v>
      </c>
      <c r="C12225" t="str">
        <f>"363L00000X"</f>
        <v>363L00000X</v>
      </c>
      <c r="D12225" t="str">
        <f>"WALES                    DARIAN                   "</f>
        <v xml:space="preserve">WALES                    DARIAN                   </v>
      </c>
      <c r="E12225" t="str">
        <f>"OXFORD                    "</f>
        <v xml:space="preserve">OXFORD                    </v>
      </c>
      <c r="F12225" t="str">
        <f t="shared" si="322"/>
        <v>MS</v>
      </c>
    </row>
    <row r="12226" spans="1:6" x14ac:dyDescent="0.25">
      <c r="A12226" t="str">
        <f>"006875744"</f>
        <v>006875744</v>
      </c>
      <c r="B12226" t="str">
        <f>"1154540359"</f>
        <v>1154540359</v>
      </c>
      <c r="C12226" t="str">
        <f>"207W00000X"</f>
        <v>207W00000X</v>
      </c>
      <c r="D12226" t="str">
        <f>"GRAVES                   EMILY        T           "</f>
        <v xml:space="preserve">GRAVES                   EMILY        T           </v>
      </c>
      <c r="E12226" t="str">
        <f>"OXFORD                    "</f>
        <v xml:space="preserve">OXFORD                    </v>
      </c>
      <c r="F12226" t="str">
        <f t="shared" si="322"/>
        <v>MS</v>
      </c>
    </row>
    <row r="12227" spans="1:6" x14ac:dyDescent="0.25">
      <c r="A12227" t="str">
        <f>"006875865"</f>
        <v>006875865</v>
      </c>
      <c r="B12227" t="str">
        <f>"1194075416"</f>
        <v>1194075416</v>
      </c>
      <c r="C12227" t="str">
        <f>"363L00000X"</f>
        <v>363L00000X</v>
      </c>
      <c r="D12227" t="str">
        <f>"NOLAN                    MELISSA                  "</f>
        <v xml:space="preserve">NOLAN                    MELISSA                  </v>
      </c>
      <c r="E12227" t="str">
        <f>"TUPELO                    "</f>
        <v xml:space="preserve">TUPELO                    </v>
      </c>
      <c r="F12227" t="str">
        <f t="shared" si="322"/>
        <v>MS</v>
      </c>
    </row>
    <row r="12228" spans="1:6" x14ac:dyDescent="0.25">
      <c r="A12228" t="str">
        <f>"006876298"</f>
        <v>006876298</v>
      </c>
      <c r="B12228" t="str">
        <f>"1073893624"</f>
        <v>1073893624</v>
      </c>
      <c r="C12228" t="str">
        <f>"363L00000X"</f>
        <v>363L00000X</v>
      </c>
      <c r="D12228" t="str">
        <f>"PELEGRIN                 TAMMY        L           "</f>
        <v xml:space="preserve">PELEGRIN                 TAMMY        L           </v>
      </c>
      <c r="E12228" t="str">
        <f>"TUPELO                    "</f>
        <v xml:space="preserve">TUPELO                    </v>
      </c>
      <c r="F12228" t="str">
        <f t="shared" si="322"/>
        <v>MS</v>
      </c>
    </row>
    <row r="12229" spans="1:6" x14ac:dyDescent="0.25">
      <c r="A12229" t="str">
        <f>"006877724"</f>
        <v>006877724</v>
      </c>
      <c r="B12229" t="str">
        <f>"1518911445"</f>
        <v>1518911445</v>
      </c>
      <c r="C12229" t="str">
        <f>"208000000X"</f>
        <v>208000000X</v>
      </c>
      <c r="D12229" t="str">
        <f>"PUJARI                   ACHYUTHA     S           "</f>
        <v xml:space="preserve">PUJARI                   ACHYUTHA     S           </v>
      </c>
      <c r="E12229" t="str">
        <f>"ELLISVILLE                "</f>
        <v xml:space="preserve">ELLISVILLE                </v>
      </c>
      <c r="F12229" t="str">
        <f t="shared" si="322"/>
        <v>MS</v>
      </c>
    </row>
    <row r="12230" spans="1:6" x14ac:dyDescent="0.25">
      <c r="A12230" t="str">
        <f>"006878090"</f>
        <v>006878090</v>
      </c>
      <c r="B12230" t="str">
        <f>"1053688085"</f>
        <v>1053688085</v>
      </c>
      <c r="C12230" t="str">
        <f>"152W00000X"</f>
        <v>152W00000X</v>
      </c>
      <c r="D12230" t="str">
        <f>"TROUPE                   AMANDA       M           "</f>
        <v xml:space="preserve">TROUPE                   AMANDA       M           </v>
      </c>
      <c r="E12230" t="str">
        <f>"WEST POINT                "</f>
        <v xml:space="preserve">WEST POINT                </v>
      </c>
      <c r="F12230" t="str">
        <f t="shared" si="322"/>
        <v>MS</v>
      </c>
    </row>
    <row r="12231" spans="1:6" x14ac:dyDescent="0.25">
      <c r="A12231" t="str">
        <f>"006879334"</f>
        <v>006879334</v>
      </c>
      <c r="B12231" t="str">
        <f>"1730141995"</f>
        <v>1730141995</v>
      </c>
      <c r="C12231" t="str">
        <f>"363L00000X"</f>
        <v>363L00000X</v>
      </c>
      <c r="D12231" t="str">
        <f>"MCMINN                   JENNIFER                 "</f>
        <v xml:space="preserve">MCMINN                   JENNIFER                 </v>
      </c>
      <c r="E12231" t="str">
        <f>"POTTS CAMP                "</f>
        <v xml:space="preserve">POTTS CAMP                </v>
      </c>
      <c r="F12231" t="str">
        <f t="shared" si="322"/>
        <v>MS</v>
      </c>
    </row>
    <row r="12232" spans="1:6" x14ac:dyDescent="0.25">
      <c r="A12232" t="str">
        <f>"006879707"</f>
        <v>006879707</v>
      </c>
      <c r="B12232" t="str">
        <f>"1750797874"</f>
        <v>1750797874</v>
      </c>
      <c r="C12232" t="str">
        <f>"363L00000X"</f>
        <v>363L00000X</v>
      </c>
      <c r="D12232" t="str">
        <f>"BOONE                    SHELLY       R           "</f>
        <v xml:space="preserve">BOONE                    SHELLY       R           </v>
      </c>
      <c r="E12232" t="str">
        <f>"FOREST                    "</f>
        <v xml:space="preserve">FOREST                    </v>
      </c>
      <c r="F12232" t="str">
        <f t="shared" si="322"/>
        <v>MS</v>
      </c>
    </row>
    <row r="12233" spans="1:6" x14ac:dyDescent="0.25">
      <c r="A12233" t="str">
        <f>"006880579"</f>
        <v>006880579</v>
      </c>
      <c r="B12233" t="str">
        <f>"1538693510"</f>
        <v>1538693510</v>
      </c>
      <c r="C12233" t="str">
        <f>"363L00000X"</f>
        <v>363L00000X</v>
      </c>
      <c r="D12233" t="str">
        <f>"TURNER                   WILLIAM      S           "</f>
        <v xml:space="preserve">TURNER                   WILLIAM      S           </v>
      </c>
      <c r="E12233" t="str">
        <f>"HATTIESBURG               "</f>
        <v xml:space="preserve">HATTIESBURG               </v>
      </c>
      <c r="F12233" t="str">
        <f t="shared" si="322"/>
        <v>MS</v>
      </c>
    </row>
    <row r="12234" spans="1:6" x14ac:dyDescent="0.25">
      <c r="A12234" t="str">
        <f>"006880766"</f>
        <v>006880766</v>
      </c>
      <c r="B12234" t="str">
        <f>"1851653315"</f>
        <v>1851653315</v>
      </c>
      <c r="C12234" t="str">
        <f>"207R00000X"</f>
        <v>207R00000X</v>
      </c>
      <c r="D12234" t="str">
        <f>"HARLESS                  ADAM         C           "</f>
        <v xml:space="preserve">HARLESS                  ADAM         C           </v>
      </c>
      <c r="E12234" t="str">
        <f>"HATTIESBURG               "</f>
        <v xml:space="preserve">HATTIESBURG               </v>
      </c>
      <c r="F12234" t="str">
        <f t="shared" si="322"/>
        <v>MS</v>
      </c>
    </row>
    <row r="12235" spans="1:6" x14ac:dyDescent="0.25">
      <c r="A12235" t="str">
        <f>"006880828"</f>
        <v>006880828</v>
      </c>
      <c r="B12235" t="str">
        <f>"1720552268"</f>
        <v>1720552268</v>
      </c>
      <c r="C12235" t="str">
        <f>"363L00000X"</f>
        <v>363L00000X</v>
      </c>
      <c r="D12235" t="str">
        <f>"GARDNER                  BRITTANY     C           "</f>
        <v xml:space="preserve">GARDNER                  BRITTANY     C           </v>
      </c>
      <c r="E12235" t="str">
        <f>"LAUREL                    "</f>
        <v xml:space="preserve">LAUREL                    </v>
      </c>
      <c r="F12235" t="str">
        <f t="shared" si="322"/>
        <v>MS</v>
      </c>
    </row>
    <row r="12236" spans="1:6" x14ac:dyDescent="0.25">
      <c r="A12236" t="str">
        <f>"006884298"</f>
        <v>006884298</v>
      </c>
      <c r="B12236" t="str">
        <f>"1275101016"</f>
        <v>1275101016</v>
      </c>
      <c r="C12236" t="str">
        <f>"122300000X"</f>
        <v>122300000X</v>
      </c>
      <c r="D12236" t="str">
        <f>"PEYTON                   OLIVIA       K           "</f>
        <v xml:space="preserve">PEYTON                   OLIVIA       K           </v>
      </c>
      <c r="E12236" t="str">
        <f>"CLEVELAND                 "</f>
        <v xml:space="preserve">CLEVELAND                 </v>
      </c>
      <c r="F12236" t="str">
        <f t="shared" si="322"/>
        <v>MS</v>
      </c>
    </row>
    <row r="12237" spans="1:6" x14ac:dyDescent="0.25">
      <c r="A12237" t="str">
        <f>"006884825"</f>
        <v>006884825</v>
      </c>
      <c r="B12237" t="str">
        <f>"1609416544"</f>
        <v>1609416544</v>
      </c>
      <c r="C12237" t="str">
        <f>"363L00000X"</f>
        <v>363L00000X</v>
      </c>
      <c r="D12237" t="str">
        <f>"EVANS                    REGINA       J           "</f>
        <v xml:space="preserve">EVANS                    REGINA       J           </v>
      </c>
      <c r="E12237" t="str">
        <f>"GREENVILLE                "</f>
        <v xml:space="preserve">GREENVILLE                </v>
      </c>
      <c r="F12237" t="str">
        <f t="shared" si="322"/>
        <v>MS</v>
      </c>
    </row>
    <row r="12238" spans="1:6" x14ac:dyDescent="0.25">
      <c r="A12238" t="str">
        <f>"006885280"</f>
        <v>006885280</v>
      </c>
      <c r="B12238" t="str">
        <f>"1134393473"</f>
        <v>1134393473</v>
      </c>
      <c r="C12238" t="str">
        <f>"207RP1001X"</f>
        <v>207RP1001X</v>
      </c>
      <c r="D12238" t="str">
        <f>"KYAW                     YADANA                   "</f>
        <v xml:space="preserve">KYAW                     YADANA                   </v>
      </c>
      <c r="E12238" t="str">
        <f>"SOUTHAVEN                 "</f>
        <v xml:space="preserve">SOUTHAVEN                 </v>
      </c>
      <c r="F12238" t="str">
        <f t="shared" si="322"/>
        <v>MS</v>
      </c>
    </row>
    <row r="12239" spans="1:6" x14ac:dyDescent="0.25">
      <c r="A12239" t="str">
        <f>"006887066"</f>
        <v>006887066</v>
      </c>
      <c r="B12239" t="str">
        <f>"1366515470"</f>
        <v>1366515470</v>
      </c>
      <c r="C12239" t="str">
        <f>"261QF0400X"</f>
        <v>261QF0400X</v>
      </c>
      <c r="D12239" t="str">
        <f>"COASTAL FAMILY HEALTH CENTER                      "</f>
        <v xml:space="preserve">COASTAL FAMILY HEALTH CENTER                      </v>
      </c>
      <c r="E12239" t="str">
        <f>"LEAKESVILLE               "</f>
        <v xml:space="preserve">LEAKESVILLE               </v>
      </c>
      <c r="F12239" t="str">
        <f t="shared" si="322"/>
        <v>MS</v>
      </c>
    </row>
    <row r="12240" spans="1:6" x14ac:dyDescent="0.25">
      <c r="A12240" t="str">
        <f>"006887275"</f>
        <v>006887275</v>
      </c>
      <c r="B12240" t="str">
        <f>"1902878945"</f>
        <v>1902878945</v>
      </c>
      <c r="C12240" t="str">
        <f>"367500000X"</f>
        <v>367500000X</v>
      </c>
      <c r="D12240" t="str">
        <f>"MCCULLEN                 DAVID                    "</f>
        <v xml:space="preserve">MCCULLEN                 DAVID                    </v>
      </c>
      <c r="E12240" t="str">
        <f>"CLARKSDALE                "</f>
        <v xml:space="preserve">CLARKSDALE                </v>
      </c>
      <c r="F12240" t="str">
        <f t="shared" si="322"/>
        <v>MS</v>
      </c>
    </row>
    <row r="12241" spans="1:6" x14ac:dyDescent="0.25">
      <c r="A12241" t="str">
        <f>"006888308"</f>
        <v>006888308</v>
      </c>
      <c r="B12241" t="str">
        <f>"1780354217"</f>
        <v>1780354217</v>
      </c>
      <c r="C12241" t="str">
        <f>"363L00000X"</f>
        <v>363L00000X</v>
      </c>
      <c r="D12241" t="str">
        <f>"SMITH                    JENNIFER     R           "</f>
        <v xml:space="preserve">SMITH                    JENNIFER     R           </v>
      </c>
      <c r="E12241" t="str">
        <f>"MOSELLE                   "</f>
        <v xml:space="preserve">MOSELLE                   </v>
      </c>
      <c r="F12241" t="str">
        <f t="shared" si="322"/>
        <v>MS</v>
      </c>
    </row>
    <row r="12242" spans="1:6" x14ac:dyDescent="0.25">
      <c r="A12242" t="str">
        <f>"006888741"</f>
        <v>006888741</v>
      </c>
      <c r="B12242" t="str">
        <f>"1285831222"</f>
        <v>1285831222</v>
      </c>
      <c r="C12242" t="str">
        <f>"207L00000X"</f>
        <v>207L00000X</v>
      </c>
      <c r="D12242" t="str">
        <f>"MASON                    CHAWLA       L           "</f>
        <v xml:space="preserve">MASON                    CHAWLA       L           </v>
      </c>
      <c r="E12242" t="str">
        <f>"JACKSON                   "</f>
        <v xml:space="preserve">JACKSON                   </v>
      </c>
      <c r="F12242" t="str">
        <f t="shared" si="322"/>
        <v>MS</v>
      </c>
    </row>
    <row r="12243" spans="1:6" x14ac:dyDescent="0.25">
      <c r="A12243" t="str">
        <f>"006889340"</f>
        <v>006889340</v>
      </c>
      <c r="B12243" t="str">
        <f>"1699137786"</f>
        <v>1699137786</v>
      </c>
      <c r="C12243" t="str">
        <f>"2086S0102X"</f>
        <v>2086S0102X</v>
      </c>
      <c r="D12243" t="str">
        <f>"FAIR                     LOGAN        D           "</f>
        <v xml:space="preserve">FAIR                     LOGAN        D           </v>
      </c>
      <c r="E12243" t="str">
        <f>"JACKSON                   "</f>
        <v xml:space="preserve">JACKSON                   </v>
      </c>
      <c r="F12243" t="str">
        <f t="shared" si="322"/>
        <v>MS</v>
      </c>
    </row>
    <row r="12244" spans="1:6" x14ac:dyDescent="0.25">
      <c r="A12244" t="str">
        <f>"006889531"</f>
        <v>006889531</v>
      </c>
      <c r="B12244" t="str">
        <f>"1972778421"</f>
        <v>1972778421</v>
      </c>
      <c r="C12244" t="str">
        <f>"363L00000X"</f>
        <v>363L00000X</v>
      </c>
      <c r="D12244" t="str">
        <f>"MURRAY                   CHERYL                   "</f>
        <v xml:space="preserve">MURRAY                   CHERYL                   </v>
      </c>
      <c r="E12244" t="str">
        <f>"FLOWOOD                   "</f>
        <v xml:space="preserve">FLOWOOD                   </v>
      </c>
      <c r="F12244" t="str">
        <f t="shared" si="322"/>
        <v>MS</v>
      </c>
    </row>
    <row r="12245" spans="1:6" x14ac:dyDescent="0.25">
      <c r="A12245" t="str">
        <f>"006900573"</f>
        <v>006900573</v>
      </c>
      <c r="B12245" t="str">
        <f>"1356504682"</f>
        <v>1356504682</v>
      </c>
      <c r="C12245" t="str">
        <f>"207R00000X"</f>
        <v>207R00000X</v>
      </c>
      <c r="D12245" t="str">
        <f>"HOGAN, III               REED         B           "</f>
        <v xml:space="preserve">HOGAN, III               REED         B           </v>
      </c>
      <c r="E12245" t="str">
        <f>"FLOWOOD                   "</f>
        <v xml:space="preserve">FLOWOOD                   </v>
      </c>
      <c r="F12245" t="str">
        <f t="shared" si="322"/>
        <v>MS</v>
      </c>
    </row>
    <row r="12246" spans="1:6" x14ac:dyDescent="0.25">
      <c r="A12246" t="str">
        <f>"006900863"</f>
        <v>006900863</v>
      </c>
      <c r="B12246" t="str">
        <f>"1831550607"</f>
        <v>1831550607</v>
      </c>
      <c r="C12246" t="str">
        <f>"363L00000X"</f>
        <v>363L00000X</v>
      </c>
      <c r="D12246" t="str">
        <f>"COOLIDGE                 JESSICA                  "</f>
        <v xml:space="preserve">COOLIDGE                 JESSICA                  </v>
      </c>
      <c r="E12246" t="str">
        <f>"GULFPORT                  "</f>
        <v xml:space="preserve">GULFPORT                  </v>
      </c>
      <c r="F12246" t="str">
        <f t="shared" si="322"/>
        <v>MS</v>
      </c>
    </row>
    <row r="12247" spans="1:6" x14ac:dyDescent="0.25">
      <c r="A12247" t="str">
        <f>"006902001"</f>
        <v>006902001</v>
      </c>
      <c r="B12247" t="str">
        <f>"1043427834"</f>
        <v>1043427834</v>
      </c>
      <c r="C12247" t="str">
        <f>"2084N0400X"</f>
        <v>2084N0400X</v>
      </c>
      <c r="D12247" t="str">
        <f>"MITCHELL                 MICHAEL      B           "</f>
        <v xml:space="preserve">MITCHELL                 MICHAEL      B           </v>
      </c>
      <c r="E12247" t="str">
        <f>"PICAYUNE                  "</f>
        <v xml:space="preserve">PICAYUNE                  </v>
      </c>
      <c r="F12247" t="str">
        <f t="shared" si="322"/>
        <v>MS</v>
      </c>
    </row>
    <row r="12248" spans="1:6" x14ac:dyDescent="0.25">
      <c r="A12248" t="str">
        <f>"006902563"</f>
        <v>006902563</v>
      </c>
      <c r="B12248" t="str">
        <f>"1568563385"</f>
        <v>1568563385</v>
      </c>
      <c r="C12248" t="str">
        <f>"208600000X"</f>
        <v>208600000X</v>
      </c>
      <c r="D12248" t="str">
        <f>"ADKINS                   JONATHAN     R           "</f>
        <v xml:space="preserve">ADKINS                   JONATHAN     R           </v>
      </c>
      <c r="E12248" t="str">
        <f>"JACKSON                   "</f>
        <v xml:space="preserve">JACKSON                   </v>
      </c>
      <c r="F12248" t="str">
        <f t="shared" si="322"/>
        <v>MS</v>
      </c>
    </row>
    <row r="12249" spans="1:6" x14ac:dyDescent="0.25">
      <c r="A12249" t="str">
        <f>"006902572"</f>
        <v>006902572</v>
      </c>
      <c r="B12249" t="str">
        <f>"1891183208"</f>
        <v>1891183208</v>
      </c>
      <c r="C12249" t="str">
        <f>"363L00000X"</f>
        <v>363L00000X</v>
      </c>
      <c r="D12249" t="str">
        <f>"RUSH                     KATIE        D           "</f>
        <v xml:space="preserve">RUSH                     KATIE        D           </v>
      </c>
      <c r="E12249" t="str">
        <f>"MAGEE                     "</f>
        <v xml:space="preserve">MAGEE                     </v>
      </c>
      <c r="F12249" t="str">
        <f t="shared" si="322"/>
        <v>MS</v>
      </c>
    </row>
    <row r="12250" spans="1:6" x14ac:dyDescent="0.25">
      <c r="A12250" t="str">
        <f>"006903314"</f>
        <v>006903314</v>
      </c>
      <c r="B12250" t="str">
        <f>"1265640577"</f>
        <v>1265640577</v>
      </c>
      <c r="C12250" t="str">
        <f>"207RI0200X"</f>
        <v>207RI0200X</v>
      </c>
      <c r="D12250" t="str">
        <f>"BARRETT                  BRET         J           "</f>
        <v xml:space="preserve">BARRETT                  BRET         J           </v>
      </c>
      <c r="E12250" t="str">
        <f>"JACKSON                   "</f>
        <v xml:space="preserve">JACKSON                   </v>
      </c>
      <c r="F12250" t="str">
        <f t="shared" si="322"/>
        <v>MS</v>
      </c>
    </row>
    <row r="12251" spans="1:6" x14ac:dyDescent="0.25">
      <c r="A12251" t="str">
        <f>"006903511"</f>
        <v>006903511</v>
      </c>
      <c r="B12251" t="str">
        <f>"1578784773"</f>
        <v>1578784773</v>
      </c>
      <c r="C12251" t="str">
        <f>"207P00000X"</f>
        <v>207P00000X</v>
      </c>
      <c r="D12251" t="str">
        <f>"GALLAHER                 PRESTON      C           "</f>
        <v xml:space="preserve">GALLAHER                 PRESTON      C           </v>
      </c>
      <c r="E12251" t="str">
        <f>"BATESVILLE                "</f>
        <v xml:space="preserve">BATESVILLE                </v>
      </c>
      <c r="F12251" t="str">
        <f t="shared" si="322"/>
        <v>MS</v>
      </c>
    </row>
    <row r="12252" spans="1:6" x14ac:dyDescent="0.25">
      <c r="A12252" t="str">
        <f>"006903758"</f>
        <v>006903758</v>
      </c>
      <c r="B12252" t="str">
        <f>"1396297453"</f>
        <v>1396297453</v>
      </c>
      <c r="C12252" t="str">
        <f>"363L00000X"</f>
        <v>363L00000X</v>
      </c>
      <c r="D12252" t="str">
        <f>"TURNER                   LAKEITHA     H           "</f>
        <v xml:space="preserve">TURNER                   LAKEITHA     H           </v>
      </c>
      <c r="E12252" t="str">
        <f>"FAYETTE                   "</f>
        <v xml:space="preserve">FAYETTE                   </v>
      </c>
      <c r="F12252" t="str">
        <f t="shared" si="322"/>
        <v>MS</v>
      </c>
    </row>
    <row r="12253" spans="1:6" x14ac:dyDescent="0.25">
      <c r="A12253" t="str">
        <f>"006906031"</f>
        <v>006906031</v>
      </c>
      <c r="B12253" t="str">
        <f>"1740484302"</f>
        <v>1740484302</v>
      </c>
      <c r="C12253" t="str">
        <f>"2086S0122X"</f>
        <v>2086S0122X</v>
      </c>
      <c r="D12253" t="str">
        <f>"CUSHING                  CAROLYN      A           "</f>
        <v xml:space="preserve">CUSHING                  CAROLYN      A           </v>
      </c>
      <c r="E12253" t="str">
        <f>"RIDGELAND                 "</f>
        <v xml:space="preserve">RIDGELAND                 </v>
      </c>
      <c r="F12253" t="str">
        <f t="shared" si="322"/>
        <v>MS</v>
      </c>
    </row>
    <row r="12254" spans="1:6" x14ac:dyDescent="0.25">
      <c r="A12254" t="str">
        <f>"006907230"</f>
        <v>006907230</v>
      </c>
      <c r="B12254" t="str">
        <f>"1932639077"</f>
        <v>1932639077</v>
      </c>
      <c r="C12254" t="str">
        <f>"122300000X"</f>
        <v>122300000X</v>
      </c>
      <c r="D12254" t="str">
        <f>"MOURAD                   FIRAS                    "</f>
        <v xml:space="preserve">MOURAD                   FIRAS                    </v>
      </c>
      <c r="E12254" t="str">
        <f>"JACKSON                   "</f>
        <v xml:space="preserve">JACKSON                   </v>
      </c>
      <c r="F12254" t="str">
        <f t="shared" si="322"/>
        <v>MS</v>
      </c>
    </row>
    <row r="12255" spans="1:6" x14ac:dyDescent="0.25">
      <c r="A12255" t="str">
        <f>"006908098"</f>
        <v>006908098</v>
      </c>
      <c r="B12255" t="str">
        <f>"1184101149"</f>
        <v>1184101149</v>
      </c>
      <c r="C12255" t="str">
        <f>"363L00000X"</f>
        <v>363L00000X</v>
      </c>
      <c r="D12255" t="str">
        <f>"HORNE                    BRODY                    "</f>
        <v xml:space="preserve">HORNE                    BRODY                    </v>
      </c>
      <c r="E12255" t="str">
        <f>"BATESVILLE                "</f>
        <v xml:space="preserve">BATESVILLE                </v>
      </c>
      <c r="F12255" t="str">
        <f t="shared" si="322"/>
        <v>MS</v>
      </c>
    </row>
    <row r="12256" spans="1:6" x14ac:dyDescent="0.25">
      <c r="A12256" t="str">
        <f>"006920307"</f>
        <v>006920307</v>
      </c>
      <c r="B12256" t="str">
        <f>"1831738087"</f>
        <v>1831738087</v>
      </c>
      <c r="C12256" t="str">
        <f>"1223E0200X"</f>
        <v>1223E0200X</v>
      </c>
      <c r="D12256" t="str">
        <f>"CLARK                    KENDRA                   "</f>
        <v xml:space="preserve">CLARK                    KENDRA                   </v>
      </c>
      <c r="E12256" t="str">
        <f>"BILOXI                    "</f>
        <v xml:space="preserve">BILOXI                    </v>
      </c>
      <c r="F12256" t="str">
        <f t="shared" si="322"/>
        <v>MS</v>
      </c>
    </row>
    <row r="12257" spans="1:6" x14ac:dyDescent="0.25">
      <c r="A12257" t="str">
        <f>"006921213"</f>
        <v>006921213</v>
      </c>
      <c r="B12257" t="str">
        <f>"1033201454"</f>
        <v>1033201454</v>
      </c>
      <c r="C12257" t="str">
        <f>"208000000X"</f>
        <v>208000000X</v>
      </c>
      <c r="D12257" t="str">
        <f>"POTTER                   AMY                      "</f>
        <v xml:space="preserve">POTTER                   AMY                      </v>
      </c>
      <c r="E12257" t="str">
        <f>"MADISON                   "</f>
        <v xml:space="preserve">MADISON                   </v>
      </c>
      <c r="F12257" t="str">
        <f t="shared" si="322"/>
        <v>MS</v>
      </c>
    </row>
    <row r="12258" spans="1:6" x14ac:dyDescent="0.25">
      <c r="A12258" t="str">
        <f>"006921230"</f>
        <v>006921230</v>
      </c>
      <c r="B12258" t="str">
        <f>"1740811280"</f>
        <v>1740811280</v>
      </c>
      <c r="C12258" t="str">
        <f>"363L00000X"</f>
        <v>363L00000X</v>
      </c>
      <c r="D12258" t="str">
        <f>"SULLIVAN                 CHANTAL                  "</f>
        <v xml:space="preserve">SULLIVAN                 CHANTAL                  </v>
      </c>
      <c r="E12258" t="str">
        <f>"GULFPORT                  "</f>
        <v xml:space="preserve">GULFPORT                  </v>
      </c>
      <c r="F12258" t="str">
        <f t="shared" si="322"/>
        <v>MS</v>
      </c>
    </row>
    <row r="12259" spans="1:6" x14ac:dyDescent="0.25">
      <c r="A12259" t="str">
        <f>"006921510"</f>
        <v>006921510</v>
      </c>
      <c r="B12259" t="str">
        <f>"1437719085"</f>
        <v>1437719085</v>
      </c>
      <c r="C12259" t="str">
        <f>"207Q00000X"</f>
        <v>207Q00000X</v>
      </c>
      <c r="D12259" t="str">
        <f>"CROSSWHITE               TYLER                    "</f>
        <v xml:space="preserve">CROSSWHITE               TYLER                    </v>
      </c>
      <c r="E12259" t="str">
        <f>"SALTILLO                  "</f>
        <v xml:space="preserve">SALTILLO                  </v>
      </c>
      <c r="F12259" t="str">
        <f t="shared" si="322"/>
        <v>MS</v>
      </c>
    </row>
    <row r="12260" spans="1:6" x14ac:dyDescent="0.25">
      <c r="A12260" t="str">
        <f>"006921702"</f>
        <v>006921702</v>
      </c>
      <c r="B12260" t="str">
        <f>"1457017253"</f>
        <v>1457017253</v>
      </c>
      <c r="C12260" t="str">
        <f>"363L00000X"</f>
        <v>363L00000X</v>
      </c>
      <c r="D12260" t="str">
        <f>"WARREN                   STEFANIE     G           "</f>
        <v xml:space="preserve">WARREN                   STEFANIE     G           </v>
      </c>
      <c r="E12260" t="str">
        <f>"GULFPORT                  "</f>
        <v xml:space="preserve">GULFPORT                  </v>
      </c>
      <c r="F12260" t="str">
        <f t="shared" si="322"/>
        <v>MS</v>
      </c>
    </row>
    <row r="12261" spans="1:6" x14ac:dyDescent="0.25">
      <c r="A12261" t="str">
        <f>"006922545"</f>
        <v>006922545</v>
      </c>
      <c r="B12261" t="str">
        <f>"1063163012"</f>
        <v>1063163012</v>
      </c>
      <c r="C12261" t="str">
        <f>"363L00000X"</f>
        <v>363L00000X</v>
      </c>
      <c r="D12261" t="str">
        <f>"GUILLOTTE                GINA         M           "</f>
        <v xml:space="preserve">GUILLOTTE                GINA         M           </v>
      </c>
      <c r="E12261" t="str">
        <f>"PASCAGOULA                "</f>
        <v xml:space="preserve">PASCAGOULA                </v>
      </c>
      <c r="F12261" t="str">
        <f t="shared" si="322"/>
        <v>MS</v>
      </c>
    </row>
    <row r="12262" spans="1:6" x14ac:dyDescent="0.25">
      <c r="A12262" t="str">
        <f>"006923343"</f>
        <v>006923343</v>
      </c>
      <c r="B12262" t="str">
        <f>"1811267040"</f>
        <v>1811267040</v>
      </c>
      <c r="C12262" t="str">
        <f>"363L00000X"</f>
        <v>363L00000X</v>
      </c>
      <c r="D12262" t="str">
        <f>"KEATON                   CHRISTOPHER  C           "</f>
        <v xml:space="preserve">KEATON                   CHRISTOPHER  C           </v>
      </c>
      <c r="E12262" t="str">
        <f>"MCCOMB                    "</f>
        <v xml:space="preserve">MCCOMB                    </v>
      </c>
      <c r="F12262" t="str">
        <f t="shared" si="322"/>
        <v>MS</v>
      </c>
    </row>
    <row r="12263" spans="1:6" x14ac:dyDescent="0.25">
      <c r="A12263" t="str">
        <f>"006924365"</f>
        <v>006924365</v>
      </c>
      <c r="B12263" t="str">
        <f>"1790835494"</f>
        <v>1790835494</v>
      </c>
      <c r="C12263" t="str">
        <f>"122300000X"</f>
        <v>122300000X</v>
      </c>
      <c r="D12263" t="str">
        <f>"STRINGFELLOW             APRIL        W           "</f>
        <v xml:space="preserve">STRINGFELLOW             APRIL        W           </v>
      </c>
      <c r="E12263" t="str">
        <f>"JACKSON                   "</f>
        <v xml:space="preserve">JACKSON                   </v>
      </c>
      <c r="F12263" t="str">
        <f t="shared" si="322"/>
        <v>MS</v>
      </c>
    </row>
    <row r="12264" spans="1:6" x14ac:dyDescent="0.25">
      <c r="A12264" t="str">
        <f>"006926015"</f>
        <v>006926015</v>
      </c>
      <c r="B12264" t="str">
        <f>"1699322024"</f>
        <v>1699322024</v>
      </c>
      <c r="C12264" t="str">
        <f>"363L00000X"</f>
        <v>363L00000X</v>
      </c>
      <c r="D12264" t="str">
        <f>"LIVINGS                  KIMBERLY     S           "</f>
        <v xml:space="preserve">LIVINGS                  KIMBERLY     S           </v>
      </c>
      <c r="E12264" t="str">
        <f>"PASS CHRISTIAN            "</f>
        <v xml:space="preserve">PASS CHRISTIAN            </v>
      </c>
      <c r="F12264" t="str">
        <f t="shared" si="322"/>
        <v>MS</v>
      </c>
    </row>
    <row r="12265" spans="1:6" x14ac:dyDescent="0.25">
      <c r="A12265" t="str">
        <f>"006927265"</f>
        <v>006927265</v>
      </c>
      <c r="B12265" t="str">
        <f>"1144517822"</f>
        <v>1144517822</v>
      </c>
      <c r="C12265" t="str">
        <f>"207Q00000X"</f>
        <v>207Q00000X</v>
      </c>
      <c r="D12265" t="str">
        <f>"WELLS                    JEREMY       B           "</f>
        <v xml:space="preserve">WELLS                    JEREMY       B           </v>
      </c>
      <c r="E12265" t="str">
        <f>"HATTIESBURG               "</f>
        <v xml:space="preserve">HATTIESBURG               </v>
      </c>
      <c r="F12265" t="str">
        <f t="shared" si="322"/>
        <v>MS</v>
      </c>
    </row>
    <row r="12266" spans="1:6" x14ac:dyDescent="0.25">
      <c r="A12266" t="str">
        <f>"006928711"</f>
        <v>006928711</v>
      </c>
      <c r="B12266" t="str">
        <f>"1356729396"</f>
        <v>1356729396</v>
      </c>
      <c r="C12266" t="str">
        <f>"207L00000X"</f>
        <v>207L00000X</v>
      </c>
      <c r="D12266" t="str">
        <f>"CHENG                    NANCY                    "</f>
        <v xml:space="preserve">CHENG                    NANCY                    </v>
      </c>
      <c r="E12266" t="str">
        <f>"OCEAN SPRINGS             "</f>
        <v xml:space="preserve">OCEAN SPRINGS             </v>
      </c>
      <c r="F12266" t="str">
        <f t="shared" si="322"/>
        <v>MS</v>
      </c>
    </row>
    <row r="12267" spans="1:6" x14ac:dyDescent="0.25">
      <c r="A12267" t="str">
        <f>"006929835"</f>
        <v>006929835</v>
      </c>
      <c r="B12267" t="str">
        <f>"1821367053"</f>
        <v>1821367053</v>
      </c>
      <c r="C12267" t="str">
        <f>"207LP2900X"</f>
        <v>207LP2900X</v>
      </c>
      <c r="D12267" t="str">
        <f>"RUGNATH                  ANESH        P           "</f>
        <v xml:space="preserve">RUGNATH                  ANESH        P           </v>
      </c>
      <c r="E12267" t="str">
        <f>"JACKSON                   "</f>
        <v xml:space="preserve">JACKSON                   </v>
      </c>
      <c r="F12267" t="str">
        <f t="shared" si="322"/>
        <v>MS</v>
      </c>
    </row>
    <row r="12268" spans="1:6" x14ac:dyDescent="0.25">
      <c r="A12268" t="str">
        <f>"006931595"</f>
        <v>006931595</v>
      </c>
      <c r="B12268" t="str">
        <f>"1821024241"</f>
        <v>1821024241</v>
      </c>
      <c r="C12268" t="str">
        <f>"363L00000X"</f>
        <v>363L00000X</v>
      </c>
      <c r="D12268" t="str">
        <f>"RAMSEY                   KALISA       K           "</f>
        <v xml:space="preserve">RAMSEY                   KALISA       K           </v>
      </c>
      <c r="E12268" t="str">
        <f>"JACKSON                   "</f>
        <v xml:space="preserve">JACKSON                   </v>
      </c>
      <c r="F12268" t="str">
        <f t="shared" si="322"/>
        <v>MS</v>
      </c>
    </row>
    <row r="12269" spans="1:6" x14ac:dyDescent="0.25">
      <c r="A12269" t="str">
        <f>"006931769"</f>
        <v>006931769</v>
      </c>
      <c r="B12269" t="str">
        <f>"1679993257"</f>
        <v>1679993257</v>
      </c>
      <c r="C12269" t="str">
        <f>"208000000X"</f>
        <v>208000000X</v>
      </c>
      <c r="D12269" t="str">
        <f>"HULIN                    MARY         W           "</f>
        <v xml:space="preserve">HULIN                    MARY         W           </v>
      </c>
      <c r="E12269" t="str">
        <f>"LONG BEACH                "</f>
        <v xml:space="preserve">LONG BEACH                </v>
      </c>
      <c r="F12269" t="str">
        <f t="shared" si="322"/>
        <v>MS</v>
      </c>
    </row>
    <row r="12270" spans="1:6" x14ac:dyDescent="0.25">
      <c r="A12270" t="str">
        <f>"006932593"</f>
        <v>006932593</v>
      </c>
      <c r="B12270" t="str">
        <f>"1225284433"</f>
        <v>1225284433</v>
      </c>
      <c r="C12270" t="str">
        <f>"122300000X"</f>
        <v>122300000X</v>
      </c>
      <c r="D12270" t="str">
        <f>"WARE                     TERRANCE     L           "</f>
        <v xml:space="preserve">WARE                     TERRANCE     L           </v>
      </c>
      <c r="E12270" t="str">
        <f>"JACKSON                   "</f>
        <v xml:space="preserve">JACKSON                   </v>
      </c>
      <c r="F12270" t="str">
        <f t="shared" si="322"/>
        <v>MS</v>
      </c>
    </row>
    <row r="12271" spans="1:6" x14ac:dyDescent="0.25">
      <c r="A12271" t="str">
        <f>"006934765"</f>
        <v>006934765</v>
      </c>
      <c r="B12271" t="str">
        <f>"1730798950"</f>
        <v>1730798950</v>
      </c>
      <c r="C12271" t="str">
        <f>"363AM0700X"</f>
        <v>363AM0700X</v>
      </c>
      <c r="D12271" t="str">
        <f>"WALKER                   TARA         T           "</f>
        <v xml:space="preserve">WALKER                   TARA         T           </v>
      </c>
      <c r="E12271" t="str">
        <f>"MADISON                   "</f>
        <v xml:space="preserve">MADISON                   </v>
      </c>
      <c r="F12271" t="str">
        <f t="shared" si="322"/>
        <v>MS</v>
      </c>
    </row>
    <row r="12272" spans="1:6" x14ac:dyDescent="0.25">
      <c r="A12272" t="str">
        <f>"006936896"</f>
        <v>006936896</v>
      </c>
      <c r="B12272" t="str">
        <f>"1043268535"</f>
        <v>1043268535</v>
      </c>
      <c r="C12272" t="str">
        <f>"363L00000X"</f>
        <v>363L00000X</v>
      </c>
      <c r="D12272" t="str">
        <f>"SYMMES                   MARY         E           "</f>
        <v xml:space="preserve">SYMMES                   MARY         E           </v>
      </c>
      <c r="E12272" t="str">
        <f>"BILOXI                    "</f>
        <v xml:space="preserve">BILOXI                    </v>
      </c>
      <c r="F12272" t="str">
        <f t="shared" si="322"/>
        <v>MS</v>
      </c>
    </row>
    <row r="12273" spans="1:6" x14ac:dyDescent="0.25">
      <c r="A12273" t="str">
        <f>"006937799"</f>
        <v>006937799</v>
      </c>
      <c r="B12273" t="str">
        <f>"1922767938"</f>
        <v>1922767938</v>
      </c>
      <c r="C12273" t="str">
        <f>"363L00000X"</f>
        <v>363L00000X</v>
      </c>
      <c r="D12273" t="str">
        <f>"HANKINS                  AMBER        B           "</f>
        <v xml:space="preserve">HANKINS                  AMBER        B           </v>
      </c>
      <c r="E12273" t="str">
        <f>"GRENADA                   "</f>
        <v xml:space="preserve">GRENADA                   </v>
      </c>
      <c r="F12273" t="str">
        <f t="shared" si="322"/>
        <v>MS</v>
      </c>
    </row>
    <row r="12274" spans="1:6" x14ac:dyDescent="0.25">
      <c r="A12274" t="str">
        <f>"006939044"</f>
        <v>006939044</v>
      </c>
      <c r="B12274" t="str">
        <f>"1134667843"</f>
        <v>1134667843</v>
      </c>
      <c r="C12274" t="str">
        <f>"363L00000X"</f>
        <v>363L00000X</v>
      </c>
      <c r="D12274" t="str">
        <f>"SIMMONS                  BONNEY       N           "</f>
        <v xml:space="preserve">SIMMONS                  BONNEY       N           </v>
      </c>
      <c r="E12274" t="str">
        <f>"JACKSON                   "</f>
        <v xml:space="preserve">JACKSON                   </v>
      </c>
      <c r="F12274" t="str">
        <f t="shared" si="322"/>
        <v>MS</v>
      </c>
    </row>
    <row r="12275" spans="1:6" x14ac:dyDescent="0.25">
      <c r="A12275" t="str">
        <f>"006939258"</f>
        <v>006939258</v>
      </c>
      <c r="B12275" t="str">
        <f>"1417561614"</f>
        <v>1417561614</v>
      </c>
      <c r="C12275" t="str">
        <f>"363L00000X"</f>
        <v>363L00000X</v>
      </c>
      <c r="D12275" t="str">
        <f>"BILBRO                   SHELLY                   "</f>
        <v xml:space="preserve">BILBRO                   SHELLY                   </v>
      </c>
      <c r="E12275" t="str">
        <f>"FLOWOOD                   "</f>
        <v xml:space="preserve">FLOWOOD                   </v>
      </c>
      <c r="F12275" t="str">
        <f t="shared" si="322"/>
        <v>MS</v>
      </c>
    </row>
    <row r="12276" spans="1:6" x14ac:dyDescent="0.25">
      <c r="A12276" t="str">
        <f>"006939583"</f>
        <v>006939583</v>
      </c>
      <c r="B12276" t="str">
        <f>"1164683702"</f>
        <v>1164683702</v>
      </c>
      <c r="C12276" t="str">
        <f>"363L00000X"</f>
        <v>363L00000X</v>
      </c>
      <c r="D12276" t="str">
        <f>"RICHARDSON               JENNIFER                 "</f>
        <v xml:space="preserve">RICHARDSON               JENNIFER                 </v>
      </c>
      <c r="E12276" t="str">
        <f>"FLOWOOD                   "</f>
        <v xml:space="preserve">FLOWOOD                   </v>
      </c>
      <c r="F12276" t="str">
        <f t="shared" si="322"/>
        <v>MS</v>
      </c>
    </row>
    <row r="12277" spans="1:6" x14ac:dyDescent="0.25">
      <c r="A12277" t="str">
        <f>"006951091"</f>
        <v>006951091</v>
      </c>
      <c r="B12277" t="str">
        <f>"1841782737"</f>
        <v>1841782737</v>
      </c>
      <c r="C12277" t="str">
        <f>"122300000X"</f>
        <v>122300000X</v>
      </c>
      <c r="D12277" t="str">
        <f>"ABLES                    JULIE        A           "</f>
        <v xml:space="preserve">ABLES                    JULIE        A           </v>
      </c>
      <c r="E12277" t="str">
        <f>"STARKVILLE                "</f>
        <v xml:space="preserve">STARKVILLE                </v>
      </c>
      <c r="F12277" t="str">
        <f t="shared" si="322"/>
        <v>MS</v>
      </c>
    </row>
    <row r="12278" spans="1:6" x14ac:dyDescent="0.25">
      <c r="A12278" t="str">
        <f>"006954074"</f>
        <v>006954074</v>
      </c>
      <c r="B12278" t="str">
        <f>"1558386698"</f>
        <v>1558386698</v>
      </c>
      <c r="C12278" t="str">
        <f>"207P00000X"</f>
        <v>207P00000X</v>
      </c>
      <c r="D12278" t="str">
        <f>"SHAFER                   KILEY        P           "</f>
        <v xml:space="preserve">SHAFER                   KILEY        P           </v>
      </c>
      <c r="E12278" t="str">
        <f>"TUPELO                    "</f>
        <v xml:space="preserve">TUPELO                    </v>
      </c>
      <c r="F12278" t="str">
        <f t="shared" si="322"/>
        <v>MS</v>
      </c>
    </row>
    <row r="12279" spans="1:6" x14ac:dyDescent="0.25">
      <c r="A12279" t="str">
        <f>"006955358"</f>
        <v>006955358</v>
      </c>
      <c r="B12279" t="str">
        <f>"1043638869"</f>
        <v>1043638869</v>
      </c>
      <c r="C12279" t="str">
        <f>"363L00000X"</f>
        <v>363L00000X</v>
      </c>
      <c r="D12279" t="str">
        <f>"CARNEY                   WENDELL      T           "</f>
        <v xml:space="preserve">CARNEY                   WENDELL      T           </v>
      </c>
      <c r="E12279" t="str">
        <f>"QUITMAN                   "</f>
        <v xml:space="preserve">QUITMAN                   </v>
      </c>
      <c r="F12279" t="str">
        <f t="shared" si="322"/>
        <v>MS</v>
      </c>
    </row>
    <row r="12280" spans="1:6" x14ac:dyDescent="0.25">
      <c r="A12280" t="str">
        <f>"006958293"</f>
        <v>006958293</v>
      </c>
      <c r="B12280" t="str">
        <f>"1609238351"</f>
        <v>1609238351</v>
      </c>
      <c r="C12280" t="str">
        <f>"208000000X"</f>
        <v>208000000X</v>
      </c>
      <c r="D12280" t="str">
        <f>"MULLINS                  DANIEL       C           "</f>
        <v xml:space="preserve">MULLINS                  DANIEL       C           </v>
      </c>
      <c r="E12280" t="str">
        <f>"FLOWOOD                   "</f>
        <v xml:space="preserve">FLOWOOD                   </v>
      </c>
      <c r="F12280" t="str">
        <f t="shared" si="322"/>
        <v>MS</v>
      </c>
    </row>
    <row r="12281" spans="1:6" x14ac:dyDescent="0.25">
      <c r="A12281" t="str">
        <f>"006958839"</f>
        <v>006958839</v>
      </c>
      <c r="B12281" t="str">
        <f>"1821046145"</f>
        <v>1821046145</v>
      </c>
      <c r="C12281" t="str">
        <f>"367500000X"</f>
        <v>367500000X</v>
      </c>
      <c r="D12281" t="str">
        <f>"ADCOCK                   GERALD       T           "</f>
        <v xml:space="preserve">ADCOCK                   GERALD       T           </v>
      </c>
      <c r="E12281" t="str">
        <f>"JACKSON                   "</f>
        <v xml:space="preserve">JACKSON                   </v>
      </c>
      <c r="F12281" t="str">
        <f t="shared" si="322"/>
        <v>MS</v>
      </c>
    </row>
    <row r="12282" spans="1:6" x14ac:dyDescent="0.25">
      <c r="A12282" t="str">
        <f>"006971506"</f>
        <v>006971506</v>
      </c>
      <c r="B12282" t="str">
        <f>"1770996084"</f>
        <v>1770996084</v>
      </c>
      <c r="C12282" t="str">
        <f>"122300000X"</f>
        <v>122300000X</v>
      </c>
      <c r="D12282" t="str">
        <f>"WILBOURN                 JENNIFER     C           "</f>
        <v xml:space="preserve">WILBOURN                 JENNIFER     C           </v>
      </c>
      <c r="E12282" t="str">
        <f>"OXFORD                    "</f>
        <v xml:space="preserve">OXFORD                    </v>
      </c>
      <c r="F12282" t="str">
        <f t="shared" si="322"/>
        <v>MS</v>
      </c>
    </row>
    <row r="12283" spans="1:6" x14ac:dyDescent="0.25">
      <c r="A12283" t="str">
        <f>"006972550"</f>
        <v>006972550</v>
      </c>
      <c r="B12283" t="str">
        <f>"1811229057"</f>
        <v>1811229057</v>
      </c>
      <c r="C12283" t="str">
        <f>"2085R0202X"</f>
        <v>2085R0202X</v>
      </c>
      <c r="D12283" t="str">
        <f>"PANDE                    LEENA        P           "</f>
        <v xml:space="preserve">PANDE                    LEENA        P           </v>
      </c>
      <c r="E12283" t="str">
        <f>"GULFPORT                  "</f>
        <v xml:space="preserve">GULFPORT                  </v>
      </c>
      <c r="F12283" t="str">
        <f t="shared" si="322"/>
        <v>MS</v>
      </c>
    </row>
    <row r="12284" spans="1:6" x14ac:dyDescent="0.25">
      <c r="A12284" t="str">
        <f>"006974744"</f>
        <v>006974744</v>
      </c>
      <c r="B12284" t="str">
        <f>"1457513202"</f>
        <v>1457513202</v>
      </c>
      <c r="C12284" t="str">
        <f>"207X00000X"</f>
        <v>207X00000X</v>
      </c>
      <c r="D12284" t="str">
        <f>"BAKER                    DONALD       E           "</f>
        <v xml:space="preserve">BAKER                    DONALD       E           </v>
      </c>
      <c r="E12284" t="str">
        <f>"JACKSON                   "</f>
        <v xml:space="preserve">JACKSON                   </v>
      </c>
      <c r="F12284" t="str">
        <f t="shared" si="322"/>
        <v>MS</v>
      </c>
    </row>
    <row r="12285" spans="1:6" x14ac:dyDescent="0.25">
      <c r="A12285" t="str">
        <f>"006974850"</f>
        <v>006974850</v>
      </c>
      <c r="B12285" t="str">
        <f>"1841249489"</f>
        <v>1841249489</v>
      </c>
      <c r="C12285" t="str">
        <f>"363A00000X"</f>
        <v>363A00000X</v>
      </c>
      <c r="D12285" t="str">
        <f>"MARTIN                   BRADLEY      J           "</f>
        <v xml:space="preserve">MARTIN                   BRADLEY      J           </v>
      </c>
      <c r="E12285" t="str">
        <f>"BROOKHAVEN                "</f>
        <v xml:space="preserve">BROOKHAVEN                </v>
      </c>
      <c r="F12285" t="str">
        <f t="shared" si="322"/>
        <v>MS</v>
      </c>
    </row>
    <row r="12286" spans="1:6" x14ac:dyDescent="0.25">
      <c r="A12286" t="str">
        <f>"006974886"</f>
        <v>006974886</v>
      </c>
      <c r="B12286" t="str">
        <f>"1467688986"</f>
        <v>1467688986</v>
      </c>
      <c r="C12286" t="str">
        <f>"363L00000X"</f>
        <v>363L00000X</v>
      </c>
      <c r="D12286" t="str">
        <f>"SKAGGS                   JUDY         P           "</f>
        <v xml:space="preserve">SKAGGS                   JUDY         P           </v>
      </c>
      <c r="E12286" t="str">
        <f>"COLLINS                   "</f>
        <v xml:space="preserve">COLLINS                   </v>
      </c>
      <c r="F12286" t="str">
        <f t="shared" ref="F12286:F12349" si="323">"MS"</f>
        <v>MS</v>
      </c>
    </row>
    <row r="12287" spans="1:6" x14ac:dyDescent="0.25">
      <c r="A12287" t="str">
        <f>"006976780"</f>
        <v>006976780</v>
      </c>
      <c r="B12287" t="str">
        <f>"1376732313"</f>
        <v>1376732313</v>
      </c>
      <c r="C12287" t="str">
        <f>"261QF0400X"</f>
        <v>261QF0400X</v>
      </c>
      <c r="D12287" t="str">
        <f>"JHCHC-ISABLE                                      "</f>
        <v xml:space="preserve">JHCHC-ISABLE                                      </v>
      </c>
      <c r="E12287" t="str">
        <f>"JACKSON                   "</f>
        <v xml:space="preserve">JACKSON                   </v>
      </c>
      <c r="F12287" t="str">
        <f t="shared" si="323"/>
        <v>MS</v>
      </c>
    </row>
    <row r="12288" spans="1:6" x14ac:dyDescent="0.25">
      <c r="A12288" t="str">
        <f>"006978220"</f>
        <v>006978220</v>
      </c>
      <c r="B12288" t="str">
        <f>"1861037749"</f>
        <v>1861037749</v>
      </c>
      <c r="C12288" t="str">
        <f>"261QR1300X"</f>
        <v>261QR1300X</v>
      </c>
      <c r="D12288" t="str">
        <f>"SOUTH CENTRAL CLINICS INC                         "</f>
        <v xml:space="preserve">SOUTH CENTRAL CLINICS INC                         </v>
      </c>
      <c r="E12288" t="str">
        <f>"LAUREL                    "</f>
        <v xml:space="preserve">LAUREL                    </v>
      </c>
      <c r="F12288" t="str">
        <f t="shared" si="323"/>
        <v>MS</v>
      </c>
    </row>
    <row r="12289" spans="1:6" x14ac:dyDescent="0.25">
      <c r="A12289" t="str">
        <f>"006980598"</f>
        <v>006980598</v>
      </c>
      <c r="B12289" t="str">
        <f>"1932527967"</f>
        <v>1932527967</v>
      </c>
      <c r="C12289" t="str">
        <f>"363L00000X"</f>
        <v>363L00000X</v>
      </c>
      <c r="D12289" t="str">
        <f>"KEYS                     BRIDGET      D           "</f>
        <v xml:space="preserve">KEYS                     BRIDGET      D           </v>
      </c>
      <c r="E12289" t="str">
        <f>"LEAKESVILLE               "</f>
        <v xml:space="preserve">LEAKESVILLE               </v>
      </c>
      <c r="F12289" t="str">
        <f t="shared" si="323"/>
        <v>MS</v>
      </c>
    </row>
    <row r="12290" spans="1:6" x14ac:dyDescent="0.25">
      <c r="A12290" t="str">
        <f>"006981005"</f>
        <v>006981005</v>
      </c>
      <c r="B12290" t="str">
        <f>"1073948790"</f>
        <v>1073948790</v>
      </c>
      <c r="C12290" t="str">
        <f>"261QA0600X"</f>
        <v>261QA0600X</v>
      </c>
      <c r="D12290" t="str">
        <f>"YALOBUSHA ADULT DAY SERVICES                      "</f>
        <v xml:space="preserve">YALOBUSHA ADULT DAY SERVICES                      </v>
      </c>
      <c r="E12290" t="str">
        <f>"WATER VALLEY              "</f>
        <v xml:space="preserve">WATER VALLEY              </v>
      </c>
      <c r="F12290" t="str">
        <f t="shared" si="323"/>
        <v>MS</v>
      </c>
    </row>
    <row r="12291" spans="1:6" x14ac:dyDescent="0.25">
      <c r="A12291" t="str">
        <f>"006981006"</f>
        <v>006981006</v>
      </c>
      <c r="B12291" t="str">
        <f>"1578719175"</f>
        <v>1578719175</v>
      </c>
      <c r="C12291" t="str">
        <f>"207L00000X"</f>
        <v>207L00000X</v>
      </c>
      <c r="D12291" t="str">
        <f>"MACHOST                  BETHANY      M           "</f>
        <v xml:space="preserve">MACHOST                  BETHANY      M           </v>
      </c>
      <c r="E12291" t="str">
        <f>"MERIDIAN                  "</f>
        <v xml:space="preserve">MERIDIAN                  </v>
      </c>
      <c r="F12291" t="str">
        <f t="shared" si="323"/>
        <v>MS</v>
      </c>
    </row>
    <row r="12292" spans="1:6" x14ac:dyDescent="0.25">
      <c r="A12292" t="str">
        <f>"006982310"</f>
        <v>006982310</v>
      </c>
      <c r="B12292" t="str">
        <f>"1215217013"</f>
        <v>1215217013</v>
      </c>
      <c r="C12292" t="str">
        <f>"367500000X"</f>
        <v>367500000X</v>
      </c>
      <c r="D12292" t="str">
        <f>"BENEFIELD                JONATHAN     B           "</f>
        <v xml:space="preserve">BENEFIELD                JONATHAN     B           </v>
      </c>
      <c r="E12292" t="str">
        <f>"GULFPORT                  "</f>
        <v xml:space="preserve">GULFPORT                  </v>
      </c>
      <c r="F12292" t="str">
        <f t="shared" si="323"/>
        <v>MS</v>
      </c>
    </row>
    <row r="12293" spans="1:6" x14ac:dyDescent="0.25">
      <c r="A12293" t="str">
        <f>"006983066"</f>
        <v>006983066</v>
      </c>
      <c r="B12293" t="str">
        <f>"1215149711"</f>
        <v>1215149711</v>
      </c>
      <c r="C12293" t="str">
        <f>"207RG0100X"</f>
        <v>207RG0100X</v>
      </c>
      <c r="D12293" t="str">
        <f>"RUNNELS                  JOHN         M           "</f>
        <v xml:space="preserve">RUNNELS                  JOHN         M           </v>
      </c>
      <c r="E12293" t="str">
        <f>"FLOWOOD                   "</f>
        <v xml:space="preserve">FLOWOOD                   </v>
      </c>
      <c r="F12293" t="str">
        <f t="shared" si="323"/>
        <v>MS</v>
      </c>
    </row>
    <row r="12294" spans="1:6" x14ac:dyDescent="0.25">
      <c r="A12294" t="str">
        <f>"006984829"</f>
        <v>006984829</v>
      </c>
      <c r="B12294" t="str">
        <f>"1629139969"</f>
        <v>1629139969</v>
      </c>
      <c r="C12294" t="str">
        <f>"207P00000X"</f>
        <v>207P00000X</v>
      </c>
      <c r="D12294" t="str">
        <f>"DELAUNE                  EUGENE       F           "</f>
        <v xml:space="preserve">DELAUNE                  EUGENE       F           </v>
      </c>
      <c r="E12294" t="str">
        <f>"BILOXI                    "</f>
        <v xml:space="preserve">BILOXI                    </v>
      </c>
      <c r="F12294" t="str">
        <f t="shared" si="323"/>
        <v>MS</v>
      </c>
    </row>
    <row r="12295" spans="1:6" x14ac:dyDescent="0.25">
      <c r="A12295" t="str">
        <f>"006986397"</f>
        <v>006986397</v>
      </c>
      <c r="B12295" t="str">
        <f>"1184668584"</f>
        <v>1184668584</v>
      </c>
      <c r="C12295" t="str">
        <f>"363L00000X"</f>
        <v>363L00000X</v>
      </c>
      <c r="D12295" t="str">
        <f>"WHITE                    ELIZABETH                "</f>
        <v xml:space="preserve">WHITE                    ELIZABETH                </v>
      </c>
      <c r="E12295" t="str">
        <f>"HATTIESBURG               "</f>
        <v xml:space="preserve">HATTIESBURG               </v>
      </c>
      <c r="F12295" t="str">
        <f t="shared" si="323"/>
        <v>MS</v>
      </c>
    </row>
    <row r="12296" spans="1:6" x14ac:dyDescent="0.25">
      <c r="A12296" t="str">
        <f>"006987309"</f>
        <v>006987309</v>
      </c>
      <c r="B12296" t="str">
        <f>"1477723252"</f>
        <v>1477723252</v>
      </c>
      <c r="C12296" t="str">
        <f>"208600000X"</f>
        <v>208600000X</v>
      </c>
      <c r="D12296" t="str">
        <f>"PAYNE                    JASON        A           "</f>
        <v xml:space="preserve">PAYNE                    JASON        A           </v>
      </c>
      <c r="E12296" t="str">
        <f>"PASCAGOULA                "</f>
        <v xml:space="preserve">PASCAGOULA                </v>
      </c>
      <c r="F12296" t="str">
        <f t="shared" si="323"/>
        <v>MS</v>
      </c>
    </row>
    <row r="12297" spans="1:6" x14ac:dyDescent="0.25">
      <c r="A12297" t="str">
        <f>"006987864"</f>
        <v>006987864</v>
      </c>
      <c r="B12297" t="str">
        <f>"1891289955"</f>
        <v>1891289955</v>
      </c>
      <c r="C12297" t="str">
        <f>"363L00000X"</f>
        <v>363L00000X</v>
      </c>
      <c r="D12297" t="str">
        <f>"EVERHART                 BRITTANY     L           "</f>
        <v xml:space="preserve">EVERHART                 BRITTANY     L           </v>
      </c>
      <c r="E12297" t="str">
        <f>"GULFPORT                  "</f>
        <v xml:space="preserve">GULFPORT                  </v>
      </c>
      <c r="F12297" t="str">
        <f t="shared" si="323"/>
        <v>MS</v>
      </c>
    </row>
    <row r="12298" spans="1:6" x14ac:dyDescent="0.25">
      <c r="A12298" t="str">
        <f>"006988794"</f>
        <v>006988794</v>
      </c>
      <c r="B12298" t="str">
        <f>"1427579820"</f>
        <v>1427579820</v>
      </c>
      <c r="C12298" t="str">
        <f>"122300000X"</f>
        <v>122300000X</v>
      </c>
      <c r="D12298" t="str">
        <f>"RUIZ MENESES             LEYDI KATHERI            "</f>
        <v xml:space="preserve">RUIZ MENESES             LEYDI KATHERI            </v>
      </c>
      <c r="E12298" t="str">
        <f>"JACKSON                   "</f>
        <v xml:space="preserve">JACKSON                   </v>
      </c>
      <c r="F12298" t="str">
        <f t="shared" si="323"/>
        <v>MS</v>
      </c>
    </row>
    <row r="12299" spans="1:6" x14ac:dyDescent="0.25">
      <c r="A12299" t="str">
        <f>"006988867"</f>
        <v>006988867</v>
      </c>
      <c r="B12299" t="str">
        <f>"1376705699"</f>
        <v>1376705699</v>
      </c>
      <c r="C12299" t="str">
        <f>"2080P0202X"</f>
        <v>2080P0202X</v>
      </c>
      <c r="D12299" t="str">
        <f>"SIMPSON                  SCOTT        A           "</f>
        <v xml:space="preserve">SIMPSON                  SCOTT        A           </v>
      </c>
      <c r="E12299" t="str">
        <f>"JACKSON                   "</f>
        <v xml:space="preserve">JACKSON                   </v>
      </c>
      <c r="F12299" t="str">
        <f t="shared" si="323"/>
        <v>MS</v>
      </c>
    </row>
    <row r="12300" spans="1:6" x14ac:dyDescent="0.25">
      <c r="A12300" t="str">
        <f>"006989313"</f>
        <v>006989313</v>
      </c>
      <c r="B12300" t="str">
        <f>"1285300947"</f>
        <v>1285300947</v>
      </c>
      <c r="C12300" t="str">
        <f>"363L00000X"</f>
        <v>363L00000X</v>
      </c>
      <c r="D12300" t="str">
        <f>"TURNER                   LINDA        A           "</f>
        <v xml:space="preserve">TURNER                   LINDA        A           </v>
      </c>
      <c r="E12300" t="str">
        <f>"GRENADA                   "</f>
        <v xml:space="preserve">GRENADA                   </v>
      </c>
      <c r="F12300" t="str">
        <f t="shared" si="323"/>
        <v>MS</v>
      </c>
    </row>
    <row r="12301" spans="1:6" x14ac:dyDescent="0.25">
      <c r="A12301" t="str">
        <f>"006989379"</f>
        <v>006989379</v>
      </c>
      <c r="B12301" t="str">
        <f>"1396299590"</f>
        <v>1396299590</v>
      </c>
      <c r="C12301" t="str">
        <f>"363L00000X"</f>
        <v>363L00000X</v>
      </c>
      <c r="D12301" t="str">
        <f>"STRANGE JR               CHARLES      R           "</f>
        <v xml:space="preserve">STRANGE JR               CHARLES      R           </v>
      </c>
      <c r="E12301" t="str">
        <f>"GULFPORT                  "</f>
        <v xml:space="preserve">GULFPORT                  </v>
      </c>
      <c r="F12301" t="str">
        <f t="shared" si="323"/>
        <v>MS</v>
      </c>
    </row>
    <row r="12302" spans="1:6" x14ac:dyDescent="0.25">
      <c r="A12302" t="str">
        <f>"007002001"</f>
        <v>007002001</v>
      </c>
      <c r="B12302" t="str">
        <f>"1447350160"</f>
        <v>1447350160</v>
      </c>
      <c r="C12302" t="str">
        <f>"261QM0801X"</f>
        <v>261QM0801X</v>
      </c>
      <c r="D12302" t="str">
        <f>"DIAMOND GROVE CENTER                              "</f>
        <v xml:space="preserve">DIAMOND GROVE CENTER                              </v>
      </c>
      <c r="E12302" t="str">
        <f>"LOUISVILLE                "</f>
        <v xml:space="preserve">LOUISVILLE                </v>
      </c>
      <c r="F12302" t="str">
        <f t="shared" si="323"/>
        <v>MS</v>
      </c>
    </row>
    <row r="12303" spans="1:6" x14ac:dyDescent="0.25">
      <c r="A12303" t="str">
        <f>"007002252"</f>
        <v>007002252</v>
      </c>
      <c r="B12303" t="str">
        <f>"1528603859"</f>
        <v>1528603859</v>
      </c>
      <c r="C12303" t="str">
        <f>"363L00000X"</f>
        <v>363L00000X</v>
      </c>
      <c r="D12303" t="str">
        <f>"EDDINGS                  DANIEL       M           "</f>
        <v xml:space="preserve">EDDINGS                  DANIEL       M           </v>
      </c>
      <c r="E12303" t="str">
        <f>"AMORY                     "</f>
        <v xml:space="preserve">AMORY                     </v>
      </c>
      <c r="F12303" t="str">
        <f t="shared" si="323"/>
        <v>MS</v>
      </c>
    </row>
    <row r="12304" spans="1:6" x14ac:dyDescent="0.25">
      <c r="A12304" t="str">
        <f>"007002256"</f>
        <v>007002256</v>
      </c>
      <c r="B12304" t="str">
        <f>"1720241102"</f>
        <v>1720241102</v>
      </c>
      <c r="C12304" t="str">
        <f>"2080N0001X"</f>
        <v>2080N0001X</v>
      </c>
      <c r="D12304" t="str">
        <f>"JOHNSON                  MARLA        Y           "</f>
        <v xml:space="preserve">JOHNSON                  MARLA        Y           </v>
      </c>
      <c r="E12304" t="str">
        <f>"JACKSON                   "</f>
        <v xml:space="preserve">JACKSON                   </v>
      </c>
      <c r="F12304" t="str">
        <f t="shared" si="323"/>
        <v>MS</v>
      </c>
    </row>
    <row r="12305" spans="1:6" x14ac:dyDescent="0.25">
      <c r="A12305" t="str">
        <f>"007003740"</f>
        <v>007003740</v>
      </c>
      <c r="B12305" t="str">
        <f>"1174909865"</f>
        <v>1174909865</v>
      </c>
      <c r="C12305" t="str">
        <f>"363L00000X"</f>
        <v>363L00000X</v>
      </c>
      <c r="D12305" t="str">
        <f>"MATHIS                   PRISCILLA    M           "</f>
        <v xml:space="preserve">MATHIS                   PRISCILLA    M           </v>
      </c>
      <c r="E12305" t="str">
        <f>"MERIDIAN                  "</f>
        <v xml:space="preserve">MERIDIAN                  </v>
      </c>
      <c r="F12305" t="str">
        <f t="shared" si="323"/>
        <v>MS</v>
      </c>
    </row>
    <row r="12306" spans="1:6" x14ac:dyDescent="0.25">
      <c r="A12306" t="str">
        <f>"007003741"</f>
        <v>007003741</v>
      </c>
      <c r="B12306" t="str">
        <f>"1003153073"</f>
        <v>1003153073</v>
      </c>
      <c r="C12306" t="str">
        <f>"261QF0400X"</f>
        <v>261QF0400X</v>
      </c>
      <c r="D12306" t="str">
        <f>"SOUTHEAST MISSISSIPPI RURAL HEALTH                "</f>
        <v xml:space="preserve">SOUTHEAST MISSISSIPPI RURAL HEALTH                </v>
      </c>
      <c r="E12306" t="str">
        <f>"PETAL                     "</f>
        <v xml:space="preserve">PETAL                     </v>
      </c>
      <c r="F12306" t="str">
        <f t="shared" si="323"/>
        <v>MS</v>
      </c>
    </row>
    <row r="12307" spans="1:6" x14ac:dyDescent="0.25">
      <c r="A12307" t="str">
        <f>"007003841"</f>
        <v>007003841</v>
      </c>
      <c r="B12307" t="str">
        <f>"1710421490"</f>
        <v>1710421490</v>
      </c>
      <c r="C12307" t="str">
        <f>"363L00000X"</f>
        <v>363L00000X</v>
      </c>
      <c r="D12307" t="str">
        <f>"MCFADDEN                 CHRISTINE    R           "</f>
        <v xml:space="preserve">MCFADDEN                 CHRISTINE    R           </v>
      </c>
      <c r="E12307" t="str">
        <f>"JACKSON                   "</f>
        <v xml:space="preserve">JACKSON                   </v>
      </c>
      <c r="F12307" t="str">
        <f t="shared" si="323"/>
        <v>MS</v>
      </c>
    </row>
    <row r="12308" spans="1:6" x14ac:dyDescent="0.25">
      <c r="A12308" t="str">
        <f>"007004832"</f>
        <v>007004832</v>
      </c>
      <c r="B12308" t="str">
        <f>"1851979868"</f>
        <v>1851979868</v>
      </c>
      <c r="C12308" t="str">
        <f>"122300000X"</f>
        <v>122300000X</v>
      </c>
      <c r="D12308" t="str">
        <f>"IUKA FAMILY DENTAL, PLLC                          "</f>
        <v xml:space="preserve">IUKA FAMILY DENTAL, PLLC                          </v>
      </c>
      <c r="E12308" t="str">
        <f>"IUKA                      "</f>
        <v xml:space="preserve">IUKA                      </v>
      </c>
      <c r="F12308" t="str">
        <f t="shared" si="323"/>
        <v>MS</v>
      </c>
    </row>
    <row r="12309" spans="1:6" x14ac:dyDescent="0.25">
      <c r="A12309" t="str">
        <f>"007005250"</f>
        <v>007005250</v>
      </c>
      <c r="B12309" t="str">
        <f>"1700320660"</f>
        <v>1700320660</v>
      </c>
      <c r="C12309" t="str">
        <f>"363L00000X"</f>
        <v>363L00000X</v>
      </c>
      <c r="D12309" t="str">
        <f>"GANDY                    SHAQUALAR                "</f>
        <v xml:space="preserve">GANDY                    SHAQUALAR                </v>
      </c>
      <c r="E12309" t="str">
        <f>"COLUMBUS                  "</f>
        <v xml:space="preserve">COLUMBUS                  </v>
      </c>
      <c r="F12309" t="str">
        <f t="shared" si="323"/>
        <v>MS</v>
      </c>
    </row>
    <row r="12310" spans="1:6" x14ac:dyDescent="0.25">
      <c r="A12310" t="str">
        <f>"007005827"</f>
        <v>007005827</v>
      </c>
      <c r="B12310" t="str">
        <f>"1225476864"</f>
        <v>1225476864</v>
      </c>
      <c r="C12310" t="str">
        <f>"367500000X"</f>
        <v>367500000X</v>
      </c>
      <c r="D12310" t="str">
        <f>"GRIFFIN                  JASON        E           "</f>
        <v xml:space="preserve">GRIFFIN                  JASON        E           </v>
      </c>
      <c r="E12310" t="str">
        <f>"JACKSON                   "</f>
        <v xml:space="preserve">JACKSON                   </v>
      </c>
      <c r="F12310" t="str">
        <f t="shared" si="323"/>
        <v>MS</v>
      </c>
    </row>
    <row r="12311" spans="1:6" x14ac:dyDescent="0.25">
      <c r="A12311" t="str">
        <f>"007006243"</f>
        <v>007006243</v>
      </c>
      <c r="B12311" t="str">
        <f>"1306281852"</f>
        <v>1306281852</v>
      </c>
      <c r="C12311" t="str">
        <f>"207W00000X"</f>
        <v>207W00000X</v>
      </c>
      <c r="D12311" t="str">
        <f>"QUINN                    ADAM         E           "</f>
        <v xml:space="preserve">QUINN                    ADAM         E           </v>
      </c>
      <c r="E12311" t="str">
        <f>"HATTIESBURG               "</f>
        <v xml:space="preserve">HATTIESBURG               </v>
      </c>
      <c r="F12311" t="str">
        <f t="shared" si="323"/>
        <v>MS</v>
      </c>
    </row>
    <row r="12312" spans="1:6" x14ac:dyDescent="0.25">
      <c r="A12312" t="str">
        <f>"007008235"</f>
        <v>007008235</v>
      </c>
      <c r="B12312" t="str">
        <f>"1356364988"</f>
        <v>1356364988</v>
      </c>
      <c r="C12312" t="str">
        <f>"207P00000X"</f>
        <v>207P00000X</v>
      </c>
      <c r="D12312" t="str">
        <f>"MILEY                    MATTHEW                  "</f>
        <v xml:space="preserve">MILEY                    MATTHEW                  </v>
      </c>
      <c r="E12312" t="str">
        <f>"HAZLEHURST                "</f>
        <v xml:space="preserve">HAZLEHURST                </v>
      </c>
      <c r="F12312" t="str">
        <f t="shared" si="323"/>
        <v>MS</v>
      </c>
    </row>
    <row r="12313" spans="1:6" x14ac:dyDescent="0.25">
      <c r="A12313" t="str">
        <f>"007008337"</f>
        <v>007008337</v>
      </c>
      <c r="B12313" t="str">
        <f>"1720573595"</f>
        <v>1720573595</v>
      </c>
      <c r="C12313" t="str">
        <f>"363L00000X"</f>
        <v>363L00000X</v>
      </c>
      <c r="D12313" t="str">
        <f>"MEADOR                   KIMBERLY                 "</f>
        <v xml:space="preserve">MEADOR                   KIMBERLY                 </v>
      </c>
      <c r="E12313" t="str">
        <f>"FLOWOOD                   "</f>
        <v xml:space="preserve">FLOWOOD                   </v>
      </c>
      <c r="F12313" t="str">
        <f t="shared" si="323"/>
        <v>MS</v>
      </c>
    </row>
    <row r="12314" spans="1:6" x14ac:dyDescent="0.25">
      <c r="A12314" t="str">
        <f>"007008867"</f>
        <v>007008867</v>
      </c>
      <c r="B12314" t="str">
        <f>"1104116193"</f>
        <v>1104116193</v>
      </c>
      <c r="C12314" t="str">
        <f>"207P00000X"</f>
        <v>207P00000X</v>
      </c>
      <c r="D12314" t="str">
        <f>"PATTEN                   JASON        R           "</f>
        <v xml:space="preserve">PATTEN                   JASON        R           </v>
      </c>
      <c r="E12314" t="str">
        <f>"BILOXI                    "</f>
        <v xml:space="preserve">BILOXI                    </v>
      </c>
      <c r="F12314" t="str">
        <f t="shared" si="323"/>
        <v>MS</v>
      </c>
    </row>
    <row r="12315" spans="1:6" x14ac:dyDescent="0.25">
      <c r="A12315" t="str">
        <f>"007020313"</f>
        <v>007020313</v>
      </c>
      <c r="B12315" t="str">
        <f>"1811221401"</f>
        <v>1811221401</v>
      </c>
      <c r="C12315" t="str">
        <f>"363L00000X"</f>
        <v>363L00000X</v>
      </c>
      <c r="D12315" t="str">
        <f>"WILLIAMS                 SHONDA                   "</f>
        <v xml:space="preserve">WILLIAMS                 SHONDA                   </v>
      </c>
      <c r="E12315" t="str">
        <f>"CLEVELAND                 "</f>
        <v xml:space="preserve">CLEVELAND                 </v>
      </c>
      <c r="F12315" t="str">
        <f t="shared" si="323"/>
        <v>MS</v>
      </c>
    </row>
    <row r="12316" spans="1:6" x14ac:dyDescent="0.25">
      <c r="A12316" t="str">
        <f>"007024005"</f>
        <v>007024005</v>
      </c>
      <c r="B12316" t="str">
        <f>"1669137444"</f>
        <v>1669137444</v>
      </c>
      <c r="C12316" t="str">
        <f>"261QF0400X"</f>
        <v>261QF0400X</v>
      </c>
      <c r="D12316" t="str">
        <f>"COASTAL FAMILY HEALTH CENTER, INC                 "</f>
        <v xml:space="preserve">COASTAL FAMILY HEALTH CENTER, INC                 </v>
      </c>
      <c r="E12316" t="str">
        <f>"WAVELAND                  "</f>
        <v xml:space="preserve">WAVELAND                  </v>
      </c>
      <c r="F12316" t="str">
        <f t="shared" si="323"/>
        <v>MS</v>
      </c>
    </row>
    <row r="12317" spans="1:6" x14ac:dyDescent="0.25">
      <c r="A12317" t="str">
        <f>"007024353"</f>
        <v>007024353</v>
      </c>
      <c r="B12317" t="str">
        <f>"1609163682"</f>
        <v>1609163682</v>
      </c>
      <c r="C12317" t="str">
        <f>"207X00000X"</f>
        <v>207X00000X</v>
      </c>
      <c r="D12317" t="str">
        <f>"COX                      JOSEPH       T           "</f>
        <v xml:space="preserve">COX                      JOSEPH       T           </v>
      </c>
      <c r="E12317" t="str">
        <f>"GULFPORT                  "</f>
        <v xml:space="preserve">GULFPORT                  </v>
      </c>
      <c r="F12317" t="str">
        <f t="shared" si="323"/>
        <v>MS</v>
      </c>
    </row>
    <row r="12318" spans="1:6" x14ac:dyDescent="0.25">
      <c r="A12318" t="str">
        <f>"007025002"</f>
        <v>007025002</v>
      </c>
      <c r="B12318" t="str">
        <f>"1639246739"</f>
        <v>1639246739</v>
      </c>
      <c r="C12318" t="str">
        <f>"2084P0800X"</f>
        <v>2084P0800X</v>
      </c>
      <c r="D12318" t="str">
        <f>"OWENS                    JEREMY       W           "</f>
        <v xml:space="preserve">OWENS                    JEREMY       W           </v>
      </c>
      <c r="E12318" t="str">
        <f>"PASCAGOULA                "</f>
        <v xml:space="preserve">PASCAGOULA                </v>
      </c>
      <c r="F12318" t="str">
        <f t="shared" si="323"/>
        <v>MS</v>
      </c>
    </row>
    <row r="12319" spans="1:6" x14ac:dyDescent="0.25">
      <c r="A12319" t="str">
        <f>"007025755"</f>
        <v>007025755</v>
      </c>
      <c r="B12319" t="str">
        <f>"1710321211"</f>
        <v>1710321211</v>
      </c>
      <c r="C12319" t="str">
        <f>"208600000X"</f>
        <v>208600000X</v>
      </c>
      <c r="D12319" t="str">
        <f>"CEHAJIC                  BORIS                    "</f>
        <v xml:space="preserve">CEHAJIC                  BORIS                    </v>
      </c>
      <c r="E12319" t="str">
        <f>"HATTIESBURG               "</f>
        <v xml:space="preserve">HATTIESBURG               </v>
      </c>
      <c r="F12319" t="str">
        <f t="shared" si="323"/>
        <v>MS</v>
      </c>
    </row>
    <row r="12320" spans="1:6" x14ac:dyDescent="0.25">
      <c r="A12320" t="str">
        <f>"007026504"</f>
        <v>007026504</v>
      </c>
      <c r="B12320" t="str">
        <f>"1174892822"</f>
        <v>1174892822</v>
      </c>
      <c r="C12320" t="str">
        <f>"363L00000X"</f>
        <v>363L00000X</v>
      </c>
      <c r="D12320" t="str">
        <f>"BOWMAN                   CLAUDIA      L           "</f>
        <v xml:space="preserve">BOWMAN                   CLAUDIA      L           </v>
      </c>
      <c r="E12320" t="str">
        <f>"SEBASTOPOL                "</f>
        <v xml:space="preserve">SEBASTOPOL                </v>
      </c>
      <c r="F12320" t="str">
        <f t="shared" si="323"/>
        <v>MS</v>
      </c>
    </row>
    <row r="12321" spans="1:6" x14ac:dyDescent="0.25">
      <c r="A12321" t="str">
        <f>"007028312"</f>
        <v>007028312</v>
      </c>
      <c r="B12321" t="str">
        <f>"1710401575"</f>
        <v>1710401575</v>
      </c>
      <c r="C12321" t="str">
        <f>"363L00000X"</f>
        <v>363L00000X</v>
      </c>
      <c r="D12321" t="str">
        <f>"GREENLEE                 ROBERT       K           "</f>
        <v xml:space="preserve">GREENLEE                 ROBERT       K           </v>
      </c>
      <c r="E12321" t="str">
        <f>"KOSCIUSKO                 "</f>
        <v xml:space="preserve">KOSCIUSKO                 </v>
      </c>
      <c r="F12321" t="str">
        <f t="shared" si="323"/>
        <v>MS</v>
      </c>
    </row>
    <row r="12322" spans="1:6" x14ac:dyDescent="0.25">
      <c r="A12322" t="str">
        <f>"007028837"</f>
        <v>007028837</v>
      </c>
      <c r="B12322" t="str">
        <f>"1841289030"</f>
        <v>1841289030</v>
      </c>
      <c r="C12322" t="str">
        <f>"207R00000X"</f>
        <v>207R00000X</v>
      </c>
      <c r="D12322" t="str">
        <f>"ARZOLA                   FERNANDO     L           "</f>
        <v xml:space="preserve">ARZOLA                   FERNANDO     L           </v>
      </c>
      <c r="E12322" t="str">
        <f>"OXFORD                    "</f>
        <v xml:space="preserve">OXFORD                    </v>
      </c>
      <c r="F12322" t="str">
        <f t="shared" si="323"/>
        <v>MS</v>
      </c>
    </row>
    <row r="12323" spans="1:6" x14ac:dyDescent="0.25">
      <c r="A12323" t="str">
        <f>"007029792"</f>
        <v>007029792</v>
      </c>
      <c r="B12323" t="str">
        <f>"1073132742"</f>
        <v>1073132742</v>
      </c>
      <c r="C12323" t="str">
        <f>"208000000X"</f>
        <v>208000000X</v>
      </c>
      <c r="D12323" t="str">
        <f>"HEMPHILL                 INDIA        B           "</f>
        <v xml:space="preserve">HEMPHILL                 INDIA        B           </v>
      </c>
      <c r="E12323" t="str">
        <f>"JACKSON                   "</f>
        <v xml:space="preserve">JACKSON                   </v>
      </c>
      <c r="F12323" t="str">
        <f t="shared" si="323"/>
        <v>MS</v>
      </c>
    </row>
    <row r="12324" spans="1:6" x14ac:dyDescent="0.25">
      <c r="A12324" t="str">
        <f>"007031034"</f>
        <v>007031034</v>
      </c>
      <c r="B12324" t="str">
        <f>"1932527264"</f>
        <v>1932527264</v>
      </c>
      <c r="C12324" t="str">
        <f>"363L00000X"</f>
        <v>363L00000X</v>
      </c>
      <c r="D12324" t="str">
        <f>"SAKSA                    BRANDI                   "</f>
        <v xml:space="preserve">SAKSA                    BRANDI                   </v>
      </c>
      <c r="E12324" t="str">
        <f>"GULFPORT                  "</f>
        <v xml:space="preserve">GULFPORT                  </v>
      </c>
      <c r="F12324" t="str">
        <f t="shared" si="323"/>
        <v>MS</v>
      </c>
    </row>
    <row r="12325" spans="1:6" x14ac:dyDescent="0.25">
      <c r="A12325" t="str">
        <f>"007032327"</f>
        <v>007032327</v>
      </c>
      <c r="B12325" t="str">
        <f>"1013398213"</f>
        <v>1013398213</v>
      </c>
      <c r="C12325" t="str">
        <f>"207Q00000X"</f>
        <v>207Q00000X</v>
      </c>
      <c r="D12325" t="str">
        <f>"PATEL                    CHARVI       N           "</f>
        <v xml:space="preserve">PATEL                    CHARVI       N           </v>
      </c>
      <c r="E12325" t="str">
        <f>"BRANDON                   "</f>
        <v xml:space="preserve">BRANDON                   </v>
      </c>
      <c r="F12325" t="str">
        <f t="shared" si="323"/>
        <v>MS</v>
      </c>
    </row>
    <row r="12326" spans="1:6" x14ac:dyDescent="0.25">
      <c r="A12326" t="str">
        <f>"007033864"</f>
        <v>007033864</v>
      </c>
      <c r="B12326" t="str">
        <f>"1154354603"</f>
        <v>1154354603</v>
      </c>
      <c r="C12326" t="str">
        <f>"207Q00000X"</f>
        <v>207Q00000X</v>
      </c>
      <c r="D12326" t="str">
        <f>"DUDLEY                   SHINITA      R           "</f>
        <v xml:space="preserve">DUDLEY                   SHINITA      R           </v>
      </c>
      <c r="E12326" t="str">
        <f>"CLINTON                   "</f>
        <v xml:space="preserve">CLINTON                   </v>
      </c>
      <c r="F12326" t="str">
        <f t="shared" si="323"/>
        <v>MS</v>
      </c>
    </row>
    <row r="12327" spans="1:6" x14ac:dyDescent="0.25">
      <c r="A12327" t="str">
        <f>"007034816"</f>
        <v>007034816</v>
      </c>
      <c r="B12327" t="str">
        <f>"1558895474"</f>
        <v>1558895474</v>
      </c>
      <c r="C12327" t="str">
        <f>"363A00000X"</f>
        <v>363A00000X</v>
      </c>
      <c r="D12327" t="str">
        <f>"HANDY                    TESSIE                   "</f>
        <v xml:space="preserve">HANDY                    TESSIE                   </v>
      </c>
      <c r="E12327" t="str">
        <f>"LEXINGTON                 "</f>
        <v xml:space="preserve">LEXINGTON                 </v>
      </c>
      <c r="F12327" t="str">
        <f t="shared" si="323"/>
        <v>MS</v>
      </c>
    </row>
    <row r="12328" spans="1:6" x14ac:dyDescent="0.25">
      <c r="A12328" t="str">
        <f>"007035596"</f>
        <v>007035596</v>
      </c>
      <c r="B12328" t="str">
        <f>"1518907054"</f>
        <v>1518907054</v>
      </c>
      <c r="C12328" t="str">
        <f>"261QF0400X"</f>
        <v>261QF0400X</v>
      </c>
      <c r="D12328" t="str">
        <f>"NR BURGER MIDDLE SCHOOL                           "</f>
        <v xml:space="preserve">NR BURGER MIDDLE SCHOOL                           </v>
      </c>
      <c r="E12328" t="str">
        <f>"HATTIESBURG               "</f>
        <v xml:space="preserve">HATTIESBURG               </v>
      </c>
      <c r="F12328" t="str">
        <f t="shared" si="323"/>
        <v>MS</v>
      </c>
    </row>
    <row r="12329" spans="1:6" x14ac:dyDescent="0.25">
      <c r="A12329" t="str">
        <f>"007036521"</f>
        <v>007036521</v>
      </c>
      <c r="B12329" t="str">
        <f>"1124356910"</f>
        <v>1124356910</v>
      </c>
      <c r="C12329" t="str">
        <f>"261QM0801X"</f>
        <v>261QM0801X</v>
      </c>
      <c r="D12329" t="str">
        <f>"THE CENTER FOR CHILDREN AND FAMILIE               "</f>
        <v xml:space="preserve">THE CENTER FOR CHILDREN AND FAMILIE               </v>
      </c>
      <c r="E12329" t="str">
        <f>"CLINTON                   "</f>
        <v xml:space="preserve">CLINTON                   </v>
      </c>
      <c r="F12329" t="str">
        <f t="shared" si="323"/>
        <v>MS</v>
      </c>
    </row>
    <row r="12330" spans="1:6" x14ac:dyDescent="0.25">
      <c r="A12330" t="str">
        <f>"007037821"</f>
        <v>007037821</v>
      </c>
      <c r="B12330" t="str">
        <f>"1740215797"</f>
        <v>1740215797</v>
      </c>
      <c r="C12330" t="str">
        <f>"207Q00000X"</f>
        <v>207Q00000X</v>
      </c>
      <c r="D12330" t="str">
        <f>"WOLFE                    SCOTT        J           "</f>
        <v xml:space="preserve">WOLFE                    SCOTT        J           </v>
      </c>
      <c r="E12330" t="str">
        <f>"NATCHEZ                   "</f>
        <v xml:space="preserve">NATCHEZ                   </v>
      </c>
      <c r="F12330" t="str">
        <f t="shared" si="323"/>
        <v>MS</v>
      </c>
    </row>
    <row r="12331" spans="1:6" x14ac:dyDescent="0.25">
      <c r="A12331" t="str">
        <f>"007038578"</f>
        <v>007038578</v>
      </c>
      <c r="B12331" t="str">
        <f>"1013115906"</f>
        <v>1013115906</v>
      </c>
      <c r="C12331" t="str">
        <f>"207R00000X"</f>
        <v>207R00000X</v>
      </c>
      <c r="D12331" t="str">
        <f>"WALTON                   NICOLE       R           "</f>
        <v xml:space="preserve">WALTON                   NICOLE       R           </v>
      </c>
      <c r="E12331" t="str">
        <f>"OCEAN SPRINGS             "</f>
        <v xml:space="preserve">OCEAN SPRINGS             </v>
      </c>
      <c r="F12331" t="str">
        <f t="shared" si="323"/>
        <v>MS</v>
      </c>
    </row>
    <row r="12332" spans="1:6" x14ac:dyDescent="0.25">
      <c r="A12332" t="str">
        <f>"007038745"</f>
        <v>007038745</v>
      </c>
      <c r="B12332" t="str">
        <f>"1336351659"</f>
        <v>1336351659</v>
      </c>
      <c r="C12332" t="str">
        <f>"207ZP0102X"</f>
        <v>207ZP0102X</v>
      </c>
      <c r="D12332" t="str">
        <f>"STRONG                   LEIGH        A           "</f>
        <v xml:space="preserve">STRONG                   LEIGH        A           </v>
      </c>
      <c r="E12332" t="str">
        <f>"HATTIESBURG               "</f>
        <v xml:space="preserve">HATTIESBURG               </v>
      </c>
      <c r="F12332" t="str">
        <f t="shared" si="323"/>
        <v>MS</v>
      </c>
    </row>
    <row r="12333" spans="1:6" x14ac:dyDescent="0.25">
      <c r="A12333" t="str">
        <f>"007039529"</f>
        <v>007039529</v>
      </c>
      <c r="B12333" t="str">
        <f>"1063709327"</f>
        <v>1063709327</v>
      </c>
      <c r="C12333" t="str">
        <f>"207V00000X"</f>
        <v>207V00000X</v>
      </c>
      <c r="D12333" t="str">
        <f>"MALLETTE                 KATHRYN      H           "</f>
        <v xml:space="preserve">MALLETTE                 KATHRYN      H           </v>
      </c>
      <c r="E12333" t="str">
        <f>"FLOWOOD                   "</f>
        <v xml:space="preserve">FLOWOOD                   </v>
      </c>
      <c r="F12333" t="str">
        <f t="shared" si="323"/>
        <v>MS</v>
      </c>
    </row>
    <row r="12334" spans="1:6" x14ac:dyDescent="0.25">
      <c r="A12334" t="str">
        <f>"007051065"</f>
        <v>007051065</v>
      </c>
      <c r="B12334" t="str">
        <f>"1720562762"</f>
        <v>1720562762</v>
      </c>
      <c r="C12334" t="str">
        <f>"363L00000X"</f>
        <v>363L00000X</v>
      </c>
      <c r="D12334" t="str">
        <f>"HARRINGTON               SARA         E           "</f>
        <v xml:space="preserve">HARRINGTON               SARA         E           </v>
      </c>
      <c r="E12334" t="str">
        <f>"TUPELO                    "</f>
        <v xml:space="preserve">TUPELO                    </v>
      </c>
      <c r="F12334" t="str">
        <f t="shared" si="323"/>
        <v>MS</v>
      </c>
    </row>
    <row r="12335" spans="1:6" x14ac:dyDescent="0.25">
      <c r="A12335" t="str">
        <f>"007051206"</f>
        <v>007051206</v>
      </c>
      <c r="B12335" t="str">
        <f>"1902203482"</f>
        <v>1902203482</v>
      </c>
      <c r="C12335" t="str">
        <f>"207RH0000X"</f>
        <v>207RH0000X</v>
      </c>
      <c r="D12335" t="str">
        <f>"SINGH                    SANDEEP                  "</f>
        <v xml:space="preserve">SINGH                    SANDEEP                  </v>
      </c>
      <c r="E12335" t="str">
        <f>"LAUREL                    "</f>
        <v xml:space="preserve">LAUREL                    </v>
      </c>
      <c r="F12335" t="str">
        <f t="shared" si="323"/>
        <v>MS</v>
      </c>
    </row>
    <row r="12336" spans="1:6" x14ac:dyDescent="0.25">
      <c r="A12336" t="str">
        <f>"007051211"</f>
        <v>007051211</v>
      </c>
      <c r="B12336" t="str">
        <f>"1144547555"</f>
        <v>1144547555</v>
      </c>
      <c r="C12336" t="str">
        <f>"363L00000X"</f>
        <v>363L00000X</v>
      </c>
      <c r="D12336" t="str">
        <f>"BENNETT                  ERIN         S           "</f>
        <v xml:space="preserve">BENNETT                  ERIN         S           </v>
      </c>
      <c r="E12336" t="str">
        <f>"VICKSBURG                 "</f>
        <v xml:space="preserve">VICKSBURG                 </v>
      </c>
      <c r="F12336" t="str">
        <f t="shared" si="323"/>
        <v>MS</v>
      </c>
    </row>
    <row r="12337" spans="1:6" x14ac:dyDescent="0.25">
      <c r="A12337" t="str">
        <f>"007051371"</f>
        <v>007051371</v>
      </c>
      <c r="B12337" t="str">
        <f>"1437267119"</f>
        <v>1437267119</v>
      </c>
      <c r="C12337" t="str">
        <f>"363L00000X"</f>
        <v>363L00000X</v>
      </c>
      <c r="D12337" t="str">
        <f>"BENNETT                  BRENDA       H           "</f>
        <v xml:space="preserve">BENNETT                  BRENDA       H           </v>
      </c>
      <c r="E12337" t="str">
        <f>"GULFPORT                  "</f>
        <v xml:space="preserve">GULFPORT                  </v>
      </c>
      <c r="F12337" t="str">
        <f t="shared" si="323"/>
        <v>MS</v>
      </c>
    </row>
    <row r="12338" spans="1:6" x14ac:dyDescent="0.25">
      <c r="A12338" t="str">
        <f>"007052201"</f>
        <v>007052201</v>
      </c>
      <c r="B12338" t="str">
        <f>"1316321730"</f>
        <v>1316321730</v>
      </c>
      <c r="C12338" t="str">
        <f>"152W00000X"</f>
        <v>152W00000X</v>
      </c>
      <c r="D12338" t="str">
        <f>"WILSON                   JASON        A           "</f>
        <v xml:space="preserve">WILSON                   JASON        A           </v>
      </c>
      <c r="E12338" t="str">
        <f>"LONG BEACH                "</f>
        <v xml:space="preserve">LONG BEACH                </v>
      </c>
      <c r="F12338" t="str">
        <f t="shared" si="323"/>
        <v>MS</v>
      </c>
    </row>
    <row r="12339" spans="1:6" x14ac:dyDescent="0.25">
      <c r="A12339" t="str">
        <f>"007052505"</f>
        <v>007052505</v>
      </c>
      <c r="B12339" t="str">
        <f>"1841547254"</f>
        <v>1841547254</v>
      </c>
      <c r="C12339" t="str">
        <f>"2086S0127X"</f>
        <v>2086S0127X</v>
      </c>
      <c r="D12339" t="str">
        <f>"ZAZA                     MOUAYYAD                 "</f>
        <v xml:space="preserve">ZAZA                     MOUAYYAD                 </v>
      </c>
      <c r="E12339" t="str">
        <f>"JACKSON                   "</f>
        <v xml:space="preserve">JACKSON                   </v>
      </c>
      <c r="F12339" t="str">
        <f t="shared" si="323"/>
        <v>MS</v>
      </c>
    </row>
    <row r="12340" spans="1:6" x14ac:dyDescent="0.25">
      <c r="A12340" t="str">
        <f>"007052555"</f>
        <v>007052555</v>
      </c>
      <c r="B12340" t="str">
        <f>"1073578886"</f>
        <v>1073578886</v>
      </c>
      <c r="C12340" t="str">
        <f>"207Q00000X"</f>
        <v>207Q00000X</v>
      </c>
      <c r="D12340" t="str">
        <f>"PROSSER                  HARMON       S           "</f>
        <v xml:space="preserve">PROSSER                  HARMON       S           </v>
      </c>
      <c r="E12340" t="str">
        <f>"ACKERMAN                  "</f>
        <v xml:space="preserve">ACKERMAN                  </v>
      </c>
      <c r="F12340" t="str">
        <f t="shared" si="323"/>
        <v>MS</v>
      </c>
    </row>
    <row r="12341" spans="1:6" x14ac:dyDescent="0.25">
      <c r="A12341" t="str">
        <f>"007053269"</f>
        <v>007053269</v>
      </c>
      <c r="B12341" t="str">
        <f>"1669669446"</f>
        <v>1669669446</v>
      </c>
      <c r="C12341" t="str">
        <f>"363L00000X"</f>
        <v>363L00000X</v>
      </c>
      <c r="D12341" t="str">
        <f>"PINION                   DONNA        B           "</f>
        <v xml:space="preserve">PINION                   DONNA        B           </v>
      </c>
      <c r="E12341" t="str">
        <f>"GREENVILLE                "</f>
        <v xml:space="preserve">GREENVILLE                </v>
      </c>
      <c r="F12341" t="str">
        <f t="shared" si="323"/>
        <v>MS</v>
      </c>
    </row>
    <row r="12342" spans="1:6" x14ac:dyDescent="0.25">
      <c r="A12342" t="str">
        <f>"007053306"</f>
        <v>007053306</v>
      </c>
      <c r="B12342" t="str">
        <f>"1346660537"</f>
        <v>1346660537</v>
      </c>
      <c r="C12342" t="str">
        <f>"207R00000X"</f>
        <v>207R00000X</v>
      </c>
      <c r="D12342" t="str">
        <f>"KEENE                    ALEXANDRIA   T           "</f>
        <v xml:space="preserve">KEENE                    ALEXANDRIA   T           </v>
      </c>
      <c r="E12342" t="str">
        <f>"SOUTHAVEN                 "</f>
        <v xml:space="preserve">SOUTHAVEN                 </v>
      </c>
      <c r="F12342" t="str">
        <f t="shared" si="323"/>
        <v>MS</v>
      </c>
    </row>
    <row r="12343" spans="1:6" x14ac:dyDescent="0.25">
      <c r="A12343" t="str">
        <f>"007054714"</f>
        <v>007054714</v>
      </c>
      <c r="B12343" t="str">
        <f>"1154842409"</f>
        <v>1154842409</v>
      </c>
      <c r="C12343" t="str">
        <f>"363L00000X"</f>
        <v>363L00000X</v>
      </c>
      <c r="D12343" t="str">
        <f>"SMITH                    KRISTEN                  "</f>
        <v xml:space="preserve">SMITH                    KRISTEN                  </v>
      </c>
      <c r="E12343" t="str">
        <f>"INDIANOLA                 "</f>
        <v xml:space="preserve">INDIANOLA                 </v>
      </c>
      <c r="F12343" t="str">
        <f t="shared" si="323"/>
        <v>MS</v>
      </c>
    </row>
    <row r="12344" spans="1:6" x14ac:dyDescent="0.25">
      <c r="A12344" t="str">
        <f>"007055024"</f>
        <v>007055024</v>
      </c>
      <c r="B12344" t="str">
        <f>"1649757865"</f>
        <v>1649757865</v>
      </c>
      <c r="C12344" t="str">
        <f>"363L00000X"</f>
        <v>363L00000X</v>
      </c>
      <c r="D12344" t="str">
        <f>"SMITH                    ALLISON                  "</f>
        <v xml:space="preserve">SMITH                    ALLISON                  </v>
      </c>
      <c r="E12344" t="str">
        <f>"CALHOUN CITY              "</f>
        <v xml:space="preserve">CALHOUN CITY              </v>
      </c>
      <c r="F12344" t="str">
        <f t="shared" si="323"/>
        <v>MS</v>
      </c>
    </row>
    <row r="12345" spans="1:6" x14ac:dyDescent="0.25">
      <c r="A12345" t="str">
        <f>"007055552"</f>
        <v>007055552</v>
      </c>
      <c r="B12345" t="str">
        <f>"1598902447"</f>
        <v>1598902447</v>
      </c>
      <c r="C12345" t="str">
        <f>"367A00000X"</f>
        <v>367A00000X</v>
      </c>
      <c r="D12345" t="str">
        <f>"BROWN                    FELECIA      B           "</f>
        <v xml:space="preserve">BROWN                    FELECIA      B           </v>
      </c>
      <c r="E12345" t="str">
        <f>"MERIDIAN                  "</f>
        <v xml:space="preserve">MERIDIAN                  </v>
      </c>
      <c r="F12345" t="str">
        <f t="shared" si="323"/>
        <v>MS</v>
      </c>
    </row>
    <row r="12346" spans="1:6" x14ac:dyDescent="0.25">
      <c r="A12346" t="str">
        <f>"007056504"</f>
        <v>007056504</v>
      </c>
      <c r="B12346" t="str">
        <f>"1407274426"</f>
        <v>1407274426</v>
      </c>
      <c r="C12346" t="str">
        <f>"208000000X"</f>
        <v>208000000X</v>
      </c>
      <c r="D12346" t="str">
        <f>"MCGLAWN                  ASHLEY       W           "</f>
        <v xml:space="preserve">MCGLAWN                  ASHLEY       W           </v>
      </c>
      <c r="E12346" t="str">
        <f>"MADISON                   "</f>
        <v xml:space="preserve">MADISON                   </v>
      </c>
      <c r="F12346" t="str">
        <f t="shared" si="323"/>
        <v>MS</v>
      </c>
    </row>
    <row r="12347" spans="1:6" x14ac:dyDescent="0.25">
      <c r="A12347" t="str">
        <f>"007057324"</f>
        <v>007057324</v>
      </c>
      <c r="B12347" t="str">
        <f>"1861916991"</f>
        <v>1861916991</v>
      </c>
      <c r="C12347" t="str">
        <f>"152W00000X"</f>
        <v>152W00000X</v>
      </c>
      <c r="D12347" t="str">
        <f>"RIDGE                    EMILY        C           "</f>
        <v xml:space="preserve">RIDGE                    EMILY        C           </v>
      </c>
      <c r="E12347" t="str">
        <f>"HERNANDO                  "</f>
        <v xml:space="preserve">HERNANDO                  </v>
      </c>
      <c r="F12347" t="str">
        <f t="shared" si="323"/>
        <v>MS</v>
      </c>
    </row>
    <row r="12348" spans="1:6" x14ac:dyDescent="0.25">
      <c r="A12348" t="str">
        <f>"007057341"</f>
        <v>007057341</v>
      </c>
      <c r="B12348" t="str">
        <f>"1912583154"</f>
        <v>1912583154</v>
      </c>
      <c r="C12348" t="str">
        <f>"261QM1300X"</f>
        <v>261QM1300X</v>
      </c>
      <c r="D12348" t="str">
        <f>"BEHAVIORAL SOLUTIONS OF MISSISSIPPI               "</f>
        <v xml:space="preserve">BEHAVIORAL SOLUTIONS OF MISSISSIPPI               </v>
      </c>
      <c r="E12348" t="str">
        <f>"CARTHAGE                  "</f>
        <v xml:space="preserve">CARTHAGE                  </v>
      </c>
      <c r="F12348" t="str">
        <f t="shared" si="323"/>
        <v>MS</v>
      </c>
    </row>
    <row r="12349" spans="1:6" x14ac:dyDescent="0.25">
      <c r="A12349" t="str">
        <f>"007058395"</f>
        <v>007058395</v>
      </c>
      <c r="B12349" t="str">
        <f>"1780653188"</f>
        <v>1780653188</v>
      </c>
      <c r="C12349" t="str">
        <f>"261QF0400X"</f>
        <v>261QF0400X</v>
      </c>
      <c r="D12349" t="str">
        <f>"LILLIE BURNEY ELEMENTARY SCHOOL                   "</f>
        <v xml:space="preserve">LILLIE BURNEY ELEMENTARY SCHOOL                   </v>
      </c>
      <c r="E12349" t="str">
        <f>"HATTIESBURG               "</f>
        <v xml:space="preserve">HATTIESBURG               </v>
      </c>
      <c r="F12349" t="str">
        <f t="shared" si="323"/>
        <v>MS</v>
      </c>
    </row>
    <row r="12350" spans="1:6" x14ac:dyDescent="0.25">
      <c r="A12350" t="str">
        <f>"007058569"</f>
        <v>007058569</v>
      </c>
      <c r="B12350" t="str">
        <f>"1053622670"</f>
        <v>1053622670</v>
      </c>
      <c r="C12350" t="str">
        <f>"1223P0221X"</f>
        <v>1223P0221X</v>
      </c>
      <c r="D12350" t="str">
        <f>"SESSUMS                  JOEY         K           "</f>
        <v xml:space="preserve">SESSUMS                  JOEY         K           </v>
      </c>
      <c r="E12350" t="str">
        <f>"BROOKHAVEN                "</f>
        <v xml:space="preserve">BROOKHAVEN                </v>
      </c>
      <c r="F12350" t="str">
        <f t="shared" ref="F12350:F12413" si="324">"MS"</f>
        <v>MS</v>
      </c>
    </row>
    <row r="12351" spans="1:6" x14ac:dyDescent="0.25">
      <c r="A12351" t="str">
        <f>"007058811"</f>
        <v>007058811</v>
      </c>
      <c r="B12351" t="str">
        <f>"1538246632"</f>
        <v>1538246632</v>
      </c>
      <c r="C12351" t="str">
        <f>"363L00000X"</f>
        <v>363L00000X</v>
      </c>
      <c r="D12351" t="str">
        <f>"WILLIAMS                 FELECIA      P           "</f>
        <v xml:space="preserve">WILLIAMS                 FELECIA      P           </v>
      </c>
      <c r="E12351" t="str">
        <f>"HOLLANDALE                "</f>
        <v xml:space="preserve">HOLLANDALE                </v>
      </c>
      <c r="F12351" t="str">
        <f t="shared" si="324"/>
        <v>MS</v>
      </c>
    </row>
    <row r="12352" spans="1:6" x14ac:dyDescent="0.25">
      <c r="A12352" t="str">
        <f>"007059817"</f>
        <v>007059817</v>
      </c>
      <c r="B12352" t="str">
        <f>"1134467590"</f>
        <v>1134467590</v>
      </c>
      <c r="C12352" t="str">
        <f>"261QM1300X"</f>
        <v>261QM1300X</v>
      </c>
      <c r="D12352" t="str">
        <f>"RESILIENCE COUNSELING &amp; RECOVERY CE               "</f>
        <v xml:space="preserve">RESILIENCE COUNSELING &amp; RECOVERY CE               </v>
      </c>
      <c r="E12352" t="str">
        <f>"FLOWOOD                   "</f>
        <v xml:space="preserve">FLOWOOD                   </v>
      </c>
      <c r="F12352" t="str">
        <f t="shared" si="324"/>
        <v>MS</v>
      </c>
    </row>
    <row r="12353" spans="1:6" x14ac:dyDescent="0.25">
      <c r="A12353" t="str">
        <f>"007070380"</f>
        <v>007070380</v>
      </c>
      <c r="B12353" t="str">
        <f>"1255680427"</f>
        <v>1255680427</v>
      </c>
      <c r="C12353" t="str">
        <f>"122300000X"</f>
        <v>122300000X</v>
      </c>
      <c r="D12353" t="str">
        <f>"BAYVIEW ORTHODONTICS                              "</f>
        <v xml:space="preserve">BAYVIEW ORTHODONTICS                              </v>
      </c>
      <c r="E12353" t="str">
        <f>"BAY SAINT LOUIS           "</f>
        <v xml:space="preserve">BAY SAINT LOUIS           </v>
      </c>
      <c r="F12353" t="str">
        <f t="shared" si="324"/>
        <v>MS</v>
      </c>
    </row>
    <row r="12354" spans="1:6" x14ac:dyDescent="0.25">
      <c r="A12354" t="str">
        <f>"007075396"</f>
        <v>007075396</v>
      </c>
      <c r="B12354" t="str">
        <f>"1427220128"</f>
        <v>1427220128</v>
      </c>
      <c r="C12354" t="str">
        <f>"207T00000X"</f>
        <v>207T00000X</v>
      </c>
      <c r="D12354" t="str">
        <f>"CHOHAN                   MUHAMMAD     O           "</f>
        <v xml:space="preserve">CHOHAN                   MUHAMMAD     O           </v>
      </c>
      <c r="E12354" t="str">
        <f>"JACKSON                   "</f>
        <v xml:space="preserve">JACKSON                   </v>
      </c>
      <c r="F12354" t="str">
        <f t="shared" si="324"/>
        <v>MS</v>
      </c>
    </row>
    <row r="12355" spans="1:6" x14ac:dyDescent="0.25">
      <c r="A12355" t="str">
        <f>"007076009"</f>
        <v>007076009</v>
      </c>
      <c r="B12355" t="str">
        <f>"1669914826"</f>
        <v>1669914826</v>
      </c>
      <c r="C12355" t="str">
        <f>"363L00000X"</f>
        <v>363L00000X</v>
      </c>
      <c r="D12355" t="str">
        <f>"MOORE                    RHONDA       A           "</f>
        <v xml:space="preserve">MOORE                    RHONDA       A           </v>
      </c>
      <c r="E12355" t="str">
        <f>"MERIDIAN                  "</f>
        <v xml:space="preserve">MERIDIAN                  </v>
      </c>
      <c r="F12355" t="str">
        <f t="shared" si="324"/>
        <v>MS</v>
      </c>
    </row>
    <row r="12356" spans="1:6" x14ac:dyDescent="0.25">
      <c r="A12356" t="str">
        <f>"007076260"</f>
        <v>007076260</v>
      </c>
      <c r="B12356" t="str">
        <f>"1447279526"</f>
        <v>1447279526</v>
      </c>
      <c r="C12356" t="str">
        <f>"207R00000X"</f>
        <v>207R00000X</v>
      </c>
      <c r="D12356" t="str">
        <f>"CRIDDLE III              FRANK        J           "</f>
        <v xml:space="preserve">CRIDDLE III              FRANK        J           </v>
      </c>
      <c r="E12356" t="str">
        <f>"JACKSON                   "</f>
        <v xml:space="preserve">JACKSON                   </v>
      </c>
      <c r="F12356" t="str">
        <f t="shared" si="324"/>
        <v>MS</v>
      </c>
    </row>
    <row r="12357" spans="1:6" x14ac:dyDescent="0.25">
      <c r="A12357" t="str">
        <f>"007076371"</f>
        <v>007076371</v>
      </c>
      <c r="B12357" t="str">
        <f>"1598709503"</f>
        <v>1598709503</v>
      </c>
      <c r="C12357" t="str">
        <f>"2080P0203X"</f>
        <v>2080P0203X</v>
      </c>
      <c r="D12357" t="str">
        <f>"HALLSTROM                CRAIG        K           "</f>
        <v xml:space="preserve">HALLSTROM                CRAIG        K           </v>
      </c>
      <c r="E12357" t="str">
        <f>"JACKSON                   "</f>
        <v xml:space="preserve">JACKSON                   </v>
      </c>
      <c r="F12357" t="str">
        <f t="shared" si="324"/>
        <v>MS</v>
      </c>
    </row>
    <row r="12358" spans="1:6" x14ac:dyDescent="0.25">
      <c r="A12358" t="str">
        <f>"007077024"</f>
        <v>007077024</v>
      </c>
      <c r="B12358" t="str">
        <f>"1659918084"</f>
        <v>1659918084</v>
      </c>
      <c r="C12358" t="str">
        <f>"363L00000X"</f>
        <v>363L00000X</v>
      </c>
      <c r="D12358" t="str">
        <f>"ALLEN                    ELIZABETH                "</f>
        <v xml:space="preserve">ALLEN                    ELIZABETH                </v>
      </c>
      <c r="E12358" t="str">
        <f>"HATTIESBURG               "</f>
        <v xml:space="preserve">HATTIESBURG               </v>
      </c>
      <c r="F12358" t="str">
        <f t="shared" si="324"/>
        <v>MS</v>
      </c>
    </row>
    <row r="12359" spans="1:6" x14ac:dyDescent="0.25">
      <c r="A12359" t="str">
        <f>"007077714"</f>
        <v>007077714</v>
      </c>
      <c r="B12359" t="str">
        <f>"1609967520"</f>
        <v>1609967520</v>
      </c>
      <c r="C12359" t="str">
        <f>"363L00000X"</f>
        <v>363L00000X</v>
      </c>
      <c r="D12359" t="str">
        <f>"BURCHAM                  PENNY                    "</f>
        <v xml:space="preserve">BURCHAM                  PENNY                    </v>
      </c>
      <c r="E12359" t="str">
        <f>"OXFORD                    "</f>
        <v xml:space="preserve">OXFORD                    </v>
      </c>
      <c r="F12359" t="str">
        <f t="shared" si="324"/>
        <v>MS</v>
      </c>
    </row>
    <row r="12360" spans="1:6" x14ac:dyDescent="0.25">
      <c r="A12360" t="str">
        <f>"007080256"</f>
        <v>007080256</v>
      </c>
      <c r="B12360" t="str">
        <f>"1255918934"</f>
        <v>1255918934</v>
      </c>
      <c r="C12360" t="str">
        <f>"207R00000X"</f>
        <v>207R00000X</v>
      </c>
      <c r="D12360" t="str">
        <f>"BILLINGSLEY              BENJAMIN     C           "</f>
        <v xml:space="preserve">BILLINGSLEY              BENJAMIN     C           </v>
      </c>
      <c r="E12360" t="str">
        <f>"JACKSON                   "</f>
        <v xml:space="preserve">JACKSON                   </v>
      </c>
      <c r="F12360" t="str">
        <f t="shared" si="324"/>
        <v>MS</v>
      </c>
    </row>
    <row r="12361" spans="1:6" x14ac:dyDescent="0.25">
      <c r="A12361" t="str">
        <f>"007082834"</f>
        <v>007082834</v>
      </c>
      <c r="B12361" t="str">
        <f>"1073180063"</f>
        <v>1073180063</v>
      </c>
      <c r="C12361" t="str">
        <f>"363L00000X"</f>
        <v>363L00000X</v>
      </c>
      <c r="D12361" t="str">
        <f>"FAIRLEY                  CHRISTAL     S           "</f>
        <v xml:space="preserve">FAIRLEY                  CHRISTAL     S           </v>
      </c>
      <c r="E12361" t="str">
        <f>"OCEAN SPRINGS             "</f>
        <v xml:space="preserve">OCEAN SPRINGS             </v>
      </c>
      <c r="F12361" t="str">
        <f t="shared" si="324"/>
        <v>MS</v>
      </c>
    </row>
    <row r="12362" spans="1:6" x14ac:dyDescent="0.25">
      <c r="A12362" t="str">
        <f>"007083393"</f>
        <v>007083393</v>
      </c>
      <c r="B12362" t="str">
        <f>"1710362025"</f>
        <v>1710362025</v>
      </c>
      <c r="C12362" t="str">
        <f>"2085R0001X"</f>
        <v>2085R0001X</v>
      </c>
      <c r="D12362" t="str">
        <f>"MUNDRA                   ESWARA       K           "</f>
        <v xml:space="preserve">MUNDRA                   ESWARA       K           </v>
      </c>
      <c r="E12362" t="str">
        <f>"JACKSON                   "</f>
        <v xml:space="preserve">JACKSON                   </v>
      </c>
      <c r="F12362" t="str">
        <f t="shared" si="324"/>
        <v>MS</v>
      </c>
    </row>
    <row r="12363" spans="1:6" x14ac:dyDescent="0.25">
      <c r="A12363" t="str">
        <f>"007083558"</f>
        <v>007083558</v>
      </c>
      <c r="B12363" t="str">
        <f>"1134658602"</f>
        <v>1134658602</v>
      </c>
      <c r="C12363" t="str">
        <f>"122300000X"</f>
        <v>122300000X</v>
      </c>
      <c r="D12363" t="str">
        <f>"FOREST METRO DENTAL                               "</f>
        <v xml:space="preserve">FOREST METRO DENTAL                               </v>
      </c>
      <c r="E12363" t="str">
        <f>"FOREST                    "</f>
        <v xml:space="preserve">FOREST                    </v>
      </c>
      <c r="F12363" t="str">
        <f t="shared" si="324"/>
        <v>MS</v>
      </c>
    </row>
    <row r="12364" spans="1:6" x14ac:dyDescent="0.25">
      <c r="A12364" t="str">
        <f>"007083579"</f>
        <v>007083579</v>
      </c>
      <c r="B12364" t="str">
        <f>"1639460397"</f>
        <v>1639460397</v>
      </c>
      <c r="C12364" t="str">
        <f>"208600000X"</f>
        <v>208600000X</v>
      </c>
      <c r="D12364" t="str">
        <f>"IVERSON                  KYLE         J           "</f>
        <v xml:space="preserve">IVERSON                  KYLE         J           </v>
      </c>
      <c r="E12364" t="str">
        <f>"GULFPORT                  "</f>
        <v xml:space="preserve">GULFPORT                  </v>
      </c>
      <c r="F12364" t="str">
        <f t="shared" si="324"/>
        <v>MS</v>
      </c>
    </row>
    <row r="12365" spans="1:6" x14ac:dyDescent="0.25">
      <c r="A12365" t="str">
        <f>"007084205"</f>
        <v>007084205</v>
      </c>
      <c r="B12365" t="str">
        <f>"1114021722"</f>
        <v>1114021722</v>
      </c>
      <c r="C12365" t="str">
        <f>"208G00000X"</f>
        <v>208G00000X</v>
      </c>
      <c r="D12365" t="str">
        <f>"JOHNSON                  ROBERT       G           "</f>
        <v xml:space="preserve">JOHNSON                  ROBERT       G           </v>
      </c>
      <c r="E12365" t="str">
        <f>"OCEAN SPRINGS             "</f>
        <v xml:space="preserve">OCEAN SPRINGS             </v>
      </c>
      <c r="F12365" t="str">
        <f t="shared" si="324"/>
        <v>MS</v>
      </c>
    </row>
    <row r="12366" spans="1:6" x14ac:dyDescent="0.25">
      <c r="A12366" t="str">
        <f>"007084529"</f>
        <v>007084529</v>
      </c>
      <c r="B12366" t="str">
        <f>"1740537687"</f>
        <v>1740537687</v>
      </c>
      <c r="C12366" t="str">
        <f>"363L00000X"</f>
        <v>363L00000X</v>
      </c>
      <c r="D12366" t="str">
        <f>"WALLACE                  SUSAN        R           "</f>
        <v xml:space="preserve">WALLACE                  SUSAN        R           </v>
      </c>
      <c r="E12366" t="str">
        <f>"HATTIESBURG               "</f>
        <v xml:space="preserve">HATTIESBURG               </v>
      </c>
      <c r="F12366" t="str">
        <f t="shared" si="324"/>
        <v>MS</v>
      </c>
    </row>
    <row r="12367" spans="1:6" x14ac:dyDescent="0.25">
      <c r="A12367" t="str">
        <f>"007084719"</f>
        <v>007084719</v>
      </c>
      <c r="B12367" t="str">
        <f>"1427460849"</f>
        <v>1427460849</v>
      </c>
      <c r="C12367" t="str">
        <f>"207N00000X"</f>
        <v>207N00000X</v>
      </c>
      <c r="D12367" t="str">
        <f>"WILE                     ANNA         A           "</f>
        <v xml:space="preserve">WILE                     ANNA         A           </v>
      </c>
      <c r="E12367" t="str">
        <f>"MERIDIAN                  "</f>
        <v xml:space="preserve">MERIDIAN                  </v>
      </c>
      <c r="F12367" t="str">
        <f t="shared" si="324"/>
        <v>MS</v>
      </c>
    </row>
    <row r="12368" spans="1:6" x14ac:dyDescent="0.25">
      <c r="A12368" t="str">
        <f>"007085224"</f>
        <v>007085224</v>
      </c>
      <c r="B12368" t="str">
        <f>"1801860747"</f>
        <v>1801860747</v>
      </c>
      <c r="C12368" t="str">
        <f>"1223X0400X"</f>
        <v>1223X0400X</v>
      </c>
      <c r="D12368" t="str">
        <f>"O BANNON                 SHAWN        P           "</f>
        <v xml:space="preserve">O BANNON                 SHAWN        P           </v>
      </c>
      <c r="E12368" t="str">
        <f>"SALTILLO                  "</f>
        <v xml:space="preserve">SALTILLO                  </v>
      </c>
      <c r="F12368" t="str">
        <f t="shared" si="324"/>
        <v>MS</v>
      </c>
    </row>
    <row r="12369" spans="1:6" x14ac:dyDescent="0.25">
      <c r="A12369" t="str">
        <f>"007086863"</f>
        <v>007086863</v>
      </c>
      <c r="B12369" t="str">
        <f>"1316082944"</f>
        <v>1316082944</v>
      </c>
      <c r="C12369" t="str">
        <f>"152W00000X"</f>
        <v>152W00000X</v>
      </c>
      <c r="D12369" t="str">
        <f>"STONE                    TU           L           "</f>
        <v xml:space="preserve">STONE                    TU           L           </v>
      </c>
      <c r="E12369" t="str">
        <f>"BATESVILLE                "</f>
        <v xml:space="preserve">BATESVILLE                </v>
      </c>
      <c r="F12369" t="str">
        <f t="shared" si="324"/>
        <v>MS</v>
      </c>
    </row>
    <row r="12370" spans="1:6" x14ac:dyDescent="0.25">
      <c r="A12370" t="str">
        <f>"007087229"</f>
        <v>007087229</v>
      </c>
      <c r="B12370" t="str">
        <f>"1396992244"</f>
        <v>1396992244</v>
      </c>
      <c r="C12370" t="str">
        <f>"122300000X"</f>
        <v>122300000X</v>
      </c>
      <c r="D12370" t="str">
        <f>"ALMON                    WENDY        R           "</f>
        <v xml:space="preserve">ALMON                    WENDY        R           </v>
      </c>
      <c r="E12370" t="str">
        <f>"JACKSON                   "</f>
        <v xml:space="preserve">JACKSON                   </v>
      </c>
      <c r="F12370" t="str">
        <f t="shared" si="324"/>
        <v>MS</v>
      </c>
    </row>
    <row r="12371" spans="1:6" x14ac:dyDescent="0.25">
      <c r="A12371" t="str">
        <f>"007087501"</f>
        <v>007087501</v>
      </c>
      <c r="B12371" t="str">
        <f>"1881873990"</f>
        <v>1881873990</v>
      </c>
      <c r="C12371" t="str">
        <f>"207P00000X"</f>
        <v>207P00000X</v>
      </c>
      <c r="D12371" t="str">
        <f>"SANDIFER                 JOHN         P           "</f>
        <v xml:space="preserve">SANDIFER                 JOHN         P           </v>
      </c>
      <c r="E12371" t="str">
        <f>"JACKSON                   "</f>
        <v xml:space="preserve">JACKSON                   </v>
      </c>
      <c r="F12371" t="str">
        <f t="shared" si="324"/>
        <v>MS</v>
      </c>
    </row>
    <row r="12372" spans="1:6" x14ac:dyDescent="0.25">
      <c r="A12372" t="str">
        <f>"007087716"</f>
        <v>007087716</v>
      </c>
      <c r="B12372" t="str">
        <f>"1467858373"</f>
        <v>1467858373</v>
      </c>
      <c r="C12372" t="str">
        <f>"363A00000X"</f>
        <v>363A00000X</v>
      </c>
      <c r="D12372" t="str">
        <f>"COUNCE                   CORTNEY      H           "</f>
        <v xml:space="preserve">COUNCE                   CORTNEY      H           </v>
      </c>
      <c r="E12372" t="str">
        <f>"SOUTHAVEN                 "</f>
        <v xml:space="preserve">SOUTHAVEN                 </v>
      </c>
      <c r="F12372" t="str">
        <f t="shared" si="324"/>
        <v>MS</v>
      </c>
    </row>
    <row r="12373" spans="1:6" x14ac:dyDescent="0.25">
      <c r="A12373" t="str">
        <f>"007088395"</f>
        <v>007088395</v>
      </c>
      <c r="B12373" t="str">
        <f>"1194793299"</f>
        <v>1194793299</v>
      </c>
      <c r="C12373" t="str">
        <f>"207W00000X"</f>
        <v>207W00000X</v>
      </c>
      <c r="D12373" t="str">
        <f>"BERTUCCI                 PHILIP       L           "</f>
        <v xml:space="preserve">BERTUCCI                 PHILIP       L           </v>
      </c>
      <c r="E12373" t="str">
        <f>"GULFPORT                  "</f>
        <v xml:space="preserve">GULFPORT                  </v>
      </c>
      <c r="F12373" t="str">
        <f t="shared" si="324"/>
        <v>MS</v>
      </c>
    </row>
    <row r="12374" spans="1:6" x14ac:dyDescent="0.25">
      <c r="A12374" t="str">
        <f>"007089078"</f>
        <v>007089078</v>
      </c>
      <c r="B12374" t="str">
        <f>"1720275753"</f>
        <v>1720275753</v>
      </c>
      <c r="C12374" t="str">
        <f>"363LF0000X"</f>
        <v>363LF0000X</v>
      </c>
      <c r="D12374" t="str">
        <f>"BRUCE                    JULIA        S           "</f>
        <v xml:space="preserve">BRUCE                    JULIA        S           </v>
      </c>
      <c r="E12374" t="str">
        <f>"JACKSON                   "</f>
        <v xml:space="preserve">JACKSON                   </v>
      </c>
      <c r="F12374" t="str">
        <f t="shared" si="324"/>
        <v>MS</v>
      </c>
    </row>
    <row r="12375" spans="1:6" x14ac:dyDescent="0.25">
      <c r="A12375" t="str">
        <f>"007089504"</f>
        <v>007089504</v>
      </c>
      <c r="B12375" t="str">
        <f>"1003834979"</f>
        <v>1003834979</v>
      </c>
      <c r="C12375" t="str">
        <f>"261QR1300X"</f>
        <v>261QR1300X</v>
      </c>
      <c r="D12375" t="str">
        <f>"NESHOBA MEDICAL ASSOCIATES                        "</f>
        <v xml:space="preserve">NESHOBA MEDICAL ASSOCIATES                        </v>
      </c>
      <c r="E12375" t="str">
        <f>"PHILADELPHIA              "</f>
        <v xml:space="preserve">PHILADELPHIA              </v>
      </c>
      <c r="F12375" t="str">
        <f t="shared" si="324"/>
        <v>MS</v>
      </c>
    </row>
    <row r="12376" spans="1:6" x14ac:dyDescent="0.25">
      <c r="A12376" t="str">
        <f>"007100010"</f>
        <v>007100010</v>
      </c>
      <c r="B12376" t="str">
        <f>"1427282599"</f>
        <v>1427282599</v>
      </c>
      <c r="C12376" t="str">
        <f>"363L00000X"</f>
        <v>363L00000X</v>
      </c>
      <c r="D12376" t="str">
        <f>"GABLE                    TONI         T           "</f>
        <v xml:space="preserve">GABLE                    TONI         T           </v>
      </c>
      <c r="E12376" t="str">
        <f>"MERIDIAN                  "</f>
        <v xml:space="preserve">MERIDIAN                  </v>
      </c>
      <c r="F12376" t="str">
        <f t="shared" si="324"/>
        <v>MS</v>
      </c>
    </row>
    <row r="12377" spans="1:6" x14ac:dyDescent="0.25">
      <c r="A12377" t="str">
        <f>"007101318"</f>
        <v>007101318</v>
      </c>
      <c r="B12377" t="str">
        <f>"1275705436"</f>
        <v>1275705436</v>
      </c>
      <c r="C12377" t="str">
        <f>"207Q00000X"</f>
        <v>207Q00000X</v>
      </c>
      <c r="D12377" t="str">
        <f>"JOHNSON                  ANGEL        M           "</f>
        <v xml:space="preserve">JOHNSON                  ANGEL        M           </v>
      </c>
      <c r="E12377" t="str">
        <f>"PETAL                     "</f>
        <v xml:space="preserve">PETAL                     </v>
      </c>
      <c r="F12377" t="str">
        <f t="shared" si="324"/>
        <v>MS</v>
      </c>
    </row>
    <row r="12378" spans="1:6" x14ac:dyDescent="0.25">
      <c r="A12378" t="str">
        <f>"007103564"</f>
        <v>007103564</v>
      </c>
      <c r="B12378" t="str">
        <f>"1780087304"</f>
        <v>1780087304</v>
      </c>
      <c r="C12378" t="str">
        <f>"363L00000X"</f>
        <v>363L00000X</v>
      </c>
      <c r="D12378" t="str">
        <f>"GREER                    ANITA        S           "</f>
        <v xml:space="preserve">GREER                    ANITA        S           </v>
      </c>
      <c r="E12378" t="str">
        <f>"KOSCIUSKO                 "</f>
        <v xml:space="preserve">KOSCIUSKO                 </v>
      </c>
      <c r="F12378" t="str">
        <f t="shared" si="324"/>
        <v>MS</v>
      </c>
    </row>
    <row r="12379" spans="1:6" x14ac:dyDescent="0.25">
      <c r="A12379" t="str">
        <f>"007105070"</f>
        <v>007105070</v>
      </c>
      <c r="B12379" t="str">
        <f>"1912660721"</f>
        <v>1912660721</v>
      </c>
      <c r="C12379" t="str">
        <f>"261QR1300X"</f>
        <v>261QR1300X</v>
      </c>
      <c r="D12379" t="str">
        <f>"MRH MEDICAL GROUP, POTTER FAMILY CL               "</f>
        <v xml:space="preserve">MRH MEDICAL GROUP, POTTER FAMILY CL               </v>
      </c>
      <c r="E12379" t="str">
        <f>"GREENVILLE                "</f>
        <v xml:space="preserve">GREENVILLE                </v>
      </c>
      <c r="F12379" t="str">
        <f t="shared" si="324"/>
        <v>MS</v>
      </c>
    </row>
    <row r="12380" spans="1:6" x14ac:dyDescent="0.25">
      <c r="A12380" t="str">
        <f>"007105324"</f>
        <v>007105324</v>
      </c>
      <c r="B12380" t="str">
        <f>"1942595871"</f>
        <v>1942595871</v>
      </c>
      <c r="C12380" t="str">
        <f>"2086S0122X"</f>
        <v>2086S0122X</v>
      </c>
      <c r="D12380" t="str">
        <f>"FRANKLIN                 ADAM         N           "</f>
        <v xml:space="preserve">FRANKLIN                 ADAM         N           </v>
      </c>
      <c r="E12380" t="str">
        <f>"HATTIESBURG               "</f>
        <v xml:space="preserve">HATTIESBURG               </v>
      </c>
      <c r="F12380" t="str">
        <f t="shared" si="324"/>
        <v>MS</v>
      </c>
    </row>
    <row r="12381" spans="1:6" x14ac:dyDescent="0.25">
      <c r="A12381" t="str">
        <f>"007106868"</f>
        <v>007106868</v>
      </c>
      <c r="B12381" t="str">
        <f>"1164714192"</f>
        <v>1164714192</v>
      </c>
      <c r="C12381" t="str">
        <f>"367500000X"</f>
        <v>367500000X</v>
      </c>
      <c r="D12381" t="str">
        <f>"STOKES                   DENTON       C           "</f>
        <v xml:space="preserve">STOKES                   DENTON       C           </v>
      </c>
      <c r="E12381" t="str">
        <f>"RULEVILLE                 "</f>
        <v xml:space="preserve">RULEVILLE                 </v>
      </c>
      <c r="F12381" t="str">
        <f t="shared" si="324"/>
        <v>MS</v>
      </c>
    </row>
    <row r="12382" spans="1:6" x14ac:dyDescent="0.25">
      <c r="A12382" t="str">
        <f>"007107506"</f>
        <v>007107506</v>
      </c>
      <c r="B12382" t="str">
        <f>"1487261954"</f>
        <v>1487261954</v>
      </c>
      <c r="C12382" t="str">
        <f>"363L00000X"</f>
        <v>363L00000X</v>
      </c>
      <c r="D12382" t="str">
        <f>"LONG                     HELEN        P           "</f>
        <v xml:space="preserve">LONG                     HELEN        P           </v>
      </c>
      <c r="E12382" t="str">
        <f>"NEW ALBANY                "</f>
        <v xml:space="preserve">NEW ALBANY                </v>
      </c>
      <c r="F12382" t="str">
        <f t="shared" si="324"/>
        <v>MS</v>
      </c>
    </row>
    <row r="12383" spans="1:6" x14ac:dyDescent="0.25">
      <c r="A12383" t="str">
        <f>"007108223"</f>
        <v>007108223</v>
      </c>
      <c r="B12383" t="str">
        <f>"1326461500"</f>
        <v>1326461500</v>
      </c>
      <c r="C12383" t="str">
        <f>"363L00000X"</f>
        <v>363L00000X</v>
      </c>
      <c r="D12383" t="str">
        <f>"WHITACRE                 JEANA                    "</f>
        <v xml:space="preserve">WHITACRE                 JEANA                    </v>
      </c>
      <c r="E12383" t="str">
        <f>"COLUMBUS                  "</f>
        <v xml:space="preserve">COLUMBUS                  </v>
      </c>
      <c r="F12383" t="str">
        <f t="shared" si="324"/>
        <v>MS</v>
      </c>
    </row>
    <row r="12384" spans="1:6" x14ac:dyDescent="0.25">
      <c r="A12384" t="str">
        <f>"007108353"</f>
        <v>007108353</v>
      </c>
      <c r="B12384" t="str">
        <f>"1861843690"</f>
        <v>1861843690</v>
      </c>
      <c r="C12384" t="str">
        <f>"363L00000X"</f>
        <v>363L00000X</v>
      </c>
      <c r="D12384" t="str">
        <f>"BARBER                   PATRICIA     A           "</f>
        <v xml:space="preserve">BARBER                   PATRICIA     A           </v>
      </c>
      <c r="E12384" t="str">
        <f>"GREENVILLE                "</f>
        <v xml:space="preserve">GREENVILLE                </v>
      </c>
      <c r="F12384" t="str">
        <f t="shared" si="324"/>
        <v>MS</v>
      </c>
    </row>
    <row r="12385" spans="1:6" x14ac:dyDescent="0.25">
      <c r="A12385" t="str">
        <f>"007108756"</f>
        <v>007108756</v>
      </c>
      <c r="B12385" t="str">
        <f>"1942661657"</f>
        <v>1942661657</v>
      </c>
      <c r="C12385" t="str">
        <f>"207P00000X"</f>
        <v>207P00000X</v>
      </c>
      <c r="D12385" t="str">
        <f>"ZINDELL                  ALLISON      N           "</f>
        <v xml:space="preserve">ZINDELL                  ALLISON      N           </v>
      </c>
      <c r="E12385" t="str">
        <f>"OCEAN SPRINGS             "</f>
        <v xml:space="preserve">OCEAN SPRINGS             </v>
      </c>
      <c r="F12385" t="str">
        <f t="shared" si="324"/>
        <v>MS</v>
      </c>
    </row>
    <row r="12386" spans="1:6" x14ac:dyDescent="0.25">
      <c r="A12386" t="str">
        <f>"007109261"</f>
        <v>007109261</v>
      </c>
      <c r="B12386" t="str">
        <f>"1982961728"</f>
        <v>1982961728</v>
      </c>
      <c r="C12386" t="str">
        <f>"207V00000X"</f>
        <v>207V00000X</v>
      </c>
      <c r="D12386" t="str">
        <f>"DAILY                    LAURA        R           "</f>
        <v xml:space="preserve">DAILY                    LAURA        R           </v>
      </c>
      <c r="E12386" t="str">
        <f>"JACKSON                   "</f>
        <v xml:space="preserve">JACKSON                   </v>
      </c>
      <c r="F12386" t="str">
        <f t="shared" si="324"/>
        <v>MS</v>
      </c>
    </row>
    <row r="12387" spans="1:6" x14ac:dyDescent="0.25">
      <c r="A12387" t="str">
        <f>"007109304"</f>
        <v>007109304</v>
      </c>
      <c r="B12387" t="str">
        <f>"1164047197"</f>
        <v>1164047197</v>
      </c>
      <c r="C12387" t="str">
        <f>"208D00000X"</f>
        <v>208D00000X</v>
      </c>
      <c r="D12387" t="str">
        <f>"AKRIDGE                  ALLISON                  "</f>
        <v xml:space="preserve">AKRIDGE                  ALLISON                  </v>
      </c>
      <c r="E12387" t="str">
        <f>"WAYNESBORO                "</f>
        <v xml:space="preserve">WAYNESBORO                </v>
      </c>
      <c r="F12387" t="str">
        <f t="shared" si="324"/>
        <v>MS</v>
      </c>
    </row>
    <row r="12388" spans="1:6" x14ac:dyDescent="0.25">
      <c r="A12388" t="str">
        <f>"007109554"</f>
        <v>007109554</v>
      </c>
      <c r="B12388" t="str">
        <f>"1609141811"</f>
        <v>1609141811</v>
      </c>
      <c r="C12388" t="str">
        <f>"208000000X"</f>
        <v>208000000X</v>
      </c>
      <c r="D12388" t="str">
        <f>"PRAVEEN-KUMAR            VALIPARAMBIL B           "</f>
        <v xml:space="preserve">PRAVEEN-KUMAR            VALIPARAMBIL B           </v>
      </c>
      <c r="E12388" t="str">
        <f>"JACKSON                   "</f>
        <v xml:space="preserve">JACKSON                   </v>
      </c>
      <c r="F12388" t="str">
        <f t="shared" si="324"/>
        <v>MS</v>
      </c>
    </row>
    <row r="12389" spans="1:6" x14ac:dyDescent="0.25">
      <c r="A12389" t="str">
        <f>"007121029"</f>
        <v>007121029</v>
      </c>
      <c r="B12389" t="str">
        <f>"1548640642"</f>
        <v>1548640642</v>
      </c>
      <c r="C12389" t="str">
        <f>"261QR1300X"</f>
        <v>261QR1300X</v>
      </c>
      <c r="D12389" t="str">
        <f>"SOUTHERN WOMENS HEALTH                            "</f>
        <v xml:space="preserve">SOUTHERN WOMENS HEALTH                            </v>
      </c>
      <c r="E12389" t="str">
        <f>"HATTIESBURG               "</f>
        <v xml:space="preserve">HATTIESBURG               </v>
      </c>
      <c r="F12389" t="str">
        <f t="shared" si="324"/>
        <v>MS</v>
      </c>
    </row>
    <row r="12390" spans="1:6" x14ac:dyDescent="0.25">
      <c r="A12390" t="str">
        <f>"007121037"</f>
        <v>007121037</v>
      </c>
      <c r="B12390" t="str">
        <f>"1528370749"</f>
        <v>1528370749</v>
      </c>
      <c r="C12390" t="str">
        <f>"207RE0101X"</f>
        <v>207RE0101X</v>
      </c>
      <c r="D12390" t="str">
        <f>"YANES CARDOZO            LICY         L           "</f>
        <v xml:space="preserve">YANES CARDOZO            LICY         L           </v>
      </c>
      <c r="E12390" t="str">
        <f>"JACKSON                   "</f>
        <v xml:space="preserve">JACKSON                   </v>
      </c>
      <c r="F12390" t="str">
        <f t="shared" si="324"/>
        <v>MS</v>
      </c>
    </row>
    <row r="12391" spans="1:6" x14ac:dyDescent="0.25">
      <c r="A12391" t="str">
        <f>"007121372"</f>
        <v>007121372</v>
      </c>
      <c r="B12391" t="str">
        <f>"1932200151"</f>
        <v>1932200151</v>
      </c>
      <c r="C12391" t="str">
        <f>"207Q00000X"</f>
        <v>207Q00000X</v>
      </c>
      <c r="D12391" t="str">
        <f>"MOULDER                  REBEKAH      W           "</f>
        <v xml:space="preserve">MOULDER                  REBEKAH      W           </v>
      </c>
      <c r="E12391" t="str">
        <f>"MADISON                   "</f>
        <v xml:space="preserve">MADISON                   </v>
      </c>
      <c r="F12391" t="str">
        <f t="shared" si="324"/>
        <v>MS</v>
      </c>
    </row>
    <row r="12392" spans="1:6" x14ac:dyDescent="0.25">
      <c r="A12392" t="str">
        <f>"007122075"</f>
        <v>007122075</v>
      </c>
      <c r="B12392" t="str">
        <f>"1033157391"</f>
        <v>1033157391</v>
      </c>
      <c r="C12392" t="str">
        <f>"207Q00000X"</f>
        <v>207Q00000X</v>
      </c>
      <c r="D12392" t="str">
        <f>"PERRINE                  TERRY        R           "</f>
        <v xml:space="preserve">PERRINE                  TERRY        R           </v>
      </c>
      <c r="E12392" t="str">
        <f>"TUPELO                    "</f>
        <v xml:space="preserve">TUPELO                    </v>
      </c>
      <c r="F12392" t="str">
        <f t="shared" si="324"/>
        <v>MS</v>
      </c>
    </row>
    <row r="12393" spans="1:6" x14ac:dyDescent="0.25">
      <c r="A12393" t="str">
        <f>"007122241"</f>
        <v>007122241</v>
      </c>
      <c r="B12393" t="str">
        <f>"1710127311"</f>
        <v>1710127311</v>
      </c>
      <c r="C12393" t="str">
        <f>"122300000X"</f>
        <v>122300000X</v>
      </c>
      <c r="D12393" t="str">
        <f>"CENTER AVENUE DENTAL CARE LLC                     "</f>
        <v xml:space="preserve">CENTER AVENUE DENTAL CARE LLC                     </v>
      </c>
      <c r="E12393" t="str">
        <f>"SUMRALL                   "</f>
        <v xml:space="preserve">SUMRALL                   </v>
      </c>
      <c r="F12393" t="str">
        <f t="shared" si="324"/>
        <v>MS</v>
      </c>
    </row>
    <row r="12394" spans="1:6" x14ac:dyDescent="0.25">
      <c r="A12394" t="str">
        <f>"007124262"</f>
        <v>007124262</v>
      </c>
      <c r="B12394" t="str">
        <f>"1104117688"</f>
        <v>1104117688</v>
      </c>
      <c r="C12394" t="str">
        <f>"2085R0202X"</f>
        <v>2085R0202X</v>
      </c>
      <c r="D12394" t="str">
        <f>"BROUSSARD                GERALD       B           "</f>
        <v xml:space="preserve">BROUSSARD                GERALD       B           </v>
      </c>
      <c r="E12394" t="str">
        <f>"HATTIESBURG               "</f>
        <v xml:space="preserve">HATTIESBURG               </v>
      </c>
      <c r="F12394" t="str">
        <f t="shared" si="324"/>
        <v>MS</v>
      </c>
    </row>
    <row r="12395" spans="1:6" x14ac:dyDescent="0.25">
      <c r="A12395" t="str">
        <f>"007124893"</f>
        <v>007124893</v>
      </c>
      <c r="B12395" t="str">
        <f>"1972009835"</f>
        <v>1972009835</v>
      </c>
      <c r="C12395" t="str">
        <f>"207Q00000X"</f>
        <v>207Q00000X</v>
      </c>
      <c r="D12395" t="str">
        <f>"PRESGRAVES               JAMES        S           "</f>
        <v xml:space="preserve">PRESGRAVES               JAMES        S           </v>
      </c>
      <c r="E12395" t="str">
        <f>"MAGEE                     "</f>
        <v xml:space="preserve">MAGEE                     </v>
      </c>
      <c r="F12395" t="str">
        <f t="shared" si="324"/>
        <v>MS</v>
      </c>
    </row>
    <row r="12396" spans="1:6" x14ac:dyDescent="0.25">
      <c r="A12396" t="str">
        <f>"007125342"</f>
        <v>007125342</v>
      </c>
      <c r="B12396" t="str">
        <f>"1780967596"</f>
        <v>1780967596</v>
      </c>
      <c r="C12396" t="str">
        <f>"363L00000X"</f>
        <v>363L00000X</v>
      </c>
      <c r="D12396" t="str">
        <f>"CARROLL                  WHITNEY      J           "</f>
        <v xml:space="preserve">CARROLL                  WHITNEY      J           </v>
      </c>
      <c r="E12396" t="str">
        <f>"SMITHVILLE                "</f>
        <v xml:space="preserve">SMITHVILLE                </v>
      </c>
      <c r="F12396" t="str">
        <f t="shared" si="324"/>
        <v>MS</v>
      </c>
    </row>
    <row r="12397" spans="1:6" x14ac:dyDescent="0.25">
      <c r="A12397" t="str">
        <f>"007126324"</f>
        <v>007126324</v>
      </c>
      <c r="B12397" t="str">
        <f>"1265531651"</f>
        <v>1265531651</v>
      </c>
      <c r="C12397" t="str">
        <f>"207P00000X"</f>
        <v>207P00000X</v>
      </c>
      <c r="D12397" t="str">
        <f>"HALL                     STEVEN                   "</f>
        <v xml:space="preserve">HALL                     STEVEN                   </v>
      </c>
      <c r="E12397" t="str">
        <f>"BOONEVILLE                "</f>
        <v xml:space="preserve">BOONEVILLE                </v>
      </c>
      <c r="F12397" t="str">
        <f t="shared" si="324"/>
        <v>MS</v>
      </c>
    </row>
    <row r="12398" spans="1:6" x14ac:dyDescent="0.25">
      <c r="A12398" t="str">
        <f>"007127570"</f>
        <v>007127570</v>
      </c>
      <c r="B12398" t="str">
        <f>"1982056198"</f>
        <v>1982056198</v>
      </c>
      <c r="C12398" t="str">
        <f>"152W00000X"</f>
        <v>152W00000X</v>
      </c>
      <c r="D12398" t="str">
        <f>"MULLEN                   KELLI        W           "</f>
        <v xml:space="preserve">MULLEN                   KELLI        W           </v>
      </c>
      <c r="E12398" t="str">
        <f>"NEW ALBANY                "</f>
        <v xml:space="preserve">NEW ALBANY                </v>
      </c>
      <c r="F12398" t="str">
        <f t="shared" si="324"/>
        <v>MS</v>
      </c>
    </row>
    <row r="12399" spans="1:6" x14ac:dyDescent="0.25">
      <c r="A12399" t="str">
        <f>"007127782"</f>
        <v>007127782</v>
      </c>
      <c r="B12399" t="str">
        <f>"1992092134"</f>
        <v>1992092134</v>
      </c>
      <c r="C12399" t="str">
        <f>"363L00000X"</f>
        <v>363L00000X</v>
      </c>
      <c r="D12399" t="str">
        <f>"HAYES                    TIA          A           "</f>
        <v xml:space="preserve">HAYES                    TIA          A           </v>
      </c>
      <c r="E12399" t="str">
        <f>"JACKSON                   "</f>
        <v xml:space="preserve">JACKSON                   </v>
      </c>
      <c r="F12399" t="str">
        <f t="shared" si="324"/>
        <v>MS</v>
      </c>
    </row>
    <row r="12400" spans="1:6" x14ac:dyDescent="0.25">
      <c r="A12400" t="str">
        <f>"007127889"</f>
        <v>007127889</v>
      </c>
      <c r="B12400" t="str">
        <f>"1528384195"</f>
        <v>1528384195</v>
      </c>
      <c r="C12400" t="str">
        <f>"2086S0122X"</f>
        <v>2086S0122X</v>
      </c>
      <c r="D12400" t="str">
        <f>"DAVIS                    JARED        M           "</f>
        <v xml:space="preserve">DAVIS                    JARED        M           </v>
      </c>
      <c r="E12400" t="str">
        <f>"JACKSON                   "</f>
        <v xml:space="preserve">JACKSON                   </v>
      </c>
      <c r="F12400" t="str">
        <f t="shared" si="324"/>
        <v>MS</v>
      </c>
    </row>
    <row r="12401" spans="1:6" x14ac:dyDescent="0.25">
      <c r="A12401" t="str">
        <f>"007128305"</f>
        <v>007128305</v>
      </c>
      <c r="B12401" t="str">
        <f>"1912659608"</f>
        <v>1912659608</v>
      </c>
      <c r="C12401" t="str">
        <f>"363L00000X"</f>
        <v>363L00000X</v>
      </c>
      <c r="D12401" t="str">
        <f>"RODRIGUEZ                GUADALUPE                "</f>
        <v xml:space="preserve">RODRIGUEZ                GUADALUPE                </v>
      </c>
      <c r="E12401" t="str">
        <f>"TUPELO                    "</f>
        <v xml:space="preserve">TUPELO                    </v>
      </c>
      <c r="F12401" t="str">
        <f t="shared" si="324"/>
        <v>MS</v>
      </c>
    </row>
    <row r="12402" spans="1:6" x14ac:dyDescent="0.25">
      <c r="A12402" t="str">
        <f>"007130395"</f>
        <v>007130395</v>
      </c>
      <c r="B12402" t="str">
        <f>"1700220050"</f>
        <v>1700220050</v>
      </c>
      <c r="C12402" t="str">
        <f>"2085R0202X"</f>
        <v>2085R0202X</v>
      </c>
      <c r="D12402" t="str">
        <f>"ANGEL                    JACQUELINE   D           "</f>
        <v xml:space="preserve">ANGEL                    JACQUELINE   D           </v>
      </c>
      <c r="E12402" t="str">
        <f>"OLIVE BRANCH              "</f>
        <v xml:space="preserve">OLIVE BRANCH              </v>
      </c>
      <c r="F12402" t="str">
        <f t="shared" si="324"/>
        <v>MS</v>
      </c>
    </row>
    <row r="12403" spans="1:6" x14ac:dyDescent="0.25">
      <c r="A12403" t="str">
        <f>"007131023"</f>
        <v>007131023</v>
      </c>
      <c r="B12403" t="str">
        <f>"1356936033"</f>
        <v>1356936033</v>
      </c>
      <c r="C12403" t="str">
        <f>"363L00000X"</f>
        <v>363L00000X</v>
      </c>
      <c r="D12403" t="str">
        <f>"DUET                     ASHTON       M           "</f>
        <v xml:space="preserve">DUET                     ASHTON       M           </v>
      </c>
      <c r="E12403" t="str">
        <f>"RIDGELAND                 "</f>
        <v xml:space="preserve">RIDGELAND                 </v>
      </c>
      <c r="F12403" t="str">
        <f t="shared" si="324"/>
        <v>MS</v>
      </c>
    </row>
    <row r="12404" spans="1:6" x14ac:dyDescent="0.25">
      <c r="A12404" t="str">
        <f>"007131718"</f>
        <v>007131718</v>
      </c>
      <c r="B12404" t="str">
        <f>"1265589089"</f>
        <v>1265589089</v>
      </c>
      <c r="C12404" t="str">
        <f>"207P00000X"</f>
        <v>207P00000X</v>
      </c>
      <c r="D12404" t="str">
        <f>"FORDHAM                  ZACKARY      W           "</f>
        <v xml:space="preserve">FORDHAM                  ZACKARY      W           </v>
      </c>
      <c r="E12404" t="str">
        <f>"GULFPORT                  "</f>
        <v xml:space="preserve">GULFPORT                  </v>
      </c>
      <c r="F12404" t="str">
        <f t="shared" si="324"/>
        <v>MS</v>
      </c>
    </row>
    <row r="12405" spans="1:6" x14ac:dyDescent="0.25">
      <c r="A12405" t="str">
        <f>"007131721"</f>
        <v>007131721</v>
      </c>
      <c r="B12405" t="str">
        <f>"1174020770"</f>
        <v>1174020770</v>
      </c>
      <c r="C12405" t="str">
        <f>"363L00000X"</f>
        <v>363L00000X</v>
      </c>
      <c r="D12405" t="str">
        <f>"CHAMBERS                 BRANDON                  "</f>
        <v xml:space="preserve">CHAMBERS                 BRANDON                  </v>
      </c>
      <c r="E12405" t="str">
        <f>"JACKSON                   "</f>
        <v xml:space="preserve">JACKSON                   </v>
      </c>
      <c r="F12405" t="str">
        <f t="shared" si="324"/>
        <v>MS</v>
      </c>
    </row>
    <row r="12406" spans="1:6" x14ac:dyDescent="0.25">
      <c r="A12406" t="str">
        <f>"007131767"</f>
        <v>007131767</v>
      </c>
      <c r="B12406" t="str">
        <f>"1730220070"</f>
        <v>1730220070</v>
      </c>
      <c r="C12406" t="str">
        <f>"207Q00000X"</f>
        <v>207Q00000X</v>
      </c>
      <c r="D12406" t="str">
        <f>"MOURAD                   HATEM                    "</f>
        <v xml:space="preserve">MOURAD                   HATEM                    </v>
      </c>
      <c r="E12406" t="str">
        <f>"MERIDIAN                  "</f>
        <v xml:space="preserve">MERIDIAN                  </v>
      </c>
      <c r="F12406" t="str">
        <f t="shared" si="324"/>
        <v>MS</v>
      </c>
    </row>
    <row r="12407" spans="1:6" x14ac:dyDescent="0.25">
      <c r="A12407" t="str">
        <f>"007134582"</f>
        <v>007134582</v>
      </c>
      <c r="B12407" t="str">
        <f>"1134349913"</f>
        <v>1134349913</v>
      </c>
      <c r="C12407" t="str">
        <f>"363L00000X"</f>
        <v>363L00000X</v>
      </c>
      <c r="D12407" t="str">
        <f>"MOONEYHAM                JENNIFER     W           "</f>
        <v xml:space="preserve">MOONEYHAM                JENNIFER     W           </v>
      </c>
      <c r="E12407" t="str">
        <f>"BRANDON                   "</f>
        <v xml:space="preserve">BRANDON                   </v>
      </c>
      <c r="F12407" t="str">
        <f t="shared" si="324"/>
        <v>MS</v>
      </c>
    </row>
    <row r="12408" spans="1:6" x14ac:dyDescent="0.25">
      <c r="A12408" t="str">
        <f>"007135377"</f>
        <v>007135377</v>
      </c>
      <c r="B12408" t="str">
        <f>"1316332018"</f>
        <v>1316332018</v>
      </c>
      <c r="C12408" t="str">
        <f>"363L00000X"</f>
        <v>363L00000X</v>
      </c>
      <c r="D12408" t="str">
        <f>"STARNS                   REBEKAH      M           "</f>
        <v xml:space="preserve">STARNS                   REBEKAH      M           </v>
      </c>
      <c r="E12408" t="str">
        <f>"GULFPORT                  "</f>
        <v xml:space="preserve">GULFPORT                  </v>
      </c>
      <c r="F12408" t="str">
        <f t="shared" si="324"/>
        <v>MS</v>
      </c>
    </row>
    <row r="12409" spans="1:6" x14ac:dyDescent="0.25">
      <c r="A12409" t="str">
        <f>"007137290"</f>
        <v>007137290</v>
      </c>
      <c r="B12409" t="str">
        <f>"1376777995"</f>
        <v>1376777995</v>
      </c>
      <c r="C12409" t="str">
        <f>"207V00000X"</f>
        <v>207V00000X</v>
      </c>
      <c r="D12409" t="str">
        <f>"SALAM                    OMAR                     "</f>
        <v xml:space="preserve">SALAM                    OMAR                     </v>
      </c>
      <c r="E12409" t="str">
        <f>"CORINTH                   "</f>
        <v xml:space="preserve">CORINTH                   </v>
      </c>
      <c r="F12409" t="str">
        <f t="shared" si="324"/>
        <v>MS</v>
      </c>
    </row>
    <row r="12410" spans="1:6" x14ac:dyDescent="0.25">
      <c r="A12410" t="str">
        <f>"007150825"</f>
        <v>007150825</v>
      </c>
      <c r="B12410" t="str">
        <f>"1194294652"</f>
        <v>1194294652</v>
      </c>
      <c r="C12410" t="str">
        <f>"122300000X"</f>
        <v>122300000X</v>
      </c>
      <c r="D12410" t="str">
        <f>"ROBERTS &amp; GARZA ORTHODONTICS SERVICES PLLC        "</f>
        <v xml:space="preserve">ROBERTS &amp; GARZA ORTHODONTICS SERVICES PLLC        </v>
      </c>
      <c r="E12410" t="str">
        <f>"TUPELO                    "</f>
        <v xml:space="preserve">TUPELO                    </v>
      </c>
      <c r="F12410" t="str">
        <f t="shared" si="324"/>
        <v>MS</v>
      </c>
    </row>
    <row r="12411" spans="1:6" x14ac:dyDescent="0.25">
      <c r="A12411" t="str">
        <f>"007150851"</f>
        <v>007150851</v>
      </c>
      <c r="B12411" t="str">
        <f>"1861421406"</f>
        <v>1861421406</v>
      </c>
      <c r="C12411" t="str">
        <f>"207V00000X"</f>
        <v>207V00000X</v>
      </c>
      <c r="D12411" t="str">
        <f>"BRUNO                    JONATHAN     J           "</f>
        <v xml:space="preserve">BRUNO                    JONATHAN     J           </v>
      </c>
      <c r="E12411" t="str">
        <f>"MCCOMB                    "</f>
        <v xml:space="preserve">MCCOMB                    </v>
      </c>
      <c r="F12411" t="str">
        <f t="shared" si="324"/>
        <v>MS</v>
      </c>
    </row>
    <row r="12412" spans="1:6" x14ac:dyDescent="0.25">
      <c r="A12412" t="str">
        <f>"007150886"</f>
        <v>007150886</v>
      </c>
      <c r="B12412" t="str">
        <f>"1295708295"</f>
        <v>1295708295</v>
      </c>
      <c r="C12412" t="str">
        <f>"208D00000X"</f>
        <v>208D00000X</v>
      </c>
      <c r="D12412" t="str">
        <f>"LINDSEY                  JASON        C           "</f>
        <v xml:space="preserve">LINDSEY                  JASON        C           </v>
      </c>
      <c r="E12412" t="str">
        <f>"HATTIESBURG               "</f>
        <v xml:space="preserve">HATTIESBURG               </v>
      </c>
      <c r="F12412" t="str">
        <f t="shared" si="324"/>
        <v>MS</v>
      </c>
    </row>
    <row r="12413" spans="1:6" x14ac:dyDescent="0.25">
      <c r="A12413" t="str">
        <f>"007156851"</f>
        <v>007156851</v>
      </c>
      <c r="B12413" t="str">
        <f>"1871801795"</f>
        <v>1871801795</v>
      </c>
      <c r="C12413" t="str">
        <f>"1223P0300X"</f>
        <v>1223P0300X</v>
      </c>
      <c r="D12413" t="str">
        <f>"BAVARIYA                 ANKIT        J           "</f>
        <v xml:space="preserve">BAVARIYA                 ANKIT        J           </v>
      </c>
      <c r="E12413" t="str">
        <f>"ASHLAND                   "</f>
        <v xml:space="preserve">ASHLAND                   </v>
      </c>
      <c r="F12413" t="str">
        <f t="shared" si="324"/>
        <v>MS</v>
      </c>
    </row>
    <row r="12414" spans="1:6" x14ac:dyDescent="0.25">
      <c r="A12414" t="str">
        <f>"007156861"</f>
        <v>007156861</v>
      </c>
      <c r="B12414" t="str">
        <f>"1558361345"</f>
        <v>1558361345</v>
      </c>
      <c r="C12414" t="str">
        <f>"207N00000X"</f>
        <v>207N00000X</v>
      </c>
      <c r="D12414" t="str">
        <f>"HENSON                   TERRI        H           "</f>
        <v xml:space="preserve">HENSON                   TERRI        H           </v>
      </c>
      <c r="E12414" t="str">
        <f>"SOUTHAVEN                 "</f>
        <v xml:space="preserve">SOUTHAVEN                 </v>
      </c>
      <c r="F12414" t="str">
        <f t="shared" ref="F12414:F12477" si="325">"MS"</f>
        <v>MS</v>
      </c>
    </row>
    <row r="12415" spans="1:6" x14ac:dyDescent="0.25">
      <c r="A12415" t="str">
        <f>"007157261"</f>
        <v>007157261</v>
      </c>
      <c r="B12415" t="str">
        <f>"1972605657"</f>
        <v>1972605657</v>
      </c>
      <c r="C12415" t="str">
        <f>"363L00000X"</f>
        <v>363L00000X</v>
      </c>
      <c r="D12415" t="str">
        <f>"BOYLES                   TINA                     "</f>
        <v xml:space="preserve">BOYLES                   TINA                     </v>
      </c>
      <c r="E12415" t="str">
        <f>"PHILADELPHIA              "</f>
        <v xml:space="preserve">PHILADELPHIA              </v>
      </c>
      <c r="F12415" t="str">
        <f t="shared" si="325"/>
        <v>MS</v>
      </c>
    </row>
    <row r="12416" spans="1:6" x14ac:dyDescent="0.25">
      <c r="A12416" t="str">
        <f>"007158222"</f>
        <v>007158222</v>
      </c>
      <c r="B12416" t="str">
        <f>"1174885461"</f>
        <v>1174885461</v>
      </c>
      <c r="C12416" t="str">
        <f>"122300000X"</f>
        <v>122300000X</v>
      </c>
      <c r="D12416" t="str">
        <f>"MONROE                   MICHAEL      M           "</f>
        <v xml:space="preserve">MONROE                   MICHAEL      M           </v>
      </c>
      <c r="E12416" t="str">
        <f>"TUPELO                    "</f>
        <v xml:space="preserve">TUPELO                    </v>
      </c>
      <c r="F12416" t="str">
        <f t="shared" si="325"/>
        <v>MS</v>
      </c>
    </row>
    <row r="12417" spans="1:6" x14ac:dyDescent="0.25">
      <c r="A12417" t="str">
        <f>"007158295"</f>
        <v>007158295</v>
      </c>
      <c r="B12417" t="str">
        <f>"1073754602"</f>
        <v>1073754602</v>
      </c>
      <c r="C12417" t="str">
        <f>"261QA1903X"</f>
        <v>261QA1903X</v>
      </c>
      <c r="D12417" t="str">
        <f>"DESOTO EYE SURGERY CENTER LLC                     "</f>
        <v xml:space="preserve">DESOTO EYE SURGERY CENTER LLC                     </v>
      </c>
      <c r="E12417" t="str">
        <f>"SOUTHAVEN                 "</f>
        <v xml:space="preserve">SOUTHAVEN                 </v>
      </c>
      <c r="F12417" t="str">
        <f t="shared" si="325"/>
        <v>MS</v>
      </c>
    </row>
    <row r="12418" spans="1:6" x14ac:dyDescent="0.25">
      <c r="A12418" t="str">
        <f>"007158361"</f>
        <v>007158361</v>
      </c>
      <c r="B12418" t="str">
        <f>"1073044749"</f>
        <v>1073044749</v>
      </c>
      <c r="C12418" t="str">
        <f>"207L00000X"</f>
        <v>207L00000X</v>
      </c>
      <c r="D12418" t="str">
        <f>"PIPKINS                  JUSTIN       D           "</f>
        <v xml:space="preserve">PIPKINS                  JUSTIN       D           </v>
      </c>
      <c r="E12418" t="str">
        <f>"HATTIESBURG               "</f>
        <v xml:space="preserve">HATTIESBURG               </v>
      </c>
      <c r="F12418" t="str">
        <f t="shared" si="325"/>
        <v>MS</v>
      </c>
    </row>
    <row r="12419" spans="1:6" x14ac:dyDescent="0.25">
      <c r="A12419" t="str">
        <f>"007159516"</f>
        <v>007159516</v>
      </c>
      <c r="B12419" t="str">
        <f>"1124098819"</f>
        <v>1124098819</v>
      </c>
      <c r="C12419" t="str">
        <f>"207RC0000X"</f>
        <v>207RC0000X</v>
      </c>
      <c r="D12419" t="str">
        <f>"KATO                     JULIUS       A           "</f>
        <v xml:space="preserve">KATO                     JULIUS       A           </v>
      </c>
      <c r="E12419" t="str">
        <f>"COLUMBUS                  "</f>
        <v xml:space="preserve">COLUMBUS                  </v>
      </c>
      <c r="F12419" t="str">
        <f t="shared" si="325"/>
        <v>MS</v>
      </c>
    </row>
    <row r="12420" spans="1:6" x14ac:dyDescent="0.25">
      <c r="A12420" t="str">
        <f>"007171795"</f>
        <v>007171795</v>
      </c>
      <c r="B12420" t="str">
        <f>"1295105922"</f>
        <v>1295105922</v>
      </c>
      <c r="C12420" t="str">
        <f>"261QR1300X"</f>
        <v>261QR1300X</v>
      </c>
      <c r="D12420" t="str">
        <f>"BELMONT FAMILY MEDICAL CLINIC                     "</f>
        <v xml:space="preserve">BELMONT FAMILY MEDICAL CLINIC                     </v>
      </c>
      <c r="E12420" t="str">
        <f>"BELMONT                   "</f>
        <v xml:space="preserve">BELMONT                   </v>
      </c>
      <c r="F12420" t="str">
        <f t="shared" si="325"/>
        <v>MS</v>
      </c>
    </row>
    <row r="12421" spans="1:6" x14ac:dyDescent="0.25">
      <c r="A12421" t="str">
        <f>"007172762"</f>
        <v>007172762</v>
      </c>
      <c r="B12421" t="str">
        <f>"1689027492"</f>
        <v>1689027492</v>
      </c>
      <c r="C12421" t="str">
        <f>"363L00000X"</f>
        <v>363L00000X</v>
      </c>
      <c r="D12421" t="str">
        <f>"SHIRLEY                  KELSA        A           "</f>
        <v xml:space="preserve">SHIRLEY                  KELSA        A           </v>
      </c>
      <c r="E12421" t="str">
        <f>"PETAL                     "</f>
        <v xml:space="preserve">PETAL                     </v>
      </c>
      <c r="F12421" t="str">
        <f t="shared" si="325"/>
        <v>MS</v>
      </c>
    </row>
    <row r="12422" spans="1:6" x14ac:dyDescent="0.25">
      <c r="A12422" t="str">
        <f>"007175291"</f>
        <v>007175291</v>
      </c>
      <c r="B12422" t="str">
        <f>"1124334511"</f>
        <v>1124334511</v>
      </c>
      <c r="C12422" t="str">
        <f>"363LF0000X"</f>
        <v>363LF0000X</v>
      </c>
      <c r="D12422" t="str">
        <f>"NELSON                   KIMBERLY                 "</f>
        <v xml:space="preserve">NELSON                   KIMBERLY                 </v>
      </c>
      <c r="E12422" t="str">
        <f>"JACKSON                   "</f>
        <v xml:space="preserve">JACKSON                   </v>
      </c>
      <c r="F12422" t="str">
        <f t="shared" si="325"/>
        <v>MS</v>
      </c>
    </row>
    <row r="12423" spans="1:6" x14ac:dyDescent="0.25">
      <c r="A12423" t="str">
        <f>"007176023"</f>
        <v>007176023</v>
      </c>
      <c r="B12423" t="str">
        <f>"1821628405"</f>
        <v>1821628405</v>
      </c>
      <c r="C12423" t="str">
        <f>"363L00000X"</f>
        <v>363L00000X</v>
      </c>
      <c r="D12423" t="str">
        <f>"HUTCHISON                BRANDON      W           "</f>
        <v xml:space="preserve">HUTCHISON                BRANDON      W           </v>
      </c>
      <c r="E12423" t="str">
        <f>"ASHLAND                   "</f>
        <v xml:space="preserve">ASHLAND                   </v>
      </c>
      <c r="F12423" t="str">
        <f t="shared" si="325"/>
        <v>MS</v>
      </c>
    </row>
    <row r="12424" spans="1:6" x14ac:dyDescent="0.25">
      <c r="A12424" t="str">
        <f>"007176371"</f>
        <v>007176371</v>
      </c>
      <c r="B12424" t="str">
        <f>"1730709478"</f>
        <v>1730709478</v>
      </c>
      <c r="C12424" t="str">
        <f>"261QM1300X"</f>
        <v>261QM1300X</v>
      </c>
      <c r="D12424" t="str">
        <f>"THE RIVER WELLNESS LLC                            "</f>
        <v xml:space="preserve">THE RIVER WELLNESS LLC                            </v>
      </c>
      <c r="E12424" t="str">
        <f>"FLOWOOD                   "</f>
        <v xml:space="preserve">FLOWOOD                   </v>
      </c>
      <c r="F12424" t="str">
        <f t="shared" si="325"/>
        <v>MS</v>
      </c>
    </row>
    <row r="12425" spans="1:6" x14ac:dyDescent="0.25">
      <c r="A12425" t="str">
        <f>"007176395"</f>
        <v>007176395</v>
      </c>
      <c r="B12425" t="str">
        <f>"1659552677"</f>
        <v>1659552677</v>
      </c>
      <c r="C12425" t="str">
        <f>"2085R0202X"</f>
        <v>2085R0202X</v>
      </c>
      <c r="D12425" t="str">
        <f>"SHAPLEY JR               CHRISTOPHER  A           "</f>
        <v xml:space="preserve">SHAPLEY JR               CHRISTOPHER  A           </v>
      </c>
      <c r="E12425" t="str">
        <f>"STARKVILLE                "</f>
        <v xml:space="preserve">STARKVILLE                </v>
      </c>
      <c r="F12425" t="str">
        <f t="shared" si="325"/>
        <v>MS</v>
      </c>
    </row>
    <row r="12426" spans="1:6" x14ac:dyDescent="0.25">
      <c r="A12426" t="str">
        <f>"007179220"</f>
        <v>007179220</v>
      </c>
      <c r="B12426" t="str">
        <f>"1013498435"</f>
        <v>1013498435</v>
      </c>
      <c r="C12426" t="str">
        <f>"363L00000X"</f>
        <v>363L00000X</v>
      </c>
      <c r="D12426" t="str">
        <f>"CLINGAN                  CATHERINE    E           "</f>
        <v xml:space="preserve">CLINGAN                  CATHERINE    E           </v>
      </c>
      <c r="E12426" t="str">
        <f>"MADISON                   "</f>
        <v xml:space="preserve">MADISON                   </v>
      </c>
      <c r="F12426" t="str">
        <f t="shared" si="325"/>
        <v>MS</v>
      </c>
    </row>
    <row r="12427" spans="1:6" x14ac:dyDescent="0.25">
      <c r="A12427" t="str">
        <f>"007179556"</f>
        <v>007179556</v>
      </c>
      <c r="B12427" t="str">
        <f>"1487941225"</f>
        <v>1487941225</v>
      </c>
      <c r="C12427" t="str">
        <f>"207V00000X"</f>
        <v>207V00000X</v>
      </c>
      <c r="D12427" t="str">
        <f>"COX                      LYNSEY                   "</f>
        <v xml:space="preserve">COX                      LYNSEY                   </v>
      </c>
      <c r="E12427" t="str">
        <f>"OCEAN SPRINGS             "</f>
        <v xml:space="preserve">OCEAN SPRINGS             </v>
      </c>
      <c r="F12427" t="str">
        <f t="shared" si="325"/>
        <v>MS</v>
      </c>
    </row>
    <row r="12428" spans="1:6" x14ac:dyDescent="0.25">
      <c r="A12428" t="str">
        <f>"007180359"</f>
        <v>007180359</v>
      </c>
      <c r="B12428" t="str">
        <f>"1508249830"</f>
        <v>1508249830</v>
      </c>
      <c r="C12428" t="str">
        <f>"363L00000X"</f>
        <v>363L00000X</v>
      </c>
      <c r="D12428" t="str">
        <f>"LONGMIRE                 CACHE        A           "</f>
        <v xml:space="preserve">LONGMIRE                 CACHE        A           </v>
      </c>
      <c r="E12428" t="str">
        <f>"JACKSON                   "</f>
        <v xml:space="preserve">JACKSON                   </v>
      </c>
      <c r="F12428" t="str">
        <f t="shared" si="325"/>
        <v>MS</v>
      </c>
    </row>
    <row r="12429" spans="1:6" x14ac:dyDescent="0.25">
      <c r="A12429" t="str">
        <f>"007181375"</f>
        <v>007181375</v>
      </c>
      <c r="B12429" t="str">
        <f>"1205184447"</f>
        <v>1205184447</v>
      </c>
      <c r="C12429" t="str">
        <f>"363L00000X"</f>
        <v>363L00000X</v>
      </c>
      <c r="D12429" t="str">
        <f>"RIELS-BRASWELL           ANDREA                   "</f>
        <v xml:space="preserve">RIELS-BRASWELL           ANDREA                   </v>
      </c>
      <c r="E12429" t="str">
        <f>"HATTIESBURG               "</f>
        <v xml:space="preserve">HATTIESBURG               </v>
      </c>
      <c r="F12429" t="str">
        <f t="shared" si="325"/>
        <v>MS</v>
      </c>
    </row>
    <row r="12430" spans="1:6" x14ac:dyDescent="0.25">
      <c r="A12430" t="str">
        <f>"007183033"</f>
        <v>007183033</v>
      </c>
      <c r="B12430" t="str">
        <f>"1447783857"</f>
        <v>1447783857</v>
      </c>
      <c r="C12430" t="str">
        <f>"207K00000X"</f>
        <v>207K00000X</v>
      </c>
      <c r="D12430" t="str">
        <f>"GROGAN                   CHARLES      E           "</f>
        <v xml:space="preserve">GROGAN                   CHARLES      E           </v>
      </c>
      <c r="E12430" t="str">
        <f>"JACKSON                   "</f>
        <v xml:space="preserve">JACKSON                   </v>
      </c>
      <c r="F12430" t="str">
        <f t="shared" si="325"/>
        <v>MS</v>
      </c>
    </row>
    <row r="12431" spans="1:6" x14ac:dyDescent="0.25">
      <c r="A12431" t="str">
        <f>"007183701"</f>
        <v>007183701</v>
      </c>
      <c r="B12431" t="str">
        <f>"1205128725"</f>
        <v>1205128725</v>
      </c>
      <c r="C12431" t="str">
        <f>"363L00000X"</f>
        <v>363L00000X</v>
      </c>
      <c r="D12431" t="str">
        <f>"FLEMING                  LATISHA      M           "</f>
        <v xml:space="preserve">FLEMING                  LATISHA      M           </v>
      </c>
      <c r="E12431" t="str">
        <f>"OCEAN SPRINGS             "</f>
        <v xml:space="preserve">OCEAN SPRINGS             </v>
      </c>
      <c r="F12431" t="str">
        <f t="shared" si="325"/>
        <v>MS</v>
      </c>
    </row>
    <row r="12432" spans="1:6" x14ac:dyDescent="0.25">
      <c r="A12432" t="str">
        <f>"007184001"</f>
        <v>007184001</v>
      </c>
      <c r="B12432" t="str">
        <f>"1649687906"</f>
        <v>1649687906</v>
      </c>
      <c r="C12432" t="str">
        <f>"208600000X"</f>
        <v>208600000X</v>
      </c>
      <c r="D12432" t="str">
        <f>"KURBANOV                 ALMAZ                    "</f>
        <v xml:space="preserve">KURBANOV                 ALMAZ                    </v>
      </c>
      <c r="E12432" t="str">
        <f>"AMORY                     "</f>
        <v xml:space="preserve">AMORY                     </v>
      </c>
      <c r="F12432" t="str">
        <f t="shared" si="325"/>
        <v>MS</v>
      </c>
    </row>
    <row r="12433" spans="1:6" x14ac:dyDescent="0.25">
      <c r="A12433" t="str">
        <f>"007184351"</f>
        <v>007184351</v>
      </c>
      <c r="B12433" t="str">
        <f>"1720185754"</f>
        <v>1720185754</v>
      </c>
      <c r="C12433" t="str">
        <f>"363L00000X"</f>
        <v>363L00000X</v>
      </c>
      <c r="D12433" t="str">
        <f>"LANEHART                 JENNIFER                 "</f>
        <v xml:space="preserve">LANEHART                 JENNIFER                 </v>
      </c>
      <c r="E12433" t="str">
        <f>"WOODVILLE                 "</f>
        <v xml:space="preserve">WOODVILLE                 </v>
      </c>
      <c r="F12433" t="str">
        <f t="shared" si="325"/>
        <v>MS</v>
      </c>
    </row>
    <row r="12434" spans="1:6" x14ac:dyDescent="0.25">
      <c r="A12434" t="str">
        <f>"007186802"</f>
        <v>007186802</v>
      </c>
      <c r="B12434" t="str">
        <f>"1952741977"</f>
        <v>1952741977</v>
      </c>
      <c r="C12434" t="str">
        <f>"207R00000X"</f>
        <v>207R00000X</v>
      </c>
      <c r="D12434" t="str">
        <f>"MALIK                    UMAIR        Z           "</f>
        <v xml:space="preserve">MALIK                    UMAIR        Z           </v>
      </c>
      <c r="E12434" t="str">
        <f>"GULFPORT                  "</f>
        <v xml:space="preserve">GULFPORT                  </v>
      </c>
      <c r="F12434" t="str">
        <f t="shared" si="325"/>
        <v>MS</v>
      </c>
    </row>
    <row r="12435" spans="1:6" x14ac:dyDescent="0.25">
      <c r="A12435" t="str">
        <f>"007186899"</f>
        <v>007186899</v>
      </c>
      <c r="B12435" t="str">
        <f>"1952866295"</f>
        <v>1952866295</v>
      </c>
      <c r="C12435" t="str">
        <f>"363L00000X"</f>
        <v>363L00000X</v>
      </c>
      <c r="D12435" t="str">
        <f>"EAGLEBARGER              JENNIFER     G           "</f>
        <v xml:space="preserve">EAGLEBARGER              JENNIFER     G           </v>
      </c>
      <c r="E12435" t="str">
        <f>"GULFPORT                  "</f>
        <v xml:space="preserve">GULFPORT                  </v>
      </c>
      <c r="F12435" t="str">
        <f t="shared" si="325"/>
        <v>MS</v>
      </c>
    </row>
    <row r="12436" spans="1:6" x14ac:dyDescent="0.25">
      <c r="A12436" t="str">
        <f>"007187347"</f>
        <v>007187347</v>
      </c>
      <c r="B12436" t="str">
        <f>"1295035962"</f>
        <v>1295035962</v>
      </c>
      <c r="C12436" t="str">
        <f>"363LF0000X"</f>
        <v>363LF0000X</v>
      </c>
      <c r="D12436" t="str">
        <f>"WILLIAMS                 CHRISTINA    S           "</f>
        <v xml:space="preserve">WILLIAMS                 CHRISTINA    S           </v>
      </c>
      <c r="E12436" t="str">
        <f>"CORINTH                   "</f>
        <v xml:space="preserve">CORINTH                   </v>
      </c>
      <c r="F12436" t="str">
        <f t="shared" si="325"/>
        <v>MS</v>
      </c>
    </row>
    <row r="12437" spans="1:6" x14ac:dyDescent="0.25">
      <c r="A12437" t="str">
        <f>"007189871"</f>
        <v>007189871</v>
      </c>
      <c r="B12437" t="str">
        <f>"1467663906"</f>
        <v>1467663906</v>
      </c>
      <c r="C12437" t="str">
        <f>"208600000X"</f>
        <v>208600000X</v>
      </c>
      <c r="D12437" t="str">
        <f>"PICARELLA                EMILE        A           "</f>
        <v xml:space="preserve">PICARELLA                EMILE        A           </v>
      </c>
      <c r="E12437" t="str">
        <f>"MADISON                   "</f>
        <v xml:space="preserve">MADISON                   </v>
      </c>
      <c r="F12437" t="str">
        <f t="shared" si="325"/>
        <v>MS</v>
      </c>
    </row>
    <row r="12438" spans="1:6" x14ac:dyDescent="0.25">
      <c r="A12438" t="str">
        <f>"007200217"</f>
        <v>007200217</v>
      </c>
      <c r="B12438" t="str">
        <f>"1295239218"</f>
        <v>1295239218</v>
      </c>
      <c r="C12438" t="str">
        <f>"363L00000X"</f>
        <v>363L00000X</v>
      </c>
      <c r="D12438" t="str">
        <f>"POYNER                   HANNAH                   "</f>
        <v xml:space="preserve">POYNER                   HANNAH                   </v>
      </c>
      <c r="E12438" t="str">
        <f>"FLOWOOD                   "</f>
        <v xml:space="preserve">FLOWOOD                   </v>
      </c>
      <c r="F12438" t="str">
        <f t="shared" si="325"/>
        <v>MS</v>
      </c>
    </row>
    <row r="12439" spans="1:6" x14ac:dyDescent="0.25">
      <c r="A12439" t="str">
        <f>"007200316"</f>
        <v>007200316</v>
      </c>
      <c r="B12439" t="str">
        <f>"1912220237"</f>
        <v>1912220237</v>
      </c>
      <c r="C12439" t="str">
        <f>"363L00000X"</f>
        <v>363L00000X</v>
      </c>
      <c r="D12439" t="str">
        <f>"HAM                      AMANDA       L           "</f>
        <v xml:space="preserve">HAM                      AMANDA       L           </v>
      </c>
      <c r="E12439" t="str">
        <f>"CORINTH                   "</f>
        <v xml:space="preserve">CORINTH                   </v>
      </c>
      <c r="F12439" t="str">
        <f t="shared" si="325"/>
        <v>MS</v>
      </c>
    </row>
    <row r="12440" spans="1:6" x14ac:dyDescent="0.25">
      <c r="A12440" t="str">
        <f>"007203854"</f>
        <v>007203854</v>
      </c>
      <c r="B12440" t="str">
        <f>"1386919199"</f>
        <v>1386919199</v>
      </c>
      <c r="C12440" t="str">
        <f>"363L00000X"</f>
        <v>363L00000X</v>
      </c>
      <c r="D12440" t="str">
        <f>"TURNER                   CELESTE      M           "</f>
        <v xml:space="preserve">TURNER                   CELESTE      M           </v>
      </c>
      <c r="E12440" t="str">
        <f>"TUPELO                    "</f>
        <v xml:space="preserve">TUPELO                    </v>
      </c>
      <c r="F12440" t="str">
        <f t="shared" si="325"/>
        <v>MS</v>
      </c>
    </row>
    <row r="12441" spans="1:6" x14ac:dyDescent="0.25">
      <c r="A12441" t="str">
        <f>"007205590"</f>
        <v>007205590</v>
      </c>
      <c r="B12441" t="str">
        <f>"1003153966"</f>
        <v>1003153966</v>
      </c>
      <c r="C12441" t="str">
        <f>"363L00000X"</f>
        <v>363L00000X</v>
      </c>
      <c r="D12441" t="str">
        <f>"COLEMAN                  BRITTANY     N           "</f>
        <v xml:space="preserve">COLEMAN                  BRITTANY     N           </v>
      </c>
      <c r="E12441" t="str">
        <f>"GULFPORT                  "</f>
        <v xml:space="preserve">GULFPORT                  </v>
      </c>
      <c r="F12441" t="str">
        <f t="shared" si="325"/>
        <v>MS</v>
      </c>
    </row>
    <row r="12442" spans="1:6" x14ac:dyDescent="0.25">
      <c r="A12442" t="str">
        <f>"007206011"</f>
        <v>007206011</v>
      </c>
      <c r="B12442" t="str">
        <f>"1710130943"</f>
        <v>1710130943</v>
      </c>
      <c r="C12442" t="str">
        <f>"363L00000X"</f>
        <v>363L00000X</v>
      </c>
      <c r="D12442" t="str">
        <f>"LAFFERTY                 JENNIFER     P           "</f>
        <v xml:space="preserve">LAFFERTY                 JENNIFER     P           </v>
      </c>
      <c r="E12442" t="str">
        <f>"MERIDIAN                  "</f>
        <v xml:space="preserve">MERIDIAN                  </v>
      </c>
      <c r="F12442" t="str">
        <f t="shared" si="325"/>
        <v>MS</v>
      </c>
    </row>
    <row r="12443" spans="1:6" x14ac:dyDescent="0.25">
      <c r="A12443" t="str">
        <f>"007207009"</f>
        <v>007207009</v>
      </c>
      <c r="B12443" t="str">
        <f>"1780172213"</f>
        <v>1780172213</v>
      </c>
      <c r="C12443" t="str">
        <f>"208000000X"</f>
        <v>208000000X</v>
      </c>
      <c r="D12443" t="str">
        <f>"SHOUBAKI                 AMANDA       J           "</f>
        <v xml:space="preserve">SHOUBAKI                 AMANDA       J           </v>
      </c>
      <c r="E12443" t="str">
        <f>"LAUREL                    "</f>
        <v xml:space="preserve">LAUREL                    </v>
      </c>
      <c r="F12443" t="str">
        <f t="shared" si="325"/>
        <v>MS</v>
      </c>
    </row>
    <row r="12444" spans="1:6" x14ac:dyDescent="0.25">
      <c r="A12444" t="str">
        <f>"007221316"</f>
        <v>007221316</v>
      </c>
      <c r="B12444" t="str">
        <f>"1982801858"</f>
        <v>1982801858</v>
      </c>
      <c r="C12444" t="str">
        <f>"207RC0001X"</f>
        <v>207RC0001X</v>
      </c>
      <c r="D12444" t="str">
        <f>"HAMILTON                 JAMES        H           "</f>
        <v xml:space="preserve">HAMILTON                 JAMES        H           </v>
      </c>
      <c r="E12444" t="str">
        <f>"JACKSON                   "</f>
        <v xml:space="preserve">JACKSON                   </v>
      </c>
      <c r="F12444" t="str">
        <f t="shared" si="325"/>
        <v>MS</v>
      </c>
    </row>
    <row r="12445" spans="1:6" x14ac:dyDescent="0.25">
      <c r="A12445" t="str">
        <f>"007221364"</f>
        <v>007221364</v>
      </c>
      <c r="B12445" t="str">
        <f>"1740711316"</f>
        <v>1740711316</v>
      </c>
      <c r="C12445" t="str">
        <f>"207R00000X"</f>
        <v>207R00000X</v>
      </c>
      <c r="D12445" t="str">
        <f>"GWIN                     HANNAH                   "</f>
        <v xml:space="preserve">GWIN                     HANNAH                   </v>
      </c>
      <c r="E12445" t="str">
        <f>"GULFPORT                  "</f>
        <v xml:space="preserve">GULFPORT                  </v>
      </c>
      <c r="F12445" t="str">
        <f t="shared" si="325"/>
        <v>MS</v>
      </c>
    </row>
    <row r="12446" spans="1:6" x14ac:dyDescent="0.25">
      <c r="A12446" t="str">
        <f>"007221712"</f>
        <v>007221712</v>
      </c>
      <c r="B12446" t="str">
        <f>"1639717713"</f>
        <v>1639717713</v>
      </c>
      <c r="C12446" t="str">
        <f>"363L00000X"</f>
        <v>363L00000X</v>
      </c>
      <c r="D12446" t="str">
        <f>"HENRY                    CRAIG        D           "</f>
        <v xml:space="preserve">HENRY                    CRAIG        D           </v>
      </c>
      <c r="E12446" t="str">
        <f>"BRANDON                   "</f>
        <v xml:space="preserve">BRANDON                   </v>
      </c>
      <c r="F12446" t="str">
        <f t="shared" si="325"/>
        <v>MS</v>
      </c>
    </row>
    <row r="12447" spans="1:6" x14ac:dyDescent="0.25">
      <c r="A12447" t="str">
        <f>"007221828"</f>
        <v>007221828</v>
      </c>
      <c r="B12447" t="str">
        <f>"1386317329"</f>
        <v>1386317329</v>
      </c>
      <c r="C12447" t="str">
        <f>"122300000X"</f>
        <v>122300000X</v>
      </c>
      <c r="D12447" t="str">
        <f>"HOWELL                   ASHLEY                   "</f>
        <v xml:space="preserve">HOWELL                   ASHLEY                   </v>
      </c>
      <c r="E12447" t="str">
        <f>"JACKSON                   "</f>
        <v xml:space="preserve">JACKSON                   </v>
      </c>
      <c r="F12447" t="str">
        <f t="shared" si="325"/>
        <v>MS</v>
      </c>
    </row>
    <row r="12448" spans="1:6" x14ac:dyDescent="0.25">
      <c r="A12448" t="str">
        <f>"007222056"</f>
        <v>007222056</v>
      </c>
      <c r="B12448" t="str">
        <f>"1144735382"</f>
        <v>1144735382</v>
      </c>
      <c r="C12448" t="str">
        <f>"363L00000X"</f>
        <v>363L00000X</v>
      </c>
      <c r="D12448" t="str">
        <f>"MATZEK                   CARMEN       N           "</f>
        <v xml:space="preserve">MATZEK                   CARMEN       N           </v>
      </c>
      <c r="E12448" t="str">
        <f>"JACKSON                   "</f>
        <v xml:space="preserve">JACKSON                   </v>
      </c>
      <c r="F12448" t="str">
        <f t="shared" si="325"/>
        <v>MS</v>
      </c>
    </row>
    <row r="12449" spans="1:6" x14ac:dyDescent="0.25">
      <c r="A12449" t="str">
        <f>"007222517"</f>
        <v>007222517</v>
      </c>
      <c r="B12449" t="str">
        <f>"1942464755"</f>
        <v>1942464755</v>
      </c>
      <c r="C12449" t="str">
        <f>"363L00000X"</f>
        <v>363L00000X</v>
      </c>
      <c r="D12449" t="str">
        <f>"WROTEN JR                JAMES        E           "</f>
        <v xml:space="preserve">WROTEN JR                JAMES        E           </v>
      </c>
      <c r="E12449" t="str">
        <f>"MEADVILLE                 "</f>
        <v xml:space="preserve">MEADVILLE                 </v>
      </c>
      <c r="F12449" t="str">
        <f t="shared" si="325"/>
        <v>MS</v>
      </c>
    </row>
    <row r="12450" spans="1:6" x14ac:dyDescent="0.25">
      <c r="A12450" t="str">
        <f>"007223246"</f>
        <v>007223246</v>
      </c>
      <c r="B12450" t="str">
        <f>"1396787180"</f>
        <v>1396787180</v>
      </c>
      <c r="C12450" t="str">
        <f>"207Q00000X"</f>
        <v>207Q00000X</v>
      </c>
      <c r="D12450" t="str">
        <f>"BOYLES                   JON          M           "</f>
        <v xml:space="preserve">BOYLES                   JON          M           </v>
      </c>
      <c r="E12450" t="str">
        <f>"PHILADELPHIA              "</f>
        <v xml:space="preserve">PHILADELPHIA              </v>
      </c>
      <c r="F12450" t="str">
        <f t="shared" si="325"/>
        <v>MS</v>
      </c>
    </row>
    <row r="12451" spans="1:6" x14ac:dyDescent="0.25">
      <c r="A12451" t="str">
        <f>"007223251"</f>
        <v>007223251</v>
      </c>
      <c r="B12451" t="str">
        <f>"1477219418"</f>
        <v>1477219418</v>
      </c>
      <c r="C12451" t="str">
        <f>"122300000X"</f>
        <v>122300000X</v>
      </c>
      <c r="D12451" t="str">
        <f>"SMILE STRAIGHT ORTHODONTICS - CENTR               "</f>
        <v xml:space="preserve">SMILE STRAIGHT ORTHODONTICS - CENTR               </v>
      </c>
      <c r="E12451" t="str">
        <f>"RIDGELAND                 "</f>
        <v xml:space="preserve">RIDGELAND                 </v>
      </c>
      <c r="F12451" t="str">
        <f t="shared" si="325"/>
        <v>MS</v>
      </c>
    </row>
    <row r="12452" spans="1:6" x14ac:dyDescent="0.25">
      <c r="A12452" t="str">
        <f>"007223267"</f>
        <v>007223267</v>
      </c>
      <c r="B12452" t="str">
        <f>"1659719334"</f>
        <v>1659719334</v>
      </c>
      <c r="C12452" t="str">
        <f>"122300000X"</f>
        <v>122300000X</v>
      </c>
      <c r="D12452" t="str">
        <f>"PAUL                     TRACY                    "</f>
        <v xml:space="preserve">PAUL                     TRACY                    </v>
      </c>
      <c r="E12452" t="str">
        <f>"YAZOO CITY                "</f>
        <v xml:space="preserve">YAZOO CITY                </v>
      </c>
      <c r="F12452" t="str">
        <f t="shared" si="325"/>
        <v>MS</v>
      </c>
    </row>
    <row r="12453" spans="1:6" x14ac:dyDescent="0.25">
      <c r="A12453" t="str">
        <f>"007224026"</f>
        <v>007224026</v>
      </c>
      <c r="B12453" t="str">
        <f>"1043625668"</f>
        <v>1043625668</v>
      </c>
      <c r="C12453" t="str">
        <f>"207Q00000X"</f>
        <v>207Q00000X</v>
      </c>
      <c r="D12453" t="str">
        <f>"CAMPBELL                 LUKE                     "</f>
        <v xml:space="preserve">CAMPBELL                 LUKE                     </v>
      </c>
      <c r="E12453" t="str">
        <f>"TUPELO                    "</f>
        <v xml:space="preserve">TUPELO                    </v>
      </c>
      <c r="F12453" t="str">
        <f t="shared" si="325"/>
        <v>MS</v>
      </c>
    </row>
    <row r="12454" spans="1:6" x14ac:dyDescent="0.25">
      <c r="A12454" t="str">
        <f>"007224574"</f>
        <v>007224574</v>
      </c>
      <c r="B12454" t="str">
        <f>"1235741109"</f>
        <v>1235741109</v>
      </c>
      <c r="C12454" t="str">
        <f>"363L00000X"</f>
        <v>363L00000X</v>
      </c>
      <c r="D12454" t="str">
        <f>"BARNES                   SHEENA                   "</f>
        <v xml:space="preserve">BARNES                   SHEENA                   </v>
      </c>
      <c r="E12454" t="str">
        <f>"BATESVILLE                "</f>
        <v xml:space="preserve">BATESVILLE                </v>
      </c>
      <c r="F12454" t="str">
        <f t="shared" si="325"/>
        <v>MS</v>
      </c>
    </row>
    <row r="12455" spans="1:6" x14ac:dyDescent="0.25">
      <c r="A12455" t="str">
        <f>"007225822"</f>
        <v>007225822</v>
      </c>
      <c r="B12455" t="str">
        <f>"1730366824"</f>
        <v>1730366824</v>
      </c>
      <c r="C12455" t="str">
        <f>"261QM0801X"</f>
        <v>261QM0801X</v>
      </c>
      <c r="D12455" t="str">
        <f>"HEALTH CONNECT AMERICA INC                        "</f>
        <v xml:space="preserve">HEALTH CONNECT AMERICA INC                        </v>
      </c>
      <c r="E12455" t="str">
        <f>"BYHALIA                   "</f>
        <v xml:space="preserve">BYHALIA                   </v>
      </c>
      <c r="F12455" t="str">
        <f t="shared" si="325"/>
        <v>MS</v>
      </c>
    </row>
    <row r="12456" spans="1:6" x14ac:dyDescent="0.25">
      <c r="A12456" t="str">
        <f>"007227010"</f>
        <v>007227010</v>
      </c>
      <c r="B12456" t="str">
        <f>"1164170262"</f>
        <v>1164170262</v>
      </c>
      <c r="C12456" t="str">
        <f>"363L00000X"</f>
        <v>363L00000X</v>
      </c>
      <c r="D12456" t="str">
        <f>"DUNAWAY                  JORDAN                   "</f>
        <v xml:space="preserve">DUNAWAY                  JORDAN                   </v>
      </c>
      <c r="E12456" t="str">
        <f>"MCCOMB                    "</f>
        <v xml:space="preserve">MCCOMB                    </v>
      </c>
      <c r="F12456" t="str">
        <f t="shared" si="325"/>
        <v>MS</v>
      </c>
    </row>
    <row r="12457" spans="1:6" x14ac:dyDescent="0.25">
      <c r="A12457" t="str">
        <f>"007228379"</f>
        <v>007228379</v>
      </c>
      <c r="B12457" t="str">
        <f>"1417466079"</f>
        <v>1417466079</v>
      </c>
      <c r="C12457" t="str">
        <f>"363L00000X"</f>
        <v>363L00000X</v>
      </c>
      <c r="D12457" t="str">
        <f>"TODD ROLLINS             LESLIE       M           "</f>
        <v xml:space="preserve">TODD ROLLINS             LESLIE       M           </v>
      </c>
      <c r="E12457" t="str">
        <f>"SUMRALL                   "</f>
        <v xml:space="preserve">SUMRALL                   </v>
      </c>
      <c r="F12457" t="str">
        <f t="shared" si="325"/>
        <v>MS</v>
      </c>
    </row>
    <row r="12458" spans="1:6" x14ac:dyDescent="0.25">
      <c r="A12458" t="str">
        <f>"007229881"</f>
        <v>007229881</v>
      </c>
      <c r="B12458" t="str">
        <f>"1619496403"</f>
        <v>1619496403</v>
      </c>
      <c r="C12458" t="str">
        <f>"363L00000X"</f>
        <v>363L00000X</v>
      </c>
      <c r="D12458" t="str">
        <f>"WIYGUL                   ANNA         E           "</f>
        <v xml:space="preserve">WIYGUL                   ANNA         E           </v>
      </c>
      <c r="E12458" t="str">
        <f>"COLUMBUS                  "</f>
        <v xml:space="preserve">COLUMBUS                  </v>
      </c>
      <c r="F12458" t="str">
        <f t="shared" si="325"/>
        <v>MS</v>
      </c>
    </row>
    <row r="12459" spans="1:6" x14ac:dyDescent="0.25">
      <c r="A12459" t="str">
        <f>"007230211"</f>
        <v>007230211</v>
      </c>
      <c r="B12459" t="str">
        <f>"1922652049"</f>
        <v>1922652049</v>
      </c>
      <c r="C12459" t="str">
        <f>"363L00000X"</f>
        <v>363L00000X</v>
      </c>
      <c r="D12459" t="str">
        <f>"ODOM                     ROXIAN       H           "</f>
        <v xml:space="preserve">ODOM                     ROXIAN       H           </v>
      </c>
      <c r="E12459" t="str">
        <f>"FLORENCE                  "</f>
        <v xml:space="preserve">FLORENCE                  </v>
      </c>
      <c r="F12459" t="str">
        <f t="shared" si="325"/>
        <v>MS</v>
      </c>
    </row>
    <row r="12460" spans="1:6" x14ac:dyDescent="0.25">
      <c r="A12460" t="str">
        <f>"007231029"</f>
        <v>007231029</v>
      </c>
      <c r="B12460" t="str">
        <f>"1043634702"</f>
        <v>1043634702</v>
      </c>
      <c r="C12460" t="str">
        <f>"363A00000X"</f>
        <v>363A00000X</v>
      </c>
      <c r="D12460" t="str">
        <f>"RICHARDSON               KRISTEN      M           "</f>
        <v xml:space="preserve">RICHARDSON               KRISTEN      M           </v>
      </c>
      <c r="E12460" t="str">
        <f>"PETAL                     "</f>
        <v xml:space="preserve">PETAL                     </v>
      </c>
      <c r="F12460" t="str">
        <f t="shared" si="325"/>
        <v>MS</v>
      </c>
    </row>
    <row r="12461" spans="1:6" x14ac:dyDescent="0.25">
      <c r="A12461" t="str">
        <f>"007231367"</f>
        <v>007231367</v>
      </c>
      <c r="B12461" t="str">
        <f>"1487944617"</f>
        <v>1487944617</v>
      </c>
      <c r="C12461" t="str">
        <f>"207R00000X"</f>
        <v>207R00000X</v>
      </c>
      <c r="D12461" t="str">
        <f>"BROWN                    COREY        N           "</f>
        <v xml:space="preserve">BROWN                    COREY        N           </v>
      </c>
      <c r="E12461" t="str">
        <f>"GREENWOOD                 "</f>
        <v xml:space="preserve">GREENWOOD                 </v>
      </c>
      <c r="F12461" t="str">
        <f t="shared" si="325"/>
        <v>MS</v>
      </c>
    </row>
    <row r="12462" spans="1:6" x14ac:dyDescent="0.25">
      <c r="A12462" t="str">
        <f>"007232856"</f>
        <v>007232856</v>
      </c>
      <c r="B12462" t="str">
        <f>"1275942369"</f>
        <v>1275942369</v>
      </c>
      <c r="C12462" t="str">
        <f>"363L00000X"</f>
        <v>363L00000X</v>
      </c>
      <c r="D12462" t="str">
        <f>"FOSTER                   ROBERT       W           "</f>
        <v xml:space="preserve">FOSTER                   ROBERT       W           </v>
      </c>
      <c r="E12462" t="str">
        <f>"WEST POINT                "</f>
        <v xml:space="preserve">WEST POINT                </v>
      </c>
      <c r="F12462" t="str">
        <f t="shared" si="325"/>
        <v>MS</v>
      </c>
    </row>
    <row r="12463" spans="1:6" x14ac:dyDescent="0.25">
      <c r="A12463" t="str">
        <f>"007233767"</f>
        <v>007233767</v>
      </c>
      <c r="B12463" t="str">
        <f>"1972675577"</f>
        <v>1972675577</v>
      </c>
      <c r="C12463" t="str">
        <f>"152W00000X"</f>
        <v>152W00000X</v>
      </c>
      <c r="D12463" t="str">
        <f>"OPTOMETRIC CLINIC PA                              "</f>
        <v xml:space="preserve">OPTOMETRIC CLINIC PA                              </v>
      </c>
      <c r="E12463" t="str">
        <f>"HATTIESBURG               "</f>
        <v xml:space="preserve">HATTIESBURG               </v>
      </c>
      <c r="F12463" t="str">
        <f t="shared" si="325"/>
        <v>MS</v>
      </c>
    </row>
    <row r="12464" spans="1:6" x14ac:dyDescent="0.25">
      <c r="A12464" t="str">
        <f>"007233815"</f>
        <v>007233815</v>
      </c>
      <c r="B12464" t="str">
        <f>"1124574231"</f>
        <v>1124574231</v>
      </c>
      <c r="C12464" t="str">
        <f>"363L00000X"</f>
        <v>363L00000X</v>
      </c>
      <c r="D12464" t="str">
        <f>"TUBBS                    JESSICA      D           "</f>
        <v xml:space="preserve">TUBBS                    JESSICA      D           </v>
      </c>
      <c r="E12464" t="str">
        <f>"MARKS                     "</f>
        <v xml:space="preserve">MARKS                     </v>
      </c>
      <c r="F12464" t="str">
        <f t="shared" si="325"/>
        <v>MS</v>
      </c>
    </row>
    <row r="12465" spans="1:6" x14ac:dyDescent="0.25">
      <c r="A12465" t="str">
        <f>"007233892"</f>
        <v>007233892</v>
      </c>
      <c r="B12465" t="str">
        <f>"1811421910"</f>
        <v>1811421910</v>
      </c>
      <c r="C12465" t="str">
        <f>"1223P0221X"</f>
        <v>1223P0221X</v>
      </c>
      <c r="D12465" t="str">
        <f>"NEELY                    ANTHONY      K           "</f>
        <v xml:space="preserve">NEELY                    ANTHONY      K           </v>
      </c>
      <c r="E12465" t="str">
        <f>"HATTIESBURG               "</f>
        <v xml:space="preserve">HATTIESBURG               </v>
      </c>
      <c r="F12465" t="str">
        <f t="shared" si="325"/>
        <v>MS</v>
      </c>
    </row>
    <row r="12466" spans="1:6" x14ac:dyDescent="0.25">
      <c r="A12466" t="str">
        <f>"007234531"</f>
        <v>007234531</v>
      </c>
      <c r="B12466" t="str">
        <f>"1356638977"</f>
        <v>1356638977</v>
      </c>
      <c r="C12466" t="str">
        <f>"207X00000X"</f>
        <v>207X00000X</v>
      </c>
      <c r="D12466" t="str">
        <f>"BERRY                    JOHN         H           "</f>
        <v xml:space="preserve">BERRY                    JOHN         H           </v>
      </c>
      <c r="E12466" t="str">
        <f>"HATTIESBURG               "</f>
        <v xml:space="preserve">HATTIESBURG               </v>
      </c>
      <c r="F12466" t="str">
        <f t="shared" si="325"/>
        <v>MS</v>
      </c>
    </row>
    <row r="12467" spans="1:6" x14ac:dyDescent="0.25">
      <c r="A12467" t="str">
        <f>"007235081"</f>
        <v>007235081</v>
      </c>
      <c r="B12467" t="str">
        <f>"1497286165"</f>
        <v>1497286165</v>
      </c>
      <c r="C12467" t="str">
        <f>"207L00000X"</f>
        <v>207L00000X</v>
      </c>
      <c r="D12467" t="str">
        <f>"STURDIVANT               JAMES        W           "</f>
        <v xml:space="preserve">STURDIVANT               JAMES        W           </v>
      </c>
      <c r="E12467" t="str">
        <f>"JACKSON                   "</f>
        <v xml:space="preserve">JACKSON                   </v>
      </c>
      <c r="F12467" t="str">
        <f t="shared" si="325"/>
        <v>MS</v>
      </c>
    </row>
    <row r="12468" spans="1:6" x14ac:dyDescent="0.25">
      <c r="A12468" t="str">
        <f>"007235241"</f>
        <v>007235241</v>
      </c>
      <c r="B12468" t="str">
        <f>"1841879228"</f>
        <v>1841879228</v>
      </c>
      <c r="C12468" t="str">
        <f>"208600000X"</f>
        <v>208600000X</v>
      </c>
      <c r="D12468" t="str">
        <f>"LEHMAN                   ALEXIS                   "</f>
        <v xml:space="preserve">LEHMAN                   ALEXIS                   </v>
      </c>
      <c r="E12468" t="str">
        <f>"JACKSON                   "</f>
        <v xml:space="preserve">JACKSON                   </v>
      </c>
      <c r="F12468" t="str">
        <f t="shared" si="325"/>
        <v>MS</v>
      </c>
    </row>
    <row r="12469" spans="1:6" x14ac:dyDescent="0.25">
      <c r="A12469" t="str">
        <f>"007235716"</f>
        <v>007235716</v>
      </c>
      <c r="B12469" t="str">
        <f>"1972532133"</f>
        <v>1972532133</v>
      </c>
      <c r="C12469" t="str">
        <f>"363L00000X"</f>
        <v>363L00000X</v>
      </c>
      <c r="D12469" t="str">
        <f>"MCELWAIN                 SHARON                   "</f>
        <v xml:space="preserve">MCELWAIN                 SHARON                   </v>
      </c>
      <c r="E12469" t="str">
        <f>"JACKSON                   "</f>
        <v xml:space="preserve">JACKSON                   </v>
      </c>
      <c r="F12469" t="str">
        <f t="shared" si="325"/>
        <v>MS</v>
      </c>
    </row>
    <row r="12470" spans="1:6" x14ac:dyDescent="0.25">
      <c r="A12470" t="str">
        <f>"007236043"</f>
        <v>007236043</v>
      </c>
      <c r="B12470" t="str">
        <f>"1538518519"</f>
        <v>1538518519</v>
      </c>
      <c r="C12470" t="str">
        <f>"363A00000X"</f>
        <v>363A00000X</v>
      </c>
      <c r="D12470" t="str">
        <f>"FURR                     MELANIE      E           "</f>
        <v xml:space="preserve">FURR                     MELANIE      E           </v>
      </c>
      <c r="E12470" t="str">
        <f>"JACKSON                   "</f>
        <v xml:space="preserve">JACKSON                   </v>
      </c>
      <c r="F12470" t="str">
        <f t="shared" si="325"/>
        <v>MS</v>
      </c>
    </row>
    <row r="12471" spans="1:6" x14ac:dyDescent="0.25">
      <c r="A12471" t="str">
        <f>"007236505"</f>
        <v>007236505</v>
      </c>
      <c r="B12471" t="str">
        <f>"1760941223"</f>
        <v>1760941223</v>
      </c>
      <c r="C12471" t="str">
        <f>"363L00000X"</f>
        <v>363L00000X</v>
      </c>
      <c r="D12471" t="str">
        <f>"COX                      MARIAH       L           "</f>
        <v xml:space="preserve">COX                      MARIAH       L           </v>
      </c>
      <c r="E12471" t="str">
        <f>"GULFPORT                  "</f>
        <v xml:space="preserve">GULFPORT                  </v>
      </c>
      <c r="F12471" t="str">
        <f t="shared" si="325"/>
        <v>MS</v>
      </c>
    </row>
    <row r="12472" spans="1:6" x14ac:dyDescent="0.25">
      <c r="A12472" t="str">
        <f>"007236561"</f>
        <v>007236561</v>
      </c>
      <c r="B12472" t="str">
        <f>"1275733636"</f>
        <v>1275733636</v>
      </c>
      <c r="C12472" t="str">
        <f>"207Q00000X"</f>
        <v>207Q00000X</v>
      </c>
      <c r="D12472" t="str">
        <f>"SUARES                   ROBERT                   "</f>
        <v xml:space="preserve">SUARES                   ROBERT                   </v>
      </c>
      <c r="E12472" t="str">
        <f>"GREENVILLE                "</f>
        <v xml:space="preserve">GREENVILLE                </v>
      </c>
      <c r="F12472" t="str">
        <f t="shared" si="325"/>
        <v>MS</v>
      </c>
    </row>
    <row r="12473" spans="1:6" x14ac:dyDescent="0.25">
      <c r="A12473" t="str">
        <f>"007236819"</f>
        <v>007236819</v>
      </c>
      <c r="B12473" t="str">
        <f>"1508057811"</f>
        <v>1508057811</v>
      </c>
      <c r="C12473" t="str">
        <f>"363L00000X"</f>
        <v>363L00000X</v>
      </c>
      <c r="D12473" t="str">
        <f>"ISHEE                    DIXIE        W           "</f>
        <v xml:space="preserve">ISHEE                    DIXIE        W           </v>
      </c>
      <c r="E12473" t="str">
        <f>"CLINTON                   "</f>
        <v xml:space="preserve">CLINTON                   </v>
      </c>
      <c r="F12473" t="str">
        <f t="shared" si="325"/>
        <v>MS</v>
      </c>
    </row>
    <row r="12474" spans="1:6" x14ac:dyDescent="0.25">
      <c r="A12474" t="str">
        <f>"007237581"</f>
        <v>007237581</v>
      </c>
      <c r="B12474" t="str">
        <f>"1366954240"</f>
        <v>1366954240</v>
      </c>
      <c r="C12474" t="str">
        <f>"363L00000X"</f>
        <v>363L00000X</v>
      </c>
      <c r="D12474" t="str">
        <f>"BRISTER                  KELLI        P           "</f>
        <v xml:space="preserve">BRISTER                  KELLI        P           </v>
      </c>
      <c r="E12474" t="str">
        <f>"JACKSON                   "</f>
        <v xml:space="preserve">JACKSON                   </v>
      </c>
      <c r="F12474" t="str">
        <f t="shared" si="325"/>
        <v>MS</v>
      </c>
    </row>
    <row r="12475" spans="1:6" x14ac:dyDescent="0.25">
      <c r="A12475" t="str">
        <f>"007237832"</f>
        <v>007237832</v>
      </c>
      <c r="B12475" t="str">
        <f>"1497274252"</f>
        <v>1497274252</v>
      </c>
      <c r="C12475" t="str">
        <f>"1223S0112X"</f>
        <v>1223S0112X</v>
      </c>
      <c r="D12475" t="str">
        <f>"VAHDANI                  SOHEIL                   "</f>
        <v xml:space="preserve">VAHDANI                  SOHEIL                   </v>
      </c>
      <c r="E12475" t="str">
        <f>"JACKSON                   "</f>
        <v xml:space="preserve">JACKSON                   </v>
      </c>
      <c r="F12475" t="str">
        <f t="shared" si="325"/>
        <v>MS</v>
      </c>
    </row>
    <row r="12476" spans="1:6" x14ac:dyDescent="0.25">
      <c r="A12476" t="str">
        <f>"007239005"</f>
        <v>007239005</v>
      </c>
      <c r="B12476" t="str">
        <f>"1902465040"</f>
        <v>1902465040</v>
      </c>
      <c r="C12476" t="str">
        <f>"363L00000X"</f>
        <v>363L00000X</v>
      </c>
      <c r="D12476" t="str">
        <f>"BOLDEN                   KAREN        R           "</f>
        <v xml:space="preserve">BOLDEN                   KAREN        R           </v>
      </c>
      <c r="E12476" t="str">
        <f>"BYHALIA                   "</f>
        <v xml:space="preserve">BYHALIA                   </v>
      </c>
      <c r="F12476" t="str">
        <f t="shared" si="325"/>
        <v>MS</v>
      </c>
    </row>
    <row r="12477" spans="1:6" x14ac:dyDescent="0.25">
      <c r="A12477" t="str">
        <f>"007239718"</f>
        <v>007239718</v>
      </c>
      <c r="B12477" t="str">
        <f>"1083265284"</f>
        <v>1083265284</v>
      </c>
      <c r="C12477" t="str">
        <f>"261QR1300X"</f>
        <v>261QR1300X</v>
      </c>
      <c r="D12477" t="str">
        <f>"KIDZ 1ST CLINIC LLC                               "</f>
        <v xml:space="preserve">KIDZ 1ST CLINIC LLC                               </v>
      </c>
      <c r="E12477" t="str">
        <f>"YAZOO CITY                "</f>
        <v xml:space="preserve">YAZOO CITY                </v>
      </c>
      <c r="F12477" t="str">
        <f t="shared" si="325"/>
        <v>MS</v>
      </c>
    </row>
    <row r="12478" spans="1:6" x14ac:dyDescent="0.25">
      <c r="A12478" t="str">
        <f>"007250059"</f>
        <v>007250059</v>
      </c>
      <c r="B12478" t="str">
        <f>"1003013764"</f>
        <v>1003013764</v>
      </c>
      <c r="C12478" t="str">
        <f>"261QF0400X"</f>
        <v>261QF0400X</v>
      </c>
      <c r="D12478" t="str">
        <f>"PICAYUNE FAMILY HEALTH CENTER                     "</f>
        <v xml:space="preserve">PICAYUNE FAMILY HEALTH CENTER                     </v>
      </c>
      <c r="E12478" t="str">
        <f>"PICAYUNE                  "</f>
        <v xml:space="preserve">PICAYUNE                  </v>
      </c>
      <c r="F12478" t="str">
        <f t="shared" ref="F12478:F12541" si="326">"MS"</f>
        <v>MS</v>
      </c>
    </row>
    <row r="12479" spans="1:6" x14ac:dyDescent="0.25">
      <c r="A12479" t="str">
        <f>"007250377"</f>
        <v>007250377</v>
      </c>
      <c r="B12479" t="str">
        <f>"1114688199"</f>
        <v>1114688199</v>
      </c>
      <c r="C12479" t="str">
        <f>"363L00000X"</f>
        <v>363L00000X</v>
      </c>
      <c r="D12479" t="str">
        <f>"LOFTON                   MEMORY                   "</f>
        <v xml:space="preserve">LOFTON                   MEMORY                   </v>
      </c>
      <c r="E12479" t="str">
        <f>"JACKSON                   "</f>
        <v xml:space="preserve">JACKSON                   </v>
      </c>
      <c r="F12479" t="str">
        <f t="shared" si="326"/>
        <v>MS</v>
      </c>
    </row>
    <row r="12480" spans="1:6" x14ac:dyDescent="0.25">
      <c r="A12480" t="str">
        <f>"007251361"</f>
        <v>007251361</v>
      </c>
      <c r="B12480" t="str">
        <f>"1073112066"</f>
        <v>1073112066</v>
      </c>
      <c r="C12480" t="str">
        <f>"363L00000X"</f>
        <v>363L00000X</v>
      </c>
      <c r="D12480" t="str">
        <f>"JEFFUS                   COURTNEY                 "</f>
        <v xml:space="preserve">JEFFUS                   COURTNEY                 </v>
      </c>
      <c r="E12480" t="str">
        <f>"NATCHEZ                   "</f>
        <v xml:space="preserve">NATCHEZ                   </v>
      </c>
      <c r="F12480" t="str">
        <f t="shared" si="326"/>
        <v>MS</v>
      </c>
    </row>
    <row r="12481" spans="1:6" x14ac:dyDescent="0.25">
      <c r="A12481" t="str">
        <f>"007252329"</f>
        <v>007252329</v>
      </c>
      <c r="B12481" t="str">
        <f>"1205269305"</f>
        <v>1205269305</v>
      </c>
      <c r="C12481" t="str">
        <f>"367500000X"</f>
        <v>367500000X</v>
      </c>
      <c r="D12481" t="str">
        <f>"BLOCKER                  TYLER        L           "</f>
        <v xml:space="preserve">BLOCKER                  TYLER        L           </v>
      </c>
      <c r="E12481" t="str">
        <f>"GRENADA                   "</f>
        <v xml:space="preserve">GRENADA                   </v>
      </c>
      <c r="F12481" t="str">
        <f t="shared" si="326"/>
        <v>MS</v>
      </c>
    </row>
    <row r="12482" spans="1:6" x14ac:dyDescent="0.25">
      <c r="A12482" t="str">
        <f>"007253573"</f>
        <v>007253573</v>
      </c>
      <c r="B12482" t="str">
        <f>"1063180420"</f>
        <v>1063180420</v>
      </c>
      <c r="C12482" t="str">
        <f>"363L00000X"</f>
        <v>363L00000X</v>
      </c>
      <c r="D12482" t="str">
        <f>"SMITH                    JENNIFER     D           "</f>
        <v xml:space="preserve">SMITH                    JENNIFER     D           </v>
      </c>
      <c r="E12482" t="str">
        <f>"BROOKHAVEN                "</f>
        <v xml:space="preserve">BROOKHAVEN                </v>
      </c>
      <c r="F12482" t="str">
        <f t="shared" si="326"/>
        <v>MS</v>
      </c>
    </row>
    <row r="12483" spans="1:6" x14ac:dyDescent="0.25">
      <c r="A12483" t="str">
        <f>"007253892"</f>
        <v>007253892</v>
      </c>
      <c r="B12483" t="str">
        <f>"1346882339"</f>
        <v>1346882339</v>
      </c>
      <c r="C12483" t="str">
        <f>"363L00000X"</f>
        <v>363L00000X</v>
      </c>
      <c r="D12483" t="str">
        <f>"WEIR                     MOLLY        H           "</f>
        <v xml:space="preserve">WEIR                     MOLLY        H           </v>
      </c>
      <c r="E12483" t="str">
        <f>"GULFPORT                  "</f>
        <v xml:space="preserve">GULFPORT                  </v>
      </c>
      <c r="F12483" t="str">
        <f t="shared" si="326"/>
        <v>MS</v>
      </c>
    </row>
    <row r="12484" spans="1:6" x14ac:dyDescent="0.25">
      <c r="A12484" t="str">
        <f>"007254388"</f>
        <v>007254388</v>
      </c>
      <c r="B12484" t="str">
        <f>"1568742146"</f>
        <v>1568742146</v>
      </c>
      <c r="C12484" t="str">
        <f>"152W00000X"</f>
        <v>152W00000X</v>
      </c>
      <c r="D12484" t="str">
        <f>"CARR                     DEANDRE      M           "</f>
        <v xml:space="preserve">CARR                     DEANDRE      M           </v>
      </c>
      <c r="E12484" t="str">
        <f>"BYRAM                     "</f>
        <v xml:space="preserve">BYRAM                     </v>
      </c>
      <c r="F12484" t="str">
        <f t="shared" si="326"/>
        <v>MS</v>
      </c>
    </row>
    <row r="12485" spans="1:6" x14ac:dyDescent="0.25">
      <c r="A12485" t="str">
        <f>"007258537"</f>
        <v>007258537</v>
      </c>
      <c r="B12485" t="str">
        <f>"1992177463"</f>
        <v>1992177463</v>
      </c>
      <c r="C12485" t="str">
        <f>"363L00000X"</f>
        <v>363L00000X</v>
      </c>
      <c r="D12485" t="str">
        <f>"HICKMAN                  RHONDA       L           "</f>
        <v xml:space="preserve">HICKMAN                  RHONDA       L           </v>
      </c>
      <c r="E12485" t="str">
        <f>"TUPELO                    "</f>
        <v xml:space="preserve">TUPELO                    </v>
      </c>
      <c r="F12485" t="str">
        <f t="shared" si="326"/>
        <v>MS</v>
      </c>
    </row>
    <row r="12486" spans="1:6" x14ac:dyDescent="0.25">
      <c r="A12486" t="str">
        <f>"007259006"</f>
        <v>007259006</v>
      </c>
      <c r="B12486" t="str">
        <f>"1558952192"</f>
        <v>1558952192</v>
      </c>
      <c r="C12486" t="str">
        <f>"261QR1300X"</f>
        <v>261QR1300X</v>
      </c>
      <c r="D12486" t="str">
        <f>"MRH MEDICAL GROUP, VERONA FAMILY ME               "</f>
        <v xml:space="preserve">MRH MEDICAL GROUP, VERONA FAMILY ME               </v>
      </c>
      <c r="E12486" t="str">
        <f>"TUPELO                    "</f>
        <v xml:space="preserve">TUPELO                    </v>
      </c>
      <c r="F12486" t="str">
        <f t="shared" si="326"/>
        <v>MS</v>
      </c>
    </row>
    <row r="12487" spans="1:6" x14ac:dyDescent="0.25">
      <c r="A12487" t="str">
        <f>"007270034"</f>
        <v>007270034</v>
      </c>
      <c r="B12487" t="str">
        <f>"1427498849"</f>
        <v>1427498849</v>
      </c>
      <c r="C12487" t="str">
        <f>"207LP3000X"</f>
        <v>207LP3000X</v>
      </c>
      <c r="D12487" t="str">
        <f>"DUNCAN                   FORREST      C           "</f>
        <v xml:space="preserve">DUNCAN                   FORREST      C           </v>
      </c>
      <c r="E12487" t="str">
        <f>"JACKSON                   "</f>
        <v xml:space="preserve">JACKSON                   </v>
      </c>
      <c r="F12487" t="str">
        <f t="shared" si="326"/>
        <v>MS</v>
      </c>
    </row>
    <row r="12488" spans="1:6" x14ac:dyDescent="0.25">
      <c r="A12488" t="str">
        <f>"007270056"</f>
        <v>007270056</v>
      </c>
      <c r="B12488" t="str">
        <f>"1962693291"</f>
        <v>1962693291</v>
      </c>
      <c r="C12488" t="str">
        <f>"2084P0800X"</f>
        <v>2084P0800X</v>
      </c>
      <c r="D12488" t="str">
        <f>"MILEV                    DILYANA      N           "</f>
        <v xml:space="preserve">MILEV                    DILYANA      N           </v>
      </c>
      <c r="E12488" t="str">
        <f>"HOUSTON                   "</f>
        <v xml:space="preserve">HOUSTON                   </v>
      </c>
      <c r="F12488" t="str">
        <f t="shared" si="326"/>
        <v>MS</v>
      </c>
    </row>
    <row r="12489" spans="1:6" x14ac:dyDescent="0.25">
      <c r="A12489" t="str">
        <f>"007270080"</f>
        <v>007270080</v>
      </c>
      <c r="B12489" t="str">
        <f>"1922069921"</f>
        <v>1922069921</v>
      </c>
      <c r="C12489" t="str">
        <f>"207Y00000X"</f>
        <v>207Y00000X</v>
      </c>
      <c r="D12489" t="str">
        <f>"CHILDRESS                CURTIS       S           "</f>
        <v xml:space="preserve">CHILDRESS                CURTIS       S           </v>
      </c>
      <c r="E12489" t="str">
        <f>"HATTIESBURG               "</f>
        <v xml:space="preserve">HATTIESBURG               </v>
      </c>
      <c r="F12489" t="str">
        <f t="shared" si="326"/>
        <v>MS</v>
      </c>
    </row>
    <row r="12490" spans="1:6" x14ac:dyDescent="0.25">
      <c r="A12490" t="str">
        <f>"007271044"</f>
        <v>007271044</v>
      </c>
      <c r="B12490" t="str">
        <f>"1235340225"</f>
        <v>1235340225</v>
      </c>
      <c r="C12490" t="str">
        <f>"207RC0000X"</f>
        <v>207RC0000X</v>
      </c>
      <c r="D12490" t="str">
        <f>"HALL                     MICHAEL      E           "</f>
        <v xml:space="preserve">HALL                     MICHAEL      E           </v>
      </c>
      <c r="E12490" t="str">
        <f>"JACKSON                   "</f>
        <v xml:space="preserve">JACKSON                   </v>
      </c>
      <c r="F12490" t="str">
        <f t="shared" si="326"/>
        <v>MS</v>
      </c>
    </row>
    <row r="12491" spans="1:6" x14ac:dyDescent="0.25">
      <c r="A12491" t="str">
        <f>"007272214"</f>
        <v>007272214</v>
      </c>
      <c r="B12491" t="str">
        <f>"1497944235"</f>
        <v>1497944235</v>
      </c>
      <c r="C12491" t="str">
        <f>"367500000X"</f>
        <v>367500000X</v>
      </c>
      <c r="D12491" t="str">
        <f>"STRINGER                 COURTNEY     S           "</f>
        <v xml:space="preserve">STRINGER                 COURTNEY     S           </v>
      </c>
      <c r="E12491" t="str">
        <f>"TUPELO                    "</f>
        <v xml:space="preserve">TUPELO                    </v>
      </c>
      <c r="F12491" t="str">
        <f t="shared" si="326"/>
        <v>MS</v>
      </c>
    </row>
    <row r="12492" spans="1:6" x14ac:dyDescent="0.25">
      <c r="A12492" t="str">
        <f>"007272716"</f>
        <v>007272716</v>
      </c>
      <c r="B12492" t="str">
        <f>"1215578752"</f>
        <v>1215578752</v>
      </c>
      <c r="C12492" t="str">
        <f>"363L00000X"</f>
        <v>363L00000X</v>
      </c>
      <c r="D12492" t="str">
        <f>"FRANKS                   LAUREN       B           "</f>
        <v xml:space="preserve">FRANKS                   LAUREN       B           </v>
      </c>
      <c r="E12492" t="str">
        <f>"TUPELO                    "</f>
        <v xml:space="preserve">TUPELO                    </v>
      </c>
      <c r="F12492" t="str">
        <f t="shared" si="326"/>
        <v>MS</v>
      </c>
    </row>
    <row r="12493" spans="1:6" x14ac:dyDescent="0.25">
      <c r="A12493" t="str">
        <f>"007275376"</f>
        <v>007275376</v>
      </c>
      <c r="B12493" t="str">
        <f>"1114934643"</f>
        <v>1114934643</v>
      </c>
      <c r="C12493" t="str">
        <f>"207X00000X"</f>
        <v>207X00000X</v>
      </c>
      <c r="D12493" t="str">
        <f>"SMITHERMAN               JAMES        A           "</f>
        <v xml:space="preserve">SMITHERMAN               JAMES        A           </v>
      </c>
      <c r="E12493" t="str">
        <f>"MADISON                   "</f>
        <v xml:space="preserve">MADISON                   </v>
      </c>
      <c r="F12493" t="str">
        <f t="shared" si="326"/>
        <v>MS</v>
      </c>
    </row>
    <row r="12494" spans="1:6" x14ac:dyDescent="0.25">
      <c r="A12494" t="str">
        <f>"007275382"</f>
        <v>007275382</v>
      </c>
      <c r="B12494" t="str">
        <f>"1891260808"</f>
        <v>1891260808</v>
      </c>
      <c r="C12494" t="str">
        <f>"363L00000X"</f>
        <v>363L00000X</v>
      </c>
      <c r="D12494" t="str">
        <f>"PRICE                    KIMBERLY     M           "</f>
        <v xml:space="preserve">PRICE                    KIMBERLY     M           </v>
      </c>
      <c r="E12494" t="str">
        <f>"LUMBERTON                 "</f>
        <v xml:space="preserve">LUMBERTON                 </v>
      </c>
      <c r="F12494" t="str">
        <f t="shared" si="326"/>
        <v>MS</v>
      </c>
    </row>
    <row r="12495" spans="1:6" x14ac:dyDescent="0.25">
      <c r="A12495" t="str">
        <f>"007275752"</f>
        <v>007275752</v>
      </c>
      <c r="B12495" t="str">
        <f>"1316191109"</f>
        <v>1316191109</v>
      </c>
      <c r="C12495" t="str">
        <f>"363L00000X"</f>
        <v>363L00000X</v>
      </c>
      <c r="D12495" t="str">
        <f>"CONNER-MENDEZ            JULIA        A           "</f>
        <v xml:space="preserve">CONNER-MENDEZ            JULIA        A           </v>
      </c>
      <c r="E12495" t="str">
        <f>"OLIVE BRANCH              "</f>
        <v xml:space="preserve">OLIVE BRANCH              </v>
      </c>
      <c r="F12495" t="str">
        <f t="shared" si="326"/>
        <v>MS</v>
      </c>
    </row>
    <row r="12496" spans="1:6" x14ac:dyDescent="0.25">
      <c r="A12496" t="str">
        <f>"007276057"</f>
        <v>007276057</v>
      </c>
      <c r="B12496" t="str">
        <f>"1841584711"</f>
        <v>1841584711</v>
      </c>
      <c r="C12496" t="str">
        <f>"208000000X"</f>
        <v>208000000X</v>
      </c>
      <c r="D12496" t="str">
        <f>"BROWN                    KIMBERLY     L           "</f>
        <v xml:space="preserve">BROWN                    KIMBERLY     L           </v>
      </c>
      <c r="E12496" t="str">
        <f>"OCEAN SPRINGS             "</f>
        <v xml:space="preserve">OCEAN SPRINGS             </v>
      </c>
      <c r="F12496" t="str">
        <f t="shared" si="326"/>
        <v>MS</v>
      </c>
    </row>
    <row r="12497" spans="1:6" x14ac:dyDescent="0.25">
      <c r="A12497" t="str">
        <f>"007276201"</f>
        <v>007276201</v>
      </c>
      <c r="B12497" t="str">
        <f>"1821006644"</f>
        <v>1821006644</v>
      </c>
      <c r="C12497" t="str">
        <f>"207R00000X"</f>
        <v>207R00000X</v>
      </c>
      <c r="D12497" t="str">
        <f>"OLALEYE                  SAMUEL       O           "</f>
        <v xml:space="preserve">OLALEYE                  SAMUEL       O           </v>
      </c>
      <c r="E12497" t="str">
        <f>"NEWTON                    "</f>
        <v xml:space="preserve">NEWTON                    </v>
      </c>
      <c r="F12497" t="str">
        <f t="shared" si="326"/>
        <v>MS</v>
      </c>
    </row>
    <row r="12498" spans="1:6" x14ac:dyDescent="0.25">
      <c r="A12498" t="str">
        <f>"007276341"</f>
        <v>007276341</v>
      </c>
      <c r="B12498" t="str">
        <f>"1609062355"</f>
        <v>1609062355</v>
      </c>
      <c r="C12498" t="str">
        <f>"207V00000X"</f>
        <v>207V00000X</v>
      </c>
      <c r="D12498" t="str">
        <f>"REEVES                   AMANDA       A           "</f>
        <v xml:space="preserve">REEVES                   AMANDA       A           </v>
      </c>
      <c r="E12498" t="str">
        <f>"FLOWOOD                   "</f>
        <v xml:space="preserve">FLOWOOD                   </v>
      </c>
      <c r="F12498" t="str">
        <f t="shared" si="326"/>
        <v>MS</v>
      </c>
    </row>
    <row r="12499" spans="1:6" x14ac:dyDescent="0.25">
      <c r="A12499" t="str">
        <f>"007276855"</f>
        <v>007276855</v>
      </c>
      <c r="B12499" t="str">
        <f>"1922202415"</f>
        <v>1922202415</v>
      </c>
      <c r="C12499" t="str">
        <f>"2084N0400X"</f>
        <v>2084N0400X</v>
      </c>
      <c r="D12499" t="str">
        <f>"ANDERSON                 MARK         D           "</f>
        <v xml:space="preserve">ANDERSON                 MARK         D           </v>
      </c>
      <c r="E12499" t="str">
        <f>"JACKSON                   "</f>
        <v xml:space="preserve">JACKSON                   </v>
      </c>
      <c r="F12499" t="str">
        <f t="shared" si="326"/>
        <v>MS</v>
      </c>
    </row>
    <row r="12500" spans="1:6" x14ac:dyDescent="0.25">
      <c r="A12500" t="str">
        <f>"007277576"</f>
        <v>007277576</v>
      </c>
      <c r="B12500" t="str">
        <f>"1760093777"</f>
        <v>1760093777</v>
      </c>
      <c r="C12500" t="str">
        <f>"363L00000X"</f>
        <v>363L00000X</v>
      </c>
      <c r="D12500" t="str">
        <f>"TARVER                   AMBER        L           "</f>
        <v xml:space="preserve">TARVER                   AMBER        L           </v>
      </c>
      <c r="E12500" t="str">
        <f>"GULFPORT                  "</f>
        <v xml:space="preserve">GULFPORT                  </v>
      </c>
      <c r="F12500" t="str">
        <f t="shared" si="326"/>
        <v>MS</v>
      </c>
    </row>
    <row r="12501" spans="1:6" x14ac:dyDescent="0.25">
      <c r="A12501" t="str">
        <f>"007279079"</f>
        <v>007279079</v>
      </c>
      <c r="B12501" t="str">
        <f>"1326451246"</f>
        <v>1326451246</v>
      </c>
      <c r="C12501" t="str">
        <f>"207Q00000X"</f>
        <v>207Q00000X</v>
      </c>
      <c r="D12501" t="str">
        <f>"GIBSON                   DON          A           "</f>
        <v xml:space="preserve">GIBSON                   DON          A           </v>
      </c>
      <c r="E12501" t="str">
        <f>"FOREST                    "</f>
        <v xml:space="preserve">FOREST                    </v>
      </c>
      <c r="F12501" t="str">
        <f t="shared" si="326"/>
        <v>MS</v>
      </c>
    </row>
    <row r="12502" spans="1:6" x14ac:dyDescent="0.25">
      <c r="A12502" t="str">
        <f>"007279795"</f>
        <v>007279795</v>
      </c>
      <c r="B12502" t="str">
        <f>"1588006043"</f>
        <v>1588006043</v>
      </c>
      <c r="C12502" t="str">
        <f>"207R00000X"</f>
        <v>207R00000X</v>
      </c>
      <c r="D12502" t="str">
        <f>"VOLANSKY                 PAUL         M           "</f>
        <v xml:space="preserve">VOLANSKY                 PAUL         M           </v>
      </c>
      <c r="E12502" t="str">
        <f>"CORINTH                   "</f>
        <v xml:space="preserve">CORINTH                   </v>
      </c>
      <c r="F12502" t="str">
        <f t="shared" si="326"/>
        <v>MS</v>
      </c>
    </row>
    <row r="12503" spans="1:6" x14ac:dyDescent="0.25">
      <c r="A12503" t="str">
        <f>"007280201"</f>
        <v>007280201</v>
      </c>
      <c r="B12503" t="str">
        <f>"1093129231"</f>
        <v>1093129231</v>
      </c>
      <c r="C12503" t="str">
        <f>"363LF0000X"</f>
        <v>363LF0000X</v>
      </c>
      <c r="D12503" t="str">
        <f>"CALLAHAN                 KRISTIE      U           "</f>
        <v xml:space="preserve">CALLAHAN                 KRISTIE      U           </v>
      </c>
      <c r="E12503" t="str">
        <f>"JACKSON                   "</f>
        <v xml:space="preserve">JACKSON                   </v>
      </c>
      <c r="F12503" t="str">
        <f t="shared" si="326"/>
        <v>MS</v>
      </c>
    </row>
    <row r="12504" spans="1:6" x14ac:dyDescent="0.25">
      <c r="A12504" t="str">
        <f>"007280205"</f>
        <v>007280205</v>
      </c>
      <c r="B12504" t="str">
        <f>"1861815623"</f>
        <v>1861815623</v>
      </c>
      <c r="C12504" t="str">
        <f>"363L00000X"</f>
        <v>363L00000X</v>
      </c>
      <c r="D12504" t="str">
        <f>"ROBERTS                  MICHELLE     A           "</f>
        <v xml:space="preserve">ROBERTS                  MICHELLE     A           </v>
      </c>
      <c r="E12504" t="str">
        <f>"TOCCOPOLA                 "</f>
        <v xml:space="preserve">TOCCOPOLA                 </v>
      </c>
      <c r="F12504" t="str">
        <f t="shared" si="326"/>
        <v>MS</v>
      </c>
    </row>
    <row r="12505" spans="1:6" x14ac:dyDescent="0.25">
      <c r="A12505" t="str">
        <f>"007281200"</f>
        <v>007281200</v>
      </c>
      <c r="B12505" t="str">
        <f>"1083860324"</f>
        <v>1083860324</v>
      </c>
      <c r="C12505" t="str">
        <f>"363L00000X"</f>
        <v>363L00000X</v>
      </c>
      <c r="D12505" t="str">
        <f>"FULLER                   KIMBERLY     B           "</f>
        <v xml:space="preserve">FULLER                   KIMBERLY     B           </v>
      </c>
      <c r="E12505" t="str">
        <f>"VICKSBURG                 "</f>
        <v xml:space="preserve">VICKSBURG                 </v>
      </c>
      <c r="F12505" t="str">
        <f t="shared" si="326"/>
        <v>MS</v>
      </c>
    </row>
    <row r="12506" spans="1:6" x14ac:dyDescent="0.25">
      <c r="A12506" t="str">
        <f>"007282593"</f>
        <v>007282593</v>
      </c>
      <c r="B12506" t="str">
        <f>"1508502774"</f>
        <v>1508502774</v>
      </c>
      <c r="C12506" t="str">
        <f>"152W00000X"</f>
        <v>152W00000X</v>
      </c>
      <c r="D12506" t="str">
        <f>"ELITE EYECARE                                     "</f>
        <v xml:space="preserve">ELITE EYECARE                                     </v>
      </c>
      <c r="E12506" t="str">
        <f>"HERNANDO                  "</f>
        <v xml:space="preserve">HERNANDO                  </v>
      </c>
      <c r="F12506" t="str">
        <f t="shared" si="326"/>
        <v>MS</v>
      </c>
    </row>
    <row r="12507" spans="1:6" x14ac:dyDescent="0.25">
      <c r="A12507" t="str">
        <f>"007283522"</f>
        <v>007283522</v>
      </c>
      <c r="B12507" t="str">
        <f>"1336184407"</f>
        <v>1336184407</v>
      </c>
      <c r="C12507" t="str">
        <f>"207P00000X"</f>
        <v>207P00000X</v>
      </c>
      <c r="D12507" t="str">
        <f>"SERIO                    NAHUM        V           "</f>
        <v xml:space="preserve">SERIO                    NAHUM        V           </v>
      </c>
      <c r="E12507" t="str">
        <f>"TUPELO                    "</f>
        <v xml:space="preserve">TUPELO                    </v>
      </c>
      <c r="F12507" t="str">
        <f t="shared" si="326"/>
        <v>MS</v>
      </c>
    </row>
    <row r="12508" spans="1:6" x14ac:dyDescent="0.25">
      <c r="A12508" t="str">
        <f>"007283548"</f>
        <v>007283548</v>
      </c>
      <c r="B12508" t="str">
        <f>"1528221207"</f>
        <v>1528221207</v>
      </c>
      <c r="C12508" t="str">
        <f>"207V00000X"</f>
        <v>207V00000X</v>
      </c>
      <c r="D12508" t="str">
        <f>"MCGEHEE                  JOSEPH       B           "</f>
        <v xml:space="preserve">MCGEHEE                  JOSEPH       B           </v>
      </c>
      <c r="E12508" t="str">
        <f>"TUPELO                    "</f>
        <v xml:space="preserve">TUPELO                    </v>
      </c>
      <c r="F12508" t="str">
        <f t="shared" si="326"/>
        <v>MS</v>
      </c>
    </row>
    <row r="12509" spans="1:6" x14ac:dyDescent="0.25">
      <c r="A12509" t="str">
        <f>"007284015"</f>
        <v>007284015</v>
      </c>
      <c r="B12509" t="str">
        <f>"1861699357"</f>
        <v>1861699357</v>
      </c>
      <c r="C12509" t="str">
        <f>"2080N0001X"</f>
        <v>2080N0001X</v>
      </c>
      <c r="D12509" t="str">
        <f>"CAMPBELL                 LEIGH        R           "</f>
        <v xml:space="preserve">CAMPBELL                 LEIGH        R           </v>
      </c>
      <c r="E12509" t="str">
        <f>"RIDGELAND                 "</f>
        <v xml:space="preserve">RIDGELAND                 </v>
      </c>
      <c r="F12509" t="str">
        <f t="shared" si="326"/>
        <v>MS</v>
      </c>
    </row>
    <row r="12510" spans="1:6" x14ac:dyDescent="0.25">
      <c r="A12510" t="str">
        <f>"007286056"</f>
        <v>007286056</v>
      </c>
      <c r="B12510" t="str">
        <f>"1679024442"</f>
        <v>1679024442</v>
      </c>
      <c r="C12510" t="str">
        <f>"122300000X"</f>
        <v>122300000X</v>
      </c>
      <c r="D12510" t="str">
        <f>"LIFETIME DENTAL PLLC                              "</f>
        <v xml:space="preserve">LIFETIME DENTAL PLLC                              </v>
      </c>
      <c r="E12510" t="str">
        <f>"GREENWOOD                 "</f>
        <v xml:space="preserve">GREENWOOD                 </v>
      </c>
      <c r="F12510" t="str">
        <f t="shared" si="326"/>
        <v>MS</v>
      </c>
    </row>
    <row r="12511" spans="1:6" x14ac:dyDescent="0.25">
      <c r="A12511" t="str">
        <f>"007286505"</f>
        <v>007286505</v>
      </c>
      <c r="B12511" t="str">
        <f>"1487999819"</f>
        <v>1487999819</v>
      </c>
      <c r="C12511" t="str">
        <f>"363L00000X"</f>
        <v>363L00000X</v>
      </c>
      <c r="D12511" t="str">
        <f>"MURRAY                   KRYSTAL                  "</f>
        <v xml:space="preserve">MURRAY                   KRYSTAL                  </v>
      </c>
      <c r="E12511" t="str">
        <f>"COLUMBUS                  "</f>
        <v xml:space="preserve">COLUMBUS                  </v>
      </c>
      <c r="F12511" t="str">
        <f t="shared" si="326"/>
        <v>MS</v>
      </c>
    </row>
    <row r="12512" spans="1:6" x14ac:dyDescent="0.25">
      <c r="A12512" t="str">
        <f>"007287739"</f>
        <v>007287739</v>
      </c>
      <c r="B12512" t="str">
        <f>"1639519069"</f>
        <v>1639519069</v>
      </c>
      <c r="C12512" t="str">
        <f>"2084P0800X"</f>
        <v>2084P0800X</v>
      </c>
      <c r="D12512" t="str">
        <f>"AVUSULA                  RAMACHANDRAM             "</f>
        <v xml:space="preserve">AVUSULA                  RAMACHANDRAM             </v>
      </c>
      <c r="E12512" t="str">
        <f>"JACKSON                   "</f>
        <v xml:space="preserve">JACKSON                   </v>
      </c>
      <c r="F12512" t="str">
        <f t="shared" si="326"/>
        <v>MS</v>
      </c>
    </row>
    <row r="12513" spans="1:6" x14ac:dyDescent="0.25">
      <c r="A12513" t="str">
        <f>"007288575"</f>
        <v>007288575</v>
      </c>
      <c r="B12513" t="str">
        <f>"1376965178"</f>
        <v>1376965178</v>
      </c>
      <c r="C12513" t="str">
        <f>"363L00000X"</f>
        <v>363L00000X</v>
      </c>
      <c r="D12513" t="str">
        <f>"SPEAR                    KRISTIAN                 "</f>
        <v xml:space="preserve">SPEAR                    KRISTIAN                 </v>
      </c>
      <c r="E12513" t="str">
        <f>"GULFPORT                  "</f>
        <v xml:space="preserve">GULFPORT                  </v>
      </c>
      <c r="F12513" t="str">
        <f t="shared" si="326"/>
        <v>MS</v>
      </c>
    </row>
    <row r="12514" spans="1:6" x14ac:dyDescent="0.25">
      <c r="A12514" t="str">
        <f>"007288757"</f>
        <v>007288757</v>
      </c>
      <c r="B12514" t="str">
        <f>"1952522583"</f>
        <v>1952522583</v>
      </c>
      <c r="C12514" t="str">
        <f>"122300000X"</f>
        <v>122300000X</v>
      </c>
      <c r="D12514" t="str">
        <f>"CONNER                   DAVID        J           "</f>
        <v xml:space="preserve">CONNER                   DAVID        J           </v>
      </c>
      <c r="E12514" t="str">
        <f>"LUCEDALE                  "</f>
        <v xml:space="preserve">LUCEDALE                  </v>
      </c>
      <c r="F12514" t="str">
        <f t="shared" si="326"/>
        <v>MS</v>
      </c>
    </row>
    <row r="12515" spans="1:6" x14ac:dyDescent="0.25">
      <c r="A12515" t="str">
        <f>"007302591"</f>
        <v>007302591</v>
      </c>
      <c r="B12515" t="str">
        <f>"1336691112"</f>
        <v>1336691112</v>
      </c>
      <c r="C12515" t="str">
        <f>"363L00000X"</f>
        <v>363L00000X</v>
      </c>
      <c r="D12515" t="str">
        <f>"KEMP                     LAUREN       E           "</f>
        <v xml:space="preserve">KEMP                     LAUREN       E           </v>
      </c>
      <c r="E12515" t="str">
        <f>"MERIDIAN                  "</f>
        <v xml:space="preserve">MERIDIAN                  </v>
      </c>
      <c r="F12515" t="str">
        <f t="shared" si="326"/>
        <v>MS</v>
      </c>
    </row>
    <row r="12516" spans="1:6" x14ac:dyDescent="0.25">
      <c r="A12516" t="str">
        <f>"007303369"</f>
        <v>007303369</v>
      </c>
      <c r="B12516" t="str">
        <f>"1538819131"</f>
        <v>1538819131</v>
      </c>
      <c r="C12516" t="str">
        <f>"207R00000X"</f>
        <v>207R00000X</v>
      </c>
      <c r="D12516" t="str">
        <f>"SCAFIDI                  DEAN                     "</f>
        <v xml:space="preserve">SCAFIDI                  DEAN                     </v>
      </c>
      <c r="E12516" t="str">
        <f>"JACKSON                   "</f>
        <v xml:space="preserve">JACKSON                   </v>
      </c>
      <c r="F12516" t="str">
        <f t="shared" si="326"/>
        <v>MS</v>
      </c>
    </row>
    <row r="12517" spans="1:6" x14ac:dyDescent="0.25">
      <c r="A12517" t="str">
        <f>"007304048"</f>
        <v>007304048</v>
      </c>
      <c r="B12517" t="str">
        <f>"1215438379"</f>
        <v>1215438379</v>
      </c>
      <c r="C12517" t="str">
        <f>"363L00000X"</f>
        <v>363L00000X</v>
      </c>
      <c r="D12517" t="str">
        <f>"GRADY                    ERIN                     "</f>
        <v xml:space="preserve">GRADY                    ERIN                     </v>
      </c>
      <c r="E12517" t="str">
        <f>"NEW ALBANY                "</f>
        <v xml:space="preserve">NEW ALBANY                </v>
      </c>
      <c r="F12517" t="str">
        <f t="shared" si="326"/>
        <v>MS</v>
      </c>
    </row>
    <row r="12518" spans="1:6" x14ac:dyDescent="0.25">
      <c r="A12518" t="str">
        <f>"007304741"</f>
        <v>007304741</v>
      </c>
      <c r="B12518" t="str">
        <f>"1154867562"</f>
        <v>1154867562</v>
      </c>
      <c r="C12518" t="str">
        <f>"261QA1903X"</f>
        <v>261QA1903X</v>
      </c>
      <c r="D12518" t="str">
        <f>"UROLOGICAL AMBULATORY SURGERY CENTE               "</f>
        <v xml:space="preserve">UROLOGICAL AMBULATORY SURGERY CENTE               </v>
      </c>
      <c r="E12518" t="str">
        <f>"TUPELO                    "</f>
        <v xml:space="preserve">TUPELO                    </v>
      </c>
      <c r="F12518" t="str">
        <f t="shared" si="326"/>
        <v>MS</v>
      </c>
    </row>
    <row r="12519" spans="1:6" x14ac:dyDescent="0.25">
      <c r="A12519" t="str">
        <f>"007304772"</f>
        <v>007304772</v>
      </c>
      <c r="B12519" t="str">
        <f>"1528546363"</f>
        <v>1528546363</v>
      </c>
      <c r="C12519" t="str">
        <f>"363L00000X"</f>
        <v>363L00000X</v>
      </c>
      <c r="D12519" t="str">
        <f>"BRADLEY                  CONSTANCE                "</f>
        <v xml:space="preserve">BRADLEY                  CONSTANCE                </v>
      </c>
      <c r="E12519" t="str">
        <f>"MERIDIAN                  "</f>
        <v xml:space="preserve">MERIDIAN                  </v>
      </c>
      <c r="F12519" t="str">
        <f t="shared" si="326"/>
        <v>MS</v>
      </c>
    </row>
    <row r="12520" spans="1:6" x14ac:dyDescent="0.25">
      <c r="A12520" t="str">
        <f>"007304880"</f>
        <v>007304880</v>
      </c>
      <c r="B12520" t="str">
        <f>"1932552148"</f>
        <v>1932552148</v>
      </c>
      <c r="C12520" t="str">
        <f>"207R00000X"</f>
        <v>207R00000X</v>
      </c>
      <c r="D12520" t="str">
        <f>"SAND                     MICHAEL      J           "</f>
        <v xml:space="preserve">SAND                     MICHAEL      J           </v>
      </c>
      <c r="E12520" t="str">
        <f>"GREENVILLE                "</f>
        <v xml:space="preserve">GREENVILLE                </v>
      </c>
      <c r="F12520" t="str">
        <f t="shared" si="326"/>
        <v>MS</v>
      </c>
    </row>
    <row r="12521" spans="1:6" x14ac:dyDescent="0.25">
      <c r="A12521" t="str">
        <f>"007305711"</f>
        <v>007305711</v>
      </c>
      <c r="B12521" t="str">
        <f>"1235493701"</f>
        <v>1235493701</v>
      </c>
      <c r="C12521" t="str">
        <f>"207R00000X"</f>
        <v>207R00000X</v>
      </c>
      <c r="D12521" t="str">
        <f>"MCLEOD                   MARY         M           "</f>
        <v xml:space="preserve">MCLEOD                   MARY         M           </v>
      </c>
      <c r="E12521" t="str">
        <f>"JACKSON                   "</f>
        <v xml:space="preserve">JACKSON                   </v>
      </c>
      <c r="F12521" t="str">
        <f t="shared" si="326"/>
        <v>MS</v>
      </c>
    </row>
    <row r="12522" spans="1:6" x14ac:dyDescent="0.25">
      <c r="A12522" t="str">
        <f>"007306058"</f>
        <v>007306058</v>
      </c>
      <c r="B12522" t="str">
        <f>"1548303381"</f>
        <v>1548303381</v>
      </c>
      <c r="C12522" t="str">
        <f>"207Q00000X"</f>
        <v>207Q00000X</v>
      </c>
      <c r="D12522" t="str">
        <f>"HYDEN                    JOHN         C           "</f>
        <v xml:space="preserve">HYDEN                    JOHN         C           </v>
      </c>
      <c r="E12522" t="str">
        <f>"SOUTHAVEN                 "</f>
        <v xml:space="preserve">SOUTHAVEN                 </v>
      </c>
      <c r="F12522" t="str">
        <f t="shared" si="326"/>
        <v>MS</v>
      </c>
    </row>
    <row r="12523" spans="1:6" x14ac:dyDescent="0.25">
      <c r="A12523" t="str">
        <f>"007306301"</f>
        <v>007306301</v>
      </c>
      <c r="B12523" t="str">
        <f>"1366828733"</f>
        <v>1366828733</v>
      </c>
      <c r="C12523" t="str">
        <f>"363L00000X"</f>
        <v>363L00000X</v>
      </c>
      <c r="D12523" t="str">
        <f>"HALL                     BRIANA       H           "</f>
        <v xml:space="preserve">HALL                     BRIANA       H           </v>
      </c>
      <c r="E12523" t="str">
        <f>"BROOKHAVEN                "</f>
        <v xml:space="preserve">BROOKHAVEN                </v>
      </c>
      <c r="F12523" t="str">
        <f t="shared" si="326"/>
        <v>MS</v>
      </c>
    </row>
    <row r="12524" spans="1:6" x14ac:dyDescent="0.25">
      <c r="A12524" t="str">
        <f>"007306571"</f>
        <v>007306571</v>
      </c>
      <c r="B12524" t="str">
        <f>"1013655380"</f>
        <v>1013655380</v>
      </c>
      <c r="C12524" t="str">
        <f>"367500000X"</f>
        <v>367500000X</v>
      </c>
      <c r="D12524" t="str">
        <f>"HATCHELL                 BROOKE                   "</f>
        <v xml:space="preserve">HATCHELL                 BROOKE                   </v>
      </c>
      <c r="E12524" t="str">
        <f>"CORINTH                   "</f>
        <v xml:space="preserve">CORINTH                   </v>
      </c>
      <c r="F12524" t="str">
        <f t="shared" si="326"/>
        <v>MS</v>
      </c>
    </row>
    <row r="12525" spans="1:6" x14ac:dyDescent="0.25">
      <c r="A12525" t="str">
        <f>"007307080"</f>
        <v>007307080</v>
      </c>
      <c r="B12525" t="str">
        <f>"1760496228"</f>
        <v>1760496228</v>
      </c>
      <c r="C12525" t="str">
        <f>"207R00000X"</f>
        <v>207R00000X</v>
      </c>
      <c r="D12525" t="str">
        <f>"KESSEY                   RICHARD                  "</f>
        <v xml:space="preserve">KESSEY                   RICHARD                  </v>
      </c>
      <c r="E12525" t="str">
        <f>"STARKVILLE                "</f>
        <v xml:space="preserve">STARKVILLE                </v>
      </c>
      <c r="F12525" t="str">
        <f t="shared" si="326"/>
        <v>MS</v>
      </c>
    </row>
    <row r="12526" spans="1:6" x14ac:dyDescent="0.25">
      <c r="A12526" t="str">
        <f>"007307350"</f>
        <v>007307350</v>
      </c>
      <c r="B12526" t="str">
        <f>"1548224918"</f>
        <v>1548224918</v>
      </c>
      <c r="C12526" t="str">
        <f>"363L00000X"</f>
        <v>363L00000X</v>
      </c>
      <c r="D12526" t="str">
        <f>"WELLEN                   SHERYLE      D           "</f>
        <v xml:space="preserve">WELLEN                   SHERYLE      D           </v>
      </c>
      <c r="E12526" t="str">
        <f>"SOUTHAVEN                 "</f>
        <v xml:space="preserve">SOUTHAVEN                 </v>
      </c>
      <c r="F12526" t="str">
        <f t="shared" si="326"/>
        <v>MS</v>
      </c>
    </row>
    <row r="12527" spans="1:6" x14ac:dyDescent="0.25">
      <c r="A12527" t="str">
        <f>"007309251"</f>
        <v>007309251</v>
      </c>
      <c r="B12527" t="str">
        <f>"1083813240"</f>
        <v>1083813240</v>
      </c>
      <c r="C12527" t="str">
        <f>"363L00000X"</f>
        <v>363L00000X</v>
      </c>
      <c r="D12527" t="str">
        <f>"BROWN                    DIXIE        G           "</f>
        <v xml:space="preserve">BROWN                    DIXIE        G           </v>
      </c>
      <c r="E12527" t="str">
        <f>"FLOWOOD                   "</f>
        <v xml:space="preserve">FLOWOOD                   </v>
      </c>
      <c r="F12527" t="str">
        <f t="shared" si="326"/>
        <v>MS</v>
      </c>
    </row>
    <row r="12528" spans="1:6" x14ac:dyDescent="0.25">
      <c r="A12528" t="str">
        <f>"007309382"</f>
        <v>007309382</v>
      </c>
      <c r="B12528" t="str">
        <f>"1235546698"</f>
        <v>1235546698</v>
      </c>
      <c r="C12528" t="str">
        <f>"261QA0600X"</f>
        <v>261QA0600X</v>
      </c>
      <c r="D12528" t="str">
        <f>"EDUCARE SENIOR DAY CENTER                         "</f>
        <v xml:space="preserve">EDUCARE SENIOR DAY CENTER                         </v>
      </c>
      <c r="E12528" t="str">
        <f>"JACKSON                   "</f>
        <v xml:space="preserve">JACKSON                   </v>
      </c>
      <c r="F12528" t="str">
        <f t="shared" si="326"/>
        <v>MS</v>
      </c>
    </row>
    <row r="12529" spans="1:6" x14ac:dyDescent="0.25">
      <c r="A12529" t="str">
        <f>"007313421"</f>
        <v>007313421</v>
      </c>
      <c r="B12529" t="str">
        <f>"1346217502"</f>
        <v>1346217502</v>
      </c>
      <c r="C12529" t="str">
        <f t="shared" ref="C12529:C12534" si="327">"363L00000X"</f>
        <v>363L00000X</v>
      </c>
      <c r="D12529" t="str">
        <f>"JOHNSON                  KATHY        R           "</f>
        <v xml:space="preserve">JOHNSON                  KATHY        R           </v>
      </c>
      <c r="E12529" t="str">
        <f>"MATHISTON                 "</f>
        <v xml:space="preserve">MATHISTON                 </v>
      </c>
      <c r="F12529" t="str">
        <f t="shared" si="326"/>
        <v>MS</v>
      </c>
    </row>
    <row r="12530" spans="1:6" x14ac:dyDescent="0.25">
      <c r="A12530" t="str">
        <f>"007322306"</f>
        <v>007322306</v>
      </c>
      <c r="B12530" t="str">
        <f>"1952865214"</f>
        <v>1952865214</v>
      </c>
      <c r="C12530" t="str">
        <f t="shared" si="327"/>
        <v>363L00000X</v>
      </c>
      <c r="D12530" t="str">
        <f>"WEDGEWORTH               DONNA                    "</f>
        <v xml:space="preserve">WEDGEWORTH               DONNA                    </v>
      </c>
      <c r="E12530" t="str">
        <f>"FOREST                    "</f>
        <v xml:space="preserve">FOREST                    </v>
      </c>
      <c r="F12530" t="str">
        <f t="shared" si="326"/>
        <v>MS</v>
      </c>
    </row>
    <row r="12531" spans="1:6" x14ac:dyDescent="0.25">
      <c r="A12531" t="str">
        <f>"007322355"</f>
        <v>007322355</v>
      </c>
      <c r="B12531" t="str">
        <f>"1861957508"</f>
        <v>1861957508</v>
      </c>
      <c r="C12531" t="str">
        <f t="shared" si="327"/>
        <v>363L00000X</v>
      </c>
      <c r="D12531" t="str">
        <f>"SMITH                    MARILYN      D           "</f>
        <v xml:space="preserve">SMITH                    MARILYN      D           </v>
      </c>
      <c r="E12531" t="str">
        <f>"NEW ALBANY                "</f>
        <v xml:space="preserve">NEW ALBANY                </v>
      </c>
      <c r="F12531" t="str">
        <f t="shared" si="326"/>
        <v>MS</v>
      </c>
    </row>
    <row r="12532" spans="1:6" x14ac:dyDescent="0.25">
      <c r="A12532" t="str">
        <f>"007323308"</f>
        <v>007323308</v>
      </c>
      <c r="B12532" t="str">
        <f>"1932617487"</f>
        <v>1932617487</v>
      </c>
      <c r="C12532" t="str">
        <f t="shared" si="327"/>
        <v>363L00000X</v>
      </c>
      <c r="D12532" t="str">
        <f>"WRAY                     KATHRYN                  "</f>
        <v xml:space="preserve">WRAY                     KATHRYN                  </v>
      </c>
      <c r="E12532" t="str">
        <f>"JACKSON                   "</f>
        <v xml:space="preserve">JACKSON                   </v>
      </c>
      <c r="F12532" t="str">
        <f t="shared" si="326"/>
        <v>MS</v>
      </c>
    </row>
    <row r="12533" spans="1:6" x14ac:dyDescent="0.25">
      <c r="A12533" t="str">
        <f>"007323571"</f>
        <v>007323571</v>
      </c>
      <c r="B12533" t="str">
        <f>"1750755328"</f>
        <v>1750755328</v>
      </c>
      <c r="C12533" t="str">
        <f t="shared" si="327"/>
        <v>363L00000X</v>
      </c>
      <c r="D12533" t="str">
        <f>"TEMPLE                   LESSLEY      A           "</f>
        <v xml:space="preserve">TEMPLE                   LESSLEY      A           </v>
      </c>
      <c r="E12533" t="str">
        <f>"VICKSBURG                 "</f>
        <v xml:space="preserve">VICKSBURG                 </v>
      </c>
      <c r="F12533" t="str">
        <f t="shared" si="326"/>
        <v>MS</v>
      </c>
    </row>
    <row r="12534" spans="1:6" x14ac:dyDescent="0.25">
      <c r="A12534" t="str">
        <f>"007324562"</f>
        <v>007324562</v>
      </c>
      <c r="B12534" t="str">
        <f>"1790138873"</f>
        <v>1790138873</v>
      </c>
      <c r="C12534" t="str">
        <f t="shared" si="327"/>
        <v>363L00000X</v>
      </c>
      <c r="D12534" t="str">
        <f>"EDERER                   KATHERINE    L           "</f>
        <v xml:space="preserve">EDERER                   KATHERINE    L           </v>
      </c>
      <c r="E12534" t="str">
        <f>"TUPELO                    "</f>
        <v xml:space="preserve">TUPELO                    </v>
      </c>
      <c r="F12534" t="str">
        <f t="shared" si="326"/>
        <v>MS</v>
      </c>
    </row>
    <row r="12535" spans="1:6" x14ac:dyDescent="0.25">
      <c r="A12535" t="str">
        <f>"007325758"</f>
        <v>007325758</v>
      </c>
      <c r="B12535" t="str">
        <f>"1013555242"</f>
        <v>1013555242</v>
      </c>
      <c r="C12535" t="str">
        <f>"261QM1300X"</f>
        <v>261QM1300X</v>
      </c>
      <c r="D12535" t="str">
        <f>"ARCADIA GROUP, LLC                                "</f>
        <v xml:space="preserve">ARCADIA GROUP, LLC                                </v>
      </c>
      <c r="E12535" t="str">
        <f>"LONG BEACH                "</f>
        <v xml:space="preserve">LONG BEACH                </v>
      </c>
      <c r="F12535" t="str">
        <f t="shared" si="326"/>
        <v>MS</v>
      </c>
    </row>
    <row r="12536" spans="1:6" x14ac:dyDescent="0.25">
      <c r="A12536" t="str">
        <f>"007328281"</f>
        <v>007328281</v>
      </c>
      <c r="B12536" t="str">
        <f>"1558553859"</f>
        <v>1558553859</v>
      </c>
      <c r="C12536" t="str">
        <f>"261QA1903X"</f>
        <v>261QA1903X</v>
      </c>
      <c r="D12536" t="str">
        <f>"GI ASSOCIATES ENDOSCOPY CENTER                    "</f>
        <v xml:space="preserve">GI ASSOCIATES ENDOSCOPY CENTER                    </v>
      </c>
      <c r="E12536" t="str">
        <f>"MADISON                   "</f>
        <v xml:space="preserve">MADISON                   </v>
      </c>
      <c r="F12536" t="str">
        <f t="shared" si="326"/>
        <v>MS</v>
      </c>
    </row>
    <row r="12537" spans="1:6" x14ac:dyDescent="0.25">
      <c r="A12537" t="str">
        <f>"007328733"</f>
        <v>007328733</v>
      </c>
      <c r="B12537" t="str">
        <f>"1003551524"</f>
        <v>1003551524</v>
      </c>
      <c r="C12537" t="str">
        <f>"367500000X"</f>
        <v>367500000X</v>
      </c>
      <c r="D12537" t="str">
        <f>"WELLS                    JASON        A           "</f>
        <v xml:space="preserve">WELLS                    JASON        A           </v>
      </c>
      <c r="E12537" t="str">
        <f>"GULFPORT                  "</f>
        <v xml:space="preserve">GULFPORT                  </v>
      </c>
      <c r="F12537" t="str">
        <f t="shared" si="326"/>
        <v>MS</v>
      </c>
    </row>
    <row r="12538" spans="1:6" x14ac:dyDescent="0.25">
      <c r="A12538" t="str">
        <f>"007329027"</f>
        <v>007329027</v>
      </c>
      <c r="B12538" t="str">
        <f>"1588212229"</f>
        <v>1588212229</v>
      </c>
      <c r="C12538" t="str">
        <f>"363L00000X"</f>
        <v>363L00000X</v>
      </c>
      <c r="D12538" t="str">
        <f>"BUCKHEISTER              DAVID        A           "</f>
        <v xml:space="preserve">BUCKHEISTER              DAVID        A           </v>
      </c>
      <c r="E12538" t="str">
        <f>"GULFPORT                  "</f>
        <v xml:space="preserve">GULFPORT                  </v>
      </c>
      <c r="F12538" t="str">
        <f t="shared" si="326"/>
        <v>MS</v>
      </c>
    </row>
    <row r="12539" spans="1:6" x14ac:dyDescent="0.25">
      <c r="A12539" t="str">
        <f>"007329529"</f>
        <v>007329529</v>
      </c>
      <c r="B12539" t="str">
        <f>"1023322765"</f>
        <v>1023322765</v>
      </c>
      <c r="C12539" t="str">
        <f>"122300000X"</f>
        <v>122300000X</v>
      </c>
      <c r="D12539" t="str">
        <f>"CLEMMER                  DEREK        A           "</f>
        <v xml:space="preserve">CLEMMER                  DEREK        A           </v>
      </c>
      <c r="E12539" t="str">
        <f>"TUPELO                    "</f>
        <v xml:space="preserve">TUPELO                    </v>
      </c>
      <c r="F12539" t="str">
        <f t="shared" si="326"/>
        <v>MS</v>
      </c>
    </row>
    <row r="12540" spans="1:6" x14ac:dyDescent="0.25">
      <c r="A12540" t="str">
        <f>"007330540"</f>
        <v>007330540</v>
      </c>
      <c r="B12540" t="str">
        <f>"1679862817"</f>
        <v>1679862817</v>
      </c>
      <c r="C12540" t="str">
        <f>"363L00000X"</f>
        <v>363L00000X</v>
      </c>
      <c r="D12540" t="str">
        <f>"BULLOCK                  PATRICIA     A           "</f>
        <v xml:space="preserve">BULLOCK                  PATRICIA     A           </v>
      </c>
      <c r="E12540" t="str">
        <f>"TAYLORSVILLE              "</f>
        <v xml:space="preserve">TAYLORSVILLE              </v>
      </c>
      <c r="F12540" t="str">
        <f t="shared" si="326"/>
        <v>MS</v>
      </c>
    </row>
    <row r="12541" spans="1:6" x14ac:dyDescent="0.25">
      <c r="A12541" t="str">
        <f>"007331261"</f>
        <v>007331261</v>
      </c>
      <c r="B12541" t="str">
        <f>"1700076940"</f>
        <v>1700076940</v>
      </c>
      <c r="C12541" t="str">
        <f>"207Q00000X"</f>
        <v>207Q00000X</v>
      </c>
      <c r="D12541" t="str">
        <f>"SULTANA                  AQFA                     "</f>
        <v xml:space="preserve">SULTANA                  AQFA                     </v>
      </c>
      <c r="E12541" t="str">
        <f>"JACKSON                   "</f>
        <v xml:space="preserve">JACKSON                   </v>
      </c>
      <c r="F12541" t="str">
        <f t="shared" si="326"/>
        <v>MS</v>
      </c>
    </row>
    <row r="12542" spans="1:6" x14ac:dyDescent="0.25">
      <c r="A12542" t="str">
        <f>"007331276"</f>
        <v>007331276</v>
      </c>
      <c r="B12542" t="str">
        <f>"1255573812"</f>
        <v>1255573812</v>
      </c>
      <c r="C12542" t="str">
        <f>"2086S0127X"</f>
        <v>2086S0127X</v>
      </c>
      <c r="D12542" t="str">
        <f>"KUTCHER                  MATTHEW      E           "</f>
        <v xml:space="preserve">KUTCHER                  MATTHEW      E           </v>
      </c>
      <c r="E12542" t="str">
        <f>"JACKSON                   "</f>
        <v xml:space="preserve">JACKSON                   </v>
      </c>
      <c r="F12542" t="str">
        <f t="shared" ref="F12542:F12605" si="328">"MS"</f>
        <v>MS</v>
      </c>
    </row>
    <row r="12543" spans="1:6" x14ac:dyDescent="0.25">
      <c r="A12543" t="str">
        <f>"007331736"</f>
        <v>007331736</v>
      </c>
      <c r="B12543" t="str">
        <f>"1245499953"</f>
        <v>1245499953</v>
      </c>
      <c r="C12543" t="str">
        <f>"207R00000X"</f>
        <v>207R00000X</v>
      </c>
      <c r="D12543" t="str">
        <f>"SINGH                    JATINDER     P           "</f>
        <v xml:space="preserve">SINGH                    JATINDER     P           </v>
      </c>
      <c r="E12543" t="str">
        <f>"PASCAGOULA                "</f>
        <v xml:space="preserve">PASCAGOULA                </v>
      </c>
      <c r="F12543" t="str">
        <f t="shared" si="328"/>
        <v>MS</v>
      </c>
    </row>
    <row r="12544" spans="1:6" x14ac:dyDescent="0.25">
      <c r="A12544" t="str">
        <f>"007333226"</f>
        <v>007333226</v>
      </c>
      <c r="B12544" t="str">
        <f>"1548893605"</f>
        <v>1548893605</v>
      </c>
      <c r="C12544" t="str">
        <f>"363L00000X"</f>
        <v>363L00000X</v>
      </c>
      <c r="D12544" t="str">
        <f>"MULLINS                  MICHELLE     E           "</f>
        <v xml:space="preserve">MULLINS                  MICHELLE     E           </v>
      </c>
      <c r="E12544" t="str">
        <f>"GULFPORT                  "</f>
        <v xml:space="preserve">GULFPORT                  </v>
      </c>
      <c r="F12544" t="str">
        <f t="shared" si="328"/>
        <v>MS</v>
      </c>
    </row>
    <row r="12545" spans="1:6" x14ac:dyDescent="0.25">
      <c r="A12545" t="str">
        <f>"007333317"</f>
        <v>007333317</v>
      </c>
      <c r="B12545" t="str">
        <f>"1346724598"</f>
        <v>1346724598</v>
      </c>
      <c r="C12545" t="str">
        <f>"363L00000X"</f>
        <v>363L00000X</v>
      </c>
      <c r="D12545" t="str">
        <f>"TAYLOR                   MARY         E           "</f>
        <v xml:space="preserve">TAYLOR                   MARY         E           </v>
      </c>
      <c r="E12545" t="str">
        <f>"MERIDIAN                  "</f>
        <v xml:space="preserve">MERIDIAN                  </v>
      </c>
      <c r="F12545" t="str">
        <f t="shared" si="328"/>
        <v>MS</v>
      </c>
    </row>
    <row r="12546" spans="1:6" x14ac:dyDescent="0.25">
      <c r="A12546" t="str">
        <f>"007333545"</f>
        <v>007333545</v>
      </c>
      <c r="B12546" t="str">
        <f>"1740423599"</f>
        <v>1740423599</v>
      </c>
      <c r="C12546" t="str">
        <f>"152W00000X"</f>
        <v>152W00000X</v>
      </c>
      <c r="D12546" t="str">
        <f>"OXFORD FAMILY VISION CLINIC INC                   "</f>
        <v xml:space="preserve">OXFORD FAMILY VISION CLINIC INC                   </v>
      </c>
      <c r="E12546" t="str">
        <f>"OXFORD                    "</f>
        <v xml:space="preserve">OXFORD                    </v>
      </c>
      <c r="F12546" t="str">
        <f t="shared" si="328"/>
        <v>MS</v>
      </c>
    </row>
    <row r="12547" spans="1:6" x14ac:dyDescent="0.25">
      <c r="A12547" t="str">
        <f>"007334011"</f>
        <v>007334011</v>
      </c>
      <c r="B12547" t="str">
        <f>"1912265943"</f>
        <v>1912265943</v>
      </c>
      <c r="C12547" t="str">
        <f>"363L00000X"</f>
        <v>363L00000X</v>
      </c>
      <c r="D12547" t="str">
        <f>"FAVRE                    ERIN         E           "</f>
        <v xml:space="preserve">FAVRE                    ERIN         E           </v>
      </c>
      <c r="E12547" t="str">
        <f>"PASS CHRISTIAN            "</f>
        <v xml:space="preserve">PASS CHRISTIAN            </v>
      </c>
      <c r="F12547" t="str">
        <f t="shared" si="328"/>
        <v>MS</v>
      </c>
    </row>
    <row r="12548" spans="1:6" x14ac:dyDescent="0.25">
      <c r="A12548" t="str">
        <f>"007334723"</f>
        <v>007334723</v>
      </c>
      <c r="B12548" t="str">
        <f>"1346765526"</f>
        <v>1346765526</v>
      </c>
      <c r="C12548" t="str">
        <f>"363LP0808X"</f>
        <v>363LP0808X</v>
      </c>
      <c r="D12548" t="str">
        <f>"DEAR                     MEAGAN                   "</f>
        <v xml:space="preserve">DEAR                     MEAGAN                   </v>
      </c>
      <c r="E12548" t="str">
        <f>"VICKSBURG                 "</f>
        <v xml:space="preserve">VICKSBURG                 </v>
      </c>
      <c r="F12548" t="str">
        <f t="shared" si="328"/>
        <v>MS</v>
      </c>
    </row>
    <row r="12549" spans="1:6" x14ac:dyDescent="0.25">
      <c r="A12549" t="str">
        <f>"007334806"</f>
        <v>007334806</v>
      </c>
      <c r="B12549" t="str">
        <f>"1639380207"</f>
        <v>1639380207</v>
      </c>
      <c r="C12549" t="str">
        <f>"207R00000X"</f>
        <v>207R00000X</v>
      </c>
      <c r="D12549" t="str">
        <f>"CLEVELAND                NICOLE       D           "</f>
        <v xml:space="preserve">CLEVELAND                NICOLE       D           </v>
      </c>
      <c r="E12549" t="str">
        <f>"JACKSON                   "</f>
        <v xml:space="preserve">JACKSON                   </v>
      </c>
      <c r="F12549" t="str">
        <f t="shared" si="328"/>
        <v>MS</v>
      </c>
    </row>
    <row r="12550" spans="1:6" x14ac:dyDescent="0.25">
      <c r="A12550" t="str">
        <f>"007335228"</f>
        <v>007335228</v>
      </c>
      <c r="B12550" t="str">
        <f>"1871152470"</f>
        <v>1871152470</v>
      </c>
      <c r="C12550" t="str">
        <f>"122300000X"</f>
        <v>122300000X</v>
      </c>
      <c r="D12550" t="str">
        <f>"HARPER                   ANDREW       J           "</f>
        <v xml:space="preserve">HARPER                   ANDREW       J           </v>
      </c>
      <c r="E12550" t="str">
        <f>"COLUMBIA                  "</f>
        <v xml:space="preserve">COLUMBIA                  </v>
      </c>
      <c r="F12550" t="str">
        <f t="shared" si="328"/>
        <v>MS</v>
      </c>
    </row>
    <row r="12551" spans="1:6" x14ac:dyDescent="0.25">
      <c r="A12551" t="str">
        <f>"007335339"</f>
        <v>007335339</v>
      </c>
      <c r="B12551" t="str">
        <f>"1679558357"</f>
        <v>1679558357</v>
      </c>
      <c r="C12551" t="str">
        <f>"207W00000X"</f>
        <v>207W00000X</v>
      </c>
      <c r="D12551" t="str">
        <f>"THOMLEY                  MARTIN       L           "</f>
        <v xml:space="preserve">THOMLEY                  MARTIN       L           </v>
      </c>
      <c r="E12551" t="str">
        <f>"HATTIESBURG               "</f>
        <v xml:space="preserve">HATTIESBURG               </v>
      </c>
      <c r="F12551" t="str">
        <f t="shared" si="328"/>
        <v>MS</v>
      </c>
    </row>
    <row r="12552" spans="1:6" x14ac:dyDescent="0.25">
      <c r="A12552" t="str">
        <f>"007335792"</f>
        <v>007335792</v>
      </c>
      <c r="B12552" t="str">
        <f>"1598867350"</f>
        <v>1598867350</v>
      </c>
      <c r="C12552" t="str">
        <f>"207R00000X"</f>
        <v>207R00000X</v>
      </c>
      <c r="D12552" t="str">
        <f>"SKELTON                  TIMOTHY      B           "</f>
        <v xml:space="preserve">SKELTON                  TIMOTHY      B           </v>
      </c>
      <c r="E12552" t="str">
        <f>"GULFPORT                  "</f>
        <v xml:space="preserve">GULFPORT                  </v>
      </c>
      <c r="F12552" t="str">
        <f t="shared" si="328"/>
        <v>MS</v>
      </c>
    </row>
    <row r="12553" spans="1:6" x14ac:dyDescent="0.25">
      <c r="A12553" t="str">
        <f>"007336061"</f>
        <v>007336061</v>
      </c>
      <c r="B12553" t="str">
        <f>"1538526140"</f>
        <v>1538526140</v>
      </c>
      <c r="C12553" t="str">
        <f>"261QM3000X"</f>
        <v>261QM3000X</v>
      </c>
      <c r="D12553" t="str">
        <f>"DESOTO PEDIATRIC EXTENDED CARE                    "</f>
        <v xml:space="preserve">DESOTO PEDIATRIC EXTENDED CARE                    </v>
      </c>
      <c r="E12553" t="str">
        <f>"SOUTHAVEN                 "</f>
        <v xml:space="preserve">SOUTHAVEN                 </v>
      </c>
      <c r="F12553" t="str">
        <f t="shared" si="328"/>
        <v>MS</v>
      </c>
    </row>
    <row r="12554" spans="1:6" x14ac:dyDescent="0.25">
      <c r="A12554" t="str">
        <f>"007336536"</f>
        <v>007336536</v>
      </c>
      <c r="B12554" t="str">
        <f>"1851608285"</f>
        <v>1851608285</v>
      </c>
      <c r="C12554" t="str">
        <f>"122300000X"</f>
        <v>122300000X</v>
      </c>
      <c r="D12554" t="str">
        <f>"TALBERT                  WHITNEY      M           "</f>
        <v xml:space="preserve">TALBERT                  WHITNEY      M           </v>
      </c>
      <c r="E12554" t="str">
        <f>"SEBASTOPOL                "</f>
        <v xml:space="preserve">SEBASTOPOL                </v>
      </c>
      <c r="F12554" t="str">
        <f t="shared" si="328"/>
        <v>MS</v>
      </c>
    </row>
    <row r="12555" spans="1:6" x14ac:dyDescent="0.25">
      <c r="A12555" t="str">
        <f>"007336564"</f>
        <v>007336564</v>
      </c>
      <c r="B12555" t="str">
        <f>"1194108811"</f>
        <v>1194108811</v>
      </c>
      <c r="C12555" t="str">
        <f>"363L00000X"</f>
        <v>363L00000X</v>
      </c>
      <c r="D12555" t="str">
        <f>"WILLIAMS                 IESHA        R           "</f>
        <v xml:space="preserve">WILLIAMS                 IESHA        R           </v>
      </c>
      <c r="E12555" t="str">
        <f>"JACKSON                   "</f>
        <v xml:space="preserve">JACKSON                   </v>
      </c>
      <c r="F12555" t="str">
        <f t="shared" si="328"/>
        <v>MS</v>
      </c>
    </row>
    <row r="12556" spans="1:6" x14ac:dyDescent="0.25">
      <c r="A12556" t="str">
        <f>"007336711"</f>
        <v>007336711</v>
      </c>
      <c r="B12556" t="str">
        <f>"1437238938"</f>
        <v>1437238938</v>
      </c>
      <c r="C12556" t="str">
        <f>"363L00000X"</f>
        <v>363L00000X</v>
      </c>
      <c r="D12556" t="str">
        <f>"BAIN                     LAQUITA      G           "</f>
        <v xml:space="preserve">BAIN                     LAQUITA      G           </v>
      </c>
      <c r="E12556" t="str">
        <f>"CORINTH                   "</f>
        <v xml:space="preserve">CORINTH                   </v>
      </c>
      <c r="F12556" t="str">
        <f t="shared" si="328"/>
        <v>MS</v>
      </c>
    </row>
    <row r="12557" spans="1:6" x14ac:dyDescent="0.25">
      <c r="A12557" t="str">
        <f>"007338051"</f>
        <v>007338051</v>
      </c>
      <c r="B12557" t="str">
        <f>"1114975505"</f>
        <v>1114975505</v>
      </c>
      <c r="C12557" t="str">
        <f>"363L00000X"</f>
        <v>363L00000X</v>
      </c>
      <c r="D12557" t="str">
        <f>"PULLIAM                  PRISCILLA    E           "</f>
        <v xml:space="preserve">PULLIAM                  PRISCILLA    E           </v>
      </c>
      <c r="E12557" t="str">
        <f>"BROOKHAVEN                "</f>
        <v xml:space="preserve">BROOKHAVEN                </v>
      </c>
      <c r="F12557" t="str">
        <f t="shared" si="328"/>
        <v>MS</v>
      </c>
    </row>
    <row r="12558" spans="1:6" x14ac:dyDescent="0.25">
      <c r="A12558" t="str">
        <f>"007339041"</f>
        <v>007339041</v>
      </c>
      <c r="B12558" t="str">
        <f>"1598123572"</f>
        <v>1598123572</v>
      </c>
      <c r="C12558" t="str">
        <f>"261QM3000X"</f>
        <v>261QM3000X</v>
      </c>
      <c r="D12558" t="str">
        <f>"PEDIATRIC HEALTH CHOICE                           "</f>
        <v xml:space="preserve">PEDIATRIC HEALTH CHOICE                           </v>
      </c>
      <c r="E12558" t="str">
        <f>"TUPELO                    "</f>
        <v xml:space="preserve">TUPELO                    </v>
      </c>
      <c r="F12558" t="str">
        <f t="shared" si="328"/>
        <v>MS</v>
      </c>
    </row>
    <row r="12559" spans="1:6" x14ac:dyDescent="0.25">
      <c r="A12559" t="str">
        <f>"007339220"</f>
        <v>007339220</v>
      </c>
      <c r="B12559" t="str">
        <f>"1861811895"</f>
        <v>1861811895</v>
      </c>
      <c r="C12559" t="str">
        <f>"207LC0200X"</f>
        <v>207LC0200X</v>
      </c>
      <c r="D12559" t="str">
        <f>"NEWMAN                   PATRICK      M           "</f>
        <v xml:space="preserve">NEWMAN                   PATRICK      M           </v>
      </c>
      <c r="E12559" t="str">
        <f>"JACKSON                   "</f>
        <v xml:space="preserve">JACKSON                   </v>
      </c>
      <c r="F12559" t="str">
        <f t="shared" si="328"/>
        <v>MS</v>
      </c>
    </row>
    <row r="12560" spans="1:6" x14ac:dyDescent="0.25">
      <c r="A12560" t="str">
        <f>"007339341"</f>
        <v>007339341</v>
      </c>
      <c r="B12560" t="str">
        <f>"1992815625"</f>
        <v>1992815625</v>
      </c>
      <c r="C12560" t="str">
        <f>"207Q00000X"</f>
        <v>207Q00000X</v>
      </c>
      <c r="D12560" t="str">
        <f>"KEMP                     ANN          M           "</f>
        <v xml:space="preserve">KEMP                     ANN          M           </v>
      </c>
      <c r="E12560" t="str">
        <f>"JACKSON                   "</f>
        <v xml:space="preserve">JACKSON                   </v>
      </c>
      <c r="F12560" t="str">
        <f t="shared" si="328"/>
        <v>MS</v>
      </c>
    </row>
    <row r="12561" spans="1:6" x14ac:dyDescent="0.25">
      <c r="A12561" t="str">
        <f>"007351098"</f>
        <v>007351098</v>
      </c>
      <c r="B12561" t="str">
        <f>"1164689071"</f>
        <v>1164689071</v>
      </c>
      <c r="C12561" t="str">
        <f>"363L00000X"</f>
        <v>363L00000X</v>
      </c>
      <c r="D12561" t="str">
        <f>"MOORE                    WHITNEY      W           "</f>
        <v xml:space="preserve">MOORE                    WHITNEY      W           </v>
      </c>
      <c r="E12561" t="str">
        <f>"VANCLEAVE                 "</f>
        <v xml:space="preserve">VANCLEAVE                 </v>
      </c>
      <c r="F12561" t="str">
        <f t="shared" si="328"/>
        <v>MS</v>
      </c>
    </row>
    <row r="12562" spans="1:6" x14ac:dyDescent="0.25">
      <c r="A12562" t="str">
        <f>"007351851"</f>
        <v>007351851</v>
      </c>
      <c r="B12562" t="str">
        <f>"1528479987"</f>
        <v>1528479987</v>
      </c>
      <c r="C12562" t="str">
        <f>"207W00000X"</f>
        <v>207W00000X</v>
      </c>
      <c r="D12562" t="str">
        <f>"BALL                     STUART       R           "</f>
        <v xml:space="preserve">BALL                     STUART       R           </v>
      </c>
      <c r="E12562" t="str">
        <f>"PASCAGOULA                "</f>
        <v xml:space="preserve">PASCAGOULA                </v>
      </c>
      <c r="F12562" t="str">
        <f t="shared" si="328"/>
        <v>MS</v>
      </c>
    </row>
    <row r="12563" spans="1:6" x14ac:dyDescent="0.25">
      <c r="A12563" t="str">
        <f>"007353371"</f>
        <v>007353371</v>
      </c>
      <c r="B12563" t="str">
        <f>"1386873701"</f>
        <v>1386873701</v>
      </c>
      <c r="C12563" t="str">
        <f>"207V00000X"</f>
        <v>207V00000X</v>
      </c>
      <c r="D12563" t="str">
        <f>"GONG                     STEPHANIE    H           "</f>
        <v xml:space="preserve">GONG                     STEPHANIE    H           </v>
      </c>
      <c r="E12563" t="str">
        <f>"FLOWOOD                   "</f>
        <v xml:space="preserve">FLOWOOD                   </v>
      </c>
      <c r="F12563" t="str">
        <f t="shared" si="328"/>
        <v>MS</v>
      </c>
    </row>
    <row r="12564" spans="1:6" x14ac:dyDescent="0.25">
      <c r="A12564" t="str">
        <f>"007354006"</f>
        <v>007354006</v>
      </c>
      <c r="B12564" t="str">
        <f>"1295932390"</f>
        <v>1295932390</v>
      </c>
      <c r="C12564" t="str">
        <f>"207Q00000X"</f>
        <v>207Q00000X</v>
      </c>
      <c r="D12564" t="str">
        <f>"BOSTON                   CHRISTOPHER  D           "</f>
        <v xml:space="preserve">BOSTON                   CHRISTOPHER  D           </v>
      </c>
      <c r="E12564" t="str">
        <f>"JACKSON                   "</f>
        <v xml:space="preserve">JACKSON                   </v>
      </c>
      <c r="F12564" t="str">
        <f t="shared" si="328"/>
        <v>MS</v>
      </c>
    </row>
    <row r="12565" spans="1:6" x14ac:dyDescent="0.25">
      <c r="A12565" t="str">
        <f>"007354043"</f>
        <v>007354043</v>
      </c>
      <c r="B12565" t="str">
        <f>"1265729719"</f>
        <v>1265729719</v>
      </c>
      <c r="C12565" t="str">
        <f>"207N00000X"</f>
        <v>207N00000X</v>
      </c>
      <c r="D12565" t="str">
        <f>"HOLLINGER                JASMINE      C           "</f>
        <v xml:space="preserve">HOLLINGER                JASMINE      C           </v>
      </c>
      <c r="E12565" t="str">
        <f>"JACKSON                   "</f>
        <v xml:space="preserve">JACKSON                   </v>
      </c>
      <c r="F12565" t="str">
        <f t="shared" si="328"/>
        <v>MS</v>
      </c>
    </row>
    <row r="12566" spans="1:6" x14ac:dyDescent="0.25">
      <c r="A12566" t="str">
        <f>"007354065"</f>
        <v>007354065</v>
      </c>
      <c r="B12566" t="str">
        <f>"1659775732"</f>
        <v>1659775732</v>
      </c>
      <c r="C12566" t="str">
        <f>"363L00000X"</f>
        <v>363L00000X</v>
      </c>
      <c r="D12566" t="str">
        <f>"RICHARDSON               JENNIFER     A           "</f>
        <v xml:space="preserve">RICHARDSON               JENNIFER     A           </v>
      </c>
      <c r="E12566" t="str">
        <f>"RIPLEY                    "</f>
        <v xml:space="preserve">RIPLEY                    </v>
      </c>
      <c r="F12566" t="str">
        <f t="shared" si="328"/>
        <v>MS</v>
      </c>
    </row>
    <row r="12567" spans="1:6" x14ac:dyDescent="0.25">
      <c r="A12567" t="str">
        <f>"007354793"</f>
        <v>007354793</v>
      </c>
      <c r="B12567" t="str">
        <f>"1336658970"</f>
        <v>1336658970</v>
      </c>
      <c r="C12567" t="str">
        <f>"367500000X"</f>
        <v>367500000X</v>
      </c>
      <c r="D12567" t="str">
        <f>"ROBINSON                 NIKKITA      S           "</f>
        <v xml:space="preserve">ROBINSON                 NIKKITA      S           </v>
      </c>
      <c r="E12567" t="str">
        <f>"SOUTHAVEN                 "</f>
        <v xml:space="preserve">SOUTHAVEN                 </v>
      </c>
      <c r="F12567" t="str">
        <f t="shared" si="328"/>
        <v>MS</v>
      </c>
    </row>
    <row r="12568" spans="1:6" x14ac:dyDescent="0.25">
      <c r="A12568" t="str">
        <f>"007355037"</f>
        <v>007355037</v>
      </c>
      <c r="B12568" t="str">
        <f>"1306880661"</f>
        <v>1306880661</v>
      </c>
      <c r="C12568" t="str">
        <f>"2080P0204X"</f>
        <v>2080P0204X</v>
      </c>
      <c r="D12568" t="str">
        <f>"FRASCOGNA                MELISSA      N           "</f>
        <v xml:space="preserve">FRASCOGNA                MELISSA      N           </v>
      </c>
      <c r="E12568" t="str">
        <f>"JACKSON                   "</f>
        <v xml:space="preserve">JACKSON                   </v>
      </c>
      <c r="F12568" t="str">
        <f t="shared" si="328"/>
        <v>MS</v>
      </c>
    </row>
    <row r="12569" spans="1:6" x14ac:dyDescent="0.25">
      <c r="A12569" t="str">
        <f>"007358051"</f>
        <v>007358051</v>
      </c>
      <c r="B12569" t="str">
        <f>"1164523932"</f>
        <v>1164523932</v>
      </c>
      <c r="C12569" t="str">
        <f>"207RE0101X"</f>
        <v>207RE0101X</v>
      </c>
      <c r="D12569" t="str">
        <f>"POWELL                   JAMES        G           "</f>
        <v xml:space="preserve">POWELL                   JAMES        G           </v>
      </c>
      <c r="E12569" t="str">
        <f>"HATTIESBURG               "</f>
        <v xml:space="preserve">HATTIESBURG               </v>
      </c>
      <c r="F12569" t="str">
        <f t="shared" si="328"/>
        <v>MS</v>
      </c>
    </row>
    <row r="12570" spans="1:6" x14ac:dyDescent="0.25">
      <c r="A12570" t="str">
        <f>"007358266"</f>
        <v>007358266</v>
      </c>
      <c r="B12570" t="str">
        <f>"1376504357"</f>
        <v>1376504357</v>
      </c>
      <c r="C12570" t="str">
        <f>"363L00000X"</f>
        <v>363L00000X</v>
      </c>
      <c r="D12570" t="str">
        <f>"GREEN                    STEPHANIE                "</f>
        <v xml:space="preserve">GREEN                    STEPHANIE                </v>
      </c>
      <c r="E12570" t="str">
        <f>"HATTIESBURG               "</f>
        <v xml:space="preserve">HATTIESBURG               </v>
      </c>
      <c r="F12570" t="str">
        <f t="shared" si="328"/>
        <v>MS</v>
      </c>
    </row>
    <row r="12571" spans="1:6" x14ac:dyDescent="0.25">
      <c r="A12571" t="str">
        <f>"007358770"</f>
        <v>007358770</v>
      </c>
      <c r="B12571" t="str">
        <f>"1104310309"</f>
        <v>1104310309</v>
      </c>
      <c r="C12571" t="str">
        <f>"363L00000X"</f>
        <v>363L00000X</v>
      </c>
      <c r="D12571" t="str">
        <f>"VANDEWALKER              ASHLEY                   "</f>
        <v xml:space="preserve">VANDEWALKER              ASHLEY                   </v>
      </c>
      <c r="E12571" t="str">
        <f>"MERIDIAN                  "</f>
        <v xml:space="preserve">MERIDIAN                  </v>
      </c>
      <c r="F12571" t="str">
        <f t="shared" si="328"/>
        <v>MS</v>
      </c>
    </row>
    <row r="12572" spans="1:6" x14ac:dyDescent="0.25">
      <c r="A12572" t="str">
        <f>"007359840"</f>
        <v>007359840</v>
      </c>
      <c r="B12572" t="str">
        <f>"1023641305"</f>
        <v>1023641305</v>
      </c>
      <c r="C12572" t="str">
        <f>"363L00000X"</f>
        <v>363L00000X</v>
      </c>
      <c r="D12572" t="str">
        <f>"SENTELL                  KRISTEN      S           "</f>
        <v xml:space="preserve">SENTELL                  KRISTEN      S           </v>
      </c>
      <c r="E12572" t="str">
        <f>"HATTIESBURG               "</f>
        <v xml:space="preserve">HATTIESBURG               </v>
      </c>
      <c r="F12572" t="str">
        <f t="shared" si="328"/>
        <v>MS</v>
      </c>
    </row>
    <row r="12573" spans="1:6" x14ac:dyDescent="0.25">
      <c r="A12573" t="str">
        <f>"007370876"</f>
        <v>007370876</v>
      </c>
      <c r="B12573" t="str">
        <f>"1023110558"</f>
        <v>1023110558</v>
      </c>
      <c r="C12573" t="str">
        <f>"122300000X"</f>
        <v>122300000X</v>
      </c>
      <c r="D12573" t="str">
        <f>"MAYFIELD                 DALE         G           "</f>
        <v xml:space="preserve">MAYFIELD                 DALE         G           </v>
      </c>
      <c r="E12573" t="str">
        <f>"JACKSON                   "</f>
        <v xml:space="preserve">JACKSON                   </v>
      </c>
      <c r="F12573" t="str">
        <f t="shared" si="328"/>
        <v>MS</v>
      </c>
    </row>
    <row r="12574" spans="1:6" x14ac:dyDescent="0.25">
      <c r="A12574" t="str">
        <f>"007371211"</f>
        <v>007371211</v>
      </c>
      <c r="B12574" t="str">
        <f>"1295754075"</f>
        <v>1295754075</v>
      </c>
      <c r="C12574" t="str">
        <f>"207P00000X"</f>
        <v>207P00000X</v>
      </c>
      <c r="D12574" t="str">
        <f>"BOYD                     RODERICK     R           "</f>
        <v xml:space="preserve">BOYD                     RODERICK     R           </v>
      </c>
      <c r="E12574" t="str">
        <f>"HAZLEHURST                "</f>
        <v xml:space="preserve">HAZLEHURST                </v>
      </c>
      <c r="F12574" t="str">
        <f t="shared" si="328"/>
        <v>MS</v>
      </c>
    </row>
    <row r="12575" spans="1:6" x14ac:dyDescent="0.25">
      <c r="A12575" t="str">
        <f>"007371506"</f>
        <v>007371506</v>
      </c>
      <c r="B12575" t="str">
        <f>"1184275133"</f>
        <v>1184275133</v>
      </c>
      <c r="C12575" t="str">
        <f>"363L00000X"</f>
        <v>363L00000X</v>
      </c>
      <c r="D12575" t="str">
        <f>"JAMES                    KATHRYN      M           "</f>
        <v xml:space="preserve">JAMES                    KATHRYN      M           </v>
      </c>
      <c r="E12575" t="str">
        <f>"RULEVILLE                 "</f>
        <v xml:space="preserve">RULEVILLE                 </v>
      </c>
      <c r="F12575" t="str">
        <f t="shared" si="328"/>
        <v>MS</v>
      </c>
    </row>
    <row r="12576" spans="1:6" x14ac:dyDescent="0.25">
      <c r="A12576" t="str">
        <f>"007371815"</f>
        <v>007371815</v>
      </c>
      <c r="B12576" t="str">
        <f>"1124432398"</f>
        <v>1124432398</v>
      </c>
      <c r="C12576" t="str">
        <f>"207RR0500X"</f>
        <v>207RR0500X</v>
      </c>
      <c r="D12576" t="str">
        <f>"LEE CHING                CATHY        P           "</f>
        <v xml:space="preserve">LEE CHING                CATHY        P           </v>
      </c>
      <c r="E12576" t="str">
        <f>"JACKSON                   "</f>
        <v xml:space="preserve">JACKSON                   </v>
      </c>
      <c r="F12576" t="str">
        <f t="shared" si="328"/>
        <v>MS</v>
      </c>
    </row>
    <row r="12577" spans="1:6" x14ac:dyDescent="0.25">
      <c r="A12577" t="str">
        <f>"007373321"</f>
        <v>007373321</v>
      </c>
      <c r="B12577" t="str">
        <f>"1033393434"</f>
        <v>1033393434</v>
      </c>
      <c r="C12577" t="str">
        <f>"367500000X"</f>
        <v>367500000X</v>
      </c>
      <c r="D12577" t="str">
        <f>"WEATHERS                 GEORGE       P           "</f>
        <v xml:space="preserve">WEATHERS                 GEORGE       P           </v>
      </c>
      <c r="E12577" t="str">
        <f>"GREENWOOD                 "</f>
        <v xml:space="preserve">GREENWOOD                 </v>
      </c>
      <c r="F12577" t="str">
        <f t="shared" si="328"/>
        <v>MS</v>
      </c>
    </row>
    <row r="12578" spans="1:6" x14ac:dyDescent="0.25">
      <c r="A12578" t="str">
        <f>"007373521"</f>
        <v>007373521</v>
      </c>
      <c r="B12578" t="str">
        <f>"1942724349"</f>
        <v>1942724349</v>
      </c>
      <c r="C12578" t="str">
        <f>"363L00000X"</f>
        <v>363L00000X</v>
      </c>
      <c r="D12578" t="str">
        <f>"HENSON                   WADE         E           "</f>
        <v xml:space="preserve">HENSON                   WADE         E           </v>
      </c>
      <c r="E12578" t="str">
        <f>"EUPORA                    "</f>
        <v xml:space="preserve">EUPORA                    </v>
      </c>
      <c r="F12578" t="str">
        <f t="shared" si="328"/>
        <v>MS</v>
      </c>
    </row>
    <row r="12579" spans="1:6" x14ac:dyDescent="0.25">
      <c r="A12579" t="str">
        <f>"007373794"</f>
        <v>007373794</v>
      </c>
      <c r="B12579" t="str">
        <f>"1629295209"</f>
        <v>1629295209</v>
      </c>
      <c r="C12579" t="str">
        <f>"207X00000X"</f>
        <v>207X00000X</v>
      </c>
      <c r="D12579" t="str">
        <f>"POKABLA                  CHRISTOPHER  M           "</f>
        <v xml:space="preserve">POKABLA                  CHRISTOPHER  M           </v>
      </c>
      <c r="E12579" t="str">
        <f>"SOUTHAVEN                 "</f>
        <v xml:space="preserve">SOUTHAVEN                 </v>
      </c>
      <c r="F12579" t="str">
        <f t="shared" si="328"/>
        <v>MS</v>
      </c>
    </row>
    <row r="12580" spans="1:6" x14ac:dyDescent="0.25">
      <c r="A12580" t="str">
        <f>"007375235"</f>
        <v>007375235</v>
      </c>
      <c r="B12580" t="str">
        <f>"1790320729"</f>
        <v>1790320729</v>
      </c>
      <c r="C12580" t="str">
        <f>"363L00000X"</f>
        <v>363L00000X</v>
      </c>
      <c r="D12580" t="str">
        <f>"DAVIS                    MARY         H           "</f>
        <v xml:space="preserve">DAVIS                    MARY         H           </v>
      </c>
      <c r="E12580" t="str">
        <f>"JACKSON                   "</f>
        <v xml:space="preserve">JACKSON                   </v>
      </c>
      <c r="F12580" t="str">
        <f t="shared" si="328"/>
        <v>MS</v>
      </c>
    </row>
    <row r="12581" spans="1:6" x14ac:dyDescent="0.25">
      <c r="A12581" t="str">
        <f>"007375353"</f>
        <v>007375353</v>
      </c>
      <c r="B12581" t="str">
        <f>"1528227527"</f>
        <v>1528227527</v>
      </c>
      <c r="C12581" t="str">
        <f>"207R00000X"</f>
        <v>207R00000X</v>
      </c>
      <c r="D12581" t="str">
        <f>"HOPKINS                  ERICA        H           "</f>
        <v xml:space="preserve">HOPKINS                  ERICA        H           </v>
      </c>
      <c r="E12581" t="str">
        <f>"GULFPORT                  "</f>
        <v xml:space="preserve">GULFPORT                  </v>
      </c>
      <c r="F12581" t="str">
        <f t="shared" si="328"/>
        <v>MS</v>
      </c>
    </row>
    <row r="12582" spans="1:6" x14ac:dyDescent="0.25">
      <c r="A12582" t="str">
        <f>"007375770"</f>
        <v>007375770</v>
      </c>
      <c r="B12582" t="str">
        <f>"1992773675"</f>
        <v>1992773675</v>
      </c>
      <c r="C12582" t="str">
        <f>"207Q00000X"</f>
        <v>207Q00000X</v>
      </c>
      <c r="D12582" t="str">
        <f>"PURDY                    CHARLES      R           "</f>
        <v xml:space="preserve">PURDY                    CHARLES      R           </v>
      </c>
      <c r="E12582" t="str">
        <f>"ENTERPRISE                "</f>
        <v xml:space="preserve">ENTERPRISE                </v>
      </c>
      <c r="F12582" t="str">
        <f t="shared" si="328"/>
        <v>MS</v>
      </c>
    </row>
    <row r="12583" spans="1:6" x14ac:dyDescent="0.25">
      <c r="A12583" t="str">
        <f>"007375851"</f>
        <v>007375851</v>
      </c>
      <c r="B12583" t="str">
        <f>"1235582438"</f>
        <v>1235582438</v>
      </c>
      <c r="C12583" t="str">
        <f>"363L00000X"</f>
        <v>363L00000X</v>
      </c>
      <c r="D12583" t="str">
        <f>"MCABEE                   LACIE        E           "</f>
        <v xml:space="preserve">MCABEE                   LACIE        E           </v>
      </c>
      <c r="E12583" t="str">
        <f>"SENATOBIA                 "</f>
        <v xml:space="preserve">SENATOBIA                 </v>
      </c>
      <c r="F12583" t="str">
        <f t="shared" si="328"/>
        <v>MS</v>
      </c>
    </row>
    <row r="12584" spans="1:6" x14ac:dyDescent="0.25">
      <c r="A12584" t="str">
        <f>"007376214"</f>
        <v>007376214</v>
      </c>
      <c r="B12584" t="str">
        <f>"1396716866"</f>
        <v>1396716866</v>
      </c>
      <c r="C12584" t="str">
        <f>"207RN0300X"</f>
        <v>207RN0300X</v>
      </c>
      <c r="D12584" t="str">
        <f>"WAGNER                   STEVEN       J           "</f>
        <v xml:space="preserve">WAGNER                   STEVEN       J           </v>
      </c>
      <c r="E12584" t="str">
        <f>"FLOWOOD                   "</f>
        <v xml:space="preserve">FLOWOOD                   </v>
      </c>
      <c r="F12584" t="str">
        <f t="shared" si="328"/>
        <v>MS</v>
      </c>
    </row>
    <row r="12585" spans="1:6" x14ac:dyDescent="0.25">
      <c r="A12585" t="str">
        <f>"007376361"</f>
        <v>007376361</v>
      </c>
      <c r="B12585" t="str">
        <f>"1073092326"</f>
        <v>1073092326</v>
      </c>
      <c r="C12585" t="str">
        <f>"363L00000X"</f>
        <v>363L00000X</v>
      </c>
      <c r="D12585" t="str">
        <f>"PARRISH                  LAUREN                   "</f>
        <v xml:space="preserve">PARRISH                  LAUREN                   </v>
      </c>
      <c r="E12585" t="str">
        <f>"TUPELO                    "</f>
        <v xml:space="preserve">TUPELO                    </v>
      </c>
      <c r="F12585" t="str">
        <f t="shared" si="328"/>
        <v>MS</v>
      </c>
    </row>
    <row r="12586" spans="1:6" x14ac:dyDescent="0.25">
      <c r="A12586" t="str">
        <f>"007377091"</f>
        <v>007377091</v>
      </c>
      <c r="B12586" t="str">
        <f>"1184894354"</f>
        <v>1184894354</v>
      </c>
      <c r="C12586" t="str">
        <f>"363L00000X"</f>
        <v>363L00000X</v>
      </c>
      <c r="D12586" t="str">
        <f>"PORTER                   GARY         S           "</f>
        <v xml:space="preserve">PORTER                   GARY         S           </v>
      </c>
      <c r="E12586" t="str">
        <f>"GULFPORT                  "</f>
        <v xml:space="preserve">GULFPORT                  </v>
      </c>
      <c r="F12586" t="str">
        <f t="shared" si="328"/>
        <v>MS</v>
      </c>
    </row>
    <row r="12587" spans="1:6" x14ac:dyDescent="0.25">
      <c r="A12587" t="str">
        <f>"007379233"</f>
        <v>007379233</v>
      </c>
      <c r="B12587" t="str">
        <f>"1073959375"</f>
        <v>1073959375</v>
      </c>
      <c r="C12587" t="str">
        <f>"261QR1300X"</f>
        <v>261QR1300X</v>
      </c>
      <c r="D12587" t="str">
        <f>"LAIRD HOSPITAL INC                                "</f>
        <v xml:space="preserve">LAIRD HOSPITAL INC                                </v>
      </c>
      <c r="E12587" t="str">
        <f>"COLLINSVILLE              "</f>
        <v xml:space="preserve">COLLINSVILLE              </v>
      </c>
      <c r="F12587" t="str">
        <f t="shared" si="328"/>
        <v>MS</v>
      </c>
    </row>
    <row r="12588" spans="1:6" x14ac:dyDescent="0.25">
      <c r="A12588" t="str">
        <f>"007379706"</f>
        <v>007379706</v>
      </c>
      <c r="B12588" t="str">
        <f>"1407279144"</f>
        <v>1407279144</v>
      </c>
      <c r="C12588" t="str">
        <f>"367500000X"</f>
        <v>367500000X</v>
      </c>
      <c r="D12588" t="str">
        <f>"STOKES                   JEFFREY      M           "</f>
        <v xml:space="preserve">STOKES                   JEFFREY      M           </v>
      </c>
      <c r="E12588" t="str">
        <f>"HATTIESBURG               "</f>
        <v xml:space="preserve">HATTIESBURG               </v>
      </c>
      <c r="F12588" t="str">
        <f t="shared" si="328"/>
        <v>MS</v>
      </c>
    </row>
    <row r="12589" spans="1:6" x14ac:dyDescent="0.25">
      <c r="A12589" t="str">
        <f>"007381307"</f>
        <v>007381307</v>
      </c>
      <c r="B12589" t="str">
        <f>"1407388697"</f>
        <v>1407388697</v>
      </c>
      <c r="C12589" t="str">
        <f>"207V00000X"</f>
        <v>207V00000X</v>
      </c>
      <c r="D12589" t="str">
        <f>"WENG                     FANG         Q           "</f>
        <v xml:space="preserve">WENG                     FANG         Q           </v>
      </c>
      <c r="E12589" t="str">
        <f>"PASCAGOULA                "</f>
        <v xml:space="preserve">PASCAGOULA                </v>
      </c>
      <c r="F12589" t="str">
        <f t="shared" si="328"/>
        <v>MS</v>
      </c>
    </row>
    <row r="12590" spans="1:6" x14ac:dyDescent="0.25">
      <c r="A12590" t="str">
        <f>"007382051"</f>
        <v>007382051</v>
      </c>
      <c r="B12590" t="str">
        <f>"1215067491"</f>
        <v>1215067491</v>
      </c>
      <c r="C12590" t="str">
        <f>"363L00000X"</f>
        <v>363L00000X</v>
      </c>
      <c r="D12590" t="str">
        <f>"NEWTON                   LARESA       V           "</f>
        <v xml:space="preserve">NEWTON                   LARESA       V           </v>
      </c>
      <c r="E12590" t="str">
        <f>"OCEAN SPRINGS             "</f>
        <v xml:space="preserve">OCEAN SPRINGS             </v>
      </c>
      <c r="F12590" t="str">
        <f t="shared" si="328"/>
        <v>MS</v>
      </c>
    </row>
    <row r="12591" spans="1:6" x14ac:dyDescent="0.25">
      <c r="A12591" t="str">
        <f>"007382357"</f>
        <v>007382357</v>
      </c>
      <c r="B12591" t="str">
        <f>"1558893958"</f>
        <v>1558893958</v>
      </c>
      <c r="C12591" t="str">
        <f>"261QA0600X"</f>
        <v>261QA0600X</v>
      </c>
      <c r="D12591" t="str">
        <f>"SOUTHERN HOSPITALITY ADULT DAYCARE                "</f>
        <v xml:space="preserve">SOUTHERN HOSPITALITY ADULT DAYCARE                </v>
      </c>
      <c r="E12591" t="str">
        <f>"GRENADA                   "</f>
        <v xml:space="preserve">GRENADA                   </v>
      </c>
      <c r="F12591" t="str">
        <f t="shared" si="328"/>
        <v>MS</v>
      </c>
    </row>
    <row r="12592" spans="1:6" x14ac:dyDescent="0.25">
      <c r="A12592" t="str">
        <f>"007382829"</f>
        <v>007382829</v>
      </c>
      <c r="B12592" t="str">
        <f>"1992120158"</f>
        <v>1992120158</v>
      </c>
      <c r="C12592" t="str">
        <f>"363L00000X"</f>
        <v>363L00000X</v>
      </c>
      <c r="D12592" t="str">
        <f>"KEMP                     LINDSAY      A           "</f>
        <v xml:space="preserve">KEMP                     LINDSAY      A           </v>
      </c>
      <c r="E12592" t="str">
        <f>"COLUMBUS                  "</f>
        <v xml:space="preserve">COLUMBUS                  </v>
      </c>
      <c r="F12592" t="str">
        <f t="shared" si="328"/>
        <v>MS</v>
      </c>
    </row>
    <row r="12593" spans="1:6" x14ac:dyDescent="0.25">
      <c r="A12593" t="str">
        <f>"007383030"</f>
        <v>007383030</v>
      </c>
      <c r="B12593" t="str">
        <f>"1407101256"</f>
        <v>1407101256</v>
      </c>
      <c r="C12593" t="str">
        <f>"261QA0600X"</f>
        <v>261QA0600X</v>
      </c>
      <c r="D12593" t="str">
        <f>"REACH ADULT RECREATION SERVICES                   "</f>
        <v xml:space="preserve">REACH ADULT RECREATION SERVICES                   </v>
      </c>
      <c r="E12593" t="str">
        <f>"HOLLY SPRINGS             "</f>
        <v xml:space="preserve">HOLLY SPRINGS             </v>
      </c>
      <c r="F12593" t="str">
        <f t="shared" si="328"/>
        <v>MS</v>
      </c>
    </row>
    <row r="12594" spans="1:6" x14ac:dyDescent="0.25">
      <c r="A12594" t="str">
        <f>"007384751"</f>
        <v>007384751</v>
      </c>
      <c r="B12594" t="str">
        <f>"1730108358"</f>
        <v>1730108358</v>
      </c>
      <c r="C12594" t="str">
        <f>"207R00000X"</f>
        <v>207R00000X</v>
      </c>
      <c r="D12594" t="str">
        <f>"MELLEN                   PHILLIP      B           "</f>
        <v xml:space="preserve">MELLEN                   PHILLIP      B           </v>
      </c>
      <c r="E12594" t="str">
        <f>"HATTIESBURG               "</f>
        <v xml:space="preserve">HATTIESBURG               </v>
      </c>
      <c r="F12594" t="str">
        <f t="shared" si="328"/>
        <v>MS</v>
      </c>
    </row>
    <row r="12595" spans="1:6" x14ac:dyDescent="0.25">
      <c r="A12595" t="str">
        <f>"007385000"</f>
        <v>007385000</v>
      </c>
      <c r="B12595" t="str">
        <f>"1306391164"</f>
        <v>1306391164</v>
      </c>
      <c r="C12595" t="str">
        <f>"122300000X"</f>
        <v>122300000X</v>
      </c>
      <c r="D12595" t="str">
        <f>"NIX                      ANNA         J           "</f>
        <v xml:space="preserve">NIX                      ANNA         J           </v>
      </c>
      <c r="E12595" t="str">
        <f>"CLINTON                   "</f>
        <v xml:space="preserve">CLINTON                   </v>
      </c>
      <c r="F12595" t="str">
        <f t="shared" si="328"/>
        <v>MS</v>
      </c>
    </row>
    <row r="12596" spans="1:6" x14ac:dyDescent="0.25">
      <c r="A12596" t="str">
        <f>"007385747"</f>
        <v>007385747</v>
      </c>
      <c r="B12596" t="str">
        <f>"1962713016"</f>
        <v>1962713016</v>
      </c>
      <c r="C12596" t="str">
        <f>"367500000X"</f>
        <v>367500000X</v>
      </c>
      <c r="D12596" t="str">
        <f>"PATRICK                  LYNDSEY      M           "</f>
        <v xml:space="preserve">PATRICK                  LYNDSEY      M           </v>
      </c>
      <c r="E12596" t="str">
        <f>"FLOWOOD                   "</f>
        <v xml:space="preserve">FLOWOOD                   </v>
      </c>
      <c r="F12596" t="str">
        <f t="shared" si="328"/>
        <v>MS</v>
      </c>
    </row>
    <row r="12597" spans="1:6" x14ac:dyDescent="0.25">
      <c r="A12597" t="str">
        <f>"007385847"</f>
        <v>007385847</v>
      </c>
      <c r="B12597" t="str">
        <f>"1649659731"</f>
        <v>1649659731</v>
      </c>
      <c r="C12597" t="str">
        <f>"207Q00000X"</f>
        <v>207Q00000X</v>
      </c>
      <c r="D12597" t="str">
        <f>"FLOWERS                  JONATHAN     G           "</f>
        <v xml:space="preserve">FLOWERS                  JONATHAN     G           </v>
      </c>
      <c r="E12597" t="str">
        <f>"VICKSBURG                 "</f>
        <v xml:space="preserve">VICKSBURG                 </v>
      </c>
      <c r="F12597" t="str">
        <f t="shared" si="328"/>
        <v>MS</v>
      </c>
    </row>
    <row r="12598" spans="1:6" x14ac:dyDescent="0.25">
      <c r="A12598" t="str">
        <f>"007386747"</f>
        <v>007386747</v>
      </c>
      <c r="B12598" t="str">
        <f>"1366004657"</f>
        <v>1366004657</v>
      </c>
      <c r="C12598" t="str">
        <f>"261QF0400X"</f>
        <v>261QF0400X</v>
      </c>
      <c r="D12598" t="str">
        <f>"ACCESS SCHOOL HEALTH PONTOTOC MAIN                "</f>
        <v xml:space="preserve">ACCESS SCHOOL HEALTH PONTOTOC MAIN                </v>
      </c>
      <c r="E12598" t="str">
        <f>"PONTOTOC                  "</f>
        <v xml:space="preserve">PONTOTOC                  </v>
      </c>
      <c r="F12598" t="str">
        <f t="shared" si="328"/>
        <v>MS</v>
      </c>
    </row>
    <row r="12599" spans="1:6" x14ac:dyDescent="0.25">
      <c r="A12599" t="str">
        <f>"007387024"</f>
        <v>007387024</v>
      </c>
      <c r="B12599" t="str">
        <f>"1215377809"</f>
        <v>1215377809</v>
      </c>
      <c r="C12599" t="str">
        <f>"152W00000X"</f>
        <v>152W00000X</v>
      </c>
      <c r="D12599" t="str">
        <f>"NAIL                     HANNAH       J           "</f>
        <v xml:space="preserve">NAIL                     HANNAH       J           </v>
      </c>
      <c r="E12599" t="str">
        <f>"COLUMBUS                  "</f>
        <v xml:space="preserve">COLUMBUS                  </v>
      </c>
      <c r="F12599" t="str">
        <f t="shared" si="328"/>
        <v>MS</v>
      </c>
    </row>
    <row r="12600" spans="1:6" x14ac:dyDescent="0.25">
      <c r="A12600" t="str">
        <f>"007387543"</f>
        <v>007387543</v>
      </c>
      <c r="B12600" t="str">
        <f>"1851590871"</f>
        <v>1851590871</v>
      </c>
      <c r="C12600" t="str">
        <f>"207Q00000X"</f>
        <v>207Q00000X</v>
      </c>
      <c r="D12600" t="str">
        <f>"NASH                     CARRIE       R           "</f>
        <v xml:space="preserve">NASH                     CARRIE       R           </v>
      </c>
      <c r="E12600" t="str">
        <f>"BRANDON                   "</f>
        <v xml:space="preserve">BRANDON                   </v>
      </c>
      <c r="F12600" t="str">
        <f t="shared" si="328"/>
        <v>MS</v>
      </c>
    </row>
    <row r="12601" spans="1:6" x14ac:dyDescent="0.25">
      <c r="A12601" t="str">
        <f>"007387848"</f>
        <v>007387848</v>
      </c>
      <c r="B12601" t="str">
        <f>"1053622498"</f>
        <v>1053622498</v>
      </c>
      <c r="C12601" t="str">
        <f>"207T00000X"</f>
        <v>207T00000X</v>
      </c>
      <c r="D12601" t="str">
        <f>"MATHIS                   TAYLOR       P           "</f>
        <v xml:space="preserve">MATHIS                   TAYLOR       P           </v>
      </c>
      <c r="E12601" t="str">
        <f>"TUPELO                    "</f>
        <v xml:space="preserve">TUPELO                    </v>
      </c>
      <c r="F12601" t="str">
        <f t="shared" si="328"/>
        <v>MS</v>
      </c>
    </row>
    <row r="12602" spans="1:6" x14ac:dyDescent="0.25">
      <c r="A12602" t="str">
        <f>"007388396"</f>
        <v>007388396</v>
      </c>
      <c r="B12602" t="str">
        <f>"1518307024"</f>
        <v>1518307024</v>
      </c>
      <c r="C12602" t="str">
        <f>"363L00000X"</f>
        <v>363L00000X</v>
      </c>
      <c r="D12602" t="str">
        <f>"MANN                     BETSY        L           "</f>
        <v xml:space="preserve">MANN                     BETSY        L           </v>
      </c>
      <c r="E12602" t="str">
        <f>"PHILADELPHIA              "</f>
        <v xml:space="preserve">PHILADELPHIA              </v>
      </c>
      <c r="F12602" t="str">
        <f t="shared" si="328"/>
        <v>MS</v>
      </c>
    </row>
    <row r="12603" spans="1:6" x14ac:dyDescent="0.25">
      <c r="A12603" t="str">
        <f>"007388585"</f>
        <v>007388585</v>
      </c>
      <c r="B12603" t="str">
        <f>"1750523544"</f>
        <v>1750523544</v>
      </c>
      <c r="C12603" t="str">
        <f>"207R00000X"</f>
        <v>207R00000X</v>
      </c>
      <c r="D12603" t="str">
        <f>"WAQAS                    MUHAMMAD                 "</f>
        <v xml:space="preserve">WAQAS                    MUHAMMAD                 </v>
      </c>
      <c r="E12603" t="str">
        <f>"SOUTHAVEN                 "</f>
        <v xml:space="preserve">SOUTHAVEN                 </v>
      </c>
      <c r="F12603" t="str">
        <f t="shared" si="328"/>
        <v>MS</v>
      </c>
    </row>
    <row r="12604" spans="1:6" x14ac:dyDescent="0.25">
      <c r="A12604" t="str">
        <f>"007388805"</f>
        <v>007388805</v>
      </c>
      <c r="B12604" t="str">
        <f>"1154477453"</f>
        <v>1154477453</v>
      </c>
      <c r="C12604" t="str">
        <f>"2084P0800X"</f>
        <v>2084P0800X</v>
      </c>
      <c r="D12604" t="str">
        <f>"JACKSON                  ANTHONY      W           "</f>
        <v xml:space="preserve">JACKSON                  ANTHONY      W           </v>
      </c>
      <c r="E12604" t="str">
        <f>"SOUTHAVEN                 "</f>
        <v xml:space="preserve">SOUTHAVEN                 </v>
      </c>
      <c r="F12604" t="str">
        <f t="shared" si="328"/>
        <v>MS</v>
      </c>
    </row>
    <row r="12605" spans="1:6" x14ac:dyDescent="0.25">
      <c r="A12605" t="str">
        <f>"007389527"</f>
        <v>007389527</v>
      </c>
      <c r="B12605" t="str">
        <f>"1851924013"</f>
        <v>1851924013</v>
      </c>
      <c r="C12605" t="str">
        <f>"363L00000X"</f>
        <v>363L00000X</v>
      </c>
      <c r="D12605" t="str">
        <f>"EZELLE                   MELISSA      A           "</f>
        <v xml:space="preserve">EZELLE                   MELISSA      A           </v>
      </c>
      <c r="E12605" t="str">
        <f>"HATTIESBURG               "</f>
        <v xml:space="preserve">HATTIESBURG               </v>
      </c>
      <c r="F12605" t="str">
        <f t="shared" si="328"/>
        <v>MS</v>
      </c>
    </row>
    <row r="12606" spans="1:6" x14ac:dyDescent="0.25">
      <c r="A12606" t="str">
        <f>"007400054"</f>
        <v>007400054</v>
      </c>
      <c r="B12606" t="str">
        <f>"1730371964"</f>
        <v>1730371964</v>
      </c>
      <c r="C12606" t="str">
        <f>"363L00000X"</f>
        <v>363L00000X</v>
      </c>
      <c r="D12606" t="str">
        <f>"COOK                     JENNIFER     L           "</f>
        <v xml:space="preserve">COOK                     JENNIFER     L           </v>
      </c>
      <c r="E12606" t="str">
        <f>"BROOKHAVEN                "</f>
        <v xml:space="preserve">BROOKHAVEN                </v>
      </c>
      <c r="F12606" t="str">
        <f t="shared" ref="F12606:F12669" si="329">"MS"</f>
        <v>MS</v>
      </c>
    </row>
    <row r="12607" spans="1:6" x14ac:dyDescent="0.25">
      <c r="A12607" t="str">
        <f>"007401320"</f>
        <v>007401320</v>
      </c>
      <c r="B12607" t="str">
        <f>"1962865162"</f>
        <v>1962865162</v>
      </c>
      <c r="C12607" t="str">
        <f>"208000000X"</f>
        <v>208000000X</v>
      </c>
      <c r="D12607" t="str">
        <f>"HESTER                   DANIEL       P           "</f>
        <v xml:space="preserve">HESTER                   DANIEL       P           </v>
      </c>
      <c r="E12607" t="str">
        <f>"WATER VALLEY              "</f>
        <v xml:space="preserve">WATER VALLEY              </v>
      </c>
      <c r="F12607" t="str">
        <f t="shared" si="329"/>
        <v>MS</v>
      </c>
    </row>
    <row r="12608" spans="1:6" x14ac:dyDescent="0.25">
      <c r="A12608" t="str">
        <f>"007401794"</f>
        <v>007401794</v>
      </c>
      <c r="B12608" t="str">
        <f>"1730199290"</f>
        <v>1730199290</v>
      </c>
      <c r="C12608" t="str">
        <f>"208D00000X"</f>
        <v>208D00000X</v>
      </c>
      <c r="D12608" t="str">
        <f>"BLACK                    BRUCE        T           "</f>
        <v xml:space="preserve">BLACK                    BRUCE        T           </v>
      </c>
      <c r="E12608" t="str">
        <f>"MADISON                   "</f>
        <v xml:space="preserve">MADISON                   </v>
      </c>
      <c r="F12608" t="str">
        <f t="shared" si="329"/>
        <v>MS</v>
      </c>
    </row>
    <row r="12609" spans="1:6" x14ac:dyDescent="0.25">
      <c r="A12609" t="str">
        <f>"007402203"</f>
        <v>007402203</v>
      </c>
      <c r="B12609" t="str">
        <f>"1285729657"</f>
        <v>1285729657</v>
      </c>
      <c r="C12609" t="str">
        <f>"2085R0202X"</f>
        <v>2085R0202X</v>
      </c>
      <c r="D12609" t="str">
        <f>"HILLEN                   TRAVIS       J           "</f>
        <v xml:space="preserve">HILLEN                   TRAVIS       J           </v>
      </c>
      <c r="E12609" t="str">
        <f>"HATTIESBURG               "</f>
        <v xml:space="preserve">HATTIESBURG               </v>
      </c>
      <c r="F12609" t="str">
        <f t="shared" si="329"/>
        <v>MS</v>
      </c>
    </row>
    <row r="12610" spans="1:6" x14ac:dyDescent="0.25">
      <c r="A12610" t="str">
        <f>"007402562"</f>
        <v>007402562</v>
      </c>
      <c r="B12610" t="str">
        <f>"1053728139"</f>
        <v>1053728139</v>
      </c>
      <c r="C12610" t="str">
        <f>"261QR1300X"</f>
        <v>261QR1300X</v>
      </c>
      <c r="D12610" t="str">
        <f>"CHILDREN'S CLINIC ECRU                            "</f>
        <v xml:space="preserve">CHILDREN'S CLINIC ECRU                            </v>
      </c>
      <c r="E12610" t="str">
        <f>"ECRU                      "</f>
        <v xml:space="preserve">ECRU                      </v>
      </c>
      <c r="F12610" t="str">
        <f t="shared" si="329"/>
        <v>MS</v>
      </c>
    </row>
    <row r="12611" spans="1:6" x14ac:dyDescent="0.25">
      <c r="A12611" t="str">
        <f>"007403575"</f>
        <v>007403575</v>
      </c>
      <c r="B12611" t="str">
        <f>"1871132076"</f>
        <v>1871132076</v>
      </c>
      <c r="C12611" t="str">
        <f>"363L00000X"</f>
        <v>363L00000X</v>
      </c>
      <c r="D12611" t="str">
        <f>"MCCRAY                   MEDDOL       R           "</f>
        <v xml:space="preserve">MCCRAY                   MEDDOL       R           </v>
      </c>
      <c r="E12611" t="str">
        <f>"SAUCIER                   "</f>
        <v xml:space="preserve">SAUCIER                   </v>
      </c>
      <c r="F12611" t="str">
        <f t="shared" si="329"/>
        <v>MS</v>
      </c>
    </row>
    <row r="12612" spans="1:6" x14ac:dyDescent="0.25">
      <c r="A12612" t="str">
        <f>"007403599"</f>
        <v>007403599</v>
      </c>
      <c r="B12612" t="str">
        <f>"1063777472"</f>
        <v>1063777472</v>
      </c>
      <c r="C12612" t="str">
        <f>"207T00000X"</f>
        <v>207T00000X</v>
      </c>
      <c r="D12612" t="str">
        <f>"HIDALGO                  JOAQUIN      A           "</f>
        <v xml:space="preserve">HIDALGO                  JOAQUIN      A           </v>
      </c>
      <c r="E12612" t="str">
        <f>"TUPELO                    "</f>
        <v xml:space="preserve">TUPELO                    </v>
      </c>
      <c r="F12612" t="str">
        <f t="shared" si="329"/>
        <v>MS</v>
      </c>
    </row>
    <row r="12613" spans="1:6" x14ac:dyDescent="0.25">
      <c r="A12613" t="str">
        <f>"007404269"</f>
        <v>007404269</v>
      </c>
      <c r="B12613" t="str">
        <f>"1518386788"</f>
        <v>1518386788</v>
      </c>
      <c r="C12613" t="str">
        <f>"208800000X"</f>
        <v>208800000X</v>
      </c>
      <c r="D12613" t="str">
        <f>"SCHEXNAYDER              KAITLEN      S           "</f>
        <v xml:space="preserve">SCHEXNAYDER              KAITLEN      S           </v>
      </c>
      <c r="E12613" t="str">
        <f>"HATTIESBURG               "</f>
        <v xml:space="preserve">HATTIESBURG               </v>
      </c>
      <c r="F12613" t="str">
        <f t="shared" si="329"/>
        <v>MS</v>
      </c>
    </row>
    <row r="12614" spans="1:6" x14ac:dyDescent="0.25">
      <c r="A12614" t="str">
        <f>"007404304"</f>
        <v>007404304</v>
      </c>
      <c r="B12614" t="str">
        <f>"1780286237"</f>
        <v>1780286237</v>
      </c>
      <c r="C12614" t="str">
        <f>"363L00000X"</f>
        <v>363L00000X</v>
      </c>
      <c r="D12614" t="str">
        <f>"ANDERS                   EMILY                    "</f>
        <v xml:space="preserve">ANDERS                   EMILY                    </v>
      </c>
      <c r="E12614" t="str">
        <f>"MERIDIAN                  "</f>
        <v xml:space="preserve">MERIDIAN                  </v>
      </c>
      <c r="F12614" t="str">
        <f t="shared" si="329"/>
        <v>MS</v>
      </c>
    </row>
    <row r="12615" spans="1:6" x14ac:dyDescent="0.25">
      <c r="A12615" t="str">
        <f>"007405212"</f>
        <v>007405212</v>
      </c>
      <c r="B12615" t="str">
        <f>"1417273301"</f>
        <v>1417273301</v>
      </c>
      <c r="C12615" t="str">
        <f>"207RI0200X"</f>
        <v>207RI0200X</v>
      </c>
      <c r="D12615" t="str">
        <f>"ABEL                     JORDAN       W           "</f>
        <v xml:space="preserve">ABEL                     JORDAN       W           </v>
      </c>
      <c r="E12615" t="str">
        <f>"CORINTH                   "</f>
        <v xml:space="preserve">CORINTH                   </v>
      </c>
      <c r="F12615" t="str">
        <f t="shared" si="329"/>
        <v>MS</v>
      </c>
    </row>
    <row r="12616" spans="1:6" x14ac:dyDescent="0.25">
      <c r="A12616" t="str">
        <f>"007405220"</f>
        <v>007405220</v>
      </c>
      <c r="B12616" t="str">
        <f>"1568889699"</f>
        <v>1568889699</v>
      </c>
      <c r="C12616" t="str">
        <f>"207X00000X"</f>
        <v>207X00000X</v>
      </c>
      <c r="D12616" t="str">
        <f>"YOUNG                    MATTHEW      L           "</f>
        <v xml:space="preserve">YOUNG                    MATTHEW      L           </v>
      </c>
      <c r="E12616" t="str">
        <f>"JACKSON                   "</f>
        <v xml:space="preserve">JACKSON                   </v>
      </c>
      <c r="F12616" t="str">
        <f t="shared" si="329"/>
        <v>MS</v>
      </c>
    </row>
    <row r="12617" spans="1:6" x14ac:dyDescent="0.25">
      <c r="A12617" t="str">
        <f>"007405344"</f>
        <v>007405344</v>
      </c>
      <c r="B12617" t="str">
        <f>"1700841624"</f>
        <v>1700841624</v>
      </c>
      <c r="C12617" t="str">
        <f>"207R00000X"</f>
        <v>207R00000X</v>
      </c>
      <c r="D12617" t="str">
        <f>"SCHROADER                DARYL        G           "</f>
        <v xml:space="preserve">SCHROADER                DARYL        G           </v>
      </c>
      <c r="E12617" t="str">
        <f>"TUPELO                    "</f>
        <v xml:space="preserve">TUPELO                    </v>
      </c>
      <c r="F12617" t="str">
        <f t="shared" si="329"/>
        <v>MS</v>
      </c>
    </row>
    <row r="12618" spans="1:6" x14ac:dyDescent="0.25">
      <c r="A12618" t="str">
        <f>"007407051"</f>
        <v>007407051</v>
      </c>
      <c r="B12618" t="str">
        <f>"1285049254"</f>
        <v>1285049254</v>
      </c>
      <c r="C12618" t="str">
        <f>"363L00000X"</f>
        <v>363L00000X</v>
      </c>
      <c r="D12618" t="str">
        <f>"PRUITT                   KELLI        E           "</f>
        <v xml:space="preserve">PRUITT                   KELLI        E           </v>
      </c>
      <c r="E12618" t="str">
        <f>"MAGEE                     "</f>
        <v xml:space="preserve">MAGEE                     </v>
      </c>
      <c r="F12618" t="str">
        <f t="shared" si="329"/>
        <v>MS</v>
      </c>
    </row>
    <row r="12619" spans="1:6" x14ac:dyDescent="0.25">
      <c r="A12619" t="str">
        <f>"007407323"</f>
        <v>007407323</v>
      </c>
      <c r="B12619" t="str">
        <f>"1124113667"</f>
        <v>1124113667</v>
      </c>
      <c r="C12619" t="str">
        <f>"207RI0011X"</f>
        <v>207RI0011X</v>
      </c>
      <c r="D12619" t="str">
        <f>"WINSCOTT                 JOHN         G           "</f>
        <v xml:space="preserve">WINSCOTT                 JOHN         G           </v>
      </c>
      <c r="E12619" t="str">
        <f>"JACKSON                   "</f>
        <v xml:space="preserve">JACKSON                   </v>
      </c>
      <c r="F12619" t="str">
        <f t="shared" si="329"/>
        <v>MS</v>
      </c>
    </row>
    <row r="12620" spans="1:6" x14ac:dyDescent="0.25">
      <c r="A12620" t="str">
        <f>"007407357"</f>
        <v>007407357</v>
      </c>
      <c r="B12620" t="str">
        <f>"1417350182"</f>
        <v>1417350182</v>
      </c>
      <c r="C12620" t="str">
        <f>"363L00000X"</f>
        <v>363L00000X</v>
      </c>
      <c r="D12620" t="str">
        <f>"JACKSON                  KOSCHER                  "</f>
        <v xml:space="preserve">JACKSON                  KOSCHER                  </v>
      </c>
      <c r="E12620" t="str">
        <f>"JACKSON                   "</f>
        <v xml:space="preserve">JACKSON                   </v>
      </c>
      <c r="F12620" t="str">
        <f t="shared" si="329"/>
        <v>MS</v>
      </c>
    </row>
    <row r="12621" spans="1:6" x14ac:dyDescent="0.25">
      <c r="A12621" t="str">
        <f>"007407534"</f>
        <v>007407534</v>
      </c>
      <c r="B12621" t="str">
        <f>"1093260150"</f>
        <v>1093260150</v>
      </c>
      <c r="C12621" t="str">
        <f>"363LF0000X"</f>
        <v>363LF0000X</v>
      </c>
      <c r="D12621" t="str">
        <f>"STEGALL                  RACHAEL      C           "</f>
        <v xml:space="preserve">STEGALL                  RACHAEL      C           </v>
      </c>
      <c r="E12621" t="str">
        <f>"FLOWOOD                   "</f>
        <v xml:space="preserve">FLOWOOD                   </v>
      </c>
      <c r="F12621" t="str">
        <f t="shared" si="329"/>
        <v>MS</v>
      </c>
    </row>
    <row r="12622" spans="1:6" x14ac:dyDescent="0.25">
      <c r="A12622" t="str">
        <f>"007407554"</f>
        <v>007407554</v>
      </c>
      <c r="B12622" t="str">
        <f>"1760818017"</f>
        <v>1760818017</v>
      </c>
      <c r="C12622" t="str">
        <f>"122300000X"</f>
        <v>122300000X</v>
      </c>
      <c r="D12622" t="str">
        <f>"MISS-LOU FAMILY DENTISTRY                         "</f>
        <v xml:space="preserve">MISS-LOU FAMILY DENTISTRY                         </v>
      </c>
      <c r="E12622" t="str">
        <f>"NATCHEZ                   "</f>
        <v xml:space="preserve">NATCHEZ                   </v>
      </c>
      <c r="F12622" t="str">
        <f t="shared" si="329"/>
        <v>MS</v>
      </c>
    </row>
    <row r="12623" spans="1:6" x14ac:dyDescent="0.25">
      <c r="A12623" t="str">
        <f>"007408034"</f>
        <v>007408034</v>
      </c>
      <c r="B12623" t="str">
        <f>"1134243702"</f>
        <v>1134243702</v>
      </c>
      <c r="C12623" t="str">
        <f>"207Q00000X"</f>
        <v>207Q00000X</v>
      </c>
      <c r="D12623" t="str">
        <f>"DEW                      JAMES        M           "</f>
        <v xml:space="preserve">DEW                      JAMES        M           </v>
      </c>
      <c r="E12623" t="str">
        <f>"BYRAM                     "</f>
        <v xml:space="preserve">BYRAM                     </v>
      </c>
      <c r="F12623" t="str">
        <f t="shared" si="329"/>
        <v>MS</v>
      </c>
    </row>
    <row r="12624" spans="1:6" x14ac:dyDescent="0.25">
      <c r="A12624" t="str">
        <f>"007408300"</f>
        <v>007408300</v>
      </c>
      <c r="B12624" t="str">
        <f>"1093228272"</f>
        <v>1093228272</v>
      </c>
      <c r="C12624" t="str">
        <f>"363L00000X"</f>
        <v>363L00000X</v>
      </c>
      <c r="D12624" t="str">
        <f>"OWENS                    SONQUANETTA  L           "</f>
        <v xml:space="preserve">OWENS                    SONQUANETTA  L           </v>
      </c>
      <c r="E12624" t="str">
        <f>"OXFORD                    "</f>
        <v xml:space="preserve">OXFORD                    </v>
      </c>
      <c r="F12624" t="str">
        <f t="shared" si="329"/>
        <v>MS</v>
      </c>
    </row>
    <row r="12625" spans="1:6" x14ac:dyDescent="0.25">
      <c r="A12625" t="str">
        <f>"007408359"</f>
        <v>007408359</v>
      </c>
      <c r="B12625" t="str">
        <f>"1184643686"</f>
        <v>1184643686</v>
      </c>
      <c r="C12625" t="str">
        <f>"208D00000X"</f>
        <v>208D00000X</v>
      </c>
      <c r="D12625" t="str">
        <f>"KHANDEKAR                ZINAT        R           "</f>
        <v xml:space="preserve">KHANDEKAR                ZINAT        R           </v>
      </c>
      <c r="E12625" t="str">
        <f>"WHITFIELD                 "</f>
        <v xml:space="preserve">WHITFIELD                 </v>
      </c>
      <c r="F12625" t="str">
        <f t="shared" si="329"/>
        <v>MS</v>
      </c>
    </row>
    <row r="12626" spans="1:6" x14ac:dyDescent="0.25">
      <c r="A12626" t="str">
        <f>"007408560"</f>
        <v>007408560</v>
      </c>
      <c r="B12626" t="str">
        <f>"1689726283"</f>
        <v>1689726283</v>
      </c>
      <c r="C12626" t="str">
        <f>"122300000X"</f>
        <v>122300000X</v>
      </c>
      <c r="D12626" t="str">
        <f>"JONES                    JACKIE       F           "</f>
        <v xml:space="preserve">JONES                    JACKIE       F           </v>
      </c>
      <c r="E12626" t="str">
        <f>"FOREST                    "</f>
        <v xml:space="preserve">FOREST                    </v>
      </c>
      <c r="F12626" t="str">
        <f t="shared" si="329"/>
        <v>MS</v>
      </c>
    </row>
    <row r="12627" spans="1:6" x14ac:dyDescent="0.25">
      <c r="A12627" t="str">
        <f>"007408769"</f>
        <v>007408769</v>
      </c>
      <c r="B12627" t="str">
        <f>"1285120675"</f>
        <v>1285120675</v>
      </c>
      <c r="C12627" t="str">
        <f>"363L00000X"</f>
        <v>363L00000X</v>
      </c>
      <c r="D12627" t="str">
        <f>"TURAN                    TONY                     "</f>
        <v xml:space="preserve">TURAN                    TONY                     </v>
      </c>
      <c r="E12627" t="str">
        <f>"GULFPORT                  "</f>
        <v xml:space="preserve">GULFPORT                  </v>
      </c>
      <c r="F12627" t="str">
        <f t="shared" si="329"/>
        <v>MS</v>
      </c>
    </row>
    <row r="12628" spans="1:6" x14ac:dyDescent="0.25">
      <c r="A12628" t="str">
        <f>"007409046"</f>
        <v>007409046</v>
      </c>
      <c r="B12628" t="str">
        <f>"1750991311"</f>
        <v>1750991311</v>
      </c>
      <c r="C12628" t="str">
        <f>"363L00000X"</f>
        <v>363L00000X</v>
      </c>
      <c r="D12628" t="str">
        <f>"CAIN                     CANDACE      C           "</f>
        <v xml:space="preserve">CAIN                     CANDACE      C           </v>
      </c>
      <c r="E12628" t="str">
        <f>"EUPORA                    "</f>
        <v xml:space="preserve">EUPORA                    </v>
      </c>
      <c r="F12628" t="str">
        <f t="shared" si="329"/>
        <v>MS</v>
      </c>
    </row>
    <row r="12629" spans="1:6" x14ac:dyDescent="0.25">
      <c r="A12629" t="str">
        <f>"007409833"</f>
        <v>007409833</v>
      </c>
      <c r="B12629" t="str">
        <f>"1033152020"</f>
        <v>1033152020</v>
      </c>
      <c r="C12629" t="str">
        <f>"122300000X"</f>
        <v>122300000X</v>
      </c>
      <c r="D12629" t="str">
        <f>"PERKINS                  CHARLES      H           "</f>
        <v xml:space="preserve">PERKINS                  CHARLES      H           </v>
      </c>
      <c r="E12629" t="str">
        <f>"OXFORD                    "</f>
        <v xml:space="preserve">OXFORD                    </v>
      </c>
      <c r="F12629" t="str">
        <f t="shared" si="329"/>
        <v>MS</v>
      </c>
    </row>
    <row r="12630" spans="1:6" x14ac:dyDescent="0.25">
      <c r="A12630" t="str">
        <f>"007420504"</f>
        <v>007420504</v>
      </c>
      <c r="B12630" t="str">
        <f>"1497060065"</f>
        <v>1497060065</v>
      </c>
      <c r="C12630" t="str">
        <f>"122300000X"</f>
        <v>122300000X</v>
      </c>
      <c r="D12630" t="str">
        <f>"STEELE II                JOHN         A           "</f>
        <v xml:space="preserve">STEELE II                JOHN         A           </v>
      </c>
      <c r="E12630" t="str">
        <f>"PHILADELPHIA              "</f>
        <v xml:space="preserve">PHILADELPHIA              </v>
      </c>
      <c r="F12630" t="str">
        <f t="shared" si="329"/>
        <v>MS</v>
      </c>
    </row>
    <row r="12631" spans="1:6" x14ac:dyDescent="0.25">
      <c r="A12631" t="str">
        <f>"007421028"</f>
        <v>007421028</v>
      </c>
      <c r="B12631" t="str">
        <f>"1598921892"</f>
        <v>1598921892</v>
      </c>
      <c r="C12631" t="str">
        <f>"208800000X"</f>
        <v>208800000X</v>
      </c>
      <c r="D12631" t="str">
        <f>"HARDIN                   BRENT        M           "</f>
        <v xml:space="preserve">HARDIN                   BRENT        M           </v>
      </c>
      <c r="E12631" t="str">
        <f>"OXFORD                    "</f>
        <v xml:space="preserve">OXFORD                    </v>
      </c>
      <c r="F12631" t="str">
        <f t="shared" si="329"/>
        <v>MS</v>
      </c>
    </row>
    <row r="12632" spans="1:6" x14ac:dyDescent="0.25">
      <c r="A12632" t="str">
        <f>"007421321"</f>
        <v>007421321</v>
      </c>
      <c r="B12632" t="str">
        <f>"1033656889"</f>
        <v>1033656889</v>
      </c>
      <c r="C12632" t="str">
        <f>"261QM1300X"</f>
        <v>261QM1300X</v>
      </c>
      <c r="D12632" t="str">
        <f>"MAGNOLIA REGIONAL BEHAVIORAL HEALTH               "</f>
        <v xml:space="preserve">MAGNOLIA REGIONAL BEHAVIORAL HEALTH               </v>
      </c>
      <c r="E12632" t="str">
        <f>"CORINTH                   "</f>
        <v xml:space="preserve">CORINTH                   </v>
      </c>
      <c r="F12632" t="str">
        <f t="shared" si="329"/>
        <v>MS</v>
      </c>
    </row>
    <row r="12633" spans="1:6" x14ac:dyDescent="0.25">
      <c r="A12633" t="str">
        <f>"007421365"</f>
        <v>007421365</v>
      </c>
      <c r="B12633" t="str">
        <f>"1538179536"</f>
        <v>1538179536</v>
      </c>
      <c r="C12633" t="str">
        <f>"207R00000X"</f>
        <v>207R00000X</v>
      </c>
      <c r="D12633" t="str">
        <f>"CASTILLO                 JAIME                    "</f>
        <v xml:space="preserve">CASTILLO                 JAIME                    </v>
      </c>
      <c r="E12633" t="str">
        <f>"HOUSTON                   "</f>
        <v xml:space="preserve">HOUSTON                   </v>
      </c>
      <c r="F12633" t="str">
        <f t="shared" si="329"/>
        <v>MS</v>
      </c>
    </row>
    <row r="12634" spans="1:6" x14ac:dyDescent="0.25">
      <c r="A12634" t="str">
        <f>"007422067"</f>
        <v>007422067</v>
      </c>
      <c r="B12634" t="str">
        <f>"1457376915"</f>
        <v>1457376915</v>
      </c>
      <c r="C12634" t="str">
        <f>"207RC0000X"</f>
        <v>207RC0000X</v>
      </c>
      <c r="D12634" t="str">
        <f>"HARKINS                  DOUGLAS      D           "</f>
        <v xml:space="preserve">HARKINS                  DOUGLAS      D           </v>
      </c>
      <c r="E12634" t="str">
        <f>"JACKSON                   "</f>
        <v xml:space="preserve">JACKSON                   </v>
      </c>
      <c r="F12634" t="str">
        <f t="shared" si="329"/>
        <v>MS</v>
      </c>
    </row>
    <row r="12635" spans="1:6" x14ac:dyDescent="0.25">
      <c r="A12635" t="str">
        <f>"007422557"</f>
        <v>007422557</v>
      </c>
      <c r="B12635" t="str">
        <f>"1083954739"</f>
        <v>1083954739</v>
      </c>
      <c r="C12635" t="str">
        <f>"122300000X"</f>
        <v>122300000X</v>
      </c>
      <c r="D12635" t="str">
        <f>"OLE BROOK PEDIATRIC DENTISTRY                     "</f>
        <v xml:space="preserve">OLE BROOK PEDIATRIC DENTISTRY                     </v>
      </c>
      <c r="E12635" t="str">
        <f>"BROOKHAVEN                "</f>
        <v xml:space="preserve">BROOKHAVEN                </v>
      </c>
      <c r="F12635" t="str">
        <f t="shared" si="329"/>
        <v>MS</v>
      </c>
    </row>
    <row r="12636" spans="1:6" x14ac:dyDescent="0.25">
      <c r="A12636" t="str">
        <f>"007423294"</f>
        <v>007423294</v>
      </c>
      <c r="B12636" t="str">
        <f>"1356621130"</f>
        <v>1356621130</v>
      </c>
      <c r="C12636" t="str">
        <f>"207X00000X"</f>
        <v>207X00000X</v>
      </c>
      <c r="D12636" t="str">
        <f>"THOMPSON                 JOHNATHAN                "</f>
        <v xml:space="preserve">THOMPSON                 JOHNATHAN                </v>
      </c>
      <c r="E12636" t="str">
        <f>"NEW ALBANY                "</f>
        <v xml:space="preserve">NEW ALBANY                </v>
      </c>
      <c r="F12636" t="str">
        <f t="shared" si="329"/>
        <v>MS</v>
      </c>
    </row>
    <row r="12637" spans="1:6" x14ac:dyDescent="0.25">
      <c r="A12637" t="str">
        <f>"007425243"</f>
        <v>007425243</v>
      </c>
      <c r="B12637" t="str">
        <f>"1285163238"</f>
        <v>1285163238</v>
      </c>
      <c r="C12637" t="str">
        <f>"363L00000X"</f>
        <v>363L00000X</v>
      </c>
      <c r="D12637" t="str">
        <f>"GARRETT                  MARGO        W           "</f>
        <v xml:space="preserve">GARRETT                  MARGO        W           </v>
      </c>
      <c r="E12637" t="str">
        <f>"BRANDON                   "</f>
        <v xml:space="preserve">BRANDON                   </v>
      </c>
      <c r="F12637" t="str">
        <f t="shared" si="329"/>
        <v>MS</v>
      </c>
    </row>
    <row r="12638" spans="1:6" x14ac:dyDescent="0.25">
      <c r="A12638" t="str">
        <f>"007425565"</f>
        <v>007425565</v>
      </c>
      <c r="B12638" t="str">
        <f>"1184823551"</f>
        <v>1184823551</v>
      </c>
      <c r="C12638" t="str">
        <f>"207RC0000X"</f>
        <v>207RC0000X</v>
      </c>
      <c r="D12638" t="str">
        <f>"LANEY                    CHARLES      A           "</f>
        <v xml:space="preserve">LANEY                    CHARLES      A           </v>
      </c>
      <c r="E12638" t="str">
        <f>"OXFORD                    "</f>
        <v xml:space="preserve">OXFORD                    </v>
      </c>
      <c r="F12638" t="str">
        <f t="shared" si="329"/>
        <v>MS</v>
      </c>
    </row>
    <row r="12639" spans="1:6" x14ac:dyDescent="0.25">
      <c r="A12639" t="str">
        <f>"007425728"</f>
        <v>007425728</v>
      </c>
      <c r="B12639" t="str">
        <f>"1316297575"</f>
        <v>1316297575</v>
      </c>
      <c r="C12639" t="str">
        <f>"261QA0600X"</f>
        <v>261QA0600X</v>
      </c>
      <c r="D12639" t="str">
        <f>"SILVER LINING ADULT DAYCARE                       "</f>
        <v xml:space="preserve">SILVER LINING ADULT DAYCARE                       </v>
      </c>
      <c r="E12639" t="str">
        <f>"CARTHAGE                  "</f>
        <v xml:space="preserve">CARTHAGE                  </v>
      </c>
      <c r="F12639" t="str">
        <f t="shared" si="329"/>
        <v>MS</v>
      </c>
    </row>
    <row r="12640" spans="1:6" x14ac:dyDescent="0.25">
      <c r="A12640" t="str">
        <f>"007429088"</f>
        <v>007429088</v>
      </c>
      <c r="B12640" t="str">
        <f>"1437720315"</f>
        <v>1437720315</v>
      </c>
      <c r="C12640" t="str">
        <f>"152W00000X"</f>
        <v>152W00000X</v>
      </c>
      <c r="D12640" t="str">
        <f>"SOUTHAVEN PRIMARY EYE CARE                        "</f>
        <v xml:space="preserve">SOUTHAVEN PRIMARY EYE CARE                        </v>
      </c>
      <c r="E12640" t="str">
        <f>"SOUTHAVEN                 "</f>
        <v xml:space="preserve">SOUTHAVEN                 </v>
      </c>
      <c r="F12640" t="str">
        <f t="shared" si="329"/>
        <v>MS</v>
      </c>
    </row>
    <row r="12641" spans="1:6" x14ac:dyDescent="0.25">
      <c r="A12641" t="str">
        <f>"007430203"</f>
        <v>007430203</v>
      </c>
      <c r="B12641" t="str">
        <f>"1649423211"</f>
        <v>1649423211</v>
      </c>
      <c r="C12641" t="str">
        <f>"152W00000X"</f>
        <v>152W00000X</v>
      </c>
      <c r="D12641" t="str">
        <f>"REED                     JOHN         M           "</f>
        <v xml:space="preserve">REED                     JOHN         M           </v>
      </c>
      <c r="E12641" t="str">
        <f>"MAGEE                     "</f>
        <v xml:space="preserve">MAGEE                     </v>
      </c>
      <c r="F12641" t="str">
        <f t="shared" si="329"/>
        <v>MS</v>
      </c>
    </row>
    <row r="12642" spans="1:6" x14ac:dyDescent="0.25">
      <c r="A12642" t="str">
        <f>"007430842"</f>
        <v>007430842</v>
      </c>
      <c r="B12642" t="str">
        <f>"1184600736"</f>
        <v>1184600736</v>
      </c>
      <c r="C12642" t="str">
        <f>"261QA1903X"</f>
        <v>261QA1903X</v>
      </c>
      <c r="D12642" t="str">
        <f>"MERIDIAN SURGERY CENTER LLC                       "</f>
        <v xml:space="preserve">MERIDIAN SURGERY CENTER LLC                       </v>
      </c>
      <c r="E12642" t="str">
        <f>"MERIDIAN                  "</f>
        <v xml:space="preserve">MERIDIAN                  </v>
      </c>
      <c r="F12642" t="str">
        <f t="shared" si="329"/>
        <v>MS</v>
      </c>
    </row>
    <row r="12643" spans="1:6" x14ac:dyDescent="0.25">
      <c r="A12643" t="str">
        <f>"007430923"</f>
        <v>007430923</v>
      </c>
      <c r="B12643" t="str">
        <f>"1669811451"</f>
        <v>1669811451</v>
      </c>
      <c r="C12643" t="str">
        <f>"261QM1300X"</f>
        <v>261QM1300X</v>
      </c>
      <c r="D12643" t="str">
        <f>"HOPE FOR CHILDREN INC                             "</f>
        <v xml:space="preserve">HOPE FOR CHILDREN INC                             </v>
      </c>
      <c r="E12643" t="str">
        <f>"MERIDIAN                  "</f>
        <v xml:space="preserve">MERIDIAN                  </v>
      </c>
      <c r="F12643" t="str">
        <f t="shared" si="329"/>
        <v>MS</v>
      </c>
    </row>
    <row r="12644" spans="1:6" x14ac:dyDescent="0.25">
      <c r="A12644" t="str">
        <f>"007431222"</f>
        <v>007431222</v>
      </c>
      <c r="B12644" t="str">
        <f>"1285815613"</f>
        <v>1285815613</v>
      </c>
      <c r="C12644" t="str">
        <f>"363L00000X"</f>
        <v>363L00000X</v>
      </c>
      <c r="D12644" t="str">
        <f>"EDWARDS                  BELINDA      M           "</f>
        <v xml:space="preserve">EDWARDS                  BELINDA      M           </v>
      </c>
      <c r="E12644" t="str">
        <f>"JACKSON                   "</f>
        <v xml:space="preserve">JACKSON                   </v>
      </c>
      <c r="F12644" t="str">
        <f t="shared" si="329"/>
        <v>MS</v>
      </c>
    </row>
    <row r="12645" spans="1:6" x14ac:dyDescent="0.25">
      <c r="A12645" t="str">
        <f>"007433006"</f>
        <v>007433006</v>
      </c>
      <c r="B12645" t="str">
        <f>"1730679739"</f>
        <v>1730679739</v>
      </c>
      <c r="C12645" t="str">
        <f>"363L00000X"</f>
        <v>363L00000X</v>
      </c>
      <c r="D12645" t="str">
        <f>"TURAN                    ERICA        L           "</f>
        <v xml:space="preserve">TURAN                    ERICA        L           </v>
      </c>
      <c r="E12645" t="str">
        <f>"GULFPORT                  "</f>
        <v xml:space="preserve">GULFPORT                  </v>
      </c>
      <c r="F12645" t="str">
        <f t="shared" si="329"/>
        <v>MS</v>
      </c>
    </row>
    <row r="12646" spans="1:6" x14ac:dyDescent="0.25">
      <c r="A12646" t="str">
        <f>"007433385"</f>
        <v>007433385</v>
      </c>
      <c r="B12646" t="str">
        <f>"1891007134"</f>
        <v>1891007134</v>
      </c>
      <c r="C12646" t="str">
        <f>"207T00000X"</f>
        <v>207T00000X</v>
      </c>
      <c r="D12646" t="str">
        <f>"WEAVER                   KRISTIN      J           "</f>
        <v xml:space="preserve">WEAVER                   KRISTIN      J           </v>
      </c>
      <c r="E12646" t="str">
        <f>"JACKSON                   "</f>
        <v xml:space="preserve">JACKSON                   </v>
      </c>
      <c r="F12646" t="str">
        <f t="shared" si="329"/>
        <v>MS</v>
      </c>
    </row>
    <row r="12647" spans="1:6" x14ac:dyDescent="0.25">
      <c r="A12647" t="str">
        <f>"007433836"</f>
        <v>007433836</v>
      </c>
      <c r="B12647" t="str">
        <f>"1013271428"</f>
        <v>1013271428</v>
      </c>
      <c r="C12647" t="str">
        <f>"207V00000X"</f>
        <v>207V00000X</v>
      </c>
      <c r="D12647" t="str">
        <f>"MIZE                     ELIZABETH    K           "</f>
        <v xml:space="preserve">MIZE                     ELIZABETH    K           </v>
      </c>
      <c r="E12647" t="str">
        <f>"OXFORD                    "</f>
        <v xml:space="preserve">OXFORD                    </v>
      </c>
      <c r="F12647" t="str">
        <f t="shared" si="329"/>
        <v>MS</v>
      </c>
    </row>
    <row r="12648" spans="1:6" x14ac:dyDescent="0.25">
      <c r="A12648" t="str">
        <f>"007434517"</f>
        <v>007434517</v>
      </c>
      <c r="B12648" t="str">
        <f>"1720216492"</f>
        <v>1720216492</v>
      </c>
      <c r="C12648" t="str">
        <f>"208000000X"</f>
        <v>208000000X</v>
      </c>
      <c r="D12648" t="str">
        <f>"NAYLOR                   YAKEYLA                  "</f>
        <v xml:space="preserve">NAYLOR                   YAKEYLA                  </v>
      </c>
      <c r="E12648" t="str">
        <f>"HATTIESBURG               "</f>
        <v xml:space="preserve">HATTIESBURG               </v>
      </c>
      <c r="F12648" t="str">
        <f t="shared" si="329"/>
        <v>MS</v>
      </c>
    </row>
    <row r="12649" spans="1:6" x14ac:dyDescent="0.25">
      <c r="A12649" t="str">
        <f>"007434758"</f>
        <v>007434758</v>
      </c>
      <c r="B12649" t="str">
        <f>"1780909713"</f>
        <v>1780909713</v>
      </c>
      <c r="C12649" t="str">
        <f>"2086S0127X"</f>
        <v>2086S0127X</v>
      </c>
      <c r="D12649" t="str">
        <f>"IWUCHUKWU                CHINENYE                 "</f>
        <v xml:space="preserve">IWUCHUKWU                CHINENYE                 </v>
      </c>
      <c r="E12649" t="str">
        <f>"JACKSON                   "</f>
        <v xml:space="preserve">JACKSON                   </v>
      </c>
      <c r="F12649" t="str">
        <f t="shared" si="329"/>
        <v>MS</v>
      </c>
    </row>
    <row r="12650" spans="1:6" x14ac:dyDescent="0.25">
      <c r="A12650" t="str">
        <f>"007434814"</f>
        <v>007434814</v>
      </c>
      <c r="B12650" t="str">
        <f>"1063709657"</f>
        <v>1063709657</v>
      </c>
      <c r="C12650" t="str">
        <f>"207P00000X"</f>
        <v>207P00000X</v>
      </c>
      <c r="D12650" t="str">
        <f>"MCLEMORE                 GERALD       R           "</f>
        <v xml:space="preserve">MCLEMORE                 GERALD       R           </v>
      </c>
      <c r="E12650" t="str">
        <f>"CORINTH                   "</f>
        <v xml:space="preserve">CORINTH                   </v>
      </c>
      <c r="F12650" t="str">
        <f t="shared" si="329"/>
        <v>MS</v>
      </c>
    </row>
    <row r="12651" spans="1:6" x14ac:dyDescent="0.25">
      <c r="A12651" t="str">
        <f>"007435051"</f>
        <v>007435051</v>
      </c>
      <c r="B12651" t="str">
        <f>"1114318417"</f>
        <v>1114318417</v>
      </c>
      <c r="C12651" t="str">
        <f>"363L00000X"</f>
        <v>363L00000X</v>
      </c>
      <c r="D12651" t="str">
        <f>"BUNTIN                   JEFFERSON    R           "</f>
        <v xml:space="preserve">BUNTIN                   JEFFERSON    R           </v>
      </c>
      <c r="E12651" t="str">
        <f>"PICAYUNE                  "</f>
        <v xml:space="preserve">PICAYUNE                  </v>
      </c>
      <c r="F12651" t="str">
        <f t="shared" si="329"/>
        <v>MS</v>
      </c>
    </row>
    <row r="12652" spans="1:6" x14ac:dyDescent="0.25">
      <c r="A12652" t="str">
        <f>"007435218"</f>
        <v>007435218</v>
      </c>
      <c r="B12652" t="str">
        <f>"1033643432"</f>
        <v>1033643432</v>
      </c>
      <c r="C12652" t="str">
        <f>"363L00000X"</f>
        <v>363L00000X</v>
      </c>
      <c r="D12652" t="str">
        <f>"WHITE                    MELISSA      Y           "</f>
        <v xml:space="preserve">WHITE                    MELISSA      Y           </v>
      </c>
      <c r="E12652" t="str">
        <f>"GLUCKSTADT                "</f>
        <v xml:space="preserve">GLUCKSTADT                </v>
      </c>
      <c r="F12652" t="str">
        <f t="shared" si="329"/>
        <v>MS</v>
      </c>
    </row>
    <row r="12653" spans="1:6" x14ac:dyDescent="0.25">
      <c r="A12653" t="str">
        <f>"007436573"</f>
        <v>007436573</v>
      </c>
      <c r="B12653" t="str">
        <f>"1124382536"</f>
        <v>1124382536</v>
      </c>
      <c r="C12653" t="str">
        <f>"207R00000X"</f>
        <v>207R00000X</v>
      </c>
      <c r="D12653" t="str">
        <f>"TANGELLA                 SUDHEER                  "</f>
        <v xml:space="preserve">TANGELLA                 SUDHEER                  </v>
      </c>
      <c r="E12653" t="str">
        <f>"JACKSON                   "</f>
        <v xml:space="preserve">JACKSON                   </v>
      </c>
      <c r="F12653" t="str">
        <f t="shared" si="329"/>
        <v>MS</v>
      </c>
    </row>
    <row r="12654" spans="1:6" x14ac:dyDescent="0.25">
      <c r="A12654" t="str">
        <f>"007437399"</f>
        <v>007437399</v>
      </c>
      <c r="B12654" t="str">
        <f>"1457631053"</f>
        <v>1457631053</v>
      </c>
      <c r="C12654" t="str">
        <f>"363LF0000X"</f>
        <v>363LF0000X</v>
      </c>
      <c r="D12654" t="str">
        <f>"NORRIS WHITE             FELICIA      L           "</f>
        <v xml:space="preserve">NORRIS WHITE             FELICIA      L           </v>
      </c>
      <c r="E12654" t="str">
        <f>"GREENVILLE                "</f>
        <v xml:space="preserve">GREENVILLE                </v>
      </c>
      <c r="F12654" t="str">
        <f t="shared" si="329"/>
        <v>MS</v>
      </c>
    </row>
    <row r="12655" spans="1:6" x14ac:dyDescent="0.25">
      <c r="A12655" t="str">
        <f>"007438375"</f>
        <v>007438375</v>
      </c>
      <c r="B12655" t="str">
        <f>"1134671381"</f>
        <v>1134671381</v>
      </c>
      <c r="C12655" t="str">
        <f>"367500000X"</f>
        <v>367500000X</v>
      </c>
      <c r="D12655" t="str">
        <f>"TOLAR                    BRADLEY      E           "</f>
        <v xml:space="preserve">TOLAR                    BRADLEY      E           </v>
      </c>
      <c r="E12655" t="str">
        <f>"HATTIESBURG               "</f>
        <v xml:space="preserve">HATTIESBURG               </v>
      </c>
      <c r="F12655" t="str">
        <f t="shared" si="329"/>
        <v>MS</v>
      </c>
    </row>
    <row r="12656" spans="1:6" x14ac:dyDescent="0.25">
      <c r="A12656" t="str">
        <f>"007439241"</f>
        <v>007439241</v>
      </c>
      <c r="B12656" t="str">
        <f>"1770946493"</f>
        <v>1770946493</v>
      </c>
      <c r="C12656" t="str">
        <f>"207P00000X"</f>
        <v>207P00000X</v>
      </c>
      <c r="D12656" t="str">
        <f>"YOUNG                    THOMAS       C           "</f>
        <v xml:space="preserve">YOUNG                    THOMAS       C           </v>
      </c>
      <c r="E12656" t="str">
        <f>"JACKSON                   "</f>
        <v xml:space="preserve">JACKSON                   </v>
      </c>
      <c r="F12656" t="str">
        <f t="shared" si="329"/>
        <v>MS</v>
      </c>
    </row>
    <row r="12657" spans="1:6" x14ac:dyDescent="0.25">
      <c r="A12657" t="str">
        <f>"007439551"</f>
        <v>007439551</v>
      </c>
      <c r="B12657" t="str">
        <f>"1245694751"</f>
        <v>1245694751</v>
      </c>
      <c r="C12657" t="str">
        <f>"207R00000X"</f>
        <v>207R00000X</v>
      </c>
      <c r="D12657" t="str">
        <f>"MCDANIEL                 CHRISTOPHER              "</f>
        <v xml:space="preserve">MCDANIEL                 CHRISTOPHER              </v>
      </c>
      <c r="E12657" t="str">
        <f>"SOUTHAVEN                 "</f>
        <v xml:space="preserve">SOUTHAVEN                 </v>
      </c>
      <c r="F12657" t="str">
        <f t="shared" si="329"/>
        <v>MS</v>
      </c>
    </row>
    <row r="12658" spans="1:6" x14ac:dyDescent="0.25">
      <c r="A12658" t="str">
        <f>"007450231"</f>
        <v>007450231</v>
      </c>
      <c r="B12658" t="str">
        <f>"1184167553"</f>
        <v>1184167553</v>
      </c>
      <c r="C12658" t="str">
        <f>"122300000X"</f>
        <v>122300000X</v>
      </c>
      <c r="D12658" t="str">
        <f>"COASTAL PEDIATRIC DENTISTRY                       "</f>
        <v xml:space="preserve">COASTAL PEDIATRIC DENTISTRY                       </v>
      </c>
      <c r="E12658" t="str">
        <f>"GULFPORT                  "</f>
        <v xml:space="preserve">GULFPORT                  </v>
      </c>
      <c r="F12658" t="str">
        <f t="shared" si="329"/>
        <v>MS</v>
      </c>
    </row>
    <row r="12659" spans="1:6" x14ac:dyDescent="0.25">
      <c r="A12659" t="str">
        <f>"007451760"</f>
        <v>007451760</v>
      </c>
      <c r="B12659" t="str">
        <f>"1790337921"</f>
        <v>1790337921</v>
      </c>
      <c r="C12659" t="str">
        <f>"122300000X"</f>
        <v>122300000X</v>
      </c>
      <c r="D12659" t="str">
        <f>"WASSON                   KATIE        L           "</f>
        <v xml:space="preserve">WASSON                   KATIE        L           </v>
      </c>
      <c r="E12659" t="str">
        <f>"PEARL                     "</f>
        <v xml:space="preserve">PEARL                     </v>
      </c>
      <c r="F12659" t="str">
        <f t="shared" si="329"/>
        <v>MS</v>
      </c>
    </row>
    <row r="12660" spans="1:6" x14ac:dyDescent="0.25">
      <c r="A12660" t="str">
        <f>"007451813"</f>
        <v>007451813</v>
      </c>
      <c r="B12660" t="str">
        <f>"1043229990"</f>
        <v>1043229990</v>
      </c>
      <c r="C12660" t="str">
        <f>"207X00000X"</f>
        <v>207X00000X</v>
      </c>
      <c r="D12660" t="str">
        <f>"LEWIS                    ERIC         V           "</f>
        <v xml:space="preserve">LEWIS                    ERIC         V           </v>
      </c>
      <c r="E12660" t="str">
        <f>"TUPELO                    "</f>
        <v xml:space="preserve">TUPELO                    </v>
      </c>
      <c r="F12660" t="str">
        <f t="shared" si="329"/>
        <v>MS</v>
      </c>
    </row>
    <row r="12661" spans="1:6" x14ac:dyDescent="0.25">
      <c r="A12661" t="str">
        <f>"007454298"</f>
        <v>007454298</v>
      </c>
      <c r="B12661" t="str">
        <f>"1609193093"</f>
        <v>1609193093</v>
      </c>
      <c r="C12661" t="str">
        <f>"207RP1001X"</f>
        <v>207RP1001X</v>
      </c>
      <c r="D12661" t="str">
        <f>"BARTON                   JULIA        H           "</f>
        <v xml:space="preserve">BARTON                   JULIA        H           </v>
      </c>
      <c r="E12661" t="str">
        <f>"SOUTHAVEN                 "</f>
        <v xml:space="preserve">SOUTHAVEN                 </v>
      </c>
      <c r="F12661" t="str">
        <f t="shared" si="329"/>
        <v>MS</v>
      </c>
    </row>
    <row r="12662" spans="1:6" x14ac:dyDescent="0.25">
      <c r="A12662" t="str">
        <f>"007455014"</f>
        <v>007455014</v>
      </c>
      <c r="B12662" t="str">
        <f>"1295977346"</f>
        <v>1295977346</v>
      </c>
      <c r="C12662" t="str">
        <f>"207P00000X"</f>
        <v>207P00000X</v>
      </c>
      <c r="D12662" t="str">
        <f>"TURNER                   TIMOTHY      S           "</f>
        <v xml:space="preserve">TURNER                   TIMOTHY      S           </v>
      </c>
      <c r="E12662" t="str">
        <f>"PHILADELPHIA              "</f>
        <v xml:space="preserve">PHILADELPHIA              </v>
      </c>
      <c r="F12662" t="str">
        <f t="shared" si="329"/>
        <v>MS</v>
      </c>
    </row>
    <row r="12663" spans="1:6" x14ac:dyDescent="0.25">
      <c r="A12663" t="str">
        <f>"007455365"</f>
        <v>007455365</v>
      </c>
      <c r="B12663" t="str">
        <f>"1700040136"</f>
        <v>1700040136</v>
      </c>
      <c r="C12663" t="str">
        <f>"122300000X"</f>
        <v>122300000X</v>
      </c>
      <c r="D12663" t="str">
        <f>"LEE D CASEY DMD LLC                               "</f>
        <v xml:space="preserve">LEE D CASEY DMD LLC                               </v>
      </c>
      <c r="E12663" t="str">
        <f>"LIBERTY                   "</f>
        <v xml:space="preserve">LIBERTY                   </v>
      </c>
      <c r="F12663" t="str">
        <f t="shared" si="329"/>
        <v>MS</v>
      </c>
    </row>
    <row r="12664" spans="1:6" x14ac:dyDescent="0.25">
      <c r="A12664" t="str">
        <f>"007457571"</f>
        <v>007457571</v>
      </c>
      <c r="B12664" t="str">
        <f>"1467886937"</f>
        <v>1467886937</v>
      </c>
      <c r="C12664" t="str">
        <f>"363L00000X"</f>
        <v>363L00000X</v>
      </c>
      <c r="D12664" t="str">
        <f>"FISHER                   THOMAS       P           "</f>
        <v xml:space="preserve">FISHER                   THOMAS       P           </v>
      </c>
      <c r="E12664" t="str">
        <f>"YAZOO CITY                "</f>
        <v xml:space="preserve">YAZOO CITY                </v>
      </c>
      <c r="F12664" t="str">
        <f t="shared" si="329"/>
        <v>MS</v>
      </c>
    </row>
    <row r="12665" spans="1:6" x14ac:dyDescent="0.25">
      <c r="A12665" t="str">
        <f>"007457850"</f>
        <v>007457850</v>
      </c>
      <c r="B12665" t="str">
        <f>"1548847148"</f>
        <v>1548847148</v>
      </c>
      <c r="C12665" t="str">
        <f>"207L00000X"</f>
        <v>207L00000X</v>
      </c>
      <c r="D12665" t="str">
        <f>"IRBY                     JOSHUA                   "</f>
        <v xml:space="preserve">IRBY                     JOSHUA                   </v>
      </c>
      <c r="E12665" t="str">
        <f>"JACKSON                   "</f>
        <v xml:space="preserve">JACKSON                   </v>
      </c>
      <c r="F12665" t="str">
        <f t="shared" si="329"/>
        <v>MS</v>
      </c>
    </row>
    <row r="12666" spans="1:6" x14ac:dyDescent="0.25">
      <c r="A12666" t="str">
        <f>"007458853"</f>
        <v>007458853</v>
      </c>
      <c r="B12666" t="str">
        <f>"1871943324"</f>
        <v>1871943324</v>
      </c>
      <c r="C12666" t="str">
        <f>"363L00000X"</f>
        <v>363L00000X</v>
      </c>
      <c r="D12666" t="str">
        <f>"PALMER                   DONNA        C           "</f>
        <v xml:space="preserve">PALMER                   DONNA        C           </v>
      </c>
      <c r="E12666" t="str">
        <f>"MERIDIAN                  "</f>
        <v xml:space="preserve">MERIDIAN                  </v>
      </c>
      <c r="F12666" t="str">
        <f t="shared" si="329"/>
        <v>MS</v>
      </c>
    </row>
    <row r="12667" spans="1:6" x14ac:dyDescent="0.25">
      <c r="A12667" t="str">
        <f>"007458861"</f>
        <v>007458861</v>
      </c>
      <c r="B12667" t="str">
        <f>"1710180807"</f>
        <v>1710180807</v>
      </c>
      <c r="C12667" t="str">
        <f>"122300000X"</f>
        <v>122300000X</v>
      </c>
      <c r="D12667" t="str">
        <f>"HAMMER                   LARISSA      N           "</f>
        <v xml:space="preserve">HAMMER                   LARISSA      N           </v>
      </c>
      <c r="E12667" t="str">
        <f>"OXFORD                    "</f>
        <v xml:space="preserve">OXFORD                    </v>
      </c>
      <c r="F12667" t="str">
        <f t="shared" si="329"/>
        <v>MS</v>
      </c>
    </row>
    <row r="12668" spans="1:6" x14ac:dyDescent="0.25">
      <c r="A12668" t="str">
        <f>"007459306"</f>
        <v>007459306</v>
      </c>
      <c r="B12668" t="str">
        <f>"1093313397"</f>
        <v>1093313397</v>
      </c>
      <c r="C12668" t="str">
        <f>"363L00000X"</f>
        <v>363L00000X</v>
      </c>
      <c r="D12668" t="str">
        <f>"HALLMARK                 BRENT                    "</f>
        <v xml:space="preserve">HALLMARK                 BRENT                    </v>
      </c>
      <c r="E12668" t="str">
        <f>"TUPELO                    "</f>
        <v xml:space="preserve">TUPELO                    </v>
      </c>
      <c r="F12668" t="str">
        <f t="shared" si="329"/>
        <v>MS</v>
      </c>
    </row>
    <row r="12669" spans="1:6" x14ac:dyDescent="0.25">
      <c r="A12669" t="str">
        <f>"007459763"</f>
        <v>007459763</v>
      </c>
      <c r="B12669" t="str">
        <f>"1346990520"</f>
        <v>1346990520</v>
      </c>
      <c r="C12669" t="str">
        <f>"363L00000X"</f>
        <v>363L00000X</v>
      </c>
      <c r="D12669" t="str">
        <f>"LYAS                     PILAR        D           "</f>
        <v xml:space="preserve">LYAS                     PILAR        D           </v>
      </c>
      <c r="E12669" t="str">
        <f>"HATTIESBURG               "</f>
        <v xml:space="preserve">HATTIESBURG               </v>
      </c>
      <c r="F12669" t="str">
        <f t="shared" si="329"/>
        <v>MS</v>
      </c>
    </row>
    <row r="12670" spans="1:6" x14ac:dyDescent="0.25">
      <c r="A12670" t="str">
        <f>"007471311"</f>
        <v>007471311</v>
      </c>
      <c r="B12670" t="str">
        <f>"1962680900"</f>
        <v>1962680900</v>
      </c>
      <c r="C12670" t="str">
        <f>"367500000X"</f>
        <v>367500000X</v>
      </c>
      <c r="D12670" t="str">
        <f>"FREEMAN                  CATHERINE    C           "</f>
        <v xml:space="preserve">FREEMAN                  CATHERINE    C           </v>
      </c>
      <c r="E12670" t="str">
        <f>"JACKSON                   "</f>
        <v xml:space="preserve">JACKSON                   </v>
      </c>
      <c r="F12670" t="str">
        <f t="shared" ref="F12670:F12733" si="330">"MS"</f>
        <v>MS</v>
      </c>
    </row>
    <row r="12671" spans="1:6" x14ac:dyDescent="0.25">
      <c r="A12671" t="str">
        <f>"007471551"</f>
        <v>007471551</v>
      </c>
      <c r="B12671" t="str">
        <f>"1821455932"</f>
        <v>1821455932</v>
      </c>
      <c r="C12671" t="str">
        <f>"261QM0801X"</f>
        <v>261QM0801X</v>
      </c>
      <c r="D12671" t="str">
        <f>"MILESTONE                                         "</f>
        <v xml:space="preserve">MILESTONE                                         </v>
      </c>
      <c r="E12671" t="str">
        <f>"CLARKSDALE                "</f>
        <v xml:space="preserve">CLARKSDALE                </v>
      </c>
      <c r="F12671" t="str">
        <f t="shared" si="330"/>
        <v>MS</v>
      </c>
    </row>
    <row r="12672" spans="1:6" x14ac:dyDescent="0.25">
      <c r="A12672" t="str">
        <f>"007472038"</f>
        <v>007472038</v>
      </c>
      <c r="B12672" t="str">
        <f>"1710398714"</f>
        <v>1710398714</v>
      </c>
      <c r="C12672" t="str">
        <f>"207P00000X"</f>
        <v>207P00000X</v>
      </c>
      <c r="D12672" t="str">
        <f>"HYATT                    BRANDI                   "</f>
        <v xml:space="preserve">HYATT                    BRANDI                   </v>
      </c>
      <c r="E12672" t="str">
        <f>"JACKSON                   "</f>
        <v xml:space="preserve">JACKSON                   </v>
      </c>
      <c r="F12672" t="str">
        <f t="shared" si="330"/>
        <v>MS</v>
      </c>
    </row>
    <row r="12673" spans="1:6" x14ac:dyDescent="0.25">
      <c r="A12673" t="str">
        <f>"007472251"</f>
        <v>007472251</v>
      </c>
      <c r="B12673" t="str">
        <f>"1720649577"</f>
        <v>1720649577</v>
      </c>
      <c r="C12673" t="str">
        <f>"261QR1300X"</f>
        <v>261QR1300X</v>
      </c>
      <c r="D12673" t="str">
        <f>"MRH MEDICAL GROUP, BELMONT                        "</f>
        <v xml:space="preserve">MRH MEDICAL GROUP, BELMONT                        </v>
      </c>
      <c r="E12673" t="str">
        <f>"BELMONT                   "</f>
        <v xml:space="preserve">BELMONT                   </v>
      </c>
      <c r="F12673" t="str">
        <f t="shared" si="330"/>
        <v>MS</v>
      </c>
    </row>
    <row r="12674" spans="1:6" x14ac:dyDescent="0.25">
      <c r="A12674" t="str">
        <f>"007473818"</f>
        <v>007473818</v>
      </c>
      <c r="B12674" t="str">
        <f>"1124226170"</f>
        <v>1124226170</v>
      </c>
      <c r="C12674" t="str">
        <f>"2085P0229X"</f>
        <v>2085P0229X</v>
      </c>
      <c r="D12674" t="str">
        <f>"STEINER                  MICHAEL      A           "</f>
        <v xml:space="preserve">STEINER                  MICHAEL      A           </v>
      </c>
      <c r="E12674" t="str">
        <f>"JACKSON                   "</f>
        <v xml:space="preserve">JACKSON                   </v>
      </c>
      <c r="F12674" t="str">
        <f t="shared" si="330"/>
        <v>MS</v>
      </c>
    </row>
    <row r="12675" spans="1:6" x14ac:dyDescent="0.25">
      <c r="A12675" t="str">
        <f>"007476058"</f>
        <v>007476058</v>
      </c>
      <c r="B12675" t="str">
        <f>"1144703521"</f>
        <v>1144703521</v>
      </c>
      <c r="C12675" t="str">
        <f>"363L00000X"</f>
        <v>363L00000X</v>
      </c>
      <c r="D12675" t="str">
        <f>"ALAMRY                   SHELLY                   "</f>
        <v xml:space="preserve">ALAMRY                   SHELLY                   </v>
      </c>
      <c r="E12675" t="str">
        <f>"FLOWOOD                   "</f>
        <v xml:space="preserve">FLOWOOD                   </v>
      </c>
      <c r="F12675" t="str">
        <f t="shared" si="330"/>
        <v>MS</v>
      </c>
    </row>
    <row r="12676" spans="1:6" x14ac:dyDescent="0.25">
      <c r="A12676" t="str">
        <f>"007476720"</f>
        <v>007476720</v>
      </c>
      <c r="B12676" t="str">
        <f>"1629365853"</f>
        <v>1629365853</v>
      </c>
      <c r="C12676" t="str">
        <f>"207Q00000X"</f>
        <v>207Q00000X</v>
      </c>
      <c r="D12676" t="str">
        <f>"WEBB                     CHRISTOPHER  N           "</f>
        <v xml:space="preserve">WEBB                     CHRISTOPHER  N           </v>
      </c>
      <c r="E12676" t="str">
        <f>"PHILADELPHIA              "</f>
        <v xml:space="preserve">PHILADELPHIA              </v>
      </c>
      <c r="F12676" t="str">
        <f t="shared" si="330"/>
        <v>MS</v>
      </c>
    </row>
    <row r="12677" spans="1:6" x14ac:dyDescent="0.25">
      <c r="A12677" t="str">
        <f>"007477295"</f>
        <v>007477295</v>
      </c>
      <c r="B12677" t="str">
        <f>"1205334513"</f>
        <v>1205334513</v>
      </c>
      <c r="C12677" t="str">
        <f>"261QE0700X"</f>
        <v>261QE0700X</v>
      </c>
      <c r="D12677" t="str">
        <f>"RCG OF TUPELO                                     "</f>
        <v xml:space="preserve">RCG OF TUPELO                                     </v>
      </c>
      <c r="E12677" t="str">
        <f>"TUPELO                    "</f>
        <v xml:space="preserve">TUPELO                    </v>
      </c>
      <c r="F12677" t="str">
        <f t="shared" si="330"/>
        <v>MS</v>
      </c>
    </row>
    <row r="12678" spans="1:6" x14ac:dyDescent="0.25">
      <c r="A12678" t="str">
        <f>"007477559"</f>
        <v>007477559</v>
      </c>
      <c r="B12678" t="str">
        <f>"1972111409"</f>
        <v>1972111409</v>
      </c>
      <c r="C12678" t="str">
        <f>"363L00000X"</f>
        <v>363L00000X</v>
      </c>
      <c r="D12678" t="str">
        <f>"BECK                     JESSICA      N           "</f>
        <v xml:space="preserve">BECK                     JESSICA      N           </v>
      </c>
      <c r="E12678" t="str">
        <f>"OCEAN SPRINGS             "</f>
        <v xml:space="preserve">OCEAN SPRINGS             </v>
      </c>
      <c r="F12678" t="str">
        <f t="shared" si="330"/>
        <v>MS</v>
      </c>
    </row>
    <row r="12679" spans="1:6" x14ac:dyDescent="0.25">
      <c r="A12679" t="str">
        <f>"007478048"</f>
        <v>007478048</v>
      </c>
      <c r="B12679" t="str">
        <f>"1205589157"</f>
        <v>1205589157</v>
      </c>
      <c r="C12679" t="str">
        <f>"363L00000X"</f>
        <v>363L00000X</v>
      </c>
      <c r="D12679" t="str">
        <f>"SISSON                   ALLYN        C           "</f>
        <v xml:space="preserve">SISSON                   ALLYN        C           </v>
      </c>
      <c r="E12679" t="str">
        <f>"MERIDIAN                  "</f>
        <v xml:space="preserve">MERIDIAN                  </v>
      </c>
      <c r="F12679" t="str">
        <f t="shared" si="330"/>
        <v>MS</v>
      </c>
    </row>
    <row r="12680" spans="1:6" x14ac:dyDescent="0.25">
      <c r="A12680" t="str">
        <f>"007478801"</f>
        <v>007478801</v>
      </c>
      <c r="B12680" t="str">
        <f>"1760150833"</f>
        <v>1760150833</v>
      </c>
      <c r="C12680" t="str">
        <f>"122300000X"</f>
        <v>122300000X</v>
      </c>
      <c r="D12680" t="str">
        <f>"DOWNS FAMILY DENTISTRY                            "</f>
        <v xml:space="preserve">DOWNS FAMILY DENTISTRY                            </v>
      </c>
      <c r="E12680" t="str">
        <f>"BOONEVILLE                "</f>
        <v xml:space="preserve">BOONEVILLE                </v>
      </c>
      <c r="F12680" t="str">
        <f t="shared" si="330"/>
        <v>MS</v>
      </c>
    </row>
    <row r="12681" spans="1:6" x14ac:dyDescent="0.25">
      <c r="A12681" t="str">
        <f>"007479081"</f>
        <v>007479081</v>
      </c>
      <c r="B12681" t="str">
        <f>"1356961437"</f>
        <v>1356961437</v>
      </c>
      <c r="C12681" t="str">
        <f>"208000000X"</f>
        <v>208000000X</v>
      </c>
      <c r="D12681" t="str">
        <f>"ADEYEMI                  ELIZABETH    I           "</f>
        <v xml:space="preserve">ADEYEMI                  ELIZABETH    I           </v>
      </c>
      <c r="E12681" t="str">
        <f>"JACKSON                   "</f>
        <v xml:space="preserve">JACKSON                   </v>
      </c>
      <c r="F12681" t="str">
        <f t="shared" si="330"/>
        <v>MS</v>
      </c>
    </row>
    <row r="12682" spans="1:6" x14ac:dyDescent="0.25">
      <c r="A12682" t="str">
        <f>"007479201"</f>
        <v>007479201</v>
      </c>
      <c r="B12682" t="str">
        <f>"1972254829"</f>
        <v>1972254829</v>
      </c>
      <c r="C12682" t="str">
        <f>"363L00000X"</f>
        <v>363L00000X</v>
      </c>
      <c r="D12682" t="str">
        <f>"MCKINNON                 JESSICA      R           "</f>
        <v xml:space="preserve">MCKINNON                 JESSICA      R           </v>
      </c>
      <c r="E12682" t="str">
        <f>"LAUREL                    "</f>
        <v xml:space="preserve">LAUREL                    </v>
      </c>
      <c r="F12682" t="str">
        <f t="shared" si="330"/>
        <v>MS</v>
      </c>
    </row>
    <row r="12683" spans="1:6" x14ac:dyDescent="0.25">
      <c r="A12683" t="str">
        <f>"007480797"</f>
        <v>007480797</v>
      </c>
      <c r="B12683" t="str">
        <f>"1083158554"</f>
        <v>1083158554</v>
      </c>
      <c r="C12683" t="str">
        <f>"367500000X"</f>
        <v>367500000X</v>
      </c>
      <c r="D12683" t="str">
        <f>"JOHNSON                  JACOB        H           "</f>
        <v xml:space="preserve">JOHNSON                  JACOB        H           </v>
      </c>
      <c r="E12683" t="str">
        <f>"CORINTH                   "</f>
        <v xml:space="preserve">CORINTH                   </v>
      </c>
      <c r="F12683" t="str">
        <f t="shared" si="330"/>
        <v>MS</v>
      </c>
    </row>
    <row r="12684" spans="1:6" x14ac:dyDescent="0.25">
      <c r="A12684" t="str">
        <f>"007482223"</f>
        <v>007482223</v>
      </c>
      <c r="B12684" t="str">
        <f>"1447271713"</f>
        <v>1447271713</v>
      </c>
      <c r="C12684" t="str">
        <f>"261QA1903X"</f>
        <v>261QA1903X</v>
      </c>
      <c r="D12684" t="str">
        <f>"COLUMBUS ORTHOPEDIC OUTPATIENT CTR                "</f>
        <v xml:space="preserve">COLUMBUS ORTHOPEDIC OUTPATIENT CTR                </v>
      </c>
      <c r="E12684" t="str">
        <f>"COLUMBUS                  "</f>
        <v xml:space="preserve">COLUMBUS                  </v>
      </c>
      <c r="F12684" t="str">
        <f t="shared" si="330"/>
        <v>MS</v>
      </c>
    </row>
    <row r="12685" spans="1:6" x14ac:dyDescent="0.25">
      <c r="A12685" t="str">
        <f>"007482264"</f>
        <v>007482264</v>
      </c>
      <c r="B12685" t="str">
        <f>"1194142703"</f>
        <v>1194142703</v>
      </c>
      <c r="C12685" t="str">
        <f>"363L00000X"</f>
        <v>363L00000X</v>
      </c>
      <c r="D12685" t="str">
        <f>"EARNEST                  JENNAGRACE   C           "</f>
        <v xml:space="preserve">EARNEST                  JENNAGRACE   C           </v>
      </c>
      <c r="E12685" t="str">
        <f>"TUPELO                    "</f>
        <v xml:space="preserve">TUPELO                    </v>
      </c>
      <c r="F12685" t="str">
        <f t="shared" si="330"/>
        <v>MS</v>
      </c>
    </row>
    <row r="12686" spans="1:6" x14ac:dyDescent="0.25">
      <c r="A12686" t="str">
        <f>"007483295"</f>
        <v>007483295</v>
      </c>
      <c r="B12686" t="str">
        <f>"1013942895"</f>
        <v>1013942895</v>
      </c>
      <c r="C12686" t="str">
        <f>"207RG0300X"</f>
        <v>207RG0300X</v>
      </c>
      <c r="D12686" t="str">
        <f>"TARVER                   KIMBERLY     C           "</f>
        <v xml:space="preserve">TARVER                   KIMBERLY     C           </v>
      </c>
      <c r="E12686" t="str">
        <f>"JACKSON                   "</f>
        <v xml:space="preserve">JACKSON                   </v>
      </c>
      <c r="F12686" t="str">
        <f t="shared" si="330"/>
        <v>MS</v>
      </c>
    </row>
    <row r="12687" spans="1:6" x14ac:dyDescent="0.25">
      <c r="A12687" t="str">
        <f>"007484021"</f>
        <v>007484021</v>
      </c>
      <c r="B12687" t="str">
        <f>"1982062170"</f>
        <v>1982062170</v>
      </c>
      <c r="C12687" t="str">
        <f>"363L00000X"</f>
        <v>363L00000X</v>
      </c>
      <c r="D12687" t="str">
        <f>"DAMICO                   JAMIE                    "</f>
        <v xml:space="preserve">DAMICO                   JAMIE                    </v>
      </c>
      <c r="E12687" t="str">
        <f>"OCEAN SPRINGS             "</f>
        <v xml:space="preserve">OCEAN SPRINGS             </v>
      </c>
      <c r="F12687" t="str">
        <f t="shared" si="330"/>
        <v>MS</v>
      </c>
    </row>
    <row r="12688" spans="1:6" x14ac:dyDescent="0.25">
      <c r="A12688" t="str">
        <f>"007486369"</f>
        <v>007486369</v>
      </c>
      <c r="B12688" t="str">
        <f>"1316450125"</f>
        <v>1316450125</v>
      </c>
      <c r="C12688" t="str">
        <f>"363L00000X"</f>
        <v>363L00000X</v>
      </c>
      <c r="D12688" t="str">
        <f>"SHAW                     WILLIAM      A           "</f>
        <v xml:space="preserve">SHAW                     WILLIAM      A           </v>
      </c>
      <c r="E12688" t="str">
        <f>"HAZLEHURST                "</f>
        <v xml:space="preserve">HAZLEHURST                </v>
      </c>
      <c r="F12688" t="str">
        <f t="shared" si="330"/>
        <v>MS</v>
      </c>
    </row>
    <row r="12689" spans="1:6" x14ac:dyDescent="0.25">
      <c r="A12689" t="str">
        <f>"007486872"</f>
        <v>007486872</v>
      </c>
      <c r="B12689" t="str">
        <f>"1720456700"</f>
        <v>1720456700</v>
      </c>
      <c r="C12689" t="str">
        <f>"363L00000X"</f>
        <v>363L00000X</v>
      </c>
      <c r="D12689" t="str">
        <f>"PEARSON                  LEANNA                   "</f>
        <v xml:space="preserve">PEARSON                  LEANNA                   </v>
      </c>
      <c r="E12689" t="str">
        <f>"NEW ALBANY                "</f>
        <v xml:space="preserve">NEW ALBANY                </v>
      </c>
      <c r="F12689" t="str">
        <f t="shared" si="330"/>
        <v>MS</v>
      </c>
    </row>
    <row r="12690" spans="1:6" x14ac:dyDescent="0.25">
      <c r="A12690" t="str">
        <f>"007488727"</f>
        <v>007488727</v>
      </c>
      <c r="B12690" t="str">
        <f>"1720032436"</f>
        <v>1720032436</v>
      </c>
      <c r="C12690" t="str">
        <f>"2084N0400X"</f>
        <v>2084N0400X</v>
      </c>
      <c r="D12690" t="str">
        <f>"CHOUFANI                 DANI         I           "</f>
        <v xml:space="preserve">CHOUFANI                 DANI         I           </v>
      </c>
      <c r="E12690" t="str">
        <f>"JACKSON                   "</f>
        <v xml:space="preserve">JACKSON                   </v>
      </c>
      <c r="F12690" t="str">
        <f t="shared" si="330"/>
        <v>MS</v>
      </c>
    </row>
    <row r="12691" spans="1:6" x14ac:dyDescent="0.25">
      <c r="A12691" t="str">
        <f>"007488743"</f>
        <v>007488743</v>
      </c>
      <c r="B12691" t="str">
        <f>"1922287374"</f>
        <v>1922287374</v>
      </c>
      <c r="C12691" t="str">
        <f>"363A00000X"</f>
        <v>363A00000X</v>
      </c>
      <c r="D12691" t="str">
        <f>"STONE                    JENNIFER     H           "</f>
        <v xml:space="preserve">STONE                    JENNIFER     H           </v>
      </c>
      <c r="E12691" t="str">
        <f>"TUPELO                    "</f>
        <v xml:space="preserve">TUPELO                    </v>
      </c>
      <c r="F12691" t="str">
        <f t="shared" si="330"/>
        <v>MS</v>
      </c>
    </row>
    <row r="12692" spans="1:6" x14ac:dyDescent="0.25">
      <c r="A12692" t="str">
        <f>"007500571"</f>
        <v>007500571</v>
      </c>
      <c r="B12692" t="str">
        <f>"1659630911"</f>
        <v>1659630911</v>
      </c>
      <c r="C12692" t="str">
        <f>"207Y00000X"</f>
        <v>207Y00000X</v>
      </c>
      <c r="D12692" t="str">
        <f>"WINFORD                  TYLER        W           "</f>
        <v xml:space="preserve">WINFORD                  TYLER        W           </v>
      </c>
      <c r="E12692" t="str">
        <f>"MADISON                   "</f>
        <v xml:space="preserve">MADISON                   </v>
      </c>
      <c r="F12692" t="str">
        <f t="shared" si="330"/>
        <v>MS</v>
      </c>
    </row>
    <row r="12693" spans="1:6" x14ac:dyDescent="0.25">
      <c r="A12693" t="str">
        <f>"007501051"</f>
        <v>007501051</v>
      </c>
      <c r="B12693" t="str">
        <f>"1265879035"</f>
        <v>1265879035</v>
      </c>
      <c r="C12693" t="str">
        <f>"122300000X"</f>
        <v>122300000X</v>
      </c>
      <c r="D12693" t="str">
        <f>"JONES                    WILLIAM      H           "</f>
        <v xml:space="preserve">JONES                    WILLIAM      H           </v>
      </c>
      <c r="E12693" t="str">
        <f>"VICKSBURG                 "</f>
        <v xml:space="preserve">VICKSBURG                 </v>
      </c>
      <c r="F12693" t="str">
        <f t="shared" si="330"/>
        <v>MS</v>
      </c>
    </row>
    <row r="12694" spans="1:6" x14ac:dyDescent="0.25">
      <c r="A12694" t="str">
        <f>"007501378"</f>
        <v>007501378</v>
      </c>
      <c r="B12694" t="str">
        <f>"1548608128"</f>
        <v>1548608128</v>
      </c>
      <c r="C12694" t="str">
        <f>"363L00000X"</f>
        <v>363L00000X</v>
      </c>
      <c r="D12694" t="str">
        <f>"GOSS                     JENNIFER     L           "</f>
        <v xml:space="preserve">GOSS                     JENNIFER     L           </v>
      </c>
      <c r="E12694" t="str">
        <f>"GRENADA                   "</f>
        <v xml:space="preserve">GRENADA                   </v>
      </c>
      <c r="F12694" t="str">
        <f t="shared" si="330"/>
        <v>MS</v>
      </c>
    </row>
    <row r="12695" spans="1:6" x14ac:dyDescent="0.25">
      <c r="A12695" t="str">
        <f>"007502843"</f>
        <v>007502843</v>
      </c>
      <c r="B12695" t="str">
        <f>"1235511874"</f>
        <v>1235511874</v>
      </c>
      <c r="C12695" t="str">
        <f>"207R00000X"</f>
        <v>207R00000X</v>
      </c>
      <c r="D12695" t="str">
        <f>"KHADER                   ASMA         B           "</f>
        <v xml:space="preserve">KHADER                   ASMA         B           </v>
      </c>
      <c r="E12695" t="str">
        <f>"HATTIESBURG               "</f>
        <v xml:space="preserve">HATTIESBURG               </v>
      </c>
      <c r="F12695" t="str">
        <f t="shared" si="330"/>
        <v>MS</v>
      </c>
    </row>
    <row r="12696" spans="1:6" x14ac:dyDescent="0.25">
      <c r="A12696" t="str">
        <f>"007505394"</f>
        <v>007505394</v>
      </c>
      <c r="B12696" t="str">
        <f>"1992268064"</f>
        <v>1992268064</v>
      </c>
      <c r="C12696" t="str">
        <f>"207P00000X"</f>
        <v>207P00000X</v>
      </c>
      <c r="D12696" t="str">
        <f>"ROSS                     VICTORIA     L           "</f>
        <v xml:space="preserve">ROSS                     VICTORIA     L           </v>
      </c>
      <c r="E12696" t="str">
        <f>"JACKSON                   "</f>
        <v xml:space="preserve">JACKSON                   </v>
      </c>
      <c r="F12696" t="str">
        <f t="shared" si="330"/>
        <v>MS</v>
      </c>
    </row>
    <row r="12697" spans="1:6" x14ac:dyDescent="0.25">
      <c r="A12697" t="str">
        <f>"007506566"</f>
        <v>007506566</v>
      </c>
      <c r="B12697" t="str">
        <f>"1164688891"</f>
        <v>1164688891</v>
      </c>
      <c r="C12697" t="str">
        <f>"363L00000X"</f>
        <v>363L00000X</v>
      </c>
      <c r="D12697" t="str">
        <f>"BUTLER                   STEPHANIE                "</f>
        <v xml:space="preserve">BUTLER                   STEPHANIE                </v>
      </c>
      <c r="E12697" t="str">
        <f>"CANTON                    "</f>
        <v xml:space="preserve">CANTON                    </v>
      </c>
      <c r="F12697" t="str">
        <f t="shared" si="330"/>
        <v>MS</v>
      </c>
    </row>
    <row r="12698" spans="1:6" x14ac:dyDescent="0.25">
      <c r="A12698" t="str">
        <f>"007507590"</f>
        <v>007507590</v>
      </c>
      <c r="B12698" t="str">
        <f>"1508154501"</f>
        <v>1508154501</v>
      </c>
      <c r="C12698" t="str">
        <f>"363L00000X"</f>
        <v>363L00000X</v>
      </c>
      <c r="D12698" t="str">
        <f>"GANN                     KATIE        M           "</f>
        <v xml:space="preserve">GANN                     KATIE        M           </v>
      </c>
      <c r="E12698" t="str">
        <f>"TUPELO                    "</f>
        <v xml:space="preserve">TUPELO                    </v>
      </c>
      <c r="F12698" t="str">
        <f t="shared" si="330"/>
        <v>MS</v>
      </c>
    </row>
    <row r="12699" spans="1:6" x14ac:dyDescent="0.25">
      <c r="A12699" t="str">
        <f>"007509343"</f>
        <v>007509343</v>
      </c>
      <c r="B12699" t="str">
        <f>"1376815134"</f>
        <v>1376815134</v>
      </c>
      <c r="C12699" t="str">
        <f>"363L00000X"</f>
        <v>363L00000X</v>
      </c>
      <c r="D12699" t="str">
        <f>"FORD                     GRACE        P           "</f>
        <v xml:space="preserve">FORD                     GRACE        P           </v>
      </c>
      <c r="E12699" t="str">
        <f>"GULFPORT                  "</f>
        <v xml:space="preserve">GULFPORT                  </v>
      </c>
      <c r="F12699" t="str">
        <f t="shared" si="330"/>
        <v>MS</v>
      </c>
    </row>
    <row r="12700" spans="1:6" x14ac:dyDescent="0.25">
      <c r="A12700" t="str">
        <f>"007520371"</f>
        <v>007520371</v>
      </c>
      <c r="B12700" t="str">
        <f>"1841478120"</f>
        <v>1841478120</v>
      </c>
      <c r="C12700" t="str">
        <f>"363L00000X"</f>
        <v>363L00000X</v>
      </c>
      <c r="D12700" t="str">
        <f>"HOUSTON                  LESLIE       H           "</f>
        <v xml:space="preserve">HOUSTON                  LESLIE       H           </v>
      </c>
      <c r="E12700" t="str">
        <f>"FLOWOOD                   "</f>
        <v xml:space="preserve">FLOWOOD                   </v>
      </c>
      <c r="F12700" t="str">
        <f t="shared" si="330"/>
        <v>MS</v>
      </c>
    </row>
    <row r="12701" spans="1:6" x14ac:dyDescent="0.25">
      <c r="A12701" t="str">
        <f>"007520777"</f>
        <v>007520777</v>
      </c>
      <c r="B12701" t="str">
        <f>"1114153723"</f>
        <v>1114153723</v>
      </c>
      <c r="C12701" t="str">
        <f>"122300000X"</f>
        <v>122300000X</v>
      </c>
      <c r="D12701" t="str">
        <f>"ROSS                     ANDREW       S           "</f>
        <v xml:space="preserve">ROSS                     ANDREW       S           </v>
      </c>
      <c r="E12701" t="str">
        <f>"OXFORD                    "</f>
        <v xml:space="preserve">OXFORD                    </v>
      </c>
      <c r="F12701" t="str">
        <f t="shared" si="330"/>
        <v>MS</v>
      </c>
    </row>
    <row r="12702" spans="1:6" x14ac:dyDescent="0.25">
      <c r="A12702" t="str">
        <f>"007521319"</f>
        <v>007521319</v>
      </c>
      <c r="B12702" t="str">
        <f>"1740818343"</f>
        <v>1740818343</v>
      </c>
      <c r="C12702" t="str">
        <f>"207P00000X"</f>
        <v>207P00000X</v>
      </c>
      <c r="D12702" t="str">
        <f>"LINDGREN                 MADISON      L           "</f>
        <v xml:space="preserve">LINDGREN                 MADISON      L           </v>
      </c>
      <c r="E12702" t="str">
        <f>"JACKSON                   "</f>
        <v xml:space="preserve">JACKSON                   </v>
      </c>
      <c r="F12702" t="str">
        <f t="shared" si="330"/>
        <v>MS</v>
      </c>
    </row>
    <row r="12703" spans="1:6" x14ac:dyDescent="0.25">
      <c r="A12703" t="str">
        <f>"007521546"</f>
        <v>007521546</v>
      </c>
      <c r="B12703" t="str">
        <f>"1073736682"</f>
        <v>1073736682</v>
      </c>
      <c r="C12703" t="str">
        <f>"207R00000X"</f>
        <v>207R00000X</v>
      </c>
      <c r="D12703" t="str">
        <f>"MAY                      JUSTIN       A           "</f>
        <v xml:space="preserve">MAY                      JUSTIN       A           </v>
      </c>
      <c r="E12703" t="str">
        <f>"OXFORD                    "</f>
        <v xml:space="preserve">OXFORD                    </v>
      </c>
      <c r="F12703" t="str">
        <f t="shared" si="330"/>
        <v>MS</v>
      </c>
    </row>
    <row r="12704" spans="1:6" x14ac:dyDescent="0.25">
      <c r="A12704" t="str">
        <f>"007524299"</f>
        <v>007524299</v>
      </c>
      <c r="B12704" t="str">
        <f>"1679513113"</f>
        <v>1679513113</v>
      </c>
      <c r="C12704" t="str">
        <f>"261QF0400X"</f>
        <v>261QF0400X</v>
      </c>
      <c r="D12704" t="str">
        <f>"WOODLEY ELEMENTARY SCHOOL                         "</f>
        <v xml:space="preserve">WOODLEY ELEMENTARY SCHOOL                         </v>
      </c>
      <c r="E12704" t="str">
        <f>"HATTIESBURG               "</f>
        <v xml:space="preserve">HATTIESBURG               </v>
      </c>
      <c r="F12704" t="str">
        <f t="shared" si="330"/>
        <v>MS</v>
      </c>
    </row>
    <row r="12705" spans="1:6" x14ac:dyDescent="0.25">
      <c r="A12705" t="str">
        <f>"007524385"</f>
        <v>007524385</v>
      </c>
      <c r="B12705" t="str">
        <f>"1083075907"</f>
        <v>1083075907</v>
      </c>
      <c r="C12705" t="str">
        <f>"2080P0204X"</f>
        <v>2080P0204X</v>
      </c>
      <c r="D12705" t="str">
        <f>"FREEMAN                  JOHN         N           "</f>
        <v xml:space="preserve">FREEMAN                  JOHN         N           </v>
      </c>
      <c r="E12705" t="str">
        <f>"JACKSON                   "</f>
        <v xml:space="preserve">JACKSON                   </v>
      </c>
      <c r="F12705" t="str">
        <f t="shared" si="330"/>
        <v>MS</v>
      </c>
    </row>
    <row r="12706" spans="1:6" x14ac:dyDescent="0.25">
      <c r="A12706" t="str">
        <f>"007524391"</f>
        <v>007524391</v>
      </c>
      <c r="B12706" t="str">
        <f>"1740290048"</f>
        <v>1740290048</v>
      </c>
      <c r="C12706" t="str">
        <f>"207RN0300X"</f>
        <v>207RN0300X</v>
      </c>
      <c r="D12706" t="str">
        <f>"WESTERVELT               CHRISTOPHER  L           "</f>
        <v xml:space="preserve">WESTERVELT               CHRISTOPHER  L           </v>
      </c>
      <c r="E12706" t="str">
        <f>"HATTIESBURG               "</f>
        <v xml:space="preserve">HATTIESBURG               </v>
      </c>
      <c r="F12706" t="str">
        <f t="shared" si="330"/>
        <v>MS</v>
      </c>
    </row>
    <row r="12707" spans="1:6" x14ac:dyDescent="0.25">
      <c r="A12707" t="str">
        <f>"007525065"</f>
        <v>007525065</v>
      </c>
      <c r="B12707" t="str">
        <f>"1629490065"</f>
        <v>1629490065</v>
      </c>
      <c r="C12707" t="str">
        <f>"207RR0500X"</f>
        <v>207RR0500X</v>
      </c>
      <c r="D12707" t="str">
        <f>"IJAZ                     MUHAMMAD     U           "</f>
        <v xml:space="preserve">IJAZ                     MUHAMMAD     U           </v>
      </c>
      <c r="E12707" t="str">
        <f>"HATTIESBURG               "</f>
        <v xml:space="preserve">HATTIESBURG               </v>
      </c>
      <c r="F12707" t="str">
        <f t="shared" si="330"/>
        <v>MS</v>
      </c>
    </row>
    <row r="12708" spans="1:6" x14ac:dyDescent="0.25">
      <c r="A12708" t="str">
        <f>"007526844"</f>
        <v>007526844</v>
      </c>
      <c r="B12708" t="str">
        <f>"1417125535"</f>
        <v>1417125535</v>
      </c>
      <c r="C12708" t="str">
        <f>"207Y00000X"</f>
        <v>207Y00000X</v>
      </c>
      <c r="D12708" t="str">
        <f>"JEFFERSON                GINA         D           "</f>
        <v xml:space="preserve">JEFFERSON                GINA         D           </v>
      </c>
      <c r="E12708" t="str">
        <f>"JACKSON                   "</f>
        <v xml:space="preserve">JACKSON                   </v>
      </c>
      <c r="F12708" t="str">
        <f t="shared" si="330"/>
        <v>MS</v>
      </c>
    </row>
    <row r="12709" spans="1:6" x14ac:dyDescent="0.25">
      <c r="A12709" t="str">
        <f>"007526882"</f>
        <v>007526882</v>
      </c>
      <c r="B12709" t="str">
        <f>"1043420383"</f>
        <v>1043420383</v>
      </c>
      <c r="C12709" t="str">
        <f>"208D00000X"</f>
        <v>208D00000X</v>
      </c>
      <c r="D12709" t="str">
        <f>"LANSDOWN                 CHRISTOPHER  E           "</f>
        <v xml:space="preserve">LANSDOWN                 CHRISTOPHER  E           </v>
      </c>
      <c r="E12709" t="str">
        <f>"LUCEDALE                  "</f>
        <v xml:space="preserve">LUCEDALE                  </v>
      </c>
      <c r="F12709" t="str">
        <f t="shared" si="330"/>
        <v>MS</v>
      </c>
    </row>
    <row r="12710" spans="1:6" x14ac:dyDescent="0.25">
      <c r="A12710" t="str">
        <f>"007527232"</f>
        <v>007527232</v>
      </c>
      <c r="B12710" t="str">
        <f>"1851046734"</f>
        <v>1851046734</v>
      </c>
      <c r="C12710" t="str">
        <f>"363L00000X"</f>
        <v>363L00000X</v>
      </c>
      <c r="D12710" t="str">
        <f>"STERLING                 AMANDA       N           "</f>
        <v xml:space="preserve">STERLING                 AMANDA       N           </v>
      </c>
      <c r="E12710" t="str">
        <f>"GULFPORT                  "</f>
        <v xml:space="preserve">GULFPORT                  </v>
      </c>
      <c r="F12710" t="str">
        <f t="shared" si="330"/>
        <v>MS</v>
      </c>
    </row>
    <row r="12711" spans="1:6" x14ac:dyDescent="0.25">
      <c r="A12711" t="str">
        <f>"007528765"</f>
        <v>007528765</v>
      </c>
      <c r="B12711" t="str">
        <f>"1720327919"</f>
        <v>1720327919</v>
      </c>
      <c r="C12711" t="str">
        <f>"261QF0400X"</f>
        <v>261QF0400X</v>
      </c>
      <c r="D12711" t="str">
        <f>"SOUTHEAST MISSISSIPPI RURAL HEALTH                "</f>
        <v xml:space="preserve">SOUTHEAST MISSISSIPPI RURAL HEALTH                </v>
      </c>
      <c r="E12711" t="str">
        <f>"PETAL                     "</f>
        <v xml:space="preserve">PETAL                     </v>
      </c>
      <c r="F12711" t="str">
        <f t="shared" si="330"/>
        <v>MS</v>
      </c>
    </row>
    <row r="12712" spans="1:6" x14ac:dyDescent="0.25">
      <c r="A12712" t="str">
        <f>"007532380"</f>
        <v>007532380</v>
      </c>
      <c r="B12712" t="str">
        <f>"1689807455"</f>
        <v>1689807455</v>
      </c>
      <c r="C12712" t="str">
        <f>"207RG0300X"</f>
        <v>207RG0300X</v>
      </c>
      <c r="D12712" t="str">
        <f>"VO                       HIEU         Q           "</f>
        <v xml:space="preserve">VO                       HIEU         Q           </v>
      </c>
      <c r="E12712" t="str">
        <f>"OLIVE BRANCH              "</f>
        <v xml:space="preserve">OLIVE BRANCH              </v>
      </c>
      <c r="F12712" t="str">
        <f t="shared" si="330"/>
        <v>MS</v>
      </c>
    </row>
    <row r="12713" spans="1:6" x14ac:dyDescent="0.25">
      <c r="A12713" t="str">
        <f>"007532553"</f>
        <v>007532553</v>
      </c>
      <c r="B12713" t="str">
        <f>"1891337093"</f>
        <v>1891337093</v>
      </c>
      <c r="C12713" t="str">
        <f>"363L00000X"</f>
        <v>363L00000X</v>
      </c>
      <c r="D12713" t="str">
        <f>"REYNOLDS                 REBEKAH                  "</f>
        <v xml:space="preserve">REYNOLDS                 REBEKAH                  </v>
      </c>
      <c r="E12713" t="str">
        <f>"FLOWOOD                   "</f>
        <v xml:space="preserve">FLOWOOD                   </v>
      </c>
      <c r="F12713" t="str">
        <f t="shared" si="330"/>
        <v>MS</v>
      </c>
    </row>
    <row r="12714" spans="1:6" x14ac:dyDescent="0.25">
      <c r="A12714" t="str">
        <f>"007533309"</f>
        <v>007533309</v>
      </c>
      <c r="B12714" t="str">
        <f>"1932861515"</f>
        <v>1932861515</v>
      </c>
      <c r="C12714" t="str">
        <f>"152W00000X"</f>
        <v>152W00000X</v>
      </c>
      <c r="D12714" t="str">
        <f>"PRECISION VISION                                  "</f>
        <v xml:space="preserve">PRECISION VISION                                  </v>
      </c>
      <c r="E12714" t="str">
        <f>"GULFPORT                  "</f>
        <v xml:space="preserve">GULFPORT                  </v>
      </c>
      <c r="F12714" t="str">
        <f t="shared" si="330"/>
        <v>MS</v>
      </c>
    </row>
    <row r="12715" spans="1:6" x14ac:dyDescent="0.25">
      <c r="A12715" t="str">
        <f>"007533797"</f>
        <v>007533797</v>
      </c>
      <c r="B12715" t="str">
        <f>"1720090715"</f>
        <v>1720090715</v>
      </c>
      <c r="C12715" t="str">
        <f>"363L00000X"</f>
        <v>363L00000X</v>
      </c>
      <c r="D12715" t="str">
        <f>"MASON                    JENEE        M           "</f>
        <v xml:space="preserve">MASON                    JENEE        M           </v>
      </c>
      <c r="E12715" t="str">
        <f>"FLOWOOD                   "</f>
        <v xml:space="preserve">FLOWOOD                   </v>
      </c>
      <c r="F12715" t="str">
        <f t="shared" si="330"/>
        <v>MS</v>
      </c>
    </row>
    <row r="12716" spans="1:6" x14ac:dyDescent="0.25">
      <c r="A12716" t="str">
        <f>"007535056"</f>
        <v>007535056</v>
      </c>
      <c r="B12716" t="str">
        <f>"1477073278"</f>
        <v>1477073278</v>
      </c>
      <c r="C12716" t="str">
        <f>"122300000X"</f>
        <v>122300000X</v>
      </c>
      <c r="D12716" t="str">
        <f>"DONAHOE III              EDGAR        N           "</f>
        <v xml:space="preserve">DONAHOE III              EDGAR        N           </v>
      </c>
      <c r="E12716" t="str">
        <f>"INDIANOLA                 "</f>
        <v xml:space="preserve">INDIANOLA                 </v>
      </c>
      <c r="F12716" t="str">
        <f t="shared" si="330"/>
        <v>MS</v>
      </c>
    </row>
    <row r="12717" spans="1:6" x14ac:dyDescent="0.25">
      <c r="A12717" t="str">
        <f>"007536007"</f>
        <v>007536007</v>
      </c>
      <c r="B12717" t="str">
        <f>"1710905997"</f>
        <v>1710905997</v>
      </c>
      <c r="C12717" t="str">
        <f>"207P00000X"</f>
        <v>207P00000X</v>
      </c>
      <c r="D12717" t="str">
        <f>"DUNNAM-SMITH             GINGER                   "</f>
        <v xml:space="preserve">DUNNAM-SMITH             GINGER                   </v>
      </c>
      <c r="E12717" t="str">
        <f>"LUCEDALE                  "</f>
        <v xml:space="preserve">LUCEDALE                  </v>
      </c>
      <c r="F12717" t="str">
        <f t="shared" si="330"/>
        <v>MS</v>
      </c>
    </row>
    <row r="12718" spans="1:6" x14ac:dyDescent="0.25">
      <c r="A12718" t="str">
        <f>"007538525"</f>
        <v>007538525</v>
      </c>
      <c r="B12718" t="str">
        <f>"1760877112"</f>
        <v>1760877112</v>
      </c>
      <c r="C12718" t="str">
        <f>"2080H0002X"</f>
        <v>2080H0002X</v>
      </c>
      <c r="D12718" t="str">
        <f>"ROWE HOBBS               LAUREN       M           "</f>
        <v xml:space="preserve">ROWE HOBBS               LAUREN       M           </v>
      </c>
      <c r="E12718" t="str">
        <f>"JACKSON                   "</f>
        <v xml:space="preserve">JACKSON                   </v>
      </c>
      <c r="F12718" t="str">
        <f t="shared" si="330"/>
        <v>MS</v>
      </c>
    </row>
    <row r="12719" spans="1:6" x14ac:dyDescent="0.25">
      <c r="A12719" t="str">
        <f>"007539809"</f>
        <v>007539809</v>
      </c>
      <c r="B12719" t="str">
        <f>"1386926434"</f>
        <v>1386926434</v>
      </c>
      <c r="C12719" t="str">
        <f>"363L00000X"</f>
        <v>363L00000X</v>
      </c>
      <c r="D12719" t="str">
        <f>"ALRIDGE                  GLORIA                   "</f>
        <v xml:space="preserve">ALRIDGE                  GLORIA                   </v>
      </c>
      <c r="E12719" t="str">
        <f>"LAUREL                    "</f>
        <v xml:space="preserve">LAUREL                    </v>
      </c>
      <c r="F12719" t="str">
        <f t="shared" si="330"/>
        <v>MS</v>
      </c>
    </row>
    <row r="12720" spans="1:6" x14ac:dyDescent="0.25">
      <c r="A12720" t="str">
        <f>"007550533"</f>
        <v>007550533</v>
      </c>
      <c r="B12720" t="str">
        <f>"1265584189"</f>
        <v>1265584189</v>
      </c>
      <c r="C12720" t="str">
        <f>"122300000X"</f>
        <v>122300000X</v>
      </c>
      <c r="D12720" t="str">
        <f>"COMBS III                HORACE       E           "</f>
        <v xml:space="preserve">COMBS III                HORACE       E           </v>
      </c>
      <c r="E12720" t="str">
        <f>"PICAYUNE                  "</f>
        <v xml:space="preserve">PICAYUNE                  </v>
      </c>
      <c r="F12720" t="str">
        <f t="shared" si="330"/>
        <v>MS</v>
      </c>
    </row>
    <row r="12721" spans="1:6" x14ac:dyDescent="0.25">
      <c r="A12721" t="str">
        <f>"007551818"</f>
        <v>007551818</v>
      </c>
      <c r="B12721" t="str">
        <f>"1528494861"</f>
        <v>1528494861</v>
      </c>
      <c r="C12721" t="str">
        <f>"261QM1300X"</f>
        <v>261QM1300X</v>
      </c>
      <c r="D12721" t="str">
        <f>"SMART THERAPY                                     "</f>
        <v xml:space="preserve">SMART THERAPY                                     </v>
      </c>
      <c r="E12721" t="str">
        <f>"MADISON                   "</f>
        <v xml:space="preserve">MADISON                   </v>
      </c>
      <c r="F12721" t="str">
        <f t="shared" si="330"/>
        <v>MS</v>
      </c>
    </row>
    <row r="12722" spans="1:6" x14ac:dyDescent="0.25">
      <c r="A12722" t="str">
        <f>"007552703"</f>
        <v>007552703</v>
      </c>
      <c r="B12722" t="str">
        <f>"1457854168"</f>
        <v>1457854168</v>
      </c>
      <c r="C12722" t="str">
        <f>"363L00000X"</f>
        <v>363L00000X</v>
      </c>
      <c r="D12722" t="str">
        <f>"BUSH                     JESSICA      D           "</f>
        <v xml:space="preserve">BUSH                     JESSICA      D           </v>
      </c>
      <c r="E12722" t="str">
        <f>"HATTIESBURG               "</f>
        <v xml:space="preserve">HATTIESBURG               </v>
      </c>
      <c r="F12722" t="str">
        <f t="shared" si="330"/>
        <v>MS</v>
      </c>
    </row>
    <row r="12723" spans="1:6" x14ac:dyDescent="0.25">
      <c r="A12723" t="str">
        <f>"007554542"</f>
        <v>007554542</v>
      </c>
      <c r="B12723" t="str">
        <f>"1356851752"</f>
        <v>1356851752</v>
      </c>
      <c r="C12723" t="str">
        <f>"122300000X"</f>
        <v>122300000X</v>
      </c>
      <c r="D12723" t="str">
        <f>"OAKDALE FAMILY DENTISTRY PLLC                     "</f>
        <v xml:space="preserve">OAKDALE FAMILY DENTISTRY PLLC                     </v>
      </c>
      <c r="E12723" t="str">
        <f>"BRANDON                   "</f>
        <v xml:space="preserve">BRANDON                   </v>
      </c>
      <c r="F12723" t="str">
        <f t="shared" si="330"/>
        <v>MS</v>
      </c>
    </row>
    <row r="12724" spans="1:6" x14ac:dyDescent="0.25">
      <c r="A12724" t="str">
        <f>"007555001"</f>
        <v>007555001</v>
      </c>
      <c r="B12724" t="str">
        <f>"1588725519"</f>
        <v>1588725519</v>
      </c>
      <c r="C12724" t="str">
        <f>"207X00000X"</f>
        <v>207X00000X</v>
      </c>
      <c r="D12724" t="str">
        <f>"KELLEHER                 INEZ         M           "</f>
        <v xml:space="preserve">KELLEHER                 INEZ         M           </v>
      </c>
      <c r="E12724" t="str">
        <f>"GULFPORT                  "</f>
        <v xml:space="preserve">GULFPORT                  </v>
      </c>
      <c r="F12724" t="str">
        <f t="shared" si="330"/>
        <v>MS</v>
      </c>
    </row>
    <row r="12725" spans="1:6" x14ac:dyDescent="0.25">
      <c r="A12725" t="str">
        <f>"007555720"</f>
        <v>007555720</v>
      </c>
      <c r="B12725" t="str">
        <f>"1376948240"</f>
        <v>1376948240</v>
      </c>
      <c r="C12725" t="str">
        <f>"363L00000X"</f>
        <v>363L00000X</v>
      </c>
      <c r="D12725" t="str">
        <f>"FLOWERS                  FREDERICK    W           "</f>
        <v xml:space="preserve">FLOWERS                  FREDERICK    W           </v>
      </c>
      <c r="E12725" t="str">
        <f>"JACKSON                   "</f>
        <v xml:space="preserve">JACKSON                   </v>
      </c>
      <c r="F12725" t="str">
        <f t="shared" si="330"/>
        <v>MS</v>
      </c>
    </row>
    <row r="12726" spans="1:6" x14ac:dyDescent="0.25">
      <c r="A12726" t="str">
        <f>"007555785"</f>
        <v>007555785</v>
      </c>
      <c r="B12726" t="str">
        <f>"1922539071"</f>
        <v>1922539071</v>
      </c>
      <c r="C12726" t="str">
        <f>"207N00000X"</f>
        <v>207N00000X</v>
      </c>
      <c r="D12726" t="str">
        <f>"HARBER                   IRA          D           "</f>
        <v xml:space="preserve">HARBER                   IRA          D           </v>
      </c>
      <c r="E12726" t="str">
        <f>"CORINTH                   "</f>
        <v xml:space="preserve">CORINTH                   </v>
      </c>
      <c r="F12726" t="str">
        <f t="shared" si="330"/>
        <v>MS</v>
      </c>
    </row>
    <row r="12727" spans="1:6" x14ac:dyDescent="0.25">
      <c r="A12727" t="str">
        <f>"007556550"</f>
        <v>007556550</v>
      </c>
      <c r="B12727" t="str">
        <f>"1619419900"</f>
        <v>1619419900</v>
      </c>
      <c r="C12727" t="str">
        <f>"363L00000X"</f>
        <v>363L00000X</v>
      </c>
      <c r="D12727" t="str">
        <f>"MARSHALL                 KENYADA                  "</f>
        <v xml:space="preserve">MARSHALL                 KENYADA                  </v>
      </c>
      <c r="E12727" t="str">
        <f>"PASCAGOULA                "</f>
        <v xml:space="preserve">PASCAGOULA                </v>
      </c>
      <c r="F12727" t="str">
        <f t="shared" si="330"/>
        <v>MS</v>
      </c>
    </row>
    <row r="12728" spans="1:6" x14ac:dyDescent="0.25">
      <c r="A12728" t="str">
        <f>"007556881"</f>
        <v>007556881</v>
      </c>
      <c r="B12728" t="str">
        <f>"1588876338"</f>
        <v>1588876338</v>
      </c>
      <c r="C12728" t="str">
        <f>"1223X0400X"</f>
        <v>1223X0400X</v>
      </c>
      <c r="D12728" t="str">
        <f>"TAYLOR                   CHARLES      G           "</f>
        <v xml:space="preserve">TAYLOR                   CHARLES      G           </v>
      </c>
      <c r="E12728" t="str">
        <f>"VICKSBURG                 "</f>
        <v xml:space="preserve">VICKSBURG                 </v>
      </c>
      <c r="F12728" t="str">
        <f t="shared" si="330"/>
        <v>MS</v>
      </c>
    </row>
    <row r="12729" spans="1:6" x14ac:dyDescent="0.25">
      <c r="A12729" t="str">
        <f>"007557395"</f>
        <v>007557395</v>
      </c>
      <c r="B12729" t="str">
        <f>"1740615814"</f>
        <v>1740615814</v>
      </c>
      <c r="C12729" t="str">
        <f>"363L00000X"</f>
        <v>363L00000X</v>
      </c>
      <c r="D12729" t="str">
        <f>"WALKER                   DANIEL       M           "</f>
        <v xml:space="preserve">WALKER                   DANIEL       M           </v>
      </c>
      <c r="E12729" t="str">
        <f>"MORTON                    "</f>
        <v xml:space="preserve">MORTON                    </v>
      </c>
      <c r="F12729" t="str">
        <f t="shared" si="330"/>
        <v>MS</v>
      </c>
    </row>
    <row r="12730" spans="1:6" x14ac:dyDescent="0.25">
      <c r="A12730" t="str">
        <f>"007557704"</f>
        <v>007557704</v>
      </c>
      <c r="B12730" t="str">
        <f>"1730144734"</f>
        <v>1730144734</v>
      </c>
      <c r="C12730" t="str">
        <f>"207RN0300X"</f>
        <v>207RN0300X</v>
      </c>
      <c r="D12730" t="str">
        <f>"KADIMI                   SRINATH                  "</f>
        <v xml:space="preserve">KADIMI                   SRINATH                  </v>
      </c>
      <c r="E12730" t="str">
        <f>"SOUTHAVEN                 "</f>
        <v xml:space="preserve">SOUTHAVEN                 </v>
      </c>
      <c r="F12730" t="str">
        <f t="shared" si="330"/>
        <v>MS</v>
      </c>
    </row>
    <row r="12731" spans="1:6" x14ac:dyDescent="0.25">
      <c r="A12731" t="str">
        <f>"007557828"</f>
        <v>007557828</v>
      </c>
      <c r="B12731" t="str">
        <f>"1891905691"</f>
        <v>1891905691</v>
      </c>
      <c r="C12731" t="str">
        <f>"2085R0202X"</f>
        <v>2085R0202X</v>
      </c>
      <c r="D12731" t="str">
        <f>"PATTERSON                CARRIE       E           "</f>
        <v xml:space="preserve">PATTERSON                CARRIE       E           </v>
      </c>
      <c r="E12731" t="str">
        <f>"OLIVE BRANCH              "</f>
        <v xml:space="preserve">OLIVE BRANCH              </v>
      </c>
      <c r="F12731" t="str">
        <f t="shared" si="330"/>
        <v>MS</v>
      </c>
    </row>
    <row r="12732" spans="1:6" x14ac:dyDescent="0.25">
      <c r="A12732" t="str">
        <f>"007558036"</f>
        <v>007558036</v>
      </c>
      <c r="B12732" t="str">
        <f>"1992347447"</f>
        <v>1992347447</v>
      </c>
      <c r="C12732" t="str">
        <f>"363L00000X"</f>
        <v>363L00000X</v>
      </c>
      <c r="D12732" t="str">
        <f>"MASSEY                   CHRISTY      D           "</f>
        <v xml:space="preserve">MASSEY                   CHRISTY      D           </v>
      </c>
      <c r="E12732" t="str">
        <f>"COLUMBUS                  "</f>
        <v xml:space="preserve">COLUMBUS                  </v>
      </c>
      <c r="F12732" t="str">
        <f t="shared" si="330"/>
        <v>MS</v>
      </c>
    </row>
    <row r="12733" spans="1:6" x14ac:dyDescent="0.25">
      <c r="A12733" t="str">
        <f>"007558709"</f>
        <v>007558709</v>
      </c>
      <c r="B12733" t="str">
        <f>"1366822397"</f>
        <v>1366822397</v>
      </c>
      <c r="C12733" t="str">
        <f>"122300000X"</f>
        <v>122300000X</v>
      </c>
      <c r="D12733" t="str">
        <f>"NIDA                     SUZANNA      E           "</f>
        <v xml:space="preserve">NIDA                     SUZANNA      E           </v>
      </c>
      <c r="E12733" t="str">
        <f>"HATTIESBURG               "</f>
        <v xml:space="preserve">HATTIESBURG               </v>
      </c>
      <c r="F12733" t="str">
        <f t="shared" si="330"/>
        <v>MS</v>
      </c>
    </row>
    <row r="12734" spans="1:6" x14ac:dyDescent="0.25">
      <c r="A12734" t="str">
        <f>"007558738"</f>
        <v>007558738</v>
      </c>
      <c r="B12734" t="str">
        <f>"1467971416"</f>
        <v>1467971416</v>
      </c>
      <c r="C12734" t="str">
        <f>"363L00000X"</f>
        <v>363L00000X</v>
      </c>
      <c r="D12734" t="str">
        <f>"GREENE                   ANGELA                   "</f>
        <v xml:space="preserve">GREENE                   ANGELA                   </v>
      </c>
      <c r="E12734" t="str">
        <f>"FLOWOOD                   "</f>
        <v xml:space="preserve">FLOWOOD                   </v>
      </c>
      <c r="F12734" t="str">
        <f t="shared" ref="F12734:F12797" si="331">"MS"</f>
        <v>MS</v>
      </c>
    </row>
    <row r="12735" spans="1:6" x14ac:dyDescent="0.25">
      <c r="A12735" t="str">
        <f>"007558801"</f>
        <v>007558801</v>
      </c>
      <c r="B12735" t="str">
        <f>"1851824171"</f>
        <v>1851824171</v>
      </c>
      <c r="C12735" t="str">
        <f>"207Q00000X"</f>
        <v>207Q00000X</v>
      </c>
      <c r="D12735" t="str">
        <f>"ABDALLAH AHMED           ABDU         M           "</f>
        <v xml:space="preserve">ABDALLAH AHMED           ABDU         M           </v>
      </c>
      <c r="E12735" t="str">
        <f>"JACKSON                   "</f>
        <v xml:space="preserve">JACKSON                   </v>
      </c>
      <c r="F12735" t="str">
        <f t="shared" si="331"/>
        <v>MS</v>
      </c>
    </row>
    <row r="12736" spans="1:6" x14ac:dyDescent="0.25">
      <c r="A12736" t="str">
        <f>"007559547"</f>
        <v>007559547</v>
      </c>
      <c r="B12736" t="str">
        <f>"1881844090"</f>
        <v>1881844090</v>
      </c>
      <c r="C12736" t="str">
        <f>"207R00000X"</f>
        <v>207R00000X</v>
      </c>
      <c r="D12736" t="str">
        <f>"BAKER                    JAPHETH      J           "</f>
        <v xml:space="preserve">BAKER                    JAPHETH      J           </v>
      </c>
      <c r="E12736" t="str">
        <f>"CORINTH                   "</f>
        <v xml:space="preserve">CORINTH                   </v>
      </c>
      <c r="F12736" t="str">
        <f t="shared" si="331"/>
        <v>MS</v>
      </c>
    </row>
    <row r="12737" spans="1:6" x14ac:dyDescent="0.25">
      <c r="A12737" t="str">
        <f>"007570085"</f>
        <v>007570085</v>
      </c>
      <c r="B12737" t="str">
        <f>"1952961500"</f>
        <v>1952961500</v>
      </c>
      <c r="C12737" t="str">
        <f>"207Q00000X"</f>
        <v>207Q00000X</v>
      </c>
      <c r="D12737" t="str">
        <f>"BONDIO                   NICHOLAS     W           "</f>
        <v xml:space="preserve">BONDIO                   NICHOLAS     W           </v>
      </c>
      <c r="E12737" t="str">
        <f>"DIAMONDHEAD               "</f>
        <v xml:space="preserve">DIAMONDHEAD               </v>
      </c>
      <c r="F12737" t="str">
        <f t="shared" si="331"/>
        <v>MS</v>
      </c>
    </row>
    <row r="12738" spans="1:6" x14ac:dyDescent="0.25">
      <c r="A12738" t="str">
        <f>"007570320"</f>
        <v>007570320</v>
      </c>
      <c r="B12738" t="str">
        <f>"1164184248"</f>
        <v>1164184248</v>
      </c>
      <c r="C12738" t="str">
        <f>"363L00000X"</f>
        <v>363L00000X</v>
      </c>
      <c r="D12738" t="str">
        <f>"HATCHER                  ASHLEY                   "</f>
        <v xml:space="preserve">HATCHER                  ASHLEY                   </v>
      </c>
      <c r="E12738" t="str">
        <f>"MERIDIAN                  "</f>
        <v xml:space="preserve">MERIDIAN                  </v>
      </c>
      <c r="F12738" t="str">
        <f t="shared" si="331"/>
        <v>MS</v>
      </c>
    </row>
    <row r="12739" spans="1:6" x14ac:dyDescent="0.25">
      <c r="A12739" t="str">
        <f>"007573213"</f>
        <v>007573213</v>
      </c>
      <c r="B12739" t="str">
        <f>"1003113432"</f>
        <v>1003113432</v>
      </c>
      <c r="C12739" t="str">
        <f>"367500000X"</f>
        <v>367500000X</v>
      </c>
      <c r="D12739" t="str">
        <f>"STEELE                   AMY          L           "</f>
        <v xml:space="preserve">STEELE                   AMY          L           </v>
      </c>
      <c r="E12739" t="str">
        <f>"JACKSON                   "</f>
        <v xml:space="preserve">JACKSON                   </v>
      </c>
      <c r="F12739" t="str">
        <f t="shared" si="331"/>
        <v>MS</v>
      </c>
    </row>
    <row r="12740" spans="1:6" x14ac:dyDescent="0.25">
      <c r="A12740" t="str">
        <f>"007574789"</f>
        <v>007574789</v>
      </c>
      <c r="B12740" t="str">
        <f>"1841862729"</f>
        <v>1841862729</v>
      </c>
      <c r="C12740" t="str">
        <f>"363L00000X"</f>
        <v>363L00000X</v>
      </c>
      <c r="D12740" t="str">
        <f>"GRANGER                  KAMARIO                  "</f>
        <v xml:space="preserve">GRANGER                  KAMARIO                  </v>
      </c>
      <c r="E12740" t="str">
        <f>"WAYNESBORO                "</f>
        <v xml:space="preserve">WAYNESBORO                </v>
      </c>
      <c r="F12740" t="str">
        <f t="shared" si="331"/>
        <v>MS</v>
      </c>
    </row>
    <row r="12741" spans="1:6" x14ac:dyDescent="0.25">
      <c r="A12741" t="str">
        <f>"007575621"</f>
        <v>007575621</v>
      </c>
      <c r="B12741" t="str">
        <f>"1932300977"</f>
        <v>1932300977</v>
      </c>
      <c r="C12741" t="str">
        <f>"122300000X"</f>
        <v>122300000X</v>
      </c>
      <c r="D12741" t="str">
        <f>"MARTIN                   BRYAN        B           "</f>
        <v xml:space="preserve">MARTIN                   BRYAN        B           </v>
      </c>
      <c r="E12741" t="str">
        <f>"MAGNOLIA                  "</f>
        <v xml:space="preserve">MAGNOLIA                  </v>
      </c>
      <c r="F12741" t="str">
        <f t="shared" si="331"/>
        <v>MS</v>
      </c>
    </row>
    <row r="12742" spans="1:6" x14ac:dyDescent="0.25">
      <c r="A12742" t="str">
        <f>"007576018"</f>
        <v>007576018</v>
      </c>
      <c r="B12742" t="str">
        <f>"1073916771"</f>
        <v>1073916771</v>
      </c>
      <c r="C12742" t="str">
        <f>"363L00000X"</f>
        <v>363L00000X</v>
      </c>
      <c r="D12742" t="str">
        <f>"SHABAZZ                  JEANETTE                 "</f>
        <v xml:space="preserve">SHABAZZ                  JEANETTE                 </v>
      </c>
      <c r="E12742" t="str">
        <f>"OCEAN SPRINGS             "</f>
        <v xml:space="preserve">OCEAN SPRINGS             </v>
      </c>
      <c r="F12742" t="str">
        <f t="shared" si="331"/>
        <v>MS</v>
      </c>
    </row>
    <row r="12743" spans="1:6" x14ac:dyDescent="0.25">
      <c r="A12743" t="str">
        <f>"007576386"</f>
        <v>007576386</v>
      </c>
      <c r="B12743" t="str">
        <f>"1164945218"</f>
        <v>1164945218</v>
      </c>
      <c r="C12743" t="str">
        <f>"363AS0400X"</f>
        <v>363AS0400X</v>
      </c>
      <c r="D12743" t="str">
        <f>"DERRICO                  TAYLOR       L           "</f>
        <v xml:space="preserve">DERRICO                  TAYLOR       L           </v>
      </c>
      <c r="E12743" t="str">
        <f>"JACKSON                   "</f>
        <v xml:space="preserve">JACKSON                   </v>
      </c>
      <c r="F12743" t="str">
        <f t="shared" si="331"/>
        <v>MS</v>
      </c>
    </row>
    <row r="12744" spans="1:6" x14ac:dyDescent="0.25">
      <c r="A12744" t="str">
        <f>"007576837"</f>
        <v>007576837</v>
      </c>
      <c r="B12744" t="str">
        <f>"1770028441"</f>
        <v>1770028441</v>
      </c>
      <c r="C12744" t="str">
        <f>"363L00000X"</f>
        <v>363L00000X</v>
      </c>
      <c r="D12744" t="str">
        <f>"DENSON                   RACOLESHA    R           "</f>
        <v xml:space="preserve">DENSON                   RACOLESHA    R           </v>
      </c>
      <c r="E12744" t="str">
        <f>"FLOWOOD                   "</f>
        <v xml:space="preserve">FLOWOOD                   </v>
      </c>
      <c r="F12744" t="str">
        <f t="shared" si="331"/>
        <v>MS</v>
      </c>
    </row>
    <row r="12745" spans="1:6" x14ac:dyDescent="0.25">
      <c r="A12745" t="str">
        <f>"007578060"</f>
        <v>007578060</v>
      </c>
      <c r="B12745" t="str">
        <f>"1083278824"</f>
        <v>1083278824</v>
      </c>
      <c r="C12745" t="str">
        <f>"208M00000X"</f>
        <v>208M00000X</v>
      </c>
      <c r="D12745" t="str">
        <f>"SOHAIL                   CHAUDHRY     S           "</f>
        <v xml:space="preserve">SOHAIL                   CHAUDHRY     S           </v>
      </c>
      <c r="E12745" t="str">
        <f>"JACKSON                   "</f>
        <v xml:space="preserve">JACKSON                   </v>
      </c>
      <c r="F12745" t="str">
        <f t="shared" si="331"/>
        <v>MS</v>
      </c>
    </row>
    <row r="12746" spans="1:6" x14ac:dyDescent="0.25">
      <c r="A12746" t="str">
        <f>"007578244"</f>
        <v>007578244</v>
      </c>
      <c r="B12746" t="str">
        <f>"1720379720"</f>
        <v>1720379720</v>
      </c>
      <c r="C12746" t="str">
        <f>"2085R0202X"</f>
        <v>2085R0202X</v>
      </c>
      <c r="D12746" t="str">
        <f>"BANAHAN                  JOHN         A           "</f>
        <v xml:space="preserve">BANAHAN                  JOHN         A           </v>
      </c>
      <c r="E12746" t="str">
        <f>"PASCAGOULA                "</f>
        <v xml:space="preserve">PASCAGOULA                </v>
      </c>
      <c r="F12746" t="str">
        <f t="shared" si="331"/>
        <v>MS</v>
      </c>
    </row>
    <row r="12747" spans="1:6" x14ac:dyDescent="0.25">
      <c r="A12747" t="str">
        <f>"007579853"</f>
        <v>007579853</v>
      </c>
      <c r="B12747" t="str">
        <f>"1679784599"</f>
        <v>1679784599</v>
      </c>
      <c r="C12747" t="str">
        <f>"207K00000X"</f>
        <v>207K00000X</v>
      </c>
      <c r="D12747" t="str">
        <f>"OSWALT                   MATTHEW      L           "</f>
        <v xml:space="preserve">OSWALT                   MATTHEW      L           </v>
      </c>
      <c r="E12747" t="str">
        <f>"TUPELO                    "</f>
        <v xml:space="preserve">TUPELO                    </v>
      </c>
      <c r="F12747" t="str">
        <f t="shared" si="331"/>
        <v>MS</v>
      </c>
    </row>
    <row r="12748" spans="1:6" x14ac:dyDescent="0.25">
      <c r="A12748" t="str">
        <f>"007580562"</f>
        <v>007580562</v>
      </c>
      <c r="B12748" t="str">
        <f>"1508234584"</f>
        <v>1508234584</v>
      </c>
      <c r="C12748" t="str">
        <f>"363L00000X"</f>
        <v>363L00000X</v>
      </c>
      <c r="D12748" t="str">
        <f>"SCOTT                    GLADYS       R           "</f>
        <v xml:space="preserve">SCOTT                    GLADYS       R           </v>
      </c>
      <c r="E12748" t="str">
        <f>"VICKSBURG                 "</f>
        <v xml:space="preserve">VICKSBURG                 </v>
      </c>
      <c r="F12748" t="str">
        <f t="shared" si="331"/>
        <v>MS</v>
      </c>
    </row>
    <row r="12749" spans="1:6" x14ac:dyDescent="0.25">
      <c r="A12749" t="str">
        <f>"007580805"</f>
        <v>007580805</v>
      </c>
      <c r="B12749" t="str">
        <f>"1891363081"</f>
        <v>1891363081</v>
      </c>
      <c r="C12749" t="str">
        <f>"363L00000X"</f>
        <v>363L00000X</v>
      </c>
      <c r="D12749" t="str">
        <f>"CAMPBELL                 CAMRY        D           "</f>
        <v xml:space="preserve">CAMPBELL                 CAMRY        D           </v>
      </c>
      <c r="E12749" t="str">
        <f>"GREENVILLE                "</f>
        <v xml:space="preserve">GREENVILLE                </v>
      </c>
      <c r="F12749" t="str">
        <f t="shared" si="331"/>
        <v>MS</v>
      </c>
    </row>
    <row r="12750" spans="1:6" x14ac:dyDescent="0.25">
      <c r="A12750" t="str">
        <f>"007581768"</f>
        <v>007581768</v>
      </c>
      <c r="B12750" t="str">
        <f>"1194776286"</f>
        <v>1194776286</v>
      </c>
      <c r="C12750" t="str">
        <f>"207RI0200X"</f>
        <v>207RI0200X</v>
      </c>
      <c r="D12750" t="str">
        <f>"BORCHELT                 MARK                     "</f>
        <v xml:space="preserve">BORCHELT                 MARK                     </v>
      </c>
      <c r="E12750" t="str">
        <f>"GULFPORT                  "</f>
        <v xml:space="preserve">GULFPORT                  </v>
      </c>
      <c r="F12750" t="str">
        <f t="shared" si="331"/>
        <v>MS</v>
      </c>
    </row>
    <row r="12751" spans="1:6" x14ac:dyDescent="0.25">
      <c r="A12751" t="str">
        <f>"007581790"</f>
        <v>007581790</v>
      </c>
      <c r="B12751" t="str">
        <f>"1457702615"</f>
        <v>1457702615</v>
      </c>
      <c r="C12751" t="str">
        <f>"2084N0400X"</f>
        <v>2084N0400X</v>
      </c>
      <c r="D12751" t="str">
        <f>"SINGLA                   LAVEENA                  "</f>
        <v xml:space="preserve">SINGLA                   LAVEENA                  </v>
      </c>
      <c r="E12751" t="str">
        <f>"JACKSON                   "</f>
        <v xml:space="preserve">JACKSON                   </v>
      </c>
      <c r="F12751" t="str">
        <f t="shared" si="331"/>
        <v>MS</v>
      </c>
    </row>
    <row r="12752" spans="1:6" x14ac:dyDescent="0.25">
      <c r="A12752" t="str">
        <f>"007582036"</f>
        <v>007582036</v>
      </c>
      <c r="B12752" t="str">
        <f>"1962043406"</f>
        <v>1962043406</v>
      </c>
      <c r="C12752" t="str">
        <f>"363L00000X"</f>
        <v>363L00000X</v>
      </c>
      <c r="D12752" t="str">
        <f>"HARRIS                   MARI         C           "</f>
        <v xml:space="preserve">HARRIS                   MARI         C           </v>
      </c>
      <c r="E12752" t="str">
        <f>"AMORY                     "</f>
        <v xml:space="preserve">AMORY                     </v>
      </c>
      <c r="F12752" t="str">
        <f t="shared" si="331"/>
        <v>MS</v>
      </c>
    </row>
    <row r="12753" spans="1:6" x14ac:dyDescent="0.25">
      <c r="A12753" t="str">
        <f>"007582227"</f>
        <v>007582227</v>
      </c>
      <c r="B12753" t="str">
        <f>"1114137155"</f>
        <v>1114137155</v>
      </c>
      <c r="C12753" t="str">
        <f>"2085R0202X"</f>
        <v>2085R0202X</v>
      </c>
      <c r="D12753" t="str">
        <f>"THOMASSON JR             JAMES        D           "</f>
        <v xml:space="preserve">THOMASSON JR             JAMES        D           </v>
      </c>
      <c r="E12753" t="str">
        <f>"GULFPORT                  "</f>
        <v xml:space="preserve">GULFPORT                  </v>
      </c>
      <c r="F12753" t="str">
        <f t="shared" si="331"/>
        <v>MS</v>
      </c>
    </row>
    <row r="12754" spans="1:6" x14ac:dyDescent="0.25">
      <c r="A12754" t="str">
        <f>"007582356"</f>
        <v>007582356</v>
      </c>
      <c r="B12754" t="str">
        <f>"1659377257"</f>
        <v>1659377257</v>
      </c>
      <c r="C12754" t="str">
        <f>"207LP2900X"</f>
        <v>207LP2900X</v>
      </c>
      <c r="D12754" t="str">
        <f>"STEUER                   MICHAEL      E           "</f>
        <v xml:space="preserve">STEUER                   MICHAEL      E           </v>
      </c>
      <c r="E12754" t="str">
        <f>"SOUTHAVEN                 "</f>
        <v xml:space="preserve">SOUTHAVEN                 </v>
      </c>
      <c r="F12754" t="str">
        <f t="shared" si="331"/>
        <v>MS</v>
      </c>
    </row>
    <row r="12755" spans="1:6" x14ac:dyDescent="0.25">
      <c r="A12755" t="str">
        <f>"007582369"</f>
        <v>007582369</v>
      </c>
      <c r="B12755" t="str">
        <f>"1407302151"</f>
        <v>1407302151</v>
      </c>
      <c r="C12755" t="str">
        <f>"261QR1300X"</f>
        <v>261QR1300X</v>
      </c>
      <c r="D12755" t="str">
        <f>"CALHOUN COUNTY MEDICAL CLINIC                     "</f>
        <v xml:space="preserve">CALHOUN COUNTY MEDICAL CLINIC                     </v>
      </c>
      <c r="E12755" t="str">
        <f>"CALHOUN CITY              "</f>
        <v xml:space="preserve">CALHOUN CITY              </v>
      </c>
      <c r="F12755" t="str">
        <f t="shared" si="331"/>
        <v>MS</v>
      </c>
    </row>
    <row r="12756" spans="1:6" x14ac:dyDescent="0.25">
      <c r="A12756" t="str">
        <f>"007583261"</f>
        <v>007583261</v>
      </c>
      <c r="B12756" t="str">
        <f>"1275943037"</f>
        <v>1275943037</v>
      </c>
      <c r="C12756" t="str">
        <f>"208G00000X"</f>
        <v>208G00000X</v>
      </c>
      <c r="D12756" t="str">
        <f>"CALHOUN                  JOHN                     "</f>
        <v xml:space="preserve">CALHOUN                  JOHN                     </v>
      </c>
      <c r="E12756" t="str">
        <f>"JACKSON                   "</f>
        <v xml:space="preserve">JACKSON                   </v>
      </c>
      <c r="F12756" t="str">
        <f t="shared" si="331"/>
        <v>MS</v>
      </c>
    </row>
    <row r="12757" spans="1:6" x14ac:dyDescent="0.25">
      <c r="A12757" t="str">
        <f>"007583571"</f>
        <v>007583571</v>
      </c>
      <c r="B12757" t="str">
        <f>"1841391315"</f>
        <v>1841391315</v>
      </c>
      <c r="C12757" t="str">
        <f>"207Q00000X"</f>
        <v>207Q00000X</v>
      </c>
      <c r="D12757" t="str">
        <f>"VERUCCHI                 MATTHEW      T           "</f>
        <v xml:space="preserve">VERUCCHI                 MATTHEW      T           </v>
      </c>
      <c r="E12757" t="str">
        <f>"HAZLEHURST                "</f>
        <v xml:space="preserve">HAZLEHURST                </v>
      </c>
      <c r="F12757" t="str">
        <f t="shared" si="331"/>
        <v>MS</v>
      </c>
    </row>
    <row r="12758" spans="1:6" x14ac:dyDescent="0.25">
      <c r="A12758" t="str">
        <f>"007583751"</f>
        <v>007583751</v>
      </c>
      <c r="B12758" t="str">
        <f>"1518450410"</f>
        <v>1518450410</v>
      </c>
      <c r="C12758" t="str">
        <f>"363L00000X"</f>
        <v>363L00000X</v>
      </c>
      <c r="D12758" t="str">
        <f>"WHITES                   ELIZABETH    R           "</f>
        <v xml:space="preserve">WHITES                   ELIZABETH    R           </v>
      </c>
      <c r="E12758" t="str">
        <f>"GREENWOOD                 "</f>
        <v xml:space="preserve">GREENWOOD                 </v>
      </c>
      <c r="F12758" t="str">
        <f t="shared" si="331"/>
        <v>MS</v>
      </c>
    </row>
    <row r="12759" spans="1:6" x14ac:dyDescent="0.25">
      <c r="A12759" t="str">
        <f>"007583771"</f>
        <v>007583771</v>
      </c>
      <c r="B12759" t="str">
        <f>"1306043278"</f>
        <v>1306043278</v>
      </c>
      <c r="C12759" t="str">
        <f>"207R00000X"</f>
        <v>207R00000X</v>
      </c>
      <c r="D12759" t="str">
        <f>"HERRINGTON               ELIZABETH    L           "</f>
        <v xml:space="preserve">HERRINGTON               ELIZABETH    L           </v>
      </c>
      <c r="E12759" t="str">
        <f>"VICKSBURG                 "</f>
        <v xml:space="preserve">VICKSBURG                 </v>
      </c>
      <c r="F12759" t="str">
        <f t="shared" si="331"/>
        <v>MS</v>
      </c>
    </row>
    <row r="12760" spans="1:6" x14ac:dyDescent="0.25">
      <c r="A12760" t="str">
        <f>"007585020"</f>
        <v>007585020</v>
      </c>
      <c r="B12760" t="str">
        <f>"1699389189"</f>
        <v>1699389189</v>
      </c>
      <c r="C12760" t="str">
        <f>"363L00000X"</f>
        <v>363L00000X</v>
      </c>
      <c r="D12760" t="str">
        <f>"BEARD                    LINDSAY      R           "</f>
        <v xml:space="preserve">BEARD                    LINDSAY      R           </v>
      </c>
      <c r="E12760" t="str">
        <f>"ELLISVILLE                "</f>
        <v xml:space="preserve">ELLISVILLE                </v>
      </c>
      <c r="F12760" t="str">
        <f t="shared" si="331"/>
        <v>MS</v>
      </c>
    </row>
    <row r="12761" spans="1:6" x14ac:dyDescent="0.25">
      <c r="A12761" t="str">
        <f>"007585366"</f>
        <v>007585366</v>
      </c>
      <c r="B12761" t="str">
        <f>"1679060438"</f>
        <v>1679060438</v>
      </c>
      <c r="C12761" t="str">
        <f>"2085R0202X"</f>
        <v>2085R0202X</v>
      </c>
      <c r="D12761" t="str">
        <f>"WALLACE                  WILLIAM      D           "</f>
        <v xml:space="preserve">WALLACE                  WILLIAM      D           </v>
      </c>
      <c r="E12761" t="str">
        <f>"JACKSON                   "</f>
        <v xml:space="preserve">JACKSON                   </v>
      </c>
      <c r="F12761" t="str">
        <f t="shared" si="331"/>
        <v>MS</v>
      </c>
    </row>
    <row r="12762" spans="1:6" x14ac:dyDescent="0.25">
      <c r="A12762" t="str">
        <f>"007587237"</f>
        <v>007587237</v>
      </c>
      <c r="B12762" t="str">
        <f>"1790173599"</f>
        <v>1790173599</v>
      </c>
      <c r="C12762" t="str">
        <f>"363L00000X"</f>
        <v>363L00000X</v>
      </c>
      <c r="D12762" t="str">
        <f>"RICHARDSON               RACHEL       A           "</f>
        <v xml:space="preserve">RICHARDSON               RACHEL       A           </v>
      </c>
      <c r="E12762" t="str">
        <f>"LAUREL                    "</f>
        <v xml:space="preserve">LAUREL                    </v>
      </c>
      <c r="F12762" t="str">
        <f t="shared" si="331"/>
        <v>MS</v>
      </c>
    </row>
    <row r="12763" spans="1:6" x14ac:dyDescent="0.25">
      <c r="A12763" t="str">
        <f>"007587317"</f>
        <v>007587317</v>
      </c>
      <c r="B12763" t="str">
        <f>"1346291580"</f>
        <v>1346291580</v>
      </c>
      <c r="C12763" t="str">
        <f>"122300000X"</f>
        <v>122300000X</v>
      </c>
      <c r="D12763" t="str">
        <f>"SHLEWEET                 JOSEPH       K           "</f>
        <v xml:space="preserve">SHLEWEET                 JOSEPH       K           </v>
      </c>
      <c r="E12763" t="str">
        <f>"SOUTHAVEN                 "</f>
        <v xml:space="preserve">SOUTHAVEN                 </v>
      </c>
      <c r="F12763" t="str">
        <f t="shared" si="331"/>
        <v>MS</v>
      </c>
    </row>
    <row r="12764" spans="1:6" x14ac:dyDescent="0.25">
      <c r="A12764" t="str">
        <f>"007587822"</f>
        <v>007587822</v>
      </c>
      <c r="B12764" t="str">
        <f>"1598230864"</f>
        <v>1598230864</v>
      </c>
      <c r="C12764" t="str">
        <f>"261QM1300X"</f>
        <v>261QM1300X</v>
      </c>
      <c r="D12764" t="str">
        <f>"BUILDING BEHAVIORS COUNSELING SERVI               "</f>
        <v xml:space="preserve">BUILDING BEHAVIORS COUNSELING SERVI               </v>
      </c>
      <c r="E12764" t="str">
        <f>"BILOXI                    "</f>
        <v xml:space="preserve">BILOXI                    </v>
      </c>
      <c r="F12764" t="str">
        <f t="shared" si="331"/>
        <v>MS</v>
      </c>
    </row>
    <row r="12765" spans="1:6" x14ac:dyDescent="0.25">
      <c r="A12765" t="str">
        <f>"007588298"</f>
        <v>007588298</v>
      </c>
      <c r="B12765" t="str">
        <f>"1083902613"</f>
        <v>1083902613</v>
      </c>
      <c r="C12765" t="str">
        <f>"363L00000X"</f>
        <v>363L00000X</v>
      </c>
      <c r="D12765" t="str">
        <f>"FARMER                   YEN          H           "</f>
        <v xml:space="preserve">FARMER                   YEN          H           </v>
      </c>
      <c r="E12765" t="str">
        <f>"SOUTHAVEN                 "</f>
        <v xml:space="preserve">SOUTHAVEN                 </v>
      </c>
      <c r="F12765" t="str">
        <f t="shared" si="331"/>
        <v>MS</v>
      </c>
    </row>
    <row r="12766" spans="1:6" x14ac:dyDescent="0.25">
      <c r="A12766" t="str">
        <f>"007588758"</f>
        <v>007588758</v>
      </c>
      <c r="B12766" t="str">
        <f>"1497223317"</f>
        <v>1497223317</v>
      </c>
      <c r="C12766" t="str">
        <f>"363L00000X"</f>
        <v>363L00000X</v>
      </c>
      <c r="D12766" t="str">
        <f>"BOYKIN                   MARIAN                   "</f>
        <v xml:space="preserve">BOYKIN                   MARIAN                   </v>
      </c>
      <c r="E12766" t="str">
        <f>"TUPELO                    "</f>
        <v xml:space="preserve">TUPELO                    </v>
      </c>
      <c r="F12766" t="str">
        <f t="shared" si="331"/>
        <v>MS</v>
      </c>
    </row>
    <row r="12767" spans="1:6" x14ac:dyDescent="0.25">
      <c r="A12767" t="str">
        <f>"007601257"</f>
        <v>007601257</v>
      </c>
      <c r="B12767" t="str">
        <f>"1528558061"</f>
        <v>1528558061</v>
      </c>
      <c r="C12767" t="str">
        <f>"363L00000X"</f>
        <v>363L00000X</v>
      </c>
      <c r="D12767" t="str">
        <f>"WARREN                   DEERA        A           "</f>
        <v xml:space="preserve">WARREN                   DEERA        A           </v>
      </c>
      <c r="E12767" t="str">
        <f>"SOUTHAVEN                 "</f>
        <v xml:space="preserve">SOUTHAVEN                 </v>
      </c>
      <c r="F12767" t="str">
        <f t="shared" si="331"/>
        <v>MS</v>
      </c>
    </row>
    <row r="12768" spans="1:6" x14ac:dyDescent="0.25">
      <c r="A12768" t="str">
        <f>"007601897"</f>
        <v>007601897</v>
      </c>
      <c r="B12768" t="str">
        <f>"1134574429"</f>
        <v>1134574429</v>
      </c>
      <c r="C12768" t="str">
        <f>"207P00000X"</f>
        <v>207P00000X</v>
      </c>
      <c r="D12768" t="str">
        <f>"WHITAKER                 ADAM                     "</f>
        <v xml:space="preserve">WHITAKER                 ADAM                     </v>
      </c>
      <c r="E12768" t="str">
        <f>"CANTON                    "</f>
        <v xml:space="preserve">CANTON                    </v>
      </c>
      <c r="F12768" t="str">
        <f t="shared" si="331"/>
        <v>MS</v>
      </c>
    </row>
    <row r="12769" spans="1:6" x14ac:dyDescent="0.25">
      <c r="A12769" t="str">
        <f>"007603381"</f>
        <v>007603381</v>
      </c>
      <c r="B12769" t="str">
        <f>"1669056941"</f>
        <v>1669056941</v>
      </c>
      <c r="C12769" t="str">
        <f>"363LF0000X"</f>
        <v>363LF0000X</v>
      </c>
      <c r="D12769" t="str">
        <f>"MEEK                     SARA         B           "</f>
        <v xml:space="preserve">MEEK                     SARA         B           </v>
      </c>
      <c r="E12769" t="str">
        <f>"JACKSON                   "</f>
        <v xml:space="preserve">JACKSON                   </v>
      </c>
      <c r="F12769" t="str">
        <f t="shared" si="331"/>
        <v>MS</v>
      </c>
    </row>
    <row r="12770" spans="1:6" x14ac:dyDescent="0.25">
      <c r="A12770" t="str">
        <f>"007603579"</f>
        <v>007603579</v>
      </c>
      <c r="B12770" t="str">
        <f>"1053751370"</f>
        <v>1053751370</v>
      </c>
      <c r="C12770" t="str">
        <f>"207Q00000X"</f>
        <v>207Q00000X</v>
      </c>
      <c r="D12770" t="str">
        <f>"PIERRE                   DAVID        C           "</f>
        <v xml:space="preserve">PIERRE                   DAVID        C           </v>
      </c>
      <c r="E12770" t="str">
        <f>"JACKSON                   "</f>
        <v xml:space="preserve">JACKSON                   </v>
      </c>
      <c r="F12770" t="str">
        <f t="shared" si="331"/>
        <v>MS</v>
      </c>
    </row>
    <row r="12771" spans="1:6" x14ac:dyDescent="0.25">
      <c r="A12771" t="str">
        <f>"007604351"</f>
        <v>007604351</v>
      </c>
      <c r="B12771" t="str">
        <f>"1073853388"</f>
        <v>1073853388</v>
      </c>
      <c r="C12771" t="str">
        <f>"363L00000X"</f>
        <v>363L00000X</v>
      </c>
      <c r="D12771" t="str">
        <f>"MALONE                   PATRICIA     M           "</f>
        <v xml:space="preserve">MALONE                   PATRICIA     M           </v>
      </c>
      <c r="E12771" t="str">
        <f>"COLUMBUS                  "</f>
        <v xml:space="preserve">COLUMBUS                  </v>
      </c>
      <c r="F12771" t="str">
        <f t="shared" si="331"/>
        <v>MS</v>
      </c>
    </row>
    <row r="12772" spans="1:6" x14ac:dyDescent="0.25">
      <c r="A12772" t="str">
        <f>"007604828"</f>
        <v>007604828</v>
      </c>
      <c r="B12772" t="str">
        <f>"1598717076"</f>
        <v>1598717076</v>
      </c>
      <c r="C12772" t="str">
        <f>"367500000X"</f>
        <v>367500000X</v>
      </c>
      <c r="D12772" t="str">
        <f>"AVERY                    JEFFREY      M           "</f>
        <v xml:space="preserve">AVERY                    JEFFREY      M           </v>
      </c>
      <c r="E12772" t="str">
        <f>"TUPELO                    "</f>
        <v xml:space="preserve">TUPELO                    </v>
      </c>
      <c r="F12772" t="str">
        <f t="shared" si="331"/>
        <v>MS</v>
      </c>
    </row>
    <row r="12773" spans="1:6" x14ac:dyDescent="0.25">
      <c r="A12773" t="str">
        <f>"007605027"</f>
        <v>007605027</v>
      </c>
      <c r="B12773" t="str">
        <f>"1881910677"</f>
        <v>1881910677</v>
      </c>
      <c r="C12773" t="str">
        <f>"2084N0400X"</f>
        <v>2084N0400X</v>
      </c>
      <c r="D12773" t="str">
        <f>"JERADEH-BOURSOULIAN      FERAS                    "</f>
        <v xml:space="preserve">JERADEH-BOURSOULIAN      FERAS                    </v>
      </c>
      <c r="E12773" t="str">
        <f>"TUPELO                    "</f>
        <v xml:space="preserve">TUPELO                    </v>
      </c>
      <c r="F12773" t="str">
        <f t="shared" si="331"/>
        <v>MS</v>
      </c>
    </row>
    <row r="12774" spans="1:6" x14ac:dyDescent="0.25">
      <c r="A12774" t="str">
        <f>"007606851"</f>
        <v>007606851</v>
      </c>
      <c r="B12774" t="str">
        <f>"1134638034"</f>
        <v>1134638034</v>
      </c>
      <c r="C12774" t="str">
        <f>"363L00000X"</f>
        <v>363L00000X</v>
      </c>
      <c r="D12774" t="str">
        <f>"BRANCH                   ANDREA       C           "</f>
        <v xml:space="preserve">BRANCH                   ANDREA       C           </v>
      </c>
      <c r="E12774" t="str">
        <f>"COLUMBUS                  "</f>
        <v xml:space="preserve">COLUMBUS                  </v>
      </c>
      <c r="F12774" t="str">
        <f t="shared" si="331"/>
        <v>MS</v>
      </c>
    </row>
    <row r="12775" spans="1:6" x14ac:dyDescent="0.25">
      <c r="A12775" t="str">
        <f>"007607398"</f>
        <v>007607398</v>
      </c>
      <c r="B12775" t="str">
        <f>"1235736778"</f>
        <v>1235736778</v>
      </c>
      <c r="C12775" t="str">
        <f>"363L00000X"</f>
        <v>363L00000X</v>
      </c>
      <c r="D12775" t="str">
        <f>"FREE                     BETHANY      A           "</f>
        <v xml:space="preserve">FREE                     BETHANY      A           </v>
      </c>
      <c r="E12775" t="str">
        <f>"HOUSTON                   "</f>
        <v xml:space="preserve">HOUSTON                   </v>
      </c>
      <c r="F12775" t="str">
        <f t="shared" si="331"/>
        <v>MS</v>
      </c>
    </row>
    <row r="12776" spans="1:6" x14ac:dyDescent="0.25">
      <c r="A12776" t="str">
        <f>"007607718"</f>
        <v>007607718</v>
      </c>
      <c r="B12776" t="str">
        <f>"1649727447"</f>
        <v>1649727447</v>
      </c>
      <c r="C12776" t="str">
        <f>"261QR1300X"</f>
        <v>261QR1300X</v>
      </c>
      <c r="D12776" t="str">
        <f>"CHILDRENS CLINIC TUPELO                           "</f>
        <v xml:space="preserve">CHILDRENS CLINIC TUPELO                           </v>
      </c>
      <c r="E12776" t="str">
        <f>"TUPELO                    "</f>
        <v xml:space="preserve">TUPELO                    </v>
      </c>
      <c r="F12776" t="str">
        <f t="shared" si="331"/>
        <v>MS</v>
      </c>
    </row>
    <row r="12777" spans="1:6" x14ac:dyDescent="0.25">
      <c r="A12777" t="str">
        <f>"007608218"</f>
        <v>007608218</v>
      </c>
      <c r="B12777" t="str">
        <f>"1487968103"</f>
        <v>1487968103</v>
      </c>
      <c r="C12777" t="str">
        <f>"363L00000X"</f>
        <v>363L00000X</v>
      </c>
      <c r="D12777" t="str">
        <f>"NEWSON                   ANTHONY                  "</f>
        <v xml:space="preserve">NEWSON                   ANTHONY                  </v>
      </c>
      <c r="E12777" t="str">
        <f>"COLDWATER                 "</f>
        <v xml:space="preserve">COLDWATER                 </v>
      </c>
      <c r="F12777" t="str">
        <f t="shared" si="331"/>
        <v>MS</v>
      </c>
    </row>
    <row r="12778" spans="1:6" x14ac:dyDescent="0.25">
      <c r="A12778" t="str">
        <f>"007608766"</f>
        <v>007608766</v>
      </c>
      <c r="B12778" t="str">
        <f>"1538503222"</f>
        <v>1538503222</v>
      </c>
      <c r="C12778" t="str">
        <f>"152W00000X"</f>
        <v>152W00000X</v>
      </c>
      <c r="D12778" t="str">
        <f>"OTTO                     AUDREY                   "</f>
        <v xml:space="preserve">OTTO                     AUDREY                   </v>
      </c>
      <c r="E12778" t="str">
        <f>"BAY SPRINGS               "</f>
        <v xml:space="preserve">BAY SPRINGS               </v>
      </c>
      <c r="F12778" t="str">
        <f t="shared" si="331"/>
        <v>MS</v>
      </c>
    </row>
    <row r="12779" spans="1:6" x14ac:dyDescent="0.25">
      <c r="A12779" t="str">
        <f>"007608845"</f>
        <v>007608845</v>
      </c>
      <c r="B12779" t="str">
        <f>"1578875894"</f>
        <v>1578875894</v>
      </c>
      <c r="C12779" t="str">
        <f>"207R00000X"</f>
        <v>207R00000X</v>
      </c>
      <c r="D12779" t="str">
        <f>"GREEN                    LATONYA      T           "</f>
        <v xml:space="preserve">GREEN                    LATONYA      T           </v>
      </c>
      <c r="E12779" t="str">
        <f>"SOUTHAVEN                 "</f>
        <v xml:space="preserve">SOUTHAVEN                 </v>
      </c>
      <c r="F12779" t="str">
        <f t="shared" si="331"/>
        <v>MS</v>
      </c>
    </row>
    <row r="12780" spans="1:6" x14ac:dyDescent="0.25">
      <c r="A12780" t="str">
        <f>"007609227"</f>
        <v>007609227</v>
      </c>
      <c r="B12780" t="str">
        <f>"1245438860"</f>
        <v>1245438860</v>
      </c>
      <c r="C12780" t="str">
        <f>"207R00000X"</f>
        <v>207R00000X</v>
      </c>
      <c r="D12780" t="str">
        <f>"MCCRARY                  JEFFREY      B           "</f>
        <v xml:space="preserve">MCCRARY                  JEFFREY      B           </v>
      </c>
      <c r="E12780" t="str">
        <f>"FLOWOOD                   "</f>
        <v xml:space="preserve">FLOWOOD                   </v>
      </c>
      <c r="F12780" t="str">
        <f t="shared" si="331"/>
        <v>MS</v>
      </c>
    </row>
    <row r="12781" spans="1:6" x14ac:dyDescent="0.25">
      <c r="A12781" t="str">
        <f>"007609817"</f>
        <v>007609817</v>
      </c>
      <c r="B12781" t="str">
        <f>"1407245988"</f>
        <v>1407245988</v>
      </c>
      <c r="C12781" t="str">
        <f>"367500000X"</f>
        <v>367500000X</v>
      </c>
      <c r="D12781" t="str">
        <f>"NASH                     MARY         W           "</f>
        <v xml:space="preserve">NASH                     MARY         W           </v>
      </c>
      <c r="E12781" t="str">
        <f>"JACKSON                   "</f>
        <v xml:space="preserve">JACKSON                   </v>
      </c>
      <c r="F12781" t="str">
        <f t="shared" si="331"/>
        <v>MS</v>
      </c>
    </row>
    <row r="12782" spans="1:6" x14ac:dyDescent="0.25">
      <c r="A12782" t="str">
        <f>"007620769"</f>
        <v>007620769</v>
      </c>
      <c r="B12782" t="str">
        <f>"1407912702"</f>
        <v>1407912702</v>
      </c>
      <c r="C12782" t="str">
        <f>"367500000X"</f>
        <v>367500000X</v>
      </c>
      <c r="D12782" t="str">
        <f>"CHEATHAM                 SHELLIE      J           "</f>
        <v xml:space="preserve">CHEATHAM                 SHELLIE      J           </v>
      </c>
      <c r="E12782" t="str">
        <f>"FLOWOOD                   "</f>
        <v xml:space="preserve">FLOWOOD                   </v>
      </c>
      <c r="F12782" t="str">
        <f t="shared" si="331"/>
        <v>MS</v>
      </c>
    </row>
    <row r="12783" spans="1:6" x14ac:dyDescent="0.25">
      <c r="A12783" t="str">
        <f>"007621752"</f>
        <v>007621752</v>
      </c>
      <c r="B12783" t="str">
        <f>"1194144386"</f>
        <v>1194144386</v>
      </c>
      <c r="C12783" t="str">
        <f>"207W00000X"</f>
        <v>207W00000X</v>
      </c>
      <c r="D12783" t="str">
        <f>"QUECK                    SARAH        D           "</f>
        <v xml:space="preserve">QUECK                    SARAH        D           </v>
      </c>
      <c r="E12783" t="str">
        <f>"HATTIESBURG               "</f>
        <v xml:space="preserve">HATTIESBURG               </v>
      </c>
      <c r="F12783" t="str">
        <f t="shared" si="331"/>
        <v>MS</v>
      </c>
    </row>
    <row r="12784" spans="1:6" x14ac:dyDescent="0.25">
      <c r="A12784" t="str">
        <f>"007622573"</f>
        <v>007622573</v>
      </c>
      <c r="B12784" t="str">
        <f>"1093020893"</f>
        <v>1093020893</v>
      </c>
      <c r="C12784" t="str">
        <f>"152W00000X"</f>
        <v>152W00000X</v>
      </c>
      <c r="D12784" t="str">
        <f>"JOSHUA E BOSTICK OD PA                            "</f>
        <v xml:space="preserve">JOSHUA E BOSTICK OD PA                            </v>
      </c>
      <c r="E12784" t="str">
        <f>"SALTILLO                  "</f>
        <v xml:space="preserve">SALTILLO                  </v>
      </c>
      <c r="F12784" t="str">
        <f t="shared" si="331"/>
        <v>MS</v>
      </c>
    </row>
    <row r="12785" spans="1:6" x14ac:dyDescent="0.25">
      <c r="A12785" t="str">
        <f>"007623077"</f>
        <v>007623077</v>
      </c>
      <c r="B12785" t="str">
        <f>"1992156863"</f>
        <v>1992156863</v>
      </c>
      <c r="C12785" t="str">
        <f>"363L00000X"</f>
        <v>363L00000X</v>
      </c>
      <c r="D12785" t="str">
        <f>"HARRIS                   BRITTANY                 "</f>
        <v xml:space="preserve">HARRIS                   BRITTANY                 </v>
      </c>
      <c r="E12785" t="str">
        <f>"COLDWATER                 "</f>
        <v xml:space="preserve">COLDWATER                 </v>
      </c>
      <c r="F12785" t="str">
        <f t="shared" si="331"/>
        <v>MS</v>
      </c>
    </row>
    <row r="12786" spans="1:6" x14ac:dyDescent="0.25">
      <c r="A12786" t="str">
        <f>"007624895"</f>
        <v>007624895</v>
      </c>
      <c r="B12786" t="str">
        <f>"1801100037"</f>
        <v>1801100037</v>
      </c>
      <c r="C12786" t="str">
        <f>"363L00000X"</f>
        <v>363L00000X</v>
      </c>
      <c r="D12786" t="str">
        <f>"LEGGETT                  JENNIFER     R           "</f>
        <v xml:space="preserve">LEGGETT                  JENNIFER     R           </v>
      </c>
      <c r="E12786" t="str">
        <f>"MOUNT OLIVE               "</f>
        <v xml:space="preserve">MOUNT OLIVE               </v>
      </c>
      <c r="F12786" t="str">
        <f t="shared" si="331"/>
        <v>MS</v>
      </c>
    </row>
    <row r="12787" spans="1:6" x14ac:dyDescent="0.25">
      <c r="A12787" t="str">
        <f>"007625012"</f>
        <v>007625012</v>
      </c>
      <c r="B12787" t="str">
        <f>"1174818389"</f>
        <v>1174818389</v>
      </c>
      <c r="C12787" t="str">
        <f>"363L00000X"</f>
        <v>363L00000X</v>
      </c>
      <c r="D12787" t="str">
        <f>"BALLARD                  KELI         W           "</f>
        <v xml:space="preserve">BALLARD                  KELI         W           </v>
      </c>
      <c r="E12787" t="str">
        <f>"TUPELO                    "</f>
        <v xml:space="preserve">TUPELO                    </v>
      </c>
      <c r="F12787" t="str">
        <f t="shared" si="331"/>
        <v>MS</v>
      </c>
    </row>
    <row r="12788" spans="1:6" x14ac:dyDescent="0.25">
      <c r="A12788" t="str">
        <f>"007625824"</f>
        <v>007625824</v>
      </c>
      <c r="B12788" t="str">
        <f>"1821336371"</f>
        <v>1821336371</v>
      </c>
      <c r="C12788" t="str">
        <f>"261QA1903X"</f>
        <v>261QA1903X</v>
      </c>
      <c r="D12788" t="str">
        <f>"EYECARE SURGERY CENTER LLC                        "</f>
        <v xml:space="preserve">EYECARE SURGERY CENTER LLC                        </v>
      </c>
      <c r="E12788" t="str">
        <f>"JACKSON                   "</f>
        <v xml:space="preserve">JACKSON                   </v>
      </c>
      <c r="F12788" t="str">
        <f t="shared" si="331"/>
        <v>MS</v>
      </c>
    </row>
    <row r="12789" spans="1:6" x14ac:dyDescent="0.25">
      <c r="A12789" t="str">
        <f>"007626094"</f>
        <v>007626094</v>
      </c>
      <c r="B12789" t="str">
        <f>"1558375196"</f>
        <v>1558375196</v>
      </c>
      <c r="C12789" t="str">
        <f>"367500000X"</f>
        <v>367500000X</v>
      </c>
      <c r="D12789" t="str">
        <f>"THOMPSON                 JANIE                    "</f>
        <v xml:space="preserve">THOMPSON                 JANIE                    </v>
      </c>
      <c r="E12789" t="str">
        <f>"SOUTHAVEN                 "</f>
        <v xml:space="preserve">SOUTHAVEN                 </v>
      </c>
      <c r="F12789" t="str">
        <f t="shared" si="331"/>
        <v>MS</v>
      </c>
    </row>
    <row r="12790" spans="1:6" x14ac:dyDescent="0.25">
      <c r="A12790" t="str">
        <f>"007626548"</f>
        <v>007626548</v>
      </c>
      <c r="B12790" t="str">
        <f>"1598230245"</f>
        <v>1598230245</v>
      </c>
      <c r="C12790" t="str">
        <f>"363L00000X"</f>
        <v>363L00000X</v>
      </c>
      <c r="D12790" t="str">
        <f>"GILL                     AMANDA       H           "</f>
        <v xml:space="preserve">GILL                     AMANDA       H           </v>
      </c>
      <c r="E12790" t="str">
        <f>"VICKSBURG                 "</f>
        <v xml:space="preserve">VICKSBURG                 </v>
      </c>
      <c r="F12790" t="str">
        <f t="shared" si="331"/>
        <v>MS</v>
      </c>
    </row>
    <row r="12791" spans="1:6" x14ac:dyDescent="0.25">
      <c r="A12791" t="str">
        <f>"007628760"</f>
        <v>007628760</v>
      </c>
      <c r="B12791" t="str">
        <f>"1306873732"</f>
        <v>1306873732</v>
      </c>
      <c r="C12791" t="str">
        <f>"363L00000X"</f>
        <v>363L00000X</v>
      </c>
      <c r="D12791" t="str">
        <f>"WILLIS                   TANYA        E           "</f>
        <v xml:space="preserve">WILLIS                   TANYA        E           </v>
      </c>
      <c r="E12791" t="str">
        <f>"JACKSON                   "</f>
        <v xml:space="preserve">JACKSON                   </v>
      </c>
      <c r="F12791" t="str">
        <f t="shared" si="331"/>
        <v>MS</v>
      </c>
    </row>
    <row r="12792" spans="1:6" x14ac:dyDescent="0.25">
      <c r="A12792" t="str">
        <f>"007629258"</f>
        <v>007629258</v>
      </c>
      <c r="B12792" t="str">
        <f>"1134368939"</f>
        <v>1134368939</v>
      </c>
      <c r="C12792" t="str">
        <f>"207P00000X"</f>
        <v>207P00000X</v>
      </c>
      <c r="D12792" t="str">
        <f>"SMELLEY                  CHRISTOPHER  L           "</f>
        <v xml:space="preserve">SMELLEY                  CHRISTOPHER  L           </v>
      </c>
      <c r="E12792" t="str">
        <f>"BILOXI                    "</f>
        <v xml:space="preserve">BILOXI                    </v>
      </c>
      <c r="F12792" t="str">
        <f t="shared" si="331"/>
        <v>MS</v>
      </c>
    </row>
    <row r="12793" spans="1:6" x14ac:dyDescent="0.25">
      <c r="A12793" t="str">
        <f>"007629527"</f>
        <v>007629527</v>
      </c>
      <c r="B12793" t="str">
        <f>"1619975521"</f>
        <v>1619975521</v>
      </c>
      <c r="C12793" t="str">
        <f>"207RX0202X"</f>
        <v>207RX0202X</v>
      </c>
      <c r="D12793" t="str">
        <f>"WILSON JR                PASCHAL      P           "</f>
        <v xml:space="preserve">WILSON JR                PASCHAL      P           </v>
      </c>
      <c r="E12793" t="str">
        <f>"TUPELO                    "</f>
        <v xml:space="preserve">TUPELO                    </v>
      </c>
      <c r="F12793" t="str">
        <f t="shared" si="331"/>
        <v>MS</v>
      </c>
    </row>
    <row r="12794" spans="1:6" x14ac:dyDescent="0.25">
      <c r="A12794" t="str">
        <f>"007630049"</f>
        <v>007630049</v>
      </c>
      <c r="B12794" t="str">
        <f>"1033290051"</f>
        <v>1033290051</v>
      </c>
      <c r="C12794" t="str">
        <f>"207L00000X"</f>
        <v>207L00000X</v>
      </c>
      <c r="D12794" t="str">
        <f>"DUNN III                 JACK                     "</f>
        <v xml:space="preserve">DUNN III                 JACK                     </v>
      </c>
      <c r="E12794" t="str">
        <f>"MERIDIAN                  "</f>
        <v xml:space="preserve">MERIDIAN                  </v>
      </c>
      <c r="F12794" t="str">
        <f t="shared" si="331"/>
        <v>MS</v>
      </c>
    </row>
    <row r="12795" spans="1:6" x14ac:dyDescent="0.25">
      <c r="A12795" t="str">
        <f>"007630093"</f>
        <v>007630093</v>
      </c>
      <c r="B12795" t="str">
        <f>"1710242458"</f>
        <v>1710242458</v>
      </c>
      <c r="C12795" t="str">
        <f>"363L00000X"</f>
        <v>363L00000X</v>
      </c>
      <c r="D12795" t="str">
        <f>"WALTON                   TYRONGILIA   Q           "</f>
        <v xml:space="preserve">WALTON                   TYRONGILIA   Q           </v>
      </c>
      <c r="E12795" t="str">
        <f>"NEW ALBANY                "</f>
        <v xml:space="preserve">NEW ALBANY                </v>
      </c>
      <c r="F12795" t="str">
        <f t="shared" si="331"/>
        <v>MS</v>
      </c>
    </row>
    <row r="12796" spans="1:6" x14ac:dyDescent="0.25">
      <c r="A12796" t="str">
        <f>"007630379"</f>
        <v>007630379</v>
      </c>
      <c r="B12796" t="str">
        <f>"1740630821"</f>
        <v>1740630821</v>
      </c>
      <c r="C12796" t="str">
        <f>"207Q00000X"</f>
        <v>207Q00000X</v>
      </c>
      <c r="D12796" t="str">
        <f>"PAYNE                    ANGELA                   "</f>
        <v xml:space="preserve">PAYNE                    ANGELA                   </v>
      </c>
      <c r="E12796" t="str">
        <f>"STARKVILLE                "</f>
        <v xml:space="preserve">STARKVILLE                </v>
      </c>
      <c r="F12796" t="str">
        <f t="shared" si="331"/>
        <v>MS</v>
      </c>
    </row>
    <row r="12797" spans="1:6" x14ac:dyDescent="0.25">
      <c r="A12797" t="str">
        <f>"007631537"</f>
        <v>007631537</v>
      </c>
      <c r="B12797" t="str">
        <f>"1356537948"</f>
        <v>1356537948</v>
      </c>
      <c r="C12797" t="str">
        <f>"122300000X"</f>
        <v>122300000X</v>
      </c>
      <c r="D12797" t="str">
        <f>"ACIE WHITLOCK JR DMD                              "</f>
        <v xml:space="preserve">ACIE WHITLOCK JR DMD                              </v>
      </c>
      <c r="E12797" t="str">
        <f>"JACKSON                   "</f>
        <v xml:space="preserve">JACKSON                   </v>
      </c>
      <c r="F12797" t="str">
        <f t="shared" si="331"/>
        <v>MS</v>
      </c>
    </row>
    <row r="12798" spans="1:6" x14ac:dyDescent="0.25">
      <c r="A12798" t="str">
        <f>"007631596"</f>
        <v>007631596</v>
      </c>
      <c r="B12798" t="str">
        <f>"1285249573"</f>
        <v>1285249573</v>
      </c>
      <c r="C12798" t="str">
        <f>"363L00000X"</f>
        <v>363L00000X</v>
      </c>
      <c r="D12798" t="str">
        <f>"MUNN                     MANDY                    "</f>
        <v xml:space="preserve">MUNN                     MANDY                    </v>
      </c>
      <c r="E12798" t="str">
        <f>"WAYNESBORO                "</f>
        <v xml:space="preserve">WAYNESBORO                </v>
      </c>
      <c r="F12798" t="str">
        <f t="shared" ref="F12798:F12861" si="332">"MS"</f>
        <v>MS</v>
      </c>
    </row>
    <row r="12799" spans="1:6" x14ac:dyDescent="0.25">
      <c r="A12799" t="str">
        <f>"007631726"</f>
        <v>007631726</v>
      </c>
      <c r="B12799" t="str">
        <f>"1558421651"</f>
        <v>1558421651</v>
      </c>
      <c r="C12799" t="str">
        <f>"207LP2900X"</f>
        <v>207LP2900X</v>
      </c>
      <c r="D12799" t="str">
        <f>"AUZENNE                  GREGORY      A           "</f>
        <v xml:space="preserve">AUZENNE                  GREGORY      A           </v>
      </c>
      <c r="E12799" t="str">
        <f>"MERIDIAN                  "</f>
        <v xml:space="preserve">MERIDIAN                  </v>
      </c>
      <c r="F12799" t="str">
        <f t="shared" si="332"/>
        <v>MS</v>
      </c>
    </row>
    <row r="12800" spans="1:6" x14ac:dyDescent="0.25">
      <c r="A12800" t="str">
        <f>"007634252"</f>
        <v>007634252</v>
      </c>
      <c r="B12800" t="str">
        <f>"1225235310"</f>
        <v>1225235310</v>
      </c>
      <c r="C12800" t="str">
        <f>"208600000X"</f>
        <v>208600000X</v>
      </c>
      <c r="D12800" t="str">
        <f>"STRINGER                 ROBERT       A           "</f>
        <v xml:space="preserve">STRINGER                 ROBERT       A           </v>
      </c>
      <c r="E12800" t="str">
        <f>"HATTIESBURG               "</f>
        <v xml:space="preserve">HATTIESBURG               </v>
      </c>
      <c r="F12800" t="str">
        <f t="shared" si="332"/>
        <v>MS</v>
      </c>
    </row>
    <row r="12801" spans="1:6" x14ac:dyDescent="0.25">
      <c r="A12801" t="str">
        <f>"007634721"</f>
        <v>007634721</v>
      </c>
      <c r="B12801" t="str">
        <f>"1700338704"</f>
        <v>1700338704</v>
      </c>
      <c r="C12801" t="str">
        <f>"363A00000X"</f>
        <v>363A00000X</v>
      </c>
      <c r="D12801" t="str">
        <f>"MOSS                     CHARLOTTE    B           "</f>
        <v xml:space="preserve">MOSS                     CHARLOTTE    B           </v>
      </c>
      <c r="E12801" t="str">
        <f>"JACKSON                   "</f>
        <v xml:space="preserve">JACKSON                   </v>
      </c>
      <c r="F12801" t="str">
        <f t="shared" si="332"/>
        <v>MS</v>
      </c>
    </row>
    <row r="12802" spans="1:6" x14ac:dyDescent="0.25">
      <c r="A12802" t="str">
        <f>"007636002"</f>
        <v>007636002</v>
      </c>
      <c r="B12802" t="str">
        <f>"1255443453"</f>
        <v>1255443453</v>
      </c>
      <c r="C12802" t="str">
        <f>"367500000X"</f>
        <v>367500000X</v>
      </c>
      <c r="D12802" t="str">
        <f>"PAYNE                    ERIC         O           "</f>
        <v xml:space="preserve">PAYNE                    ERIC         O           </v>
      </c>
      <c r="E12802" t="str">
        <f>"JACKSON                   "</f>
        <v xml:space="preserve">JACKSON                   </v>
      </c>
      <c r="F12802" t="str">
        <f t="shared" si="332"/>
        <v>MS</v>
      </c>
    </row>
    <row r="12803" spans="1:6" x14ac:dyDescent="0.25">
      <c r="A12803" t="str">
        <f>"007636785"</f>
        <v>007636785</v>
      </c>
      <c r="B12803" t="str">
        <f>"1154935104"</f>
        <v>1154935104</v>
      </c>
      <c r="C12803" t="str">
        <f>"363L00000X"</f>
        <v>363L00000X</v>
      </c>
      <c r="D12803" t="str">
        <f>"HARPER                   MIRANDA                  "</f>
        <v xml:space="preserve">HARPER                   MIRANDA                  </v>
      </c>
      <c r="E12803" t="str">
        <f>"VICKSBURG                 "</f>
        <v xml:space="preserve">VICKSBURG                 </v>
      </c>
      <c r="F12803" t="str">
        <f t="shared" si="332"/>
        <v>MS</v>
      </c>
    </row>
    <row r="12804" spans="1:6" x14ac:dyDescent="0.25">
      <c r="A12804" t="str">
        <f>"007637854"</f>
        <v>007637854</v>
      </c>
      <c r="B12804" t="str">
        <f>"1093024614"</f>
        <v>1093024614</v>
      </c>
      <c r="C12804" t="str">
        <f>"363L00000X"</f>
        <v>363L00000X</v>
      </c>
      <c r="D12804" t="str">
        <f>"FRENCH                   CALVIN       J           "</f>
        <v xml:space="preserve">FRENCH                   CALVIN       J           </v>
      </c>
      <c r="E12804" t="str">
        <f>"COLUMBUS                  "</f>
        <v xml:space="preserve">COLUMBUS                  </v>
      </c>
      <c r="F12804" t="str">
        <f t="shared" si="332"/>
        <v>MS</v>
      </c>
    </row>
    <row r="12805" spans="1:6" x14ac:dyDescent="0.25">
      <c r="A12805" t="str">
        <f>"007637871"</f>
        <v>007637871</v>
      </c>
      <c r="B12805" t="str">
        <f>"1013086644"</f>
        <v>1013086644</v>
      </c>
      <c r="C12805" t="str">
        <f>"207X00000X"</f>
        <v>207X00000X</v>
      </c>
      <c r="D12805" t="str">
        <f>"MIHALKO                  WILLIAM      M           "</f>
        <v xml:space="preserve">MIHALKO                  WILLIAM      M           </v>
      </c>
      <c r="E12805" t="str">
        <f>"SOUTHAVEN                 "</f>
        <v xml:space="preserve">SOUTHAVEN                 </v>
      </c>
      <c r="F12805" t="str">
        <f t="shared" si="332"/>
        <v>MS</v>
      </c>
    </row>
    <row r="12806" spans="1:6" x14ac:dyDescent="0.25">
      <c r="A12806" t="str">
        <f>"007638331"</f>
        <v>007638331</v>
      </c>
      <c r="B12806" t="str">
        <f>"1952366080"</f>
        <v>1952366080</v>
      </c>
      <c r="C12806" t="str">
        <f>"208000000X"</f>
        <v>208000000X</v>
      </c>
      <c r="D12806" t="str">
        <f>"FREEMAN                  TIJUANA      L           "</f>
        <v xml:space="preserve">FREEMAN                  TIJUANA      L           </v>
      </c>
      <c r="E12806" t="str">
        <f>"OCEAN SPRINGS             "</f>
        <v xml:space="preserve">OCEAN SPRINGS             </v>
      </c>
      <c r="F12806" t="str">
        <f t="shared" si="332"/>
        <v>MS</v>
      </c>
    </row>
    <row r="12807" spans="1:6" x14ac:dyDescent="0.25">
      <c r="A12807" t="str">
        <f>"007639518"</f>
        <v>007639518</v>
      </c>
      <c r="B12807" t="str">
        <f>"1992806939"</f>
        <v>1992806939</v>
      </c>
      <c r="C12807" t="str">
        <f>"207LP2900X"</f>
        <v>207LP2900X</v>
      </c>
      <c r="D12807" t="str">
        <f>"ERIATOR                  IKECHUKWUI   I           "</f>
        <v xml:space="preserve">ERIATOR                  IKECHUKWUI   I           </v>
      </c>
      <c r="E12807" t="str">
        <f>"JACKSON                   "</f>
        <v xml:space="preserve">JACKSON                   </v>
      </c>
      <c r="F12807" t="str">
        <f t="shared" si="332"/>
        <v>MS</v>
      </c>
    </row>
    <row r="12808" spans="1:6" x14ac:dyDescent="0.25">
      <c r="A12808" t="str">
        <f>"007650714"</f>
        <v>007650714</v>
      </c>
      <c r="B12808" t="str">
        <f>"1528303294"</f>
        <v>1528303294</v>
      </c>
      <c r="C12808" t="str">
        <f>"363L00000X"</f>
        <v>363L00000X</v>
      </c>
      <c r="D12808" t="str">
        <f>"MITCHELL                 APRIL        L           "</f>
        <v xml:space="preserve">MITCHELL                 APRIL        L           </v>
      </c>
      <c r="E12808" t="str">
        <f>"JACKSON                   "</f>
        <v xml:space="preserve">JACKSON                   </v>
      </c>
      <c r="F12808" t="str">
        <f t="shared" si="332"/>
        <v>MS</v>
      </c>
    </row>
    <row r="12809" spans="1:6" x14ac:dyDescent="0.25">
      <c r="A12809" t="str">
        <f>"007650805"</f>
        <v>007650805</v>
      </c>
      <c r="B12809" t="str">
        <f>"1811425945"</f>
        <v>1811425945</v>
      </c>
      <c r="C12809" t="str">
        <f>"207R00000X"</f>
        <v>207R00000X</v>
      </c>
      <c r="D12809" t="str">
        <f>"DANIEL                   CHRISTINA    M           "</f>
        <v xml:space="preserve">DANIEL                   CHRISTINA    M           </v>
      </c>
      <c r="E12809" t="str">
        <f>"PASCAGOULA                "</f>
        <v xml:space="preserve">PASCAGOULA                </v>
      </c>
      <c r="F12809" t="str">
        <f t="shared" si="332"/>
        <v>MS</v>
      </c>
    </row>
    <row r="12810" spans="1:6" x14ac:dyDescent="0.25">
      <c r="A12810" t="str">
        <f>"007651707"</f>
        <v>007651707</v>
      </c>
      <c r="B12810" t="str">
        <f>"1184107898"</f>
        <v>1184107898</v>
      </c>
      <c r="C12810" t="str">
        <f>"363L00000X"</f>
        <v>363L00000X</v>
      </c>
      <c r="D12810" t="str">
        <f>"LOTT                     HILARY       B           "</f>
        <v xml:space="preserve">LOTT                     HILARY       B           </v>
      </c>
      <c r="E12810" t="str">
        <f>"BATESVILLE                "</f>
        <v xml:space="preserve">BATESVILLE                </v>
      </c>
      <c r="F12810" t="str">
        <f t="shared" si="332"/>
        <v>MS</v>
      </c>
    </row>
    <row r="12811" spans="1:6" x14ac:dyDescent="0.25">
      <c r="A12811" t="str">
        <f>"007654807"</f>
        <v>007654807</v>
      </c>
      <c r="B12811" t="str">
        <f>"1245818046"</f>
        <v>1245818046</v>
      </c>
      <c r="C12811" t="str">
        <f>"208000000X"</f>
        <v>208000000X</v>
      </c>
      <c r="D12811" t="str">
        <f>"BULMASH                  ANGELICA                 "</f>
        <v xml:space="preserve">BULMASH                  ANGELICA                 </v>
      </c>
      <c r="E12811" t="str">
        <f>"JACKSON                   "</f>
        <v xml:space="preserve">JACKSON                   </v>
      </c>
      <c r="F12811" t="str">
        <f t="shared" si="332"/>
        <v>MS</v>
      </c>
    </row>
    <row r="12812" spans="1:6" x14ac:dyDescent="0.25">
      <c r="A12812" t="str">
        <f>"007655097"</f>
        <v>007655097</v>
      </c>
      <c r="B12812" t="str">
        <f>"1962777896"</f>
        <v>1962777896</v>
      </c>
      <c r="C12812" t="str">
        <f>"363L00000X"</f>
        <v>363L00000X</v>
      </c>
      <c r="D12812" t="str">
        <f>"COLE                     JENNA        K           "</f>
        <v xml:space="preserve">COLE                     JENNA        K           </v>
      </c>
      <c r="E12812" t="str">
        <f>"ELLISVILLE                "</f>
        <v xml:space="preserve">ELLISVILLE                </v>
      </c>
      <c r="F12812" t="str">
        <f t="shared" si="332"/>
        <v>MS</v>
      </c>
    </row>
    <row r="12813" spans="1:6" x14ac:dyDescent="0.25">
      <c r="A12813" t="str">
        <f>"007655507"</f>
        <v>007655507</v>
      </c>
      <c r="B12813" t="str">
        <f>"1316208093"</f>
        <v>1316208093</v>
      </c>
      <c r="C12813" t="str">
        <f>"207Q00000X"</f>
        <v>207Q00000X</v>
      </c>
      <c r="D12813" t="str">
        <f>"PATEL                    AMIT         B           "</f>
        <v xml:space="preserve">PATEL                    AMIT         B           </v>
      </c>
      <c r="E12813" t="str">
        <f>"COLDWATER                 "</f>
        <v xml:space="preserve">COLDWATER                 </v>
      </c>
      <c r="F12813" t="str">
        <f t="shared" si="332"/>
        <v>MS</v>
      </c>
    </row>
    <row r="12814" spans="1:6" x14ac:dyDescent="0.25">
      <c r="A12814" t="str">
        <f>"007656593"</f>
        <v>007656593</v>
      </c>
      <c r="B12814" t="str">
        <f>"1700308806"</f>
        <v>1700308806</v>
      </c>
      <c r="C12814" t="str">
        <f>"363L00000X"</f>
        <v>363L00000X</v>
      </c>
      <c r="D12814" t="str">
        <f>"SHANNON                  VAKESHEA                 "</f>
        <v xml:space="preserve">SHANNON                  VAKESHEA                 </v>
      </c>
      <c r="E12814" t="str">
        <f>"TUPELO                    "</f>
        <v xml:space="preserve">TUPELO                    </v>
      </c>
      <c r="F12814" t="str">
        <f t="shared" si="332"/>
        <v>MS</v>
      </c>
    </row>
    <row r="12815" spans="1:6" x14ac:dyDescent="0.25">
      <c r="A12815" t="str">
        <f>"007656891"</f>
        <v>007656891</v>
      </c>
      <c r="B12815" t="str">
        <f>"1548756810"</f>
        <v>1548756810</v>
      </c>
      <c r="C12815" t="str">
        <f>"363L00000X"</f>
        <v>363L00000X</v>
      </c>
      <c r="D12815" t="str">
        <f>"DAVIS                    LAURA                    "</f>
        <v xml:space="preserve">DAVIS                    LAURA                    </v>
      </c>
      <c r="E12815" t="str">
        <f>"COLLINS                   "</f>
        <v xml:space="preserve">COLLINS                   </v>
      </c>
      <c r="F12815" t="str">
        <f t="shared" si="332"/>
        <v>MS</v>
      </c>
    </row>
    <row r="12816" spans="1:6" x14ac:dyDescent="0.25">
      <c r="A12816" t="str">
        <f>"007657790"</f>
        <v>007657790</v>
      </c>
      <c r="B12816" t="str">
        <f>"1972596567"</f>
        <v>1972596567</v>
      </c>
      <c r="C12816" t="str">
        <f>"208D00000X"</f>
        <v>208D00000X</v>
      </c>
      <c r="D12816" t="str">
        <f>"WILLBRANDT               BARRY        W           "</f>
        <v xml:space="preserve">WILLBRANDT               BARRY        W           </v>
      </c>
      <c r="E12816" t="str">
        <f>"GULFPORT                  "</f>
        <v xml:space="preserve">GULFPORT                  </v>
      </c>
      <c r="F12816" t="str">
        <f t="shared" si="332"/>
        <v>MS</v>
      </c>
    </row>
    <row r="12817" spans="1:6" x14ac:dyDescent="0.25">
      <c r="A12817" t="str">
        <f>"007657803"</f>
        <v>007657803</v>
      </c>
      <c r="B12817" t="str">
        <f>"1790229508"</f>
        <v>1790229508</v>
      </c>
      <c r="C12817" t="str">
        <f>"363L00000X"</f>
        <v>363L00000X</v>
      </c>
      <c r="D12817" t="str">
        <f>"O'QUIN                   JOHN         W           "</f>
        <v xml:space="preserve">O'QUIN                   JOHN         W           </v>
      </c>
      <c r="E12817" t="str">
        <f>"LAUREL                    "</f>
        <v xml:space="preserve">LAUREL                    </v>
      </c>
      <c r="F12817" t="str">
        <f t="shared" si="332"/>
        <v>MS</v>
      </c>
    </row>
    <row r="12818" spans="1:6" x14ac:dyDescent="0.25">
      <c r="A12818" t="str">
        <f>"007658885"</f>
        <v>007658885</v>
      </c>
      <c r="B12818" t="str">
        <f>"1649790809"</f>
        <v>1649790809</v>
      </c>
      <c r="C12818" t="str">
        <f>"207P00000X"</f>
        <v>207P00000X</v>
      </c>
      <c r="D12818" t="str">
        <f>"JACKSON                  LEIGH        A           "</f>
        <v xml:space="preserve">JACKSON                  LEIGH        A           </v>
      </c>
      <c r="E12818" t="str">
        <f>"SOUTHAVEN                 "</f>
        <v xml:space="preserve">SOUTHAVEN                 </v>
      </c>
      <c r="F12818" t="str">
        <f t="shared" si="332"/>
        <v>MS</v>
      </c>
    </row>
    <row r="12819" spans="1:6" x14ac:dyDescent="0.25">
      <c r="A12819" t="str">
        <f>"007659388"</f>
        <v>007659388</v>
      </c>
      <c r="B12819" t="str">
        <f>"1730743329"</f>
        <v>1730743329</v>
      </c>
      <c r="C12819" t="str">
        <f>"363LF0000X"</f>
        <v>363LF0000X</v>
      </c>
      <c r="D12819" t="str">
        <f>"JOHNSON                  DEIDRE       L           "</f>
        <v xml:space="preserve">JOHNSON                  DEIDRE       L           </v>
      </c>
      <c r="E12819" t="str">
        <f>"FLOWOOD                   "</f>
        <v xml:space="preserve">FLOWOOD                   </v>
      </c>
      <c r="F12819" t="str">
        <f t="shared" si="332"/>
        <v>MS</v>
      </c>
    </row>
    <row r="12820" spans="1:6" x14ac:dyDescent="0.25">
      <c r="A12820" t="str">
        <f>"007659811"</f>
        <v>007659811</v>
      </c>
      <c r="B12820" t="str">
        <f>"1528520277"</f>
        <v>1528520277</v>
      </c>
      <c r="C12820" t="str">
        <f>"363L00000X"</f>
        <v>363L00000X</v>
      </c>
      <c r="D12820" t="str">
        <f>"FRYFOGLE                 BROOKE       S           "</f>
        <v xml:space="preserve">FRYFOGLE                 BROOKE       S           </v>
      </c>
      <c r="E12820" t="str">
        <f>"HATTIESBURG               "</f>
        <v xml:space="preserve">HATTIESBURG               </v>
      </c>
      <c r="F12820" t="str">
        <f t="shared" si="332"/>
        <v>MS</v>
      </c>
    </row>
    <row r="12821" spans="1:6" x14ac:dyDescent="0.25">
      <c r="A12821" t="str">
        <f>"007670070"</f>
        <v>007670070</v>
      </c>
      <c r="B12821" t="str">
        <f>"1548682271"</f>
        <v>1548682271</v>
      </c>
      <c r="C12821" t="str">
        <f>"152W00000X"</f>
        <v>152W00000X</v>
      </c>
      <c r="D12821" t="str">
        <f>"PRESSON                  EMILY        G           "</f>
        <v xml:space="preserve">PRESSON                  EMILY        G           </v>
      </c>
      <c r="E12821" t="str">
        <f>"IUKA                      "</f>
        <v xml:space="preserve">IUKA                      </v>
      </c>
      <c r="F12821" t="str">
        <f t="shared" si="332"/>
        <v>MS</v>
      </c>
    </row>
    <row r="12822" spans="1:6" x14ac:dyDescent="0.25">
      <c r="A12822" t="str">
        <f>"007671310"</f>
        <v>007671310</v>
      </c>
      <c r="B12822" t="str">
        <f>"1710176532"</f>
        <v>1710176532</v>
      </c>
      <c r="C12822" t="str">
        <f>"367500000X"</f>
        <v>367500000X</v>
      </c>
      <c r="D12822" t="str">
        <f>"HOFFMAN BAGWELL          AMANDA       L           "</f>
        <v xml:space="preserve">HOFFMAN BAGWELL          AMANDA       L           </v>
      </c>
      <c r="E12822" t="str">
        <f>"TUPELO                    "</f>
        <v xml:space="preserve">TUPELO                    </v>
      </c>
      <c r="F12822" t="str">
        <f t="shared" si="332"/>
        <v>MS</v>
      </c>
    </row>
    <row r="12823" spans="1:6" x14ac:dyDescent="0.25">
      <c r="A12823" t="str">
        <f>"007671867"</f>
        <v>007671867</v>
      </c>
      <c r="B12823" t="str">
        <f>"1568490241"</f>
        <v>1568490241</v>
      </c>
      <c r="C12823" t="str">
        <f>"363L00000X"</f>
        <v>363L00000X</v>
      </c>
      <c r="D12823" t="str">
        <f>"GIFFIN                   DENESIA      Y           "</f>
        <v xml:space="preserve">GIFFIN                   DENESIA      Y           </v>
      </c>
      <c r="E12823" t="str">
        <f>"VICKSBURG                 "</f>
        <v xml:space="preserve">VICKSBURG                 </v>
      </c>
      <c r="F12823" t="str">
        <f t="shared" si="332"/>
        <v>MS</v>
      </c>
    </row>
    <row r="12824" spans="1:6" x14ac:dyDescent="0.25">
      <c r="A12824" t="str">
        <f>"007672358"</f>
        <v>007672358</v>
      </c>
      <c r="B12824" t="str">
        <f>"1841224367"</f>
        <v>1841224367</v>
      </c>
      <c r="C12824" t="str">
        <f>"207T00000X"</f>
        <v>207T00000X</v>
      </c>
      <c r="D12824" t="str">
        <f>"AZORDEGAN                PHILIP       A           "</f>
        <v xml:space="preserve">AZORDEGAN                PHILIP       A           </v>
      </c>
      <c r="E12824" t="str">
        <f>"FLOWOOD                   "</f>
        <v xml:space="preserve">FLOWOOD                   </v>
      </c>
      <c r="F12824" t="str">
        <f t="shared" si="332"/>
        <v>MS</v>
      </c>
    </row>
    <row r="12825" spans="1:6" x14ac:dyDescent="0.25">
      <c r="A12825" t="str">
        <f>"007673753"</f>
        <v>007673753</v>
      </c>
      <c r="B12825" t="str">
        <f>"1578231593"</f>
        <v>1578231593</v>
      </c>
      <c r="C12825" t="str">
        <f>"367500000X"</f>
        <v>367500000X</v>
      </c>
      <c r="D12825" t="str">
        <f>"SIVLEY                   LESLIE       H           "</f>
        <v xml:space="preserve">SIVLEY                   LESLIE       H           </v>
      </c>
      <c r="E12825" t="str">
        <f>"OXFORD                    "</f>
        <v xml:space="preserve">OXFORD                    </v>
      </c>
      <c r="F12825" t="str">
        <f t="shared" si="332"/>
        <v>MS</v>
      </c>
    </row>
    <row r="12826" spans="1:6" x14ac:dyDescent="0.25">
      <c r="A12826" t="str">
        <f>"007674356"</f>
        <v>007674356</v>
      </c>
      <c r="B12826" t="str">
        <f>"1215166798"</f>
        <v>1215166798</v>
      </c>
      <c r="C12826" t="str">
        <f>"208100000X"</f>
        <v>208100000X</v>
      </c>
      <c r="D12826" t="str">
        <f>"VILLACORTA               JENNIFER     M           "</f>
        <v xml:space="preserve">VILLACORTA               JENNIFER     M           </v>
      </c>
      <c r="E12826" t="str">
        <f>"JACKSON                   "</f>
        <v xml:space="preserve">JACKSON                   </v>
      </c>
      <c r="F12826" t="str">
        <f t="shared" si="332"/>
        <v>MS</v>
      </c>
    </row>
    <row r="12827" spans="1:6" x14ac:dyDescent="0.25">
      <c r="A12827" t="str">
        <f>"007675091"</f>
        <v>007675091</v>
      </c>
      <c r="B12827" t="str">
        <f>"1235399270"</f>
        <v>1235399270</v>
      </c>
      <c r="C12827" t="str">
        <f>"207R00000X"</f>
        <v>207R00000X</v>
      </c>
      <c r="D12827" t="str">
        <f>"MARLOW                   LAUREN       W           "</f>
        <v xml:space="preserve">MARLOW                   LAUREN       W           </v>
      </c>
      <c r="E12827" t="str">
        <f>"RULEVILLE                 "</f>
        <v xml:space="preserve">RULEVILLE                 </v>
      </c>
      <c r="F12827" t="str">
        <f t="shared" si="332"/>
        <v>MS</v>
      </c>
    </row>
    <row r="12828" spans="1:6" x14ac:dyDescent="0.25">
      <c r="A12828" t="str">
        <f>"007676773"</f>
        <v>007676773</v>
      </c>
      <c r="B12828" t="str">
        <f>"1861758898"</f>
        <v>1861758898</v>
      </c>
      <c r="C12828" t="str">
        <f>"363L00000X"</f>
        <v>363L00000X</v>
      </c>
      <c r="D12828" t="str">
        <f>"LAMBERT                  EDITH                    "</f>
        <v xml:space="preserve">LAMBERT                  EDITH                    </v>
      </c>
      <c r="E12828" t="str">
        <f>"BRANDON                   "</f>
        <v xml:space="preserve">BRANDON                   </v>
      </c>
      <c r="F12828" t="str">
        <f t="shared" si="332"/>
        <v>MS</v>
      </c>
    </row>
    <row r="12829" spans="1:6" x14ac:dyDescent="0.25">
      <c r="A12829" t="str">
        <f>"007676795"</f>
        <v>007676795</v>
      </c>
      <c r="B12829" t="str">
        <f>"1801335492"</f>
        <v>1801335492</v>
      </c>
      <c r="C12829" t="str">
        <f>"261QM0801X"</f>
        <v>261QM0801X</v>
      </c>
      <c r="D12829" t="str">
        <f>"POSITIVE PATHWAYS BEHAVIORAL HEALTH               "</f>
        <v xml:space="preserve">POSITIVE PATHWAYS BEHAVIORAL HEALTH               </v>
      </c>
      <c r="E12829" t="str">
        <f>"VICKSBURG                 "</f>
        <v xml:space="preserve">VICKSBURG                 </v>
      </c>
      <c r="F12829" t="str">
        <f t="shared" si="332"/>
        <v>MS</v>
      </c>
    </row>
    <row r="12830" spans="1:6" x14ac:dyDescent="0.25">
      <c r="A12830" t="str">
        <f>"007676811"</f>
        <v>007676811</v>
      </c>
      <c r="B12830" t="str">
        <f>"1609831650"</f>
        <v>1609831650</v>
      </c>
      <c r="C12830" t="str">
        <f>"208600000X"</f>
        <v>208600000X</v>
      </c>
      <c r="D12830" t="str">
        <f>"CROMER                   ROBERT       M           "</f>
        <v xml:space="preserve">CROMER                   ROBERT       M           </v>
      </c>
      <c r="E12830" t="str">
        <f>"GULFPORT                  "</f>
        <v xml:space="preserve">GULFPORT                  </v>
      </c>
      <c r="F12830" t="str">
        <f t="shared" si="332"/>
        <v>MS</v>
      </c>
    </row>
    <row r="12831" spans="1:6" x14ac:dyDescent="0.25">
      <c r="A12831" t="str">
        <f>"007677892"</f>
        <v>007677892</v>
      </c>
      <c r="B12831" t="str">
        <f>"1487196069"</f>
        <v>1487196069</v>
      </c>
      <c r="C12831" t="str">
        <f>"363L00000X"</f>
        <v>363L00000X</v>
      </c>
      <c r="D12831" t="str">
        <f>"HAMM                     AMBER                    "</f>
        <v xml:space="preserve">HAMM                     AMBER                    </v>
      </c>
      <c r="E12831" t="str">
        <f>"FLOWOOD                   "</f>
        <v xml:space="preserve">FLOWOOD                   </v>
      </c>
      <c r="F12831" t="str">
        <f t="shared" si="332"/>
        <v>MS</v>
      </c>
    </row>
    <row r="12832" spans="1:6" x14ac:dyDescent="0.25">
      <c r="A12832" t="str">
        <f>"007678055"</f>
        <v>007678055</v>
      </c>
      <c r="B12832" t="str">
        <f>"1386221562"</f>
        <v>1386221562</v>
      </c>
      <c r="C12832" t="str">
        <f>"363L00000X"</f>
        <v>363L00000X</v>
      </c>
      <c r="D12832" t="str">
        <f>"POLK                     JESSICA      R           "</f>
        <v xml:space="preserve">POLK                     JESSICA      R           </v>
      </c>
      <c r="E12832" t="str">
        <f>"MCCOMB                    "</f>
        <v xml:space="preserve">MCCOMB                    </v>
      </c>
      <c r="F12832" t="str">
        <f t="shared" si="332"/>
        <v>MS</v>
      </c>
    </row>
    <row r="12833" spans="1:6" x14ac:dyDescent="0.25">
      <c r="A12833" t="str">
        <f>"007679050"</f>
        <v>007679050</v>
      </c>
      <c r="B12833" t="str">
        <f>"1346642428"</f>
        <v>1346642428</v>
      </c>
      <c r="C12833" t="str">
        <f>"363L00000X"</f>
        <v>363L00000X</v>
      </c>
      <c r="D12833" t="str">
        <f>"BURNS                    COURTNEY                 "</f>
        <v xml:space="preserve">BURNS                    COURTNEY                 </v>
      </c>
      <c r="E12833" t="str">
        <f>"LUCEDALE                  "</f>
        <v xml:space="preserve">LUCEDALE                  </v>
      </c>
      <c r="F12833" t="str">
        <f t="shared" si="332"/>
        <v>MS</v>
      </c>
    </row>
    <row r="12834" spans="1:6" x14ac:dyDescent="0.25">
      <c r="A12834" t="str">
        <f>"007683525"</f>
        <v>007683525</v>
      </c>
      <c r="B12834" t="str">
        <f>"1477521532"</f>
        <v>1477521532</v>
      </c>
      <c r="C12834" t="str">
        <f>"208100000X"</f>
        <v>208100000X</v>
      </c>
      <c r="D12834" t="str">
        <f>"BINGHAM                  RONALD       C           "</f>
        <v xml:space="preserve">BINGHAM                  RONALD       C           </v>
      </c>
      <c r="E12834" t="str">
        <f>"SOUTHAVEN                 "</f>
        <v xml:space="preserve">SOUTHAVEN                 </v>
      </c>
      <c r="F12834" t="str">
        <f t="shared" si="332"/>
        <v>MS</v>
      </c>
    </row>
    <row r="12835" spans="1:6" x14ac:dyDescent="0.25">
      <c r="A12835" t="str">
        <f>"007684779"</f>
        <v>007684779</v>
      </c>
      <c r="B12835" t="str">
        <f>"1427286236"</f>
        <v>1427286236</v>
      </c>
      <c r="C12835" t="str">
        <f>"207V00000X"</f>
        <v>207V00000X</v>
      </c>
      <c r="D12835" t="str">
        <f>"BAUTISTA                 LEODY        C           "</f>
        <v xml:space="preserve">BAUTISTA                 LEODY        C           </v>
      </c>
      <c r="E12835" t="str">
        <f>"NEW ALBANY                "</f>
        <v xml:space="preserve">NEW ALBANY                </v>
      </c>
      <c r="F12835" t="str">
        <f t="shared" si="332"/>
        <v>MS</v>
      </c>
    </row>
    <row r="12836" spans="1:6" x14ac:dyDescent="0.25">
      <c r="A12836" t="str">
        <f>"007684856"</f>
        <v>007684856</v>
      </c>
      <c r="B12836" t="str">
        <f>"1598077059"</f>
        <v>1598077059</v>
      </c>
      <c r="C12836" t="str">
        <f>"208000000X"</f>
        <v>208000000X</v>
      </c>
      <c r="D12836" t="str">
        <f>"CULPEPPER                GREGORY      R           "</f>
        <v xml:space="preserve">CULPEPPER                GREGORY      R           </v>
      </c>
      <c r="E12836" t="str">
        <f>"PASCAGOULA                "</f>
        <v xml:space="preserve">PASCAGOULA                </v>
      </c>
      <c r="F12836" t="str">
        <f t="shared" si="332"/>
        <v>MS</v>
      </c>
    </row>
    <row r="12837" spans="1:6" x14ac:dyDescent="0.25">
      <c r="A12837" t="str">
        <f>"007685311"</f>
        <v>007685311</v>
      </c>
      <c r="B12837" t="str">
        <f>"1427715044"</f>
        <v>1427715044</v>
      </c>
      <c r="C12837" t="str">
        <f>"261QF0400X"</f>
        <v>261QF0400X</v>
      </c>
      <c r="D12837" t="str">
        <f>"COASTAL FAMILY HEALTH CENTER, INC                 "</f>
        <v xml:space="preserve">COASTAL FAMILY HEALTH CENTER, INC                 </v>
      </c>
      <c r="E12837" t="str">
        <f>"BAY ST LOUIS              "</f>
        <v xml:space="preserve">BAY ST LOUIS              </v>
      </c>
      <c r="F12837" t="str">
        <f t="shared" si="332"/>
        <v>MS</v>
      </c>
    </row>
    <row r="12838" spans="1:6" x14ac:dyDescent="0.25">
      <c r="A12838" t="str">
        <f>"007687839"</f>
        <v>007687839</v>
      </c>
      <c r="B12838" t="str">
        <f>"1760096127"</f>
        <v>1760096127</v>
      </c>
      <c r="C12838" t="str">
        <f>"363L00000X"</f>
        <v>363L00000X</v>
      </c>
      <c r="D12838" t="str">
        <f>"ADAMS                    SARAH                    "</f>
        <v xml:space="preserve">ADAMS                    SARAH                    </v>
      </c>
      <c r="E12838" t="str">
        <f>"MOOREVILLE                "</f>
        <v xml:space="preserve">MOOREVILLE                </v>
      </c>
      <c r="F12838" t="str">
        <f t="shared" si="332"/>
        <v>MS</v>
      </c>
    </row>
    <row r="12839" spans="1:6" x14ac:dyDescent="0.25">
      <c r="A12839" t="str">
        <f>"007688003"</f>
        <v>007688003</v>
      </c>
      <c r="B12839" t="str">
        <f>"1306422464"</f>
        <v>1306422464</v>
      </c>
      <c r="C12839" t="str">
        <f>"363L00000X"</f>
        <v>363L00000X</v>
      </c>
      <c r="D12839" t="str">
        <f>"KOSTMAYER                ERICA        A           "</f>
        <v xml:space="preserve">KOSTMAYER                ERICA        A           </v>
      </c>
      <c r="E12839" t="str">
        <f>"GULFPORT                  "</f>
        <v xml:space="preserve">GULFPORT                  </v>
      </c>
      <c r="F12839" t="str">
        <f t="shared" si="332"/>
        <v>MS</v>
      </c>
    </row>
    <row r="12840" spans="1:6" x14ac:dyDescent="0.25">
      <c r="A12840" t="str">
        <f>"007688593"</f>
        <v>007688593</v>
      </c>
      <c r="B12840" t="str">
        <f>"1801294772"</f>
        <v>1801294772</v>
      </c>
      <c r="C12840" t="str">
        <f>"207Q00000X"</f>
        <v>207Q00000X</v>
      </c>
      <c r="D12840" t="str">
        <f>"FARRAR                   DONALD       J           "</f>
        <v xml:space="preserve">FARRAR                   DONALD       J           </v>
      </c>
      <c r="E12840" t="str">
        <f>"MERIDIAN                  "</f>
        <v xml:space="preserve">MERIDIAN                  </v>
      </c>
      <c r="F12840" t="str">
        <f t="shared" si="332"/>
        <v>MS</v>
      </c>
    </row>
    <row r="12841" spans="1:6" x14ac:dyDescent="0.25">
      <c r="A12841" t="str">
        <f>"007688703"</f>
        <v>007688703</v>
      </c>
      <c r="B12841" t="str">
        <f>"1689183246"</f>
        <v>1689183246</v>
      </c>
      <c r="C12841" t="str">
        <f>"363L00000X"</f>
        <v>363L00000X</v>
      </c>
      <c r="D12841" t="str">
        <f>"BEVERLY                  CHAKITA                  "</f>
        <v xml:space="preserve">BEVERLY                  CHAKITA                  </v>
      </c>
      <c r="E12841" t="str">
        <f>"GREENWOOD                 "</f>
        <v xml:space="preserve">GREENWOOD                 </v>
      </c>
      <c r="F12841" t="str">
        <f t="shared" si="332"/>
        <v>MS</v>
      </c>
    </row>
    <row r="12842" spans="1:6" x14ac:dyDescent="0.25">
      <c r="A12842" t="str">
        <f>"007689072"</f>
        <v>007689072</v>
      </c>
      <c r="B12842" t="str">
        <f>"1477864585"</f>
        <v>1477864585</v>
      </c>
      <c r="C12842" t="str">
        <f>"207Q00000X"</f>
        <v>207Q00000X</v>
      </c>
      <c r="D12842" t="str">
        <f>"PROBST                   CHARLES      E           "</f>
        <v xml:space="preserve">PROBST                   CHARLES      E           </v>
      </c>
      <c r="E12842" t="str">
        <f>"LAUREL                    "</f>
        <v xml:space="preserve">LAUREL                    </v>
      </c>
      <c r="F12842" t="str">
        <f t="shared" si="332"/>
        <v>MS</v>
      </c>
    </row>
    <row r="12843" spans="1:6" x14ac:dyDescent="0.25">
      <c r="A12843" t="str">
        <f>"007689291"</f>
        <v>007689291</v>
      </c>
      <c r="B12843" t="str">
        <f>"1699423939"</f>
        <v>1699423939</v>
      </c>
      <c r="C12843" t="str">
        <f>"363L00000X"</f>
        <v>363L00000X</v>
      </c>
      <c r="D12843" t="str">
        <f>"THURMAN                  ERICA                    "</f>
        <v xml:space="preserve">THURMAN                  ERICA                    </v>
      </c>
      <c r="E12843" t="str">
        <f>"VICKSBURG                 "</f>
        <v xml:space="preserve">VICKSBURG                 </v>
      </c>
      <c r="F12843" t="str">
        <f t="shared" si="332"/>
        <v>MS</v>
      </c>
    </row>
    <row r="12844" spans="1:6" x14ac:dyDescent="0.25">
      <c r="A12844" t="str">
        <f>"007700067"</f>
        <v>007700067</v>
      </c>
      <c r="B12844" t="str">
        <f>"1548255409"</f>
        <v>1548255409</v>
      </c>
      <c r="C12844" t="str">
        <f>"208800000X"</f>
        <v>208800000X</v>
      </c>
      <c r="D12844" t="str">
        <f>"SHOAF                    GUY          M           "</f>
        <v xml:space="preserve">SHOAF                    GUY          M           </v>
      </c>
      <c r="E12844" t="str">
        <f>"OXFORD                    "</f>
        <v xml:space="preserve">OXFORD                    </v>
      </c>
      <c r="F12844" t="str">
        <f t="shared" si="332"/>
        <v>MS</v>
      </c>
    </row>
    <row r="12845" spans="1:6" x14ac:dyDescent="0.25">
      <c r="A12845" t="str">
        <f>"007700900"</f>
        <v>007700900</v>
      </c>
      <c r="B12845" t="str">
        <f>"1780658005"</f>
        <v>1780658005</v>
      </c>
      <c r="C12845" t="str">
        <f>"2085R0202X"</f>
        <v>2085R0202X</v>
      </c>
      <c r="D12845" t="str">
        <f>"CASFORD                  BRANT                    "</f>
        <v xml:space="preserve">CASFORD                  BRANT                    </v>
      </c>
      <c r="E12845" t="str">
        <f>"CLEVELAND                 "</f>
        <v xml:space="preserve">CLEVELAND                 </v>
      </c>
      <c r="F12845" t="str">
        <f t="shared" si="332"/>
        <v>MS</v>
      </c>
    </row>
    <row r="12846" spans="1:6" x14ac:dyDescent="0.25">
      <c r="A12846" t="str">
        <f>"007701851"</f>
        <v>007701851</v>
      </c>
      <c r="B12846" t="str">
        <f>"1285178822"</f>
        <v>1285178822</v>
      </c>
      <c r="C12846" t="str">
        <f t="shared" ref="C12846:C12853" si="333">"363L00000X"</f>
        <v>363L00000X</v>
      </c>
      <c r="D12846" t="str">
        <f>"GRIFFIN                  JESSICA                  "</f>
        <v xml:space="preserve">GRIFFIN                  JESSICA                  </v>
      </c>
      <c r="E12846" t="str">
        <f>"FLOWOOD                   "</f>
        <v xml:space="preserve">FLOWOOD                   </v>
      </c>
      <c r="F12846" t="str">
        <f t="shared" si="332"/>
        <v>MS</v>
      </c>
    </row>
    <row r="12847" spans="1:6" x14ac:dyDescent="0.25">
      <c r="A12847" t="str">
        <f>"007702276"</f>
        <v>007702276</v>
      </c>
      <c r="B12847" t="str">
        <f>"1972859809"</f>
        <v>1972859809</v>
      </c>
      <c r="C12847" t="str">
        <f t="shared" si="333"/>
        <v>363L00000X</v>
      </c>
      <c r="D12847" t="str">
        <f>"FLOYD                    AMY          V           "</f>
        <v xml:space="preserve">FLOYD                    AMY          V           </v>
      </c>
      <c r="E12847" t="str">
        <f>"GRENADA                   "</f>
        <v xml:space="preserve">GRENADA                   </v>
      </c>
      <c r="F12847" t="str">
        <f t="shared" si="332"/>
        <v>MS</v>
      </c>
    </row>
    <row r="12848" spans="1:6" x14ac:dyDescent="0.25">
      <c r="A12848" t="str">
        <f>"007703269"</f>
        <v>007703269</v>
      </c>
      <c r="B12848" t="str">
        <f>"1760785257"</f>
        <v>1760785257</v>
      </c>
      <c r="C12848" t="str">
        <f t="shared" si="333"/>
        <v>363L00000X</v>
      </c>
      <c r="D12848" t="str">
        <f>"HARRELSON                ROBIN        F           "</f>
        <v xml:space="preserve">HARRELSON                ROBIN        F           </v>
      </c>
      <c r="E12848" t="str">
        <f>"CALHOUN CITY              "</f>
        <v xml:space="preserve">CALHOUN CITY              </v>
      </c>
      <c r="F12848" t="str">
        <f t="shared" si="332"/>
        <v>MS</v>
      </c>
    </row>
    <row r="12849" spans="1:6" x14ac:dyDescent="0.25">
      <c r="A12849" t="str">
        <f>"007703353"</f>
        <v>007703353</v>
      </c>
      <c r="B12849" t="str">
        <f>"1306324637"</f>
        <v>1306324637</v>
      </c>
      <c r="C12849" t="str">
        <f t="shared" si="333"/>
        <v>363L00000X</v>
      </c>
      <c r="D12849" t="str">
        <f>"VANCE                    SABRINA      S           "</f>
        <v xml:space="preserve">VANCE                    SABRINA      S           </v>
      </c>
      <c r="E12849" t="str">
        <f>"TUPELO                    "</f>
        <v xml:space="preserve">TUPELO                    </v>
      </c>
      <c r="F12849" t="str">
        <f t="shared" si="332"/>
        <v>MS</v>
      </c>
    </row>
    <row r="12850" spans="1:6" x14ac:dyDescent="0.25">
      <c r="A12850" t="str">
        <f>"007703391"</f>
        <v>007703391</v>
      </c>
      <c r="B12850" t="str">
        <f>"1265818033"</f>
        <v>1265818033</v>
      </c>
      <c r="C12850" t="str">
        <f t="shared" si="333"/>
        <v>363L00000X</v>
      </c>
      <c r="D12850" t="str">
        <f>"SKELTON                  EMILY        G           "</f>
        <v xml:space="preserve">SKELTON                  EMILY        G           </v>
      </c>
      <c r="E12850" t="str">
        <f>"JACKSON                   "</f>
        <v xml:space="preserve">JACKSON                   </v>
      </c>
      <c r="F12850" t="str">
        <f t="shared" si="332"/>
        <v>MS</v>
      </c>
    </row>
    <row r="12851" spans="1:6" x14ac:dyDescent="0.25">
      <c r="A12851" t="str">
        <f>"007704028"</f>
        <v>007704028</v>
      </c>
      <c r="B12851" t="str">
        <f>"1871068098"</f>
        <v>1871068098</v>
      </c>
      <c r="C12851" t="str">
        <f t="shared" si="333"/>
        <v>363L00000X</v>
      </c>
      <c r="D12851" t="str">
        <f>"SMITH                    BRANSON      H           "</f>
        <v xml:space="preserve">SMITH                    BRANSON      H           </v>
      </c>
      <c r="E12851" t="str">
        <f>"JACKSON                   "</f>
        <v xml:space="preserve">JACKSON                   </v>
      </c>
      <c r="F12851" t="str">
        <f t="shared" si="332"/>
        <v>MS</v>
      </c>
    </row>
    <row r="12852" spans="1:6" x14ac:dyDescent="0.25">
      <c r="A12852" t="str">
        <f>"007704090"</f>
        <v>007704090</v>
      </c>
      <c r="B12852" t="str">
        <f>"1710209184"</f>
        <v>1710209184</v>
      </c>
      <c r="C12852" t="str">
        <f t="shared" si="333"/>
        <v>363L00000X</v>
      </c>
      <c r="D12852" t="str">
        <f>"SIMPSON-WAID             AMY          A           "</f>
        <v xml:space="preserve">SIMPSON-WAID             AMY          A           </v>
      </c>
      <c r="E12852" t="str">
        <f>"GULFPORT                  "</f>
        <v xml:space="preserve">GULFPORT                  </v>
      </c>
      <c r="F12852" t="str">
        <f t="shared" si="332"/>
        <v>MS</v>
      </c>
    </row>
    <row r="12853" spans="1:6" x14ac:dyDescent="0.25">
      <c r="A12853" t="str">
        <f>"007704218"</f>
        <v>007704218</v>
      </c>
      <c r="B12853" t="str">
        <f>"1124660063"</f>
        <v>1124660063</v>
      </c>
      <c r="C12853" t="str">
        <f t="shared" si="333"/>
        <v>363L00000X</v>
      </c>
      <c r="D12853" t="str">
        <f>"PUGH                     JENNA        B           "</f>
        <v xml:space="preserve">PUGH                     JENNA        B           </v>
      </c>
      <c r="E12853" t="str">
        <f>"LEXINGTON                 "</f>
        <v xml:space="preserve">LEXINGTON                 </v>
      </c>
      <c r="F12853" t="str">
        <f t="shared" si="332"/>
        <v>MS</v>
      </c>
    </row>
    <row r="12854" spans="1:6" x14ac:dyDescent="0.25">
      <c r="A12854" t="str">
        <f>"007705873"</f>
        <v>007705873</v>
      </c>
      <c r="B12854" t="str">
        <f>"1891226643"</f>
        <v>1891226643</v>
      </c>
      <c r="C12854" t="str">
        <f>"367500000X"</f>
        <v>367500000X</v>
      </c>
      <c r="D12854" t="str">
        <f>"MILLING                  MATTHEW      C           "</f>
        <v xml:space="preserve">MILLING                  MATTHEW      C           </v>
      </c>
      <c r="E12854" t="str">
        <f>"JACKSON                   "</f>
        <v xml:space="preserve">JACKSON                   </v>
      </c>
      <c r="F12854" t="str">
        <f t="shared" si="332"/>
        <v>MS</v>
      </c>
    </row>
    <row r="12855" spans="1:6" x14ac:dyDescent="0.25">
      <c r="A12855" t="str">
        <f>"007706581"</f>
        <v>007706581</v>
      </c>
      <c r="B12855" t="str">
        <f>"1568924728"</f>
        <v>1568924728</v>
      </c>
      <c r="C12855" t="str">
        <f>"363L00000X"</f>
        <v>363L00000X</v>
      </c>
      <c r="D12855" t="str">
        <f>"MEECE                    THOMAS       J           "</f>
        <v xml:space="preserve">MEECE                    THOMAS       J           </v>
      </c>
      <c r="E12855" t="str">
        <f>"GULFPORT                  "</f>
        <v xml:space="preserve">GULFPORT                  </v>
      </c>
      <c r="F12855" t="str">
        <f t="shared" si="332"/>
        <v>MS</v>
      </c>
    </row>
    <row r="12856" spans="1:6" x14ac:dyDescent="0.25">
      <c r="A12856" t="str">
        <f>"007706859"</f>
        <v>007706859</v>
      </c>
      <c r="B12856" t="str">
        <f>"1417514274"</f>
        <v>1417514274</v>
      </c>
      <c r="C12856" t="str">
        <f>"261QM1300X"</f>
        <v>261QM1300X</v>
      </c>
      <c r="D12856" t="str">
        <f>"CARDINAL CLINICAL CONSULTING                      "</f>
        <v xml:space="preserve">CARDINAL CLINICAL CONSULTING                      </v>
      </c>
      <c r="E12856" t="str">
        <f>"TUPELO                    "</f>
        <v xml:space="preserve">TUPELO                    </v>
      </c>
      <c r="F12856" t="str">
        <f t="shared" si="332"/>
        <v>MS</v>
      </c>
    </row>
    <row r="12857" spans="1:6" x14ac:dyDescent="0.25">
      <c r="A12857" t="str">
        <f>"007708072"</f>
        <v>007708072</v>
      </c>
      <c r="B12857" t="str">
        <f>"1558816181"</f>
        <v>1558816181</v>
      </c>
      <c r="C12857" t="str">
        <f>"122300000X"</f>
        <v>122300000X</v>
      </c>
      <c r="D12857" t="str">
        <f>"PFD LLC                                           "</f>
        <v xml:space="preserve">PFD LLC                                           </v>
      </c>
      <c r="E12857" t="str">
        <f>"GULFPORT                  "</f>
        <v xml:space="preserve">GULFPORT                  </v>
      </c>
      <c r="F12857" t="str">
        <f t="shared" si="332"/>
        <v>MS</v>
      </c>
    </row>
    <row r="12858" spans="1:6" x14ac:dyDescent="0.25">
      <c r="A12858" t="str">
        <f>"007708391"</f>
        <v>007708391</v>
      </c>
      <c r="B12858" t="str">
        <f>"1508801366"</f>
        <v>1508801366</v>
      </c>
      <c r="C12858" t="str">
        <f>"207R00000X"</f>
        <v>207R00000X</v>
      </c>
      <c r="D12858" t="str">
        <f>"WATTANASUWAN             NORRAPOL                 "</f>
        <v xml:space="preserve">WATTANASUWAN             NORRAPOL                 </v>
      </c>
      <c r="E12858" t="str">
        <f>"MERIDIAN                  "</f>
        <v xml:space="preserve">MERIDIAN                  </v>
      </c>
      <c r="F12858" t="str">
        <f t="shared" si="332"/>
        <v>MS</v>
      </c>
    </row>
    <row r="12859" spans="1:6" x14ac:dyDescent="0.25">
      <c r="A12859" t="str">
        <f>"007708392"</f>
        <v>007708392</v>
      </c>
      <c r="B12859" t="str">
        <f>"1063078079"</f>
        <v>1063078079</v>
      </c>
      <c r="C12859" t="str">
        <f>"261QF0400X"</f>
        <v>261QF0400X</v>
      </c>
      <c r="D12859" t="str">
        <f>"OXFORD HEALTH CARE ASSOCIATES                     "</f>
        <v xml:space="preserve">OXFORD HEALTH CARE ASSOCIATES                     </v>
      </c>
      <c r="E12859" t="str">
        <f>"OXFORD                    "</f>
        <v xml:space="preserve">OXFORD                    </v>
      </c>
      <c r="F12859" t="str">
        <f t="shared" si="332"/>
        <v>MS</v>
      </c>
    </row>
    <row r="12860" spans="1:6" x14ac:dyDescent="0.25">
      <c r="A12860" t="str">
        <f>"007709394"</f>
        <v>007709394</v>
      </c>
      <c r="B12860" t="str">
        <f>"1669134698"</f>
        <v>1669134698</v>
      </c>
      <c r="C12860" t="str">
        <f>"367500000X"</f>
        <v>367500000X</v>
      </c>
      <c r="D12860" t="str">
        <f>"SMART                    CALEB        A           "</f>
        <v xml:space="preserve">SMART                    CALEB        A           </v>
      </c>
      <c r="E12860" t="str">
        <f>"WEST POINT                "</f>
        <v xml:space="preserve">WEST POINT                </v>
      </c>
      <c r="F12860" t="str">
        <f t="shared" si="332"/>
        <v>MS</v>
      </c>
    </row>
    <row r="12861" spans="1:6" x14ac:dyDescent="0.25">
      <c r="A12861" t="str">
        <f>"007720250"</f>
        <v>007720250</v>
      </c>
      <c r="B12861" t="str">
        <f>"1639243835"</f>
        <v>1639243835</v>
      </c>
      <c r="C12861" t="str">
        <f>"363L00000X"</f>
        <v>363L00000X</v>
      </c>
      <c r="D12861" t="str">
        <f>"WHEELER                  SANDRA       L           "</f>
        <v xml:space="preserve">WHEELER                  SANDRA       L           </v>
      </c>
      <c r="E12861" t="str">
        <f>"RIPLEY                    "</f>
        <v xml:space="preserve">RIPLEY                    </v>
      </c>
      <c r="F12861" t="str">
        <f t="shared" si="332"/>
        <v>MS</v>
      </c>
    </row>
    <row r="12862" spans="1:6" x14ac:dyDescent="0.25">
      <c r="A12862" t="str">
        <f>"007720319"</f>
        <v>007720319</v>
      </c>
      <c r="B12862" t="str">
        <f>"1013544196"</f>
        <v>1013544196</v>
      </c>
      <c r="C12862" t="str">
        <f>"367A00000X"</f>
        <v>367A00000X</v>
      </c>
      <c r="D12862" t="str">
        <f>"COLLINS                  SANDRA       D           "</f>
        <v xml:space="preserve">COLLINS                  SANDRA       D           </v>
      </c>
      <c r="E12862" t="str">
        <f>"MERIDIAN                  "</f>
        <v xml:space="preserve">MERIDIAN                  </v>
      </c>
      <c r="F12862" t="str">
        <f t="shared" ref="F12862:F12925" si="334">"MS"</f>
        <v>MS</v>
      </c>
    </row>
    <row r="12863" spans="1:6" x14ac:dyDescent="0.25">
      <c r="A12863" t="str">
        <f>"007720764"</f>
        <v>007720764</v>
      </c>
      <c r="B12863" t="str">
        <f>"1770977134"</f>
        <v>1770977134</v>
      </c>
      <c r="C12863" t="str">
        <f>"1223S0112X"</f>
        <v>1223S0112X</v>
      </c>
      <c r="D12863" t="str">
        <f>"MOSES III                WALTER       C           "</f>
        <v xml:space="preserve">MOSES III                WALTER       C           </v>
      </c>
      <c r="E12863" t="str">
        <f>"GREENWOOD                 "</f>
        <v xml:space="preserve">GREENWOOD                 </v>
      </c>
      <c r="F12863" t="str">
        <f t="shared" si="334"/>
        <v>MS</v>
      </c>
    </row>
    <row r="12864" spans="1:6" x14ac:dyDescent="0.25">
      <c r="A12864" t="str">
        <f>"007721357"</f>
        <v>007721357</v>
      </c>
      <c r="B12864" t="str">
        <f>"1891943692"</f>
        <v>1891943692</v>
      </c>
      <c r="C12864" t="str">
        <f>"363L00000X"</f>
        <v>363L00000X</v>
      </c>
      <c r="D12864" t="str">
        <f>"SOSA                     KELLY                    "</f>
        <v xml:space="preserve">SOSA                     KELLY                    </v>
      </c>
      <c r="E12864" t="str">
        <f>"MADISON                   "</f>
        <v xml:space="preserve">MADISON                   </v>
      </c>
      <c r="F12864" t="str">
        <f t="shared" si="334"/>
        <v>MS</v>
      </c>
    </row>
    <row r="12865" spans="1:6" x14ac:dyDescent="0.25">
      <c r="A12865" t="str">
        <f>"007722861"</f>
        <v>007722861</v>
      </c>
      <c r="B12865" t="str">
        <f>"1083085260"</f>
        <v>1083085260</v>
      </c>
      <c r="C12865" t="str">
        <f>"363L00000X"</f>
        <v>363L00000X</v>
      </c>
      <c r="D12865" t="str">
        <f>"ROSS                     ABBEY                    "</f>
        <v xml:space="preserve">ROSS                     ABBEY                    </v>
      </c>
      <c r="E12865" t="str">
        <f>"GREENWOOD                 "</f>
        <v xml:space="preserve">GREENWOOD                 </v>
      </c>
      <c r="F12865" t="str">
        <f t="shared" si="334"/>
        <v>MS</v>
      </c>
    </row>
    <row r="12866" spans="1:6" x14ac:dyDescent="0.25">
      <c r="A12866" t="str">
        <f>"007723020"</f>
        <v>007723020</v>
      </c>
      <c r="B12866" t="str">
        <f>"1972002137"</f>
        <v>1972002137</v>
      </c>
      <c r="C12866" t="str">
        <f>"152W00000X"</f>
        <v>152W00000X</v>
      </c>
      <c r="D12866" t="str">
        <f>"MITCHELL EYE CARE                                 "</f>
        <v xml:space="preserve">MITCHELL EYE CARE                                 </v>
      </c>
      <c r="E12866" t="str">
        <f>"STARKVILLE                "</f>
        <v xml:space="preserve">STARKVILLE                </v>
      </c>
      <c r="F12866" t="str">
        <f t="shared" si="334"/>
        <v>MS</v>
      </c>
    </row>
    <row r="12867" spans="1:6" x14ac:dyDescent="0.25">
      <c r="A12867" t="str">
        <f>"007723078"</f>
        <v>007723078</v>
      </c>
      <c r="B12867" t="str">
        <f>"1588017750"</f>
        <v>1588017750</v>
      </c>
      <c r="C12867" t="str">
        <f>"363L00000X"</f>
        <v>363L00000X</v>
      </c>
      <c r="D12867" t="str">
        <f>"WALKER                   HOLLY        B           "</f>
        <v xml:space="preserve">WALKER                   HOLLY        B           </v>
      </c>
      <c r="E12867" t="str">
        <f>"JACKSON                   "</f>
        <v xml:space="preserve">JACKSON                   </v>
      </c>
      <c r="F12867" t="str">
        <f t="shared" si="334"/>
        <v>MS</v>
      </c>
    </row>
    <row r="12868" spans="1:6" x14ac:dyDescent="0.25">
      <c r="A12868" t="str">
        <f>"007723291"</f>
        <v>007723291</v>
      </c>
      <c r="B12868" t="str">
        <f>"1871887984"</f>
        <v>1871887984</v>
      </c>
      <c r="C12868" t="str">
        <f>"122300000X"</f>
        <v>122300000X</v>
      </c>
      <c r="D12868" t="str">
        <f>"ROSS                     ALISON       H           "</f>
        <v xml:space="preserve">ROSS                     ALISON       H           </v>
      </c>
      <c r="E12868" t="str">
        <f>"OXFORD                    "</f>
        <v xml:space="preserve">OXFORD                    </v>
      </c>
      <c r="F12868" t="str">
        <f t="shared" si="334"/>
        <v>MS</v>
      </c>
    </row>
    <row r="12869" spans="1:6" x14ac:dyDescent="0.25">
      <c r="A12869" t="str">
        <f>"007723745"</f>
        <v>007723745</v>
      </c>
      <c r="B12869" t="str">
        <f>"1275873572"</f>
        <v>1275873572</v>
      </c>
      <c r="C12869" t="str">
        <f>"261QR1300X"</f>
        <v>261QR1300X</v>
      </c>
      <c r="D12869" t="str">
        <f>"LAIRD HOSPITAL INC                                "</f>
        <v xml:space="preserve">LAIRD HOSPITAL INC                                </v>
      </c>
      <c r="E12869" t="str">
        <f>"PHILADELPHIA              "</f>
        <v xml:space="preserve">PHILADELPHIA              </v>
      </c>
      <c r="F12869" t="str">
        <f t="shared" si="334"/>
        <v>MS</v>
      </c>
    </row>
    <row r="12870" spans="1:6" x14ac:dyDescent="0.25">
      <c r="A12870" t="str">
        <f>"007723789"</f>
        <v>007723789</v>
      </c>
      <c r="B12870" t="str">
        <f>"1821455734"</f>
        <v>1821455734</v>
      </c>
      <c r="C12870" t="str">
        <f>"363L00000X"</f>
        <v>363L00000X</v>
      </c>
      <c r="D12870" t="str">
        <f>"ECHOLES                  LAJAYSHA     K           "</f>
        <v xml:space="preserve">ECHOLES                  LAJAYSHA     K           </v>
      </c>
      <c r="E12870" t="str">
        <f>"OXFORD                    "</f>
        <v xml:space="preserve">OXFORD                    </v>
      </c>
      <c r="F12870" t="str">
        <f t="shared" si="334"/>
        <v>MS</v>
      </c>
    </row>
    <row r="12871" spans="1:6" x14ac:dyDescent="0.25">
      <c r="A12871" t="str">
        <f>"007725286"</f>
        <v>007725286</v>
      </c>
      <c r="B12871" t="str">
        <f>"1922146760"</f>
        <v>1922146760</v>
      </c>
      <c r="C12871" t="str">
        <f>"2084P0804X"</f>
        <v>2084P0804X</v>
      </c>
      <c r="D12871" t="str">
        <f>"BUECHLER                 KURT         A           "</f>
        <v xml:space="preserve">BUECHLER                 KURT         A           </v>
      </c>
      <c r="E12871" t="str">
        <f>"RIDGELAND                 "</f>
        <v xml:space="preserve">RIDGELAND                 </v>
      </c>
      <c r="F12871" t="str">
        <f t="shared" si="334"/>
        <v>MS</v>
      </c>
    </row>
    <row r="12872" spans="1:6" x14ac:dyDescent="0.25">
      <c r="A12872" t="str">
        <f>"007726081"</f>
        <v>007726081</v>
      </c>
      <c r="B12872" t="str">
        <f>"1649756271"</f>
        <v>1649756271</v>
      </c>
      <c r="C12872" t="str">
        <f>"363L00000X"</f>
        <v>363L00000X</v>
      </c>
      <c r="D12872" t="str">
        <f>"DRISKELL                 JANICE       R           "</f>
        <v xml:space="preserve">DRISKELL                 JANICE       R           </v>
      </c>
      <c r="E12872" t="str">
        <f>"TUPELO                    "</f>
        <v xml:space="preserve">TUPELO                    </v>
      </c>
      <c r="F12872" t="str">
        <f t="shared" si="334"/>
        <v>MS</v>
      </c>
    </row>
    <row r="12873" spans="1:6" x14ac:dyDescent="0.25">
      <c r="A12873" t="str">
        <f>"007728752"</f>
        <v>007728752</v>
      </c>
      <c r="B12873" t="str">
        <f>"1588293518"</f>
        <v>1588293518</v>
      </c>
      <c r="C12873" t="str">
        <f>"363L00000X"</f>
        <v>363L00000X</v>
      </c>
      <c r="D12873" t="str">
        <f>"HENDERSON                MIYAGI       S           "</f>
        <v xml:space="preserve">HENDERSON                MIYAGI       S           </v>
      </c>
      <c r="E12873" t="str">
        <f>"BAY ST LOUIS              "</f>
        <v xml:space="preserve">BAY ST LOUIS              </v>
      </c>
      <c r="F12873" t="str">
        <f t="shared" si="334"/>
        <v>MS</v>
      </c>
    </row>
    <row r="12874" spans="1:6" x14ac:dyDescent="0.25">
      <c r="A12874" t="str">
        <f>"007729378"</f>
        <v>007729378</v>
      </c>
      <c r="B12874" t="str">
        <f>"1952940454"</f>
        <v>1952940454</v>
      </c>
      <c r="C12874" t="str">
        <f>"261QM1300X"</f>
        <v>261QM1300X</v>
      </c>
      <c r="D12874" t="str">
        <f>"MAGNOLIA COUNSELING CLINIC, LLC                   "</f>
        <v xml:space="preserve">MAGNOLIA COUNSELING CLINIC, LLC                   </v>
      </c>
      <c r="E12874" t="str">
        <f>"BATESVILLE                "</f>
        <v xml:space="preserve">BATESVILLE                </v>
      </c>
      <c r="F12874" t="str">
        <f t="shared" si="334"/>
        <v>MS</v>
      </c>
    </row>
    <row r="12875" spans="1:6" x14ac:dyDescent="0.25">
      <c r="A12875" t="str">
        <f>"007733218"</f>
        <v>007733218</v>
      </c>
      <c r="B12875" t="str">
        <f>"1346415114"</f>
        <v>1346415114</v>
      </c>
      <c r="C12875" t="str">
        <f>"207Q00000X"</f>
        <v>207Q00000X</v>
      </c>
      <c r="D12875" t="str">
        <f>"DUONG                    SUSAN                    "</f>
        <v xml:space="preserve">DUONG                    SUSAN                    </v>
      </c>
      <c r="E12875" t="str">
        <f>"JACKSON                   "</f>
        <v xml:space="preserve">JACKSON                   </v>
      </c>
      <c r="F12875" t="str">
        <f t="shared" si="334"/>
        <v>MS</v>
      </c>
    </row>
    <row r="12876" spans="1:6" x14ac:dyDescent="0.25">
      <c r="A12876" t="str">
        <f>"007734751"</f>
        <v>007734751</v>
      </c>
      <c r="B12876" t="str">
        <f>"1871128223"</f>
        <v>1871128223</v>
      </c>
      <c r="C12876" t="str">
        <f>"2086S0122X"</f>
        <v>2086S0122X</v>
      </c>
      <c r="D12876" t="str">
        <f>"LEBHAR                   MICHAEL                  "</f>
        <v xml:space="preserve">LEBHAR                   MICHAEL                  </v>
      </c>
      <c r="E12876" t="str">
        <f>"JACKSON                   "</f>
        <v xml:space="preserve">JACKSON                   </v>
      </c>
      <c r="F12876" t="str">
        <f t="shared" si="334"/>
        <v>MS</v>
      </c>
    </row>
    <row r="12877" spans="1:6" x14ac:dyDescent="0.25">
      <c r="A12877" t="str">
        <f>"007734807"</f>
        <v>007734807</v>
      </c>
      <c r="B12877" t="str">
        <f>"1780171587"</f>
        <v>1780171587</v>
      </c>
      <c r="C12877" t="str">
        <f>"207P00000X"</f>
        <v>207P00000X</v>
      </c>
      <c r="D12877" t="str">
        <f>"MORRIS                   MACON        C           "</f>
        <v xml:space="preserve">MORRIS                   MACON        C           </v>
      </c>
      <c r="E12877" t="str">
        <f>"GULFPORT                  "</f>
        <v xml:space="preserve">GULFPORT                  </v>
      </c>
      <c r="F12877" t="str">
        <f t="shared" si="334"/>
        <v>MS</v>
      </c>
    </row>
    <row r="12878" spans="1:6" x14ac:dyDescent="0.25">
      <c r="A12878" t="str">
        <f>"007737024"</f>
        <v>007737024</v>
      </c>
      <c r="B12878" t="str">
        <f>"1790387462"</f>
        <v>1790387462</v>
      </c>
      <c r="C12878" t="str">
        <f>"261QR1300X"</f>
        <v>261QR1300X</v>
      </c>
      <c r="D12878" t="str">
        <f>"MRH MEDICAL GROUP, GSV HOULKA                     "</f>
        <v xml:space="preserve">MRH MEDICAL GROUP, GSV HOULKA                     </v>
      </c>
      <c r="E12878" t="str">
        <f>"NEW HOULKA                "</f>
        <v xml:space="preserve">NEW HOULKA                </v>
      </c>
      <c r="F12878" t="str">
        <f t="shared" si="334"/>
        <v>MS</v>
      </c>
    </row>
    <row r="12879" spans="1:6" x14ac:dyDescent="0.25">
      <c r="A12879" t="str">
        <f>"007739517"</f>
        <v>007739517</v>
      </c>
      <c r="B12879" t="str">
        <f>"1619464948"</f>
        <v>1619464948</v>
      </c>
      <c r="C12879" t="str">
        <f>"207R00000X"</f>
        <v>207R00000X</v>
      </c>
      <c r="D12879" t="str">
        <f>"HOWELL                   TYLER        O           "</f>
        <v xml:space="preserve">HOWELL                   TYLER        O           </v>
      </c>
      <c r="E12879" t="str">
        <f>"JACKSON                   "</f>
        <v xml:space="preserve">JACKSON                   </v>
      </c>
      <c r="F12879" t="str">
        <f t="shared" si="334"/>
        <v>MS</v>
      </c>
    </row>
    <row r="12880" spans="1:6" x14ac:dyDescent="0.25">
      <c r="A12880" t="str">
        <f>"007739579"</f>
        <v>007739579</v>
      </c>
      <c r="B12880" t="str">
        <f>"1780095901"</f>
        <v>1780095901</v>
      </c>
      <c r="C12880" t="str">
        <f>"207R00000X"</f>
        <v>207R00000X</v>
      </c>
      <c r="D12880" t="str">
        <f>"STROUPE                  CODY         G           "</f>
        <v xml:space="preserve">STROUPE                  CODY         G           </v>
      </c>
      <c r="E12880" t="str">
        <f>"STARKVILLE                "</f>
        <v xml:space="preserve">STARKVILLE                </v>
      </c>
      <c r="F12880" t="str">
        <f t="shared" si="334"/>
        <v>MS</v>
      </c>
    </row>
    <row r="12881" spans="1:6" x14ac:dyDescent="0.25">
      <c r="A12881" t="str">
        <f>"007751801"</f>
        <v>007751801</v>
      </c>
      <c r="B12881" t="str">
        <f>"1013413921"</f>
        <v>1013413921</v>
      </c>
      <c r="C12881" t="str">
        <f>"207W00000X"</f>
        <v>207W00000X</v>
      </c>
      <c r="D12881" t="str">
        <f>"COLEMAN                  THOMAS       T           "</f>
        <v xml:space="preserve">COLEMAN                  THOMAS       T           </v>
      </c>
      <c r="E12881" t="str">
        <f>"JACKSON                   "</f>
        <v xml:space="preserve">JACKSON                   </v>
      </c>
      <c r="F12881" t="str">
        <f t="shared" si="334"/>
        <v>MS</v>
      </c>
    </row>
    <row r="12882" spans="1:6" x14ac:dyDescent="0.25">
      <c r="A12882" t="str">
        <f>"007752721"</f>
        <v>007752721</v>
      </c>
      <c r="B12882" t="str">
        <f>"1508496456"</f>
        <v>1508496456</v>
      </c>
      <c r="C12882" t="str">
        <f>"363L00000X"</f>
        <v>363L00000X</v>
      </c>
      <c r="D12882" t="str">
        <f>"LLOYD                    LILLIAN      C           "</f>
        <v xml:space="preserve">LLOYD                    LILLIAN      C           </v>
      </c>
      <c r="E12882" t="str">
        <f>"OXFORD                    "</f>
        <v xml:space="preserve">OXFORD                    </v>
      </c>
      <c r="F12882" t="str">
        <f t="shared" si="334"/>
        <v>MS</v>
      </c>
    </row>
    <row r="12883" spans="1:6" x14ac:dyDescent="0.25">
      <c r="A12883" t="str">
        <f>"007752830"</f>
        <v>007752830</v>
      </c>
      <c r="B12883" t="str">
        <f>"1629323142"</f>
        <v>1629323142</v>
      </c>
      <c r="C12883" t="str">
        <f>"152W00000X"</f>
        <v>152W00000X</v>
      </c>
      <c r="D12883" t="str">
        <f>"RHODES                   MEREDITH     M           "</f>
        <v xml:space="preserve">RHODES                   MEREDITH     M           </v>
      </c>
      <c r="E12883" t="str">
        <f>"CORINTH                   "</f>
        <v xml:space="preserve">CORINTH                   </v>
      </c>
      <c r="F12883" t="str">
        <f t="shared" si="334"/>
        <v>MS</v>
      </c>
    </row>
    <row r="12884" spans="1:6" x14ac:dyDescent="0.25">
      <c r="A12884" t="str">
        <f>"007753202"</f>
        <v>007753202</v>
      </c>
      <c r="B12884" t="str">
        <f>"1003055617"</f>
        <v>1003055617</v>
      </c>
      <c r="C12884" t="str">
        <f>"363L00000X"</f>
        <v>363L00000X</v>
      </c>
      <c r="D12884" t="str">
        <f>"RAULS                    RACHEL       L           "</f>
        <v xml:space="preserve">RAULS                    RACHEL       L           </v>
      </c>
      <c r="E12884" t="str">
        <f>"OCEAN SPRINGS             "</f>
        <v xml:space="preserve">OCEAN SPRINGS             </v>
      </c>
      <c r="F12884" t="str">
        <f t="shared" si="334"/>
        <v>MS</v>
      </c>
    </row>
    <row r="12885" spans="1:6" x14ac:dyDescent="0.25">
      <c r="A12885" t="str">
        <f>"007753816"</f>
        <v>007753816</v>
      </c>
      <c r="B12885" t="str">
        <f>"1164449740"</f>
        <v>1164449740</v>
      </c>
      <c r="C12885" t="str">
        <f>"207P00000X"</f>
        <v>207P00000X</v>
      </c>
      <c r="D12885" t="str">
        <f>"FITZGERALD               JEFFREY      S           "</f>
        <v xml:space="preserve">FITZGERALD               JEFFREY      S           </v>
      </c>
      <c r="E12885" t="str">
        <f>"JACKSON                   "</f>
        <v xml:space="preserve">JACKSON                   </v>
      </c>
      <c r="F12885" t="str">
        <f t="shared" si="334"/>
        <v>MS</v>
      </c>
    </row>
    <row r="12886" spans="1:6" x14ac:dyDescent="0.25">
      <c r="A12886" t="str">
        <f>"007754058"</f>
        <v>007754058</v>
      </c>
      <c r="B12886" t="str">
        <f>"1427580927"</f>
        <v>1427580927</v>
      </c>
      <c r="C12886" t="str">
        <f>"363L00000X"</f>
        <v>363L00000X</v>
      </c>
      <c r="D12886" t="str">
        <f>"OWENS                    BRITNY                   "</f>
        <v xml:space="preserve">OWENS                    BRITNY                   </v>
      </c>
      <c r="E12886" t="str">
        <f>"TUPELO                    "</f>
        <v xml:space="preserve">TUPELO                    </v>
      </c>
      <c r="F12886" t="str">
        <f t="shared" si="334"/>
        <v>MS</v>
      </c>
    </row>
    <row r="12887" spans="1:6" x14ac:dyDescent="0.25">
      <c r="A12887" t="str">
        <f>"007754216"</f>
        <v>007754216</v>
      </c>
      <c r="B12887" t="str">
        <f>"1013412006"</f>
        <v>1013412006</v>
      </c>
      <c r="C12887" t="str">
        <f>"207V00000X"</f>
        <v>207V00000X</v>
      </c>
      <c r="D12887" t="str">
        <f>"ALEXANDER                GABRIELLE                "</f>
        <v xml:space="preserve">ALEXANDER                GABRIELLE                </v>
      </c>
      <c r="E12887" t="str">
        <f>"TUPELO                    "</f>
        <v xml:space="preserve">TUPELO                    </v>
      </c>
      <c r="F12887" t="str">
        <f t="shared" si="334"/>
        <v>MS</v>
      </c>
    </row>
    <row r="12888" spans="1:6" x14ac:dyDescent="0.25">
      <c r="A12888" t="str">
        <f>"007755759"</f>
        <v>007755759</v>
      </c>
      <c r="B12888" t="str">
        <f>"1255767844"</f>
        <v>1255767844</v>
      </c>
      <c r="C12888" t="str">
        <f>"363L00000X"</f>
        <v>363L00000X</v>
      </c>
      <c r="D12888" t="str">
        <f>"TRAN                     THU          T           "</f>
        <v xml:space="preserve">TRAN                     THU          T           </v>
      </c>
      <c r="E12888" t="str">
        <f>"WAVELAND                  "</f>
        <v xml:space="preserve">WAVELAND                  </v>
      </c>
      <c r="F12888" t="str">
        <f t="shared" si="334"/>
        <v>MS</v>
      </c>
    </row>
    <row r="12889" spans="1:6" x14ac:dyDescent="0.25">
      <c r="A12889" t="str">
        <f>"007756858"</f>
        <v>007756858</v>
      </c>
      <c r="B12889" t="str">
        <f>"1225562705"</f>
        <v>1225562705</v>
      </c>
      <c r="C12889" t="str">
        <f>"207Q00000X"</f>
        <v>207Q00000X</v>
      </c>
      <c r="D12889" t="str">
        <f>"HUDSON                   SARAH        M           "</f>
        <v xml:space="preserve">HUDSON                   SARAH        M           </v>
      </c>
      <c r="E12889" t="str">
        <f>"HATTIESBURG               "</f>
        <v xml:space="preserve">HATTIESBURG               </v>
      </c>
      <c r="F12889" t="str">
        <f t="shared" si="334"/>
        <v>MS</v>
      </c>
    </row>
    <row r="12890" spans="1:6" x14ac:dyDescent="0.25">
      <c r="A12890" t="str">
        <f>"007759251"</f>
        <v>007759251</v>
      </c>
      <c r="B12890" t="str">
        <f>"1174829501"</f>
        <v>1174829501</v>
      </c>
      <c r="C12890" t="str">
        <f>"122300000X"</f>
        <v>122300000X</v>
      </c>
      <c r="D12890" t="str">
        <f>"BENNETT                  KINYATTA     S           "</f>
        <v xml:space="preserve">BENNETT                  KINYATTA     S           </v>
      </c>
      <c r="E12890" t="str">
        <f>"GULFPORT                  "</f>
        <v xml:space="preserve">GULFPORT                  </v>
      </c>
      <c r="F12890" t="str">
        <f t="shared" si="334"/>
        <v>MS</v>
      </c>
    </row>
    <row r="12891" spans="1:6" x14ac:dyDescent="0.25">
      <c r="A12891" t="str">
        <f>"007759576"</f>
        <v>007759576</v>
      </c>
      <c r="B12891" t="str">
        <f>"1689041063"</f>
        <v>1689041063</v>
      </c>
      <c r="C12891" t="str">
        <f>"261QF0400X"</f>
        <v>261QF0400X</v>
      </c>
      <c r="D12891" t="str">
        <f>"DELTA HEALTH CENTER INC                           "</f>
        <v xml:space="preserve">DELTA HEALTH CENTER INC                           </v>
      </c>
      <c r="E12891" t="str">
        <f>"MAYERSVILLE               "</f>
        <v xml:space="preserve">MAYERSVILLE               </v>
      </c>
      <c r="F12891" t="str">
        <f t="shared" si="334"/>
        <v>MS</v>
      </c>
    </row>
    <row r="12892" spans="1:6" x14ac:dyDescent="0.25">
      <c r="A12892" t="str">
        <f>"007759844"</f>
        <v>007759844</v>
      </c>
      <c r="B12892" t="str">
        <f>"1033514591"</f>
        <v>1033514591</v>
      </c>
      <c r="C12892" t="str">
        <f>"363L00000X"</f>
        <v>363L00000X</v>
      </c>
      <c r="D12892" t="str">
        <f>"EVANS                    LEANN        N           "</f>
        <v xml:space="preserve">EVANS                    LEANN        N           </v>
      </c>
      <c r="E12892" t="str">
        <f>"ELLISVILLE                "</f>
        <v xml:space="preserve">ELLISVILLE                </v>
      </c>
      <c r="F12892" t="str">
        <f t="shared" si="334"/>
        <v>MS</v>
      </c>
    </row>
    <row r="12893" spans="1:6" x14ac:dyDescent="0.25">
      <c r="A12893" t="str">
        <f>"007770077"</f>
        <v>007770077</v>
      </c>
      <c r="B12893" t="str">
        <f>"1851562342"</f>
        <v>1851562342</v>
      </c>
      <c r="C12893" t="str">
        <f>"208800000X"</f>
        <v>208800000X</v>
      </c>
      <c r="D12893" t="str">
        <f>"SHANNON                  PAUL         J           "</f>
        <v xml:space="preserve">SHANNON                  PAUL         J           </v>
      </c>
      <c r="E12893" t="str">
        <f>"GULFPORT                  "</f>
        <v xml:space="preserve">GULFPORT                  </v>
      </c>
      <c r="F12893" t="str">
        <f t="shared" si="334"/>
        <v>MS</v>
      </c>
    </row>
    <row r="12894" spans="1:6" x14ac:dyDescent="0.25">
      <c r="A12894" t="str">
        <f>"007770363"</f>
        <v>007770363</v>
      </c>
      <c r="B12894" t="str">
        <f>"1093081168"</f>
        <v>1093081168</v>
      </c>
      <c r="C12894" t="str">
        <f>"208800000X"</f>
        <v>208800000X</v>
      </c>
      <c r="D12894" t="str">
        <f>"DOUGLAS                  SEAN         P           "</f>
        <v xml:space="preserve">DOUGLAS                  SEAN         P           </v>
      </c>
      <c r="E12894" t="str">
        <f>"HATTIESBURG               "</f>
        <v xml:space="preserve">HATTIESBURG               </v>
      </c>
      <c r="F12894" t="str">
        <f t="shared" si="334"/>
        <v>MS</v>
      </c>
    </row>
    <row r="12895" spans="1:6" x14ac:dyDescent="0.25">
      <c r="A12895" t="str">
        <f>"007770711"</f>
        <v>007770711</v>
      </c>
      <c r="B12895" t="str">
        <f>"1598843997"</f>
        <v>1598843997</v>
      </c>
      <c r="C12895" t="str">
        <f>"207P00000X"</f>
        <v>207P00000X</v>
      </c>
      <c r="D12895" t="str">
        <f>"CASEY                    DAVID        B           "</f>
        <v xml:space="preserve">CASEY                    DAVID        B           </v>
      </c>
      <c r="E12895" t="str">
        <f>"CLEVELAND                 "</f>
        <v xml:space="preserve">CLEVELAND                 </v>
      </c>
      <c r="F12895" t="str">
        <f t="shared" si="334"/>
        <v>MS</v>
      </c>
    </row>
    <row r="12896" spans="1:6" x14ac:dyDescent="0.25">
      <c r="A12896" t="str">
        <f>"007770993"</f>
        <v>007770993</v>
      </c>
      <c r="B12896" t="str">
        <f>"1710278247"</f>
        <v>1710278247</v>
      </c>
      <c r="C12896" t="str">
        <f>"207Q00000X"</f>
        <v>207Q00000X</v>
      </c>
      <c r="D12896" t="str">
        <f>"HULIN                    MICHAEL      P           "</f>
        <v xml:space="preserve">HULIN                    MICHAEL      P           </v>
      </c>
      <c r="E12896" t="str">
        <f>"GULFPORT                  "</f>
        <v xml:space="preserve">GULFPORT                  </v>
      </c>
      <c r="F12896" t="str">
        <f t="shared" si="334"/>
        <v>MS</v>
      </c>
    </row>
    <row r="12897" spans="1:6" x14ac:dyDescent="0.25">
      <c r="A12897" t="str">
        <f>"007771546"</f>
        <v>007771546</v>
      </c>
      <c r="B12897" t="str">
        <f>"1407978752"</f>
        <v>1407978752</v>
      </c>
      <c r="C12897" t="str">
        <f>"122300000X"</f>
        <v>122300000X</v>
      </c>
      <c r="D12897" t="str">
        <f>"SIMPSON                  JOSHUA       L           "</f>
        <v xml:space="preserve">SIMPSON                  JOSHUA       L           </v>
      </c>
      <c r="E12897" t="str">
        <f>"MCCOMB                    "</f>
        <v xml:space="preserve">MCCOMB                    </v>
      </c>
      <c r="F12897" t="str">
        <f t="shared" si="334"/>
        <v>MS</v>
      </c>
    </row>
    <row r="12898" spans="1:6" x14ac:dyDescent="0.25">
      <c r="A12898" t="str">
        <f>"007771551"</f>
        <v>007771551</v>
      </c>
      <c r="B12898" t="str">
        <f>"1215378658"</f>
        <v>1215378658</v>
      </c>
      <c r="C12898" t="str">
        <f>"208000000X"</f>
        <v>208000000X</v>
      </c>
      <c r="D12898" t="str">
        <f>"CALDWELL                 JENNIFER     A           "</f>
        <v xml:space="preserve">CALDWELL                 JENNIFER     A           </v>
      </c>
      <c r="E12898" t="str">
        <f>"GULFPORT                  "</f>
        <v xml:space="preserve">GULFPORT                  </v>
      </c>
      <c r="F12898" t="str">
        <f t="shared" si="334"/>
        <v>MS</v>
      </c>
    </row>
    <row r="12899" spans="1:6" x14ac:dyDescent="0.25">
      <c r="A12899" t="str">
        <f>"007771851"</f>
        <v>007771851</v>
      </c>
      <c r="B12899" t="str">
        <f>"1801306519"</f>
        <v>1801306519</v>
      </c>
      <c r="C12899" t="str">
        <f>"363L00000X"</f>
        <v>363L00000X</v>
      </c>
      <c r="D12899" t="str">
        <f>"TERRELL                  KATHERINE                "</f>
        <v xml:space="preserve">TERRELL                  KATHERINE                </v>
      </c>
      <c r="E12899" t="str">
        <f>"TUPELO                    "</f>
        <v xml:space="preserve">TUPELO                    </v>
      </c>
      <c r="F12899" t="str">
        <f t="shared" si="334"/>
        <v>MS</v>
      </c>
    </row>
    <row r="12900" spans="1:6" x14ac:dyDescent="0.25">
      <c r="A12900" t="str">
        <f>"007772504"</f>
        <v>007772504</v>
      </c>
      <c r="B12900" t="str">
        <f>"1689864100"</f>
        <v>1689864100</v>
      </c>
      <c r="C12900" t="str">
        <f>"207L00000X"</f>
        <v>207L00000X</v>
      </c>
      <c r="D12900" t="str">
        <f>"LANDRY                   WILLIAM                  "</f>
        <v xml:space="preserve">LANDRY                   WILLIAM                  </v>
      </c>
      <c r="E12900" t="str">
        <f>"BILOXI                    "</f>
        <v xml:space="preserve">BILOXI                    </v>
      </c>
      <c r="F12900" t="str">
        <f t="shared" si="334"/>
        <v>MS</v>
      </c>
    </row>
    <row r="12901" spans="1:6" x14ac:dyDescent="0.25">
      <c r="A12901" t="str">
        <f>"007773817"</f>
        <v>007773817</v>
      </c>
      <c r="B12901" t="str">
        <f>"1568627784"</f>
        <v>1568627784</v>
      </c>
      <c r="C12901" t="str">
        <f>"207VM0101X"</f>
        <v>207VM0101X</v>
      </c>
      <c r="D12901" t="str">
        <f>"MORRIS                   RACHAEL      F           "</f>
        <v xml:space="preserve">MORRIS                   RACHAEL      F           </v>
      </c>
      <c r="E12901" t="str">
        <f>"JACKSON                   "</f>
        <v xml:space="preserve">JACKSON                   </v>
      </c>
      <c r="F12901" t="str">
        <f t="shared" si="334"/>
        <v>MS</v>
      </c>
    </row>
    <row r="12902" spans="1:6" x14ac:dyDescent="0.25">
      <c r="A12902" t="str">
        <f>"007774849"</f>
        <v>007774849</v>
      </c>
      <c r="B12902" t="str">
        <f>"1750725297"</f>
        <v>1750725297</v>
      </c>
      <c r="C12902" t="str">
        <f>"261QA0600X"</f>
        <v>261QA0600X</v>
      </c>
      <c r="D12902" t="str">
        <f>"NEW COVENANT                                      "</f>
        <v xml:space="preserve">NEW COVENANT                                      </v>
      </c>
      <c r="E12902" t="str">
        <f>"HOLLY SPRINGS             "</f>
        <v xml:space="preserve">HOLLY SPRINGS             </v>
      </c>
      <c r="F12902" t="str">
        <f t="shared" si="334"/>
        <v>MS</v>
      </c>
    </row>
    <row r="12903" spans="1:6" x14ac:dyDescent="0.25">
      <c r="A12903" t="str">
        <f>"007776071"</f>
        <v>007776071</v>
      </c>
      <c r="B12903" t="str">
        <f>"1992266076"</f>
        <v>1992266076</v>
      </c>
      <c r="C12903" t="str">
        <f>"207R00000X"</f>
        <v>207R00000X</v>
      </c>
      <c r="D12903" t="str">
        <f>"DAVIS                    HARRISON     R           "</f>
        <v xml:space="preserve">DAVIS                    HARRISON     R           </v>
      </c>
      <c r="E12903" t="str">
        <f>"OXFORD                    "</f>
        <v xml:space="preserve">OXFORD                    </v>
      </c>
      <c r="F12903" t="str">
        <f t="shared" si="334"/>
        <v>MS</v>
      </c>
    </row>
    <row r="12904" spans="1:6" x14ac:dyDescent="0.25">
      <c r="A12904" t="str">
        <f>"007776201"</f>
        <v>007776201</v>
      </c>
      <c r="B12904" t="str">
        <f>"1477560050"</f>
        <v>1477560050</v>
      </c>
      <c r="C12904" t="str">
        <f>"208G00000X"</f>
        <v>208G00000X</v>
      </c>
      <c r="D12904" t="str">
        <f>"GILMORE                  JAMES        C           "</f>
        <v xml:space="preserve">GILMORE                  JAMES        C           </v>
      </c>
      <c r="E12904" t="str">
        <f>"CORINTH                   "</f>
        <v xml:space="preserve">CORINTH                   </v>
      </c>
      <c r="F12904" t="str">
        <f t="shared" si="334"/>
        <v>MS</v>
      </c>
    </row>
    <row r="12905" spans="1:6" x14ac:dyDescent="0.25">
      <c r="A12905" t="str">
        <f>"007776850"</f>
        <v>007776850</v>
      </c>
      <c r="B12905" t="str">
        <f>"1659303303"</f>
        <v>1659303303</v>
      </c>
      <c r="C12905" t="str">
        <f>"207R00000X"</f>
        <v>207R00000X</v>
      </c>
      <c r="D12905" t="str">
        <f>"MCNEESE                  JASON        T           "</f>
        <v xml:space="preserve">MCNEESE                  JASON        T           </v>
      </c>
      <c r="E12905" t="str">
        <f>"BILOXI                    "</f>
        <v xml:space="preserve">BILOXI                    </v>
      </c>
      <c r="F12905" t="str">
        <f t="shared" si="334"/>
        <v>MS</v>
      </c>
    </row>
    <row r="12906" spans="1:6" x14ac:dyDescent="0.25">
      <c r="A12906" t="str">
        <f>"007778348"</f>
        <v>007778348</v>
      </c>
      <c r="B12906" t="str">
        <f>"1356316046"</f>
        <v>1356316046</v>
      </c>
      <c r="C12906" t="str">
        <f>"207L00000X"</f>
        <v>207L00000X</v>
      </c>
      <c r="D12906" t="str">
        <f>"NEWMAN                   PAMELA                   "</f>
        <v xml:space="preserve">NEWMAN                   PAMELA                   </v>
      </c>
      <c r="E12906" t="str">
        <f>"OCEAN SPRINGS             "</f>
        <v xml:space="preserve">OCEAN SPRINGS             </v>
      </c>
      <c r="F12906" t="str">
        <f t="shared" si="334"/>
        <v>MS</v>
      </c>
    </row>
    <row r="12907" spans="1:6" x14ac:dyDescent="0.25">
      <c r="A12907" t="str">
        <f>"007781796"</f>
        <v>007781796</v>
      </c>
      <c r="B12907" t="str">
        <f>"1003069113"</f>
        <v>1003069113</v>
      </c>
      <c r="C12907" t="str">
        <f>"363L00000X"</f>
        <v>363L00000X</v>
      </c>
      <c r="D12907" t="str">
        <f>"COOK                     CRYSTAL      S           "</f>
        <v xml:space="preserve">COOK                     CRYSTAL      S           </v>
      </c>
      <c r="E12907" t="str">
        <f>"FAYETTE                   "</f>
        <v xml:space="preserve">FAYETTE                   </v>
      </c>
      <c r="F12907" t="str">
        <f t="shared" si="334"/>
        <v>MS</v>
      </c>
    </row>
    <row r="12908" spans="1:6" x14ac:dyDescent="0.25">
      <c r="A12908" t="str">
        <f>"007783287"</f>
        <v>007783287</v>
      </c>
      <c r="B12908" t="str">
        <f>"1598253882"</f>
        <v>1598253882</v>
      </c>
      <c r="C12908" t="str">
        <f>"207L00000X"</f>
        <v>207L00000X</v>
      </c>
      <c r="D12908" t="str">
        <f>"LYONS                    KATHLEEN     S           "</f>
        <v xml:space="preserve">LYONS                    KATHLEEN     S           </v>
      </c>
      <c r="E12908" t="str">
        <f>"JACKSON                   "</f>
        <v xml:space="preserve">JACKSON                   </v>
      </c>
      <c r="F12908" t="str">
        <f t="shared" si="334"/>
        <v>MS</v>
      </c>
    </row>
    <row r="12909" spans="1:6" x14ac:dyDescent="0.25">
      <c r="A12909" t="str">
        <f>"007783306"</f>
        <v>007783306</v>
      </c>
      <c r="B12909" t="str">
        <f>"1669609111"</f>
        <v>1669609111</v>
      </c>
      <c r="C12909" t="str">
        <f>"261QR1300X"</f>
        <v>261QR1300X</v>
      </c>
      <c r="D12909" t="str">
        <f>"SOUTH CENTRAL FAMILY MEDICINE AND URGENT CARE     "</f>
        <v xml:space="preserve">SOUTH CENTRAL FAMILY MEDICINE AND URGENT CARE     </v>
      </c>
      <c r="E12909" t="str">
        <f>"LAUREL                    "</f>
        <v xml:space="preserve">LAUREL                    </v>
      </c>
      <c r="F12909" t="str">
        <f t="shared" si="334"/>
        <v>MS</v>
      </c>
    </row>
    <row r="12910" spans="1:6" x14ac:dyDescent="0.25">
      <c r="A12910" t="str">
        <f>"007784732"</f>
        <v>007784732</v>
      </c>
      <c r="B12910" t="str">
        <f>"1427693175"</f>
        <v>1427693175</v>
      </c>
      <c r="C12910" t="str">
        <f>"363L00000X"</f>
        <v>363L00000X</v>
      </c>
      <c r="D12910" t="str">
        <f>"VIRGILIO                 LORI         L           "</f>
        <v xml:space="preserve">VIRGILIO                 LORI         L           </v>
      </c>
      <c r="E12910" t="str">
        <f>"OCEAN SPRINGS             "</f>
        <v xml:space="preserve">OCEAN SPRINGS             </v>
      </c>
      <c r="F12910" t="str">
        <f t="shared" si="334"/>
        <v>MS</v>
      </c>
    </row>
    <row r="12911" spans="1:6" x14ac:dyDescent="0.25">
      <c r="A12911" t="str">
        <f>"007786011"</f>
        <v>007786011</v>
      </c>
      <c r="B12911" t="str">
        <f>"1780927442"</f>
        <v>1780927442</v>
      </c>
      <c r="C12911" t="str">
        <f>"363L00000X"</f>
        <v>363L00000X</v>
      </c>
      <c r="D12911" t="str">
        <f>"PHILLIPS                 LADONNA      M           "</f>
        <v xml:space="preserve">PHILLIPS                 LADONNA      M           </v>
      </c>
      <c r="E12911" t="str">
        <f>"LAUREL                    "</f>
        <v xml:space="preserve">LAUREL                    </v>
      </c>
      <c r="F12911" t="str">
        <f t="shared" si="334"/>
        <v>MS</v>
      </c>
    </row>
    <row r="12912" spans="1:6" x14ac:dyDescent="0.25">
      <c r="A12912" t="str">
        <f>"007786747"</f>
        <v>007786747</v>
      </c>
      <c r="B12912" t="str">
        <f>"1376072413"</f>
        <v>1376072413</v>
      </c>
      <c r="C12912" t="str">
        <f>"363L00000X"</f>
        <v>363L00000X</v>
      </c>
      <c r="D12912" t="str">
        <f>"DILLON                   MARANDA                  "</f>
        <v xml:space="preserve">DILLON                   MARANDA                  </v>
      </c>
      <c r="E12912" t="str">
        <f>"JACKSON                   "</f>
        <v xml:space="preserve">JACKSON                   </v>
      </c>
      <c r="F12912" t="str">
        <f t="shared" si="334"/>
        <v>MS</v>
      </c>
    </row>
    <row r="12913" spans="1:6" x14ac:dyDescent="0.25">
      <c r="A12913" t="str">
        <f>"007787063"</f>
        <v>007787063</v>
      </c>
      <c r="B12913" t="str">
        <f>"1821545757"</f>
        <v>1821545757</v>
      </c>
      <c r="C12913" t="str">
        <f>"363L00000X"</f>
        <v>363L00000X</v>
      </c>
      <c r="D12913" t="str">
        <f>"LADD                     AMANDA       L           "</f>
        <v xml:space="preserve">LADD                     AMANDA       L           </v>
      </c>
      <c r="E12913" t="str">
        <f>"HATTIESBURG               "</f>
        <v xml:space="preserve">HATTIESBURG               </v>
      </c>
      <c r="F12913" t="str">
        <f t="shared" si="334"/>
        <v>MS</v>
      </c>
    </row>
    <row r="12914" spans="1:6" x14ac:dyDescent="0.25">
      <c r="A12914" t="str">
        <f>"007787262"</f>
        <v>007787262</v>
      </c>
      <c r="B12914" t="str">
        <f>"1649871682"</f>
        <v>1649871682</v>
      </c>
      <c r="C12914" t="str">
        <f>"363A00000X"</f>
        <v>363A00000X</v>
      </c>
      <c r="D12914" t="str">
        <f>"HERNDON KULUZ            KATHERINE    R           "</f>
        <v xml:space="preserve">HERNDON KULUZ            KATHERINE    R           </v>
      </c>
      <c r="E12914" t="str">
        <f>"PASCAGOULA                "</f>
        <v xml:space="preserve">PASCAGOULA                </v>
      </c>
      <c r="F12914" t="str">
        <f t="shared" si="334"/>
        <v>MS</v>
      </c>
    </row>
    <row r="12915" spans="1:6" x14ac:dyDescent="0.25">
      <c r="A12915" t="str">
        <f>"007788305"</f>
        <v>007788305</v>
      </c>
      <c r="B12915" t="str">
        <f>"1528295532"</f>
        <v>1528295532</v>
      </c>
      <c r="C12915" t="str">
        <f>"261QR1300X"</f>
        <v>261QR1300X</v>
      </c>
      <c r="D12915" t="str">
        <f>"NESHOBA URGENT CARE CLINIC                        "</f>
        <v xml:space="preserve">NESHOBA URGENT CARE CLINIC                        </v>
      </c>
      <c r="E12915" t="str">
        <f>"PHILADELPHIA              "</f>
        <v xml:space="preserve">PHILADELPHIA              </v>
      </c>
      <c r="F12915" t="str">
        <f t="shared" si="334"/>
        <v>MS</v>
      </c>
    </row>
    <row r="12916" spans="1:6" x14ac:dyDescent="0.25">
      <c r="A12916" t="str">
        <f>"007788884"</f>
        <v>007788884</v>
      </c>
      <c r="B12916" t="str">
        <f>"1467976548"</f>
        <v>1467976548</v>
      </c>
      <c r="C12916" t="str">
        <f>"363L00000X"</f>
        <v>363L00000X</v>
      </c>
      <c r="D12916" t="str">
        <f>"BROOKS                   MICHELE      L           "</f>
        <v xml:space="preserve">BROOKS                   MICHELE      L           </v>
      </c>
      <c r="E12916" t="str">
        <f>"LEXINGTON                 "</f>
        <v xml:space="preserve">LEXINGTON                 </v>
      </c>
      <c r="F12916" t="str">
        <f t="shared" si="334"/>
        <v>MS</v>
      </c>
    </row>
    <row r="12917" spans="1:6" x14ac:dyDescent="0.25">
      <c r="A12917" t="str">
        <f>"007800068"</f>
        <v>007800068</v>
      </c>
      <c r="B12917" t="str">
        <f>"1124274733"</f>
        <v>1124274733</v>
      </c>
      <c r="C12917" t="str">
        <f>"207L00000X"</f>
        <v>207L00000X</v>
      </c>
      <c r="D12917" t="str">
        <f>"WALTERS                  JACKSON      L           "</f>
        <v xml:space="preserve">WALTERS                  JACKSON      L           </v>
      </c>
      <c r="E12917" t="str">
        <f>"COLUMBUS                  "</f>
        <v xml:space="preserve">COLUMBUS                  </v>
      </c>
      <c r="F12917" t="str">
        <f t="shared" si="334"/>
        <v>MS</v>
      </c>
    </row>
    <row r="12918" spans="1:6" x14ac:dyDescent="0.25">
      <c r="A12918" t="str">
        <f>"007800303"</f>
        <v>007800303</v>
      </c>
      <c r="B12918" t="str">
        <f>"1568773901"</f>
        <v>1568773901</v>
      </c>
      <c r="C12918" t="str">
        <f>"207T00000X"</f>
        <v>207T00000X</v>
      </c>
      <c r="D12918" t="str">
        <f>"SHAMSNIA                 SAM                      "</f>
        <v xml:space="preserve">SHAMSNIA                 SAM                      </v>
      </c>
      <c r="E12918" t="str">
        <f>"HATTIESBURG               "</f>
        <v xml:space="preserve">HATTIESBURG               </v>
      </c>
      <c r="F12918" t="str">
        <f t="shared" si="334"/>
        <v>MS</v>
      </c>
    </row>
    <row r="12919" spans="1:6" x14ac:dyDescent="0.25">
      <c r="A12919" t="str">
        <f>"007800351"</f>
        <v>007800351</v>
      </c>
      <c r="B12919" t="str">
        <f>"1679810733"</f>
        <v>1679810733</v>
      </c>
      <c r="C12919" t="str">
        <f>"261QA0600X"</f>
        <v>261QA0600X</v>
      </c>
      <c r="D12919" t="str">
        <f>"CARING HEART AND HANDS, ADC                       "</f>
        <v xml:space="preserve">CARING HEART AND HANDS, ADC                       </v>
      </c>
      <c r="E12919" t="str">
        <f>"TUPELO                    "</f>
        <v xml:space="preserve">TUPELO                    </v>
      </c>
      <c r="F12919" t="str">
        <f t="shared" si="334"/>
        <v>MS</v>
      </c>
    </row>
    <row r="12920" spans="1:6" x14ac:dyDescent="0.25">
      <c r="A12920" t="str">
        <f>"007800551"</f>
        <v>007800551</v>
      </c>
      <c r="B12920" t="str">
        <f>"1730439407"</f>
        <v>1730439407</v>
      </c>
      <c r="C12920" t="str">
        <f>"363L00000X"</f>
        <v>363L00000X</v>
      </c>
      <c r="D12920" t="str">
        <f>"GREEN                    ERIN         M           "</f>
        <v xml:space="preserve">GREEN                    ERIN         M           </v>
      </c>
      <c r="E12920" t="str">
        <f>"BURNSVILLE                "</f>
        <v xml:space="preserve">BURNSVILLE                </v>
      </c>
      <c r="F12920" t="str">
        <f t="shared" si="334"/>
        <v>MS</v>
      </c>
    </row>
    <row r="12921" spans="1:6" x14ac:dyDescent="0.25">
      <c r="A12921" t="str">
        <f>"007800576"</f>
        <v>007800576</v>
      </c>
      <c r="B12921" t="str">
        <f>"1407143878"</f>
        <v>1407143878</v>
      </c>
      <c r="C12921" t="str">
        <f>"2084N0402X"</f>
        <v>2084N0402X</v>
      </c>
      <c r="D12921" t="str">
        <f>"ERO                      AMEZE                    "</f>
        <v xml:space="preserve">ERO                      AMEZE                    </v>
      </c>
      <c r="E12921" t="str">
        <f>"JACKSON                   "</f>
        <v xml:space="preserve">JACKSON                   </v>
      </c>
      <c r="F12921" t="str">
        <f t="shared" si="334"/>
        <v>MS</v>
      </c>
    </row>
    <row r="12922" spans="1:6" x14ac:dyDescent="0.25">
      <c r="A12922" t="str">
        <f>"007800623"</f>
        <v>007800623</v>
      </c>
      <c r="B12922" t="str">
        <f>"1720262579"</f>
        <v>1720262579</v>
      </c>
      <c r="C12922" t="str">
        <f>"207V00000X"</f>
        <v>207V00000X</v>
      </c>
      <c r="D12922" t="str">
        <f>"GRIFFIN                  MEREDITH     K           "</f>
        <v xml:space="preserve">GRIFFIN                  MEREDITH     K           </v>
      </c>
      <c r="E12922" t="str">
        <f>"OXFORD                    "</f>
        <v xml:space="preserve">OXFORD                    </v>
      </c>
      <c r="F12922" t="str">
        <f t="shared" si="334"/>
        <v>MS</v>
      </c>
    </row>
    <row r="12923" spans="1:6" x14ac:dyDescent="0.25">
      <c r="A12923" t="str">
        <f>"007800828"</f>
        <v>007800828</v>
      </c>
      <c r="B12923" t="str">
        <f>"1962451831"</f>
        <v>1962451831</v>
      </c>
      <c r="C12923" t="str">
        <f>"261QR1300X"</f>
        <v>261QR1300X</v>
      </c>
      <c r="D12923" t="str">
        <f>"PREMIER MEDICAL CLINIC                            "</f>
        <v xml:space="preserve">PREMIER MEDICAL CLINIC                            </v>
      </c>
      <c r="E12923" t="str">
        <f>"MCCOMB                    "</f>
        <v xml:space="preserve">MCCOMB                    </v>
      </c>
      <c r="F12923" t="str">
        <f t="shared" si="334"/>
        <v>MS</v>
      </c>
    </row>
    <row r="12924" spans="1:6" x14ac:dyDescent="0.25">
      <c r="A12924" t="str">
        <f>"007800848"</f>
        <v>007800848</v>
      </c>
      <c r="B12924" t="str">
        <f>"1427473172"</f>
        <v>1427473172</v>
      </c>
      <c r="C12924" t="str">
        <f>"363LG0600X"</f>
        <v>363LG0600X</v>
      </c>
      <c r="D12924" t="str">
        <f>"MAYFIELD                 LACEY        M           "</f>
        <v xml:space="preserve">MAYFIELD                 LACEY        M           </v>
      </c>
      <c r="E12924" t="str">
        <f>"JACKSON                   "</f>
        <v xml:space="preserve">JACKSON                   </v>
      </c>
      <c r="F12924" t="str">
        <f t="shared" si="334"/>
        <v>MS</v>
      </c>
    </row>
    <row r="12925" spans="1:6" x14ac:dyDescent="0.25">
      <c r="A12925" t="str">
        <f>"007800922"</f>
        <v>007800922</v>
      </c>
      <c r="B12925" t="str">
        <f>"1336465301"</f>
        <v>1336465301</v>
      </c>
      <c r="C12925" t="str">
        <f>"363L00000X"</f>
        <v>363L00000X</v>
      </c>
      <c r="D12925" t="str">
        <f>"DUNCAN                   KRISTEN      L           "</f>
        <v xml:space="preserve">DUNCAN                   KRISTEN      L           </v>
      </c>
      <c r="E12925" t="str">
        <f>"SOUTHAVEN                 "</f>
        <v xml:space="preserve">SOUTHAVEN                 </v>
      </c>
      <c r="F12925" t="str">
        <f t="shared" si="334"/>
        <v>MS</v>
      </c>
    </row>
    <row r="12926" spans="1:6" x14ac:dyDescent="0.25">
      <c r="A12926" t="str">
        <f>"007801349"</f>
        <v>007801349</v>
      </c>
      <c r="B12926" t="str">
        <f>"1538354030"</f>
        <v>1538354030</v>
      </c>
      <c r="C12926" t="str">
        <f>"207W00000X"</f>
        <v>207W00000X</v>
      </c>
      <c r="D12926" t="str">
        <f>"LAPRAD                   DEBRA        L           "</f>
        <v xml:space="preserve">LAPRAD                   DEBRA        L           </v>
      </c>
      <c r="E12926" t="str">
        <f>"BILOXI                    "</f>
        <v xml:space="preserve">BILOXI                    </v>
      </c>
      <c r="F12926" t="str">
        <f t="shared" ref="F12926:F12989" si="335">"MS"</f>
        <v>MS</v>
      </c>
    </row>
    <row r="12927" spans="1:6" x14ac:dyDescent="0.25">
      <c r="A12927" t="str">
        <f>"007801363"</f>
        <v>007801363</v>
      </c>
      <c r="B12927" t="str">
        <f>"1316175573"</f>
        <v>1316175573</v>
      </c>
      <c r="C12927" t="str">
        <f>"207RE0101X"</f>
        <v>207RE0101X</v>
      </c>
      <c r="D12927" t="str">
        <f>"GARLA                    VISHNU       V           "</f>
        <v xml:space="preserve">GARLA                    VISHNU       V           </v>
      </c>
      <c r="E12927" t="str">
        <f>"JACKSON                   "</f>
        <v xml:space="preserve">JACKSON                   </v>
      </c>
      <c r="F12927" t="str">
        <f t="shared" si="335"/>
        <v>MS</v>
      </c>
    </row>
    <row r="12928" spans="1:6" x14ac:dyDescent="0.25">
      <c r="A12928" t="str">
        <f>"007802826"</f>
        <v>007802826</v>
      </c>
      <c r="B12928" t="str">
        <f>"1811147937"</f>
        <v>1811147937</v>
      </c>
      <c r="C12928" t="str">
        <f>"367500000X"</f>
        <v>367500000X</v>
      </c>
      <c r="D12928" t="str">
        <f>"CHANCE                   JEREMY       W           "</f>
        <v xml:space="preserve">CHANCE                   JEREMY       W           </v>
      </c>
      <c r="E12928" t="str">
        <f>"HATTIESBURG               "</f>
        <v xml:space="preserve">HATTIESBURG               </v>
      </c>
      <c r="F12928" t="str">
        <f t="shared" si="335"/>
        <v>MS</v>
      </c>
    </row>
    <row r="12929" spans="1:6" x14ac:dyDescent="0.25">
      <c r="A12929" t="str">
        <f>"007802853"</f>
        <v>007802853</v>
      </c>
      <c r="B12929" t="str">
        <f>"1306086541"</f>
        <v>1306086541</v>
      </c>
      <c r="C12929" t="str">
        <f>"207R00000X"</f>
        <v>207R00000X</v>
      </c>
      <c r="D12929" t="str">
        <f>"DURGIN                   KRISTI       W           "</f>
        <v xml:space="preserve">DURGIN                   KRISTI       W           </v>
      </c>
      <c r="E12929" t="str">
        <f>"MERIDIAN                  "</f>
        <v xml:space="preserve">MERIDIAN                  </v>
      </c>
      <c r="F12929" t="str">
        <f t="shared" si="335"/>
        <v>MS</v>
      </c>
    </row>
    <row r="12930" spans="1:6" x14ac:dyDescent="0.25">
      <c r="A12930" t="str">
        <f>"007803014"</f>
        <v>007803014</v>
      </c>
      <c r="B12930" t="str">
        <f>"1447891692"</f>
        <v>1447891692</v>
      </c>
      <c r="C12930" t="str">
        <f>"363L00000X"</f>
        <v>363L00000X</v>
      </c>
      <c r="D12930" t="str">
        <f>"WILLIAMSON               AUDREY                   "</f>
        <v xml:space="preserve">WILLIAMSON               AUDREY                   </v>
      </c>
      <c r="E12930" t="str">
        <f>"GRENADA                   "</f>
        <v xml:space="preserve">GRENADA                   </v>
      </c>
      <c r="F12930" t="str">
        <f t="shared" si="335"/>
        <v>MS</v>
      </c>
    </row>
    <row r="12931" spans="1:6" x14ac:dyDescent="0.25">
      <c r="A12931" t="str">
        <f>"007804371"</f>
        <v>007804371</v>
      </c>
      <c r="B12931" t="str">
        <f>"1013580505"</f>
        <v>1013580505</v>
      </c>
      <c r="C12931" t="str">
        <f>"363L00000X"</f>
        <v>363L00000X</v>
      </c>
      <c r="D12931" t="str">
        <f>"CARTER                   CASSI                    "</f>
        <v xml:space="preserve">CARTER                   CASSI                    </v>
      </c>
      <c r="E12931" t="str">
        <f>"GRENADA                   "</f>
        <v xml:space="preserve">GRENADA                   </v>
      </c>
      <c r="F12931" t="str">
        <f t="shared" si="335"/>
        <v>MS</v>
      </c>
    </row>
    <row r="12932" spans="1:6" x14ac:dyDescent="0.25">
      <c r="A12932" t="str">
        <f>"007805026"</f>
        <v>007805026</v>
      </c>
      <c r="B12932" t="str">
        <f>"1275824088"</f>
        <v>1275824088</v>
      </c>
      <c r="C12932" t="str">
        <f>"363L00000X"</f>
        <v>363L00000X</v>
      </c>
      <c r="D12932" t="str">
        <f>"ROGERS GONZALES          KIMBERLY     R           "</f>
        <v xml:space="preserve">ROGERS GONZALES          KIMBERLY     R           </v>
      </c>
      <c r="E12932" t="str">
        <f>"HATTIESBURG               "</f>
        <v xml:space="preserve">HATTIESBURG               </v>
      </c>
      <c r="F12932" t="str">
        <f t="shared" si="335"/>
        <v>MS</v>
      </c>
    </row>
    <row r="12933" spans="1:6" x14ac:dyDescent="0.25">
      <c r="A12933" t="str">
        <f>"007805771"</f>
        <v>007805771</v>
      </c>
      <c r="B12933" t="str">
        <f>"1831743780"</f>
        <v>1831743780</v>
      </c>
      <c r="C12933" t="str">
        <f>"363L00000X"</f>
        <v>363L00000X</v>
      </c>
      <c r="D12933" t="str">
        <f>"DOWDY                    LAURA        M           "</f>
        <v xml:space="preserve">DOWDY                    LAURA        M           </v>
      </c>
      <c r="E12933" t="str">
        <f>"TUPELO                    "</f>
        <v xml:space="preserve">TUPELO                    </v>
      </c>
      <c r="F12933" t="str">
        <f t="shared" si="335"/>
        <v>MS</v>
      </c>
    </row>
    <row r="12934" spans="1:6" x14ac:dyDescent="0.25">
      <c r="A12934" t="str">
        <f>"007805871"</f>
        <v>007805871</v>
      </c>
      <c r="B12934" t="str">
        <f>"1407506603"</f>
        <v>1407506603</v>
      </c>
      <c r="C12934" t="str">
        <f>"363L00000X"</f>
        <v>363L00000X</v>
      </c>
      <c r="D12934" t="str">
        <f>"PANNELL                  MATTHEW      R           "</f>
        <v xml:space="preserve">PANNELL                  MATTHEW      R           </v>
      </c>
      <c r="E12934" t="str">
        <f>"NEW ALBANY                "</f>
        <v xml:space="preserve">NEW ALBANY                </v>
      </c>
      <c r="F12934" t="str">
        <f t="shared" si="335"/>
        <v>MS</v>
      </c>
    </row>
    <row r="12935" spans="1:6" x14ac:dyDescent="0.25">
      <c r="A12935" t="str">
        <f>"007808893"</f>
        <v>007808893</v>
      </c>
      <c r="B12935" t="str">
        <f>"1598932915"</f>
        <v>1598932915</v>
      </c>
      <c r="C12935" t="str">
        <f>"207R00000X"</f>
        <v>207R00000X</v>
      </c>
      <c r="D12935" t="str">
        <f>"ZAFAR                    SALMAN                   "</f>
        <v xml:space="preserve">ZAFAR                    SALMAN                   </v>
      </c>
      <c r="E12935" t="str">
        <f>"SOUTHAVEN                 "</f>
        <v xml:space="preserve">SOUTHAVEN                 </v>
      </c>
      <c r="F12935" t="str">
        <f t="shared" si="335"/>
        <v>MS</v>
      </c>
    </row>
    <row r="12936" spans="1:6" x14ac:dyDescent="0.25">
      <c r="A12936" t="str">
        <f>"007809303"</f>
        <v>007809303</v>
      </c>
      <c r="B12936" t="str">
        <f>"1467494849"</f>
        <v>1467494849</v>
      </c>
      <c r="C12936" t="str">
        <f>"207L00000X"</f>
        <v>207L00000X</v>
      </c>
      <c r="D12936" t="str">
        <f>"KAMALAPUR                VIDYA                    "</f>
        <v xml:space="preserve">KAMALAPUR                VIDYA                    </v>
      </c>
      <c r="E12936" t="str">
        <f>"JACKSON                   "</f>
        <v xml:space="preserve">JACKSON                   </v>
      </c>
      <c r="F12936" t="str">
        <f t="shared" si="335"/>
        <v>MS</v>
      </c>
    </row>
    <row r="12937" spans="1:6" x14ac:dyDescent="0.25">
      <c r="A12937" t="str">
        <f>"007809841"</f>
        <v>007809841</v>
      </c>
      <c r="B12937" t="str">
        <f>"1699177634"</f>
        <v>1699177634</v>
      </c>
      <c r="C12937" t="str">
        <f>"363L00000X"</f>
        <v>363L00000X</v>
      </c>
      <c r="D12937" t="str">
        <f>"DAVIS                    SHONNA                   "</f>
        <v xml:space="preserve">DAVIS                    SHONNA                   </v>
      </c>
      <c r="E12937" t="str">
        <f>"VICKSBURG                 "</f>
        <v xml:space="preserve">VICKSBURG                 </v>
      </c>
      <c r="F12937" t="str">
        <f t="shared" si="335"/>
        <v>MS</v>
      </c>
    </row>
    <row r="12938" spans="1:6" x14ac:dyDescent="0.25">
      <c r="A12938" t="str">
        <f>"007809895"</f>
        <v>007809895</v>
      </c>
      <c r="B12938" t="str">
        <f>"1710316880"</f>
        <v>1710316880</v>
      </c>
      <c r="C12938" t="str">
        <f>"363A00000X"</f>
        <v>363A00000X</v>
      </c>
      <c r="D12938" t="str">
        <f>"NARAHARISETTY            VANI                     "</f>
        <v xml:space="preserve">NARAHARISETTY            VANI                     </v>
      </c>
      <c r="E12938" t="str">
        <f>"HATTIESBURG               "</f>
        <v xml:space="preserve">HATTIESBURG               </v>
      </c>
      <c r="F12938" t="str">
        <f t="shared" si="335"/>
        <v>MS</v>
      </c>
    </row>
    <row r="12939" spans="1:6" x14ac:dyDescent="0.25">
      <c r="A12939" t="str">
        <f>"007820371"</f>
        <v>007820371</v>
      </c>
      <c r="B12939" t="str">
        <f>"1558472381"</f>
        <v>1558472381</v>
      </c>
      <c r="C12939" t="str">
        <f>"122300000X"</f>
        <v>122300000X</v>
      </c>
      <c r="D12939" t="str">
        <f>"WATSON                   ROBERT       C           "</f>
        <v xml:space="preserve">WATSON                   ROBERT       C           </v>
      </c>
      <c r="E12939" t="str">
        <f>"BASSFIELD                 "</f>
        <v xml:space="preserve">BASSFIELD                 </v>
      </c>
      <c r="F12939" t="str">
        <f t="shared" si="335"/>
        <v>MS</v>
      </c>
    </row>
    <row r="12940" spans="1:6" x14ac:dyDescent="0.25">
      <c r="A12940" t="str">
        <f>"007821079"</f>
        <v>007821079</v>
      </c>
      <c r="B12940" t="str">
        <f>"1205278611"</f>
        <v>1205278611</v>
      </c>
      <c r="C12940" t="str">
        <f>"152W00000X"</f>
        <v>152W00000X</v>
      </c>
      <c r="D12940" t="str">
        <f>"MAY                      LAUREN       A           "</f>
        <v xml:space="preserve">MAY                      LAUREN       A           </v>
      </c>
      <c r="E12940" t="str">
        <f>"COLDWATER                 "</f>
        <v xml:space="preserve">COLDWATER                 </v>
      </c>
      <c r="F12940" t="str">
        <f t="shared" si="335"/>
        <v>MS</v>
      </c>
    </row>
    <row r="12941" spans="1:6" x14ac:dyDescent="0.25">
      <c r="A12941" t="str">
        <f>"007821265"</f>
        <v>007821265</v>
      </c>
      <c r="B12941" t="str">
        <f>"1346760220"</f>
        <v>1346760220</v>
      </c>
      <c r="C12941" t="str">
        <f>"363L00000X"</f>
        <v>363L00000X</v>
      </c>
      <c r="D12941" t="str">
        <f>"TYSON                    MEGAN        W           "</f>
        <v xml:space="preserve">TYSON                    MEGAN        W           </v>
      </c>
      <c r="E12941" t="str">
        <f>"JACKSON                   "</f>
        <v xml:space="preserve">JACKSON                   </v>
      </c>
      <c r="F12941" t="str">
        <f t="shared" si="335"/>
        <v>MS</v>
      </c>
    </row>
    <row r="12942" spans="1:6" x14ac:dyDescent="0.25">
      <c r="A12942" t="str">
        <f>"007821524"</f>
        <v>007821524</v>
      </c>
      <c r="B12942" t="str">
        <f>"1245818467"</f>
        <v>1245818467</v>
      </c>
      <c r="C12942" t="str">
        <f>"207R00000X"</f>
        <v>207R00000X</v>
      </c>
      <c r="D12942" t="str">
        <f>"SOBIESK                  SARAH        G           "</f>
        <v xml:space="preserve">SOBIESK                  SARAH        G           </v>
      </c>
      <c r="E12942" t="str">
        <f>"JACKSON                   "</f>
        <v xml:space="preserve">JACKSON                   </v>
      </c>
      <c r="F12942" t="str">
        <f t="shared" si="335"/>
        <v>MS</v>
      </c>
    </row>
    <row r="12943" spans="1:6" x14ac:dyDescent="0.25">
      <c r="A12943" t="str">
        <f>"007821725"</f>
        <v>007821725</v>
      </c>
      <c r="B12943" t="str">
        <f>"1457712150"</f>
        <v>1457712150</v>
      </c>
      <c r="C12943" t="str">
        <f>"363L00000X"</f>
        <v>363L00000X</v>
      </c>
      <c r="D12943" t="str">
        <f>"ROOKS                    DESTINY                  "</f>
        <v xml:space="preserve">ROOKS                    DESTINY                  </v>
      </c>
      <c r="E12943" t="str">
        <f>"JACKSON                   "</f>
        <v xml:space="preserve">JACKSON                   </v>
      </c>
      <c r="F12943" t="str">
        <f t="shared" si="335"/>
        <v>MS</v>
      </c>
    </row>
    <row r="12944" spans="1:6" x14ac:dyDescent="0.25">
      <c r="A12944" t="str">
        <f>"007822231"</f>
        <v>007822231</v>
      </c>
      <c r="B12944" t="str">
        <f>"1427442391"</f>
        <v>1427442391</v>
      </c>
      <c r="C12944" t="str">
        <f>"2084N0400X"</f>
        <v>2084N0400X</v>
      </c>
      <c r="D12944" t="str">
        <f>"QI                       XIN                      "</f>
        <v xml:space="preserve">QI                       XIN                      </v>
      </c>
      <c r="E12944" t="str">
        <f>"JACKSON                   "</f>
        <v xml:space="preserve">JACKSON                   </v>
      </c>
      <c r="F12944" t="str">
        <f t="shared" si="335"/>
        <v>MS</v>
      </c>
    </row>
    <row r="12945" spans="1:6" x14ac:dyDescent="0.25">
      <c r="A12945" t="str">
        <f>"007822860"</f>
        <v>007822860</v>
      </c>
      <c r="B12945" t="str">
        <f>"1255071288"</f>
        <v>1255071288</v>
      </c>
      <c r="C12945" t="str">
        <f>"207Q00000X"</f>
        <v>207Q00000X</v>
      </c>
      <c r="D12945" t="str">
        <f>"ALLEN                    CARRIE       G           "</f>
        <v xml:space="preserve">ALLEN                    CARRIE       G           </v>
      </c>
      <c r="E12945" t="str">
        <f>"JACKSON                   "</f>
        <v xml:space="preserve">JACKSON                   </v>
      </c>
      <c r="F12945" t="str">
        <f t="shared" si="335"/>
        <v>MS</v>
      </c>
    </row>
    <row r="12946" spans="1:6" x14ac:dyDescent="0.25">
      <c r="A12946" t="str">
        <f>"007823011"</f>
        <v>007823011</v>
      </c>
      <c r="B12946" t="str">
        <f>"1548460454"</f>
        <v>1548460454</v>
      </c>
      <c r="C12946" t="str">
        <f>"207Q00000X"</f>
        <v>207Q00000X</v>
      </c>
      <c r="D12946" t="str">
        <f>"SINGH                    HARPAL                   "</f>
        <v xml:space="preserve">SINGH                    HARPAL                   </v>
      </c>
      <c r="E12946" t="str">
        <f>"MENDENHALL                "</f>
        <v xml:space="preserve">MENDENHALL                </v>
      </c>
      <c r="F12946" t="str">
        <f t="shared" si="335"/>
        <v>MS</v>
      </c>
    </row>
    <row r="12947" spans="1:6" x14ac:dyDescent="0.25">
      <c r="A12947" t="str">
        <f>"007823203"</f>
        <v>007823203</v>
      </c>
      <c r="B12947" t="str">
        <f>"1811158181"</f>
        <v>1811158181</v>
      </c>
      <c r="C12947" t="str">
        <f>"207V00000X"</f>
        <v>207V00000X</v>
      </c>
      <c r="D12947" t="str">
        <f>"LADNER                   RACHEL       C           "</f>
        <v xml:space="preserve">LADNER                   RACHEL       C           </v>
      </c>
      <c r="E12947" t="str">
        <f>"TUPELO                    "</f>
        <v xml:space="preserve">TUPELO                    </v>
      </c>
      <c r="F12947" t="str">
        <f t="shared" si="335"/>
        <v>MS</v>
      </c>
    </row>
    <row r="12948" spans="1:6" x14ac:dyDescent="0.25">
      <c r="A12948" t="str">
        <f>"007824302"</f>
        <v>007824302</v>
      </c>
      <c r="B12948" t="str">
        <f>"1477829315"</f>
        <v>1477829315</v>
      </c>
      <c r="C12948" t="str">
        <f>"208000000X"</f>
        <v>208000000X</v>
      </c>
      <c r="D12948" t="str">
        <f>"DONKOR                   ERNEST       A           "</f>
        <v xml:space="preserve">DONKOR                   ERNEST       A           </v>
      </c>
      <c r="E12948" t="str">
        <f>"MERIDIAN                  "</f>
        <v xml:space="preserve">MERIDIAN                  </v>
      </c>
      <c r="F12948" t="str">
        <f t="shared" si="335"/>
        <v>MS</v>
      </c>
    </row>
    <row r="12949" spans="1:6" x14ac:dyDescent="0.25">
      <c r="A12949" t="str">
        <f>"007824562"</f>
        <v>007824562</v>
      </c>
      <c r="B12949" t="str">
        <f>"1598979064"</f>
        <v>1598979064</v>
      </c>
      <c r="C12949" t="str">
        <f>"2086S0122X"</f>
        <v>2086S0122X</v>
      </c>
      <c r="D12949" t="str">
        <f>"ARNOLD                   PETER        B           "</f>
        <v xml:space="preserve">ARNOLD                   PETER        B           </v>
      </c>
      <c r="E12949" t="str">
        <f>"JACKSON                   "</f>
        <v xml:space="preserve">JACKSON                   </v>
      </c>
      <c r="F12949" t="str">
        <f t="shared" si="335"/>
        <v>MS</v>
      </c>
    </row>
    <row r="12950" spans="1:6" x14ac:dyDescent="0.25">
      <c r="A12950" t="str">
        <f>"007825232"</f>
        <v>007825232</v>
      </c>
      <c r="B12950" t="str">
        <f>"1356747422"</f>
        <v>1356747422</v>
      </c>
      <c r="C12950" t="str">
        <f>"367500000X"</f>
        <v>367500000X</v>
      </c>
      <c r="D12950" t="str">
        <f>"MEINERS                  SHELLY       D           "</f>
        <v xml:space="preserve">MEINERS                  SHELLY       D           </v>
      </c>
      <c r="E12950" t="str">
        <f>"GULFPORT                  "</f>
        <v xml:space="preserve">GULFPORT                  </v>
      </c>
      <c r="F12950" t="str">
        <f t="shared" si="335"/>
        <v>MS</v>
      </c>
    </row>
    <row r="12951" spans="1:6" x14ac:dyDescent="0.25">
      <c r="A12951" t="str">
        <f>"007825301"</f>
        <v>007825301</v>
      </c>
      <c r="B12951" t="str">
        <f>"1881738532"</f>
        <v>1881738532</v>
      </c>
      <c r="C12951" t="str">
        <f>"152W00000X"</f>
        <v>152W00000X</v>
      </c>
      <c r="D12951" t="str">
        <f>"WILSON                   JONATHAN     W           "</f>
        <v xml:space="preserve">WILSON                   JONATHAN     W           </v>
      </c>
      <c r="E12951" t="str">
        <f>"SOUTHAVEN                 "</f>
        <v xml:space="preserve">SOUTHAVEN                 </v>
      </c>
      <c r="F12951" t="str">
        <f t="shared" si="335"/>
        <v>MS</v>
      </c>
    </row>
    <row r="12952" spans="1:6" x14ac:dyDescent="0.25">
      <c r="A12952" t="str">
        <f>"007825735"</f>
        <v>007825735</v>
      </c>
      <c r="B12952" t="str">
        <f>"1568972610"</f>
        <v>1568972610</v>
      </c>
      <c r="C12952" t="str">
        <f>"363A00000X"</f>
        <v>363A00000X</v>
      </c>
      <c r="D12952" t="str">
        <f>"SAVOY                    STEVEN                   "</f>
        <v xml:space="preserve">SAVOY                    STEVEN                   </v>
      </c>
      <c r="E12952" t="str">
        <f>"TUPELO                    "</f>
        <v xml:space="preserve">TUPELO                    </v>
      </c>
      <c r="F12952" t="str">
        <f t="shared" si="335"/>
        <v>MS</v>
      </c>
    </row>
    <row r="12953" spans="1:6" x14ac:dyDescent="0.25">
      <c r="A12953" t="str">
        <f>"007825776"</f>
        <v>007825776</v>
      </c>
      <c r="B12953" t="str">
        <f>"1811168578"</f>
        <v>1811168578</v>
      </c>
      <c r="C12953" t="str">
        <f>"363L00000X"</f>
        <v>363L00000X</v>
      </c>
      <c r="D12953" t="str">
        <f>"HARRIS                   LORI         C           "</f>
        <v xml:space="preserve">HARRIS                   LORI         C           </v>
      </c>
      <c r="E12953" t="str">
        <f>"MARIETTA                  "</f>
        <v xml:space="preserve">MARIETTA                  </v>
      </c>
      <c r="F12953" t="str">
        <f t="shared" si="335"/>
        <v>MS</v>
      </c>
    </row>
    <row r="12954" spans="1:6" x14ac:dyDescent="0.25">
      <c r="A12954" t="str">
        <f>"007827057"</f>
        <v>007827057</v>
      </c>
      <c r="B12954" t="str">
        <f>"1245435726"</f>
        <v>1245435726</v>
      </c>
      <c r="C12954" t="str">
        <f>"208000000X"</f>
        <v>208000000X</v>
      </c>
      <c r="D12954" t="str">
        <f>"BARRON                   LAURA        A           "</f>
        <v xml:space="preserve">BARRON                   LAURA        A           </v>
      </c>
      <c r="E12954" t="str">
        <f>"FLOWOOD                   "</f>
        <v xml:space="preserve">FLOWOOD                   </v>
      </c>
      <c r="F12954" t="str">
        <f t="shared" si="335"/>
        <v>MS</v>
      </c>
    </row>
    <row r="12955" spans="1:6" x14ac:dyDescent="0.25">
      <c r="A12955" t="str">
        <f>"007827741"</f>
        <v>007827741</v>
      </c>
      <c r="B12955" t="str">
        <f>"1750789863"</f>
        <v>1750789863</v>
      </c>
      <c r="C12955" t="str">
        <f>"363L00000X"</f>
        <v>363L00000X</v>
      </c>
      <c r="D12955" t="str">
        <f>"GANN                     SHELIA       D           "</f>
        <v xml:space="preserve">GANN                     SHELIA       D           </v>
      </c>
      <c r="E12955" t="str">
        <f>"TUPELO                    "</f>
        <v xml:space="preserve">TUPELO                    </v>
      </c>
      <c r="F12955" t="str">
        <f t="shared" si="335"/>
        <v>MS</v>
      </c>
    </row>
    <row r="12956" spans="1:6" x14ac:dyDescent="0.25">
      <c r="A12956" t="str">
        <f>"007828091"</f>
        <v>007828091</v>
      </c>
      <c r="B12956" t="str">
        <f>"1053913442"</f>
        <v>1053913442</v>
      </c>
      <c r="C12956" t="str">
        <f>"261QM3000X"</f>
        <v>261QM3000X</v>
      </c>
      <c r="D12956" t="str">
        <f>"MAGNOLIA PEC                                      "</f>
        <v xml:space="preserve">MAGNOLIA PEC                                      </v>
      </c>
      <c r="E12956" t="str">
        <f>"LAUREL                    "</f>
        <v xml:space="preserve">LAUREL                    </v>
      </c>
      <c r="F12956" t="str">
        <f t="shared" si="335"/>
        <v>MS</v>
      </c>
    </row>
    <row r="12957" spans="1:6" x14ac:dyDescent="0.25">
      <c r="A12957" t="str">
        <f>"007830815"</f>
        <v>007830815</v>
      </c>
      <c r="B12957" t="str">
        <f>"1831486596"</f>
        <v>1831486596</v>
      </c>
      <c r="C12957" t="str">
        <f>"207Q00000X"</f>
        <v>207Q00000X</v>
      </c>
      <c r="D12957" t="str">
        <f>"WALLACE                  JOHN         G           "</f>
        <v xml:space="preserve">WALLACE                  JOHN         G           </v>
      </c>
      <c r="E12957" t="str">
        <f>"KOSCIUSKO                 "</f>
        <v xml:space="preserve">KOSCIUSKO                 </v>
      </c>
      <c r="F12957" t="str">
        <f t="shared" si="335"/>
        <v>MS</v>
      </c>
    </row>
    <row r="12958" spans="1:6" x14ac:dyDescent="0.25">
      <c r="A12958" t="str">
        <f>"007831008"</f>
        <v>007831008</v>
      </c>
      <c r="B12958" t="str">
        <f>"1639331994"</f>
        <v>1639331994</v>
      </c>
      <c r="C12958" t="str">
        <f>"363L00000X"</f>
        <v>363L00000X</v>
      </c>
      <c r="D12958" t="str">
        <f>"HODGES                   LUCY         B           "</f>
        <v xml:space="preserve">HODGES                   LUCY         B           </v>
      </c>
      <c r="E12958" t="str">
        <f>"BILOXI                    "</f>
        <v xml:space="preserve">BILOXI                    </v>
      </c>
      <c r="F12958" t="str">
        <f t="shared" si="335"/>
        <v>MS</v>
      </c>
    </row>
    <row r="12959" spans="1:6" x14ac:dyDescent="0.25">
      <c r="A12959" t="str">
        <f>"007831241"</f>
        <v>007831241</v>
      </c>
      <c r="B12959" t="str">
        <f>"1174781231"</f>
        <v>1174781231</v>
      </c>
      <c r="C12959" t="str">
        <f>"207W00000X"</f>
        <v>207W00000X</v>
      </c>
      <c r="D12959" t="str">
        <f>"LAUTEN                   WRIGHT       B           "</f>
        <v xml:space="preserve">LAUTEN                   WRIGHT       B           </v>
      </c>
      <c r="E12959" t="str">
        <f>"HATTIESBURG               "</f>
        <v xml:space="preserve">HATTIESBURG               </v>
      </c>
      <c r="F12959" t="str">
        <f t="shared" si="335"/>
        <v>MS</v>
      </c>
    </row>
    <row r="12960" spans="1:6" x14ac:dyDescent="0.25">
      <c r="A12960" t="str">
        <f>"007832266"</f>
        <v>007832266</v>
      </c>
      <c r="B12960" t="str">
        <f>"1770236242"</f>
        <v>1770236242</v>
      </c>
      <c r="C12960" t="str">
        <f>"363L00000X"</f>
        <v>363L00000X</v>
      </c>
      <c r="D12960" t="str">
        <f>"NUNLEY                   JEANA        W           "</f>
        <v xml:space="preserve">NUNLEY                   JEANA        W           </v>
      </c>
      <c r="E12960" t="str">
        <f>"RIPLEY                    "</f>
        <v xml:space="preserve">RIPLEY                    </v>
      </c>
      <c r="F12960" t="str">
        <f t="shared" si="335"/>
        <v>MS</v>
      </c>
    </row>
    <row r="12961" spans="1:6" x14ac:dyDescent="0.25">
      <c r="A12961" t="str">
        <f>"007833786"</f>
        <v>007833786</v>
      </c>
      <c r="B12961" t="str">
        <f>"1124410022"</f>
        <v>1124410022</v>
      </c>
      <c r="C12961" t="str">
        <f>"363L00000X"</f>
        <v>363L00000X</v>
      </c>
      <c r="D12961" t="str">
        <f>"JACKSON                  TIFFANY      R           "</f>
        <v xml:space="preserve">JACKSON                  TIFFANY      R           </v>
      </c>
      <c r="E12961" t="str">
        <f>"HAZLEHURST                "</f>
        <v xml:space="preserve">HAZLEHURST                </v>
      </c>
      <c r="F12961" t="str">
        <f t="shared" si="335"/>
        <v>MS</v>
      </c>
    </row>
    <row r="12962" spans="1:6" x14ac:dyDescent="0.25">
      <c r="A12962" t="str">
        <f>"007834351"</f>
        <v>007834351</v>
      </c>
      <c r="B12962" t="str">
        <f>"1912372798"</f>
        <v>1912372798</v>
      </c>
      <c r="C12962" t="str">
        <f>"363L00000X"</f>
        <v>363L00000X</v>
      </c>
      <c r="D12962" t="str">
        <f>"SIMMONS                  JULIE        J           "</f>
        <v xml:space="preserve">SIMMONS                  JULIE        J           </v>
      </c>
      <c r="E12962" t="str">
        <f>"HATTIESBURG               "</f>
        <v xml:space="preserve">HATTIESBURG               </v>
      </c>
      <c r="F12962" t="str">
        <f t="shared" si="335"/>
        <v>MS</v>
      </c>
    </row>
    <row r="12963" spans="1:6" x14ac:dyDescent="0.25">
      <c r="A12963" t="str">
        <f>"007835002"</f>
        <v>007835002</v>
      </c>
      <c r="B12963" t="str">
        <f>"1295081024"</f>
        <v>1295081024</v>
      </c>
      <c r="C12963" t="str">
        <f>"152W00000X"</f>
        <v>152W00000X</v>
      </c>
      <c r="D12963" t="str">
        <f>"MCELROY                  TIFFANY      L           "</f>
        <v xml:space="preserve">MCELROY                  TIFFANY      L           </v>
      </c>
      <c r="E12963" t="str">
        <f>"OLIVE BRANCH              "</f>
        <v xml:space="preserve">OLIVE BRANCH              </v>
      </c>
      <c r="F12963" t="str">
        <f t="shared" si="335"/>
        <v>MS</v>
      </c>
    </row>
    <row r="12964" spans="1:6" x14ac:dyDescent="0.25">
      <c r="A12964" t="str">
        <f>"007835269"</f>
        <v>007835269</v>
      </c>
      <c r="B12964" t="str">
        <f>"1639584352"</f>
        <v>1639584352</v>
      </c>
      <c r="C12964" t="str">
        <f>"261QR1300X"</f>
        <v>261QR1300X</v>
      </c>
      <c r="D12964" t="str">
        <f>"EUPORA FAMILY MEDICAL CLINIC                      "</f>
        <v xml:space="preserve">EUPORA FAMILY MEDICAL CLINIC                      </v>
      </c>
      <c r="E12964" t="str">
        <f>"EUPORA                    "</f>
        <v xml:space="preserve">EUPORA                    </v>
      </c>
      <c r="F12964" t="str">
        <f t="shared" si="335"/>
        <v>MS</v>
      </c>
    </row>
    <row r="12965" spans="1:6" x14ac:dyDescent="0.25">
      <c r="A12965" t="str">
        <f>"007835294"</f>
        <v>007835294</v>
      </c>
      <c r="B12965" t="str">
        <f>"1902867021"</f>
        <v>1902867021</v>
      </c>
      <c r="C12965" t="str">
        <f>"207R00000X"</f>
        <v>207R00000X</v>
      </c>
      <c r="D12965" t="str">
        <f>"IMPERIAL JR              ANTONIO-JAIMET           "</f>
        <v xml:space="preserve">IMPERIAL JR              ANTONIO-JAIMET           </v>
      </c>
      <c r="E12965" t="str">
        <f>"HATTIESBURG               "</f>
        <v xml:space="preserve">HATTIESBURG               </v>
      </c>
      <c r="F12965" t="str">
        <f t="shared" si="335"/>
        <v>MS</v>
      </c>
    </row>
    <row r="12966" spans="1:6" x14ac:dyDescent="0.25">
      <c r="A12966" t="str">
        <f>"007835756"</f>
        <v>007835756</v>
      </c>
      <c r="B12966" t="str">
        <f>"1508219221"</f>
        <v>1508219221</v>
      </c>
      <c r="C12966" t="str">
        <f>"363A00000X"</f>
        <v>363A00000X</v>
      </c>
      <c r="D12966" t="str">
        <f>"ROWLAND                  JACOB        C           "</f>
        <v xml:space="preserve">ROWLAND                  JACOB        C           </v>
      </c>
      <c r="E12966" t="str">
        <f>"TUPELO                    "</f>
        <v xml:space="preserve">TUPELO                    </v>
      </c>
      <c r="F12966" t="str">
        <f t="shared" si="335"/>
        <v>MS</v>
      </c>
    </row>
    <row r="12967" spans="1:6" x14ac:dyDescent="0.25">
      <c r="A12967" t="str">
        <f>"007836065"</f>
        <v>007836065</v>
      </c>
      <c r="B12967" t="str">
        <f>"1811004914"</f>
        <v>1811004914</v>
      </c>
      <c r="C12967" t="str">
        <f>"363L00000X"</f>
        <v>363L00000X</v>
      </c>
      <c r="D12967" t="str">
        <f>"REED HEARN               TINA         R           "</f>
        <v xml:space="preserve">REED HEARN               TINA         R           </v>
      </c>
      <c r="E12967" t="str">
        <f>"BROOKHAVEN                "</f>
        <v xml:space="preserve">BROOKHAVEN                </v>
      </c>
      <c r="F12967" t="str">
        <f t="shared" si="335"/>
        <v>MS</v>
      </c>
    </row>
    <row r="12968" spans="1:6" x14ac:dyDescent="0.25">
      <c r="A12968" t="str">
        <f>"007837201"</f>
        <v>007837201</v>
      </c>
      <c r="B12968" t="str">
        <f>"1770864381"</f>
        <v>1770864381</v>
      </c>
      <c r="C12968" t="str">
        <f>"363L00000X"</f>
        <v>363L00000X</v>
      </c>
      <c r="D12968" t="str">
        <f>"JOHNSON                  AMY          C           "</f>
        <v xml:space="preserve">JOHNSON                  AMY          C           </v>
      </c>
      <c r="E12968" t="str">
        <f>"LEXINGTON                 "</f>
        <v xml:space="preserve">LEXINGTON                 </v>
      </c>
      <c r="F12968" t="str">
        <f t="shared" si="335"/>
        <v>MS</v>
      </c>
    </row>
    <row r="12969" spans="1:6" x14ac:dyDescent="0.25">
      <c r="A12969" t="str">
        <f>"007837508"</f>
        <v>007837508</v>
      </c>
      <c r="B12969" t="str">
        <f>"1285741884"</f>
        <v>1285741884</v>
      </c>
      <c r="C12969" t="str">
        <f>"363L00000X"</f>
        <v>363L00000X</v>
      </c>
      <c r="D12969" t="str">
        <f>"WHITEHURST               ANGIE        M           "</f>
        <v xml:space="preserve">WHITEHURST               ANGIE        M           </v>
      </c>
      <c r="E12969" t="str">
        <f>"CORINTH                   "</f>
        <v xml:space="preserve">CORINTH                   </v>
      </c>
      <c r="F12969" t="str">
        <f t="shared" si="335"/>
        <v>MS</v>
      </c>
    </row>
    <row r="12970" spans="1:6" x14ac:dyDescent="0.25">
      <c r="A12970" t="str">
        <f>"007838541"</f>
        <v>007838541</v>
      </c>
      <c r="B12970" t="str">
        <f>"1710236328"</f>
        <v>1710236328</v>
      </c>
      <c r="C12970" t="str">
        <f>"363L00000X"</f>
        <v>363L00000X</v>
      </c>
      <c r="D12970" t="str">
        <f>"SESSUMS                  COURTNEY                 "</f>
        <v xml:space="preserve">SESSUMS                  COURTNEY                 </v>
      </c>
      <c r="E12970" t="str">
        <f>"TUPELO                    "</f>
        <v xml:space="preserve">TUPELO                    </v>
      </c>
      <c r="F12970" t="str">
        <f t="shared" si="335"/>
        <v>MS</v>
      </c>
    </row>
    <row r="12971" spans="1:6" x14ac:dyDescent="0.25">
      <c r="A12971" t="str">
        <f>"007838593"</f>
        <v>007838593</v>
      </c>
      <c r="B12971" t="str">
        <f>"1093109316"</f>
        <v>1093109316</v>
      </c>
      <c r="C12971" t="str">
        <f>"208000000X"</f>
        <v>208000000X</v>
      </c>
      <c r="D12971" t="str">
        <f>"LAY                      JUSTIN       M           "</f>
        <v xml:space="preserve">LAY                      JUSTIN       M           </v>
      </c>
      <c r="E12971" t="str">
        <f>"MADISON                   "</f>
        <v xml:space="preserve">MADISON                   </v>
      </c>
      <c r="F12971" t="str">
        <f t="shared" si="335"/>
        <v>MS</v>
      </c>
    </row>
    <row r="12972" spans="1:6" x14ac:dyDescent="0.25">
      <c r="A12972" t="str">
        <f>"007838781"</f>
        <v>007838781</v>
      </c>
      <c r="B12972" t="str">
        <f>"1639396393"</f>
        <v>1639396393</v>
      </c>
      <c r="C12972" t="str">
        <f>"207Q00000X"</f>
        <v>207Q00000X</v>
      </c>
      <c r="D12972" t="str">
        <f>"HAMMACK                  STEPHEN      C           "</f>
        <v xml:space="preserve">HAMMACK                  STEPHEN      C           </v>
      </c>
      <c r="E12972" t="str">
        <f>"KOSCIUSKO                 "</f>
        <v xml:space="preserve">KOSCIUSKO                 </v>
      </c>
      <c r="F12972" t="str">
        <f t="shared" si="335"/>
        <v>MS</v>
      </c>
    </row>
    <row r="12973" spans="1:6" x14ac:dyDescent="0.25">
      <c r="A12973" t="str">
        <f>"007839287"</f>
        <v>007839287</v>
      </c>
      <c r="B12973" t="str">
        <f>"1982247888"</f>
        <v>1982247888</v>
      </c>
      <c r="C12973" t="str">
        <f>"363L00000X"</f>
        <v>363L00000X</v>
      </c>
      <c r="D12973" t="str">
        <f>"BURCH                    OLIVIA       C           "</f>
        <v xml:space="preserve">BURCH                    OLIVIA       C           </v>
      </c>
      <c r="E12973" t="str">
        <f>"FLORENCE                  "</f>
        <v xml:space="preserve">FLORENCE                  </v>
      </c>
      <c r="F12973" t="str">
        <f t="shared" si="335"/>
        <v>MS</v>
      </c>
    </row>
    <row r="12974" spans="1:6" x14ac:dyDescent="0.25">
      <c r="A12974" t="str">
        <f>"007839554"</f>
        <v>007839554</v>
      </c>
      <c r="B12974" t="str">
        <f>"1174087209"</f>
        <v>1174087209</v>
      </c>
      <c r="C12974" t="str">
        <f>"363A00000X"</f>
        <v>363A00000X</v>
      </c>
      <c r="D12974" t="str">
        <f>"CAULFIELD                MORGAN       J           "</f>
        <v xml:space="preserve">CAULFIELD                MORGAN       J           </v>
      </c>
      <c r="E12974" t="str">
        <f>"VICKSBURG                 "</f>
        <v xml:space="preserve">VICKSBURG                 </v>
      </c>
      <c r="F12974" t="str">
        <f t="shared" si="335"/>
        <v>MS</v>
      </c>
    </row>
    <row r="12975" spans="1:6" x14ac:dyDescent="0.25">
      <c r="A12975" t="str">
        <f>"007851521"</f>
        <v>007851521</v>
      </c>
      <c r="B12975" t="str">
        <f>"1811264062"</f>
        <v>1811264062</v>
      </c>
      <c r="C12975" t="str">
        <f>"207R00000X"</f>
        <v>207R00000X</v>
      </c>
      <c r="D12975" t="str">
        <f>"SEAY                     RAYMOND                  "</f>
        <v xml:space="preserve">SEAY                     RAYMOND                  </v>
      </c>
      <c r="E12975" t="str">
        <f>"TUPELO                    "</f>
        <v xml:space="preserve">TUPELO                    </v>
      </c>
      <c r="F12975" t="str">
        <f t="shared" si="335"/>
        <v>MS</v>
      </c>
    </row>
    <row r="12976" spans="1:6" x14ac:dyDescent="0.25">
      <c r="A12976" t="str">
        <f>"007851804"</f>
        <v>007851804</v>
      </c>
      <c r="B12976" t="str">
        <f>"1396009783"</f>
        <v>1396009783</v>
      </c>
      <c r="C12976" t="str">
        <f>"207L00000X"</f>
        <v>207L00000X</v>
      </c>
      <c r="D12976" t="str">
        <f>"MONAGHAN                 DAVID        K           "</f>
        <v xml:space="preserve">MONAGHAN                 DAVID        K           </v>
      </c>
      <c r="E12976" t="str">
        <f>"TUPELO                    "</f>
        <v xml:space="preserve">TUPELO                    </v>
      </c>
      <c r="F12976" t="str">
        <f t="shared" si="335"/>
        <v>MS</v>
      </c>
    </row>
    <row r="12977" spans="1:6" x14ac:dyDescent="0.25">
      <c r="A12977" t="str">
        <f>"007852370"</f>
        <v>007852370</v>
      </c>
      <c r="B12977" t="str">
        <f>"1821082322"</f>
        <v>1821082322</v>
      </c>
      <c r="C12977" t="str">
        <f>"208600000X"</f>
        <v>208600000X</v>
      </c>
      <c r="D12977" t="str">
        <f>"WARD                     KEVIN        M           "</f>
        <v xml:space="preserve">WARD                     KEVIN        M           </v>
      </c>
      <c r="E12977" t="str">
        <f>"MERIDIAN                  "</f>
        <v xml:space="preserve">MERIDIAN                  </v>
      </c>
      <c r="F12977" t="str">
        <f t="shared" si="335"/>
        <v>MS</v>
      </c>
    </row>
    <row r="12978" spans="1:6" x14ac:dyDescent="0.25">
      <c r="A12978" t="str">
        <f>"007853897"</f>
        <v>007853897</v>
      </c>
      <c r="B12978" t="str">
        <f>"1043227606"</f>
        <v>1043227606</v>
      </c>
      <c r="C12978" t="str">
        <f>"2084P0800X"</f>
        <v>2084P0800X</v>
      </c>
      <c r="D12978" t="str">
        <f>"LAMOUSIN                 JAMES        C           "</f>
        <v xml:space="preserve">LAMOUSIN                 JAMES        C           </v>
      </c>
      <c r="E12978" t="str">
        <f>"SOUTHAVEN                 "</f>
        <v xml:space="preserve">SOUTHAVEN                 </v>
      </c>
      <c r="F12978" t="str">
        <f t="shared" si="335"/>
        <v>MS</v>
      </c>
    </row>
    <row r="12979" spans="1:6" x14ac:dyDescent="0.25">
      <c r="A12979" t="str">
        <f>"007854358"</f>
        <v>007854358</v>
      </c>
      <c r="B12979" t="str">
        <f>"1477748648"</f>
        <v>1477748648</v>
      </c>
      <c r="C12979" t="str">
        <f>"207Q00000X"</f>
        <v>207Q00000X</v>
      </c>
      <c r="D12979" t="str">
        <f>"GOLDSMITH                SHANNON      L           "</f>
        <v xml:space="preserve">GOLDSMITH                SHANNON      L           </v>
      </c>
      <c r="E12979" t="str">
        <f>"PETAL                     "</f>
        <v xml:space="preserve">PETAL                     </v>
      </c>
      <c r="F12979" t="str">
        <f t="shared" si="335"/>
        <v>MS</v>
      </c>
    </row>
    <row r="12980" spans="1:6" x14ac:dyDescent="0.25">
      <c r="A12980" t="str">
        <f>"007854708"</f>
        <v>007854708</v>
      </c>
      <c r="B12980" t="str">
        <f>"1285041665"</f>
        <v>1285041665</v>
      </c>
      <c r="C12980" t="str">
        <f>"207R00000X"</f>
        <v>207R00000X</v>
      </c>
      <c r="D12980" t="str">
        <f>"KAMIDI                   SHIRISHA                 "</f>
        <v xml:space="preserve">KAMIDI                   SHIRISHA                 </v>
      </c>
      <c r="E12980" t="str">
        <f>"SOUTHAVEN                 "</f>
        <v xml:space="preserve">SOUTHAVEN                 </v>
      </c>
      <c r="F12980" t="str">
        <f t="shared" si="335"/>
        <v>MS</v>
      </c>
    </row>
    <row r="12981" spans="1:6" x14ac:dyDescent="0.25">
      <c r="A12981" t="str">
        <f>"007857059"</f>
        <v>007857059</v>
      </c>
      <c r="B12981" t="str">
        <f>"1497085187"</f>
        <v>1497085187</v>
      </c>
      <c r="C12981" t="str">
        <f>"367500000X"</f>
        <v>367500000X</v>
      </c>
      <c r="D12981" t="str">
        <f>"DILBACK                  KARLA        F           "</f>
        <v xml:space="preserve">DILBACK                  KARLA        F           </v>
      </c>
      <c r="E12981" t="str">
        <f>"JACKSON                   "</f>
        <v xml:space="preserve">JACKSON                   </v>
      </c>
      <c r="F12981" t="str">
        <f t="shared" si="335"/>
        <v>MS</v>
      </c>
    </row>
    <row r="12982" spans="1:6" x14ac:dyDescent="0.25">
      <c r="A12982" t="str">
        <f>"007857565"</f>
        <v>007857565</v>
      </c>
      <c r="B12982" t="str">
        <f>"1861151847"</f>
        <v>1861151847</v>
      </c>
      <c r="C12982" t="str">
        <f>"363L00000X"</f>
        <v>363L00000X</v>
      </c>
      <c r="D12982" t="str">
        <f>"WILSON                   HANNAH                   "</f>
        <v xml:space="preserve">WILSON                   HANNAH                   </v>
      </c>
      <c r="E12982" t="str">
        <f>"ASHLAND                   "</f>
        <v xml:space="preserve">ASHLAND                   </v>
      </c>
      <c r="F12982" t="str">
        <f t="shared" si="335"/>
        <v>MS</v>
      </c>
    </row>
    <row r="12983" spans="1:6" x14ac:dyDescent="0.25">
      <c r="A12983" t="str">
        <f>"007858331"</f>
        <v>007858331</v>
      </c>
      <c r="B12983" t="str">
        <f>"1669682134"</f>
        <v>1669682134</v>
      </c>
      <c r="C12983" t="str">
        <f>"207RH0000X"</f>
        <v>207RH0000X</v>
      </c>
      <c r="D12983" t="str">
        <f>"VARNER                   LOUIS        M           "</f>
        <v xml:space="preserve">VARNER                   LOUIS        M           </v>
      </c>
      <c r="E12983" t="str">
        <f>"HATTIESBURG               "</f>
        <v xml:space="preserve">HATTIESBURG               </v>
      </c>
      <c r="F12983" t="str">
        <f t="shared" si="335"/>
        <v>MS</v>
      </c>
    </row>
    <row r="12984" spans="1:6" x14ac:dyDescent="0.25">
      <c r="A12984" t="str">
        <f>"007859220"</f>
        <v>007859220</v>
      </c>
      <c r="B12984" t="str">
        <f>"1164015715"</f>
        <v>1164015715</v>
      </c>
      <c r="C12984" t="str">
        <f>"261QR1300X"</f>
        <v>261QR1300X</v>
      </c>
      <c r="D12984" t="str">
        <f>"BOA VIDA HOSPITAL OF ABERDEEN MS LLC              "</f>
        <v xml:space="preserve">BOA VIDA HOSPITAL OF ABERDEEN MS LLC              </v>
      </c>
      <c r="E12984" t="str">
        <f>"STARKVILLE                "</f>
        <v xml:space="preserve">STARKVILLE                </v>
      </c>
      <c r="F12984" t="str">
        <f t="shared" si="335"/>
        <v>MS</v>
      </c>
    </row>
    <row r="12985" spans="1:6" x14ac:dyDescent="0.25">
      <c r="A12985" t="str">
        <f>"007859265"</f>
        <v>007859265</v>
      </c>
      <c r="B12985" t="str">
        <f>"1043718398"</f>
        <v>1043718398</v>
      </c>
      <c r="C12985" t="str">
        <f>"363A00000X"</f>
        <v>363A00000X</v>
      </c>
      <c r="D12985" t="str">
        <f>"PORTER                   DAVID        A           "</f>
        <v xml:space="preserve">PORTER                   DAVID        A           </v>
      </c>
      <c r="E12985" t="str">
        <f>"JACKSON                   "</f>
        <v xml:space="preserve">JACKSON                   </v>
      </c>
      <c r="F12985" t="str">
        <f t="shared" si="335"/>
        <v>MS</v>
      </c>
    </row>
    <row r="12986" spans="1:6" x14ac:dyDescent="0.25">
      <c r="A12986" t="str">
        <f>"007859339"</f>
        <v>007859339</v>
      </c>
      <c r="B12986" t="str">
        <f>"1902076011"</f>
        <v>1902076011</v>
      </c>
      <c r="C12986" t="str">
        <f>"363L00000X"</f>
        <v>363L00000X</v>
      </c>
      <c r="D12986" t="str">
        <f>"WHITFIELD                ADRIENNE     B           "</f>
        <v xml:space="preserve">WHITFIELD                ADRIENNE     B           </v>
      </c>
      <c r="E12986" t="str">
        <f>"PICAYUNE                  "</f>
        <v xml:space="preserve">PICAYUNE                  </v>
      </c>
      <c r="F12986" t="str">
        <f t="shared" si="335"/>
        <v>MS</v>
      </c>
    </row>
    <row r="12987" spans="1:6" x14ac:dyDescent="0.25">
      <c r="A12987" t="str">
        <f>"007870552"</f>
        <v>007870552</v>
      </c>
      <c r="B12987" t="str">
        <f>"1659550127"</f>
        <v>1659550127</v>
      </c>
      <c r="C12987" t="str">
        <f>"207Q00000X"</f>
        <v>207Q00000X</v>
      </c>
      <c r="D12987" t="str">
        <f>"GAMMEL                   STEVEN       D           "</f>
        <v xml:space="preserve">GAMMEL                   STEVEN       D           </v>
      </c>
      <c r="E12987" t="str">
        <f>"WINONA                    "</f>
        <v xml:space="preserve">WINONA                    </v>
      </c>
      <c r="F12987" t="str">
        <f t="shared" si="335"/>
        <v>MS</v>
      </c>
    </row>
    <row r="12988" spans="1:6" x14ac:dyDescent="0.25">
      <c r="A12988" t="str">
        <f>"007872714"</f>
        <v>007872714</v>
      </c>
      <c r="B12988" t="str">
        <f>"1326165218"</f>
        <v>1326165218</v>
      </c>
      <c r="C12988" t="str">
        <f>"363L00000X"</f>
        <v>363L00000X</v>
      </c>
      <c r="D12988" t="str">
        <f>"TAYLOR                   DEBRA        L           "</f>
        <v xml:space="preserve">TAYLOR                   DEBRA        L           </v>
      </c>
      <c r="E12988" t="str">
        <f>"JACKSON                   "</f>
        <v xml:space="preserve">JACKSON                   </v>
      </c>
      <c r="F12988" t="str">
        <f t="shared" si="335"/>
        <v>MS</v>
      </c>
    </row>
    <row r="12989" spans="1:6" x14ac:dyDescent="0.25">
      <c r="A12989" t="str">
        <f>"007873362"</f>
        <v>007873362</v>
      </c>
      <c r="B12989" t="str">
        <f>"1407150204"</f>
        <v>1407150204</v>
      </c>
      <c r="C12989" t="str">
        <f>"122300000X"</f>
        <v>122300000X</v>
      </c>
      <c r="D12989" t="str">
        <f>"HAPPY SMILES LLC                                  "</f>
        <v xml:space="preserve">HAPPY SMILES LLC                                  </v>
      </c>
      <c r="E12989" t="str">
        <f>"HORN LAKE                 "</f>
        <v xml:space="preserve">HORN LAKE                 </v>
      </c>
      <c r="F12989" t="str">
        <f t="shared" si="335"/>
        <v>MS</v>
      </c>
    </row>
    <row r="12990" spans="1:6" x14ac:dyDescent="0.25">
      <c r="A12990" t="str">
        <f>"007873865"</f>
        <v>007873865</v>
      </c>
      <c r="B12990" t="str">
        <f>"1780996777"</f>
        <v>1780996777</v>
      </c>
      <c r="C12990" t="str">
        <f>"207L00000X"</f>
        <v>207L00000X</v>
      </c>
      <c r="D12990" t="str">
        <f>"CHANDLER                 DERRICK      L           "</f>
        <v xml:space="preserve">CHANDLER                 DERRICK      L           </v>
      </c>
      <c r="E12990" t="str">
        <f>"JACKSON                   "</f>
        <v xml:space="preserve">JACKSON                   </v>
      </c>
      <c r="F12990" t="str">
        <f t="shared" ref="F12990:F13053" si="336">"MS"</f>
        <v>MS</v>
      </c>
    </row>
    <row r="12991" spans="1:6" x14ac:dyDescent="0.25">
      <c r="A12991" t="str">
        <f>"007875564"</f>
        <v>007875564</v>
      </c>
      <c r="B12991" t="str">
        <f>"1881928570"</f>
        <v>1881928570</v>
      </c>
      <c r="C12991" t="str">
        <f>"363L00000X"</f>
        <v>363L00000X</v>
      </c>
      <c r="D12991" t="str">
        <f>"DUNN                     ASHLI        D           "</f>
        <v xml:space="preserve">DUNN                     ASHLI        D           </v>
      </c>
      <c r="E12991" t="str">
        <f>"COLUMBUS                  "</f>
        <v xml:space="preserve">COLUMBUS                  </v>
      </c>
      <c r="F12991" t="str">
        <f t="shared" si="336"/>
        <v>MS</v>
      </c>
    </row>
    <row r="12992" spans="1:6" x14ac:dyDescent="0.25">
      <c r="A12992" t="str">
        <f>"007875899"</f>
        <v>007875899</v>
      </c>
      <c r="B12992" t="str">
        <f>"1528659778"</f>
        <v>1528659778</v>
      </c>
      <c r="C12992" t="str">
        <f>"363L00000X"</f>
        <v>363L00000X</v>
      </c>
      <c r="D12992" t="str">
        <f>"BRUNSON                  LINDSEY      T           "</f>
        <v xml:space="preserve">BRUNSON                  LINDSEY      T           </v>
      </c>
      <c r="E12992" t="str">
        <f>"JACKSON                   "</f>
        <v xml:space="preserve">JACKSON                   </v>
      </c>
      <c r="F12992" t="str">
        <f t="shared" si="336"/>
        <v>MS</v>
      </c>
    </row>
    <row r="12993" spans="1:6" x14ac:dyDescent="0.25">
      <c r="A12993" t="str">
        <f>"007876703"</f>
        <v>007876703</v>
      </c>
      <c r="B12993" t="str">
        <f>"1164741153"</f>
        <v>1164741153</v>
      </c>
      <c r="C12993" t="str">
        <f>"207R00000X"</f>
        <v>207R00000X</v>
      </c>
      <c r="D12993" t="str">
        <f>"BUTLER                   CHARLES      F           "</f>
        <v xml:space="preserve">BUTLER                   CHARLES      F           </v>
      </c>
      <c r="E12993" t="str">
        <f>"JACKSON                   "</f>
        <v xml:space="preserve">JACKSON                   </v>
      </c>
      <c r="F12993" t="str">
        <f t="shared" si="336"/>
        <v>MS</v>
      </c>
    </row>
    <row r="12994" spans="1:6" x14ac:dyDescent="0.25">
      <c r="A12994" t="str">
        <f>"007877388"</f>
        <v>007877388</v>
      </c>
      <c r="B12994" t="str">
        <f>"1750028635"</f>
        <v>1750028635</v>
      </c>
      <c r="C12994" t="str">
        <f>"261QM1300X"</f>
        <v>261QM1300X</v>
      </c>
      <c r="D12994" t="str">
        <f>"FINDING YOUR TRUTH                                "</f>
        <v xml:space="preserve">FINDING YOUR TRUTH                                </v>
      </c>
      <c r="E12994" t="str">
        <f>"OLIVE BRANCH              "</f>
        <v xml:space="preserve">OLIVE BRANCH              </v>
      </c>
      <c r="F12994" t="str">
        <f t="shared" si="336"/>
        <v>MS</v>
      </c>
    </row>
    <row r="12995" spans="1:6" x14ac:dyDescent="0.25">
      <c r="A12995" t="str">
        <f>"007878207"</f>
        <v>007878207</v>
      </c>
      <c r="B12995" t="str">
        <f>"1548423023"</f>
        <v>1548423023</v>
      </c>
      <c r="C12995" t="str">
        <f>"207R00000X"</f>
        <v>207R00000X</v>
      </c>
      <c r="D12995" t="str">
        <f>"FINCHER                  LAURA        E           "</f>
        <v xml:space="preserve">FINCHER                  LAURA        E           </v>
      </c>
      <c r="E12995" t="str">
        <f>"JACKSON                   "</f>
        <v xml:space="preserve">JACKSON                   </v>
      </c>
      <c r="F12995" t="str">
        <f t="shared" si="336"/>
        <v>MS</v>
      </c>
    </row>
    <row r="12996" spans="1:6" x14ac:dyDescent="0.25">
      <c r="A12996" t="str">
        <f>"007878359"</f>
        <v>007878359</v>
      </c>
      <c r="B12996" t="str">
        <f>"1811084171"</f>
        <v>1811084171</v>
      </c>
      <c r="C12996" t="str">
        <f>"207T00000X"</f>
        <v>207T00000X</v>
      </c>
      <c r="D12996" t="str">
        <f>"WOLFSON                  ERIC         H           "</f>
        <v xml:space="preserve">WOLFSON                  ERIC         H           </v>
      </c>
      <c r="E12996" t="str">
        <f>"GULFPORT                  "</f>
        <v xml:space="preserve">GULFPORT                  </v>
      </c>
      <c r="F12996" t="str">
        <f t="shared" si="336"/>
        <v>MS</v>
      </c>
    </row>
    <row r="12997" spans="1:6" x14ac:dyDescent="0.25">
      <c r="A12997" t="str">
        <f>"007879028"</f>
        <v>007879028</v>
      </c>
      <c r="B12997" t="str">
        <f>"1801042890"</f>
        <v>1801042890</v>
      </c>
      <c r="C12997" t="str">
        <f>"207LP2900X"</f>
        <v>207LP2900X</v>
      </c>
      <c r="D12997" t="str">
        <f>"ESTESS                   JUSTIN       R           "</f>
        <v xml:space="preserve">ESTESS                   JUSTIN       R           </v>
      </c>
      <c r="E12997" t="str">
        <f>"BROOKHAVEN                "</f>
        <v xml:space="preserve">BROOKHAVEN                </v>
      </c>
      <c r="F12997" t="str">
        <f t="shared" si="336"/>
        <v>MS</v>
      </c>
    </row>
    <row r="12998" spans="1:6" x14ac:dyDescent="0.25">
      <c r="A12998" t="str">
        <f>"007879888"</f>
        <v>007879888</v>
      </c>
      <c r="B12998" t="str">
        <f>"1447836168"</f>
        <v>1447836168</v>
      </c>
      <c r="C12998" t="str">
        <f>"363L00000X"</f>
        <v>363L00000X</v>
      </c>
      <c r="D12998" t="str">
        <f>"SUMRALL                  CANDICE      E           "</f>
        <v xml:space="preserve">SUMRALL                  CANDICE      E           </v>
      </c>
      <c r="E12998" t="str">
        <f>"MCCOMB                    "</f>
        <v xml:space="preserve">MCCOMB                    </v>
      </c>
      <c r="F12998" t="str">
        <f t="shared" si="336"/>
        <v>MS</v>
      </c>
    </row>
    <row r="12999" spans="1:6" x14ac:dyDescent="0.25">
      <c r="A12999" t="str">
        <f>"007882209"</f>
        <v>007882209</v>
      </c>
      <c r="B12999" t="str">
        <f>"1225675952"</f>
        <v>1225675952</v>
      </c>
      <c r="C12999" t="str">
        <f>"363L00000X"</f>
        <v>363L00000X</v>
      </c>
      <c r="D12999" t="str">
        <f>"BROWN                    VICTORIA     D           "</f>
        <v xml:space="preserve">BROWN                    VICTORIA     D           </v>
      </c>
      <c r="E12999" t="str">
        <f>"CANTON                    "</f>
        <v xml:space="preserve">CANTON                    </v>
      </c>
      <c r="F12999" t="str">
        <f t="shared" si="336"/>
        <v>MS</v>
      </c>
    </row>
    <row r="13000" spans="1:6" x14ac:dyDescent="0.25">
      <c r="A13000" t="str">
        <f>"007882391"</f>
        <v>007882391</v>
      </c>
      <c r="B13000" t="str">
        <f>"1215986963"</f>
        <v>1215986963</v>
      </c>
      <c r="C13000" t="str">
        <f>"207L00000X"</f>
        <v>207L00000X</v>
      </c>
      <c r="D13000" t="str">
        <f>"FREEMAN                  MARC         B           "</f>
        <v xml:space="preserve">FREEMAN                  MARC         B           </v>
      </c>
      <c r="E13000" t="str">
        <f>"MCCOMB                    "</f>
        <v xml:space="preserve">MCCOMB                    </v>
      </c>
      <c r="F13000" t="str">
        <f t="shared" si="336"/>
        <v>MS</v>
      </c>
    </row>
    <row r="13001" spans="1:6" x14ac:dyDescent="0.25">
      <c r="A13001" t="str">
        <f>"007882782"</f>
        <v>007882782</v>
      </c>
      <c r="B13001" t="str">
        <f>"1902914716"</f>
        <v>1902914716</v>
      </c>
      <c r="C13001" t="str">
        <f>"363L00000X"</f>
        <v>363L00000X</v>
      </c>
      <c r="D13001" t="str">
        <f>"DIXON                    BERNADINE    C           "</f>
        <v xml:space="preserve">DIXON                    BERNADINE    C           </v>
      </c>
      <c r="E13001" t="str">
        <f>"TUPELO                    "</f>
        <v xml:space="preserve">TUPELO                    </v>
      </c>
      <c r="F13001" t="str">
        <f t="shared" si="336"/>
        <v>MS</v>
      </c>
    </row>
    <row r="13002" spans="1:6" x14ac:dyDescent="0.25">
      <c r="A13002" t="str">
        <f>"007883341"</f>
        <v>007883341</v>
      </c>
      <c r="B13002" t="str">
        <f>"1649573783"</f>
        <v>1649573783</v>
      </c>
      <c r="C13002" t="str">
        <f>"363LP0808X"</f>
        <v>363LP0808X</v>
      </c>
      <c r="D13002" t="str">
        <f>"CAUSEY                   SHERRIKEE                "</f>
        <v xml:space="preserve">CAUSEY                   SHERRIKEE                </v>
      </c>
      <c r="E13002" t="str">
        <f>"JACKSON                   "</f>
        <v xml:space="preserve">JACKSON                   </v>
      </c>
      <c r="F13002" t="str">
        <f t="shared" si="336"/>
        <v>MS</v>
      </c>
    </row>
    <row r="13003" spans="1:6" x14ac:dyDescent="0.25">
      <c r="A13003" t="str">
        <f>"007883764"</f>
        <v>007883764</v>
      </c>
      <c r="B13003" t="str">
        <f>"1184118796"</f>
        <v>1184118796</v>
      </c>
      <c r="C13003" t="str">
        <f>"207Q00000X"</f>
        <v>207Q00000X</v>
      </c>
      <c r="D13003" t="str">
        <f>"THOMPSON                 MICHAEL                  "</f>
        <v xml:space="preserve">THOMPSON                 MICHAEL                  </v>
      </c>
      <c r="E13003" t="str">
        <f>"BOONEVILLE                "</f>
        <v xml:space="preserve">BOONEVILLE                </v>
      </c>
      <c r="F13003" t="str">
        <f t="shared" si="336"/>
        <v>MS</v>
      </c>
    </row>
    <row r="13004" spans="1:6" x14ac:dyDescent="0.25">
      <c r="A13004" t="str">
        <f>"007884705"</f>
        <v>007884705</v>
      </c>
      <c r="B13004" t="str">
        <f>"1679120190"</f>
        <v>1679120190</v>
      </c>
      <c r="C13004" t="str">
        <f>"363L00000X"</f>
        <v>363L00000X</v>
      </c>
      <c r="D13004" t="str">
        <f>"CARLISLE                 SKYE         N           "</f>
        <v xml:space="preserve">CARLISLE                 SKYE         N           </v>
      </c>
      <c r="E13004" t="str">
        <f>"HERNANDO                  "</f>
        <v xml:space="preserve">HERNANDO                  </v>
      </c>
      <c r="F13004" t="str">
        <f t="shared" si="336"/>
        <v>MS</v>
      </c>
    </row>
    <row r="13005" spans="1:6" x14ac:dyDescent="0.25">
      <c r="A13005" t="str">
        <f>"007884766"</f>
        <v>007884766</v>
      </c>
      <c r="B13005" t="str">
        <f>"1013205350"</f>
        <v>1013205350</v>
      </c>
      <c r="C13005" t="str">
        <f>"261QR1300X"</f>
        <v>261QR1300X</v>
      </c>
      <c r="D13005" t="str">
        <f>"FAMILY CARE EXPRESS                               "</f>
        <v xml:space="preserve">FAMILY CARE EXPRESS                               </v>
      </c>
      <c r="E13005" t="str">
        <f>"COLLINS                   "</f>
        <v xml:space="preserve">COLLINS                   </v>
      </c>
      <c r="F13005" t="str">
        <f t="shared" si="336"/>
        <v>MS</v>
      </c>
    </row>
    <row r="13006" spans="1:6" x14ac:dyDescent="0.25">
      <c r="A13006" t="str">
        <f>"007885035"</f>
        <v>007885035</v>
      </c>
      <c r="B13006" t="str">
        <f>"1962990259"</f>
        <v>1962990259</v>
      </c>
      <c r="C13006" t="str">
        <f>"207R00000X"</f>
        <v>207R00000X</v>
      </c>
      <c r="D13006" t="str">
        <f>"SIMS                     MICHAEL      A           "</f>
        <v xml:space="preserve">SIMS                     MICHAEL      A           </v>
      </c>
      <c r="E13006" t="str">
        <f>"LAUREL                    "</f>
        <v xml:space="preserve">LAUREL                    </v>
      </c>
      <c r="F13006" t="str">
        <f t="shared" si="336"/>
        <v>MS</v>
      </c>
    </row>
    <row r="13007" spans="1:6" x14ac:dyDescent="0.25">
      <c r="A13007" t="str">
        <f>"007885521"</f>
        <v>007885521</v>
      </c>
      <c r="B13007" t="str">
        <f>"1639675069"</f>
        <v>1639675069</v>
      </c>
      <c r="C13007" t="str">
        <f>"2080H0002X"</f>
        <v>2080H0002X</v>
      </c>
      <c r="D13007" t="str">
        <f>"RICHTER                  KAYLA        C           "</f>
        <v xml:space="preserve">RICHTER                  KAYLA        C           </v>
      </c>
      <c r="E13007" t="str">
        <f>"GULFPORT                  "</f>
        <v xml:space="preserve">GULFPORT                  </v>
      </c>
      <c r="F13007" t="str">
        <f t="shared" si="336"/>
        <v>MS</v>
      </c>
    </row>
    <row r="13008" spans="1:6" x14ac:dyDescent="0.25">
      <c r="A13008" t="str">
        <f>"007885561"</f>
        <v>007885561</v>
      </c>
      <c r="B13008" t="str">
        <f>"1730268939"</f>
        <v>1730268939</v>
      </c>
      <c r="C13008" t="str">
        <f>"207Q00000X"</f>
        <v>207Q00000X</v>
      </c>
      <c r="D13008" t="str">
        <f>"KERBY                    SEAN         C           "</f>
        <v xml:space="preserve">KERBY                    SEAN         C           </v>
      </c>
      <c r="E13008" t="str">
        <f>"GULFPORT                  "</f>
        <v xml:space="preserve">GULFPORT                  </v>
      </c>
      <c r="F13008" t="str">
        <f t="shared" si="336"/>
        <v>MS</v>
      </c>
    </row>
    <row r="13009" spans="1:6" x14ac:dyDescent="0.25">
      <c r="A13009" t="str">
        <f>"007886761"</f>
        <v>007886761</v>
      </c>
      <c r="B13009" t="str">
        <f>"1942836762"</f>
        <v>1942836762</v>
      </c>
      <c r="C13009" t="str">
        <f>"261QM1300X"</f>
        <v>261QM1300X</v>
      </c>
      <c r="D13009" t="str">
        <f>"SOLLEVAMENTI PLLC                                 "</f>
        <v xml:space="preserve">SOLLEVAMENTI PLLC                                 </v>
      </c>
      <c r="E13009" t="str">
        <f>"FLOWOOD                   "</f>
        <v xml:space="preserve">FLOWOOD                   </v>
      </c>
      <c r="F13009" t="str">
        <f t="shared" si="336"/>
        <v>MS</v>
      </c>
    </row>
    <row r="13010" spans="1:6" x14ac:dyDescent="0.25">
      <c r="A13010" t="str">
        <f>"007887213"</f>
        <v>007887213</v>
      </c>
      <c r="B13010" t="str">
        <f>"1538454236"</f>
        <v>1538454236</v>
      </c>
      <c r="C13010" t="str">
        <f>"363L00000X"</f>
        <v>363L00000X</v>
      </c>
      <c r="D13010" t="str">
        <f>"KATZENMEYER              AARON                    "</f>
        <v xml:space="preserve">KATZENMEYER              AARON                    </v>
      </c>
      <c r="E13010" t="str">
        <f>"MADISON                   "</f>
        <v xml:space="preserve">MADISON                   </v>
      </c>
      <c r="F13010" t="str">
        <f t="shared" si="336"/>
        <v>MS</v>
      </c>
    </row>
    <row r="13011" spans="1:6" x14ac:dyDescent="0.25">
      <c r="A13011" t="str">
        <f>"007888041"</f>
        <v>007888041</v>
      </c>
      <c r="B13011" t="str">
        <f>"1417581505"</f>
        <v>1417581505</v>
      </c>
      <c r="C13011" t="str">
        <f>"363L00000X"</f>
        <v>363L00000X</v>
      </c>
      <c r="D13011" t="str">
        <f>"RICHMOND                 ASHLI                    "</f>
        <v xml:space="preserve">RICHMOND                 ASHLI                    </v>
      </c>
      <c r="E13011" t="str">
        <f>"HATTIESBURG               "</f>
        <v xml:space="preserve">HATTIESBURG               </v>
      </c>
      <c r="F13011" t="str">
        <f t="shared" si="336"/>
        <v>MS</v>
      </c>
    </row>
    <row r="13012" spans="1:6" x14ac:dyDescent="0.25">
      <c r="A13012" t="str">
        <f>"007888702"</f>
        <v>007888702</v>
      </c>
      <c r="B13012" t="str">
        <f>"1568573228"</f>
        <v>1568573228</v>
      </c>
      <c r="C13012" t="str">
        <f>"208600000X"</f>
        <v>208600000X</v>
      </c>
      <c r="D13012" t="str">
        <f>"WYNN                     JAMES        J           "</f>
        <v xml:space="preserve">WYNN                     JAMES        J           </v>
      </c>
      <c r="E13012" t="str">
        <f>"JACKSON                   "</f>
        <v xml:space="preserve">JACKSON                   </v>
      </c>
      <c r="F13012" t="str">
        <f t="shared" si="336"/>
        <v>MS</v>
      </c>
    </row>
    <row r="13013" spans="1:6" x14ac:dyDescent="0.25">
      <c r="A13013" t="str">
        <f>"007889551"</f>
        <v>007889551</v>
      </c>
      <c r="B13013" t="str">
        <f>"1528228541"</f>
        <v>1528228541</v>
      </c>
      <c r="C13013" t="str">
        <f>"207R00000X"</f>
        <v>207R00000X</v>
      </c>
      <c r="D13013" t="str">
        <f>"HIGHTOWER                OLIVIA       B           "</f>
        <v xml:space="preserve">HIGHTOWER                OLIVIA       B           </v>
      </c>
      <c r="E13013" t="str">
        <f>"GULFPORT                  "</f>
        <v xml:space="preserve">GULFPORT                  </v>
      </c>
      <c r="F13013" t="str">
        <f t="shared" si="336"/>
        <v>MS</v>
      </c>
    </row>
    <row r="13014" spans="1:6" x14ac:dyDescent="0.25">
      <c r="A13014" t="str">
        <f>"007900358"</f>
        <v>007900358</v>
      </c>
      <c r="B13014" t="str">
        <f>"1033464508"</f>
        <v>1033464508</v>
      </c>
      <c r="C13014" t="str">
        <f>"363L00000X"</f>
        <v>363L00000X</v>
      </c>
      <c r="D13014" t="str">
        <f>"BROWN                    MOLLY        B           "</f>
        <v xml:space="preserve">BROWN                    MOLLY        B           </v>
      </c>
      <c r="E13014" t="str">
        <f>"BILOXI                    "</f>
        <v xml:space="preserve">BILOXI                    </v>
      </c>
      <c r="F13014" t="str">
        <f t="shared" si="336"/>
        <v>MS</v>
      </c>
    </row>
    <row r="13015" spans="1:6" x14ac:dyDescent="0.25">
      <c r="A13015" t="str">
        <f>"007901327"</f>
        <v>007901327</v>
      </c>
      <c r="B13015" t="str">
        <f>"1104952225"</f>
        <v>1104952225</v>
      </c>
      <c r="C13015" t="str">
        <f>"207Y00000X"</f>
        <v>207Y00000X</v>
      </c>
      <c r="D13015" t="str">
        <f>"GARNER                   JUSTIN       M           "</f>
        <v xml:space="preserve">GARNER                   JUSTIN       M           </v>
      </c>
      <c r="E13015" t="str">
        <f>"COLUMBUS                  "</f>
        <v xml:space="preserve">COLUMBUS                  </v>
      </c>
      <c r="F13015" t="str">
        <f t="shared" si="336"/>
        <v>MS</v>
      </c>
    </row>
    <row r="13016" spans="1:6" x14ac:dyDescent="0.25">
      <c r="A13016" t="str">
        <f>"007901531"</f>
        <v>007901531</v>
      </c>
      <c r="B13016" t="str">
        <f>"1720005200"</f>
        <v>1720005200</v>
      </c>
      <c r="C13016" t="str">
        <f>"367500000X"</f>
        <v>367500000X</v>
      </c>
      <c r="D13016" t="str">
        <f>"ROGERS                   ROBERT       K           "</f>
        <v xml:space="preserve">ROGERS                   ROBERT       K           </v>
      </c>
      <c r="E13016" t="str">
        <f>"TUPELO                    "</f>
        <v xml:space="preserve">TUPELO                    </v>
      </c>
      <c r="F13016" t="str">
        <f t="shared" si="336"/>
        <v>MS</v>
      </c>
    </row>
    <row r="13017" spans="1:6" x14ac:dyDescent="0.25">
      <c r="A13017" t="str">
        <f>"007904258"</f>
        <v>007904258</v>
      </c>
      <c r="B13017" t="str">
        <f>"1841829777"</f>
        <v>1841829777</v>
      </c>
      <c r="C13017" t="str">
        <f>"363L00000X"</f>
        <v>363L00000X</v>
      </c>
      <c r="D13017" t="str">
        <f>"CROSBY                   JASMINE      M           "</f>
        <v xml:space="preserve">CROSBY                   JASMINE      M           </v>
      </c>
      <c r="E13017" t="str">
        <f>"PICAYUNE                  "</f>
        <v xml:space="preserve">PICAYUNE                  </v>
      </c>
      <c r="F13017" t="str">
        <f t="shared" si="336"/>
        <v>MS</v>
      </c>
    </row>
    <row r="13018" spans="1:6" x14ac:dyDescent="0.25">
      <c r="A13018" t="str">
        <f>"007904594"</f>
        <v>007904594</v>
      </c>
      <c r="B13018" t="str">
        <f>"1235802695"</f>
        <v>1235802695</v>
      </c>
      <c r="C13018" t="str">
        <f>"261QF0400X"</f>
        <v>261QF0400X</v>
      </c>
      <c r="D13018" t="str">
        <f>"DHC-MISSISSIPPI VALLEY STATE UNIVER               "</f>
        <v xml:space="preserve">DHC-MISSISSIPPI VALLEY STATE UNIVER               </v>
      </c>
      <c r="E13018" t="str">
        <f>"ITTA BENA                 "</f>
        <v xml:space="preserve">ITTA BENA                 </v>
      </c>
      <c r="F13018" t="str">
        <f t="shared" si="336"/>
        <v>MS</v>
      </c>
    </row>
    <row r="13019" spans="1:6" x14ac:dyDescent="0.25">
      <c r="A13019" t="str">
        <f>"007906079"</f>
        <v>007906079</v>
      </c>
      <c r="B13019" t="str">
        <f>"1245433879"</f>
        <v>1245433879</v>
      </c>
      <c r="C13019" t="str">
        <f>"207Q00000X"</f>
        <v>207Q00000X</v>
      </c>
      <c r="D13019" t="str">
        <f>"YOUNG                    KEVIN        M           "</f>
        <v xml:space="preserve">YOUNG                    KEVIN        M           </v>
      </c>
      <c r="E13019" t="str">
        <f>"WHITFIELD                 "</f>
        <v xml:space="preserve">WHITFIELD                 </v>
      </c>
      <c r="F13019" t="str">
        <f t="shared" si="336"/>
        <v>MS</v>
      </c>
    </row>
    <row r="13020" spans="1:6" x14ac:dyDescent="0.25">
      <c r="A13020" t="str">
        <f>"007906092"</f>
        <v>007906092</v>
      </c>
      <c r="B13020" t="str">
        <f>"1093826349"</f>
        <v>1093826349</v>
      </c>
      <c r="C13020" t="str">
        <f>"207RP1001X"</f>
        <v>207RP1001X</v>
      </c>
      <c r="D13020" t="str">
        <f>"REED                     DAVID        A           "</f>
        <v xml:space="preserve">REED                     DAVID        A           </v>
      </c>
      <c r="E13020" t="str">
        <f>"TUPELO                    "</f>
        <v xml:space="preserve">TUPELO                    </v>
      </c>
      <c r="F13020" t="str">
        <f t="shared" si="336"/>
        <v>MS</v>
      </c>
    </row>
    <row r="13021" spans="1:6" x14ac:dyDescent="0.25">
      <c r="A13021" t="str">
        <f>"007906270"</f>
        <v>007906270</v>
      </c>
      <c r="B13021" t="str">
        <f>"1326238171"</f>
        <v>1326238171</v>
      </c>
      <c r="C13021" t="str">
        <f>"2086S0129X"</f>
        <v>2086S0129X</v>
      </c>
      <c r="D13021" t="str">
        <f>"CRENSHAW                 GREGORY      D           "</f>
        <v xml:space="preserve">CRENSHAW                 GREGORY      D           </v>
      </c>
      <c r="E13021" t="str">
        <f>"CLEVELAND                 "</f>
        <v xml:space="preserve">CLEVELAND                 </v>
      </c>
      <c r="F13021" t="str">
        <f t="shared" si="336"/>
        <v>MS</v>
      </c>
    </row>
    <row r="13022" spans="1:6" x14ac:dyDescent="0.25">
      <c r="A13022" t="str">
        <f>"007906710"</f>
        <v>007906710</v>
      </c>
      <c r="B13022" t="str">
        <f>"1205368982"</f>
        <v>1205368982</v>
      </c>
      <c r="C13022" t="str">
        <f>"207Q00000X"</f>
        <v>207Q00000X</v>
      </c>
      <c r="D13022" t="str">
        <f>"ALPHONSE                 ASHLEY                   "</f>
        <v xml:space="preserve">ALPHONSE                 ASHLEY                   </v>
      </c>
      <c r="E13022" t="str">
        <f>"PEARL                     "</f>
        <v xml:space="preserve">PEARL                     </v>
      </c>
      <c r="F13022" t="str">
        <f t="shared" si="336"/>
        <v>MS</v>
      </c>
    </row>
    <row r="13023" spans="1:6" x14ac:dyDescent="0.25">
      <c r="A13023" t="str">
        <f>"007907011"</f>
        <v>007907011</v>
      </c>
      <c r="B13023" t="str">
        <f>"1639556731"</f>
        <v>1639556731</v>
      </c>
      <c r="C13023" t="str">
        <f>"363L00000X"</f>
        <v>363L00000X</v>
      </c>
      <c r="D13023" t="str">
        <f>"CARTER                   JOYCE        A           "</f>
        <v xml:space="preserve">CARTER                   JOYCE        A           </v>
      </c>
      <c r="E13023" t="str">
        <f>"GREENWOOD                 "</f>
        <v xml:space="preserve">GREENWOOD                 </v>
      </c>
      <c r="F13023" t="str">
        <f t="shared" si="336"/>
        <v>MS</v>
      </c>
    </row>
    <row r="13024" spans="1:6" x14ac:dyDescent="0.25">
      <c r="A13024" t="str">
        <f>"007908298"</f>
        <v>007908298</v>
      </c>
      <c r="B13024" t="str">
        <f>"1881253557"</f>
        <v>1881253557</v>
      </c>
      <c r="C13024" t="str">
        <f>"363L00000X"</f>
        <v>363L00000X</v>
      </c>
      <c r="D13024" t="str">
        <f>"WOOTEN                   SARAH        M           "</f>
        <v xml:space="preserve">WOOTEN                   SARAH        M           </v>
      </c>
      <c r="E13024" t="str">
        <f>"LAUREL                    "</f>
        <v xml:space="preserve">LAUREL                    </v>
      </c>
      <c r="F13024" t="str">
        <f t="shared" si="336"/>
        <v>MS</v>
      </c>
    </row>
    <row r="13025" spans="1:6" x14ac:dyDescent="0.25">
      <c r="A13025" t="str">
        <f>"007920551"</f>
        <v>007920551</v>
      </c>
      <c r="B13025" t="str">
        <f>"1538262076"</f>
        <v>1538262076</v>
      </c>
      <c r="C13025" t="str">
        <f>"207R00000X"</f>
        <v>207R00000X</v>
      </c>
      <c r="D13025" t="str">
        <f>"MELOELAIN                JAMIL        A           "</f>
        <v xml:space="preserve">MELOELAIN                JAMIL        A           </v>
      </c>
      <c r="E13025" t="str">
        <f>"MERIDIAN                  "</f>
        <v xml:space="preserve">MERIDIAN                  </v>
      </c>
      <c r="F13025" t="str">
        <f t="shared" si="336"/>
        <v>MS</v>
      </c>
    </row>
    <row r="13026" spans="1:6" x14ac:dyDescent="0.25">
      <c r="A13026" t="str">
        <f>"007923258"</f>
        <v>007923258</v>
      </c>
      <c r="B13026" t="str">
        <f>"1083876833"</f>
        <v>1083876833</v>
      </c>
      <c r="C13026" t="str">
        <f>"207X00000X"</f>
        <v>207X00000X</v>
      </c>
      <c r="D13026" t="str">
        <f>"WOODALL                  JAMES        W           "</f>
        <v xml:space="preserve">WOODALL                  JAMES        W           </v>
      </c>
      <c r="E13026" t="str">
        <f>"JACKSON                   "</f>
        <v xml:space="preserve">JACKSON                   </v>
      </c>
      <c r="F13026" t="str">
        <f t="shared" si="336"/>
        <v>MS</v>
      </c>
    </row>
    <row r="13027" spans="1:6" x14ac:dyDescent="0.25">
      <c r="A13027" t="str">
        <f>"007923550"</f>
        <v>007923550</v>
      </c>
      <c r="B13027" t="str">
        <f>"1104114131"</f>
        <v>1104114131</v>
      </c>
      <c r="C13027" t="str">
        <f>"207PT0002X"</f>
        <v>207PT0002X</v>
      </c>
      <c r="D13027" t="str">
        <f>"MARLIN                   MICHAEL                  "</f>
        <v xml:space="preserve">MARLIN                   MICHAEL                  </v>
      </c>
      <c r="E13027" t="str">
        <f>"JACKSON                   "</f>
        <v xml:space="preserve">JACKSON                   </v>
      </c>
      <c r="F13027" t="str">
        <f t="shared" si="336"/>
        <v>MS</v>
      </c>
    </row>
    <row r="13028" spans="1:6" x14ac:dyDescent="0.25">
      <c r="A13028" t="str">
        <f>"007925269"</f>
        <v>007925269</v>
      </c>
      <c r="B13028" t="str">
        <f>"1720625841"</f>
        <v>1720625841</v>
      </c>
      <c r="C13028" t="str">
        <f>"367500000X"</f>
        <v>367500000X</v>
      </c>
      <c r="D13028" t="str">
        <f>"GAMBRELL                 COREY        L           "</f>
        <v xml:space="preserve">GAMBRELL                 COREY        L           </v>
      </c>
      <c r="E13028" t="str">
        <f>"HATTIESBURG               "</f>
        <v xml:space="preserve">HATTIESBURG               </v>
      </c>
      <c r="F13028" t="str">
        <f t="shared" si="336"/>
        <v>MS</v>
      </c>
    </row>
    <row r="13029" spans="1:6" x14ac:dyDescent="0.25">
      <c r="A13029" t="str">
        <f>"007926573"</f>
        <v>007926573</v>
      </c>
      <c r="B13029" t="str">
        <f>"1104869148"</f>
        <v>1104869148</v>
      </c>
      <c r="C13029" t="str">
        <f>"207V00000X"</f>
        <v>207V00000X</v>
      </c>
      <c r="D13029" t="str">
        <f>"HARDEMAN                 NATASHA      N           "</f>
        <v xml:space="preserve">HARDEMAN                 NATASHA      N           </v>
      </c>
      <c r="E13029" t="str">
        <f>"FLOWOOD                   "</f>
        <v xml:space="preserve">FLOWOOD                   </v>
      </c>
      <c r="F13029" t="str">
        <f t="shared" si="336"/>
        <v>MS</v>
      </c>
    </row>
    <row r="13030" spans="1:6" x14ac:dyDescent="0.25">
      <c r="A13030" t="str">
        <f>"007928714"</f>
        <v>007928714</v>
      </c>
      <c r="B13030" t="str">
        <f>"1548643380"</f>
        <v>1548643380</v>
      </c>
      <c r="C13030" t="str">
        <f>"363LF0000X"</f>
        <v>363LF0000X</v>
      </c>
      <c r="D13030" t="str">
        <f>"NASH                     RUSHAUNDA    L           "</f>
        <v xml:space="preserve">NASH                     RUSHAUNDA    L           </v>
      </c>
      <c r="E13030" t="str">
        <f>"STARKVILLE                "</f>
        <v xml:space="preserve">STARKVILLE                </v>
      </c>
      <c r="F13030" t="str">
        <f t="shared" si="336"/>
        <v>MS</v>
      </c>
    </row>
    <row r="13031" spans="1:6" x14ac:dyDescent="0.25">
      <c r="A13031" t="str">
        <f>"007928724"</f>
        <v>007928724</v>
      </c>
      <c r="B13031" t="str">
        <f>"1780935841"</f>
        <v>1780935841</v>
      </c>
      <c r="C13031" t="str">
        <f>"363L00000X"</f>
        <v>363L00000X</v>
      </c>
      <c r="D13031" t="str">
        <f>"COTTON                   KATRINA      C           "</f>
        <v xml:space="preserve">COTTON                   KATRINA      C           </v>
      </c>
      <c r="E13031" t="str">
        <f>"VICKSBURG                 "</f>
        <v xml:space="preserve">VICKSBURG                 </v>
      </c>
      <c r="F13031" t="str">
        <f t="shared" si="336"/>
        <v>MS</v>
      </c>
    </row>
    <row r="13032" spans="1:6" x14ac:dyDescent="0.25">
      <c r="A13032" t="str">
        <f>"007929573"</f>
        <v>007929573</v>
      </c>
      <c r="B13032" t="str">
        <f>"1437477163"</f>
        <v>1437477163</v>
      </c>
      <c r="C13032" t="str">
        <f>"363L00000X"</f>
        <v>363L00000X</v>
      </c>
      <c r="D13032" t="str">
        <f>"HAVENS                   LEIGH        A           "</f>
        <v xml:space="preserve">HAVENS                   LEIGH        A           </v>
      </c>
      <c r="E13032" t="str">
        <f>"LUCEDALE                  "</f>
        <v xml:space="preserve">LUCEDALE                  </v>
      </c>
      <c r="F13032" t="str">
        <f t="shared" si="336"/>
        <v>MS</v>
      </c>
    </row>
    <row r="13033" spans="1:6" x14ac:dyDescent="0.25">
      <c r="A13033" t="str">
        <f>"007929850"</f>
        <v>007929850</v>
      </c>
      <c r="B13033" t="str">
        <f>"1386385656"</f>
        <v>1386385656</v>
      </c>
      <c r="C13033" t="str">
        <f>"207R00000X"</f>
        <v>207R00000X</v>
      </c>
      <c r="D13033" t="str">
        <f>"QUIRING                  ROBERT                   "</f>
        <v xml:space="preserve">QUIRING                  ROBERT                   </v>
      </c>
      <c r="E13033" t="str">
        <f>"JACKSON                   "</f>
        <v xml:space="preserve">JACKSON                   </v>
      </c>
      <c r="F13033" t="str">
        <f t="shared" si="336"/>
        <v>MS</v>
      </c>
    </row>
    <row r="13034" spans="1:6" x14ac:dyDescent="0.25">
      <c r="A13034" t="str">
        <f>"007929861"</f>
        <v>007929861</v>
      </c>
      <c r="B13034" t="str">
        <f>"1184633612"</f>
        <v>1184633612</v>
      </c>
      <c r="C13034" t="str">
        <f>"207V00000X"</f>
        <v>207V00000X</v>
      </c>
      <c r="D13034" t="str">
        <f>"BARNETT                  ROBERT       E           "</f>
        <v xml:space="preserve">BARNETT                  ROBERT       E           </v>
      </c>
      <c r="E13034" t="str">
        <f>"NEW ALBANY                "</f>
        <v xml:space="preserve">NEW ALBANY                </v>
      </c>
      <c r="F13034" t="str">
        <f t="shared" si="336"/>
        <v>MS</v>
      </c>
    </row>
    <row r="13035" spans="1:6" x14ac:dyDescent="0.25">
      <c r="A13035" t="str">
        <f>"007930820"</f>
        <v>007930820</v>
      </c>
      <c r="B13035" t="str">
        <f>"1548263692"</f>
        <v>1548263692</v>
      </c>
      <c r="C13035" t="str">
        <f>"208100000X"</f>
        <v>208100000X</v>
      </c>
      <c r="D13035" t="str">
        <f>"DOWLING                  DAVID        J           "</f>
        <v xml:space="preserve">DOWLING                  DAVID        J           </v>
      </c>
      <c r="E13035" t="str">
        <f>"SOUTHAVEN                 "</f>
        <v xml:space="preserve">SOUTHAVEN                 </v>
      </c>
      <c r="F13035" t="str">
        <f t="shared" si="336"/>
        <v>MS</v>
      </c>
    </row>
    <row r="13036" spans="1:6" x14ac:dyDescent="0.25">
      <c r="A13036" t="str">
        <f>"007932041"</f>
        <v>007932041</v>
      </c>
      <c r="B13036" t="str">
        <f>"1558661892"</f>
        <v>1558661892</v>
      </c>
      <c r="C13036" t="str">
        <f>"363L00000X"</f>
        <v>363L00000X</v>
      </c>
      <c r="D13036" t="str">
        <f>"TIDWELL                  ELESHA       P           "</f>
        <v xml:space="preserve">TIDWELL                  ELESHA       P           </v>
      </c>
      <c r="E13036" t="str">
        <f>"JACKSON                   "</f>
        <v xml:space="preserve">JACKSON                   </v>
      </c>
      <c r="F13036" t="str">
        <f t="shared" si="336"/>
        <v>MS</v>
      </c>
    </row>
    <row r="13037" spans="1:6" x14ac:dyDescent="0.25">
      <c r="A13037" t="str">
        <f>"007933245"</f>
        <v>007933245</v>
      </c>
      <c r="B13037" t="str">
        <f>"1750904595"</f>
        <v>1750904595</v>
      </c>
      <c r="C13037" t="str">
        <f>"363L00000X"</f>
        <v>363L00000X</v>
      </c>
      <c r="D13037" t="str">
        <f>"POWELL                   ARIEL                    "</f>
        <v xml:space="preserve">POWELL                   ARIEL                    </v>
      </c>
      <c r="E13037" t="str">
        <f>"TUNICA                    "</f>
        <v xml:space="preserve">TUNICA                    </v>
      </c>
      <c r="F13037" t="str">
        <f t="shared" si="336"/>
        <v>MS</v>
      </c>
    </row>
    <row r="13038" spans="1:6" x14ac:dyDescent="0.25">
      <c r="A13038" t="str">
        <f>"007934315"</f>
        <v>007934315</v>
      </c>
      <c r="B13038" t="str">
        <f>"1578140521"</f>
        <v>1578140521</v>
      </c>
      <c r="C13038" t="str">
        <f>"207Q00000X"</f>
        <v>207Q00000X</v>
      </c>
      <c r="D13038" t="str">
        <f>"OKORO                    FORTUNE                  "</f>
        <v xml:space="preserve">OKORO                    FORTUNE                  </v>
      </c>
      <c r="E13038" t="str">
        <f>"JACKSON                   "</f>
        <v xml:space="preserve">JACKSON                   </v>
      </c>
      <c r="F13038" t="str">
        <f t="shared" si="336"/>
        <v>MS</v>
      </c>
    </row>
    <row r="13039" spans="1:6" x14ac:dyDescent="0.25">
      <c r="A13039" t="str">
        <f>"007935206"</f>
        <v>007935206</v>
      </c>
      <c r="B13039" t="str">
        <f>"1356856561"</f>
        <v>1356856561</v>
      </c>
      <c r="C13039" t="str">
        <f>"363L00000X"</f>
        <v>363L00000X</v>
      </c>
      <c r="D13039" t="str">
        <f>"AMOS-JOHNSON             CASSANDRA    S           "</f>
        <v xml:space="preserve">AMOS-JOHNSON             CASSANDRA    S           </v>
      </c>
      <c r="E13039" t="str">
        <f>"VICKSBURG                 "</f>
        <v xml:space="preserve">VICKSBURG                 </v>
      </c>
      <c r="F13039" t="str">
        <f t="shared" si="336"/>
        <v>MS</v>
      </c>
    </row>
    <row r="13040" spans="1:6" x14ac:dyDescent="0.25">
      <c r="A13040" t="str">
        <f>"007935349"</f>
        <v>007935349</v>
      </c>
      <c r="B13040" t="str">
        <f>"1649595117"</f>
        <v>1649595117</v>
      </c>
      <c r="C13040" t="str">
        <f>"363L00000X"</f>
        <v>363L00000X</v>
      </c>
      <c r="D13040" t="str">
        <f>"YEKAITIS                 KEVIN        F           "</f>
        <v xml:space="preserve">YEKAITIS                 KEVIN        F           </v>
      </c>
      <c r="E13040" t="str">
        <f>"OLIVE BRANCH              "</f>
        <v xml:space="preserve">OLIVE BRANCH              </v>
      </c>
      <c r="F13040" t="str">
        <f t="shared" si="336"/>
        <v>MS</v>
      </c>
    </row>
    <row r="13041" spans="1:6" x14ac:dyDescent="0.25">
      <c r="A13041" t="str">
        <f>"007936804"</f>
        <v>007936804</v>
      </c>
      <c r="B13041" t="str">
        <f>"1144854498"</f>
        <v>1144854498</v>
      </c>
      <c r="C13041" t="str">
        <f>"363L00000X"</f>
        <v>363L00000X</v>
      </c>
      <c r="D13041" t="str">
        <f>"AMASON                   KATLYN       M           "</f>
        <v xml:space="preserve">AMASON                   KATLYN       M           </v>
      </c>
      <c r="E13041" t="str">
        <f>"JACKSON                   "</f>
        <v xml:space="preserve">JACKSON                   </v>
      </c>
      <c r="F13041" t="str">
        <f t="shared" si="336"/>
        <v>MS</v>
      </c>
    </row>
    <row r="13042" spans="1:6" x14ac:dyDescent="0.25">
      <c r="A13042" t="str">
        <f>"007937363"</f>
        <v>007937363</v>
      </c>
      <c r="B13042" t="str">
        <f>"1750805610"</f>
        <v>1750805610</v>
      </c>
      <c r="C13042" t="str">
        <f>"367500000X"</f>
        <v>367500000X</v>
      </c>
      <c r="D13042" t="str">
        <f>"BOSWELL                  KYLE         M           "</f>
        <v xml:space="preserve">BOSWELL                  KYLE         M           </v>
      </c>
      <c r="E13042" t="str">
        <f>"HATTIESBURG               "</f>
        <v xml:space="preserve">HATTIESBURG               </v>
      </c>
      <c r="F13042" t="str">
        <f t="shared" si="336"/>
        <v>MS</v>
      </c>
    </row>
    <row r="13043" spans="1:6" x14ac:dyDescent="0.25">
      <c r="A13043" t="str">
        <f>"007938556"</f>
        <v>007938556</v>
      </c>
      <c r="B13043" t="str">
        <f>"1720142219"</f>
        <v>1720142219</v>
      </c>
      <c r="C13043" t="str">
        <f>"122300000X"</f>
        <v>122300000X</v>
      </c>
      <c r="D13043" t="str">
        <f>"BOUNDS FAMILY DENTAL                              "</f>
        <v xml:space="preserve">BOUNDS FAMILY DENTAL                              </v>
      </c>
      <c r="E13043" t="str">
        <f>"LAUREL                    "</f>
        <v xml:space="preserve">LAUREL                    </v>
      </c>
      <c r="F13043" t="str">
        <f t="shared" si="336"/>
        <v>MS</v>
      </c>
    </row>
    <row r="13044" spans="1:6" x14ac:dyDescent="0.25">
      <c r="A13044" t="str">
        <f>"007939361"</f>
        <v>007939361</v>
      </c>
      <c r="B13044" t="str">
        <f>"1508335878"</f>
        <v>1508335878</v>
      </c>
      <c r="C13044" t="str">
        <f>"363L00000X"</f>
        <v>363L00000X</v>
      </c>
      <c r="D13044" t="str">
        <f>"REEVES                   STEPHANIE                "</f>
        <v xml:space="preserve">REEVES                   STEPHANIE                </v>
      </c>
      <c r="E13044" t="str">
        <f>"AMORY                     "</f>
        <v xml:space="preserve">AMORY                     </v>
      </c>
      <c r="F13044" t="str">
        <f t="shared" si="336"/>
        <v>MS</v>
      </c>
    </row>
    <row r="13045" spans="1:6" x14ac:dyDescent="0.25">
      <c r="A13045" t="str">
        <f>"007950022"</f>
        <v>007950022</v>
      </c>
      <c r="B13045" t="str">
        <f>"1225326093"</f>
        <v>1225326093</v>
      </c>
      <c r="C13045" t="str">
        <f>"363L00000X"</f>
        <v>363L00000X</v>
      </c>
      <c r="D13045" t="str">
        <f>"HOPKINS                  LAUREN                   "</f>
        <v xml:space="preserve">HOPKINS                  LAUREN                   </v>
      </c>
      <c r="E13045" t="str">
        <f>"RIPLEY                    "</f>
        <v xml:space="preserve">RIPLEY                    </v>
      </c>
      <c r="F13045" t="str">
        <f t="shared" si="336"/>
        <v>MS</v>
      </c>
    </row>
    <row r="13046" spans="1:6" x14ac:dyDescent="0.25">
      <c r="A13046" t="str">
        <f>"007950603"</f>
        <v>007950603</v>
      </c>
      <c r="B13046" t="str">
        <f>"1689158909"</f>
        <v>1689158909</v>
      </c>
      <c r="C13046" t="str">
        <f>"363L00000X"</f>
        <v>363L00000X</v>
      </c>
      <c r="D13046" t="str">
        <f>"PHILLIPS                 LEAH         D           "</f>
        <v xml:space="preserve">PHILLIPS                 LEAH         D           </v>
      </c>
      <c r="E13046" t="str">
        <f>"MERIDIAN                  "</f>
        <v xml:space="preserve">MERIDIAN                  </v>
      </c>
      <c r="F13046" t="str">
        <f t="shared" si="336"/>
        <v>MS</v>
      </c>
    </row>
    <row r="13047" spans="1:6" x14ac:dyDescent="0.25">
      <c r="A13047" t="str">
        <f>"007951357"</f>
        <v>007951357</v>
      </c>
      <c r="B13047" t="str">
        <f>"1811289564"</f>
        <v>1811289564</v>
      </c>
      <c r="C13047" t="str">
        <f>"363L00000X"</f>
        <v>363L00000X</v>
      </c>
      <c r="D13047" t="str">
        <f>"GASKIN                   SHERRY       L           "</f>
        <v xml:space="preserve">GASKIN                   SHERRY       L           </v>
      </c>
      <c r="E13047" t="str">
        <f>"TUPELO                    "</f>
        <v xml:space="preserve">TUPELO                    </v>
      </c>
      <c r="F13047" t="str">
        <f t="shared" si="336"/>
        <v>MS</v>
      </c>
    </row>
    <row r="13048" spans="1:6" x14ac:dyDescent="0.25">
      <c r="A13048" t="str">
        <f>"007951751"</f>
        <v>007951751</v>
      </c>
      <c r="B13048" t="str">
        <f>"1619211992"</f>
        <v>1619211992</v>
      </c>
      <c r="C13048" t="str">
        <f>"363L00000X"</f>
        <v>363L00000X</v>
      </c>
      <c r="D13048" t="str">
        <f>"TAYLOR                   DEONTRANESE  T           "</f>
        <v xml:space="preserve">TAYLOR                   DEONTRANESE  T           </v>
      </c>
      <c r="E13048" t="str">
        <f>"MONTICELLO                "</f>
        <v xml:space="preserve">MONTICELLO                </v>
      </c>
      <c r="F13048" t="str">
        <f t="shared" si="336"/>
        <v>MS</v>
      </c>
    </row>
    <row r="13049" spans="1:6" x14ac:dyDescent="0.25">
      <c r="A13049" t="str">
        <f>"007952511"</f>
        <v>007952511</v>
      </c>
      <c r="B13049" t="str">
        <f>"1295937183"</f>
        <v>1295937183</v>
      </c>
      <c r="C13049" t="str">
        <f>"207W00000X"</f>
        <v>207W00000X</v>
      </c>
      <c r="D13049" t="str">
        <f>"BARANANO                 ANNE         E           "</f>
        <v xml:space="preserve">BARANANO                 ANNE         E           </v>
      </c>
      <c r="E13049" t="str">
        <f>"BILOXI                    "</f>
        <v xml:space="preserve">BILOXI                    </v>
      </c>
      <c r="F13049" t="str">
        <f t="shared" si="336"/>
        <v>MS</v>
      </c>
    </row>
    <row r="13050" spans="1:6" x14ac:dyDescent="0.25">
      <c r="A13050" t="str">
        <f>"007952866"</f>
        <v>007952866</v>
      </c>
      <c r="B13050" t="str">
        <f>"1538526355"</f>
        <v>1538526355</v>
      </c>
      <c r="C13050" t="str">
        <f>"367500000X"</f>
        <v>367500000X</v>
      </c>
      <c r="D13050" t="str">
        <f>"POMIERSKI                TABITHA      K           "</f>
        <v xml:space="preserve">POMIERSKI                TABITHA      K           </v>
      </c>
      <c r="E13050" t="str">
        <f>"MERIDIAN                  "</f>
        <v xml:space="preserve">MERIDIAN                  </v>
      </c>
      <c r="F13050" t="str">
        <f t="shared" si="336"/>
        <v>MS</v>
      </c>
    </row>
    <row r="13051" spans="1:6" x14ac:dyDescent="0.25">
      <c r="A13051" t="str">
        <f>"007954751"</f>
        <v>007954751</v>
      </c>
      <c r="B13051" t="str">
        <f>"1962411215"</f>
        <v>1962411215</v>
      </c>
      <c r="C13051" t="str">
        <f>"207RN0300X"</f>
        <v>207RN0300X</v>
      </c>
      <c r="D13051" t="str">
        <f>"SOHAL                    DAWINDER     S           "</f>
        <v xml:space="preserve">SOHAL                    DAWINDER     S           </v>
      </c>
      <c r="E13051" t="str">
        <f>"VICKSBURG                 "</f>
        <v xml:space="preserve">VICKSBURG                 </v>
      </c>
      <c r="F13051" t="str">
        <f t="shared" si="336"/>
        <v>MS</v>
      </c>
    </row>
    <row r="13052" spans="1:6" x14ac:dyDescent="0.25">
      <c r="A13052" t="str">
        <f>"007955804"</f>
        <v>007955804</v>
      </c>
      <c r="B13052" t="str">
        <f>"1982098026"</f>
        <v>1982098026</v>
      </c>
      <c r="C13052" t="str">
        <f>"207Q00000X"</f>
        <v>207Q00000X</v>
      </c>
      <c r="D13052" t="str">
        <f>"EDWARDS                  DANIEL       J           "</f>
        <v xml:space="preserve">EDWARDS                  DANIEL       J           </v>
      </c>
      <c r="E13052" t="str">
        <f>"HATTIESBURG               "</f>
        <v xml:space="preserve">HATTIESBURG               </v>
      </c>
      <c r="F13052" t="str">
        <f t="shared" si="336"/>
        <v>MS</v>
      </c>
    </row>
    <row r="13053" spans="1:6" x14ac:dyDescent="0.25">
      <c r="A13053" t="str">
        <f>"007970092"</f>
        <v>007970092</v>
      </c>
      <c r="B13053" t="str">
        <f>"1053609586"</f>
        <v>1053609586</v>
      </c>
      <c r="C13053" t="str">
        <f>"2084P0800X"</f>
        <v>2084P0800X</v>
      </c>
      <c r="D13053" t="str">
        <f>"BASSI                    ROOPSI                   "</f>
        <v xml:space="preserve">BASSI                    ROOPSI                   </v>
      </c>
      <c r="E13053" t="str">
        <f>"HATTIESBURG               "</f>
        <v xml:space="preserve">HATTIESBURG               </v>
      </c>
      <c r="F13053" t="str">
        <f t="shared" si="336"/>
        <v>MS</v>
      </c>
    </row>
    <row r="13054" spans="1:6" x14ac:dyDescent="0.25">
      <c r="A13054" t="str">
        <f>"007973018"</f>
        <v>007973018</v>
      </c>
      <c r="B13054" t="str">
        <f>"1538152756"</f>
        <v>1538152756</v>
      </c>
      <c r="C13054" t="str">
        <f>"363L00000X"</f>
        <v>363L00000X</v>
      </c>
      <c r="D13054" t="str">
        <f>"WIGGINTON                JIMMY                    "</f>
        <v xml:space="preserve">WIGGINTON                JIMMY                    </v>
      </c>
      <c r="E13054" t="str">
        <f>"CORINTH                   "</f>
        <v xml:space="preserve">CORINTH                   </v>
      </c>
      <c r="F13054" t="str">
        <f t="shared" ref="F13054:F13117" si="337">"MS"</f>
        <v>MS</v>
      </c>
    </row>
    <row r="13055" spans="1:6" x14ac:dyDescent="0.25">
      <c r="A13055" t="str">
        <f>"007973287"</f>
        <v>007973287</v>
      </c>
      <c r="B13055" t="str">
        <f>"1558022459"</f>
        <v>1558022459</v>
      </c>
      <c r="C13055" t="str">
        <f>"363L00000X"</f>
        <v>363L00000X</v>
      </c>
      <c r="D13055" t="str">
        <f>"POPE                     JON          T           "</f>
        <v xml:space="preserve">POPE                     JON          T           </v>
      </c>
      <c r="E13055" t="str">
        <f>"SOUTHAVEN                 "</f>
        <v xml:space="preserve">SOUTHAVEN                 </v>
      </c>
      <c r="F13055" t="str">
        <f t="shared" si="337"/>
        <v>MS</v>
      </c>
    </row>
    <row r="13056" spans="1:6" x14ac:dyDescent="0.25">
      <c r="A13056" t="str">
        <f>"007973545"</f>
        <v>007973545</v>
      </c>
      <c r="B13056" t="str">
        <f>"1023555190"</f>
        <v>1023555190</v>
      </c>
      <c r="C13056" t="str">
        <f>"363A00000X"</f>
        <v>363A00000X</v>
      </c>
      <c r="D13056" t="str">
        <f>"KEITH                    STEPHANIE    S           "</f>
        <v xml:space="preserve">KEITH                    STEPHANIE    S           </v>
      </c>
      <c r="E13056" t="str">
        <f>"JACKSON                   "</f>
        <v xml:space="preserve">JACKSON                   </v>
      </c>
      <c r="F13056" t="str">
        <f t="shared" si="337"/>
        <v>MS</v>
      </c>
    </row>
    <row r="13057" spans="1:6" x14ac:dyDescent="0.25">
      <c r="A13057" t="str">
        <f>"007974271"</f>
        <v>007974271</v>
      </c>
      <c r="B13057" t="str">
        <f>"1952993743"</f>
        <v>1952993743</v>
      </c>
      <c r="C13057" t="str">
        <f>"363L00000X"</f>
        <v>363L00000X</v>
      </c>
      <c r="D13057" t="str">
        <f>"SCHEPEMAKER              MICHAEL                  "</f>
        <v xml:space="preserve">SCHEPEMAKER              MICHAEL                  </v>
      </c>
      <c r="E13057" t="str">
        <f>"COLUMBIA                  "</f>
        <v xml:space="preserve">COLUMBIA                  </v>
      </c>
      <c r="F13057" t="str">
        <f t="shared" si="337"/>
        <v>MS</v>
      </c>
    </row>
    <row r="13058" spans="1:6" x14ac:dyDescent="0.25">
      <c r="A13058" t="str">
        <f>"007975768"</f>
        <v>007975768</v>
      </c>
      <c r="B13058" t="str">
        <f>"1669850293"</f>
        <v>1669850293</v>
      </c>
      <c r="C13058" t="str">
        <f>"207P00000X"</f>
        <v>207P00000X</v>
      </c>
      <c r="D13058" t="str">
        <f>"DEPAEPE                  STEPHANIE    K           "</f>
        <v xml:space="preserve">DEPAEPE                  STEPHANIE    K           </v>
      </c>
      <c r="E13058" t="str">
        <f>"JACKSON                   "</f>
        <v xml:space="preserve">JACKSON                   </v>
      </c>
      <c r="F13058" t="str">
        <f t="shared" si="337"/>
        <v>MS</v>
      </c>
    </row>
    <row r="13059" spans="1:6" x14ac:dyDescent="0.25">
      <c r="A13059" t="str">
        <f>"007977047"</f>
        <v>007977047</v>
      </c>
      <c r="B13059" t="str">
        <f>"1790063857"</f>
        <v>1790063857</v>
      </c>
      <c r="C13059" t="str">
        <f>"207R00000X"</f>
        <v>207R00000X</v>
      </c>
      <c r="D13059" t="str">
        <f>"BANDA                    KEERTHI                  "</f>
        <v xml:space="preserve">BANDA                    KEERTHI                  </v>
      </c>
      <c r="E13059" t="str">
        <f>"HATTIESBURG               "</f>
        <v xml:space="preserve">HATTIESBURG               </v>
      </c>
      <c r="F13059" t="str">
        <f t="shared" si="337"/>
        <v>MS</v>
      </c>
    </row>
    <row r="13060" spans="1:6" x14ac:dyDescent="0.25">
      <c r="A13060" t="str">
        <f>"007978202"</f>
        <v>007978202</v>
      </c>
      <c r="B13060" t="str">
        <f>"1811379639"</f>
        <v>1811379639</v>
      </c>
      <c r="C13060" t="str">
        <f>"363L00000X"</f>
        <v>363L00000X</v>
      </c>
      <c r="D13060" t="str">
        <f>"HUBBARD                  STACEY       J           "</f>
        <v xml:space="preserve">HUBBARD                  STACEY       J           </v>
      </c>
      <c r="E13060" t="str">
        <f>"GRENADA                   "</f>
        <v xml:space="preserve">GRENADA                   </v>
      </c>
      <c r="F13060" t="str">
        <f t="shared" si="337"/>
        <v>MS</v>
      </c>
    </row>
    <row r="13061" spans="1:6" x14ac:dyDescent="0.25">
      <c r="A13061" t="str">
        <f>"007978287"</f>
        <v>007978287</v>
      </c>
      <c r="B13061" t="str">
        <f>"1336559327"</f>
        <v>1336559327</v>
      </c>
      <c r="C13061" t="str">
        <f>"207Q00000X"</f>
        <v>207Q00000X</v>
      </c>
      <c r="D13061" t="str">
        <f>"MARTIN                   WILLIAM      A           "</f>
        <v xml:space="preserve">MARTIN                   WILLIAM      A           </v>
      </c>
      <c r="E13061" t="str">
        <f>"HATTIESBURG               "</f>
        <v xml:space="preserve">HATTIESBURG               </v>
      </c>
      <c r="F13061" t="str">
        <f t="shared" si="337"/>
        <v>MS</v>
      </c>
    </row>
    <row r="13062" spans="1:6" x14ac:dyDescent="0.25">
      <c r="A13062" t="str">
        <f>"007978511"</f>
        <v>007978511</v>
      </c>
      <c r="B13062" t="str">
        <f>"1982461364"</f>
        <v>1982461364</v>
      </c>
      <c r="C13062" t="str">
        <f>"261QR1300X"</f>
        <v>261QR1300X</v>
      </c>
      <c r="D13062" t="str">
        <f>"PROGRESSIVE FAMILY HEALTH &amp; INTERNAL MEDICINE     "</f>
        <v xml:space="preserve">PROGRESSIVE FAMILY HEALTH &amp; INTERNAL MEDICINE     </v>
      </c>
      <c r="E13062" t="str">
        <f>"HOUSTON                   "</f>
        <v xml:space="preserve">HOUSTON                   </v>
      </c>
      <c r="F13062" t="str">
        <f t="shared" si="337"/>
        <v>MS</v>
      </c>
    </row>
    <row r="13063" spans="1:6" x14ac:dyDescent="0.25">
      <c r="A13063" t="str">
        <f>"007979866"</f>
        <v>007979866</v>
      </c>
      <c r="B13063" t="str">
        <f>"1417138751"</f>
        <v>1417138751</v>
      </c>
      <c r="C13063" t="str">
        <f>"152W00000X"</f>
        <v>152W00000X</v>
      </c>
      <c r="D13063" t="str">
        <f>"SOUTHERN EYE CENTER-VISION SOURCE                 "</f>
        <v xml:space="preserve">SOUTHERN EYE CENTER-VISION SOURCE                 </v>
      </c>
      <c r="E13063" t="str">
        <f>"WOODVILLE                 "</f>
        <v xml:space="preserve">WOODVILLE                 </v>
      </c>
      <c r="F13063" t="str">
        <f t="shared" si="337"/>
        <v>MS</v>
      </c>
    </row>
    <row r="13064" spans="1:6" x14ac:dyDescent="0.25">
      <c r="A13064" t="str">
        <f>"007980210"</f>
        <v>007980210</v>
      </c>
      <c r="B13064" t="str">
        <f>"1285129197"</f>
        <v>1285129197</v>
      </c>
      <c r="C13064" t="str">
        <f>"363L00000X"</f>
        <v>363L00000X</v>
      </c>
      <c r="D13064" t="str">
        <f>"MIZE                     LORI         D           "</f>
        <v xml:space="preserve">MIZE                     LORI         D           </v>
      </c>
      <c r="E13064" t="str">
        <f>"TUPELO                    "</f>
        <v xml:space="preserve">TUPELO                    </v>
      </c>
      <c r="F13064" t="str">
        <f t="shared" si="337"/>
        <v>MS</v>
      </c>
    </row>
    <row r="13065" spans="1:6" x14ac:dyDescent="0.25">
      <c r="A13065" t="str">
        <f>"007980811"</f>
        <v>007980811</v>
      </c>
      <c r="B13065" t="str">
        <f>"1508236415"</f>
        <v>1508236415</v>
      </c>
      <c r="C13065" t="str">
        <f>"363L00000X"</f>
        <v>363L00000X</v>
      </c>
      <c r="D13065" t="str">
        <f>"SUMERFORD                BETHANY      C           "</f>
        <v xml:space="preserve">SUMERFORD                BETHANY      C           </v>
      </c>
      <c r="E13065" t="str">
        <f>"CLINTON                   "</f>
        <v xml:space="preserve">CLINTON                   </v>
      </c>
      <c r="F13065" t="str">
        <f t="shared" si="337"/>
        <v>MS</v>
      </c>
    </row>
    <row r="13066" spans="1:6" x14ac:dyDescent="0.25">
      <c r="A13066" t="str">
        <f>"007981010"</f>
        <v>007981010</v>
      </c>
      <c r="B13066" t="str">
        <f>"1255799730"</f>
        <v>1255799730</v>
      </c>
      <c r="C13066" t="str">
        <f>"363L00000X"</f>
        <v>363L00000X</v>
      </c>
      <c r="D13066" t="str">
        <f>"GARNER                   LINDSEY      N           "</f>
        <v xml:space="preserve">GARNER                   LINDSEY      N           </v>
      </c>
      <c r="E13066" t="str">
        <f>"SOUTHAVEN                 "</f>
        <v xml:space="preserve">SOUTHAVEN                 </v>
      </c>
      <c r="F13066" t="str">
        <f t="shared" si="337"/>
        <v>MS</v>
      </c>
    </row>
    <row r="13067" spans="1:6" x14ac:dyDescent="0.25">
      <c r="A13067" t="str">
        <f>"007981363"</f>
        <v>007981363</v>
      </c>
      <c r="B13067" t="str">
        <f>"1437501475"</f>
        <v>1437501475</v>
      </c>
      <c r="C13067" t="str">
        <f>"363L00000X"</f>
        <v>363L00000X</v>
      </c>
      <c r="D13067" t="str">
        <f>"VENATTA                  EMILY        W           "</f>
        <v xml:space="preserve">VENATTA                  EMILY        W           </v>
      </c>
      <c r="E13067" t="str">
        <f>"GULFPORT                  "</f>
        <v xml:space="preserve">GULFPORT                  </v>
      </c>
      <c r="F13067" t="str">
        <f t="shared" si="337"/>
        <v>MS</v>
      </c>
    </row>
    <row r="13068" spans="1:6" x14ac:dyDescent="0.25">
      <c r="A13068" t="str">
        <f>"007982036"</f>
        <v>007982036</v>
      </c>
      <c r="B13068" t="str">
        <f>"1528360377"</f>
        <v>1528360377</v>
      </c>
      <c r="C13068" t="str">
        <f>"152W00000X"</f>
        <v>152W00000X</v>
      </c>
      <c r="D13068" t="str">
        <f>"TAYLOR EYECARE                                    "</f>
        <v xml:space="preserve">TAYLOR EYECARE                                    </v>
      </c>
      <c r="E13068" t="str">
        <f>"BRANDON                   "</f>
        <v xml:space="preserve">BRANDON                   </v>
      </c>
      <c r="F13068" t="str">
        <f t="shared" si="337"/>
        <v>MS</v>
      </c>
    </row>
    <row r="13069" spans="1:6" x14ac:dyDescent="0.25">
      <c r="A13069" t="str">
        <f>"007983064"</f>
        <v>007983064</v>
      </c>
      <c r="B13069" t="str">
        <f>"1205577285"</f>
        <v>1205577285</v>
      </c>
      <c r="C13069" t="str">
        <f>"2086S0122X"</f>
        <v>2086S0122X</v>
      </c>
      <c r="D13069" t="str">
        <f>"ELVER                    ASHLIE                   "</f>
        <v xml:space="preserve">ELVER                    ASHLIE                   </v>
      </c>
      <c r="E13069" t="str">
        <f>"JACKSON                   "</f>
        <v xml:space="preserve">JACKSON                   </v>
      </c>
      <c r="F13069" t="str">
        <f t="shared" si="337"/>
        <v>MS</v>
      </c>
    </row>
    <row r="13070" spans="1:6" x14ac:dyDescent="0.25">
      <c r="A13070" t="str">
        <f>"007984299"</f>
        <v>007984299</v>
      </c>
      <c r="B13070" t="str">
        <f>"1720747256"</f>
        <v>1720747256</v>
      </c>
      <c r="C13070" t="str">
        <f>"363L00000X"</f>
        <v>363L00000X</v>
      </c>
      <c r="D13070" t="str">
        <f>"TOCHE                    STEPHANIE    D           "</f>
        <v xml:space="preserve">TOCHE                    STEPHANIE    D           </v>
      </c>
      <c r="E13070" t="str">
        <f>"OCEAN SPRINGS             "</f>
        <v xml:space="preserve">OCEAN SPRINGS             </v>
      </c>
      <c r="F13070" t="str">
        <f t="shared" si="337"/>
        <v>MS</v>
      </c>
    </row>
    <row r="13071" spans="1:6" x14ac:dyDescent="0.25">
      <c r="A13071" t="str">
        <f>"007984355"</f>
        <v>007984355</v>
      </c>
      <c r="B13071" t="str">
        <f>"1437518776"</f>
        <v>1437518776</v>
      </c>
      <c r="C13071" t="str">
        <f>"261QE0700X"</f>
        <v>261QE0700X</v>
      </c>
      <c r="D13071" t="str">
        <f>"FRESENIUS KIDNEY CARE ROLLING FORK                "</f>
        <v xml:space="preserve">FRESENIUS KIDNEY CARE ROLLING FORK                </v>
      </c>
      <c r="E13071" t="str">
        <f>"ROLLING FORK              "</f>
        <v xml:space="preserve">ROLLING FORK              </v>
      </c>
      <c r="F13071" t="str">
        <f t="shared" si="337"/>
        <v>MS</v>
      </c>
    </row>
    <row r="13072" spans="1:6" x14ac:dyDescent="0.25">
      <c r="A13072" t="str">
        <f>"007984848"</f>
        <v>007984848</v>
      </c>
      <c r="B13072" t="str">
        <f>"1134178262"</f>
        <v>1134178262</v>
      </c>
      <c r="C13072" t="str">
        <f>"208000000X"</f>
        <v>208000000X</v>
      </c>
      <c r="D13072" t="str">
        <f>"DEVLIN-SCHROLL           CHRISTIE     L           "</f>
        <v xml:space="preserve">DEVLIN-SCHROLL           CHRISTIE     L           </v>
      </c>
      <c r="E13072" t="str">
        <f>"GULFPORT                  "</f>
        <v xml:space="preserve">GULFPORT                  </v>
      </c>
      <c r="F13072" t="str">
        <f t="shared" si="337"/>
        <v>MS</v>
      </c>
    </row>
    <row r="13073" spans="1:6" x14ac:dyDescent="0.25">
      <c r="A13073" t="str">
        <f>"007984891"</f>
        <v>007984891</v>
      </c>
      <c r="B13073" t="str">
        <f>"1346284650"</f>
        <v>1346284650</v>
      </c>
      <c r="C13073" t="str">
        <f>"261QF0400X"</f>
        <v>261QF0400X</v>
      </c>
      <c r="D13073" t="str">
        <f>"NORTH FORREST ATTENDANCE CENTER                   "</f>
        <v xml:space="preserve">NORTH FORREST ATTENDANCE CENTER                   </v>
      </c>
      <c r="E13073" t="str">
        <f>"HATTIESBURG               "</f>
        <v xml:space="preserve">HATTIESBURG               </v>
      </c>
      <c r="F13073" t="str">
        <f t="shared" si="337"/>
        <v>MS</v>
      </c>
    </row>
    <row r="13074" spans="1:6" x14ac:dyDescent="0.25">
      <c r="A13074" t="str">
        <f>"007985351"</f>
        <v>007985351</v>
      </c>
      <c r="B13074" t="str">
        <f>"1427406123"</f>
        <v>1427406123</v>
      </c>
      <c r="C13074" t="str">
        <f>"152W00000X"</f>
        <v>152W00000X</v>
      </c>
      <c r="D13074" t="str">
        <f>"STINSON JR               GERALD       W           "</f>
        <v xml:space="preserve">STINSON JR               GERALD       W           </v>
      </c>
      <c r="E13074" t="str">
        <f>"LEXINGTON                 "</f>
        <v xml:space="preserve">LEXINGTON                 </v>
      </c>
      <c r="F13074" t="str">
        <f t="shared" si="337"/>
        <v>MS</v>
      </c>
    </row>
    <row r="13075" spans="1:6" x14ac:dyDescent="0.25">
      <c r="A13075" t="str">
        <f>"007985584"</f>
        <v>007985584</v>
      </c>
      <c r="B13075" t="str">
        <f>"1720598899"</f>
        <v>1720598899</v>
      </c>
      <c r="C13075" t="str">
        <f>"363L00000X"</f>
        <v>363L00000X</v>
      </c>
      <c r="D13075" t="str">
        <f>"SMITH                    LISA                     "</f>
        <v xml:space="preserve">SMITH                    LISA                     </v>
      </c>
      <c r="E13075" t="str">
        <f>"JACKSON                   "</f>
        <v xml:space="preserve">JACKSON                   </v>
      </c>
      <c r="F13075" t="str">
        <f t="shared" si="337"/>
        <v>MS</v>
      </c>
    </row>
    <row r="13076" spans="1:6" x14ac:dyDescent="0.25">
      <c r="A13076" t="str">
        <f>"007985779"</f>
        <v>007985779</v>
      </c>
      <c r="B13076" t="str">
        <f>"1205997251"</f>
        <v>1205997251</v>
      </c>
      <c r="C13076" t="str">
        <f>"2084N0400X"</f>
        <v>2084N0400X</v>
      </c>
      <c r="D13076" t="str">
        <f>"GROW                     CHELSEA      R           "</f>
        <v xml:space="preserve">GROW                     CHELSEA      R           </v>
      </c>
      <c r="E13076" t="str">
        <f>"GULFPORT                  "</f>
        <v xml:space="preserve">GULFPORT                  </v>
      </c>
      <c r="F13076" t="str">
        <f t="shared" si="337"/>
        <v>MS</v>
      </c>
    </row>
    <row r="13077" spans="1:6" x14ac:dyDescent="0.25">
      <c r="A13077" t="str">
        <f>"007988269"</f>
        <v>007988269</v>
      </c>
      <c r="B13077" t="str">
        <f>"1215422480"</f>
        <v>1215422480</v>
      </c>
      <c r="C13077" t="str">
        <f>"363LF0000X"</f>
        <v>363LF0000X</v>
      </c>
      <c r="D13077" t="str">
        <f>"SMITH                    KAYLA        M           "</f>
        <v xml:space="preserve">SMITH                    KAYLA        M           </v>
      </c>
      <c r="E13077" t="str">
        <f>"JACKSON                   "</f>
        <v xml:space="preserve">JACKSON                   </v>
      </c>
      <c r="F13077" t="str">
        <f t="shared" si="337"/>
        <v>MS</v>
      </c>
    </row>
    <row r="13078" spans="1:6" x14ac:dyDescent="0.25">
      <c r="A13078" t="str">
        <f>"007989353"</f>
        <v>007989353</v>
      </c>
      <c r="B13078" t="str">
        <f>"1902835234"</f>
        <v>1902835234</v>
      </c>
      <c r="C13078" t="str">
        <f>"207R00000X"</f>
        <v>207R00000X</v>
      </c>
      <c r="D13078" t="str">
        <f>"BLAIR                    GEORGE       J           "</f>
        <v xml:space="preserve">BLAIR                    GEORGE       J           </v>
      </c>
      <c r="E13078" t="str">
        <f>"HATTIESBURG               "</f>
        <v xml:space="preserve">HATTIESBURG               </v>
      </c>
      <c r="F13078" t="str">
        <f t="shared" si="337"/>
        <v>MS</v>
      </c>
    </row>
    <row r="13079" spans="1:6" x14ac:dyDescent="0.25">
      <c r="A13079" t="str">
        <f>"007989543"</f>
        <v>007989543</v>
      </c>
      <c r="B13079" t="str">
        <f>"1124428628"</f>
        <v>1124428628</v>
      </c>
      <c r="C13079" t="str">
        <f>"363L00000X"</f>
        <v>363L00000X</v>
      </c>
      <c r="D13079" t="str">
        <f>"WALKER                   SARAH        S           "</f>
        <v xml:space="preserve">WALKER                   SARAH        S           </v>
      </c>
      <c r="E13079" t="str">
        <f>"MADISON                   "</f>
        <v xml:space="preserve">MADISON                   </v>
      </c>
      <c r="F13079" t="str">
        <f t="shared" si="337"/>
        <v>MS</v>
      </c>
    </row>
    <row r="13080" spans="1:6" x14ac:dyDescent="0.25">
      <c r="A13080" t="str">
        <f>"007989850"</f>
        <v>007989850</v>
      </c>
      <c r="B13080" t="str">
        <f>"1962854885"</f>
        <v>1962854885</v>
      </c>
      <c r="C13080" t="str">
        <f>"363L00000X"</f>
        <v>363L00000X</v>
      </c>
      <c r="D13080" t="str">
        <f>"SPEAKER                  KATHERINE    L           "</f>
        <v xml:space="preserve">SPEAKER                  KATHERINE    L           </v>
      </c>
      <c r="E13080" t="str">
        <f>"BAY SAINT LOUIS           "</f>
        <v xml:space="preserve">BAY SAINT LOUIS           </v>
      </c>
      <c r="F13080" t="str">
        <f t="shared" si="337"/>
        <v>MS</v>
      </c>
    </row>
    <row r="13081" spans="1:6" x14ac:dyDescent="0.25">
      <c r="A13081" t="str">
        <f>"008001057"</f>
        <v>008001057</v>
      </c>
      <c r="B13081" t="str">
        <f>"1710941315"</f>
        <v>1710941315</v>
      </c>
      <c r="C13081" t="str">
        <f>"207RI0200X"</f>
        <v>207RI0200X</v>
      </c>
      <c r="D13081" t="str">
        <f>"PREWITT                  MALINDA      M           "</f>
        <v xml:space="preserve">PREWITT                  MALINDA      M           </v>
      </c>
      <c r="E13081" t="str">
        <f>"TUPELO                    "</f>
        <v xml:space="preserve">TUPELO                    </v>
      </c>
      <c r="F13081" t="str">
        <f t="shared" si="337"/>
        <v>MS</v>
      </c>
    </row>
    <row r="13082" spans="1:6" x14ac:dyDescent="0.25">
      <c r="A13082" t="str">
        <f>"008001341"</f>
        <v>008001341</v>
      </c>
      <c r="B13082" t="str">
        <f>"1962875575"</f>
        <v>1962875575</v>
      </c>
      <c r="C13082" t="str">
        <f>"363L00000X"</f>
        <v>363L00000X</v>
      </c>
      <c r="D13082" t="str">
        <f>"WILLIAMS                 MONICA                   "</f>
        <v xml:space="preserve">WILLIAMS                 MONICA                   </v>
      </c>
      <c r="E13082" t="str">
        <f>"CANTON                    "</f>
        <v xml:space="preserve">CANTON                    </v>
      </c>
      <c r="F13082" t="str">
        <f t="shared" si="337"/>
        <v>MS</v>
      </c>
    </row>
    <row r="13083" spans="1:6" x14ac:dyDescent="0.25">
      <c r="A13083" t="str">
        <f>"008002751"</f>
        <v>008002751</v>
      </c>
      <c r="B13083" t="str">
        <f>"1043584204"</f>
        <v>1043584204</v>
      </c>
      <c r="C13083" t="str">
        <f>"363L00000X"</f>
        <v>363L00000X</v>
      </c>
      <c r="D13083" t="str">
        <f>"TINDALL                  CYNTHIA      N           "</f>
        <v xml:space="preserve">TINDALL                  CYNTHIA      N           </v>
      </c>
      <c r="E13083" t="str">
        <f>"PONTOTOC                  "</f>
        <v xml:space="preserve">PONTOTOC                  </v>
      </c>
      <c r="F13083" t="str">
        <f t="shared" si="337"/>
        <v>MS</v>
      </c>
    </row>
    <row r="13084" spans="1:6" x14ac:dyDescent="0.25">
      <c r="A13084" t="str">
        <f>"008002873"</f>
        <v>008002873</v>
      </c>
      <c r="B13084" t="str">
        <f>"1518178839"</f>
        <v>1518178839</v>
      </c>
      <c r="C13084" t="str">
        <f>"363L00000X"</f>
        <v>363L00000X</v>
      </c>
      <c r="D13084" t="str">
        <f>"BUCKLEY                  BRANDIE      D           "</f>
        <v xml:space="preserve">BUCKLEY                  BRANDIE      D           </v>
      </c>
      <c r="E13084" t="str">
        <f>"CHOCTAW                   "</f>
        <v xml:space="preserve">CHOCTAW                   </v>
      </c>
      <c r="F13084" t="str">
        <f t="shared" si="337"/>
        <v>MS</v>
      </c>
    </row>
    <row r="13085" spans="1:6" x14ac:dyDescent="0.25">
      <c r="A13085" t="str">
        <f>"008003866"</f>
        <v>008003866</v>
      </c>
      <c r="B13085" t="str">
        <f>"1720522535"</f>
        <v>1720522535</v>
      </c>
      <c r="C13085" t="str">
        <f>"363L00000X"</f>
        <v>363L00000X</v>
      </c>
      <c r="D13085" t="str">
        <f>"SAMMONS                  MARION       S           "</f>
        <v xml:space="preserve">SAMMONS                  MARION       S           </v>
      </c>
      <c r="E13085" t="str">
        <f>"LAUREL                    "</f>
        <v xml:space="preserve">LAUREL                    </v>
      </c>
      <c r="F13085" t="str">
        <f t="shared" si="337"/>
        <v>MS</v>
      </c>
    </row>
    <row r="13086" spans="1:6" x14ac:dyDescent="0.25">
      <c r="A13086" t="str">
        <f>"008004301"</f>
        <v>008004301</v>
      </c>
      <c r="B13086" t="str">
        <f>"1376106179"</f>
        <v>1376106179</v>
      </c>
      <c r="C13086" t="str">
        <f>"367500000X"</f>
        <v>367500000X</v>
      </c>
      <c r="D13086" t="str">
        <f>"SMITH                    MORGAN       T           "</f>
        <v xml:space="preserve">SMITH                    MORGAN       T           </v>
      </c>
      <c r="E13086" t="str">
        <f>"SOUTHAVEN                 "</f>
        <v xml:space="preserve">SOUTHAVEN                 </v>
      </c>
      <c r="F13086" t="str">
        <f t="shared" si="337"/>
        <v>MS</v>
      </c>
    </row>
    <row r="13087" spans="1:6" x14ac:dyDescent="0.25">
      <c r="A13087" t="str">
        <f>"008005721"</f>
        <v>008005721</v>
      </c>
      <c r="B13087" t="str">
        <f>"1336671213"</f>
        <v>1336671213</v>
      </c>
      <c r="C13087" t="str">
        <f>"207P00000X"</f>
        <v>207P00000X</v>
      </c>
      <c r="D13087" t="str">
        <f>"GAST                     MICHAEL                  "</f>
        <v xml:space="preserve">GAST                     MICHAEL                  </v>
      </c>
      <c r="E13087" t="str">
        <f>"LAUREL                    "</f>
        <v xml:space="preserve">LAUREL                    </v>
      </c>
      <c r="F13087" t="str">
        <f t="shared" si="337"/>
        <v>MS</v>
      </c>
    </row>
    <row r="13088" spans="1:6" x14ac:dyDescent="0.25">
      <c r="A13088" t="str">
        <f>"008006553"</f>
        <v>008006553</v>
      </c>
      <c r="B13088" t="str">
        <f>"1659571438"</f>
        <v>1659571438</v>
      </c>
      <c r="C13088" t="str">
        <f>"207P00000X"</f>
        <v>207P00000X</v>
      </c>
      <c r="D13088" t="str">
        <f>"DOUGLAS                  PHILLIP      E           "</f>
        <v xml:space="preserve">DOUGLAS                  PHILLIP      E           </v>
      </c>
      <c r="E13088" t="str">
        <f>"TUPELO                    "</f>
        <v xml:space="preserve">TUPELO                    </v>
      </c>
      <c r="F13088" t="str">
        <f t="shared" si="337"/>
        <v>MS</v>
      </c>
    </row>
    <row r="13089" spans="1:6" x14ac:dyDescent="0.25">
      <c r="A13089" t="str">
        <f>"008006805"</f>
        <v>008006805</v>
      </c>
      <c r="B13089" t="str">
        <f>"1578025466"</f>
        <v>1578025466</v>
      </c>
      <c r="C13089" t="str">
        <f>"208000000X"</f>
        <v>208000000X</v>
      </c>
      <c r="D13089" t="str">
        <f>"KEILERS                  TONI         L           "</f>
        <v xml:space="preserve">KEILERS                  TONI         L           </v>
      </c>
      <c r="E13089" t="str">
        <f>"JACKSON                   "</f>
        <v xml:space="preserve">JACKSON                   </v>
      </c>
      <c r="F13089" t="str">
        <f t="shared" si="337"/>
        <v>MS</v>
      </c>
    </row>
    <row r="13090" spans="1:6" x14ac:dyDescent="0.25">
      <c r="A13090" t="str">
        <f>"008008899"</f>
        <v>008008899</v>
      </c>
      <c r="B13090" t="str">
        <f>"1144419987"</f>
        <v>1144419987</v>
      </c>
      <c r="C13090" t="str">
        <f>"367500000X"</f>
        <v>367500000X</v>
      </c>
      <c r="D13090" t="str">
        <f>"PARHAM                   GREG         R           "</f>
        <v xml:space="preserve">PARHAM                   GREG         R           </v>
      </c>
      <c r="E13090" t="str">
        <f>"TUPELO                    "</f>
        <v xml:space="preserve">TUPELO                    </v>
      </c>
      <c r="F13090" t="str">
        <f t="shared" si="337"/>
        <v>MS</v>
      </c>
    </row>
    <row r="13091" spans="1:6" x14ac:dyDescent="0.25">
      <c r="A13091" t="str">
        <f>"008021026"</f>
        <v>008021026</v>
      </c>
      <c r="B13091" t="str">
        <f>"1538178538"</f>
        <v>1538178538</v>
      </c>
      <c r="C13091" t="str">
        <f>"207P00000X"</f>
        <v>207P00000X</v>
      </c>
      <c r="D13091" t="str">
        <f>"REINKE                   BRADLEY      H           "</f>
        <v xml:space="preserve">REINKE                   BRADLEY      H           </v>
      </c>
      <c r="E13091" t="str">
        <f>"NATCHEZ                   "</f>
        <v xml:space="preserve">NATCHEZ                   </v>
      </c>
      <c r="F13091" t="str">
        <f t="shared" si="337"/>
        <v>MS</v>
      </c>
    </row>
    <row r="13092" spans="1:6" x14ac:dyDescent="0.25">
      <c r="A13092" t="str">
        <f>"008021245"</f>
        <v>008021245</v>
      </c>
      <c r="B13092" t="str">
        <f>"1588176424"</f>
        <v>1588176424</v>
      </c>
      <c r="C13092" t="str">
        <f>"367500000X"</f>
        <v>367500000X</v>
      </c>
      <c r="D13092" t="str">
        <f>"ROBERTSON                LAUREN       B           "</f>
        <v xml:space="preserve">ROBERTSON                LAUREN       B           </v>
      </c>
      <c r="E13092" t="str">
        <f>"HATTIESBURG               "</f>
        <v xml:space="preserve">HATTIESBURG               </v>
      </c>
      <c r="F13092" t="str">
        <f t="shared" si="337"/>
        <v>MS</v>
      </c>
    </row>
    <row r="13093" spans="1:6" x14ac:dyDescent="0.25">
      <c r="A13093" t="str">
        <f>"008021300"</f>
        <v>008021300</v>
      </c>
      <c r="B13093" t="str">
        <f>"1932636495"</f>
        <v>1932636495</v>
      </c>
      <c r="C13093" t="str">
        <f>"261QE0700X"</f>
        <v>261QE0700X</v>
      </c>
      <c r="D13093" t="str">
        <f>"LAUDERDALE COUNTY DIALYSIS                        "</f>
        <v xml:space="preserve">LAUDERDALE COUNTY DIALYSIS                        </v>
      </c>
      <c r="E13093" t="str">
        <f>"MERIDIAN                  "</f>
        <v xml:space="preserve">MERIDIAN                  </v>
      </c>
      <c r="F13093" t="str">
        <f t="shared" si="337"/>
        <v>MS</v>
      </c>
    </row>
    <row r="13094" spans="1:6" x14ac:dyDescent="0.25">
      <c r="A13094" t="str">
        <f>"008021391"</f>
        <v>008021391</v>
      </c>
      <c r="B13094" t="str">
        <f>"1750955282"</f>
        <v>1750955282</v>
      </c>
      <c r="C13094" t="str">
        <f>"363L00000X"</f>
        <v>363L00000X</v>
      </c>
      <c r="D13094" t="str">
        <f>"CONN                     LORI                     "</f>
        <v xml:space="preserve">CONN                     LORI                     </v>
      </c>
      <c r="E13094" t="str">
        <f>"TUPELO                    "</f>
        <v xml:space="preserve">TUPELO                    </v>
      </c>
      <c r="F13094" t="str">
        <f t="shared" si="337"/>
        <v>MS</v>
      </c>
    </row>
    <row r="13095" spans="1:6" x14ac:dyDescent="0.25">
      <c r="A13095" t="str">
        <f>"008021392"</f>
        <v>008021392</v>
      </c>
      <c r="B13095" t="str">
        <f>"1326608878"</f>
        <v>1326608878</v>
      </c>
      <c r="C13095" t="str">
        <f>"363L00000X"</f>
        <v>363L00000X</v>
      </c>
      <c r="D13095" t="str">
        <f>"AULTMAN                  JENNIFER                 "</f>
        <v xml:space="preserve">AULTMAN                  JENNIFER                 </v>
      </c>
      <c r="E13095" t="str">
        <f>"LAUREL                    "</f>
        <v xml:space="preserve">LAUREL                    </v>
      </c>
      <c r="F13095" t="str">
        <f t="shared" si="337"/>
        <v>MS</v>
      </c>
    </row>
    <row r="13096" spans="1:6" x14ac:dyDescent="0.25">
      <c r="A13096" t="str">
        <f>"008021801"</f>
        <v>008021801</v>
      </c>
      <c r="B13096" t="str">
        <f>"1104002898"</f>
        <v>1104002898</v>
      </c>
      <c r="C13096" t="str">
        <f>"207RE0101X"</f>
        <v>207RE0101X</v>
      </c>
      <c r="D13096" t="str">
        <f>"SANDIFER                 VANESSA      L           "</f>
        <v xml:space="preserve">SANDIFER                 VANESSA      L           </v>
      </c>
      <c r="E13096" t="str">
        <f>"JACKSON                   "</f>
        <v xml:space="preserve">JACKSON                   </v>
      </c>
      <c r="F13096" t="str">
        <f t="shared" si="337"/>
        <v>MS</v>
      </c>
    </row>
    <row r="13097" spans="1:6" x14ac:dyDescent="0.25">
      <c r="A13097" t="str">
        <f>"008023235"</f>
        <v>008023235</v>
      </c>
      <c r="B13097" t="str">
        <f>"1548806540"</f>
        <v>1548806540</v>
      </c>
      <c r="C13097" t="str">
        <f>"363L00000X"</f>
        <v>363L00000X</v>
      </c>
      <c r="D13097" t="str">
        <f>"HAMMOND                  HAILEY       M           "</f>
        <v xml:space="preserve">HAMMOND                  HAILEY       M           </v>
      </c>
      <c r="E13097" t="str">
        <f>"STARKVILLE                "</f>
        <v xml:space="preserve">STARKVILLE                </v>
      </c>
      <c r="F13097" t="str">
        <f t="shared" si="337"/>
        <v>MS</v>
      </c>
    </row>
    <row r="13098" spans="1:6" x14ac:dyDescent="0.25">
      <c r="A13098" t="str">
        <f>"008024396"</f>
        <v>008024396</v>
      </c>
      <c r="B13098" t="str">
        <f>"1174029888"</f>
        <v>1174029888</v>
      </c>
      <c r="C13098" t="str">
        <f>"207Q00000X"</f>
        <v>207Q00000X</v>
      </c>
      <c r="D13098" t="str">
        <f>"NORRIS                   AMBER        W           "</f>
        <v xml:space="preserve">NORRIS                   AMBER        W           </v>
      </c>
      <c r="E13098" t="str">
        <f>"SALTILLO                  "</f>
        <v xml:space="preserve">SALTILLO                  </v>
      </c>
      <c r="F13098" t="str">
        <f t="shared" si="337"/>
        <v>MS</v>
      </c>
    </row>
    <row r="13099" spans="1:6" x14ac:dyDescent="0.25">
      <c r="A13099" t="str">
        <f>"008024894"</f>
        <v>008024894</v>
      </c>
      <c r="B13099" t="str">
        <f>"1225047053"</f>
        <v>1225047053</v>
      </c>
      <c r="C13099" t="str">
        <f>"207R00000X"</f>
        <v>207R00000X</v>
      </c>
      <c r="D13099" t="str">
        <f>"YUAN                     QING                     "</f>
        <v xml:space="preserve">YUAN                     QING                     </v>
      </c>
      <c r="E13099" t="str">
        <f>"SOUTHAVEN                 "</f>
        <v xml:space="preserve">SOUTHAVEN                 </v>
      </c>
      <c r="F13099" t="str">
        <f t="shared" si="337"/>
        <v>MS</v>
      </c>
    </row>
    <row r="13100" spans="1:6" x14ac:dyDescent="0.25">
      <c r="A13100" t="str">
        <f>"008025742"</f>
        <v>008025742</v>
      </c>
      <c r="B13100" t="str">
        <f>"1881797330"</f>
        <v>1881797330</v>
      </c>
      <c r="C13100" t="str">
        <f>"363L00000X"</f>
        <v>363L00000X</v>
      </c>
      <c r="D13100" t="str">
        <f>"LEWIS                    TERRILYN     L           "</f>
        <v xml:space="preserve">LEWIS                    TERRILYN     L           </v>
      </c>
      <c r="E13100" t="str">
        <f>"MCCOMB                    "</f>
        <v xml:space="preserve">MCCOMB                    </v>
      </c>
      <c r="F13100" t="str">
        <f t="shared" si="337"/>
        <v>MS</v>
      </c>
    </row>
    <row r="13101" spans="1:6" x14ac:dyDescent="0.25">
      <c r="A13101" t="str">
        <f>"008025804"</f>
        <v>008025804</v>
      </c>
      <c r="B13101" t="str">
        <f>"1821302795"</f>
        <v>1821302795</v>
      </c>
      <c r="C13101" t="str">
        <f>"152W00000X"</f>
        <v>152W00000X</v>
      </c>
      <c r="D13101" t="str">
        <f>"DAVIS                    EVAN         W           "</f>
        <v xml:space="preserve">DAVIS                    EVAN         W           </v>
      </c>
      <c r="E13101" t="str">
        <f>"LAUREL                    "</f>
        <v xml:space="preserve">LAUREL                    </v>
      </c>
      <c r="F13101" t="str">
        <f t="shared" si="337"/>
        <v>MS</v>
      </c>
    </row>
    <row r="13102" spans="1:6" x14ac:dyDescent="0.25">
      <c r="A13102" t="str">
        <f>"008027230"</f>
        <v>008027230</v>
      </c>
      <c r="B13102" t="str">
        <f>"1679775944"</f>
        <v>1679775944</v>
      </c>
      <c r="C13102" t="str">
        <f>"208000000X"</f>
        <v>208000000X</v>
      </c>
      <c r="D13102" t="str">
        <f>"CONVERTINO               COURTNEY                 "</f>
        <v xml:space="preserve">CONVERTINO               COURTNEY                 </v>
      </c>
      <c r="E13102" t="str">
        <f>"RIDGELAND                 "</f>
        <v xml:space="preserve">RIDGELAND                 </v>
      </c>
      <c r="F13102" t="str">
        <f t="shared" si="337"/>
        <v>MS</v>
      </c>
    </row>
    <row r="13103" spans="1:6" x14ac:dyDescent="0.25">
      <c r="A13103" t="str">
        <f>"008027268"</f>
        <v>008027268</v>
      </c>
      <c r="B13103" t="str">
        <f>"1346226503"</f>
        <v>1346226503</v>
      </c>
      <c r="C13103" t="str">
        <f>"207L00000X"</f>
        <v>207L00000X</v>
      </c>
      <c r="D13103" t="str">
        <f>"LANYON                   KENNETH      M           "</f>
        <v xml:space="preserve">LANYON                   KENNETH      M           </v>
      </c>
      <c r="E13103" t="str">
        <f>"CORINTH                   "</f>
        <v xml:space="preserve">CORINTH                   </v>
      </c>
      <c r="F13103" t="str">
        <f t="shared" si="337"/>
        <v>MS</v>
      </c>
    </row>
    <row r="13104" spans="1:6" x14ac:dyDescent="0.25">
      <c r="A13104" t="str">
        <f>"008027361"</f>
        <v>008027361</v>
      </c>
      <c r="B13104" t="str">
        <f>"1417357468"</f>
        <v>1417357468</v>
      </c>
      <c r="C13104" t="str">
        <f>"363L00000X"</f>
        <v>363L00000X</v>
      </c>
      <c r="D13104" t="str">
        <f>"TAYLOR                   ALLISON      B           "</f>
        <v xml:space="preserve">TAYLOR                   ALLISON      B           </v>
      </c>
      <c r="E13104" t="str">
        <f>"COLUMBUS                  "</f>
        <v xml:space="preserve">COLUMBUS                  </v>
      </c>
      <c r="F13104" t="str">
        <f t="shared" si="337"/>
        <v>MS</v>
      </c>
    </row>
    <row r="13105" spans="1:6" x14ac:dyDescent="0.25">
      <c r="A13105" t="str">
        <f>"008028887"</f>
        <v>008028887</v>
      </c>
      <c r="B13105" t="str">
        <f>"1548683790"</f>
        <v>1548683790</v>
      </c>
      <c r="C13105" t="str">
        <f>"363L00000X"</f>
        <v>363L00000X</v>
      </c>
      <c r="D13105" t="str">
        <f>"TALLEY                   ASHLEY       M           "</f>
        <v xml:space="preserve">TALLEY                   ASHLEY       M           </v>
      </c>
      <c r="E13105" t="str">
        <f>"CORINTH                   "</f>
        <v xml:space="preserve">CORINTH                   </v>
      </c>
      <c r="F13105" t="str">
        <f t="shared" si="337"/>
        <v>MS</v>
      </c>
    </row>
    <row r="13106" spans="1:6" x14ac:dyDescent="0.25">
      <c r="A13106" t="str">
        <f>"008029202"</f>
        <v>008029202</v>
      </c>
      <c r="B13106" t="str">
        <f>"1407402795"</f>
        <v>1407402795</v>
      </c>
      <c r="C13106" t="str">
        <f>"363LP0808X"</f>
        <v>363LP0808X</v>
      </c>
      <c r="D13106" t="str">
        <f>"DANIELS                  MARTHA                   "</f>
        <v xml:space="preserve">DANIELS                  MARTHA                   </v>
      </c>
      <c r="E13106" t="str">
        <f>"JACKSON                   "</f>
        <v xml:space="preserve">JACKSON                   </v>
      </c>
      <c r="F13106" t="str">
        <f t="shared" si="337"/>
        <v>MS</v>
      </c>
    </row>
    <row r="13107" spans="1:6" x14ac:dyDescent="0.25">
      <c r="A13107" t="str">
        <f>"008029717"</f>
        <v>008029717</v>
      </c>
      <c r="B13107" t="str">
        <f>"1194147355"</f>
        <v>1194147355</v>
      </c>
      <c r="C13107" t="str">
        <f>"367500000X"</f>
        <v>367500000X</v>
      </c>
      <c r="D13107" t="str">
        <f>"STOKES                   GREGG        D           "</f>
        <v xml:space="preserve">STOKES                   GREGG        D           </v>
      </c>
      <c r="E13107" t="str">
        <f>"HATTIESBURG               "</f>
        <v xml:space="preserve">HATTIESBURG               </v>
      </c>
      <c r="F13107" t="str">
        <f t="shared" si="337"/>
        <v>MS</v>
      </c>
    </row>
    <row r="13108" spans="1:6" x14ac:dyDescent="0.25">
      <c r="A13108" t="str">
        <f>"008033823"</f>
        <v>008033823</v>
      </c>
      <c r="B13108" t="str">
        <f>"1184755308"</f>
        <v>1184755308</v>
      </c>
      <c r="C13108" t="str">
        <f>"207P00000X"</f>
        <v>207P00000X</v>
      </c>
      <c r="D13108" t="str">
        <f>"DAVIS                    AMY          B           "</f>
        <v xml:space="preserve">DAVIS                    AMY          B           </v>
      </c>
      <c r="E13108" t="str">
        <f>"CORINTH                   "</f>
        <v xml:space="preserve">CORINTH                   </v>
      </c>
      <c r="F13108" t="str">
        <f t="shared" si="337"/>
        <v>MS</v>
      </c>
    </row>
    <row r="13109" spans="1:6" x14ac:dyDescent="0.25">
      <c r="A13109" t="str">
        <f>"008034553"</f>
        <v>008034553</v>
      </c>
      <c r="B13109" t="str">
        <f>"1689765554"</f>
        <v>1689765554</v>
      </c>
      <c r="C13109" t="str">
        <f>"2085R0204X"</f>
        <v>2085R0204X</v>
      </c>
      <c r="D13109" t="str">
        <f>"MCCOWAN                  TIMOTHY      C           "</f>
        <v xml:space="preserve">MCCOWAN                  TIMOTHY      C           </v>
      </c>
      <c r="E13109" t="str">
        <f>"JACKSON                   "</f>
        <v xml:space="preserve">JACKSON                   </v>
      </c>
      <c r="F13109" t="str">
        <f t="shared" si="337"/>
        <v>MS</v>
      </c>
    </row>
    <row r="13110" spans="1:6" x14ac:dyDescent="0.25">
      <c r="A13110" t="str">
        <f>"008035052"</f>
        <v>008035052</v>
      </c>
      <c r="B13110" t="str">
        <f>"1245890144"</f>
        <v>1245890144</v>
      </c>
      <c r="C13110" t="str">
        <f>"363L00000X"</f>
        <v>363L00000X</v>
      </c>
      <c r="D13110" t="str">
        <f>"MOORE                    NICOLE       J           "</f>
        <v xml:space="preserve">MOORE                    NICOLE       J           </v>
      </c>
      <c r="E13110" t="str">
        <f>"HATTIESBURG               "</f>
        <v xml:space="preserve">HATTIESBURG               </v>
      </c>
      <c r="F13110" t="str">
        <f t="shared" si="337"/>
        <v>MS</v>
      </c>
    </row>
    <row r="13111" spans="1:6" x14ac:dyDescent="0.25">
      <c r="A13111" t="str">
        <f>"008035728"</f>
        <v>008035728</v>
      </c>
      <c r="B13111" t="str">
        <f>"1164089322"</f>
        <v>1164089322</v>
      </c>
      <c r="C13111" t="str">
        <f>"363L00000X"</f>
        <v>363L00000X</v>
      </c>
      <c r="D13111" t="str">
        <f>"PERTEET                  PAULA        D           "</f>
        <v xml:space="preserve">PERTEET                  PAULA        D           </v>
      </c>
      <c r="E13111" t="str">
        <f>"VICKSBURG                 "</f>
        <v xml:space="preserve">VICKSBURG                 </v>
      </c>
      <c r="F13111" t="str">
        <f t="shared" si="337"/>
        <v>MS</v>
      </c>
    </row>
    <row r="13112" spans="1:6" x14ac:dyDescent="0.25">
      <c r="A13112" t="str">
        <f>"008036027"</f>
        <v>008036027</v>
      </c>
      <c r="B13112" t="str">
        <f>"1396943007"</f>
        <v>1396943007</v>
      </c>
      <c r="C13112" t="str">
        <f>"207L00000X"</f>
        <v>207L00000X</v>
      </c>
      <c r="D13112" t="str">
        <f>"GRAVELL                  GREGORY      J           "</f>
        <v xml:space="preserve">GRAVELL                  GREGORY      J           </v>
      </c>
      <c r="E13112" t="str">
        <f>"MERIDIAN                  "</f>
        <v xml:space="preserve">MERIDIAN                  </v>
      </c>
      <c r="F13112" t="str">
        <f t="shared" si="337"/>
        <v>MS</v>
      </c>
    </row>
    <row r="13113" spans="1:6" x14ac:dyDescent="0.25">
      <c r="A13113" t="str">
        <f>"008036099"</f>
        <v>008036099</v>
      </c>
      <c r="B13113" t="str">
        <f>"1659374544"</f>
        <v>1659374544</v>
      </c>
      <c r="C13113" t="str">
        <f>"2085R0202X"</f>
        <v>2085R0202X</v>
      </c>
      <c r="D13113" t="str">
        <f>"HUTCHINS                 ERIC         B           "</f>
        <v xml:space="preserve">HUTCHINS                 ERIC         B           </v>
      </c>
      <c r="E13113" t="str">
        <f>"OLIVE BRANCH              "</f>
        <v xml:space="preserve">OLIVE BRANCH              </v>
      </c>
      <c r="F13113" t="str">
        <f t="shared" si="337"/>
        <v>MS</v>
      </c>
    </row>
    <row r="13114" spans="1:6" x14ac:dyDescent="0.25">
      <c r="A13114" t="str">
        <f>"008036306"</f>
        <v>008036306</v>
      </c>
      <c r="B13114" t="str">
        <f>"1295097269"</f>
        <v>1295097269</v>
      </c>
      <c r="C13114" t="str">
        <f>"363L00000X"</f>
        <v>363L00000X</v>
      </c>
      <c r="D13114" t="str">
        <f>"ROSS                     KAREN        C           "</f>
        <v xml:space="preserve">ROSS                     KAREN        C           </v>
      </c>
      <c r="E13114" t="str">
        <f>"LIBERTY                   "</f>
        <v xml:space="preserve">LIBERTY                   </v>
      </c>
      <c r="F13114" t="str">
        <f t="shared" si="337"/>
        <v>MS</v>
      </c>
    </row>
    <row r="13115" spans="1:6" x14ac:dyDescent="0.25">
      <c r="A13115" t="str">
        <f>"008036364"</f>
        <v>008036364</v>
      </c>
      <c r="B13115" t="str">
        <f>"1619354420"</f>
        <v>1619354420</v>
      </c>
      <c r="C13115" t="str">
        <f>"207Q00000X"</f>
        <v>207Q00000X</v>
      </c>
      <c r="D13115" t="str">
        <f>"HENDRY                   ASHLEE       L           "</f>
        <v xml:space="preserve">HENDRY                   ASHLEE       L           </v>
      </c>
      <c r="E13115" t="str">
        <f>"PETAL                     "</f>
        <v xml:space="preserve">PETAL                     </v>
      </c>
      <c r="F13115" t="str">
        <f t="shared" si="337"/>
        <v>MS</v>
      </c>
    </row>
    <row r="13116" spans="1:6" x14ac:dyDescent="0.25">
      <c r="A13116" t="str">
        <f>"008036594"</f>
        <v>008036594</v>
      </c>
      <c r="B13116" t="str">
        <f>"1962451757"</f>
        <v>1962451757</v>
      </c>
      <c r="C13116" t="str">
        <f>"207R00000X"</f>
        <v>207R00000X</v>
      </c>
      <c r="D13116" t="str">
        <f>"OTUSESO                  ENIOLA                   "</f>
        <v xml:space="preserve">OTUSESO                  ENIOLA                   </v>
      </c>
      <c r="E13116" t="str">
        <f>"VICKSBURG                 "</f>
        <v xml:space="preserve">VICKSBURG                 </v>
      </c>
      <c r="F13116" t="str">
        <f t="shared" si="337"/>
        <v>MS</v>
      </c>
    </row>
    <row r="13117" spans="1:6" x14ac:dyDescent="0.25">
      <c r="A13117" t="str">
        <f>"008036756"</f>
        <v>008036756</v>
      </c>
      <c r="B13117" t="str">
        <f>"1841645850"</f>
        <v>1841645850</v>
      </c>
      <c r="C13117" t="str">
        <f>"363L00000X"</f>
        <v>363L00000X</v>
      </c>
      <c r="D13117" t="str">
        <f>"MOORE                    KARI         D           "</f>
        <v xml:space="preserve">MOORE                    KARI         D           </v>
      </c>
      <c r="E13117" t="str">
        <f>"NEWTON                    "</f>
        <v xml:space="preserve">NEWTON                    </v>
      </c>
      <c r="F13117" t="str">
        <f t="shared" si="337"/>
        <v>MS</v>
      </c>
    </row>
    <row r="13118" spans="1:6" x14ac:dyDescent="0.25">
      <c r="A13118" t="str">
        <f>"008037015"</f>
        <v>008037015</v>
      </c>
      <c r="B13118" t="str">
        <f>"1851656292"</f>
        <v>1851656292</v>
      </c>
      <c r="C13118" t="str">
        <f>"207R00000X"</f>
        <v>207R00000X</v>
      </c>
      <c r="D13118" t="str">
        <f>"KHURANA                  SAURABH                  "</f>
        <v xml:space="preserve">KHURANA                  SAURABH                  </v>
      </c>
      <c r="E13118" t="str">
        <f>"CORINTH                   "</f>
        <v xml:space="preserve">CORINTH                   </v>
      </c>
      <c r="F13118" t="str">
        <f t="shared" ref="F13118:F13181" si="338">"MS"</f>
        <v>MS</v>
      </c>
    </row>
    <row r="13119" spans="1:6" x14ac:dyDescent="0.25">
      <c r="A13119" t="str">
        <f>"008037078"</f>
        <v>008037078</v>
      </c>
      <c r="B13119" t="str">
        <f>"1750743670"</f>
        <v>1750743670</v>
      </c>
      <c r="C13119" t="str">
        <f>"208000000X"</f>
        <v>208000000X</v>
      </c>
      <c r="D13119" t="str">
        <f>"BERCH                    MARLAINA     G           "</f>
        <v xml:space="preserve">BERCH                    MARLAINA     G           </v>
      </c>
      <c r="E13119" t="str">
        <f>"CORINTH                   "</f>
        <v xml:space="preserve">CORINTH                   </v>
      </c>
      <c r="F13119" t="str">
        <f t="shared" si="338"/>
        <v>MS</v>
      </c>
    </row>
    <row r="13120" spans="1:6" x14ac:dyDescent="0.25">
      <c r="A13120" t="str">
        <f>"008037264"</f>
        <v>008037264</v>
      </c>
      <c r="B13120" t="str">
        <f>"1962994814"</f>
        <v>1962994814</v>
      </c>
      <c r="C13120" t="str">
        <f>"122300000X"</f>
        <v>122300000X</v>
      </c>
      <c r="D13120" t="str">
        <f>"GRECO-PEYTON             ASHLEY       M           "</f>
        <v xml:space="preserve">GRECO-PEYTON             ASHLEY       M           </v>
      </c>
      <c r="E13120" t="str">
        <f>"GREENWOOD                 "</f>
        <v xml:space="preserve">GREENWOOD                 </v>
      </c>
      <c r="F13120" t="str">
        <f t="shared" si="338"/>
        <v>MS</v>
      </c>
    </row>
    <row r="13121" spans="1:6" x14ac:dyDescent="0.25">
      <c r="A13121" t="str">
        <f>"008037711"</f>
        <v>008037711</v>
      </c>
      <c r="B13121" t="str">
        <f>"1932133055"</f>
        <v>1932133055</v>
      </c>
      <c r="C13121" t="str">
        <f>"208000000X"</f>
        <v>208000000X</v>
      </c>
      <c r="D13121" t="str">
        <f>"VAGHELA                  RACHANA                  "</f>
        <v xml:space="preserve">VAGHELA                  RACHANA                  </v>
      </c>
      <c r="E13121" t="str">
        <f>"SOUTHAVEN                 "</f>
        <v xml:space="preserve">SOUTHAVEN                 </v>
      </c>
      <c r="F13121" t="str">
        <f t="shared" si="338"/>
        <v>MS</v>
      </c>
    </row>
    <row r="13122" spans="1:6" x14ac:dyDescent="0.25">
      <c r="A13122" t="str">
        <f>"008038090"</f>
        <v>008038090</v>
      </c>
      <c r="B13122" t="str">
        <f>"1972167278"</f>
        <v>1972167278</v>
      </c>
      <c r="C13122" t="str">
        <f>"363L00000X"</f>
        <v>363L00000X</v>
      </c>
      <c r="D13122" t="str">
        <f>"CARSON                   JESSICA      D           "</f>
        <v xml:space="preserve">CARSON                   JESSICA      D           </v>
      </c>
      <c r="E13122" t="str">
        <f>"LEXINGTON                 "</f>
        <v xml:space="preserve">LEXINGTON                 </v>
      </c>
      <c r="F13122" t="str">
        <f t="shared" si="338"/>
        <v>MS</v>
      </c>
    </row>
    <row r="13123" spans="1:6" x14ac:dyDescent="0.25">
      <c r="A13123" t="str">
        <f>"008038805"</f>
        <v>008038805</v>
      </c>
      <c r="B13123" t="str">
        <f>"1003259896"</f>
        <v>1003259896</v>
      </c>
      <c r="C13123" t="str">
        <f>"207LP2900X"</f>
        <v>207LP2900X</v>
      </c>
      <c r="D13123" t="str">
        <f>"BURNS                    LANDON       T           "</f>
        <v xml:space="preserve">BURNS                    LANDON       T           </v>
      </c>
      <c r="E13123" t="str">
        <f>"FLOWOOD                   "</f>
        <v xml:space="preserve">FLOWOOD                   </v>
      </c>
      <c r="F13123" t="str">
        <f t="shared" si="338"/>
        <v>MS</v>
      </c>
    </row>
    <row r="13124" spans="1:6" x14ac:dyDescent="0.25">
      <c r="A13124" t="str">
        <f>"008052729"</f>
        <v>008052729</v>
      </c>
      <c r="B13124" t="str">
        <f>"1750547212"</f>
        <v>1750547212</v>
      </c>
      <c r="C13124" t="str">
        <f>"2086S0120X"</f>
        <v>2086S0120X</v>
      </c>
      <c r="D13124" t="str">
        <f>"MORRIS JR                MICHAEL      W           "</f>
        <v xml:space="preserve">MORRIS JR                MICHAEL      W           </v>
      </c>
      <c r="E13124" t="str">
        <f>"JACKSON                   "</f>
        <v xml:space="preserve">JACKSON                   </v>
      </c>
      <c r="F13124" t="str">
        <f t="shared" si="338"/>
        <v>MS</v>
      </c>
    </row>
    <row r="13125" spans="1:6" x14ac:dyDescent="0.25">
      <c r="A13125" t="str">
        <f>"008055700"</f>
        <v>008055700</v>
      </c>
      <c r="B13125" t="str">
        <f>"1801150958"</f>
        <v>1801150958</v>
      </c>
      <c r="C13125" t="str">
        <f>"122300000X"</f>
        <v>122300000X</v>
      </c>
      <c r="D13125" t="str">
        <f>"ROSE                     JERRICK      W           "</f>
        <v xml:space="preserve">ROSE                     JERRICK      W           </v>
      </c>
      <c r="E13125" t="str">
        <f>"CRYSTAL SPRINGS           "</f>
        <v xml:space="preserve">CRYSTAL SPRINGS           </v>
      </c>
      <c r="F13125" t="str">
        <f t="shared" si="338"/>
        <v>MS</v>
      </c>
    </row>
    <row r="13126" spans="1:6" x14ac:dyDescent="0.25">
      <c r="A13126" t="str">
        <f>"008055799"</f>
        <v>008055799</v>
      </c>
      <c r="B13126" t="str">
        <f>"1255977419"</f>
        <v>1255977419</v>
      </c>
      <c r="C13126" t="str">
        <f>"261QM0801X"</f>
        <v>261QM0801X</v>
      </c>
      <c r="D13126" t="str">
        <f>"HAMILTONDAVIS MENTAL HEALTH, INC.                 "</f>
        <v xml:space="preserve">HAMILTONDAVIS MENTAL HEALTH, INC.                 </v>
      </c>
      <c r="E13126" t="str">
        <f>"PEARL                     "</f>
        <v xml:space="preserve">PEARL                     </v>
      </c>
      <c r="F13126" t="str">
        <f t="shared" si="338"/>
        <v>MS</v>
      </c>
    </row>
    <row r="13127" spans="1:6" x14ac:dyDescent="0.25">
      <c r="A13127" t="str">
        <f>"008057018"</f>
        <v>008057018</v>
      </c>
      <c r="B13127" t="str">
        <f>"1134164916"</f>
        <v>1134164916</v>
      </c>
      <c r="C13127" t="str">
        <f>"363L00000X"</f>
        <v>363L00000X</v>
      </c>
      <c r="D13127" t="str">
        <f>"LLOYD                    HEATHER      D           "</f>
        <v xml:space="preserve">LLOYD                    HEATHER      D           </v>
      </c>
      <c r="E13127" t="str">
        <f>"LELAND                    "</f>
        <v xml:space="preserve">LELAND                    </v>
      </c>
      <c r="F13127" t="str">
        <f t="shared" si="338"/>
        <v>MS</v>
      </c>
    </row>
    <row r="13128" spans="1:6" x14ac:dyDescent="0.25">
      <c r="A13128" t="str">
        <f>"008057286"</f>
        <v>008057286</v>
      </c>
      <c r="B13128" t="str">
        <f>"1689326357"</f>
        <v>1689326357</v>
      </c>
      <c r="C13128" t="str">
        <f>"363A00000X"</f>
        <v>363A00000X</v>
      </c>
      <c r="D13128" t="str">
        <f>"HILGART                  ALICE                    "</f>
        <v xml:space="preserve">HILGART                  ALICE                    </v>
      </c>
      <c r="E13128" t="str">
        <f>"FLOWOOD                   "</f>
        <v xml:space="preserve">FLOWOOD                   </v>
      </c>
      <c r="F13128" t="str">
        <f t="shared" si="338"/>
        <v>MS</v>
      </c>
    </row>
    <row r="13129" spans="1:6" x14ac:dyDescent="0.25">
      <c r="A13129" t="str">
        <f>"008058025"</f>
        <v>008058025</v>
      </c>
      <c r="B13129" t="str">
        <f>"1528158433"</f>
        <v>1528158433</v>
      </c>
      <c r="C13129" t="str">
        <f>"2086S0129X"</f>
        <v>2086S0129X</v>
      </c>
      <c r="D13129" t="str">
        <f>"MITCHELL                 MARC         E           "</f>
        <v xml:space="preserve">MITCHELL                 MARC         E           </v>
      </c>
      <c r="E13129" t="str">
        <f>"JACKSON                   "</f>
        <v xml:space="preserve">JACKSON                   </v>
      </c>
      <c r="F13129" t="str">
        <f t="shared" si="338"/>
        <v>MS</v>
      </c>
    </row>
    <row r="13130" spans="1:6" x14ac:dyDescent="0.25">
      <c r="A13130" t="str">
        <f>"008058223"</f>
        <v>008058223</v>
      </c>
      <c r="B13130" t="str">
        <f>"1255999595"</f>
        <v>1255999595</v>
      </c>
      <c r="C13130" t="str">
        <f>"363L00000X"</f>
        <v>363L00000X</v>
      </c>
      <c r="D13130" t="str">
        <f>"JOHNSON                  KIARA        D           "</f>
        <v xml:space="preserve">JOHNSON                  KIARA        D           </v>
      </c>
      <c r="E13130" t="str">
        <f>"JACKSON                   "</f>
        <v xml:space="preserve">JACKSON                   </v>
      </c>
      <c r="F13130" t="str">
        <f t="shared" si="338"/>
        <v>MS</v>
      </c>
    </row>
    <row r="13131" spans="1:6" x14ac:dyDescent="0.25">
      <c r="A13131" t="str">
        <f>"008070043"</f>
        <v>008070043</v>
      </c>
      <c r="B13131" t="str">
        <f>"1790735652"</f>
        <v>1790735652</v>
      </c>
      <c r="C13131" t="str">
        <f>"207R00000X"</f>
        <v>207R00000X</v>
      </c>
      <c r="D13131" t="str">
        <f>"MCCLENDON JR             WILLIAM      D           "</f>
        <v xml:space="preserve">MCCLENDON JR             WILLIAM      D           </v>
      </c>
      <c r="E13131" t="str">
        <f>"OCEAN SPRINGS             "</f>
        <v xml:space="preserve">OCEAN SPRINGS             </v>
      </c>
      <c r="F13131" t="str">
        <f t="shared" si="338"/>
        <v>MS</v>
      </c>
    </row>
    <row r="13132" spans="1:6" x14ac:dyDescent="0.25">
      <c r="A13132" t="str">
        <f>"008070835"</f>
        <v>008070835</v>
      </c>
      <c r="B13132" t="str">
        <f>"1417148917"</f>
        <v>1417148917</v>
      </c>
      <c r="C13132" t="str">
        <f>"367500000X"</f>
        <v>367500000X</v>
      </c>
      <c r="D13132" t="str">
        <f>"HENDRY                   KEVIN                    "</f>
        <v xml:space="preserve">HENDRY                   KEVIN                    </v>
      </c>
      <c r="E13132" t="str">
        <f>"PASCAGOULA                "</f>
        <v xml:space="preserve">PASCAGOULA                </v>
      </c>
      <c r="F13132" t="str">
        <f t="shared" si="338"/>
        <v>MS</v>
      </c>
    </row>
    <row r="13133" spans="1:6" x14ac:dyDescent="0.25">
      <c r="A13133" t="str">
        <f>"008071294"</f>
        <v>008071294</v>
      </c>
      <c r="B13133" t="str">
        <f>"1548722358"</f>
        <v>1548722358</v>
      </c>
      <c r="C13133" t="str">
        <f>"2084N0402X"</f>
        <v>2084N0402X</v>
      </c>
      <c r="D13133" t="str">
        <f>"MCGUIRE                  MATTHEW      R           "</f>
        <v xml:space="preserve">MCGUIRE                  MATTHEW      R           </v>
      </c>
      <c r="E13133" t="str">
        <f>"JACKSON                   "</f>
        <v xml:space="preserve">JACKSON                   </v>
      </c>
      <c r="F13133" t="str">
        <f t="shared" si="338"/>
        <v>MS</v>
      </c>
    </row>
    <row r="13134" spans="1:6" x14ac:dyDescent="0.25">
      <c r="A13134" t="str">
        <f>"008071560"</f>
        <v>008071560</v>
      </c>
      <c r="B13134" t="str">
        <f>"1215456074"</f>
        <v>1215456074</v>
      </c>
      <c r="C13134" t="str">
        <f>"363L00000X"</f>
        <v>363L00000X</v>
      </c>
      <c r="D13134" t="str">
        <f>"MAHON                    CARLY        M           "</f>
        <v xml:space="preserve">MAHON                    CARLY        M           </v>
      </c>
      <c r="E13134" t="str">
        <f>"NEW ALBANY                "</f>
        <v xml:space="preserve">NEW ALBANY                </v>
      </c>
      <c r="F13134" t="str">
        <f t="shared" si="338"/>
        <v>MS</v>
      </c>
    </row>
    <row r="13135" spans="1:6" x14ac:dyDescent="0.25">
      <c r="A13135" t="str">
        <f>"008072591"</f>
        <v>008072591</v>
      </c>
      <c r="B13135" t="str">
        <f>"1467024901"</f>
        <v>1467024901</v>
      </c>
      <c r="C13135" t="str">
        <f>"363L00000X"</f>
        <v>363L00000X</v>
      </c>
      <c r="D13135" t="str">
        <f>"BUCKLEW                  MARY         H           "</f>
        <v xml:space="preserve">BUCKLEW                  MARY         H           </v>
      </c>
      <c r="E13135" t="str">
        <f>"LOUISVILLE                "</f>
        <v xml:space="preserve">LOUISVILLE                </v>
      </c>
      <c r="F13135" t="str">
        <f t="shared" si="338"/>
        <v>MS</v>
      </c>
    </row>
    <row r="13136" spans="1:6" x14ac:dyDescent="0.25">
      <c r="A13136" t="str">
        <f>"008076251"</f>
        <v>008076251</v>
      </c>
      <c r="B13136" t="str">
        <f>"1538298203"</f>
        <v>1538298203</v>
      </c>
      <c r="C13136" t="str">
        <f>"363L00000X"</f>
        <v>363L00000X</v>
      </c>
      <c r="D13136" t="str">
        <f>"EMERSON                  DELIA        T           "</f>
        <v xml:space="preserve">EMERSON                  DELIA        T           </v>
      </c>
      <c r="E13136" t="str">
        <f>"JACKSON                   "</f>
        <v xml:space="preserve">JACKSON                   </v>
      </c>
      <c r="F13136" t="str">
        <f t="shared" si="338"/>
        <v>MS</v>
      </c>
    </row>
    <row r="13137" spans="1:6" x14ac:dyDescent="0.25">
      <c r="A13137" t="str">
        <f>"008076764"</f>
        <v>008076764</v>
      </c>
      <c r="B13137" t="str">
        <f>"1255751525"</f>
        <v>1255751525</v>
      </c>
      <c r="C13137" t="str">
        <f>"207Q00000X"</f>
        <v>207Q00000X</v>
      </c>
      <c r="D13137" t="str">
        <f>"BLACKWELL                KORY         W           "</f>
        <v xml:space="preserve">BLACKWELL                KORY         W           </v>
      </c>
      <c r="E13137" t="str">
        <f>"HATTIESBURG               "</f>
        <v xml:space="preserve">HATTIESBURG               </v>
      </c>
      <c r="F13137" t="str">
        <f t="shared" si="338"/>
        <v>MS</v>
      </c>
    </row>
    <row r="13138" spans="1:6" x14ac:dyDescent="0.25">
      <c r="A13138" t="str">
        <f>"008076785"</f>
        <v>008076785</v>
      </c>
      <c r="B13138" t="str">
        <f>"1811523590"</f>
        <v>1811523590</v>
      </c>
      <c r="C13138" t="str">
        <f>"363L00000X"</f>
        <v>363L00000X</v>
      </c>
      <c r="D13138" t="str">
        <f>"BARKER                   NATALIE                  "</f>
        <v xml:space="preserve">BARKER                   NATALIE                  </v>
      </c>
      <c r="E13138" t="str">
        <f>"PONTOTOC                  "</f>
        <v xml:space="preserve">PONTOTOC                  </v>
      </c>
      <c r="F13138" t="str">
        <f t="shared" si="338"/>
        <v>MS</v>
      </c>
    </row>
    <row r="13139" spans="1:6" x14ac:dyDescent="0.25">
      <c r="A13139" t="str">
        <f>"008078295"</f>
        <v>008078295</v>
      </c>
      <c r="B13139" t="str">
        <f>"1912068677"</f>
        <v>1912068677</v>
      </c>
      <c r="C13139" t="str">
        <f>"207X00000X"</f>
        <v>207X00000X</v>
      </c>
      <c r="D13139" t="str">
        <f>"TUCKER                   JOEL         A           "</f>
        <v xml:space="preserve">TUCKER                   JOEL         A           </v>
      </c>
      <c r="E13139" t="str">
        <f>"BILOXI                    "</f>
        <v xml:space="preserve">BILOXI                    </v>
      </c>
      <c r="F13139" t="str">
        <f t="shared" si="338"/>
        <v>MS</v>
      </c>
    </row>
    <row r="13140" spans="1:6" x14ac:dyDescent="0.25">
      <c r="A13140" t="str">
        <f>"008078552"</f>
        <v>008078552</v>
      </c>
      <c r="B13140" t="str">
        <f>"1578159877"</f>
        <v>1578159877</v>
      </c>
      <c r="C13140" t="str">
        <f>"363L00000X"</f>
        <v>363L00000X</v>
      </c>
      <c r="D13140" t="str">
        <f>"SETTLEMIRES              AIMEE                    "</f>
        <v xml:space="preserve">SETTLEMIRES              AIMEE                    </v>
      </c>
      <c r="E13140" t="str">
        <f>"TUPELO                    "</f>
        <v xml:space="preserve">TUPELO                    </v>
      </c>
      <c r="F13140" t="str">
        <f t="shared" si="338"/>
        <v>MS</v>
      </c>
    </row>
    <row r="13141" spans="1:6" x14ac:dyDescent="0.25">
      <c r="A13141" t="str">
        <f>"008078778"</f>
        <v>008078778</v>
      </c>
      <c r="B13141" t="str">
        <f>"1750497590"</f>
        <v>1750497590</v>
      </c>
      <c r="C13141" t="str">
        <f>"207RG0100X"</f>
        <v>207RG0100X</v>
      </c>
      <c r="D13141" t="str">
        <f>"OWENS                    GREGORY      R           "</f>
        <v xml:space="preserve">OWENS                    GREGORY      R           </v>
      </c>
      <c r="E13141" t="str">
        <f>"HATTIESBURG               "</f>
        <v xml:space="preserve">HATTIESBURG               </v>
      </c>
      <c r="F13141" t="str">
        <f t="shared" si="338"/>
        <v>MS</v>
      </c>
    </row>
    <row r="13142" spans="1:6" x14ac:dyDescent="0.25">
      <c r="A13142" t="str">
        <f>"008079861"</f>
        <v>008079861</v>
      </c>
      <c r="B13142" t="str">
        <f>"1770529802"</f>
        <v>1770529802</v>
      </c>
      <c r="C13142" t="str">
        <f>"207ZP0102X"</f>
        <v>207ZP0102X</v>
      </c>
      <c r="D13142" t="str">
        <f>"DALEY                    WILLIAM      P           "</f>
        <v xml:space="preserve">DALEY                    WILLIAM      P           </v>
      </c>
      <c r="E13142" t="str">
        <f>"JACKSON                   "</f>
        <v xml:space="preserve">JACKSON                   </v>
      </c>
      <c r="F13142" t="str">
        <f t="shared" si="338"/>
        <v>MS</v>
      </c>
    </row>
    <row r="13143" spans="1:6" x14ac:dyDescent="0.25">
      <c r="A13143" t="str">
        <f>"008083594"</f>
        <v>008083594</v>
      </c>
      <c r="B13143" t="str">
        <f>"1831161397"</f>
        <v>1831161397</v>
      </c>
      <c r="C13143" t="str">
        <f>"363L00000X"</f>
        <v>363L00000X</v>
      </c>
      <c r="D13143" t="str">
        <f>"COOK                     KENNETH      R           "</f>
        <v xml:space="preserve">COOK                     KENNETH      R           </v>
      </c>
      <c r="E13143" t="str">
        <f>"TUPELO                    "</f>
        <v xml:space="preserve">TUPELO                    </v>
      </c>
      <c r="F13143" t="str">
        <f t="shared" si="338"/>
        <v>MS</v>
      </c>
    </row>
    <row r="13144" spans="1:6" x14ac:dyDescent="0.25">
      <c r="A13144" t="str">
        <f>"008084510"</f>
        <v>008084510</v>
      </c>
      <c r="B13144" t="str">
        <f>"1689821126"</f>
        <v>1689821126</v>
      </c>
      <c r="C13144" t="str">
        <f>"261QR1300X"</f>
        <v>261QR1300X</v>
      </c>
      <c r="D13144" t="str">
        <f>"GREENE COUNTY FAMILY MEDICAL CLINIC               "</f>
        <v xml:space="preserve">GREENE COUNTY FAMILY MEDICAL CLINIC               </v>
      </c>
      <c r="E13144" t="str">
        <f>"LEAKESVILLE               "</f>
        <v xml:space="preserve">LEAKESVILLE               </v>
      </c>
      <c r="F13144" t="str">
        <f t="shared" si="338"/>
        <v>MS</v>
      </c>
    </row>
    <row r="13145" spans="1:6" x14ac:dyDescent="0.25">
      <c r="A13145" t="str">
        <f>"008085016"</f>
        <v>008085016</v>
      </c>
      <c r="B13145" t="str">
        <f>"1558306019"</f>
        <v>1558306019</v>
      </c>
      <c r="C13145" t="str">
        <f>"207Q00000X"</f>
        <v>207Q00000X</v>
      </c>
      <c r="D13145" t="str">
        <f>"BAGWELL                  MICHAEL      B           "</f>
        <v xml:space="preserve">BAGWELL                  MICHAEL      B           </v>
      </c>
      <c r="E13145" t="str">
        <f>"SENATOBIA                 "</f>
        <v xml:space="preserve">SENATOBIA                 </v>
      </c>
      <c r="F13145" t="str">
        <f t="shared" si="338"/>
        <v>MS</v>
      </c>
    </row>
    <row r="13146" spans="1:6" x14ac:dyDescent="0.25">
      <c r="A13146" t="str">
        <f>"008087589"</f>
        <v>008087589</v>
      </c>
      <c r="B13146" t="str">
        <f>"1790981660"</f>
        <v>1790981660</v>
      </c>
      <c r="C13146" t="str">
        <f>"208600000X"</f>
        <v>208600000X</v>
      </c>
      <c r="D13146" t="str">
        <f>"BERRY                    MICHAEL      A           "</f>
        <v xml:space="preserve">BERRY                    MICHAEL      A           </v>
      </c>
      <c r="E13146" t="str">
        <f>"COLUMBUS                  "</f>
        <v xml:space="preserve">COLUMBUS                  </v>
      </c>
      <c r="F13146" t="str">
        <f t="shared" si="338"/>
        <v>MS</v>
      </c>
    </row>
    <row r="13147" spans="1:6" x14ac:dyDescent="0.25">
      <c r="A13147" t="str">
        <f>"008088857"</f>
        <v>008088857</v>
      </c>
      <c r="B13147" t="str">
        <f>"1922181932"</f>
        <v>1922181932</v>
      </c>
      <c r="C13147" t="str">
        <f>"363L00000X"</f>
        <v>363L00000X</v>
      </c>
      <c r="D13147" t="str">
        <f>"MOSBY                    GAYLE                    "</f>
        <v xml:space="preserve">MOSBY                    GAYLE                    </v>
      </c>
      <c r="E13147" t="str">
        <f>"MERIDIAN                  "</f>
        <v xml:space="preserve">MERIDIAN                  </v>
      </c>
      <c r="F13147" t="str">
        <f t="shared" si="338"/>
        <v>MS</v>
      </c>
    </row>
    <row r="13148" spans="1:6" x14ac:dyDescent="0.25">
      <c r="A13148" t="str">
        <f>"008089010"</f>
        <v>008089010</v>
      </c>
      <c r="B13148" t="str">
        <f>"1881960136"</f>
        <v>1881960136</v>
      </c>
      <c r="C13148" t="str">
        <f>"363L00000X"</f>
        <v>363L00000X</v>
      </c>
      <c r="D13148" t="str">
        <f>"QUAVE                    LAUREN       A           "</f>
        <v xml:space="preserve">QUAVE                    LAUREN       A           </v>
      </c>
      <c r="E13148" t="str">
        <f>"GULFPORT                  "</f>
        <v xml:space="preserve">GULFPORT                  </v>
      </c>
      <c r="F13148" t="str">
        <f t="shared" si="338"/>
        <v>MS</v>
      </c>
    </row>
    <row r="13149" spans="1:6" x14ac:dyDescent="0.25">
      <c r="A13149" t="str">
        <f>"008089362"</f>
        <v>008089362</v>
      </c>
      <c r="B13149" t="str">
        <f>"1881986362"</f>
        <v>1881986362</v>
      </c>
      <c r="C13149" t="str">
        <f>"207R00000X"</f>
        <v>207R00000X</v>
      </c>
      <c r="D13149" t="str">
        <f>"MARTIN                   JAMES        R           "</f>
        <v xml:space="preserve">MARTIN                   JAMES        R           </v>
      </c>
      <c r="E13149" t="str">
        <f>"COLUMBUS                  "</f>
        <v xml:space="preserve">COLUMBUS                  </v>
      </c>
      <c r="F13149" t="str">
        <f t="shared" si="338"/>
        <v>MS</v>
      </c>
    </row>
    <row r="13150" spans="1:6" x14ac:dyDescent="0.25">
      <c r="A13150" t="str">
        <f>"008089398"</f>
        <v>008089398</v>
      </c>
      <c r="B13150" t="str">
        <f>"1356668214"</f>
        <v>1356668214</v>
      </c>
      <c r="C13150" t="str">
        <f>"122300000X"</f>
        <v>122300000X</v>
      </c>
      <c r="D13150" t="str">
        <f>"CALHOUN FAMILY DENTISTRY                          "</f>
        <v xml:space="preserve">CALHOUN FAMILY DENTISTRY                          </v>
      </c>
      <c r="E13150" t="str">
        <f>"CALHOUN CITY              "</f>
        <v xml:space="preserve">CALHOUN CITY              </v>
      </c>
      <c r="F13150" t="str">
        <f t="shared" si="338"/>
        <v>MS</v>
      </c>
    </row>
    <row r="13151" spans="1:6" x14ac:dyDescent="0.25">
      <c r="A13151" t="str">
        <f>"008089843"</f>
        <v>008089843</v>
      </c>
      <c r="B13151" t="str">
        <f>"1720373335"</f>
        <v>1720373335</v>
      </c>
      <c r="C13151" t="str">
        <f>"207R00000X"</f>
        <v>207R00000X</v>
      </c>
      <c r="D13151" t="str">
        <f>"GREEN                    TORRANCE     T           "</f>
        <v xml:space="preserve">GREEN                    TORRANCE     T           </v>
      </c>
      <c r="E13151" t="str">
        <f>"COLUMBUS                  "</f>
        <v xml:space="preserve">COLUMBUS                  </v>
      </c>
      <c r="F13151" t="str">
        <f t="shared" si="338"/>
        <v>MS</v>
      </c>
    </row>
    <row r="13152" spans="1:6" x14ac:dyDescent="0.25">
      <c r="A13152" t="str">
        <f>"008100209"</f>
        <v>008100209</v>
      </c>
      <c r="B13152" t="str">
        <f>"1821738832"</f>
        <v>1821738832</v>
      </c>
      <c r="C13152" t="str">
        <f>"207X00000X"</f>
        <v>207X00000X</v>
      </c>
      <c r="D13152" t="str">
        <f>"SMITH                    CHELSEY                  "</f>
        <v xml:space="preserve">SMITH                    CHELSEY                  </v>
      </c>
      <c r="E13152" t="str">
        <f>"JACKSON                   "</f>
        <v xml:space="preserve">JACKSON                   </v>
      </c>
      <c r="F13152" t="str">
        <f t="shared" si="338"/>
        <v>MS</v>
      </c>
    </row>
    <row r="13153" spans="1:6" x14ac:dyDescent="0.25">
      <c r="A13153" t="str">
        <f>"008101262"</f>
        <v>008101262</v>
      </c>
      <c r="B13153" t="str">
        <f>"1790849404"</f>
        <v>1790849404</v>
      </c>
      <c r="C13153" t="str">
        <f>"122300000X"</f>
        <v>122300000X</v>
      </c>
      <c r="D13153" t="str">
        <f>"BEAVERS                  NATHAN       K           "</f>
        <v xml:space="preserve">BEAVERS                  NATHAN       K           </v>
      </c>
      <c r="E13153" t="str">
        <f>"MADISON                   "</f>
        <v xml:space="preserve">MADISON                   </v>
      </c>
      <c r="F13153" t="str">
        <f t="shared" si="338"/>
        <v>MS</v>
      </c>
    </row>
    <row r="13154" spans="1:6" x14ac:dyDescent="0.25">
      <c r="A13154" t="str">
        <f>"008102847"</f>
        <v>008102847</v>
      </c>
      <c r="B13154" t="str">
        <f>"1134707185"</f>
        <v>1134707185</v>
      </c>
      <c r="C13154" t="str">
        <f>"207R00000X"</f>
        <v>207R00000X</v>
      </c>
      <c r="D13154" t="str">
        <f>"HEATH                    BRANDON                  "</f>
        <v xml:space="preserve">HEATH                    BRANDON                  </v>
      </c>
      <c r="E13154" t="str">
        <f>"JACKSON                   "</f>
        <v xml:space="preserve">JACKSON                   </v>
      </c>
      <c r="F13154" t="str">
        <f t="shared" si="338"/>
        <v>MS</v>
      </c>
    </row>
    <row r="13155" spans="1:6" x14ac:dyDescent="0.25">
      <c r="A13155" t="str">
        <f>"008103096"</f>
        <v>008103096</v>
      </c>
      <c r="B13155" t="str">
        <f>"1821059676"</f>
        <v>1821059676</v>
      </c>
      <c r="C13155" t="str">
        <f>"207L00000X"</f>
        <v>207L00000X</v>
      </c>
      <c r="D13155" t="str">
        <f>"POSTLER                  MARK                     "</f>
        <v xml:space="preserve">POSTLER                  MARK                     </v>
      </c>
      <c r="E13155" t="str">
        <f>"GULFPORT                  "</f>
        <v xml:space="preserve">GULFPORT                  </v>
      </c>
      <c r="F13155" t="str">
        <f t="shared" si="338"/>
        <v>MS</v>
      </c>
    </row>
    <row r="13156" spans="1:6" x14ac:dyDescent="0.25">
      <c r="A13156" t="str">
        <f>"008103251"</f>
        <v>008103251</v>
      </c>
      <c r="B13156" t="str">
        <f>"1871971101"</f>
        <v>1871971101</v>
      </c>
      <c r="C13156" t="str">
        <f>"122300000X"</f>
        <v>122300000X</v>
      </c>
      <c r="D13156" t="str">
        <f>"CURTIS WINDHAM           KATHERINE    L           "</f>
        <v xml:space="preserve">CURTIS WINDHAM           KATHERINE    L           </v>
      </c>
      <c r="E13156" t="str">
        <f>"COLUMBUS                  "</f>
        <v xml:space="preserve">COLUMBUS                  </v>
      </c>
      <c r="F13156" t="str">
        <f t="shared" si="338"/>
        <v>MS</v>
      </c>
    </row>
    <row r="13157" spans="1:6" x14ac:dyDescent="0.25">
      <c r="A13157" t="str">
        <f>"008104762"</f>
        <v>008104762</v>
      </c>
      <c r="B13157" t="str">
        <f>"1932551520"</f>
        <v>1932551520</v>
      </c>
      <c r="C13157" t="str">
        <f>"363L00000X"</f>
        <v>363L00000X</v>
      </c>
      <c r="D13157" t="str">
        <f>"WARREN                   TIFFANY      L           "</f>
        <v xml:space="preserve">WARREN                   TIFFANY      L           </v>
      </c>
      <c r="E13157" t="str">
        <f>"COLUMBUS                  "</f>
        <v xml:space="preserve">COLUMBUS                  </v>
      </c>
      <c r="F13157" t="str">
        <f t="shared" si="338"/>
        <v>MS</v>
      </c>
    </row>
    <row r="13158" spans="1:6" x14ac:dyDescent="0.25">
      <c r="A13158" t="str">
        <f>"008105201"</f>
        <v>008105201</v>
      </c>
      <c r="B13158" t="str">
        <f>"1437187333"</f>
        <v>1437187333</v>
      </c>
      <c r="C13158" t="str">
        <f>"207R00000X"</f>
        <v>207R00000X</v>
      </c>
      <c r="D13158" t="str">
        <f>"KIM                      MIN          S           "</f>
        <v xml:space="preserve">KIM                      MIN          S           </v>
      </c>
      <c r="E13158" t="str">
        <f>"COLUMBUS                  "</f>
        <v xml:space="preserve">COLUMBUS                  </v>
      </c>
      <c r="F13158" t="str">
        <f t="shared" si="338"/>
        <v>MS</v>
      </c>
    </row>
    <row r="13159" spans="1:6" x14ac:dyDescent="0.25">
      <c r="A13159" t="str">
        <f>"008106540"</f>
        <v>008106540</v>
      </c>
      <c r="B13159" t="str">
        <f>"1427591627"</f>
        <v>1427591627</v>
      </c>
      <c r="C13159" t="str">
        <f>"363L00000X"</f>
        <v>363L00000X</v>
      </c>
      <c r="D13159" t="str">
        <f>"BECKMAN                  LAUREN       B           "</f>
        <v xml:space="preserve">BECKMAN                  LAUREN       B           </v>
      </c>
      <c r="E13159" t="str">
        <f>"HATTIESBURG               "</f>
        <v xml:space="preserve">HATTIESBURG               </v>
      </c>
      <c r="F13159" t="str">
        <f t="shared" si="338"/>
        <v>MS</v>
      </c>
    </row>
    <row r="13160" spans="1:6" x14ac:dyDescent="0.25">
      <c r="A13160" t="str">
        <f>"008106759"</f>
        <v>008106759</v>
      </c>
      <c r="B13160" t="str">
        <f>"1235643552"</f>
        <v>1235643552</v>
      </c>
      <c r="C13160" t="str">
        <f>"367500000X"</f>
        <v>367500000X</v>
      </c>
      <c r="D13160" t="str">
        <f>"MARTIN                   DANIEL       B           "</f>
        <v xml:space="preserve">MARTIN                   DANIEL       B           </v>
      </c>
      <c r="E13160" t="str">
        <f>"HATTIESBURG               "</f>
        <v xml:space="preserve">HATTIESBURG               </v>
      </c>
      <c r="F13160" t="str">
        <f t="shared" si="338"/>
        <v>MS</v>
      </c>
    </row>
    <row r="13161" spans="1:6" x14ac:dyDescent="0.25">
      <c r="A13161" t="str">
        <f>"008107094"</f>
        <v>008107094</v>
      </c>
      <c r="B13161" t="str">
        <f>"1730490046"</f>
        <v>1730490046</v>
      </c>
      <c r="C13161" t="str">
        <f>"207P00000X"</f>
        <v>207P00000X</v>
      </c>
      <c r="D13161" t="str">
        <f>"BARRETT                  ALLISON      C           "</f>
        <v xml:space="preserve">BARRETT                  ALLISON      C           </v>
      </c>
      <c r="E13161" t="str">
        <f>"JACKSON                   "</f>
        <v xml:space="preserve">JACKSON                   </v>
      </c>
      <c r="F13161" t="str">
        <f t="shared" si="338"/>
        <v>MS</v>
      </c>
    </row>
    <row r="13162" spans="1:6" x14ac:dyDescent="0.25">
      <c r="A13162" t="str">
        <f>"008107311"</f>
        <v>008107311</v>
      </c>
      <c r="B13162" t="str">
        <f>"1437821733"</f>
        <v>1437821733</v>
      </c>
      <c r="C13162" t="str">
        <f>"363L00000X"</f>
        <v>363L00000X</v>
      </c>
      <c r="D13162" t="str">
        <f>"MITCHELL                 TRACY                    "</f>
        <v xml:space="preserve">MITCHELL                 TRACY                    </v>
      </c>
      <c r="E13162" t="str">
        <f>"NEW ALBANY                "</f>
        <v xml:space="preserve">NEW ALBANY                </v>
      </c>
      <c r="F13162" t="str">
        <f t="shared" si="338"/>
        <v>MS</v>
      </c>
    </row>
    <row r="13163" spans="1:6" x14ac:dyDescent="0.25">
      <c r="A13163" t="str">
        <f>"008108016"</f>
        <v>008108016</v>
      </c>
      <c r="B13163" t="str">
        <f>"1477677458"</f>
        <v>1477677458</v>
      </c>
      <c r="C13163" t="str">
        <f>"207R00000X"</f>
        <v>207R00000X</v>
      </c>
      <c r="D13163" t="str">
        <f>"OLUWATADE                OLATUNJI     J           "</f>
        <v xml:space="preserve">OLUWATADE                OLATUNJI     J           </v>
      </c>
      <c r="E13163" t="str">
        <f>"HAZLEHURST                "</f>
        <v xml:space="preserve">HAZLEHURST                </v>
      </c>
      <c r="F13163" t="str">
        <f t="shared" si="338"/>
        <v>MS</v>
      </c>
    </row>
    <row r="13164" spans="1:6" x14ac:dyDescent="0.25">
      <c r="A13164" t="str">
        <f>"008109243"</f>
        <v>008109243</v>
      </c>
      <c r="B13164" t="str">
        <f>"1013282961"</f>
        <v>1013282961</v>
      </c>
      <c r="C13164" t="str">
        <f>"122300000X"</f>
        <v>122300000X</v>
      </c>
      <c r="D13164" t="str">
        <f>"KELLY                    SHENIKA      S           "</f>
        <v xml:space="preserve">KELLY                    SHENIKA      S           </v>
      </c>
      <c r="E13164" t="str">
        <f>"PEARL                     "</f>
        <v xml:space="preserve">PEARL                     </v>
      </c>
      <c r="F13164" t="str">
        <f t="shared" si="338"/>
        <v>MS</v>
      </c>
    </row>
    <row r="13165" spans="1:6" x14ac:dyDescent="0.25">
      <c r="A13165" t="str">
        <f>"008109847"</f>
        <v>008109847</v>
      </c>
      <c r="B13165" t="str">
        <f>"1275897662"</f>
        <v>1275897662</v>
      </c>
      <c r="C13165" t="str">
        <f>"207R00000X"</f>
        <v>207R00000X</v>
      </c>
      <c r="D13165" t="str">
        <f>"MUIRHEAD                 MELISSA      D           "</f>
        <v xml:space="preserve">MUIRHEAD                 MELISSA      D           </v>
      </c>
      <c r="E13165" t="str">
        <f>"GULFPORT                  "</f>
        <v xml:space="preserve">GULFPORT                  </v>
      </c>
      <c r="F13165" t="str">
        <f t="shared" si="338"/>
        <v>MS</v>
      </c>
    </row>
    <row r="13166" spans="1:6" x14ac:dyDescent="0.25">
      <c r="A13166" t="str">
        <f>"008120011"</f>
        <v>008120011</v>
      </c>
      <c r="B13166" t="str">
        <f>"1427607688"</f>
        <v>1427607688</v>
      </c>
      <c r="C13166" t="str">
        <f>"363L00000X"</f>
        <v>363L00000X</v>
      </c>
      <c r="D13166" t="str">
        <f>"VANDERFORD               CHASSITY     N           "</f>
        <v xml:space="preserve">VANDERFORD               CHASSITY     N           </v>
      </c>
      <c r="E13166" t="str">
        <f>"FLOWOOD                   "</f>
        <v xml:space="preserve">FLOWOOD                   </v>
      </c>
      <c r="F13166" t="str">
        <f t="shared" si="338"/>
        <v>MS</v>
      </c>
    </row>
    <row r="13167" spans="1:6" x14ac:dyDescent="0.25">
      <c r="A13167" t="str">
        <f>"008120361"</f>
        <v>008120361</v>
      </c>
      <c r="B13167" t="str">
        <f>"1144615972"</f>
        <v>1144615972</v>
      </c>
      <c r="C13167" t="str">
        <f>"207R00000X"</f>
        <v>207R00000X</v>
      </c>
      <c r="D13167" t="str">
        <f>"MORGAN                   JARRETT      R           "</f>
        <v xml:space="preserve">MORGAN                   JARRETT      R           </v>
      </c>
      <c r="E13167" t="str">
        <f>"JACKSON                   "</f>
        <v xml:space="preserve">JACKSON                   </v>
      </c>
      <c r="F13167" t="str">
        <f t="shared" si="338"/>
        <v>MS</v>
      </c>
    </row>
    <row r="13168" spans="1:6" x14ac:dyDescent="0.25">
      <c r="A13168" t="str">
        <f>"008121826"</f>
        <v>008121826</v>
      </c>
      <c r="B13168" t="str">
        <f>"1386904803"</f>
        <v>1386904803</v>
      </c>
      <c r="C13168" t="str">
        <f>"363L00000X"</f>
        <v>363L00000X</v>
      </c>
      <c r="D13168" t="str">
        <f>"DOUGLASS                 STEPHANIE    M           "</f>
        <v xml:space="preserve">DOUGLASS                 STEPHANIE    M           </v>
      </c>
      <c r="E13168" t="str">
        <f>"OLIVE BRANCH              "</f>
        <v xml:space="preserve">OLIVE BRANCH              </v>
      </c>
      <c r="F13168" t="str">
        <f t="shared" si="338"/>
        <v>MS</v>
      </c>
    </row>
    <row r="13169" spans="1:6" x14ac:dyDescent="0.25">
      <c r="A13169" t="str">
        <f>"008122867"</f>
        <v>008122867</v>
      </c>
      <c r="B13169" t="str">
        <f>"1235689472"</f>
        <v>1235689472</v>
      </c>
      <c r="C13169" t="str">
        <f>"363L00000X"</f>
        <v>363L00000X</v>
      </c>
      <c r="D13169" t="str">
        <f>"BARNES                   ERIN                     "</f>
        <v xml:space="preserve">BARNES                   ERIN                     </v>
      </c>
      <c r="E13169" t="str">
        <f>"TUPELO                    "</f>
        <v xml:space="preserve">TUPELO                    </v>
      </c>
      <c r="F13169" t="str">
        <f t="shared" si="338"/>
        <v>MS</v>
      </c>
    </row>
    <row r="13170" spans="1:6" x14ac:dyDescent="0.25">
      <c r="A13170" t="str">
        <f>"008123701"</f>
        <v>008123701</v>
      </c>
      <c r="B13170" t="str">
        <f>"1275295792"</f>
        <v>1275295792</v>
      </c>
      <c r="C13170" t="str">
        <f>"363L00000X"</f>
        <v>363L00000X</v>
      </c>
      <c r="D13170" t="str">
        <f>"MILLER                   VIRGINIA                 "</f>
        <v xml:space="preserve">MILLER                   VIRGINIA                 </v>
      </c>
      <c r="E13170" t="str">
        <f>"CORINTH                   "</f>
        <v xml:space="preserve">CORINTH                   </v>
      </c>
      <c r="F13170" t="str">
        <f t="shared" si="338"/>
        <v>MS</v>
      </c>
    </row>
    <row r="13171" spans="1:6" x14ac:dyDescent="0.25">
      <c r="A13171" t="str">
        <f>"008123817"</f>
        <v>008123817</v>
      </c>
      <c r="B13171" t="str">
        <f>"1477796977"</f>
        <v>1477796977</v>
      </c>
      <c r="C13171" t="str">
        <f>"122300000X"</f>
        <v>122300000X</v>
      </c>
      <c r="D13171" t="str">
        <f>"ALBERT W TUTOR JR DMD PA                          "</f>
        <v xml:space="preserve">ALBERT W TUTOR JR DMD PA                          </v>
      </c>
      <c r="E13171" t="str">
        <f>"BRANDON                   "</f>
        <v xml:space="preserve">BRANDON                   </v>
      </c>
      <c r="F13171" t="str">
        <f t="shared" si="338"/>
        <v>MS</v>
      </c>
    </row>
    <row r="13172" spans="1:6" x14ac:dyDescent="0.25">
      <c r="A13172" t="str">
        <f>"008124206"</f>
        <v>008124206</v>
      </c>
      <c r="B13172" t="str">
        <f>"1205812948"</f>
        <v>1205812948</v>
      </c>
      <c r="C13172" t="str">
        <f>"207X00000X"</f>
        <v>207X00000X</v>
      </c>
      <c r="D13172" t="str">
        <f>"CUNNINGHAM               RICHARD      B           "</f>
        <v xml:space="preserve">CUNNINGHAM               RICHARD      B           </v>
      </c>
      <c r="E13172" t="str">
        <f>"CORINTH                   "</f>
        <v xml:space="preserve">CORINTH                   </v>
      </c>
      <c r="F13172" t="str">
        <f t="shared" si="338"/>
        <v>MS</v>
      </c>
    </row>
    <row r="13173" spans="1:6" x14ac:dyDescent="0.25">
      <c r="A13173" t="str">
        <f>"008125536"</f>
        <v>008125536</v>
      </c>
      <c r="B13173" t="str">
        <f>"1700405206"</f>
        <v>1700405206</v>
      </c>
      <c r="C13173" t="str">
        <f>"208000000X"</f>
        <v>208000000X</v>
      </c>
      <c r="D13173" t="str">
        <f>"IBALE                    JUSTINE EVE MB           "</f>
        <v xml:space="preserve">IBALE                    JUSTINE EVE MB           </v>
      </c>
      <c r="E13173" t="str">
        <f>"JACKSON                   "</f>
        <v xml:space="preserve">JACKSON                   </v>
      </c>
      <c r="F13173" t="str">
        <f t="shared" si="338"/>
        <v>MS</v>
      </c>
    </row>
    <row r="13174" spans="1:6" x14ac:dyDescent="0.25">
      <c r="A13174" t="str">
        <f>"008128774"</f>
        <v>008128774</v>
      </c>
      <c r="B13174" t="str">
        <f>"1851846810"</f>
        <v>1851846810</v>
      </c>
      <c r="C13174" t="str">
        <f>"363L00000X"</f>
        <v>363L00000X</v>
      </c>
      <c r="D13174" t="str">
        <f>"WARREN                   JOANNA       K           "</f>
        <v xml:space="preserve">WARREN                   JOANNA       K           </v>
      </c>
      <c r="E13174" t="str">
        <f>"MERIDIAN                  "</f>
        <v xml:space="preserve">MERIDIAN                  </v>
      </c>
      <c r="F13174" t="str">
        <f t="shared" si="338"/>
        <v>MS</v>
      </c>
    </row>
    <row r="13175" spans="1:6" x14ac:dyDescent="0.25">
      <c r="A13175" t="str">
        <f>"008129237"</f>
        <v>008129237</v>
      </c>
      <c r="B13175" t="str">
        <f>"1336257690"</f>
        <v>1336257690</v>
      </c>
      <c r="C13175" t="str">
        <f>"207R00000X"</f>
        <v>207R00000X</v>
      </c>
      <c r="D13175" t="str">
        <f>"QUELER                   ANDREW       M           "</f>
        <v xml:space="preserve">QUELER                   ANDREW       M           </v>
      </c>
      <c r="E13175" t="str">
        <f>"HATTIESBURG               "</f>
        <v xml:space="preserve">HATTIESBURG               </v>
      </c>
      <c r="F13175" t="str">
        <f t="shared" si="338"/>
        <v>MS</v>
      </c>
    </row>
    <row r="13176" spans="1:6" x14ac:dyDescent="0.25">
      <c r="A13176" t="str">
        <f>"008129700"</f>
        <v>008129700</v>
      </c>
      <c r="B13176" t="str">
        <f>"1427790435"</f>
        <v>1427790435</v>
      </c>
      <c r="C13176" t="str">
        <f>"363L00000X"</f>
        <v>363L00000X</v>
      </c>
      <c r="D13176" t="str">
        <f>"SCOTT                    DARNEKA      M           "</f>
        <v xml:space="preserve">SCOTT                    DARNEKA      M           </v>
      </c>
      <c r="E13176" t="str">
        <f>"GULFPORT                  "</f>
        <v xml:space="preserve">GULFPORT                  </v>
      </c>
      <c r="F13176" t="str">
        <f t="shared" si="338"/>
        <v>MS</v>
      </c>
    </row>
    <row r="13177" spans="1:6" x14ac:dyDescent="0.25">
      <c r="A13177" t="str">
        <f>"008131001"</f>
        <v>008131001</v>
      </c>
      <c r="B13177" t="str">
        <f>"1225628761"</f>
        <v>1225628761</v>
      </c>
      <c r="C13177" t="str">
        <f>"363L00000X"</f>
        <v>363L00000X</v>
      </c>
      <c r="D13177" t="str">
        <f>"RUTLAND                  BRANDY       A           "</f>
        <v xml:space="preserve">RUTLAND                  BRANDY       A           </v>
      </c>
      <c r="E13177" t="str">
        <f>"JACKSON                   "</f>
        <v xml:space="preserve">JACKSON                   </v>
      </c>
      <c r="F13177" t="str">
        <f t="shared" si="338"/>
        <v>MS</v>
      </c>
    </row>
    <row r="13178" spans="1:6" x14ac:dyDescent="0.25">
      <c r="A13178" t="str">
        <f>"008131318"</f>
        <v>008131318</v>
      </c>
      <c r="B13178" t="str">
        <f>"1811300494"</f>
        <v>1811300494</v>
      </c>
      <c r="C13178" t="str">
        <f>"122300000X"</f>
        <v>122300000X</v>
      </c>
      <c r="D13178" t="str">
        <f>"CUMBERLAND               REBECCA      L           "</f>
        <v xml:space="preserve">CUMBERLAND               REBECCA      L           </v>
      </c>
      <c r="E13178" t="str">
        <f>"RICHLAND                  "</f>
        <v xml:space="preserve">RICHLAND                  </v>
      </c>
      <c r="F13178" t="str">
        <f t="shared" si="338"/>
        <v>MS</v>
      </c>
    </row>
    <row r="13179" spans="1:6" x14ac:dyDescent="0.25">
      <c r="A13179" t="str">
        <f>"008131549"</f>
        <v>008131549</v>
      </c>
      <c r="B13179" t="str">
        <f>"1972784999"</f>
        <v>1972784999</v>
      </c>
      <c r="C13179" t="str">
        <f>"2085R0202X"</f>
        <v>2085R0202X</v>
      </c>
      <c r="D13179" t="str">
        <f>"BOONE                    WILLIAM      W           "</f>
        <v xml:space="preserve">BOONE                    WILLIAM      W           </v>
      </c>
      <c r="E13179" t="str">
        <f>"BAY SPRINGS               "</f>
        <v xml:space="preserve">BAY SPRINGS               </v>
      </c>
      <c r="F13179" t="str">
        <f t="shared" si="338"/>
        <v>MS</v>
      </c>
    </row>
    <row r="13180" spans="1:6" x14ac:dyDescent="0.25">
      <c r="A13180" t="str">
        <f>"008131707"</f>
        <v>008131707</v>
      </c>
      <c r="B13180" t="str">
        <f>"1164409710"</f>
        <v>1164409710</v>
      </c>
      <c r="C13180" t="str">
        <f>"207RC0000X"</f>
        <v>207RC0000X</v>
      </c>
      <c r="D13180" t="str">
        <f>"PURVIS                   EDWIN        M           "</f>
        <v xml:space="preserve">PURVIS                   EDWIN        M           </v>
      </c>
      <c r="E13180" t="str">
        <f>"MERIDIAN                  "</f>
        <v xml:space="preserve">MERIDIAN                  </v>
      </c>
      <c r="F13180" t="str">
        <f t="shared" si="338"/>
        <v>MS</v>
      </c>
    </row>
    <row r="13181" spans="1:6" x14ac:dyDescent="0.25">
      <c r="A13181" t="str">
        <f>"008133001"</f>
        <v>008133001</v>
      </c>
      <c r="B13181" t="str">
        <f>"1831841808"</f>
        <v>1831841808</v>
      </c>
      <c r="C13181" t="str">
        <f>"363L00000X"</f>
        <v>363L00000X</v>
      </c>
      <c r="D13181" t="str">
        <f>"MALLETTE                 SARAH                    "</f>
        <v xml:space="preserve">MALLETTE                 SARAH                    </v>
      </c>
      <c r="E13181" t="str">
        <f>"MOSS POINT                "</f>
        <v xml:space="preserve">MOSS POINT                </v>
      </c>
      <c r="F13181" t="str">
        <f t="shared" si="338"/>
        <v>MS</v>
      </c>
    </row>
    <row r="13182" spans="1:6" x14ac:dyDescent="0.25">
      <c r="A13182" t="str">
        <f>"008133268"</f>
        <v>008133268</v>
      </c>
      <c r="B13182" t="str">
        <f>"1952742736"</f>
        <v>1952742736</v>
      </c>
      <c r="C13182" t="str">
        <f>"363L00000X"</f>
        <v>363L00000X</v>
      </c>
      <c r="D13182" t="str">
        <f>"HINES                    ERIN         K           "</f>
        <v xml:space="preserve">HINES                    ERIN         K           </v>
      </c>
      <c r="E13182" t="str">
        <f>"COLLINS                   "</f>
        <v xml:space="preserve">COLLINS                   </v>
      </c>
      <c r="F13182" t="str">
        <f t="shared" ref="F13182:F13245" si="339">"MS"</f>
        <v>MS</v>
      </c>
    </row>
    <row r="13183" spans="1:6" x14ac:dyDescent="0.25">
      <c r="A13183" t="str">
        <f>"008133377"</f>
        <v>008133377</v>
      </c>
      <c r="B13183" t="str">
        <f>"1740675487"</f>
        <v>1740675487</v>
      </c>
      <c r="C13183" t="str">
        <f>"363A00000X"</f>
        <v>363A00000X</v>
      </c>
      <c r="D13183" t="str">
        <f>"BRYSON                   ALAN                     "</f>
        <v xml:space="preserve">BRYSON                   ALAN                     </v>
      </c>
      <c r="E13183" t="str">
        <f>"LAUREL                    "</f>
        <v xml:space="preserve">LAUREL                    </v>
      </c>
      <c r="F13183" t="str">
        <f t="shared" si="339"/>
        <v>MS</v>
      </c>
    </row>
    <row r="13184" spans="1:6" x14ac:dyDescent="0.25">
      <c r="A13184" t="str">
        <f>"008133506"</f>
        <v>008133506</v>
      </c>
      <c r="B13184" t="str">
        <f>"1831562818"</f>
        <v>1831562818</v>
      </c>
      <c r="C13184" t="str">
        <f>"363A00000X"</f>
        <v>363A00000X</v>
      </c>
      <c r="D13184" t="str">
        <f>"HENKES                   KENNETH      H           "</f>
        <v xml:space="preserve">HENKES                   KENNETH      H           </v>
      </c>
      <c r="E13184" t="str">
        <f>"TUPELO                    "</f>
        <v xml:space="preserve">TUPELO                    </v>
      </c>
      <c r="F13184" t="str">
        <f t="shared" si="339"/>
        <v>MS</v>
      </c>
    </row>
    <row r="13185" spans="1:6" x14ac:dyDescent="0.25">
      <c r="A13185" t="str">
        <f>"008135221"</f>
        <v>008135221</v>
      </c>
      <c r="B13185" t="str">
        <f>"1285865162"</f>
        <v>1285865162</v>
      </c>
      <c r="C13185" t="str">
        <f>"207RP1001X"</f>
        <v>207RP1001X</v>
      </c>
      <c r="D13185" t="str">
        <f>"WELLS                    RICHARD      E           "</f>
        <v xml:space="preserve">WELLS                    RICHARD      E           </v>
      </c>
      <c r="E13185" t="str">
        <f>"JACKSON                   "</f>
        <v xml:space="preserve">JACKSON                   </v>
      </c>
      <c r="F13185" t="str">
        <f t="shared" si="339"/>
        <v>MS</v>
      </c>
    </row>
    <row r="13186" spans="1:6" x14ac:dyDescent="0.25">
      <c r="A13186" t="str">
        <f>"008136252"</f>
        <v>008136252</v>
      </c>
      <c r="B13186" t="str">
        <f>"1578640959"</f>
        <v>1578640959</v>
      </c>
      <c r="C13186" t="str">
        <f>"363L00000X"</f>
        <v>363L00000X</v>
      </c>
      <c r="D13186" t="str">
        <f>"LOTT                     PAMELA       L           "</f>
        <v xml:space="preserve">LOTT                     PAMELA       L           </v>
      </c>
      <c r="E13186" t="str">
        <f>"COLUMBUS                  "</f>
        <v xml:space="preserve">COLUMBUS                  </v>
      </c>
      <c r="F13186" t="str">
        <f t="shared" si="339"/>
        <v>MS</v>
      </c>
    </row>
    <row r="13187" spans="1:6" x14ac:dyDescent="0.25">
      <c r="A13187" t="str">
        <f>"008138079"</f>
        <v>008138079</v>
      </c>
      <c r="B13187" t="str">
        <f>"1407378961"</f>
        <v>1407378961</v>
      </c>
      <c r="C13187" t="str">
        <f>"207ZP0102X"</f>
        <v>207ZP0102X</v>
      </c>
      <c r="D13187" t="str">
        <f>"ABBAS                    SYED         H           "</f>
        <v xml:space="preserve">ABBAS                    SYED         H           </v>
      </c>
      <c r="E13187" t="str">
        <f>"JACKSON                   "</f>
        <v xml:space="preserve">JACKSON                   </v>
      </c>
      <c r="F13187" t="str">
        <f t="shared" si="339"/>
        <v>MS</v>
      </c>
    </row>
    <row r="13188" spans="1:6" x14ac:dyDescent="0.25">
      <c r="A13188" t="str">
        <f>"008138363"</f>
        <v>008138363</v>
      </c>
      <c r="B13188" t="str">
        <f>"1023092533"</f>
        <v>1023092533</v>
      </c>
      <c r="C13188" t="str">
        <f>"363L00000X"</f>
        <v>363L00000X</v>
      </c>
      <c r="D13188" t="str">
        <f>"KELLY                    MARILYN      R           "</f>
        <v xml:space="preserve">KELLY                    MARILYN      R           </v>
      </c>
      <c r="E13188" t="str">
        <f>"BOONEVILLE                "</f>
        <v xml:space="preserve">BOONEVILLE                </v>
      </c>
      <c r="F13188" t="str">
        <f t="shared" si="339"/>
        <v>MS</v>
      </c>
    </row>
    <row r="13189" spans="1:6" x14ac:dyDescent="0.25">
      <c r="A13189" t="str">
        <f>"008138891"</f>
        <v>008138891</v>
      </c>
      <c r="B13189" t="str">
        <f>"1467097956"</f>
        <v>1467097956</v>
      </c>
      <c r="C13189" t="str">
        <f>"363A00000X"</f>
        <v>363A00000X</v>
      </c>
      <c r="D13189" t="str">
        <f>"STENGEL                  CHANDLER     S           "</f>
        <v xml:space="preserve">STENGEL                  CHANDLER     S           </v>
      </c>
      <c r="E13189" t="str">
        <f>"SOUTHAVEN                 "</f>
        <v xml:space="preserve">SOUTHAVEN                 </v>
      </c>
      <c r="F13189" t="str">
        <f t="shared" si="339"/>
        <v>MS</v>
      </c>
    </row>
    <row r="13190" spans="1:6" x14ac:dyDescent="0.25">
      <c r="A13190" t="str">
        <f>"008150089"</f>
        <v>008150089</v>
      </c>
      <c r="B13190" t="str">
        <f>"1225642473"</f>
        <v>1225642473</v>
      </c>
      <c r="C13190" t="str">
        <f>"363L00000X"</f>
        <v>363L00000X</v>
      </c>
      <c r="D13190" t="str">
        <f>"CAMPBELL                 TAMMY                    "</f>
        <v xml:space="preserve">CAMPBELL                 TAMMY                    </v>
      </c>
      <c r="E13190" t="str">
        <f>"CLARKSDALE                "</f>
        <v xml:space="preserve">CLARKSDALE                </v>
      </c>
      <c r="F13190" t="str">
        <f t="shared" si="339"/>
        <v>MS</v>
      </c>
    </row>
    <row r="13191" spans="1:6" x14ac:dyDescent="0.25">
      <c r="A13191" t="str">
        <f>"008152004"</f>
        <v>008152004</v>
      </c>
      <c r="B13191" t="str">
        <f>"1003952383"</f>
        <v>1003952383</v>
      </c>
      <c r="C13191" t="str">
        <f>"152W00000X"</f>
        <v>152W00000X</v>
      </c>
      <c r="D13191" t="str">
        <f>"COLDWATER VISION CENTER                           "</f>
        <v xml:space="preserve">COLDWATER VISION CENTER                           </v>
      </c>
      <c r="E13191" t="str">
        <f>"COLDWATER                 "</f>
        <v xml:space="preserve">COLDWATER                 </v>
      </c>
      <c r="F13191" t="str">
        <f t="shared" si="339"/>
        <v>MS</v>
      </c>
    </row>
    <row r="13192" spans="1:6" x14ac:dyDescent="0.25">
      <c r="A13192" t="str">
        <f>"008152560"</f>
        <v>008152560</v>
      </c>
      <c r="B13192" t="str">
        <f>"1306454442"</f>
        <v>1306454442</v>
      </c>
      <c r="C13192" t="str">
        <f>"363L00000X"</f>
        <v>363L00000X</v>
      </c>
      <c r="D13192" t="str">
        <f>"PARKER                   CRIS         A           "</f>
        <v xml:space="preserve">PARKER                   CRIS         A           </v>
      </c>
      <c r="E13192" t="str">
        <f>"JACKSON                   "</f>
        <v xml:space="preserve">JACKSON                   </v>
      </c>
      <c r="F13192" t="str">
        <f t="shared" si="339"/>
        <v>MS</v>
      </c>
    </row>
    <row r="13193" spans="1:6" x14ac:dyDescent="0.25">
      <c r="A13193" t="str">
        <f>"008152820"</f>
        <v>008152820</v>
      </c>
      <c r="B13193" t="str">
        <f>"1316173842"</f>
        <v>1316173842</v>
      </c>
      <c r="C13193" t="str">
        <f>"152W00000X"</f>
        <v>152W00000X</v>
      </c>
      <c r="D13193" t="str">
        <f>"HEALTHY EYES FAMILY VISION CNTR LLC               "</f>
        <v xml:space="preserve">HEALTHY EYES FAMILY VISION CNTR LLC               </v>
      </c>
      <c r="E13193" t="str">
        <f>"JACKSON                   "</f>
        <v xml:space="preserve">JACKSON                   </v>
      </c>
      <c r="F13193" t="str">
        <f t="shared" si="339"/>
        <v>MS</v>
      </c>
    </row>
    <row r="13194" spans="1:6" x14ac:dyDescent="0.25">
      <c r="A13194" t="str">
        <f>"008153779"</f>
        <v>008153779</v>
      </c>
      <c r="B13194" t="str">
        <f>"1518994672"</f>
        <v>1518994672</v>
      </c>
      <c r="C13194" t="str">
        <f>"363L00000X"</f>
        <v>363L00000X</v>
      </c>
      <c r="D13194" t="str">
        <f>"CANNON                   COLLEEN      G           "</f>
        <v xml:space="preserve">CANNON                   COLLEEN      G           </v>
      </c>
      <c r="E13194" t="str">
        <f>"JACKSON                   "</f>
        <v xml:space="preserve">JACKSON                   </v>
      </c>
      <c r="F13194" t="str">
        <f t="shared" si="339"/>
        <v>MS</v>
      </c>
    </row>
    <row r="13195" spans="1:6" x14ac:dyDescent="0.25">
      <c r="A13195" t="str">
        <f>"008155004"</f>
        <v>008155004</v>
      </c>
      <c r="B13195" t="str">
        <f>"1093206252"</f>
        <v>1093206252</v>
      </c>
      <c r="C13195" t="str">
        <f>"207V00000X"</f>
        <v>207V00000X</v>
      </c>
      <c r="D13195" t="str">
        <f>"ADAMS                    MICHAEL      M           "</f>
        <v xml:space="preserve">ADAMS                    MICHAEL      M           </v>
      </c>
      <c r="E13195" t="str">
        <f>"JACKSON                   "</f>
        <v xml:space="preserve">JACKSON                   </v>
      </c>
      <c r="F13195" t="str">
        <f t="shared" si="339"/>
        <v>MS</v>
      </c>
    </row>
    <row r="13196" spans="1:6" x14ac:dyDescent="0.25">
      <c r="A13196" t="str">
        <f>"008155312"</f>
        <v>008155312</v>
      </c>
      <c r="B13196" t="str">
        <f>"1962497826"</f>
        <v>1962497826</v>
      </c>
      <c r="C13196" t="str">
        <f>"207W00000X"</f>
        <v>207W00000X</v>
      </c>
      <c r="D13196" t="str">
        <f>"TOYOS                    ROLANDO                  "</f>
        <v xml:space="preserve">TOYOS                    ROLANDO                  </v>
      </c>
      <c r="E13196" t="str">
        <f>"SOUTHAVEN                 "</f>
        <v xml:space="preserve">SOUTHAVEN                 </v>
      </c>
      <c r="F13196" t="str">
        <f t="shared" si="339"/>
        <v>MS</v>
      </c>
    </row>
    <row r="13197" spans="1:6" x14ac:dyDescent="0.25">
      <c r="A13197" t="str">
        <f>"008156332"</f>
        <v>008156332</v>
      </c>
      <c r="B13197" t="str">
        <f>"1447677836"</f>
        <v>1447677836</v>
      </c>
      <c r="C13197" t="str">
        <f>"363L00000X"</f>
        <v>363L00000X</v>
      </c>
      <c r="D13197" t="str">
        <f>"DORSEY                   TERRY        A           "</f>
        <v xml:space="preserve">DORSEY                   TERRY        A           </v>
      </c>
      <c r="E13197" t="str">
        <f>"INDIANOLA                 "</f>
        <v xml:space="preserve">INDIANOLA                 </v>
      </c>
      <c r="F13197" t="str">
        <f t="shared" si="339"/>
        <v>MS</v>
      </c>
    </row>
    <row r="13198" spans="1:6" x14ac:dyDescent="0.25">
      <c r="A13198" t="str">
        <f>"008156367"</f>
        <v>008156367</v>
      </c>
      <c r="B13198" t="str">
        <f>"1023480944"</f>
        <v>1023480944</v>
      </c>
      <c r="C13198" t="str">
        <f>"363L00000X"</f>
        <v>363L00000X</v>
      </c>
      <c r="D13198" t="str">
        <f>"BIRGE                    JAMIE        L           "</f>
        <v xml:space="preserve">BIRGE                    JAMIE        L           </v>
      </c>
      <c r="E13198" t="str">
        <f>"CLARKSDALE                "</f>
        <v xml:space="preserve">CLARKSDALE                </v>
      </c>
      <c r="F13198" t="str">
        <f t="shared" si="339"/>
        <v>MS</v>
      </c>
    </row>
    <row r="13199" spans="1:6" x14ac:dyDescent="0.25">
      <c r="A13199" t="str">
        <f>"008157254"</f>
        <v>008157254</v>
      </c>
      <c r="B13199" t="str">
        <f>"1881127876"</f>
        <v>1881127876</v>
      </c>
      <c r="C13199" t="str">
        <f>"2084P0800X"</f>
        <v>2084P0800X</v>
      </c>
      <c r="D13199" t="str">
        <f>"DAKHLALLA                SALAAHUDDIN  O           "</f>
        <v xml:space="preserve">DAKHLALLA                SALAAHUDDIN  O           </v>
      </c>
      <c r="E13199" t="str">
        <f>"WHITFIELD                 "</f>
        <v xml:space="preserve">WHITFIELD                 </v>
      </c>
      <c r="F13199" t="str">
        <f t="shared" si="339"/>
        <v>MS</v>
      </c>
    </row>
    <row r="13200" spans="1:6" x14ac:dyDescent="0.25">
      <c r="A13200" t="str">
        <f>"008157370"</f>
        <v>008157370</v>
      </c>
      <c r="B13200" t="str">
        <f>"1205256153"</f>
        <v>1205256153</v>
      </c>
      <c r="C13200" t="str">
        <f>"207Q00000X"</f>
        <v>207Q00000X</v>
      </c>
      <c r="D13200" t="str">
        <f>"HIBBETS                  DAVID        E           "</f>
        <v xml:space="preserve">HIBBETS                  DAVID        E           </v>
      </c>
      <c r="E13200" t="str">
        <f>"HATTIESBURG               "</f>
        <v xml:space="preserve">HATTIESBURG               </v>
      </c>
      <c r="F13200" t="str">
        <f t="shared" si="339"/>
        <v>MS</v>
      </c>
    </row>
    <row r="13201" spans="1:6" x14ac:dyDescent="0.25">
      <c r="A13201" t="str">
        <f>"008157552"</f>
        <v>008157552</v>
      </c>
      <c r="B13201" t="str">
        <f>"1043872948"</f>
        <v>1043872948</v>
      </c>
      <c r="C13201" t="str">
        <f>"207R00000X"</f>
        <v>207R00000X</v>
      </c>
      <c r="D13201" t="str">
        <f>"SULLIVAN                 JOHN         M           "</f>
        <v xml:space="preserve">SULLIVAN                 JOHN         M           </v>
      </c>
      <c r="E13201" t="str">
        <f>"HATTIESBURG               "</f>
        <v xml:space="preserve">HATTIESBURG               </v>
      </c>
      <c r="F13201" t="str">
        <f t="shared" si="339"/>
        <v>MS</v>
      </c>
    </row>
    <row r="13202" spans="1:6" x14ac:dyDescent="0.25">
      <c r="A13202" t="str">
        <f>"008170819"</f>
        <v>008170819</v>
      </c>
      <c r="B13202" t="str">
        <f>"1568881530"</f>
        <v>1568881530</v>
      </c>
      <c r="C13202" t="str">
        <f>"208100000X"</f>
        <v>208100000X</v>
      </c>
      <c r="D13202" t="str">
        <f>"WELLS                    DEVIN        A           "</f>
        <v xml:space="preserve">WELLS                    DEVIN        A           </v>
      </c>
      <c r="E13202" t="str">
        <f>"OXFORD                    "</f>
        <v xml:space="preserve">OXFORD                    </v>
      </c>
      <c r="F13202" t="str">
        <f t="shared" si="339"/>
        <v>MS</v>
      </c>
    </row>
    <row r="13203" spans="1:6" x14ac:dyDescent="0.25">
      <c r="A13203" t="str">
        <f>"008171526"</f>
        <v>008171526</v>
      </c>
      <c r="B13203" t="str">
        <f>"1104300615"</f>
        <v>1104300615</v>
      </c>
      <c r="C13203" t="str">
        <f>"363L00000X"</f>
        <v>363L00000X</v>
      </c>
      <c r="D13203" t="str">
        <f>"WILLIAMS                 EMILEIGH     S           "</f>
        <v xml:space="preserve">WILLIAMS                 EMILEIGH     S           </v>
      </c>
      <c r="E13203" t="str">
        <f>"JACKSON                   "</f>
        <v xml:space="preserve">JACKSON                   </v>
      </c>
      <c r="F13203" t="str">
        <f t="shared" si="339"/>
        <v>MS</v>
      </c>
    </row>
    <row r="13204" spans="1:6" x14ac:dyDescent="0.25">
      <c r="A13204" t="str">
        <f>"008172301"</f>
        <v>008172301</v>
      </c>
      <c r="B13204" t="str">
        <f>"1285663633"</f>
        <v>1285663633</v>
      </c>
      <c r="C13204" t="str">
        <f>"207L00000X"</f>
        <v>207L00000X</v>
      </c>
      <c r="D13204" t="str">
        <f>"COOK                     JOE          C           "</f>
        <v xml:space="preserve">COOK                     JOE          C           </v>
      </c>
      <c r="E13204" t="str">
        <f>"BYRAM                     "</f>
        <v xml:space="preserve">BYRAM                     </v>
      </c>
      <c r="F13204" t="str">
        <f t="shared" si="339"/>
        <v>MS</v>
      </c>
    </row>
    <row r="13205" spans="1:6" x14ac:dyDescent="0.25">
      <c r="A13205" t="str">
        <f>"008173027"</f>
        <v>008173027</v>
      </c>
      <c r="B13205" t="str">
        <f>"1811359540"</f>
        <v>1811359540</v>
      </c>
      <c r="C13205" t="str">
        <f>"207P00000X"</f>
        <v>207P00000X</v>
      </c>
      <c r="D13205" t="str">
        <f>"DAVEE                    ROBERT       A           "</f>
        <v xml:space="preserve">DAVEE                    ROBERT       A           </v>
      </c>
      <c r="E13205" t="str">
        <f>"PASCAGOULA                "</f>
        <v xml:space="preserve">PASCAGOULA                </v>
      </c>
      <c r="F13205" t="str">
        <f t="shared" si="339"/>
        <v>MS</v>
      </c>
    </row>
    <row r="13206" spans="1:6" x14ac:dyDescent="0.25">
      <c r="A13206" t="str">
        <f>"008174214"</f>
        <v>008174214</v>
      </c>
      <c r="B13206" t="str">
        <f>"1497052211"</f>
        <v>1497052211</v>
      </c>
      <c r="C13206" t="str">
        <f>"363L00000X"</f>
        <v>363L00000X</v>
      </c>
      <c r="D13206" t="str">
        <f>"MCDANIEL                 JENNIFER     E           "</f>
        <v xml:space="preserve">MCDANIEL                 JENNIFER     E           </v>
      </c>
      <c r="E13206" t="str">
        <f>"JACKSON                   "</f>
        <v xml:space="preserve">JACKSON                   </v>
      </c>
      <c r="F13206" t="str">
        <f t="shared" si="339"/>
        <v>MS</v>
      </c>
    </row>
    <row r="13207" spans="1:6" x14ac:dyDescent="0.25">
      <c r="A13207" t="str">
        <f>"008175511"</f>
        <v>008175511</v>
      </c>
      <c r="B13207" t="str">
        <f>"1215957758"</f>
        <v>1215957758</v>
      </c>
      <c r="C13207" t="str">
        <f>"363L00000X"</f>
        <v>363L00000X</v>
      </c>
      <c r="D13207" t="str">
        <f>"POTTER                   RHONDA       F           "</f>
        <v xml:space="preserve">POTTER                   RHONDA       F           </v>
      </c>
      <c r="E13207" t="str">
        <f>"GREENVILLE                "</f>
        <v xml:space="preserve">GREENVILLE                </v>
      </c>
      <c r="F13207" t="str">
        <f t="shared" si="339"/>
        <v>MS</v>
      </c>
    </row>
    <row r="13208" spans="1:6" x14ac:dyDescent="0.25">
      <c r="A13208" t="str">
        <f>"008176212"</f>
        <v>008176212</v>
      </c>
      <c r="B13208" t="str">
        <f>"1588325823"</f>
        <v>1588325823</v>
      </c>
      <c r="C13208" t="str">
        <f>"363L00000X"</f>
        <v>363L00000X</v>
      </c>
      <c r="D13208" t="str">
        <f>"ATKINS                   MELISSA                  "</f>
        <v xml:space="preserve">ATKINS                   MELISSA                  </v>
      </c>
      <c r="E13208" t="str">
        <f>"COLUMBUS                  "</f>
        <v xml:space="preserve">COLUMBUS                  </v>
      </c>
      <c r="F13208" t="str">
        <f t="shared" si="339"/>
        <v>MS</v>
      </c>
    </row>
    <row r="13209" spans="1:6" x14ac:dyDescent="0.25">
      <c r="A13209" t="str">
        <f>"008176564"</f>
        <v>008176564</v>
      </c>
      <c r="B13209" t="str">
        <f>"1427637610"</f>
        <v>1427637610</v>
      </c>
      <c r="C13209" t="str">
        <f>"2084N0400X"</f>
        <v>2084N0400X</v>
      </c>
      <c r="D13209" t="str">
        <f>"CHAPMAN                  RYAN         W           "</f>
        <v xml:space="preserve">CHAPMAN                  RYAN         W           </v>
      </c>
      <c r="E13209" t="str">
        <f>"JACKSON                   "</f>
        <v xml:space="preserve">JACKSON                   </v>
      </c>
      <c r="F13209" t="str">
        <f t="shared" si="339"/>
        <v>MS</v>
      </c>
    </row>
    <row r="13210" spans="1:6" x14ac:dyDescent="0.25">
      <c r="A13210" t="str">
        <f>"008178511"</f>
        <v>008178511</v>
      </c>
      <c r="B13210" t="str">
        <f>"1073144333"</f>
        <v>1073144333</v>
      </c>
      <c r="C13210" t="str">
        <f>"363L00000X"</f>
        <v>363L00000X</v>
      </c>
      <c r="D13210" t="str">
        <f>"HU                       BOQIN                    "</f>
        <v xml:space="preserve">HU                       BOQIN                    </v>
      </c>
      <c r="E13210" t="str">
        <f>"DIBERVILLE                "</f>
        <v xml:space="preserve">DIBERVILLE                </v>
      </c>
      <c r="F13210" t="str">
        <f t="shared" si="339"/>
        <v>MS</v>
      </c>
    </row>
    <row r="13211" spans="1:6" x14ac:dyDescent="0.25">
      <c r="A13211" t="str">
        <f>"008178807"</f>
        <v>008178807</v>
      </c>
      <c r="B13211" t="str">
        <f>"1326523507"</f>
        <v>1326523507</v>
      </c>
      <c r="C13211" t="str">
        <f>"363L00000X"</f>
        <v>363L00000X</v>
      </c>
      <c r="D13211" t="str">
        <f>"HOPPLE                   RENEA        M           "</f>
        <v xml:space="preserve">HOPPLE                   RENEA        M           </v>
      </c>
      <c r="E13211" t="str">
        <f>"CORINTH                   "</f>
        <v xml:space="preserve">CORINTH                   </v>
      </c>
      <c r="F13211" t="str">
        <f t="shared" si="339"/>
        <v>MS</v>
      </c>
    </row>
    <row r="13212" spans="1:6" x14ac:dyDescent="0.25">
      <c r="A13212" t="str">
        <f>"008178819"</f>
        <v>008178819</v>
      </c>
      <c r="B13212" t="str">
        <f>"1073091963"</f>
        <v>1073091963</v>
      </c>
      <c r="C13212" t="str">
        <f>"363L00000X"</f>
        <v>363L00000X</v>
      </c>
      <c r="D13212" t="str">
        <f>"ALLEN                    BRANDON                  "</f>
        <v xml:space="preserve">ALLEN                    BRANDON                  </v>
      </c>
      <c r="E13212" t="str">
        <f>"MERIDIAN                  "</f>
        <v xml:space="preserve">MERIDIAN                  </v>
      </c>
      <c r="F13212" t="str">
        <f t="shared" si="339"/>
        <v>MS</v>
      </c>
    </row>
    <row r="13213" spans="1:6" x14ac:dyDescent="0.25">
      <c r="A13213" t="str">
        <f>"008184811"</f>
        <v>008184811</v>
      </c>
      <c r="B13213" t="str">
        <f>"1396254561"</f>
        <v>1396254561</v>
      </c>
      <c r="C13213" t="str">
        <f>"363L00000X"</f>
        <v>363L00000X</v>
      </c>
      <c r="D13213" t="str">
        <f>"SHAW                     ALEXANDRIA               "</f>
        <v xml:space="preserve">SHAW                     ALEXANDRIA               </v>
      </c>
      <c r="E13213" t="str">
        <f>"SENATOBIA                 "</f>
        <v xml:space="preserve">SENATOBIA                 </v>
      </c>
      <c r="F13213" t="str">
        <f t="shared" si="339"/>
        <v>MS</v>
      </c>
    </row>
    <row r="13214" spans="1:6" x14ac:dyDescent="0.25">
      <c r="A13214" t="str">
        <f>"008185251"</f>
        <v>008185251</v>
      </c>
      <c r="B13214" t="str">
        <f>"1972154029"</f>
        <v>1972154029</v>
      </c>
      <c r="C13214" t="str">
        <f>"363L00000X"</f>
        <v>363L00000X</v>
      </c>
      <c r="D13214" t="str">
        <f>"CASE                     HANNAH                   "</f>
        <v xml:space="preserve">CASE                     HANNAH                   </v>
      </c>
      <c r="E13214" t="str">
        <f>"JACKSON                   "</f>
        <v xml:space="preserve">JACKSON                   </v>
      </c>
      <c r="F13214" t="str">
        <f t="shared" si="339"/>
        <v>MS</v>
      </c>
    </row>
    <row r="13215" spans="1:6" x14ac:dyDescent="0.25">
      <c r="A13215" t="str">
        <f>"008185545"</f>
        <v>008185545</v>
      </c>
      <c r="B13215" t="str">
        <f>"1558949172"</f>
        <v>1558949172</v>
      </c>
      <c r="C13215" t="str">
        <f>"207P00000X"</f>
        <v>207P00000X</v>
      </c>
      <c r="D13215" t="str">
        <f>"CLIFTON                  BRAD         A           "</f>
        <v xml:space="preserve">CLIFTON                  BRAD         A           </v>
      </c>
      <c r="E13215" t="str">
        <f>"JACKSON                   "</f>
        <v xml:space="preserve">JACKSON                   </v>
      </c>
      <c r="F13215" t="str">
        <f t="shared" si="339"/>
        <v>MS</v>
      </c>
    </row>
    <row r="13216" spans="1:6" x14ac:dyDescent="0.25">
      <c r="A13216" t="str">
        <f>"008188216"</f>
        <v>008188216</v>
      </c>
      <c r="B13216" t="str">
        <f>"1225692213"</f>
        <v>1225692213</v>
      </c>
      <c r="C13216" t="str">
        <f>"122300000X"</f>
        <v>122300000X</v>
      </c>
      <c r="D13216" t="str">
        <f>"ROBERTS &amp; GARZA ORTHODONTICS SERVICES PLLC        "</f>
        <v xml:space="preserve">ROBERTS &amp; GARZA ORTHODONTICS SERVICES PLLC        </v>
      </c>
      <c r="E13216" t="str">
        <f>"SOUTHAVEN                 "</f>
        <v xml:space="preserve">SOUTHAVEN                 </v>
      </c>
      <c r="F13216" t="str">
        <f t="shared" si="339"/>
        <v>MS</v>
      </c>
    </row>
    <row r="13217" spans="1:6" x14ac:dyDescent="0.25">
      <c r="A13217" t="str">
        <f>"008188376"</f>
        <v>008188376</v>
      </c>
      <c r="B13217" t="str">
        <f>"1235300161"</f>
        <v>1235300161</v>
      </c>
      <c r="C13217" t="str">
        <f>"152W00000X"</f>
        <v>152W00000X</v>
      </c>
      <c r="D13217" t="str">
        <f>"W T WOOD OD PA                                    "</f>
        <v xml:space="preserve">W T WOOD OD PA                                    </v>
      </c>
      <c r="E13217" t="str">
        <f>"PONTOTOC                  "</f>
        <v xml:space="preserve">PONTOTOC                  </v>
      </c>
      <c r="F13217" t="str">
        <f t="shared" si="339"/>
        <v>MS</v>
      </c>
    </row>
    <row r="13218" spans="1:6" x14ac:dyDescent="0.25">
      <c r="A13218" t="str">
        <f>"008188777"</f>
        <v>008188777</v>
      </c>
      <c r="B13218" t="str">
        <f>"1649294265"</f>
        <v>1649294265</v>
      </c>
      <c r="C13218" t="str">
        <f>"207R00000X"</f>
        <v>207R00000X</v>
      </c>
      <c r="D13218" t="str">
        <f>"EWALEIFOH                BENEDICT     E           "</f>
        <v xml:space="preserve">EWALEIFOH                BENEDICT     E           </v>
      </c>
      <c r="E13218" t="str">
        <f>"JACKSON                   "</f>
        <v xml:space="preserve">JACKSON                   </v>
      </c>
      <c r="F13218" t="str">
        <f t="shared" si="339"/>
        <v>MS</v>
      </c>
    </row>
    <row r="13219" spans="1:6" x14ac:dyDescent="0.25">
      <c r="A13219" t="str">
        <f>"008201774"</f>
        <v>008201774</v>
      </c>
      <c r="B13219" t="str">
        <f>"1205881489"</f>
        <v>1205881489</v>
      </c>
      <c r="C13219" t="str">
        <f>"207Q00000X"</f>
        <v>207Q00000X</v>
      </c>
      <c r="D13219" t="str">
        <f>"SCOTT                    HEATH        E           "</f>
        <v xml:space="preserve">SCOTT                    HEATH        E           </v>
      </c>
      <c r="E13219" t="str">
        <f>"YAZOO CITY                "</f>
        <v xml:space="preserve">YAZOO CITY                </v>
      </c>
      <c r="F13219" t="str">
        <f t="shared" si="339"/>
        <v>MS</v>
      </c>
    </row>
    <row r="13220" spans="1:6" x14ac:dyDescent="0.25">
      <c r="A13220" t="str">
        <f>"008203508"</f>
        <v>008203508</v>
      </c>
      <c r="B13220" t="str">
        <f>"1730367459"</f>
        <v>1730367459</v>
      </c>
      <c r="C13220" t="str">
        <f>"261QR1300X"</f>
        <v>261QR1300X</v>
      </c>
      <c r="D13220" t="str">
        <f>"CROSSROADS FAMILY MEDICINE                        "</f>
        <v xml:space="preserve">CROSSROADS FAMILY MEDICINE                        </v>
      </c>
      <c r="E13220" t="str">
        <f>"WINONA                    "</f>
        <v xml:space="preserve">WINONA                    </v>
      </c>
      <c r="F13220" t="str">
        <f t="shared" si="339"/>
        <v>MS</v>
      </c>
    </row>
    <row r="13221" spans="1:6" x14ac:dyDescent="0.25">
      <c r="A13221" t="str">
        <f>"008203591"</f>
        <v>008203591</v>
      </c>
      <c r="B13221" t="str">
        <f>"1689781619"</f>
        <v>1689781619</v>
      </c>
      <c r="C13221" t="str">
        <f>"152W00000X"</f>
        <v>152W00000X</v>
      </c>
      <c r="D13221" t="str">
        <f>"WILLISTON                PAUL         M           "</f>
        <v xml:space="preserve">WILLISTON                PAUL         M           </v>
      </c>
      <c r="E13221" t="str">
        <f>"GULFPORT                  "</f>
        <v xml:space="preserve">GULFPORT                  </v>
      </c>
      <c r="F13221" t="str">
        <f t="shared" si="339"/>
        <v>MS</v>
      </c>
    </row>
    <row r="13222" spans="1:6" x14ac:dyDescent="0.25">
      <c r="A13222" t="str">
        <f>"008204334"</f>
        <v>008204334</v>
      </c>
      <c r="B13222" t="str">
        <f>"1366840829"</f>
        <v>1366840829</v>
      </c>
      <c r="C13222" t="str">
        <f>"363L00000X"</f>
        <v>363L00000X</v>
      </c>
      <c r="D13222" t="str">
        <f>"THOMPSON                 MICAH        B           "</f>
        <v xml:space="preserve">THOMPSON                 MICAH        B           </v>
      </c>
      <c r="E13222" t="str">
        <f>"NEW ALBANY                "</f>
        <v xml:space="preserve">NEW ALBANY                </v>
      </c>
      <c r="F13222" t="str">
        <f t="shared" si="339"/>
        <v>MS</v>
      </c>
    </row>
    <row r="13223" spans="1:6" x14ac:dyDescent="0.25">
      <c r="A13223" t="str">
        <f>"008204373"</f>
        <v>008204373</v>
      </c>
      <c r="B13223" t="str">
        <f>"1720092877"</f>
        <v>1720092877</v>
      </c>
      <c r="C13223" t="str">
        <f>"207U00000X"</f>
        <v>207U00000X</v>
      </c>
      <c r="D13223" t="str">
        <f>"RIZK                     SIMON        G           "</f>
        <v xml:space="preserve">RIZK                     SIMON        G           </v>
      </c>
      <c r="E13223" t="str">
        <f>"PASCAGOULA                "</f>
        <v xml:space="preserve">PASCAGOULA                </v>
      </c>
      <c r="F13223" t="str">
        <f t="shared" si="339"/>
        <v>MS</v>
      </c>
    </row>
    <row r="13224" spans="1:6" x14ac:dyDescent="0.25">
      <c r="A13224" t="str">
        <f>"008205528"</f>
        <v>008205528</v>
      </c>
      <c r="B13224" t="str">
        <f>"1730694662"</f>
        <v>1730694662</v>
      </c>
      <c r="C13224" t="str">
        <f>"363L00000X"</f>
        <v>363L00000X</v>
      </c>
      <c r="D13224" t="str">
        <f>"BECKER                   ASHLEY                   "</f>
        <v xml:space="preserve">BECKER                   ASHLEY                   </v>
      </c>
      <c r="E13224" t="str">
        <f>"MOSS POINT                "</f>
        <v xml:space="preserve">MOSS POINT                </v>
      </c>
      <c r="F13224" t="str">
        <f t="shared" si="339"/>
        <v>MS</v>
      </c>
    </row>
    <row r="13225" spans="1:6" x14ac:dyDescent="0.25">
      <c r="A13225" t="str">
        <f>"008205809"</f>
        <v>008205809</v>
      </c>
      <c r="B13225" t="str">
        <f>"1235650300"</f>
        <v>1235650300</v>
      </c>
      <c r="C13225" t="str">
        <f>"207R00000X"</f>
        <v>207R00000X</v>
      </c>
      <c r="D13225" t="str">
        <f>"CHAUDHRY                 AHTSHAMULLAH             "</f>
        <v xml:space="preserve">CHAUDHRY                 AHTSHAMULLAH             </v>
      </c>
      <c r="E13225" t="str">
        <f>"JACKSON                   "</f>
        <v xml:space="preserve">JACKSON                   </v>
      </c>
      <c r="F13225" t="str">
        <f t="shared" si="339"/>
        <v>MS</v>
      </c>
    </row>
    <row r="13226" spans="1:6" x14ac:dyDescent="0.25">
      <c r="A13226" t="str">
        <f>"008206565"</f>
        <v>008206565</v>
      </c>
      <c r="B13226" t="str">
        <f>"1073996765"</f>
        <v>1073996765</v>
      </c>
      <c r="C13226" t="str">
        <f>"122300000X"</f>
        <v>122300000X</v>
      </c>
      <c r="D13226" t="str">
        <f>"BRUCE                    ANNA         C           "</f>
        <v xml:space="preserve">BRUCE                    ANNA         C           </v>
      </c>
      <c r="E13226" t="str">
        <f>"MCCOMB                    "</f>
        <v xml:space="preserve">MCCOMB                    </v>
      </c>
      <c r="F13226" t="str">
        <f t="shared" si="339"/>
        <v>MS</v>
      </c>
    </row>
    <row r="13227" spans="1:6" x14ac:dyDescent="0.25">
      <c r="A13227" t="str">
        <f>"008206704"</f>
        <v>008206704</v>
      </c>
      <c r="B13227" t="str">
        <f>"1265796981"</f>
        <v>1265796981</v>
      </c>
      <c r="C13227" t="str">
        <f>"363L00000X"</f>
        <v>363L00000X</v>
      </c>
      <c r="D13227" t="str">
        <f>"JOHNSON                  ALICON       K           "</f>
        <v xml:space="preserve">JOHNSON                  ALICON       K           </v>
      </c>
      <c r="E13227" t="str">
        <f>"JACKSON                   "</f>
        <v xml:space="preserve">JACKSON                   </v>
      </c>
      <c r="F13227" t="str">
        <f t="shared" si="339"/>
        <v>MS</v>
      </c>
    </row>
    <row r="13228" spans="1:6" x14ac:dyDescent="0.25">
      <c r="A13228" t="str">
        <f>"008208312"</f>
        <v>008208312</v>
      </c>
      <c r="B13228" t="str">
        <f>"1922386218"</f>
        <v>1922386218</v>
      </c>
      <c r="C13228" t="str">
        <f>"363L00000X"</f>
        <v>363L00000X</v>
      </c>
      <c r="D13228" t="str">
        <f>"WALKER                   SONIA                    "</f>
        <v xml:space="preserve">WALKER                   SONIA                    </v>
      </c>
      <c r="E13228" t="str">
        <f>"JACKSON                   "</f>
        <v xml:space="preserve">JACKSON                   </v>
      </c>
      <c r="F13228" t="str">
        <f t="shared" si="339"/>
        <v>MS</v>
      </c>
    </row>
    <row r="13229" spans="1:6" x14ac:dyDescent="0.25">
      <c r="A13229" t="str">
        <f>"008208322"</f>
        <v>008208322</v>
      </c>
      <c r="B13229" t="str">
        <f>"1295004497"</f>
        <v>1295004497</v>
      </c>
      <c r="C13229" t="str">
        <f>"363L00000X"</f>
        <v>363L00000X</v>
      </c>
      <c r="D13229" t="str">
        <f>"SANDERS                  DEANNA       L           "</f>
        <v xml:space="preserve">SANDERS                  DEANNA       L           </v>
      </c>
      <c r="E13229" t="str">
        <f>"TUPELO                    "</f>
        <v xml:space="preserve">TUPELO                    </v>
      </c>
      <c r="F13229" t="str">
        <f t="shared" si="339"/>
        <v>MS</v>
      </c>
    </row>
    <row r="13230" spans="1:6" x14ac:dyDescent="0.25">
      <c r="A13230" t="str">
        <f>"008208728"</f>
        <v>008208728</v>
      </c>
      <c r="B13230" t="str">
        <f>"1093121469"</f>
        <v>1093121469</v>
      </c>
      <c r="C13230" t="str">
        <f>"363L00000X"</f>
        <v>363L00000X</v>
      </c>
      <c r="D13230" t="str">
        <f>"BARRICK                  CHRISTY      G           "</f>
        <v xml:space="preserve">BARRICK                  CHRISTY      G           </v>
      </c>
      <c r="E13230" t="str">
        <f>"JACKSON                   "</f>
        <v xml:space="preserve">JACKSON                   </v>
      </c>
      <c r="F13230" t="str">
        <f t="shared" si="339"/>
        <v>MS</v>
      </c>
    </row>
    <row r="13231" spans="1:6" x14ac:dyDescent="0.25">
      <c r="A13231" t="str">
        <f>"008208834"</f>
        <v>008208834</v>
      </c>
      <c r="B13231" t="str">
        <f>"1932685112"</f>
        <v>1932685112</v>
      </c>
      <c r="C13231" t="str">
        <f>"261QA0600X"</f>
        <v>261QA0600X</v>
      </c>
      <c r="D13231" t="str">
        <f>"TRANSFORMATIVE DEVELOPMENT CORPORAT               "</f>
        <v xml:space="preserve">TRANSFORMATIVE DEVELOPMENT CORPORAT               </v>
      </c>
      <c r="E13231" t="str">
        <f>"HOLLY SPRINGS             "</f>
        <v xml:space="preserve">HOLLY SPRINGS             </v>
      </c>
      <c r="F13231" t="str">
        <f t="shared" si="339"/>
        <v>MS</v>
      </c>
    </row>
    <row r="13232" spans="1:6" x14ac:dyDescent="0.25">
      <c r="A13232" t="str">
        <f>"008209584"</f>
        <v>008209584</v>
      </c>
      <c r="B13232" t="str">
        <f>"1821505769"</f>
        <v>1821505769</v>
      </c>
      <c r="C13232" t="str">
        <f>"363L00000X"</f>
        <v>363L00000X</v>
      </c>
      <c r="D13232" t="str">
        <f>"BRISTER                  TONYA                    "</f>
        <v xml:space="preserve">BRISTER                  TONYA                    </v>
      </c>
      <c r="E13232" t="str">
        <f>"MCCOMB                    "</f>
        <v xml:space="preserve">MCCOMB                    </v>
      </c>
      <c r="F13232" t="str">
        <f t="shared" si="339"/>
        <v>MS</v>
      </c>
    </row>
    <row r="13233" spans="1:6" x14ac:dyDescent="0.25">
      <c r="A13233" t="str">
        <f>"008221043"</f>
        <v>008221043</v>
      </c>
      <c r="B13233" t="str">
        <f>"1497071146"</f>
        <v>1497071146</v>
      </c>
      <c r="C13233" t="str">
        <f>"207X00000X"</f>
        <v>207X00000X</v>
      </c>
      <c r="D13233" t="str">
        <f>"BEEBE                    MICHAEL      J           "</f>
        <v xml:space="preserve">BEEBE                    MICHAEL      J           </v>
      </c>
      <c r="E13233" t="str">
        <f>"SOUTHAVEN                 "</f>
        <v xml:space="preserve">SOUTHAVEN                 </v>
      </c>
      <c r="F13233" t="str">
        <f t="shared" si="339"/>
        <v>MS</v>
      </c>
    </row>
    <row r="13234" spans="1:6" x14ac:dyDescent="0.25">
      <c r="A13234" t="str">
        <f>"008221211"</f>
        <v>008221211</v>
      </c>
      <c r="B13234" t="str">
        <f>"1235201302"</f>
        <v>1235201302</v>
      </c>
      <c r="C13234" t="str">
        <f>"207Q00000X"</f>
        <v>207Q00000X</v>
      </c>
      <c r="D13234" t="str">
        <f>"DYESS                    TERI         S           "</f>
        <v xml:space="preserve">DYESS                    TERI         S           </v>
      </c>
      <c r="E13234" t="str">
        <f>"JACKSON                   "</f>
        <v xml:space="preserve">JACKSON                   </v>
      </c>
      <c r="F13234" t="str">
        <f t="shared" si="339"/>
        <v>MS</v>
      </c>
    </row>
    <row r="13235" spans="1:6" x14ac:dyDescent="0.25">
      <c r="A13235" t="str">
        <f>"008222360"</f>
        <v>008222360</v>
      </c>
      <c r="B13235" t="str">
        <f>"1326457151"</f>
        <v>1326457151</v>
      </c>
      <c r="C13235" t="str">
        <f>"363L00000X"</f>
        <v>363L00000X</v>
      </c>
      <c r="D13235" t="str">
        <f>"BLAKENEY                 LACEY        M           "</f>
        <v xml:space="preserve">BLAKENEY                 LACEY        M           </v>
      </c>
      <c r="E13235" t="str">
        <f>"LAUREL                    "</f>
        <v xml:space="preserve">LAUREL                    </v>
      </c>
      <c r="F13235" t="str">
        <f t="shared" si="339"/>
        <v>MS</v>
      </c>
    </row>
    <row r="13236" spans="1:6" x14ac:dyDescent="0.25">
      <c r="A13236" t="str">
        <f>"008222559"</f>
        <v>008222559</v>
      </c>
      <c r="B13236" t="str">
        <f>"1811425291"</f>
        <v>1811425291</v>
      </c>
      <c r="C13236" t="str">
        <f>"261QF0400X"</f>
        <v>261QF0400X</v>
      </c>
      <c r="D13236" t="str">
        <f>"GARY ROAD INTERMEDIATE SCHOOL                     "</f>
        <v xml:space="preserve">GARY ROAD INTERMEDIATE SCHOOL                     </v>
      </c>
      <c r="E13236" t="str">
        <f>"BYRAM                     "</f>
        <v xml:space="preserve">BYRAM                     </v>
      </c>
      <c r="F13236" t="str">
        <f t="shared" si="339"/>
        <v>MS</v>
      </c>
    </row>
    <row r="13237" spans="1:6" x14ac:dyDescent="0.25">
      <c r="A13237" t="str">
        <f>"008223209"</f>
        <v>008223209</v>
      </c>
      <c r="B13237" t="str">
        <f>"1437646239"</f>
        <v>1437646239</v>
      </c>
      <c r="C13237" t="str">
        <f>"207P00000X"</f>
        <v>207P00000X</v>
      </c>
      <c r="D13237" t="str">
        <f>"BOURGEOIS                KEVIN        R           "</f>
        <v xml:space="preserve">BOURGEOIS                KEVIN        R           </v>
      </c>
      <c r="E13237" t="str">
        <f>"JACKSON                   "</f>
        <v xml:space="preserve">JACKSON                   </v>
      </c>
      <c r="F13237" t="str">
        <f t="shared" si="339"/>
        <v>MS</v>
      </c>
    </row>
    <row r="13238" spans="1:6" x14ac:dyDescent="0.25">
      <c r="A13238" t="str">
        <f>"008223301"</f>
        <v>008223301</v>
      </c>
      <c r="B13238" t="str">
        <f>"1447261797"</f>
        <v>1447261797</v>
      </c>
      <c r="C13238" t="str">
        <f>"363L00000X"</f>
        <v>363L00000X</v>
      </c>
      <c r="D13238" t="str">
        <f>"SPIVEY                   ETHEL        B           "</f>
        <v xml:space="preserve">SPIVEY                   ETHEL        B           </v>
      </c>
      <c r="E13238" t="str">
        <f>"FLOWOOD                   "</f>
        <v xml:space="preserve">FLOWOOD                   </v>
      </c>
      <c r="F13238" t="str">
        <f t="shared" si="339"/>
        <v>MS</v>
      </c>
    </row>
    <row r="13239" spans="1:6" x14ac:dyDescent="0.25">
      <c r="A13239" t="str">
        <f>"008224074"</f>
        <v>008224074</v>
      </c>
      <c r="B13239" t="str">
        <f>"1174570881"</f>
        <v>1174570881</v>
      </c>
      <c r="C13239" t="str">
        <f>"208100000X"</f>
        <v>208100000X</v>
      </c>
      <c r="D13239" t="str">
        <f>"CONDIT                   BRIAN        E           "</f>
        <v xml:space="preserve">CONDIT                   BRIAN        E           </v>
      </c>
      <c r="E13239" t="str">
        <f>"TUPELO                    "</f>
        <v xml:space="preserve">TUPELO                    </v>
      </c>
      <c r="F13239" t="str">
        <f t="shared" si="339"/>
        <v>MS</v>
      </c>
    </row>
    <row r="13240" spans="1:6" x14ac:dyDescent="0.25">
      <c r="A13240" t="str">
        <f>"008224203"</f>
        <v>008224203</v>
      </c>
      <c r="B13240" t="str">
        <f>"1740651819"</f>
        <v>1740651819</v>
      </c>
      <c r="C13240" t="str">
        <f>"363L00000X"</f>
        <v>363L00000X</v>
      </c>
      <c r="D13240" t="str">
        <f>"WORTHEY                  BRENDA                   "</f>
        <v xml:space="preserve">WORTHEY                  BRENDA                   </v>
      </c>
      <c r="E13240" t="str">
        <f>"AMORY                     "</f>
        <v xml:space="preserve">AMORY                     </v>
      </c>
      <c r="F13240" t="str">
        <f t="shared" si="339"/>
        <v>MS</v>
      </c>
    </row>
    <row r="13241" spans="1:6" x14ac:dyDescent="0.25">
      <c r="A13241" t="str">
        <f>"008224260"</f>
        <v>008224260</v>
      </c>
      <c r="B13241" t="str">
        <f>"1861963373"</f>
        <v>1861963373</v>
      </c>
      <c r="C13241" t="str">
        <f>"363L00000X"</f>
        <v>363L00000X</v>
      </c>
      <c r="D13241" t="str">
        <f>"MAYNE                    GRACE        A           "</f>
        <v xml:space="preserve">MAYNE                    GRACE        A           </v>
      </c>
      <c r="E13241" t="str">
        <f>"JACKSON                   "</f>
        <v xml:space="preserve">JACKSON                   </v>
      </c>
      <c r="F13241" t="str">
        <f t="shared" si="339"/>
        <v>MS</v>
      </c>
    </row>
    <row r="13242" spans="1:6" x14ac:dyDescent="0.25">
      <c r="A13242" t="str">
        <f>"008224594"</f>
        <v>008224594</v>
      </c>
      <c r="B13242" t="str">
        <f>"1841890399"</f>
        <v>1841890399</v>
      </c>
      <c r="C13242" t="str">
        <f>"261QF0400X"</f>
        <v>261QF0400X</v>
      </c>
      <c r="D13242" t="str">
        <f>"COASTAL FAMILY HEALTH CENTER INC                  "</f>
        <v xml:space="preserve">COASTAL FAMILY HEALTH CENTER INC                  </v>
      </c>
      <c r="E13242" t="str">
        <f>"OCEAN SPRINGS             "</f>
        <v xml:space="preserve">OCEAN SPRINGS             </v>
      </c>
      <c r="F13242" t="str">
        <f t="shared" si="339"/>
        <v>MS</v>
      </c>
    </row>
    <row r="13243" spans="1:6" x14ac:dyDescent="0.25">
      <c r="A13243" t="str">
        <f>"008226084"</f>
        <v>008226084</v>
      </c>
      <c r="B13243" t="str">
        <f>"1154824803"</f>
        <v>1154824803</v>
      </c>
      <c r="C13243" t="str">
        <f>"363L00000X"</f>
        <v>363L00000X</v>
      </c>
      <c r="D13243" t="str">
        <f>"HARRIS                   ALEXANDRA    N           "</f>
        <v xml:space="preserve">HARRIS                   ALEXANDRA    N           </v>
      </c>
      <c r="E13243" t="str">
        <f>"GREENVILLE                "</f>
        <v xml:space="preserve">GREENVILLE                </v>
      </c>
      <c r="F13243" t="str">
        <f t="shared" si="339"/>
        <v>MS</v>
      </c>
    </row>
    <row r="13244" spans="1:6" x14ac:dyDescent="0.25">
      <c r="A13244" t="str">
        <f>"008227391"</f>
        <v>008227391</v>
      </c>
      <c r="B13244" t="str">
        <f>"1275064651"</f>
        <v>1275064651</v>
      </c>
      <c r="C13244" t="str">
        <f>"2085R0202X"</f>
        <v>2085R0202X</v>
      </c>
      <c r="D13244" t="str">
        <f>"RINDNER                  JONATHAN     M           "</f>
        <v xml:space="preserve">RINDNER                  JONATHAN     M           </v>
      </c>
      <c r="E13244" t="str">
        <f>"COLUMBUS                  "</f>
        <v xml:space="preserve">COLUMBUS                  </v>
      </c>
      <c r="F13244" t="str">
        <f t="shared" si="339"/>
        <v>MS</v>
      </c>
    </row>
    <row r="13245" spans="1:6" x14ac:dyDescent="0.25">
      <c r="A13245" t="str">
        <f>"008227546"</f>
        <v>008227546</v>
      </c>
      <c r="B13245" t="str">
        <f>"1710161708"</f>
        <v>1710161708</v>
      </c>
      <c r="C13245" t="str">
        <f>"363L00000X"</f>
        <v>363L00000X</v>
      </c>
      <c r="D13245" t="str">
        <f>"TRAVIS                   PORTIA       F           "</f>
        <v xml:space="preserve">TRAVIS                   PORTIA       F           </v>
      </c>
      <c r="E13245" t="str">
        <f>"CLINTON                   "</f>
        <v xml:space="preserve">CLINTON                   </v>
      </c>
      <c r="F13245" t="str">
        <f t="shared" si="339"/>
        <v>MS</v>
      </c>
    </row>
    <row r="13246" spans="1:6" x14ac:dyDescent="0.25">
      <c r="A13246" t="str">
        <f>"008227754"</f>
        <v>008227754</v>
      </c>
      <c r="B13246" t="str">
        <f>"1407930555"</f>
        <v>1407930555</v>
      </c>
      <c r="C13246" t="str">
        <f>"208000000X"</f>
        <v>208000000X</v>
      </c>
      <c r="D13246" t="str">
        <f>"ROGERS                   MICHAEL      A           "</f>
        <v xml:space="preserve">ROGERS                   MICHAEL      A           </v>
      </c>
      <c r="E13246" t="str">
        <f>"BRANDON                   "</f>
        <v xml:space="preserve">BRANDON                   </v>
      </c>
      <c r="F13246" t="str">
        <f t="shared" ref="F13246:F13309" si="340">"MS"</f>
        <v>MS</v>
      </c>
    </row>
    <row r="13247" spans="1:6" x14ac:dyDescent="0.25">
      <c r="A13247" t="str">
        <f>"008227811"</f>
        <v>008227811</v>
      </c>
      <c r="B13247" t="str">
        <f>"1376572008"</f>
        <v>1376572008</v>
      </c>
      <c r="C13247" t="str">
        <f>"2085R0202X"</f>
        <v>2085R0202X</v>
      </c>
      <c r="D13247" t="str">
        <f>"BOYETTE                  SCOTT        T           "</f>
        <v xml:space="preserve">BOYETTE                  SCOTT        T           </v>
      </c>
      <c r="E13247" t="str">
        <f>"HATTIESBURG               "</f>
        <v xml:space="preserve">HATTIESBURG               </v>
      </c>
      <c r="F13247" t="str">
        <f t="shared" si="340"/>
        <v>MS</v>
      </c>
    </row>
    <row r="13248" spans="1:6" x14ac:dyDescent="0.25">
      <c r="A13248" t="str">
        <f>"008229261"</f>
        <v>008229261</v>
      </c>
      <c r="B13248" t="str">
        <f>"1720575392"</f>
        <v>1720575392</v>
      </c>
      <c r="C13248" t="str">
        <f>"367500000X"</f>
        <v>367500000X</v>
      </c>
      <c r="D13248" t="str">
        <f>"JACKSON                  HOLLY                    "</f>
        <v xml:space="preserve">JACKSON                  HOLLY                    </v>
      </c>
      <c r="E13248" t="str">
        <f>"SOUTHAVEN                 "</f>
        <v xml:space="preserve">SOUTHAVEN                 </v>
      </c>
      <c r="F13248" t="str">
        <f t="shared" si="340"/>
        <v>MS</v>
      </c>
    </row>
    <row r="13249" spans="1:6" x14ac:dyDescent="0.25">
      <c r="A13249" t="str">
        <f>"008229277"</f>
        <v>008229277</v>
      </c>
      <c r="B13249" t="str">
        <f>"1851872451"</f>
        <v>1851872451</v>
      </c>
      <c r="C13249" t="str">
        <f>"152W00000X"</f>
        <v>152W00000X</v>
      </c>
      <c r="D13249" t="str">
        <f>"COLUMBUS VISION GROUP PLLC                        "</f>
        <v xml:space="preserve">COLUMBUS VISION GROUP PLLC                        </v>
      </c>
      <c r="E13249" t="str">
        <f>"COLUMBUS                  "</f>
        <v xml:space="preserve">COLUMBUS                  </v>
      </c>
      <c r="F13249" t="str">
        <f t="shared" si="340"/>
        <v>MS</v>
      </c>
    </row>
    <row r="13250" spans="1:6" x14ac:dyDescent="0.25">
      <c r="A13250" t="str">
        <f>"008229286"</f>
        <v>008229286</v>
      </c>
      <c r="B13250" t="str">
        <f>"1912012121"</f>
        <v>1912012121</v>
      </c>
      <c r="C13250" t="str">
        <f>"363L00000X"</f>
        <v>363L00000X</v>
      </c>
      <c r="D13250" t="str">
        <f>"DAWKINS                  PAULETTE     G           "</f>
        <v xml:space="preserve">DAWKINS                  PAULETTE     G           </v>
      </c>
      <c r="E13250" t="str">
        <f>"GULFPORT                  "</f>
        <v xml:space="preserve">GULFPORT                  </v>
      </c>
      <c r="F13250" t="str">
        <f t="shared" si="340"/>
        <v>MS</v>
      </c>
    </row>
    <row r="13251" spans="1:6" x14ac:dyDescent="0.25">
      <c r="A13251" t="str">
        <f>"008229883"</f>
        <v>008229883</v>
      </c>
      <c r="B13251" t="str">
        <f>"1053950733"</f>
        <v>1053950733</v>
      </c>
      <c r="C13251" t="str">
        <f>"363L00000X"</f>
        <v>363L00000X</v>
      </c>
      <c r="D13251" t="str">
        <f>"HARVEY                   ELIZABETH    W           "</f>
        <v xml:space="preserve">HARVEY                   ELIZABETH    W           </v>
      </c>
      <c r="E13251" t="str">
        <f>"JACKSON                   "</f>
        <v xml:space="preserve">JACKSON                   </v>
      </c>
      <c r="F13251" t="str">
        <f t="shared" si="340"/>
        <v>MS</v>
      </c>
    </row>
    <row r="13252" spans="1:6" x14ac:dyDescent="0.25">
      <c r="A13252" t="str">
        <f>"008230097"</f>
        <v>008230097</v>
      </c>
      <c r="B13252" t="str">
        <f>"1932651429"</f>
        <v>1932651429</v>
      </c>
      <c r="C13252" t="str">
        <f>"363L00000X"</f>
        <v>363L00000X</v>
      </c>
      <c r="D13252" t="str">
        <f>"LEONE                    LAURA        C           "</f>
        <v xml:space="preserve">LEONE                    LAURA        C           </v>
      </c>
      <c r="E13252" t="str">
        <f>"MADISON                   "</f>
        <v xml:space="preserve">MADISON                   </v>
      </c>
      <c r="F13252" t="str">
        <f t="shared" si="340"/>
        <v>MS</v>
      </c>
    </row>
    <row r="13253" spans="1:6" x14ac:dyDescent="0.25">
      <c r="A13253" t="str">
        <f>"008230889"</f>
        <v>008230889</v>
      </c>
      <c r="B13253" t="str">
        <f>"1629466131"</f>
        <v>1629466131</v>
      </c>
      <c r="C13253" t="str">
        <f>"363L00000X"</f>
        <v>363L00000X</v>
      </c>
      <c r="D13253" t="str">
        <f>"PUTNAM                   MARY         P           "</f>
        <v xml:space="preserve">PUTNAM                   MARY         P           </v>
      </c>
      <c r="E13253" t="str">
        <f>"BILOXI                    "</f>
        <v xml:space="preserve">BILOXI                    </v>
      </c>
      <c r="F13253" t="str">
        <f t="shared" si="340"/>
        <v>MS</v>
      </c>
    </row>
    <row r="13254" spans="1:6" x14ac:dyDescent="0.25">
      <c r="A13254" t="str">
        <f>"008231862"</f>
        <v>008231862</v>
      </c>
      <c r="B13254" t="str">
        <f>"1831720242"</f>
        <v>1831720242</v>
      </c>
      <c r="C13254" t="str">
        <f>"363L00000X"</f>
        <v>363L00000X</v>
      </c>
      <c r="D13254" t="str">
        <f>"WOODCOCK                 AMANDA       R           "</f>
        <v xml:space="preserve">WOODCOCK                 AMANDA       R           </v>
      </c>
      <c r="E13254" t="str">
        <f>"GULFPORT                  "</f>
        <v xml:space="preserve">GULFPORT                  </v>
      </c>
      <c r="F13254" t="str">
        <f t="shared" si="340"/>
        <v>MS</v>
      </c>
    </row>
    <row r="13255" spans="1:6" x14ac:dyDescent="0.25">
      <c r="A13255" t="str">
        <f>"008232367"</f>
        <v>008232367</v>
      </c>
      <c r="B13255" t="str">
        <f>"1063094712"</f>
        <v>1063094712</v>
      </c>
      <c r="C13255" t="str">
        <f>"261QM1300X"</f>
        <v>261QM1300X</v>
      </c>
      <c r="D13255" t="str">
        <f>"SALLY SMIRTHWAITE LCSW PLLC                       "</f>
        <v xml:space="preserve">SALLY SMIRTHWAITE LCSW PLLC                       </v>
      </c>
      <c r="E13255" t="str">
        <f>"GULFPORT                  "</f>
        <v xml:space="preserve">GULFPORT                  </v>
      </c>
      <c r="F13255" t="str">
        <f t="shared" si="340"/>
        <v>MS</v>
      </c>
    </row>
    <row r="13256" spans="1:6" x14ac:dyDescent="0.25">
      <c r="A13256" t="str">
        <f>"008233075"</f>
        <v>008233075</v>
      </c>
      <c r="B13256" t="str">
        <f>"1467908053"</f>
        <v>1467908053</v>
      </c>
      <c r="C13256" t="str">
        <f>"207T00000X"</f>
        <v>207T00000X</v>
      </c>
      <c r="D13256" t="str">
        <f>"SMALLEY                  ZACHARY      S           "</f>
        <v xml:space="preserve">SMALLEY                  ZACHARY      S           </v>
      </c>
      <c r="E13256" t="str">
        <f>"JACKSON                   "</f>
        <v xml:space="preserve">JACKSON                   </v>
      </c>
      <c r="F13256" t="str">
        <f t="shared" si="340"/>
        <v>MS</v>
      </c>
    </row>
    <row r="13257" spans="1:6" x14ac:dyDescent="0.25">
      <c r="A13257" t="str">
        <f>"008234736"</f>
        <v>008234736</v>
      </c>
      <c r="B13257" t="str">
        <f>"1427556828"</f>
        <v>1427556828</v>
      </c>
      <c r="C13257" t="str">
        <f>"363L00000X"</f>
        <v>363L00000X</v>
      </c>
      <c r="D13257" t="str">
        <f>"WHITEHEAD                CAMILLE                  "</f>
        <v xml:space="preserve">WHITEHEAD                CAMILLE                  </v>
      </c>
      <c r="E13257" t="str">
        <f>"BOONEVILLE                "</f>
        <v xml:space="preserve">BOONEVILLE                </v>
      </c>
      <c r="F13257" t="str">
        <f t="shared" si="340"/>
        <v>MS</v>
      </c>
    </row>
    <row r="13258" spans="1:6" x14ac:dyDescent="0.25">
      <c r="A13258" t="str">
        <f>"008234791"</f>
        <v>008234791</v>
      </c>
      <c r="B13258" t="str">
        <f>"1992958169"</f>
        <v>1992958169</v>
      </c>
      <c r="C13258" t="str">
        <f>"363L00000X"</f>
        <v>363L00000X</v>
      </c>
      <c r="D13258" t="str">
        <f>"BRENT                    LORI         B           "</f>
        <v xml:space="preserve">BRENT                    LORI         B           </v>
      </c>
      <c r="E13258" t="str">
        <f>"JACKSON                   "</f>
        <v xml:space="preserve">JACKSON                   </v>
      </c>
      <c r="F13258" t="str">
        <f t="shared" si="340"/>
        <v>MS</v>
      </c>
    </row>
    <row r="13259" spans="1:6" x14ac:dyDescent="0.25">
      <c r="A13259" t="str">
        <f>"008234897"</f>
        <v>008234897</v>
      </c>
      <c r="B13259" t="str">
        <f>"1689766719"</f>
        <v>1689766719</v>
      </c>
      <c r="C13259" t="str">
        <f>"207L00000X"</f>
        <v>207L00000X</v>
      </c>
      <c r="D13259" t="str">
        <f>"RAUCHER                  SANJA                    "</f>
        <v xml:space="preserve">RAUCHER                  SANJA                    </v>
      </c>
      <c r="E13259" t="str">
        <f>"JACKSON                   "</f>
        <v xml:space="preserve">JACKSON                   </v>
      </c>
      <c r="F13259" t="str">
        <f t="shared" si="340"/>
        <v>MS</v>
      </c>
    </row>
    <row r="13260" spans="1:6" x14ac:dyDescent="0.25">
      <c r="A13260" t="str">
        <f>"008235041"</f>
        <v>008235041</v>
      </c>
      <c r="B13260" t="str">
        <f>"1003103342"</f>
        <v>1003103342</v>
      </c>
      <c r="C13260" t="str">
        <f>"122300000X"</f>
        <v>122300000X</v>
      </c>
      <c r="D13260" t="str">
        <f>"APRIL                    CANDICE      B           "</f>
        <v xml:space="preserve">APRIL                    CANDICE      B           </v>
      </c>
      <c r="E13260" t="str">
        <f>"CANTON                    "</f>
        <v xml:space="preserve">CANTON                    </v>
      </c>
      <c r="F13260" t="str">
        <f t="shared" si="340"/>
        <v>MS</v>
      </c>
    </row>
    <row r="13261" spans="1:6" x14ac:dyDescent="0.25">
      <c r="A13261" t="str">
        <f>"008236328"</f>
        <v>008236328</v>
      </c>
      <c r="B13261" t="str">
        <f>"1376746305"</f>
        <v>1376746305</v>
      </c>
      <c r="C13261" t="str">
        <f>"208000000X"</f>
        <v>208000000X</v>
      </c>
      <c r="D13261" t="str">
        <f>"VARGO                    JACOB        A           "</f>
        <v xml:space="preserve">VARGO                    JACOB        A           </v>
      </c>
      <c r="E13261" t="str">
        <f>"OLIVE BRANCH              "</f>
        <v xml:space="preserve">OLIVE BRANCH              </v>
      </c>
      <c r="F13261" t="str">
        <f t="shared" si="340"/>
        <v>MS</v>
      </c>
    </row>
    <row r="13262" spans="1:6" x14ac:dyDescent="0.25">
      <c r="A13262" t="str">
        <f>"008236732"</f>
        <v>008236732</v>
      </c>
      <c r="B13262" t="str">
        <f>"1083843163"</f>
        <v>1083843163</v>
      </c>
      <c r="C13262" t="str">
        <f>"152W00000X"</f>
        <v>152W00000X</v>
      </c>
      <c r="D13262" t="str">
        <f>"YORK                     JENNIFER     H           "</f>
        <v xml:space="preserve">YORK                     JENNIFER     H           </v>
      </c>
      <c r="E13262" t="str">
        <f>"MADISON                   "</f>
        <v xml:space="preserve">MADISON                   </v>
      </c>
      <c r="F13262" t="str">
        <f t="shared" si="340"/>
        <v>MS</v>
      </c>
    </row>
    <row r="13263" spans="1:6" x14ac:dyDescent="0.25">
      <c r="A13263" t="str">
        <f>"008237567"</f>
        <v>008237567</v>
      </c>
      <c r="B13263" t="str">
        <f>"1043622939"</f>
        <v>1043622939</v>
      </c>
      <c r="C13263" t="str">
        <f>"2085R0202X"</f>
        <v>2085R0202X</v>
      </c>
      <c r="D13263" t="str">
        <f>"TAYLOR                   CHARLOTTE    S           "</f>
        <v xml:space="preserve">TAYLOR                   CHARLOTTE    S           </v>
      </c>
      <c r="E13263" t="str">
        <f>"JACKSON                   "</f>
        <v xml:space="preserve">JACKSON                   </v>
      </c>
      <c r="F13263" t="str">
        <f t="shared" si="340"/>
        <v>MS</v>
      </c>
    </row>
    <row r="13264" spans="1:6" x14ac:dyDescent="0.25">
      <c r="A13264" t="str">
        <f>"008237869"</f>
        <v>008237869</v>
      </c>
      <c r="B13264" t="str">
        <f>"1982612164"</f>
        <v>1982612164</v>
      </c>
      <c r="C13264" t="str">
        <f>"2084P0800X"</f>
        <v>2084P0800X</v>
      </c>
      <c r="D13264" t="str">
        <f>"GLENN                    CLYDE        E           "</f>
        <v xml:space="preserve">GLENN                    CLYDE        E           </v>
      </c>
      <c r="E13264" t="str">
        <f>"RIDGELAND                 "</f>
        <v xml:space="preserve">RIDGELAND                 </v>
      </c>
      <c r="F13264" t="str">
        <f t="shared" si="340"/>
        <v>MS</v>
      </c>
    </row>
    <row r="13265" spans="1:6" x14ac:dyDescent="0.25">
      <c r="A13265" t="str">
        <f>"008238055"</f>
        <v>008238055</v>
      </c>
      <c r="B13265" t="str">
        <f>"1770874687"</f>
        <v>1770874687</v>
      </c>
      <c r="C13265" t="str">
        <f>"207Q00000X"</f>
        <v>207Q00000X</v>
      </c>
      <c r="D13265" t="str">
        <f>"RICKS                    KEVIN        R           "</f>
        <v xml:space="preserve">RICKS                    KEVIN        R           </v>
      </c>
      <c r="E13265" t="str">
        <f>"MCCOMB                    "</f>
        <v xml:space="preserve">MCCOMB                    </v>
      </c>
      <c r="F13265" t="str">
        <f t="shared" si="340"/>
        <v>MS</v>
      </c>
    </row>
    <row r="13266" spans="1:6" x14ac:dyDescent="0.25">
      <c r="A13266" t="str">
        <f>"008239050"</f>
        <v>008239050</v>
      </c>
      <c r="B13266" t="str">
        <f>"1023429974"</f>
        <v>1023429974</v>
      </c>
      <c r="C13266" t="str">
        <f>"363L00000X"</f>
        <v>363L00000X</v>
      </c>
      <c r="D13266" t="str">
        <f>"MASSEY                   KELLY                    "</f>
        <v xml:space="preserve">MASSEY                   KELLY                    </v>
      </c>
      <c r="E13266" t="str">
        <f>"STARKVILLE                "</f>
        <v xml:space="preserve">STARKVILLE                </v>
      </c>
      <c r="F13266" t="str">
        <f t="shared" si="340"/>
        <v>MS</v>
      </c>
    </row>
    <row r="13267" spans="1:6" x14ac:dyDescent="0.25">
      <c r="A13267" t="str">
        <f>"008239202"</f>
        <v>008239202</v>
      </c>
      <c r="B13267" t="str">
        <f>"1487897187"</f>
        <v>1487897187</v>
      </c>
      <c r="C13267" t="str">
        <f>"207ZP0102X"</f>
        <v>207ZP0102X</v>
      </c>
      <c r="D13267" t="str">
        <f>"CATE                     FRANCES      L           "</f>
        <v xml:space="preserve">CATE                     FRANCES      L           </v>
      </c>
      <c r="E13267" t="str">
        <f>"SOUTHAVEN                 "</f>
        <v xml:space="preserve">SOUTHAVEN                 </v>
      </c>
      <c r="F13267" t="str">
        <f t="shared" si="340"/>
        <v>MS</v>
      </c>
    </row>
    <row r="13268" spans="1:6" x14ac:dyDescent="0.25">
      <c r="A13268" t="str">
        <f>"008239510"</f>
        <v>008239510</v>
      </c>
      <c r="B13268" t="str">
        <f>"1750422713"</f>
        <v>1750422713</v>
      </c>
      <c r="C13268" t="str">
        <f>"122300000X"</f>
        <v>122300000X</v>
      </c>
      <c r="D13268" t="str">
        <f>"SHELTON                  STACEY       A           "</f>
        <v xml:space="preserve">SHELTON                  STACEY       A           </v>
      </c>
      <c r="E13268" t="str">
        <f>"TUPELO                    "</f>
        <v xml:space="preserve">TUPELO                    </v>
      </c>
      <c r="F13268" t="str">
        <f t="shared" si="340"/>
        <v>MS</v>
      </c>
    </row>
    <row r="13269" spans="1:6" x14ac:dyDescent="0.25">
      <c r="A13269" t="str">
        <f>"008250764"</f>
        <v>008250764</v>
      </c>
      <c r="B13269" t="str">
        <f>"1720202153"</f>
        <v>1720202153</v>
      </c>
      <c r="C13269" t="str">
        <f>"122300000X"</f>
        <v>122300000X</v>
      </c>
      <c r="D13269" t="str">
        <f>"GREER, II                STEPHEN      C           "</f>
        <v xml:space="preserve">GREER, II                STEPHEN      C           </v>
      </c>
      <c r="E13269" t="str">
        <f>"MADISON                   "</f>
        <v xml:space="preserve">MADISON                   </v>
      </c>
      <c r="F13269" t="str">
        <f t="shared" si="340"/>
        <v>MS</v>
      </c>
    </row>
    <row r="13270" spans="1:6" x14ac:dyDescent="0.25">
      <c r="A13270" t="str">
        <f>"008251044"</f>
        <v>008251044</v>
      </c>
      <c r="B13270" t="str">
        <f>"1679734933"</f>
        <v>1679734933</v>
      </c>
      <c r="C13270" t="str">
        <f>"207RG0100X"</f>
        <v>207RG0100X</v>
      </c>
      <c r="D13270" t="str">
        <f>"DECKER                   CHRISTOPHER  H           "</f>
        <v xml:space="preserve">DECKER                   CHRISTOPHER  H           </v>
      </c>
      <c r="E13270" t="str">
        <f>"TUPELO                    "</f>
        <v xml:space="preserve">TUPELO                    </v>
      </c>
      <c r="F13270" t="str">
        <f t="shared" si="340"/>
        <v>MS</v>
      </c>
    </row>
    <row r="13271" spans="1:6" x14ac:dyDescent="0.25">
      <c r="A13271" t="str">
        <f>"008251814"</f>
        <v>008251814</v>
      </c>
      <c r="B13271" t="str">
        <f>"1023455169"</f>
        <v>1023455169</v>
      </c>
      <c r="C13271" t="str">
        <f>"207Y00000X"</f>
        <v>207Y00000X</v>
      </c>
      <c r="D13271" t="str">
        <f>"HINES                    J PEYTON                 "</f>
        <v xml:space="preserve">HINES                    J PEYTON                 </v>
      </c>
      <c r="E13271" t="str">
        <f>"FLOWOOD                   "</f>
        <v xml:space="preserve">FLOWOOD                   </v>
      </c>
      <c r="F13271" t="str">
        <f t="shared" si="340"/>
        <v>MS</v>
      </c>
    </row>
    <row r="13272" spans="1:6" x14ac:dyDescent="0.25">
      <c r="A13272" t="str">
        <f>"008252001"</f>
        <v>008252001</v>
      </c>
      <c r="B13272" t="str">
        <f>"1023503554"</f>
        <v>1023503554</v>
      </c>
      <c r="C13272" t="str">
        <f>"363L00000X"</f>
        <v>363L00000X</v>
      </c>
      <c r="D13272" t="str">
        <f>"YOUNG                    GRENISHA                 "</f>
        <v xml:space="preserve">YOUNG                    GRENISHA                 </v>
      </c>
      <c r="E13272" t="str">
        <f>"PEARL                     "</f>
        <v xml:space="preserve">PEARL                     </v>
      </c>
      <c r="F13272" t="str">
        <f t="shared" si="340"/>
        <v>MS</v>
      </c>
    </row>
    <row r="13273" spans="1:6" x14ac:dyDescent="0.25">
      <c r="A13273" t="str">
        <f>"008252334"</f>
        <v>008252334</v>
      </c>
      <c r="B13273" t="str">
        <f>"1104862259"</f>
        <v>1104862259</v>
      </c>
      <c r="C13273" t="str">
        <f>"207RH0003X"</f>
        <v>207RH0003X</v>
      </c>
      <c r="D13273" t="str">
        <f>"CRAFT                    BARBARA      S           "</f>
        <v xml:space="preserve">CRAFT                    BARBARA      S           </v>
      </c>
      <c r="E13273" t="str">
        <f>"JACKSON                   "</f>
        <v xml:space="preserve">JACKSON                   </v>
      </c>
      <c r="F13273" t="str">
        <f t="shared" si="340"/>
        <v>MS</v>
      </c>
    </row>
    <row r="13274" spans="1:6" x14ac:dyDescent="0.25">
      <c r="A13274" t="str">
        <f>"008254310"</f>
        <v>008254310</v>
      </c>
      <c r="B13274" t="str">
        <f>"1225379050"</f>
        <v>1225379050</v>
      </c>
      <c r="C13274" t="str">
        <f>"363L00000X"</f>
        <v>363L00000X</v>
      </c>
      <c r="D13274" t="str">
        <f>"ADELEYE                  OLAMIDE      O           "</f>
        <v xml:space="preserve">ADELEYE                  OLAMIDE      O           </v>
      </c>
      <c r="E13274" t="str">
        <f>"SOUTHAVEN                 "</f>
        <v xml:space="preserve">SOUTHAVEN                 </v>
      </c>
      <c r="F13274" t="str">
        <f t="shared" si="340"/>
        <v>MS</v>
      </c>
    </row>
    <row r="13275" spans="1:6" x14ac:dyDescent="0.25">
      <c r="A13275" t="str">
        <f>"008254542"</f>
        <v>008254542</v>
      </c>
      <c r="B13275" t="str">
        <f>"1497200570"</f>
        <v>1497200570</v>
      </c>
      <c r="C13275" t="str">
        <f>"261QM1300X"</f>
        <v>261QM1300X</v>
      </c>
      <c r="D13275" t="str">
        <f>"FAMILY CONNECTIONS COUNSELING CTR                 "</f>
        <v xml:space="preserve">FAMILY CONNECTIONS COUNSELING CTR                 </v>
      </c>
      <c r="E13275" t="str">
        <f>"NATCHEZ                   "</f>
        <v xml:space="preserve">NATCHEZ                   </v>
      </c>
      <c r="F13275" t="str">
        <f t="shared" si="340"/>
        <v>MS</v>
      </c>
    </row>
    <row r="13276" spans="1:6" x14ac:dyDescent="0.25">
      <c r="A13276" t="str">
        <f>"008255863"</f>
        <v>008255863</v>
      </c>
      <c r="B13276" t="str">
        <f>"1336403740"</f>
        <v>1336403740</v>
      </c>
      <c r="C13276" t="str">
        <f>"207RG0300X"</f>
        <v>207RG0300X</v>
      </c>
      <c r="D13276" t="str">
        <f>"TAYLOR-WEATHERLY         LYSSA                    "</f>
        <v xml:space="preserve">TAYLOR-WEATHERLY         LYSSA                    </v>
      </c>
      <c r="E13276" t="str">
        <f>"JACKSON                   "</f>
        <v xml:space="preserve">JACKSON                   </v>
      </c>
      <c r="F13276" t="str">
        <f t="shared" si="340"/>
        <v>MS</v>
      </c>
    </row>
    <row r="13277" spans="1:6" x14ac:dyDescent="0.25">
      <c r="A13277" t="str">
        <f>"008256098"</f>
        <v>008256098</v>
      </c>
      <c r="B13277" t="str">
        <f>"1750843330"</f>
        <v>1750843330</v>
      </c>
      <c r="C13277" t="str">
        <f>"207R00000X"</f>
        <v>207R00000X</v>
      </c>
      <c r="D13277" t="str">
        <f>"GLADFELTER               ANNA                     "</f>
        <v xml:space="preserve">GLADFELTER               ANNA                     </v>
      </c>
      <c r="E13277" t="str">
        <f>"JACKSON                   "</f>
        <v xml:space="preserve">JACKSON                   </v>
      </c>
      <c r="F13277" t="str">
        <f t="shared" si="340"/>
        <v>MS</v>
      </c>
    </row>
    <row r="13278" spans="1:6" x14ac:dyDescent="0.25">
      <c r="A13278" t="str">
        <f>"008259244"</f>
        <v>008259244</v>
      </c>
      <c r="B13278" t="str">
        <f>"1336531672"</f>
        <v>1336531672</v>
      </c>
      <c r="C13278" t="str">
        <f>"363L00000X"</f>
        <v>363L00000X</v>
      </c>
      <c r="D13278" t="str">
        <f>"DILL                     LYNDSEY      T           "</f>
        <v xml:space="preserve">DILL                     LYNDSEY      T           </v>
      </c>
      <c r="E13278" t="str">
        <f>"JACKSON                   "</f>
        <v xml:space="preserve">JACKSON                   </v>
      </c>
      <c r="F13278" t="str">
        <f t="shared" si="340"/>
        <v>MS</v>
      </c>
    </row>
    <row r="13279" spans="1:6" x14ac:dyDescent="0.25">
      <c r="A13279" t="str">
        <f>"008271296"</f>
        <v>008271296</v>
      </c>
      <c r="B13279" t="str">
        <f>"1114136751"</f>
        <v>1114136751</v>
      </c>
      <c r="C13279" t="str">
        <f>"207X00000X"</f>
        <v>207X00000X</v>
      </c>
      <c r="D13279" t="str">
        <f>"HOSEMANN                 CHARLES      D           "</f>
        <v xml:space="preserve">HOSEMANN                 CHARLES      D           </v>
      </c>
      <c r="E13279" t="str">
        <f>"FLOWOOD                   "</f>
        <v xml:space="preserve">FLOWOOD                   </v>
      </c>
      <c r="F13279" t="str">
        <f t="shared" si="340"/>
        <v>MS</v>
      </c>
    </row>
    <row r="13280" spans="1:6" x14ac:dyDescent="0.25">
      <c r="A13280" t="str">
        <f>"008272378"</f>
        <v>008272378</v>
      </c>
      <c r="B13280" t="str">
        <f>"1174902134"</f>
        <v>1174902134</v>
      </c>
      <c r="C13280" t="str">
        <f>"363L00000X"</f>
        <v>363L00000X</v>
      </c>
      <c r="D13280" t="str">
        <f>"HARDIN                   PAMELA       D           "</f>
        <v xml:space="preserve">HARDIN                   PAMELA       D           </v>
      </c>
      <c r="E13280" t="str">
        <f>"RALEIGH                   "</f>
        <v xml:space="preserve">RALEIGH                   </v>
      </c>
      <c r="F13280" t="str">
        <f t="shared" si="340"/>
        <v>MS</v>
      </c>
    </row>
    <row r="13281" spans="1:6" x14ac:dyDescent="0.25">
      <c r="A13281" t="str">
        <f>"008274851"</f>
        <v>008274851</v>
      </c>
      <c r="B13281" t="str">
        <f>"1760807994"</f>
        <v>1760807994</v>
      </c>
      <c r="C13281" t="str">
        <f>"122300000X"</f>
        <v>122300000X</v>
      </c>
      <c r="D13281" t="str">
        <f>"PAUL FAMILY DENTISTRY INC                         "</f>
        <v xml:space="preserve">PAUL FAMILY DENTISTRY INC                         </v>
      </c>
      <c r="E13281" t="str">
        <f>"YAZOO CITY                "</f>
        <v xml:space="preserve">YAZOO CITY                </v>
      </c>
      <c r="F13281" t="str">
        <f t="shared" si="340"/>
        <v>MS</v>
      </c>
    </row>
    <row r="13282" spans="1:6" x14ac:dyDescent="0.25">
      <c r="A13282" t="str">
        <f>"008276526"</f>
        <v>008276526</v>
      </c>
      <c r="B13282" t="str">
        <f>"1639686371"</f>
        <v>1639686371</v>
      </c>
      <c r="C13282" t="str">
        <f>"363L00000X"</f>
        <v>363L00000X</v>
      </c>
      <c r="D13282" t="str">
        <f>"HANNAFORD                RACHEL                   "</f>
        <v xml:space="preserve">HANNAFORD                RACHEL                   </v>
      </c>
      <c r="E13282" t="str">
        <f>"POPLARVILLE               "</f>
        <v xml:space="preserve">POPLARVILLE               </v>
      </c>
      <c r="F13282" t="str">
        <f t="shared" si="340"/>
        <v>MS</v>
      </c>
    </row>
    <row r="13283" spans="1:6" x14ac:dyDescent="0.25">
      <c r="A13283" t="str">
        <f>"008277292"</f>
        <v>008277292</v>
      </c>
      <c r="B13283" t="str">
        <f>"1184108177"</f>
        <v>1184108177</v>
      </c>
      <c r="C13283" t="str">
        <f>"363L00000X"</f>
        <v>363L00000X</v>
      </c>
      <c r="D13283" t="str">
        <f>"JOHNSON                  ANNALIESE                "</f>
        <v xml:space="preserve">JOHNSON                  ANNALIESE                </v>
      </c>
      <c r="E13283" t="str">
        <f>"JACKSON                   "</f>
        <v xml:space="preserve">JACKSON                   </v>
      </c>
      <c r="F13283" t="str">
        <f t="shared" si="340"/>
        <v>MS</v>
      </c>
    </row>
    <row r="13284" spans="1:6" x14ac:dyDescent="0.25">
      <c r="A13284" t="str">
        <f>"008278258"</f>
        <v>008278258</v>
      </c>
      <c r="B13284" t="str">
        <f>"1295932168"</f>
        <v>1295932168</v>
      </c>
      <c r="C13284" t="str">
        <f>"207RG0100X"</f>
        <v>207RG0100X</v>
      </c>
      <c r="D13284" t="str">
        <f>"VESA                     TELCIANE     S           "</f>
        <v xml:space="preserve">VESA                     TELCIANE     S           </v>
      </c>
      <c r="E13284" t="str">
        <f>"HATTIESBURG               "</f>
        <v xml:space="preserve">HATTIESBURG               </v>
      </c>
      <c r="F13284" t="str">
        <f t="shared" si="340"/>
        <v>MS</v>
      </c>
    </row>
    <row r="13285" spans="1:6" x14ac:dyDescent="0.25">
      <c r="A13285" t="str">
        <f>"008280011"</f>
        <v>008280011</v>
      </c>
      <c r="B13285" t="str">
        <f>"1447529516"</f>
        <v>1447529516</v>
      </c>
      <c r="C13285" t="str">
        <f>"363L00000X"</f>
        <v>363L00000X</v>
      </c>
      <c r="D13285" t="str">
        <f>"PARSONS                  JENNA                    "</f>
        <v xml:space="preserve">PARSONS                  JENNA                    </v>
      </c>
      <c r="E13285" t="str">
        <f>"JACKSON                   "</f>
        <v xml:space="preserve">JACKSON                   </v>
      </c>
      <c r="F13285" t="str">
        <f t="shared" si="340"/>
        <v>MS</v>
      </c>
    </row>
    <row r="13286" spans="1:6" x14ac:dyDescent="0.25">
      <c r="A13286" t="str">
        <f>"008280216"</f>
        <v>008280216</v>
      </c>
      <c r="B13286" t="str">
        <f>"1376198192"</f>
        <v>1376198192</v>
      </c>
      <c r="C13286" t="str">
        <f>"363L00000X"</f>
        <v>363L00000X</v>
      </c>
      <c r="D13286" t="str">
        <f>"VAN DEVENDER             LEIGH        A           "</f>
        <v xml:space="preserve">VAN DEVENDER             LEIGH        A           </v>
      </c>
      <c r="E13286" t="str">
        <f>"OXFORD                    "</f>
        <v xml:space="preserve">OXFORD                    </v>
      </c>
      <c r="F13286" t="str">
        <f t="shared" si="340"/>
        <v>MS</v>
      </c>
    </row>
    <row r="13287" spans="1:6" x14ac:dyDescent="0.25">
      <c r="A13287" t="str">
        <f>"008280704"</f>
        <v>008280704</v>
      </c>
      <c r="B13287" t="str">
        <f>"1639359268"</f>
        <v>1639359268</v>
      </c>
      <c r="C13287" t="str">
        <f>"207R00000X"</f>
        <v>207R00000X</v>
      </c>
      <c r="D13287" t="str">
        <f>"WATTS JR                 JOEL         H           "</f>
        <v xml:space="preserve">WATTS JR                 JOEL         H           </v>
      </c>
      <c r="E13287" t="str">
        <f>"GULFPORT                  "</f>
        <v xml:space="preserve">GULFPORT                  </v>
      </c>
      <c r="F13287" t="str">
        <f t="shared" si="340"/>
        <v>MS</v>
      </c>
    </row>
    <row r="13288" spans="1:6" x14ac:dyDescent="0.25">
      <c r="A13288" t="str">
        <f>"008281319"</f>
        <v>008281319</v>
      </c>
      <c r="B13288" t="str">
        <f>"1568959773"</f>
        <v>1568959773</v>
      </c>
      <c r="C13288" t="str">
        <f>"2084B0040X"</f>
        <v>2084B0040X</v>
      </c>
      <c r="D13288" t="str">
        <f>"PORTER                   SARA         D           "</f>
        <v xml:space="preserve">PORTER                   SARA         D           </v>
      </c>
      <c r="E13288" t="str">
        <f>"MADISON                   "</f>
        <v xml:space="preserve">MADISON                   </v>
      </c>
      <c r="F13288" t="str">
        <f t="shared" si="340"/>
        <v>MS</v>
      </c>
    </row>
    <row r="13289" spans="1:6" x14ac:dyDescent="0.25">
      <c r="A13289" t="str">
        <f>"008281817"</f>
        <v>008281817</v>
      </c>
      <c r="B13289" t="str">
        <f>"1922068584"</f>
        <v>1922068584</v>
      </c>
      <c r="C13289" t="str">
        <f>"208000000X"</f>
        <v>208000000X</v>
      </c>
      <c r="D13289" t="str">
        <f>"HARPER                   TAMARA       V           "</f>
        <v xml:space="preserve">HARPER                   TAMARA       V           </v>
      </c>
      <c r="E13289" t="str">
        <f>"GULFPORT                  "</f>
        <v xml:space="preserve">GULFPORT                  </v>
      </c>
      <c r="F13289" t="str">
        <f t="shared" si="340"/>
        <v>MS</v>
      </c>
    </row>
    <row r="13290" spans="1:6" x14ac:dyDescent="0.25">
      <c r="A13290" t="str">
        <f>"008283340"</f>
        <v>008283340</v>
      </c>
      <c r="B13290" t="str">
        <f>"1114379427"</f>
        <v>1114379427</v>
      </c>
      <c r="C13290" t="str">
        <f>"363L00000X"</f>
        <v>363L00000X</v>
      </c>
      <c r="D13290" t="str">
        <f>"FARR                     JOHN         R           "</f>
        <v xml:space="preserve">FARR                     JOHN         R           </v>
      </c>
      <c r="E13290" t="str">
        <f>"MADISON                   "</f>
        <v xml:space="preserve">MADISON                   </v>
      </c>
      <c r="F13290" t="str">
        <f t="shared" si="340"/>
        <v>MS</v>
      </c>
    </row>
    <row r="13291" spans="1:6" x14ac:dyDescent="0.25">
      <c r="A13291" t="str">
        <f>"008284523"</f>
        <v>008284523</v>
      </c>
      <c r="B13291" t="str">
        <f>"1629207196"</f>
        <v>1629207196</v>
      </c>
      <c r="C13291" t="str">
        <f>"122300000X"</f>
        <v>122300000X</v>
      </c>
      <c r="D13291" t="str">
        <f>"FAZYLOVA                 HELEN        V           "</f>
        <v xml:space="preserve">FAZYLOVA                 HELEN        V           </v>
      </c>
      <c r="E13291" t="str">
        <f>"BILOXI                    "</f>
        <v xml:space="preserve">BILOXI                    </v>
      </c>
      <c r="F13291" t="str">
        <f t="shared" si="340"/>
        <v>MS</v>
      </c>
    </row>
    <row r="13292" spans="1:6" x14ac:dyDescent="0.25">
      <c r="A13292" t="str">
        <f>"008285016"</f>
        <v>008285016</v>
      </c>
      <c r="B13292" t="str">
        <f>"1043259146"</f>
        <v>1043259146</v>
      </c>
      <c r="C13292" t="str">
        <f>"367500000X"</f>
        <v>367500000X</v>
      </c>
      <c r="D13292" t="str">
        <f>"BLAYLOCK                 CLIFF                    "</f>
        <v xml:space="preserve">BLAYLOCK                 CLIFF                    </v>
      </c>
      <c r="E13292" t="str">
        <f>"OXFORD                    "</f>
        <v xml:space="preserve">OXFORD                    </v>
      </c>
      <c r="F13292" t="str">
        <f t="shared" si="340"/>
        <v>MS</v>
      </c>
    </row>
    <row r="13293" spans="1:6" x14ac:dyDescent="0.25">
      <c r="A13293" t="str">
        <f>"008287001"</f>
        <v>008287001</v>
      </c>
      <c r="B13293" t="str">
        <f>"1184946170"</f>
        <v>1184946170</v>
      </c>
      <c r="C13293" t="str">
        <f>"363L00000X"</f>
        <v>363L00000X</v>
      </c>
      <c r="D13293" t="str">
        <f>"ALLEN                    ELIZABETH                "</f>
        <v xml:space="preserve">ALLEN                    ELIZABETH                </v>
      </c>
      <c r="E13293" t="str">
        <f>"FLORA                     "</f>
        <v xml:space="preserve">FLORA                     </v>
      </c>
      <c r="F13293" t="str">
        <f t="shared" si="340"/>
        <v>MS</v>
      </c>
    </row>
    <row r="13294" spans="1:6" x14ac:dyDescent="0.25">
      <c r="A13294" t="str">
        <f>"008288563"</f>
        <v>008288563</v>
      </c>
      <c r="B13294" t="str">
        <f>"1598357378"</f>
        <v>1598357378</v>
      </c>
      <c r="C13294" t="str">
        <f>"261QF0400X"</f>
        <v>261QF0400X</v>
      </c>
      <c r="D13294" t="str">
        <f>"DHC-LELAND                                        "</f>
        <v xml:space="preserve">DHC-LELAND                                        </v>
      </c>
      <c r="E13294" t="str">
        <f>"LELAND                    "</f>
        <v xml:space="preserve">LELAND                    </v>
      </c>
      <c r="F13294" t="str">
        <f t="shared" si="340"/>
        <v>MS</v>
      </c>
    </row>
    <row r="13295" spans="1:6" x14ac:dyDescent="0.25">
      <c r="A13295" t="str">
        <f>"008288591"</f>
        <v>008288591</v>
      </c>
      <c r="B13295" t="str">
        <f>"1588137251"</f>
        <v>1588137251</v>
      </c>
      <c r="C13295" t="str">
        <f>"367500000X"</f>
        <v>367500000X</v>
      </c>
      <c r="D13295" t="str">
        <f>"THOMPSON                 TYLER        M           "</f>
        <v xml:space="preserve">THOMPSON                 TYLER        M           </v>
      </c>
      <c r="E13295" t="str">
        <f>"MERIDIAN                  "</f>
        <v xml:space="preserve">MERIDIAN                  </v>
      </c>
      <c r="F13295" t="str">
        <f t="shared" si="340"/>
        <v>MS</v>
      </c>
    </row>
    <row r="13296" spans="1:6" x14ac:dyDescent="0.25">
      <c r="A13296" t="str">
        <f>"008301313"</f>
        <v>008301313</v>
      </c>
      <c r="B13296" t="str">
        <f>"1629685599"</f>
        <v>1629685599</v>
      </c>
      <c r="C13296" t="str">
        <f>"363L00000X"</f>
        <v>363L00000X</v>
      </c>
      <c r="D13296" t="str">
        <f>"VAN                      DIANE        L           "</f>
        <v xml:space="preserve">VAN                      DIANE        L           </v>
      </c>
      <c r="E13296" t="str">
        <f>"MCCOMB                    "</f>
        <v xml:space="preserve">MCCOMB                    </v>
      </c>
      <c r="F13296" t="str">
        <f t="shared" si="340"/>
        <v>MS</v>
      </c>
    </row>
    <row r="13297" spans="1:6" x14ac:dyDescent="0.25">
      <c r="A13297" t="str">
        <f>"008301549"</f>
        <v>008301549</v>
      </c>
      <c r="B13297" t="str">
        <f>"1720497951"</f>
        <v>1720497951</v>
      </c>
      <c r="C13297" t="str">
        <f>"363L00000X"</f>
        <v>363L00000X</v>
      </c>
      <c r="D13297" t="str">
        <f>"BREWER                   KATHLEEN     B           "</f>
        <v xml:space="preserve">BREWER                   KATHLEEN     B           </v>
      </c>
      <c r="E13297" t="str">
        <f>"JACKSON                   "</f>
        <v xml:space="preserve">JACKSON                   </v>
      </c>
      <c r="F13297" t="str">
        <f t="shared" si="340"/>
        <v>MS</v>
      </c>
    </row>
    <row r="13298" spans="1:6" x14ac:dyDescent="0.25">
      <c r="A13298" t="str">
        <f>"008302762"</f>
        <v>008302762</v>
      </c>
      <c r="B13298" t="str">
        <f>"1285264879"</f>
        <v>1285264879</v>
      </c>
      <c r="C13298" t="str">
        <f>"363L00000X"</f>
        <v>363L00000X</v>
      </c>
      <c r="D13298" t="str">
        <f>"PARRISH                  MELISSA      S           "</f>
        <v xml:space="preserve">PARRISH                  MELISSA      S           </v>
      </c>
      <c r="E13298" t="str">
        <f>"SENATOBIA                 "</f>
        <v xml:space="preserve">SENATOBIA                 </v>
      </c>
      <c r="F13298" t="str">
        <f t="shared" si="340"/>
        <v>MS</v>
      </c>
    </row>
    <row r="13299" spans="1:6" x14ac:dyDescent="0.25">
      <c r="A13299" t="str">
        <f>"008303051"</f>
        <v>008303051</v>
      </c>
      <c r="B13299" t="str">
        <f>"1326502535"</f>
        <v>1326502535</v>
      </c>
      <c r="C13299" t="str">
        <f>"261QM1300X"</f>
        <v>261QM1300X</v>
      </c>
      <c r="D13299" t="str">
        <f>"V K JOHNSON LCSW &amp; CONSULTANTS LLC                "</f>
        <v xml:space="preserve">V K JOHNSON LCSW &amp; CONSULTANTS LLC                </v>
      </c>
      <c r="E13299" t="str">
        <f>"TERRY                     "</f>
        <v xml:space="preserve">TERRY                     </v>
      </c>
      <c r="F13299" t="str">
        <f t="shared" si="340"/>
        <v>MS</v>
      </c>
    </row>
    <row r="13300" spans="1:6" x14ac:dyDescent="0.25">
      <c r="A13300" t="str">
        <f>"008303857"</f>
        <v>008303857</v>
      </c>
      <c r="B13300" t="str">
        <f>"1821267998"</f>
        <v>1821267998</v>
      </c>
      <c r="C13300" t="str">
        <f>"207R00000X"</f>
        <v>207R00000X</v>
      </c>
      <c r="D13300" t="str">
        <f>"BITAR                    IMAD                     "</f>
        <v xml:space="preserve">BITAR                    IMAD                     </v>
      </c>
      <c r="E13300" t="str">
        <f>"HATTIESBURG               "</f>
        <v xml:space="preserve">HATTIESBURG               </v>
      </c>
      <c r="F13300" t="str">
        <f t="shared" si="340"/>
        <v>MS</v>
      </c>
    </row>
    <row r="13301" spans="1:6" x14ac:dyDescent="0.25">
      <c r="A13301" t="str">
        <f>"008305840"</f>
        <v>008305840</v>
      </c>
      <c r="B13301" t="str">
        <f>"1619292307"</f>
        <v>1619292307</v>
      </c>
      <c r="C13301" t="str">
        <f>"207P00000X"</f>
        <v>207P00000X</v>
      </c>
      <c r="D13301" t="str">
        <f>"TAYLOR                   HUBERT       D           "</f>
        <v xml:space="preserve">TAYLOR                   HUBERT       D           </v>
      </c>
      <c r="E13301" t="str">
        <f>"GRENADA                   "</f>
        <v xml:space="preserve">GRENADA                   </v>
      </c>
      <c r="F13301" t="str">
        <f t="shared" si="340"/>
        <v>MS</v>
      </c>
    </row>
    <row r="13302" spans="1:6" x14ac:dyDescent="0.25">
      <c r="A13302" t="str">
        <f>"008306750"</f>
        <v>008306750</v>
      </c>
      <c r="B13302" t="str">
        <f>"1891126330"</f>
        <v>1891126330</v>
      </c>
      <c r="C13302" t="str">
        <f>"207R00000X"</f>
        <v>207R00000X</v>
      </c>
      <c r="D13302" t="str">
        <f>"VORA                     KETUL        P           "</f>
        <v xml:space="preserve">VORA                     KETUL        P           </v>
      </c>
      <c r="E13302" t="str">
        <f>"OLIVE BRANCH              "</f>
        <v xml:space="preserve">OLIVE BRANCH              </v>
      </c>
      <c r="F13302" t="str">
        <f t="shared" si="340"/>
        <v>MS</v>
      </c>
    </row>
    <row r="13303" spans="1:6" x14ac:dyDescent="0.25">
      <c r="A13303" t="str">
        <f>"008309829"</f>
        <v>008309829</v>
      </c>
      <c r="B13303" t="str">
        <f>"1124427133"</f>
        <v>1124427133</v>
      </c>
      <c r="C13303" t="str">
        <f>"363L00000X"</f>
        <v>363L00000X</v>
      </c>
      <c r="D13303" t="str">
        <f>"ROBERTSON                KIMBERLY                 "</f>
        <v xml:space="preserve">ROBERTSON                KIMBERLY                 </v>
      </c>
      <c r="E13303" t="str">
        <f>"CLEVLAND                  "</f>
        <v xml:space="preserve">CLEVLAND                  </v>
      </c>
      <c r="F13303" t="str">
        <f t="shared" si="340"/>
        <v>MS</v>
      </c>
    </row>
    <row r="13304" spans="1:6" x14ac:dyDescent="0.25">
      <c r="A13304" t="str">
        <f>"008320276"</f>
        <v>008320276</v>
      </c>
      <c r="B13304" t="str">
        <f>"1578926663"</f>
        <v>1578926663</v>
      </c>
      <c r="C13304" t="str">
        <f>"207RC0000X"</f>
        <v>207RC0000X</v>
      </c>
      <c r="D13304" t="str">
        <f>"BOLER                    HENRY        B           "</f>
        <v xml:space="preserve">BOLER                    HENRY        B           </v>
      </c>
      <c r="E13304" t="str">
        <f>"TUPELO                    "</f>
        <v xml:space="preserve">TUPELO                    </v>
      </c>
      <c r="F13304" t="str">
        <f t="shared" si="340"/>
        <v>MS</v>
      </c>
    </row>
    <row r="13305" spans="1:6" x14ac:dyDescent="0.25">
      <c r="A13305" t="str">
        <f>"008321111"</f>
        <v>008321111</v>
      </c>
      <c r="B13305" t="str">
        <f>"1568041291"</f>
        <v>1568041291</v>
      </c>
      <c r="C13305" t="str">
        <f>"363L00000X"</f>
        <v>363L00000X</v>
      </c>
      <c r="D13305" t="str">
        <f>"MCADORY                  JENNIFER     H           "</f>
        <v xml:space="preserve">MCADORY                  JENNIFER     H           </v>
      </c>
      <c r="E13305" t="str">
        <f>"HATTIESBURG               "</f>
        <v xml:space="preserve">HATTIESBURG               </v>
      </c>
      <c r="F13305" t="str">
        <f t="shared" si="340"/>
        <v>MS</v>
      </c>
    </row>
    <row r="13306" spans="1:6" x14ac:dyDescent="0.25">
      <c r="A13306" t="str">
        <f>"008322009"</f>
        <v>008322009</v>
      </c>
      <c r="B13306" t="str">
        <f>"1821578097"</f>
        <v>1821578097</v>
      </c>
      <c r="C13306" t="str">
        <f>"363L00000X"</f>
        <v>363L00000X</v>
      </c>
      <c r="D13306" t="str">
        <f>"BARNETT                  LILLIAN      K           "</f>
        <v xml:space="preserve">BARNETT                  LILLIAN      K           </v>
      </c>
      <c r="E13306" t="str">
        <f>"POPLARVILLE               "</f>
        <v xml:space="preserve">POPLARVILLE               </v>
      </c>
      <c r="F13306" t="str">
        <f t="shared" si="340"/>
        <v>MS</v>
      </c>
    </row>
    <row r="13307" spans="1:6" x14ac:dyDescent="0.25">
      <c r="A13307" t="str">
        <f>"008324092"</f>
        <v>008324092</v>
      </c>
      <c r="B13307" t="str">
        <f>"1568567477"</f>
        <v>1568567477</v>
      </c>
      <c r="C13307" t="str">
        <f>"122300000X"</f>
        <v>122300000X</v>
      </c>
      <c r="D13307" t="str">
        <f>"CANTON COMMUNITY DENTAL CLINIC LLC                "</f>
        <v xml:space="preserve">CANTON COMMUNITY DENTAL CLINIC LLC                </v>
      </c>
      <c r="E13307" t="str">
        <f>"CANTON                    "</f>
        <v xml:space="preserve">CANTON                    </v>
      </c>
      <c r="F13307" t="str">
        <f t="shared" si="340"/>
        <v>MS</v>
      </c>
    </row>
    <row r="13308" spans="1:6" x14ac:dyDescent="0.25">
      <c r="A13308" t="str">
        <f>"008324299"</f>
        <v>008324299</v>
      </c>
      <c r="B13308" t="str">
        <f>"1003432626"</f>
        <v>1003432626</v>
      </c>
      <c r="C13308" t="str">
        <f>"261QM1300X"</f>
        <v>261QM1300X</v>
      </c>
      <c r="D13308" t="str">
        <f>"POSITIVE INNERGY COUNSELING                       "</f>
        <v xml:space="preserve">POSITIVE INNERGY COUNSELING                       </v>
      </c>
      <c r="E13308" t="str">
        <f>"COLLINSVILLE              "</f>
        <v xml:space="preserve">COLLINSVILLE              </v>
      </c>
      <c r="F13308" t="str">
        <f t="shared" si="340"/>
        <v>MS</v>
      </c>
    </row>
    <row r="13309" spans="1:6" x14ac:dyDescent="0.25">
      <c r="A13309" t="str">
        <f>"008325865"</f>
        <v>008325865</v>
      </c>
      <c r="B13309" t="str">
        <f>"1396930418"</f>
        <v>1396930418</v>
      </c>
      <c r="C13309" t="str">
        <f>"363L00000X"</f>
        <v>363L00000X</v>
      </c>
      <c r="D13309" t="str">
        <f>"AYCOCK                   MONICA                   "</f>
        <v xml:space="preserve">AYCOCK                   MONICA                   </v>
      </c>
      <c r="E13309" t="str">
        <f>"JACKSON                   "</f>
        <v xml:space="preserve">JACKSON                   </v>
      </c>
      <c r="F13309" t="str">
        <f t="shared" si="340"/>
        <v>MS</v>
      </c>
    </row>
    <row r="13310" spans="1:6" x14ac:dyDescent="0.25">
      <c r="A13310" t="str">
        <f>"008326293"</f>
        <v>008326293</v>
      </c>
      <c r="B13310" t="str">
        <f>"1811134778"</f>
        <v>1811134778</v>
      </c>
      <c r="C13310" t="str">
        <f>"261QA0600X"</f>
        <v>261QA0600X</v>
      </c>
      <c r="D13310" t="str">
        <f>"MT ZION ECONOMIC COMMUNITY CENTER I               "</f>
        <v xml:space="preserve">MT ZION ECONOMIC COMMUNITY CENTER I               </v>
      </c>
      <c r="E13310" t="str">
        <f>"SUMMIT                    "</f>
        <v xml:space="preserve">SUMMIT                    </v>
      </c>
      <c r="F13310" t="str">
        <f t="shared" ref="F13310:F13373" si="341">"MS"</f>
        <v>MS</v>
      </c>
    </row>
    <row r="13311" spans="1:6" x14ac:dyDescent="0.25">
      <c r="A13311" t="str">
        <f>"008326718"</f>
        <v>008326718</v>
      </c>
      <c r="B13311" t="str">
        <f>"1689870479"</f>
        <v>1689870479</v>
      </c>
      <c r="C13311" t="str">
        <f>"207RC0200X"</f>
        <v>207RC0200X</v>
      </c>
      <c r="D13311" t="str">
        <f>"KOTTI                    GEORGE       H           "</f>
        <v xml:space="preserve">KOTTI                    GEORGE       H           </v>
      </c>
      <c r="E13311" t="str">
        <f>"GULFPORT                  "</f>
        <v xml:space="preserve">GULFPORT                  </v>
      </c>
      <c r="F13311" t="str">
        <f t="shared" si="341"/>
        <v>MS</v>
      </c>
    </row>
    <row r="13312" spans="1:6" x14ac:dyDescent="0.25">
      <c r="A13312" t="str">
        <f>"008326741"</f>
        <v>008326741</v>
      </c>
      <c r="B13312" t="str">
        <f>"1154733392"</f>
        <v>1154733392</v>
      </c>
      <c r="C13312" t="str">
        <f>"363L00000X"</f>
        <v>363L00000X</v>
      </c>
      <c r="D13312" t="str">
        <f>"BREWER                   JAMIE        L           "</f>
        <v xml:space="preserve">BREWER                   JAMIE        L           </v>
      </c>
      <c r="E13312" t="str">
        <f>"FLORENCE                  "</f>
        <v xml:space="preserve">FLORENCE                  </v>
      </c>
      <c r="F13312" t="str">
        <f t="shared" si="341"/>
        <v>MS</v>
      </c>
    </row>
    <row r="13313" spans="1:6" x14ac:dyDescent="0.25">
      <c r="A13313" t="str">
        <f>"008326850"</f>
        <v>008326850</v>
      </c>
      <c r="B13313" t="str">
        <f>"1417287442"</f>
        <v>1417287442</v>
      </c>
      <c r="C13313" t="str">
        <f>"367500000X"</f>
        <v>367500000X</v>
      </c>
      <c r="D13313" t="str">
        <f>"LOTT                     KEVIN        M           "</f>
        <v xml:space="preserve">LOTT                     KEVIN        M           </v>
      </c>
      <c r="E13313" t="str">
        <f>"JACKSON                   "</f>
        <v xml:space="preserve">JACKSON                   </v>
      </c>
      <c r="F13313" t="str">
        <f t="shared" si="341"/>
        <v>MS</v>
      </c>
    </row>
    <row r="13314" spans="1:6" x14ac:dyDescent="0.25">
      <c r="A13314" t="str">
        <f>"008327066"</f>
        <v>008327066</v>
      </c>
      <c r="B13314" t="str">
        <f>"1871780544"</f>
        <v>1871780544</v>
      </c>
      <c r="C13314" t="str">
        <f>"208600000X"</f>
        <v>208600000X</v>
      </c>
      <c r="D13314" t="str">
        <f>"MANLEY                   JUSTIN       D           "</f>
        <v xml:space="preserve">MANLEY                   JUSTIN       D           </v>
      </c>
      <c r="E13314" t="str">
        <f>"JACKSON                   "</f>
        <v xml:space="preserve">JACKSON                   </v>
      </c>
      <c r="F13314" t="str">
        <f t="shared" si="341"/>
        <v>MS</v>
      </c>
    </row>
    <row r="13315" spans="1:6" x14ac:dyDescent="0.25">
      <c r="A13315" t="str">
        <f>"008327741"</f>
        <v>008327741</v>
      </c>
      <c r="B13315" t="str">
        <f>"1558670869"</f>
        <v>1558670869</v>
      </c>
      <c r="C13315" t="str">
        <f>"363L00000X"</f>
        <v>363L00000X</v>
      </c>
      <c r="D13315" t="str">
        <f>"WARE                     JACQUELINE   S           "</f>
        <v xml:space="preserve">WARE                     JACQUELINE   S           </v>
      </c>
      <c r="E13315" t="str">
        <f>"GREENWOOD                 "</f>
        <v xml:space="preserve">GREENWOOD                 </v>
      </c>
      <c r="F13315" t="str">
        <f t="shared" si="341"/>
        <v>MS</v>
      </c>
    </row>
    <row r="13316" spans="1:6" x14ac:dyDescent="0.25">
      <c r="A13316" t="str">
        <f>"008329596"</f>
        <v>008329596</v>
      </c>
      <c r="B13316" t="str">
        <f>"1043589054"</f>
        <v>1043589054</v>
      </c>
      <c r="C13316" t="str">
        <f>"363A00000X"</f>
        <v>363A00000X</v>
      </c>
      <c r="D13316" t="str">
        <f>"PATTON                   BRANDI       N           "</f>
        <v xml:space="preserve">PATTON                   BRANDI       N           </v>
      </c>
      <c r="E13316" t="str">
        <f>"NEW ALBANY                "</f>
        <v xml:space="preserve">NEW ALBANY                </v>
      </c>
      <c r="F13316" t="str">
        <f t="shared" si="341"/>
        <v>MS</v>
      </c>
    </row>
    <row r="13317" spans="1:6" x14ac:dyDescent="0.25">
      <c r="A13317" t="str">
        <f>"008329757"</f>
        <v>008329757</v>
      </c>
      <c r="B13317" t="str">
        <f>"1285828020"</f>
        <v>1285828020</v>
      </c>
      <c r="C13317" t="str">
        <f>"367500000X"</f>
        <v>367500000X</v>
      </c>
      <c r="D13317" t="str">
        <f>"HODGE                    SARAH        E           "</f>
        <v xml:space="preserve">HODGE                    SARAH        E           </v>
      </c>
      <c r="E13317" t="str">
        <f>"SOUTHAVEN                 "</f>
        <v xml:space="preserve">SOUTHAVEN                 </v>
      </c>
      <c r="F13317" t="str">
        <f t="shared" si="341"/>
        <v>MS</v>
      </c>
    </row>
    <row r="13318" spans="1:6" x14ac:dyDescent="0.25">
      <c r="A13318" t="str">
        <f>"008334267"</f>
        <v>008334267</v>
      </c>
      <c r="B13318" t="str">
        <f>"1700172327"</f>
        <v>1700172327</v>
      </c>
      <c r="C13318" t="str">
        <f>"207P00000X"</f>
        <v>207P00000X</v>
      </c>
      <c r="D13318" t="str">
        <f>"KENCY JR                 FRED         E           "</f>
        <v xml:space="preserve">KENCY JR                 FRED         E           </v>
      </c>
      <c r="E13318" t="str">
        <f>"JACKSON                   "</f>
        <v xml:space="preserve">JACKSON                   </v>
      </c>
      <c r="F13318" t="str">
        <f t="shared" si="341"/>
        <v>MS</v>
      </c>
    </row>
    <row r="13319" spans="1:6" x14ac:dyDescent="0.25">
      <c r="A13319" t="str">
        <f>"008334580"</f>
        <v>008334580</v>
      </c>
      <c r="B13319" t="str">
        <f>"1477642718"</f>
        <v>1477642718</v>
      </c>
      <c r="C13319" t="str">
        <f>"363L00000X"</f>
        <v>363L00000X</v>
      </c>
      <c r="D13319" t="str">
        <f>"RUSTIN                   CLARA                    "</f>
        <v xml:space="preserve">RUSTIN                   CLARA                    </v>
      </c>
      <c r="E13319" t="str">
        <f>"COLUMBUS                  "</f>
        <v xml:space="preserve">COLUMBUS                  </v>
      </c>
      <c r="F13319" t="str">
        <f t="shared" si="341"/>
        <v>MS</v>
      </c>
    </row>
    <row r="13320" spans="1:6" x14ac:dyDescent="0.25">
      <c r="A13320" t="str">
        <f>"008335091"</f>
        <v>008335091</v>
      </c>
      <c r="B13320" t="str">
        <f>"1982163960"</f>
        <v>1982163960</v>
      </c>
      <c r="C13320" t="str">
        <f>"208000000X"</f>
        <v>208000000X</v>
      </c>
      <c r="D13320" t="str">
        <f>"POWELL                   DENISE       E           "</f>
        <v xml:space="preserve">POWELL                   DENISE       E           </v>
      </c>
      <c r="E13320" t="str">
        <f>"BAY SAINT LOUIS           "</f>
        <v xml:space="preserve">BAY SAINT LOUIS           </v>
      </c>
      <c r="F13320" t="str">
        <f t="shared" si="341"/>
        <v>MS</v>
      </c>
    </row>
    <row r="13321" spans="1:6" x14ac:dyDescent="0.25">
      <c r="A13321" t="str">
        <f>"008335366"</f>
        <v>008335366</v>
      </c>
      <c r="B13321" t="str">
        <f>"1376710756"</f>
        <v>1376710756</v>
      </c>
      <c r="C13321" t="str">
        <f>"207ZP0105X"</f>
        <v>207ZP0105X</v>
      </c>
      <c r="D13321" t="str">
        <f>"BROWN                    KEITH        A           "</f>
        <v xml:space="preserve">BROWN                    KEITH        A           </v>
      </c>
      <c r="E13321" t="str">
        <f>"FLOWOOD                   "</f>
        <v xml:space="preserve">FLOWOOD                   </v>
      </c>
      <c r="F13321" t="str">
        <f t="shared" si="341"/>
        <v>MS</v>
      </c>
    </row>
    <row r="13322" spans="1:6" x14ac:dyDescent="0.25">
      <c r="A13322" t="str">
        <f>"008335795"</f>
        <v>008335795</v>
      </c>
      <c r="B13322" t="str">
        <f>"1306182035"</f>
        <v>1306182035</v>
      </c>
      <c r="C13322" t="str">
        <f>"363L00000X"</f>
        <v>363L00000X</v>
      </c>
      <c r="D13322" t="str">
        <f>"BOWEN                    JASON        R           "</f>
        <v xml:space="preserve">BOWEN                    JASON        R           </v>
      </c>
      <c r="E13322" t="str">
        <f>"HARRISVILLE               "</f>
        <v xml:space="preserve">HARRISVILLE               </v>
      </c>
      <c r="F13322" t="str">
        <f t="shared" si="341"/>
        <v>MS</v>
      </c>
    </row>
    <row r="13323" spans="1:6" x14ac:dyDescent="0.25">
      <c r="A13323" t="str">
        <f>"008336023"</f>
        <v>008336023</v>
      </c>
      <c r="B13323" t="str">
        <f>"1447736491"</f>
        <v>1447736491</v>
      </c>
      <c r="C13323" t="str">
        <f>"363L00000X"</f>
        <v>363L00000X</v>
      </c>
      <c r="D13323" t="str">
        <f>"KINSEY                   JOHN         M           "</f>
        <v xml:space="preserve">KINSEY                   JOHN         M           </v>
      </c>
      <c r="E13323" t="str">
        <f>"MERIDIAN                  "</f>
        <v xml:space="preserve">MERIDIAN                  </v>
      </c>
      <c r="F13323" t="str">
        <f t="shared" si="341"/>
        <v>MS</v>
      </c>
    </row>
    <row r="13324" spans="1:6" x14ac:dyDescent="0.25">
      <c r="A13324" t="str">
        <f>"008336062"</f>
        <v>008336062</v>
      </c>
      <c r="B13324" t="str">
        <f>"1730119223"</f>
        <v>1730119223</v>
      </c>
      <c r="C13324" t="str">
        <f>"363L00000X"</f>
        <v>363L00000X</v>
      </c>
      <c r="D13324" t="str">
        <f>"SMITH                    AMY          M           "</f>
        <v xml:space="preserve">SMITH                    AMY          M           </v>
      </c>
      <c r="E13324" t="str">
        <f>"BROOKHAVEN                "</f>
        <v xml:space="preserve">BROOKHAVEN                </v>
      </c>
      <c r="F13324" t="str">
        <f t="shared" si="341"/>
        <v>MS</v>
      </c>
    </row>
    <row r="13325" spans="1:6" x14ac:dyDescent="0.25">
      <c r="A13325" t="str">
        <f>"008336231"</f>
        <v>008336231</v>
      </c>
      <c r="B13325" t="str">
        <f>"1811208143"</f>
        <v>1811208143</v>
      </c>
      <c r="C13325" t="str">
        <f>"2085R0202X"</f>
        <v>2085R0202X</v>
      </c>
      <c r="D13325" t="str">
        <f>"HOSCH                    RICHARD                  "</f>
        <v xml:space="preserve">HOSCH                    RICHARD                  </v>
      </c>
      <c r="E13325" t="str">
        <f>"JACKSON                   "</f>
        <v xml:space="preserve">JACKSON                   </v>
      </c>
      <c r="F13325" t="str">
        <f t="shared" si="341"/>
        <v>MS</v>
      </c>
    </row>
    <row r="13326" spans="1:6" x14ac:dyDescent="0.25">
      <c r="A13326" t="str">
        <f>"008338312"</f>
        <v>008338312</v>
      </c>
      <c r="B13326" t="str">
        <f>"1255780680"</f>
        <v>1255780680</v>
      </c>
      <c r="C13326" t="str">
        <f>"207R00000X"</f>
        <v>207R00000X</v>
      </c>
      <c r="D13326" t="str">
        <f>"LONG                     BEN          G           "</f>
        <v xml:space="preserve">LONG                     BEN          G           </v>
      </c>
      <c r="E13326" t="str">
        <f>"CORINTH                   "</f>
        <v xml:space="preserve">CORINTH                   </v>
      </c>
      <c r="F13326" t="str">
        <f t="shared" si="341"/>
        <v>MS</v>
      </c>
    </row>
    <row r="13327" spans="1:6" x14ac:dyDescent="0.25">
      <c r="A13327" t="str">
        <f>"008339059"</f>
        <v>008339059</v>
      </c>
      <c r="B13327" t="str">
        <f>"1578880308"</f>
        <v>1578880308</v>
      </c>
      <c r="C13327" t="str">
        <f>"2085R0202X"</f>
        <v>2085R0202X</v>
      </c>
      <c r="D13327" t="str">
        <f>"MOORE                    ADAMS        W           "</f>
        <v xml:space="preserve">MOORE                    ADAMS        W           </v>
      </c>
      <c r="E13327" t="str">
        <f>"MERIDIAN                  "</f>
        <v xml:space="preserve">MERIDIAN                  </v>
      </c>
      <c r="F13327" t="str">
        <f t="shared" si="341"/>
        <v>MS</v>
      </c>
    </row>
    <row r="13328" spans="1:6" x14ac:dyDescent="0.25">
      <c r="A13328" t="str">
        <f>"008339702"</f>
        <v>008339702</v>
      </c>
      <c r="B13328" t="str">
        <f>"1255869665"</f>
        <v>1255869665</v>
      </c>
      <c r="C13328" t="str">
        <f>"363L00000X"</f>
        <v>363L00000X</v>
      </c>
      <c r="D13328" t="str">
        <f>"LACROIX                  JENNIFER     L           "</f>
        <v xml:space="preserve">LACROIX                  JENNIFER     L           </v>
      </c>
      <c r="E13328" t="str">
        <f>"HATTIESBURG               "</f>
        <v xml:space="preserve">HATTIESBURG               </v>
      </c>
      <c r="F13328" t="str">
        <f t="shared" si="341"/>
        <v>MS</v>
      </c>
    </row>
    <row r="13329" spans="1:6" x14ac:dyDescent="0.25">
      <c r="A13329" t="str">
        <f>"008350002"</f>
        <v>008350002</v>
      </c>
      <c r="B13329" t="str">
        <f>"1639391311"</f>
        <v>1639391311</v>
      </c>
      <c r="C13329" t="str">
        <f>"207Y00000X"</f>
        <v>207Y00000X</v>
      </c>
      <c r="D13329" t="str">
        <f>"JACKSON                  LANA         L           "</f>
        <v xml:space="preserve">JACKSON                  LANA         L           </v>
      </c>
      <c r="E13329" t="str">
        <f>"JACKSON                   "</f>
        <v xml:space="preserve">JACKSON                   </v>
      </c>
      <c r="F13329" t="str">
        <f t="shared" si="341"/>
        <v>MS</v>
      </c>
    </row>
    <row r="13330" spans="1:6" x14ac:dyDescent="0.25">
      <c r="A13330" t="str">
        <f>"008350522"</f>
        <v>008350522</v>
      </c>
      <c r="B13330" t="str">
        <f>"1265917694"</f>
        <v>1265917694</v>
      </c>
      <c r="C13330" t="str">
        <f>"363L00000X"</f>
        <v>363L00000X</v>
      </c>
      <c r="D13330" t="str">
        <f>"MORRIS                   VALERIE                  "</f>
        <v xml:space="preserve">MORRIS                   VALERIE                  </v>
      </c>
      <c r="E13330" t="str">
        <f>"RIDGELAND                 "</f>
        <v xml:space="preserve">RIDGELAND                 </v>
      </c>
      <c r="F13330" t="str">
        <f t="shared" si="341"/>
        <v>MS</v>
      </c>
    </row>
    <row r="13331" spans="1:6" x14ac:dyDescent="0.25">
      <c r="A13331" t="str">
        <f>"008350536"</f>
        <v>008350536</v>
      </c>
      <c r="B13331" t="str">
        <f>"1245638642"</f>
        <v>1245638642</v>
      </c>
      <c r="C13331" t="str">
        <f>"363L00000X"</f>
        <v>363L00000X</v>
      </c>
      <c r="D13331" t="str">
        <f>"WALKER                   WHITNEY                  "</f>
        <v xml:space="preserve">WALKER                   WHITNEY                  </v>
      </c>
      <c r="E13331" t="str">
        <f>"RIPLEY                    "</f>
        <v xml:space="preserve">RIPLEY                    </v>
      </c>
      <c r="F13331" t="str">
        <f t="shared" si="341"/>
        <v>MS</v>
      </c>
    </row>
    <row r="13332" spans="1:6" x14ac:dyDescent="0.25">
      <c r="A13332" t="str">
        <f>"008351091"</f>
        <v>008351091</v>
      </c>
      <c r="B13332" t="str">
        <f>"1245529437"</f>
        <v>1245529437</v>
      </c>
      <c r="C13332" t="str">
        <f>"207Q00000X"</f>
        <v>207Q00000X</v>
      </c>
      <c r="D13332" t="str">
        <f>"MARKLE                   DUSTIN       L           "</f>
        <v xml:space="preserve">MARKLE                   DUSTIN       L           </v>
      </c>
      <c r="E13332" t="str">
        <f>"TUPELO                    "</f>
        <v xml:space="preserve">TUPELO                    </v>
      </c>
      <c r="F13332" t="str">
        <f t="shared" si="341"/>
        <v>MS</v>
      </c>
    </row>
    <row r="13333" spans="1:6" x14ac:dyDescent="0.25">
      <c r="A13333" t="str">
        <f>"008351366"</f>
        <v>008351366</v>
      </c>
      <c r="B13333" t="str">
        <f>"1902825573"</f>
        <v>1902825573</v>
      </c>
      <c r="C13333" t="str">
        <f>"207X00000X"</f>
        <v>207X00000X</v>
      </c>
      <c r="D13333" t="str">
        <f>"WASHINGTON               ERIC         D           "</f>
        <v xml:space="preserve">WASHINGTON               ERIC         D           </v>
      </c>
      <c r="E13333" t="str">
        <f>"PASCAGOULA                "</f>
        <v xml:space="preserve">PASCAGOULA                </v>
      </c>
      <c r="F13333" t="str">
        <f t="shared" si="341"/>
        <v>MS</v>
      </c>
    </row>
    <row r="13334" spans="1:6" x14ac:dyDescent="0.25">
      <c r="A13334" t="str">
        <f>"008352301"</f>
        <v>008352301</v>
      </c>
      <c r="B13334" t="str">
        <f>"1861913261"</f>
        <v>1861913261</v>
      </c>
      <c r="C13334" t="str">
        <f>"363L00000X"</f>
        <v>363L00000X</v>
      </c>
      <c r="D13334" t="str">
        <f>"UPPERMAN                 DANNI        J           "</f>
        <v xml:space="preserve">UPPERMAN                 DANNI        J           </v>
      </c>
      <c r="E13334" t="str">
        <f>"MERIDIAN                  "</f>
        <v xml:space="preserve">MERIDIAN                  </v>
      </c>
      <c r="F13334" t="str">
        <f t="shared" si="341"/>
        <v>MS</v>
      </c>
    </row>
    <row r="13335" spans="1:6" x14ac:dyDescent="0.25">
      <c r="A13335" t="str">
        <f>"008353399"</f>
        <v>008353399</v>
      </c>
      <c r="B13335" t="str">
        <f>"1306898762"</f>
        <v>1306898762</v>
      </c>
      <c r="C13335" t="str">
        <f>"2084N0400X"</f>
        <v>2084N0400X</v>
      </c>
      <c r="D13335" t="str">
        <f>"AVINO                    LORIANNE                 "</f>
        <v xml:space="preserve">AVINO                    LORIANNE                 </v>
      </c>
      <c r="E13335" t="str">
        <f>"TUPELO                    "</f>
        <v xml:space="preserve">TUPELO                    </v>
      </c>
      <c r="F13335" t="str">
        <f t="shared" si="341"/>
        <v>MS</v>
      </c>
    </row>
    <row r="13336" spans="1:6" x14ac:dyDescent="0.25">
      <c r="A13336" t="str">
        <f>"008354723"</f>
        <v>008354723</v>
      </c>
      <c r="B13336" t="str">
        <f>"1952870974"</f>
        <v>1952870974</v>
      </c>
      <c r="C13336" t="str">
        <f>"363L00000X"</f>
        <v>363L00000X</v>
      </c>
      <c r="D13336" t="str">
        <f>"WALLEY                   CHUTNEY                  "</f>
        <v xml:space="preserve">WALLEY                   CHUTNEY                  </v>
      </c>
      <c r="E13336" t="str">
        <f>"PASCAGOULA                "</f>
        <v xml:space="preserve">PASCAGOULA                </v>
      </c>
      <c r="F13336" t="str">
        <f t="shared" si="341"/>
        <v>MS</v>
      </c>
    </row>
    <row r="13337" spans="1:6" x14ac:dyDescent="0.25">
      <c r="A13337" t="str">
        <f>"008355022"</f>
        <v>008355022</v>
      </c>
      <c r="B13337" t="str">
        <f>"1336534064"</f>
        <v>1336534064</v>
      </c>
      <c r="C13337" t="str">
        <f>"363L00000X"</f>
        <v>363L00000X</v>
      </c>
      <c r="D13337" t="str">
        <f>"COBB                     KELSEY       A           "</f>
        <v xml:space="preserve">COBB                     KELSEY       A           </v>
      </c>
      <c r="E13337" t="str">
        <f>"GULFPORT                  "</f>
        <v xml:space="preserve">GULFPORT                  </v>
      </c>
      <c r="F13337" t="str">
        <f t="shared" si="341"/>
        <v>MS</v>
      </c>
    </row>
    <row r="13338" spans="1:6" x14ac:dyDescent="0.25">
      <c r="A13338" t="str">
        <f>"008356501"</f>
        <v>008356501</v>
      </c>
      <c r="B13338" t="str">
        <f>"1215209986"</f>
        <v>1215209986</v>
      </c>
      <c r="C13338" t="str">
        <f>"363L00000X"</f>
        <v>363L00000X</v>
      </c>
      <c r="D13338" t="str">
        <f>"FREEMAN                  AMANDA       L           "</f>
        <v xml:space="preserve">FREEMAN                  AMANDA       L           </v>
      </c>
      <c r="E13338" t="str">
        <f>"STATE LINE                "</f>
        <v xml:space="preserve">STATE LINE                </v>
      </c>
      <c r="F13338" t="str">
        <f t="shared" si="341"/>
        <v>MS</v>
      </c>
    </row>
    <row r="13339" spans="1:6" x14ac:dyDescent="0.25">
      <c r="A13339" t="str">
        <f>"008357715"</f>
        <v>008357715</v>
      </c>
      <c r="B13339" t="str">
        <f>"1104357862"</f>
        <v>1104357862</v>
      </c>
      <c r="C13339" t="str">
        <f>"207L00000X"</f>
        <v>207L00000X</v>
      </c>
      <c r="D13339" t="str">
        <f>"BUFORD                   THOMAS       D           "</f>
        <v xml:space="preserve">BUFORD                   THOMAS       D           </v>
      </c>
      <c r="E13339" t="str">
        <f>"FLOWOOD                   "</f>
        <v xml:space="preserve">FLOWOOD                   </v>
      </c>
      <c r="F13339" t="str">
        <f t="shared" si="341"/>
        <v>MS</v>
      </c>
    </row>
    <row r="13340" spans="1:6" x14ac:dyDescent="0.25">
      <c r="A13340" t="str">
        <f>"008358013"</f>
        <v>008358013</v>
      </c>
      <c r="B13340" t="str">
        <f>"1063768331"</f>
        <v>1063768331</v>
      </c>
      <c r="C13340" t="str">
        <f>"363L00000X"</f>
        <v>363L00000X</v>
      </c>
      <c r="D13340" t="str">
        <f>"STAUBLE                  AMANDA       J           "</f>
        <v xml:space="preserve">STAUBLE                  AMANDA       J           </v>
      </c>
      <c r="E13340" t="str">
        <f>"VICKSBURG                 "</f>
        <v xml:space="preserve">VICKSBURG                 </v>
      </c>
      <c r="F13340" t="str">
        <f t="shared" si="341"/>
        <v>MS</v>
      </c>
    </row>
    <row r="13341" spans="1:6" x14ac:dyDescent="0.25">
      <c r="A13341" t="str">
        <f>"008358504"</f>
        <v>008358504</v>
      </c>
      <c r="B13341" t="str">
        <f>"1285976084"</f>
        <v>1285976084</v>
      </c>
      <c r="C13341" t="str">
        <f>"2085R0202X"</f>
        <v>2085R0202X</v>
      </c>
      <c r="D13341" t="str">
        <f>"MATTHEWS                 ANDREW       C           "</f>
        <v xml:space="preserve">MATTHEWS                 ANDREW       C           </v>
      </c>
      <c r="E13341" t="str">
        <f>"CLEVELAND                 "</f>
        <v xml:space="preserve">CLEVELAND                 </v>
      </c>
      <c r="F13341" t="str">
        <f t="shared" si="341"/>
        <v>MS</v>
      </c>
    </row>
    <row r="13342" spans="1:6" x14ac:dyDescent="0.25">
      <c r="A13342" t="str">
        <f>"008359206"</f>
        <v>008359206</v>
      </c>
      <c r="B13342" t="str">
        <f>"1871731273"</f>
        <v>1871731273</v>
      </c>
      <c r="C13342" t="str">
        <f>"367500000X"</f>
        <v>367500000X</v>
      </c>
      <c r="D13342" t="str">
        <f>"STRICKLAND               LESHONDA     E           "</f>
        <v xml:space="preserve">STRICKLAND               LESHONDA     E           </v>
      </c>
      <c r="E13342" t="str">
        <f>"MERIDIAN                  "</f>
        <v xml:space="preserve">MERIDIAN                  </v>
      </c>
      <c r="F13342" t="str">
        <f t="shared" si="341"/>
        <v>MS</v>
      </c>
    </row>
    <row r="13343" spans="1:6" x14ac:dyDescent="0.25">
      <c r="A13343" t="str">
        <f>"008371063"</f>
        <v>008371063</v>
      </c>
      <c r="B13343" t="str">
        <f>"1578945770"</f>
        <v>1578945770</v>
      </c>
      <c r="C13343" t="str">
        <f>"363L00000X"</f>
        <v>363L00000X</v>
      </c>
      <c r="D13343" t="str">
        <f>"JOHNSON                  CHRISTOPHER  M           "</f>
        <v xml:space="preserve">JOHNSON                  CHRISTOPHER  M           </v>
      </c>
      <c r="E13343" t="str">
        <f>"GREENVILLE                "</f>
        <v xml:space="preserve">GREENVILLE                </v>
      </c>
      <c r="F13343" t="str">
        <f t="shared" si="341"/>
        <v>MS</v>
      </c>
    </row>
    <row r="13344" spans="1:6" x14ac:dyDescent="0.25">
      <c r="A13344" t="str">
        <f>"008371343"</f>
        <v>008371343</v>
      </c>
      <c r="B13344" t="str">
        <f>"1164038444"</f>
        <v>1164038444</v>
      </c>
      <c r="C13344" t="str">
        <f>"363L00000X"</f>
        <v>363L00000X</v>
      </c>
      <c r="D13344" t="str">
        <f>"BROWN                    JALISHA                  "</f>
        <v xml:space="preserve">BROWN                    JALISHA                  </v>
      </c>
      <c r="E13344" t="str">
        <f>"MERIDIAN                  "</f>
        <v xml:space="preserve">MERIDIAN                  </v>
      </c>
      <c r="F13344" t="str">
        <f t="shared" si="341"/>
        <v>MS</v>
      </c>
    </row>
    <row r="13345" spans="1:6" x14ac:dyDescent="0.25">
      <c r="A13345" t="str">
        <f>"008373277"</f>
        <v>008373277</v>
      </c>
      <c r="B13345" t="str">
        <f>"1982630463"</f>
        <v>1982630463</v>
      </c>
      <c r="C13345" t="str">
        <f>"207R00000X"</f>
        <v>207R00000X</v>
      </c>
      <c r="D13345" t="str">
        <f>"FINLAY                   DARRELL      G           "</f>
        <v xml:space="preserve">FINLAY                   DARRELL      G           </v>
      </c>
      <c r="E13345" t="str">
        <f>"BILOXI                    "</f>
        <v xml:space="preserve">BILOXI                    </v>
      </c>
      <c r="F13345" t="str">
        <f t="shared" si="341"/>
        <v>MS</v>
      </c>
    </row>
    <row r="13346" spans="1:6" x14ac:dyDescent="0.25">
      <c r="A13346" t="str">
        <f>"008373542"</f>
        <v>008373542</v>
      </c>
      <c r="B13346" t="str">
        <f>"1447610738"</f>
        <v>1447610738</v>
      </c>
      <c r="C13346" t="str">
        <f>"122300000X"</f>
        <v>122300000X</v>
      </c>
      <c r="D13346" t="str">
        <f>"MITCHELL DENTAL CLINIC                            "</f>
        <v xml:space="preserve">MITCHELL DENTAL CLINIC                            </v>
      </c>
      <c r="E13346" t="str">
        <f>"FLOWOOD                   "</f>
        <v xml:space="preserve">FLOWOOD                   </v>
      </c>
      <c r="F13346" t="str">
        <f t="shared" si="341"/>
        <v>MS</v>
      </c>
    </row>
    <row r="13347" spans="1:6" x14ac:dyDescent="0.25">
      <c r="A13347" t="str">
        <f>"008374068"</f>
        <v>008374068</v>
      </c>
      <c r="B13347" t="str">
        <f>"1871694646"</f>
        <v>1871694646</v>
      </c>
      <c r="C13347" t="str">
        <f>"207RE0101X"</f>
        <v>207RE0101X</v>
      </c>
      <c r="D13347" t="str">
        <f>"MCCALL IV                DANIEL       T           "</f>
        <v xml:space="preserve">MCCALL IV                DANIEL       T           </v>
      </c>
      <c r="E13347" t="str">
        <f>"HATTIESBURG               "</f>
        <v xml:space="preserve">HATTIESBURG               </v>
      </c>
      <c r="F13347" t="str">
        <f t="shared" si="341"/>
        <v>MS</v>
      </c>
    </row>
    <row r="13348" spans="1:6" x14ac:dyDescent="0.25">
      <c r="A13348" t="str">
        <f>"008375326"</f>
        <v>008375326</v>
      </c>
      <c r="B13348" t="str">
        <f>"1124305479"</f>
        <v>1124305479</v>
      </c>
      <c r="C13348" t="str">
        <f>"363L00000X"</f>
        <v>363L00000X</v>
      </c>
      <c r="D13348" t="str">
        <f>"BRYANT                   BRITTANY                 "</f>
        <v xml:space="preserve">BRYANT                   BRITTANY                 </v>
      </c>
      <c r="E13348" t="str">
        <f>"CORINTH                   "</f>
        <v xml:space="preserve">CORINTH                   </v>
      </c>
      <c r="F13348" t="str">
        <f t="shared" si="341"/>
        <v>MS</v>
      </c>
    </row>
    <row r="13349" spans="1:6" x14ac:dyDescent="0.25">
      <c r="A13349" t="str">
        <f>"008375333"</f>
        <v>008375333</v>
      </c>
      <c r="B13349" t="str">
        <f>"1992092001"</f>
        <v>1992092001</v>
      </c>
      <c r="C13349" t="str">
        <f>"367500000X"</f>
        <v>367500000X</v>
      </c>
      <c r="D13349" t="str">
        <f>"PIEDISCALZO              JESSICA      G           "</f>
        <v xml:space="preserve">PIEDISCALZO              JESSICA      G           </v>
      </c>
      <c r="E13349" t="str">
        <f>"BAY ST LOUIS              "</f>
        <v xml:space="preserve">BAY ST LOUIS              </v>
      </c>
      <c r="F13349" t="str">
        <f t="shared" si="341"/>
        <v>MS</v>
      </c>
    </row>
    <row r="13350" spans="1:6" x14ac:dyDescent="0.25">
      <c r="A13350" t="str">
        <f>"008375384"</f>
        <v>008375384</v>
      </c>
      <c r="B13350" t="str">
        <f>"1801372685"</f>
        <v>1801372685</v>
      </c>
      <c r="C13350" t="str">
        <f>"363L00000X"</f>
        <v>363L00000X</v>
      </c>
      <c r="D13350" t="str">
        <f>"SEALS                    ANNA         L           "</f>
        <v xml:space="preserve">SEALS                    ANNA         L           </v>
      </c>
      <c r="E13350" t="str">
        <f>"TAYLORSVILLE              "</f>
        <v xml:space="preserve">TAYLORSVILLE              </v>
      </c>
      <c r="F13350" t="str">
        <f t="shared" si="341"/>
        <v>MS</v>
      </c>
    </row>
    <row r="13351" spans="1:6" x14ac:dyDescent="0.25">
      <c r="A13351" t="str">
        <f>"008375739"</f>
        <v>008375739</v>
      </c>
      <c r="B13351" t="str">
        <f>"1710026034"</f>
        <v>1710026034</v>
      </c>
      <c r="C13351" t="str">
        <f>"207Y00000X"</f>
        <v>207Y00000X</v>
      </c>
      <c r="D13351" t="str">
        <f>"BORDEN                   ROBERT       C           "</f>
        <v xml:space="preserve">BORDEN                   ROBERT       C           </v>
      </c>
      <c r="E13351" t="str">
        <f>"COLUMBUS                  "</f>
        <v xml:space="preserve">COLUMBUS                  </v>
      </c>
      <c r="F13351" t="str">
        <f t="shared" si="341"/>
        <v>MS</v>
      </c>
    </row>
    <row r="13352" spans="1:6" x14ac:dyDescent="0.25">
      <c r="A13352" t="str">
        <f>"008376251"</f>
        <v>008376251</v>
      </c>
      <c r="B13352" t="str">
        <f>"1891253811"</f>
        <v>1891253811</v>
      </c>
      <c r="C13352" t="str">
        <f>"363LG0600X"</f>
        <v>363LG0600X</v>
      </c>
      <c r="D13352" t="str">
        <f>"CARTER                   FELECIA      D           "</f>
        <v xml:space="preserve">CARTER                   FELECIA      D           </v>
      </c>
      <c r="E13352" t="str">
        <f>"JACKSON                   "</f>
        <v xml:space="preserve">JACKSON                   </v>
      </c>
      <c r="F13352" t="str">
        <f t="shared" si="341"/>
        <v>MS</v>
      </c>
    </row>
    <row r="13353" spans="1:6" x14ac:dyDescent="0.25">
      <c r="A13353" t="str">
        <f>"008377017"</f>
        <v>008377017</v>
      </c>
      <c r="B13353" t="str">
        <f>"1487244455"</f>
        <v>1487244455</v>
      </c>
      <c r="C13353" t="str">
        <f>"363L00000X"</f>
        <v>363L00000X</v>
      </c>
      <c r="D13353" t="str">
        <f>"PEREZ                    KRYSTAL                  "</f>
        <v xml:space="preserve">PEREZ                    KRYSTAL                  </v>
      </c>
      <c r="E13353" t="str">
        <f>"FLOWOOD                   "</f>
        <v xml:space="preserve">FLOWOOD                   </v>
      </c>
      <c r="F13353" t="str">
        <f t="shared" si="341"/>
        <v>MS</v>
      </c>
    </row>
    <row r="13354" spans="1:6" x14ac:dyDescent="0.25">
      <c r="A13354" t="str">
        <f>"008377066"</f>
        <v>008377066</v>
      </c>
      <c r="B13354" t="str">
        <f>"1730407982"</f>
        <v>1730407982</v>
      </c>
      <c r="C13354" t="str">
        <f>"122300000X"</f>
        <v>122300000X</v>
      </c>
      <c r="D13354" t="str">
        <f>"LEE III                  PRESTON      H           "</f>
        <v xml:space="preserve">LEE III                  PRESTON      H           </v>
      </c>
      <c r="E13354" t="str">
        <f>"OXFORD                    "</f>
        <v xml:space="preserve">OXFORD                    </v>
      </c>
      <c r="F13354" t="str">
        <f t="shared" si="341"/>
        <v>MS</v>
      </c>
    </row>
    <row r="13355" spans="1:6" x14ac:dyDescent="0.25">
      <c r="A13355" t="str">
        <f>"008381013"</f>
        <v>008381013</v>
      </c>
      <c r="B13355" t="str">
        <f>"1336223163"</f>
        <v>1336223163</v>
      </c>
      <c r="C13355" t="str">
        <f>"208000000X"</f>
        <v>208000000X</v>
      </c>
      <c r="D13355" t="str">
        <f>"FLOWERS                  W CRAIG                  "</f>
        <v xml:space="preserve">FLOWERS                  W CRAIG                  </v>
      </c>
      <c r="E13355" t="str">
        <f>"FLOWOOD                   "</f>
        <v xml:space="preserve">FLOWOOD                   </v>
      </c>
      <c r="F13355" t="str">
        <f t="shared" si="341"/>
        <v>MS</v>
      </c>
    </row>
    <row r="13356" spans="1:6" x14ac:dyDescent="0.25">
      <c r="A13356" t="str">
        <f>"008381806"</f>
        <v>008381806</v>
      </c>
      <c r="B13356" t="str">
        <f>"1952335572"</f>
        <v>1952335572</v>
      </c>
      <c r="C13356" t="str">
        <f>"367500000X"</f>
        <v>367500000X</v>
      </c>
      <c r="D13356" t="str">
        <f>"WELBORN                  JERRY        R           "</f>
        <v xml:space="preserve">WELBORN                  JERRY        R           </v>
      </c>
      <c r="E13356" t="str">
        <f>"OXFORD                    "</f>
        <v xml:space="preserve">OXFORD                    </v>
      </c>
      <c r="F13356" t="str">
        <f t="shared" si="341"/>
        <v>MS</v>
      </c>
    </row>
    <row r="13357" spans="1:6" x14ac:dyDescent="0.25">
      <c r="A13357" t="str">
        <f>"008382207"</f>
        <v>008382207</v>
      </c>
      <c r="B13357" t="str">
        <f>"1164013579"</f>
        <v>1164013579</v>
      </c>
      <c r="C13357" t="str">
        <f>"363L00000X"</f>
        <v>363L00000X</v>
      </c>
      <c r="D13357" t="str">
        <f>"FARMER                   ERIN                     "</f>
        <v xml:space="preserve">FARMER                   ERIN                     </v>
      </c>
      <c r="E13357" t="str">
        <f>"FLOWOOD                   "</f>
        <v xml:space="preserve">FLOWOOD                   </v>
      </c>
      <c r="F13357" t="str">
        <f t="shared" si="341"/>
        <v>MS</v>
      </c>
    </row>
    <row r="13358" spans="1:6" x14ac:dyDescent="0.25">
      <c r="A13358" t="str">
        <f>"008382811"</f>
        <v>008382811</v>
      </c>
      <c r="B13358" t="str">
        <f>"1912374174"</f>
        <v>1912374174</v>
      </c>
      <c r="C13358" t="str">
        <f>"363L00000X"</f>
        <v>363L00000X</v>
      </c>
      <c r="D13358" t="str">
        <f>"KOVALICK                 ASHLI                    "</f>
        <v xml:space="preserve">KOVALICK                 ASHLI                    </v>
      </c>
      <c r="E13358" t="str">
        <f>"BELDEN                    "</f>
        <v xml:space="preserve">BELDEN                    </v>
      </c>
      <c r="F13358" t="str">
        <f t="shared" si="341"/>
        <v>MS</v>
      </c>
    </row>
    <row r="13359" spans="1:6" x14ac:dyDescent="0.25">
      <c r="A13359" t="str">
        <f>"008384732"</f>
        <v>008384732</v>
      </c>
      <c r="B13359" t="str">
        <f>"1609030139"</f>
        <v>1609030139</v>
      </c>
      <c r="C13359" t="str">
        <f>"207P00000X"</f>
        <v>207P00000X</v>
      </c>
      <c r="D13359" t="str">
        <f>"STERLING                 SARAH        A           "</f>
        <v xml:space="preserve">STERLING                 SARAH        A           </v>
      </c>
      <c r="E13359" t="str">
        <f>"JACKSON                   "</f>
        <v xml:space="preserve">JACKSON                   </v>
      </c>
      <c r="F13359" t="str">
        <f t="shared" si="341"/>
        <v>MS</v>
      </c>
    </row>
    <row r="13360" spans="1:6" x14ac:dyDescent="0.25">
      <c r="A13360" t="str">
        <f>"008386001"</f>
        <v>008386001</v>
      </c>
      <c r="B13360" t="str">
        <f>"1114285145"</f>
        <v>1114285145</v>
      </c>
      <c r="C13360" t="str">
        <f>"2086S0102X"</f>
        <v>2086S0102X</v>
      </c>
      <c r="D13360" t="str">
        <f>"HURSTON, JR.             JOSEPH       W           "</f>
        <v xml:space="preserve">HURSTON, JR.             JOSEPH       W           </v>
      </c>
      <c r="E13360" t="str">
        <f>"HATTIESBURG               "</f>
        <v xml:space="preserve">HATTIESBURG               </v>
      </c>
      <c r="F13360" t="str">
        <f t="shared" si="341"/>
        <v>MS</v>
      </c>
    </row>
    <row r="13361" spans="1:6" x14ac:dyDescent="0.25">
      <c r="A13361" t="str">
        <f>"008386591"</f>
        <v>008386591</v>
      </c>
      <c r="B13361" t="str">
        <f>"1427686864"</f>
        <v>1427686864</v>
      </c>
      <c r="C13361" t="str">
        <f>"207R00000X"</f>
        <v>207R00000X</v>
      </c>
      <c r="D13361" t="str">
        <f>"BURNS                    ZACHARIAH    D           "</f>
        <v xml:space="preserve">BURNS                    ZACHARIAH    D           </v>
      </c>
      <c r="E13361" t="str">
        <f>"JACKSON                   "</f>
        <v xml:space="preserve">JACKSON                   </v>
      </c>
      <c r="F13361" t="str">
        <f t="shared" si="341"/>
        <v>MS</v>
      </c>
    </row>
    <row r="13362" spans="1:6" x14ac:dyDescent="0.25">
      <c r="A13362" t="str">
        <f>"008386702"</f>
        <v>008386702</v>
      </c>
      <c r="B13362" t="str">
        <f>"1366989253"</f>
        <v>1366989253</v>
      </c>
      <c r="C13362" t="str">
        <f>"363L00000X"</f>
        <v>363L00000X</v>
      </c>
      <c r="D13362" t="str">
        <f>"KAHLMUS                  ANNA                     "</f>
        <v xml:space="preserve">KAHLMUS                  ANNA                     </v>
      </c>
      <c r="E13362" t="str">
        <f>"PASCAGOULA                "</f>
        <v xml:space="preserve">PASCAGOULA                </v>
      </c>
      <c r="F13362" t="str">
        <f t="shared" si="341"/>
        <v>MS</v>
      </c>
    </row>
    <row r="13363" spans="1:6" x14ac:dyDescent="0.25">
      <c r="A13363" t="str">
        <f>"008387339"</f>
        <v>008387339</v>
      </c>
      <c r="B13363" t="str">
        <f>"1417320102"</f>
        <v>1417320102</v>
      </c>
      <c r="C13363" t="str">
        <f>"363L00000X"</f>
        <v>363L00000X</v>
      </c>
      <c r="D13363" t="str">
        <f>"LEE                      ALLISON      H           "</f>
        <v xml:space="preserve">LEE                      ALLISON      H           </v>
      </c>
      <c r="E13363" t="str">
        <f>"TUPELO                    "</f>
        <v xml:space="preserve">TUPELO                    </v>
      </c>
      <c r="F13363" t="str">
        <f t="shared" si="341"/>
        <v>MS</v>
      </c>
    </row>
    <row r="13364" spans="1:6" x14ac:dyDescent="0.25">
      <c r="A13364" t="str">
        <f>"008400051"</f>
        <v>008400051</v>
      </c>
      <c r="B13364" t="str">
        <f>"1912368747"</f>
        <v>1912368747</v>
      </c>
      <c r="C13364" t="str">
        <f>"363L00000X"</f>
        <v>363L00000X</v>
      </c>
      <c r="D13364" t="str">
        <f>"STRICKLAND               TIFFANY      C           "</f>
        <v xml:space="preserve">STRICKLAND               TIFFANY      C           </v>
      </c>
      <c r="E13364" t="str">
        <f>"LOUISVILLE                "</f>
        <v xml:space="preserve">LOUISVILLE                </v>
      </c>
      <c r="F13364" t="str">
        <f t="shared" si="341"/>
        <v>MS</v>
      </c>
    </row>
    <row r="13365" spans="1:6" x14ac:dyDescent="0.25">
      <c r="A13365" t="str">
        <f>"008400724"</f>
        <v>008400724</v>
      </c>
      <c r="B13365" t="str">
        <f>"1922560200"</f>
        <v>1922560200</v>
      </c>
      <c r="C13365" t="str">
        <f>"2085R0202X"</f>
        <v>2085R0202X</v>
      </c>
      <c r="D13365" t="str">
        <f>"YOUNG                    PERRY        T           "</f>
        <v xml:space="preserve">YOUNG                    PERRY        T           </v>
      </c>
      <c r="E13365" t="str">
        <f>"JACKSON                   "</f>
        <v xml:space="preserve">JACKSON                   </v>
      </c>
      <c r="F13365" t="str">
        <f t="shared" si="341"/>
        <v>MS</v>
      </c>
    </row>
    <row r="13366" spans="1:6" x14ac:dyDescent="0.25">
      <c r="A13366" t="str">
        <f>"008401012"</f>
        <v>008401012</v>
      </c>
      <c r="B13366" t="str">
        <f>"1326524869"</f>
        <v>1326524869</v>
      </c>
      <c r="C13366" t="str">
        <f>"367500000X"</f>
        <v>367500000X</v>
      </c>
      <c r="D13366" t="str">
        <f>"FONTENELLE               JARROD       P           "</f>
        <v xml:space="preserve">FONTENELLE               JARROD       P           </v>
      </c>
      <c r="E13366" t="str">
        <f>"MCCOMB                    "</f>
        <v xml:space="preserve">MCCOMB                    </v>
      </c>
      <c r="F13366" t="str">
        <f t="shared" si="341"/>
        <v>MS</v>
      </c>
    </row>
    <row r="13367" spans="1:6" x14ac:dyDescent="0.25">
      <c r="A13367" t="str">
        <f>"008401810"</f>
        <v>008401810</v>
      </c>
      <c r="B13367" t="str">
        <f>"1588091714"</f>
        <v>1588091714</v>
      </c>
      <c r="C13367" t="str">
        <f>"261QR1300X"</f>
        <v>261QR1300X</v>
      </c>
      <c r="D13367" t="str">
        <f>"WINSTON MEDICAL CLINIC NOXAPATER                  "</f>
        <v xml:space="preserve">WINSTON MEDICAL CLINIC NOXAPATER                  </v>
      </c>
      <c r="E13367" t="str">
        <f>"NOXAPATER                 "</f>
        <v xml:space="preserve">NOXAPATER                 </v>
      </c>
      <c r="F13367" t="str">
        <f t="shared" si="341"/>
        <v>MS</v>
      </c>
    </row>
    <row r="13368" spans="1:6" x14ac:dyDescent="0.25">
      <c r="A13368" t="str">
        <f>"008405535"</f>
        <v>008405535</v>
      </c>
      <c r="B13368" t="str">
        <f>"1912270406"</f>
        <v>1912270406</v>
      </c>
      <c r="C13368" t="str">
        <f>"122300000X"</f>
        <v>122300000X</v>
      </c>
      <c r="D13368" t="str">
        <f>"CARROLL COUNTY GENERAL DENTISTRY LL               "</f>
        <v xml:space="preserve">CARROLL COUNTY GENERAL DENTISTRY LL               </v>
      </c>
      <c r="E13368" t="str">
        <f>"CARROLLTON                "</f>
        <v xml:space="preserve">CARROLLTON                </v>
      </c>
      <c r="F13368" t="str">
        <f t="shared" si="341"/>
        <v>MS</v>
      </c>
    </row>
    <row r="13369" spans="1:6" x14ac:dyDescent="0.25">
      <c r="A13369" t="str">
        <f>"008406392"</f>
        <v>008406392</v>
      </c>
      <c r="B13369" t="str">
        <f>"1649470097"</f>
        <v>1649470097</v>
      </c>
      <c r="C13369" t="str">
        <f>"207Q00000X"</f>
        <v>207Q00000X</v>
      </c>
      <c r="D13369" t="str">
        <f>"PERKINS                  TODD         H           "</f>
        <v xml:space="preserve">PERKINS                  TODD         H           </v>
      </c>
      <c r="E13369" t="str">
        <f>"FLOWOOD                   "</f>
        <v xml:space="preserve">FLOWOOD                   </v>
      </c>
      <c r="F13369" t="str">
        <f t="shared" si="341"/>
        <v>MS</v>
      </c>
    </row>
    <row r="13370" spans="1:6" x14ac:dyDescent="0.25">
      <c r="A13370" t="str">
        <f>"008406567"</f>
        <v>008406567</v>
      </c>
      <c r="B13370" t="str">
        <f>"1871802678"</f>
        <v>1871802678</v>
      </c>
      <c r="C13370" t="str">
        <f>"122300000X"</f>
        <v>122300000X</v>
      </c>
      <c r="D13370" t="str">
        <f>"REED                     KYLE         J           "</f>
        <v xml:space="preserve">REED                     KYLE         J           </v>
      </c>
      <c r="E13370" t="str">
        <f>"FLOWOOD                   "</f>
        <v xml:space="preserve">FLOWOOD                   </v>
      </c>
      <c r="F13370" t="str">
        <f t="shared" si="341"/>
        <v>MS</v>
      </c>
    </row>
    <row r="13371" spans="1:6" x14ac:dyDescent="0.25">
      <c r="A13371" t="str">
        <f>"008408058"</f>
        <v>008408058</v>
      </c>
      <c r="B13371" t="str">
        <f>"1326634064"</f>
        <v>1326634064</v>
      </c>
      <c r="C13371" t="str">
        <f>"363L00000X"</f>
        <v>363L00000X</v>
      </c>
      <c r="D13371" t="str">
        <f>"CALCOTE                  ANGELA                   "</f>
        <v xml:space="preserve">CALCOTE                  ANGELA                   </v>
      </c>
      <c r="E13371" t="str">
        <f>"MCCOMB                    "</f>
        <v xml:space="preserve">MCCOMB                    </v>
      </c>
      <c r="F13371" t="str">
        <f t="shared" si="341"/>
        <v>MS</v>
      </c>
    </row>
    <row r="13372" spans="1:6" x14ac:dyDescent="0.25">
      <c r="A13372" t="str">
        <f>"008409817"</f>
        <v>008409817</v>
      </c>
      <c r="B13372" t="str">
        <f>"1245870823"</f>
        <v>1245870823</v>
      </c>
      <c r="C13372" t="str">
        <f>"261QR1300X"</f>
        <v>261QR1300X</v>
      </c>
      <c r="D13372" t="str">
        <f>"JASPER COUNTY AFTER HOURS CLINIC                  "</f>
        <v xml:space="preserve">JASPER COUNTY AFTER HOURS CLINIC                  </v>
      </c>
      <c r="E13372" t="str">
        <f>"BAY SPRINGS               "</f>
        <v xml:space="preserve">BAY SPRINGS               </v>
      </c>
      <c r="F13372" t="str">
        <f t="shared" si="341"/>
        <v>MS</v>
      </c>
    </row>
    <row r="13373" spans="1:6" x14ac:dyDescent="0.25">
      <c r="A13373" t="str">
        <f>"008420594"</f>
        <v>008420594</v>
      </c>
      <c r="B13373" t="str">
        <f>"1285289025"</f>
        <v>1285289025</v>
      </c>
      <c r="C13373" t="str">
        <f>"261QM1300X"</f>
        <v>261QM1300X</v>
      </c>
      <c r="D13373" t="str">
        <f>"LIGHTHOUSE CHILDREN &amp; FAMILY THERAP               "</f>
        <v xml:space="preserve">LIGHTHOUSE CHILDREN &amp; FAMILY THERAP               </v>
      </c>
      <c r="E13373" t="str">
        <f>"TUPELO                    "</f>
        <v xml:space="preserve">TUPELO                    </v>
      </c>
      <c r="F13373" t="str">
        <f t="shared" si="341"/>
        <v>MS</v>
      </c>
    </row>
    <row r="13374" spans="1:6" x14ac:dyDescent="0.25">
      <c r="A13374" t="str">
        <f>"008421594"</f>
        <v>008421594</v>
      </c>
      <c r="B13374" t="str">
        <f>"1235142597"</f>
        <v>1235142597</v>
      </c>
      <c r="C13374" t="str">
        <f>"367500000X"</f>
        <v>367500000X</v>
      </c>
      <c r="D13374" t="str">
        <f>"WALKER                   JOSEPH       S           "</f>
        <v xml:space="preserve">WALKER                   JOSEPH       S           </v>
      </c>
      <c r="E13374" t="str">
        <f>"HATTIESBURG               "</f>
        <v xml:space="preserve">HATTIESBURG               </v>
      </c>
      <c r="F13374" t="str">
        <f t="shared" ref="F13374:F13437" si="342">"MS"</f>
        <v>MS</v>
      </c>
    </row>
    <row r="13375" spans="1:6" x14ac:dyDescent="0.25">
      <c r="A13375" t="str">
        <f>"008423212"</f>
        <v>008423212</v>
      </c>
      <c r="B13375" t="str">
        <f>"1336155399"</f>
        <v>1336155399</v>
      </c>
      <c r="C13375" t="str">
        <f>"2085R0202X"</f>
        <v>2085R0202X</v>
      </c>
      <c r="D13375" t="str">
        <f>"BARHAM                   BROOKS       O           "</f>
        <v xml:space="preserve">BARHAM                   BROOKS       O           </v>
      </c>
      <c r="E13375" t="str">
        <f>"JACKSON                   "</f>
        <v xml:space="preserve">JACKSON                   </v>
      </c>
      <c r="F13375" t="str">
        <f t="shared" si="342"/>
        <v>MS</v>
      </c>
    </row>
    <row r="13376" spans="1:6" x14ac:dyDescent="0.25">
      <c r="A13376" t="str">
        <f>"008424708"</f>
        <v>008424708</v>
      </c>
      <c r="B13376" t="str">
        <f>"1558026328"</f>
        <v>1558026328</v>
      </c>
      <c r="C13376" t="str">
        <f>"261QF0400X"</f>
        <v>261QF0400X</v>
      </c>
      <c r="D13376" t="str">
        <f>"COASTAL FAMILY HEALTH CENTER, INC                 "</f>
        <v xml:space="preserve">COASTAL FAMILY HEALTH CENTER, INC                 </v>
      </c>
      <c r="E13376" t="str">
        <f>"BILOXI                    "</f>
        <v xml:space="preserve">BILOXI                    </v>
      </c>
      <c r="F13376" t="str">
        <f t="shared" si="342"/>
        <v>MS</v>
      </c>
    </row>
    <row r="13377" spans="1:6" x14ac:dyDescent="0.25">
      <c r="A13377" t="str">
        <f>"008424778"</f>
        <v>008424778</v>
      </c>
      <c r="B13377" t="str">
        <f>"1518464080"</f>
        <v>1518464080</v>
      </c>
      <c r="C13377" t="str">
        <f>"207R00000X"</f>
        <v>207R00000X</v>
      </c>
      <c r="D13377" t="str">
        <f>"BURCHAM                  KAYCEE                   "</f>
        <v xml:space="preserve">BURCHAM                  KAYCEE                   </v>
      </c>
      <c r="E13377" t="str">
        <f>"CORINTH                   "</f>
        <v xml:space="preserve">CORINTH                   </v>
      </c>
      <c r="F13377" t="str">
        <f t="shared" si="342"/>
        <v>MS</v>
      </c>
    </row>
    <row r="13378" spans="1:6" x14ac:dyDescent="0.25">
      <c r="A13378" t="str">
        <f>"008425307"</f>
        <v>008425307</v>
      </c>
      <c r="B13378" t="str">
        <f>"1023028925"</f>
        <v>1023028925</v>
      </c>
      <c r="C13378" t="str">
        <f>"363L00000X"</f>
        <v>363L00000X</v>
      </c>
      <c r="D13378" t="str">
        <f>"PURVIANCE III            HOLLIS       L           "</f>
        <v xml:space="preserve">PURVIANCE III            HOLLIS       L           </v>
      </c>
      <c r="E13378" t="str">
        <f>"JACKSON                   "</f>
        <v xml:space="preserve">JACKSON                   </v>
      </c>
      <c r="F13378" t="str">
        <f t="shared" si="342"/>
        <v>MS</v>
      </c>
    </row>
    <row r="13379" spans="1:6" x14ac:dyDescent="0.25">
      <c r="A13379" t="str">
        <f>"008426051"</f>
        <v>008426051</v>
      </c>
      <c r="B13379" t="str">
        <f>"1679029276"</f>
        <v>1679029276</v>
      </c>
      <c r="C13379" t="str">
        <f>"363L00000X"</f>
        <v>363L00000X</v>
      </c>
      <c r="D13379" t="str">
        <f>"HILL                     ALEXANDER    T           "</f>
        <v xml:space="preserve">HILL                     ALEXANDER    T           </v>
      </c>
      <c r="E13379" t="str">
        <f>"NEW ALBANY                "</f>
        <v xml:space="preserve">NEW ALBANY                </v>
      </c>
      <c r="F13379" t="str">
        <f t="shared" si="342"/>
        <v>MS</v>
      </c>
    </row>
    <row r="13380" spans="1:6" x14ac:dyDescent="0.25">
      <c r="A13380" t="str">
        <f>"008433015"</f>
        <v>008433015</v>
      </c>
      <c r="B13380" t="str">
        <f>"1891328480"</f>
        <v>1891328480</v>
      </c>
      <c r="C13380" t="str">
        <f>"261QF0400X"</f>
        <v>261QF0400X</v>
      </c>
      <c r="D13380" t="str">
        <f>"JEFFERSON COMPREHENSIVE HEALTH MEDI               "</f>
        <v xml:space="preserve">JEFFERSON COMPREHENSIVE HEALTH MEDI               </v>
      </c>
      <c r="E13380" t="str">
        <f>"FAYETTE                   "</f>
        <v xml:space="preserve">FAYETTE                   </v>
      </c>
      <c r="F13380" t="str">
        <f t="shared" si="342"/>
        <v>MS</v>
      </c>
    </row>
    <row r="13381" spans="1:6" x14ac:dyDescent="0.25">
      <c r="A13381" t="str">
        <f>"008434271"</f>
        <v>008434271</v>
      </c>
      <c r="B13381" t="str">
        <f>"1649466954"</f>
        <v>1649466954</v>
      </c>
      <c r="C13381" t="str">
        <f>"2084P0800X"</f>
        <v>2084P0800X</v>
      </c>
      <c r="D13381" t="str">
        <f>"TALUKDAR                 NAZMUL       K           "</f>
        <v xml:space="preserve">TALUKDAR                 NAZMUL       K           </v>
      </c>
      <c r="E13381" t="str">
        <f>"HATTIESBURG               "</f>
        <v xml:space="preserve">HATTIESBURG               </v>
      </c>
      <c r="F13381" t="str">
        <f t="shared" si="342"/>
        <v>MS</v>
      </c>
    </row>
    <row r="13382" spans="1:6" x14ac:dyDescent="0.25">
      <c r="A13382" t="str">
        <f>"008435000"</f>
        <v>008435000</v>
      </c>
      <c r="B13382" t="str">
        <f>"1528434214"</f>
        <v>1528434214</v>
      </c>
      <c r="C13382" t="str">
        <f>"363L00000X"</f>
        <v>363L00000X</v>
      </c>
      <c r="D13382" t="str">
        <f>"EVANS                    KATHRYN      F           "</f>
        <v xml:space="preserve">EVANS                    KATHRYN      F           </v>
      </c>
      <c r="E13382" t="str">
        <f>"GREENWOOD                 "</f>
        <v xml:space="preserve">GREENWOOD                 </v>
      </c>
      <c r="F13382" t="str">
        <f t="shared" si="342"/>
        <v>MS</v>
      </c>
    </row>
    <row r="13383" spans="1:6" x14ac:dyDescent="0.25">
      <c r="A13383" t="str">
        <f>"008435013"</f>
        <v>008435013</v>
      </c>
      <c r="B13383" t="str">
        <f>"1972173540"</f>
        <v>1972173540</v>
      </c>
      <c r="C13383" t="str">
        <f>"363L00000X"</f>
        <v>363L00000X</v>
      </c>
      <c r="D13383" t="str">
        <f>"ATWELL                   CADI         S           "</f>
        <v xml:space="preserve">ATWELL                   CADI         S           </v>
      </c>
      <c r="E13383" t="str">
        <f>"PASCAGOULA                "</f>
        <v xml:space="preserve">PASCAGOULA                </v>
      </c>
      <c r="F13383" t="str">
        <f t="shared" si="342"/>
        <v>MS</v>
      </c>
    </row>
    <row r="13384" spans="1:6" x14ac:dyDescent="0.25">
      <c r="A13384" t="str">
        <f>"008437071"</f>
        <v>008437071</v>
      </c>
      <c r="B13384" t="str">
        <f>"1780083311"</f>
        <v>1780083311</v>
      </c>
      <c r="C13384" t="str">
        <f>"1223S0112X"</f>
        <v>1223S0112X</v>
      </c>
      <c r="D13384" t="str">
        <f>"VELASCO MARTINEZ         IGNACIO      A           "</f>
        <v xml:space="preserve">VELASCO MARTINEZ         IGNACIO      A           </v>
      </c>
      <c r="E13384" t="str">
        <f>"JACKSON                   "</f>
        <v xml:space="preserve">JACKSON                   </v>
      </c>
      <c r="F13384" t="str">
        <f t="shared" si="342"/>
        <v>MS</v>
      </c>
    </row>
    <row r="13385" spans="1:6" x14ac:dyDescent="0.25">
      <c r="A13385" t="str">
        <f>"008437093"</f>
        <v>008437093</v>
      </c>
      <c r="B13385" t="str">
        <f>"1477010668"</f>
        <v>1477010668</v>
      </c>
      <c r="C13385" t="str">
        <f>"363L00000X"</f>
        <v>363L00000X</v>
      </c>
      <c r="D13385" t="str">
        <f>"MISSO                    AMANDA       W           "</f>
        <v xml:space="preserve">MISSO                    AMANDA       W           </v>
      </c>
      <c r="E13385" t="str">
        <f>"STARKVILLE                "</f>
        <v xml:space="preserve">STARKVILLE                </v>
      </c>
      <c r="F13385" t="str">
        <f t="shared" si="342"/>
        <v>MS</v>
      </c>
    </row>
    <row r="13386" spans="1:6" x14ac:dyDescent="0.25">
      <c r="A13386" t="str">
        <f>"008438202"</f>
        <v>008438202</v>
      </c>
      <c r="B13386" t="str">
        <f>"1528517844"</f>
        <v>1528517844</v>
      </c>
      <c r="C13386" t="str">
        <f>"363L00000X"</f>
        <v>363L00000X</v>
      </c>
      <c r="D13386" t="str">
        <f>"MCNEESE                  BAILEY                   "</f>
        <v xml:space="preserve">MCNEESE                  BAILEY                   </v>
      </c>
      <c r="E13386" t="str">
        <f>"RIPLEY                    "</f>
        <v xml:space="preserve">RIPLEY                    </v>
      </c>
      <c r="F13386" t="str">
        <f t="shared" si="342"/>
        <v>MS</v>
      </c>
    </row>
    <row r="13387" spans="1:6" x14ac:dyDescent="0.25">
      <c r="A13387" t="str">
        <f>"008438356"</f>
        <v>008438356</v>
      </c>
      <c r="B13387" t="str">
        <f>"1700020591"</f>
        <v>1700020591</v>
      </c>
      <c r="C13387" t="str">
        <f>"208000000X"</f>
        <v>208000000X</v>
      </c>
      <c r="D13387" t="str">
        <f>"DAMICO                   KAREN        M           "</f>
        <v xml:space="preserve">DAMICO                   KAREN        M           </v>
      </c>
      <c r="E13387" t="str">
        <f>"SOUTHAVEN                 "</f>
        <v xml:space="preserve">SOUTHAVEN                 </v>
      </c>
      <c r="F13387" t="str">
        <f t="shared" si="342"/>
        <v>MS</v>
      </c>
    </row>
    <row r="13388" spans="1:6" x14ac:dyDescent="0.25">
      <c r="A13388" t="str">
        <f>"008438368"</f>
        <v>008438368</v>
      </c>
      <c r="B13388" t="str">
        <f>"1407215510"</f>
        <v>1407215510</v>
      </c>
      <c r="C13388" t="str">
        <f>"363L00000X"</f>
        <v>363L00000X</v>
      </c>
      <c r="D13388" t="str">
        <f>"STONER                   SARAH        M           "</f>
        <v xml:space="preserve">STONER                   SARAH        M           </v>
      </c>
      <c r="E13388" t="str">
        <f>"JACKSON                   "</f>
        <v xml:space="preserve">JACKSON                   </v>
      </c>
      <c r="F13388" t="str">
        <f t="shared" si="342"/>
        <v>MS</v>
      </c>
    </row>
    <row r="13389" spans="1:6" x14ac:dyDescent="0.25">
      <c r="A13389" t="str">
        <f>"008438384"</f>
        <v>008438384</v>
      </c>
      <c r="B13389" t="str">
        <f>"1023535838"</f>
        <v>1023535838</v>
      </c>
      <c r="C13389" t="str">
        <f>"207R00000X"</f>
        <v>207R00000X</v>
      </c>
      <c r="D13389" t="str">
        <f>"SHAH                     SHAN                     "</f>
        <v xml:space="preserve">SHAH                     SHAN                     </v>
      </c>
      <c r="E13389" t="str">
        <f>"SOUTHAVEN                 "</f>
        <v xml:space="preserve">SOUTHAVEN                 </v>
      </c>
      <c r="F13389" t="str">
        <f t="shared" si="342"/>
        <v>MS</v>
      </c>
    </row>
    <row r="13390" spans="1:6" x14ac:dyDescent="0.25">
      <c r="A13390" t="str">
        <f>"008439590"</f>
        <v>008439590</v>
      </c>
      <c r="B13390" t="str">
        <f>"1760949390"</f>
        <v>1760949390</v>
      </c>
      <c r="C13390" t="str">
        <f>"363L00000X"</f>
        <v>363L00000X</v>
      </c>
      <c r="D13390" t="str">
        <f>"WATKINS                  LADARYL      L           "</f>
        <v xml:space="preserve">WATKINS                  LADARYL      L           </v>
      </c>
      <c r="E13390" t="str">
        <f>"JACKSON                   "</f>
        <v xml:space="preserve">JACKSON                   </v>
      </c>
      <c r="F13390" t="str">
        <f t="shared" si="342"/>
        <v>MS</v>
      </c>
    </row>
    <row r="13391" spans="1:6" x14ac:dyDescent="0.25">
      <c r="A13391" t="str">
        <f>"008439781"</f>
        <v>008439781</v>
      </c>
      <c r="B13391" t="str">
        <f>"1033450333"</f>
        <v>1033450333</v>
      </c>
      <c r="C13391" t="str">
        <f>"363L00000X"</f>
        <v>363L00000X</v>
      </c>
      <c r="D13391" t="str">
        <f>"TYNES                    RONALD       P           "</f>
        <v xml:space="preserve">TYNES                    RONALD       P           </v>
      </c>
      <c r="E13391" t="str">
        <f>"HATTIESBURG               "</f>
        <v xml:space="preserve">HATTIESBURG               </v>
      </c>
      <c r="F13391" t="str">
        <f t="shared" si="342"/>
        <v>MS</v>
      </c>
    </row>
    <row r="13392" spans="1:6" x14ac:dyDescent="0.25">
      <c r="A13392" t="str">
        <f>"008451508"</f>
        <v>008451508</v>
      </c>
      <c r="B13392" t="str">
        <f>"1235766304"</f>
        <v>1235766304</v>
      </c>
      <c r="C13392" t="str">
        <f>"363L00000X"</f>
        <v>363L00000X</v>
      </c>
      <c r="D13392" t="str">
        <f>"DELOACH                  JARED        J           "</f>
        <v xml:space="preserve">DELOACH                  JARED        J           </v>
      </c>
      <c r="E13392" t="str">
        <f>"GULFPORT                  "</f>
        <v xml:space="preserve">GULFPORT                  </v>
      </c>
      <c r="F13392" t="str">
        <f t="shared" si="342"/>
        <v>MS</v>
      </c>
    </row>
    <row r="13393" spans="1:6" x14ac:dyDescent="0.25">
      <c r="A13393" t="str">
        <f>"008453371"</f>
        <v>008453371</v>
      </c>
      <c r="B13393" t="str">
        <f>"1689680464"</f>
        <v>1689680464</v>
      </c>
      <c r="C13393" t="str">
        <f>"152W00000X"</f>
        <v>152W00000X</v>
      </c>
      <c r="D13393" t="str">
        <f>"SHIPP FAMILY EYECARE, PLLC                        "</f>
        <v xml:space="preserve">SHIPP FAMILY EYECARE, PLLC                        </v>
      </c>
      <c r="E13393" t="str">
        <f>"GREENVILLE                "</f>
        <v xml:space="preserve">GREENVILLE                </v>
      </c>
      <c r="F13393" t="str">
        <f t="shared" si="342"/>
        <v>MS</v>
      </c>
    </row>
    <row r="13394" spans="1:6" x14ac:dyDescent="0.25">
      <c r="A13394" t="str">
        <f>"008453873"</f>
        <v>008453873</v>
      </c>
      <c r="B13394" t="str">
        <f>"1285065292"</f>
        <v>1285065292</v>
      </c>
      <c r="C13394" t="str">
        <f>"363L00000X"</f>
        <v>363L00000X</v>
      </c>
      <c r="D13394" t="str">
        <f>"CONERLY                  TERESA       Q           "</f>
        <v xml:space="preserve">CONERLY                  TERESA       Q           </v>
      </c>
      <c r="E13394" t="str">
        <f>"JACKSON                   "</f>
        <v xml:space="preserve">JACKSON                   </v>
      </c>
      <c r="F13394" t="str">
        <f t="shared" si="342"/>
        <v>MS</v>
      </c>
    </row>
    <row r="13395" spans="1:6" x14ac:dyDescent="0.25">
      <c r="A13395" t="str">
        <f>"008454009"</f>
        <v>008454009</v>
      </c>
      <c r="B13395" t="str">
        <f>"1508143546"</f>
        <v>1508143546</v>
      </c>
      <c r="C13395" t="str">
        <f>"363A00000X"</f>
        <v>363A00000X</v>
      </c>
      <c r="D13395" t="str">
        <f>"BURGER                   EMILY        A           "</f>
        <v xml:space="preserve">BURGER                   EMILY        A           </v>
      </c>
      <c r="E13395" t="str">
        <f>"WIGGINS                   "</f>
        <v xml:space="preserve">WIGGINS                   </v>
      </c>
      <c r="F13395" t="str">
        <f t="shared" si="342"/>
        <v>MS</v>
      </c>
    </row>
    <row r="13396" spans="1:6" x14ac:dyDescent="0.25">
      <c r="A13396" t="str">
        <f>"008455058"</f>
        <v>008455058</v>
      </c>
      <c r="B13396" t="str">
        <f>"1649552563"</f>
        <v>1649552563</v>
      </c>
      <c r="C13396" t="str">
        <f>"363A00000X"</f>
        <v>363A00000X</v>
      </c>
      <c r="D13396" t="str">
        <f>"COVINGTON                TAYLOR       E           "</f>
        <v xml:space="preserve">COVINGTON                TAYLOR       E           </v>
      </c>
      <c r="E13396" t="str">
        <f>"GULFPORT                  "</f>
        <v xml:space="preserve">GULFPORT                  </v>
      </c>
      <c r="F13396" t="str">
        <f t="shared" si="342"/>
        <v>MS</v>
      </c>
    </row>
    <row r="13397" spans="1:6" x14ac:dyDescent="0.25">
      <c r="A13397" t="str">
        <f>"008456238"</f>
        <v>008456238</v>
      </c>
      <c r="B13397" t="str">
        <f>"1962664870"</f>
        <v>1962664870</v>
      </c>
      <c r="C13397" t="str">
        <f>"207Q00000X"</f>
        <v>207Q00000X</v>
      </c>
      <c r="D13397" t="str">
        <f>"WATSON                   ANDREW       D           "</f>
        <v xml:space="preserve">WATSON                   ANDREW       D           </v>
      </c>
      <c r="E13397" t="str">
        <f>"QUITMAN                   "</f>
        <v xml:space="preserve">QUITMAN                   </v>
      </c>
      <c r="F13397" t="str">
        <f t="shared" si="342"/>
        <v>MS</v>
      </c>
    </row>
    <row r="13398" spans="1:6" x14ac:dyDescent="0.25">
      <c r="A13398" t="str">
        <f>"008456391"</f>
        <v>008456391</v>
      </c>
      <c r="B13398" t="str">
        <f>"1235373093"</f>
        <v>1235373093</v>
      </c>
      <c r="C13398" t="str">
        <f>"207P00000X"</f>
        <v>207P00000X</v>
      </c>
      <c r="D13398" t="str">
        <f>"CHAMBERLAIN              RYAN         J           "</f>
        <v xml:space="preserve">CHAMBERLAIN              RYAN         J           </v>
      </c>
      <c r="E13398" t="str">
        <f>"GULFPORT                  "</f>
        <v xml:space="preserve">GULFPORT                  </v>
      </c>
      <c r="F13398" t="str">
        <f t="shared" si="342"/>
        <v>MS</v>
      </c>
    </row>
    <row r="13399" spans="1:6" x14ac:dyDescent="0.25">
      <c r="A13399" t="str">
        <f>"008457763"</f>
        <v>008457763</v>
      </c>
      <c r="B13399" t="str">
        <f>"1811649569"</f>
        <v>1811649569</v>
      </c>
      <c r="C13399" t="str">
        <f>"363A00000X"</f>
        <v>363A00000X</v>
      </c>
      <c r="D13399" t="str">
        <f>"HESTER                   ERIKA        C           "</f>
        <v xml:space="preserve">HESTER                   ERIKA        C           </v>
      </c>
      <c r="E13399" t="str">
        <f>"GLUCKSTADT                "</f>
        <v xml:space="preserve">GLUCKSTADT                </v>
      </c>
      <c r="F13399" t="str">
        <f t="shared" si="342"/>
        <v>MS</v>
      </c>
    </row>
    <row r="13400" spans="1:6" x14ac:dyDescent="0.25">
      <c r="A13400" t="str">
        <f>"008458598"</f>
        <v>008458598</v>
      </c>
      <c r="B13400" t="str">
        <f>"1861880767"</f>
        <v>1861880767</v>
      </c>
      <c r="C13400" t="str">
        <f>"363L00000X"</f>
        <v>363L00000X</v>
      </c>
      <c r="D13400" t="str">
        <f>"WRIGHT                   HEATHER      N           "</f>
        <v xml:space="preserve">WRIGHT                   HEATHER      N           </v>
      </c>
      <c r="E13400" t="str">
        <f>"TUPELO                    "</f>
        <v xml:space="preserve">TUPELO                    </v>
      </c>
      <c r="F13400" t="str">
        <f t="shared" si="342"/>
        <v>MS</v>
      </c>
    </row>
    <row r="13401" spans="1:6" x14ac:dyDescent="0.25">
      <c r="A13401" t="str">
        <f>"008470507"</f>
        <v>008470507</v>
      </c>
      <c r="B13401" t="str">
        <f>"1164413928"</f>
        <v>1164413928</v>
      </c>
      <c r="C13401" t="str">
        <f>"207T00000X"</f>
        <v>207T00000X</v>
      </c>
      <c r="D13401" t="str">
        <f>"MICHAEL                  LATTIMORE    M           "</f>
        <v xml:space="preserve">MICHAEL                  LATTIMORE    M           </v>
      </c>
      <c r="E13401" t="str">
        <f>"SOUTHAVEN                 "</f>
        <v xml:space="preserve">SOUTHAVEN                 </v>
      </c>
      <c r="F13401" t="str">
        <f t="shared" si="342"/>
        <v>MS</v>
      </c>
    </row>
    <row r="13402" spans="1:6" x14ac:dyDescent="0.25">
      <c r="A13402" t="str">
        <f>"008470823"</f>
        <v>008470823</v>
      </c>
      <c r="B13402" t="str">
        <f>"1073725677"</f>
        <v>1073725677</v>
      </c>
      <c r="C13402" t="str">
        <f>"367500000X"</f>
        <v>367500000X</v>
      </c>
      <c r="D13402" t="str">
        <f>"STUART                   JEFFERY      J           "</f>
        <v xml:space="preserve">STUART                   JEFFERY      J           </v>
      </c>
      <c r="E13402" t="str">
        <f>"GULFPORT                  "</f>
        <v xml:space="preserve">GULFPORT                  </v>
      </c>
      <c r="F13402" t="str">
        <f t="shared" si="342"/>
        <v>MS</v>
      </c>
    </row>
    <row r="13403" spans="1:6" x14ac:dyDescent="0.25">
      <c r="A13403" t="str">
        <f>"008473501"</f>
        <v>008473501</v>
      </c>
      <c r="B13403" t="str">
        <f>"1801059381"</f>
        <v>1801059381</v>
      </c>
      <c r="C13403" t="str">
        <f>"207R00000X"</f>
        <v>207R00000X</v>
      </c>
      <c r="D13403" t="str">
        <f>"LOGAN                    JOHN         R           "</f>
        <v xml:space="preserve">LOGAN                    JOHN         R           </v>
      </c>
      <c r="E13403" t="str">
        <f>"PASCAGOULA                "</f>
        <v xml:space="preserve">PASCAGOULA                </v>
      </c>
      <c r="F13403" t="str">
        <f t="shared" si="342"/>
        <v>MS</v>
      </c>
    </row>
    <row r="13404" spans="1:6" x14ac:dyDescent="0.25">
      <c r="A13404" t="str">
        <f>"008475276"</f>
        <v>008475276</v>
      </c>
      <c r="B13404" t="str">
        <f>"1770808693"</f>
        <v>1770808693</v>
      </c>
      <c r="C13404" t="str">
        <f>"207LP3000X"</f>
        <v>207LP3000X</v>
      </c>
      <c r="D13404" t="str">
        <f>"ROBERTSON                SARA         B           "</f>
        <v xml:space="preserve">ROBERTSON                SARA         B           </v>
      </c>
      <c r="E13404" t="str">
        <f>"JACKSON                   "</f>
        <v xml:space="preserve">JACKSON                   </v>
      </c>
      <c r="F13404" t="str">
        <f t="shared" si="342"/>
        <v>MS</v>
      </c>
    </row>
    <row r="13405" spans="1:6" x14ac:dyDescent="0.25">
      <c r="A13405" t="str">
        <f>"008476598"</f>
        <v>008476598</v>
      </c>
      <c r="B13405" t="str">
        <f>"1376181800"</f>
        <v>1376181800</v>
      </c>
      <c r="C13405" t="str">
        <f>"363L00000X"</f>
        <v>363L00000X</v>
      </c>
      <c r="D13405" t="str">
        <f>"LETT                     ERIKA        N           "</f>
        <v xml:space="preserve">LETT                     ERIKA        N           </v>
      </c>
      <c r="E13405" t="str">
        <f>"GULFPORT                  "</f>
        <v xml:space="preserve">GULFPORT                  </v>
      </c>
      <c r="F13405" t="str">
        <f t="shared" si="342"/>
        <v>MS</v>
      </c>
    </row>
    <row r="13406" spans="1:6" x14ac:dyDescent="0.25">
      <c r="A13406" t="str">
        <f>"008476758"</f>
        <v>008476758</v>
      </c>
      <c r="B13406" t="str">
        <f>"1417276106"</f>
        <v>1417276106</v>
      </c>
      <c r="C13406" t="str">
        <f>"367500000X"</f>
        <v>367500000X</v>
      </c>
      <c r="D13406" t="str">
        <f>"NEWMAN                   NATHAN       L           "</f>
        <v xml:space="preserve">NEWMAN                   NATHAN       L           </v>
      </c>
      <c r="E13406" t="str">
        <f>"BROOKHAVEN                "</f>
        <v xml:space="preserve">BROOKHAVEN                </v>
      </c>
      <c r="F13406" t="str">
        <f t="shared" si="342"/>
        <v>MS</v>
      </c>
    </row>
    <row r="13407" spans="1:6" x14ac:dyDescent="0.25">
      <c r="A13407" t="str">
        <f>"008477581"</f>
        <v>008477581</v>
      </c>
      <c r="B13407" t="str">
        <f>"1174137111"</f>
        <v>1174137111</v>
      </c>
      <c r="C13407" t="str">
        <f>"363L00000X"</f>
        <v>363L00000X</v>
      </c>
      <c r="D13407" t="str">
        <f>"DAVIS                    FRANKLIN     K           "</f>
        <v xml:space="preserve">DAVIS                    FRANKLIN     K           </v>
      </c>
      <c r="E13407" t="str">
        <f>"GREENVILLE                "</f>
        <v xml:space="preserve">GREENVILLE                </v>
      </c>
      <c r="F13407" t="str">
        <f t="shared" si="342"/>
        <v>MS</v>
      </c>
    </row>
    <row r="13408" spans="1:6" x14ac:dyDescent="0.25">
      <c r="A13408" t="str">
        <f>"008477587"</f>
        <v>008477587</v>
      </c>
      <c r="B13408" t="str">
        <f>"1316460090"</f>
        <v>1316460090</v>
      </c>
      <c r="C13408" t="str">
        <f>"363L00000X"</f>
        <v>363L00000X</v>
      </c>
      <c r="D13408" t="str">
        <f>"LOTT                     AMY                      "</f>
        <v xml:space="preserve">LOTT                     AMY                      </v>
      </c>
      <c r="E13408" t="str">
        <f>"LEAKESVILLE               "</f>
        <v xml:space="preserve">LEAKESVILLE               </v>
      </c>
      <c r="F13408" t="str">
        <f t="shared" si="342"/>
        <v>MS</v>
      </c>
    </row>
    <row r="13409" spans="1:6" x14ac:dyDescent="0.25">
      <c r="A13409" t="str">
        <f>"008478237"</f>
        <v>008478237</v>
      </c>
      <c r="B13409" t="str">
        <f>"1508881822"</f>
        <v>1508881822</v>
      </c>
      <c r="C13409" t="str">
        <f>"363AS0400X"</f>
        <v>363AS0400X</v>
      </c>
      <c r="D13409" t="str">
        <f>"SOSA                     JOSE         A           "</f>
        <v xml:space="preserve">SOSA                     JOSE         A           </v>
      </c>
      <c r="E13409" t="str">
        <f>"RIDGELAND                 "</f>
        <v xml:space="preserve">RIDGELAND                 </v>
      </c>
      <c r="F13409" t="str">
        <f t="shared" si="342"/>
        <v>MS</v>
      </c>
    </row>
    <row r="13410" spans="1:6" x14ac:dyDescent="0.25">
      <c r="A13410" t="str">
        <f>"008479210"</f>
        <v>008479210</v>
      </c>
      <c r="B13410" t="str">
        <f>"1881083046"</f>
        <v>1881083046</v>
      </c>
      <c r="C13410" t="str">
        <f>"363L00000X"</f>
        <v>363L00000X</v>
      </c>
      <c r="D13410" t="str">
        <f>"STEENKAMP                MELISSA      D           "</f>
        <v xml:space="preserve">STEENKAMP                MELISSA      D           </v>
      </c>
      <c r="E13410" t="str">
        <f>"GULFPORT                  "</f>
        <v xml:space="preserve">GULFPORT                  </v>
      </c>
      <c r="F13410" t="str">
        <f t="shared" si="342"/>
        <v>MS</v>
      </c>
    </row>
    <row r="13411" spans="1:6" x14ac:dyDescent="0.25">
      <c r="A13411" t="str">
        <f>"008480208"</f>
        <v>008480208</v>
      </c>
      <c r="B13411" t="str">
        <f>"1760477640"</f>
        <v>1760477640</v>
      </c>
      <c r="C13411" t="str">
        <f>"207RC0000X"</f>
        <v>207RC0000X</v>
      </c>
      <c r="D13411" t="str">
        <f>"EVANS                    DANIEL       J           "</f>
        <v xml:space="preserve">EVANS                    DANIEL       J           </v>
      </c>
      <c r="E13411" t="str">
        <f>"MERIDIAN                  "</f>
        <v xml:space="preserve">MERIDIAN                  </v>
      </c>
      <c r="F13411" t="str">
        <f t="shared" si="342"/>
        <v>MS</v>
      </c>
    </row>
    <row r="13412" spans="1:6" x14ac:dyDescent="0.25">
      <c r="A13412" t="str">
        <f>"008481112"</f>
        <v>008481112</v>
      </c>
      <c r="B13412" t="str">
        <f>"1376215178"</f>
        <v>1376215178</v>
      </c>
      <c r="C13412" t="str">
        <f>"363L00000X"</f>
        <v>363L00000X</v>
      </c>
      <c r="D13412" t="str">
        <f>"MACKLIN                  LAFADRA                  "</f>
        <v xml:space="preserve">MACKLIN                  LAFADRA                  </v>
      </c>
      <c r="E13412" t="str">
        <f>"TUPELO                    "</f>
        <v xml:space="preserve">TUPELO                    </v>
      </c>
      <c r="F13412" t="str">
        <f t="shared" si="342"/>
        <v>MS</v>
      </c>
    </row>
    <row r="13413" spans="1:6" x14ac:dyDescent="0.25">
      <c r="A13413" t="str">
        <f>"008482322"</f>
        <v>008482322</v>
      </c>
      <c r="B13413" t="str">
        <f>"1972706927"</f>
        <v>1972706927</v>
      </c>
      <c r="C13413" t="str">
        <f>"207T00000X"</f>
        <v>207T00000X</v>
      </c>
      <c r="D13413" t="str">
        <f>"LUZARDO                  GUSTAVO      D           "</f>
        <v xml:space="preserve">LUZARDO                  GUSTAVO      D           </v>
      </c>
      <c r="E13413" t="str">
        <f>"JACKSON                   "</f>
        <v xml:space="preserve">JACKSON                   </v>
      </c>
      <c r="F13413" t="str">
        <f t="shared" si="342"/>
        <v>MS</v>
      </c>
    </row>
    <row r="13414" spans="1:6" x14ac:dyDescent="0.25">
      <c r="A13414" t="str">
        <f>"008482352"</f>
        <v>008482352</v>
      </c>
      <c r="B13414" t="str">
        <f>"1912652710"</f>
        <v>1912652710</v>
      </c>
      <c r="C13414" t="str">
        <f>"363L00000X"</f>
        <v>363L00000X</v>
      </c>
      <c r="D13414" t="str">
        <f>"THIBODEAUX               ABBY         H           "</f>
        <v xml:space="preserve">THIBODEAUX               ABBY         H           </v>
      </c>
      <c r="E13414" t="str">
        <f>"PASCAGOULA                "</f>
        <v xml:space="preserve">PASCAGOULA                </v>
      </c>
      <c r="F13414" t="str">
        <f t="shared" si="342"/>
        <v>MS</v>
      </c>
    </row>
    <row r="13415" spans="1:6" x14ac:dyDescent="0.25">
      <c r="A13415" t="str">
        <f>"008483332"</f>
        <v>008483332</v>
      </c>
      <c r="B13415" t="str">
        <f>"1790079325"</f>
        <v>1790079325</v>
      </c>
      <c r="C13415" t="str">
        <f>"208G00000X"</f>
        <v>208G00000X</v>
      </c>
      <c r="D13415" t="str">
        <f>"SMITH                    WILLIAM                  "</f>
        <v xml:space="preserve">SMITH                    WILLIAM                  </v>
      </c>
      <c r="E13415" t="str">
        <f>"OCEAN SPRINGS             "</f>
        <v xml:space="preserve">OCEAN SPRINGS             </v>
      </c>
      <c r="F13415" t="str">
        <f t="shared" si="342"/>
        <v>MS</v>
      </c>
    </row>
    <row r="13416" spans="1:6" x14ac:dyDescent="0.25">
      <c r="A13416" t="str">
        <f>"008484270"</f>
        <v>008484270</v>
      </c>
      <c r="B13416" t="str">
        <f>"1528236890"</f>
        <v>1528236890</v>
      </c>
      <c r="C13416" t="str">
        <f>"367500000X"</f>
        <v>367500000X</v>
      </c>
      <c r="D13416" t="str">
        <f>"VANCE                    DAVID        A           "</f>
        <v xml:space="preserve">VANCE                    DAVID        A           </v>
      </c>
      <c r="E13416" t="str">
        <f>"TUPELO                    "</f>
        <v xml:space="preserve">TUPELO                    </v>
      </c>
      <c r="F13416" t="str">
        <f t="shared" si="342"/>
        <v>MS</v>
      </c>
    </row>
    <row r="13417" spans="1:6" x14ac:dyDescent="0.25">
      <c r="A13417" t="str">
        <f>"008485044"</f>
        <v>008485044</v>
      </c>
      <c r="B13417" t="str">
        <f>"1013515667"</f>
        <v>1013515667</v>
      </c>
      <c r="C13417" t="str">
        <f>"363L00000X"</f>
        <v>363L00000X</v>
      </c>
      <c r="D13417" t="str">
        <f>"PANNELL                  KATELYNN                 "</f>
        <v xml:space="preserve">PANNELL                  KATELYNN                 </v>
      </c>
      <c r="E13417" t="str">
        <f>"PONTOTOC                  "</f>
        <v xml:space="preserve">PONTOTOC                  </v>
      </c>
      <c r="F13417" t="str">
        <f t="shared" si="342"/>
        <v>MS</v>
      </c>
    </row>
    <row r="13418" spans="1:6" x14ac:dyDescent="0.25">
      <c r="A13418" t="str">
        <f>"008485791"</f>
        <v>008485791</v>
      </c>
      <c r="B13418" t="str">
        <f>"1205443165"</f>
        <v>1205443165</v>
      </c>
      <c r="C13418" t="str">
        <f>"363L00000X"</f>
        <v>363L00000X</v>
      </c>
      <c r="D13418" t="str">
        <f>"STOCKSTILL               MALLORY      T           "</f>
        <v xml:space="preserve">STOCKSTILL               MALLORY      T           </v>
      </c>
      <c r="E13418" t="str">
        <f>"PETAL                     "</f>
        <v xml:space="preserve">PETAL                     </v>
      </c>
      <c r="F13418" t="str">
        <f t="shared" si="342"/>
        <v>MS</v>
      </c>
    </row>
    <row r="13419" spans="1:6" x14ac:dyDescent="0.25">
      <c r="A13419" t="str">
        <f>"008486052"</f>
        <v>008486052</v>
      </c>
      <c r="B13419" t="str">
        <f>"1841504206"</f>
        <v>1841504206</v>
      </c>
      <c r="C13419" t="str">
        <f>"2083P0901X"</f>
        <v>2083P0901X</v>
      </c>
      <c r="D13419" t="str">
        <f>"EZENWANNE                ODILICHI                 "</f>
        <v xml:space="preserve">EZENWANNE                ODILICHI                 </v>
      </c>
      <c r="E13419" t="str">
        <f>"CLARKSDALE                "</f>
        <v xml:space="preserve">CLARKSDALE                </v>
      </c>
      <c r="F13419" t="str">
        <f t="shared" si="342"/>
        <v>MS</v>
      </c>
    </row>
    <row r="13420" spans="1:6" x14ac:dyDescent="0.25">
      <c r="A13420" t="str">
        <f>"008486381"</f>
        <v>008486381</v>
      </c>
      <c r="B13420" t="str">
        <f>"1356494264"</f>
        <v>1356494264</v>
      </c>
      <c r="C13420" t="str">
        <f>"1223X0400X"</f>
        <v>1223X0400X</v>
      </c>
      <c r="D13420" t="str">
        <f>"SKELTON                  THERESA      L           "</f>
        <v xml:space="preserve">SKELTON                  THERESA      L           </v>
      </c>
      <c r="E13420" t="str">
        <f>"GREENVILLE                "</f>
        <v xml:space="preserve">GREENVILLE                </v>
      </c>
      <c r="F13420" t="str">
        <f t="shared" si="342"/>
        <v>MS</v>
      </c>
    </row>
    <row r="13421" spans="1:6" x14ac:dyDescent="0.25">
      <c r="A13421" t="str">
        <f>"008486866"</f>
        <v>008486866</v>
      </c>
      <c r="B13421" t="str">
        <f>"1548792732"</f>
        <v>1548792732</v>
      </c>
      <c r="C13421" t="str">
        <f>"207Q00000X"</f>
        <v>207Q00000X</v>
      </c>
      <c r="D13421" t="str">
        <f>"MOORE                    RACHEL       H           "</f>
        <v xml:space="preserve">MOORE                    RACHEL       H           </v>
      </c>
      <c r="E13421" t="str">
        <f>"BILOXI                    "</f>
        <v xml:space="preserve">BILOXI                    </v>
      </c>
      <c r="F13421" t="str">
        <f t="shared" si="342"/>
        <v>MS</v>
      </c>
    </row>
    <row r="13422" spans="1:6" x14ac:dyDescent="0.25">
      <c r="A13422" t="str">
        <f>"008487007"</f>
        <v>008487007</v>
      </c>
      <c r="B13422" t="str">
        <f>"1851326813"</f>
        <v>1851326813</v>
      </c>
      <c r="C13422" t="str">
        <f>"207Q00000X"</f>
        <v>207Q00000X</v>
      </c>
      <c r="D13422" t="str">
        <f>"ANDERSON                 JEFFREY      R           "</f>
        <v xml:space="preserve">ANDERSON                 JEFFREY      R           </v>
      </c>
      <c r="E13422" t="str">
        <f>"NATCHEZ                   "</f>
        <v xml:space="preserve">NATCHEZ                   </v>
      </c>
      <c r="F13422" t="str">
        <f t="shared" si="342"/>
        <v>MS</v>
      </c>
    </row>
    <row r="13423" spans="1:6" x14ac:dyDescent="0.25">
      <c r="A13423" t="str">
        <f>"008487520"</f>
        <v>008487520</v>
      </c>
      <c r="B13423" t="str">
        <f>"1538713839"</f>
        <v>1538713839</v>
      </c>
      <c r="C13423" t="str">
        <f>"363L00000X"</f>
        <v>363L00000X</v>
      </c>
      <c r="D13423" t="str">
        <f>"DOTY-MOODY               MORGAN       A           "</f>
        <v xml:space="preserve">DOTY-MOODY               MORGAN       A           </v>
      </c>
      <c r="E13423" t="str">
        <f>"GLUCKSTADT                "</f>
        <v xml:space="preserve">GLUCKSTADT                </v>
      </c>
      <c r="F13423" t="str">
        <f t="shared" si="342"/>
        <v>MS</v>
      </c>
    </row>
    <row r="13424" spans="1:6" x14ac:dyDescent="0.25">
      <c r="A13424" t="str">
        <f>"008487562"</f>
        <v>008487562</v>
      </c>
      <c r="B13424" t="str">
        <f>"1003884305"</f>
        <v>1003884305</v>
      </c>
      <c r="C13424" t="str">
        <f>"207L00000X"</f>
        <v>207L00000X</v>
      </c>
      <c r="D13424" t="str">
        <f>"RAMSEY                   CARL         S           "</f>
        <v xml:space="preserve">RAMSEY                   CARL         S           </v>
      </c>
      <c r="E13424" t="str">
        <f>"BAY SAINT LOUIS           "</f>
        <v xml:space="preserve">BAY SAINT LOUIS           </v>
      </c>
      <c r="F13424" t="str">
        <f t="shared" si="342"/>
        <v>MS</v>
      </c>
    </row>
    <row r="13425" spans="1:6" x14ac:dyDescent="0.25">
      <c r="A13425" t="str">
        <f>"008487858"</f>
        <v>008487858</v>
      </c>
      <c r="B13425" t="str">
        <f>"1568732188"</f>
        <v>1568732188</v>
      </c>
      <c r="C13425" t="str">
        <f>"363LF0000X"</f>
        <v>363LF0000X</v>
      </c>
      <c r="D13425" t="str">
        <f>"RAYBORN                  NATHANIEL    W           "</f>
        <v xml:space="preserve">RAYBORN                  NATHANIEL    W           </v>
      </c>
      <c r="E13425" t="str">
        <f>"GULFPORT                  "</f>
        <v xml:space="preserve">GULFPORT                  </v>
      </c>
      <c r="F13425" t="str">
        <f t="shared" si="342"/>
        <v>MS</v>
      </c>
    </row>
    <row r="13426" spans="1:6" x14ac:dyDescent="0.25">
      <c r="A13426" t="str">
        <f>"008487867"</f>
        <v>008487867</v>
      </c>
      <c r="B13426" t="str">
        <f>"1659950202"</f>
        <v>1659950202</v>
      </c>
      <c r="C13426" t="str">
        <f>"261QF0400X"</f>
        <v>261QF0400X</v>
      </c>
      <c r="D13426" t="str">
        <f>"COASTAL FAMILY HEALTH CENTER INC                  "</f>
        <v xml:space="preserve">COASTAL FAMILY HEALTH CENTER INC                  </v>
      </c>
      <c r="E13426" t="str">
        <f>"PASS CHRISTIAN            "</f>
        <v xml:space="preserve">PASS CHRISTIAN            </v>
      </c>
      <c r="F13426" t="str">
        <f t="shared" si="342"/>
        <v>MS</v>
      </c>
    </row>
    <row r="13427" spans="1:6" x14ac:dyDescent="0.25">
      <c r="A13427" t="str">
        <f>"008489751"</f>
        <v>008489751</v>
      </c>
      <c r="B13427" t="str">
        <f>"1386815694"</f>
        <v>1386815694</v>
      </c>
      <c r="C13427" t="str">
        <f>"363L00000X"</f>
        <v>363L00000X</v>
      </c>
      <c r="D13427" t="str">
        <f>"SWANN                    HEATHER      N           "</f>
        <v xml:space="preserve">SWANN                    HEATHER      N           </v>
      </c>
      <c r="E13427" t="str">
        <f>"GULFPORT                  "</f>
        <v xml:space="preserve">GULFPORT                  </v>
      </c>
      <c r="F13427" t="str">
        <f t="shared" si="342"/>
        <v>MS</v>
      </c>
    </row>
    <row r="13428" spans="1:6" x14ac:dyDescent="0.25">
      <c r="A13428" t="str">
        <f>"008501039"</f>
        <v>008501039</v>
      </c>
      <c r="B13428" t="str">
        <f>"1982906509"</f>
        <v>1982906509</v>
      </c>
      <c r="C13428" t="str">
        <f>"152W00000X"</f>
        <v>152W00000X</v>
      </c>
      <c r="D13428" t="str">
        <f>"GOLDEN TRIANGLE EYE CLINIC                        "</f>
        <v xml:space="preserve">GOLDEN TRIANGLE EYE CLINIC                        </v>
      </c>
      <c r="E13428" t="str">
        <f>"COLUMBUS                  "</f>
        <v xml:space="preserve">COLUMBUS                  </v>
      </c>
      <c r="F13428" t="str">
        <f t="shared" si="342"/>
        <v>MS</v>
      </c>
    </row>
    <row r="13429" spans="1:6" x14ac:dyDescent="0.25">
      <c r="A13429" t="str">
        <f>"008502361"</f>
        <v>008502361</v>
      </c>
      <c r="B13429" t="str">
        <f>"1578719399"</f>
        <v>1578719399</v>
      </c>
      <c r="C13429" t="str">
        <f>"122300000X"</f>
        <v>122300000X</v>
      </c>
      <c r="D13429" t="str">
        <f>"GRENADA DENTAL ASSOCIATES                         "</f>
        <v xml:space="preserve">GRENADA DENTAL ASSOCIATES                         </v>
      </c>
      <c r="E13429" t="str">
        <f>"GRENADA                   "</f>
        <v xml:space="preserve">GRENADA                   </v>
      </c>
      <c r="F13429" t="str">
        <f t="shared" si="342"/>
        <v>MS</v>
      </c>
    </row>
    <row r="13430" spans="1:6" x14ac:dyDescent="0.25">
      <c r="A13430" t="str">
        <f>"008504826"</f>
        <v>008504826</v>
      </c>
      <c r="B13430" t="str">
        <f>"1700197977"</f>
        <v>1700197977</v>
      </c>
      <c r="C13430" t="str">
        <f>"207Q00000X"</f>
        <v>207Q00000X</v>
      </c>
      <c r="D13430" t="str">
        <f>"WATERS                   HEATHER                  "</f>
        <v xml:space="preserve">WATERS                   HEATHER                  </v>
      </c>
      <c r="E13430" t="str">
        <f>"LUMBERTON                 "</f>
        <v xml:space="preserve">LUMBERTON                 </v>
      </c>
      <c r="F13430" t="str">
        <f t="shared" si="342"/>
        <v>MS</v>
      </c>
    </row>
    <row r="13431" spans="1:6" x14ac:dyDescent="0.25">
      <c r="A13431" t="str">
        <f>"008505248"</f>
        <v>008505248</v>
      </c>
      <c r="B13431" t="str">
        <f>"1346349487"</f>
        <v>1346349487</v>
      </c>
      <c r="C13431" t="str">
        <f>"2080P0207X"</f>
        <v>2080P0207X</v>
      </c>
      <c r="D13431" t="str">
        <f>"GORDON                   CATHERINE    J           "</f>
        <v xml:space="preserve">GORDON                   CATHERINE    J           </v>
      </c>
      <c r="E13431" t="str">
        <f>"JACKSON                   "</f>
        <v xml:space="preserve">JACKSON                   </v>
      </c>
      <c r="F13431" t="str">
        <f t="shared" si="342"/>
        <v>MS</v>
      </c>
    </row>
    <row r="13432" spans="1:6" x14ac:dyDescent="0.25">
      <c r="A13432" t="str">
        <f>"008505293"</f>
        <v>008505293</v>
      </c>
      <c r="B13432" t="str">
        <f>"1780629147"</f>
        <v>1780629147</v>
      </c>
      <c r="C13432" t="str">
        <f>"207V00000X"</f>
        <v>207V00000X</v>
      </c>
      <c r="D13432" t="str">
        <f>"BRUMMITT                 KENYETTA     D           "</f>
        <v xml:space="preserve">BRUMMITT                 KENYETTA     D           </v>
      </c>
      <c r="E13432" t="str">
        <f>"SOUTHAVEN                 "</f>
        <v xml:space="preserve">SOUTHAVEN                 </v>
      </c>
      <c r="F13432" t="str">
        <f t="shared" si="342"/>
        <v>MS</v>
      </c>
    </row>
    <row r="13433" spans="1:6" x14ac:dyDescent="0.25">
      <c r="A13433" t="str">
        <f>"008505823"</f>
        <v>008505823</v>
      </c>
      <c r="B13433" t="str">
        <f>"1083898639"</f>
        <v>1083898639</v>
      </c>
      <c r="C13433" t="str">
        <f>"261QA0600X"</f>
        <v>261QA0600X</v>
      </c>
      <c r="D13433" t="str">
        <f>"BEAUTIFUL LIFE ADULT DAY CARE                     "</f>
        <v xml:space="preserve">BEAUTIFUL LIFE ADULT DAY CARE                     </v>
      </c>
      <c r="E13433" t="str">
        <f>"COLUMBUS                  "</f>
        <v xml:space="preserve">COLUMBUS                  </v>
      </c>
      <c r="F13433" t="str">
        <f t="shared" si="342"/>
        <v>MS</v>
      </c>
    </row>
    <row r="13434" spans="1:6" x14ac:dyDescent="0.25">
      <c r="A13434" t="str">
        <f>"008506371"</f>
        <v>008506371</v>
      </c>
      <c r="B13434" t="str">
        <f>"1801451430"</f>
        <v>1801451430</v>
      </c>
      <c r="C13434" t="str">
        <f>"363L00000X"</f>
        <v>363L00000X</v>
      </c>
      <c r="D13434" t="str">
        <f>"RUSH                     MARY                     "</f>
        <v xml:space="preserve">RUSH                     MARY                     </v>
      </c>
      <c r="E13434" t="str">
        <f>"COLUMBUS                  "</f>
        <v xml:space="preserve">COLUMBUS                  </v>
      </c>
      <c r="F13434" t="str">
        <f t="shared" si="342"/>
        <v>MS</v>
      </c>
    </row>
    <row r="13435" spans="1:6" x14ac:dyDescent="0.25">
      <c r="A13435" t="str">
        <f>"008506531"</f>
        <v>008506531</v>
      </c>
      <c r="B13435" t="str">
        <f>"1851752307"</f>
        <v>1851752307</v>
      </c>
      <c r="C13435" t="str">
        <f>"207R00000X"</f>
        <v>207R00000X</v>
      </c>
      <c r="D13435" t="str">
        <f>"MURPHY                   TIMOTHY      J           "</f>
        <v xml:space="preserve">MURPHY                   TIMOTHY      J           </v>
      </c>
      <c r="E13435" t="str">
        <f>"TUPELO                    "</f>
        <v xml:space="preserve">TUPELO                    </v>
      </c>
      <c r="F13435" t="str">
        <f t="shared" si="342"/>
        <v>MS</v>
      </c>
    </row>
    <row r="13436" spans="1:6" x14ac:dyDescent="0.25">
      <c r="A13436" t="str">
        <f>"008506761"</f>
        <v>008506761</v>
      </c>
      <c r="B13436" t="str">
        <f>"1952716573"</f>
        <v>1952716573</v>
      </c>
      <c r="C13436" t="str">
        <f>"207Q00000X"</f>
        <v>207Q00000X</v>
      </c>
      <c r="D13436" t="str">
        <f>"LIEU                     SANDY        N           "</f>
        <v xml:space="preserve">LIEU                     SANDY        N           </v>
      </c>
      <c r="E13436" t="str">
        <f>"ACKERMAN                  "</f>
        <v xml:space="preserve">ACKERMAN                  </v>
      </c>
      <c r="F13436" t="str">
        <f t="shared" si="342"/>
        <v>MS</v>
      </c>
    </row>
    <row r="13437" spans="1:6" x14ac:dyDescent="0.25">
      <c r="A13437" t="str">
        <f>"008507525"</f>
        <v>008507525</v>
      </c>
      <c r="B13437" t="str">
        <f>"1912326513"</f>
        <v>1912326513</v>
      </c>
      <c r="C13437" t="str">
        <f>"2080P0207X"</f>
        <v>2080P0207X</v>
      </c>
      <c r="D13437" t="str">
        <f>"JACKSON                  ERIN                     "</f>
        <v xml:space="preserve">JACKSON                  ERIN                     </v>
      </c>
      <c r="E13437" t="str">
        <f>"JACKSON                   "</f>
        <v xml:space="preserve">JACKSON                   </v>
      </c>
      <c r="F13437" t="str">
        <f t="shared" si="342"/>
        <v>MS</v>
      </c>
    </row>
    <row r="13438" spans="1:6" x14ac:dyDescent="0.25">
      <c r="A13438" t="str">
        <f>"008508539"</f>
        <v>008508539</v>
      </c>
      <c r="B13438" t="str">
        <f>"1104197508"</f>
        <v>1104197508</v>
      </c>
      <c r="C13438" t="str">
        <f>"363L00000X"</f>
        <v>363L00000X</v>
      </c>
      <c r="D13438" t="str">
        <f>"SPENCE                   REGAN        D           "</f>
        <v xml:space="preserve">SPENCE                   REGAN        D           </v>
      </c>
      <c r="E13438" t="str">
        <f>"JACKSON                   "</f>
        <v xml:space="preserve">JACKSON                   </v>
      </c>
      <c r="F13438" t="str">
        <f t="shared" ref="F13438:F13501" si="343">"MS"</f>
        <v>MS</v>
      </c>
    </row>
    <row r="13439" spans="1:6" x14ac:dyDescent="0.25">
      <c r="A13439" t="str">
        <f>"008508573"</f>
        <v>008508573</v>
      </c>
      <c r="B13439" t="str">
        <f>"1316144280"</f>
        <v>1316144280</v>
      </c>
      <c r="C13439" t="str">
        <f>"207R00000X"</f>
        <v>207R00000X</v>
      </c>
      <c r="D13439" t="str">
        <f>"BENTLEY                  MATTHEW      B           "</f>
        <v xml:space="preserve">BENTLEY                  MATTHEW      B           </v>
      </c>
      <c r="E13439" t="str">
        <f>"JACKSON                   "</f>
        <v xml:space="preserve">JACKSON                   </v>
      </c>
      <c r="F13439" t="str">
        <f t="shared" si="343"/>
        <v>MS</v>
      </c>
    </row>
    <row r="13440" spans="1:6" x14ac:dyDescent="0.25">
      <c r="A13440" t="str">
        <f>"008508791"</f>
        <v>008508791</v>
      </c>
      <c r="B13440" t="str">
        <f>"1386626851"</f>
        <v>1386626851</v>
      </c>
      <c r="C13440" t="str">
        <f>"367A00000X"</f>
        <v>367A00000X</v>
      </c>
      <c r="D13440" t="str">
        <f>"POWE                     NICOLE       M           "</f>
        <v xml:space="preserve">POWE                     NICOLE       M           </v>
      </c>
      <c r="E13440" t="str">
        <f>"MERIDIAN                  "</f>
        <v xml:space="preserve">MERIDIAN                  </v>
      </c>
      <c r="F13440" t="str">
        <f t="shared" si="343"/>
        <v>MS</v>
      </c>
    </row>
    <row r="13441" spans="1:6" x14ac:dyDescent="0.25">
      <c r="A13441" t="str">
        <f>"008508830"</f>
        <v>008508830</v>
      </c>
      <c r="B13441" t="str">
        <f>"1275512410"</f>
        <v>1275512410</v>
      </c>
      <c r="C13441" t="str">
        <f>"367500000X"</f>
        <v>367500000X</v>
      </c>
      <c r="D13441" t="str">
        <f>"SEALE                    ROBIN                    "</f>
        <v xml:space="preserve">SEALE                    ROBIN                    </v>
      </c>
      <c r="E13441" t="str">
        <f>"TUPELO                    "</f>
        <v xml:space="preserve">TUPELO                    </v>
      </c>
      <c r="F13441" t="str">
        <f t="shared" si="343"/>
        <v>MS</v>
      </c>
    </row>
    <row r="13442" spans="1:6" x14ac:dyDescent="0.25">
      <c r="A13442" t="str">
        <f>"008520215"</f>
        <v>008520215</v>
      </c>
      <c r="B13442" t="str">
        <f>"1295192151"</f>
        <v>1295192151</v>
      </c>
      <c r="C13442" t="str">
        <f>"363L00000X"</f>
        <v>363L00000X</v>
      </c>
      <c r="D13442" t="str">
        <f>"PHILLIPS-COAKLEY         CARLA                    "</f>
        <v xml:space="preserve">PHILLIPS-COAKLEY         CARLA                    </v>
      </c>
      <c r="E13442" t="str">
        <f>"RIDGELAND                 "</f>
        <v xml:space="preserve">RIDGELAND                 </v>
      </c>
      <c r="F13442" t="str">
        <f t="shared" si="343"/>
        <v>MS</v>
      </c>
    </row>
    <row r="13443" spans="1:6" x14ac:dyDescent="0.25">
      <c r="A13443" t="str">
        <f>"008520364"</f>
        <v>008520364</v>
      </c>
      <c r="B13443" t="str">
        <f>"1356551691"</f>
        <v>1356551691</v>
      </c>
      <c r="C13443" t="str">
        <f>"207W00000X"</f>
        <v>207W00000X</v>
      </c>
      <c r="D13443" t="str">
        <f>"KOSEK                    KEVIN        A           "</f>
        <v xml:space="preserve">KOSEK                    KEVIN        A           </v>
      </c>
      <c r="E13443" t="str">
        <f>"MADISON                   "</f>
        <v xml:space="preserve">MADISON                   </v>
      </c>
      <c r="F13443" t="str">
        <f t="shared" si="343"/>
        <v>MS</v>
      </c>
    </row>
    <row r="13444" spans="1:6" x14ac:dyDescent="0.25">
      <c r="A13444" t="str">
        <f>"008522819"</f>
        <v>008522819</v>
      </c>
      <c r="B13444" t="str">
        <f>"1134101033"</f>
        <v>1134101033</v>
      </c>
      <c r="C13444" t="str">
        <f>"363L00000X"</f>
        <v>363L00000X</v>
      </c>
      <c r="D13444" t="str">
        <f>"STOKES                   ELIZABETH    A           "</f>
        <v xml:space="preserve">STOKES                   ELIZABETH    A           </v>
      </c>
      <c r="E13444" t="str">
        <f>"MERIDIAN                  "</f>
        <v xml:space="preserve">MERIDIAN                  </v>
      </c>
      <c r="F13444" t="str">
        <f t="shared" si="343"/>
        <v>MS</v>
      </c>
    </row>
    <row r="13445" spans="1:6" x14ac:dyDescent="0.25">
      <c r="A13445" t="str">
        <f>"008523228"</f>
        <v>008523228</v>
      </c>
      <c r="B13445" t="str">
        <f>"1801015136"</f>
        <v>1801015136</v>
      </c>
      <c r="C13445" t="str">
        <f>"2080P0207X"</f>
        <v>2080P0207X</v>
      </c>
      <c r="D13445" t="str">
        <f>"PENNINGTON               SHARON       M           "</f>
        <v xml:space="preserve">PENNINGTON               SHARON       M           </v>
      </c>
      <c r="E13445" t="str">
        <f>"FLOWOOD                   "</f>
        <v xml:space="preserve">FLOWOOD                   </v>
      </c>
      <c r="F13445" t="str">
        <f t="shared" si="343"/>
        <v>MS</v>
      </c>
    </row>
    <row r="13446" spans="1:6" x14ac:dyDescent="0.25">
      <c r="A13446" t="str">
        <f>"008525561"</f>
        <v>008525561</v>
      </c>
      <c r="B13446" t="str">
        <f>"1326655168"</f>
        <v>1326655168</v>
      </c>
      <c r="C13446" t="str">
        <f>"363L00000X"</f>
        <v>363L00000X</v>
      </c>
      <c r="D13446" t="str">
        <f>"DEARMAN                  ANGELA       D           "</f>
        <v xml:space="preserve">DEARMAN                  ANGELA       D           </v>
      </c>
      <c r="E13446" t="str">
        <f>"MOSELLE                   "</f>
        <v xml:space="preserve">MOSELLE                   </v>
      </c>
      <c r="F13446" t="str">
        <f t="shared" si="343"/>
        <v>MS</v>
      </c>
    </row>
    <row r="13447" spans="1:6" x14ac:dyDescent="0.25">
      <c r="A13447" t="str">
        <f>"008525721"</f>
        <v>008525721</v>
      </c>
      <c r="B13447" t="str">
        <f>"1932249521"</f>
        <v>1932249521</v>
      </c>
      <c r="C13447" t="str">
        <f>"207P00000X"</f>
        <v>207P00000X</v>
      </c>
      <c r="D13447" t="str">
        <f>"EVANS                    JAMES                    "</f>
        <v xml:space="preserve">EVANS                    JAMES                    </v>
      </c>
      <c r="E13447" t="str">
        <f>"JACKSON                   "</f>
        <v xml:space="preserve">JACKSON                   </v>
      </c>
      <c r="F13447" t="str">
        <f t="shared" si="343"/>
        <v>MS</v>
      </c>
    </row>
    <row r="13448" spans="1:6" x14ac:dyDescent="0.25">
      <c r="A13448" t="str">
        <f>"008527764"</f>
        <v>008527764</v>
      </c>
      <c r="B13448" t="str">
        <f>"1134612971"</f>
        <v>1134612971</v>
      </c>
      <c r="C13448" t="str">
        <f>"122300000X"</f>
        <v>122300000X</v>
      </c>
      <c r="D13448" t="str">
        <f>"HAWKINS                  CHANDLER     M           "</f>
        <v xml:space="preserve">HAWKINS                  CHANDLER     M           </v>
      </c>
      <c r="E13448" t="str">
        <f>"PETAL                     "</f>
        <v xml:space="preserve">PETAL                     </v>
      </c>
      <c r="F13448" t="str">
        <f t="shared" si="343"/>
        <v>MS</v>
      </c>
    </row>
    <row r="13449" spans="1:6" x14ac:dyDescent="0.25">
      <c r="A13449" t="str">
        <f>"008527858"</f>
        <v>008527858</v>
      </c>
      <c r="B13449" t="str">
        <f>"1114933116"</f>
        <v>1114933116</v>
      </c>
      <c r="C13449" t="str">
        <f>"207R00000X"</f>
        <v>207R00000X</v>
      </c>
      <c r="D13449" t="str">
        <f>"HUGHLEY                  ANN          D           "</f>
        <v xml:space="preserve">HUGHLEY                  ANN          D           </v>
      </c>
      <c r="E13449" t="str">
        <f>"GULFPORT                  "</f>
        <v xml:space="preserve">GULFPORT                  </v>
      </c>
      <c r="F13449" t="str">
        <f t="shared" si="343"/>
        <v>MS</v>
      </c>
    </row>
    <row r="13450" spans="1:6" x14ac:dyDescent="0.25">
      <c r="A13450" t="str">
        <f>"008527898"</f>
        <v>008527898</v>
      </c>
      <c r="B13450" t="str">
        <f>"1871875831"</f>
        <v>1871875831</v>
      </c>
      <c r="C13450" t="str">
        <f>"363L00000X"</f>
        <v>363L00000X</v>
      </c>
      <c r="D13450" t="str">
        <f>"RODGERS                  RODNEY                   "</f>
        <v xml:space="preserve">RODGERS                  RODNEY                   </v>
      </c>
      <c r="E13450" t="str">
        <f>"TUPELO                    "</f>
        <v xml:space="preserve">TUPELO                    </v>
      </c>
      <c r="F13450" t="str">
        <f t="shared" si="343"/>
        <v>MS</v>
      </c>
    </row>
    <row r="13451" spans="1:6" x14ac:dyDescent="0.25">
      <c r="A13451" t="str">
        <f>"008528727"</f>
        <v>008528727</v>
      </c>
      <c r="B13451" t="str">
        <f>"1508177387"</f>
        <v>1508177387</v>
      </c>
      <c r="C13451" t="str">
        <f>"207RG0100X"</f>
        <v>207RG0100X</v>
      </c>
      <c r="D13451" t="str">
        <f>"JUAKIEM                  WASSEM       Y           "</f>
        <v xml:space="preserve">JUAKIEM                  WASSEM       Y           </v>
      </c>
      <c r="E13451" t="str">
        <f>"OCEAN SPRINGS             "</f>
        <v xml:space="preserve">OCEAN SPRINGS             </v>
      </c>
      <c r="F13451" t="str">
        <f t="shared" si="343"/>
        <v>MS</v>
      </c>
    </row>
    <row r="13452" spans="1:6" x14ac:dyDescent="0.25">
      <c r="A13452" t="str">
        <f>"008529506"</f>
        <v>008529506</v>
      </c>
      <c r="B13452" t="str">
        <f>"1821622218"</f>
        <v>1821622218</v>
      </c>
      <c r="C13452" t="str">
        <f>"363L00000X"</f>
        <v>363L00000X</v>
      </c>
      <c r="D13452" t="str">
        <f>"HUTCHINS-CLEMONS         VERONICA                 "</f>
        <v xml:space="preserve">HUTCHINS-CLEMONS         VERONICA                 </v>
      </c>
      <c r="E13452" t="str">
        <f>"NATCHEZ                   "</f>
        <v xml:space="preserve">NATCHEZ                   </v>
      </c>
      <c r="F13452" t="str">
        <f t="shared" si="343"/>
        <v>MS</v>
      </c>
    </row>
    <row r="13453" spans="1:6" x14ac:dyDescent="0.25">
      <c r="A13453" t="str">
        <f>"008529565"</f>
        <v>008529565</v>
      </c>
      <c r="B13453" t="str">
        <f>"1770974446"</f>
        <v>1770974446</v>
      </c>
      <c r="C13453" t="str">
        <f>"363L00000X"</f>
        <v>363L00000X</v>
      </c>
      <c r="D13453" t="str">
        <f>"HENDERSON                DENISE       L           "</f>
        <v xml:space="preserve">HENDERSON                DENISE       L           </v>
      </c>
      <c r="E13453" t="str">
        <f>"JACKSON                   "</f>
        <v xml:space="preserve">JACKSON                   </v>
      </c>
      <c r="F13453" t="str">
        <f t="shared" si="343"/>
        <v>MS</v>
      </c>
    </row>
    <row r="13454" spans="1:6" x14ac:dyDescent="0.25">
      <c r="A13454" t="str">
        <f>"008531807"</f>
        <v>008531807</v>
      </c>
      <c r="B13454" t="str">
        <f>"1255955340"</f>
        <v>1255955340</v>
      </c>
      <c r="C13454" t="str">
        <f>"122300000X"</f>
        <v>122300000X</v>
      </c>
      <c r="D13454" t="str">
        <f>"SHELBY                   TERAH        W           "</f>
        <v xml:space="preserve">SHELBY                   TERAH        W           </v>
      </c>
      <c r="E13454" t="str">
        <f>"MAGEE                     "</f>
        <v xml:space="preserve">MAGEE                     </v>
      </c>
      <c r="F13454" t="str">
        <f t="shared" si="343"/>
        <v>MS</v>
      </c>
    </row>
    <row r="13455" spans="1:6" x14ac:dyDescent="0.25">
      <c r="A13455" t="str">
        <f>"008532392"</f>
        <v>008532392</v>
      </c>
      <c r="B13455" t="str">
        <f>"1073049474"</f>
        <v>1073049474</v>
      </c>
      <c r="C13455" t="str">
        <f>"207V00000X"</f>
        <v>207V00000X</v>
      </c>
      <c r="D13455" t="str">
        <f>"STOKES                   LEA          E           "</f>
        <v xml:space="preserve">STOKES                   LEA          E           </v>
      </c>
      <c r="E13455" t="str">
        <f>"TUPELO                    "</f>
        <v xml:space="preserve">TUPELO                    </v>
      </c>
      <c r="F13455" t="str">
        <f t="shared" si="343"/>
        <v>MS</v>
      </c>
    </row>
    <row r="13456" spans="1:6" x14ac:dyDescent="0.25">
      <c r="A13456" t="str">
        <f>"008533712"</f>
        <v>008533712</v>
      </c>
      <c r="B13456" t="str">
        <f>"1548430697"</f>
        <v>1548430697</v>
      </c>
      <c r="C13456" t="str">
        <f>"122300000X"</f>
        <v>122300000X</v>
      </c>
      <c r="D13456" t="str">
        <f>"O BRYAN                  TANYA        M           "</f>
        <v xml:space="preserve">O BRYAN                  TANYA        M           </v>
      </c>
      <c r="E13456" t="str">
        <f>"BRANDON                   "</f>
        <v xml:space="preserve">BRANDON                   </v>
      </c>
      <c r="F13456" t="str">
        <f t="shared" si="343"/>
        <v>MS</v>
      </c>
    </row>
    <row r="13457" spans="1:6" x14ac:dyDescent="0.25">
      <c r="A13457" t="str">
        <f>"008533791"</f>
        <v>008533791</v>
      </c>
      <c r="B13457" t="str">
        <f>"1831689850"</f>
        <v>1831689850</v>
      </c>
      <c r="C13457" t="str">
        <f>"122300000X"</f>
        <v>122300000X</v>
      </c>
      <c r="D13457" t="str">
        <f>"MCCARTY                  JOHN         R           "</f>
        <v xml:space="preserve">MCCARTY                  JOHN         R           </v>
      </c>
      <c r="E13457" t="str">
        <f>"MERIDIAN                  "</f>
        <v xml:space="preserve">MERIDIAN                  </v>
      </c>
      <c r="F13457" t="str">
        <f t="shared" si="343"/>
        <v>MS</v>
      </c>
    </row>
    <row r="13458" spans="1:6" x14ac:dyDescent="0.25">
      <c r="A13458" t="str">
        <f>"008534301"</f>
        <v>008534301</v>
      </c>
      <c r="B13458" t="str">
        <f>"1831679869"</f>
        <v>1831679869</v>
      </c>
      <c r="C13458" t="str">
        <f>"363L00000X"</f>
        <v>363L00000X</v>
      </c>
      <c r="D13458" t="str">
        <f>"POLLAN                   JARETT       L           "</f>
        <v xml:space="preserve">POLLAN                   JARETT       L           </v>
      </c>
      <c r="E13458" t="str">
        <f>"MCCOMB                    "</f>
        <v xml:space="preserve">MCCOMB                    </v>
      </c>
      <c r="F13458" t="str">
        <f t="shared" si="343"/>
        <v>MS</v>
      </c>
    </row>
    <row r="13459" spans="1:6" x14ac:dyDescent="0.25">
      <c r="A13459" t="str">
        <f>"008534551"</f>
        <v>008534551</v>
      </c>
      <c r="B13459" t="str">
        <f>"1154959526"</f>
        <v>1154959526</v>
      </c>
      <c r="C13459" t="str">
        <f>"363A00000X"</f>
        <v>363A00000X</v>
      </c>
      <c r="D13459" t="str">
        <f>"SIMMONS                  MARIKA       Z           "</f>
        <v xml:space="preserve">SIMMONS                  MARIKA       Z           </v>
      </c>
      <c r="E13459" t="str">
        <f>"VICKSBURG                 "</f>
        <v xml:space="preserve">VICKSBURG                 </v>
      </c>
      <c r="F13459" t="str">
        <f t="shared" si="343"/>
        <v>MS</v>
      </c>
    </row>
    <row r="13460" spans="1:6" x14ac:dyDescent="0.25">
      <c r="A13460" t="str">
        <f>"008535312"</f>
        <v>008535312</v>
      </c>
      <c r="B13460" t="str">
        <f>"1922615616"</f>
        <v>1922615616</v>
      </c>
      <c r="C13460" t="str">
        <f>"363L00000X"</f>
        <v>363L00000X</v>
      </c>
      <c r="D13460" t="str">
        <f>"PAPA                     JACK                     "</f>
        <v xml:space="preserve">PAPA                     JACK                     </v>
      </c>
      <c r="E13460" t="str">
        <f>"HOLLY SPRINGS             "</f>
        <v xml:space="preserve">HOLLY SPRINGS             </v>
      </c>
      <c r="F13460" t="str">
        <f t="shared" si="343"/>
        <v>MS</v>
      </c>
    </row>
    <row r="13461" spans="1:6" x14ac:dyDescent="0.25">
      <c r="A13461" t="str">
        <f>"008535509"</f>
        <v>008535509</v>
      </c>
      <c r="B13461" t="str">
        <f>"1639309925"</f>
        <v>1639309925</v>
      </c>
      <c r="C13461" t="str">
        <f>"208600000X"</f>
        <v>208600000X</v>
      </c>
      <c r="D13461" t="str">
        <f>"TULIP                    HANS         H           "</f>
        <v xml:space="preserve">TULIP                    HANS         H           </v>
      </c>
      <c r="E13461" t="str">
        <f>"MERIDIAN                  "</f>
        <v xml:space="preserve">MERIDIAN                  </v>
      </c>
      <c r="F13461" t="str">
        <f t="shared" si="343"/>
        <v>MS</v>
      </c>
    </row>
    <row r="13462" spans="1:6" x14ac:dyDescent="0.25">
      <c r="A13462" t="str">
        <f>"008536068"</f>
        <v>008536068</v>
      </c>
      <c r="B13462" t="str">
        <f>"1619630001"</f>
        <v>1619630001</v>
      </c>
      <c r="C13462" t="str">
        <f>"261QR1300X"</f>
        <v>261QR1300X</v>
      </c>
      <c r="D13462" t="str">
        <f>"SGH DRIVE THRU CLINIC                             "</f>
        <v xml:space="preserve">SGH DRIVE THRU CLINIC                             </v>
      </c>
      <c r="E13462" t="str">
        <f>"MENDENHALL                "</f>
        <v xml:space="preserve">MENDENHALL                </v>
      </c>
      <c r="F13462" t="str">
        <f t="shared" si="343"/>
        <v>MS</v>
      </c>
    </row>
    <row r="13463" spans="1:6" x14ac:dyDescent="0.25">
      <c r="A13463" t="str">
        <f>"008536792"</f>
        <v>008536792</v>
      </c>
      <c r="B13463" t="str">
        <f>"1366024713"</f>
        <v>1366024713</v>
      </c>
      <c r="C13463" t="str">
        <f>"363L00000X"</f>
        <v>363L00000X</v>
      </c>
      <c r="D13463" t="str">
        <f>"WISSING                  MEGAN                    "</f>
        <v xml:space="preserve">WISSING                  MEGAN                    </v>
      </c>
      <c r="E13463" t="str">
        <f>"BAY SAINT LOUIS           "</f>
        <v xml:space="preserve">BAY SAINT LOUIS           </v>
      </c>
      <c r="F13463" t="str">
        <f t="shared" si="343"/>
        <v>MS</v>
      </c>
    </row>
    <row r="13464" spans="1:6" x14ac:dyDescent="0.25">
      <c r="A13464" t="str">
        <f>"008539218"</f>
        <v>008539218</v>
      </c>
      <c r="B13464" t="str">
        <f>"1013972306"</f>
        <v>1013972306</v>
      </c>
      <c r="C13464" t="str">
        <f>"208000000X"</f>
        <v>208000000X</v>
      </c>
      <c r="D13464" t="str">
        <f>"STANFORD                 LOWRY        C           "</f>
        <v xml:space="preserve">STANFORD                 LOWRY        C           </v>
      </c>
      <c r="E13464" t="str">
        <f>"HATTIESBURG               "</f>
        <v xml:space="preserve">HATTIESBURG               </v>
      </c>
      <c r="F13464" t="str">
        <f t="shared" si="343"/>
        <v>MS</v>
      </c>
    </row>
    <row r="13465" spans="1:6" x14ac:dyDescent="0.25">
      <c r="A13465" t="str">
        <f>"008539354"</f>
        <v>008539354</v>
      </c>
      <c r="B13465" t="str">
        <f>"1568807196"</f>
        <v>1568807196</v>
      </c>
      <c r="C13465" t="str">
        <f>"207R00000X"</f>
        <v>207R00000X</v>
      </c>
      <c r="D13465" t="str">
        <f>"LOONEY                   ROBERT       R           "</f>
        <v xml:space="preserve">LOONEY                   ROBERT       R           </v>
      </c>
      <c r="E13465" t="str">
        <f>"STARKVILLE                "</f>
        <v xml:space="preserve">STARKVILLE                </v>
      </c>
      <c r="F13465" t="str">
        <f t="shared" si="343"/>
        <v>MS</v>
      </c>
    </row>
    <row r="13466" spans="1:6" x14ac:dyDescent="0.25">
      <c r="A13466" t="str">
        <f>"008550226"</f>
        <v>008550226</v>
      </c>
      <c r="B13466" t="str">
        <f>"1659925816"</f>
        <v>1659925816</v>
      </c>
      <c r="C13466" t="str">
        <f>"152W00000X"</f>
        <v>152W00000X</v>
      </c>
      <c r="D13466" t="str">
        <f>"SCOTT                    SAMUEL       S           "</f>
        <v xml:space="preserve">SCOTT                    SAMUEL       S           </v>
      </c>
      <c r="E13466" t="str">
        <f>"SENATOBIA                 "</f>
        <v xml:space="preserve">SENATOBIA                 </v>
      </c>
      <c r="F13466" t="str">
        <f t="shared" si="343"/>
        <v>MS</v>
      </c>
    </row>
    <row r="13467" spans="1:6" x14ac:dyDescent="0.25">
      <c r="A13467" t="str">
        <f>"008551324"</f>
        <v>008551324</v>
      </c>
      <c r="B13467" t="str">
        <f>"1851585004"</f>
        <v>1851585004</v>
      </c>
      <c r="C13467" t="str">
        <f>"207RR0500X"</f>
        <v>207RR0500X</v>
      </c>
      <c r="D13467" t="str">
        <f>"IVORY                    DEDRI        M           "</f>
        <v xml:space="preserve">IVORY                    DEDRI        M           </v>
      </c>
      <c r="E13467" t="str">
        <f>"VICKSBURG                 "</f>
        <v xml:space="preserve">VICKSBURG                 </v>
      </c>
      <c r="F13467" t="str">
        <f t="shared" si="343"/>
        <v>MS</v>
      </c>
    </row>
    <row r="13468" spans="1:6" x14ac:dyDescent="0.25">
      <c r="A13468" t="str">
        <f>"008551340"</f>
        <v>008551340</v>
      </c>
      <c r="B13468" t="str">
        <f>"1477783850"</f>
        <v>1477783850</v>
      </c>
      <c r="C13468" t="str">
        <f>"207RG0300X"</f>
        <v>207RG0300X</v>
      </c>
      <c r="D13468" t="str">
        <f>"SANDERS                  SARA                     "</f>
        <v xml:space="preserve">SANDERS                  SARA                     </v>
      </c>
      <c r="E13468" t="str">
        <f>"JACKSON                   "</f>
        <v xml:space="preserve">JACKSON                   </v>
      </c>
      <c r="F13468" t="str">
        <f t="shared" si="343"/>
        <v>MS</v>
      </c>
    </row>
    <row r="13469" spans="1:6" x14ac:dyDescent="0.25">
      <c r="A13469" t="str">
        <f>"008551791"</f>
        <v>008551791</v>
      </c>
      <c r="B13469" t="str">
        <f>"1164584223"</f>
        <v>1164584223</v>
      </c>
      <c r="C13469" t="str">
        <f>"363L00000X"</f>
        <v>363L00000X</v>
      </c>
      <c r="D13469" t="str">
        <f>"RISH                     RACHEL       W           "</f>
        <v xml:space="preserve">RISH                     RACHEL       W           </v>
      </c>
      <c r="E13469" t="str">
        <f>"HOUSTON                   "</f>
        <v xml:space="preserve">HOUSTON                   </v>
      </c>
      <c r="F13469" t="str">
        <f t="shared" si="343"/>
        <v>MS</v>
      </c>
    </row>
    <row r="13470" spans="1:6" x14ac:dyDescent="0.25">
      <c r="A13470" t="str">
        <f>"008552207"</f>
        <v>008552207</v>
      </c>
      <c r="B13470" t="str">
        <f>"1073625273"</f>
        <v>1073625273</v>
      </c>
      <c r="C13470" t="str">
        <f>"367500000X"</f>
        <v>367500000X</v>
      </c>
      <c r="D13470" t="str">
        <f>"RENFROW                  WILLIAM      C           "</f>
        <v xml:space="preserve">RENFROW                  WILLIAM      C           </v>
      </c>
      <c r="E13470" t="str">
        <f>"BROOKHAVEN                "</f>
        <v xml:space="preserve">BROOKHAVEN                </v>
      </c>
      <c r="F13470" t="str">
        <f t="shared" si="343"/>
        <v>MS</v>
      </c>
    </row>
    <row r="13471" spans="1:6" x14ac:dyDescent="0.25">
      <c r="A13471" t="str">
        <f>"008552261"</f>
        <v>008552261</v>
      </c>
      <c r="B13471" t="str">
        <f>"1548803919"</f>
        <v>1548803919</v>
      </c>
      <c r="C13471" t="str">
        <f>"363L00000X"</f>
        <v>363L00000X</v>
      </c>
      <c r="D13471" t="str">
        <f>"NOEL                     ANNA         K           "</f>
        <v xml:space="preserve">NOEL                     ANNA         K           </v>
      </c>
      <c r="E13471" t="str">
        <f>"JACKSON                   "</f>
        <v xml:space="preserve">JACKSON                   </v>
      </c>
      <c r="F13471" t="str">
        <f t="shared" si="343"/>
        <v>MS</v>
      </c>
    </row>
    <row r="13472" spans="1:6" x14ac:dyDescent="0.25">
      <c r="A13472" t="str">
        <f>"008553384"</f>
        <v>008553384</v>
      </c>
      <c r="B13472" t="str">
        <f>"1437269479"</f>
        <v>1437269479</v>
      </c>
      <c r="C13472" t="str">
        <f>"207Y00000X"</f>
        <v>207Y00000X</v>
      </c>
      <c r="D13472" t="str">
        <f>"CANNON                   CHARLES      R           "</f>
        <v xml:space="preserve">CANNON                   CHARLES      R           </v>
      </c>
      <c r="E13472" t="str">
        <f>"FOREST                    "</f>
        <v xml:space="preserve">FOREST                    </v>
      </c>
      <c r="F13472" t="str">
        <f t="shared" si="343"/>
        <v>MS</v>
      </c>
    </row>
    <row r="13473" spans="1:6" x14ac:dyDescent="0.25">
      <c r="A13473" t="str">
        <f>"008554859"</f>
        <v>008554859</v>
      </c>
      <c r="B13473" t="str">
        <f>"1548701881"</f>
        <v>1548701881</v>
      </c>
      <c r="C13473" t="str">
        <f>"363L00000X"</f>
        <v>363L00000X</v>
      </c>
      <c r="D13473" t="str">
        <f>"GRAYSON                  EDDIE        D           "</f>
        <v xml:space="preserve">GRAYSON                  EDDIE        D           </v>
      </c>
      <c r="E13473" t="str">
        <f>"SOUTHAVEN                 "</f>
        <v xml:space="preserve">SOUTHAVEN                 </v>
      </c>
      <c r="F13473" t="str">
        <f t="shared" si="343"/>
        <v>MS</v>
      </c>
    </row>
    <row r="13474" spans="1:6" x14ac:dyDescent="0.25">
      <c r="A13474" t="str">
        <f>"008554897"</f>
        <v>008554897</v>
      </c>
      <c r="B13474" t="str">
        <f>"1205440898"</f>
        <v>1205440898</v>
      </c>
      <c r="C13474" t="str">
        <f>"363L00000X"</f>
        <v>363L00000X</v>
      </c>
      <c r="D13474" t="str">
        <f>"SITTHIVONG               KRYSTAL      L           "</f>
        <v xml:space="preserve">SITTHIVONG               KRYSTAL      L           </v>
      </c>
      <c r="E13474" t="str">
        <f>"GULFPORT                  "</f>
        <v xml:space="preserve">GULFPORT                  </v>
      </c>
      <c r="F13474" t="str">
        <f t="shared" si="343"/>
        <v>MS</v>
      </c>
    </row>
    <row r="13475" spans="1:6" x14ac:dyDescent="0.25">
      <c r="A13475" t="str">
        <f>"008555218"</f>
        <v>008555218</v>
      </c>
      <c r="B13475" t="str">
        <f>"1629272596"</f>
        <v>1629272596</v>
      </c>
      <c r="C13475" t="str">
        <f>"363L00000X"</f>
        <v>363L00000X</v>
      </c>
      <c r="D13475" t="str">
        <f>"FLOWERS                  STACY                    "</f>
        <v xml:space="preserve">FLOWERS                  STACY                    </v>
      </c>
      <c r="E13475" t="str">
        <f>"VICKSBURG                 "</f>
        <v xml:space="preserve">VICKSBURG                 </v>
      </c>
      <c r="F13475" t="str">
        <f t="shared" si="343"/>
        <v>MS</v>
      </c>
    </row>
    <row r="13476" spans="1:6" x14ac:dyDescent="0.25">
      <c r="A13476" t="str">
        <f>"008555560"</f>
        <v>008555560</v>
      </c>
      <c r="B13476" t="str">
        <f>"1053703132"</f>
        <v>1053703132</v>
      </c>
      <c r="C13476" t="str">
        <f>"363L00000X"</f>
        <v>363L00000X</v>
      </c>
      <c r="D13476" t="str">
        <f>"DAVIS                    AMMY         H           "</f>
        <v xml:space="preserve">DAVIS                    AMMY         H           </v>
      </c>
      <c r="E13476" t="str">
        <f>"JACKSON                   "</f>
        <v xml:space="preserve">JACKSON                   </v>
      </c>
      <c r="F13476" t="str">
        <f t="shared" si="343"/>
        <v>MS</v>
      </c>
    </row>
    <row r="13477" spans="1:6" x14ac:dyDescent="0.25">
      <c r="A13477" t="str">
        <f>"008557260"</f>
        <v>008557260</v>
      </c>
      <c r="B13477" t="str">
        <f>"1568626489"</f>
        <v>1568626489</v>
      </c>
      <c r="C13477" t="str">
        <f>"122300000X"</f>
        <v>122300000X</v>
      </c>
      <c r="D13477" t="str">
        <f>"WARE FAMILY DENTAL &amp; THE SMILE CENT               "</f>
        <v xml:space="preserve">WARE FAMILY DENTAL &amp; THE SMILE CENT               </v>
      </c>
      <c r="E13477" t="str">
        <f>"GRENADA                   "</f>
        <v xml:space="preserve">GRENADA                   </v>
      </c>
      <c r="F13477" t="str">
        <f t="shared" si="343"/>
        <v>MS</v>
      </c>
    </row>
    <row r="13478" spans="1:6" x14ac:dyDescent="0.25">
      <c r="A13478" t="str">
        <f>"008557752"</f>
        <v>008557752</v>
      </c>
      <c r="B13478" t="str">
        <f>"1881271401"</f>
        <v>1881271401</v>
      </c>
      <c r="C13478" t="str">
        <f>"207L00000X"</f>
        <v>207L00000X</v>
      </c>
      <c r="D13478" t="str">
        <f>"HUFFMAN                  KELSIE                   "</f>
        <v xml:space="preserve">HUFFMAN                  KELSIE                   </v>
      </c>
      <c r="E13478" t="str">
        <f>"JACKSON                   "</f>
        <v xml:space="preserve">JACKSON                   </v>
      </c>
      <c r="F13478" t="str">
        <f t="shared" si="343"/>
        <v>MS</v>
      </c>
    </row>
    <row r="13479" spans="1:6" x14ac:dyDescent="0.25">
      <c r="A13479" t="str">
        <f>"008558011"</f>
        <v>008558011</v>
      </c>
      <c r="B13479" t="str">
        <f>"1679078703"</f>
        <v>1679078703</v>
      </c>
      <c r="C13479" t="str">
        <f>"208000000X"</f>
        <v>208000000X</v>
      </c>
      <c r="D13479" t="str">
        <f>"PATTERSON SANDERS        GAYLEN       D           "</f>
        <v xml:space="preserve">PATTERSON SANDERS        GAYLEN       D           </v>
      </c>
      <c r="E13479" t="str">
        <f>"HATTIESBURG               "</f>
        <v xml:space="preserve">HATTIESBURG               </v>
      </c>
      <c r="F13479" t="str">
        <f t="shared" si="343"/>
        <v>MS</v>
      </c>
    </row>
    <row r="13480" spans="1:6" x14ac:dyDescent="0.25">
      <c r="A13480" t="str">
        <f>"008558036"</f>
        <v>008558036</v>
      </c>
      <c r="B13480" t="str">
        <f>"1245757301"</f>
        <v>1245757301</v>
      </c>
      <c r="C13480" t="str">
        <f>"261QR1300X"</f>
        <v>261QR1300X</v>
      </c>
      <c r="D13480" t="str">
        <f>"MONROE REGIONAL HOSPITAL                          "</f>
        <v xml:space="preserve">MONROE REGIONAL HOSPITAL                          </v>
      </c>
      <c r="E13480" t="str">
        <f>"ABERDEEN                  "</f>
        <v xml:space="preserve">ABERDEEN                  </v>
      </c>
      <c r="F13480" t="str">
        <f t="shared" si="343"/>
        <v>MS</v>
      </c>
    </row>
    <row r="13481" spans="1:6" x14ac:dyDescent="0.25">
      <c r="A13481" t="str">
        <f>"008558356"</f>
        <v>008558356</v>
      </c>
      <c r="B13481" t="str">
        <f>"1962094680"</f>
        <v>1962094680</v>
      </c>
      <c r="C13481" t="str">
        <f>"363L00000X"</f>
        <v>363L00000X</v>
      </c>
      <c r="D13481" t="str">
        <f>"WHITEHEAD                KRISTIE                  "</f>
        <v xml:space="preserve">WHITEHEAD                KRISTIE                  </v>
      </c>
      <c r="E13481" t="str">
        <f>"BELMONT                   "</f>
        <v xml:space="preserve">BELMONT                   </v>
      </c>
      <c r="F13481" t="str">
        <f t="shared" si="343"/>
        <v>MS</v>
      </c>
    </row>
    <row r="13482" spans="1:6" x14ac:dyDescent="0.25">
      <c r="A13482" t="str">
        <f>"008559796"</f>
        <v>008559796</v>
      </c>
      <c r="B13482" t="str">
        <f>"1033125471"</f>
        <v>1033125471</v>
      </c>
      <c r="C13482" t="str">
        <f>"367500000X"</f>
        <v>367500000X</v>
      </c>
      <c r="D13482" t="str">
        <f>"NOBLES                   MICHAEL      B           "</f>
        <v xml:space="preserve">NOBLES                   MICHAEL      B           </v>
      </c>
      <c r="E13482" t="str">
        <f>"FLOWOOD                   "</f>
        <v xml:space="preserve">FLOWOOD                   </v>
      </c>
      <c r="F13482" t="str">
        <f t="shared" si="343"/>
        <v>MS</v>
      </c>
    </row>
    <row r="13483" spans="1:6" x14ac:dyDescent="0.25">
      <c r="A13483" t="str">
        <f>"008571505"</f>
        <v>008571505</v>
      </c>
      <c r="B13483" t="str">
        <f>"1437388055"</f>
        <v>1437388055</v>
      </c>
      <c r="C13483" t="str">
        <f>"207Q00000X"</f>
        <v>207Q00000X</v>
      </c>
      <c r="D13483" t="str">
        <f>"MARTIN                   SCOTT                    "</f>
        <v xml:space="preserve">MARTIN                   SCOTT                    </v>
      </c>
      <c r="E13483" t="str">
        <f>"JACKSON                   "</f>
        <v xml:space="preserve">JACKSON                   </v>
      </c>
      <c r="F13483" t="str">
        <f t="shared" si="343"/>
        <v>MS</v>
      </c>
    </row>
    <row r="13484" spans="1:6" x14ac:dyDescent="0.25">
      <c r="A13484" t="str">
        <f>"008572761"</f>
        <v>008572761</v>
      </c>
      <c r="B13484" t="str">
        <f>"1760731517"</f>
        <v>1760731517</v>
      </c>
      <c r="C13484" t="str">
        <f>"152W00000X"</f>
        <v>152W00000X</v>
      </c>
      <c r="D13484" t="str">
        <f>"STOUT                    EVAN         J           "</f>
        <v xml:space="preserve">STOUT                    EVAN         J           </v>
      </c>
      <c r="E13484" t="str">
        <f>"MAGEE                     "</f>
        <v xml:space="preserve">MAGEE                     </v>
      </c>
      <c r="F13484" t="str">
        <f t="shared" si="343"/>
        <v>MS</v>
      </c>
    </row>
    <row r="13485" spans="1:6" x14ac:dyDescent="0.25">
      <c r="A13485" t="str">
        <f>"008572820"</f>
        <v>008572820</v>
      </c>
      <c r="B13485" t="str">
        <f>"1518348978"</f>
        <v>1518348978</v>
      </c>
      <c r="C13485" t="str">
        <f>"207R00000X"</f>
        <v>207R00000X</v>
      </c>
      <c r="D13485" t="str">
        <f>"KHALID                   SIDRA                    "</f>
        <v xml:space="preserve">KHALID                   SIDRA                    </v>
      </c>
      <c r="E13485" t="str">
        <f>"GULFPORT                  "</f>
        <v xml:space="preserve">GULFPORT                  </v>
      </c>
      <c r="F13485" t="str">
        <f t="shared" si="343"/>
        <v>MS</v>
      </c>
    </row>
    <row r="13486" spans="1:6" x14ac:dyDescent="0.25">
      <c r="A13486" t="str">
        <f>"008572866"</f>
        <v>008572866</v>
      </c>
      <c r="B13486" t="str">
        <f>"1396402434"</f>
        <v>1396402434</v>
      </c>
      <c r="C13486" t="str">
        <f>"363L00000X"</f>
        <v>363L00000X</v>
      </c>
      <c r="D13486" t="str">
        <f>"JACKSON                  TIESHA       W           "</f>
        <v xml:space="preserve">JACKSON                  TIESHA       W           </v>
      </c>
      <c r="E13486" t="str">
        <f>"NATCHEZ                   "</f>
        <v xml:space="preserve">NATCHEZ                   </v>
      </c>
      <c r="F13486" t="str">
        <f t="shared" si="343"/>
        <v>MS</v>
      </c>
    </row>
    <row r="13487" spans="1:6" x14ac:dyDescent="0.25">
      <c r="A13487" t="str">
        <f>"008573386"</f>
        <v>008573386</v>
      </c>
      <c r="B13487" t="str">
        <f>"1932115094"</f>
        <v>1932115094</v>
      </c>
      <c r="C13487" t="str">
        <f>"363L00000X"</f>
        <v>363L00000X</v>
      </c>
      <c r="D13487" t="str">
        <f>"MEYERS                   ANNA         M           "</f>
        <v xml:space="preserve">MEYERS                   ANNA         M           </v>
      </c>
      <c r="E13487" t="str">
        <f>"SENATOBIA                 "</f>
        <v xml:space="preserve">SENATOBIA                 </v>
      </c>
      <c r="F13487" t="str">
        <f t="shared" si="343"/>
        <v>MS</v>
      </c>
    </row>
    <row r="13488" spans="1:6" x14ac:dyDescent="0.25">
      <c r="A13488" t="str">
        <f>"008574004"</f>
        <v>008574004</v>
      </c>
      <c r="B13488" t="str">
        <f>"1265880108"</f>
        <v>1265880108</v>
      </c>
      <c r="C13488" t="str">
        <f>"207R00000X"</f>
        <v>207R00000X</v>
      </c>
      <c r="D13488" t="str">
        <f>"MOFFITT                  KATHLEEN                 "</f>
        <v xml:space="preserve">MOFFITT                  KATHLEEN                 </v>
      </c>
      <c r="E13488" t="str">
        <f>"JACKSON                   "</f>
        <v xml:space="preserve">JACKSON                   </v>
      </c>
      <c r="F13488" t="str">
        <f t="shared" si="343"/>
        <v>MS</v>
      </c>
    </row>
    <row r="13489" spans="1:6" x14ac:dyDescent="0.25">
      <c r="A13489" t="str">
        <f>"008576764"</f>
        <v>008576764</v>
      </c>
      <c r="B13489" t="str">
        <f>"1154511152"</f>
        <v>1154511152</v>
      </c>
      <c r="C13489" t="str">
        <f>"152W00000X"</f>
        <v>152W00000X</v>
      </c>
      <c r="D13489" t="str">
        <f>"CRAWFORD                 ADAM         R           "</f>
        <v xml:space="preserve">CRAWFORD                 ADAM         R           </v>
      </c>
      <c r="E13489" t="str">
        <f>"RIDGELAND                 "</f>
        <v xml:space="preserve">RIDGELAND                 </v>
      </c>
      <c r="F13489" t="str">
        <f t="shared" si="343"/>
        <v>MS</v>
      </c>
    </row>
    <row r="13490" spans="1:6" x14ac:dyDescent="0.25">
      <c r="A13490" t="str">
        <f>"008577001"</f>
        <v>008577001</v>
      </c>
      <c r="B13490" t="str">
        <f>"1174568752"</f>
        <v>1174568752</v>
      </c>
      <c r="C13490" t="str">
        <f>"363L00000X"</f>
        <v>363L00000X</v>
      </c>
      <c r="D13490" t="str">
        <f>"BLETHEN                  WENDY        N           "</f>
        <v xml:space="preserve">BLETHEN                  WENDY        N           </v>
      </c>
      <c r="E13490" t="str">
        <f>"HATTIESBURG               "</f>
        <v xml:space="preserve">HATTIESBURG               </v>
      </c>
      <c r="F13490" t="str">
        <f t="shared" si="343"/>
        <v>MS</v>
      </c>
    </row>
    <row r="13491" spans="1:6" x14ac:dyDescent="0.25">
      <c r="A13491" t="str">
        <f>"008577555"</f>
        <v>008577555</v>
      </c>
      <c r="B13491" t="str">
        <f>"1316319353"</f>
        <v>1316319353</v>
      </c>
      <c r="C13491" t="str">
        <f>"363L00000X"</f>
        <v>363L00000X</v>
      </c>
      <c r="D13491" t="str">
        <f>"ABRAHAM                  WHITNEY      W           "</f>
        <v xml:space="preserve">ABRAHAM                  WHITNEY      W           </v>
      </c>
      <c r="E13491" t="str">
        <f>"COLUMBUS                  "</f>
        <v xml:space="preserve">COLUMBUS                  </v>
      </c>
      <c r="F13491" t="str">
        <f t="shared" si="343"/>
        <v>MS</v>
      </c>
    </row>
    <row r="13492" spans="1:6" x14ac:dyDescent="0.25">
      <c r="A13492" t="str">
        <f>"008577562"</f>
        <v>008577562</v>
      </c>
      <c r="B13492" t="str">
        <f>"1922479658"</f>
        <v>1922479658</v>
      </c>
      <c r="C13492" t="str">
        <f>"363L00000X"</f>
        <v>363L00000X</v>
      </c>
      <c r="D13492" t="str">
        <f>"RHODUS                   HEIDI                    "</f>
        <v xml:space="preserve">RHODUS                   HEIDI                    </v>
      </c>
      <c r="E13492" t="str">
        <f>"BRANDON                   "</f>
        <v xml:space="preserve">BRANDON                   </v>
      </c>
      <c r="F13492" t="str">
        <f t="shared" si="343"/>
        <v>MS</v>
      </c>
    </row>
    <row r="13493" spans="1:6" x14ac:dyDescent="0.25">
      <c r="A13493" t="str">
        <f>"008577897"</f>
        <v>008577897</v>
      </c>
      <c r="B13493" t="str">
        <f>"1871124479"</f>
        <v>1871124479</v>
      </c>
      <c r="C13493" t="str">
        <f>"367500000X"</f>
        <v>367500000X</v>
      </c>
      <c r="D13493" t="str">
        <f>"SNOW                     AMANDA                   "</f>
        <v xml:space="preserve">SNOW                     AMANDA                   </v>
      </c>
      <c r="E13493" t="str">
        <f>"JACKSON                   "</f>
        <v xml:space="preserve">JACKSON                   </v>
      </c>
      <c r="F13493" t="str">
        <f t="shared" si="343"/>
        <v>MS</v>
      </c>
    </row>
    <row r="13494" spans="1:6" x14ac:dyDescent="0.25">
      <c r="A13494" t="str">
        <f>"008580701"</f>
        <v>008580701</v>
      </c>
      <c r="B13494" t="str">
        <f>"1376045443"</f>
        <v>1376045443</v>
      </c>
      <c r="C13494" t="str">
        <f>"363L00000X"</f>
        <v>363L00000X</v>
      </c>
      <c r="D13494" t="str">
        <f>"BLAIN                    LINSEY       R           "</f>
        <v xml:space="preserve">BLAIN                    LINSEY       R           </v>
      </c>
      <c r="E13494" t="str">
        <f>"GULFPORT                  "</f>
        <v xml:space="preserve">GULFPORT                  </v>
      </c>
      <c r="F13494" t="str">
        <f t="shared" si="343"/>
        <v>MS</v>
      </c>
    </row>
    <row r="13495" spans="1:6" x14ac:dyDescent="0.25">
      <c r="A13495" t="str">
        <f>"008581575"</f>
        <v>008581575</v>
      </c>
      <c r="B13495" t="str">
        <f>"1063727535"</f>
        <v>1063727535</v>
      </c>
      <c r="C13495" t="str">
        <f>"152W00000X"</f>
        <v>152W00000X</v>
      </c>
      <c r="D13495" t="str">
        <f>"DODD                     NIXON        D           "</f>
        <v xml:space="preserve">DODD                     NIXON        D           </v>
      </c>
      <c r="E13495" t="str">
        <f>"CORINTH                   "</f>
        <v xml:space="preserve">CORINTH                   </v>
      </c>
      <c r="F13495" t="str">
        <f t="shared" si="343"/>
        <v>MS</v>
      </c>
    </row>
    <row r="13496" spans="1:6" x14ac:dyDescent="0.25">
      <c r="A13496" t="str">
        <f>"008582355"</f>
        <v>008582355</v>
      </c>
      <c r="B13496" t="str">
        <f>"1356483283"</f>
        <v>1356483283</v>
      </c>
      <c r="C13496" t="str">
        <f>"261QF0400X"</f>
        <v>261QF0400X</v>
      </c>
      <c r="D13496" t="str">
        <f>"SOUTHWEST JACKSON ROBINSON ROAD                   "</f>
        <v xml:space="preserve">SOUTHWEST JACKSON ROBINSON ROAD                   </v>
      </c>
      <c r="E13496" t="str">
        <f>"JACKSON                   "</f>
        <v xml:space="preserve">JACKSON                   </v>
      </c>
      <c r="F13496" t="str">
        <f t="shared" si="343"/>
        <v>MS</v>
      </c>
    </row>
    <row r="13497" spans="1:6" x14ac:dyDescent="0.25">
      <c r="A13497" t="str">
        <f>"008582577"</f>
        <v>008582577</v>
      </c>
      <c r="B13497" t="str">
        <f>"1841513280"</f>
        <v>1841513280</v>
      </c>
      <c r="C13497" t="str">
        <f>"261QM0801X"</f>
        <v>261QM0801X</v>
      </c>
      <c r="D13497" t="str">
        <f>"HRC-CM                                            "</f>
        <v xml:space="preserve">HRC-CM                                            </v>
      </c>
      <c r="E13497" t="str">
        <f>"WHITFIELD                 "</f>
        <v xml:space="preserve">WHITFIELD                 </v>
      </c>
      <c r="F13497" t="str">
        <f t="shared" si="343"/>
        <v>MS</v>
      </c>
    </row>
    <row r="13498" spans="1:6" x14ac:dyDescent="0.25">
      <c r="A13498" t="str">
        <f>"008584074"</f>
        <v>008584074</v>
      </c>
      <c r="B13498" t="str">
        <f>"1730587767"</f>
        <v>1730587767</v>
      </c>
      <c r="C13498" t="str">
        <f>"363L00000X"</f>
        <v>363L00000X</v>
      </c>
      <c r="D13498" t="str">
        <f>"ARNOLD                   KATHRYN      A           "</f>
        <v xml:space="preserve">ARNOLD                   KATHRYN      A           </v>
      </c>
      <c r="E13498" t="str">
        <f>"MCCOMB                    "</f>
        <v xml:space="preserve">MCCOMB                    </v>
      </c>
      <c r="F13498" t="str">
        <f t="shared" si="343"/>
        <v>MS</v>
      </c>
    </row>
    <row r="13499" spans="1:6" x14ac:dyDescent="0.25">
      <c r="A13499" t="str">
        <f>"008585290"</f>
        <v>008585290</v>
      </c>
      <c r="B13499" t="str">
        <f>"1194768994"</f>
        <v>1194768994</v>
      </c>
      <c r="C13499" t="str">
        <f>"207X00000X"</f>
        <v>207X00000X</v>
      </c>
      <c r="D13499" t="str">
        <f>"RAFF                     JOHN         B           "</f>
        <v xml:space="preserve">RAFF                     JOHN         B           </v>
      </c>
      <c r="E13499" t="str">
        <f>"GULFPORT                  "</f>
        <v xml:space="preserve">GULFPORT                  </v>
      </c>
      <c r="F13499" t="str">
        <f t="shared" si="343"/>
        <v>MS</v>
      </c>
    </row>
    <row r="13500" spans="1:6" x14ac:dyDescent="0.25">
      <c r="A13500" t="str">
        <f>"008585580"</f>
        <v>008585580</v>
      </c>
      <c r="B13500" t="str">
        <f>"1497374490"</f>
        <v>1497374490</v>
      </c>
      <c r="C13500" t="str">
        <f>"363L00000X"</f>
        <v>363L00000X</v>
      </c>
      <c r="D13500" t="str">
        <f>"ELLSBERRY                ALICIA       L           "</f>
        <v xml:space="preserve">ELLSBERRY                ALICIA       L           </v>
      </c>
      <c r="E13500" t="str">
        <f>"GULFPORT                  "</f>
        <v xml:space="preserve">GULFPORT                  </v>
      </c>
      <c r="F13500" t="str">
        <f t="shared" si="343"/>
        <v>MS</v>
      </c>
    </row>
    <row r="13501" spans="1:6" x14ac:dyDescent="0.25">
      <c r="A13501" t="str">
        <f>"008585701"</f>
        <v>008585701</v>
      </c>
      <c r="B13501" t="str">
        <f>"1548476252"</f>
        <v>1548476252</v>
      </c>
      <c r="C13501" t="str">
        <f>"207Q00000X"</f>
        <v>207Q00000X</v>
      </c>
      <c r="D13501" t="str">
        <f>"CALLAGHAN                TIMOTHY      J           "</f>
        <v xml:space="preserve">CALLAGHAN                TIMOTHY      J           </v>
      </c>
      <c r="E13501" t="str">
        <f>"OLIVE BRANCH              "</f>
        <v xml:space="preserve">OLIVE BRANCH              </v>
      </c>
      <c r="F13501" t="str">
        <f t="shared" si="343"/>
        <v>MS</v>
      </c>
    </row>
    <row r="13502" spans="1:6" x14ac:dyDescent="0.25">
      <c r="A13502" t="str">
        <f>"008586292"</f>
        <v>008586292</v>
      </c>
      <c r="B13502" t="str">
        <f>"1346655792"</f>
        <v>1346655792</v>
      </c>
      <c r="C13502" t="str">
        <f>"207X00000X"</f>
        <v>207X00000X</v>
      </c>
      <c r="D13502" t="str">
        <f>"RADLEY                   JOSEPH       M           "</f>
        <v xml:space="preserve">RADLEY                   JOSEPH       M           </v>
      </c>
      <c r="E13502" t="str">
        <f>"HATTIESBURG               "</f>
        <v xml:space="preserve">HATTIESBURG               </v>
      </c>
      <c r="F13502" t="str">
        <f t="shared" ref="F13502:F13565" si="344">"MS"</f>
        <v>MS</v>
      </c>
    </row>
    <row r="13503" spans="1:6" x14ac:dyDescent="0.25">
      <c r="A13503" t="str">
        <f>"008587003"</f>
        <v>008587003</v>
      </c>
      <c r="B13503" t="str">
        <f>"1336688050"</f>
        <v>1336688050</v>
      </c>
      <c r="C13503" t="str">
        <f>"363L00000X"</f>
        <v>363L00000X</v>
      </c>
      <c r="D13503" t="str">
        <f>"GOLDMAN                  TRACEY                   "</f>
        <v xml:space="preserve">GOLDMAN                  TRACEY                   </v>
      </c>
      <c r="E13503" t="str">
        <f>"JACKSON                   "</f>
        <v xml:space="preserve">JACKSON                   </v>
      </c>
      <c r="F13503" t="str">
        <f t="shared" si="344"/>
        <v>MS</v>
      </c>
    </row>
    <row r="13504" spans="1:6" x14ac:dyDescent="0.25">
      <c r="A13504" t="str">
        <f>"008587072"</f>
        <v>008587072</v>
      </c>
      <c r="B13504" t="str">
        <f>"1578878344"</f>
        <v>1578878344</v>
      </c>
      <c r="C13504" t="str">
        <f>"122300000X"</f>
        <v>122300000X</v>
      </c>
      <c r="D13504" t="str">
        <f>"BAIN                     JENNIFER     L           "</f>
        <v xml:space="preserve">BAIN                     JENNIFER     L           </v>
      </c>
      <c r="E13504" t="str">
        <f>"JACKSON                   "</f>
        <v xml:space="preserve">JACKSON                   </v>
      </c>
      <c r="F13504" t="str">
        <f t="shared" si="344"/>
        <v>MS</v>
      </c>
    </row>
    <row r="13505" spans="1:6" x14ac:dyDescent="0.25">
      <c r="A13505" t="str">
        <f>"008587356"</f>
        <v>008587356</v>
      </c>
      <c r="B13505" t="str">
        <f>"1356538045"</f>
        <v>1356538045</v>
      </c>
      <c r="C13505" t="str">
        <f>"363L00000X"</f>
        <v>363L00000X</v>
      </c>
      <c r="D13505" t="str">
        <f>"MARTIN                   AMANDA       L           "</f>
        <v xml:space="preserve">MARTIN                   AMANDA       L           </v>
      </c>
      <c r="E13505" t="str">
        <f>"TUPELO                    "</f>
        <v xml:space="preserve">TUPELO                    </v>
      </c>
      <c r="F13505" t="str">
        <f t="shared" si="344"/>
        <v>MS</v>
      </c>
    </row>
    <row r="13506" spans="1:6" x14ac:dyDescent="0.25">
      <c r="A13506" t="str">
        <f>"008588312"</f>
        <v>008588312</v>
      </c>
      <c r="B13506" t="str">
        <f>"1649485855"</f>
        <v>1649485855</v>
      </c>
      <c r="C13506" t="str">
        <f>"208600000X"</f>
        <v>208600000X</v>
      </c>
      <c r="D13506" t="str">
        <f>"MURPHY                   JASON        G           "</f>
        <v xml:space="preserve">MURPHY                   JASON        G           </v>
      </c>
      <c r="E13506" t="str">
        <f>"JACKSON                   "</f>
        <v xml:space="preserve">JACKSON                   </v>
      </c>
      <c r="F13506" t="str">
        <f t="shared" si="344"/>
        <v>MS</v>
      </c>
    </row>
    <row r="13507" spans="1:6" x14ac:dyDescent="0.25">
      <c r="A13507" t="str">
        <f>"008600808"</f>
        <v>008600808</v>
      </c>
      <c r="B13507" t="str">
        <f>"1396922977"</f>
        <v>1396922977</v>
      </c>
      <c r="C13507" t="str">
        <f>"2084P0800X"</f>
        <v>2084P0800X</v>
      </c>
      <c r="D13507" t="str">
        <f>"KHEMKA                   DEEPAK                   "</f>
        <v xml:space="preserve">KHEMKA                   DEEPAK                   </v>
      </c>
      <c r="E13507" t="str">
        <f>"HATTIESBURG               "</f>
        <v xml:space="preserve">HATTIESBURG               </v>
      </c>
      <c r="F13507" t="str">
        <f t="shared" si="344"/>
        <v>MS</v>
      </c>
    </row>
    <row r="13508" spans="1:6" x14ac:dyDescent="0.25">
      <c r="A13508" t="str">
        <f>"008602887"</f>
        <v>008602887</v>
      </c>
      <c r="B13508" t="str">
        <f>"1174604318"</f>
        <v>1174604318</v>
      </c>
      <c r="C13508" t="str">
        <f>"207Q00000X"</f>
        <v>207Q00000X</v>
      </c>
      <c r="D13508" t="str">
        <f>"BOWLIN                   BRADLEY                  "</f>
        <v xml:space="preserve">BOWLIN                   BRADLEY                  </v>
      </c>
      <c r="E13508" t="str">
        <f>"PONTOTOC                  "</f>
        <v xml:space="preserve">PONTOTOC                  </v>
      </c>
      <c r="F13508" t="str">
        <f t="shared" si="344"/>
        <v>MS</v>
      </c>
    </row>
    <row r="13509" spans="1:6" x14ac:dyDescent="0.25">
      <c r="A13509" t="str">
        <f>"008603863"</f>
        <v>008603863</v>
      </c>
      <c r="B13509" t="str">
        <f>"1013228329"</f>
        <v>1013228329</v>
      </c>
      <c r="C13509" t="str">
        <f>"207P00000X"</f>
        <v>207P00000X</v>
      </c>
      <c r="D13509" t="str">
        <f>"DANIELS                  JUSTIN       B           "</f>
        <v xml:space="preserve">DANIELS                  JUSTIN       B           </v>
      </c>
      <c r="E13509" t="str">
        <f>"MADISON                   "</f>
        <v xml:space="preserve">MADISON                   </v>
      </c>
      <c r="F13509" t="str">
        <f t="shared" si="344"/>
        <v>MS</v>
      </c>
    </row>
    <row r="13510" spans="1:6" x14ac:dyDescent="0.25">
      <c r="A13510" t="str">
        <f>"008604375"</f>
        <v>008604375</v>
      </c>
      <c r="B13510" t="str">
        <f>"1831829167"</f>
        <v>1831829167</v>
      </c>
      <c r="C13510" t="str">
        <f>"363L00000X"</f>
        <v>363L00000X</v>
      </c>
      <c r="D13510" t="str">
        <f>"MILLER                   SUMMER                   "</f>
        <v xml:space="preserve">MILLER                   SUMMER                   </v>
      </c>
      <c r="E13510" t="str">
        <f>"BRANDON                   "</f>
        <v xml:space="preserve">BRANDON                   </v>
      </c>
      <c r="F13510" t="str">
        <f t="shared" si="344"/>
        <v>MS</v>
      </c>
    </row>
    <row r="13511" spans="1:6" x14ac:dyDescent="0.25">
      <c r="A13511" t="str">
        <f>"008604567"</f>
        <v>008604567</v>
      </c>
      <c r="B13511" t="str">
        <f>"1518246081"</f>
        <v>1518246081</v>
      </c>
      <c r="C13511" t="str">
        <f>"261QA1903X"</f>
        <v>261QA1903X</v>
      </c>
      <c r="D13511" t="str">
        <f>"THE SURGERY CENTER LLC                            "</f>
        <v xml:space="preserve">THE SURGERY CENTER LLC                            </v>
      </c>
      <c r="E13511" t="str">
        <f>"FLOWOOD                   "</f>
        <v xml:space="preserve">FLOWOOD                   </v>
      </c>
      <c r="F13511" t="str">
        <f t="shared" si="344"/>
        <v>MS</v>
      </c>
    </row>
    <row r="13512" spans="1:6" x14ac:dyDescent="0.25">
      <c r="A13512" t="str">
        <f>"008604805"</f>
        <v>008604805</v>
      </c>
      <c r="B13512" t="str">
        <f>"1538651914"</f>
        <v>1538651914</v>
      </c>
      <c r="C13512" t="str">
        <f>"261QF0400X"</f>
        <v>261QF0400X</v>
      </c>
      <c r="D13512" t="str">
        <f>"ACCESS SCHOOL HEALTH - HAMILTON                   "</f>
        <v xml:space="preserve">ACCESS SCHOOL HEALTH - HAMILTON                   </v>
      </c>
      <c r="E13512" t="str">
        <f>"HAMILTON                  "</f>
        <v xml:space="preserve">HAMILTON                  </v>
      </c>
      <c r="F13512" t="str">
        <f t="shared" si="344"/>
        <v>MS</v>
      </c>
    </row>
    <row r="13513" spans="1:6" x14ac:dyDescent="0.25">
      <c r="A13513" t="str">
        <f>"008605769"</f>
        <v>008605769</v>
      </c>
      <c r="B13513" t="str">
        <f>"1922633924"</f>
        <v>1922633924</v>
      </c>
      <c r="C13513" t="str">
        <f>"261QR1300X"</f>
        <v>261QR1300X</v>
      </c>
      <c r="D13513" t="str">
        <f>"ARCOLA HEALTH CENTER                              "</f>
        <v xml:space="preserve">ARCOLA HEALTH CENTER                              </v>
      </c>
      <c r="E13513" t="str">
        <f>"ARCOLA                    "</f>
        <v xml:space="preserve">ARCOLA                    </v>
      </c>
      <c r="F13513" t="str">
        <f t="shared" si="344"/>
        <v>MS</v>
      </c>
    </row>
    <row r="13514" spans="1:6" x14ac:dyDescent="0.25">
      <c r="A13514" t="str">
        <f>"008605892"</f>
        <v>008605892</v>
      </c>
      <c r="B13514" t="str">
        <f>"1952500373"</f>
        <v>1952500373</v>
      </c>
      <c r="C13514" t="str">
        <f>"207W00000X"</f>
        <v>207W00000X</v>
      </c>
      <c r="D13514" t="str">
        <f>"CROTHERS                 ANDREW       W           "</f>
        <v xml:space="preserve">CROTHERS                 ANDREW       W           </v>
      </c>
      <c r="E13514" t="str">
        <f>"SOUTHAVEN                 "</f>
        <v xml:space="preserve">SOUTHAVEN                 </v>
      </c>
      <c r="F13514" t="str">
        <f t="shared" si="344"/>
        <v>MS</v>
      </c>
    </row>
    <row r="13515" spans="1:6" x14ac:dyDescent="0.25">
      <c r="A13515" t="str">
        <f>"008606523"</f>
        <v>008606523</v>
      </c>
      <c r="B13515" t="str">
        <f>"1750971800"</f>
        <v>1750971800</v>
      </c>
      <c r="C13515" t="str">
        <f>"363L00000X"</f>
        <v>363L00000X</v>
      </c>
      <c r="D13515" t="str">
        <f>"BLACK                    HAYLEY       A           "</f>
        <v xml:space="preserve">BLACK                    HAYLEY       A           </v>
      </c>
      <c r="E13515" t="str">
        <f>"CORINTH                   "</f>
        <v xml:space="preserve">CORINTH                   </v>
      </c>
      <c r="F13515" t="str">
        <f t="shared" si="344"/>
        <v>MS</v>
      </c>
    </row>
    <row r="13516" spans="1:6" x14ac:dyDescent="0.25">
      <c r="A13516" t="str">
        <f>"008607835"</f>
        <v>008607835</v>
      </c>
      <c r="B13516" t="str">
        <f>"1407019375"</f>
        <v>1407019375</v>
      </c>
      <c r="C13516" t="str">
        <f>"208000000X"</f>
        <v>208000000X</v>
      </c>
      <c r="D13516" t="str">
        <f>"LOGAN                    ANDREA       F           "</f>
        <v xml:space="preserve">LOGAN                    ANDREA       F           </v>
      </c>
      <c r="E13516" t="str">
        <f>"OCEAN SPRINGS             "</f>
        <v xml:space="preserve">OCEAN SPRINGS             </v>
      </c>
      <c r="F13516" t="str">
        <f t="shared" si="344"/>
        <v>MS</v>
      </c>
    </row>
    <row r="13517" spans="1:6" x14ac:dyDescent="0.25">
      <c r="A13517" t="str">
        <f>"008608247"</f>
        <v>008608247</v>
      </c>
      <c r="B13517" t="str">
        <f>"1578124186"</f>
        <v>1578124186</v>
      </c>
      <c r="C13517" t="str">
        <f>"363L00000X"</f>
        <v>363L00000X</v>
      </c>
      <c r="D13517" t="str">
        <f>"BARNES                   CASIE                    "</f>
        <v xml:space="preserve">BARNES                   CASIE                    </v>
      </c>
      <c r="E13517" t="str">
        <f>"HATTIESBURG               "</f>
        <v xml:space="preserve">HATTIESBURG               </v>
      </c>
      <c r="F13517" t="str">
        <f t="shared" si="344"/>
        <v>MS</v>
      </c>
    </row>
    <row r="13518" spans="1:6" x14ac:dyDescent="0.25">
      <c r="A13518" t="str">
        <f>"008608857"</f>
        <v>008608857</v>
      </c>
      <c r="B13518" t="str">
        <f>"1497836704"</f>
        <v>1497836704</v>
      </c>
      <c r="C13518" t="str">
        <f>"122300000X"</f>
        <v>122300000X</v>
      </c>
      <c r="D13518" t="str">
        <f>"JOHNSON                  KENNETH      W           "</f>
        <v xml:space="preserve">JOHNSON                  KENNETH      W           </v>
      </c>
      <c r="E13518" t="str">
        <f>"TUPELO                    "</f>
        <v xml:space="preserve">TUPELO                    </v>
      </c>
      <c r="F13518" t="str">
        <f t="shared" si="344"/>
        <v>MS</v>
      </c>
    </row>
    <row r="13519" spans="1:6" x14ac:dyDescent="0.25">
      <c r="A13519" t="str">
        <f>"008620253"</f>
        <v>008620253</v>
      </c>
      <c r="B13519" t="str">
        <f>"1841616265"</f>
        <v>1841616265</v>
      </c>
      <c r="C13519" t="str">
        <f>"261QF0400X"</f>
        <v>261QF0400X</v>
      </c>
      <c r="D13519" t="str">
        <f>"MJ EDWARDS CENTER                                 "</f>
        <v xml:space="preserve">MJ EDWARDS CENTER                                 </v>
      </c>
      <c r="E13519" t="str">
        <f>"COLDWATER                 "</f>
        <v xml:space="preserve">COLDWATER                 </v>
      </c>
      <c r="F13519" t="str">
        <f t="shared" si="344"/>
        <v>MS</v>
      </c>
    </row>
    <row r="13520" spans="1:6" x14ac:dyDescent="0.25">
      <c r="A13520" t="str">
        <f>"008620367"</f>
        <v>008620367</v>
      </c>
      <c r="B13520" t="str">
        <f>"1710422860"</f>
        <v>1710422860</v>
      </c>
      <c r="C13520" t="str">
        <f>"363L00000X"</f>
        <v>363L00000X</v>
      </c>
      <c r="D13520" t="str">
        <f>"GLASS                    KELLYE       M           "</f>
        <v xml:space="preserve">GLASS                    KELLYE       M           </v>
      </c>
      <c r="E13520" t="str">
        <f>"HERNANDO                  "</f>
        <v xml:space="preserve">HERNANDO                  </v>
      </c>
      <c r="F13520" t="str">
        <f t="shared" si="344"/>
        <v>MS</v>
      </c>
    </row>
    <row r="13521" spans="1:6" x14ac:dyDescent="0.25">
      <c r="A13521" t="str">
        <f>"008620771"</f>
        <v>008620771</v>
      </c>
      <c r="B13521" t="str">
        <f>"1609835420"</f>
        <v>1609835420</v>
      </c>
      <c r="C13521" t="str">
        <f>"207R00000X"</f>
        <v>207R00000X</v>
      </c>
      <c r="D13521" t="str">
        <f>"BATSON                   HAROLD       H           "</f>
        <v xml:space="preserve">BATSON                   HAROLD       H           </v>
      </c>
      <c r="E13521" t="str">
        <f>"TUPELO                    "</f>
        <v xml:space="preserve">TUPELO                    </v>
      </c>
      <c r="F13521" t="str">
        <f t="shared" si="344"/>
        <v>MS</v>
      </c>
    </row>
    <row r="13522" spans="1:6" x14ac:dyDescent="0.25">
      <c r="A13522" t="str">
        <f>"008620881"</f>
        <v>008620881</v>
      </c>
      <c r="B13522" t="str">
        <f>"1740600329"</f>
        <v>1740600329</v>
      </c>
      <c r="C13522" t="str">
        <f>"207N00000X"</f>
        <v>207N00000X</v>
      </c>
      <c r="D13522" t="str">
        <f>"ZUBRITSKY                LINDSEY      M           "</f>
        <v xml:space="preserve">ZUBRITSKY                LINDSEY      M           </v>
      </c>
      <c r="E13522" t="str">
        <f>"OCEAN SPRINGS             "</f>
        <v xml:space="preserve">OCEAN SPRINGS             </v>
      </c>
      <c r="F13522" t="str">
        <f t="shared" si="344"/>
        <v>MS</v>
      </c>
    </row>
    <row r="13523" spans="1:6" x14ac:dyDescent="0.25">
      <c r="A13523" t="str">
        <f>"008622885"</f>
        <v>008622885</v>
      </c>
      <c r="B13523" t="str">
        <f>"1093286551"</f>
        <v>1093286551</v>
      </c>
      <c r="C13523" t="str">
        <f>"363L00000X"</f>
        <v>363L00000X</v>
      </c>
      <c r="D13523" t="str">
        <f>"SCHISLER                 KEVIN        T           "</f>
        <v xml:space="preserve">SCHISLER                 KEVIN        T           </v>
      </c>
      <c r="E13523" t="str">
        <f>"GULFPORT                  "</f>
        <v xml:space="preserve">GULFPORT                  </v>
      </c>
      <c r="F13523" t="str">
        <f t="shared" si="344"/>
        <v>MS</v>
      </c>
    </row>
    <row r="13524" spans="1:6" x14ac:dyDescent="0.25">
      <c r="A13524" t="str">
        <f>"008623511"</f>
        <v>008623511</v>
      </c>
      <c r="B13524" t="str">
        <f>"1578523981"</f>
        <v>1578523981</v>
      </c>
      <c r="C13524" t="str">
        <f>"208800000X"</f>
        <v>208800000X</v>
      </c>
      <c r="D13524" t="str">
        <f>"WILLS                    THOMAS       E           "</f>
        <v xml:space="preserve">WILLS                    THOMAS       E           </v>
      </c>
      <c r="E13524" t="str">
        <f>"CENTREVILLE               "</f>
        <v xml:space="preserve">CENTREVILLE               </v>
      </c>
      <c r="F13524" t="str">
        <f t="shared" si="344"/>
        <v>MS</v>
      </c>
    </row>
    <row r="13525" spans="1:6" x14ac:dyDescent="0.25">
      <c r="A13525" t="str">
        <f>"008625510"</f>
        <v>008625510</v>
      </c>
      <c r="B13525" t="str">
        <f>"1982991436"</f>
        <v>1982991436</v>
      </c>
      <c r="C13525" t="str">
        <f>"207RP1001X"</f>
        <v>207RP1001X</v>
      </c>
      <c r="D13525" t="str">
        <f>"HARVEY                   JESSIE       G           "</f>
        <v xml:space="preserve">HARVEY                   JESSIE       G           </v>
      </c>
      <c r="E13525" t="str">
        <f>"JACKSON                   "</f>
        <v xml:space="preserve">JACKSON                   </v>
      </c>
      <c r="F13525" t="str">
        <f t="shared" si="344"/>
        <v>MS</v>
      </c>
    </row>
    <row r="13526" spans="1:6" x14ac:dyDescent="0.25">
      <c r="A13526" t="str">
        <f>"008627073"</f>
        <v>008627073</v>
      </c>
      <c r="B13526" t="str">
        <f>"1194144824"</f>
        <v>1194144824</v>
      </c>
      <c r="C13526" t="str">
        <f>"207P00000X"</f>
        <v>207P00000X</v>
      </c>
      <c r="D13526" t="str">
        <f>"HUCKABY                  MATTHEW                  "</f>
        <v xml:space="preserve">HUCKABY                  MATTHEW                  </v>
      </c>
      <c r="E13526" t="str">
        <f>"CORINTH                   "</f>
        <v xml:space="preserve">CORINTH                   </v>
      </c>
      <c r="F13526" t="str">
        <f t="shared" si="344"/>
        <v>MS</v>
      </c>
    </row>
    <row r="13527" spans="1:6" x14ac:dyDescent="0.25">
      <c r="A13527" t="str">
        <f>"008628763"</f>
        <v>008628763</v>
      </c>
      <c r="B13527" t="str">
        <f>"1225514045"</f>
        <v>1225514045</v>
      </c>
      <c r="C13527" t="str">
        <f>"363L00000X"</f>
        <v>363L00000X</v>
      </c>
      <c r="D13527" t="str">
        <f>"CAMPBELL                 CAITLIN      E           "</f>
        <v xml:space="preserve">CAMPBELL                 CAITLIN      E           </v>
      </c>
      <c r="E13527" t="str">
        <f>"JACKSON                   "</f>
        <v xml:space="preserve">JACKSON                   </v>
      </c>
      <c r="F13527" t="str">
        <f t="shared" si="344"/>
        <v>MS</v>
      </c>
    </row>
    <row r="13528" spans="1:6" x14ac:dyDescent="0.25">
      <c r="A13528" t="str">
        <f>"008628864"</f>
        <v>008628864</v>
      </c>
      <c r="B13528" t="str">
        <f>"1467642801"</f>
        <v>1467642801</v>
      </c>
      <c r="C13528" t="str">
        <f>"207RG0100X"</f>
        <v>207RG0100X</v>
      </c>
      <c r="D13528" t="str">
        <f>"SMART                    LAURA                    "</f>
        <v xml:space="preserve">SMART                    LAURA                    </v>
      </c>
      <c r="E13528" t="str">
        <f>"JACKSON                   "</f>
        <v xml:space="preserve">JACKSON                   </v>
      </c>
      <c r="F13528" t="str">
        <f t="shared" si="344"/>
        <v>MS</v>
      </c>
    </row>
    <row r="13529" spans="1:6" x14ac:dyDescent="0.25">
      <c r="A13529" t="str">
        <f>"008629765"</f>
        <v>008629765</v>
      </c>
      <c r="B13529" t="str">
        <f>"1710411707"</f>
        <v>1710411707</v>
      </c>
      <c r="C13529" t="str">
        <f>"261QE0700X"</f>
        <v>261QE0700X</v>
      </c>
      <c r="D13529" t="str">
        <f>"NESHOBA COUNTY DIALYSIS                           "</f>
        <v xml:space="preserve">NESHOBA COUNTY DIALYSIS                           </v>
      </c>
      <c r="E13529" t="str">
        <f>"PHILADELPHIA              "</f>
        <v xml:space="preserve">PHILADELPHIA              </v>
      </c>
      <c r="F13529" t="str">
        <f t="shared" si="344"/>
        <v>MS</v>
      </c>
    </row>
    <row r="13530" spans="1:6" x14ac:dyDescent="0.25">
      <c r="A13530" t="str">
        <f>"008629841"</f>
        <v>008629841</v>
      </c>
      <c r="B13530" t="str">
        <f>"1841531977"</f>
        <v>1841531977</v>
      </c>
      <c r="C13530" t="str">
        <f>"152W00000X"</f>
        <v>152W00000X</v>
      </c>
      <c r="D13530" t="str">
        <f>"RIPLEY EYE CARE LLC                               "</f>
        <v xml:space="preserve">RIPLEY EYE CARE LLC                               </v>
      </c>
      <c r="E13530" t="str">
        <f>"RIPLEY                    "</f>
        <v xml:space="preserve">RIPLEY                    </v>
      </c>
      <c r="F13530" t="str">
        <f t="shared" si="344"/>
        <v>MS</v>
      </c>
    </row>
    <row r="13531" spans="1:6" x14ac:dyDescent="0.25">
      <c r="A13531" t="str">
        <f>"008630002"</f>
        <v>008630002</v>
      </c>
      <c r="B13531" t="str">
        <f>"1346558574"</f>
        <v>1346558574</v>
      </c>
      <c r="C13531" t="str">
        <f>"363L00000X"</f>
        <v>363L00000X</v>
      </c>
      <c r="D13531" t="str">
        <f>"RHODES                   KATHLEEN     A           "</f>
        <v xml:space="preserve">RHODES                   KATHLEEN     A           </v>
      </c>
      <c r="E13531" t="str">
        <f>"JACKSON                   "</f>
        <v xml:space="preserve">JACKSON                   </v>
      </c>
      <c r="F13531" t="str">
        <f t="shared" si="344"/>
        <v>MS</v>
      </c>
    </row>
    <row r="13532" spans="1:6" x14ac:dyDescent="0.25">
      <c r="A13532" t="str">
        <f>"008632323"</f>
        <v>008632323</v>
      </c>
      <c r="B13532" t="str">
        <f>"1124781240"</f>
        <v>1124781240</v>
      </c>
      <c r="C13532" t="str">
        <f>"363L00000X"</f>
        <v>363L00000X</v>
      </c>
      <c r="D13532" t="str">
        <f>"COWART                   REBECCA                  "</f>
        <v xml:space="preserve">COWART                   REBECCA                  </v>
      </c>
      <c r="E13532" t="str">
        <f>"TUPELO                    "</f>
        <v xml:space="preserve">TUPELO                    </v>
      </c>
      <c r="F13532" t="str">
        <f t="shared" si="344"/>
        <v>MS</v>
      </c>
    </row>
    <row r="13533" spans="1:6" x14ac:dyDescent="0.25">
      <c r="A13533" t="str">
        <f>"008632324"</f>
        <v>008632324</v>
      </c>
      <c r="B13533" t="str">
        <f>"1134424385"</f>
        <v>1134424385</v>
      </c>
      <c r="C13533" t="str">
        <f>"363L00000X"</f>
        <v>363L00000X</v>
      </c>
      <c r="D13533" t="str">
        <f>"ROGERS                   MELISSA      S           "</f>
        <v xml:space="preserve">ROGERS                   MELISSA      S           </v>
      </c>
      <c r="E13533" t="str">
        <f>"MERIDIAN                  "</f>
        <v xml:space="preserve">MERIDIAN                  </v>
      </c>
      <c r="F13533" t="str">
        <f t="shared" si="344"/>
        <v>MS</v>
      </c>
    </row>
    <row r="13534" spans="1:6" x14ac:dyDescent="0.25">
      <c r="A13534" t="str">
        <f>"008632351"</f>
        <v>008632351</v>
      </c>
      <c r="B13534" t="str">
        <f>"1184912024"</f>
        <v>1184912024</v>
      </c>
      <c r="C13534" t="str">
        <f>"207P00000X"</f>
        <v>207P00000X</v>
      </c>
      <c r="D13534" t="str">
        <f>"GLOVER                   MITCHELL     O           "</f>
        <v xml:space="preserve">GLOVER                   MITCHELL     O           </v>
      </c>
      <c r="E13534" t="str">
        <f>"JACKSON                   "</f>
        <v xml:space="preserve">JACKSON                   </v>
      </c>
      <c r="F13534" t="str">
        <f t="shared" si="344"/>
        <v>MS</v>
      </c>
    </row>
    <row r="13535" spans="1:6" x14ac:dyDescent="0.25">
      <c r="A13535" t="str">
        <f>"008632797"</f>
        <v>008632797</v>
      </c>
      <c r="B13535" t="str">
        <f>"1386873180"</f>
        <v>1386873180</v>
      </c>
      <c r="C13535" t="str">
        <f>"152W00000X"</f>
        <v>152W00000X</v>
      </c>
      <c r="D13535" t="str">
        <f>"LEWIS                    WESLEY                   "</f>
        <v xml:space="preserve">LEWIS                    WESLEY                   </v>
      </c>
      <c r="E13535" t="str">
        <f>"TUPELO                    "</f>
        <v xml:space="preserve">TUPELO                    </v>
      </c>
      <c r="F13535" t="str">
        <f t="shared" si="344"/>
        <v>MS</v>
      </c>
    </row>
    <row r="13536" spans="1:6" x14ac:dyDescent="0.25">
      <c r="A13536" t="str">
        <f>"008633853"</f>
        <v>008633853</v>
      </c>
      <c r="B13536" t="str">
        <f>"1093167157"</f>
        <v>1093167157</v>
      </c>
      <c r="C13536" t="str">
        <f>"152W00000X"</f>
        <v>152W00000X</v>
      </c>
      <c r="D13536" t="str">
        <f>"PEGG                     JAMES        M           "</f>
        <v xml:space="preserve">PEGG                     JAMES        M           </v>
      </c>
      <c r="E13536" t="str">
        <f>"GRENADA                   "</f>
        <v xml:space="preserve">GRENADA                   </v>
      </c>
      <c r="F13536" t="str">
        <f t="shared" si="344"/>
        <v>MS</v>
      </c>
    </row>
    <row r="13537" spans="1:6" x14ac:dyDescent="0.25">
      <c r="A13537" t="str">
        <f>"008637868"</f>
        <v>008637868</v>
      </c>
      <c r="B13537" t="str">
        <f>"1578915492"</f>
        <v>1578915492</v>
      </c>
      <c r="C13537" t="str">
        <f>"363L00000X"</f>
        <v>363L00000X</v>
      </c>
      <c r="D13537" t="str">
        <f>"WILLIAMSON               HOYT         A           "</f>
        <v xml:space="preserve">WILLIAMSON               HOYT         A           </v>
      </c>
      <c r="E13537" t="str">
        <f>"LEAKESVILLE               "</f>
        <v xml:space="preserve">LEAKESVILLE               </v>
      </c>
      <c r="F13537" t="str">
        <f t="shared" si="344"/>
        <v>MS</v>
      </c>
    </row>
    <row r="13538" spans="1:6" x14ac:dyDescent="0.25">
      <c r="A13538" t="str">
        <f>"008638589"</f>
        <v>008638589</v>
      </c>
      <c r="B13538" t="str">
        <f>"1194214510"</f>
        <v>1194214510</v>
      </c>
      <c r="C13538" t="str">
        <f>"261QA1903X"</f>
        <v>261QA1903X</v>
      </c>
      <c r="D13538" t="str">
        <f>"SPECIALTY SURGERY &amp; LASER CENTER                  "</f>
        <v xml:space="preserve">SPECIALTY SURGERY &amp; LASER CENTER                  </v>
      </c>
      <c r="E13538" t="str">
        <f>"CORINTH                   "</f>
        <v xml:space="preserve">CORINTH                   </v>
      </c>
      <c r="F13538" t="str">
        <f t="shared" si="344"/>
        <v>MS</v>
      </c>
    </row>
    <row r="13539" spans="1:6" x14ac:dyDescent="0.25">
      <c r="A13539" t="str">
        <f>"008639584"</f>
        <v>008639584</v>
      </c>
      <c r="B13539" t="str">
        <f>"1336495951"</f>
        <v>1336495951</v>
      </c>
      <c r="C13539" t="str">
        <f>"363L00000X"</f>
        <v>363L00000X</v>
      </c>
      <c r="D13539" t="str">
        <f>"ROBINSON                 MARIA                    "</f>
        <v xml:space="preserve">ROBINSON                 MARIA                    </v>
      </c>
      <c r="E13539" t="str">
        <f>"GULFPORT                  "</f>
        <v xml:space="preserve">GULFPORT                  </v>
      </c>
      <c r="F13539" t="str">
        <f t="shared" si="344"/>
        <v>MS</v>
      </c>
    </row>
    <row r="13540" spans="1:6" x14ac:dyDescent="0.25">
      <c r="A13540" t="str">
        <f>"008650772"</f>
        <v>008650772</v>
      </c>
      <c r="B13540" t="str">
        <f>"1609864974"</f>
        <v>1609864974</v>
      </c>
      <c r="C13540" t="str">
        <f>"363L00000X"</f>
        <v>363L00000X</v>
      </c>
      <c r="D13540" t="str">
        <f>"BECKWITH                 SHARA                    "</f>
        <v xml:space="preserve">BECKWITH                 SHARA                    </v>
      </c>
      <c r="E13540" t="str">
        <f>"BRANDON                   "</f>
        <v xml:space="preserve">BRANDON                   </v>
      </c>
      <c r="F13540" t="str">
        <f t="shared" si="344"/>
        <v>MS</v>
      </c>
    </row>
    <row r="13541" spans="1:6" x14ac:dyDescent="0.25">
      <c r="A13541" t="str">
        <f>"008651329"</f>
        <v>008651329</v>
      </c>
      <c r="B13541" t="str">
        <f>"1477799708"</f>
        <v>1477799708</v>
      </c>
      <c r="C13541" t="str">
        <f>"367500000X"</f>
        <v>367500000X</v>
      </c>
      <c r="D13541" t="str">
        <f>"GEORGE                   STACEY       S           "</f>
        <v xml:space="preserve">GEORGE                   STACEY       S           </v>
      </c>
      <c r="E13541" t="str">
        <f>"COLUMBUS                  "</f>
        <v xml:space="preserve">COLUMBUS                  </v>
      </c>
      <c r="F13541" t="str">
        <f t="shared" si="344"/>
        <v>MS</v>
      </c>
    </row>
    <row r="13542" spans="1:6" x14ac:dyDescent="0.25">
      <c r="A13542" t="str">
        <f>"008652248"</f>
        <v>008652248</v>
      </c>
      <c r="B13542" t="str">
        <f>"1114156858"</f>
        <v>1114156858</v>
      </c>
      <c r="C13542" t="str">
        <f>"208000000X"</f>
        <v>208000000X</v>
      </c>
      <c r="D13542" t="str">
        <f>"MORRIS                   ANDREA       N           "</f>
        <v xml:space="preserve">MORRIS                   ANDREA       N           </v>
      </c>
      <c r="E13542" t="str">
        <f>"COLUMBUS                  "</f>
        <v xml:space="preserve">COLUMBUS                  </v>
      </c>
      <c r="F13542" t="str">
        <f t="shared" si="344"/>
        <v>MS</v>
      </c>
    </row>
    <row r="13543" spans="1:6" x14ac:dyDescent="0.25">
      <c r="A13543" t="str">
        <f>"008653039"</f>
        <v>008653039</v>
      </c>
      <c r="B13543" t="str">
        <f>"1851824270"</f>
        <v>1851824270</v>
      </c>
      <c r="C13543" t="str">
        <f>"207R00000X"</f>
        <v>207R00000X</v>
      </c>
      <c r="D13543" t="str">
        <f>"GARY                     MICHAEL      R           "</f>
        <v xml:space="preserve">GARY                     MICHAEL      R           </v>
      </c>
      <c r="E13543" t="str">
        <f>"JACKSON                   "</f>
        <v xml:space="preserve">JACKSON                   </v>
      </c>
      <c r="F13543" t="str">
        <f t="shared" si="344"/>
        <v>MS</v>
      </c>
    </row>
    <row r="13544" spans="1:6" x14ac:dyDescent="0.25">
      <c r="A13544" t="str">
        <f>"008653225"</f>
        <v>008653225</v>
      </c>
      <c r="B13544" t="str">
        <f>"1669584082"</f>
        <v>1669584082</v>
      </c>
      <c r="C13544" t="str">
        <f>"363L00000X"</f>
        <v>363L00000X</v>
      </c>
      <c r="D13544" t="str">
        <f>"WOLFE                    LEIGH                    "</f>
        <v xml:space="preserve">WOLFE                    LEIGH                    </v>
      </c>
      <c r="E13544" t="str">
        <f>"JACKSON                   "</f>
        <v xml:space="preserve">JACKSON                   </v>
      </c>
      <c r="F13544" t="str">
        <f t="shared" si="344"/>
        <v>MS</v>
      </c>
    </row>
    <row r="13545" spans="1:6" x14ac:dyDescent="0.25">
      <c r="A13545" t="str">
        <f>"008653821"</f>
        <v>008653821</v>
      </c>
      <c r="B13545" t="str">
        <f>"1023305687"</f>
        <v>1023305687</v>
      </c>
      <c r="C13545" t="str">
        <f>"207RC0000X"</f>
        <v>207RC0000X</v>
      </c>
      <c r="D13545" t="str">
        <f>"BOLER                    MICHAEL      T           "</f>
        <v xml:space="preserve">BOLER                    MICHAEL      T           </v>
      </c>
      <c r="E13545" t="str">
        <f>"TUPELO                    "</f>
        <v xml:space="preserve">TUPELO                    </v>
      </c>
      <c r="F13545" t="str">
        <f t="shared" si="344"/>
        <v>MS</v>
      </c>
    </row>
    <row r="13546" spans="1:6" x14ac:dyDescent="0.25">
      <c r="A13546" t="str">
        <f>"008655088"</f>
        <v>008655088</v>
      </c>
      <c r="B13546" t="str">
        <f>"1659965614"</f>
        <v>1659965614</v>
      </c>
      <c r="C13546" t="str">
        <f>"363L00000X"</f>
        <v>363L00000X</v>
      </c>
      <c r="D13546" t="str">
        <f>"STILES                   JESSICA                  "</f>
        <v xml:space="preserve">STILES                   JESSICA                  </v>
      </c>
      <c r="E13546" t="str">
        <f>"IUKA                      "</f>
        <v xml:space="preserve">IUKA                      </v>
      </c>
      <c r="F13546" t="str">
        <f t="shared" si="344"/>
        <v>MS</v>
      </c>
    </row>
    <row r="13547" spans="1:6" x14ac:dyDescent="0.25">
      <c r="A13547" t="str">
        <f>"008655383"</f>
        <v>008655383</v>
      </c>
      <c r="B13547" t="str">
        <f>"1538138391"</f>
        <v>1538138391</v>
      </c>
      <c r="C13547" t="str">
        <f>"207Q00000X"</f>
        <v>207Q00000X</v>
      </c>
      <c r="D13547" t="str">
        <f>"CASTLE                   WILLIAM      B           "</f>
        <v xml:space="preserve">CASTLE                   WILLIAM      B           </v>
      </c>
      <c r="E13547" t="str">
        <f>"BRANDON                   "</f>
        <v xml:space="preserve">BRANDON                   </v>
      </c>
      <c r="F13547" t="str">
        <f t="shared" si="344"/>
        <v>MS</v>
      </c>
    </row>
    <row r="13548" spans="1:6" x14ac:dyDescent="0.25">
      <c r="A13548" t="str">
        <f>"008655501"</f>
        <v>008655501</v>
      </c>
      <c r="B13548" t="str">
        <f>"1629427174"</f>
        <v>1629427174</v>
      </c>
      <c r="C13548" t="str">
        <f>"363L00000X"</f>
        <v>363L00000X</v>
      </c>
      <c r="D13548" t="str">
        <f>"GALLE                    AMANDA                   "</f>
        <v xml:space="preserve">GALLE                    AMANDA                   </v>
      </c>
      <c r="E13548" t="str">
        <f>"VANCLEAVE                 "</f>
        <v xml:space="preserve">VANCLEAVE                 </v>
      </c>
      <c r="F13548" t="str">
        <f t="shared" si="344"/>
        <v>MS</v>
      </c>
    </row>
    <row r="13549" spans="1:6" x14ac:dyDescent="0.25">
      <c r="A13549" t="str">
        <f>"008656228"</f>
        <v>008656228</v>
      </c>
      <c r="B13549" t="str">
        <f>"1659789360"</f>
        <v>1659789360</v>
      </c>
      <c r="C13549" t="str">
        <f>"261QF0400X"</f>
        <v>261QF0400X</v>
      </c>
      <c r="D13549" t="str">
        <f>"JHCHC - BYRAM MIDDLE SCHOOL BASED C               "</f>
        <v xml:space="preserve">JHCHC - BYRAM MIDDLE SCHOOL BASED C               </v>
      </c>
      <c r="E13549" t="str">
        <f>"TERRY                     "</f>
        <v xml:space="preserve">TERRY                     </v>
      </c>
      <c r="F13549" t="str">
        <f t="shared" si="344"/>
        <v>MS</v>
      </c>
    </row>
    <row r="13550" spans="1:6" x14ac:dyDescent="0.25">
      <c r="A13550" t="str">
        <f>"008656851"</f>
        <v>008656851</v>
      </c>
      <c r="B13550" t="str">
        <f>"1598229031"</f>
        <v>1598229031</v>
      </c>
      <c r="C13550" t="str">
        <f>"363A00000X"</f>
        <v>363A00000X</v>
      </c>
      <c r="D13550" t="str">
        <f>"KESSLER                  ISABEL       C           "</f>
        <v xml:space="preserve">KESSLER                  ISABEL       C           </v>
      </c>
      <c r="E13550" t="str">
        <f>"GULFPORT                  "</f>
        <v xml:space="preserve">GULFPORT                  </v>
      </c>
      <c r="F13550" t="str">
        <f t="shared" si="344"/>
        <v>MS</v>
      </c>
    </row>
    <row r="13551" spans="1:6" x14ac:dyDescent="0.25">
      <c r="A13551" t="str">
        <f>"008656863"</f>
        <v>008656863</v>
      </c>
      <c r="B13551" t="str">
        <f>"1083004022"</f>
        <v>1083004022</v>
      </c>
      <c r="C13551" t="str">
        <f>"363L00000X"</f>
        <v>363L00000X</v>
      </c>
      <c r="D13551" t="str">
        <f>"SHELTON                  CHRISTINA    G           "</f>
        <v xml:space="preserve">SHELTON                  CHRISTINA    G           </v>
      </c>
      <c r="E13551" t="str">
        <f>"TUPELO                    "</f>
        <v xml:space="preserve">TUPELO                    </v>
      </c>
      <c r="F13551" t="str">
        <f t="shared" si="344"/>
        <v>MS</v>
      </c>
    </row>
    <row r="13552" spans="1:6" x14ac:dyDescent="0.25">
      <c r="A13552" t="str">
        <f>"008659271"</f>
        <v>008659271</v>
      </c>
      <c r="B13552" t="str">
        <f>"1457668162"</f>
        <v>1457668162</v>
      </c>
      <c r="C13552" t="str">
        <f>"363L00000X"</f>
        <v>363L00000X</v>
      </c>
      <c r="D13552" t="str">
        <f>"BICKHAM                  TERRI        J           "</f>
        <v xml:space="preserve">BICKHAM                  TERRI        J           </v>
      </c>
      <c r="E13552" t="str">
        <f>"HATTIESBURG               "</f>
        <v xml:space="preserve">HATTIESBURG               </v>
      </c>
      <c r="F13552" t="str">
        <f t="shared" si="344"/>
        <v>MS</v>
      </c>
    </row>
    <row r="13553" spans="1:6" x14ac:dyDescent="0.25">
      <c r="A13553" t="str">
        <f>"008672009"</f>
        <v>008672009</v>
      </c>
      <c r="B13553" t="str">
        <f>"1356848964"</f>
        <v>1356848964</v>
      </c>
      <c r="C13553" t="str">
        <f>"207Q00000X"</f>
        <v>207Q00000X</v>
      </c>
      <c r="D13553" t="str">
        <f>"WOODS                    ERIC         R           "</f>
        <v xml:space="preserve">WOODS                    ERIC         R           </v>
      </c>
      <c r="E13553" t="str">
        <f>"JACKSON                   "</f>
        <v xml:space="preserve">JACKSON                   </v>
      </c>
      <c r="F13553" t="str">
        <f t="shared" si="344"/>
        <v>MS</v>
      </c>
    </row>
    <row r="13554" spans="1:6" x14ac:dyDescent="0.25">
      <c r="A13554" t="str">
        <f>"008673211"</f>
        <v>008673211</v>
      </c>
      <c r="B13554" t="str">
        <f>"1639551583"</f>
        <v>1639551583</v>
      </c>
      <c r="C13554" t="str">
        <f>"363L00000X"</f>
        <v>363L00000X</v>
      </c>
      <c r="D13554" t="str">
        <f>"HAYNES                   MCCARLEY     E           "</f>
        <v xml:space="preserve">HAYNES                   MCCARLEY     E           </v>
      </c>
      <c r="E13554" t="str">
        <f>"MARKS                     "</f>
        <v xml:space="preserve">MARKS                     </v>
      </c>
      <c r="F13554" t="str">
        <f t="shared" si="344"/>
        <v>MS</v>
      </c>
    </row>
    <row r="13555" spans="1:6" x14ac:dyDescent="0.25">
      <c r="A13555" t="str">
        <f>"008673870"</f>
        <v>008673870</v>
      </c>
      <c r="B13555" t="str">
        <f>"1841679636"</f>
        <v>1841679636</v>
      </c>
      <c r="C13555" t="str">
        <f>"2085R0202X"</f>
        <v>2085R0202X</v>
      </c>
      <c r="D13555" t="str">
        <f>"SIVILS                   COREY        W           "</f>
        <v xml:space="preserve">SIVILS                   COREY        W           </v>
      </c>
      <c r="E13555" t="str">
        <f>"HATTIESBURG               "</f>
        <v xml:space="preserve">HATTIESBURG               </v>
      </c>
      <c r="F13555" t="str">
        <f t="shared" si="344"/>
        <v>MS</v>
      </c>
    </row>
    <row r="13556" spans="1:6" x14ac:dyDescent="0.25">
      <c r="A13556" t="str">
        <f>"008674720"</f>
        <v>008674720</v>
      </c>
      <c r="B13556" t="str">
        <f>"1194497016"</f>
        <v>1194497016</v>
      </c>
      <c r="C13556" t="str">
        <f>"363L00000X"</f>
        <v>363L00000X</v>
      </c>
      <c r="D13556" t="str">
        <f>"CANTON III               BOBBY        C           "</f>
        <v xml:space="preserve">CANTON III               BOBBY        C           </v>
      </c>
      <c r="E13556" t="str">
        <f>"MCCOMB                    "</f>
        <v xml:space="preserve">MCCOMB                    </v>
      </c>
      <c r="F13556" t="str">
        <f t="shared" si="344"/>
        <v>MS</v>
      </c>
    </row>
    <row r="13557" spans="1:6" x14ac:dyDescent="0.25">
      <c r="A13557" t="str">
        <f>"008674854"</f>
        <v>008674854</v>
      </c>
      <c r="B13557" t="str">
        <f>"1699086918"</f>
        <v>1699086918</v>
      </c>
      <c r="C13557" t="str">
        <f>"207P00000X"</f>
        <v>207P00000X</v>
      </c>
      <c r="D13557" t="str">
        <f>"CROSS                    BRITTAIN                 "</f>
        <v xml:space="preserve">CROSS                    BRITTAIN                 </v>
      </c>
      <c r="E13557" t="str">
        <f>"OCEAN SPRINGS             "</f>
        <v xml:space="preserve">OCEAN SPRINGS             </v>
      </c>
      <c r="F13557" t="str">
        <f t="shared" si="344"/>
        <v>MS</v>
      </c>
    </row>
    <row r="13558" spans="1:6" x14ac:dyDescent="0.25">
      <c r="A13558" t="str">
        <f>"008676015"</f>
        <v>008676015</v>
      </c>
      <c r="B13558" t="str">
        <f>"1831574888"</f>
        <v>1831574888</v>
      </c>
      <c r="C13558" t="str">
        <f>"363L00000X"</f>
        <v>363L00000X</v>
      </c>
      <c r="D13558" t="str">
        <f>"CHANDLER                 BILLY        M           "</f>
        <v xml:space="preserve">CHANDLER                 BILLY        M           </v>
      </c>
      <c r="E13558" t="str">
        <f>"EUPORA                    "</f>
        <v xml:space="preserve">EUPORA                    </v>
      </c>
      <c r="F13558" t="str">
        <f t="shared" si="344"/>
        <v>MS</v>
      </c>
    </row>
    <row r="13559" spans="1:6" x14ac:dyDescent="0.25">
      <c r="A13559" t="str">
        <f>"008677064"</f>
        <v>008677064</v>
      </c>
      <c r="B13559" t="str">
        <f>"1053753194"</f>
        <v>1053753194</v>
      </c>
      <c r="C13559" t="str">
        <f>"363L00000X"</f>
        <v>363L00000X</v>
      </c>
      <c r="D13559" t="str">
        <f>"CALHOUN                  TANYA        L           "</f>
        <v xml:space="preserve">CALHOUN                  TANYA        L           </v>
      </c>
      <c r="E13559" t="str">
        <f>"RIDGELAND                 "</f>
        <v xml:space="preserve">RIDGELAND                 </v>
      </c>
      <c r="F13559" t="str">
        <f t="shared" si="344"/>
        <v>MS</v>
      </c>
    </row>
    <row r="13560" spans="1:6" x14ac:dyDescent="0.25">
      <c r="A13560" t="str">
        <f>"008677752"</f>
        <v>008677752</v>
      </c>
      <c r="B13560" t="str">
        <f>"1265451074"</f>
        <v>1265451074</v>
      </c>
      <c r="C13560" t="str">
        <f>"208000000X"</f>
        <v>208000000X</v>
      </c>
      <c r="D13560" t="str">
        <f>"MULLINS                  LAURA        B           "</f>
        <v xml:space="preserve">MULLINS                  LAURA        B           </v>
      </c>
      <c r="E13560" t="str">
        <f>"BRANDON                   "</f>
        <v xml:space="preserve">BRANDON                   </v>
      </c>
      <c r="F13560" t="str">
        <f t="shared" si="344"/>
        <v>MS</v>
      </c>
    </row>
    <row r="13561" spans="1:6" x14ac:dyDescent="0.25">
      <c r="A13561" t="str">
        <f>"008678599"</f>
        <v>008678599</v>
      </c>
      <c r="B13561" t="str">
        <f>"1942840368"</f>
        <v>1942840368</v>
      </c>
      <c r="C13561" t="str">
        <f>"363L00000X"</f>
        <v>363L00000X</v>
      </c>
      <c r="D13561" t="str">
        <f>"HOLCOMB                  ADDIE        H           "</f>
        <v xml:space="preserve">HOLCOMB                  ADDIE        H           </v>
      </c>
      <c r="E13561" t="str">
        <f>"GULFPORT                  "</f>
        <v xml:space="preserve">GULFPORT                  </v>
      </c>
      <c r="F13561" t="str">
        <f t="shared" si="344"/>
        <v>MS</v>
      </c>
    </row>
    <row r="13562" spans="1:6" x14ac:dyDescent="0.25">
      <c r="A13562" t="str">
        <f>"008678809"</f>
        <v>008678809</v>
      </c>
      <c r="B13562" t="str">
        <f>"1578806873"</f>
        <v>1578806873</v>
      </c>
      <c r="C13562" t="str">
        <f>"207Q00000X"</f>
        <v>207Q00000X</v>
      </c>
      <c r="D13562" t="str">
        <f>"MIHNOVETS                JONATHAN     A           "</f>
        <v xml:space="preserve">MIHNOVETS                JONATHAN     A           </v>
      </c>
      <c r="E13562" t="str">
        <f>"GULFPORT                  "</f>
        <v xml:space="preserve">GULFPORT                  </v>
      </c>
      <c r="F13562" t="str">
        <f t="shared" si="344"/>
        <v>MS</v>
      </c>
    </row>
    <row r="13563" spans="1:6" x14ac:dyDescent="0.25">
      <c r="A13563" t="str">
        <f>"008679792"</f>
        <v>008679792</v>
      </c>
      <c r="B13563" t="str">
        <f>"1316452501"</f>
        <v>1316452501</v>
      </c>
      <c r="C13563" t="str">
        <f>"261QA0600X"</f>
        <v>261QA0600X</v>
      </c>
      <c r="D13563" t="str">
        <f>"PROFESSIONAL STAFFING SOLUTIONS ADU               "</f>
        <v xml:space="preserve">PROFESSIONAL STAFFING SOLUTIONS ADU               </v>
      </c>
      <c r="E13563" t="str">
        <f>"GREENVILLE                "</f>
        <v xml:space="preserve">GREENVILLE                </v>
      </c>
      <c r="F13563" t="str">
        <f t="shared" si="344"/>
        <v>MS</v>
      </c>
    </row>
    <row r="13564" spans="1:6" x14ac:dyDescent="0.25">
      <c r="A13564" t="str">
        <f>"008681862"</f>
        <v>008681862</v>
      </c>
      <c r="B13564" t="str">
        <f>"1063852473"</f>
        <v>1063852473</v>
      </c>
      <c r="C13564" t="str">
        <f>"207RP1001X"</f>
        <v>207RP1001X</v>
      </c>
      <c r="D13564" t="str">
        <f>"HILL                     KELLEY       C           "</f>
        <v xml:space="preserve">HILL                     KELLEY       C           </v>
      </c>
      <c r="E13564" t="str">
        <f>"OXFORD                    "</f>
        <v xml:space="preserve">OXFORD                    </v>
      </c>
      <c r="F13564" t="str">
        <f t="shared" si="344"/>
        <v>MS</v>
      </c>
    </row>
    <row r="13565" spans="1:6" x14ac:dyDescent="0.25">
      <c r="A13565" t="str">
        <f>"008683073"</f>
        <v>008683073</v>
      </c>
      <c r="B13565" t="str">
        <f>"1255376729"</f>
        <v>1255376729</v>
      </c>
      <c r="C13565" t="str">
        <f>"261QR1300X"</f>
        <v>261QR1300X</v>
      </c>
      <c r="D13565" t="str">
        <f>"COMMUNITY HEALTH CLINIC                           "</f>
        <v xml:space="preserve">COMMUNITY HEALTH CLINIC                           </v>
      </c>
      <c r="E13565" t="str">
        <f>"FOREST                    "</f>
        <v xml:space="preserve">FOREST                    </v>
      </c>
      <c r="F13565" t="str">
        <f t="shared" si="344"/>
        <v>MS</v>
      </c>
    </row>
    <row r="13566" spans="1:6" x14ac:dyDescent="0.25">
      <c r="A13566" t="str">
        <f>"008686358"</f>
        <v>008686358</v>
      </c>
      <c r="B13566" t="str">
        <f>"1326594482"</f>
        <v>1326594482</v>
      </c>
      <c r="C13566" t="str">
        <f>"363L00000X"</f>
        <v>363L00000X</v>
      </c>
      <c r="D13566" t="str">
        <f>"O'NEAL                   ERIN         A           "</f>
        <v xml:space="preserve">O'NEAL                   ERIN         A           </v>
      </c>
      <c r="E13566" t="str">
        <f>"HATTIESBURG               "</f>
        <v xml:space="preserve">HATTIESBURG               </v>
      </c>
      <c r="F13566" t="str">
        <f t="shared" ref="F13566:F13629" si="345">"MS"</f>
        <v>MS</v>
      </c>
    </row>
    <row r="13567" spans="1:6" x14ac:dyDescent="0.25">
      <c r="A13567" t="str">
        <f>"008686535"</f>
        <v>008686535</v>
      </c>
      <c r="B13567" t="str">
        <f>"1184961153"</f>
        <v>1184961153</v>
      </c>
      <c r="C13567" t="str">
        <f>"261QF0400X"</f>
        <v>261QF0400X</v>
      </c>
      <c r="D13567" t="str">
        <f>"PETAL PRIMARY SCHOOL                              "</f>
        <v xml:space="preserve">PETAL PRIMARY SCHOOL                              </v>
      </c>
      <c r="E13567" t="str">
        <f>"PETAL                     "</f>
        <v xml:space="preserve">PETAL                     </v>
      </c>
      <c r="F13567" t="str">
        <f t="shared" si="345"/>
        <v>MS</v>
      </c>
    </row>
    <row r="13568" spans="1:6" x14ac:dyDescent="0.25">
      <c r="A13568" t="str">
        <f>"008688762"</f>
        <v>008688762</v>
      </c>
      <c r="B13568" t="str">
        <f>"1184035024"</f>
        <v>1184035024</v>
      </c>
      <c r="C13568" t="str">
        <f>"207P00000X"</f>
        <v>207P00000X</v>
      </c>
      <c r="D13568" t="str">
        <f>"CHINCHAR                 EDMUND       G           "</f>
        <v xml:space="preserve">CHINCHAR                 EDMUND       G           </v>
      </c>
      <c r="E13568" t="str">
        <f>"LAUREL                    "</f>
        <v xml:space="preserve">LAUREL                    </v>
      </c>
      <c r="F13568" t="str">
        <f t="shared" si="345"/>
        <v>MS</v>
      </c>
    </row>
    <row r="13569" spans="1:6" x14ac:dyDescent="0.25">
      <c r="A13569" t="str">
        <f>"008689075"</f>
        <v>008689075</v>
      </c>
      <c r="B13569" t="str">
        <f>"1114494754"</f>
        <v>1114494754</v>
      </c>
      <c r="C13569" t="str">
        <f>"363L00000X"</f>
        <v>363L00000X</v>
      </c>
      <c r="D13569" t="str">
        <f>"KNAPP                    CHARLES      T           "</f>
        <v xml:space="preserve">KNAPP                    CHARLES      T           </v>
      </c>
      <c r="E13569" t="str">
        <f>"JACKSON                   "</f>
        <v xml:space="preserve">JACKSON                   </v>
      </c>
      <c r="F13569" t="str">
        <f t="shared" si="345"/>
        <v>MS</v>
      </c>
    </row>
    <row r="13570" spans="1:6" x14ac:dyDescent="0.25">
      <c r="A13570" t="str">
        <f>"008689796"</f>
        <v>008689796</v>
      </c>
      <c r="B13570" t="str">
        <f>"1306105705"</f>
        <v>1306105705</v>
      </c>
      <c r="C13570" t="str">
        <f>"363L00000X"</f>
        <v>363L00000X</v>
      </c>
      <c r="D13570" t="str">
        <f>"PHILLIPS                 BRENDA       L           "</f>
        <v xml:space="preserve">PHILLIPS                 BRENDA       L           </v>
      </c>
      <c r="E13570" t="str">
        <f>"MERIDIAN                  "</f>
        <v xml:space="preserve">MERIDIAN                  </v>
      </c>
      <c r="F13570" t="str">
        <f t="shared" si="345"/>
        <v>MS</v>
      </c>
    </row>
    <row r="13571" spans="1:6" x14ac:dyDescent="0.25">
      <c r="A13571" t="str">
        <f>"008700008"</f>
        <v>008700008</v>
      </c>
      <c r="B13571" t="str">
        <f>"1013080027"</f>
        <v>1013080027</v>
      </c>
      <c r="C13571" t="str">
        <f>"363L00000X"</f>
        <v>363L00000X</v>
      </c>
      <c r="D13571" t="str">
        <f>"SLADE                    LISA         D           "</f>
        <v xml:space="preserve">SLADE                    LISA         D           </v>
      </c>
      <c r="E13571" t="str">
        <f>"HATTIESBURG               "</f>
        <v xml:space="preserve">HATTIESBURG               </v>
      </c>
      <c r="F13571" t="str">
        <f t="shared" si="345"/>
        <v>MS</v>
      </c>
    </row>
    <row r="13572" spans="1:6" x14ac:dyDescent="0.25">
      <c r="A13572" t="str">
        <f>"008701856"</f>
        <v>008701856</v>
      </c>
      <c r="B13572" t="str">
        <f>"1053755652"</f>
        <v>1053755652</v>
      </c>
      <c r="C13572" t="str">
        <f>"207R00000X"</f>
        <v>207R00000X</v>
      </c>
      <c r="D13572" t="str">
        <f>"GLOVER                   PORTER       H           "</f>
        <v xml:space="preserve">GLOVER                   PORTER       H           </v>
      </c>
      <c r="E13572" t="str">
        <f>"HATTIESBURG               "</f>
        <v xml:space="preserve">HATTIESBURG               </v>
      </c>
      <c r="F13572" t="str">
        <f t="shared" si="345"/>
        <v>MS</v>
      </c>
    </row>
    <row r="13573" spans="1:6" x14ac:dyDescent="0.25">
      <c r="A13573" t="str">
        <f>"008703378"</f>
        <v>008703378</v>
      </c>
      <c r="B13573" t="str">
        <f>"1235538075"</f>
        <v>1235538075</v>
      </c>
      <c r="C13573" t="str">
        <f>"122300000X"</f>
        <v>122300000X</v>
      </c>
      <c r="D13573" t="str">
        <f>"MCMURPHY                 AUSTIN       J           "</f>
        <v xml:space="preserve">MCMURPHY                 AUSTIN       J           </v>
      </c>
      <c r="E13573" t="str">
        <f>"BILOXI                    "</f>
        <v xml:space="preserve">BILOXI                    </v>
      </c>
      <c r="F13573" t="str">
        <f t="shared" si="345"/>
        <v>MS</v>
      </c>
    </row>
    <row r="13574" spans="1:6" x14ac:dyDescent="0.25">
      <c r="A13574" t="str">
        <f>"008703530"</f>
        <v>008703530</v>
      </c>
      <c r="B13574" t="str">
        <f>"1982918421"</f>
        <v>1982918421</v>
      </c>
      <c r="C13574" t="str">
        <f>"152W00000X"</f>
        <v>152W00000X</v>
      </c>
      <c r="D13574" t="str">
        <f>"SMITH                    MANDI        E           "</f>
        <v xml:space="preserve">SMITH                    MANDI        E           </v>
      </c>
      <c r="E13574" t="str">
        <f>"GULFPORT                  "</f>
        <v xml:space="preserve">GULFPORT                  </v>
      </c>
      <c r="F13574" t="str">
        <f t="shared" si="345"/>
        <v>MS</v>
      </c>
    </row>
    <row r="13575" spans="1:6" x14ac:dyDescent="0.25">
      <c r="A13575" t="str">
        <f>"008703746"</f>
        <v>008703746</v>
      </c>
      <c r="B13575" t="str">
        <f>"1457444606"</f>
        <v>1457444606</v>
      </c>
      <c r="C13575" t="str">
        <f>"261QF0400X"</f>
        <v>261QF0400X</v>
      </c>
      <c r="D13575" t="str">
        <f>"COASTAL FAMILY HEALTH CENTER                      "</f>
        <v xml:space="preserve">COASTAL FAMILY HEALTH CENTER                      </v>
      </c>
      <c r="E13575" t="str">
        <f>"LEAKESVILLE               "</f>
        <v xml:space="preserve">LEAKESVILLE               </v>
      </c>
      <c r="F13575" t="str">
        <f t="shared" si="345"/>
        <v>MS</v>
      </c>
    </row>
    <row r="13576" spans="1:6" x14ac:dyDescent="0.25">
      <c r="A13576" t="str">
        <f>"008703892"</f>
        <v>008703892</v>
      </c>
      <c r="B13576" t="str">
        <f>"1588224802"</f>
        <v>1588224802</v>
      </c>
      <c r="C13576" t="str">
        <f>"261QA1903X"</f>
        <v>261QA1903X</v>
      </c>
      <c r="D13576" t="str">
        <f>"FLOWOOD SURGERY CENTER LLC                        "</f>
        <v xml:space="preserve">FLOWOOD SURGERY CENTER LLC                        </v>
      </c>
      <c r="E13576" t="str">
        <f>"FLOWOOD                   "</f>
        <v xml:space="preserve">FLOWOOD                   </v>
      </c>
      <c r="F13576" t="str">
        <f t="shared" si="345"/>
        <v>MS</v>
      </c>
    </row>
    <row r="13577" spans="1:6" x14ac:dyDescent="0.25">
      <c r="A13577" t="str">
        <f>"008704531"</f>
        <v>008704531</v>
      </c>
      <c r="B13577" t="str">
        <f>"1861452401"</f>
        <v>1861452401</v>
      </c>
      <c r="C13577" t="str">
        <f>"363L00000X"</f>
        <v>363L00000X</v>
      </c>
      <c r="D13577" t="str">
        <f>"MARCY                    MARY         A           "</f>
        <v xml:space="preserve">MARCY                    MARY         A           </v>
      </c>
      <c r="E13577" t="str">
        <f>"HOLLY SPRINGS             "</f>
        <v xml:space="preserve">HOLLY SPRINGS             </v>
      </c>
      <c r="F13577" t="str">
        <f t="shared" si="345"/>
        <v>MS</v>
      </c>
    </row>
    <row r="13578" spans="1:6" x14ac:dyDescent="0.25">
      <c r="A13578" t="str">
        <f>"008705243"</f>
        <v>008705243</v>
      </c>
      <c r="B13578" t="str">
        <f>"1902322787"</f>
        <v>1902322787</v>
      </c>
      <c r="C13578" t="str">
        <f>"363LF0000X"</f>
        <v>363LF0000X</v>
      </c>
      <c r="D13578" t="str">
        <f>"BLAND                    PAULA        L           "</f>
        <v xml:space="preserve">BLAND                    PAULA        L           </v>
      </c>
      <c r="E13578" t="str">
        <f>"JACKSON                   "</f>
        <v xml:space="preserve">JACKSON                   </v>
      </c>
      <c r="F13578" t="str">
        <f t="shared" si="345"/>
        <v>MS</v>
      </c>
    </row>
    <row r="13579" spans="1:6" x14ac:dyDescent="0.25">
      <c r="A13579" t="str">
        <f>"008705378"</f>
        <v>008705378</v>
      </c>
      <c r="B13579" t="str">
        <f>"1316975394"</f>
        <v>1316975394</v>
      </c>
      <c r="C13579" t="str">
        <f>"261QR1300X"</f>
        <v>261QR1300X</v>
      </c>
      <c r="D13579" t="str">
        <f>"SOUTH CENTRAL PEDIATRICS                          "</f>
        <v xml:space="preserve">SOUTH CENTRAL PEDIATRICS                          </v>
      </c>
      <c r="E13579" t="str">
        <f>"LAUREL                    "</f>
        <v xml:space="preserve">LAUREL                    </v>
      </c>
      <c r="F13579" t="str">
        <f t="shared" si="345"/>
        <v>MS</v>
      </c>
    </row>
    <row r="13580" spans="1:6" x14ac:dyDescent="0.25">
      <c r="A13580" t="str">
        <f>"008705791"</f>
        <v>008705791</v>
      </c>
      <c r="B13580" t="str">
        <f>"1982019345"</f>
        <v>1982019345</v>
      </c>
      <c r="C13580" t="str">
        <f>"2080N0001X"</f>
        <v>2080N0001X</v>
      </c>
      <c r="D13580" t="str">
        <f>"HOLLA                    IRA          J           "</f>
        <v xml:space="preserve">HOLLA                    IRA          J           </v>
      </c>
      <c r="E13580" t="str">
        <f>"JACKSON                   "</f>
        <v xml:space="preserve">JACKSON                   </v>
      </c>
      <c r="F13580" t="str">
        <f t="shared" si="345"/>
        <v>MS</v>
      </c>
    </row>
    <row r="13581" spans="1:6" x14ac:dyDescent="0.25">
      <c r="A13581" t="str">
        <f>"008705877"</f>
        <v>008705877</v>
      </c>
      <c r="B13581" t="str">
        <f>"1124107388"</f>
        <v>1124107388</v>
      </c>
      <c r="C13581" t="str">
        <f>"367500000X"</f>
        <v>367500000X</v>
      </c>
      <c r="D13581" t="str">
        <f>"DEROUEN                  JUANITA                  "</f>
        <v xml:space="preserve">DEROUEN                  JUANITA                  </v>
      </c>
      <c r="E13581" t="str">
        <f>"GULFPORT                  "</f>
        <v xml:space="preserve">GULFPORT                  </v>
      </c>
      <c r="F13581" t="str">
        <f t="shared" si="345"/>
        <v>MS</v>
      </c>
    </row>
    <row r="13582" spans="1:6" x14ac:dyDescent="0.25">
      <c r="A13582" t="str">
        <f>"008706760"</f>
        <v>008706760</v>
      </c>
      <c r="B13582" t="str">
        <f>"1083964092"</f>
        <v>1083964092</v>
      </c>
      <c r="C13582" t="str">
        <f>"363L00000X"</f>
        <v>363L00000X</v>
      </c>
      <c r="D13582" t="str">
        <f>"HUBBARD                  MARIEL       C           "</f>
        <v xml:space="preserve">HUBBARD                  MARIEL       C           </v>
      </c>
      <c r="E13582" t="str">
        <f>"JACKSON                   "</f>
        <v xml:space="preserve">JACKSON                   </v>
      </c>
      <c r="F13582" t="str">
        <f t="shared" si="345"/>
        <v>MS</v>
      </c>
    </row>
    <row r="13583" spans="1:6" x14ac:dyDescent="0.25">
      <c r="A13583" t="str">
        <f>"008707731"</f>
        <v>008707731</v>
      </c>
      <c r="B13583" t="str">
        <f>"1144741059"</f>
        <v>1144741059</v>
      </c>
      <c r="C13583" t="str">
        <f>"363L00000X"</f>
        <v>363L00000X</v>
      </c>
      <c r="D13583" t="str">
        <f>"BOYD                     BRITTNEY                 "</f>
        <v xml:space="preserve">BOYD                     BRITTNEY                 </v>
      </c>
      <c r="E13583" t="str">
        <f>"HOLLY SPRINGS             "</f>
        <v xml:space="preserve">HOLLY SPRINGS             </v>
      </c>
      <c r="F13583" t="str">
        <f t="shared" si="345"/>
        <v>MS</v>
      </c>
    </row>
    <row r="13584" spans="1:6" x14ac:dyDescent="0.25">
      <c r="A13584" t="str">
        <f>"008709246"</f>
        <v>008709246</v>
      </c>
      <c r="B13584" t="str">
        <f>"1154796365"</f>
        <v>1154796365</v>
      </c>
      <c r="C13584" t="str">
        <f>"363L00000X"</f>
        <v>363L00000X</v>
      </c>
      <c r="D13584" t="str">
        <f>"ADAMS                    BRIAN        D           "</f>
        <v xml:space="preserve">ADAMS                    BRIAN        D           </v>
      </c>
      <c r="E13584" t="str">
        <f>"COLUMBUS                  "</f>
        <v xml:space="preserve">COLUMBUS                  </v>
      </c>
      <c r="F13584" t="str">
        <f t="shared" si="345"/>
        <v>MS</v>
      </c>
    </row>
    <row r="13585" spans="1:6" x14ac:dyDescent="0.25">
      <c r="A13585" t="str">
        <f>"008709291"</f>
        <v>008709291</v>
      </c>
      <c r="B13585" t="str">
        <f>"1447665146"</f>
        <v>1447665146</v>
      </c>
      <c r="C13585" t="str">
        <f>"2085R0202X"</f>
        <v>2085R0202X</v>
      </c>
      <c r="D13585" t="str">
        <f>"DUNBAR                   MILES        A           "</f>
        <v xml:space="preserve">DUNBAR                   MILES        A           </v>
      </c>
      <c r="E13585" t="str">
        <f>"HATTIESBURG               "</f>
        <v xml:space="preserve">HATTIESBURG               </v>
      </c>
      <c r="F13585" t="str">
        <f t="shared" si="345"/>
        <v>MS</v>
      </c>
    </row>
    <row r="13586" spans="1:6" x14ac:dyDescent="0.25">
      <c r="A13586" t="str">
        <f>"008709590"</f>
        <v>008709590</v>
      </c>
      <c r="B13586" t="str">
        <f>"1366943425"</f>
        <v>1366943425</v>
      </c>
      <c r="C13586" t="str">
        <f>"363L00000X"</f>
        <v>363L00000X</v>
      </c>
      <c r="D13586" t="str">
        <f>"MCCALLUM                 AMANDA       L           "</f>
        <v xml:space="preserve">MCCALLUM                 AMANDA       L           </v>
      </c>
      <c r="E13586" t="str">
        <f>"HATTIESBURG               "</f>
        <v xml:space="preserve">HATTIESBURG               </v>
      </c>
      <c r="F13586" t="str">
        <f t="shared" si="345"/>
        <v>MS</v>
      </c>
    </row>
    <row r="13587" spans="1:6" x14ac:dyDescent="0.25">
      <c r="A13587" t="str">
        <f>"008722731"</f>
        <v>008722731</v>
      </c>
      <c r="B13587" t="str">
        <f>"1508037243"</f>
        <v>1508037243</v>
      </c>
      <c r="C13587" t="str">
        <f>"122300000X"</f>
        <v>122300000X</v>
      </c>
      <c r="D13587" t="str">
        <f>"HUTTO                    DARRELL      M           "</f>
        <v xml:space="preserve">HUTTO                    DARRELL      M           </v>
      </c>
      <c r="E13587" t="str">
        <f>"JACKSON                   "</f>
        <v xml:space="preserve">JACKSON                   </v>
      </c>
      <c r="F13587" t="str">
        <f t="shared" si="345"/>
        <v>MS</v>
      </c>
    </row>
    <row r="13588" spans="1:6" x14ac:dyDescent="0.25">
      <c r="A13588" t="str">
        <f>"008723392"</f>
        <v>008723392</v>
      </c>
      <c r="B13588" t="str">
        <f>"1427018613"</f>
        <v>1427018613</v>
      </c>
      <c r="C13588" t="str">
        <f>"2084P0800X"</f>
        <v>2084P0800X</v>
      </c>
      <c r="D13588" t="str">
        <f>"GORDON                   MAXIE        L           "</f>
        <v xml:space="preserve">GORDON                   MAXIE        L           </v>
      </c>
      <c r="E13588" t="str">
        <f>"CLINTON                   "</f>
        <v xml:space="preserve">CLINTON                   </v>
      </c>
      <c r="F13588" t="str">
        <f t="shared" si="345"/>
        <v>MS</v>
      </c>
    </row>
    <row r="13589" spans="1:6" x14ac:dyDescent="0.25">
      <c r="A13589" t="str">
        <f>"008725789"</f>
        <v>008725789</v>
      </c>
      <c r="B13589" t="str">
        <f>"1508193459"</f>
        <v>1508193459</v>
      </c>
      <c r="C13589" t="str">
        <f>"363LP0808X"</f>
        <v>363LP0808X</v>
      </c>
      <c r="D13589" t="str">
        <f>"SUMERFORD                DAVID        B           "</f>
        <v xml:space="preserve">SUMERFORD                DAVID        B           </v>
      </c>
      <c r="E13589" t="str">
        <f>"TUPELO                    "</f>
        <v xml:space="preserve">TUPELO                    </v>
      </c>
      <c r="F13589" t="str">
        <f t="shared" si="345"/>
        <v>MS</v>
      </c>
    </row>
    <row r="13590" spans="1:6" x14ac:dyDescent="0.25">
      <c r="A13590" t="str">
        <f>"008727289"</f>
        <v>008727289</v>
      </c>
      <c r="B13590" t="str">
        <f>"1912480070"</f>
        <v>1912480070</v>
      </c>
      <c r="C13590" t="str">
        <f>"261QA1903X"</f>
        <v>261QA1903X</v>
      </c>
      <c r="D13590" t="str">
        <f>"SOG SURGERY CENTER LLC                            "</f>
        <v xml:space="preserve">SOG SURGERY CENTER LLC                            </v>
      </c>
      <c r="E13590" t="str">
        <f>"TUPELO                    "</f>
        <v xml:space="preserve">TUPELO                    </v>
      </c>
      <c r="F13590" t="str">
        <f t="shared" si="345"/>
        <v>MS</v>
      </c>
    </row>
    <row r="13591" spans="1:6" x14ac:dyDescent="0.25">
      <c r="A13591" t="str">
        <f>"008728059"</f>
        <v>008728059</v>
      </c>
      <c r="B13591" t="str">
        <f>"1174052237"</f>
        <v>1174052237</v>
      </c>
      <c r="C13591" t="str">
        <f>"207W00000X"</f>
        <v>207W00000X</v>
      </c>
      <c r="D13591" t="str">
        <f>"RAFIEETARY               SALAR                    "</f>
        <v xml:space="preserve">RAFIEETARY               SALAR                    </v>
      </c>
      <c r="E13591" t="str">
        <f>"OLIVE BRANCH              "</f>
        <v xml:space="preserve">OLIVE BRANCH              </v>
      </c>
      <c r="F13591" t="str">
        <f t="shared" si="345"/>
        <v>MS</v>
      </c>
    </row>
    <row r="13592" spans="1:6" x14ac:dyDescent="0.25">
      <c r="A13592" t="str">
        <f>"008732068"</f>
        <v>008732068</v>
      </c>
      <c r="B13592" t="str">
        <f>"1639718455"</f>
        <v>1639718455</v>
      </c>
      <c r="C13592" t="str">
        <f>"363L00000X"</f>
        <v>363L00000X</v>
      </c>
      <c r="D13592" t="str">
        <f>"PUGH                     DANIELLE                 "</f>
        <v xml:space="preserve">PUGH                     DANIELLE                 </v>
      </c>
      <c r="E13592" t="str">
        <f>"DECATUR                   "</f>
        <v xml:space="preserve">DECATUR                   </v>
      </c>
      <c r="F13592" t="str">
        <f t="shared" si="345"/>
        <v>MS</v>
      </c>
    </row>
    <row r="13593" spans="1:6" x14ac:dyDescent="0.25">
      <c r="A13593" t="str">
        <f>"008733052"</f>
        <v>008733052</v>
      </c>
      <c r="B13593" t="str">
        <f>"1669958799"</f>
        <v>1669958799</v>
      </c>
      <c r="C13593" t="str">
        <f>"207R00000X"</f>
        <v>207R00000X</v>
      </c>
      <c r="D13593" t="str">
        <f>"LARA GARCIA              ODALYS                   "</f>
        <v xml:space="preserve">LARA GARCIA              ODALYS                   </v>
      </c>
      <c r="E13593" t="str">
        <f>"OXFORD                    "</f>
        <v xml:space="preserve">OXFORD                    </v>
      </c>
      <c r="F13593" t="str">
        <f t="shared" si="345"/>
        <v>MS</v>
      </c>
    </row>
    <row r="13594" spans="1:6" x14ac:dyDescent="0.25">
      <c r="A13594" t="str">
        <f>"008733811"</f>
        <v>008733811</v>
      </c>
      <c r="B13594" t="str">
        <f>"1003907460"</f>
        <v>1003907460</v>
      </c>
      <c r="C13594" t="str">
        <f>"2084N0400X"</f>
        <v>2084N0400X</v>
      </c>
      <c r="D13594" t="str">
        <f>"WELDON                   PATRICK      E           "</f>
        <v xml:space="preserve">WELDON                   PATRICK      E           </v>
      </c>
      <c r="E13594" t="str">
        <f>"FLOWOOD                   "</f>
        <v xml:space="preserve">FLOWOOD                   </v>
      </c>
      <c r="F13594" t="str">
        <f t="shared" si="345"/>
        <v>MS</v>
      </c>
    </row>
    <row r="13595" spans="1:6" x14ac:dyDescent="0.25">
      <c r="A13595" t="str">
        <f>"008733817"</f>
        <v>008733817</v>
      </c>
      <c r="B13595" t="str">
        <f>"1750514543"</f>
        <v>1750514543</v>
      </c>
      <c r="C13595" t="str">
        <f>"261QF0400X"</f>
        <v>261QF0400X</v>
      </c>
      <c r="D13595" t="str">
        <f>"FAMILY HEALTH CARE CLINIC INC                     "</f>
        <v xml:space="preserve">FAMILY HEALTH CARE CLINIC INC                     </v>
      </c>
      <c r="E13595" t="str">
        <f>"GRENADA                   "</f>
        <v xml:space="preserve">GRENADA                   </v>
      </c>
      <c r="F13595" t="str">
        <f t="shared" si="345"/>
        <v>MS</v>
      </c>
    </row>
    <row r="13596" spans="1:6" x14ac:dyDescent="0.25">
      <c r="A13596" t="str">
        <f>"008735553"</f>
        <v>008735553</v>
      </c>
      <c r="B13596" t="str">
        <f>"1497122808"</f>
        <v>1497122808</v>
      </c>
      <c r="C13596" t="str">
        <f>"363L00000X"</f>
        <v>363L00000X</v>
      </c>
      <c r="D13596" t="str">
        <f>"STANDBERRY               SHAYLIA      V           "</f>
        <v xml:space="preserve">STANDBERRY               SHAYLIA      V           </v>
      </c>
      <c r="E13596" t="str">
        <f>"MCCOMB                    "</f>
        <v xml:space="preserve">MCCOMB                    </v>
      </c>
      <c r="F13596" t="str">
        <f t="shared" si="345"/>
        <v>MS</v>
      </c>
    </row>
    <row r="13597" spans="1:6" x14ac:dyDescent="0.25">
      <c r="A13597" t="str">
        <f>"008736251"</f>
        <v>008736251</v>
      </c>
      <c r="B13597" t="str">
        <f>"1861779266"</f>
        <v>1861779266</v>
      </c>
      <c r="C13597" t="str">
        <f>"152W00000X"</f>
        <v>152W00000X</v>
      </c>
      <c r="D13597" t="str">
        <f>"SENIOR VISION SERVICES                            "</f>
        <v xml:space="preserve">SENIOR VISION SERVICES                            </v>
      </c>
      <c r="E13597" t="str">
        <f>"BAY SAINT LOUIS           "</f>
        <v xml:space="preserve">BAY SAINT LOUIS           </v>
      </c>
      <c r="F13597" t="str">
        <f t="shared" si="345"/>
        <v>MS</v>
      </c>
    </row>
    <row r="13598" spans="1:6" x14ac:dyDescent="0.25">
      <c r="A13598" t="str">
        <f>"008736735"</f>
        <v>008736735</v>
      </c>
      <c r="B13598" t="str">
        <f>"1225576820"</f>
        <v>1225576820</v>
      </c>
      <c r="C13598" t="str">
        <f>"363A00000X"</f>
        <v>363A00000X</v>
      </c>
      <c r="D13598" t="str">
        <f>"KLOTZBACH                CONNIE                   "</f>
        <v xml:space="preserve">KLOTZBACH                CONNIE                   </v>
      </c>
      <c r="E13598" t="str">
        <f>"OCEAN SPRINGS             "</f>
        <v xml:space="preserve">OCEAN SPRINGS             </v>
      </c>
      <c r="F13598" t="str">
        <f t="shared" si="345"/>
        <v>MS</v>
      </c>
    </row>
    <row r="13599" spans="1:6" x14ac:dyDescent="0.25">
      <c r="A13599" t="str">
        <f>"008737540"</f>
        <v>008737540</v>
      </c>
      <c r="B13599" t="str">
        <f>"1265104095"</f>
        <v>1265104095</v>
      </c>
      <c r="C13599" t="str">
        <f>"363L00000X"</f>
        <v>363L00000X</v>
      </c>
      <c r="D13599" t="str">
        <f>"MOORE                    KIMBERLY                 "</f>
        <v xml:space="preserve">MOORE                    KIMBERLY                 </v>
      </c>
      <c r="E13599" t="str">
        <f>"CANTON                    "</f>
        <v xml:space="preserve">CANTON                    </v>
      </c>
      <c r="F13599" t="str">
        <f t="shared" si="345"/>
        <v>MS</v>
      </c>
    </row>
    <row r="13600" spans="1:6" x14ac:dyDescent="0.25">
      <c r="A13600" t="str">
        <f>"008737885"</f>
        <v>008737885</v>
      </c>
      <c r="B13600" t="str">
        <f>"1427520956"</f>
        <v>1427520956</v>
      </c>
      <c r="C13600" t="str">
        <f>"367500000X"</f>
        <v>367500000X</v>
      </c>
      <c r="D13600" t="str">
        <f>"BRADLEY                  ALEXANDRA    S           "</f>
        <v xml:space="preserve">BRADLEY                  ALEXANDRA    S           </v>
      </c>
      <c r="E13600" t="str">
        <f>"JACKSON                   "</f>
        <v xml:space="preserve">JACKSON                   </v>
      </c>
      <c r="F13600" t="str">
        <f t="shared" si="345"/>
        <v>MS</v>
      </c>
    </row>
    <row r="13601" spans="1:6" x14ac:dyDescent="0.25">
      <c r="A13601" t="str">
        <f>"008739202"</f>
        <v>008739202</v>
      </c>
      <c r="B13601" t="str">
        <f>"1073247565"</f>
        <v>1073247565</v>
      </c>
      <c r="C13601" t="str">
        <f>"363L00000X"</f>
        <v>363L00000X</v>
      </c>
      <c r="D13601" t="str">
        <f>"CROSS                    MEAGAN                   "</f>
        <v xml:space="preserve">CROSS                    MEAGAN                   </v>
      </c>
      <c r="E13601" t="str">
        <f>"GAUTIER                   "</f>
        <v xml:space="preserve">GAUTIER                   </v>
      </c>
      <c r="F13601" t="str">
        <f t="shared" si="345"/>
        <v>MS</v>
      </c>
    </row>
    <row r="13602" spans="1:6" x14ac:dyDescent="0.25">
      <c r="A13602" t="str">
        <f>"008739519"</f>
        <v>008739519</v>
      </c>
      <c r="B13602" t="str">
        <f>"1669063202"</f>
        <v>1669063202</v>
      </c>
      <c r="C13602" t="str">
        <f>"261QR1300X"</f>
        <v>261QR1300X</v>
      </c>
      <c r="D13602" t="str">
        <f>"MRH MEDICAL GROUP, EAST MAIN FAMILY               "</f>
        <v xml:space="preserve">MRH MEDICAL GROUP, EAST MAIN FAMILY               </v>
      </c>
      <c r="E13602" t="str">
        <f>"TUPELO                    "</f>
        <v xml:space="preserve">TUPELO                    </v>
      </c>
      <c r="F13602" t="str">
        <f t="shared" si="345"/>
        <v>MS</v>
      </c>
    </row>
    <row r="13603" spans="1:6" x14ac:dyDescent="0.25">
      <c r="A13603" t="str">
        <f>"008751030"</f>
        <v>008751030</v>
      </c>
      <c r="B13603" t="str">
        <f>"1679628697"</f>
        <v>1679628697</v>
      </c>
      <c r="C13603" t="str">
        <f>"363L00000X"</f>
        <v>363L00000X</v>
      </c>
      <c r="D13603" t="str">
        <f>"SPEARS                   DAMON                    "</f>
        <v xml:space="preserve">SPEARS                   DAMON                    </v>
      </c>
      <c r="E13603" t="str">
        <f>"SUMMIT                    "</f>
        <v xml:space="preserve">SUMMIT                    </v>
      </c>
      <c r="F13603" t="str">
        <f t="shared" si="345"/>
        <v>MS</v>
      </c>
    </row>
    <row r="13604" spans="1:6" x14ac:dyDescent="0.25">
      <c r="A13604" t="str">
        <f>"008753003"</f>
        <v>008753003</v>
      </c>
      <c r="B13604" t="str">
        <f>"1386168730"</f>
        <v>1386168730</v>
      </c>
      <c r="C13604" t="str">
        <f>"152W00000X"</f>
        <v>152W00000X</v>
      </c>
      <c r="D13604" t="str">
        <f>"HINES                    NETTIE       R           "</f>
        <v xml:space="preserve">HINES                    NETTIE       R           </v>
      </c>
      <c r="E13604" t="str">
        <f>"FLOWOOD                   "</f>
        <v xml:space="preserve">FLOWOOD                   </v>
      </c>
      <c r="F13604" t="str">
        <f t="shared" si="345"/>
        <v>MS</v>
      </c>
    </row>
    <row r="13605" spans="1:6" x14ac:dyDescent="0.25">
      <c r="A13605" t="str">
        <f>"008753085"</f>
        <v>008753085</v>
      </c>
      <c r="B13605" t="str">
        <f>"1831829944"</f>
        <v>1831829944</v>
      </c>
      <c r="C13605" t="str">
        <f>"122300000X"</f>
        <v>122300000X</v>
      </c>
      <c r="D13605" t="str">
        <f>"MORRISON                 SAMUEL       M           "</f>
        <v xml:space="preserve">MORRISON                 SAMUEL       M           </v>
      </c>
      <c r="E13605" t="str">
        <f>"ABERDEEN                  "</f>
        <v xml:space="preserve">ABERDEEN                  </v>
      </c>
      <c r="F13605" t="str">
        <f t="shared" si="345"/>
        <v>MS</v>
      </c>
    </row>
    <row r="13606" spans="1:6" x14ac:dyDescent="0.25">
      <c r="A13606" t="str">
        <f>"008755013"</f>
        <v>008755013</v>
      </c>
      <c r="B13606" t="str">
        <f>"1932290392"</f>
        <v>1932290392</v>
      </c>
      <c r="C13606" t="str">
        <f>"261QM1300X"</f>
        <v>261QM1300X</v>
      </c>
      <c r="D13606" t="str">
        <f>"REHABILITATION CENTERS LLC                        "</f>
        <v xml:space="preserve">REHABILITATION CENTERS LLC                        </v>
      </c>
      <c r="E13606" t="str">
        <f>"MAGEE                     "</f>
        <v xml:space="preserve">MAGEE                     </v>
      </c>
      <c r="F13606" t="str">
        <f t="shared" si="345"/>
        <v>MS</v>
      </c>
    </row>
    <row r="13607" spans="1:6" x14ac:dyDescent="0.25">
      <c r="A13607" t="str">
        <f>"008755294"</f>
        <v>008755294</v>
      </c>
      <c r="B13607" t="str">
        <f>"1427251511"</f>
        <v>1427251511</v>
      </c>
      <c r="C13607" t="str">
        <f>"207RC0000X"</f>
        <v>207RC0000X</v>
      </c>
      <c r="D13607" t="str">
        <f>"DOUGLAS                  CHRISTOPHER  J           "</f>
        <v xml:space="preserve">DOUGLAS                  CHRISTOPHER  J           </v>
      </c>
      <c r="E13607" t="str">
        <f>"HATTIESBURG               "</f>
        <v xml:space="preserve">HATTIESBURG               </v>
      </c>
      <c r="F13607" t="str">
        <f t="shared" si="345"/>
        <v>MS</v>
      </c>
    </row>
    <row r="13608" spans="1:6" x14ac:dyDescent="0.25">
      <c r="A13608" t="str">
        <f>"008756203"</f>
        <v>008756203</v>
      </c>
      <c r="B13608" t="str">
        <f>"1275066904"</f>
        <v>1275066904</v>
      </c>
      <c r="C13608" t="str">
        <f>"208000000X"</f>
        <v>208000000X</v>
      </c>
      <c r="D13608" t="str">
        <f>"MERKLE                   ERIC         J           "</f>
        <v xml:space="preserve">MERKLE                   ERIC         J           </v>
      </c>
      <c r="E13608" t="str">
        <f>"JACKSON                   "</f>
        <v xml:space="preserve">JACKSON                   </v>
      </c>
      <c r="F13608" t="str">
        <f t="shared" si="345"/>
        <v>MS</v>
      </c>
    </row>
    <row r="13609" spans="1:6" x14ac:dyDescent="0.25">
      <c r="A13609" t="str">
        <f>"008756389"</f>
        <v>008756389</v>
      </c>
      <c r="B13609" t="str">
        <f>"1063486959"</f>
        <v>1063486959</v>
      </c>
      <c r="C13609" t="str">
        <f>"207V00000X"</f>
        <v>207V00000X</v>
      </c>
      <c r="D13609" t="str">
        <f>"BROWN                    ERIC         L           "</f>
        <v xml:space="preserve">BROWN                    ERIC         L           </v>
      </c>
      <c r="E13609" t="str">
        <f>"RIDGELAND                 "</f>
        <v xml:space="preserve">RIDGELAND                 </v>
      </c>
      <c r="F13609" t="str">
        <f t="shared" si="345"/>
        <v>MS</v>
      </c>
    </row>
    <row r="13610" spans="1:6" x14ac:dyDescent="0.25">
      <c r="A13610" t="str">
        <f>"008757065"</f>
        <v>008757065</v>
      </c>
      <c r="B13610" t="str">
        <f>"1043522352"</f>
        <v>1043522352</v>
      </c>
      <c r="C13610" t="str">
        <f>"207RP1001X"</f>
        <v>207RP1001X</v>
      </c>
      <c r="D13610" t="str">
        <f>"FAUGHT                   RACHAEL                  "</f>
        <v xml:space="preserve">FAUGHT                   RACHAEL                  </v>
      </c>
      <c r="E13610" t="str">
        <f>"GREENWOOD                 "</f>
        <v xml:space="preserve">GREENWOOD                 </v>
      </c>
      <c r="F13610" t="str">
        <f t="shared" si="345"/>
        <v>MS</v>
      </c>
    </row>
    <row r="13611" spans="1:6" x14ac:dyDescent="0.25">
      <c r="A13611" t="str">
        <f>"008757209"</f>
        <v>008757209</v>
      </c>
      <c r="B13611" t="str">
        <f>"1013283829"</f>
        <v>1013283829</v>
      </c>
      <c r="C13611" t="str">
        <f>"363L00000X"</f>
        <v>363L00000X</v>
      </c>
      <c r="D13611" t="str">
        <f>"NORMAN                   VANESSA                  "</f>
        <v xml:space="preserve">NORMAN                   VANESSA                  </v>
      </c>
      <c r="E13611" t="str">
        <f>"MERIDIAN                  "</f>
        <v xml:space="preserve">MERIDIAN                  </v>
      </c>
      <c r="F13611" t="str">
        <f t="shared" si="345"/>
        <v>MS</v>
      </c>
    </row>
    <row r="13612" spans="1:6" x14ac:dyDescent="0.25">
      <c r="A13612" t="str">
        <f>"008758585"</f>
        <v>008758585</v>
      </c>
      <c r="B13612" t="str">
        <f>"1043418692"</f>
        <v>1043418692</v>
      </c>
      <c r="C13612" t="str">
        <f>"207RP1001X"</f>
        <v>207RP1001X</v>
      </c>
      <c r="D13612" t="str">
        <f>"MCCOLLUM III             CHARLES      R           "</f>
        <v xml:space="preserve">MCCOLLUM III             CHARLES      R           </v>
      </c>
      <c r="E13612" t="str">
        <f>"HATTIESBURG               "</f>
        <v xml:space="preserve">HATTIESBURG               </v>
      </c>
      <c r="F13612" t="str">
        <f t="shared" si="345"/>
        <v>MS</v>
      </c>
    </row>
    <row r="13613" spans="1:6" x14ac:dyDescent="0.25">
      <c r="A13613" t="str">
        <f>"008758764"</f>
        <v>008758764</v>
      </c>
      <c r="B13613" t="str">
        <f>"1801469903"</f>
        <v>1801469903</v>
      </c>
      <c r="C13613" t="str">
        <f>"367500000X"</f>
        <v>367500000X</v>
      </c>
      <c r="D13613" t="str">
        <f>"BREWER                   ROGER        D           "</f>
        <v xml:space="preserve">BREWER                   ROGER        D           </v>
      </c>
      <c r="E13613" t="str">
        <f>"CLINTON                   "</f>
        <v xml:space="preserve">CLINTON                   </v>
      </c>
      <c r="F13613" t="str">
        <f t="shared" si="345"/>
        <v>MS</v>
      </c>
    </row>
    <row r="13614" spans="1:6" x14ac:dyDescent="0.25">
      <c r="A13614" t="str">
        <f>"008759262"</f>
        <v>008759262</v>
      </c>
      <c r="B13614" t="str">
        <f>"1639614563"</f>
        <v>1639614563</v>
      </c>
      <c r="C13614" t="str">
        <f>"363L00000X"</f>
        <v>363L00000X</v>
      </c>
      <c r="D13614" t="str">
        <f>"ROBERTSON                FAYE                     "</f>
        <v xml:space="preserve">ROBERTSON                FAYE                     </v>
      </c>
      <c r="E13614" t="str">
        <f>"COLUMBUS                  "</f>
        <v xml:space="preserve">COLUMBUS                  </v>
      </c>
      <c r="F13614" t="str">
        <f t="shared" si="345"/>
        <v>MS</v>
      </c>
    </row>
    <row r="13615" spans="1:6" x14ac:dyDescent="0.25">
      <c r="A13615" t="str">
        <f>"008772501"</f>
        <v>008772501</v>
      </c>
      <c r="B13615" t="str">
        <f>"1851624928"</f>
        <v>1851624928</v>
      </c>
      <c r="C13615" t="str">
        <f>"363L00000X"</f>
        <v>363L00000X</v>
      </c>
      <c r="D13615" t="str">
        <f>"AUST                     EMILY        R           "</f>
        <v xml:space="preserve">AUST                     EMILY        R           </v>
      </c>
      <c r="E13615" t="str">
        <f>"INDIANOLA                 "</f>
        <v xml:space="preserve">INDIANOLA                 </v>
      </c>
      <c r="F13615" t="str">
        <f t="shared" si="345"/>
        <v>MS</v>
      </c>
    </row>
    <row r="13616" spans="1:6" x14ac:dyDescent="0.25">
      <c r="A13616" t="str">
        <f>"008773843"</f>
        <v>008773843</v>
      </c>
      <c r="B13616" t="str">
        <f>"1922492198"</f>
        <v>1922492198</v>
      </c>
      <c r="C13616" t="str">
        <f>"208800000X"</f>
        <v>208800000X</v>
      </c>
      <c r="D13616" t="str">
        <f>"RENTROP                  SARAH        E           "</f>
        <v xml:space="preserve">RENTROP                  SARAH        E           </v>
      </c>
      <c r="E13616" t="str">
        <f>"STARKVILLE                "</f>
        <v xml:space="preserve">STARKVILLE                </v>
      </c>
      <c r="F13616" t="str">
        <f t="shared" si="345"/>
        <v>MS</v>
      </c>
    </row>
    <row r="13617" spans="1:6" x14ac:dyDescent="0.25">
      <c r="A13617" t="str">
        <f>"008774734"</f>
        <v>008774734</v>
      </c>
      <c r="B13617" t="str">
        <f>"1932546124"</f>
        <v>1932546124</v>
      </c>
      <c r="C13617" t="str">
        <f>"363L00000X"</f>
        <v>363L00000X</v>
      </c>
      <c r="D13617" t="str">
        <f>"MCDONALD                 SHANDY       L           "</f>
        <v xml:space="preserve">MCDONALD                 SHANDY       L           </v>
      </c>
      <c r="E13617" t="str">
        <f>"IUKA                      "</f>
        <v xml:space="preserve">IUKA                      </v>
      </c>
      <c r="F13617" t="str">
        <f t="shared" si="345"/>
        <v>MS</v>
      </c>
    </row>
    <row r="13618" spans="1:6" x14ac:dyDescent="0.25">
      <c r="A13618" t="str">
        <f>"008778361"</f>
        <v>008778361</v>
      </c>
      <c r="B13618" t="str">
        <f>"1275086902"</f>
        <v>1275086902</v>
      </c>
      <c r="C13618" t="str">
        <f>"363L00000X"</f>
        <v>363L00000X</v>
      </c>
      <c r="D13618" t="str">
        <f>"POWELL                   DIOSAN       M           "</f>
        <v xml:space="preserve">POWELL                   DIOSAN       M           </v>
      </c>
      <c r="E13618" t="str">
        <f>"SOUTHAVEN                 "</f>
        <v xml:space="preserve">SOUTHAVEN                 </v>
      </c>
      <c r="F13618" t="str">
        <f t="shared" si="345"/>
        <v>MS</v>
      </c>
    </row>
    <row r="13619" spans="1:6" x14ac:dyDescent="0.25">
      <c r="A13619" t="str">
        <f>"008780794"</f>
        <v>008780794</v>
      </c>
      <c r="B13619" t="str">
        <f>"1629180815"</f>
        <v>1629180815</v>
      </c>
      <c r="C13619" t="str">
        <f>"367500000X"</f>
        <v>367500000X</v>
      </c>
      <c r="D13619" t="str">
        <f>"MCCLELLAN                CHARLOTTE    A           "</f>
        <v xml:space="preserve">MCCLELLAN                CHARLOTTE    A           </v>
      </c>
      <c r="E13619" t="str">
        <f>"FLOWOOD                   "</f>
        <v xml:space="preserve">FLOWOOD                   </v>
      </c>
      <c r="F13619" t="str">
        <f t="shared" si="345"/>
        <v>MS</v>
      </c>
    </row>
    <row r="13620" spans="1:6" x14ac:dyDescent="0.25">
      <c r="A13620" t="str">
        <f>"008781307"</f>
        <v>008781307</v>
      </c>
      <c r="B13620" t="str">
        <f>"1265865992"</f>
        <v>1265865992</v>
      </c>
      <c r="C13620" t="str">
        <f>"363L00000X"</f>
        <v>363L00000X</v>
      </c>
      <c r="D13620" t="str">
        <f>"SPARKS                   WHITNEY                  "</f>
        <v xml:space="preserve">SPARKS                   WHITNEY                  </v>
      </c>
      <c r="E13620" t="str">
        <f>"IUKA                      "</f>
        <v xml:space="preserve">IUKA                      </v>
      </c>
      <c r="F13620" t="str">
        <f t="shared" si="345"/>
        <v>MS</v>
      </c>
    </row>
    <row r="13621" spans="1:6" x14ac:dyDescent="0.25">
      <c r="A13621" t="str">
        <f>"008783528"</f>
        <v>008783528</v>
      </c>
      <c r="B13621" t="str">
        <f>"1689958902"</f>
        <v>1689958902</v>
      </c>
      <c r="C13621" t="str">
        <f>"363L00000X"</f>
        <v>363L00000X</v>
      </c>
      <c r="D13621" t="str">
        <f>"HATTAWAY                 MANDY        N           "</f>
        <v xml:space="preserve">HATTAWAY                 MANDY        N           </v>
      </c>
      <c r="E13621" t="str">
        <f>"OXFORD                    "</f>
        <v xml:space="preserve">OXFORD                    </v>
      </c>
      <c r="F13621" t="str">
        <f t="shared" si="345"/>
        <v>MS</v>
      </c>
    </row>
    <row r="13622" spans="1:6" x14ac:dyDescent="0.25">
      <c r="A13622" t="str">
        <f>"008784330"</f>
        <v>008784330</v>
      </c>
      <c r="B13622" t="str">
        <f>"1386014942"</f>
        <v>1386014942</v>
      </c>
      <c r="C13622" t="str">
        <f>"261QM0801X"</f>
        <v>261QM0801X</v>
      </c>
      <c r="D13622" t="str">
        <f>"METHODIST CHILDREN'S HOMES                        "</f>
        <v xml:space="preserve">METHODIST CHILDREN'S HOMES                        </v>
      </c>
      <c r="E13622" t="str">
        <f>"JACKSON                   "</f>
        <v xml:space="preserve">JACKSON                   </v>
      </c>
      <c r="F13622" t="str">
        <f t="shared" si="345"/>
        <v>MS</v>
      </c>
    </row>
    <row r="13623" spans="1:6" x14ac:dyDescent="0.25">
      <c r="A13623" t="str">
        <f>"008785327"</f>
        <v>008785327</v>
      </c>
      <c r="B13623" t="str">
        <f>"1760719447"</f>
        <v>1760719447</v>
      </c>
      <c r="C13623" t="str">
        <f>"363L00000X"</f>
        <v>363L00000X</v>
      </c>
      <c r="D13623" t="str">
        <f>"STARK                    LEITA        N           "</f>
        <v xml:space="preserve">STARK                    LEITA        N           </v>
      </c>
      <c r="E13623" t="str">
        <f>"FULTON                    "</f>
        <v xml:space="preserve">FULTON                    </v>
      </c>
      <c r="F13623" t="str">
        <f t="shared" si="345"/>
        <v>MS</v>
      </c>
    </row>
    <row r="13624" spans="1:6" x14ac:dyDescent="0.25">
      <c r="A13624" t="str">
        <f>"008787794"</f>
        <v>008787794</v>
      </c>
      <c r="B13624" t="str">
        <f>"1538322011"</f>
        <v>1538322011</v>
      </c>
      <c r="C13624" t="str">
        <f>"207RH0003X"</f>
        <v>207RH0003X</v>
      </c>
      <c r="D13624" t="str">
        <f>"MILNER                   CARTER       P           "</f>
        <v xml:space="preserve">MILNER                   CARTER       P           </v>
      </c>
      <c r="E13624" t="str">
        <f>"JACKSON                   "</f>
        <v xml:space="preserve">JACKSON                   </v>
      </c>
      <c r="F13624" t="str">
        <f t="shared" si="345"/>
        <v>MS</v>
      </c>
    </row>
    <row r="13625" spans="1:6" x14ac:dyDescent="0.25">
      <c r="A13625" t="str">
        <f>"008788071"</f>
        <v>008788071</v>
      </c>
      <c r="B13625" t="str">
        <f>"1548446115"</f>
        <v>1548446115</v>
      </c>
      <c r="C13625" t="str">
        <f>"367500000X"</f>
        <v>367500000X</v>
      </c>
      <c r="D13625" t="str">
        <f>"SERIO                    ANGELA                   "</f>
        <v xml:space="preserve">SERIO                    ANGELA                   </v>
      </c>
      <c r="E13625" t="str">
        <f>"AMORY                     "</f>
        <v xml:space="preserve">AMORY                     </v>
      </c>
      <c r="F13625" t="str">
        <f t="shared" si="345"/>
        <v>MS</v>
      </c>
    </row>
    <row r="13626" spans="1:6" x14ac:dyDescent="0.25">
      <c r="A13626" t="str">
        <f>"008788721"</f>
        <v>008788721</v>
      </c>
      <c r="B13626" t="str">
        <f>"1669757944"</f>
        <v>1669757944</v>
      </c>
      <c r="C13626" t="str">
        <f>"261QA0600X"</f>
        <v>261QA0600X</v>
      </c>
      <c r="D13626" t="str">
        <f>"GRANCARE ADULT DAY CARE                           "</f>
        <v xml:space="preserve">GRANCARE ADULT DAY CARE                           </v>
      </c>
      <c r="E13626" t="str">
        <f>"GRENADA                   "</f>
        <v xml:space="preserve">GRENADA                   </v>
      </c>
      <c r="F13626" t="str">
        <f t="shared" si="345"/>
        <v>MS</v>
      </c>
    </row>
    <row r="13627" spans="1:6" x14ac:dyDescent="0.25">
      <c r="A13627" t="str">
        <f>"008788742"</f>
        <v>008788742</v>
      </c>
      <c r="B13627" t="str">
        <f>"1942607130"</f>
        <v>1942607130</v>
      </c>
      <c r="C13627" t="str">
        <f>"363L00000X"</f>
        <v>363L00000X</v>
      </c>
      <c r="D13627" t="str">
        <f>"PERKINS                  SARAH        H           "</f>
        <v xml:space="preserve">PERKINS                  SARAH        H           </v>
      </c>
      <c r="E13627" t="str">
        <f>"SENATOBIA                 "</f>
        <v xml:space="preserve">SENATOBIA                 </v>
      </c>
      <c r="F13627" t="str">
        <f t="shared" si="345"/>
        <v>MS</v>
      </c>
    </row>
    <row r="13628" spans="1:6" x14ac:dyDescent="0.25">
      <c r="A13628" t="str">
        <f>"008789364"</f>
        <v>008789364</v>
      </c>
      <c r="B13628" t="str">
        <f>"1760979256"</f>
        <v>1760979256</v>
      </c>
      <c r="C13628" t="str">
        <f>"207X00000X"</f>
        <v>207X00000X</v>
      </c>
      <c r="D13628" t="str">
        <f>"DALE                     WOOD         W           "</f>
        <v xml:space="preserve">DALE                     WOOD         W           </v>
      </c>
      <c r="E13628" t="str">
        <f>"JACKSON                   "</f>
        <v xml:space="preserve">JACKSON                   </v>
      </c>
      <c r="F13628" t="str">
        <f t="shared" si="345"/>
        <v>MS</v>
      </c>
    </row>
    <row r="13629" spans="1:6" x14ac:dyDescent="0.25">
      <c r="A13629" t="str">
        <f>"008789502"</f>
        <v>008789502</v>
      </c>
      <c r="B13629" t="str">
        <f>"1891810396"</f>
        <v>1891810396</v>
      </c>
      <c r="C13629" t="str">
        <f>"152W00000X"</f>
        <v>152W00000X</v>
      </c>
      <c r="D13629" t="str">
        <f>"KING                     DANNETTE     N           "</f>
        <v xml:space="preserve">KING                     DANNETTE     N           </v>
      </c>
      <c r="E13629" t="str">
        <f>"PASCAGOULA                "</f>
        <v xml:space="preserve">PASCAGOULA                </v>
      </c>
      <c r="F13629" t="str">
        <f t="shared" si="345"/>
        <v>MS</v>
      </c>
    </row>
    <row r="13630" spans="1:6" x14ac:dyDescent="0.25">
      <c r="A13630" t="str">
        <f>"008789729"</f>
        <v>008789729</v>
      </c>
      <c r="B13630" t="str">
        <f>"1629614128"</f>
        <v>1629614128</v>
      </c>
      <c r="C13630" t="str">
        <f>"363L00000X"</f>
        <v>363L00000X</v>
      </c>
      <c r="D13630" t="str">
        <f>"WISNER                   MELISSA                  "</f>
        <v xml:space="preserve">WISNER                   MELISSA                  </v>
      </c>
      <c r="E13630" t="str">
        <f>"NATCHEZ                   "</f>
        <v xml:space="preserve">NATCHEZ                   </v>
      </c>
      <c r="F13630" t="str">
        <f t="shared" ref="F13630:F13693" si="346">"MS"</f>
        <v>MS</v>
      </c>
    </row>
    <row r="13631" spans="1:6" x14ac:dyDescent="0.25">
      <c r="A13631" t="str">
        <f>"008800015"</f>
        <v>008800015</v>
      </c>
      <c r="B13631" t="str">
        <f>"1083040562"</f>
        <v>1083040562</v>
      </c>
      <c r="C13631" t="str">
        <f>"363L00000X"</f>
        <v>363L00000X</v>
      </c>
      <c r="D13631" t="str">
        <f>"GREENE                   AMANDA       B           "</f>
        <v xml:space="preserve">GREENE                   AMANDA       B           </v>
      </c>
      <c r="E13631" t="str">
        <f>"JACKSON                   "</f>
        <v xml:space="preserve">JACKSON                   </v>
      </c>
      <c r="F13631" t="str">
        <f t="shared" si="346"/>
        <v>MS</v>
      </c>
    </row>
    <row r="13632" spans="1:6" x14ac:dyDescent="0.25">
      <c r="A13632" t="str">
        <f>"008800247"</f>
        <v>008800247</v>
      </c>
      <c r="B13632" t="str">
        <f>"1770505141"</f>
        <v>1770505141</v>
      </c>
      <c r="C13632" t="str">
        <f>"363L00000X"</f>
        <v>363L00000X</v>
      </c>
      <c r="D13632" t="str">
        <f>"JOHNSON                  OLIVIA       D           "</f>
        <v xml:space="preserve">JOHNSON                  OLIVIA       D           </v>
      </c>
      <c r="E13632" t="str">
        <f>"MERIDIAN                  "</f>
        <v xml:space="preserve">MERIDIAN                  </v>
      </c>
      <c r="F13632" t="str">
        <f t="shared" si="346"/>
        <v>MS</v>
      </c>
    </row>
    <row r="13633" spans="1:6" x14ac:dyDescent="0.25">
      <c r="A13633" t="str">
        <f>"008800737"</f>
        <v>008800737</v>
      </c>
      <c r="B13633" t="str">
        <f>"1588929855"</f>
        <v>1588929855</v>
      </c>
      <c r="C13633" t="str">
        <f>"207P00000X"</f>
        <v>207P00000X</v>
      </c>
      <c r="D13633" t="str">
        <f>"CEASE                    ALAN         T           "</f>
        <v xml:space="preserve">CEASE                    ALAN         T           </v>
      </c>
      <c r="E13633" t="str">
        <f>"MERIDIAN                  "</f>
        <v xml:space="preserve">MERIDIAN                  </v>
      </c>
      <c r="F13633" t="str">
        <f t="shared" si="346"/>
        <v>MS</v>
      </c>
    </row>
    <row r="13634" spans="1:6" x14ac:dyDescent="0.25">
      <c r="A13634" t="str">
        <f>"008801068"</f>
        <v>008801068</v>
      </c>
      <c r="B13634" t="str">
        <f>"1144714353"</f>
        <v>1144714353</v>
      </c>
      <c r="C13634" t="str">
        <f>"363L00000X"</f>
        <v>363L00000X</v>
      </c>
      <c r="D13634" t="str">
        <f>"KINGSTON                 CASSANDRA    L           "</f>
        <v xml:space="preserve">KINGSTON                 CASSANDRA    L           </v>
      </c>
      <c r="E13634" t="str">
        <f>"VICKSBURG                 "</f>
        <v xml:space="preserve">VICKSBURG                 </v>
      </c>
      <c r="F13634" t="str">
        <f t="shared" si="346"/>
        <v>MS</v>
      </c>
    </row>
    <row r="13635" spans="1:6" x14ac:dyDescent="0.25">
      <c r="A13635" t="str">
        <f>"008804774"</f>
        <v>008804774</v>
      </c>
      <c r="B13635" t="str">
        <f>"1891236725"</f>
        <v>1891236725</v>
      </c>
      <c r="C13635" t="str">
        <f>"363L00000X"</f>
        <v>363L00000X</v>
      </c>
      <c r="D13635" t="str">
        <f>"PURVIANCE                CHRISTINA    D           "</f>
        <v xml:space="preserve">PURVIANCE                CHRISTINA    D           </v>
      </c>
      <c r="E13635" t="str">
        <f>"JACKSON                   "</f>
        <v xml:space="preserve">JACKSON                   </v>
      </c>
      <c r="F13635" t="str">
        <f t="shared" si="346"/>
        <v>MS</v>
      </c>
    </row>
    <row r="13636" spans="1:6" x14ac:dyDescent="0.25">
      <c r="A13636" t="str">
        <f>"008805086"</f>
        <v>008805086</v>
      </c>
      <c r="B13636" t="str">
        <f>"1538263058"</f>
        <v>1538263058</v>
      </c>
      <c r="C13636" t="str">
        <f>"207R00000X"</f>
        <v>207R00000X</v>
      </c>
      <c r="D13636" t="str">
        <f>"ORENDER                  JAMES        M           "</f>
        <v xml:space="preserve">ORENDER                  JAMES        M           </v>
      </c>
      <c r="E13636" t="str">
        <f>"MANTACHIE                 "</f>
        <v xml:space="preserve">MANTACHIE                 </v>
      </c>
      <c r="F13636" t="str">
        <f t="shared" si="346"/>
        <v>MS</v>
      </c>
    </row>
    <row r="13637" spans="1:6" x14ac:dyDescent="0.25">
      <c r="A13637" t="str">
        <f>"008806035"</f>
        <v>008806035</v>
      </c>
      <c r="B13637" t="str">
        <f>"1831388271"</f>
        <v>1831388271</v>
      </c>
      <c r="C13637" t="str">
        <f>"207L00000X"</f>
        <v>207L00000X</v>
      </c>
      <c r="D13637" t="str">
        <f>"MAY                      DAVID        C           "</f>
        <v xml:space="preserve">MAY                      DAVID        C           </v>
      </c>
      <c r="E13637" t="str">
        <f>"JACKSON                   "</f>
        <v xml:space="preserve">JACKSON                   </v>
      </c>
      <c r="F13637" t="str">
        <f t="shared" si="346"/>
        <v>MS</v>
      </c>
    </row>
    <row r="13638" spans="1:6" x14ac:dyDescent="0.25">
      <c r="A13638" t="str">
        <f>"008806322"</f>
        <v>008806322</v>
      </c>
      <c r="B13638" t="str">
        <f>"1467976126"</f>
        <v>1467976126</v>
      </c>
      <c r="C13638" t="str">
        <f>"122300000X"</f>
        <v>122300000X</v>
      </c>
      <c r="D13638" t="str">
        <f>"GRADY                    KIMBERLY                 "</f>
        <v xml:space="preserve">GRADY                    KIMBERLY                 </v>
      </c>
      <c r="E13638" t="str">
        <f>"MERIDIAN                  "</f>
        <v xml:space="preserve">MERIDIAN                  </v>
      </c>
      <c r="F13638" t="str">
        <f t="shared" si="346"/>
        <v>MS</v>
      </c>
    </row>
    <row r="13639" spans="1:6" x14ac:dyDescent="0.25">
      <c r="A13639" t="str">
        <f>"008806571"</f>
        <v>008806571</v>
      </c>
      <c r="B13639" t="str">
        <f>"1821219106"</f>
        <v>1821219106</v>
      </c>
      <c r="C13639" t="str">
        <f>"207RC0000X"</f>
        <v>207RC0000X</v>
      </c>
      <c r="D13639" t="str">
        <f>"CUNNINGHAM               MICHAEL      C           "</f>
        <v xml:space="preserve">CUNNINGHAM               MICHAEL      C           </v>
      </c>
      <c r="E13639" t="str">
        <f>"BILOXI                    "</f>
        <v xml:space="preserve">BILOXI                    </v>
      </c>
      <c r="F13639" t="str">
        <f t="shared" si="346"/>
        <v>MS</v>
      </c>
    </row>
    <row r="13640" spans="1:6" x14ac:dyDescent="0.25">
      <c r="A13640" t="str">
        <f>"008806741"</f>
        <v>008806741</v>
      </c>
      <c r="B13640" t="str">
        <f>"1114401908"</f>
        <v>1114401908</v>
      </c>
      <c r="C13640" t="str">
        <f>"363L00000X"</f>
        <v>363L00000X</v>
      </c>
      <c r="D13640" t="str">
        <f>"GAINEY                   CONNIE       J           "</f>
        <v xml:space="preserve">GAINEY                   CONNIE       J           </v>
      </c>
      <c r="E13640" t="str">
        <f>"MERIDIAN                  "</f>
        <v xml:space="preserve">MERIDIAN                  </v>
      </c>
      <c r="F13640" t="str">
        <f t="shared" si="346"/>
        <v>MS</v>
      </c>
    </row>
    <row r="13641" spans="1:6" x14ac:dyDescent="0.25">
      <c r="A13641" t="str">
        <f>"008806784"</f>
        <v>008806784</v>
      </c>
      <c r="B13641" t="str">
        <f>"1619554219"</f>
        <v>1619554219</v>
      </c>
      <c r="C13641" t="str">
        <f>"207T00000X"</f>
        <v>207T00000X</v>
      </c>
      <c r="D13641" t="str">
        <f>"GILES                    TYLER        X           "</f>
        <v xml:space="preserve">GILES                    TYLER        X           </v>
      </c>
      <c r="E13641" t="str">
        <f>"JACKSON                   "</f>
        <v xml:space="preserve">JACKSON                   </v>
      </c>
      <c r="F13641" t="str">
        <f t="shared" si="346"/>
        <v>MS</v>
      </c>
    </row>
    <row r="13642" spans="1:6" x14ac:dyDescent="0.25">
      <c r="A13642" t="str">
        <f>"008807313"</f>
        <v>008807313</v>
      </c>
      <c r="B13642" t="str">
        <f>"1205274230"</f>
        <v>1205274230</v>
      </c>
      <c r="C13642" t="str">
        <f>"207P00000X"</f>
        <v>207P00000X</v>
      </c>
      <c r="D13642" t="str">
        <f>"BRONSON II               JAMES        B           "</f>
        <v xml:space="preserve">BRONSON II               JAMES        B           </v>
      </c>
      <c r="E13642" t="str">
        <f>"LAUREL                    "</f>
        <v xml:space="preserve">LAUREL                    </v>
      </c>
      <c r="F13642" t="str">
        <f t="shared" si="346"/>
        <v>MS</v>
      </c>
    </row>
    <row r="13643" spans="1:6" x14ac:dyDescent="0.25">
      <c r="A13643" t="str">
        <f>"008807707"</f>
        <v>008807707</v>
      </c>
      <c r="B13643" t="str">
        <f>"1104840958"</f>
        <v>1104840958</v>
      </c>
      <c r="C13643" t="str">
        <f>"207RH0005X"</f>
        <v>207RH0005X</v>
      </c>
      <c r="D13643" t="str">
        <f>"BATSON                   BRYAN        N           "</f>
        <v xml:space="preserve">BATSON                   BRYAN        N           </v>
      </c>
      <c r="E13643" t="str">
        <f>"HATTIESBURG               "</f>
        <v xml:space="preserve">HATTIESBURG               </v>
      </c>
      <c r="F13643" t="str">
        <f t="shared" si="346"/>
        <v>MS</v>
      </c>
    </row>
    <row r="13644" spans="1:6" x14ac:dyDescent="0.25">
      <c r="A13644" t="str">
        <f>"008807778"</f>
        <v>008807778</v>
      </c>
      <c r="B13644" t="str">
        <f>"1871134783"</f>
        <v>1871134783</v>
      </c>
      <c r="C13644" t="str">
        <f>"363L00000X"</f>
        <v>363L00000X</v>
      </c>
      <c r="D13644" t="str">
        <f>"CEPHAS                   TYSHEKA                  "</f>
        <v xml:space="preserve">CEPHAS                   TYSHEKA                  </v>
      </c>
      <c r="E13644" t="str">
        <f>"GULFPORT                  "</f>
        <v xml:space="preserve">GULFPORT                  </v>
      </c>
      <c r="F13644" t="str">
        <f t="shared" si="346"/>
        <v>MS</v>
      </c>
    </row>
    <row r="13645" spans="1:6" x14ac:dyDescent="0.25">
      <c r="A13645" t="str">
        <f>"008807834"</f>
        <v>008807834</v>
      </c>
      <c r="B13645" t="str">
        <f>"1508022476"</f>
        <v>1508022476</v>
      </c>
      <c r="C13645" t="str">
        <f>"207R00000X"</f>
        <v>207R00000X</v>
      </c>
      <c r="D13645" t="str">
        <f>"WADE                     MATTHEW      J           "</f>
        <v xml:space="preserve">WADE                     MATTHEW      J           </v>
      </c>
      <c r="E13645" t="str">
        <f>"COLUMBUS                  "</f>
        <v xml:space="preserve">COLUMBUS                  </v>
      </c>
      <c r="F13645" t="str">
        <f t="shared" si="346"/>
        <v>MS</v>
      </c>
    </row>
    <row r="13646" spans="1:6" x14ac:dyDescent="0.25">
      <c r="A13646" t="str">
        <f>"008808216"</f>
        <v>008808216</v>
      </c>
      <c r="B13646" t="str">
        <f>"1073034831"</f>
        <v>1073034831</v>
      </c>
      <c r="C13646" t="str">
        <f>"207R00000X"</f>
        <v>207R00000X</v>
      </c>
      <c r="D13646" t="str">
        <f>"WHITE-GITTENS            IAN          C           "</f>
        <v xml:space="preserve">WHITE-GITTENS            IAN          C           </v>
      </c>
      <c r="E13646" t="str">
        <f>"JACKSON                   "</f>
        <v xml:space="preserve">JACKSON                   </v>
      </c>
      <c r="F13646" t="str">
        <f t="shared" si="346"/>
        <v>MS</v>
      </c>
    </row>
    <row r="13647" spans="1:6" x14ac:dyDescent="0.25">
      <c r="A13647" t="str">
        <f>"008808877"</f>
        <v>008808877</v>
      </c>
      <c r="B13647" t="str">
        <f>"1841715539"</f>
        <v>1841715539</v>
      </c>
      <c r="C13647" t="str">
        <f>"261QM3000X"</f>
        <v>261QM3000X</v>
      </c>
      <c r="D13647" t="str">
        <f>"HAPPICARE PPEC                                    "</f>
        <v xml:space="preserve">HAPPICARE PPEC                                    </v>
      </c>
      <c r="E13647" t="str">
        <f>"GREENWOOD                 "</f>
        <v xml:space="preserve">GREENWOOD                 </v>
      </c>
      <c r="F13647" t="str">
        <f t="shared" si="346"/>
        <v>MS</v>
      </c>
    </row>
    <row r="13648" spans="1:6" x14ac:dyDescent="0.25">
      <c r="A13648" t="str">
        <f>"008820253"</f>
        <v>008820253</v>
      </c>
      <c r="B13648" t="str">
        <f>"1033537212"</f>
        <v>1033537212</v>
      </c>
      <c r="C13648" t="str">
        <f>"207LP2900X"</f>
        <v>207LP2900X</v>
      </c>
      <c r="D13648" t="str">
        <f>"RAYBURN                  JONATHAN     H           "</f>
        <v xml:space="preserve">RAYBURN                  JONATHAN     H           </v>
      </c>
      <c r="E13648" t="str">
        <f>"HATTIESBURG               "</f>
        <v xml:space="preserve">HATTIESBURG               </v>
      </c>
      <c r="F13648" t="str">
        <f t="shared" si="346"/>
        <v>MS</v>
      </c>
    </row>
    <row r="13649" spans="1:6" x14ac:dyDescent="0.25">
      <c r="A13649" t="str">
        <f>"008820416"</f>
        <v>008820416</v>
      </c>
      <c r="B13649" t="str">
        <f>"1073251658"</f>
        <v>1073251658</v>
      </c>
      <c r="C13649" t="str">
        <f>"207Q00000X"</f>
        <v>207Q00000X</v>
      </c>
      <c r="D13649" t="str">
        <f>"WARREN                   KAITLYN      R           "</f>
        <v xml:space="preserve">WARREN                   KAITLYN      R           </v>
      </c>
      <c r="E13649" t="str">
        <f>"HATTIESBURG               "</f>
        <v xml:space="preserve">HATTIESBURG               </v>
      </c>
      <c r="F13649" t="str">
        <f t="shared" si="346"/>
        <v>MS</v>
      </c>
    </row>
    <row r="13650" spans="1:6" x14ac:dyDescent="0.25">
      <c r="A13650" t="str">
        <f>"008820505"</f>
        <v>008820505</v>
      </c>
      <c r="B13650" t="str">
        <f>"1538361027"</f>
        <v>1538361027</v>
      </c>
      <c r="C13650" t="str">
        <f>"363L00000X"</f>
        <v>363L00000X</v>
      </c>
      <c r="D13650" t="str">
        <f>"FLEMING                  KAREN        A           "</f>
        <v xml:space="preserve">FLEMING                  KAREN        A           </v>
      </c>
      <c r="E13650" t="str">
        <f>"GREENVILLE                "</f>
        <v xml:space="preserve">GREENVILLE                </v>
      </c>
      <c r="F13650" t="str">
        <f t="shared" si="346"/>
        <v>MS</v>
      </c>
    </row>
    <row r="13651" spans="1:6" x14ac:dyDescent="0.25">
      <c r="A13651" t="str">
        <f>"008822314"</f>
        <v>008822314</v>
      </c>
      <c r="B13651" t="str">
        <f>"1982188421"</f>
        <v>1982188421</v>
      </c>
      <c r="C13651" t="str">
        <f>"363L00000X"</f>
        <v>363L00000X</v>
      </c>
      <c r="D13651" t="str">
        <f>"RIVERA                   SHERRY       C           "</f>
        <v xml:space="preserve">RIVERA                   SHERRY       C           </v>
      </c>
      <c r="E13651" t="str">
        <f>"HATTIESBURG               "</f>
        <v xml:space="preserve">HATTIESBURG               </v>
      </c>
      <c r="F13651" t="str">
        <f t="shared" si="346"/>
        <v>MS</v>
      </c>
    </row>
    <row r="13652" spans="1:6" x14ac:dyDescent="0.25">
      <c r="A13652" t="str">
        <f>"008823784"</f>
        <v>008823784</v>
      </c>
      <c r="B13652" t="str">
        <f>"1659844496"</f>
        <v>1659844496</v>
      </c>
      <c r="C13652" t="str">
        <f>"363L00000X"</f>
        <v>363L00000X</v>
      </c>
      <c r="D13652" t="str">
        <f>"DIAMOND                  CHARLES      F           "</f>
        <v xml:space="preserve">DIAMOND                  CHARLES      F           </v>
      </c>
      <c r="E13652" t="str">
        <f>"BROOKLYN                  "</f>
        <v xml:space="preserve">BROOKLYN                  </v>
      </c>
      <c r="F13652" t="str">
        <f t="shared" si="346"/>
        <v>MS</v>
      </c>
    </row>
    <row r="13653" spans="1:6" x14ac:dyDescent="0.25">
      <c r="A13653" t="str">
        <f>"008824840"</f>
        <v>008824840</v>
      </c>
      <c r="B13653" t="str">
        <f>"1811150766"</f>
        <v>1811150766</v>
      </c>
      <c r="C13653" t="str">
        <f>"122300000X"</f>
        <v>122300000X</v>
      </c>
      <c r="D13653" t="str">
        <f>"SNELL                    DEIDRA       J           "</f>
        <v xml:space="preserve">SNELL                    DEIDRA       J           </v>
      </c>
      <c r="E13653" t="str">
        <f>"JACKSON                   "</f>
        <v xml:space="preserve">JACKSON                   </v>
      </c>
      <c r="F13653" t="str">
        <f t="shared" si="346"/>
        <v>MS</v>
      </c>
    </row>
    <row r="13654" spans="1:6" x14ac:dyDescent="0.25">
      <c r="A13654" t="str">
        <f>"008824853"</f>
        <v>008824853</v>
      </c>
      <c r="B13654" t="str">
        <f>"1245909803"</f>
        <v>1245909803</v>
      </c>
      <c r="C13654" t="str">
        <f>"367500000X"</f>
        <v>367500000X</v>
      </c>
      <c r="D13654" t="str">
        <f>"SIVLEY                   BRANDON      C           "</f>
        <v xml:space="preserve">SIVLEY                   BRANDON      C           </v>
      </c>
      <c r="E13654" t="str">
        <f>"OXFORD                    "</f>
        <v xml:space="preserve">OXFORD                    </v>
      </c>
      <c r="F13654" t="str">
        <f t="shared" si="346"/>
        <v>MS</v>
      </c>
    </row>
    <row r="13655" spans="1:6" x14ac:dyDescent="0.25">
      <c r="A13655" t="str">
        <f>"008826259"</f>
        <v>008826259</v>
      </c>
      <c r="B13655" t="str">
        <f>"1356960777"</f>
        <v>1356960777</v>
      </c>
      <c r="C13655" t="str">
        <f>"363L00000X"</f>
        <v>363L00000X</v>
      </c>
      <c r="D13655" t="str">
        <f>"HUNTER                   JENNIFER     M           "</f>
        <v xml:space="preserve">HUNTER                   JENNIFER     M           </v>
      </c>
      <c r="E13655" t="str">
        <f>"GULFPORT                  "</f>
        <v xml:space="preserve">GULFPORT                  </v>
      </c>
      <c r="F13655" t="str">
        <f t="shared" si="346"/>
        <v>MS</v>
      </c>
    </row>
    <row r="13656" spans="1:6" x14ac:dyDescent="0.25">
      <c r="A13656" t="str">
        <f>"008826864"</f>
        <v>008826864</v>
      </c>
      <c r="B13656" t="str">
        <f>"1508843772"</f>
        <v>1508843772</v>
      </c>
      <c r="C13656" t="str">
        <f>"207V00000X"</f>
        <v>207V00000X</v>
      </c>
      <c r="D13656" t="str">
        <f>"SUMMERLIN                HOLLY        G           "</f>
        <v xml:space="preserve">SUMMERLIN                HOLLY        G           </v>
      </c>
      <c r="E13656" t="str">
        <f>"BILOXI                    "</f>
        <v xml:space="preserve">BILOXI                    </v>
      </c>
      <c r="F13656" t="str">
        <f t="shared" si="346"/>
        <v>MS</v>
      </c>
    </row>
    <row r="13657" spans="1:6" x14ac:dyDescent="0.25">
      <c r="A13657" t="str">
        <f>"008827004"</f>
        <v>008827004</v>
      </c>
      <c r="B13657" t="str">
        <f>"1336431436"</f>
        <v>1336431436</v>
      </c>
      <c r="C13657" t="str">
        <f>"2085R0202X"</f>
        <v>2085R0202X</v>
      </c>
      <c r="D13657" t="str">
        <f>"GREENFIELD               BRAD         J           "</f>
        <v xml:space="preserve">GREENFIELD               BRAD         J           </v>
      </c>
      <c r="E13657" t="str">
        <f>"PASCAGOULA                "</f>
        <v xml:space="preserve">PASCAGOULA                </v>
      </c>
      <c r="F13657" t="str">
        <f t="shared" si="346"/>
        <v>MS</v>
      </c>
    </row>
    <row r="13658" spans="1:6" x14ac:dyDescent="0.25">
      <c r="A13658" t="str">
        <f>"008827064"</f>
        <v>008827064</v>
      </c>
      <c r="B13658" t="str">
        <f>"1902301237"</f>
        <v>1902301237</v>
      </c>
      <c r="C13658" t="str">
        <f>"363L00000X"</f>
        <v>363L00000X</v>
      </c>
      <c r="D13658" t="str">
        <f>"SUMLER                   KERRI        E           "</f>
        <v xml:space="preserve">SUMLER                   KERRI        E           </v>
      </c>
      <c r="E13658" t="str">
        <f>"CORINTH                   "</f>
        <v xml:space="preserve">CORINTH                   </v>
      </c>
      <c r="F13658" t="str">
        <f t="shared" si="346"/>
        <v>MS</v>
      </c>
    </row>
    <row r="13659" spans="1:6" x14ac:dyDescent="0.25">
      <c r="A13659" t="str">
        <f>"008827339"</f>
        <v>008827339</v>
      </c>
      <c r="B13659" t="str">
        <f>"1699981639"</f>
        <v>1699981639</v>
      </c>
      <c r="C13659" t="str">
        <f>"207ZP0105X"</f>
        <v>207ZP0105X</v>
      </c>
      <c r="D13659" t="str">
        <f>"ELKINS                   CAMILLE      T           "</f>
        <v xml:space="preserve">ELKINS                   CAMILLE      T           </v>
      </c>
      <c r="E13659" t="str">
        <f>"BILOXI                    "</f>
        <v xml:space="preserve">BILOXI                    </v>
      </c>
      <c r="F13659" t="str">
        <f t="shared" si="346"/>
        <v>MS</v>
      </c>
    </row>
    <row r="13660" spans="1:6" x14ac:dyDescent="0.25">
      <c r="A13660" t="str">
        <f>"008827349"</f>
        <v>008827349</v>
      </c>
      <c r="B13660" t="str">
        <f>"1790295400"</f>
        <v>1790295400</v>
      </c>
      <c r="C13660" t="str">
        <f>"363L00000X"</f>
        <v>363L00000X</v>
      </c>
      <c r="D13660" t="str">
        <f>"CARTER                   APRIL        S           "</f>
        <v xml:space="preserve">CARTER                   APRIL        S           </v>
      </c>
      <c r="E13660" t="str">
        <f>"JACKSON                   "</f>
        <v xml:space="preserve">JACKSON                   </v>
      </c>
      <c r="F13660" t="str">
        <f t="shared" si="346"/>
        <v>MS</v>
      </c>
    </row>
    <row r="13661" spans="1:6" x14ac:dyDescent="0.25">
      <c r="A13661" t="str">
        <f>"008828791"</f>
        <v>008828791</v>
      </c>
      <c r="B13661" t="str">
        <f>"1346344579"</f>
        <v>1346344579</v>
      </c>
      <c r="C13661" t="str">
        <f>"367500000X"</f>
        <v>367500000X</v>
      </c>
      <c r="D13661" t="str">
        <f>"SMITH                    THOMAS       B           "</f>
        <v xml:space="preserve">SMITH                    THOMAS       B           </v>
      </c>
      <c r="E13661" t="str">
        <f>"FLOWOOD                   "</f>
        <v xml:space="preserve">FLOWOOD                   </v>
      </c>
      <c r="F13661" t="str">
        <f t="shared" si="346"/>
        <v>MS</v>
      </c>
    </row>
    <row r="13662" spans="1:6" x14ac:dyDescent="0.25">
      <c r="A13662" t="str">
        <f>"008830209"</f>
        <v>008830209</v>
      </c>
      <c r="B13662" t="str">
        <f>"1730743758"</f>
        <v>1730743758</v>
      </c>
      <c r="C13662" t="str">
        <f>"367500000X"</f>
        <v>367500000X</v>
      </c>
      <c r="D13662" t="str">
        <f>"PARKER                   JORDAN                   "</f>
        <v xml:space="preserve">PARKER                   JORDAN                   </v>
      </c>
      <c r="E13662" t="str">
        <f>"JACKSON                   "</f>
        <v xml:space="preserve">JACKSON                   </v>
      </c>
      <c r="F13662" t="str">
        <f t="shared" si="346"/>
        <v>MS</v>
      </c>
    </row>
    <row r="13663" spans="1:6" x14ac:dyDescent="0.25">
      <c r="A13663" t="str">
        <f>"008832041"</f>
        <v>008832041</v>
      </c>
      <c r="B13663" t="str">
        <f>"1144762568"</f>
        <v>1144762568</v>
      </c>
      <c r="C13663" t="str">
        <f>"363L00000X"</f>
        <v>363L00000X</v>
      </c>
      <c r="D13663" t="str">
        <f>"BOONE                    KAREN        L           "</f>
        <v xml:space="preserve">BOONE                    KAREN        L           </v>
      </c>
      <c r="E13663" t="str">
        <f>"WESSON                    "</f>
        <v xml:space="preserve">WESSON                    </v>
      </c>
      <c r="F13663" t="str">
        <f t="shared" si="346"/>
        <v>MS</v>
      </c>
    </row>
    <row r="13664" spans="1:6" x14ac:dyDescent="0.25">
      <c r="A13664" t="str">
        <f>"008832309"</f>
        <v>008832309</v>
      </c>
      <c r="B13664" t="str">
        <f>"1720193675"</f>
        <v>1720193675</v>
      </c>
      <c r="C13664" t="str">
        <f>"363L00000X"</f>
        <v>363L00000X</v>
      </c>
      <c r="D13664" t="str">
        <f>"STUBBS                   JODI                     "</f>
        <v xml:space="preserve">STUBBS                   JODI                     </v>
      </c>
      <c r="E13664" t="str">
        <f>"JACKSON                   "</f>
        <v xml:space="preserve">JACKSON                   </v>
      </c>
      <c r="F13664" t="str">
        <f t="shared" si="346"/>
        <v>MS</v>
      </c>
    </row>
    <row r="13665" spans="1:6" x14ac:dyDescent="0.25">
      <c r="A13665" t="str">
        <f>"008833291"</f>
        <v>008833291</v>
      </c>
      <c r="B13665" t="str">
        <f>"1740291947"</f>
        <v>1740291947</v>
      </c>
      <c r="C13665" t="str">
        <f>"367500000X"</f>
        <v>367500000X</v>
      </c>
      <c r="D13665" t="str">
        <f>"COPELAND                 KRISTINA     M           "</f>
        <v xml:space="preserve">COPELAND                 KRISTINA     M           </v>
      </c>
      <c r="E13665" t="str">
        <f>"MERIDIAN                  "</f>
        <v xml:space="preserve">MERIDIAN                  </v>
      </c>
      <c r="F13665" t="str">
        <f t="shared" si="346"/>
        <v>MS</v>
      </c>
    </row>
    <row r="13666" spans="1:6" x14ac:dyDescent="0.25">
      <c r="A13666" t="str">
        <f>"008834379"</f>
        <v>008834379</v>
      </c>
      <c r="B13666" t="str">
        <f>"1942645486"</f>
        <v>1942645486</v>
      </c>
      <c r="C13666" t="str">
        <f>"207R00000X"</f>
        <v>207R00000X</v>
      </c>
      <c r="D13666" t="str">
        <f>"WALTERS                  RENEE                    "</f>
        <v xml:space="preserve">WALTERS                  RENEE                    </v>
      </c>
      <c r="E13666" t="str">
        <f>"TUPELO                    "</f>
        <v xml:space="preserve">TUPELO                    </v>
      </c>
      <c r="F13666" t="str">
        <f t="shared" si="346"/>
        <v>MS</v>
      </c>
    </row>
    <row r="13667" spans="1:6" x14ac:dyDescent="0.25">
      <c r="A13667" t="str">
        <f>"008835763"</f>
        <v>008835763</v>
      </c>
      <c r="B13667" t="str">
        <f>"1497975106"</f>
        <v>1497975106</v>
      </c>
      <c r="C13667" t="str">
        <f>"207Y00000X"</f>
        <v>207Y00000X</v>
      </c>
      <c r="D13667" t="str">
        <f>"WINDHAM                  BYRON        P           "</f>
        <v xml:space="preserve">WINDHAM                  BYRON        P           </v>
      </c>
      <c r="E13667" t="str">
        <f>"OXFORD                    "</f>
        <v xml:space="preserve">OXFORD                    </v>
      </c>
      <c r="F13667" t="str">
        <f t="shared" si="346"/>
        <v>MS</v>
      </c>
    </row>
    <row r="13668" spans="1:6" x14ac:dyDescent="0.25">
      <c r="A13668" t="str">
        <f>"008835766"</f>
        <v>008835766</v>
      </c>
      <c r="B13668" t="str">
        <f>"1114359866"</f>
        <v>1114359866</v>
      </c>
      <c r="C13668" t="str">
        <f>"122300000X"</f>
        <v>122300000X</v>
      </c>
      <c r="D13668" t="str">
        <f>"CMHP ENTERPRISES                                  "</f>
        <v xml:space="preserve">CMHP ENTERPRISES                                  </v>
      </c>
      <c r="E13668" t="str">
        <f>"GRENADA                   "</f>
        <v xml:space="preserve">GRENADA                   </v>
      </c>
      <c r="F13668" t="str">
        <f t="shared" si="346"/>
        <v>MS</v>
      </c>
    </row>
    <row r="13669" spans="1:6" x14ac:dyDescent="0.25">
      <c r="A13669" t="str">
        <f>"008836830"</f>
        <v>008836830</v>
      </c>
      <c r="B13669" t="str">
        <f>"1265445472"</f>
        <v>1265445472</v>
      </c>
      <c r="C13669" t="str">
        <f>"363L00000X"</f>
        <v>363L00000X</v>
      </c>
      <c r="D13669" t="str">
        <f>"BUTLER                   REBECCA      H           "</f>
        <v xml:space="preserve">BUTLER                   REBECCA      H           </v>
      </c>
      <c r="E13669" t="str">
        <f>"PONTOTOC                  "</f>
        <v xml:space="preserve">PONTOTOC                  </v>
      </c>
      <c r="F13669" t="str">
        <f t="shared" si="346"/>
        <v>MS</v>
      </c>
    </row>
    <row r="13670" spans="1:6" x14ac:dyDescent="0.25">
      <c r="A13670" t="str">
        <f>"008838041"</f>
        <v>008838041</v>
      </c>
      <c r="B13670" t="str">
        <f>"1124515515"</f>
        <v>1124515515</v>
      </c>
      <c r="C13670" t="str">
        <f>"261QR1300X"</f>
        <v>261QR1300X</v>
      </c>
      <c r="D13670" t="str">
        <f>"MRH MEDICAL GROUP, COLUMBUS 5TH ST                "</f>
        <v xml:space="preserve">MRH MEDICAL GROUP, COLUMBUS 5TH ST                </v>
      </c>
      <c r="E13670" t="str">
        <f>"COLUMBUS                  "</f>
        <v xml:space="preserve">COLUMBUS                  </v>
      </c>
      <c r="F13670" t="str">
        <f t="shared" si="346"/>
        <v>MS</v>
      </c>
    </row>
    <row r="13671" spans="1:6" x14ac:dyDescent="0.25">
      <c r="A13671" t="str">
        <f>"008838069"</f>
        <v>008838069</v>
      </c>
      <c r="B13671" t="str">
        <f>"1114414802"</f>
        <v>1114414802</v>
      </c>
      <c r="C13671" t="str">
        <f>"122300000X"</f>
        <v>122300000X</v>
      </c>
      <c r="D13671" t="str">
        <f>"MAGNOLIA ORTHODONTICS PLLC                        "</f>
        <v xml:space="preserve">MAGNOLIA ORTHODONTICS PLLC                        </v>
      </c>
      <c r="E13671" t="str">
        <f>"HATTIESBURG               "</f>
        <v xml:space="preserve">HATTIESBURG               </v>
      </c>
      <c r="F13671" t="str">
        <f t="shared" si="346"/>
        <v>MS</v>
      </c>
    </row>
    <row r="13672" spans="1:6" x14ac:dyDescent="0.25">
      <c r="A13672" t="str">
        <f>"008853552"</f>
        <v>008853552</v>
      </c>
      <c r="B13672" t="str">
        <f>"1063647667"</f>
        <v>1063647667</v>
      </c>
      <c r="C13672" t="str">
        <f>"2085R0202X"</f>
        <v>2085R0202X</v>
      </c>
      <c r="D13672" t="str">
        <f>"MYATT                    NATHAN       E           "</f>
        <v xml:space="preserve">MYATT                    NATHAN       E           </v>
      </c>
      <c r="E13672" t="str">
        <f>"MERIDIAN                  "</f>
        <v xml:space="preserve">MERIDIAN                  </v>
      </c>
      <c r="F13672" t="str">
        <f t="shared" si="346"/>
        <v>MS</v>
      </c>
    </row>
    <row r="13673" spans="1:6" x14ac:dyDescent="0.25">
      <c r="A13673" t="str">
        <f>"008854856"</f>
        <v>008854856</v>
      </c>
      <c r="B13673" t="str">
        <f>"1225504616"</f>
        <v>1225504616</v>
      </c>
      <c r="C13673" t="str">
        <f>"363L00000X"</f>
        <v>363L00000X</v>
      </c>
      <c r="D13673" t="str">
        <f>"WELLS-WONSLEY            CHRISTINE    C           "</f>
        <v xml:space="preserve">WELLS-WONSLEY            CHRISTINE    C           </v>
      </c>
      <c r="E13673" t="str">
        <f>"OCEAN SPRINGS             "</f>
        <v xml:space="preserve">OCEAN SPRINGS             </v>
      </c>
      <c r="F13673" t="str">
        <f t="shared" si="346"/>
        <v>MS</v>
      </c>
    </row>
    <row r="13674" spans="1:6" x14ac:dyDescent="0.25">
      <c r="A13674" t="str">
        <f>"008855561"</f>
        <v>008855561</v>
      </c>
      <c r="B13674" t="str">
        <f>"1306258330"</f>
        <v>1306258330</v>
      </c>
      <c r="C13674" t="str">
        <f>"207RC0000X"</f>
        <v>207RC0000X</v>
      </c>
      <c r="D13674" t="str">
        <f>"NICHOLS                  WILLIAM                  "</f>
        <v xml:space="preserve">NICHOLS                  WILLIAM                  </v>
      </c>
      <c r="E13674" t="str">
        <f>"JACKSON                   "</f>
        <v xml:space="preserve">JACKSON                   </v>
      </c>
      <c r="F13674" t="str">
        <f t="shared" si="346"/>
        <v>MS</v>
      </c>
    </row>
    <row r="13675" spans="1:6" x14ac:dyDescent="0.25">
      <c r="A13675" t="str">
        <f>"008856014"</f>
        <v>008856014</v>
      </c>
      <c r="B13675" t="str">
        <f>"1982715454"</f>
        <v>1982715454</v>
      </c>
      <c r="C13675" t="str">
        <f>"208000000X"</f>
        <v>208000000X</v>
      </c>
      <c r="D13675" t="str">
        <f>"DELANEY                  LESLIE       B           "</f>
        <v xml:space="preserve">DELANEY                  LESLIE       B           </v>
      </c>
      <c r="E13675" t="str">
        <f>"MADISON                   "</f>
        <v xml:space="preserve">MADISON                   </v>
      </c>
      <c r="F13675" t="str">
        <f t="shared" si="346"/>
        <v>MS</v>
      </c>
    </row>
    <row r="13676" spans="1:6" x14ac:dyDescent="0.25">
      <c r="A13676" t="str">
        <f>"008857296"</f>
        <v>008857296</v>
      </c>
      <c r="B13676" t="str">
        <f>"1164092201"</f>
        <v>1164092201</v>
      </c>
      <c r="C13676" t="str">
        <f>"363L00000X"</f>
        <v>363L00000X</v>
      </c>
      <c r="D13676" t="str">
        <f>"MAGEE                    MONICA                   "</f>
        <v xml:space="preserve">MAGEE                    MONICA                   </v>
      </c>
      <c r="E13676" t="str">
        <f>"HATTIESBURG               "</f>
        <v xml:space="preserve">HATTIESBURG               </v>
      </c>
      <c r="F13676" t="str">
        <f t="shared" si="346"/>
        <v>MS</v>
      </c>
    </row>
    <row r="13677" spans="1:6" x14ac:dyDescent="0.25">
      <c r="A13677" t="str">
        <f>"008857852"</f>
        <v>008857852</v>
      </c>
      <c r="B13677" t="str">
        <f>"1962744482"</f>
        <v>1962744482</v>
      </c>
      <c r="C13677" t="str">
        <f>"363L00000X"</f>
        <v>363L00000X</v>
      </c>
      <c r="D13677" t="str">
        <f>"WATTS                    KENDRA                   "</f>
        <v xml:space="preserve">WATTS                    KENDRA                   </v>
      </c>
      <c r="E13677" t="str">
        <f>"OCEAN SPRINGS             "</f>
        <v xml:space="preserve">OCEAN SPRINGS             </v>
      </c>
      <c r="F13677" t="str">
        <f t="shared" si="346"/>
        <v>MS</v>
      </c>
    </row>
    <row r="13678" spans="1:6" x14ac:dyDescent="0.25">
      <c r="A13678" t="str">
        <f>"008870040"</f>
        <v>008870040</v>
      </c>
      <c r="B13678" t="str">
        <f>"1659330090"</f>
        <v>1659330090</v>
      </c>
      <c r="C13678" t="str">
        <f>"207X00000X"</f>
        <v>207X00000X</v>
      </c>
      <c r="D13678" t="str">
        <f>"SPECA                    JOHN                     "</f>
        <v xml:space="preserve">SPECA                    JOHN                     </v>
      </c>
      <c r="E13678" t="str">
        <f>"CLARKSDALE                "</f>
        <v xml:space="preserve">CLARKSDALE                </v>
      </c>
      <c r="F13678" t="str">
        <f t="shared" si="346"/>
        <v>MS</v>
      </c>
    </row>
    <row r="13679" spans="1:6" x14ac:dyDescent="0.25">
      <c r="A13679" t="str">
        <f>"008871086"</f>
        <v>008871086</v>
      </c>
      <c r="B13679" t="str">
        <f>"1285108662"</f>
        <v>1285108662</v>
      </c>
      <c r="C13679" t="str">
        <f>"363L00000X"</f>
        <v>363L00000X</v>
      </c>
      <c r="D13679" t="str">
        <f>"DUNCAN                   SARA                     "</f>
        <v xml:space="preserve">DUNCAN                   SARA                     </v>
      </c>
      <c r="E13679" t="str">
        <f>"POPLARVILLE               "</f>
        <v xml:space="preserve">POPLARVILLE               </v>
      </c>
      <c r="F13679" t="str">
        <f t="shared" si="346"/>
        <v>MS</v>
      </c>
    </row>
    <row r="13680" spans="1:6" x14ac:dyDescent="0.25">
      <c r="A13680" t="str">
        <f>"008871366"</f>
        <v>008871366</v>
      </c>
      <c r="B13680" t="str">
        <f>"1043269236"</f>
        <v>1043269236</v>
      </c>
      <c r="C13680" t="str">
        <f>"363L00000X"</f>
        <v>363L00000X</v>
      </c>
      <c r="D13680" t="str">
        <f>"LAMBERT                  BRANDI       J           "</f>
        <v xml:space="preserve">LAMBERT                  BRANDI       J           </v>
      </c>
      <c r="E13680" t="str">
        <f>"TUPELO                    "</f>
        <v xml:space="preserve">TUPELO                    </v>
      </c>
      <c r="F13680" t="str">
        <f t="shared" si="346"/>
        <v>MS</v>
      </c>
    </row>
    <row r="13681" spans="1:6" x14ac:dyDescent="0.25">
      <c r="A13681" t="str">
        <f>"008872019"</f>
        <v>008872019</v>
      </c>
      <c r="B13681" t="str">
        <f>"1437785508"</f>
        <v>1437785508</v>
      </c>
      <c r="C13681" t="str">
        <f>"363L00000X"</f>
        <v>363L00000X</v>
      </c>
      <c r="D13681" t="str">
        <f>"ANDREWS                  KATEY                    "</f>
        <v xml:space="preserve">ANDREWS                  KATEY                    </v>
      </c>
      <c r="E13681" t="str">
        <f>"JACKSON                   "</f>
        <v xml:space="preserve">JACKSON                   </v>
      </c>
      <c r="F13681" t="str">
        <f t="shared" si="346"/>
        <v>MS</v>
      </c>
    </row>
    <row r="13682" spans="1:6" x14ac:dyDescent="0.25">
      <c r="A13682" t="str">
        <f>"008872851"</f>
        <v>008872851</v>
      </c>
      <c r="B13682" t="str">
        <f>"1437694320"</f>
        <v>1437694320</v>
      </c>
      <c r="C13682" t="str">
        <f>"363L00000X"</f>
        <v>363L00000X</v>
      </c>
      <c r="D13682" t="str">
        <f>"DEGELMAN                 KRISTEN                  "</f>
        <v xml:space="preserve">DEGELMAN                 KRISTEN                  </v>
      </c>
      <c r="E13682" t="str">
        <f>"FLOWOOD                   "</f>
        <v xml:space="preserve">FLOWOOD                   </v>
      </c>
      <c r="F13682" t="str">
        <f t="shared" si="346"/>
        <v>MS</v>
      </c>
    </row>
    <row r="13683" spans="1:6" x14ac:dyDescent="0.25">
      <c r="A13683" t="str">
        <f>"008873041"</f>
        <v>008873041</v>
      </c>
      <c r="B13683" t="str">
        <f>"1396144549"</f>
        <v>1396144549</v>
      </c>
      <c r="C13683" t="str">
        <f>"363L00000X"</f>
        <v>363L00000X</v>
      </c>
      <c r="D13683" t="str">
        <f>"MCCULLOUGH               AMANDA       A           "</f>
        <v xml:space="preserve">MCCULLOUGH               AMANDA       A           </v>
      </c>
      <c r="E13683" t="str">
        <f>"JACKSON                   "</f>
        <v xml:space="preserve">JACKSON                   </v>
      </c>
      <c r="F13683" t="str">
        <f t="shared" si="346"/>
        <v>MS</v>
      </c>
    </row>
    <row r="13684" spans="1:6" x14ac:dyDescent="0.25">
      <c r="A13684" t="str">
        <f>"008873261"</f>
        <v>008873261</v>
      </c>
      <c r="B13684" t="str">
        <f>"1346344421"</f>
        <v>1346344421</v>
      </c>
      <c r="C13684" t="str">
        <f>"208000000X"</f>
        <v>208000000X</v>
      </c>
      <c r="D13684" t="str">
        <f>"KAMELMAZ                 IZZEDDIN                 "</f>
        <v xml:space="preserve">KAMELMAZ                 IZZEDDIN                 </v>
      </c>
      <c r="E13684" t="str">
        <f>"VICKSBURG                 "</f>
        <v xml:space="preserve">VICKSBURG                 </v>
      </c>
      <c r="F13684" t="str">
        <f t="shared" si="346"/>
        <v>MS</v>
      </c>
    </row>
    <row r="13685" spans="1:6" x14ac:dyDescent="0.25">
      <c r="A13685" t="str">
        <f>"008873339"</f>
        <v>008873339</v>
      </c>
      <c r="B13685" t="str">
        <f>"1902256191"</f>
        <v>1902256191</v>
      </c>
      <c r="C13685" t="str">
        <f>"261QM3000X"</f>
        <v>261QM3000X</v>
      </c>
      <c r="D13685" t="str">
        <f>"PEDIATRUST HATTIESBURG LLC                        "</f>
        <v xml:space="preserve">PEDIATRUST HATTIESBURG LLC                        </v>
      </c>
      <c r="E13685" t="str">
        <f>"HATTIESBURG               "</f>
        <v xml:space="preserve">HATTIESBURG               </v>
      </c>
      <c r="F13685" t="str">
        <f t="shared" si="346"/>
        <v>MS</v>
      </c>
    </row>
    <row r="13686" spans="1:6" x14ac:dyDescent="0.25">
      <c r="A13686" t="str">
        <f>"008874011"</f>
        <v>008874011</v>
      </c>
      <c r="B13686" t="str">
        <f>"1104404789"</f>
        <v>1104404789</v>
      </c>
      <c r="C13686" t="str">
        <f>"207R00000X"</f>
        <v>207R00000X</v>
      </c>
      <c r="D13686" t="str">
        <f>"ENGEL                    JASON                    "</f>
        <v xml:space="preserve">ENGEL                    JASON                    </v>
      </c>
      <c r="E13686" t="str">
        <f>"JACKSON                   "</f>
        <v xml:space="preserve">JACKSON                   </v>
      </c>
      <c r="F13686" t="str">
        <f t="shared" si="346"/>
        <v>MS</v>
      </c>
    </row>
    <row r="13687" spans="1:6" x14ac:dyDescent="0.25">
      <c r="A13687" t="str">
        <f>"008874337"</f>
        <v>008874337</v>
      </c>
      <c r="B13687" t="str">
        <f>"1356742894"</f>
        <v>1356742894</v>
      </c>
      <c r="C13687" t="str">
        <f>"363L00000X"</f>
        <v>363L00000X</v>
      </c>
      <c r="D13687" t="str">
        <f>"BESTER                   DOROTHY      R           "</f>
        <v xml:space="preserve">BESTER                   DOROTHY      R           </v>
      </c>
      <c r="E13687" t="str">
        <f>"MACON                     "</f>
        <v xml:space="preserve">MACON                     </v>
      </c>
      <c r="F13687" t="str">
        <f t="shared" si="346"/>
        <v>MS</v>
      </c>
    </row>
    <row r="13688" spans="1:6" x14ac:dyDescent="0.25">
      <c r="A13688" t="str">
        <f>"008874561"</f>
        <v>008874561</v>
      </c>
      <c r="B13688" t="str">
        <f>"1053737460"</f>
        <v>1053737460</v>
      </c>
      <c r="C13688" t="str">
        <f>"207ZP0105X"</f>
        <v>207ZP0105X</v>
      </c>
      <c r="D13688" t="str">
        <f>"HAIRSTON                 FRANCES      J           "</f>
        <v xml:space="preserve">HAIRSTON                 FRANCES      J           </v>
      </c>
      <c r="E13688" t="str">
        <f>"TUPELO                    "</f>
        <v xml:space="preserve">TUPELO                    </v>
      </c>
      <c r="F13688" t="str">
        <f t="shared" si="346"/>
        <v>MS</v>
      </c>
    </row>
    <row r="13689" spans="1:6" x14ac:dyDescent="0.25">
      <c r="A13689" t="str">
        <f>"008875308"</f>
        <v>008875308</v>
      </c>
      <c r="B13689" t="str">
        <f>"1114407137"</f>
        <v>1114407137</v>
      </c>
      <c r="C13689" t="str">
        <f>"363L00000X"</f>
        <v>363L00000X</v>
      </c>
      <c r="D13689" t="str">
        <f>"SPRING                   ROBIN        B           "</f>
        <v xml:space="preserve">SPRING                   ROBIN        B           </v>
      </c>
      <c r="E13689" t="str">
        <f>"MAGNOLIA                  "</f>
        <v xml:space="preserve">MAGNOLIA                  </v>
      </c>
      <c r="F13689" t="str">
        <f t="shared" si="346"/>
        <v>MS</v>
      </c>
    </row>
    <row r="13690" spans="1:6" x14ac:dyDescent="0.25">
      <c r="A13690" t="str">
        <f>"008875898"</f>
        <v>008875898</v>
      </c>
      <c r="B13690" t="str">
        <f>"1104039312"</f>
        <v>1104039312</v>
      </c>
      <c r="C13690" t="str">
        <f>"152W00000X"</f>
        <v>152W00000X</v>
      </c>
      <c r="D13690" t="str">
        <f>"EYE CARE ASSOCIATES                               "</f>
        <v xml:space="preserve">EYE CARE ASSOCIATES                               </v>
      </c>
      <c r="E13690" t="str">
        <f>"LAUREL                    "</f>
        <v xml:space="preserve">LAUREL                    </v>
      </c>
      <c r="F13690" t="str">
        <f t="shared" si="346"/>
        <v>MS</v>
      </c>
    </row>
    <row r="13691" spans="1:6" x14ac:dyDescent="0.25">
      <c r="A13691" t="str">
        <f>"008876322"</f>
        <v>008876322</v>
      </c>
      <c r="B13691" t="str">
        <f>"1568766327"</f>
        <v>1568766327</v>
      </c>
      <c r="C13691" t="str">
        <f>"367500000X"</f>
        <v>367500000X</v>
      </c>
      <c r="D13691" t="str">
        <f>"HALE                     ELISABETH    F           "</f>
        <v xml:space="preserve">HALE                     ELISABETH    F           </v>
      </c>
      <c r="E13691" t="str">
        <f>"WEST POINT                "</f>
        <v xml:space="preserve">WEST POINT                </v>
      </c>
      <c r="F13691" t="str">
        <f t="shared" si="346"/>
        <v>MS</v>
      </c>
    </row>
    <row r="13692" spans="1:6" x14ac:dyDescent="0.25">
      <c r="A13692" t="str">
        <f>"008876761"</f>
        <v>008876761</v>
      </c>
      <c r="B13692" t="str">
        <f>"1932522281"</f>
        <v>1932522281</v>
      </c>
      <c r="C13692" t="str">
        <f>"363A00000X"</f>
        <v>363A00000X</v>
      </c>
      <c r="D13692" t="str">
        <f>"CASWELL                  JASON        W           "</f>
        <v xml:space="preserve">CASWELL                  JASON        W           </v>
      </c>
      <c r="E13692" t="str">
        <f>"BILOXI                    "</f>
        <v xml:space="preserve">BILOXI                    </v>
      </c>
      <c r="F13692" t="str">
        <f t="shared" si="346"/>
        <v>MS</v>
      </c>
    </row>
    <row r="13693" spans="1:6" x14ac:dyDescent="0.25">
      <c r="A13693" t="str">
        <f>"008877239"</f>
        <v>008877239</v>
      </c>
      <c r="B13693" t="str">
        <f>"1740360056"</f>
        <v>1740360056</v>
      </c>
      <c r="C13693" t="str">
        <f>"2085R0202X"</f>
        <v>2085R0202X</v>
      </c>
      <c r="D13693" t="str">
        <f>"HARDIN                   KATHLEEN     H           "</f>
        <v xml:space="preserve">HARDIN                   KATHLEEN     H           </v>
      </c>
      <c r="E13693" t="str">
        <f>"JACKSON                   "</f>
        <v xml:space="preserve">JACKSON                   </v>
      </c>
      <c r="F13693" t="str">
        <f t="shared" si="346"/>
        <v>MS</v>
      </c>
    </row>
    <row r="13694" spans="1:6" x14ac:dyDescent="0.25">
      <c r="A13694" t="str">
        <f>"008877382"</f>
        <v>008877382</v>
      </c>
      <c r="B13694" t="str">
        <f>"1457826067"</f>
        <v>1457826067</v>
      </c>
      <c r="C13694" t="str">
        <f t="shared" ref="C13694:C13701" si="347">"363L00000X"</f>
        <v>363L00000X</v>
      </c>
      <c r="D13694" t="str">
        <f>"LAM                      AN           N           "</f>
        <v xml:space="preserve">LAM                      AN           N           </v>
      </c>
      <c r="E13694" t="str">
        <f>"GULFPORT                  "</f>
        <v xml:space="preserve">GULFPORT                  </v>
      </c>
      <c r="F13694" t="str">
        <f t="shared" ref="F13694:F13757" si="348">"MS"</f>
        <v>MS</v>
      </c>
    </row>
    <row r="13695" spans="1:6" x14ac:dyDescent="0.25">
      <c r="A13695" t="str">
        <f>"008877562"</f>
        <v>008877562</v>
      </c>
      <c r="B13695" t="str">
        <f>"1386164630"</f>
        <v>1386164630</v>
      </c>
      <c r="C13695" t="str">
        <f t="shared" si="347"/>
        <v>363L00000X</v>
      </c>
      <c r="D13695" t="str">
        <f>"MOORE                    LAURA        K           "</f>
        <v xml:space="preserve">MOORE                    LAURA        K           </v>
      </c>
      <c r="E13695" t="str">
        <f>"CARTHAGE                  "</f>
        <v xml:space="preserve">CARTHAGE                  </v>
      </c>
      <c r="F13695" t="str">
        <f t="shared" si="348"/>
        <v>MS</v>
      </c>
    </row>
    <row r="13696" spans="1:6" x14ac:dyDescent="0.25">
      <c r="A13696" t="str">
        <f>"008879248"</f>
        <v>008879248</v>
      </c>
      <c r="B13696" t="str">
        <f>"1285172619"</f>
        <v>1285172619</v>
      </c>
      <c r="C13696" t="str">
        <f t="shared" si="347"/>
        <v>363L00000X</v>
      </c>
      <c r="D13696" t="str">
        <f>"WILLIAMSON               ADRIANNA     G           "</f>
        <v xml:space="preserve">WILLIAMSON               ADRIANNA     G           </v>
      </c>
      <c r="E13696" t="str">
        <f>"HATTIESBURG               "</f>
        <v xml:space="preserve">HATTIESBURG               </v>
      </c>
      <c r="F13696" t="str">
        <f t="shared" si="348"/>
        <v>MS</v>
      </c>
    </row>
    <row r="13697" spans="1:6" x14ac:dyDescent="0.25">
      <c r="A13697" t="str">
        <f>"008880373"</f>
        <v>008880373</v>
      </c>
      <c r="B13697" t="str">
        <f>"1164934659"</f>
        <v>1164934659</v>
      </c>
      <c r="C13697" t="str">
        <f t="shared" si="347"/>
        <v>363L00000X</v>
      </c>
      <c r="D13697" t="str">
        <f>"HODGES                   AMANDA                   "</f>
        <v xml:space="preserve">HODGES                   AMANDA                   </v>
      </c>
      <c r="E13697" t="str">
        <f>"JACKSON                   "</f>
        <v xml:space="preserve">JACKSON                   </v>
      </c>
      <c r="F13697" t="str">
        <f t="shared" si="348"/>
        <v>MS</v>
      </c>
    </row>
    <row r="13698" spans="1:6" x14ac:dyDescent="0.25">
      <c r="A13698" t="str">
        <f>"008880771"</f>
        <v>008880771</v>
      </c>
      <c r="B13698" t="str">
        <f>"1134460736"</f>
        <v>1134460736</v>
      </c>
      <c r="C13698" t="str">
        <f t="shared" si="347"/>
        <v>363L00000X</v>
      </c>
      <c r="D13698" t="str">
        <f>"FAULKNER                 EDITH        M           "</f>
        <v xml:space="preserve">FAULKNER                 EDITH        M           </v>
      </c>
      <c r="E13698" t="str">
        <f>"COLUMBUS                  "</f>
        <v xml:space="preserve">COLUMBUS                  </v>
      </c>
      <c r="F13698" t="str">
        <f t="shared" si="348"/>
        <v>MS</v>
      </c>
    </row>
    <row r="13699" spans="1:6" x14ac:dyDescent="0.25">
      <c r="A13699" t="str">
        <f>"008881077"</f>
        <v>008881077</v>
      </c>
      <c r="B13699" t="str">
        <f>"1396123402"</f>
        <v>1396123402</v>
      </c>
      <c r="C13699" t="str">
        <f t="shared" si="347"/>
        <v>363L00000X</v>
      </c>
      <c r="D13699" t="str">
        <f>"DYKES                    JOSEPH       L           "</f>
        <v xml:space="preserve">DYKES                    JOSEPH       L           </v>
      </c>
      <c r="E13699" t="str">
        <f>"SUMMIT                    "</f>
        <v xml:space="preserve">SUMMIT                    </v>
      </c>
      <c r="F13699" t="str">
        <f t="shared" si="348"/>
        <v>MS</v>
      </c>
    </row>
    <row r="13700" spans="1:6" x14ac:dyDescent="0.25">
      <c r="A13700" t="str">
        <f>"008884077"</f>
        <v>008884077</v>
      </c>
      <c r="B13700" t="str">
        <f>"1598865511"</f>
        <v>1598865511</v>
      </c>
      <c r="C13700" t="str">
        <f t="shared" si="347"/>
        <v>363L00000X</v>
      </c>
      <c r="D13700" t="str">
        <f>"KING                     HEATHER      T           "</f>
        <v xml:space="preserve">KING                     HEATHER      T           </v>
      </c>
      <c r="E13700" t="str">
        <f>"JACKSON                   "</f>
        <v xml:space="preserve">JACKSON                   </v>
      </c>
      <c r="F13700" t="str">
        <f t="shared" si="348"/>
        <v>MS</v>
      </c>
    </row>
    <row r="13701" spans="1:6" x14ac:dyDescent="0.25">
      <c r="A13701" t="str">
        <f>"008885251"</f>
        <v>008885251</v>
      </c>
      <c r="B13701" t="str">
        <f>"1073022737"</f>
        <v>1073022737</v>
      </c>
      <c r="C13701" t="str">
        <f t="shared" si="347"/>
        <v>363L00000X</v>
      </c>
      <c r="D13701" t="str">
        <f>"WILLIS                   KAYLA        C           "</f>
        <v xml:space="preserve">WILLIS                   KAYLA        C           </v>
      </c>
      <c r="E13701" t="str">
        <f>"JACKSON                   "</f>
        <v xml:space="preserve">JACKSON                   </v>
      </c>
      <c r="F13701" t="str">
        <f t="shared" si="348"/>
        <v>MS</v>
      </c>
    </row>
    <row r="13702" spans="1:6" x14ac:dyDescent="0.25">
      <c r="A13702" t="str">
        <f>"008885261"</f>
        <v>008885261</v>
      </c>
      <c r="B13702" t="str">
        <f>"1740269984"</f>
        <v>1740269984</v>
      </c>
      <c r="C13702" t="str">
        <f>"367500000X"</f>
        <v>367500000X</v>
      </c>
      <c r="D13702" t="str">
        <f>"DAVIDSON                 BRIDGET      A           "</f>
        <v xml:space="preserve">DAVIDSON                 BRIDGET      A           </v>
      </c>
      <c r="E13702" t="str">
        <f>"MERIDIAN                  "</f>
        <v xml:space="preserve">MERIDIAN                  </v>
      </c>
      <c r="F13702" t="str">
        <f t="shared" si="348"/>
        <v>MS</v>
      </c>
    </row>
    <row r="13703" spans="1:6" x14ac:dyDescent="0.25">
      <c r="A13703" t="str">
        <f>"008885812"</f>
        <v>008885812</v>
      </c>
      <c r="B13703" t="str">
        <f>"1093265233"</f>
        <v>1093265233</v>
      </c>
      <c r="C13703" t="str">
        <f>"363L00000X"</f>
        <v>363L00000X</v>
      </c>
      <c r="D13703" t="str">
        <f>"SMITH                    LINDSEY      E           "</f>
        <v xml:space="preserve">SMITH                    LINDSEY      E           </v>
      </c>
      <c r="E13703" t="str">
        <f>"CALHOUN CITY              "</f>
        <v xml:space="preserve">CALHOUN CITY              </v>
      </c>
      <c r="F13703" t="str">
        <f t="shared" si="348"/>
        <v>MS</v>
      </c>
    </row>
    <row r="13704" spans="1:6" x14ac:dyDescent="0.25">
      <c r="A13704" t="str">
        <f>"008885830"</f>
        <v>008885830</v>
      </c>
      <c r="B13704" t="str">
        <f>"1982135349"</f>
        <v>1982135349</v>
      </c>
      <c r="C13704" t="str">
        <f>"207P00000X"</f>
        <v>207P00000X</v>
      </c>
      <c r="D13704" t="str">
        <f>"LEWIS                    TARA         C           "</f>
        <v xml:space="preserve">LEWIS                    TARA         C           </v>
      </c>
      <c r="E13704" t="str">
        <f>"JACKSON                   "</f>
        <v xml:space="preserve">JACKSON                   </v>
      </c>
      <c r="F13704" t="str">
        <f t="shared" si="348"/>
        <v>MS</v>
      </c>
    </row>
    <row r="13705" spans="1:6" x14ac:dyDescent="0.25">
      <c r="A13705" t="str">
        <f>"008886590"</f>
        <v>008886590</v>
      </c>
      <c r="B13705" t="str">
        <f>"1457625493"</f>
        <v>1457625493</v>
      </c>
      <c r="C13705" t="str">
        <f>"363L00000X"</f>
        <v>363L00000X</v>
      </c>
      <c r="D13705" t="str">
        <f>"MAY                      LESLIE       D           "</f>
        <v xml:space="preserve">MAY                      LESLIE       D           </v>
      </c>
      <c r="E13705" t="str">
        <f>"JACKSON                   "</f>
        <v xml:space="preserve">JACKSON                   </v>
      </c>
      <c r="F13705" t="str">
        <f t="shared" si="348"/>
        <v>MS</v>
      </c>
    </row>
    <row r="13706" spans="1:6" x14ac:dyDescent="0.25">
      <c r="A13706" t="str">
        <f>"008888868"</f>
        <v>008888868</v>
      </c>
      <c r="B13706" t="str">
        <f>"1134319619"</f>
        <v>1134319619</v>
      </c>
      <c r="C13706" t="str">
        <f>"2084N0402X"</f>
        <v>2084N0402X</v>
      </c>
      <c r="D13706" t="str">
        <f>"INGRAM                   JOHN         B           "</f>
        <v xml:space="preserve">INGRAM                   JOHN         B           </v>
      </c>
      <c r="E13706" t="str">
        <f>"JACKSON                   "</f>
        <v xml:space="preserve">JACKSON                   </v>
      </c>
      <c r="F13706" t="str">
        <f t="shared" si="348"/>
        <v>MS</v>
      </c>
    </row>
    <row r="13707" spans="1:6" x14ac:dyDescent="0.25">
      <c r="A13707" t="str">
        <f>"008902046"</f>
        <v>008902046</v>
      </c>
      <c r="B13707" t="str">
        <f>"1578987889"</f>
        <v>1578987889</v>
      </c>
      <c r="C13707" t="str">
        <f>"261QR1300X"</f>
        <v>261QR1300X</v>
      </c>
      <c r="D13707" t="str">
        <f>"ARRINGTON MEDICAL CLINIC                          "</f>
        <v xml:space="preserve">ARRINGTON MEDICAL CLINIC                          </v>
      </c>
      <c r="E13707" t="str">
        <f>"COFFEEVILLE               "</f>
        <v xml:space="preserve">COFFEEVILLE               </v>
      </c>
      <c r="F13707" t="str">
        <f t="shared" si="348"/>
        <v>MS</v>
      </c>
    </row>
    <row r="13708" spans="1:6" x14ac:dyDescent="0.25">
      <c r="A13708" t="str">
        <f>"008902261"</f>
        <v>008902261</v>
      </c>
      <c r="B13708" t="str">
        <f>"1316390289"</f>
        <v>1316390289</v>
      </c>
      <c r="C13708" t="str">
        <f>"207Q00000X"</f>
        <v>207Q00000X</v>
      </c>
      <c r="D13708" t="str">
        <f>"OWENS                    JENISUS      M           "</f>
        <v xml:space="preserve">OWENS                    JENISUS      M           </v>
      </c>
      <c r="E13708" t="str">
        <f>"HATTIESBURG               "</f>
        <v xml:space="preserve">HATTIESBURG               </v>
      </c>
      <c r="F13708" t="str">
        <f t="shared" si="348"/>
        <v>MS</v>
      </c>
    </row>
    <row r="13709" spans="1:6" x14ac:dyDescent="0.25">
      <c r="A13709" t="str">
        <f>"008902335"</f>
        <v>008902335</v>
      </c>
      <c r="B13709" t="str">
        <f>"1598029969"</f>
        <v>1598029969</v>
      </c>
      <c r="C13709" t="str">
        <f>"208600000X"</f>
        <v>208600000X</v>
      </c>
      <c r="D13709" t="str">
        <f>"BECKHAM                  JAMES        B           "</f>
        <v xml:space="preserve">BECKHAM                  JAMES        B           </v>
      </c>
      <c r="E13709" t="str">
        <f>"COLUMBUS                  "</f>
        <v xml:space="preserve">COLUMBUS                  </v>
      </c>
      <c r="F13709" t="str">
        <f t="shared" si="348"/>
        <v>MS</v>
      </c>
    </row>
    <row r="13710" spans="1:6" x14ac:dyDescent="0.25">
      <c r="A13710" t="str">
        <f>"008903768"</f>
        <v>008903768</v>
      </c>
      <c r="B13710" t="str">
        <f>"1700865235"</f>
        <v>1700865235</v>
      </c>
      <c r="C13710" t="str">
        <f>"363LP0808X"</f>
        <v>363LP0808X</v>
      </c>
      <c r="D13710" t="str">
        <f>"ANDREACCHIO              STACY        R           "</f>
        <v xml:space="preserve">ANDREACCHIO              STACY        R           </v>
      </c>
      <c r="E13710" t="str">
        <f>"MERIDIAN                  "</f>
        <v xml:space="preserve">MERIDIAN                  </v>
      </c>
      <c r="F13710" t="str">
        <f t="shared" si="348"/>
        <v>MS</v>
      </c>
    </row>
    <row r="13711" spans="1:6" x14ac:dyDescent="0.25">
      <c r="A13711" t="str">
        <f>"008904279"</f>
        <v>008904279</v>
      </c>
      <c r="B13711" t="str">
        <f>"1194984906"</f>
        <v>1194984906</v>
      </c>
      <c r="C13711" t="str">
        <f>"207W00000X"</f>
        <v>207W00000X</v>
      </c>
      <c r="D13711" t="str">
        <f>"PHILLIPS                 MARGARET     E           "</f>
        <v xml:space="preserve">PHILLIPS                 MARGARET     E           </v>
      </c>
      <c r="E13711" t="str">
        <f>"GULFPORT                  "</f>
        <v xml:space="preserve">GULFPORT                  </v>
      </c>
      <c r="F13711" t="str">
        <f t="shared" si="348"/>
        <v>MS</v>
      </c>
    </row>
    <row r="13712" spans="1:6" x14ac:dyDescent="0.25">
      <c r="A13712" t="str">
        <f>"008904503"</f>
        <v>008904503</v>
      </c>
      <c r="B13712" t="str">
        <f>"1245248699"</f>
        <v>1245248699</v>
      </c>
      <c r="C13712" t="str">
        <f>"261QR1300X"</f>
        <v>261QR1300X</v>
      </c>
      <c r="D13712" t="str">
        <f>"INDIANOLA FAMILY MEDICAL GROUP                    "</f>
        <v xml:space="preserve">INDIANOLA FAMILY MEDICAL GROUP                    </v>
      </c>
      <c r="E13712" t="str">
        <f>"INDIANOLA                 "</f>
        <v xml:space="preserve">INDIANOLA                 </v>
      </c>
      <c r="F13712" t="str">
        <f t="shared" si="348"/>
        <v>MS</v>
      </c>
    </row>
    <row r="13713" spans="1:6" x14ac:dyDescent="0.25">
      <c r="A13713" t="str">
        <f>"008905840"</f>
        <v>008905840</v>
      </c>
      <c r="B13713" t="str">
        <f>"1376180992"</f>
        <v>1376180992</v>
      </c>
      <c r="C13713" t="str">
        <f>"363L00000X"</f>
        <v>363L00000X</v>
      </c>
      <c r="D13713" t="str">
        <f>"ELDRIDGE                 CATHERINE    M           "</f>
        <v xml:space="preserve">ELDRIDGE                 CATHERINE    M           </v>
      </c>
      <c r="E13713" t="str">
        <f>"STARKVILLE                "</f>
        <v xml:space="preserve">STARKVILLE                </v>
      </c>
      <c r="F13713" t="str">
        <f t="shared" si="348"/>
        <v>MS</v>
      </c>
    </row>
    <row r="13714" spans="1:6" x14ac:dyDescent="0.25">
      <c r="A13714" t="str">
        <f>"008906229"</f>
        <v>008906229</v>
      </c>
      <c r="B13714" t="str">
        <f>"1669624078"</f>
        <v>1669624078</v>
      </c>
      <c r="C13714" t="str">
        <f>"207R00000X"</f>
        <v>207R00000X</v>
      </c>
      <c r="D13714" t="str">
        <f>"BEGUM                    MUBEENA                  "</f>
        <v xml:space="preserve">BEGUM                    MUBEENA                  </v>
      </c>
      <c r="E13714" t="str">
        <f>"GULFPORT                  "</f>
        <v xml:space="preserve">GULFPORT                  </v>
      </c>
      <c r="F13714" t="str">
        <f t="shared" si="348"/>
        <v>MS</v>
      </c>
    </row>
    <row r="13715" spans="1:6" x14ac:dyDescent="0.25">
      <c r="A13715" t="str">
        <f>"008907831"</f>
        <v>008907831</v>
      </c>
      <c r="B13715" t="str">
        <f>"1356423404"</f>
        <v>1356423404</v>
      </c>
      <c r="C13715" t="str">
        <f>"1223X0400X"</f>
        <v>1223X0400X</v>
      </c>
      <c r="D13715" t="str">
        <f>"MCREYNOLDS               WILLIAM      R           "</f>
        <v xml:space="preserve">MCREYNOLDS               WILLIAM      R           </v>
      </c>
      <c r="E13715" t="str">
        <f>"LOUISVILLE                "</f>
        <v xml:space="preserve">LOUISVILLE                </v>
      </c>
      <c r="F13715" t="str">
        <f t="shared" si="348"/>
        <v>MS</v>
      </c>
    </row>
    <row r="13716" spans="1:6" x14ac:dyDescent="0.25">
      <c r="A13716" t="str">
        <f>"008909529"</f>
        <v>008909529</v>
      </c>
      <c r="B13716" t="str">
        <f>"1235781212"</f>
        <v>1235781212</v>
      </c>
      <c r="C13716" t="str">
        <f>"207ZP0102X"</f>
        <v>207ZP0102X</v>
      </c>
      <c r="D13716" t="str">
        <f>"OSCAR                    LAURA        J           "</f>
        <v xml:space="preserve">OSCAR                    LAURA        J           </v>
      </c>
      <c r="E13716" t="str">
        <f>"OCEAN SPRINGS             "</f>
        <v xml:space="preserve">OCEAN SPRINGS             </v>
      </c>
      <c r="F13716" t="str">
        <f t="shared" si="348"/>
        <v>MS</v>
      </c>
    </row>
    <row r="13717" spans="1:6" x14ac:dyDescent="0.25">
      <c r="A13717" t="str">
        <f>"008920207"</f>
        <v>008920207</v>
      </c>
      <c r="B13717" t="str">
        <f>"1659995538"</f>
        <v>1659995538</v>
      </c>
      <c r="C13717" t="str">
        <f>"261QR1300X"</f>
        <v>261QR1300X</v>
      </c>
      <c r="D13717" t="str">
        <f>"EXPRESS CARE SUMRALL                              "</f>
        <v xml:space="preserve">EXPRESS CARE SUMRALL                              </v>
      </c>
      <c r="E13717" t="str">
        <f>"SUMRALL                   "</f>
        <v xml:space="preserve">SUMRALL                   </v>
      </c>
      <c r="F13717" t="str">
        <f t="shared" si="348"/>
        <v>MS</v>
      </c>
    </row>
    <row r="13718" spans="1:6" x14ac:dyDescent="0.25">
      <c r="A13718" t="str">
        <f>"008921721"</f>
        <v>008921721</v>
      </c>
      <c r="B13718" t="str">
        <f>"1699777854"</f>
        <v>1699777854</v>
      </c>
      <c r="C13718" t="str">
        <f>"2085R0001X"</f>
        <v>2085R0001X</v>
      </c>
      <c r="D13718" t="str">
        <f>"DICKERSON                GREGG                    "</f>
        <v xml:space="preserve">DICKERSON                GREGG                    </v>
      </c>
      <c r="E13718" t="str">
        <f>"GREENVILLE                "</f>
        <v xml:space="preserve">GREENVILLE                </v>
      </c>
      <c r="F13718" t="str">
        <f t="shared" si="348"/>
        <v>MS</v>
      </c>
    </row>
    <row r="13719" spans="1:6" x14ac:dyDescent="0.25">
      <c r="A13719" t="str">
        <f>"008921751"</f>
        <v>008921751</v>
      </c>
      <c r="B13719" t="str">
        <f>"1700387768"</f>
        <v>1700387768</v>
      </c>
      <c r="C13719" t="str">
        <f>"261QM1300X"</f>
        <v>261QM1300X</v>
      </c>
      <c r="D13719" t="str">
        <f>"SOULSHINE COUNSELING AND WELLNESS                 "</f>
        <v xml:space="preserve">SOULSHINE COUNSELING AND WELLNESS                 </v>
      </c>
      <c r="E13719" t="str">
        <f>"SOUTHAVEN                 "</f>
        <v xml:space="preserve">SOUTHAVEN                 </v>
      </c>
      <c r="F13719" t="str">
        <f t="shared" si="348"/>
        <v>MS</v>
      </c>
    </row>
    <row r="13720" spans="1:6" x14ac:dyDescent="0.25">
      <c r="A13720" t="str">
        <f>"008924001"</f>
        <v>008924001</v>
      </c>
      <c r="B13720" t="str">
        <f>"1962543876"</f>
        <v>1962543876</v>
      </c>
      <c r="C13720" t="str">
        <f>"122300000X"</f>
        <v>122300000X</v>
      </c>
      <c r="D13720" t="str">
        <f>"LEACH                    JASON        A           "</f>
        <v xml:space="preserve">LEACH                    JASON        A           </v>
      </c>
      <c r="E13720" t="str">
        <f>"HORN LAKE                 "</f>
        <v xml:space="preserve">HORN LAKE                 </v>
      </c>
      <c r="F13720" t="str">
        <f t="shared" si="348"/>
        <v>MS</v>
      </c>
    </row>
    <row r="13721" spans="1:6" x14ac:dyDescent="0.25">
      <c r="A13721" t="str">
        <f>"008924050"</f>
        <v>008924050</v>
      </c>
      <c r="B13721" t="str">
        <f>"1942819974"</f>
        <v>1942819974</v>
      </c>
      <c r="C13721" t="str">
        <f>"363L00000X"</f>
        <v>363L00000X</v>
      </c>
      <c r="D13721" t="str">
        <f>"ELLIOTT                  NICHOLAS                 "</f>
        <v xml:space="preserve">ELLIOTT                  NICHOLAS                 </v>
      </c>
      <c r="E13721" t="str">
        <f>"TUPELO                    "</f>
        <v xml:space="preserve">TUPELO                    </v>
      </c>
      <c r="F13721" t="str">
        <f t="shared" si="348"/>
        <v>MS</v>
      </c>
    </row>
    <row r="13722" spans="1:6" x14ac:dyDescent="0.25">
      <c r="A13722" t="str">
        <f>"008925275"</f>
        <v>008925275</v>
      </c>
      <c r="B13722" t="str">
        <f>"1699201178"</f>
        <v>1699201178</v>
      </c>
      <c r="C13722" t="str">
        <f>"261QA0600X"</f>
        <v>261QA0600X</v>
      </c>
      <c r="D13722" t="str">
        <f>"SELECT CHOICE ADULT DAY CARE LLC                  "</f>
        <v xml:space="preserve">SELECT CHOICE ADULT DAY CARE LLC                  </v>
      </c>
      <c r="E13722" t="str">
        <f>"TUTWILER                  "</f>
        <v xml:space="preserve">TUTWILER                  </v>
      </c>
      <c r="F13722" t="str">
        <f t="shared" si="348"/>
        <v>MS</v>
      </c>
    </row>
    <row r="13723" spans="1:6" x14ac:dyDescent="0.25">
      <c r="A13723" t="str">
        <f>"008927085"</f>
        <v>008927085</v>
      </c>
      <c r="B13723" t="str">
        <f>"1548892904"</f>
        <v>1548892904</v>
      </c>
      <c r="C13723" t="str">
        <f>"363A00000X"</f>
        <v>363A00000X</v>
      </c>
      <c r="D13723" t="str">
        <f>"SEYMOUR                  MEGHAN                   "</f>
        <v xml:space="preserve">SEYMOUR                  MEGHAN                   </v>
      </c>
      <c r="E13723" t="str">
        <f>"JACKSON                   "</f>
        <v xml:space="preserve">JACKSON                   </v>
      </c>
      <c r="F13723" t="str">
        <f t="shared" si="348"/>
        <v>MS</v>
      </c>
    </row>
    <row r="13724" spans="1:6" x14ac:dyDescent="0.25">
      <c r="A13724" t="str">
        <f>"008928061"</f>
        <v>008928061</v>
      </c>
      <c r="B13724" t="str">
        <f>"1710935671"</f>
        <v>1710935671</v>
      </c>
      <c r="C13724" t="str">
        <f>"207LP2900X"</f>
        <v>207LP2900X</v>
      </c>
      <c r="D13724" t="str">
        <f>"HARRIS                   CAROL        D           "</f>
        <v xml:space="preserve">HARRIS                   CAROL        D           </v>
      </c>
      <c r="E13724" t="str">
        <f>"MERIDIAN                  "</f>
        <v xml:space="preserve">MERIDIAN                  </v>
      </c>
      <c r="F13724" t="str">
        <f t="shared" si="348"/>
        <v>MS</v>
      </c>
    </row>
    <row r="13725" spans="1:6" x14ac:dyDescent="0.25">
      <c r="A13725" t="str">
        <f>"008928308"</f>
        <v>008928308</v>
      </c>
      <c r="B13725" t="str">
        <f>"1205009966"</f>
        <v>1205009966</v>
      </c>
      <c r="C13725" t="str">
        <f>"261QF0400X"</f>
        <v>261QF0400X</v>
      </c>
      <c r="D13725" t="str">
        <f>"ADAMS COUNTY FAMILY HEALTH CENTER                 "</f>
        <v xml:space="preserve">ADAMS COUNTY FAMILY HEALTH CENTER                 </v>
      </c>
      <c r="E13725" t="str">
        <f>"NATCHEZ                   "</f>
        <v xml:space="preserve">NATCHEZ                   </v>
      </c>
      <c r="F13725" t="str">
        <f t="shared" si="348"/>
        <v>MS</v>
      </c>
    </row>
    <row r="13726" spans="1:6" x14ac:dyDescent="0.25">
      <c r="A13726" t="str">
        <f>"008928510"</f>
        <v>008928510</v>
      </c>
      <c r="B13726" t="str">
        <f>"1447922364"</f>
        <v>1447922364</v>
      </c>
      <c r="C13726" t="str">
        <f>"363L00000X"</f>
        <v>363L00000X</v>
      </c>
      <c r="D13726" t="str">
        <f>"HULSEY                   AMANDA       J           "</f>
        <v xml:space="preserve">HULSEY                   AMANDA       J           </v>
      </c>
      <c r="E13726" t="str">
        <f>"TUPELO                    "</f>
        <v xml:space="preserve">TUPELO                    </v>
      </c>
      <c r="F13726" t="str">
        <f t="shared" si="348"/>
        <v>MS</v>
      </c>
    </row>
    <row r="13727" spans="1:6" x14ac:dyDescent="0.25">
      <c r="A13727" t="str">
        <f>"008928559"</f>
        <v>008928559</v>
      </c>
      <c r="B13727" t="str">
        <f>"1063956886"</f>
        <v>1063956886</v>
      </c>
      <c r="C13727" t="str">
        <f>"363L00000X"</f>
        <v>363L00000X</v>
      </c>
      <c r="D13727" t="str">
        <f>"BURTON                   TAMMY                    "</f>
        <v xml:space="preserve">BURTON                   TAMMY                    </v>
      </c>
      <c r="E13727" t="str">
        <f>"GREENWOOD                 "</f>
        <v xml:space="preserve">GREENWOOD                 </v>
      </c>
      <c r="F13727" t="str">
        <f t="shared" si="348"/>
        <v>MS</v>
      </c>
    </row>
    <row r="13728" spans="1:6" x14ac:dyDescent="0.25">
      <c r="A13728" t="str">
        <f>"008929301"</f>
        <v>008929301</v>
      </c>
      <c r="B13728" t="str">
        <f>"1750677704"</f>
        <v>1750677704</v>
      </c>
      <c r="C13728" t="str">
        <f>"363L00000X"</f>
        <v>363L00000X</v>
      </c>
      <c r="D13728" t="str">
        <f>"PADGETT                  BRIAN        K           "</f>
        <v xml:space="preserve">PADGETT                  BRIAN        K           </v>
      </c>
      <c r="E13728" t="str">
        <f>"COLUMBIA                  "</f>
        <v xml:space="preserve">COLUMBIA                  </v>
      </c>
      <c r="F13728" t="str">
        <f t="shared" si="348"/>
        <v>MS</v>
      </c>
    </row>
    <row r="13729" spans="1:6" x14ac:dyDescent="0.25">
      <c r="A13729" t="str">
        <f>"008929505"</f>
        <v>008929505</v>
      </c>
      <c r="B13729" t="str">
        <f>"1528350006"</f>
        <v>1528350006</v>
      </c>
      <c r="C13729" t="str">
        <f>"207R00000X"</f>
        <v>207R00000X</v>
      </c>
      <c r="D13729" t="str">
        <f>"JOSEPH                   ZEENA        P           "</f>
        <v xml:space="preserve">JOSEPH                   ZEENA        P           </v>
      </c>
      <c r="E13729" t="str">
        <f>"SOUTHAVEN                 "</f>
        <v xml:space="preserve">SOUTHAVEN                 </v>
      </c>
      <c r="F13729" t="str">
        <f t="shared" si="348"/>
        <v>MS</v>
      </c>
    </row>
    <row r="13730" spans="1:6" x14ac:dyDescent="0.25">
      <c r="A13730" t="str">
        <f>"008929538"</f>
        <v>008929538</v>
      </c>
      <c r="B13730" t="str">
        <f>"1225545585"</f>
        <v>1225545585</v>
      </c>
      <c r="C13730" t="str">
        <f>"363L00000X"</f>
        <v>363L00000X</v>
      </c>
      <c r="D13730" t="str">
        <f>"WILKINSON                WHITNEY      M           "</f>
        <v xml:space="preserve">WILKINSON                WHITNEY      M           </v>
      </c>
      <c r="E13730" t="str">
        <f>"HATTIESBURG               "</f>
        <v xml:space="preserve">HATTIESBURG               </v>
      </c>
      <c r="F13730" t="str">
        <f t="shared" si="348"/>
        <v>MS</v>
      </c>
    </row>
    <row r="13731" spans="1:6" x14ac:dyDescent="0.25">
      <c r="A13731" t="str">
        <f>"008930739"</f>
        <v>008930739</v>
      </c>
      <c r="B13731" t="str">
        <f>"1720234248"</f>
        <v>1720234248</v>
      </c>
      <c r="C13731" t="str">
        <f>"261QF0400X"</f>
        <v>261QF0400X</v>
      </c>
      <c r="D13731" t="str">
        <f>"FAMILY HEALTH CARE CLINIC INC                     "</f>
        <v xml:space="preserve">FAMILY HEALTH CARE CLINIC INC                     </v>
      </c>
      <c r="E13731" t="str">
        <f>"CALHOUN CITY              "</f>
        <v xml:space="preserve">CALHOUN CITY              </v>
      </c>
      <c r="F13731" t="str">
        <f t="shared" si="348"/>
        <v>MS</v>
      </c>
    </row>
    <row r="13732" spans="1:6" x14ac:dyDescent="0.25">
      <c r="A13732" t="str">
        <f>"008932588"</f>
        <v>008932588</v>
      </c>
      <c r="B13732" t="str">
        <f>"1790136851"</f>
        <v>1790136851</v>
      </c>
      <c r="C13732" t="str">
        <f>"2084P0800X"</f>
        <v>2084P0800X</v>
      </c>
      <c r="D13732" t="str">
        <f>"BHATIA                   KUNAL                    "</f>
        <v xml:space="preserve">BHATIA                   KUNAL                    </v>
      </c>
      <c r="E13732" t="str">
        <f>"JACKSON                   "</f>
        <v xml:space="preserve">JACKSON                   </v>
      </c>
      <c r="F13732" t="str">
        <f t="shared" si="348"/>
        <v>MS</v>
      </c>
    </row>
    <row r="13733" spans="1:6" x14ac:dyDescent="0.25">
      <c r="A13733" t="str">
        <f>"008934004"</f>
        <v>008934004</v>
      </c>
      <c r="B13733" t="str">
        <f>"1720244932"</f>
        <v>1720244932</v>
      </c>
      <c r="C13733" t="str">
        <f>"207X00000X"</f>
        <v>207X00000X</v>
      </c>
      <c r="D13733" t="str">
        <f>"BURGESS                  DERRICK      L           "</f>
        <v xml:space="preserve">BURGESS                  DERRICK      L           </v>
      </c>
      <c r="E13733" t="str">
        <f>"JACKSON                   "</f>
        <v xml:space="preserve">JACKSON                   </v>
      </c>
      <c r="F13733" t="str">
        <f t="shared" si="348"/>
        <v>MS</v>
      </c>
    </row>
    <row r="13734" spans="1:6" x14ac:dyDescent="0.25">
      <c r="A13734" t="str">
        <f>"008935752"</f>
        <v>008935752</v>
      </c>
      <c r="B13734" t="str">
        <f>"1912967795"</f>
        <v>1912967795</v>
      </c>
      <c r="C13734" t="str">
        <f>"207Q00000X"</f>
        <v>207Q00000X</v>
      </c>
      <c r="D13734" t="str">
        <f>"WATKINS                  DAWN         J           "</f>
        <v xml:space="preserve">WATKINS                  DAWN         J           </v>
      </c>
      <c r="E13734" t="str">
        <f>"HURLEY                    "</f>
        <v xml:space="preserve">HURLEY                    </v>
      </c>
      <c r="F13734" t="str">
        <f t="shared" si="348"/>
        <v>MS</v>
      </c>
    </row>
    <row r="13735" spans="1:6" x14ac:dyDescent="0.25">
      <c r="A13735" t="str">
        <f>"008936716"</f>
        <v>008936716</v>
      </c>
      <c r="B13735" t="str">
        <f>"1124644455"</f>
        <v>1124644455</v>
      </c>
      <c r="C13735" t="str">
        <f>"122300000X"</f>
        <v>122300000X</v>
      </c>
      <c r="D13735" t="str">
        <f>"DELTA FAMILY DENTAL PLLC                          "</f>
        <v xml:space="preserve">DELTA FAMILY DENTAL PLLC                          </v>
      </c>
      <c r="E13735" t="str">
        <f>"CLEVELAND                 "</f>
        <v xml:space="preserve">CLEVELAND                 </v>
      </c>
      <c r="F13735" t="str">
        <f t="shared" si="348"/>
        <v>MS</v>
      </c>
    </row>
    <row r="13736" spans="1:6" x14ac:dyDescent="0.25">
      <c r="A13736" t="str">
        <f>"008938074"</f>
        <v>008938074</v>
      </c>
      <c r="B13736" t="str">
        <f>"1518400035"</f>
        <v>1518400035</v>
      </c>
      <c r="C13736" t="str">
        <f>"363L00000X"</f>
        <v>363L00000X</v>
      </c>
      <c r="D13736" t="str">
        <f>"LADD                     CHAELEENA    C           "</f>
        <v xml:space="preserve">LADD                     CHAELEENA    C           </v>
      </c>
      <c r="E13736" t="str">
        <f>"GULFPORT                  "</f>
        <v xml:space="preserve">GULFPORT                  </v>
      </c>
      <c r="F13736" t="str">
        <f t="shared" si="348"/>
        <v>MS</v>
      </c>
    </row>
    <row r="13737" spans="1:6" x14ac:dyDescent="0.25">
      <c r="A13737" t="str">
        <f>"008951561"</f>
        <v>008951561</v>
      </c>
      <c r="B13737" t="str">
        <f>"1427578608"</f>
        <v>1427578608</v>
      </c>
      <c r="C13737" t="str">
        <f>"207R00000X"</f>
        <v>207R00000X</v>
      </c>
      <c r="D13737" t="str">
        <f>"MINHAS                   SHEHARYAR    S           "</f>
        <v xml:space="preserve">MINHAS                   SHEHARYAR    S           </v>
      </c>
      <c r="E13737" t="str">
        <f>"SOUTHAVEN                 "</f>
        <v xml:space="preserve">SOUTHAVEN                 </v>
      </c>
      <c r="F13737" t="str">
        <f t="shared" si="348"/>
        <v>MS</v>
      </c>
    </row>
    <row r="13738" spans="1:6" x14ac:dyDescent="0.25">
      <c r="A13738" t="str">
        <f>"008952552"</f>
        <v>008952552</v>
      </c>
      <c r="B13738" t="str">
        <f>"1174770168"</f>
        <v>1174770168</v>
      </c>
      <c r="C13738" t="str">
        <f>"207R00000X"</f>
        <v>207R00000X</v>
      </c>
      <c r="D13738" t="str">
        <f>"VAUGHN                   KRISTINA     D           "</f>
        <v xml:space="preserve">VAUGHN                   KRISTINA     D           </v>
      </c>
      <c r="E13738" t="str">
        <f>"JACKSON                   "</f>
        <v xml:space="preserve">JACKSON                   </v>
      </c>
      <c r="F13738" t="str">
        <f t="shared" si="348"/>
        <v>MS</v>
      </c>
    </row>
    <row r="13739" spans="1:6" x14ac:dyDescent="0.25">
      <c r="A13739" t="str">
        <f>"008952891"</f>
        <v>008952891</v>
      </c>
      <c r="B13739" t="str">
        <f>"1477621324"</f>
        <v>1477621324</v>
      </c>
      <c r="C13739" t="str">
        <f>"207RG0300X"</f>
        <v>207RG0300X</v>
      </c>
      <c r="D13739" t="str">
        <f>"WINDHAM                  BEVERLY      G           "</f>
        <v xml:space="preserve">WINDHAM                  BEVERLY      G           </v>
      </c>
      <c r="E13739" t="str">
        <f>"JACKSON                   "</f>
        <v xml:space="preserve">JACKSON                   </v>
      </c>
      <c r="F13739" t="str">
        <f t="shared" si="348"/>
        <v>MS</v>
      </c>
    </row>
    <row r="13740" spans="1:6" x14ac:dyDescent="0.25">
      <c r="A13740" t="str">
        <f>"008954280"</f>
        <v>008954280</v>
      </c>
      <c r="B13740" t="str">
        <f>"1457795684"</f>
        <v>1457795684</v>
      </c>
      <c r="C13740" t="str">
        <f>"207R00000X"</f>
        <v>207R00000X</v>
      </c>
      <c r="D13740" t="str">
        <f>"COKER                    JOSHUA                   "</f>
        <v xml:space="preserve">COKER                    JOSHUA                   </v>
      </c>
      <c r="E13740" t="str">
        <f>"PASCAGOULA                "</f>
        <v xml:space="preserve">PASCAGOULA                </v>
      </c>
      <c r="F13740" t="str">
        <f t="shared" si="348"/>
        <v>MS</v>
      </c>
    </row>
    <row r="13741" spans="1:6" x14ac:dyDescent="0.25">
      <c r="A13741" t="str">
        <f>"008954899"</f>
        <v>008954899</v>
      </c>
      <c r="B13741" t="str">
        <f>"1871927343"</f>
        <v>1871927343</v>
      </c>
      <c r="C13741" t="str">
        <f>"363L00000X"</f>
        <v>363L00000X</v>
      </c>
      <c r="D13741" t="str">
        <f>"WEATHERS                 SHANNON      C           "</f>
        <v xml:space="preserve">WEATHERS                 SHANNON      C           </v>
      </c>
      <c r="E13741" t="str">
        <f>"BAY SPRINGS               "</f>
        <v xml:space="preserve">BAY SPRINGS               </v>
      </c>
      <c r="F13741" t="str">
        <f t="shared" si="348"/>
        <v>MS</v>
      </c>
    </row>
    <row r="13742" spans="1:6" x14ac:dyDescent="0.25">
      <c r="A13742" t="str">
        <f>"008955542"</f>
        <v>008955542</v>
      </c>
      <c r="B13742" t="str">
        <f>"1023456720"</f>
        <v>1023456720</v>
      </c>
      <c r="C13742" t="str">
        <f>"207X00000X"</f>
        <v>207X00000X</v>
      </c>
      <c r="D13742" t="str">
        <f>"FOLSE                    JACOB        M           "</f>
        <v xml:space="preserve">FOLSE                    JACOB        M           </v>
      </c>
      <c r="E13742" t="str">
        <f>"HATTIESBURG               "</f>
        <v xml:space="preserve">HATTIESBURG               </v>
      </c>
      <c r="F13742" t="str">
        <f t="shared" si="348"/>
        <v>MS</v>
      </c>
    </row>
    <row r="13743" spans="1:6" x14ac:dyDescent="0.25">
      <c r="A13743" t="str">
        <f>"008955720"</f>
        <v>008955720</v>
      </c>
      <c r="B13743" t="str">
        <f>"1477034981"</f>
        <v>1477034981</v>
      </c>
      <c r="C13743" t="str">
        <f>"363L00000X"</f>
        <v>363L00000X</v>
      </c>
      <c r="D13743" t="str">
        <f>"MCDONALD                 SHELBY                   "</f>
        <v xml:space="preserve">MCDONALD                 SHELBY                   </v>
      </c>
      <c r="E13743" t="str">
        <f>"SENATOBIA                 "</f>
        <v xml:space="preserve">SENATOBIA                 </v>
      </c>
      <c r="F13743" t="str">
        <f t="shared" si="348"/>
        <v>MS</v>
      </c>
    </row>
    <row r="13744" spans="1:6" x14ac:dyDescent="0.25">
      <c r="A13744" t="str">
        <f>"008956385"</f>
        <v>008956385</v>
      </c>
      <c r="B13744" t="str">
        <f>"1699886176"</f>
        <v>1699886176</v>
      </c>
      <c r="C13744" t="str">
        <f>"2084P0800X"</f>
        <v>2084P0800X</v>
      </c>
      <c r="D13744" t="str">
        <f>"JAMES                    STEPHEN      C           "</f>
        <v xml:space="preserve">JAMES                    STEPHEN      C           </v>
      </c>
      <c r="E13744" t="str">
        <f>"GULFPORT                  "</f>
        <v xml:space="preserve">GULFPORT                  </v>
      </c>
      <c r="F13744" t="str">
        <f t="shared" si="348"/>
        <v>MS</v>
      </c>
    </row>
    <row r="13745" spans="1:6" x14ac:dyDescent="0.25">
      <c r="A13745" t="str">
        <f>"008956501"</f>
        <v>008956501</v>
      </c>
      <c r="B13745" t="str">
        <f>"1053752642"</f>
        <v>1053752642</v>
      </c>
      <c r="C13745" t="str">
        <f>"1223S0112X"</f>
        <v>1223S0112X</v>
      </c>
      <c r="D13745" t="str">
        <f>"WEST                     GRIFFIN      H           "</f>
        <v xml:space="preserve">WEST                     GRIFFIN      H           </v>
      </c>
      <c r="E13745" t="str">
        <f>"HATTIESBURG               "</f>
        <v xml:space="preserve">HATTIESBURG               </v>
      </c>
      <c r="F13745" t="str">
        <f t="shared" si="348"/>
        <v>MS</v>
      </c>
    </row>
    <row r="13746" spans="1:6" x14ac:dyDescent="0.25">
      <c r="A13746" t="str">
        <f>"008957532"</f>
        <v>008957532</v>
      </c>
      <c r="B13746" t="str">
        <f>"1790760841"</f>
        <v>1790760841</v>
      </c>
      <c r="C13746" t="str">
        <f>"208000000X"</f>
        <v>208000000X</v>
      </c>
      <c r="D13746" t="str">
        <f>"KRIST                    KEITH                    "</f>
        <v xml:space="preserve">KRIST                    KEITH                    </v>
      </c>
      <c r="E13746" t="str">
        <f>"WEST POINT                "</f>
        <v xml:space="preserve">WEST POINT                </v>
      </c>
      <c r="F13746" t="str">
        <f t="shared" si="348"/>
        <v>MS</v>
      </c>
    </row>
    <row r="13747" spans="1:6" x14ac:dyDescent="0.25">
      <c r="A13747" t="str">
        <f>"008958249"</f>
        <v>008958249</v>
      </c>
      <c r="B13747" t="str">
        <f>"1770873093"</f>
        <v>1770873093</v>
      </c>
      <c r="C13747" t="str">
        <f>"2080P0210X"</f>
        <v>2080P0210X</v>
      </c>
      <c r="D13747" t="str">
        <f>"AFSHAN                   SABAHAT                  "</f>
        <v xml:space="preserve">AFSHAN                   SABAHAT                  </v>
      </c>
      <c r="E13747" t="str">
        <f>"JACKSON                   "</f>
        <v xml:space="preserve">JACKSON                   </v>
      </c>
      <c r="F13747" t="str">
        <f t="shared" si="348"/>
        <v>MS</v>
      </c>
    </row>
    <row r="13748" spans="1:6" x14ac:dyDescent="0.25">
      <c r="A13748" t="str">
        <f>"008958307"</f>
        <v>008958307</v>
      </c>
      <c r="B13748" t="str">
        <f>"1750848768"</f>
        <v>1750848768</v>
      </c>
      <c r="C13748" t="str">
        <f>"363L00000X"</f>
        <v>363L00000X</v>
      </c>
      <c r="D13748" t="str">
        <f>"FOLES                    RHONDA       R           "</f>
        <v xml:space="preserve">FOLES                    RHONDA       R           </v>
      </c>
      <c r="E13748" t="str">
        <f>"GULFPORT                  "</f>
        <v xml:space="preserve">GULFPORT                  </v>
      </c>
      <c r="F13748" t="str">
        <f t="shared" si="348"/>
        <v>MS</v>
      </c>
    </row>
    <row r="13749" spans="1:6" x14ac:dyDescent="0.25">
      <c r="A13749" t="str">
        <f>"008958365"</f>
        <v>008958365</v>
      </c>
      <c r="B13749" t="str">
        <f>"1427535079"</f>
        <v>1427535079</v>
      </c>
      <c r="C13749" t="str">
        <f>"363A00000X"</f>
        <v>363A00000X</v>
      </c>
      <c r="D13749" t="str">
        <f>"COOPER                   JENNA        J           "</f>
        <v xml:space="preserve">COOPER                   JENNA        J           </v>
      </c>
      <c r="E13749" t="str">
        <f>"OXFORD                    "</f>
        <v xml:space="preserve">OXFORD                    </v>
      </c>
      <c r="F13749" t="str">
        <f t="shared" si="348"/>
        <v>MS</v>
      </c>
    </row>
    <row r="13750" spans="1:6" x14ac:dyDescent="0.25">
      <c r="A13750" t="str">
        <f>"008959043"</f>
        <v>008959043</v>
      </c>
      <c r="B13750" t="str">
        <f>"1336579499"</f>
        <v>1336579499</v>
      </c>
      <c r="C13750" t="str">
        <f>"363L00000X"</f>
        <v>363L00000X</v>
      </c>
      <c r="D13750" t="str">
        <f>"HAYES                    LISA         L           "</f>
        <v xml:space="preserve">HAYES                    LISA         L           </v>
      </c>
      <c r="E13750" t="str">
        <f>"COLUMBUS                  "</f>
        <v xml:space="preserve">COLUMBUS                  </v>
      </c>
      <c r="F13750" t="str">
        <f t="shared" si="348"/>
        <v>MS</v>
      </c>
    </row>
    <row r="13751" spans="1:6" x14ac:dyDescent="0.25">
      <c r="A13751" t="str">
        <f>"008959701"</f>
        <v>008959701</v>
      </c>
      <c r="B13751" t="str">
        <f>"1306035910"</f>
        <v>1306035910</v>
      </c>
      <c r="C13751" t="str">
        <f>"207P00000X"</f>
        <v>207P00000X</v>
      </c>
      <c r="D13751" t="str">
        <f>"REA                      MISTY        N           "</f>
        <v xml:space="preserve">REA                      MISTY        N           </v>
      </c>
      <c r="E13751" t="str">
        <f>"TUPELO                    "</f>
        <v xml:space="preserve">TUPELO                    </v>
      </c>
      <c r="F13751" t="str">
        <f t="shared" si="348"/>
        <v>MS</v>
      </c>
    </row>
    <row r="13752" spans="1:6" x14ac:dyDescent="0.25">
      <c r="A13752" t="str">
        <f>"008959866"</f>
        <v>008959866</v>
      </c>
      <c r="B13752" t="str">
        <f>"1588119176"</f>
        <v>1588119176</v>
      </c>
      <c r="C13752" t="str">
        <f>"363L00000X"</f>
        <v>363L00000X</v>
      </c>
      <c r="D13752" t="str">
        <f>"WELCH                    ELIZABETH    D           "</f>
        <v xml:space="preserve">WELCH                    ELIZABETH    D           </v>
      </c>
      <c r="E13752" t="str">
        <f>"ELLISVILLE                "</f>
        <v xml:space="preserve">ELLISVILLE                </v>
      </c>
      <c r="F13752" t="str">
        <f t="shared" si="348"/>
        <v>MS</v>
      </c>
    </row>
    <row r="13753" spans="1:6" x14ac:dyDescent="0.25">
      <c r="A13753" t="str">
        <f>"008959872"</f>
        <v>008959872</v>
      </c>
      <c r="B13753" t="str">
        <f>"1255659009"</f>
        <v>1255659009</v>
      </c>
      <c r="C13753" t="str">
        <f>"2084N0400X"</f>
        <v>2084N0400X</v>
      </c>
      <c r="D13753" t="str">
        <f>"RAWAL                    PAWAN        V           "</f>
        <v xml:space="preserve">RAWAL                    PAWAN        V           </v>
      </c>
      <c r="E13753" t="str">
        <f>"OLIVE BRANCH              "</f>
        <v xml:space="preserve">OLIVE BRANCH              </v>
      </c>
      <c r="F13753" t="str">
        <f t="shared" si="348"/>
        <v>MS</v>
      </c>
    </row>
    <row r="13754" spans="1:6" x14ac:dyDescent="0.25">
      <c r="A13754" t="str">
        <f>"008970005"</f>
        <v>008970005</v>
      </c>
      <c r="B13754" t="str">
        <f>"1407110554"</f>
        <v>1407110554</v>
      </c>
      <c r="C13754" t="str">
        <f>"2084P0800X"</f>
        <v>2084P0800X</v>
      </c>
      <c r="D13754" t="str">
        <f>"TORRENCE                 CHASITY      L           "</f>
        <v xml:space="preserve">TORRENCE                 CHASITY      L           </v>
      </c>
      <c r="E13754" t="str">
        <f>"JACKSON                   "</f>
        <v xml:space="preserve">JACKSON                   </v>
      </c>
      <c r="F13754" t="str">
        <f t="shared" si="348"/>
        <v>MS</v>
      </c>
    </row>
    <row r="13755" spans="1:6" x14ac:dyDescent="0.25">
      <c r="A13755" t="str">
        <f>"008970215"</f>
        <v>008970215</v>
      </c>
      <c r="B13755" t="str">
        <f>"1700349222"</f>
        <v>1700349222</v>
      </c>
      <c r="C13755" t="str">
        <f>"261QR1300X"</f>
        <v>261QR1300X</v>
      </c>
      <c r="D13755" t="str">
        <f>"PANOLA WOMENS AND CHILDRENS CLINIC                "</f>
        <v xml:space="preserve">PANOLA WOMENS AND CHILDRENS CLINIC                </v>
      </c>
      <c r="E13755" t="str">
        <f>"BATESVILLE                "</f>
        <v xml:space="preserve">BATESVILLE                </v>
      </c>
      <c r="F13755" t="str">
        <f t="shared" si="348"/>
        <v>MS</v>
      </c>
    </row>
    <row r="13756" spans="1:6" x14ac:dyDescent="0.25">
      <c r="A13756" t="str">
        <f>"008970301"</f>
        <v>008970301</v>
      </c>
      <c r="B13756" t="str">
        <f>"1598765943"</f>
        <v>1598765943</v>
      </c>
      <c r="C13756" t="str">
        <f>"207N00000X"</f>
        <v>207N00000X</v>
      </c>
      <c r="D13756" t="str">
        <f>"BRODELL                  ROBERT       T           "</f>
        <v xml:space="preserve">BRODELL                  ROBERT       T           </v>
      </c>
      <c r="E13756" t="str">
        <f>"JACKSON                   "</f>
        <v xml:space="preserve">JACKSON                   </v>
      </c>
      <c r="F13756" t="str">
        <f t="shared" si="348"/>
        <v>MS</v>
      </c>
    </row>
    <row r="13757" spans="1:6" x14ac:dyDescent="0.25">
      <c r="A13757" t="str">
        <f>"008972023"</f>
        <v>008972023</v>
      </c>
      <c r="B13757" t="str">
        <f>"1396055299"</f>
        <v>1396055299</v>
      </c>
      <c r="C13757" t="str">
        <f>"207X00000X"</f>
        <v>207X00000X</v>
      </c>
      <c r="D13757" t="str">
        <f>"LONG                     RAYMOND                  "</f>
        <v xml:space="preserve">LONG                     RAYMOND                  </v>
      </c>
      <c r="E13757" t="str">
        <f>"HATTIESBURG               "</f>
        <v xml:space="preserve">HATTIESBURG               </v>
      </c>
      <c r="F13757" t="str">
        <f t="shared" si="348"/>
        <v>MS</v>
      </c>
    </row>
    <row r="13758" spans="1:6" x14ac:dyDescent="0.25">
      <c r="A13758" t="str">
        <f>"008976360"</f>
        <v>008976360</v>
      </c>
      <c r="B13758" t="str">
        <f>"1700269206"</f>
        <v>1700269206</v>
      </c>
      <c r="C13758" t="str">
        <f>"207Q00000X"</f>
        <v>207Q00000X</v>
      </c>
      <c r="D13758" t="str">
        <f>"CAPALBO                  MATTHEW      T           "</f>
        <v xml:space="preserve">CAPALBO                  MATTHEW      T           </v>
      </c>
      <c r="E13758" t="str">
        <f>"LUCEDALE                  "</f>
        <v xml:space="preserve">LUCEDALE                  </v>
      </c>
      <c r="F13758" t="str">
        <f t="shared" ref="F13758:F13821" si="349">"MS"</f>
        <v>MS</v>
      </c>
    </row>
    <row r="13759" spans="1:6" x14ac:dyDescent="0.25">
      <c r="A13759" t="str">
        <f>"008977023"</f>
        <v>008977023</v>
      </c>
      <c r="B13759" t="str">
        <f>"1730168618"</f>
        <v>1730168618</v>
      </c>
      <c r="C13759" t="str">
        <f>"363L00000X"</f>
        <v>363L00000X</v>
      </c>
      <c r="D13759" t="str">
        <f>"TEMPLE                   DARRYL       G           "</f>
        <v xml:space="preserve">TEMPLE                   DARRYL       G           </v>
      </c>
      <c r="E13759" t="str">
        <f>"MCCOMB                    "</f>
        <v xml:space="preserve">MCCOMB                    </v>
      </c>
      <c r="F13759" t="str">
        <f t="shared" si="349"/>
        <v>MS</v>
      </c>
    </row>
    <row r="13760" spans="1:6" x14ac:dyDescent="0.25">
      <c r="A13760" t="str">
        <f>"008977369"</f>
        <v>008977369</v>
      </c>
      <c r="B13760" t="str">
        <f>"1306350129"</f>
        <v>1306350129</v>
      </c>
      <c r="C13760" t="str">
        <f>"363L00000X"</f>
        <v>363L00000X</v>
      </c>
      <c r="D13760" t="str">
        <f>"BROOME-LEWIS             TAMIKA       M           "</f>
        <v xml:space="preserve">BROOME-LEWIS             TAMIKA       M           </v>
      </c>
      <c r="E13760" t="str">
        <f>"JACKSON                   "</f>
        <v xml:space="preserve">JACKSON                   </v>
      </c>
      <c r="F13760" t="str">
        <f t="shared" si="349"/>
        <v>MS</v>
      </c>
    </row>
    <row r="13761" spans="1:6" x14ac:dyDescent="0.25">
      <c r="A13761" t="str">
        <f>"008977735"</f>
        <v>008977735</v>
      </c>
      <c r="B13761" t="str">
        <f>"1164620761"</f>
        <v>1164620761</v>
      </c>
      <c r="C13761" t="str">
        <f>"207L00000X"</f>
        <v>207L00000X</v>
      </c>
      <c r="D13761" t="str">
        <f>"FLOYD                    JOHN         D           "</f>
        <v xml:space="preserve">FLOYD                    JOHN         D           </v>
      </c>
      <c r="E13761" t="str">
        <f>"JACKSON                   "</f>
        <v xml:space="preserve">JACKSON                   </v>
      </c>
      <c r="F13761" t="str">
        <f t="shared" si="349"/>
        <v>MS</v>
      </c>
    </row>
    <row r="13762" spans="1:6" x14ac:dyDescent="0.25">
      <c r="A13762" t="str">
        <f>"008977863"</f>
        <v>008977863</v>
      </c>
      <c r="B13762" t="str">
        <f>"1467670984"</f>
        <v>1467670984</v>
      </c>
      <c r="C13762" t="str">
        <f>"207R00000X"</f>
        <v>207R00000X</v>
      </c>
      <c r="D13762" t="str">
        <f>"MIRZA                    MUHAMMAD     M           "</f>
        <v xml:space="preserve">MIRZA                    MUHAMMAD     M           </v>
      </c>
      <c r="E13762" t="str">
        <f>"NEW ALBANY                "</f>
        <v xml:space="preserve">NEW ALBANY                </v>
      </c>
      <c r="F13762" t="str">
        <f t="shared" si="349"/>
        <v>MS</v>
      </c>
    </row>
    <row r="13763" spans="1:6" x14ac:dyDescent="0.25">
      <c r="A13763" t="str">
        <f>"008980094"</f>
        <v>008980094</v>
      </c>
      <c r="B13763" t="str">
        <f>"1689967036"</f>
        <v>1689967036</v>
      </c>
      <c r="C13763" t="str">
        <f>"2080N0001X"</f>
        <v>2080N0001X</v>
      </c>
      <c r="D13763" t="str">
        <f>"RAMARAO                  SUMANA                   "</f>
        <v xml:space="preserve">RAMARAO                  SUMANA                   </v>
      </c>
      <c r="E13763" t="str">
        <f>"JACKSON                   "</f>
        <v xml:space="preserve">JACKSON                   </v>
      </c>
      <c r="F13763" t="str">
        <f t="shared" si="349"/>
        <v>MS</v>
      </c>
    </row>
    <row r="13764" spans="1:6" x14ac:dyDescent="0.25">
      <c r="A13764" t="str">
        <f>"008981031"</f>
        <v>008981031</v>
      </c>
      <c r="B13764" t="str">
        <f>"1942404496"</f>
        <v>1942404496</v>
      </c>
      <c r="C13764" t="str">
        <f>"207P00000X"</f>
        <v>207P00000X</v>
      </c>
      <c r="D13764" t="str">
        <f>"BUFKIN                   PATRICK      J           "</f>
        <v xml:space="preserve">BUFKIN                   PATRICK      J           </v>
      </c>
      <c r="E13764" t="str">
        <f>"JACKSON                   "</f>
        <v xml:space="preserve">JACKSON                   </v>
      </c>
      <c r="F13764" t="str">
        <f t="shared" si="349"/>
        <v>MS</v>
      </c>
    </row>
    <row r="13765" spans="1:6" x14ac:dyDescent="0.25">
      <c r="A13765" t="str">
        <f>"008982755"</f>
        <v>008982755</v>
      </c>
      <c r="B13765" t="str">
        <f>"1346751195"</f>
        <v>1346751195</v>
      </c>
      <c r="C13765" t="str">
        <f>"363L00000X"</f>
        <v>363L00000X</v>
      </c>
      <c r="D13765" t="str">
        <f>"WALL                     AMY          E           "</f>
        <v xml:space="preserve">WALL                     AMY          E           </v>
      </c>
      <c r="E13765" t="str">
        <f>"JACKSON                   "</f>
        <v xml:space="preserve">JACKSON                   </v>
      </c>
      <c r="F13765" t="str">
        <f t="shared" si="349"/>
        <v>MS</v>
      </c>
    </row>
    <row r="13766" spans="1:6" x14ac:dyDescent="0.25">
      <c r="A13766" t="str">
        <f>"008984789"</f>
        <v>008984789</v>
      </c>
      <c r="B13766" t="str">
        <f>"1558001727"</f>
        <v>1558001727</v>
      </c>
      <c r="C13766" t="str">
        <f>"208800000X"</f>
        <v>208800000X</v>
      </c>
      <c r="D13766" t="str">
        <f>"DENISON                  CHANDLER                 "</f>
        <v xml:space="preserve">DENISON                  CHANDLER                 </v>
      </c>
      <c r="E13766" t="str">
        <f>"JACKSON                   "</f>
        <v xml:space="preserve">JACKSON                   </v>
      </c>
      <c r="F13766" t="str">
        <f t="shared" si="349"/>
        <v>MS</v>
      </c>
    </row>
    <row r="13767" spans="1:6" x14ac:dyDescent="0.25">
      <c r="A13767" t="str">
        <f>"008985365"</f>
        <v>008985365</v>
      </c>
      <c r="B13767" t="str">
        <f>"1174799688"</f>
        <v>1174799688</v>
      </c>
      <c r="C13767" t="str">
        <f>"208D00000X"</f>
        <v>208D00000X</v>
      </c>
      <c r="D13767" t="str">
        <f>"BRENNAN                  MATTHEW      P           "</f>
        <v xml:space="preserve">BRENNAN                  MATTHEW      P           </v>
      </c>
      <c r="E13767" t="str">
        <f>"BRANDON                   "</f>
        <v xml:space="preserve">BRANDON                   </v>
      </c>
      <c r="F13767" t="str">
        <f t="shared" si="349"/>
        <v>MS</v>
      </c>
    </row>
    <row r="13768" spans="1:6" x14ac:dyDescent="0.25">
      <c r="A13768" t="str">
        <f>"008985812"</f>
        <v>008985812</v>
      </c>
      <c r="B13768" t="str">
        <f>"1164619144"</f>
        <v>1164619144</v>
      </c>
      <c r="C13768" t="str">
        <f>"363L00000X"</f>
        <v>363L00000X</v>
      </c>
      <c r="D13768" t="str">
        <f>"LOVELL                   LYDIA        E           "</f>
        <v xml:space="preserve">LOVELL                   LYDIA        E           </v>
      </c>
      <c r="E13768" t="str">
        <f>"BOONEVILLE                "</f>
        <v xml:space="preserve">BOONEVILLE                </v>
      </c>
      <c r="F13768" t="str">
        <f t="shared" si="349"/>
        <v>MS</v>
      </c>
    </row>
    <row r="13769" spans="1:6" x14ac:dyDescent="0.25">
      <c r="A13769" t="str">
        <f>"008986284"</f>
        <v>008986284</v>
      </c>
      <c r="B13769" t="str">
        <f>"1790291763"</f>
        <v>1790291763</v>
      </c>
      <c r="C13769" t="str">
        <f>"367500000X"</f>
        <v>367500000X</v>
      </c>
      <c r="D13769" t="str">
        <f>"MILLWOOD                 JACOB        D           "</f>
        <v xml:space="preserve">MILLWOOD                 JACOB        D           </v>
      </c>
      <c r="E13769" t="str">
        <f>"JACKSON                   "</f>
        <v xml:space="preserve">JACKSON                   </v>
      </c>
      <c r="F13769" t="str">
        <f t="shared" si="349"/>
        <v>MS</v>
      </c>
    </row>
    <row r="13770" spans="1:6" x14ac:dyDescent="0.25">
      <c r="A13770" t="str">
        <f>"008987242"</f>
        <v>008987242</v>
      </c>
      <c r="B13770" t="str">
        <f>"1124505649"</f>
        <v>1124505649</v>
      </c>
      <c r="C13770" t="str">
        <f>"363L00000X"</f>
        <v>363L00000X</v>
      </c>
      <c r="D13770" t="str">
        <f>"JONES                    ANNA                     "</f>
        <v xml:space="preserve">JONES                    ANNA                     </v>
      </c>
      <c r="E13770" t="str">
        <f>"CLARKSDALE                "</f>
        <v xml:space="preserve">CLARKSDALE                </v>
      </c>
      <c r="F13770" t="str">
        <f t="shared" si="349"/>
        <v>MS</v>
      </c>
    </row>
    <row r="13771" spans="1:6" x14ac:dyDescent="0.25">
      <c r="A13771" t="str">
        <f>"008987708"</f>
        <v>008987708</v>
      </c>
      <c r="B13771" t="str">
        <f>"1649627696"</f>
        <v>1649627696</v>
      </c>
      <c r="C13771" t="str">
        <f>"207Q00000X"</f>
        <v>207Q00000X</v>
      </c>
      <c r="D13771" t="str">
        <f>"MANSOUR                  WASIM                    "</f>
        <v xml:space="preserve">MANSOUR                  WASIM                    </v>
      </c>
      <c r="E13771" t="str">
        <f>"JACKSON                   "</f>
        <v xml:space="preserve">JACKSON                   </v>
      </c>
      <c r="F13771" t="str">
        <f t="shared" si="349"/>
        <v>MS</v>
      </c>
    </row>
    <row r="13772" spans="1:6" x14ac:dyDescent="0.25">
      <c r="A13772" t="str">
        <f>"008988022"</f>
        <v>008988022</v>
      </c>
      <c r="B13772" t="str">
        <f>"1407206139"</f>
        <v>1407206139</v>
      </c>
      <c r="C13772" t="str">
        <f>"363L00000X"</f>
        <v>363L00000X</v>
      </c>
      <c r="D13772" t="str">
        <f>"DEARMAN                  TIFFANY      R           "</f>
        <v xml:space="preserve">DEARMAN                  TIFFANY      R           </v>
      </c>
      <c r="E13772" t="str">
        <f>"MERIDIAN                  "</f>
        <v xml:space="preserve">MERIDIAN                  </v>
      </c>
      <c r="F13772" t="str">
        <f t="shared" si="349"/>
        <v>MS</v>
      </c>
    </row>
    <row r="13773" spans="1:6" x14ac:dyDescent="0.25">
      <c r="A13773" t="str">
        <f>"008989860"</f>
        <v>008989860</v>
      </c>
      <c r="B13773" t="str">
        <f>"1578218616"</f>
        <v>1578218616</v>
      </c>
      <c r="C13773" t="str">
        <f>"363L00000X"</f>
        <v>363L00000X</v>
      </c>
      <c r="D13773" t="str">
        <f>"VANDEVENDER              MALLORY                  "</f>
        <v xml:space="preserve">VANDEVENDER              MALLORY                  </v>
      </c>
      <c r="E13773" t="str">
        <f>"FLOWOOD                   "</f>
        <v xml:space="preserve">FLOWOOD                   </v>
      </c>
      <c r="F13773" t="str">
        <f t="shared" si="349"/>
        <v>MS</v>
      </c>
    </row>
    <row r="13774" spans="1:6" x14ac:dyDescent="0.25">
      <c r="A13774" t="str">
        <f>"009000709"</f>
        <v>009000709</v>
      </c>
      <c r="B13774" t="str">
        <f>"1871096859"</f>
        <v>1871096859</v>
      </c>
      <c r="C13774" t="str">
        <f>"363L00000X"</f>
        <v>363L00000X</v>
      </c>
      <c r="D13774" t="str">
        <f>"MCKEE                    JENNIE                   "</f>
        <v xml:space="preserve">MCKEE                    JENNIE                   </v>
      </c>
      <c r="E13774" t="str">
        <f>"GULFPORT                  "</f>
        <v xml:space="preserve">GULFPORT                  </v>
      </c>
      <c r="F13774" t="str">
        <f t="shared" si="349"/>
        <v>MS</v>
      </c>
    </row>
    <row r="13775" spans="1:6" x14ac:dyDescent="0.25">
      <c r="A13775" t="str">
        <f>"009000939"</f>
        <v>009000939</v>
      </c>
      <c r="B13775" t="str">
        <f>"1346349131"</f>
        <v>1346349131</v>
      </c>
      <c r="C13775" t="str">
        <f>"207P00000X"</f>
        <v>207P00000X</v>
      </c>
      <c r="D13775" t="str">
        <f>"HILL                     CHARLES      D           "</f>
        <v xml:space="preserve">HILL                     CHARLES      D           </v>
      </c>
      <c r="E13775" t="str">
        <f>"WEST POINT                "</f>
        <v xml:space="preserve">WEST POINT                </v>
      </c>
      <c r="F13775" t="str">
        <f t="shared" si="349"/>
        <v>MS</v>
      </c>
    </row>
    <row r="13776" spans="1:6" x14ac:dyDescent="0.25">
      <c r="A13776" t="str">
        <f>"009001077"</f>
        <v>009001077</v>
      </c>
      <c r="B13776" t="str">
        <f>"1518309277"</f>
        <v>1518309277</v>
      </c>
      <c r="C13776" t="str">
        <f>"152W00000X"</f>
        <v>152W00000X</v>
      </c>
      <c r="D13776" t="str">
        <f>"ASHLEY                   MILES        D           "</f>
        <v xml:space="preserve">ASHLEY                   MILES        D           </v>
      </c>
      <c r="E13776" t="str">
        <f>"VICKSBURG                 "</f>
        <v xml:space="preserve">VICKSBURG                 </v>
      </c>
      <c r="F13776" t="str">
        <f t="shared" si="349"/>
        <v>MS</v>
      </c>
    </row>
    <row r="13777" spans="1:6" x14ac:dyDescent="0.25">
      <c r="A13777" t="str">
        <f>"009001098"</f>
        <v>009001098</v>
      </c>
      <c r="B13777" t="str">
        <f>"1992939490"</f>
        <v>1992939490</v>
      </c>
      <c r="C13777" t="str">
        <f>"207L00000X"</f>
        <v>207L00000X</v>
      </c>
      <c r="D13777" t="str">
        <f>"DILTS                    BRENT                    "</f>
        <v xml:space="preserve">DILTS                    BRENT                    </v>
      </c>
      <c r="E13777" t="str">
        <f>"GULFPORT                  "</f>
        <v xml:space="preserve">GULFPORT                  </v>
      </c>
      <c r="F13777" t="str">
        <f t="shared" si="349"/>
        <v>MS</v>
      </c>
    </row>
    <row r="13778" spans="1:6" x14ac:dyDescent="0.25">
      <c r="A13778" t="str">
        <f>"009003225"</f>
        <v>009003225</v>
      </c>
      <c r="B13778" t="str">
        <f>"1316588858"</f>
        <v>1316588858</v>
      </c>
      <c r="C13778" t="str">
        <f>"363L00000X"</f>
        <v>363L00000X</v>
      </c>
      <c r="D13778" t="str">
        <f>"SPENCER                  BENJAMIN                 "</f>
        <v xml:space="preserve">SPENCER                  BENJAMIN                 </v>
      </c>
      <c r="E13778" t="str">
        <f>"JACKSON                   "</f>
        <v xml:space="preserve">JACKSON                   </v>
      </c>
      <c r="F13778" t="str">
        <f t="shared" si="349"/>
        <v>MS</v>
      </c>
    </row>
    <row r="13779" spans="1:6" x14ac:dyDescent="0.25">
      <c r="A13779" t="str">
        <f>"009006276"</f>
        <v>009006276</v>
      </c>
      <c r="B13779" t="str">
        <f>"1235656406"</f>
        <v>1235656406</v>
      </c>
      <c r="C13779" t="str">
        <f>"261QR1300X"</f>
        <v>261QR1300X</v>
      </c>
      <c r="D13779" t="str">
        <f>"MONROE REGIONAL HOSPITAL                          "</f>
        <v xml:space="preserve">MONROE REGIONAL HOSPITAL                          </v>
      </c>
      <c r="E13779" t="str">
        <f>"HAMILTON                  "</f>
        <v xml:space="preserve">HAMILTON                  </v>
      </c>
      <c r="F13779" t="str">
        <f t="shared" si="349"/>
        <v>MS</v>
      </c>
    </row>
    <row r="13780" spans="1:6" x14ac:dyDescent="0.25">
      <c r="A13780" t="str">
        <f>"009006301"</f>
        <v>009006301</v>
      </c>
      <c r="B13780" t="str">
        <f>"1447331152"</f>
        <v>1447331152</v>
      </c>
      <c r="C13780" t="str">
        <f>"207RC0000X"</f>
        <v>207RC0000X</v>
      </c>
      <c r="D13780" t="str">
        <f>"CUI                      JIANG                    "</f>
        <v xml:space="preserve">CUI                      JIANG                    </v>
      </c>
      <c r="E13780" t="str">
        <f>"SOUTHAVEN                 "</f>
        <v xml:space="preserve">SOUTHAVEN                 </v>
      </c>
      <c r="F13780" t="str">
        <f t="shared" si="349"/>
        <v>MS</v>
      </c>
    </row>
    <row r="13781" spans="1:6" x14ac:dyDescent="0.25">
      <c r="A13781" t="str">
        <f>"009006590"</f>
        <v>009006590</v>
      </c>
      <c r="B13781" t="str">
        <f>"1962511212"</f>
        <v>1962511212</v>
      </c>
      <c r="C13781" t="str">
        <f>"208600000X"</f>
        <v>208600000X</v>
      </c>
      <c r="D13781" t="str">
        <f>"THOMPSON                 JOHN         K           "</f>
        <v xml:space="preserve">THOMPSON                 JOHN         K           </v>
      </c>
      <c r="E13781" t="str">
        <f>"HATTIESBURG               "</f>
        <v xml:space="preserve">HATTIESBURG               </v>
      </c>
      <c r="F13781" t="str">
        <f t="shared" si="349"/>
        <v>MS</v>
      </c>
    </row>
    <row r="13782" spans="1:6" x14ac:dyDescent="0.25">
      <c r="A13782" t="str">
        <f>"009007551"</f>
        <v>009007551</v>
      </c>
      <c r="B13782" t="str">
        <f>"1508887274"</f>
        <v>1508887274</v>
      </c>
      <c r="C13782" t="str">
        <f>"367500000X"</f>
        <v>367500000X</v>
      </c>
      <c r="D13782" t="str">
        <f>"CO                       DELIA                    "</f>
        <v xml:space="preserve">CO                       DELIA                    </v>
      </c>
      <c r="E13782" t="str">
        <f>"FLOWOOD                   "</f>
        <v xml:space="preserve">FLOWOOD                   </v>
      </c>
      <c r="F13782" t="str">
        <f t="shared" si="349"/>
        <v>MS</v>
      </c>
    </row>
    <row r="13783" spans="1:6" x14ac:dyDescent="0.25">
      <c r="A13783" t="str">
        <f>"009008069"</f>
        <v>009008069</v>
      </c>
      <c r="B13783" t="str">
        <f>"1710472790"</f>
        <v>1710472790</v>
      </c>
      <c r="C13783" t="str">
        <f>"363L00000X"</f>
        <v>363L00000X</v>
      </c>
      <c r="D13783" t="str">
        <f>"YELVERTON                ALLEN        B           "</f>
        <v xml:space="preserve">YELVERTON                ALLEN        B           </v>
      </c>
      <c r="E13783" t="str">
        <f>"MOUND BAYOU               "</f>
        <v xml:space="preserve">MOUND BAYOU               </v>
      </c>
      <c r="F13783" t="str">
        <f t="shared" si="349"/>
        <v>MS</v>
      </c>
    </row>
    <row r="13784" spans="1:6" x14ac:dyDescent="0.25">
      <c r="A13784" t="str">
        <f>"009010015"</f>
        <v>009010015</v>
      </c>
      <c r="B13784" t="str">
        <f>"1134151442"</f>
        <v>1134151442</v>
      </c>
      <c r="C13784" t="str">
        <f t="shared" ref="C13784:C13803" si="350">"261QF0400X"</f>
        <v>261QF0400X</v>
      </c>
      <c r="D13784" t="str">
        <f>"JHCHC-MAIN CLINIC                                 "</f>
        <v xml:space="preserve">JHCHC-MAIN CLINIC                                 </v>
      </c>
      <c r="E13784" t="str">
        <f>"JACKSON                   "</f>
        <v xml:space="preserve">JACKSON                   </v>
      </c>
      <c r="F13784" t="str">
        <f t="shared" si="349"/>
        <v>MS</v>
      </c>
    </row>
    <row r="13785" spans="1:6" x14ac:dyDescent="0.25">
      <c r="A13785" t="str">
        <f>"009010018"</f>
        <v>009010018</v>
      </c>
      <c r="B13785" t="str">
        <f>"1801952809"</f>
        <v>1801952809</v>
      </c>
      <c r="C13785" t="str">
        <f t="shared" si="350"/>
        <v>261QF0400X</v>
      </c>
      <c r="D13785" t="str">
        <f>"G A CARMICHAEL FAMILY HEALTH CENTER               "</f>
        <v xml:space="preserve">G A CARMICHAEL FAMILY HEALTH CENTER               </v>
      </c>
      <c r="E13785" t="str">
        <f>"CANTON                    "</f>
        <v xml:space="preserve">CANTON                    </v>
      </c>
      <c r="F13785" t="str">
        <f t="shared" si="349"/>
        <v>MS</v>
      </c>
    </row>
    <row r="13786" spans="1:6" x14ac:dyDescent="0.25">
      <c r="A13786" t="str">
        <f>"009010021"</f>
        <v>009010021</v>
      </c>
      <c r="B13786" t="str">
        <f>"1942298195"</f>
        <v>1942298195</v>
      </c>
      <c r="C13786" t="str">
        <f t="shared" si="350"/>
        <v>261QF0400X</v>
      </c>
      <c r="D13786" t="str">
        <f>"COASTAL FAMILY HEALTH CENTER                      "</f>
        <v xml:space="preserve">COASTAL FAMILY HEALTH CENTER                      </v>
      </c>
      <c r="E13786" t="str">
        <f>"SAUCIER                   "</f>
        <v xml:space="preserve">SAUCIER                   </v>
      </c>
      <c r="F13786" t="str">
        <f t="shared" si="349"/>
        <v>MS</v>
      </c>
    </row>
    <row r="13787" spans="1:6" x14ac:dyDescent="0.25">
      <c r="A13787" t="str">
        <f>"009010024"</f>
        <v>009010024</v>
      </c>
      <c r="B13787" t="str">
        <f>"1699721209"</f>
        <v>1699721209</v>
      </c>
      <c r="C13787" t="str">
        <f t="shared" si="350"/>
        <v>261QF0400X</v>
      </c>
      <c r="D13787" t="str">
        <f>"SEBASTOPOL CLINIC                                 "</f>
        <v xml:space="preserve">SEBASTOPOL CLINIC                                 </v>
      </c>
      <c r="E13787" t="str">
        <f>"SEBASTOPOL                "</f>
        <v xml:space="preserve">SEBASTOPOL                </v>
      </c>
      <c r="F13787" t="str">
        <f t="shared" si="349"/>
        <v>MS</v>
      </c>
    </row>
    <row r="13788" spans="1:6" x14ac:dyDescent="0.25">
      <c r="A13788" t="str">
        <f>"009010030"</f>
        <v>009010030</v>
      </c>
      <c r="B13788" t="str">
        <f>"1801999479"</f>
        <v>1801999479</v>
      </c>
      <c r="C13788" t="str">
        <f t="shared" si="350"/>
        <v>261QF0400X</v>
      </c>
      <c r="D13788" t="str">
        <f>"COASTAL FAMILY HEALTH CENTER                      "</f>
        <v xml:space="preserve">COASTAL FAMILY HEALTH CENTER                      </v>
      </c>
      <c r="E13788" t="str">
        <f>"LEAKESVILLE               "</f>
        <v xml:space="preserve">LEAKESVILLE               </v>
      </c>
      <c r="F13788" t="str">
        <f t="shared" si="349"/>
        <v>MS</v>
      </c>
    </row>
    <row r="13789" spans="1:6" x14ac:dyDescent="0.25">
      <c r="A13789" t="str">
        <f>"009010036"</f>
        <v>009010036</v>
      </c>
      <c r="B13789" t="str">
        <f>"1558410738"</f>
        <v>1558410738</v>
      </c>
      <c r="C13789" t="str">
        <f t="shared" si="350"/>
        <v>261QF0400X</v>
      </c>
      <c r="D13789" t="str">
        <f>"BYHALIA FAMILY HEALTH CENTER                      "</f>
        <v xml:space="preserve">BYHALIA FAMILY HEALTH CENTER                      </v>
      </c>
      <c r="E13789" t="str">
        <f>"BYHALIA                   "</f>
        <v xml:space="preserve">BYHALIA                   </v>
      </c>
      <c r="F13789" t="str">
        <f t="shared" si="349"/>
        <v>MS</v>
      </c>
    </row>
    <row r="13790" spans="1:6" x14ac:dyDescent="0.25">
      <c r="A13790" t="str">
        <f>"009010039"</f>
        <v>009010039</v>
      </c>
      <c r="B13790" t="str">
        <f>"1144227901"</f>
        <v>1144227901</v>
      </c>
      <c r="C13790" t="str">
        <f t="shared" si="350"/>
        <v>261QF0400X</v>
      </c>
      <c r="D13790" t="str">
        <f>"AARON E. HENRY COMMUNITY HEALTH SER               "</f>
        <v xml:space="preserve">AARON E. HENRY COMMUNITY HEALTH SER               </v>
      </c>
      <c r="E13790" t="str">
        <f>"CLARKSDALE                "</f>
        <v xml:space="preserve">CLARKSDALE                </v>
      </c>
      <c r="F13790" t="str">
        <f t="shared" si="349"/>
        <v>MS</v>
      </c>
    </row>
    <row r="13791" spans="1:6" x14ac:dyDescent="0.25">
      <c r="A13791" t="str">
        <f>"009010042"</f>
        <v>009010042</v>
      </c>
      <c r="B13791" t="str">
        <f>"1851368260"</f>
        <v>1851368260</v>
      </c>
      <c r="C13791" t="str">
        <f t="shared" si="350"/>
        <v>261QF0400X</v>
      </c>
      <c r="D13791" t="str">
        <f>"SEMINARY FAMILY HEALTH CENTER                     "</f>
        <v xml:space="preserve">SEMINARY FAMILY HEALTH CENTER                     </v>
      </c>
      <c r="E13791" t="str">
        <f>"SEMINARY                  "</f>
        <v xml:space="preserve">SEMINARY                  </v>
      </c>
      <c r="F13791" t="str">
        <f t="shared" si="349"/>
        <v>MS</v>
      </c>
    </row>
    <row r="13792" spans="1:6" x14ac:dyDescent="0.25">
      <c r="A13792" t="str">
        <f>"009010048"</f>
        <v>009010048</v>
      </c>
      <c r="B13792" t="str">
        <f>"1073634226"</f>
        <v>1073634226</v>
      </c>
      <c r="C13792" t="str">
        <f t="shared" si="350"/>
        <v>261QF0400X</v>
      </c>
      <c r="D13792" t="str">
        <f>"AMITE COUNTY MEDICAL SERVICES, INC                "</f>
        <v xml:space="preserve">AMITE COUNTY MEDICAL SERVICES, INC                </v>
      </c>
      <c r="E13792" t="str">
        <f>"LIBERTY                   "</f>
        <v xml:space="preserve">LIBERTY                   </v>
      </c>
      <c r="F13792" t="str">
        <f t="shared" si="349"/>
        <v>MS</v>
      </c>
    </row>
    <row r="13793" spans="1:6" x14ac:dyDescent="0.25">
      <c r="A13793" t="str">
        <f>"009010054"</f>
        <v>009010054</v>
      </c>
      <c r="B13793" t="str">
        <f>"1235133968"</f>
        <v>1235133968</v>
      </c>
      <c r="C13793" t="str">
        <f t="shared" si="350"/>
        <v>261QF0400X</v>
      </c>
      <c r="D13793" t="str">
        <f>"CLAIBORNE COUNTY FAMILY HC                        "</f>
        <v xml:space="preserve">CLAIBORNE COUNTY FAMILY HC                        </v>
      </c>
      <c r="E13793" t="str">
        <f>"PORT GIBSON               "</f>
        <v xml:space="preserve">PORT GIBSON               </v>
      </c>
      <c r="F13793" t="str">
        <f t="shared" si="349"/>
        <v>MS</v>
      </c>
    </row>
    <row r="13794" spans="1:6" x14ac:dyDescent="0.25">
      <c r="A13794" t="str">
        <f>"009010057"</f>
        <v>009010057</v>
      </c>
      <c r="B13794" t="str">
        <f>"1962517185"</f>
        <v>1962517185</v>
      </c>
      <c r="C13794" t="str">
        <f t="shared" si="350"/>
        <v>261QF0400X</v>
      </c>
      <c r="D13794" t="str">
        <f>"JEFFERSON COMPREHENSIVE HEALTH CTR                "</f>
        <v xml:space="preserve">JEFFERSON COMPREHENSIVE HEALTH CTR                </v>
      </c>
      <c r="E13794" t="str">
        <f>"FAYETTE                   "</f>
        <v xml:space="preserve">FAYETTE                   </v>
      </c>
      <c r="F13794" t="str">
        <f t="shared" si="349"/>
        <v>MS</v>
      </c>
    </row>
    <row r="13795" spans="1:6" x14ac:dyDescent="0.25">
      <c r="A13795" t="str">
        <f>"009010066"</f>
        <v>009010066</v>
      </c>
      <c r="B13795" t="str">
        <f>"1134225071"</f>
        <v>1134225071</v>
      </c>
      <c r="C13795" t="str">
        <f t="shared" si="350"/>
        <v>261QF0400X</v>
      </c>
      <c r="D13795" t="str">
        <f>"GREATER MERIDIAN HEALTH CLINIC INC                "</f>
        <v xml:space="preserve">GREATER MERIDIAN HEALTH CLINIC INC                </v>
      </c>
      <c r="E13795" t="str">
        <f>"MERIDIAN                  "</f>
        <v xml:space="preserve">MERIDIAN                  </v>
      </c>
      <c r="F13795" t="str">
        <f t="shared" si="349"/>
        <v>MS</v>
      </c>
    </row>
    <row r="13796" spans="1:6" x14ac:dyDescent="0.25">
      <c r="A13796" t="str">
        <f>"009010072"</f>
        <v>009010072</v>
      </c>
      <c r="B13796" t="str">
        <f>"1760488357"</f>
        <v>1760488357</v>
      </c>
      <c r="C13796" t="str">
        <f t="shared" si="350"/>
        <v>261QF0400X</v>
      </c>
      <c r="D13796" t="str">
        <f>"FAMILY HEALTH CENTER INC                          "</f>
        <v xml:space="preserve">FAMILY HEALTH CENTER INC                          </v>
      </c>
      <c r="E13796" t="str">
        <f>"LAUREL                    "</f>
        <v xml:space="preserve">LAUREL                    </v>
      </c>
      <c r="F13796" t="str">
        <f t="shared" si="349"/>
        <v>MS</v>
      </c>
    </row>
    <row r="13797" spans="1:6" x14ac:dyDescent="0.25">
      <c r="A13797" t="str">
        <f>"009011452"</f>
        <v>009011452</v>
      </c>
      <c r="B13797" t="str">
        <f>"1508922675"</f>
        <v>1508922675</v>
      </c>
      <c r="C13797" t="str">
        <f t="shared" si="350"/>
        <v>261QF0400X</v>
      </c>
      <c r="D13797" t="str">
        <f>"G A CARMICHAEL FAMILY HEALTH CENTER               "</f>
        <v xml:space="preserve">G A CARMICHAEL FAMILY HEALTH CENTER               </v>
      </c>
      <c r="E13797" t="str">
        <f>"YAZOO CITY                "</f>
        <v xml:space="preserve">YAZOO CITY                </v>
      </c>
      <c r="F13797" t="str">
        <f t="shared" si="349"/>
        <v>MS</v>
      </c>
    </row>
    <row r="13798" spans="1:6" x14ac:dyDescent="0.25">
      <c r="A13798" t="str">
        <f>"009011503"</f>
        <v>009011503</v>
      </c>
      <c r="B13798" t="str">
        <f>"1104814359"</f>
        <v>1104814359</v>
      </c>
      <c r="C13798" t="str">
        <f t="shared" si="350"/>
        <v>261QF0400X</v>
      </c>
      <c r="D13798" t="str">
        <f>"COASTAL FAMILY HEALTH CENTER                      "</f>
        <v xml:space="preserve">COASTAL FAMILY HEALTH CENTER                      </v>
      </c>
      <c r="E13798" t="str">
        <f>"VANCLEAVE                 "</f>
        <v xml:space="preserve">VANCLEAVE                 </v>
      </c>
      <c r="F13798" t="str">
        <f t="shared" si="349"/>
        <v>MS</v>
      </c>
    </row>
    <row r="13799" spans="1:6" x14ac:dyDescent="0.25">
      <c r="A13799" t="str">
        <f>"009011581"</f>
        <v>009011581</v>
      </c>
      <c r="B13799" t="str">
        <f>"1457453730"</f>
        <v>1457453730</v>
      </c>
      <c r="C13799" t="str">
        <f t="shared" si="350"/>
        <v>261QF0400X</v>
      </c>
      <c r="D13799" t="str">
        <f>"ACCESS FAMILY HLTH SERV-SMITHVILLE                "</f>
        <v xml:space="preserve">ACCESS FAMILY HLTH SERV-SMITHVILLE                </v>
      </c>
      <c r="E13799" t="str">
        <f>"SMITHVILLE                "</f>
        <v xml:space="preserve">SMITHVILLE                </v>
      </c>
      <c r="F13799" t="str">
        <f t="shared" si="349"/>
        <v>MS</v>
      </c>
    </row>
    <row r="13800" spans="1:6" x14ac:dyDescent="0.25">
      <c r="A13800" t="str">
        <f>"009011641"</f>
        <v>009011641</v>
      </c>
      <c r="B13800" t="str">
        <f>"1619025269"</f>
        <v>1619025269</v>
      </c>
      <c r="C13800" t="str">
        <f t="shared" si="350"/>
        <v>261QF0400X</v>
      </c>
      <c r="D13800" t="str">
        <f>"BYHALIA FAMILY HEALTH CENTER                      "</f>
        <v xml:space="preserve">BYHALIA FAMILY HEALTH CENTER                      </v>
      </c>
      <c r="E13800" t="str">
        <f>"BYHALIA                   "</f>
        <v xml:space="preserve">BYHALIA                   </v>
      </c>
      <c r="F13800" t="str">
        <f t="shared" si="349"/>
        <v>MS</v>
      </c>
    </row>
    <row r="13801" spans="1:6" x14ac:dyDescent="0.25">
      <c r="A13801" t="str">
        <f>"009011971"</f>
        <v>009011971</v>
      </c>
      <c r="B13801" t="str">
        <f>"1821092552"</f>
        <v>1821092552</v>
      </c>
      <c r="C13801" t="str">
        <f t="shared" si="350"/>
        <v>261QF0400X</v>
      </c>
      <c r="D13801" t="str">
        <f>"BENTON MEDICAL CENTER                             "</f>
        <v xml:space="preserve">BENTON MEDICAL CENTER                             </v>
      </c>
      <c r="E13801" t="str">
        <f>"ASHLAND                   "</f>
        <v xml:space="preserve">ASHLAND                   </v>
      </c>
      <c r="F13801" t="str">
        <f t="shared" si="349"/>
        <v>MS</v>
      </c>
    </row>
    <row r="13802" spans="1:6" x14ac:dyDescent="0.25">
      <c r="A13802" t="str">
        <f>"009013118"</f>
        <v>009013118</v>
      </c>
      <c r="B13802" t="str">
        <f>"1659378610"</f>
        <v>1659378610</v>
      </c>
      <c r="C13802" t="str">
        <f t="shared" si="350"/>
        <v>261QF0400X</v>
      </c>
      <c r="D13802" t="str">
        <f>"DELTA HEALTH CENTER, INC.                         "</f>
        <v xml:space="preserve">DELTA HEALTH CENTER, INC.                         </v>
      </c>
      <c r="E13802" t="str">
        <f>"MOUND BAYOU               "</f>
        <v xml:space="preserve">MOUND BAYOU               </v>
      </c>
      <c r="F13802" t="str">
        <f t="shared" si="349"/>
        <v>MS</v>
      </c>
    </row>
    <row r="13803" spans="1:6" x14ac:dyDescent="0.25">
      <c r="A13803" t="str">
        <f>"009013120"</f>
        <v>009013120</v>
      </c>
      <c r="B13803" t="str">
        <f>"1932389467"</f>
        <v>1932389467</v>
      </c>
      <c r="C13803" t="str">
        <f t="shared" si="350"/>
        <v>261QF0400X</v>
      </c>
      <c r="D13803" t="str">
        <f>"DELTA HEALTH CENTER, INC.                         "</f>
        <v xml:space="preserve">DELTA HEALTH CENTER, INC.                         </v>
      </c>
      <c r="E13803" t="str">
        <f>"MOUND BAYOU               "</f>
        <v xml:space="preserve">MOUND BAYOU               </v>
      </c>
      <c r="F13803" t="str">
        <f t="shared" si="349"/>
        <v>MS</v>
      </c>
    </row>
    <row r="13804" spans="1:6" x14ac:dyDescent="0.25">
      <c r="A13804" t="str">
        <f>"009013124"</f>
        <v>009013124</v>
      </c>
      <c r="B13804" t="str">
        <f>"1427457084"</f>
        <v>1427457084</v>
      </c>
      <c r="C13804" t="str">
        <f>"261QR1300X"</f>
        <v>261QR1300X</v>
      </c>
      <c r="D13804" t="str">
        <f>"MARION GENERAL RURAL HEALTH CLINIC                "</f>
        <v xml:space="preserve">MARION GENERAL RURAL HEALTH CLINIC                </v>
      </c>
      <c r="E13804" t="str">
        <f>"COLUMBIA                  "</f>
        <v xml:space="preserve">COLUMBIA                  </v>
      </c>
      <c r="F13804" t="str">
        <f t="shared" si="349"/>
        <v>MS</v>
      </c>
    </row>
    <row r="13805" spans="1:6" x14ac:dyDescent="0.25">
      <c r="A13805" t="str">
        <f>"009013184"</f>
        <v>009013184</v>
      </c>
      <c r="B13805" t="str">
        <f>"1841220357"</f>
        <v>1841220357</v>
      </c>
      <c r="C13805" t="str">
        <f t="shared" ref="C13805:C13810" si="351">"261QF0400X"</f>
        <v>261QF0400X</v>
      </c>
      <c r="D13805" t="str">
        <f>"COASTAL FAMILY HEALTH CENTER                      "</f>
        <v xml:space="preserve">COASTAL FAMILY HEALTH CENTER                      </v>
      </c>
      <c r="E13805" t="str">
        <f>"GULFPORT                  "</f>
        <v xml:space="preserve">GULFPORT                  </v>
      </c>
      <c r="F13805" t="str">
        <f t="shared" si="349"/>
        <v>MS</v>
      </c>
    </row>
    <row r="13806" spans="1:6" x14ac:dyDescent="0.25">
      <c r="A13806" t="str">
        <f>"009013185"</f>
        <v>009013185</v>
      </c>
      <c r="B13806" t="str">
        <f>"1821086083"</f>
        <v>1821086083</v>
      </c>
      <c r="C13806" t="str">
        <f t="shared" si="351"/>
        <v>261QF0400X</v>
      </c>
      <c r="D13806" t="str">
        <f>"COASTAL FAMILY HEALTH CENTER                      "</f>
        <v xml:space="preserve">COASTAL FAMILY HEALTH CENTER                      </v>
      </c>
      <c r="E13806" t="str">
        <f>"BILOXI                    "</f>
        <v xml:space="preserve">BILOXI                    </v>
      </c>
      <c r="F13806" t="str">
        <f t="shared" si="349"/>
        <v>MS</v>
      </c>
    </row>
    <row r="13807" spans="1:6" x14ac:dyDescent="0.25">
      <c r="A13807" t="str">
        <f>"009013229"</f>
        <v>009013229</v>
      </c>
      <c r="B13807" t="str">
        <f>"1821199654"</f>
        <v>1821199654</v>
      </c>
      <c r="C13807" t="str">
        <f t="shared" si="351"/>
        <v>261QF0400X</v>
      </c>
      <c r="D13807" t="str">
        <f>"GREATER MERIDIAN HEALTH CLINIC-DENT               "</f>
        <v xml:space="preserve">GREATER MERIDIAN HEALTH CLINIC-DENT               </v>
      </c>
      <c r="E13807" t="str">
        <f>"MERIDIAN                  "</f>
        <v xml:space="preserve">MERIDIAN                  </v>
      </c>
      <c r="F13807" t="str">
        <f t="shared" si="349"/>
        <v>MS</v>
      </c>
    </row>
    <row r="13808" spans="1:6" x14ac:dyDescent="0.25">
      <c r="A13808" t="str">
        <f>"009013308"</f>
        <v>009013308</v>
      </c>
      <c r="B13808" t="str">
        <f>"1124288501"</f>
        <v>1124288501</v>
      </c>
      <c r="C13808" t="str">
        <f t="shared" si="351"/>
        <v>261QF0400X</v>
      </c>
      <c r="D13808" t="str">
        <f>"COASTAL FAMILY HEALTH CENTER                      "</f>
        <v xml:space="preserve">COASTAL FAMILY HEALTH CENTER                      </v>
      </c>
      <c r="E13808" t="str">
        <f>"GULFPORT                  "</f>
        <v xml:space="preserve">GULFPORT                  </v>
      </c>
      <c r="F13808" t="str">
        <f t="shared" si="349"/>
        <v>MS</v>
      </c>
    </row>
    <row r="13809" spans="1:6" x14ac:dyDescent="0.25">
      <c r="A13809" t="str">
        <f>"009013386"</f>
        <v>009013386</v>
      </c>
      <c r="B13809" t="str">
        <f>"1194968982"</f>
        <v>1194968982</v>
      </c>
      <c r="C13809" t="str">
        <f t="shared" si="351"/>
        <v>261QF0400X</v>
      </c>
      <c r="D13809" t="str">
        <f>"CLAIBORNE COUNTY FAMILY HEALTH CTR                "</f>
        <v xml:space="preserve">CLAIBORNE COUNTY FAMILY HEALTH CTR                </v>
      </c>
      <c r="E13809" t="str">
        <f>"PORT GIBSON               "</f>
        <v xml:space="preserve">PORT GIBSON               </v>
      </c>
      <c r="F13809" t="str">
        <f t="shared" si="349"/>
        <v>MS</v>
      </c>
    </row>
    <row r="13810" spans="1:6" x14ac:dyDescent="0.25">
      <c r="A13810" t="str">
        <f>"009013452"</f>
        <v>009013452</v>
      </c>
      <c r="B13810" t="str">
        <f>"1790717080"</f>
        <v>1790717080</v>
      </c>
      <c r="C13810" t="str">
        <f t="shared" si="351"/>
        <v>261QF0400X</v>
      </c>
      <c r="D13810" t="str">
        <f>"JHCHC-MAIN DENTAL                                 "</f>
        <v xml:space="preserve">JHCHC-MAIN DENTAL                                 </v>
      </c>
      <c r="E13810" t="str">
        <f>"JACKSON                   "</f>
        <v xml:space="preserve">JACKSON                   </v>
      </c>
      <c r="F13810" t="str">
        <f t="shared" si="349"/>
        <v>MS</v>
      </c>
    </row>
    <row r="13811" spans="1:6" x14ac:dyDescent="0.25">
      <c r="A13811" t="str">
        <f>"009013488"</f>
        <v>009013488</v>
      </c>
      <c r="B13811" t="str">
        <f>"1073715579"</f>
        <v>1073715579</v>
      </c>
      <c r="C13811" t="str">
        <f>"122300000X"</f>
        <v>122300000X</v>
      </c>
      <c r="D13811" t="str">
        <f>"CHOCTAW HEALTH CENTER-DENTAL                      "</f>
        <v xml:space="preserve">CHOCTAW HEALTH CENTER-DENTAL                      </v>
      </c>
      <c r="E13811" t="str">
        <f>"CHOCTAW                   "</f>
        <v xml:space="preserve">CHOCTAW                   </v>
      </c>
      <c r="F13811" t="str">
        <f t="shared" si="349"/>
        <v>MS</v>
      </c>
    </row>
    <row r="13812" spans="1:6" x14ac:dyDescent="0.25">
      <c r="A13812" t="str">
        <f>"009013496"</f>
        <v>009013496</v>
      </c>
      <c r="B13812" t="str">
        <f>"1548359565"</f>
        <v>1548359565</v>
      </c>
      <c r="C13812" t="str">
        <f>"261QF0400X"</f>
        <v>261QF0400X</v>
      </c>
      <c r="D13812" t="str">
        <f>"OUTREACH HEALTH SERVICES, INC.                    "</f>
        <v xml:space="preserve">OUTREACH HEALTH SERVICES, INC.                    </v>
      </c>
      <c r="E13812" t="str">
        <f>"SHUBUTA                   "</f>
        <v xml:space="preserve">SHUBUTA                   </v>
      </c>
      <c r="F13812" t="str">
        <f t="shared" si="349"/>
        <v>MS</v>
      </c>
    </row>
    <row r="13813" spans="1:6" x14ac:dyDescent="0.25">
      <c r="A13813" t="str">
        <f>"009013597"</f>
        <v>009013597</v>
      </c>
      <c r="B13813" t="str">
        <f>"1356402002"</f>
        <v>1356402002</v>
      </c>
      <c r="C13813" t="str">
        <f>"261QR1300X"</f>
        <v>261QR1300X</v>
      </c>
      <c r="D13813" t="str">
        <f>"ODOM RURAL HEALTH CLINIC                          "</f>
        <v xml:space="preserve">ODOM RURAL HEALTH CLINIC                          </v>
      </c>
      <c r="E13813" t="str">
        <f>"WATER VALLEY              "</f>
        <v xml:space="preserve">WATER VALLEY              </v>
      </c>
      <c r="F13813" t="str">
        <f t="shared" si="349"/>
        <v>MS</v>
      </c>
    </row>
    <row r="13814" spans="1:6" x14ac:dyDescent="0.25">
      <c r="A13814" t="str">
        <f>"009013670"</f>
        <v>009013670</v>
      </c>
      <c r="B13814" t="str">
        <f>"1255387619"</f>
        <v>1255387619</v>
      </c>
      <c r="C13814" t="str">
        <f>"261QF0400X"</f>
        <v>261QF0400X</v>
      </c>
      <c r="D13814" t="str">
        <f>"WALNUT GROVE MEDICAL CLINIC                       "</f>
        <v xml:space="preserve">WALNUT GROVE MEDICAL CLINIC                       </v>
      </c>
      <c r="E13814" t="str">
        <f>"WALNUT GROVE              "</f>
        <v xml:space="preserve">WALNUT GROVE              </v>
      </c>
      <c r="F13814" t="str">
        <f t="shared" si="349"/>
        <v>MS</v>
      </c>
    </row>
    <row r="13815" spans="1:6" x14ac:dyDescent="0.25">
      <c r="A13815" t="str">
        <f>"009013693"</f>
        <v>009013693</v>
      </c>
      <c r="B13815" t="str">
        <f>"1821143256"</f>
        <v>1821143256</v>
      </c>
      <c r="C13815" t="str">
        <f>"261QR1300X"</f>
        <v>261QR1300X</v>
      </c>
      <c r="D13815" t="str">
        <f>"WILLIAMS MEDICAL CLINIC                           "</f>
        <v xml:space="preserve">WILLIAMS MEDICAL CLINIC                           </v>
      </c>
      <c r="E13815" t="str">
        <f>"HOLLY SPRINGS             "</f>
        <v xml:space="preserve">HOLLY SPRINGS             </v>
      </c>
      <c r="F13815" t="str">
        <f t="shared" si="349"/>
        <v>MS</v>
      </c>
    </row>
    <row r="13816" spans="1:6" x14ac:dyDescent="0.25">
      <c r="A13816" t="str">
        <f>"009013704"</f>
        <v>009013704</v>
      </c>
      <c r="B13816" t="str">
        <f>"1356335756"</f>
        <v>1356335756</v>
      </c>
      <c r="C13816" t="str">
        <f>"261QR1300X"</f>
        <v>261QR1300X</v>
      </c>
      <c r="D13816" t="str">
        <f>"NURSEMED INC                                      "</f>
        <v xml:space="preserve">NURSEMED INC                                      </v>
      </c>
      <c r="E13816" t="str">
        <f>"RIPLEY                    "</f>
        <v xml:space="preserve">RIPLEY                    </v>
      </c>
      <c r="F13816" t="str">
        <f t="shared" si="349"/>
        <v>MS</v>
      </c>
    </row>
    <row r="13817" spans="1:6" x14ac:dyDescent="0.25">
      <c r="A13817" t="str">
        <f>"009013856"</f>
        <v>009013856</v>
      </c>
      <c r="B13817" t="str">
        <f>"1023140811"</f>
        <v>1023140811</v>
      </c>
      <c r="C13817" t="str">
        <f>"261QR1300X"</f>
        <v>261QR1300X</v>
      </c>
      <c r="D13817" t="str">
        <f>"FAMILY MEDICAL GROUP                              "</f>
        <v xml:space="preserve">FAMILY MEDICAL GROUP                              </v>
      </c>
      <c r="E13817" t="str">
        <f>"MEADVILLE                 "</f>
        <v xml:space="preserve">MEADVILLE                 </v>
      </c>
      <c r="F13817" t="str">
        <f t="shared" si="349"/>
        <v>MS</v>
      </c>
    </row>
    <row r="13818" spans="1:6" x14ac:dyDescent="0.25">
      <c r="A13818" t="str">
        <f>"009013863"</f>
        <v>009013863</v>
      </c>
      <c r="B13818" t="str">
        <f>"1154488393"</f>
        <v>1154488393</v>
      </c>
      <c r="C13818" t="str">
        <f>"261QR1300X"</f>
        <v>261QR1300X</v>
      </c>
      <c r="D13818" t="str">
        <f>"NSCH RURAL HEALTH CLINIC-SUNFLOWER                "</f>
        <v xml:space="preserve">NSCH RURAL HEALTH CLINIC-SUNFLOWER                </v>
      </c>
      <c r="E13818" t="str">
        <f>"RULEVILLE                 "</f>
        <v xml:space="preserve">RULEVILLE                 </v>
      </c>
      <c r="F13818" t="str">
        <f t="shared" si="349"/>
        <v>MS</v>
      </c>
    </row>
    <row r="13819" spans="1:6" x14ac:dyDescent="0.25">
      <c r="A13819" t="str">
        <f>"009013878"</f>
        <v>009013878</v>
      </c>
      <c r="B13819" t="str">
        <f>"1881661874"</f>
        <v>1881661874</v>
      </c>
      <c r="C13819" t="str">
        <f>"261QF0400X"</f>
        <v>261QF0400X</v>
      </c>
      <c r="D13819" t="str">
        <f>"NEW AUGUSTA FAMILY HEALTH CENTER                  "</f>
        <v xml:space="preserve">NEW AUGUSTA FAMILY HEALTH CENTER                  </v>
      </c>
      <c r="E13819" t="str">
        <f>"NEW AUGUSTA               "</f>
        <v xml:space="preserve">NEW AUGUSTA               </v>
      </c>
      <c r="F13819" t="str">
        <f t="shared" si="349"/>
        <v>MS</v>
      </c>
    </row>
    <row r="13820" spans="1:6" x14ac:dyDescent="0.25">
      <c r="A13820" t="str">
        <f>"009013879"</f>
        <v>009013879</v>
      </c>
      <c r="B13820" t="str">
        <f>"1184694036"</f>
        <v>1184694036</v>
      </c>
      <c r="C13820" t="str">
        <f>"261QF0400X"</f>
        <v>261QF0400X</v>
      </c>
      <c r="D13820" t="str">
        <f>"SUMRALL FAMILY HEALTH CENTER                      "</f>
        <v xml:space="preserve">SUMRALL FAMILY HEALTH CENTER                      </v>
      </c>
      <c r="E13820" t="str">
        <f>"SUMRALL                   "</f>
        <v xml:space="preserve">SUMRALL                   </v>
      </c>
      <c r="F13820" t="str">
        <f t="shared" si="349"/>
        <v>MS</v>
      </c>
    </row>
    <row r="13821" spans="1:6" x14ac:dyDescent="0.25">
      <c r="A13821" t="str">
        <f>"009013891"</f>
        <v>009013891</v>
      </c>
      <c r="B13821" t="str">
        <f>"1194734913"</f>
        <v>1194734913</v>
      </c>
      <c r="C13821" t="str">
        <f>"261QR1300X"</f>
        <v>261QR1300X</v>
      </c>
      <c r="D13821" t="str">
        <f>"COMMUNITY MEDICAL CENTER                          "</f>
        <v xml:space="preserve">COMMUNITY MEDICAL CENTER                          </v>
      </c>
      <c r="E13821" t="str">
        <f>"LUCEDALE                  "</f>
        <v xml:space="preserve">LUCEDALE                  </v>
      </c>
      <c r="F13821" t="str">
        <f t="shared" si="349"/>
        <v>MS</v>
      </c>
    </row>
    <row r="13822" spans="1:6" x14ac:dyDescent="0.25">
      <c r="A13822" t="str">
        <f>"009013952"</f>
        <v>009013952</v>
      </c>
      <c r="B13822" t="str">
        <f>"1669575627"</f>
        <v>1669575627</v>
      </c>
      <c r="C13822" t="str">
        <f>"261QR1300X"</f>
        <v>261QR1300X</v>
      </c>
      <c r="D13822" t="str">
        <f>"MINOR MED CARE PA                                 "</f>
        <v xml:space="preserve">MINOR MED CARE PA                                 </v>
      </c>
      <c r="E13822" t="str">
        <f>"RAYMOND                   "</f>
        <v xml:space="preserve">RAYMOND                   </v>
      </c>
      <c r="F13822" t="str">
        <f t="shared" ref="F13822:F13885" si="352">"MS"</f>
        <v>MS</v>
      </c>
    </row>
    <row r="13823" spans="1:6" x14ac:dyDescent="0.25">
      <c r="A13823" t="str">
        <f>"009013975"</f>
        <v>009013975</v>
      </c>
      <c r="B13823" t="str">
        <f>"1740308873"</f>
        <v>1740308873</v>
      </c>
      <c r="C13823" t="str">
        <f>"261QF0400X"</f>
        <v>261QF0400X</v>
      </c>
      <c r="D13823" t="str">
        <f>"MALLORY COMMUNITY HEALTH CENTER                   "</f>
        <v xml:space="preserve">MALLORY COMMUNITY HEALTH CENTER                   </v>
      </c>
      <c r="E13823" t="str">
        <f>"LEXINGTON                 "</f>
        <v xml:space="preserve">LEXINGTON                 </v>
      </c>
      <c r="F13823" t="str">
        <f t="shared" si="352"/>
        <v>MS</v>
      </c>
    </row>
    <row r="13824" spans="1:6" x14ac:dyDescent="0.25">
      <c r="A13824" t="str">
        <f>"009013978"</f>
        <v>009013978</v>
      </c>
      <c r="B13824" t="str">
        <f>"1336447861"</f>
        <v>1336447861</v>
      </c>
      <c r="C13824" t="str">
        <f>"261QR1300X"</f>
        <v>261QR1300X</v>
      </c>
      <c r="D13824" t="str">
        <f>"GREEN TREE FAMILY MEDICAL                         "</f>
        <v xml:space="preserve">GREEN TREE FAMILY MEDICAL                         </v>
      </c>
      <c r="E13824" t="str">
        <f>"MOUNT OLIVE               "</f>
        <v xml:space="preserve">MOUNT OLIVE               </v>
      </c>
      <c r="F13824" t="str">
        <f t="shared" si="352"/>
        <v>MS</v>
      </c>
    </row>
    <row r="13825" spans="1:6" x14ac:dyDescent="0.25">
      <c r="A13825" t="str">
        <f>"009014008"</f>
        <v>009014008</v>
      </c>
      <c r="B13825" t="str">
        <f>"1194860502"</f>
        <v>1194860502</v>
      </c>
      <c r="C13825" t="str">
        <f>"261QR1300X"</f>
        <v>261QR1300X</v>
      </c>
      <c r="D13825" t="str">
        <f>"CHARLESTON RURAL HEALTH CLINIC                    "</f>
        <v xml:space="preserve">CHARLESTON RURAL HEALTH CLINIC                    </v>
      </c>
      <c r="E13825" t="str">
        <f>"CHARLESTON                "</f>
        <v xml:space="preserve">CHARLESTON                </v>
      </c>
      <c r="F13825" t="str">
        <f t="shared" si="352"/>
        <v>MS</v>
      </c>
    </row>
    <row r="13826" spans="1:6" x14ac:dyDescent="0.25">
      <c r="A13826" t="str">
        <f>"009014021"</f>
        <v>009014021</v>
      </c>
      <c r="B13826" t="str">
        <f>"1184765372"</f>
        <v>1184765372</v>
      </c>
      <c r="C13826" t="str">
        <f>"122300000X"</f>
        <v>122300000X</v>
      </c>
      <c r="D13826" t="str">
        <f>"UNIVERSITY DENTISTS                               "</f>
        <v xml:space="preserve">UNIVERSITY DENTISTS                               </v>
      </c>
      <c r="E13826" t="str">
        <f>"JACKSON                   "</f>
        <v xml:space="preserve">JACKSON                   </v>
      </c>
      <c r="F13826" t="str">
        <f t="shared" si="352"/>
        <v>MS</v>
      </c>
    </row>
    <row r="13827" spans="1:6" x14ac:dyDescent="0.25">
      <c r="A13827" t="str">
        <f>"009014025"</f>
        <v>009014025</v>
      </c>
      <c r="B13827" t="str">
        <f>"1699801654"</f>
        <v>1699801654</v>
      </c>
      <c r="C13827" t="str">
        <f>"261QR1300X"</f>
        <v>261QR1300X</v>
      </c>
      <c r="D13827" t="str">
        <f>"GORTON RURAL HEALTH CLINIC LLC                    "</f>
        <v xml:space="preserve">GORTON RURAL HEALTH CLINIC LLC                    </v>
      </c>
      <c r="E13827" t="str">
        <f>"BELZONI                   "</f>
        <v xml:space="preserve">BELZONI                   </v>
      </c>
      <c r="F13827" t="str">
        <f t="shared" si="352"/>
        <v>MS</v>
      </c>
    </row>
    <row r="13828" spans="1:6" x14ac:dyDescent="0.25">
      <c r="A13828" t="str">
        <f>"009014038"</f>
        <v>009014038</v>
      </c>
      <c r="B13828" t="str">
        <f>"1144422577"</f>
        <v>1144422577</v>
      </c>
      <c r="C13828" t="str">
        <f>"152W00000X"</f>
        <v>152W00000X</v>
      </c>
      <c r="D13828" t="str">
        <f>"OPTICAL 2000                                      "</f>
        <v xml:space="preserve">OPTICAL 2000                                      </v>
      </c>
      <c r="E13828" t="str">
        <f>"CLINTON                   "</f>
        <v xml:space="preserve">CLINTON                   </v>
      </c>
      <c r="F13828" t="str">
        <f t="shared" si="352"/>
        <v>MS</v>
      </c>
    </row>
    <row r="13829" spans="1:6" x14ac:dyDescent="0.25">
      <c r="A13829" t="str">
        <f>"009014044"</f>
        <v>009014044</v>
      </c>
      <c r="B13829" t="str">
        <f>"1245360148"</f>
        <v>1245360148</v>
      </c>
      <c r="C13829" t="str">
        <f>"261QR1300X"</f>
        <v>261QR1300X</v>
      </c>
      <c r="D13829" t="str">
        <f>"TUNICA MEDICAL CLINIC                             "</f>
        <v xml:space="preserve">TUNICA MEDICAL CLINIC                             </v>
      </c>
      <c r="E13829" t="str">
        <f>"TUNICA                    "</f>
        <v xml:space="preserve">TUNICA                    </v>
      </c>
      <c r="F13829" t="str">
        <f t="shared" si="352"/>
        <v>MS</v>
      </c>
    </row>
    <row r="13830" spans="1:6" x14ac:dyDescent="0.25">
      <c r="A13830" t="str">
        <f>"009014057"</f>
        <v>009014057</v>
      </c>
      <c r="B13830" t="str">
        <f>"1538136940"</f>
        <v>1538136940</v>
      </c>
      <c r="C13830" t="str">
        <f>"261QF0400X"</f>
        <v>261QF0400X</v>
      </c>
      <c r="D13830" t="str">
        <f>"HATTIESBURG FAMILY HEALTH                         "</f>
        <v xml:space="preserve">HATTIESBURG FAMILY HEALTH                         </v>
      </c>
      <c r="E13830" t="str">
        <f>"HATTIESBURG               "</f>
        <v xml:space="preserve">HATTIESBURG               </v>
      </c>
      <c r="F13830" t="str">
        <f t="shared" si="352"/>
        <v>MS</v>
      </c>
    </row>
    <row r="13831" spans="1:6" x14ac:dyDescent="0.25">
      <c r="A13831" t="str">
        <f>"009014086"</f>
        <v>009014086</v>
      </c>
      <c r="B13831" t="str">
        <f>"1083767271"</f>
        <v>1083767271</v>
      </c>
      <c r="C13831" t="str">
        <f>"261QR1300X"</f>
        <v>261QR1300X</v>
      </c>
      <c r="D13831" t="str">
        <f>"ABERDEEN HEALTH CLINIC INC                        "</f>
        <v xml:space="preserve">ABERDEEN HEALTH CLINIC INC                        </v>
      </c>
      <c r="E13831" t="str">
        <f>"ABERDEEN                  "</f>
        <v xml:space="preserve">ABERDEEN                  </v>
      </c>
      <c r="F13831" t="str">
        <f t="shared" si="352"/>
        <v>MS</v>
      </c>
    </row>
    <row r="13832" spans="1:6" x14ac:dyDescent="0.25">
      <c r="A13832" t="str">
        <f>"009014135"</f>
        <v>009014135</v>
      </c>
      <c r="B13832" t="str">
        <f>"1427098003"</f>
        <v>1427098003</v>
      </c>
      <c r="C13832" t="str">
        <f>"261QR1300X"</f>
        <v>261QR1300X</v>
      </c>
      <c r="D13832" t="str">
        <f>"ELLISVILLE PEDIATRIC CLINIC                       "</f>
        <v xml:space="preserve">ELLISVILLE PEDIATRIC CLINIC                       </v>
      </c>
      <c r="E13832" t="str">
        <f>"ELLISVILLE                "</f>
        <v xml:space="preserve">ELLISVILLE                </v>
      </c>
      <c r="F13832" t="str">
        <f t="shared" si="352"/>
        <v>MS</v>
      </c>
    </row>
    <row r="13833" spans="1:6" x14ac:dyDescent="0.25">
      <c r="A13833" t="str">
        <f>"009014156"</f>
        <v>009014156</v>
      </c>
      <c r="B13833" t="str">
        <f>"1730120502"</f>
        <v>1730120502</v>
      </c>
      <c r="C13833" t="str">
        <f>"261QF0400X"</f>
        <v>261QF0400X</v>
      </c>
      <c r="D13833" t="str">
        <f>"CENTRAL MISSISSIPPI HEALTH SERVICES               "</f>
        <v xml:space="preserve">CENTRAL MISSISSIPPI HEALTH SERVICES               </v>
      </c>
      <c r="E13833" t="str">
        <f>"JACKSON                   "</f>
        <v xml:space="preserve">JACKSON                   </v>
      </c>
      <c r="F13833" t="str">
        <f t="shared" si="352"/>
        <v>MS</v>
      </c>
    </row>
    <row r="13834" spans="1:6" x14ac:dyDescent="0.25">
      <c r="A13834" t="str">
        <f>"009014160"</f>
        <v>009014160</v>
      </c>
      <c r="B13834" t="str">
        <f>"1588759369"</f>
        <v>1588759369</v>
      </c>
      <c r="C13834" t="str">
        <f>"261QR0401X"</f>
        <v>261QR0401X</v>
      </c>
      <c r="D13834" t="str">
        <f>"TRINITY REHABILITATION INC                        "</f>
        <v xml:space="preserve">TRINITY REHABILITATION INC                        </v>
      </c>
      <c r="E13834" t="str">
        <f>"JACKSON                   "</f>
        <v xml:space="preserve">JACKSON                   </v>
      </c>
      <c r="F13834" t="str">
        <f t="shared" si="352"/>
        <v>MS</v>
      </c>
    </row>
    <row r="13835" spans="1:6" x14ac:dyDescent="0.25">
      <c r="A13835" t="str">
        <f>"009014178"</f>
        <v>009014178</v>
      </c>
      <c r="B13835" t="str">
        <f>"1679529028"</f>
        <v>1679529028</v>
      </c>
      <c r="C13835" t="str">
        <f>"261QF0400X"</f>
        <v>261QF0400X</v>
      </c>
      <c r="D13835" t="str">
        <f>"PHILADELPHIA HEALTH CENTER                        "</f>
        <v xml:space="preserve">PHILADELPHIA HEALTH CENTER                        </v>
      </c>
      <c r="E13835" t="str">
        <f>"PHILADELPHIA              "</f>
        <v xml:space="preserve">PHILADELPHIA              </v>
      </c>
      <c r="F13835" t="str">
        <f t="shared" si="352"/>
        <v>MS</v>
      </c>
    </row>
    <row r="13836" spans="1:6" x14ac:dyDescent="0.25">
      <c r="A13836" t="str">
        <f>"009014251"</f>
        <v>009014251</v>
      </c>
      <c r="B13836" t="str">
        <f>"1508057076"</f>
        <v>1508057076</v>
      </c>
      <c r="C13836" t="str">
        <f>"261QF0400X"</f>
        <v>261QF0400X</v>
      </c>
      <c r="D13836" t="str">
        <f>"DELTA HEALTH CENTER, INC.                         "</f>
        <v xml:space="preserve">DELTA HEALTH CENTER, INC.                         </v>
      </c>
      <c r="E13836" t="str">
        <f>"GREENVILLE                "</f>
        <v xml:space="preserve">GREENVILLE                </v>
      </c>
      <c r="F13836" t="str">
        <f t="shared" si="352"/>
        <v>MS</v>
      </c>
    </row>
    <row r="13837" spans="1:6" x14ac:dyDescent="0.25">
      <c r="A13837" t="str">
        <f>"009014269"</f>
        <v>009014269</v>
      </c>
      <c r="B13837" t="str">
        <f>"1033169545"</f>
        <v>1033169545</v>
      </c>
      <c r="C13837" t="str">
        <f>"261QF0400X"</f>
        <v>261QF0400X</v>
      </c>
      <c r="D13837" t="str">
        <f>"MANTACHIE CLINIC                                  "</f>
        <v xml:space="preserve">MANTACHIE CLINIC                                  </v>
      </c>
      <c r="E13837" t="str">
        <f>"MANTACHIE                 "</f>
        <v xml:space="preserve">MANTACHIE                 </v>
      </c>
      <c r="F13837" t="str">
        <f t="shared" si="352"/>
        <v>MS</v>
      </c>
    </row>
    <row r="13838" spans="1:6" x14ac:dyDescent="0.25">
      <c r="A13838" t="str">
        <f>"009014287"</f>
        <v>009014287</v>
      </c>
      <c r="B13838" t="str">
        <f>"1922217314"</f>
        <v>1922217314</v>
      </c>
      <c r="C13838" t="str">
        <f>"122300000X"</f>
        <v>122300000X</v>
      </c>
      <c r="D13838" t="str">
        <f>"AUSTIN FAMILY DENTISTRY                           "</f>
        <v xml:space="preserve">AUSTIN FAMILY DENTISTRY                           </v>
      </c>
      <c r="E13838" t="str">
        <f>"VICKSBURG                 "</f>
        <v xml:space="preserve">VICKSBURG                 </v>
      </c>
      <c r="F13838" t="str">
        <f t="shared" si="352"/>
        <v>MS</v>
      </c>
    </row>
    <row r="13839" spans="1:6" x14ac:dyDescent="0.25">
      <c r="A13839" t="str">
        <f>"009014299"</f>
        <v>009014299</v>
      </c>
      <c r="B13839" t="str">
        <f>"1780715912"</f>
        <v>1780715912</v>
      </c>
      <c r="C13839" t="str">
        <f>"261QR1300X"</f>
        <v>261QR1300X</v>
      </c>
      <c r="D13839" t="str">
        <f>"TOCCOPOLA FAMILY MEDICAL CLINIC LLC               "</f>
        <v xml:space="preserve">TOCCOPOLA FAMILY MEDICAL CLINIC LLC               </v>
      </c>
      <c r="E13839" t="str">
        <f>"TOCCOPOLA                 "</f>
        <v xml:space="preserve">TOCCOPOLA                 </v>
      </c>
      <c r="F13839" t="str">
        <f t="shared" si="352"/>
        <v>MS</v>
      </c>
    </row>
    <row r="13840" spans="1:6" x14ac:dyDescent="0.25">
      <c r="A13840" t="str">
        <f>"009014308"</f>
        <v>009014308</v>
      </c>
      <c r="B13840" t="str">
        <f>"1982620274"</f>
        <v>1982620274</v>
      </c>
      <c r="C13840" t="str">
        <f t="shared" ref="C13840:C13845" si="353">"261QF0400X"</f>
        <v>261QF0400X</v>
      </c>
      <c r="D13840" t="str">
        <f>"FAMILY HEALTH CARE CLINIC                         "</f>
        <v xml:space="preserve">FAMILY HEALTH CARE CLINIC                         </v>
      </c>
      <c r="E13840" t="str">
        <f>"MENDENHALL                "</f>
        <v xml:space="preserve">MENDENHALL                </v>
      </c>
      <c r="F13840" t="str">
        <f t="shared" si="352"/>
        <v>MS</v>
      </c>
    </row>
    <row r="13841" spans="1:6" x14ac:dyDescent="0.25">
      <c r="A13841" t="str">
        <f>"009014309"</f>
        <v>009014309</v>
      </c>
      <c r="B13841" t="str">
        <f>"1093731234"</f>
        <v>1093731234</v>
      </c>
      <c r="C13841" t="str">
        <f t="shared" si="353"/>
        <v>261QF0400X</v>
      </c>
      <c r="D13841" t="str">
        <f>"FAMILY HEALTH CARE CLINIC                         "</f>
        <v xml:space="preserve">FAMILY HEALTH CARE CLINIC                         </v>
      </c>
      <c r="E13841" t="str">
        <f>"MONTICELLO                "</f>
        <v xml:space="preserve">MONTICELLO                </v>
      </c>
      <c r="F13841" t="str">
        <f t="shared" si="352"/>
        <v>MS</v>
      </c>
    </row>
    <row r="13842" spans="1:6" x14ac:dyDescent="0.25">
      <c r="A13842" t="str">
        <f>"009014310"</f>
        <v>009014310</v>
      </c>
      <c r="B13842" t="str">
        <f>"1740206036"</f>
        <v>1740206036</v>
      </c>
      <c r="C13842" t="str">
        <f t="shared" si="353"/>
        <v>261QF0400X</v>
      </c>
      <c r="D13842" t="str">
        <f>"FAMILY HEALTH CARE CLINIC                         "</f>
        <v xml:space="preserve">FAMILY HEALTH CARE CLINIC                         </v>
      </c>
      <c r="E13842" t="str">
        <f>"NEWHEBRON                 "</f>
        <v xml:space="preserve">NEWHEBRON                 </v>
      </c>
      <c r="F13842" t="str">
        <f t="shared" si="352"/>
        <v>MS</v>
      </c>
    </row>
    <row r="13843" spans="1:6" x14ac:dyDescent="0.25">
      <c r="A13843" t="str">
        <f>"009014311"</f>
        <v>009014311</v>
      </c>
      <c r="B13843" t="str">
        <f>"1144246398"</f>
        <v>1144246398</v>
      </c>
      <c r="C13843" t="str">
        <f t="shared" si="353"/>
        <v>261QF0400X</v>
      </c>
      <c r="D13843" t="str">
        <f>"FAMILY HEALTH CARE CLINIC                         "</f>
        <v xml:space="preserve">FAMILY HEALTH CARE CLINIC                         </v>
      </c>
      <c r="E13843" t="str">
        <f>"PRENTISS                  "</f>
        <v xml:space="preserve">PRENTISS                  </v>
      </c>
      <c r="F13843" t="str">
        <f t="shared" si="352"/>
        <v>MS</v>
      </c>
    </row>
    <row r="13844" spans="1:6" x14ac:dyDescent="0.25">
      <c r="A13844" t="str">
        <f>"009014312"</f>
        <v>009014312</v>
      </c>
      <c r="B13844" t="str">
        <f>"1164607552"</f>
        <v>1164607552</v>
      </c>
      <c r="C13844" t="str">
        <f t="shared" si="353"/>
        <v>261QF0400X</v>
      </c>
      <c r="D13844" t="str">
        <f>"FAMILY HEALTH CARE CLINIC                         "</f>
        <v xml:space="preserve">FAMILY HEALTH CARE CLINIC                         </v>
      </c>
      <c r="E13844" t="str">
        <f>"BRANDON                   "</f>
        <v xml:space="preserve">BRANDON                   </v>
      </c>
      <c r="F13844" t="str">
        <f t="shared" si="352"/>
        <v>MS</v>
      </c>
    </row>
    <row r="13845" spans="1:6" x14ac:dyDescent="0.25">
      <c r="A13845" t="str">
        <f>"009014313"</f>
        <v>009014313</v>
      </c>
      <c r="B13845" t="str">
        <f>"1346266616"</f>
        <v>1346266616</v>
      </c>
      <c r="C13845" t="str">
        <f t="shared" si="353"/>
        <v>261QF0400X</v>
      </c>
      <c r="D13845" t="str">
        <f>"FAMILY HEATLH CARE BRANDON                        "</f>
        <v xml:space="preserve">FAMILY HEATLH CARE BRANDON                        </v>
      </c>
      <c r="E13845" t="str">
        <f>"BRANDON                   "</f>
        <v xml:space="preserve">BRANDON                   </v>
      </c>
      <c r="F13845" t="str">
        <f t="shared" si="352"/>
        <v>MS</v>
      </c>
    </row>
    <row r="13846" spans="1:6" x14ac:dyDescent="0.25">
      <c r="A13846" t="str">
        <f>"009014377"</f>
        <v>009014377</v>
      </c>
      <c r="B13846" t="str">
        <f>"1205858263"</f>
        <v>1205858263</v>
      </c>
      <c r="C13846" t="str">
        <f>"261QR1300X"</f>
        <v>261QR1300X</v>
      </c>
      <c r="D13846" t="str">
        <f>"INTERNAL MED CLINIC/COLUMBIA                      "</f>
        <v xml:space="preserve">INTERNAL MED CLINIC/COLUMBIA                      </v>
      </c>
      <c r="E13846" t="str">
        <f>"COLUMBIA                  "</f>
        <v xml:space="preserve">COLUMBIA                  </v>
      </c>
      <c r="F13846" t="str">
        <f t="shared" si="352"/>
        <v>MS</v>
      </c>
    </row>
    <row r="13847" spans="1:6" x14ac:dyDescent="0.25">
      <c r="A13847" t="str">
        <f>"009014527"</f>
        <v>009014527</v>
      </c>
      <c r="B13847" t="str">
        <f>"1720845100"</f>
        <v>1720845100</v>
      </c>
      <c r="C13847" t="str">
        <f>"261QR1300X"</f>
        <v>261QR1300X</v>
      </c>
      <c r="D13847" t="str">
        <f>"PROGRESSIVE HEALTH CLINIC OF OKOLONA              "</f>
        <v xml:space="preserve">PROGRESSIVE HEALTH CLINIC OF OKOLONA              </v>
      </c>
      <c r="E13847" t="str">
        <f>"OKOLONA                   "</f>
        <v xml:space="preserve">OKOLONA                   </v>
      </c>
      <c r="F13847" t="str">
        <f t="shared" si="352"/>
        <v>MS</v>
      </c>
    </row>
    <row r="13848" spans="1:6" x14ac:dyDescent="0.25">
      <c r="A13848" t="str">
        <f>"009014528"</f>
        <v>009014528</v>
      </c>
      <c r="B13848" t="str">
        <f>"1902663388"</f>
        <v>1902663388</v>
      </c>
      <c r="C13848" t="str">
        <f>"261QR1300X"</f>
        <v>261QR1300X</v>
      </c>
      <c r="D13848" t="str">
        <f>"PROGRESSIVE HEALTH CLINIC OF HOUSTON              "</f>
        <v xml:space="preserve">PROGRESSIVE HEALTH CLINIC OF HOUSTON              </v>
      </c>
      <c r="E13848" t="str">
        <f>"HOUSTON                   "</f>
        <v xml:space="preserve">HOUSTON                   </v>
      </c>
      <c r="F13848" t="str">
        <f t="shared" si="352"/>
        <v>MS</v>
      </c>
    </row>
    <row r="13849" spans="1:6" x14ac:dyDescent="0.25">
      <c r="A13849" t="str">
        <f>"009014559"</f>
        <v>009014559</v>
      </c>
      <c r="B13849" t="str">
        <f>"1275750531"</f>
        <v>1275750531</v>
      </c>
      <c r="C13849" t="str">
        <f>"122300000X"</f>
        <v>122300000X</v>
      </c>
      <c r="D13849" t="str">
        <f>"AUTUMN RIDGE DENTAL                               "</f>
        <v xml:space="preserve">AUTUMN RIDGE DENTAL                               </v>
      </c>
      <c r="E13849" t="str">
        <f>"KOSCIUSKO                 "</f>
        <v xml:space="preserve">KOSCIUSKO                 </v>
      </c>
      <c r="F13849" t="str">
        <f t="shared" si="352"/>
        <v>MS</v>
      </c>
    </row>
    <row r="13850" spans="1:6" x14ac:dyDescent="0.25">
      <c r="A13850" t="str">
        <f>"009014578"</f>
        <v>009014578</v>
      </c>
      <c r="B13850" t="str">
        <f>"1609874700"</f>
        <v>1609874700</v>
      </c>
      <c r="C13850" t="str">
        <f>"261QF0400X"</f>
        <v>261QF0400X</v>
      </c>
      <c r="D13850" t="str">
        <f>"AARON E. HENRY COMMUNITY HEALTH SER               "</f>
        <v xml:space="preserve">AARON E. HENRY COMMUNITY HEALTH SER               </v>
      </c>
      <c r="E13850" t="str">
        <f>"TUNICA                    "</f>
        <v xml:space="preserve">TUNICA                    </v>
      </c>
      <c r="F13850" t="str">
        <f t="shared" si="352"/>
        <v>MS</v>
      </c>
    </row>
    <row r="13851" spans="1:6" x14ac:dyDescent="0.25">
      <c r="A13851" t="str">
        <f>"009014594"</f>
        <v>009014594</v>
      </c>
      <c r="B13851" t="str">
        <f>"1992190367"</f>
        <v>1992190367</v>
      </c>
      <c r="C13851" t="str">
        <f>"261QF0400X"</f>
        <v>261QF0400X</v>
      </c>
      <c r="D13851" t="str">
        <f>"RIPLEY HEALTH CARE ASSOCIATES                     "</f>
        <v xml:space="preserve">RIPLEY HEALTH CARE ASSOCIATES                     </v>
      </c>
      <c r="E13851" t="str">
        <f>"RIPLEY                    "</f>
        <v xml:space="preserve">RIPLEY                    </v>
      </c>
      <c r="F13851" t="str">
        <f t="shared" si="352"/>
        <v>MS</v>
      </c>
    </row>
    <row r="13852" spans="1:6" x14ac:dyDescent="0.25">
      <c r="A13852" t="str">
        <f>"009014595"</f>
        <v>009014595</v>
      </c>
      <c r="B13852" t="str">
        <f>"1376938746"</f>
        <v>1376938746</v>
      </c>
      <c r="C13852" t="str">
        <f>"261QF0400X"</f>
        <v>261QF0400X</v>
      </c>
      <c r="D13852" t="str">
        <f>"NORTH MISSISSIPPI PRIMARY HEALTH CARE             "</f>
        <v xml:space="preserve">NORTH MISSISSIPPI PRIMARY HEALTH CARE             </v>
      </c>
      <c r="E13852" t="str">
        <f>"WALNUT                    "</f>
        <v xml:space="preserve">WALNUT                    </v>
      </c>
      <c r="F13852" t="str">
        <f t="shared" si="352"/>
        <v>MS</v>
      </c>
    </row>
    <row r="13853" spans="1:6" x14ac:dyDescent="0.25">
      <c r="A13853" t="str">
        <f>"009014633"</f>
        <v>009014633</v>
      </c>
      <c r="B13853" t="str">
        <f>"1801916481"</f>
        <v>1801916481</v>
      </c>
      <c r="C13853" t="str">
        <f>"261QR1300X"</f>
        <v>261QR1300X</v>
      </c>
      <c r="D13853" t="str">
        <f>"CHILDREN'S CLINIC OF OXFORD                       "</f>
        <v xml:space="preserve">CHILDREN'S CLINIC OF OXFORD                       </v>
      </c>
      <c r="E13853" t="str">
        <f>"OXFORD                    "</f>
        <v xml:space="preserve">OXFORD                    </v>
      </c>
      <c r="F13853" t="str">
        <f t="shared" si="352"/>
        <v>MS</v>
      </c>
    </row>
    <row r="13854" spans="1:6" x14ac:dyDescent="0.25">
      <c r="A13854" t="str">
        <f>"009014635"</f>
        <v>009014635</v>
      </c>
      <c r="B13854" t="str">
        <f>"1003875394"</f>
        <v>1003875394</v>
      </c>
      <c r="C13854" t="str">
        <f>"261QR1300X"</f>
        <v>261QR1300X</v>
      </c>
      <c r="D13854" t="str">
        <f>"ITTA BENA RURAL HEALTH CLINIC                     "</f>
        <v xml:space="preserve">ITTA BENA RURAL HEALTH CLINIC                     </v>
      </c>
      <c r="E13854" t="str">
        <f>"ITTA BENA                 "</f>
        <v xml:space="preserve">ITTA BENA                 </v>
      </c>
      <c r="F13854" t="str">
        <f t="shared" si="352"/>
        <v>MS</v>
      </c>
    </row>
    <row r="13855" spans="1:6" x14ac:dyDescent="0.25">
      <c r="A13855" t="str">
        <f>"009014664"</f>
        <v>009014664</v>
      </c>
      <c r="B13855" t="str">
        <f>"1659348076"</f>
        <v>1659348076</v>
      </c>
      <c r="C13855" t="str">
        <f t="shared" ref="C13855:C13864" si="354">"261QF0400X"</f>
        <v>261QF0400X</v>
      </c>
      <c r="D13855" t="str">
        <f>"BROOKLYN FAMILY HEALTH CENTER                     "</f>
        <v xml:space="preserve">BROOKLYN FAMILY HEALTH CENTER                     </v>
      </c>
      <c r="E13855" t="str">
        <f>"BROOKLYN                  "</f>
        <v xml:space="preserve">BROOKLYN                  </v>
      </c>
      <c r="F13855" t="str">
        <f t="shared" si="352"/>
        <v>MS</v>
      </c>
    </row>
    <row r="13856" spans="1:6" x14ac:dyDescent="0.25">
      <c r="A13856" t="str">
        <f>"009014672"</f>
        <v>009014672</v>
      </c>
      <c r="B13856" t="str">
        <f>"1457461527"</f>
        <v>1457461527</v>
      </c>
      <c r="C13856" t="str">
        <f t="shared" si="354"/>
        <v>261QF0400X</v>
      </c>
      <c r="D13856" t="str">
        <f>"ACCESS FAMILY HEALTH HOULKA CLINIC                "</f>
        <v xml:space="preserve">ACCESS FAMILY HEALTH HOULKA CLINIC                </v>
      </c>
      <c r="E13856" t="str">
        <f>"HOULKA                    "</f>
        <v xml:space="preserve">HOULKA                    </v>
      </c>
      <c r="F13856" t="str">
        <f t="shared" si="352"/>
        <v>MS</v>
      </c>
    </row>
    <row r="13857" spans="1:6" x14ac:dyDescent="0.25">
      <c r="A13857" t="str">
        <f>"009014673"</f>
        <v>009014673</v>
      </c>
      <c r="B13857" t="str">
        <f>"1730299827"</f>
        <v>1730299827</v>
      </c>
      <c r="C13857" t="str">
        <f t="shared" si="354"/>
        <v>261QF0400X</v>
      </c>
      <c r="D13857" t="str">
        <f>"ACCESS FAMILY HEALTH TREMONT                      "</f>
        <v xml:space="preserve">ACCESS FAMILY HEALTH TREMONT                      </v>
      </c>
      <c r="E13857" t="str">
        <f>"TREMONT                   "</f>
        <v xml:space="preserve">TREMONT                   </v>
      </c>
      <c r="F13857" t="str">
        <f t="shared" si="352"/>
        <v>MS</v>
      </c>
    </row>
    <row r="13858" spans="1:6" x14ac:dyDescent="0.25">
      <c r="A13858" t="str">
        <f>"009014676"</f>
        <v>009014676</v>
      </c>
      <c r="B13858" t="str">
        <f>"1043236326"</f>
        <v>1043236326</v>
      </c>
      <c r="C13858" t="str">
        <f t="shared" si="354"/>
        <v>261QF0400X</v>
      </c>
      <c r="D13858" t="str">
        <f>"FAMILY HEALTH CARE CLINIC                         "</f>
        <v xml:space="preserve">FAMILY HEALTH CARE CLINIC                         </v>
      </c>
      <c r="E13858" t="str">
        <f>"PEARL                     "</f>
        <v xml:space="preserve">PEARL                     </v>
      </c>
      <c r="F13858" t="str">
        <f t="shared" si="352"/>
        <v>MS</v>
      </c>
    </row>
    <row r="13859" spans="1:6" x14ac:dyDescent="0.25">
      <c r="A13859" t="str">
        <f>"009014681"</f>
        <v>009014681</v>
      </c>
      <c r="B13859" t="str">
        <f>"1700813052"</f>
        <v>1700813052</v>
      </c>
      <c r="C13859" t="str">
        <f t="shared" si="354"/>
        <v>261QF0400X</v>
      </c>
      <c r="D13859" t="str">
        <f>"JHCHC-UTICA MEDICAL                               "</f>
        <v xml:space="preserve">JHCHC-UTICA MEDICAL                               </v>
      </c>
      <c r="E13859" t="str">
        <f>"UTICA                     "</f>
        <v xml:space="preserve">UTICA                     </v>
      </c>
      <c r="F13859" t="str">
        <f t="shared" si="352"/>
        <v>MS</v>
      </c>
    </row>
    <row r="13860" spans="1:6" x14ac:dyDescent="0.25">
      <c r="A13860" t="str">
        <f>"009014683"</f>
        <v>009014683</v>
      </c>
      <c r="B13860" t="str">
        <f>"1205021946"</f>
        <v>1205021946</v>
      </c>
      <c r="C13860" t="str">
        <f t="shared" si="354"/>
        <v>261QF0400X</v>
      </c>
      <c r="D13860" t="str">
        <f>"JHCHC- HOMELESS                                   "</f>
        <v xml:space="preserve">JHCHC- HOMELESS                                   </v>
      </c>
      <c r="E13860" t="str">
        <f>"JACKSON                   "</f>
        <v xml:space="preserve">JACKSON                   </v>
      </c>
      <c r="F13860" t="str">
        <f t="shared" si="352"/>
        <v>MS</v>
      </c>
    </row>
    <row r="13861" spans="1:6" x14ac:dyDescent="0.25">
      <c r="A13861" t="str">
        <f>"009014684"</f>
        <v>009014684</v>
      </c>
      <c r="B13861" t="str">
        <f>"1730111022"</f>
        <v>1730111022</v>
      </c>
      <c r="C13861" t="str">
        <f t="shared" si="354"/>
        <v>261QF0400X</v>
      </c>
      <c r="D13861" t="str">
        <f>"JHCHC-SOUTH DENTAL                                "</f>
        <v xml:space="preserve">JHCHC-SOUTH DENTAL                                </v>
      </c>
      <c r="E13861" t="str">
        <f>"JACKSON                   "</f>
        <v xml:space="preserve">JACKSON                   </v>
      </c>
      <c r="F13861" t="str">
        <f t="shared" si="352"/>
        <v>MS</v>
      </c>
    </row>
    <row r="13862" spans="1:6" x14ac:dyDescent="0.25">
      <c r="A13862" t="str">
        <f>"009014685"</f>
        <v>009014685</v>
      </c>
      <c r="B13862" t="str">
        <f>"1275561862"</f>
        <v>1275561862</v>
      </c>
      <c r="C13862" t="str">
        <f t="shared" si="354"/>
        <v>261QF0400X</v>
      </c>
      <c r="D13862" t="str">
        <f>"JHCHC-SOUTH MEDICAL                               "</f>
        <v xml:space="preserve">JHCHC-SOUTH MEDICAL                               </v>
      </c>
      <c r="E13862" t="str">
        <f>"JACKSON                   "</f>
        <v xml:space="preserve">JACKSON                   </v>
      </c>
      <c r="F13862" t="str">
        <f t="shared" si="352"/>
        <v>MS</v>
      </c>
    </row>
    <row r="13863" spans="1:6" x14ac:dyDescent="0.25">
      <c r="A13863" t="str">
        <f>"009014690"</f>
        <v>009014690</v>
      </c>
      <c r="B13863" t="str">
        <f>"1841397189"</f>
        <v>1841397189</v>
      </c>
      <c r="C13863" t="str">
        <f t="shared" si="354"/>
        <v>261QF0400X</v>
      </c>
      <c r="D13863" t="str">
        <f>"SHUQUALAK-NOXUBEE HEALTH CENTER                   "</f>
        <v xml:space="preserve">SHUQUALAK-NOXUBEE HEALTH CENTER                   </v>
      </c>
      <c r="E13863" t="str">
        <f>"MACON                     "</f>
        <v xml:space="preserve">MACON                     </v>
      </c>
      <c r="F13863" t="str">
        <f t="shared" si="352"/>
        <v>MS</v>
      </c>
    </row>
    <row r="13864" spans="1:6" x14ac:dyDescent="0.25">
      <c r="A13864" t="str">
        <f>"009014691"</f>
        <v>009014691</v>
      </c>
      <c r="B13864" t="str">
        <f>"1982701223"</f>
        <v>1982701223</v>
      </c>
      <c r="C13864" t="str">
        <f t="shared" si="354"/>
        <v>261QF0400X</v>
      </c>
      <c r="D13864" t="str">
        <f>"KEMPER FAMILY MEDICAL CLINIC                      "</f>
        <v xml:space="preserve">KEMPER FAMILY MEDICAL CLINIC                      </v>
      </c>
      <c r="E13864" t="str">
        <f>"DE KALB                   "</f>
        <v xml:space="preserve">DE KALB                   </v>
      </c>
      <c r="F13864" t="str">
        <f t="shared" si="352"/>
        <v>MS</v>
      </c>
    </row>
    <row r="13865" spans="1:6" x14ac:dyDescent="0.25">
      <c r="A13865" t="str">
        <f>"009014751"</f>
        <v>009014751</v>
      </c>
      <c r="B13865" t="str">
        <f>"1396879912"</f>
        <v>1396879912</v>
      </c>
      <c r="C13865" t="str">
        <f>"152W00000X"</f>
        <v>152W00000X</v>
      </c>
      <c r="D13865" t="str">
        <f>"EYE CLINIC OF WEST POINT, INC.                    "</f>
        <v xml:space="preserve">EYE CLINIC OF WEST POINT, INC.                    </v>
      </c>
      <c r="E13865" t="str">
        <f>"WEST POINT                "</f>
        <v xml:space="preserve">WEST POINT                </v>
      </c>
      <c r="F13865" t="str">
        <f t="shared" si="352"/>
        <v>MS</v>
      </c>
    </row>
    <row r="13866" spans="1:6" x14ac:dyDescent="0.25">
      <c r="A13866" t="str">
        <f>"009014786"</f>
        <v>009014786</v>
      </c>
      <c r="B13866" t="str">
        <f>"1790872018"</f>
        <v>1790872018</v>
      </c>
      <c r="C13866" t="str">
        <f>"261QR1300X"</f>
        <v>261QR1300X</v>
      </c>
      <c r="D13866" t="str">
        <f>"MACON PRIMARY CARE CLINIC                         "</f>
        <v xml:space="preserve">MACON PRIMARY CARE CLINIC                         </v>
      </c>
      <c r="E13866" t="str">
        <f>"MACON                     "</f>
        <v xml:space="preserve">MACON                     </v>
      </c>
      <c r="F13866" t="str">
        <f t="shared" si="352"/>
        <v>MS</v>
      </c>
    </row>
    <row r="13867" spans="1:6" x14ac:dyDescent="0.25">
      <c r="A13867" t="str">
        <f>"009014803"</f>
        <v>009014803</v>
      </c>
      <c r="B13867" t="str">
        <f>"1518071570"</f>
        <v>1518071570</v>
      </c>
      <c r="C13867" t="str">
        <f>"261QR1300X"</f>
        <v>261QR1300X</v>
      </c>
      <c r="D13867" t="str">
        <f>"LUCEDALE OB/GYN CENTER                            "</f>
        <v xml:space="preserve">LUCEDALE OB/GYN CENTER                            </v>
      </c>
      <c r="E13867" t="str">
        <f>"LUCEDALE                  "</f>
        <v xml:space="preserve">LUCEDALE                  </v>
      </c>
      <c r="F13867" t="str">
        <f t="shared" si="352"/>
        <v>MS</v>
      </c>
    </row>
    <row r="13868" spans="1:6" x14ac:dyDescent="0.25">
      <c r="A13868" t="str">
        <f>"009014804"</f>
        <v>009014804</v>
      </c>
      <c r="B13868" t="str">
        <f>"1164499174"</f>
        <v>1164499174</v>
      </c>
      <c r="C13868" t="str">
        <f>"261QF0400X"</f>
        <v>261QF0400X</v>
      </c>
      <c r="D13868" t="str">
        <f>"LUMBERTON FAMILY HEALTH CENTER                    "</f>
        <v xml:space="preserve">LUMBERTON FAMILY HEALTH CENTER                    </v>
      </c>
      <c r="E13868" t="str">
        <f>"LUMBERTON                 "</f>
        <v xml:space="preserve">LUMBERTON                 </v>
      </c>
      <c r="F13868" t="str">
        <f t="shared" si="352"/>
        <v>MS</v>
      </c>
    </row>
    <row r="13869" spans="1:6" x14ac:dyDescent="0.25">
      <c r="A13869" t="str">
        <f>"009014809"</f>
        <v>009014809</v>
      </c>
      <c r="B13869" t="str">
        <f>"1629282330"</f>
        <v>1629282330</v>
      </c>
      <c r="C13869" t="str">
        <f>"261QR1300X"</f>
        <v>261QR1300X</v>
      </c>
      <c r="D13869" t="str">
        <f>"WOODLAND CLINIC                                   "</f>
        <v xml:space="preserve">WOODLAND CLINIC                                   </v>
      </c>
      <c r="E13869" t="str">
        <f>"WOODLAND                  "</f>
        <v xml:space="preserve">WOODLAND                  </v>
      </c>
      <c r="F13869" t="str">
        <f t="shared" si="352"/>
        <v>MS</v>
      </c>
    </row>
    <row r="13870" spans="1:6" x14ac:dyDescent="0.25">
      <c r="A13870" t="str">
        <f>"009014820"</f>
        <v>009014820</v>
      </c>
      <c r="B13870" t="str">
        <f>"1124016209"</f>
        <v>1124016209</v>
      </c>
      <c r="C13870" t="str">
        <f>"261QF0400X"</f>
        <v>261QF0400X</v>
      </c>
      <c r="D13870" t="str">
        <f>"COASTAL FAMILY HEALTH CENTER                      "</f>
        <v xml:space="preserve">COASTAL FAMILY HEALTH CENTER                      </v>
      </c>
      <c r="E13870" t="str">
        <f>"BAY SAINT LOUIS           "</f>
        <v xml:space="preserve">BAY SAINT LOUIS           </v>
      </c>
      <c r="F13870" t="str">
        <f t="shared" si="352"/>
        <v>MS</v>
      </c>
    </row>
    <row r="13871" spans="1:6" x14ac:dyDescent="0.25">
      <c r="A13871" t="str">
        <f>"009014825"</f>
        <v>009014825</v>
      </c>
      <c r="B13871" t="str">
        <f>"1669657565"</f>
        <v>1669657565</v>
      </c>
      <c r="C13871" t="str">
        <f>"261QR1300X"</f>
        <v>261QR1300X</v>
      </c>
      <c r="D13871" t="str">
        <f>"BROOKSVILLE MEDICAL CLINIC                        "</f>
        <v xml:space="preserve">BROOKSVILLE MEDICAL CLINIC                        </v>
      </c>
      <c r="E13871" t="str">
        <f>"BROOKSVILLE               "</f>
        <v xml:space="preserve">BROOKSVILLE               </v>
      </c>
      <c r="F13871" t="str">
        <f t="shared" si="352"/>
        <v>MS</v>
      </c>
    </row>
    <row r="13872" spans="1:6" x14ac:dyDescent="0.25">
      <c r="A13872" t="str">
        <f>"009014892"</f>
        <v>009014892</v>
      </c>
      <c r="B13872" t="str">
        <f>"1124466214"</f>
        <v>1124466214</v>
      </c>
      <c r="C13872" t="str">
        <f>"261QR1300X"</f>
        <v>261QR1300X</v>
      </c>
      <c r="D13872" t="str">
        <f>"LAIRD HOSPITAL INC                                "</f>
        <v xml:space="preserve">LAIRD HOSPITAL INC                                </v>
      </c>
      <c r="E13872" t="str">
        <f>"MERIDIAN                  "</f>
        <v xml:space="preserve">MERIDIAN                  </v>
      </c>
      <c r="F13872" t="str">
        <f t="shared" si="352"/>
        <v>MS</v>
      </c>
    </row>
    <row r="13873" spans="1:6" x14ac:dyDescent="0.25">
      <c r="A13873" t="str">
        <f>"009014894"</f>
        <v>009014894</v>
      </c>
      <c r="B13873" t="str">
        <f>"1811233950"</f>
        <v>1811233950</v>
      </c>
      <c r="C13873" t="str">
        <f>"261QR1300X"</f>
        <v>261QR1300X</v>
      </c>
      <c r="D13873" t="str">
        <f>"RUSH MEDICAL FOUNDATION                           "</f>
        <v xml:space="preserve">RUSH MEDICAL FOUNDATION                           </v>
      </c>
      <c r="E13873" t="str">
        <f>"MERIDIAN                  "</f>
        <v xml:space="preserve">MERIDIAN                  </v>
      </c>
      <c r="F13873" t="str">
        <f t="shared" si="352"/>
        <v>MS</v>
      </c>
    </row>
    <row r="13874" spans="1:6" x14ac:dyDescent="0.25">
      <c r="A13874" t="str">
        <f>"009014921"</f>
        <v>009014921</v>
      </c>
      <c r="B13874" t="str">
        <f>"1205974201"</f>
        <v>1205974201</v>
      </c>
      <c r="C13874" t="str">
        <f>"261QR1300X"</f>
        <v>261QR1300X</v>
      </c>
      <c r="D13874" t="str">
        <f>"THE DOCTOR'S CLINIC                               "</f>
        <v xml:space="preserve">THE DOCTOR'S CLINIC                               </v>
      </c>
      <c r="E13874" t="str">
        <f>"RICHTON                   "</f>
        <v xml:space="preserve">RICHTON                   </v>
      </c>
      <c r="F13874" t="str">
        <f t="shared" si="352"/>
        <v>MS</v>
      </c>
    </row>
    <row r="13875" spans="1:6" x14ac:dyDescent="0.25">
      <c r="A13875" t="str">
        <f>"009014931"</f>
        <v>009014931</v>
      </c>
      <c r="B13875" t="str">
        <f>"1700062734"</f>
        <v>1700062734</v>
      </c>
      <c r="C13875" t="str">
        <f>"261QR1300X"</f>
        <v>261QR1300X</v>
      </c>
      <c r="D13875" t="str">
        <f>"MACON MEDICAL CLINIC                              "</f>
        <v xml:space="preserve">MACON MEDICAL CLINIC                              </v>
      </c>
      <c r="E13875" t="str">
        <f>"MACON                     "</f>
        <v xml:space="preserve">MACON                     </v>
      </c>
      <c r="F13875" t="str">
        <f t="shared" si="352"/>
        <v>MS</v>
      </c>
    </row>
    <row r="13876" spans="1:6" x14ac:dyDescent="0.25">
      <c r="A13876" t="str">
        <f>"009015060"</f>
        <v>009015060</v>
      </c>
      <c r="B13876" t="str">
        <f>"1770680019"</f>
        <v>1770680019</v>
      </c>
      <c r="C13876" t="str">
        <f>"261QF0400X"</f>
        <v>261QF0400X</v>
      </c>
      <c r="D13876" t="str">
        <f>"WINSTON COUNTY FAMILY MEDICAL CENTE               "</f>
        <v xml:space="preserve">WINSTON COUNTY FAMILY MEDICAL CENTE               </v>
      </c>
      <c r="E13876" t="str">
        <f>"LOUISVILLE                "</f>
        <v xml:space="preserve">LOUISVILLE                </v>
      </c>
      <c r="F13876" t="str">
        <f t="shared" si="352"/>
        <v>MS</v>
      </c>
    </row>
    <row r="13877" spans="1:6" x14ac:dyDescent="0.25">
      <c r="A13877" t="str">
        <f>"009015069"</f>
        <v>009015069</v>
      </c>
      <c r="B13877" t="str">
        <f>"1003814104"</f>
        <v>1003814104</v>
      </c>
      <c r="C13877" t="str">
        <f>"261QF0400X"</f>
        <v>261QF0400X</v>
      </c>
      <c r="D13877" t="str">
        <f>"AARON E HENRY COMMUNITY HEALTH CENT               "</f>
        <v xml:space="preserve">AARON E HENRY COMMUNITY HEALTH CENT               </v>
      </c>
      <c r="E13877" t="str">
        <f>"BATESVILLE                "</f>
        <v xml:space="preserve">BATESVILLE                </v>
      </c>
      <c r="F13877" t="str">
        <f t="shared" si="352"/>
        <v>MS</v>
      </c>
    </row>
    <row r="13878" spans="1:6" x14ac:dyDescent="0.25">
      <c r="A13878" t="str">
        <f>"009015076"</f>
        <v>009015076</v>
      </c>
      <c r="B13878" t="str">
        <f>"1578596060"</f>
        <v>1578596060</v>
      </c>
      <c r="C13878" t="str">
        <f>"122300000X"</f>
        <v>122300000X</v>
      </c>
      <c r="D13878" t="str">
        <f>"HATTIESBURG ORAL SURGERY                          "</f>
        <v xml:space="preserve">HATTIESBURG ORAL SURGERY                          </v>
      </c>
      <c r="E13878" t="str">
        <f>"HATTIESBURG               "</f>
        <v xml:space="preserve">HATTIESBURG               </v>
      </c>
      <c r="F13878" t="str">
        <f t="shared" si="352"/>
        <v>MS</v>
      </c>
    </row>
    <row r="13879" spans="1:6" x14ac:dyDescent="0.25">
      <c r="A13879" t="str">
        <f>"009015143"</f>
        <v>009015143</v>
      </c>
      <c r="B13879" t="str">
        <f>"1275710212"</f>
        <v>1275710212</v>
      </c>
      <c r="C13879" t="str">
        <f>"261QM1300X"</f>
        <v>261QM1300X</v>
      </c>
      <c r="D13879" t="str">
        <f>"SOUTH MISSISSIPPI PSYCHIATRIC GROUP               "</f>
        <v xml:space="preserve">SOUTH MISSISSIPPI PSYCHIATRIC GROUP               </v>
      </c>
      <c r="E13879" t="str">
        <f>"HATTIESBURG               "</f>
        <v xml:space="preserve">HATTIESBURG               </v>
      </c>
      <c r="F13879" t="str">
        <f t="shared" si="352"/>
        <v>MS</v>
      </c>
    </row>
    <row r="13880" spans="1:6" x14ac:dyDescent="0.25">
      <c r="A13880" t="str">
        <f>"009015171"</f>
        <v>009015171</v>
      </c>
      <c r="B13880" t="str">
        <f>"1366468266"</f>
        <v>1366468266</v>
      </c>
      <c r="C13880" t="str">
        <f>"261QF0400X"</f>
        <v>261QF0400X</v>
      </c>
      <c r="D13880" t="str">
        <f>"HATTIESBURG COMMUNITY DENTAL CENTER               "</f>
        <v xml:space="preserve">HATTIESBURG COMMUNITY DENTAL CENTER               </v>
      </c>
      <c r="E13880" t="str">
        <f>"HATTIESBURG               "</f>
        <v xml:space="preserve">HATTIESBURG               </v>
      </c>
      <c r="F13880" t="str">
        <f t="shared" si="352"/>
        <v>MS</v>
      </c>
    </row>
    <row r="13881" spans="1:6" x14ac:dyDescent="0.25">
      <c r="A13881" t="str">
        <f>"009015190"</f>
        <v>009015190</v>
      </c>
      <c r="B13881" t="str">
        <f>"1538330444"</f>
        <v>1538330444</v>
      </c>
      <c r="C13881" t="str">
        <f>"122300000X"</f>
        <v>122300000X</v>
      </c>
      <c r="D13881" t="str">
        <f>"FLORENCE DENTAL CLINIC, LLC                       "</f>
        <v xml:space="preserve">FLORENCE DENTAL CLINIC, LLC                       </v>
      </c>
      <c r="E13881" t="str">
        <f>"FLORENCE                  "</f>
        <v xml:space="preserve">FLORENCE                  </v>
      </c>
      <c r="F13881" t="str">
        <f t="shared" si="352"/>
        <v>MS</v>
      </c>
    </row>
    <row r="13882" spans="1:6" x14ac:dyDescent="0.25">
      <c r="A13882" t="str">
        <f>"009015196"</f>
        <v>009015196</v>
      </c>
      <c r="B13882" t="str">
        <f>"1275879314"</f>
        <v>1275879314</v>
      </c>
      <c r="C13882" t="str">
        <f>"261QR1300X"</f>
        <v>261QR1300X</v>
      </c>
      <c r="D13882" t="str">
        <f>"KEMPER CAH INC                                    "</f>
        <v xml:space="preserve">KEMPER CAH INC                                    </v>
      </c>
      <c r="E13882" t="str">
        <f>"MERIDIAN                  "</f>
        <v xml:space="preserve">MERIDIAN                  </v>
      </c>
      <c r="F13882" t="str">
        <f t="shared" si="352"/>
        <v>MS</v>
      </c>
    </row>
    <row r="13883" spans="1:6" x14ac:dyDescent="0.25">
      <c r="A13883" t="str">
        <f>"009015211"</f>
        <v>009015211</v>
      </c>
      <c r="B13883" t="str">
        <f>"1629164512"</f>
        <v>1629164512</v>
      </c>
      <c r="C13883" t="str">
        <f>"261QR1300X"</f>
        <v>261QR1300X</v>
      </c>
      <c r="D13883" t="str">
        <f>"TUNICA RESORTS MEDICAL CLINIC                     "</f>
        <v xml:space="preserve">TUNICA RESORTS MEDICAL CLINIC                     </v>
      </c>
      <c r="E13883" t="str">
        <f>"ROBINSONVILLE             "</f>
        <v xml:space="preserve">ROBINSONVILLE             </v>
      </c>
      <c r="F13883" t="str">
        <f t="shared" si="352"/>
        <v>MS</v>
      </c>
    </row>
    <row r="13884" spans="1:6" x14ac:dyDescent="0.25">
      <c r="A13884" t="str">
        <f>"009015307"</f>
        <v>009015307</v>
      </c>
      <c r="B13884" t="str">
        <f>"1851441570"</f>
        <v>1851441570</v>
      </c>
      <c r="C13884" t="str">
        <f>"122300000X"</f>
        <v>122300000X</v>
      </c>
      <c r="D13884" t="str">
        <f>"URGENT CARE DENTAL CENTER PA                      "</f>
        <v xml:space="preserve">URGENT CARE DENTAL CENTER PA                      </v>
      </c>
      <c r="E13884" t="str">
        <f>"HATTIESBURG               "</f>
        <v xml:space="preserve">HATTIESBURG               </v>
      </c>
      <c r="F13884" t="str">
        <f t="shared" si="352"/>
        <v>MS</v>
      </c>
    </row>
    <row r="13885" spans="1:6" x14ac:dyDescent="0.25">
      <c r="A13885" t="str">
        <f>"009015325"</f>
        <v>009015325</v>
      </c>
      <c r="B13885" t="str">
        <f>"1033269840"</f>
        <v>1033269840</v>
      </c>
      <c r="C13885" t="str">
        <f>"122300000X"</f>
        <v>122300000X</v>
      </c>
      <c r="D13885" t="str">
        <f>"ELLISVILLE FAMILY DENTAL CENTER                   "</f>
        <v xml:space="preserve">ELLISVILLE FAMILY DENTAL CENTER                   </v>
      </c>
      <c r="E13885" t="str">
        <f>"ELLISVILLE                "</f>
        <v xml:space="preserve">ELLISVILLE                </v>
      </c>
      <c r="F13885" t="str">
        <f t="shared" si="352"/>
        <v>MS</v>
      </c>
    </row>
    <row r="13886" spans="1:6" x14ac:dyDescent="0.25">
      <c r="A13886" t="str">
        <f>"009015334"</f>
        <v>009015334</v>
      </c>
      <c r="B13886" t="str">
        <f>"1073722203"</f>
        <v>1073722203</v>
      </c>
      <c r="C13886" t="str">
        <f>"122300000X"</f>
        <v>122300000X</v>
      </c>
      <c r="D13886" t="str">
        <f>"M STACY COOK DMD                                  "</f>
        <v xml:space="preserve">M STACY COOK DMD                                  </v>
      </c>
      <c r="E13886" t="str">
        <f>"LEAKESVILLE               "</f>
        <v xml:space="preserve">LEAKESVILLE               </v>
      </c>
      <c r="F13886" t="str">
        <f t="shared" ref="F13886:F13949" si="355">"MS"</f>
        <v>MS</v>
      </c>
    </row>
    <row r="13887" spans="1:6" x14ac:dyDescent="0.25">
      <c r="A13887" t="str">
        <f>"009015375"</f>
        <v>009015375</v>
      </c>
      <c r="B13887" t="str">
        <f>"1366592610"</f>
        <v>1366592610</v>
      </c>
      <c r="C13887" t="str">
        <f>"261QR1300X"</f>
        <v>261QR1300X</v>
      </c>
      <c r="D13887" t="str">
        <f>"DELTA HEALTH SYSTEM                               "</f>
        <v xml:space="preserve">DELTA HEALTH SYSTEM                               </v>
      </c>
      <c r="E13887" t="str">
        <f>"GREENVILLE                "</f>
        <v xml:space="preserve">GREENVILLE                </v>
      </c>
      <c r="F13887" t="str">
        <f t="shared" si="355"/>
        <v>MS</v>
      </c>
    </row>
    <row r="13888" spans="1:6" x14ac:dyDescent="0.25">
      <c r="A13888" t="str">
        <f>"009015383"</f>
        <v>009015383</v>
      </c>
      <c r="B13888" t="str">
        <f>"1659693083"</f>
        <v>1659693083</v>
      </c>
      <c r="C13888" t="str">
        <f>"261QF0400X"</f>
        <v>261QF0400X</v>
      </c>
      <c r="D13888" t="str">
        <f>"LIBERTY DENTAL SERVICES                           "</f>
        <v xml:space="preserve">LIBERTY DENTAL SERVICES                           </v>
      </c>
      <c r="E13888" t="str">
        <f>"LIBERTY                   "</f>
        <v xml:space="preserve">LIBERTY                   </v>
      </c>
      <c r="F13888" t="str">
        <f t="shared" si="355"/>
        <v>MS</v>
      </c>
    </row>
    <row r="13889" spans="1:6" x14ac:dyDescent="0.25">
      <c r="A13889" t="str">
        <f>"009015420"</f>
        <v>009015420</v>
      </c>
      <c r="B13889" t="str">
        <f>"1831167998"</f>
        <v>1831167998</v>
      </c>
      <c r="C13889" t="str">
        <f>"261QF0400X"</f>
        <v>261QF0400X</v>
      </c>
      <c r="D13889" t="str">
        <f>"WOMEN'S HEALTH CENTER                             "</f>
        <v xml:space="preserve">WOMEN'S HEALTH CENTER                             </v>
      </c>
      <c r="E13889" t="str">
        <f>"HATTIESBURG               "</f>
        <v xml:space="preserve">HATTIESBURG               </v>
      </c>
      <c r="F13889" t="str">
        <f t="shared" si="355"/>
        <v>MS</v>
      </c>
    </row>
    <row r="13890" spans="1:6" x14ac:dyDescent="0.25">
      <c r="A13890" t="str">
        <f>"009015435"</f>
        <v>009015435</v>
      </c>
      <c r="B13890" t="str">
        <f>"1518046234"</f>
        <v>1518046234</v>
      </c>
      <c r="C13890" t="str">
        <f>"152W00000X"</f>
        <v>152W00000X</v>
      </c>
      <c r="D13890" t="str">
        <f>"O'BRIEN VISION CENTER, P.A.                       "</f>
        <v xml:space="preserve">O'BRIEN VISION CENTER, P.A.                       </v>
      </c>
      <c r="E13890" t="str">
        <f>"SOUTHAVEN                 "</f>
        <v xml:space="preserve">SOUTHAVEN                 </v>
      </c>
      <c r="F13890" t="str">
        <f t="shared" si="355"/>
        <v>MS</v>
      </c>
    </row>
    <row r="13891" spans="1:6" x14ac:dyDescent="0.25">
      <c r="A13891" t="str">
        <f>"009015461"</f>
        <v>009015461</v>
      </c>
      <c r="B13891" t="str">
        <f>"1346584836"</f>
        <v>1346584836</v>
      </c>
      <c r="C13891" t="str">
        <f>"261QR1300X"</f>
        <v>261QR1300X</v>
      </c>
      <c r="D13891" t="str">
        <f>"EUPORA PEDIATRIC CLINIC                           "</f>
        <v xml:space="preserve">EUPORA PEDIATRIC CLINIC                           </v>
      </c>
      <c r="E13891" t="str">
        <f>"EUPORA                    "</f>
        <v xml:space="preserve">EUPORA                    </v>
      </c>
      <c r="F13891" t="str">
        <f t="shared" si="355"/>
        <v>MS</v>
      </c>
    </row>
    <row r="13892" spans="1:6" x14ac:dyDescent="0.25">
      <c r="A13892" t="str">
        <f>"009015476"</f>
        <v>009015476</v>
      </c>
      <c r="B13892" t="str">
        <f>"1619579349"</f>
        <v>1619579349</v>
      </c>
      <c r="C13892" t="str">
        <f>"122300000X"</f>
        <v>122300000X</v>
      </c>
      <c r="D13892" t="str">
        <f>"CHILDREN'S DENTAL CLINIC                          "</f>
        <v xml:space="preserve">CHILDREN'S DENTAL CLINIC                          </v>
      </c>
      <c r="E13892" t="str">
        <f>"TUPELO                    "</f>
        <v xml:space="preserve">TUPELO                    </v>
      </c>
      <c r="F13892" t="str">
        <f t="shared" si="355"/>
        <v>MS</v>
      </c>
    </row>
    <row r="13893" spans="1:6" x14ac:dyDescent="0.25">
      <c r="A13893" t="str">
        <f>"009015478"</f>
        <v>009015478</v>
      </c>
      <c r="B13893" t="str">
        <f>"1649586520"</f>
        <v>1649586520</v>
      </c>
      <c r="C13893" t="str">
        <f>"122300000X"</f>
        <v>122300000X</v>
      </c>
      <c r="D13893" t="str">
        <f>"GAMBLIN ORTHODONTICS                              "</f>
        <v xml:space="preserve">GAMBLIN ORTHODONTICS                              </v>
      </c>
      <c r="E13893" t="str">
        <f>"HAZLEHURST                "</f>
        <v xml:space="preserve">HAZLEHURST                </v>
      </c>
      <c r="F13893" t="str">
        <f t="shared" si="355"/>
        <v>MS</v>
      </c>
    </row>
    <row r="13894" spans="1:6" x14ac:dyDescent="0.25">
      <c r="A13894" t="str">
        <f>"009015490"</f>
        <v>009015490</v>
      </c>
      <c r="B13894" t="str">
        <f>"1386792992"</f>
        <v>1386792992</v>
      </c>
      <c r="C13894" t="str">
        <f>"261QF0400X"</f>
        <v>261QF0400X</v>
      </c>
      <c r="D13894" t="str">
        <f>"MT PLEASANT FAMILY HLTH CLINIC                    "</f>
        <v xml:space="preserve">MT PLEASANT FAMILY HLTH CLINIC                    </v>
      </c>
      <c r="E13894" t="str">
        <f>"MT PLEASANT               "</f>
        <v xml:space="preserve">MT PLEASANT               </v>
      </c>
      <c r="F13894" t="str">
        <f t="shared" si="355"/>
        <v>MS</v>
      </c>
    </row>
    <row r="13895" spans="1:6" x14ac:dyDescent="0.25">
      <c r="A13895" t="str">
        <f>"009015539"</f>
        <v>009015539</v>
      </c>
      <c r="B13895" t="str">
        <f>"1033274758"</f>
        <v>1033274758</v>
      </c>
      <c r="C13895" t="str">
        <f>"152W00000X"</f>
        <v>152W00000X</v>
      </c>
      <c r="D13895" t="str">
        <f>"20/20 VISION CARE INC                             "</f>
        <v xml:space="preserve">20/20 VISION CARE INC                             </v>
      </c>
      <c r="E13895" t="str">
        <f>"PEARL                     "</f>
        <v xml:space="preserve">PEARL                     </v>
      </c>
      <c r="F13895" t="str">
        <f t="shared" si="355"/>
        <v>MS</v>
      </c>
    </row>
    <row r="13896" spans="1:6" x14ac:dyDescent="0.25">
      <c r="A13896" t="str">
        <f>"009015561"</f>
        <v>009015561</v>
      </c>
      <c r="B13896" t="str">
        <f>"1174749345"</f>
        <v>1174749345</v>
      </c>
      <c r="C13896" t="str">
        <f>"152W00000X"</f>
        <v>152W00000X</v>
      </c>
      <c r="D13896" t="str">
        <f>"EYE CARE CENTER                                   "</f>
        <v xml:space="preserve">EYE CARE CENTER                                   </v>
      </c>
      <c r="E13896" t="str">
        <f>"LUCEDALE                  "</f>
        <v xml:space="preserve">LUCEDALE                  </v>
      </c>
      <c r="F13896" t="str">
        <f t="shared" si="355"/>
        <v>MS</v>
      </c>
    </row>
    <row r="13897" spans="1:6" x14ac:dyDescent="0.25">
      <c r="A13897" t="str">
        <f>"009015634"</f>
        <v>009015634</v>
      </c>
      <c r="B13897" t="str">
        <f>"1881713519"</f>
        <v>1881713519</v>
      </c>
      <c r="C13897" t="str">
        <f>"261QF0400X"</f>
        <v>261QF0400X</v>
      </c>
      <c r="D13897" t="str">
        <f>"MALLORY CHC - TCHULA CLINIC                       "</f>
        <v xml:space="preserve">MALLORY CHC - TCHULA CLINIC                       </v>
      </c>
      <c r="E13897" t="str">
        <f>"TCHULA                    "</f>
        <v xml:space="preserve">TCHULA                    </v>
      </c>
      <c r="F13897" t="str">
        <f t="shared" si="355"/>
        <v>MS</v>
      </c>
    </row>
    <row r="13898" spans="1:6" x14ac:dyDescent="0.25">
      <c r="A13898" t="str">
        <f>"009015635"</f>
        <v>009015635</v>
      </c>
      <c r="B13898" t="str">
        <f>"1013034636"</f>
        <v>1013034636</v>
      </c>
      <c r="C13898" t="str">
        <f>"261QF0400X"</f>
        <v>261QF0400X</v>
      </c>
      <c r="D13898" t="str">
        <f>"MALLORY CHC - WOMEN AND FAMILY HEAL               "</f>
        <v xml:space="preserve">MALLORY CHC - WOMEN AND FAMILY HEAL               </v>
      </c>
      <c r="E13898" t="str">
        <f>"CANTON                    "</f>
        <v xml:space="preserve">CANTON                    </v>
      </c>
      <c r="F13898" t="str">
        <f t="shared" si="355"/>
        <v>MS</v>
      </c>
    </row>
    <row r="13899" spans="1:6" x14ac:dyDescent="0.25">
      <c r="A13899" t="str">
        <f>"009015636"</f>
        <v>009015636</v>
      </c>
      <c r="B13899" t="str">
        <f>"1922271691"</f>
        <v>1922271691</v>
      </c>
      <c r="C13899" t="str">
        <f>"261QF0400X"</f>
        <v>261QF0400X</v>
      </c>
      <c r="D13899" t="str">
        <f>"JCHC SCHOOL BASED CLINIC-HIGH SCHL                "</f>
        <v xml:space="preserve">JCHC SCHOOL BASED CLINIC-HIGH SCHL                </v>
      </c>
      <c r="E13899" t="str">
        <f>"FAYETTE                   "</f>
        <v xml:space="preserve">FAYETTE                   </v>
      </c>
      <c r="F13899" t="str">
        <f t="shared" si="355"/>
        <v>MS</v>
      </c>
    </row>
    <row r="13900" spans="1:6" x14ac:dyDescent="0.25">
      <c r="A13900" t="str">
        <f>"009015637"</f>
        <v>009015637</v>
      </c>
      <c r="B13900" t="str">
        <f>"1770756447"</f>
        <v>1770756447</v>
      </c>
      <c r="C13900" t="str">
        <f>"261QF0400X"</f>
        <v>261QF0400X</v>
      </c>
      <c r="D13900" t="str">
        <f>"JCHC SCHOOL BASED CLINIC - MIDDLE S               "</f>
        <v xml:space="preserve">JCHC SCHOOL BASED CLINIC - MIDDLE S               </v>
      </c>
      <c r="E13900" t="str">
        <f>"FAYETTE                   "</f>
        <v xml:space="preserve">FAYETTE                   </v>
      </c>
      <c r="F13900" t="str">
        <f t="shared" si="355"/>
        <v>MS</v>
      </c>
    </row>
    <row r="13901" spans="1:6" x14ac:dyDescent="0.25">
      <c r="A13901" t="str">
        <f>"009015694"</f>
        <v>009015694</v>
      </c>
      <c r="B13901" t="str">
        <f>"1851643928"</f>
        <v>1851643928</v>
      </c>
      <c r="C13901" t="str">
        <f>"261QR1300X"</f>
        <v>261QR1300X</v>
      </c>
      <c r="D13901" t="str">
        <f>"LAIRD HOSPITAL INC                                "</f>
        <v xml:space="preserve">LAIRD HOSPITAL INC                                </v>
      </c>
      <c r="E13901" t="str">
        <f>"UNION                     "</f>
        <v xml:space="preserve">UNION                     </v>
      </c>
      <c r="F13901" t="str">
        <f t="shared" si="355"/>
        <v>MS</v>
      </c>
    </row>
    <row r="13902" spans="1:6" x14ac:dyDescent="0.25">
      <c r="A13902" t="str">
        <f>"009015715"</f>
        <v>009015715</v>
      </c>
      <c r="B13902" t="str">
        <f>"1609884733"</f>
        <v>1609884733</v>
      </c>
      <c r="C13902" t="str">
        <f>"261QR1300X"</f>
        <v>261QR1300X</v>
      </c>
      <c r="D13902" t="str">
        <f>"FAMILY CLINIC OF NEW ALBANY INC                   "</f>
        <v xml:space="preserve">FAMILY CLINIC OF NEW ALBANY INC                   </v>
      </c>
      <c r="E13902" t="str">
        <f>"NEW ALBANY                "</f>
        <v xml:space="preserve">NEW ALBANY                </v>
      </c>
      <c r="F13902" t="str">
        <f t="shared" si="355"/>
        <v>MS</v>
      </c>
    </row>
    <row r="13903" spans="1:6" x14ac:dyDescent="0.25">
      <c r="A13903" t="str">
        <f>"009015751"</f>
        <v>009015751</v>
      </c>
      <c r="B13903" t="str">
        <f>"1891842332"</f>
        <v>1891842332</v>
      </c>
      <c r="C13903" t="str">
        <f>"122300000X"</f>
        <v>122300000X</v>
      </c>
      <c r="D13903" t="str">
        <f>"KIMBERLY BLAIR SMITH DMD PA                       "</f>
        <v xml:space="preserve">KIMBERLY BLAIR SMITH DMD PA                       </v>
      </c>
      <c r="E13903" t="str">
        <f>"MENDENHALL                "</f>
        <v xml:space="preserve">MENDENHALL                </v>
      </c>
      <c r="F13903" t="str">
        <f t="shared" si="355"/>
        <v>MS</v>
      </c>
    </row>
    <row r="13904" spans="1:6" x14ac:dyDescent="0.25">
      <c r="A13904" t="str">
        <f>"009015862"</f>
        <v>009015862</v>
      </c>
      <c r="B13904" t="str">
        <f>"1932265592"</f>
        <v>1932265592</v>
      </c>
      <c r="C13904" t="str">
        <f>"122300000X"</f>
        <v>122300000X</v>
      </c>
      <c r="D13904" t="str">
        <f>"GADDIS FAMILY DENTISTRY                           "</f>
        <v xml:space="preserve">GADDIS FAMILY DENTISTRY                           </v>
      </c>
      <c r="E13904" t="str">
        <f>"MERIDIAN                  "</f>
        <v xml:space="preserve">MERIDIAN                  </v>
      </c>
      <c r="F13904" t="str">
        <f t="shared" si="355"/>
        <v>MS</v>
      </c>
    </row>
    <row r="13905" spans="1:6" x14ac:dyDescent="0.25">
      <c r="A13905" t="str">
        <f>"009015878"</f>
        <v>009015878</v>
      </c>
      <c r="B13905" t="str">
        <f>"1821614959"</f>
        <v>1821614959</v>
      </c>
      <c r="C13905" t="str">
        <f>"122300000X"</f>
        <v>122300000X</v>
      </c>
      <c r="D13905" t="str">
        <f>"LEXINGTON DENTAL, PLLC                            "</f>
        <v xml:space="preserve">LEXINGTON DENTAL, PLLC                            </v>
      </c>
      <c r="E13905" t="str">
        <f>"LEXINGTON                 "</f>
        <v xml:space="preserve">LEXINGTON                 </v>
      </c>
      <c r="F13905" t="str">
        <f t="shared" si="355"/>
        <v>MS</v>
      </c>
    </row>
    <row r="13906" spans="1:6" x14ac:dyDescent="0.25">
      <c r="A13906" t="str">
        <f>"009015881"</f>
        <v>009015881</v>
      </c>
      <c r="B13906" t="str">
        <f>"1831166826"</f>
        <v>1831166826</v>
      </c>
      <c r="C13906" t="str">
        <f>"261QF0400X"</f>
        <v>261QF0400X</v>
      </c>
      <c r="D13906" t="str">
        <f>"BEAUMONT FAMILY HEALTH CENTER                     "</f>
        <v xml:space="preserve">BEAUMONT FAMILY HEALTH CENTER                     </v>
      </c>
      <c r="E13906" t="str">
        <f>"BEAUMONT                  "</f>
        <v xml:space="preserve">BEAUMONT                  </v>
      </c>
      <c r="F13906" t="str">
        <f t="shared" si="355"/>
        <v>MS</v>
      </c>
    </row>
    <row r="13907" spans="1:6" x14ac:dyDescent="0.25">
      <c r="A13907" t="str">
        <f>"009015882"</f>
        <v>009015882</v>
      </c>
      <c r="B13907" t="str">
        <f>"1083009450"</f>
        <v>1083009450</v>
      </c>
      <c r="C13907" t="str">
        <f>"261QF0400X"</f>
        <v>261QF0400X</v>
      </c>
      <c r="D13907" t="str">
        <f>"BOONEVILLE COMMUNITY HEALTH CENTER                "</f>
        <v xml:space="preserve">BOONEVILLE COMMUNITY HEALTH CENTER                </v>
      </c>
      <c r="E13907" t="str">
        <f>"BOONEVILLE                "</f>
        <v xml:space="preserve">BOONEVILLE                </v>
      </c>
      <c r="F13907" t="str">
        <f t="shared" si="355"/>
        <v>MS</v>
      </c>
    </row>
    <row r="13908" spans="1:6" x14ac:dyDescent="0.25">
      <c r="A13908" t="str">
        <f>"009015884"</f>
        <v>009015884</v>
      </c>
      <c r="B13908" t="str">
        <f>"1578744900"</f>
        <v>1578744900</v>
      </c>
      <c r="C13908" t="str">
        <f>"261QF0400X"</f>
        <v>261QF0400X</v>
      </c>
      <c r="D13908" t="str">
        <f>"FAMILY HEALTH CENTER INC                          "</f>
        <v xml:space="preserve">FAMILY HEALTH CENTER INC                          </v>
      </c>
      <c r="E13908" t="str">
        <f>"SANDERSVILLE              "</f>
        <v xml:space="preserve">SANDERSVILLE              </v>
      </c>
      <c r="F13908" t="str">
        <f t="shared" si="355"/>
        <v>MS</v>
      </c>
    </row>
    <row r="13909" spans="1:6" x14ac:dyDescent="0.25">
      <c r="A13909" t="str">
        <f>"009015888"</f>
        <v>009015888</v>
      </c>
      <c r="B13909" t="str">
        <f>"1891212957"</f>
        <v>1891212957</v>
      </c>
      <c r="C13909" t="str">
        <f>"261QR1300X"</f>
        <v>261QR1300X</v>
      </c>
      <c r="D13909" t="str">
        <f>"MONROE REGIONAL HOSPITAL                          "</f>
        <v xml:space="preserve">MONROE REGIONAL HOSPITAL                          </v>
      </c>
      <c r="E13909" t="str">
        <f>"ABERDEEN                  "</f>
        <v xml:space="preserve">ABERDEEN                  </v>
      </c>
      <c r="F13909" t="str">
        <f t="shared" si="355"/>
        <v>MS</v>
      </c>
    </row>
    <row r="13910" spans="1:6" x14ac:dyDescent="0.25">
      <c r="A13910" t="str">
        <f>"009015889"</f>
        <v>009015889</v>
      </c>
      <c r="B13910" t="str">
        <f>"1962509208"</f>
        <v>1962509208</v>
      </c>
      <c r="C13910" t="str">
        <f t="shared" ref="C13910:C13915" si="356">"261QF0400X"</f>
        <v>261QF0400X</v>
      </c>
      <c r="D13910" t="str">
        <f>"SCOOBA FAMILY MEDICAL CLINIC                      "</f>
        <v xml:space="preserve">SCOOBA FAMILY MEDICAL CLINIC                      </v>
      </c>
      <c r="E13910" t="str">
        <f>"SCOOBA                    "</f>
        <v xml:space="preserve">SCOOBA                    </v>
      </c>
      <c r="F13910" t="str">
        <f t="shared" si="355"/>
        <v>MS</v>
      </c>
    </row>
    <row r="13911" spans="1:6" x14ac:dyDescent="0.25">
      <c r="A13911" t="str">
        <f>"009015901"</f>
        <v>009015901</v>
      </c>
      <c r="B13911" t="str">
        <f>"1871650788"</f>
        <v>1871650788</v>
      </c>
      <c r="C13911" t="str">
        <f t="shared" si="356"/>
        <v>261QF0400X</v>
      </c>
      <c r="D13911" t="str">
        <f>"YAZOO WOOLFOLK ELEM SCHOOL CLINIC                 "</f>
        <v xml:space="preserve">YAZOO WOOLFOLK ELEM SCHOOL CLINIC                 </v>
      </c>
      <c r="E13911" t="str">
        <f>"YAZOO CITY                "</f>
        <v xml:space="preserve">YAZOO CITY                </v>
      </c>
      <c r="F13911" t="str">
        <f t="shared" si="355"/>
        <v>MS</v>
      </c>
    </row>
    <row r="13912" spans="1:6" x14ac:dyDescent="0.25">
      <c r="A13912" t="str">
        <f>"009015902"</f>
        <v>009015902</v>
      </c>
      <c r="B13912" t="str">
        <f>"1255498176"</f>
        <v>1255498176</v>
      </c>
      <c r="C13912" t="str">
        <f t="shared" si="356"/>
        <v>261QF0400X</v>
      </c>
      <c r="D13912" t="str">
        <f>"CANTON ELEMENTARY SCHOOL CLINIC                   "</f>
        <v xml:space="preserve">CANTON ELEMENTARY SCHOOL CLINIC                   </v>
      </c>
      <c r="E13912" t="str">
        <f>"CANTON                    "</f>
        <v xml:space="preserve">CANTON                    </v>
      </c>
      <c r="F13912" t="str">
        <f t="shared" si="355"/>
        <v>MS</v>
      </c>
    </row>
    <row r="13913" spans="1:6" x14ac:dyDescent="0.25">
      <c r="A13913" t="str">
        <f>"009015903"</f>
        <v>009015903</v>
      </c>
      <c r="B13913" t="str">
        <f>"1932266855"</f>
        <v>1932266855</v>
      </c>
      <c r="C13913" t="str">
        <f t="shared" si="356"/>
        <v>261QF0400X</v>
      </c>
      <c r="D13913" t="str">
        <f>"YAZOO HIGH SCHOOL CLINIC                          "</f>
        <v xml:space="preserve">YAZOO HIGH SCHOOL CLINIC                          </v>
      </c>
      <c r="E13913" t="str">
        <f>"YAZOO CITY                "</f>
        <v xml:space="preserve">YAZOO CITY                </v>
      </c>
      <c r="F13913" t="str">
        <f t="shared" si="355"/>
        <v>MS</v>
      </c>
    </row>
    <row r="13914" spans="1:6" x14ac:dyDescent="0.25">
      <c r="A13914" t="str">
        <f>"009015904"</f>
        <v>009015904</v>
      </c>
      <c r="B13914" t="str">
        <f>"1649337577"</f>
        <v>1649337577</v>
      </c>
      <c r="C13914" t="str">
        <f t="shared" si="356"/>
        <v>261QF0400X</v>
      </c>
      <c r="D13914" t="str">
        <f>"NICHOLS HEALTH CENTER                             "</f>
        <v xml:space="preserve">NICHOLS HEALTH CENTER                             </v>
      </c>
      <c r="E13914" t="str">
        <f>"CANTON                    "</f>
        <v xml:space="preserve">CANTON                    </v>
      </c>
      <c r="F13914" t="str">
        <f t="shared" si="355"/>
        <v>MS</v>
      </c>
    </row>
    <row r="13915" spans="1:6" x14ac:dyDescent="0.25">
      <c r="A13915" t="str">
        <f>"009015905"</f>
        <v>009015905</v>
      </c>
      <c r="B13915" t="str">
        <f>"1023175957"</f>
        <v>1023175957</v>
      </c>
      <c r="C13915" t="str">
        <f t="shared" si="356"/>
        <v>261QF0400X</v>
      </c>
      <c r="D13915" t="str">
        <f>"MCNEAL HEALTH CENTER                              "</f>
        <v xml:space="preserve">MCNEAL HEALTH CENTER                              </v>
      </c>
      <c r="E13915" t="str">
        <f>"CANTON                    "</f>
        <v xml:space="preserve">CANTON                    </v>
      </c>
      <c r="F13915" t="str">
        <f t="shared" si="355"/>
        <v>MS</v>
      </c>
    </row>
    <row r="13916" spans="1:6" x14ac:dyDescent="0.25">
      <c r="A13916" t="str">
        <f>"009015931"</f>
        <v>009015931</v>
      </c>
      <c r="B13916" t="str">
        <f>"1053573725"</f>
        <v>1053573725</v>
      </c>
      <c r="C13916" t="str">
        <f>"122300000X"</f>
        <v>122300000X</v>
      </c>
      <c r="D13916" t="str">
        <f>"LIFETIME DENTAL, PLLC                             "</f>
        <v xml:space="preserve">LIFETIME DENTAL, PLLC                             </v>
      </c>
      <c r="E13916" t="str">
        <f>"CLEVELAND                 "</f>
        <v xml:space="preserve">CLEVELAND                 </v>
      </c>
      <c r="F13916" t="str">
        <f t="shared" si="355"/>
        <v>MS</v>
      </c>
    </row>
    <row r="13917" spans="1:6" x14ac:dyDescent="0.25">
      <c r="A13917" t="str">
        <f>"009015963"</f>
        <v>009015963</v>
      </c>
      <c r="B13917" t="str">
        <f>"1598769044"</f>
        <v>1598769044</v>
      </c>
      <c r="C13917" t="str">
        <f>"261QR1300X"</f>
        <v>261QR1300X</v>
      </c>
      <c r="D13917" t="str">
        <f>"FAMILY MEDICAL ASSOCIATES OF COV CO               "</f>
        <v xml:space="preserve">FAMILY MEDICAL ASSOCIATES OF COV CO               </v>
      </c>
      <c r="E13917" t="str">
        <f>"COLLINS                   "</f>
        <v xml:space="preserve">COLLINS                   </v>
      </c>
      <c r="F13917" t="str">
        <f t="shared" si="355"/>
        <v>MS</v>
      </c>
    </row>
    <row r="13918" spans="1:6" x14ac:dyDescent="0.25">
      <c r="A13918" t="str">
        <f>"009016029"</f>
        <v>009016029</v>
      </c>
      <c r="B13918" t="str">
        <f>"1801937768"</f>
        <v>1801937768</v>
      </c>
      <c r="C13918" t="str">
        <f>"122300000X"</f>
        <v>122300000X</v>
      </c>
      <c r="D13918" t="str">
        <f>"JENKINS DENTAL CARE, INC.                         "</f>
        <v xml:space="preserve">JENKINS DENTAL CARE, INC.                         </v>
      </c>
      <c r="E13918" t="str">
        <f>"INDIANOLA                 "</f>
        <v xml:space="preserve">INDIANOLA                 </v>
      </c>
      <c r="F13918" t="str">
        <f t="shared" si="355"/>
        <v>MS</v>
      </c>
    </row>
    <row r="13919" spans="1:6" x14ac:dyDescent="0.25">
      <c r="A13919" t="str">
        <f>"009016032"</f>
        <v>009016032</v>
      </c>
      <c r="B13919" t="str">
        <f>"1134212038"</f>
        <v>1134212038</v>
      </c>
      <c r="C13919" t="str">
        <f>"122300000X"</f>
        <v>122300000X</v>
      </c>
      <c r="D13919" t="str">
        <f>"CHICKASAW DENTAL GROUP LLC                        "</f>
        <v xml:space="preserve">CHICKASAW DENTAL GROUP LLC                        </v>
      </c>
      <c r="E13919" t="str">
        <f>"HOUSTON                   "</f>
        <v xml:space="preserve">HOUSTON                   </v>
      </c>
      <c r="F13919" t="str">
        <f t="shared" si="355"/>
        <v>MS</v>
      </c>
    </row>
    <row r="13920" spans="1:6" x14ac:dyDescent="0.25">
      <c r="A13920" t="str">
        <f>"009016041"</f>
        <v>009016041</v>
      </c>
      <c r="B13920" t="str">
        <f>"1962422402"</f>
        <v>1962422402</v>
      </c>
      <c r="C13920" t="str">
        <f>"122300000X"</f>
        <v>122300000X</v>
      </c>
      <c r="D13920" t="str">
        <f>"ADAM WEEMS DMD PA                                 "</f>
        <v xml:space="preserve">ADAM WEEMS DMD PA                                 </v>
      </c>
      <c r="E13920" t="str">
        <f>"GREENWOOD                 "</f>
        <v xml:space="preserve">GREENWOOD                 </v>
      </c>
      <c r="F13920" t="str">
        <f t="shared" si="355"/>
        <v>MS</v>
      </c>
    </row>
    <row r="13921" spans="1:6" x14ac:dyDescent="0.25">
      <c r="A13921" t="str">
        <f>"009016069"</f>
        <v>009016069</v>
      </c>
      <c r="B13921" t="str">
        <f>"1578658373"</f>
        <v>1578658373</v>
      </c>
      <c r="C13921" t="str">
        <f>"122300000X"</f>
        <v>122300000X</v>
      </c>
      <c r="D13921" t="str">
        <f>"NORTH MISSISSIPPI DENTAL SPECIALIST PLLC          "</f>
        <v xml:space="preserve">NORTH MISSISSIPPI DENTAL SPECIALIST PLLC          </v>
      </c>
      <c r="E13921" t="str">
        <f>"SOUTHAVEN                 "</f>
        <v xml:space="preserve">SOUTHAVEN                 </v>
      </c>
      <c r="F13921" t="str">
        <f t="shared" si="355"/>
        <v>MS</v>
      </c>
    </row>
    <row r="13922" spans="1:6" x14ac:dyDescent="0.25">
      <c r="A13922" t="str">
        <f>"009016079"</f>
        <v>009016079</v>
      </c>
      <c r="B13922" t="str">
        <f>"1750581906"</f>
        <v>1750581906</v>
      </c>
      <c r="C13922" t="str">
        <f>"122300000X"</f>
        <v>122300000X</v>
      </c>
      <c r="D13922" t="str">
        <f>"POLK DENTAL CENTER                                "</f>
        <v xml:space="preserve">POLK DENTAL CENTER                                </v>
      </c>
      <c r="E13922" t="str">
        <f>"RICHLAND                  "</f>
        <v xml:space="preserve">RICHLAND                  </v>
      </c>
      <c r="F13922" t="str">
        <f t="shared" si="355"/>
        <v>MS</v>
      </c>
    </row>
    <row r="13923" spans="1:6" x14ac:dyDescent="0.25">
      <c r="A13923" t="str">
        <f>"009016087"</f>
        <v>009016087</v>
      </c>
      <c r="B13923" t="str">
        <f>"1760420335"</f>
        <v>1760420335</v>
      </c>
      <c r="C13923" t="str">
        <f>"261QF0400X"</f>
        <v>261QF0400X</v>
      </c>
      <c r="D13923" t="str">
        <f>"JHCHC-COPIAH MEDICAL                              "</f>
        <v xml:space="preserve">JHCHC-COPIAH MEDICAL                              </v>
      </c>
      <c r="E13923" t="str">
        <f>"HAZLEHURST                "</f>
        <v xml:space="preserve">HAZLEHURST                </v>
      </c>
      <c r="F13923" t="str">
        <f t="shared" si="355"/>
        <v>MS</v>
      </c>
    </row>
    <row r="13924" spans="1:6" x14ac:dyDescent="0.25">
      <c r="A13924" t="str">
        <f>"009016094"</f>
        <v>009016094</v>
      </c>
      <c r="B13924" t="str">
        <f>"1528270733"</f>
        <v>1528270733</v>
      </c>
      <c r="C13924" t="str">
        <f>"122300000X"</f>
        <v>122300000X</v>
      </c>
      <c r="D13924" t="str">
        <f>"SMILEBUILDERS, INC.                               "</f>
        <v xml:space="preserve">SMILEBUILDERS, INC.                               </v>
      </c>
      <c r="E13924" t="str">
        <f>"CANTON                    "</f>
        <v xml:space="preserve">CANTON                    </v>
      </c>
      <c r="F13924" t="str">
        <f t="shared" si="355"/>
        <v>MS</v>
      </c>
    </row>
    <row r="13925" spans="1:6" x14ac:dyDescent="0.25">
      <c r="A13925" t="str">
        <f>"009016100"</f>
        <v>009016100</v>
      </c>
      <c r="B13925" t="str">
        <f>"1669652558"</f>
        <v>1669652558</v>
      </c>
      <c r="C13925" t="str">
        <f>"261QR1300X"</f>
        <v>261QR1300X</v>
      </c>
      <c r="D13925" t="str">
        <f>"FLORENCE FAMILY CLINIC                            "</f>
        <v xml:space="preserve">FLORENCE FAMILY CLINIC                            </v>
      </c>
      <c r="E13925" t="str">
        <f>"FLORENCE                  "</f>
        <v xml:space="preserve">FLORENCE                  </v>
      </c>
      <c r="F13925" t="str">
        <f t="shared" si="355"/>
        <v>MS</v>
      </c>
    </row>
    <row r="13926" spans="1:6" x14ac:dyDescent="0.25">
      <c r="A13926" t="str">
        <f>"009016118"</f>
        <v>009016118</v>
      </c>
      <c r="B13926" t="str">
        <f>"1235167891"</f>
        <v>1235167891</v>
      </c>
      <c r="C13926" t="str">
        <f>"261QF0400X"</f>
        <v>261QF0400X</v>
      </c>
      <c r="D13926" t="str">
        <f>"JHCHC-TOUGALOODENT                                "</f>
        <v xml:space="preserve">JHCHC-TOUGALOODENT                                </v>
      </c>
      <c r="E13926" t="str">
        <f>"TOUGALOO                  "</f>
        <v xml:space="preserve">TOUGALOO                  </v>
      </c>
      <c r="F13926" t="str">
        <f t="shared" si="355"/>
        <v>MS</v>
      </c>
    </row>
    <row r="13927" spans="1:6" x14ac:dyDescent="0.25">
      <c r="A13927" t="str">
        <f>"009016170"</f>
        <v>009016170</v>
      </c>
      <c r="B13927" t="str">
        <f>"1770515058"</f>
        <v>1770515058</v>
      </c>
      <c r="C13927" t="str">
        <f>"261QF0400X"</f>
        <v>261QF0400X</v>
      </c>
      <c r="D13927" t="str">
        <f>"JHCHC-COPIAH DENTAL                               "</f>
        <v xml:space="preserve">JHCHC-COPIAH DENTAL                               </v>
      </c>
      <c r="E13927" t="str">
        <f>"HAZLEHURST                "</f>
        <v xml:space="preserve">HAZLEHURST                </v>
      </c>
      <c r="F13927" t="str">
        <f t="shared" si="355"/>
        <v>MS</v>
      </c>
    </row>
    <row r="13928" spans="1:6" x14ac:dyDescent="0.25">
      <c r="A13928" t="str">
        <f>"009016210"</f>
        <v>009016210</v>
      </c>
      <c r="B13928" t="str">
        <f>"1164773438"</f>
        <v>1164773438</v>
      </c>
      <c r="C13928" t="str">
        <f>"261QR1300X"</f>
        <v>261QR1300X</v>
      </c>
      <c r="D13928" t="str">
        <f>"RUSH MEDICAL FOUNDATION                           "</f>
        <v xml:space="preserve">RUSH MEDICAL FOUNDATION                           </v>
      </c>
      <c r="E13928" t="str">
        <f>"QUITMAN                   "</f>
        <v xml:space="preserve">QUITMAN                   </v>
      </c>
      <c r="F13928" t="str">
        <f t="shared" si="355"/>
        <v>MS</v>
      </c>
    </row>
    <row r="13929" spans="1:6" x14ac:dyDescent="0.25">
      <c r="A13929" t="str">
        <f>"009016232"</f>
        <v>009016232</v>
      </c>
      <c r="B13929" t="str">
        <f>"1194861260"</f>
        <v>1194861260</v>
      </c>
      <c r="C13929" t="str">
        <f>"261QR1300X"</f>
        <v>261QR1300X</v>
      </c>
      <c r="D13929" t="str">
        <f>"BMC LEAKE CARTHAGE PRIMARY CARE                   "</f>
        <v xml:space="preserve">BMC LEAKE CARTHAGE PRIMARY CARE                   </v>
      </c>
      <c r="E13929" t="str">
        <f>"CARTHAGE                  "</f>
        <v xml:space="preserve">CARTHAGE                  </v>
      </c>
      <c r="F13929" t="str">
        <f t="shared" si="355"/>
        <v>MS</v>
      </c>
    </row>
    <row r="13930" spans="1:6" x14ac:dyDescent="0.25">
      <c r="A13930" t="str">
        <f>"009016249"</f>
        <v>009016249</v>
      </c>
      <c r="B13930" t="str">
        <f>"1114129368"</f>
        <v>1114129368</v>
      </c>
      <c r="C13930" t="str">
        <f>"152W00000X"</f>
        <v>152W00000X</v>
      </c>
      <c r="D13930" t="str">
        <f>"CHEATHAM EYE CARE, LLC                            "</f>
        <v xml:space="preserve">CHEATHAM EYE CARE, LLC                            </v>
      </c>
      <c r="E13930" t="str">
        <f>"WEST POINT                "</f>
        <v xml:space="preserve">WEST POINT                </v>
      </c>
      <c r="F13930" t="str">
        <f t="shared" si="355"/>
        <v>MS</v>
      </c>
    </row>
    <row r="13931" spans="1:6" x14ac:dyDescent="0.25">
      <c r="A13931" t="str">
        <f>"009016279"</f>
        <v>009016279</v>
      </c>
      <c r="B13931" t="str">
        <f>"1194738393"</f>
        <v>1194738393</v>
      </c>
      <c r="C13931" t="str">
        <f>"261QR1300X"</f>
        <v>261QR1300X</v>
      </c>
      <c r="D13931" t="str">
        <f>"UNIV HOSP &amp; CLINICS HOLMES                        "</f>
        <v xml:space="preserve">UNIV HOSP &amp; CLINICS HOLMES                        </v>
      </c>
      <c r="E13931" t="str">
        <f>"WEST                      "</f>
        <v xml:space="preserve">WEST                      </v>
      </c>
      <c r="F13931" t="str">
        <f t="shared" si="355"/>
        <v>MS</v>
      </c>
    </row>
    <row r="13932" spans="1:6" x14ac:dyDescent="0.25">
      <c r="A13932" t="str">
        <f>"009016287"</f>
        <v>009016287</v>
      </c>
      <c r="B13932" t="str">
        <f>"1497895379"</f>
        <v>1497895379</v>
      </c>
      <c r="C13932" t="str">
        <f>"122300000X"</f>
        <v>122300000X</v>
      </c>
      <c r="D13932" t="str">
        <f>"SENATOBIA DENTAL CARE, P.L.L.C.                   "</f>
        <v xml:space="preserve">SENATOBIA DENTAL CARE, P.L.L.C.                   </v>
      </c>
      <c r="E13932" t="str">
        <f>"SENATOBIA                 "</f>
        <v xml:space="preserve">SENATOBIA                 </v>
      </c>
      <c r="F13932" t="str">
        <f t="shared" si="355"/>
        <v>MS</v>
      </c>
    </row>
    <row r="13933" spans="1:6" x14ac:dyDescent="0.25">
      <c r="A13933" t="str">
        <f>"009016301"</f>
        <v>009016301</v>
      </c>
      <c r="B13933" t="str">
        <f>"1881648376"</f>
        <v>1881648376</v>
      </c>
      <c r="C13933" t="str">
        <f>"261QR1300X"</f>
        <v>261QR1300X</v>
      </c>
      <c r="D13933" t="str">
        <f>"CATCHINGS CLINIC                                  "</f>
        <v xml:space="preserve">CATCHINGS CLINIC                                  </v>
      </c>
      <c r="E13933" t="str">
        <f>"WOODVILLE                 "</f>
        <v xml:space="preserve">WOODVILLE                 </v>
      </c>
      <c r="F13933" t="str">
        <f t="shared" si="355"/>
        <v>MS</v>
      </c>
    </row>
    <row r="13934" spans="1:6" x14ac:dyDescent="0.25">
      <c r="A13934" t="str">
        <f>"009016302"</f>
        <v>009016302</v>
      </c>
      <c r="B13934" t="str">
        <f>"1134166812"</f>
        <v>1134166812</v>
      </c>
      <c r="C13934" t="str">
        <f>"261QR1300X"</f>
        <v>261QR1300X</v>
      </c>
      <c r="D13934" t="str">
        <f>"CENTREVILLE CLINIC                                "</f>
        <v xml:space="preserve">CENTREVILLE CLINIC                                </v>
      </c>
      <c r="E13934" t="str">
        <f>"CENTREVILLE               "</f>
        <v xml:space="preserve">CENTREVILLE               </v>
      </c>
      <c r="F13934" t="str">
        <f t="shared" si="355"/>
        <v>MS</v>
      </c>
    </row>
    <row r="13935" spans="1:6" x14ac:dyDescent="0.25">
      <c r="A13935" t="str">
        <f>"009016303"</f>
        <v>009016303</v>
      </c>
      <c r="B13935" t="str">
        <f>"1144274622"</f>
        <v>1144274622</v>
      </c>
      <c r="C13935" t="str">
        <f>"261QR1300X"</f>
        <v>261QR1300X</v>
      </c>
      <c r="D13935" t="str">
        <f>"GLOSTER CLINIC                                    "</f>
        <v xml:space="preserve">GLOSTER CLINIC                                    </v>
      </c>
      <c r="E13935" t="str">
        <f>"GLOSTER                   "</f>
        <v xml:space="preserve">GLOSTER                   </v>
      </c>
      <c r="F13935" t="str">
        <f t="shared" si="355"/>
        <v>MS</v>
      </c>
    </row>
    <row r="13936" spans="1:6" x14ac:dyDescent="0.25">
      <c r="A13936" t="str">
        <f>"009021223"</f>
        <v>009021223</v>
      </c>
      <c r="B13936" t="str">
        <f>"1336565431"</f>
        <v>1336565431</v>
      </c>
      <c r="C13936" t="str">
        <f>"363L00000X"</f>
        <v>363L00000X</v>
      </c>
      <c r="D13936" t="str">
        <f>"FRYE                     TIMOTHY                  "</f>
        <v xml:space="preserve">FRYE                     TIMOTHY                  </v>
      </c>
      <c r="E13936" t="str">
        <f>"GULFPORT                  "</f>
        <v xml:space="preserve">GULFPORT                  </v>
      </c>
      <c r="F13936" t="str">
        <f t="shared" si="355"/>
        <v>MS</v>
      </c>
    </row>
    <row r="13937" spans="1:6" x14ac:dyDescent="0.25">
      <c r="A13937" t="str">
        <f>"009024300"</f>
        <v>009024300</v>
      </c>
      <c r="B13937" t="str">
        <f>"1023417938"</f>
        <v>1023417938</v>
      </c>
      <c r="C13937" t="str">
        <f>"363L00000X"</f>
        <v>363L00000X</v>
      </c>
      <c r="D13937" t="str">
        <f>"RUSHING                  CARLA        A           "</f>
        <v xml:space="preserve">RUSHING                  CARLA        A           </v>
      </c>
      <c r="E13937" t="str">
        <f>"PASCAGOULA                "</f>
        <v xml:space="preserve">PASCAGOULA                </v>
      </c>
      <c r="F13937" t="str">
        <f t="shared" si="355"/>
        <v>MS</v>
      </c>
    </row>
    <row r="13938" spans="1:6" x14ac:dyDescent="0.25">
      <c r="A13938" t="str">
        <f>"009024532"</f>
        <v>009024532</v>
      </c>
      <c r="B13938" t="str">
        <f>"1881928315"</f>
        <v>1881928315</v>
      </c>
      <c r="C13938" t="str">
        <f>"363L00000X"</f>
        <v>363L00000X</v>
      </c>
      <c r="D13938" t="str">
        <f>"LOE                      KIMBERLY     O           "</f>
        <v xml:space="preserve">LOE                      KIMBERLY     O           </v>
      </c>
      <c r="E13938" t="str">
        <f>"BRANDON                   "</f>
        <v xml:space="preserve">BRANDON                   </v>
      </c>
      <c r="F13938" t="str">
        <f t="shared" si="355"/>
        <v>MS</v>
      </c>
    </row>
    <row r="13939" spans="1:6" x14ac:dyDescent="0.25">
      <c r="A13939" t="str">
        <f>"009024749"</f>
        <v>009024749</v>
      </c>
      <c r="B13939" t="str">
        <f>"1467865006"</f>
        <v>1467865006</v>
      </c>
      <c r="C13939" t="str">
        <f>"207V00000X"</f>
        <v>207V00000X</v>
      </c>
      <c r="D13939" t="str">
        <f>"WINSTEAD JR              JAMES        K           "</f>
        <v xml:space="preserve">WINSTEAD JR              JAMES        K           </v>
      </c>
      <c r="E13939" t="str">
        <f>"LAUREL                    "</f>
        <v xml:space="preserve">LAUREL                    </v>
      </c>
      <c r="F13939" t="str">
        <f t="shared" si="355"/>
        <v>MS</v>
      </c>
    </row>
    <row r="13940" spans="1:6" x14ac:dyDescent="0.25">
      <c r="A13940" t="str">
        <f>"009025802"</f>
        <v>009025802</v>
      </c>
      <c r="B13940" t="str">
        <f>"1861578635"</f>
        <v>1861578635</v>
      </c>
      <c r="C13940" t="str">
        <f>"363L00000X"</f>
        <v>363L00000X</v>
      </c>
      <c r="D13940" t="str">
        <f>"MASCAGNI                 JENNIFER     R           "</f>
        <v xml:space="preserve">MASCAGNI                 JENNIFER     R           </v>
      </c>
      <c r="E13940" t="str">
        <f>"HATTIESBURG               "</f>
        <v xml:space="preserve">HATTIESBURG               </v>
      </c>
      <c r="F13940" t="str">
        <f t="shared" si="355"/>
        <v>MS</v>
      </c>
    </row>
    <row r="13941" spans="1:6" x14ac:dyDescent="0.25">
      <c r="A13941" t="str">
        <f>"009027747"</f>
        <v>009027747</v>
      </c>
      <c r="B13941" t="str">
        <f>"1750465118"</f>
        <v>1750465118</v>
      </c>
      <c r="C13941" t="str">
        <f>"122300000X"</f>
        <v>122300000X</v>
      </c>
      <c r="D13941" t="str">
        <f>"IVERSTINE                JAMES        V           "</f>
        <v xml:space="preserve">IVERSTINE                JAMES        V           </v>
      </c>
      <c r="E13941" t="str">
        <f>"NATCHEZ                   "</f>
        <v xml:space="preserve">NATCHEZ                   </v>
      </c>
      <c r="F13941" t="str">
        <f t="shared" si="355"/>
        <v>MS</v>
      </c>
    </row>
    <row r="13942" spans="1:6" x14ac:dyDescent="0.25">
      <c r="A13942" t="str">
        <f>"009028028"</f>
        <v>009028028</v>
      </c>
      <c r="B13942" t="str">
        <f>"1750714572"</f>
        <v>1750714572</v>
      </c>
      <c r="C13942" t="str">
        <f>"363L00000X"</f>
        <v>363L00000X</v>
      </c>
      <c r="D13942" t="str">
        <f>"HERITAGE                 STEPHANIE                "</f>
        <v xml:space="preserve">HERITAGE                 STEPHANIE                </v>
      </c>
      <c r="E13942" t="str">
        <f>"GULFPORT                  "</f>
        <v xml:space="preserve">GULFPORT                  </v>
      </c>
      <c r="F13942" t="str">
        <f t="shared" si="355"/>
        <v>MS</v>
      </c>
    </row>
    <row r="13943" spans="1:6" x14ac:dyDescent="0.25">
      <c r="A13943" t="str">
        <f>"009029711"</f>
        <v>009029711</v>
      </c>
      <c r="B13943" t="str">
        <f>"1295017317"</f>
        <v>1295017317</v>
      </c>
      <c r="C13943" t="str">
        <f>"363L00000X"</f>
        <v>363L00000X</v>
      </c>
      <c r="D13943" t="str">
        <f>"JAGGERS                  CHRISTY      F           "</f>
        <v xml:space="preserve">JAGGERS                  CHRISTY      F           </v>
      </c>
      <c r="E13943" t="str">
        <f>"TUPELO                    "</f>
        <v xml:space="preserve">TUPELO                    </v>
      </c>
      <c r="F13943" t="str">
        <f t="shared" si="355"/>
        <v>MS</v>
      </c>
    </row>
    <row r="13944" spans="1:6" x14ac:dyDescent="0.25">
      <c r="A13944" t="str">
        <f>"009030051"</f>
        <v>009030051</v>
      </c>
      <c r="B13944" t="str">
        <f>"1689915944"</f>
        <v>1689915944</v>
      </c>
      <c r="C13944" t="str">
        <f>"363L00000X"</f>
        <v>363L00000X</v>
      </c>
      <c r="D13944" t="str">
        <f>"SPELLS JONES             TONYA        S           "</f>
        <v xml:space="preserve">SPELLS JONES             TONYA        S           </v>
      </c>
      <c r="E13944" t="str">
        <f>"JACKSON                   "</f>
        <v xml:space="preserve">JACKSON                   </v>
      </c>
      <c r="F13944" t="str">
        <f t="shared" si="355"/>
        <v>MS</v>
      </c>
    </row>
    <row r="13945" spans="1:6" x14ac:dyDescent="0.25">
      <c r="A13945" t="str">
        <f>"009030843"</f>
        <v>009030843</v>
      </c>
      <c r="B13945" t="str">
        <f>"1205237377"</f>
        <v>1205237377</v>
      </c>
      <c r="C13945" t="str">
        <f>"363L00000X"</f>
        <v>363L00000X</v>
      </c>
      <c r="D13945" t="str">
        <f>"LITTLE                   REBECCA      G           "</f>
        <v xml:space="preserve">LITTLE                   REBECCA      G           </v>
      </c>
      <c r="E13945" t="str">
        <f>"JACKSON                   "</f>
        <v xml:space="preserve">JACKSON                   </v>
      </c>
      <c r="F13945" t="str">
        <f t="shared" si="355"/>
        <v>MS</v>
      </c>
    </row>
    <row r="13946" spans="1:6" x14ac:dyDescent="0.25">
      <c r="A13946" t="str">
        <f>"009032253"</f>
        <v>009032253</v>
      </c>
      <c r="B13946" t="str">
        <f>"1679931083"</f>
        <v>1679931083</v>
      </c>
      <c r="C13946" t="str">
        <f>"363A00000X"</f>
        <v>363A00000X</v>
      </c>
      <c r="D13946" t="str">
        <f>"ANDERSON                 HEATHER      M           "</f>
        <v xml:space="preserve">ANDERSON                 HEATHER      M           </v>
      </c>
      <c r="E13946" t="str">
        <f>"VICKSBURG                 "</f>
        <v xml:space="preserve">VICKSBURG                 </v>
      </c>
      <c r="F13946" t="str">
        <f t="shared" si="355"/>
        <v>MS</v>
      </c>
    </row>
    <row r="13947" spans="1:6" x14ac:dyDescent="0.25">
      <c r="A13947" t="str">
        <f>"009032325"</f>
        <v>009032325</v>
      </c>
      <c r="B13947" t="str">
        <f>"1538469689"</f>
        <v>1538469689</v>
      </c>
      <c r="C13947" t="str">
        <f>"363L00000X"</f>
        <v>363L00000X</v>
      </c>
      <c r="D13947" t="str">
        <f>"THOMAS                   CARRICKA     C           "</f>
        <v xml:space="preserve">THOMAS                   CARRICKA     C           </v>
      </c>
      <c r="E13947" t="str">
        <f>"GULFPORT                  "</f>
        <v xml:space="preserve">GULFPORT                  </v>
      </c>
      <c r="F13947" t="str">
        <f t="shared" si="355"/>
        <v>MS</v>
      </c>
    </row>
    <row r="13948" spans="1:6" x14ac:dyDescent="0.25">
      <c r="A13948" t="str">
        <f>"009034221"</f>
        <v>009034221</v>
      </c>
      <c r="B13948" t="str">
        <f>"1174707368"</f>
        <v>1174707368</v>
      </c>
      <c r="C13948" t="str">
        <f>"2084P0800X"</f>
        <v>2084P0800X</v>
      </c>
      <c r="D13948" t="str">
        <f>"SMITH                    STEPHEN      K           "</f>
        <v xml:space="preserve">SMITH                    STEPHEN      K           </v>
      </c>
      <c r="E13948" t="str">
        <f>"WHITFIELD                 "</f>
        <v xml:space="preserve">WHITFIELD                 </v>
      </c>
      <c r="F13948" t="str">
        <f t="shared" si="355"/>
        <v>MS</v>
      </c>
    </row>
    <row r="13949" spans="1:6" x14ac:dyDescent="0.25">
      <c r="A13949" t="str">
        <f>"009034554"</f>
        <v>009034554</v>
      </c>
      <c r="B13949" t="str">
        <f>"1952832370"</f>
        <v>1952832370</v>
      </c>
      <c r="C13949" t="str">
        <f>"207P00000X"</f>
        <v>207P00000X</v>
      </c>
      <c r="D13949" t="str">
        <f>"BILLSBY                  CHRISTOPHER  R           "</f>
        <v xml:space="preserve">BILLSBY                  CHRISTOPHER  R           </v>
      </c>
      <c r="E13949" t="str">
        <f>"JACKSON                   "</f>
        <v xml:space="preserve">JACKSON                   </v>
      </c>
      <c r="F13949" t="str">
        <f t="shared" si="355"/>
        <v>MS</v>
      </c>
    </row>
    <row r="13950" spans="1:6" x14ac:dyDescent="0.25">
      <c r="A13950" t="str">
        <f>"009035591"</f>
        <v>009035591</v>
      </c>
      <c r="B13950" t="str">
        <f>"1861488215"</f>
        <v>1861488215</v>
      </c>
      <c r="C13950" t="str">
        <f>"207V00000X"</f>
        <v>207V00000X</v>
      </c>
      <c r="D13950" t="str">
        <f>"DAMALLIE                 KUSHNA       K           "</f>
        <v xml:space="preserve">DAMALLIE                 KUSHNA       K           </v>
      </c>
      <c r="E13950" t="str">
        <f>"CLARKSDALE                "</f>
        <v xml:space="preserve">CLARKSDALE                </v>
      </c>
      <c r="F13950" t="str">
        <f t="shared" ref="F13950:F14013" si="357">"MS"</f>
        <v>MS</v>
      </c>
    </row>
    <row r="13951" spans="1:6" x14ac:dyDescent="0.25">
      <c r="A13951" t="str">
        <f>"009035822"</f>
        <v>009035822</v>
      </c>
      <c r="B13951" t="str">
        <f>"1497918817"</f>
        <v>1497918817</v>
      </c>
      <c r="C13951" t="str">
        <f>"2080N0001X"</f>
        <v>2080N0001X</v>
      </c>
      <c r="D13951" t="str">
        <f>"SHARMA                   MANIKA                   "</f>
        <v xml:space="preserve">SHARMA                   MANIKA                   </v>
      </c>
      <c r="E13951" t="str">
        <f>"HATTIESBURG               "</f>
        <v xml:space="preserve">HATTIESBURG               </v>
      </c>
      <c r="F13951" t="str">
        <f t="shared" si="357"/>
        <v>MS</v>
      </c>
    </row>
    <row r="13952" spans="1:6" x14ac:dyDescent="0.25">
      <c r="A13952" t="str">
        <f>"009035881"</f>
        <v>009035881</v>
      </c>
      <c r="B13952" t="str">
        <f>"1811408214"</f>
        <v>1811408214</v>
      </c>
      <c r="C13952" t="str">
        <f>"363L00000X"</f>
        <v>363L00000X</v>
      </c>
      <c r="D13952" t="str">
        <f>"RICHARDSON               KELLY        L           "</f>
        <v xml:space="preserve">RICHARDSON               KELLY        L           </v>
      </c>
      <c r="E13952" t="str">
        <f>"COLUMBUS                  "</f>
        <v xml:space="preserve">COLUMBUS                  </v>
      </c>
      <c r="F13952" t="str">
        <f t="shared" si="357"/>
        <v>MS</v>
      </c>
    </row>
    <row r="13953" spans="1:6" x14ac:dyDescent="0.25">
      <c r="A13953" t="str">
        <f>"009037308"</f>
        <v>009037308</v>
      </c>
      <c r="B13953" t="str">
        <f>"1891760351"</f>
        <v>1891760351</v>
      </c>
      <c r="C13953" t="str">
        <f>"2083P0901X"</f>
        <v>2083P0901X</v>
      </c>
      <c r="D13953" t="str">
        <f>"MANN                     JOSHUA       R           "</f>
        <v xml:space="preserve">MANN                     JOSHUA       R           </v>
      </c>
      <c r="E13953" t="str">
        <f>"JACKSON                   "</f>
        <v xml:space="preserve">JACKSON                   </v>
      </c>
      <c r="F13953" t="str">
        <f t="shared" si="357"/>
        <v>MS</v>
      </c>
    </row>
    <row r="13954" spans="1:6" x14ac:dyDescent="0.25">
      <c r="A13954" t="str">
        <f>"009039862"</f>
        <v>009039862</v>
      </c>
      <c r="B13954" t="str">
        <f>"1841271293"</f>
        <v>1841271293</v>
      </c>
      <c r="C13954" t="str">
        <f>"207R00000X"</f>
        <v>207R00000X</v>
      </c>
      <c r="D13954" t="str">
        <f>"BARNETT                  CHRISTY      S           "</f>
        <v xml:space="preserve">BARNETT                  CHRISTY      S           </v>
      </c>
      <c r="E13954" t="str">
        <f>"JACKSON                   "</f>
        <v xml:space="preserve">JACKSON                   </v>
      </c>
      <c r="F13954" t="str">
        <f t="shared" si="357"/>
        <v>MS</v>
      </c>
    </row>
    <row r="13955" spans="1:6" x14ac:dyDescent="0.25">
      <c r="A13955" t="str">
        <f>"009050355"</f>
        <v>009050355</v>
      </c>
      <c r="B13955" t="str">
        <f>"1457904989"</f>
        <v>1457904989</v>
      </c>
      <c r="C13955" t="str">
        <f>"363L00000X"</f>
        <v>363L00000X</v>
      </c>
      <c r="D13955" t="str">
        <f>"GOFF                     BRIA         H           "</f>
        <v xml:space="preserve">GOFF                     BRIA         H           </v>
      </c>
      <c r="E13955" t="str">
        <f>"PICAYUNE                  "</f>
        <v xml:space="preserve">PICAYUNE                  </v>
      </c>
      <c r="F13955" t="str">
        <f t="shared" si="357"/>
        <v>MS</v>
      </c>
    </row>
    <row r="13956" spans="1:6" x14ac:dyDescent="0.25">
      <c r="A13956" t="str">
        <f>"009052333"</f>
        <v>009052333</v>
      </c>
      <c r="B13956" t="str">
        <f>"1235619206"</f>
        <v>1235619206</v>
      </c>
      <c r="C13956" t="str">
        <f>"363L00000X"</f>
        <v>363L00000X</v>
      </c>
      <c r="D13956" t="str">
        <f>"BURNS                    TRACY        E           "</f>
        <v xml:space="preserve">BURNS                    TRACY        E           </v>
      </c>
      <c r="E13956" t="str">
        <f>"HERNANDO                  "</f>
        <v xml:space="preserve">HERNANDO                  </v>
      </c>
      <c r="F13956" t="str">
        <f t="shared" si="357"/>
        <v>MS</v>
      </c>
    </row>
    <row r="13957" spans="1:6" x14ac:dyDescent="0.25">
      <c r="A13957" t="str">
        <f>"009054034"</f>
        <v>009054034</v>
      </c>
      <c r="B13957" t="str">
        <f>"1316451883"</f>
        <v>1316451883</v>
      </c>
      <c r="C13957" t="str">
        <f>"363L00000X"</f>
        <v>363L00000X</v>
      </c>
      <c r="D13957" t="str">
        <f>"BAKER                    MAGUERITE    S           "</f>
        <v xml:space="preserve">BAKER                    MAGUERITE    S           </v>
      </c>
      <c r="E13957" t="str">
        <f>"JACKSON                   "</f>
        <v xml:space="preserve">JACKSON                   </v>
      </c>
      <c r="F13957" t="str">
        <f t="shared" si="357"/>
        <v>MS</v>
      </c>
    </row>
    <row r="13958" spans="1:6" x14ac:dyDescent="0.25">
      <c r="A13958" t="str">
        <f>"009054101"</f>
        <v>009054101</v>
      </c>
      <c r="B13958" t="str">
        <f>"1124438247"</f>
        <v>1124438247</v>
      </c>
      <c r="C13958" t="str">
        <f>"2085R0202X"</f>
        <v>2085R0202X</v>
      </c>
      <c r="D13958" t="str">
        <f>"MURRAY                   JAMES        E           "</f>
        <v xml:space="preserve">MURRAY                   JAMES        E           </v>
      </c>
      <c r="E13958" t="str">
        <f>"CLEVELAND                 "</f>
        <v xml:space="preserve">CLEVELAND                 </v>
      </c>
      <c r="F13958" t="str">
        <f t="shared" si="357"/>
        <v>MS</v>
      </c>
    </row>
    <row r="13959" spans="1:6" x14ac:dyDescent="0.25">
      <c r="A13959" t="str">
        <f>"009055028"</f>
        <v>009055028</v>
      </c>
      <c r="B13959" t="str">
        <f>"1821344771"</f>
        <v>1821344771</v>
      </c>
      <c r="C13959" t="str">
        <f>"363A00000X"</f>
        <v>363A00000X</v>
      </c>
      <c r="D13959" t="str">
        <f>"RYDER                    STEPHEN      L           "</f>
        <v xml:space="preserve">RYDER                    STEPHEN      L           </v>
      </c>
      <c r="E13959" t="str">
        <f>"BILOXI                    "</f>
        <v xml:space="preserve">BILOXI                    </v>
      </c>
      <c r="F13959" t="str">
        <f t="shared" si="357"/>
        <v>MS</v>
      </c>
    </row>
    <row r="13960" spans="1:6" x14ac:dyDescent="0.25">
      <c r="A13960" t="str">
        <f>"009056208"</f>
        <v>009056208</v>
      </c>
      <c r="B13960" t="str">
        <f>"1821290990"</f>
        <v>1821290990</v>
      </c>
      <c r="C13960" t="str">
        <f>"207R00000X"</f>
        <v>207R00000X</v>
      </c>
      <c r="D13960" t="str">
        <f>"STOKES                   DONNY                    "</f>
        <v xml:space="preserve">STOKES                   DONNY                    </v>
      </c>
      <c r="E13960" t="str">
        <f>"JACKSON                   "</f>
        <v xml:space="preserve">JACKSON                   </v>
      </c>
      <c r="F13960" t="str">
        <f t="shared" si="357"/>
        <v>MS</v>
      </c>
    </row>
    <row r="13961" spans="1:6" x14ac:dyDescent="0.25">
      <c r="A13961" t="str">
        <f>"009057054"</f>
        <v>009057054</v>
      </c>
      <c r="B13961" t="str">
        <f>"1336662717"</f>
        <v>1336662717</v>
      </c>
      <c r="C13961" t="str">
        <f>"363L00000X"</f>
        <v>363L00000X</v>
      </c>
      <c r="D13961" t="str">
        <f>"ROLLINS                  JOCELYN      G           "</f>
        <v xml:space="preserve">ROLLINS                  JOCELYN      G           </v>
      </c>
      <c r="E13961" t="str">
        <f>"JACKSON                   "</f>
        <v xml:space="preserve">JACKSON                   </v>
      </c>
      <c r="F13961" t="str">
        <f t="shared" si="357"/>
        <v>MS</v>
      </c>
    </row>
    <row r="13962" spans="1:6" x14ac:dyDescent="0.25">
      <c r="A13962" t="str">
        <f>"009059224"</f>
        <v>009059224</v>
      </c>
      <c r="B13962" t="str">
        <f>"1861672909"</f>
        <v>1861672909</v>
      </c>
      <c r="C13962" t="str">
        <f>"363A00000X"</f>
        <v>363A00000X</v>
      </c>
      <c r="D13962" t="str">
        <f>"LARSEN                   JILL         R           "</f>
        <v xml:space="preserve">LARSEN                   JILL         R           </v>
      </c>
      <c r="E13962" t="str">
        <f>"OCEAN SPRINGS             "</f>
        <v xml:space="preserve">OCEAN SPRINGS             </v>
      </c>
      <c r="F13962" t="str">
        <f t="shared" si="357"/>
        <v>MS</v>
      </c>
    </row>
    <row r="13963" spans="1:6" x14ac:dyDescent="0.25">
      <c r="A13963" t="str">
        <f>"009071003"</f>
        <v>009071003</v>
      </c>
      <c r="B13963" t="str">
        <f>"1700496940"</f>
        <v>1700496940</v>
      </c>
      <c r="C13963" t="str">
        <f>"152W00000X"</f>
        <v>152W00000X</v>
      </c>
      <c r="D13963" t="str">
        <f>"READER                   OLIVIA                   "</f>
        <v xml:space="preserve">READER                   OLIVIA                   </v>
      </c>
      <c r="E13963" t="str">
        <f>"CORINTH                   "</f>
        <v xml:space="preserve">CORINTH                   </v>
      </c>
      <c r="F13963" t="str">
        <f t="shared" si="357"/>
        <v>MS</v>
      </c>
    </row>
    <row r="13964" spans="1:6" x14ac:dyDescent="0.25">
      <c r="A13964" t="str">
        <f>"009071754"</f>
        <v>009071754</v>
      </c>
      <c r="B13964" t="str">
        <f>"1609053578"</f>
        <v>1609053578</v>
      </c>
      <c r="C13964" t="str">
        <f>"367500000X"</f>
        <v>367500000X</v>
      </c>
      <c r="D13964" t="str">
        <f>"HELMS                    CHARLES      D           "</f>
        <v xml:space="preserve">HELMS                    CHARLES      D           </v>
      </c>
      <c r="E13964" t="str">
        <f>"MERIDIAN                  "</f>
        <v xml:space="preserve">MERIDIAN                  </v>
      </c>
      <c r="F13964" t="str">
        <f t="shared" si="357"/>
        <v>MS</v>
      </c>
    </row>
    <row r="13965" spans="1:6" x14ac:dyDescent="0.25">
      <c r="A13965" t="str">
        <f>"009073381"</f>
        <v>009073381</v>
      </c>
      <c r="B13965" t="str">
        <f>"1033585286"</f>
        <v>1033585286</v>
      </c>
      <c r="C13965" t="str">
        <f>"363LP0808X"</f>
        <v>363LP0808X</v>
      </c>
      <c r="D13965" t="str">
        <f>"THOMPSON                 DEIDRA       L           "</f>
        <v xml:space="preserve">THOMPSON                 DEIDRA       L           </v>
      </c>
      <c r="E13965" t="str">
        <f>"FLOWOOD                   "</f>
        <v xml:space="preserve">FLOWOOD                   </v>
      </c>
      <c r="F13965" t="str">
        <f t="shared" si="357"/>
        <v>MS</v>
      </c>
    </row>
    <row r="13966" spans="1:6" x14ac:dyDescent="0.25">
      <c r="A13966" t="str">
        <f>"009074054"</f>
        <v>009074054</v>
      </c>
      <c r="B13966" t="str">
        <f>"1487858288"</f>
        <v>1487858288</v>
      </c>
      <c r="C13966" t="str">
        <f>"207P00000X"</f>
        <v>207P00000X</v>
      </c>
      <c r="D13966" t="str">
        <f>"PATEL                    KIRTI                    "</f>
        <v xml:space="preserve">PATEL                    KIRTI                    </v>
      </c>
      <c r="E13966" t="str">
        <f>"TUPELO                    "</f>
        <v xml:space="preserve">TUPELO                    </v>
      </c>
      <c r="F13966" t="str">
        <f t="shared" si="357"/>
        <v>MS</v>
      </c>
    </row>
    <row r="13967" spans="1:6" x14ac:dyDescent="0.25">
      <c r="A13967" t="str">
        <f>"009074203"</f>
        <v>009074203</v>
      </c>
      <c r="B13967" t="str">
        <f>"1851466106"</f>
        <v>1851466106</v>
      </c>
      <c r="C13967" t="str">
        <f>"367500000X"</f>
        <v>367500000X</v>
      </c>
      <c r="D13967" t="str">
        <f>"MCCRARY                  GABRIEL      S           "</f>
        <v xml:space="preserve">MCCRARY                  GABRIEL      S           </v>
      </c>
      <c r="E13967" t="str">
        <f>"HATTIESBURG               "</f>
        <v xml:space="preserve">HATTIESBURG               </v>
      </c>
      <c r="F13967" t="str">
        <f t="shared" si="357"/>
        <v>MS</v>
      </c>
    </row>
    <row r="13968" spans="1:6" x14ac:dyDescent="0.25">
      <c r="A13968" t="str">
        <f>"009074805"</f>
        <v>009074805</v>
      </c>
      <c r="B13968" t="str">
        <f>"1356014880"</f>
        <v>1356014880</v>
      </c>
      <c r="C13968" t="str">
        <f>"363L00000X"</f>
        <v>363L00000X</v>
      </c>
      <c r="D13968" t="str">
        <f>"HENRY                    COURTNEY                 "</f>
        <v xml:space="preserve">HENRY                    COURTNEY                 </v>
      </c>
      <c r="E13968" t="str">
        <f>"BILOXI                    "</f>
        <v xml:space="preserve">BILOXI                    </v>
      </c>
      <c r="F13968" t="str">
        <f t="shared" si="357"/>
        <v>MS</v>
      </c>
    </row>
    <row r="13969" spans="1:6" x14ac:dyDescent="0.25">
      <c r="A13969" t="str">
        <f>"009075224"</f>
        <v>009075224</v>
      </c>
      <c r="B13969" t="str">
        <f>"1699836791"</f>
        <v>1699836791</v>
      </c>
      <c r="C13969" t="str">
        <f>"363A00000X"</f>
        <v>363A00000X</v>
      </c>
      <c r="D13969" t="str">
        <f>"RIVERA                   YURI         O           "</f>
        <v xml:space="preserve">RIVERA                   YURI         O           </v>
      </c>
      <c r="E13969" t="str">
        <f>"PURVIS                    "</f>
        <v xml:space="preserve">PURVIS                    </v>
      </c>
      <c r="F13969" t="str">
        <f t="shared" si="357"/>
        <v>MS</v>
      </c>
    </row>
    <row r="13970" spans="1:6" x14ac:dyDescent="0.25">
      <c r="A13970" t="str">
        <f>"009076344"</f>
        <v>009076344</v>
      </c>
      <c r="B13970" t="str">
        <f>"1063921765"</f>
        <v>1063921765</v>
      </c>
      <c r="C13970" t="str">
        <f>"122300000X"</f>
        <v>122300000X</v>
      </c>
      <c r="D13970" t="str">
        <f>"HARRIS                   JESSICA      C           "</f>
        <v xml:space="preserve">HARRIS                   JESSICA      C           </v>
      </c>
      <c r="E13970" t="str">
        <f>"BILOXI                    "</f>
        <v xml:space="preserve">BILOXI                    </v>
      </c>
      <c r="F13970" t="str">
        <f t="shared" si="357"/>
        <v>MS</v>
      </c>
    </row>
    <row r="13971" spans="1:6" x14ac:dyDescent="0.25">
      <c r="A13971" t="str">
        <f>"009078752"</f>
        <v>009078752</v>
      </c>
      <c r="B13971" t="str">
        <f>"1720524648"</f>
        <v>1720524648</v>
      </c>
      <c r="C13971" t="str">
        <f>"363A00000X"</f>
        <v>363A00000X</v>
      </c>
      <c r="D13971" t="str">
        <f>"JONES                    SAMANTHA     L           "</f>
        <v xml:space="preserve">JONES                    SAMANTHA     L           </v>
      </c>
      <c r="E13971" t="str">
        <f>"HATTIESBURG               "</f>
        <v xml:space="preserve">HATTIESBURG               </v>
      </c>
      <c r="F13971" t="str">
        <f t="shared" si="357"/>
        <v>MS</v>
      </c>
    </row>
    <row r="13972" spans="1:6" x14ac:dyDescent="0.25">
      <c r="A13972" t="str">
        <f>"009079784"</f>
        <v>009079784</v>
      </c>
      <c r="B13972" t="str">
        <f>"1083252753"</f>
        <v>1083252753</v>
      </c>
      <c r="C13972" t="str">
        <f>"363L00000X"</f>
        <v>363L00000X</v>
      </c>
      <c r="D13972" t="str">
        <f>"PHILLIPS                 DANIELLE                 "</f>
        <v xml:space="preserve">PHILLIPS                 DANIELLE                 </v>
      </c>
      <c r="E13972" t="str">
        <f>"FLOWOOD                   "</f>
        <v xml:space="preserve">FLOWOOD                   </v>
      </c>
      <c r="F13972" t="str">
        <f t="shared" si="357"/>
        <v>MS</v>
      </c>
    </row>
    <row r="13973" spans="1:6" x14ac:dyDescent="0.25">
      <c r="A13973" t="str">
        <f>"009080743"</f>
        <v>009080743</v>
      </c>
      <c r="B13973" t="str">
        <f>"1720085517"</f>
        <v>1720085517</v>
      </c>
      <c r="C13973" t="str">
        <f>"207X00000X"</f>
        <v>207X00000X</v>
      </c>
      <c r="D13973" t="str">
        <f>"FRENTZ                   BRYAN                    "</f>
        <v xml:space="preserve">FRENTZ                   BRYAN                    </v>
      </c>
      <c r="E13973" t="str">
        <f>"MCCOMB                    "</f>
        <v xml:space="preserve">MCCOMB                    </v>
      </c>
      <c r="F13973" t="str">
        <f t="shared" si="357"/>
        <v>MS</v>
      </c>
    </row>
    <row r="13974" spans="1:6" x14ac:dyDescent="0.25">
      <c r="A13974" t="str">
        <f>"009081014"</f>
        <v>009081014</v>
      </c>
      <c r="B13974" t="str">
        <f>"1497007009"</f>
        <v>1497007009</v>
      </c>
      <c r="C13974" t="str">
        <f>"363A00000X"</f>
        <v>363A00000X</v>
      </c>
      <c r="D13974" t="str">
        <f>"LOCHREN                  SARAH                    "</f>
        <v xml:space="preserve">LOCHREN                  SARAH                    </v>
      </c>
      <c r="E13974" t="str">
        <f>"PASCAGOULA                "</f>
        <v xml:space="preserve">PASCAGOULA                </v>
      </c>
      <c r="F13974" t="str">
        <f t="shared" si="357"/>
        <v>MS</v>
      </c>
    </row>
    <row r="13975" spans="1:6" x14ac:dyDescent="0.25">
      <c r="A13975" t="str">
        <f>"009083091"</f>
        <v>009083091</v>
      </c>
      <c r="B13975" t="str">
        <f>"1144966375"</f>
        <v>1144966375</v>
      </c>
      <c r="C13975" t="str">
        <f>"363L00000X"</f>
        <v>363L00000X</v>
      </c>
      <c r="D13975" t="str">
        <f>"ZEPPONI                  COURTNEY                 "</f>
        <v xml:space="preserve">ZEPPONI                  COURTNEY                 </v>
      </c>
      <c r="E13975" t="str">
        <f>"GREENVILLE                "</f>
        <v xml:space="preserve">GREENVILLE                </v>
      </c>
      <c r="F13975" t="str">
        <f t="shared" si="357"/>
        <v>MS</v>
      </c>
    </row>
    <row r="13976" spans="1:6" x14ac:dyDescent="0.25">
      <c r="A13976" t="str">
        <f>"009083527"</f>
        <v>009083527</v>
      </c>
      <c r="B13976" t="str">
        <f>"1003984592"</f>
        <v>1003984592</v>
      </c>
      <c r="C13976" t="str">
        <f>"363L00000X"</f>
        <v>363L00000X</v>
      </c>
      <c r="D13976" t="str">
        <f>"ROBINSON                 KRISTY       L           "</f>
        <v xml:space="preserve">ROBINSON                 KRISTY       L           </v>
      </c>
      <c r="E13976" t="str">
        <f>"YAZOO CITY                "</f>
        <v xml:space="preserve">YAZOO CITY                </v>
      </c>
      <c r="F13976" t="str">
        <f t="shared" si="357"/>
        <v>MS</v>
      </c>
    </row>
    <row r="13977" spans="1:6" x14ac:dyDescent="0.25">
      <c r="A13977" t="str">
        <f>"009083707"</f>
        <v>009083707</v>
      </c>
      <c r="B13977" t="str">
        <f>"1467639211"</f>
        <v>1467639211</v>
      </c>
      <c r="C13977" t="str">
        <f>"363L00000X"</f>
        <v>363L00000X</v>
      </c>
      <c r="D13977" t="str">
        <f>"FINCH                    PENNY        L           "</f>
        <v xml:space="preserve">FINCH                    PENNY        L           </v>
      </c>
      <c r="E13977" t="str">
        <f>"HAMILTON                  "</f>
        <v xml:space="preserve">HAMILTON                  </v>
      </c>
      <c r="F13977" t="str">
        <f t="shared" si="357"/>
        <v>MS</v>
      </c>
    </row>
    <row r="13978" spans="1:6" x14ac:dyDescent="0.25">
      <c r="A13978" t="str">
        <f>"009085894"</f>
        <v>009085894</v>
      </c>
      <c r="B13978" t="str">
        <f>"1225163769"</f>
        <v>1225163769</v>
      </c>
      <c r="C13978" t="str">
        <f>"363L00000X"</f>
        <v>363L00000X</v>
      </c>
      <c r="D13978" t="str">
        <f>"RIVERS                   ROBERT       C           "</f>
        <v xml:space="preserve">RIVERS                   ROBERT       C           </v>
      </c>
      <c r="E13978" t="str">
        <f>"LAUREL                    "</f>
        <v xml:space="preserve">LAUREL                    </v>
      </c>
      <c r="F13978" t="str">
        <f t="shared" si="357"/>
        <v>MS</v>
      </c>
    </row>
    <row r="13979" spans="1:6" x14ac:dyDescent="0.25">
      <c r="A13979" t="str">
        <f>"009086019"</f>
        <v>009086019</v>
      </c>
      <c r="B13979" t="str">
        <f>"1578946612"</f>
        <v>1578946612</v>
      </c>
      <c r="C13979" t="str">
        <f>"363A00000X"</f>
        <v>363A00000X</v>
      </c>
      <c r="D13979" t="str">
        <f>"TUCKER ROGERS            KATHERINE    A           "</f>
        <v xml:space="preserve">TUCKER ROGERS            KATHERINE    A           </v>
      </c>
      <c r="E13979" t="str">
        <f>"JACKSON                   "</f>
        <v xml:space="preserve">JACKSON                   </v>
      </c>
      <c r="F13979" t="str">
        <f t="shared" si="357"/>
        <v>MS</v>
      </c>
    </row>
    <row r="13980" spans="1:6" x14ac:dyDescent="0.25">
      <c r="A13980" t="str">
        <f>"009089710"</f>
        <v>009089710</v>
      </c>
      <c r="B13980" t="str">
        <f>"1316991219"</f>
        <v>1316991219</v>
      </c>
      <c r="C13980" t="str">
        <f>"207RS0012X"</f>
        <v>207RS0012X</v>
      </c>
      <c r="D13980" t="str">
        <f>"BOSWELL                  JOHN         C           "</f>
        <v xml:space="preserve">BOSWELL                  JOHN         C           </v>
      </c>
      <c r="E13980" t="str">
        <f>"COLUMBUS                  "</f>
        <v xml:space="preserve">COLUMBUS                  </v>
      </c>
      <c r="F13980" t="str">
        <f t="shared" si="357"/>
        <v>MS</v>
      </c>
    </row>
    <row r="13981" spans="1:6" x14ac:dyDescent="0.25">
      <c r="A13981" t="str">
        <f>"009101778"</f>
        <v>009101778</v>
      </c>
      <c r="B13981" t="str">
        <f>"1497139877"</f>
        <v>1497139877</v>
      </c>
      <c r="C13981" t="str">
        <f>"152W00000X"</f>
        <v>152W00000X</v>
      </c>
      <c r="D13981" t="str">
        <f>"ARMSTRONG                ANNA         P           "</f>
        <v xml:space="preserve">ARMSTRONG                ANNA         P           </v>
      </c>
      <c r="E13981" t="str">
        <f>"HATTIESBURG               "</f>
        <v xml:space="preserve">HATTIESBURG               </v>
      </c>
      <c r="F13981" t="str">
        <f t="shared" si="357"/>
        <v>MS</v>
      </c>
    </row>
    <row r="13982" spans="1:6" x14ac:dyDescent="0.25">
      <c r="A13982" t="str">
        <f>"009102212"</f>
        <v>009102212</v>
      </c>
      <c r="B13982" t="str">
        <f>"1568468908"</f>
        <v>1568468908</v>
      </c>
      <c r="C13982" t="str">
        <f>"2084N0400X"</f>
        <v>2084N0400X</v>
      </c>
      <c r="D13982" t="str">
        <f>"DAUD                     ZAINEB                   "</f>
        <v xml:space="preserve">DAUD                     ZAINEB                   </v>
      </c>
      <c r="E13982" t="str">
        <f>"PHILADELPHIA              "</f>
        <v xml:space="preserve">PHILADELPHIA              </v>
      </c>
      <c r="F13982" t="str">
        <f t="shared" si="357"/>
        <v>MS</v>
      </c>
    </row>
    <row r="13983" spans="1:6" x14ac:dyDescent="0.25">
      <c r="A13983" t="str">
        <f>"009103248"</f>
        <v>009103248</v>
      </c>
      <c r="B13983" t="str">
        <f>"1548506249"</f>
        <v>1548506249</v>
      </c>
      <c r="C13983" t="str">
        <f>"367500000X"</f>
        <v>367500000X</v>
      </c>
      <c r="D13983" t="str">
        <f>"MAY                      ROBERT       W           "</f>
        <v xml:space="preserve">MAY                      ROBERT       W           </v>
      </c>
      <c r="E13983" t="str">
        <f>"JACKSON                   "</f>
        <v xml:space="preserve">JACKSON                   </v>
      </c>
      <c r="F13983" t="str">
        <f t="shared" si="357"/>
        <v>MS</v>
      </c>
    </row>
    <row r="13984" spans="1:6" x14ac:dyDescent="0.25">
      <c r="A13984" t="str">
        <f>"009104701"</f>
        <v>009104701</v>
      </c>
      <c r="B13984" t="str">
        <f>"1952853731"</f>
        <v>1952853731</v>
      </c>
      <c r="C13984" t="str">
        <f>"363L00000X"</f>
        <v>363L00000X</v>
      </c>
      <c r="D13984" t="str">
        <f>"WASHINGTON               BEVERLY      C           "</f>
        <v xml:space="preserve">WASHINGTON               BEVERLY      C           </v>
      </c>
      <c r="E13984" t="str">
        <f>"VICKSBURG                 "</f>
        <v xml:space="preserve">VICKSBURG                 </v>
      </c>
      <c r="F13984" t="str">
        <f t="shared" si="357"/>
        <v>MS</v>
      </c>
    </row>
    <row r="13985" spans="1:6" x14ac:dyDescent="0.25">
      <c r="A13985" t="str">
        <f>"009104772"</f>
        <v>009104772</v>
      </c>
      <c r="B13985" t="str">
        <f>"1497780118"</f>
        <v>1497780118</v>
      </c>
      <c r="C13985" t="str">
        <f>"207V00000X"</f>
        <v>207V00000X</v>
      </c>
      <c r="D13985" t="str">
        <f>"INZER                    ROBERT       W           "</f>
        <v xml:space="preserve">INZER                    ROBERT       W           </v>
      </c>
      <c r="E13985" t="str">
        <f>"JACKSON                   "</f>
        <v xml:space="preserve">JACKSON                   </v>
      </c>
      <c r="F13985" t="str">
        <f t="shared" si="357"/>
        <v>MS</v>
      </c>
    </row>
    <row r="13986" spans="1:6" x14ac:dyDescent="0.25">
      <c r="A13986" t="str">
        <f>"009106832"</f>
        <v>009106832</v>
      </c>
      <c r="B13986" t="str">
        <f>"1558744516"</f>
        <v>1558744516</v>
      </c>
      <c r="C13986" t="str">
        <f>"2080S0012X"</f>
        <v>2080S0012X</v>
      </c>
      <c r="D13986" t="str">
        <f>"NAYAK                    VIGNESH      H           "</f>
        <v xml:space="preserve">NAYAK                    VIGNESH      H           </v>
      </c>
      <c r="E13986" t="str">
        <f>"JACKSON                   "</f>
        <v xml:space="preserve">JACKSON                   </v>
      </c>
      <c r="F13986" t="str">
        <f t="shared" si="357"/>
        <v>MS</v>
      </c>
    </row>
    <row r="13987" spans="1:6" x14ac:dyDescent="0.25">
      <c r="A13987" t="str">
        <f>"009107091"</f>
        <v>009107091</v>
      </c>
      <c r="B13987" t="str">
        <f>"1710113634"</f>
        <v>1710113634</v>
      </c>
      <c r="C13987" t="str">
        <f>"207P00000X"</f>
        <v>207P00000X</v>
      </c>
      <c r="D13987" t="str">
        <f>"MICHEL                   MICHAEL      D           "</f>
        <v xml:space="preserve">MICHEL                   MICHAEL      D           </v>
      </c>
      <c r="E13987" t="str">
        <f>"GULFPORT                  "</f>
        <v xml:space="preserve">GULFPORT                  </v>
      </c>
      <c r="F13987" t="str">
        <f t="shared" si="357"/>
        <v>MS</v>
      </c>
    </row>
    <row r="13988" spans="1:6" x14ac:dyDescent="0.25">
      <c r="A13988" t="str">
        <f>"009107213"</f>
        <v>009107213</v>
      </c>
      <c r="B13988" t="str">
        <f>"1659615557"</f>
        <v>1659615557</v>
      </c>
      <c r="C13988" t="str">
        <f>"363L00000X"</f>
        <v>363L00000X</v>
      </c>
      <c r="D13988" t="str">
        <f>"LARRY                    ZENOTHA                  "</f>
        <v xml:space="preserve">LARRY                    ZENOTHA                  </v>
      </c>
      <c r="E13988" t="str">
        <f>"JACKSON                   "</f>
        <v xml:space="preserve">JACKSON                   </v>
      </c>
      <c r="F13988" t="str">
        <f t="shared" si="357"/>
        <v>MS</v>
      </c>
    </row>
    <row r="13989" spans="1:6" x14ac:dyDescent="0.25">
      <c r="A13989" t="str">
        <f>"009107725"</f>
        <v>009107725</v>
      </c>
      <c r="B13989" t="str">
        <f>"1902210297"</f>
        <v>1902210297</v>
      </c>
      <c r="C13989" t="str">
        <f>"122300000X"</f>
        <v>122300000X</v>
      </c>
      <c r="D13989" t="str">
        <f>"JONES III                JACKIE       F           "</f>
        <v xml:space="preserve">JONES III                JACKIE       F           </v>
      </c>
      <c r="E13989" t="str">
        <f>"FOREST                    "</f>
        <v xml:space="preserve">FOREST                    </v>
      </c>
      <c r="F13989" t="str">
        <f t="shared" si="357"/>
        <v>MS</v>
      </c>
    </row>
    <row r="13990" spans="1:6" x14ac:dyDescent="0.25">
      <c r="A13990" t="str">
        <f>"009107748"</f>
        <v>009107748</v>
      </c>
      <c r="B13990" t="str">
        <f>"1578586350"</f>
        <v>1578586350</v>
      </c>
      <c r="C13990" t="str">
        <f>"363L00000X"</f>
        <v>363L00000X</v>
      </c>
      <c r="D13990" t="str">
        <f>"MEEKS                    JAMES        J           "</f>
        <v xml:space="preserve">MEEKS                    JAMES        J           </v>
      </c>
      <c r="E13990" t="str">
        <f>"OCEAN SPRINGS             "</f>
        <v xml:space="preserve">OCEAN SPRINGS             </v>
      </c>
      <c r="F13990" t="str">
        <f t="shared" si="357"/>
        <v>MS</v>
      </c>
    </row>
    <row r="13991" spans="1:6" x14ac:dyDescent="0.25">
      <c r="A13991" t="str">
        <f>"009120394"</f>
        <v>009120394</v>
      </c>
      <c r="B13991" t="str">
        <f>"1518521145"</f>
        <v>1518521145</v>
      </c>
      <c r="C13991" t="str">
        <f>"363A00000X"</f>
        <v>363A00000X</v>
      </c>
      <c r="D13991" t="str">
        <f>"IBARRA                   GABRIEL      M           "</f>
        <v xml:space="preserve">IBARRA                   GABRIEL      M           </v>
      </c>
      <c r="E13991" t="str">
        <f>"RIDGELAND                 "</f>
        <v xml:space="preserve">RIDGELAND                 </v>
      </c>
      <c r="F13991" t="str">
        <f t="shared" si="357"/>
        <v>MS</v>
      </c>
    </row>
    <row r="13992" spans="1:6" x14ac:dyDescent="0.25">
      <c r="A13992" t="str">
        <f>"009121006"</f>
        <v>009121006</v>
      </c>
      <c r="B13992" t="str">
        <f>"1629234463"</f>
        <v>1629234463</v>
      </c>
      <c r="C13992" t="str">
        <f>"207R00000X"</f>
        <v>207R00000X</v>
      </c>
      <c r="D13992" t="str">
        <f>"MARATH                   BIJU                     "</f>
        <v xml:space="preserve">MARATH                   BIJU                     </v>
      </c>
      <c r="E13992" t="str">
        <f>"GULFPORT                  "</f>
        <v xml:space="preserve">GULFPORT                  </v>
      </c>
      <c r="F13992" t="str">
        <f t="shared" si="357"/>
        <v>MS</v>
      </c>
    </row>
    <row r="13993" spans="1:6" x14ac:dyDescent="0.25">
      <c r="A13993" t="str">
        <f>"009121027"</f>
        <v>009121027</v>
      </c>
      <c r="B13993" t="str">
        <f>"1003091414"</f>
        <v>1003091414</v>
      </c>
      <c r="C13993" t="str">
        <f>"207T00000X"</f>
        <v>207T00000X</v>
      </c>
      <c r="D13993" t="str">
        <f>"HOU                      JOAN                     "</f>
        <v xml:space="preserve">HOU                      JOAN                     </v>
      </c>
      <c r="E13993" t="str">
        <f>"JACKSON                   "</f>
        <v xml:space="preserve">JACKSON                   </v>
      </c>
      <c r="F13993" t="str">
        <f t="shared" si="357"/>
        <v>MS</v>
      </c>
    </row>
    <row r="13994" spans="1:6" x14ac:dyDescent="0.25">
      <c r="A13994" t="str">
        <f>"009123077"</f>
        <v>009123077</v>
      </c>
      <c r="B13994" t="str">
        <f>"1497960264"</f>
        <v>1497960264</v>
      </c>
      <c r="C13994" t="str">
        <f>"207L00000X"</f>
        <v>207L00000X</v>
      </c>
      <c r="D13994" t="str">
        <f>"PAINTER                  CHRISTOPHER  M           "</f>
        <v xml:space="preserve">PAINTER                  CHRISTOPHER  M           </v>
      </c>
      <c r="E13994" t="str">
        <f>"HATTIESBURG               "</f>
        <v xml:space="preserve">HATTIESBURG               </v>
      </c>
      <c r="F13994" t="str">
        <f t="shared" si="357"/>
        <v>MS</v>
      </c>
    </row>
    <row r="13995" spans="1:6" x14ac:dyDescent="0.25">
      <c r="A13995" t="str">
        <f>"009123759"</f>
        <v>009123759</v>
      </c>
      <c r="B13995" t="str">
        <f>"1073798781"</f>
        <v>1073798781</v>
      </c>
      <c r="C13995" t="str">
        <f>"207Y00000X"</f>
        <v>207Y00000X</v>
      </c>
      <c r="D13995" t="str">
        <f>"CUNNINGHAM               JEFFREY      J           "</f>
        <v xml:space="preserve">CUNNINGHAM               JEFFREY      J           </v>
      </c>
      <c r="E13995" t="str">
        <f>"SOUTHAVEN                 "</f>
        <v xml:space="preserve">SOUTHAVEN                 </v>
      </c>
      <c r="F13995" t="str">
        <f t="shared" si="357"/>
        <v>MS</v>
      </c>
    </row>
    <row r="13996" spans="1:6" x14ac:dyDescent="0.25">
      <c r="A13996" t="str">
        <f>"009124271"</f>
        <v>009124271</v>
      </c>
      <c r="B13996" t="str">
        <f>"1093797623"</f>
        <v>1093797623</v>
      </c>
      <c r="C13996" t="str">
        <f>"208000000X"</f>
        <v>208000000X</v>
      </c>
      <c r="D13996" t="str">
        <f>"ROSS                     LARA         L           "</f>
        <v xml:space="preserve">ROSS                     LARA         L           </v>
      </c>
      <c r="E13996" t="str">
        <f>"MERIDIAN                  "</f>
        <v xml:space="preserve">MERIDIAN                  </v>
      </c>
      <c r="F13996" t="str">
        <f t="shared" si="357"/>
        <v>MS</v>
      </c>
    </row>
    <row r="13997" spans="1:6" x14ac:dyDescent="0.25">
      <c r="A13997" t="str">
        <f>"009125336"</f>
        <v>009125336</v>
      </c>
      <c r="B13997" t="str">
        <f>"1528220233"</f>
        <v>1528220233</v>
      </c>
      <c r="C13997" t="str">
        <f>"1223S0112X"</f>
        <v>1223S0112X</v>
      </c>
      <c r="D13997" t="str">
        <f>"BISHOP                   CURTIS       M           "</f>
        <v xml:space="preserve">BISHOP                   CURTIS       M           </v>
      </c>
      <c r="E13997" t="str">
        <f>"HATTIESBURG               "</f>
        <v xml:space="preserve">HATTIESBURG               </v>
      </c>
      <c r="F13997" t="str">
        <f t="shared" si="357"/>
        <v>MS</v>
      </c>
    </row>
    <row r="13998" spans="1:6" x14ac:dyDescent="0.25">
      <c r="A13998" t="str">
        <f>"009126379"</f>
        <v>009126379</v>
      </c>
      <c r="B13998" t="str">
        <f>"1457754855"</f>
        <v>1457754855</v>
      </c>
      <c r="C13998" t="str">
        <f>"363L00000X"</f>
        <v>363L00000X</v>
      </c>
      <c r="D13998" t="str">
        <f>"PATTIE                   JENNIFER     M           "</f>
        <v xml:space="preserve">PATTIE                   JENNIFER     M           </v>
      </c>
      <c r="E13998" t="str">
        <f>"HATTIESBURG               "</f>
        <v xml:space="preserve">HATTIESBURG               </v>
      </c>
      <c r="F13998" t="str">
        <f t="shared" si="357"/>
        <v>MS</v>
      </c>
    </row>
    <row r="13999" spans="1:6" x14ac:dyDescent="0.25">
      <c r="A13999" t="str">
        <f>"009128041"</f>
        <v>009128041</v>
      </c>
      <c r="B13999" t="str">
        <f>"1376752832"</f>
        <v>1376752832</v>
      </c>
      <c r="C13999" t="str">
        <f>"363L00000X"</f>
        <v>363L00000X</v>
      </c>
      <c r="D13999" t="str">
        <f>"EARNEST                  DALLAS       M           "</f>
        <v xml:space="preserve">EARNEST                  DALLAS       M           </v>
      </c>
      <c r="E13999" t="str">
        <f>"CLARKSDALE                "</f>
        <v xml:space="preserve">CLARKSDALE                </v>
      </c>
      <c r="F13999" t="str">
        <f t="shared" si="357"/>
        <v>MS</v>
      </c>
    </row>
    <row r="14000" spans="1:6" x14ac:dyDescent="0.25">
      <c r="A14000" t="str">
        <f>"009128215"</f>
        <v>009128215</v>
      </c>
      <c r="B14000" t="str">
        <f>"1225267305"</f>
        <v>1225267305</v>
      </c>
      <c r="C14000" t="str">
        <f>"207R00000X"</f>
        <v>207R00000X</v>
      </c>
      <c r="D14000" t="str">
        <f>"OYEDEPO                  BABADELE                 "</f>
        <v xml:space="preserve">OYEDEPO                  BABADELE                 </v>
      </c>
      <c r="E14000" t="str">
        <f>"TUPELO                    "</f>
        <v xml:space="preserve">TUPELO                    </v>
      </c>
      <c r="F14000" t="str">
        <f t="shared" si="357"/>
        <v>MS</v>
      </c>
    </row>
    <row r="14001" spans="1:6" x14ac:dyDescent="0.25">
      <c r="A14001" t="str">
        <f>"009129044"</f>
        <v>009129044</v>
      </c>
      <c r="B14001" t="str">
        <f>"1114126042"</f>
        <v>1114126042</v>
      </c>
      <c r="C14001" t="str">
        <f>"208600000X"</f>
        <v>208600000X</v>
      </c>
      <c r="D14001" t="str">
        <f>"FAYARD                   NICHOLAS     J           "</f>
        <v xml:space="preserve">FAYARD                   NICHOLAS     J           </v>
      </c>
      <c r="E14001" t="str">
        <f>"PASCAGOULA                "</f>
        <v xml:space="preserve">PASCAGOULA                </v>
      </c>
      <c r="F14001" t="str">
        <f t="shared" si="357"/>
        <v>MS</v>
      </c>
    </row>
    <row r="14002" spans="1:6" x14ac:dyDescent="0.25">
      <c r="A14002" t="str">
        <f>"009130253"</f>
        <v>009130253</v>
      </c>
      <c r="B14002" t="str">
        <f>"1265077200"</f>
        <v>1265077200</v>
      </c>
      <c r="C14002" t="str">
        <f>"363L00000X"</f>
        <v>363L00000X</v>
      </c>
      <c r="D14002" t="str">
        <f>"HARRIS                   BRITTANY                 "</f>
        <v xml:space="preserve">HARRIS                   BRITTANY                 </v>
      </c>
      <c r="E14002" t="str">
        <f>"JACKSON                   "</f>
        <v xml:space="preserve">JACKSON                   </v>
      </c>
      <c r="F14002" t="str">
        <f t="shared" si="357"/>
        <v>MS</v>
      </c>
    </row>
    <row r="14003" spans="1:6" x14ac:dyDescent="0.25">
      <c r="A14003" t="str">
        <f>"009131382"</f>
        <v>009131382</v>
      </c>
      <c r="B14003" t="str">
        <f>"1982004859"</f>
        <v>1982004859</v>
      </c>
      <c r="C14003" t="str">
        <f>"207Q00000X"</f>
        <v>207Q00000X</v>
      </c>
      <c r="D14003" t="str">
        <f>"BRADSHAW                 JAMES        C           "</f>
        <v xml:space="preserve">BRADSHAW                 JAMES        C           </v>
      </c>
      <c r="E14003" t="str">
        <f>"MERIDIAN                  "</f>
        <v xml:space="preserve">MERIDIAN                  </v>
      </c>
      <c r="F14003" t="str">
        <f t="shared" si="357"/>
        <v>MS</v>
      </c>
    </row>
    <row r="14004" spans="1:6" x14ac:dyDescent="0.25">
      <c r="A14004" t="str">
        <f>"009132367"</f>
        <v>009132367</v>
      </c>
      <c r="B14004" t="str">
        <f>"1245466168"</f>
        <v>1245466168</v>
      </c>
      <c r="C14004" t="str">
        <f>"367500000X"</f>
        <v>367500000X</v>
      </c>
      <c r="D14004" t="str">
        <f>"WARDLAW                  RUSSELL      G           "</f>
        <v xml:space="preserve">WARDLAW                  RUSSELL      G           </v>
      </c>
      <c r="E14004" t="str">
        <f>"FLOWOOD                   "</f>
        <v xml:space="preserve">FLOWOOD                   </v>
      </c>
      <c r="F14004" t="str">
        <f t="shared" si="357"/>
        <v>MS</v>
      </c>
    </row>
    <row r="14005" spans="1:6" x14ac:dyDescent="0.25">
      <c r="A14005" t="str">
        <f>"009132725"</f>
        <v>009132725</v>
      </c>
      <c r="B14005" t="str">
        <f>"1043541337"</f>
        <v>1043541337</v>
      </c>
      <c r="C14005" t="str">
        <f>"363L00000X"</f>
        <v>363L00000X</v>
      </c>
      <c r="D14005" t="str">
        <f>"SCHUETZ-SMITH            CYNTHIA      M           "</f>
        <v xml:space="preserve">SCHUETZ-SMITH            CYNTHIA      M           </v>
      </c>
      <c r="E14005" t="str">
        <f>"MERIDIAN                  "</f>
        <v xml:space="preserve">MERIDIAN                  </v>
      </c>
      <c r="F14005" t="str">
        <f t="shared" si="357"/>
        <v>MS</v>
      </c>
    </row>
    <row r="14006" spans="1:6" x14ac:dyDescent="0.25">
      <c r="A14006" t="str">
        <f>"009133813"</f>
        <v>009133813</v>
      </c>
      <c r="B14006" t="str">
        <f>"1477633774"</f>
        <v>1477633774</v>
      </c>
      <c r="C14006" t="str">
        <f>"363L00000X"</f>
        <v>363L00000X</v>
      </c>
      <c r="D14006" t="str">
        <f>"STARNES                  ELIZABETH    L           "</f>
        <v xml:space="preserve">STARNES                  ELIZABETH    L           </v>
      </c>
      <c r="E14006" t="str">
        <f>"JACKSON                   "</f>
        <v xml:space="preserve">JACKSON                   </v>
      </c>
      <c r="F14006" t="str">
        <f t="shared" si="357"/>
        <v>MS</v>
      </c>
    </row>
    <row r="14007" spans="1:6" x14ac:dyDescent="0.25">
      <c r="A14007" t="str">
        <f>"009135067"</f>
        <v>009135067</v>
      </c>
      <c r="B14007" t="str">
        <f>"1316400633"</f>
        <v>1316400633</v>
      </c>
      <c r="C14007" t="str">
        <f>"2084P0800X"</f>
        <v>2084P0800X</v>
      </c>
      <c r="D14007" t="str">
        <f>"TRULL                    JOSHUA       A           "</f>
        <v xml:space="preserve">TRULL                    JOSHUA       A           </v>
      </c>
      <c r="E14007" t="str">
        <f>"JACKSON                   "</f>
        <v xml:space="preserve">JACKSON                   </v>
      </c>
      <c r="F14007" t="str">
        <f t="shared" si="357"/>
        <v>MS</v>
      </c>
    </row>
    <row r="14008" spans="1:6" x14ac:dyDescent="0.25">
      <c r="A14008" t="str">
        <f>"009136238"</f>
        <v>009136238</v>
      </c>
      <c r="B14008" t="str">
        <f>"1245738244"</f>
        <v>1245738244</v>
      </c>
      <c r="C14008" t="str">
        <f>"363L00000X"</f>
        <v>363L00000X</v>
      </c>
      <c r="D14008" t="str">
        <f>"MARTIN                   JASON        L           "</f>
        <v xml:space="preserve">MARTIN                   JASON        L           </v>
      </c>
      <c r="E14008" t="str">
        <f>"CORINTH                   "</f>
        <v xml:space="preserve">CORINTH                   </v>
      </c>
      <c r="F14008" t="str">
        <f t="shared" si="357"/>
        <v>MS</v>
      </c>
    </row>
    <row r="14009" spans="1:6" x14ac:dyDescent="0.25">
      <c r="A14009" t="str">
        <f>"009136250"</f>
        <v>009136250</v>
      </c>
      <c r="B14009" t="str">
        <f>"1770173049"</f>
        <v>1770173049</v>
      </c>
      <c r="C14009" t="str">
        <f>"363L00000X"</f>
        <v>363L00000X</v>
      </c>
      <c r="D14009" t="str">
        <f>"BLUNT                    LACONA                   "</f>
        <v xml:space="preserve">BLUNT                    LACONA                   </v>
      </c>
      <c r="E14009" t="str">
        <f>"CORINTH                   "</f>
        <v xml:space="preserve">CORINTH                   </v>
      </c>
      <c r="F14009" t="str">
        <f t="shared" si="357"/>
        <v>MS</v>
      </c>
    </row>
    <row r="14010" spans="1:6" x14ac:dyDescent="0.25">
      <c r="A14010" t="str">
        <f>"009136271"</f>
        <v>009136271</v>
      </c>
      <c r="B14010" t="str">
        <f>"1184675571"</f>
        <v>1184675571</v>
      </c>
      <c r="C14010" t="str">
        <f>"367500000X"</f>
        <v>367500000X</v>
      </c>
      <c r="D14010" t="str">
        <f>"WARD                     BLAKELY      F           "</f>
        <v xml:space="preserve">WARD                     BLAKELY      F           </v>
      </c>
      <c r="E14010" t="str">
        <f>"BROOKHAVEN                "</f>
        <v xml:space="preserve">BROOKHAVEN                </v>
      </c>
      <c r="F14010" t="str">
        <f t="shared" si="357"/>
        <v>MS</v>
      </c>
    </row>
    <row r="14011" spans="1:6" x14ac:dyDescent="0.25">
      <c r="A14011" t="str">
        <f>"009136723"</f>
        <v>009136723</v>
      </c>
      <c r="B14011" t="str">
        <f>"1013107762"</f>
        <v>1013107762</v>
      </c>
      <c r="C14011" t="str">
        <f>"2085R0202X"</f>
        <v>2085R0202X</v>
      </c>
      <c r="D14011" t="str">
        <f>"REED                     CHRISTOPHOR  D           "</f>
        <v xml:space="preserve">REED                     CHRISTOPHOR  D           </v>
      </c>
      <c r="E14011" t="str">
        <f>"JACKSON                   "</f>
        <v xml:space="preserve">JACKSON                   </v>
      </c>
      <c r="F14011" t="str">
        <f t="shared" si="357"/>
        <v>MS</v>
      </c>
    </row>
    <row r="14012" spans="1:6" x14ac:dyDescent="0.25">
      <c r="A14012" t="str">
        <f>"009136733"</f>
        <v>009136733</v>
      </c>
      <c r="B14012" t="str">
        <f>"1104198266"</f>
        <v>1104198266</v>
      </c>
      <c r="C14012" t="str">
        <f>"363L00000X"</f>
        <v>363L00000X</v>
      </c>
      <c r="D14012" t="str">
        <f>"ALEXANDER                AMIE         L           "</f>
        <v xml:space="preserve">ALEXANDER                AMIE         L           </v>
      </c>
      <c r="E14012" t="str">
        <f>"GULFPORT                  "</f>
        <v xml:space="preserve">GULFPORT                  </v>
      </c>
      <c r="F14012" t="str">
        <f t="shared" si="357"/>
        <v>MS</v>
      </c>
    </row>
    <row r="14013" spans="1:6" x14ac:dyDescent="0.25">
      <c r="A14013" t="str">
        <f>"009136899"</f>
        <v>009136899</v>
      </c>
      <c r="B14013" t="str">
        <f>"1225296072"</f>
        <v>1225296072</v>
      </c>
      <c r="C14013" t="str">
        <f>"261QE0700X"</f>
        <v>261QE0700X</v>
      </c>
      <c r="D14013" t="str">
        <f>"RCG WINONA                                        "</f>
        <v xml:space="preserve">RCG WINONA                                        </v>
      </c>
      <c r="E14013" t="str">
        <f>"WINONA                    "</f>
        <v xml:space="preserve">WINONA                    </v>
      </c>
      <c r="F14013" t="str">
        <f t="shared" si="357"/>
        <v>MS</v>
      </c>
    </row>
    <row r="14014" spans="1:6" x14ac:dyDescent="0.25">
      <c r="A14014" t="str">
        <f>"009139066"</f>
        <v>009139066</v>
      </c>
      <c r="B14014" t="str">
        <f>"1902917206"</f>
        <v>1902917206</v>
      </c>
      <c r="C14014" t="str">
        <f>"208000000X"</f>
        <v>208000000X</v>
      </c>
      <c r="D14014" t="str">
        <f>"MYERS                    JENNIFER     K           "</f>
        <v xml:space="preserve">MYERS                    JENNIFER     K           </v>
      </c>
      <c r="E14014" t="str">
        <f>"CLINTON                   "</f>
        <v xml:space="preserve">CLINTON                   </v>
      </c>
      <c r="F14014" t="str">
        <f t="shared" ref="F14014:F14077" si="358">"MS"</f>
        <v>MS</v>
      </c>
    </row>
    <row r="14015" spans="1:6" x14ac:dyDescent="0.25">
      <c r="A14015" t="str">
        <f>"009139099"</f>
        <v>009139099</v>
      </c>
      <c r="B14015" t="str">
        <f>"1619187697"</f>
        <v>1619187697</v>
      </c>
      <c r="C14015" t="str">
        <f>"207T00000X"</f>
        <v>207T00000X</v>
      </c>
      <c r="D14015" t="str">
        <f>"CARDENAS                 RAUL         J           "</f>
        <v xml:space="preserve">CARDENAS                 RAUL         J           </v>
      </c>
      <c r="E14015" t="str">
        <f>"SOUTHAVEN                 "</f>
        <v xml:space="preserve">SOUTHAVEN                 </v>
      </c>
      <c r="F14015" t="str">
        <f t="shared" si="358"/>
        <v>MS</v>
      </c>
    </row>
    <row r="14016" spans="1:6" x14ac:dyDescent="0.25">
      <c r="A14016" t="str">
        <f>"009139814"</f>
        <v>009139814</v>
      </c>
      <c r="B14016" t="str">
        <f>"1104236504"</f>
        <v>1104236504</v>
      </c>
      <c r="C14016" t="str">
        <f>"207R00000X"</f>
        <v>207R00000X</v>
      </c>
      <c r="D14016" t="str">
        <f>"HANCOCK                  MICHAEL      P           "</f>
        <v xml:space="preserve">HANCOCK                  MICHAEL      P           </v>
      </c>
      <c r="E14016" t="str">
        <f>"BOONEVILLE                "</f>
        <v xml:space="preserve">BOONEVILLE                </v>
      </c>
      <c r="F14016" t="str">
        <f t="shared" si="358"/>
        <v>MS</v>
      </c>
    </row>
    <row r="14017" spans="1:6" x14ac:dyDescent="0.25">
      <c r="A14017" t="str">
        <f>"009150891"</f>
        <v>009150891</v>
      </c>
      <c r="B14017" t="str">
        <f>"1932157500"</f>
        <v>1932157500</v>
      </c>
      <c r="C14017" t="str">
        <f>"204E00000X"</f>
        <v>204E00000X</v>
      </c>
      <c r="D14017" t="str">
        <f>"CALOSS JR                RON                      "</f>
        <v xml:space="preserve">CALOSS JR                RON                      </v>
      </c>
      <c r="E14017" t="str">
        <f>"JACKSON                   "</f>
        <v xml:space="preserve">JACKSON                   </v>
      </c>
      <c r="F14017" t="str">
        <f t="shared" si="358"/>
        <v>MS</v>
      </c>
    </row>
    <row r="14018" spans="1:6" x14ac:dyDescent="0.25">
      <c r="A14018" t="str">
        <f>"009151072"</f>
        <v>009151072</v>
      </c>
      <c r="B14018" t="str">
        <f>"1780779579"</f>
        <v>1780779579</v>
      </c>
      <c r="C14018" t="str">
        <f>"208000000X"</f>
        <v>208000000X</v>
      </c>
      <c r="D14018" t="str">
        <f>"RODRIGUEZ                JOSE         A           "</f>
        <v xml:space="preserve">RODRIGUEZ                JOSE         A           </v>
      </c>
      <c r="E14018" t="str">
        <f>"COLUMBUS                  "</f>
        <v xml:space="preserve">COLUMBUS                  </v>
      </c>
      <c r="F14018" t="str">
        <f t="shared" si="358"/>
        <v>MS</v>
      </c>
    </row>
    <row r="14019" spans="1:6" x14ac:dyDescent="0.25">
      <c r="A14019" t="str">
        <f>"009152012"</f>
        <v>009152012</v>
      </c>
      <c r="B14019" t="str">
        <f>"1497252928"</f>
        <v>1497252928</v>
      </c>
      <c r="C14019" t="str">
        <f>"207V00000X"</f>
        <v>207V00000X</v>
      </c>
      <c r="D14019" t="str">
        <f>"PHILLIPS                 ALEXA        L           "</f>
        <v xml:space="preserve">PHILLIPS                 ALEXA        L           </v>
      </c>
      <c r="E14019" t="str">
        <f>"FLOWOOD                   "</f>
        <v xml:space="preserve">FLOWOOD                   </v>
      </c>
      <c r="F14019" t="str">
        <f t="shared" si="358"/>
        <v>MS</v>
      </c>
    </row>
    <row r="14020" spans="1:6" x14ac:dyDescent="0.25">
      <c r="A14020" t="str">
        <f>"009152354"</f>
        <v>009152354</v>
      </c>
      <c r="B14020" t="str">
        <f>"1578931655"</f>
        <v>1578931655</v>
      </c>
      <c r="C14020" t="str">
        <f>"363L00000X"</f>
        <v>363L00000X</v>
      </c>
      <c r="D14020" t="str">
        <f>"CLARK                    BRITTANY                 "</f>
        <v xml:space="preserve">CLARK                    BRITTANY                 </v>
      </c>
      <c r="E14020" t="str">
        <f>"NEW ALBANY                "</f>
        <v xml:space="preserve">NEW ALBANY                </v>
      </c>
      <c r="F14020" t="str">
        <f t="shared" si="358"/>
        <v>MS</v>
      </c>
    </row>
    <row r="14021" spans="1:6" x14ac:dyDescent="0.25">
      <c r="A14021" t="str">
        <f>"009153006"</f>
        <v>009153006</v>
      </c>
      <c r="B14021" t="str">
        <f>"1952698607"</f>
        <v>1952698607</v>
      </c>
      <c r="C14021" t="str">
        <f>"207X00000X"</f>
        <v>207X00000X</v>
      </c>
      <c r="D14021" t="str">
        <f>"HENDRIX                  STEVEN       T           "</f>
        <v xml:space="preserve">HENDRIX                  STEVEN       T           </v>
      </c>
      <c r="E14021" t="str">
        <f>"FLOWOOD                   "</f>
        <v xml:space="preserve">FLOWOOD                   </v>
      </c>
      <c r="F14021" t="str">
        <f t="shared" si="358"/>
        <v>MS</v>
      </c>
    </row>
    <row r="14022" spans="1:6" x14ac:dyDescent="0.25">
      <c r="A14022" t="str">
        <f>"009154571"</f>
        <v>009154571</v>
      </c>
      <c r="B14022" t="str">
        <f>"1972981041"</f>
        <v>1972981041</v>
      </c>
      <c r="C14022" t="str">
        <f>"2080P0203X"</f>
        <v>2080P0203X</v>
      </c>
      <c r="D14022" t="str">
        <f>"HARPER                   KIMBERLEY                "</f>
        <v xml:space="preserve">HARPER                   KIMBERLEY                </v>
      </c>
      <c r="E14022" t="str">
        <f>"JACKSON                   "</f>
        <v xml:space="preserve">JACKSON                   </v>
      </c>
      <c r="F14022" t="str">
        <f t="shared" si="358"/>
        <v>MS</v>
      </c>
    </row>
    <row r="14023" spans="1:6" x14ac:dyDescent="0.25">
      <c r="A14023" t="str">
        <f>"009154848"</f>
        <v>009154848</v>
      </c>
      <c r="B14023" t="str">
        <f>"1912362385"</f>
        <v>1912362385</v>
      </c>
      <c r="C14023" t="str">
        <f>"367500000X"</f>
        <v>367500000X</v>
      </c>
      <c r="D14023" t="str">
        <f>"DICKERSON                SPENCER      W           "</f>
        <v xml:space="preserve">DICKERSON                SPENCER      W           </v>
      </c>
      <c r="E14023" t="str">
        <f>"MERIDIAN                  "</f>
        <v xml:space="preserve">MERIDIAN                  </v>
      </c>
      <c r="F14023" t="str">
        <f t="shared" si="358"/>
        <v>MS</v>
      </c>
    </row>
    <row r="14024" spans="1:6" x14ac:dyDescent="0.25">
      <c r="A14024" t="str">
        <f>"009155274"</f>
        <v>009155274</v>
      </c>
      <c r="B14024" t="str">
        <f>"1518003342"</f>
        <v>1518003342</v>
      </c>
      <c r="C14024" t="str">
        <f>"207R00000X"</f>
        <v>207R00000X</v>
      </c>
      <c r="D14024" t="str">
        <f>"CRAWFORD                 VIRGINIA     M           "</f>
        <v xml:space="preserve">CRAWFORD                 VIRGINIA     M           </v>
      </c>
      <c r="E14024" t="str">
        <f>"HATTIESBURG               "</f>
        <v xml:space="preserve">HATTIESBURG               </v>
      </c>
      <c r="F14024" t="str">
        <f t="shared" si="358"/>
        <v>MS</v>
      </c>
    </row>
    <row r="14025" spans="1:6" x14ac:dyDescent="0.25">
      <c r="A14025" t="str">
        <f>"009157010"</f>
        <v>009157010</v>
      </c>
      <c r="B14025" t="str">
        <f>"1013357433"</f>
        <v>1013357433</v>
      </c>
      <c r="C14025" t="str">
        <f>"208000000X"</f>
        <v>208000000X</v>
      </c>
      <c r="D14025" t="str">
        <f>"DILLON                   MEGAN        M           "</f>
        <v xml:space="preserve">DILLON                   MEGAN        M           </v>
      </c>
      <c r="E14025" t="str">
        <f>"HATTIESBURG               "</f>
        <v xml:space="preserve">HATTIESBURG               </v>
      </c>
      <c r="F14025" t="str">
        <f t="shared" si="358"/>
        <v>MS</v>
      </c>
    </row>
    <row r="14026" spans="1:6" x14ac:dyDescent="0.25">
      <c r="A14026" t="str">
        <f>"009157033"</f>
        <v>009157033</v>
      </c>
      <c r="B14026" t="str">
        <f>"1154981470"</f>
        <v>1154981470</v>
      </c>
      <c r="C14026" t="str">
        <f>"363L00000X"</f>
        <v>363L00000X</v>
      </c>
      <c r="D14026" t="str">
        <f>"HUBBARD                  MEGAN                    "</f>
        <v xml:space="preserve">HUBBARD                  MEGAN                    </v>
      </c>
      <c r="E14026" t="str">
        <f>"ACKERMAN                  "</f>
        <v xml:space="preserve">ACKERMAN                  </v>
      </c>
      <c r="F14026" t="str">
        <f t="shared" si="358"/>
        <v>MS</v>
      </c>
    </row>
    <row r="14027" spans="1:6" x14ac:dyDescent="0.25">
      <c r="A14027" t="str">
        <f>"009157861"</f>
        <v>009157861</v>
      </c>
      <c r="B14027" t="str">
        <f>"1265982417"</f>
        <v>1265982417</v>
      </c>
      <c r="C14027" t="str">
        <f>"363L00000X"</f>
        <v>363L00000X</v>
      </c>
      <c r="D14027" t="str">
        <f>"KNOWLES                  KELVIN       K           "</f>
        <v xml:space="preserve">KNOWLES                  KELVIN       K           </v>
      </c>
      <c r="E14027" t="str">
        <f>"ACKERMAN                  "</f>
        <v xml:space="preserve">ACKERMAN                  </v>
      </c>
      <c r="F14027" t="str">
        <f t="shared" si="358"/>
        <v>MS</v>
      </c>
    </row>
    <row r="14028" spans="1:6" x14ac:dyDescent="0.25">
      <c r="A14028" t="str">
        <f>"009158031"</f>
        <v>009158031</v>
      </c>
      <c r="B14028" t="str">
        <f>"1801099130"</f>
        <v>1801099130</v>
      </c>
      <c r="C14028" t="str">
        <f>"2085R0202X"</f>
        <v>2085R0202X</v>
      </c>
      <c r="D14028" t="str">
        <f>"WEEKS                    JAMES        K           "</f>
        <v xml:space="preserve">WEEKS                    JAMES        K           </v>
      </c>
      <c r="E14028" t="str">
        <f>"SOUTHAVEN                 "</f>
        <v xml:space="preserve">SOUTHAVEN                 </v>
      </c>
      <c r="F14028" t="str">
        <f t="shared" si="358"/>
        <v>MS</v>
      </c>
    </row>
    <row r="14029" spans="1:6" x14ac:dyDescent="0.25">
      <c r="A14029" t="str">
        <f>"009171544"</f>
        <v>009171544</v>
      </c>
      <c r="B14029" t="str">
        <f>"1316314396"</f>
        <v>1316314396</v>
      </c>
      <c r="C14029" t="str">
        <f>"261QF0400X"</f>
        <v>261QF0400X</v>
      </c>
      <c r="D14029" t="str">
        <f>"DELTA HEALTH CENTER INC                           "</f>
        <v xml:space="preserve">DELTA HEALTH CENTER INC                           </v>
      </c>
      <c r="E14029" t="str">
        <f>"HOLLANDALE                "</f>
        <v xml:space="preserve">HOLLANDALE                </v>
      </c>
      <c r="F14029" t="str">
        <f t="shared" si="358"/>
        <v>MS</v>
      </c>
    </row>
    <row r="14030" spans="1:6" x14ac:dyDescent="0.25">
      <c r="A14030" t="str">
        <f>"009172334"</f>
        <v>009172334</v>
      </c>
      <c r="B14030" t="str">
        <f>"1083804322"</f>
        <v>1083804322</v>
      </c>
      <c r="C14030" t="str">
        <f>"152W00000X"</f>
        <v>152W00000X</v>
      </c>
      <c r="D14030" t="str">
        <f>"YEATES                   KIMBERLY     A           "</f>
        <v xml:space="preserve">YEATES                   KIMBERLY     A           </v>
      </c>
      <c r="E14030" t="str">
        <f>"COLUMBUS                  "</f>
        <v xml:space="preserve">COLUMBUS                  </v>
      </c>
      <c r="F14030" t="str">
        <f t="shared" si="358"/>
        <v>MS</v>
      </c>
    </row>
    <row r="14031" spans="1:6" x14ac:dyDescent="0.25">
      <c r="A14031" t="str">
        <f>"009173501"</f>
        <v>009173501</v>
      </c>
      <c r="B14031" t="str">
        <f>"1619407558"</f>
        <v>1619407558</v>
      </c>
      <c r="C14031" t="str">
        <f>"363L00000X"</f>
        <v>363L00000X</v>
      </c>
      <c r="D14031" t="str">
        <f>"BURKE                    LINDSAY                  "</f>
        <v xml:space="preserve">BURKE                    LINDSAY                  </v>
      </c>
      <c r="E14031" t="str">
        <f>"INDIANOLA                 "</f>
        <v xml:space="preserve">INDIANOLA                 </v>
      </c>
      <c r="F14031" t="str">
        <f t="shared" si="358"/>
        <v>MS</v>
      </c>
    </row>
    <row r="14032" spans="1:6" x14ac:dyDescent="0.25">
      <c r="A14032" t="str">
        <f>"009173729"</f>
        <v>009173729</v>
      </c>
      <c r="B14032" t="str">
        <f>"1427160654"</f>
        <v>1427160654</v>
      </c>
      <c r="C14032" t="str">
        <f>"122300000X"</f>
        <v>122300000X</v>
      </c>
      <c r="D14032" t="str">
        <f>"BISHOP                   KEITH        D           "</f>
        <v xml:space="preserve">BISHOP                   KEITH        D           </v>
      </c>
      <c r="E14032" t="str">
        <f>"ACKERMAN                  "</f>
        <v xml:space="preserve">ACKERMAN                  </v>
      </c>
      <c r="F14032" t="str">
        <f t="shared" si="358"/>
        <v>MS</v>
      </c>
    </row>
    <row r="14033" spans="1:6" x14ac:dyDescent="0.25">
      <c r="A14033" t="str">
        <f>"009173764"</f>
        <v>009173764</v>
      </c>
      <c r="B14033" t="str">
        <f>"1194225581"</f>
        <v>1194225581</v>
      </c>
      <c r="C14033" t="str">
        <f>"363L00000X"</f>
        <v>363L00000X</v>
      </c>
      <c r="D14033" t="str">
        <f>"KITCHENS                 JEFFREY                  "</f>
        <v xml:space="preserve">KITCHENS                 JEFFREY                  </v>
      </c>
      <c r="E14033" t="str">
        <f>"VICKSBURG                 "</f>
        <v xml:space="preserve">VICKSBURG                 </v>
      </c>
      <c r="F14033" t="str">
        <f t="shared" si="358"/>
        <v>MS</v>
      </c>
    </row>
    <row r="14034" spans="1:6" x14ac:dyDescent="0.25">
      <c r="A14034" t="str">
        <f>"009174000"</f>
        <v>009174000</v>
      </c>
      <c r="B14034" t="str">
        <f>"1730229816"</f>
        <v>1730229816</v>
      </c>
      <c r="C14034" t="str">
        <f>"207R00000X"</f>
        <v>207R00000X</v>
      </c>
      <c r="D14034" t="str">
        <f>"BORDEN                   AMBER        M           "</f>
        <v xml:space="preserve">BORDEN                   AMBER        M           </v>
      </c>
      <c r="E14034" t="str">
        <f>"COLUMBUS                  "</f>
        <v xml:space="preserve">COLUMBUS                  </v>
      </c>
      <c r="F14034" t="str">
        <f t="shared" si="358"/>
        <v>MS</v>
      </c>
    </row>
    <row r="14035" spans="1:6" x14ac:dyDescent="0.25">
      <c r="A14035" t="str">
        <f>"009174294"</f>
        <v>009174294</v>
      </c>
      <c r="B14035" t="str">
        <f>"1790272185"</f>
        <v>1790272185</v>
      </c>
      <c r="C14035" t="str">
        <f>"261QR1300X"</f>
        <v>261QR1300X</v>
      </c>
      <c r="D14035" t="str">
        <f>"MRH MEDICAL GROUP, GSV SHERMAN                    "</f>
        <v xml:space="preserve">MRH MEDICAL GROUP, GSV SHERMAN                    </v>
      </c>
      <c r="E14035" t="str">
        <f>"SHERMAN                   "</f>
        <v xml:space="preserve">SHERMAN                   </v>
      </c>
      <c r="F14035" t="str">
        <f t="shared" si="358"/>
        <v>MS</v>
      </c>
    </row>
    <row r="14036" spans="1:6" x14ac:dyDescent="0.25">
      <c r="A14036" t="str">
        <f>"009174552"</f>
        <v>009174552</v>
      </c>
      <c r="B14036" t="str">
        <f>"1881018166"</f>
        <v>1881018166</v>
      </c>
      <c r="C14036" t="str">
        <f>"207R00000X"</f>
        <v>207R00000X</v>
      </c>
      <c r="D14036" t="str">
        <f>"BHATT                    MAHESH                   "</f>
        <v xml:space="preserve">BHATT                    MAHESH                   </v>
      </c>
      <c r="E14036" t="str">
        <f>"TUPELO                    "</f>
        <v xml:space="preserve">TUPELO                    </v>
      </c>
      <c r="F14036" t="str">
        <f t="shared" si="358"/>
        <v>MS</v>
      </c>
    </row>
    <row r="14037" spans="1:6" x14ac:dyDescent="0.25">
      <c r="A14037" t="str">
        <f>"009177764"</f>
        <v>009177764</v>
      </c>
      <c r="B14037" t="str">
        <f>"1558001750"</f>
        <v>1558001750</v>
      </c>
      <c r="C14037" t="str">
        <f>"208000000X"</f>
        <v>208000000X</v>
      </c>
      <c r="D14037" t="str">
        <f>"KALA                     MONICA       D           "</f>
        <v xml:space="preserve">KALA                     MONICA       D           </v>
      </c>
      <c r="E14037" t="str">
        <f>"JACKSON                   "</f>
        <v xml:space="preserve">JACKSON                   </v>
      </c>
      <c r="F14037" t="str">
        <f t="shared" si="358"/>
        <v>MS</v>
      </c>
    </row>
    <row r="14038" spans="1:6" x14ac:dyDescent="0.25">
      <c r="A14038" t="str">
        <f>"009178231"</f>
        <v>009178231</v>
      </c>
      <c r="B14038" t="str">
        <f>"1104878669"</f>
        <v>1104878669</v>
      </c>
      <c r="C14038" t="str">
        <f>"207X00000X"</f>
        <v>207X00000X</v>
      </c>
      <c r="D14038" t="str">
        <f>"MCCRANEY                 WILLIAM      O           "</f>
        <v xml:space="preserve">MCCRANEY                 WILLIAM      O           </v>
      </c>
      <c r="E14038" t="str">
        <f>"FLOWOOD                   "</f>
        <v xml:space="preserve">FLOWOOD                   </v>
      </c>
      <c r="F14038" t="str">
        <f t="shared" si="358"/>
        <v>MS</v>
      </c>
    </row>
    <row r="14039" spans="1:6" x14ac:dyDescent="0.25">
      <c r="A14039" t="str">
        <f>"009178366"</f>
        <v>009178366</v>
      </c>
      <c r="B14039" t="str">
        <f>"1457646937"</f>
        <v>1457646937</v>
      </c>
      <c r="C14039" t="str">
        <f>"207W00000X"</f>
        <v>207W00000X</v>
      </c>
      <c r="D14039" t="str">
        <f>"TA                       KATHY        H           "</f>
        <v xml:space="preserve">TA                       KATHY        H           </v>
      </c>
      <c r="E14039" t="str">
        <f>"GULFPORT                  "</f>
        <v xml:space="preserve">GULFPORT                  </v>
      </c>
      <c r="F14039" t="str">
        <f t="shared" si="358"/>
        <v>MS</v>
      </c>
    </row>
    <row r="14040" spans="1:6" x14ac:dyDescent="0.25">
      <c r="A14040" t="str">
        <f>"009178825"</f>
        <v>009178825</v>
      </c>
      <c r="B14040" t="str">
        <f>"1669757761"</f>
        <v>1669757761</v>
      </c>
      <c r="C14040" t="str">
        <f>"261QA1903X"</f>
        <v>261QA1903X</v>
      </c>
      <c r="D14040" t="str">
        <f>"COASTAL EYE SURGERY CENTER                        "</f>
        <v xml:space="preserve">COASTAL EYE SURGERY CENTER                        </v>
      </c>
      <c r="E14040" t="str">
        <f>"GULFPORT                  "</f>
        <v xml:space="preserve">GULFPORT                  </v>
      </c>
      <c r="F14040" t="str">
        <f t="shared" si="358"/>
        <v>MS</v>
      </c>
    </row>
    <row r="14041" spans="1:6" x14ac:dyDescent="0.25">
      <c r="A14041" t="str">
        <f>"009179571"</f>
        <v>009179571</v>
      </c>
      <c r="B14041" t="str">
        <f>"1447331897"</f>
        <v>1447331897</v>
      </c>
      <c r="C14041" t="str">
        <f>"207ZP0102X"</f>
        <v>207ZP0102X</v>
      </c>
      <c r="D14041" t="str">
        <f>"GOLEMBESKI               CHRISTOPHER  P           "</f>
        <v xml:space="preserve">GOLEMBESKI               CHRISTOPHER  P           </v>
      </c>
      <c r="E14041" t="str">
        <f>"SOUTHAVEN                 "</f>
        <v xml:space="preserve">SOUTHAVEN                 </v>
      </c>
      <c r="F14041" t="str">
        <f t="shared" si="358"/>
        <v>MS</v>
      </c>
    </row>
    <row r="14042" spans="1:6" x14ac:dyDescent="0.25">
      <c r="A14042" t="str">
        <f>"009180827"</f>
        <v>009180827</v>
      </c>
      <c r="B14042" t="str">
        <f>"1841698792"</f>
        <v>1841698792</v>
      </c>
      <c r="C14042" t="str">
        <f>"363LF0000X"</f>
        <v>363LF0000X</v>
      </c>
      <c r="D14042" t="str">
        <f>"UPCHURCH                 AUDREY                   "</f>
        <v xml:space="preserve">UPCHURCH                 AUDREY                   </v>
      </c>
      <c r="E14042" t="str">
        <f>"FLOWOOD                   "</f>
        <v xml:space="preserve">FLOWOOD                   </v>
      </c>
      <c r="F14042" t="str">
        <f t="shared" si="358"/>
        <v>MS</v>
      </c>
    </row>
    <row r="14043" spans="1:6" x14ac:dyDescent="0.25">
      <c r="A14043" t="str">
        <f>"009181241"</f>
        <v>009181241</v>
      </c>
      <c r="B14043" t="str">
        <f>"1871791434"</f>
        <v>1871791434</v>
      </c>
      <c r="C14043" t="str">
        <f>"207R00000X"</f>
        <v>207R00000X</v>
      </c>
      <c r="D14043" t="str">
        <f>"EVANS                    ERIC         C           "</f>
        <v xml:space="preserve">EVANS                    ERIC         C           </v>
      </c>
      <c r="E14043" t="str">
        <f>"MADISON                   "</f>
        <v xml:space="preserve">MADISON                   </v>
      </c>
      <c r="F14043" t="str">
        <f t="shared" si="358"/>
        <v>MS</v>
      </c>
    </row>
    <row r="14044" spans="1:6" x14ac:dyDescent="0.25">
      <c r="A14044" t="str">
        <f>"009181570"</f>
        <v>009181570</v>
      </c>
      <c r="B14044" t="str">
        <f>"1255649604"</f>
        <v>1255649604</v>
      </c>
      <c r="C14044" t="str">
        <f>"261QR1300X"</f>
        <v>261QR1300X</v>
      </c>
      <c r="D14044" t="str">
        <f>"WALTHALL RURAL HEALTH CLINIC                      "</f>
        <v xml:space="preserve">WALTHALL RURAL HEALTH CLINIC                      </v>
      </c>
      <c r="E14044" t="str">
        <f>"TYLERTOWN                 "</f>
        <v xml:space="preserve">TYLERTOWN                 </v>
      </c>
      <c r="F14044" t="str">
        <f t="shared" si="358"/>
        <v>MS</v>
      </c>
    </row>
    <row r="14045" spans="1:6" x14ac:dyDescent="0.25">
      <c r="A14045" t="str">
        <f>"009182017"</f>
        <v>009182017</v>
      </c>
      <c r="B14045" t="str">
        <f>"1306010624"</f>
        <v>1306010624</v>
      </c>
      <c r="C14045" t="str">
        <f>"207V00000X"</f>
        <v>207V00000X</v>
      </c>
      <c r="D14045" t="str">
        <f>"PAQUIN                   ELLEN        W           "</f>
        <v xml:space="preserve">PAQUIN                   ELLEN        W           </v>
      </c>
      <c r="E14045" t="str">
        <f>"NEW ALBANY                "</f>
        <v xml:space="preserve">NEW ALBANY                </v>
      </c>
      <c r="F14045" t="str">
        <f t="shared" si="358"/>
        <v>MS</v>
      </c>
    </row>
    <row r="14046" spans="1:6" x14ac:dyDescent="0.25">
      <c r="A14046" t="str">
        <f>"009182266"</f>
        <v>009182266</v>
      </c>
      <c r="B14046" t="str">
        <f>"1679837058"</f>
        <v>1679837058</v>
      </c>
      <c r="C14046" t="str">
        <f>"208000000X"</f>
        <v>208000000X</v>
      </c>
      <c r="D14046" t="str">
        <f>"PATRICK                  KATHERINE    B           "</f>
        <v xml:space="preserve">PATRICK                  KATHERINE    B           </v>
      </c>
      <c r="E14046" t="str">
        <f>"JACKSON                   "</f>
        <v xml:space="preserve">JACKSON                   </v>
      </c>
      <c r="F14046" t="str">
        <f t="shared" si="358"/>
        <v>MS</v>
      </c>
    </row>
    <row r="14047" spans="1:6" x14ac:dyDescent="0.25">
      <c r="A14047" t="str">
        <f>"009182377"</f>
        <v>009182377</v>
      </c>
      <c r="B14047" t="str">
        <f>"1396065694"</f>
        <v>1396065694</v>
      </c>
      <c r="C14047" t="str">
        <f>"363L00000X"</f>
        <v>363L00000X</v>
      </c>
      <c r="D14047" t="str">
        <f>"DIMITRIADES              AMY          M           "</f>
        <v xml:space="preserve">DIMITRIADES              AMY          M           </v>
      </c>
      <c r="E14047" t="str">
        <f>"PASCAGOULA                "</f>
        <v xml:space="preserve">PASCAGOULA                </v>
      </c>
      <c r="F14047" t="str">
        <f t="shared" si="358"/>
        <v>MS</v>
      </c>
    </row>
    <row r="14048" spans="1:6" x14ac:dyDescent="0.25">
      <c r="A14048" t="str">
        <f>"009182393"</f>
        <v>009182393</v>
      </c>
      <c r="B14048" t="str">
        <f>"1003405754"</f>
        <v>1003405754</v>
      </c>
      <c r="C14048" t="str">
        <f>"363L00000X"</f>
        <v>363L00000X</v>
      </c>
      <c r="D14048" t="str">
        <f>"BEAN                     CYNTHIA                  "</f>
        <v xml:space="preserve">BEAN                     CYNTHIA                  </v>
      </c>
      <c r="E14048" t="str">
        <f>"MERIDIAN                  "</f>
        <v xml:space="preserve">MERIDIAN                  </v>
      </c>
      <c r="F14048" t="str">
        <f t="shared" si="358"/>
        <v>MS</v>
      </c>
    </row>
    <row r="14049" spans="1:6" x14ac:dyDescent="0.25">
      <c r="A14049" t="str">
        <f>"009183827"</f>
        <v>009183827</v>
      </c>
      <c r="B14049" t="str">
        <f>"1477831121"</f>
        <v>1477831121</v>
      </c>
      <c r="C14049" t="str">
        <f>"363LF0000X"</f>
        <v>363LF0000X</v>
      </c>
      <c r="D14049" t="str">
        <f>"CONNORS                  JOHN         T           "</f>
        <v xml:space="preserve">CONNORS                  JOHN         T           </v>
      </c>
      <c r="E14049" t="str">
        <f>"OCEAN SPRINGS             "</f>
        <v xml:space="preserve">OCEAN SPRINGS             </v>
      </c>
      <c r="F14049" t="str">
        <f t="shared" si="358"/>
        <v>MS</v>
      </c>
    </row>
    <row r="14050" spans="1:6" x14ac:dyDescent="0.25">
      <c r="A14050" t="str">
        <f>"009185758"</f>
        <v>009185758</v>
      </c>
      <c r="B14050" t="str">
        <f>"1700248937"</f>
        <v>1700248937</v>
      </c>
      <c r="C14050" t="str">
        <f>"2084N0400X"</f>
        <v>2084N0400X</v>
      </c>
      <c r="D14050" t="str">
        <f>"MYERS                    ROBERT                   "</f>
        <v xml:space="preserve">MYERS                    ROBERT                   </v>
      </c>
      <c r="E14050" t="str">
        <f>"TUPELO                    "</f>
        <v xml:space="preserve">TUPELO                    </v>
      </c>
      <c r="F14050" t="str">
        <f t="shared" si="358"/>
        <v>MS</v>
      </c>
    </row>
    <row r="14051" spans="1:6" x14ac:dyDescent="0.25">
      <c r="A14051" t="str">
        <f>"009186513"</f>
        <v>009186513</v>
      </c>
      <c r="B14051" t="str">
        <f>"1376611087"</f>
        <v>1376611087</v>
      </c>
      <c r="C14051" t="str">
        <f>"363L00000X"</f>
        <v>363L00000X</v>
      </c>
      <c r="D14051" t="str">
        <f>"MEADERS                  KANISHA      L           "</f>
        <v xml:space="preserve">MEADERS                  KANISHA      L           </v>
      </c>
      <c r="E14051" t="str">
        <f>"JACKSON                   "</f>
        <v xml:space="preserve">JACKSON                   </v>
      </c>
      <c r="F14051" t="str">
        <f t="shared" si="358"/>
        <v>MS</v>
      </c>
    </row>
    <row r="14052" spans="1:6" x14ac:dyDescent="0.25">
      <c r="A14052" t="str">
        <f>"009186703"</f>
        <v>009186703</v>
      </c>
      <c r="B14052" t="str">
        <f>"1902459555"</f>
        <v>1902459555</v>
      </c>
      <c r="C14052" t="str">
        <f>"363L00000X"</f>
        <v>363L00000X</v>
      </c>
      <c r="D14052" t="str">
        <f>"CROSIER                  MEGAN        M           "</f>
        <v xml:space="preserve">CROSIER                  MEGAN        M           </v>
      </c>
      <c r="E14052" t="str">
        <f>"SOUTHAVEN                 "</f>
        <v xml:space="preserve">SOUTHAVEN                 </v>
      </c>
      <c r="F14052" t="str">
        <f t="shared" si="358"/>
        <v>MS</v>
      </c>
    </row>
    <row r="14053" spans="1:6" x14ac:dyDescent="0.25">
      <c r="A14053" t="str">
        <f>"009187759"</f>
        <v>009187759</v>
      </c>
      <c r="B14053" t="str">
        <f>"1457587610"</f>
        <v>1457587610</v>
      </c>
      <c r="C14053" t="str">
        <f>"261QR1300X"</f>
        <v>261QR1300X</v>
      </c>
      <c r="D14053" t="str">
        <f>"AFTER HOURS CLINIC                                "</f>
        <v xml:space="preserve">AFTER HOURS CLINIC                                </v>
      </c>
      <c r="E14053" t="str">
        <f>"GREENWOOD                 "</f>
        <v xml:space="preserve">GREENWOOD                 </v>
      </c>
      <c r="F14053" t="str">
        <f t="shared" si="358"/>
        <v>MS</v>
      </c>
    </row>
    <row r="14054" spans="1:6" x14ac:dyDescent="0.25">
      <c r="A14054" t="str">
        <f>"009200033"</f>
        <v>009200033</v>
      </c>
      <c r="B14054" t="str">
        <f>"1457763336"</f>
        <v>1457763336</v>
      </c>
      <c r="C14054" t="str">
        <f>"207R00000X"</f>
        <v>207R00000X</v>
      </c>
      <c r="D14054" t="str">
        <f>"HARRISON                 NANCY        S           "</f>
        <v xml:space="preserve">HARRISON                 NANCY        S           </v>
      </c>
      <c r="E14054" t="str">
        <f>"HATTIESBURG               "</f>
        <v xml:space="preserve">HATTIESBURG               </v>
      </c>
      <c r="F14054" t="str">
        <f t="shared" si="358"/>
        <v>MS</v>
      </c>
    </row>
    <row r="14055" spans="1:6" x14ac:dyDescent="0.25">
      <c r="A14055" t="str">
        <f>"009200246"</f>
        <v>009200246</v>
      </c>
      <c r="B14055" t="str">
        <f>"1881104784"</f>
        <v>1881104784</v>
      </c>
      <c r="C14055" t="str">
        <f>"363L00000X"</f>
        <v>363L00000X</v>
      </c>
      <c r="D14055" t="str">
        <f>"SIMS                     BRITTANY                 "</f>
        <v xml:space="preserve">SIMS                     BRITTANY                 </v>
      </c>
      <c r="E14055" t="str">
        <f>"IUKA                      "</f>
        <v xml:space="preserve">IUKA                      </v>
      </c>
      <c r="F14055" t="str">
        <f t="shared" si="358"/>
        <v>MS</v>
      </c>
    </row>
    <row r="14056" spans="1:6" x14ac:dyDescent="0.25">
      <c r="A14056" t="str">
        <f>"009201342"</f>
        <v>009201342</v>
      </c>
      <c r="B14056" t="str">
        <f>"1891435558"</f>
        <v>1891435558</v>
      </c>
      <c r="C14056" t="str">
        <f>"261QM1300X"</f>
        <v>261QM1300X</v>
      </c>
      <c r="D14056" t="str">
        <f>"OPEN MINDS COUNSELING LLC                         "</f>
        <v xml:space="preserve">OPEN MINDS COUNSELING LLC                         </v>
      </c>
      <c r="E14056" t="str">
        <f>"PHILADELPHIA              "</f>
        <v xml:space="preserve">PHILADELPHIA              </v>
      </c>
      <c r="F14056" t="str">
        <f t="shared" si="358"/>
        <v>MS</v>
      </c>
    </row>
    <row r="14057" spans="1:6" x14ac:dyDescent="0.25">
      <c r="A14057" t="str">
        <f>"009202378"</f>
        <v>009202378</v>
      </c>
      <c r="B14057" t="str">
        <f>"1669465688"</f>
        <v>1669465688</v>
      </c>
      <c r="C14057" t="str">
        <f>"208000000X"</f>
        <v>208000000X</v>
      </c>
      <c r="D14057" t="str">
        <f>"BENTON                   MARY         S           "</f>
        <v xml:space="preserve">BENTON                   MARY         S           </v>
      </c>
      <c r="E14057" t="str">
        <f>"SOUTHAVEN                 "</f>
        <v xml:space="preserve">SOUTHAVEN                 </v>
      </c>
      <c r="F14057" t="str">
        <f t="shared" si="358"/>
        <v>MS</v>
      </c>
    </row>
    <row r="14058" spans="1:6" x14ac:dyDescent="0.25">
      <c r="A14058" t="str">
        <f>"009202751"</f>
        <v>009202751</v>
      </c>
      <c r="B14058" t="str">
        <f>"1174896245"</f>
        <v>1174896245</v>
      </c>
      <c r="C14058" t="str">
        <f>"363L00000X"</f>
        <v>363L00000X</v>
      </c>
      <c r="D14058" t="str">
        <f>"HOOKS                    NANCY        D           "</f>
        <v xml:space="preserve">HOOKS                    NANCY        D           </v>
      </c>
      <c r="E14058" t="str">
        <f>"TUPELO                    "</f>
        <v xml:space="preserve">TUPELO                    </v>
      </c>
      <c r="F14058" t="str">
        <f t="shared" si="358"/>
        <v>MS</v>
      </c>
    </row>
    <row r="14059" spans="1:6" x14ac:dyDescent="0.25">
      <c r="A14059" t="str">
        <f>"009203015"</f>
        <v>009203015</v>
      </c>
      <c r="B14059" t="str">
        <f>"1245423995"</f>
        <v>1245423995</v>
      </c>
      <c r="C14059" t="str">
        <f>"152W00000X"</f>
        <v>152W00000X</v>
      </c>
      <c r="D14059" t="str">
        <f>"DR MARGO BOLER AND ASSOCIATES                     "</f>
        <v xml:space="preserve">DR MARGO BOLER AND ASSOCIATES                     </v>
      </c>
      <c r="E14059" t="str">
        <f>"OLIVE BRANCH              "</f>
        <v xml:space="preserve">OLIVE BRANCH              </v>
      </c>
      <c r="F14059" t="str">
        <f t="shared" si="358"/>
        <v>MS</v>
      </c>
    </row>
    <row r="14060" spans="1:6" x14ac:dyDescent="0.25">
      <c r="A14060" t="str">
        <f>"009203590"</f>
        <v>009203590</v>
      </c>
      <c r="B14060" t="str">
        <f>"1699154625"</f>
        <v>1699154625</v>
      </c>
      <c r="C14060" t="str">
        <f>"207R00000X"</f>
        <v>207R00000X</v>
      </c>
      <c r="D14060" t="str">
        <f>"PARKER                   ALISHA       S           "</f>
        <v xml:space="preserve">PARKER                   ALISHA       S           </v>
      </c>
      <c r="E14060" t="str">
        <f>"MERIDIAN                  "</f>
        <v xml:space="preserve">MERIDIAN                  </v>
      </c>
      <c r="F14060" t="str">
        <f t="shared" si="358"/>
        <v>MS</v>
      </c>
    </row>
    <row r="14061" spans="1:6" x14ac:dyDescent="0.25">
      <c r="A14061" t="str">
        <f>"009207040"</f>
        <v>009207040</v>
      </c>
      <c r="B14061" t="str">
        <f>"1487196515"</f>
        <v>1487196515</v>
      </c>
      <c r="C14061" t="str">
        <f>"261QF0400X"</f>
        <v>261QF0400X</v>
      </c>
      <c r="D14061" t="str">
        <f>"G A CARMICHAEL FAMILY HEALTH CENTER               "</f>
        <v xml:space="preserve">G A CARMICHAEL FAMILY HEALTH CENTER               </v>
      </c>
      <c r="E14061" t="str">
        <f>"BENTONIA                  "</f>
        <v xml:space="preserve">BENTONIA                  </v>
      </c>
      <c r="F14061" t="str">
        <f t="shared" si="358"/>
        <v>MS</v>
      </c>
    </row>
    <row r="14062" spans="1:6" x14ac:dyDescent="0.25">
      <c r="A14062" t="str">
        <f>"009208292"</f>
        <v>009208292</v>
      </c>
      <c r="B14062" t="str">
        <f>"1700091519"</f>
        <v>1700091519</v>
      </c>
      <c r="C14062" t="str">
        <f>"367500000X"</f>
        <v>367500000X</v>
      </c>
      <c r="D14062" t="str">
        <f>"KING                     SHURONDA     L           "</f>
        <v xml:space="preserve">KING                     SHURONDA     L           </v>
      </c>
      <c r="E14062" t="str">
        <f>"OLIVE BRANCH              "</f>
        <v xml:space="preserve">OLIVE BRANCH              </v>
      </c>
      <c r="F14062" t="str">
        <f t="shared" si="358"/>
        <v>MS</v>
      </c>
    </row>
    <row r="14063" spans="1:6" x14ac:dyDescent="0.25">
      <c r="A14063" t="str">
        <f>"009208701"</f>
        <v>009208701</v>
      </c>
      <c r="B14063" t="str">
        <f>"1922688001"</f>
        <v>1922688001</v>
      </c>
      <c r="C14063" t="str">
        <f>"122300000X"</f>
        <v>122300000X</v>
      </c>
      <c r="D14063" t="str">
        <f>"FORTIN                   AUDREY       L           "</f>
        <v xml:space="preserve">FORTIN                   AUDREY       L           </v>
      </c>
      <c r="E14063" t="str">
        <f>"JACKSON                   "</f>
        <v xml:space="preserve">JACKSON                   </v>
      </c>
      <c r="F14063" t="str">
        <f t="shared" si="358"/>
        <v>MS</v>
      </c>
    </row>
    <row r="14064" spans="1:6" x14ac:dyDescent="0.25">
      <c r="A14064" t="str">
        <f>"009208894"</f>
        <v>009208894</v>
      </c>
      <c r="B14064" t="str">
        <f>"1851435143"</f>
        <v>1851435143</v>
      </c>
      <c r="C14064" t="str">
        <f>"367500000X"</f>
        <v>367500000X</v>
      </c>
      <c r="D14064" t="str">
        <f>"FOREMAN                  CHIP         W           "</f>
        <v xml:space="preserve">FOREMAN                  CHIP         W           </v>
      </c>
      <c r="E14064" t="str">
        <f>"MERIDIAN                  "</f>
        <v xml:space="preserve">MERIDIAN                  </v>
      </c>
      <c r="F14064" t="str">
        <f t="shared" si="358"/>
        <v>MS</v>
      </c>
    </row>
    <row r="14065" spans="1:6" x14ac:dyDescent="0.25">
      <c r="A14065" t="str">
        <f>"009209383"</f>
        <v>009209383</v>
      </c>
      <c r="B14065" t="str">
        <f>"1952450975"</f>
        <v>1952450975</v>
      </c>
      <c r="C14065" t="str">
        <f>"2080P0214X"</f>
        <v>2080P0214X</v>
      </c>
      <c r="D14065" t="str">
        <f>"MAJURE                   JOSEPH       M           "</f>
        <v xml:space="preserve">MAJURE                   JOSEPH       M           </v>
      </c>
      <c r="E14065" t="str">
        <f>"JACKSON                   "</f>
        <v xml:space="preserve">JACKSON                   </v>
      </c>
      <c r="F14065" t="str">
        <f t="shared" si="358"/>
        <v>MS</v>
      </c>
    </row>
    <row r="14066" spans="1:6" x14ac:dyDescent="0.25">
      <c r="A14066" t="str">
        <f>"009220725"</f>
        <v>009220725</v>
      </c>
      <c r="B14066" t="str">
        <f>"1346629326"</f>
        <v>1346629326</v>
      </c>
      <c r="C14066" t="str">
        <f>"363L00000X"</f>
        <v>363L00000X</v>
      </c>
      <c r="D14066" t="str">
        <f>"PICKERING                WILLIAM      B           "</f>
        <v xml:space="preserve">PICKERING                WILLIAM      B           </v>
      </c>
      <c r="E14066" t="str">
        <f>"HATTIESBURG               "</f>
        <v xml:space="preserve">HATTIESBURG               </v>
      </c>
      <c r="F14066" t="str">
        <f t="shared" si="358"/>
        <v>MS</v>
      </c>
    </row>
    <row r="14067" spans="1:6" x14ac:dyDescent="0.25">
      <c r="A14067" t="str">
        <f>"009222310"</f>
        <v>009222310</v>
      </c>
      <c r="B14067" t="str">
        <f>"1750618468"</f>
        <v>1750618468</v>
      </c>
      <c r="C14067" t="str">
        <f>"363LF0000X"</f>
        <v>363LF0000X</v>
      </c>
      <c r="D14067" t="str">
        <f>"MCNEAL                   VICKI                    "</f>
        <v xml:space="preserve">MCNEAL                   VICKI                    </v>
      </c>
      <c r="E14067" t="str">
        <f>"JACKSON                   "</f>
        <v xml:space="preserve">JACKSON                   </v>
      </c>
      <c r="F14067" t="str">
        <f t="shared" si="358"/>
        <v>MS</v>
      </c>
    </row>
    <row r="14068" spans="1:6" x14ac:dyDescent="0.25">
      <c r="A14068" t="str">
        <f>"009223874"</f>
        <v>009223874</v>
      </c>
      <c r="B14068" t="str">
        <f>"1184937690"</f>
        <v>1184937690</v>
      </c>
      <c r="C14068" t="str">
        <f>"152W00000X"</f>
        <v>152W00000X</v>
      </c>
      <c r="D14068" t="str">
        <f>"BOSTICK                  JOSHUA       E           "</f>
        <v xml:space="preserve">BOSTICK                  JOSHUA       E           </v>
      </c>
      <c r="E14068" t="str">
        <f>"SALTILLO                  "</f>
        <v xml:space="preserve">SALTILLO                  </v>
      </c>
      <c r="F14068" t="str">
        <f t="shared" si="358"/>
        <v>MS</v>
      </c>
    </row>
    <row r="14069" spans="1:6" x14ac:dyDescent="0.25">
      <c r="A14069" t="str">
        <f>"009225800"</f>
        <v>009225800</v>
      </c>
      <c r="B14069" t="str">
        <f>"1477706323"</f>
        <v>1477706323</v>
      </c>
      <c r="C14069" t="str">
        <f>"363L00000X"</f>
        <v>363L00000X</v>
      </c>
      <c r="D14069" t="str">
        <f>"GILMER                   HEATHER                  "</f>
        <v xml:space="preserve">GILMER                   HEATHER                  </v>
      </c>
      <c r="E14069" t="str">
        <f>"LOUISVILLE                "</f>
        <v xml:space="preserve">LOUISVILLE                </v>
      </c>
      <c r="F14069" t="str">
        <f t="shared" si="358"/>
        <v>MS</v>
      </c>
    </row>
    <row r="14070" spans="1:6" x14ac:dyDescent="0.25">
      <c r="A14070" t="str">
        <f>"009226861"</f>
        <v>009226861</v>
      </c>
      <c r="B14070" t="str">
        <f>"1073886446"</f>
        <v>1073886446</v>
      </c>
      <c r="C14070" t="str">
        <f>"208000000X"</f>
        <v>208000000X</v>
      </c>
      <c r="D14070" t="str">
        <f>"BREVIL                   NOHEMIE                  "</f>
        <v xml:space="preserve">BREVIL                   NOHEMIE                  </v>
      </c>
      <c r="E14070" t="str">
        <f>"CLEVELAND                 "</f>
        <v xml:space="preserve">CLEVELAND                 </v>
      </c>
      <c r="F14070" t="str">
        <f t="shared" si="358"/>
        <v>MS</v>
      </c>
    </row>
    <row r="14071" spans="1:6" x14ac:dyDescent="0.25">
      <c r="A14071" t="str">
        <f>"009227332"</f>
        <v>009227332</v>
      </c>
      <c r="B14071" t="str">
        <f>"1730531427"</f>
        <v>1730531427</v>
      </c>
      <c r="C14071" t="str">
        <f>"122300000X"</f>
        <v>122300000X</v>
      </c>
      <c r="D14071" t="str">
        <f>"LI                       ALISHA       H           "</f>
        <v xml:space="preserve">LI                       ALISHA       H           </v>
      </c>
      <c r="E14071" t="str">
        <f>"OXFORD                    "</f>
        <v xml:space="preserve">OXFORD                    </v>
      </c>
      <c r="F14071" t="str">
        <f t="shared" si="358"/>
        <v>MS</v>
      </c>
    </row>
    <row r="14072" spans="1:6" x14ac:dyDescent="0.25">
      <c r="A14072" t="str">
        <f>"009227341"</f>
        <v>009227341</v>
      </c>
      <c r="B14072" t="str">
        <f>"1083170559"</f>
        <v>1083170559</v>
      </c>
      <c r="C14072" t="str">
        <f>"363LW0102X"</f>
        <v>363LW0102X</v>
      </c>
      <c r="D14072" t="str">
        <f>"ROARK                    SHELLY       G           "</f>
        <v xml:space="preserve">ROARK                    SHELLY       G           </v>
      </c>
      <c r="E14072" t="str">
        <f>"HATTIESBURG               "</f>
        <v xml:space="preserve">HATTIESBURG               </v>
      </c>
      <c r="F14072" t="str">
        <f t="shared" si="358"/>
        <v>MS</v>
      </c>
    </row>
    <row r="14073" spans="1:6" x14ac:dyDescent="0.25">
      <c r="A14073" t="str">
        <f>"009227766"</f>
        <v>009227766</v>
      </c>
      <c r="B14073" t="str">
        <f>"1710551924"</f>
        <v>1710551924</v>
      </c>
      <c r="C14073" t="str">
        <f>"207Q00000X"</f>
        <v>207Q00000X</v>
      </c>
      <c r="D14073" t="str">
        <f>"SCHALMO                  EMILY        N           "</f>
        <v xml:space="preserve">SCHALMO                  EMILY        N           </v>
      </c>
      <c r="E14073" t="str">
        <f>"HATTIESBURG               "</f>
        <v xml:space="preserve">HATTIESBURG               </v>
      </c>
      <c r="F14073" t="str">
        <f t="shared" si="358"/>
        <v>MS</v>
      </c>
    </row>
    <row r="14074" spans="1:6" x14ac:dyDescent="0.25">
      <c r="A14074" t="str">
        <f>"009228250"</f>
        <v>009228250</v>
      </c>
      <c r="B14074" t="str">
        <f>"1528161197"</f>
        <v>1528161197</v>
      </c>
      <c r="C14074" t="str">
        <f>"261QF0400X"</f>
        <v>261QF0400X</v>
      </c>
      <c r="D14074" t="str">
        <f>"COASTAL FAMILY HEALTH CENTER                      "</f>
        <v xml:space="preserve">COASTAL FAMILY HEALTH CENTER                      </v>
      </c>
      <c r="E14074" t="str">
        <f>"STATE LINE                "</f>
        <v xml:space="preserve">STATE LINE                </v>
      </c>
      <c r="F14074" t="str">
        <f t="shared" si="358"/>
        <v>MS</v>
      </c>
    </row>
    <row r="14075" spans="1:6" x14ac:dyDescent="0.25">
      <c r="A14075" t="str">
        <f>"009228501"</f>
        <v>009228501</v>
      </c>
      <c r="B14075" t="str">
        <f>"1821206962"</f>
        <v>1821206962</v>
      </c>
      <c r="C14075" t="str">
        <f>"207ZP0102X"</f>
        <v>207ZP0102X</v>
      </c>
      <c r="D14075" t="str">
        <f>"STONER                   ALISON       E           "</f>
        <v xml:space="preserve">STONER                   ALISON       E           </v>
      </c>
      <c r="E14075" t="str">
        <f>"SOUTHAVEN                 "</f>
        <v xml:space="preserve">SOUTHAVEN                 </v>
      </c>
      <c r="F14075" t="str">
        <f t="shared" si="358"/>
        <v>MS</v>
      </c>
    </row>
    <row r="14076" spans="1:6" x14ac:dyDescent="0.25">
      <c r="A14076" t="str">
        <f>"009228771"</f>
        <v>009228771</v>
      </c>
      <c r="B14076" t="str">
        <f>"1598033227"</f>
        <v>1598033227</v>
      </c>
      <c r="C14076" t="str">
        <f>"363L00000X"</f>
        <v>363L00000X</v>
      </c>
      <c r="D14076" t="str">
        <f>"WAGGONER                 CHRISTINE    R           "</f>
        <v xml:space="preserve">WAGGONER                 CHRISTINE    R           </v>
      </c>
      <c r="E14076" t="str">
        <f>"YAZOO CITY                "</f>
        <v xml:space="preserve">YAZOO CITY                </v>
      </c>
      <c r="F14076" t="str">
        <f t="shared" si="358"/>
        <v>MS</v>
      </c>
    </row>
    <row r="14077" spans="1:6" x14ac:dyDescent="0.25">
      <c r="A14077" t="str">
        <f>"009228816"</f>
        <v>009228816</v>
      </c>
      <c r="B14077" t="str">
        <f>"1073029799"</f>
        <v>1073029799</v>
      </c>
      <c r="C14077" t="str">
        <f>"367500000X"</f>
        <v>367500000X</v>
      </c>
      <c r="D14077" t="str">
        <f>"VANCE                    JEREMY       A           "</f>
        <v xml:space="preserve">VANCE                    JEREMY       A           </v>
      </c>
      <c r="E14077" t="str">
        <f>"HATTIESBURG               "</f>
        <v xml:space="preserve">HATTIESBURG               </v>
      </c>
      <c r="F14077" t="str">
        <f t="shared" si="358"/>
        <v>MS</v>
      </c>
    </row>
    <row r="14078" spans="1:6" x14ac:dyDescent="0.25">
      <c r="A14078" t="str">
        <f>"009232094"</f>
        <v>009232094</v>
      </c>
      <c r="B14078" t="str">
        <f>"1194808030"</f>
        <v>1194808030</v>
      </c>
      <c r="C14078" t="str">
        <f>"207RE0101X"</f>
        <v>207RE0101X</v>
      </c>
      <c r="D14078" t="str">
        <f>"SUBAUSTE                 ANGELA       R           "</f>
        <v xml:space="preserve">SUBAUSTE                 ANGELA       R           </v>
      </c>
      <c r="E14078" t="str">
        <f>"JACKSON                   "</f>
        <v xml:space="preserve">JACKSON                   </v>
      </c>
      <c r="F14078" t="str">
        <f t="shared" ref="F14078:F14141" si="359">"MS"</f>
        <v>MS</v>
      </c>
    </row>
    <row r="14079" spans="1:6" x14ac:dyDescent="0.25">
      <c r="A14079" t="str">
        <f>"009233058"</f>
        <v>009233058</v>
      </c>
      <c r="B14079" t="str">
        <f>"1629243530"</f>
        <v>1629243530</v>
      </c>
      <c r="C14079" t="str">
        <f>"363L00000X"</f>
        <v>363L00000X</v>
      </c>
      <c r="D14079" t="str">
        <f>"ARNOLD                   STEVEN       R           "</f>
        <v xml:space="preserve">ARNOLD                   STEVEN       R           </v>
      </c>
      <c r="E14079" t="str">
        <f>"MCCOMB                    "</f>
        <v xml:space="preserve">MCCOMB                    </v>
      </c>
      <c r="F14079" t="str">
        <f t="shared" si="359"/>
        <v>MS</v>
      </c>
    </row>
    <row r="14080" spans="1:6" x14ac:dyDescent="0.25">
      <c r="A14080" t="str">
        <f>"009234892"</f>
        <v>009234892</v>
      </c>
      <c r="B14080" t="str">
        <f>"1952663148"</f>
        <v>1952663148</v>
      </c>
      <c r="C14080" t="str">
        <f>"122300000X"</f>
        <v>122300000X</v>
      </c>
      <c r="D14080" t="str">
        <f>"HALL                     SAMUEL       R           "</f>
        <v xml:space="preserve">HALL                     SAMUEL       R           </v>
      </c>
      <c r="E14080" t="str">
        <f>"BOONEVILLE                "</f>
        <v xml:space="preserve">BOONEVILLE                </v>
      </c>
      <c r="F14080" t="str">
        <f t="shared" si="359"/>
        <v>MS</v>
      </c>
    </row>
    <row r="14081" spans="1:6" x14ac:dyDescent="0.25">
      <c r="A14081" t="str">
        <f>"009236787"</f>
        <v>009236787</v>
      </c>
      <c r="B14081" t="str">
        <f>"1518443134"</f>
        <v>1518443134</v>
      </c>
      <c r="C14081" t="str">
        <f>"363L00000X"</f>
        <v>363L00000X</v>
      </c>
      <c r="D14081" t="str">
        <f>"SCARBROUGH               REBECCA      S           "</f>
        <v xml:space="preserve">SCARBROUGH               REBECCA      S           </v>
      </c>
      <c r="E14081" t="str">
        <f>"LAUREL                    "</f>
        <v xml:space="preserve">LAUREL                    </v>
      </c>
      <c r="F14081" t="str">
        <f t="shared" si="359"/>
        <v>MS</v>
      </c>
    </row>
    <row r="14082" spans="1:6" x14ac:dyDescent="0.25">
      <c r="A14082" t="str">
        <f>"009237354"</f>
        <v>009237354</v>
      </c>
      <c r="B14082" t="str">
        <f>"1457815235"</f>
        <v>1457815235</v>
      </c>
      <c r="C14082" t="str">
        <f>"363L00000X"</f>
        <v>363L00000X</v>
      </c>
      <c r="D14082" t="str">
        <f>"STEVENS                  LAURA        K           "</f>
        <v xml:space="preserve">STEVENS                  LAURA        K           </v>
      </c>
      <c r="E14082" t="str">
        <f>"GULFPORT                  "</f>
        <v xml:space="preserve">GULFPORT                  </v>
      </c>
      <c r="F14082" t="str">
        <f t="shared" si="359"/>
        <v>MS</v>
      </c>
    </row>
    <row r="14083" spans="1:6" x14ac:dyDescent="0.25">
      <c r="A14083" t="str">
        <f>"009238061"</f>
        <v>009238061</v>
      </c>
      <c r="B14083" t="str">
        <f>"1225320708"</f>
        <v>1225320708</v>
      </c>
      <c r="C14083" t="str">
        <f>"261QR1300X"</f>
        <v>261QR1300X</v>
      </c>
      <c r="D14083" t="str">
        <f>"YAZOO FAMILY CLINIC                               "</f>
        <v xml:space="preserve">YAZOO FAMILY CLINIC                               </v>
      </c>
      <c r="E14083" t="str">
        <f>"YAZOO CITY                "</f>
        <v xml:space="preserve">YAZOO CITY                </v>
      </c>
      <c r="F14083" t="str">
        <f t="shared" si="359"/>
        <v>MS</v>
      </c>
    </row>
    <row r="14084" spans="1:6" x14ac:dyDescent="0.25">
      <c r="A14084" t="str">
        <f>"009238258"</f>
        <v>009238258</v>
      </c>
      <c r="B14084" t="str">
        <f>"1689831844"</f>
        <v>1689831844</v>
      </c>
      <c r="C14084" t="str">
        <f>"207R00000X"</f>
        <v>207R00000X</v>
      </c>
      <c r="D14084" t="str">
        <f>"GOLDBERG                 RICHARD      A           "</f>
        <v xml:space="preserve">GOLDBERG                 RICHARD      A           </v>
      </c>
      <c r="E14084" t="str">
        <f>"GREENWOOD                 "</f>
        <v xml:space="preserve">GREENWOOD                 </v>
      </c>
      <c r="F14084" t="str">
        <f t="shared" si="359"/>
        <v>MS</v>
      </c>
    </row>
    <row r="14085" spans="1:6" x14ac:dyDescent="0.25">
      <c r="A14085" t="str">
        <f>"009239033"</f>
        <v>009239033</v>
      </c>
      <c r="B14085" t="str">
        <f>"1679615454"</f>
        <v>1679615454</v>
      </c>
      <c r="C14085" t="str">
        <f>"363L00000X"</f>
        <v>363L00000X</v>
      </c>
      <c r="D14085" t="str">
        <f>"KAYE                     GAYLA        G           "</f>
        <v xml:space="preserve">KAYE                     GAYLA        G           </v>
      </c>
      <c r="E14085" t="str">
        <f>"FLOWOOD                   "</f>
        <v xml:space="preserve">FLOWOOD                   </v>
      </c>
      <c r="F14085" t="str">
        <f t="shared" si="359"/>
        <v>MS</v>
      </c>
    </row>
    <row r="14086" spans="1:6" x14ac:dyDescent="0.25">
      <c r="A14086" t="str">
        <f>"009252360"</f>
        <v>009252360</v>
      </c>
      <c r="B14086" t="str">
        <f>"1801164363"</f>
        <v>1801164363</v>
      </c>
      <c r="C14086" t="str">
        <f>"363L00000X"</f>
        <v>363L00000X</v>
      </c>
      <c r="D14086" t="str">
        <f>"LEE                      ROBERT       W           "</f>
        <v xml:space="preserve">LEE                      ROBERT       W           </v>
      </c>
      <c r="E14086" t="str">
        <f>"HATTIESBURG               "</f>
        <v xml:space="preserve">HATTIESBURG               </v>
      </c>
      <c r="F14086" t="str">
        <f t="shared" si="359"/>
        <v>MS</v>
      </c>
    </row>
    <row r="14087" spans="1:6" x14ac:dyDescent="0.25">
      <c r="A14087" t="str">
        <f>"009254202"</f>
        <v>009254202</v>
      </c>
      <c r="B14087" t="str">
        <f>"1992282529"</f>
        <v>1992282529</v>
      </c>
      <c r="C14087" t="str">
        <f>"152W00000X"</f>
        <v>152W00000X</v>
      </c>
      <c r="D14087" t="str">
        <f>"SMITH                    TY           H           "</f>
        <v xml:space="preserve">SMITH                    TY           H           </v>
      </c>
      <c r="E14087" t="str">
        <f>"SOUTHAVEN                 "</f>
        <v xml:space="preserve">SOUTHAVEN                 </v>
      </c>
      <c r="F14087" t="str">
        <f t="shared" si="359"/>
        <v>MS</v>
      </c>
    </row>
    <row r="14088" spans="1:6" x14ac:dyDescent="0.25">
      <c r="A14088" t="str">
        <f>"009254816"</f>
        <v>009254816</v>
      </c>
      <c r="B14088" t="str">
        <f>"1083025324"</f>
        <v>1083025324</v>
      </c>
      <c r="C14088" t="str">
        <f>"207RP1001X"</f>
        <v>207RP1001X</v>
      </c>
      <c r="D14088" t="str">
        <f>"DEERE                    LEKHA        S           "</f>
        <v xml:space="preserve">DEERE                    LEKHA        S           </v>
      </c>
      <c r="E14088" t="str">
        <f>"JACKSON                   "</f>
        <v xml:space="preserve">JACKSON                   </v>
      </c>
      <c r="F14088" t="str">
        <f t="shared" si="359"/>
        <v>MS</v>
      </c>
    </row>
    <row r="14089" spans="1:6" x14ac:dyDescent="0.25">
      <c r="A14089" t="str">
        <f>"009254895"</f>
        <v>009254895</v>
      </c>
      <c r="B14089" t="str">
        <f>"1891928586"</f>
        <v>1891928586</v>
      </c>
      <c r="C14089" t="str">
        <f>"367500000X"</f>
        <v>367500000X</v>
      </c>
      <c r="D14089" t="str">
        <f>"BRAXTON                  JENNIFER                 "</f>
        <v xml:space="preserve">BRAXTON                  JENNIFER                 </v>
      </c>
      <c r="E14089" t="str">
        <f>"HATTIESBURG               "</f>
        <v xml:space="preserve">HATTIESBURG               </v>
      </c>
      <c r="F14089" t="str">
        <f t="shared" si="359"/>
        <v>MS</v>
      </c>
    </row>
    <row r="14090" spans="1:6" x14ac:dyDescent="0.25">
      <c r="A14090" t="str">
        <f>"009255051"</f>
        <v>009255051</v>
      </c>
      <c r="B14090" t="str">
        <f>"1245646702"</f>
        <v>1245646702</v>
      </c>
      <c r="C14090" t="str">
        <f>"207XP3100X"</f>
        <v>207XP3100X</v>
      </c>
      <c r="D14090" t="str">
        <f>"SUKKARIEH                HAMDI                    "</f>
        <v xml:space="preserve">SUKKARIEH                HAMDI                    </v>
      </c>
      <c r="E14090" t="str">
        <f>"JACKSON                   "</f>
        <v xml:space="preserve">JACKSON                   </v>
      </c>
      <c r="F14090" t="str">
        <f t="shared" si="359"/>
        <v>MS</v>
      </c>
    </row>
    <row r="14091" spans="1:6" x14ac:dyDescent="0.25">
      <c r="A14091" t="str">
        <f>"009257357"</f>
        <v>009257357</v>
      </c>
      <c r="B14091" t="str">
        <f>"1063756716"</f>
        <v>1063756716</v>
      </c>
      <c r="C14091" t="str">
        <f>"261QF0400X"</f>
        <v>261QF0400X</v>
      </c>
      <c r="D14091" t="str">
        <f>"AARON E. HENRY MEDICAL MOBILE UNIT                "</f>
        <v xml:space="preserve">AARON E. HENRY MEDICAL MOBILE UNIT                </v>
      </c>
      <c r="E14091" t="str">
        <f>"CLARKSDALE                "</f>
        <v xml:space="preserve">CLARKSDALE                </v>
      </c>
      <c r="F14091" t="str">
        <f t="shared" si="359"/>
        <v>MS</v>
      </c>
    </row>
    <row r="14092" spans="1:6" x14ac:dyDescent="0.25">
      <c r="A14092" t="str">
        <f>"009258232"</f>
        <v>009258232</v>
      </c>
      <c r="B14092" t="str">
        <f>"1669996823"</f>
        <v>1669996823</v>
      </c>
      <c r="C14092" t="str">
        <f>"367500000X"</f>
        <v>367500000X</v>
      </c>
      <c r="D14092" t="str">
        <f>"THOMPSON                 KALYN        E           "</f>
        <v xml:space="preserve">THOMPSON                 KALYN        E           </v>
      </c>
      <c r="E14092" t="str">
        <f>"MERIDIAN                  "</f>
        <v xml:space="preserve">MERIDIAN                  </v>
      </c>
      <c r="F14092" t="str">
        <f t="shared" si="359"/>
        <v>MS</v>
      </c>
    </row>
    <row r="14093" spans="1:6" x14ac:dyDescent="0.25">
      <c r="A14093" t="str">
        <f>"009259057"</f>
        <v>009259057</v>
      </c>
      <c r="B14093" t="str">
        <f>"1952494718"</f>
        <v>1952494718</v>
      </c>
      <c r="C14093" t="str">
        <f>"207X00000X"</f>
        <v>207X00000X</v>
      </c>
      <c r="D14093" t="str">
        <f>"ALTMYER                  CHAD         S           "</f>
        <v xml:space="preserve">ALTMYER                  CHAD         S           </v>
      </c>
      <c r="E14093" t="str">
        <f>"STARKVILLE                "</f>
        <v xml:space="preserve">STARKVILLE                </v>
      </c>
      <c r="F14093" t="str">
        <f t="shared" si="359"/>
        <v>MS</v>
      </c>
    </row>
    <row r="14094" spans="1:6" x14ac:dyDescent="0.25">
      <c r="A14094" t="str">
        <f>"009272321"</f>
        <v>009272321</v>
      </c>
      <c r="B14094" t="str">
        <f>"1356707400"</f>
        <v>1356707400</v>
      </c>
      <c r="C14094" t="str">
        <f>"363L00000X"</f>
        <v>363L00000X</v>
      </c>
      <c r="D14094" t="str">
        <f>"WARREN                   JENNIFER     K           "</f>
        <v xml:space="preserve">WARREN                   JENNIFER     K           </v>
      </c>
      <c r="E14094" t="str">
        <f>"TUPELO                    "</f>
        <v xml:space="preserve">TUPELO                    </v>
      </c>
      <c r="F14094" t="str">
        <f t="shared" si="359"/>
        <v>MS</v>
      </c>
    </row>
    <row r="14095" spans="1:6" x14ac:dyDescent="0.25">
      <c r="A14095" t="str">
        <f>"009273761"</f>
        <v>009273761</v>
      </c>
      <c r="B14095" t="str">
        <f>"1891082715"</f>
        <v>1891082715</v>
      </c>
      <c r="C14095" t="str">
        <f>"122300000X"</f>
        <v>122300000X</v>
      </c>
      <c r="D14095" t="str">
        <f>"WOOLFOLK                 JONATHAN     A           "</f>
        <v xml:space="preserve">WOOLFOLK                 JONATHAN     A           </v>
      </c>
      <c r="E14095" t="str">
        <f>"STARKVILLE                "</f>
        <v xml:space="preserve">STARKVILLE                </v>
      </c>
      <c r="F14095" t="str">
        <f t="shared" si="359"/>
        <v>MS</v>
      </c>
    </row>
    <row r="14096" spans="1:6" x14ac:dyDescent="0.25">
      <c r="A14096" t="str">
        <f>"009275067"</f>
        <v>009275067</v>
      </c>
      <c r="B14096" t="str">
        <f>"1306450358"</f>
        <v>1306450358</v>
      </c>
      <c r="C14096" t="str">
        <f>"363L00000X"</f>
        <v>363L00000X</v>
      </c>
      <c r="D14096" t="str">
        <f>"DAVIS                    SARA                     "</f>
        <v xml:space="preserve">DAVIS                    SARA                     </v>
      </c>
      <c r="E14096" t="str">
        <f>"GREENVILLE                "</f>
        <v xml:space="preserve">GREENVILLE                </v>
      </c>
      <c r="F14096" t="str">
        <f t="shared" si="359"/>
        <v>MS</v>
      </c>
    </row>
    <row r="14097" spans="1:6" x14ac:dyDescent="0.25">
      <c r="A14097" t="str">
        <f>"009276202"</f>
        <v>009276202</v>
      </c>
      <c r="B14097" t="str">
        <f>"1154669786"</f>
        <v>1154669786</v>
      </c>
      <c r="C14097" t="str">
        <f>"363L00000X"</f>
        <v>363L00000X</v>
      </c>
      <c r="D14097" t="str">
        <f>"ZOLLICOFFER              LAKENDRIA                "</f>
        <v xml:space="preserve">ZOLLICOFFER              LAKENDRIA                </v>
      </c>
      <c r="E14097" t="str">
        <f>"JACKSON                   "</f>
        <v xml:space="preserve">JACKSON                   </v>
      </c>
      <c r="F14097" t="str">
        <f t="shared" si="359"/>
        <v>MS</v>
      </c>
    </row>
    <row r="14098" spans="1:6" x14ac:dyDescent="0.25">
      <c r="A14098" t="str">
        <f>"009276222"</f>
        <v>009276222</v>
      </c>
      <c r="B14098" t="str">
        <f>"1225205313"</f>
        <v>1225205313</v>
      </c>
      <c r="C14098" t="str">
        <f>"207Q00000X"</f>
        <v>207Q00000X</v>
      </c>
      <c r="D14098" t="str">
        <f>"WALKER                   ROBERT       K           "</f>
        <v xml:space="preserve">WALKER                   ROBERT       K           </v>
      </c>
      <c r="E14098" t="str">
        <f>"BROOKHAVEN                "</f>
        <v xml:space="preserve">BROOKHAVEN                </v>
      </c>
      <c r="F14098" t="str">
        <f t="shared" si="359"/>
        <v>MS</v>
      </c>
    </row>
    <row r="14099" spans="1:6" x14ac:dyDescent="0.25">
      <c r="A14099" t="str">
        <f>"009276365"</f>
        <v>009276365</v>
      </c>
      <c r="B14099" t="str">
        <f>"1265961932"</f>
        <v>1265961932</v>
      </c>
      <c r="C14099" t="str">
        <f>"363L00000X"</f>
        <v>363L00000X</v>
      </c>
      <c r="D14099" t="str">
        <f>"WELCH                    DONALD       R           "</f>
        <v xml:space="preserve">WELCH                    DONALD       R           </v>
      </c>
      <c r="E14099" t="str">
        <f>"LAUREL                    "</f>
        <v xml:space="preserve">LAUREL                    </v>
      </c>
      <c r="F14099" t="str">
        <f t="shared" si="359"/>
        <v>MS</v>
      </c>
    </row>
    <row r="14100" spans="1:6" x14ac:dyDescent="0.25">
      <c r="A14100" t="str">
        <f>"009277021"</f>
        <v>009277021</v>
      </c>
      <c r="B14100" t="str">
        <f>"1104183938"</f>
        <v>1104183938</v>
      </c>
      <c r="C14100" t="str">
        <f>"207V00000X"</f>
        <v>207V00000X</v>
      </c>
      <c r="D14100" t="str">
        <f>"SMITH                    HALLER       J           "</f>
        <v xml:space="preserve">SMITH                    HALLER       J           </v>
      </c>
      <c r="E14100" t="str">
        <f>"TUPELO                    "</f>
        <v xml:space="preserve">TUPELO                    </v>
      </c>
      <c r="F14100" t="str">
        <f t="shared" si="359"/>
        <v>MS</v>
      </c>
    </row>
    <row r="14101" spans="1:6" x14ac:dyDescent="0.25">
      <c r="A14101" t="str">
        <f>"009278543"</f>
        <v>009278543</v>
      </c>
      <c r="B14101" t="str">
        <f>"1013103449"</f>
        <v>1013103449</v>
      </c>
      <c r="C14101" t="str">
        <f>"207P00000X"</f>
        <v>207P00000X</v>
      </c>
      <c r="D14101" t="str">
        <f>"AWAN                     MONAM        B           "</f>
        <v xml:space="preserve">AWAN                     MONAM        B           </v>
      </c>
      <c r="E14101" t="str">
        <f>"SOUTHAVEN                 "</f>
        <v xml:space="preserve">SOUTHAVEN                 </v>
      </c>
      <c r="F14101" t="str">
        <f t="shared" si="359"/>
        <v>MS</v>
      </c>
    </row>
    <row r="14102" spans="1:6" x14ac:dyDescent="0.25">
      <c r="A14102" t="str">
        <f>"009278566"</f>
        <v>009278566</v>
      </c>
      <c r="B14102" t="str">
        <f>"1174911960"</f>
        <v>1174911960</v>
      </c>
      <c r="C14102" t="str">
        <f>"363L00000X"</f>
        <v>363L00000X</v>
      </c>
      <c r="D14102" t="str">
        <f>"MCELHANEY                BRITTANY     R           "</f>
        <v xml:space="preserve">MCELHANEY                BRITTANY     R           </v>
      </c>
      <c r="E14102" t="str">
        <f>"VANCLEAVE                 "</f>
        <v xml:space="preserve">VANCLEAVE                 </v>
      </c>
      <c r="F14102" t="str">
        <f t="shared" si="359"/>
        <v>MS</v>
      </c>
    </row>
    <row r="14103" spans="1:6" x14ac:dyDescent="0.25">
      <c r="A14103" t="str">
        <f>"009280201"</f>
        <v>009280201</v>
      </c>
      <c r="B14103" t="str">
        <f>"1124170451"</f>
        <v>1124170451</v>
      </c>
      <c r="C14103" t="str">
        <f>"207R00000X"</f>
        <v>207R00000X</v>
      </c>
      <c r="D14103" t="str">
        <f>"FONTAN                   JASON        S           "</f>
        <v xml:space="preserve">FONTAN                   JASON        S           </v>
      </c>
      <c r="E14103" t="str">
        <f>"PASCAGOULA                "</f>
        <v xml:space="preserve">PASCAGOULA                </v>
      </c>
      <c r="F14103" t="str">
        <f t="shared" si="359"/>
        <v>MS</v>
      </c>
    </row>
    <row r="14104" spans="1:6" x14ac:dyDescent="0.25">
      <c r="A14104" t="str">
        <f>"009281595"</f>
        <v>009281595</v>
      </c>
      <c r="B14104" t="str">
        <f>"1164748091"</f>
        <v>1164748091</v>
      </c>
      <c r="C14104" t="str">
        <f>"2085R0202X"</f>
        <v>2085R0202X</v>
      </c>
      <c r="D14104" t="str">
        <f>"PRESLEY                  MARCUS       A           "</f>
        <v xml:space="preserve">PRESLEY                  MARCUS       A           </v>
      </c>
      <c r="E14104" t="str">
        <f>"JACKSON                   "</f>
        <v xml:space="preserve">JACKSON                   </v>
      </c>
      <c r="F14104" t="str">
        <f t="shared" si="359"/>
        <v>MS</v>
      </c>
    </row>
    <row r="14105" spans="1:6" x14ac:dyDescent="0.25">
      <c r="A14105" t="str">
        <f>"009282811"</f>
        <v>009282811</v>
      </c>
      <c r="B14105" t="str">
        <f>"1336140078"</f>
        <v>1336140078</v>
      </c>
      <c r="C14105" t="str">
        <f>"2085R0202X"</f>
        <v>2085R0202X</v>
      </c>
      <c r="D14105" t="str">
        <f>"CUNNINGHAM               STEVEN       G           "</f>
        <v xml:space="preserve">CUNNINGHAM               STEVEN       G           </v>
      </c>
      <c r="E14105" t="str">
        <f>"HATTIESBURG               "</f>
        <v xml:space="preserve">HATTIESBURG               </v>
      </c>
      <c r="F14105" t="str">
        <f t="shared" si="359"/>
        <v>MS</v>
      </c>
    </row>
    <row r="14106" spans="1:6" x14ac:dyDescent="0.25">
      <c r="A14106" t="str">
        <f>"009284702"</f>
        <v>009284702</v>
      </c>
      <c r="B14106" t="str">
        <f>"1245620046"</f>
        <v>1245620046</v>
      </c>
      <c r="C14106" t="str">
        <f>"207R00000X"</f>
        <v>207R00000X</v>
      </c>
      <c r="D14106" t="str">
        <f>"SANDERS                  MORGAN       M           "</f>
        <v xml:space="preserve">SANDERS                  MORGAN       M           </v>
      </c>
      <c r="E14106" t="str">
        <f>"GULFPORT                  "</f>
        <v xml:space="preserve">GULFPORT                  </v>
      </c>
      <c r="F14106" t="str">
        <f t="shared" si="359"/>
        <v>MS</v>
      </c>
    </row>
    <row r="14107" spans="1:6" x14ac:dyDescent="0.25">
      <c r="A14107" t="str">
        <f>"009285206"</f>
        <v>009285206</v>
      </c>
      <c r="B14107" t="str">
        <f>"1871121236"</f>
        <v>1871121236</v>
      </c>
      <c r="C14107" t="str">
        <f>"207R00000X"</f>
        <v>207R00000X</v>
      </c>
      <c r="D14107" t="str">
        <f>"FARMER                   SARAH                    "</f>
        <v xml:space="preserve">FARMER                   SARAH                    </v>
      </c>
      <c r="E14107" t="str">
        <f>"JACKSON                   "</f>
        <v xml:space="preserve">JACKSON                   </v>
      </c>
      <c r="F14107" t="str">
        <f t="shared" si="359"/>
        <v>MS</v>
      </c>
    </row>
    <row r="14108" spans="1:6" x14ac:dyDescent="0.25">
      <c r="A14108" t="str">
        <f>"009287065"</f>
        <v>009287065</v>
      </c>
      <c r="B14108" t="str">
        <f>"1811587116"</f>
        <v>1811587116</v>
      </c>
      <c r="C14108" t="str">
        <f>"363L00000X"</f>
        <v>363L00000X</v>
      </c>
      <c r="D14108" t="str">
        <f>"HO                       KEVIN                    "</f>
        <v xml:space="preserve">HO                       KEVIN                    </v>
      </c>
      <c r="E14108" t="str">
        <f>"HATTIESBURG               "</f>
        <v xml:space="preserve">HATTIESBURG               </v>
      </c>
      <c r="F14108" t="str">
        <f t="shared" si="359"/>
        <v>MS</v>
      </c>
    </row>
    <row r="14109" spans="1:6" x14ac:dyDescent="0.25">
      <c r="A14109" t="str">
        <f>"009289797"</f>
        <v>009289797</v>
      </c>
      <c r="B14109" t="str">
        <f>"1407018302"</f>
        <v>1407018302</v>
      </c>
      <c r="C14109" t="str">
        <f>"208000000X"</f>
        <v>208000000X</v>
      </c>
      <c r="D14109" t="str">
        <f>"ADCOCK                   MICHAEL      A           "</f>
        <v xml:space="preserve">ADCOCK                   MICHAEL      A           </v>
      </c>
      <c r="E14109" t="str">
        <f>"FLOWOOD                   "</f>
        <v xml:space="preserve">FLOWOOD                   </v>
      </c>
      <c r="F14109" t="str">
        <f t="shared" si="359"/>
        <v>MS</v>
      </c>
    </row>
    <row r="14110" spans="1:6" x14ac:dyDescent="0.25">
      <c r="A14110" t="str">
        <f>"009300503"</f>
        <v>009300503</v>
      </c>
      <c r="B14110" t="str">
        <f>"1780799965"</f>
        <v>1780799965</v>
      </c>
      <c r="C14110" t="str">
        <f>"207RC0000X"</f>
        <v>207RC0000X</v>
      </c>
      <c r="D14110" t="str">
        <f>"MOUANNES                 WASSIM       E           "</f>
        <v xml:space="preserve">MOUANNES                 WASSIM       E           </v>
      </c>
      <c r="E14110" t="str">
        <f>"LAUREL                    "</f>
        <v xml:space="preserve">LAUREL                    </v>
      </c>
      <c r="F14110" t="str">
        <f t="shared" si="359"/>
        <v>MS</v>
      </c>
    </row>
    <row r="14111" spans="1:6" x14ac:dyDescent="0.25">
      <c r="A14111" t="str">
        <f>"009300570"</f>
        <v>009300570</v>
      </c>
      <c r="B14111" t="str">
        <f>"1619356722"</f>
        <v>1619356722</v>
      </c>
      <c r="C14111" t="str">
        <f>"207R00000X"</f>
        <v>207R00000X</v>
      </c>
      <c r="D14111" t="str">
        <f>"HAYWARD                  LAUREN       P           "</f>
        <v xml:space="preserve">HAYWARD                  LAUREN       P           </v>
      </c>
      <c r="E14111" t="str">
        <f>"JACKSON                   "</f>
        <v xml:space="preserve">JACKSON                   </v>
      </c>
      <c r="F14111" t="str">
        <f t="shared" si="359"/>
        <v>MS</v>
      </c>
    </row>
    <row r="14112" spans="1:6" x14ac:dyDescent="0.25">
      <c r="A14112" t="str">
        <f>"009300800"</f>
        <v>009300800</v>
      </c>
      <c r="B14112" t="str">
        <f>"1164832408"</f>
        <v>1164832408</v>
      </c>
      <c r="C14112" t="str">
        <f>"367500000X"</f>
        <v>367500000X</v>
      </c>
      <c r="D14112" t="str">
        <f>"WHITTINGTON              LACEY                    "</f>
        <v xml:space="preserve">WHITTINGTON              LACEY                    </v>
      </c>
      <c r="E14112" t="str">
        <f>"JACKSON                   "</f>
        <v xml:space="preserve">JACKSON                   </v>
      </c>
      <c r="F14112" t="str">
        <f t="shared" si="359"/>
        <v>MS</v>
      </c>
    </row>
    <row r="14113" spans="1:6" x14ac:dyDescent="0.25">
      <c r="A14113" t="str">
        <f>"009300810"</f>
        <v>009300810</v>
      </c>
      <c r="B14113" t="str">
        <f>"1427269331"</f>
        <v>1427269331</v>
      </c>
      <c r="C14113" t="str">
        <f>"207RH0003X"</f>
        <v>207RH0003X</v>
      </c>
      <c r="D14113" t="str">
        <f>"CASSELL                  MATTHEW      W           "</f>
        <v xml:space="preserve">CASSELL                  MATTHEW      W           </v>
      </c>
      <c r="E14113" t="str">
        <f>"MERIDIAN                  "</f>
        <v xml:space="preserve">MERIDIAN                  </v>
      </c>
      <c r="F14113" t="str">
        <f t="shared" si="359"/>
        <v>MS</v>
      </c>
    </row>
    <row r="14114" spans="1:6" x14ac:dyDescent="0.25">
      <c r="A14114" t="str">
        <f>"009302042"</f>
        <v>009302042</v>
      </c>
      <c r="B14114" t="str">
        <f>"1134259765"</f>
        <v>1134259765</v>
      </c>
      <c r="C14114" t="str">
        <f>"122300000X"</f>
        <v>122300000X</v>
      </c>
      <c r="D14114" t="str">
        <f>"COURTNEY                 REBECCA      C           "</f>
        <v xml:space="preserve">COURTNEY                 REBECCA      C           </v>
      </c>
      <c r="E14114" t="str">
        <f>"WIGGINS                   "</f>
        <v xml:space="preserve">WIGGINS                   </v>
      </c>
      <c r="F14114" t="str">
        <f t="shared" si="359"/>
        <v>MS</v>
      </c>
    </row>
    <row r="14115" spans="1:6" x14ac:dyDescent="0.25">
      <c r="A14115" t="str">
        <f>"009302334"</f>
        <v>009302334</v>
      </c>
      <c r="B14115" t="str">
        <f>"1104853803"</f>
        <v>1104853803</v>
      </c>
      <c r="C14115" t="str">
        <f>"207V00000X"</f>
        <v>207V00000X</v>
      </c>
      <c r="D14115" t="str">
        <f>"HARPER                   JULIE        G           "</f>
        <v xml:space="preserve">HARPER                   JULIE        G           </v>
      </c>
      <c r="E14115" t="str">
        <f>"OXFORD                    "</f>
        <v xml:space="preserve">OXFORD                    </v>
      </c>
      <c r="F14115" t="str">
        <f t="shared" si="359"/>
        <v>MS</v>
      </c>
    </row>
    <row r="14116" spans="1:6" x14ac:dyDescent="0.25">
      <c r="A14116" t="str">
        <f>"009302506"</f>
        <v>009302506</v>
      </c>
      <c r="B14116" t="str">
        <f>"1821181942"</f>
        <v>1821181942</v>
      </c>
      <c r="C14116" t="str">
        <f>"207T00000X"</f>
        <v>207T00000X</v>
      </c>
      <c r="D14116" t="str">
        <f>"MELGAR                   MIGUEL       A           "</f>
        <v xml:space="preserve">MELGAR                   MIGUEL       A           </v>
      </c>
      <c r="E14116" t="str">
        <f>"GULFPORT                  "</f>
        <v xml:space="preserve">GULFPORT                  </v>
      </c>
      <c r="F14116" t="str">
        <f t="shared" si="359"/>
        <v>MS</v>
      </c>
    </row>
    <row r="14117" spans="1:6" x14ac:dyDescent="0.25">
      <c r="A14117" t="str">
        <f>"009302552"</f>
        <v>009302552</v>
      </c>
      <c r="B14117" t="str">
        <f>"1811464548"</f>
        <v>1811464548</v>
      </c>
      <c r="C14117" t="str">
        <f>"363L00000X"</f>
        <v>363L00000X</v>
      </c>
      <c r="D14117" t="str">
        <f>"GILREATH                 APRIL        L           "</f>
        <v xml:space="preserve">GILREATH                 APRIL        L           </v>
      </c>
      <c r="E14117" t="str">
        <f>"TUPELO                    "</f>
        <v xml:space="preserve">TUPELO                    </v>
      </c>
      <c r="F14117" t="str">
        <f t="shared" si="359"/>
        <v>MS</v>
      </c>
    </row>
    <row r="14118" spans="1:6" x14ac:dyDescent="0.25">
      <c r="A14118" t="str">
        <f>"009303041"</f>
        <v>009303041</v>
      </c>
      <c r="B14118" t="str">
        <f>"1669784385"</f>
        <v>1669784385</v>
      </c>
      <c r="C14118" t="str">
        <f>"2080P0204X"</f>
        <v>2080P0204X</v>
      </c>
      <c r="D14118" t="str">
        <f>"GOMEZ                    FERNANDO                 "</f>
        <v xml:space="preserve">GOMEZ                    FERNANDO                 </v>
      </c>
      <c r="E14118" t="str">
        <f>"JACKSON                   "</f>
        <v xml:space="preserve">JACKSON                   </v>
      </c>
      <c r="F14118" t="str">
        <f t="shared" si="359"/>
        <v>MS</v>
      </c>
    </row>
    <row r="14119" spans="1:6" x14ac:dyDescent="0.25">
      <c r="A14119" t="str">
        <f>"009304801"</f>
        <v>009304801</v>
      </c>
      <c r="B14119" t="str">
        <f>"1851585285"</f>
        <v>1851585285</v>
      </c>
      <c r="C14119" t="str">
        <f>"122300000X"</f>
        <v>122300000X</v>
      </c>
      <c r="D14119" t="str">
        <f>"WARE                     LATONYA      S           "</f>
        <v xml:space="preserve">WARE                     LATONYA      S           </v>
      </c>
      <c r="E14119" t="str">
        <f>"GRENADA                   "</f>
        <v xml:space="preserve">GRENADA                   </v>
      </c>
      <c r="F14119" t="str">
        <f t="shared" si="359"/>
        <v>MS</v>
      </c>
    </row>
    <row r="14120" spans="1:6" x14ac:dyDescent="0.25">
      <c r="A14120" t="str">
        <f>"009306567"</f>
        <v>009306567</v>
      </c>
      <c r="B14120" t="str">
        <f>"1588095251"</f>
        <v>1588095251</v>
      </c>
      <c r="C14120" t="str">
        <f>"363L00000X"</f>
        <v>363L00000X</v>
      </c>
      <c r="D14120" t="str">
        <f>"BARKLEY                  LORI                     "</f>
        <v xml:space="preserve">BARKLEY                  LORI                     </v>
      </c>
      <c r="E14120" t="str">
        <f>"TUPELO                    "</f>
        <v xml:space="preserve">TUPELO                    </v>
      </c>
      <c r="F14120" t="str">
        <f t="shared" si="359"/>
        <v>MS</v>
      </c>
    </row>
    <row r="14121" spans="1:6" x14ac:dyDescent="0.25">
      <c r="A14121" t="str">
        <f>"009306761"</f>
        <v>009306761</v>
      </c>
      <c r="B14121" t="str">
        <f>"1588084198"</f>
        <v>1588084198</v>
      </c>
      <c r="C14121" t="str">
        <f>"207N00000X"</f>
        <v>207N00000X</v>
      </c>
      <c r="D14121" t="str">
        <f>"CRUSE                    ALLISON      R           "</f>
        <v xml:space="preserve">CRUSE                    ALLISON      R           </v>
      </c>
      <c r="E14121" t="str">
        <f>"JACKSON                   "</f>
        <v xml:space="preserve">JACKSON                   </v>
      </c>
      <c r="F14121" t="str">
        <f t="shared" si="359"/>
        <v>MS</v>
      </c>
    </row>
    <row r="14122" spans="1:6" x14ac:dyDescent="0.25">
      <c r="A14122" t="str">
        <f>"009309350"</f>
        <v>009309350</v>
      </c>
      <c r="B14122" t="str">
        <f>"1518308469"</f>
        <v>1518308469</v>
      </c>
      <c r="C14122" t="str">
        <f>"2085R0202X"</f>
        <v>2085R0202X</v>
      </c>
      <c r="D14122" t="str">
        <f>"WEATHERLY                BRANDON      B           "</f>
        <v xml:space="preserve">WEATHERLY                BRANDON      B           </v>
      </c>
      <c r="E14122" t="str">
        <f>"JACKSON                   "</f>
        <v xml:space="preserve">JACKSON                   </v>
      </c>
      <c r="F14122" t="str">
        <f t="shared" si="359"/>
        <v>MS</v>
      </c>
    </row>
    <row r="14123" spans="1:6" x14ac:dyDescent="0.25">
      <c r="A14123" t="str">
        <f>"009309862"</f>
        <v>009309862</v>
      </c>
      <c r="B14123" t="str">
        <f>"1104332808"</f>
        <v>1104332808</v>
      </c>
      <c r="C14123" t="str">
        <f>"363L00000X"</f>
        <v>363L00000X</v>
      </c>
      <c r="D14123" t="str">
        <f>"CHAPPELL                 ROBERT       D           "</f>
        <v xml:space="preserve">CHAPPELL                 ROBERT       D           </v>
      </c>
      <c r="E14123" t="str">
        <f>"BROOKHAVEN                "</f>
        <v xml:space="preserve">BROOKHAVEN                </v>
      </c>
      <c r="F14123" t="str">
        <f t="shared" si="359"/>
        <v>MS</v>
      </c>
    </row>
    <row r="14124" spans="1:6" x14ac:dyDescent="0.25">
      <c r="A14124" t="str">
        <f>"009320839"</f>
        <v>009320839</v>
      </c>
      <c r="B14124" t="str">
        <f>"1386046472"</f>
        <v>1386046472</v>
      </c>
      <c r="C14124" t="str">
        <f>"261QE0700X"</f>
        <v>261QE0700X</v>
      </c>
      <c r="D14124" t="str">
        <f>"FRESENIUS MEDICAL CARE CENTRAL ALBA               "</f>
        <v xml:space="preserve">FRESENIUS MEDICAL CARE CENTRAL ALBA               </v>
      </c>
      <c r="E14124" t="str">
        <f>"NEW ALBANY                "</f>
        <v xml:space="preserve">NEW ALBANY                </v>
      </c>
      <c r="F14124" t="str">
        <f t="shared" si="359"/>
        <v>MS</v>
      </c>
    </row>
    <row r="14125" spans="1:6" x14ac:dyDescent="0.25">
      <c r="A14125" t="str">
        <f>"009320886"</f>
        <v>009320886</v>
      </c>
      <c r="B14125" t="str">
        <f>"1912160862"</f>
        <v>1912160862</v>
      </c>
      <c r="C14125" t="str">
        <f>"122300000X"</f>
        <v>122300000X</v>
      </c>
      <c r="D14125" t="str">
        <f>"LUMBLEY                  JENNIFER     C           "</f>
        <v xml:space="preserve">LUMBLEY                  JENNIFER     C           </v>
      </c>
      <c r="E14125" t="str">
        <f>"FLOWOOD                   "</f>
        <v xml:space="preserve">FLOWOOD                   </v>
      </c>
      <c r="F14125" t="str">
        <f t="shared" si="359"/>
        <v>MS</v>
      </c>
    </row>
    <row r="14126" spans="1:6" x14ac:dyDescent="0.25">
      <c r="A14126" t="str">
        <f>"009321391"</f>
        <v>009321391</v>
      </c>
      <c r="B14126" t="str">
        <f>"1316346968"</f>
        <v>1316346968</v>
      </c>
      <c r="C14126" t="str">
        <f>"207R00000X"</f>
        <v>207R00000X</v>
      </c>
      <c r="D14126" t="str">
        <f>"DERA                     AKRAM        E           "</f>
        <v xml:space="preserve">DERA                     AKRAM        E           </v>
      </c>
      <c r="E14126" t="str">
        <f>"HATTIESBURG               "</f>
        <v xml:space="preserve">HATTIESBURG               </v>
      </c>
      <c r="F14126" t="str">
        <f t="shared" si="359"/>
        <v>MS</v>
      </c>
    </row>
    <row r="14127" spans="1:6" x14ac:dyDescent="0.25">
      <c r="A14127" t="str">
        <f>"009321728"</f>
        <v>009321728</v>
      </c>
      <c r="B14127" t="str">
        <f>"1053681213"</f>
        <v>1053681213</v>
      </c>
      <c r="C14127" t="str">
        <f>"363L00000X"</f>
        <v>363L00000X</v>
      </c>
      <c r="D14127" t="str">
        <f>"VAUGHN                   JOYCE        C           "</f>
        <v xml:space="preserve">VAUGHN                   JOYCE        C           </v>
      </c>
      <c r="E14127" t="str">
        <f>"YAZOO CITY                "</f>
        <v xml:space="preserve">YAZOO CITY                </v>
      </c>
      <c r="F14127" t="str">
        <f t="shared" si="359"/>
        <v>MS</v>
      </c>
    </row>
    <row r="14128" spans="1:6" x14ac:dyDescent="0.25">
      <c r="A14128" t="str">
        <f>"009322257"</f>
        <v>009322257</v>
      </c>
      <c r="B14128" t="str">
        <f>"1699292797"</f>
        <v>1699292797</v>
      </c>
      <c r="C14128" t="str">
        <f>"261QF0400X"</f>
        <v>261QF0400X</v>
      </c>
      <c r="D14128" t="str">
        <f>"MISSISSIPPICARE 113                               "</f>
        <v xml:space="preserve">MISSISSIPPICARE 113                               </v>
      </c>
      <c r="E14128" t="str">
        <f>"PONTOTOC                  "</f>
        <v xml:space="preserve">PONTOTOC                  </v>
      </c>
      <c r="F14128" t="str">
        <f t="shared" si="359"/>
        <v>MS</v>
      </c>
    </row>
    <row r="14129" spans="1:6" x14ac:dyDescent="0.25">
      <c r="A14129" t="str">
        <f>"009322378"</f>
        <v>009322378</v>
      </c>
      <c r="B14129" t="str">
        <f>"1598779621"</f>
        <v>1598779621</v>
      </c>
      <c r="C14129" t="str">
        <f>"207W00000X"</f>
        <v>207W00000X</v>
      </c>
      <c r="D14129" t="str">
        <f>"GARRETT                  JENNIFER     H           "</f>
        <v xml:space="preserve">GARRETT                  JENNIFER     H           </v>
      </c>
      <c r="E14129" t="str">
        <f>"CORINTH                   "</f>
        <v xml:space="preserve">CORINTH                   </v>
      </c>
      <c r="F14129" t="str">
        <f t="shared" si="359"/>
        <v>MS</v>
      </c>
    </row>
    <row r="14130" spans="1:6" x14ac:dyDescent="0.25">
      <c r="A14130" t="str">
        <f>"009322818"</f>
        <v>009322818</v>
      </c>
      <c r="B14130" t="str">
        <f>"1003998303"</f>
        <v>1003998303</v>
      </c>
      <c r="C14130" t="str">
        <f>"207L00000X"</f>
        <v>207L00000X</v>
      </c>
      <c r="D14130" t="str">
        <f>"ROBERTSON                CHARLES      M           "</f>
        <v xml:space="preserve">ROBERTSON                CHARLES      M           </v>
      </c>
      <c r="E14130" t="str">
        <f>"JACKSON                   "</f>
        <v xml:space="preserve">JACKSON                   </v>
      </c>
      <c r="F14130" t="str">
        <f t="shared" si="359"/>
        <v>MS</v>
      </c>
    </row>
    <row r="14131" spans="1:6" x14ac:dyDescent="0.25">
      <c r="A14131" t="str">
        <f>"009323311"</f>
        <v>009323311</v>
      </c>
      <c r="B14131" t="str">
        <f>"1144862863"</f>
        <v>1144862863</v>
      </c>
      <c r="C14131" t="str">
        <f>"363L00000X"</f>
        <v>363L00000X</v>
      </c>
      <c r="D14131" t="str">
        <f>"DANCY                    MARK         A           "</f>
        <v xml:space="preserve">DANCY                    MARK         A           </v>
      </c>
      <c r="E14131" t="str">
        <f>"JACKSON                   "</f>
        <v xml:space="preserve">JACKSON                   </v>
      </c>
      <c r="F14131" t="str">
        <f t="shared" si="359"/>
        <v>MS</v>
      </c>
    </row>
    <row r="14132" spans="1:6" x14ac:dyDescent="0.25">
      <c r="A14132" t="str">
        <f>"009323358"</f>
        <v>009323358</v>
      </c>
      <c r="B14132" t="str">
        <f>"1457685331"</f>
        <v>1457685331</v>
      </c>
      <c r="C14132" t="str">
        <f>"207W00000X"</f>
        <v>207W00000X</v>
      </c>
      <c r="D14132" t="str">
        <f>"WILLIAMS                 STEVEN                   "</f>
        <v xml:space="preserve">WILLIAMS                 STEVEN                   </v>
      </c>
      <c r="E14132" t="str">
        <f>"CORINTH                   "</f>
        <v xml:space="preserve">CORINTH                   </v>
      </c>
      <c r="F14132" t="str">
        <f t="shared" si="359"/>
        <v>MS</v>
      </c>
    </row>
    <row r="14133" spans="1:6" x14ac:dyDescent="0.25">
      <c r="A14133" t="str">
        <f>"009324076"</f>
        <v>009324076</v>
      </c>
      <c r="B14133" t="str">
        <f>"1962704957"</f>
        <v>1962704957</v>
      </c>
      <c r="C14133" t="str">
        <f>"363L00000X"</f>
        <v>363L00000X</v>
      </c>
      <c r="D14133" t="str">
        <f>"CHOINA-KARAMAT           KIMBERLY                 "</f>
        <v xml:space="preserve">CHOINA-KARAMAT           KIMBERLY                 </v>
      </c>
      <c r="E14133" t="str">
        <f>"GULFPORT                  "</f>
        <v xml:space="preserve">GULFPORT                  </v>
      </c>
      <c r="F14133" t="str">
        <f t="shared" si="359"/>
        <v>MS</v>
      </c>
    </row>
    <row r="14134" spans="1:6" x14ac:dyDescent="0.25">
      <c r="A14134" t="str">
        <f>"009324586"</f>
        <v>009324586</v>
      </c>
      <c r="B14134" t="str">
        <f>"1174987648"</f>
        <v>1174987648</v>
      </c>
      <c r="C14134" t="str">
        <f>"207R00000X"</f>
        <v>207R00000X</v>
      </c>
      <c r="D14134" t="str">
        <f>"ROMERO BARRETO           KEILA        C           "</f>
        <v xml:space="preserve">ROMERO BARRETO           KEILA        C           </v>
      </c>
      <c r="E14134" t="str">
        <f>"TUPELO                    "</f>
        <v xml:space="preserve">TUPELO                    </v>
      </c>
      <c r="F14134" t="str">
        <f t="shared" si="359"/>
        <v>MS</v>
      </c>
    </row>
    <row r="14135" spans="1:6" x14ac:dyDescent="0.25">
      <c r="A14135" t="str">
        <f>"009324726"</f>
        <v>009324726</v>
      </c>
      <c r="B14135" t="str">
        <f>"1235702416"</f>
        <v>1235702416</v>
      </c>
      <c r="C14135" t="str">
        <f>"122300000X"</f>
        <v>122300000X</v>
      </c>
      <c r="D14135" t="str">
        <f>"STONEFIELD               SARAH                    "</f>
        <v xml:space="preserve">STONEFIELD               SARAH                    </v>
      </c>
      <c r="E14135" t="str">
        <f>"HATTIESBURG               "</f>
        <v xml:space="preserve">HATTIESBURG               </v>
      </c>
      <c r="F14135" t="str">
        <f t="shared" si="359"/>
        <v>MS</v>
      </c>
    </row>
    <row r="14136" spans="1:6" x14ac:dyDescent="0.25">
      <c r="A14136" t="str">
        <f>"009326201"</f>
        <v>009326201</v>
      </c>
      <c r="B14136" t="str">
        <f>"1902317969"</f>
        <v>1902317969</v>
      </c>
      <c r="C14136" t="str">
        <f>"363L00000X"</f>
        <v>363L00000X</v>
      </c>
      <c r="D14136" t="str">
        <f>"ALBIN                    JENNIFER                 "</f>
        <v xml:space="preserve">ALBIN                    JENNIFER                 </v>
      </c>
      <c r="E14136" t="str">
        <f>"FLOWOOD                   "</f>
        <v xml:space="preserve">FLOWOOD                   </v>
      </c>
      <c r="F14136" t="str">
        <f t="shared" si="359"/>
        <v>MS</v>
      </c>
    </row>
    <row r="14137" spans="1:6" x14ac:dyDescent="0.25">
      <c r="A14137" t="str">
        <f>"009326573"</f>
        <v>009326573</v>
      </c>
      <c r="B14137" t="str">
        <f>"1114488095"</f>
        <v>1114488095</v>
      </c>
      <c r="C14137" t="str">
        <f>"207Q00000X"</f>
        <v>207Q00000X</v>
      </c>
      <c r="D14137" t="str">
        <f>"RAWLS                    CHRISTOPHER  R           "</f>
        <v xml:space="preserve">RAWLS                    CHRISTOPHER  R           </v>
      </c>
      <c r="E14137" t="str">
        <f>"PURVIS                    "</f>
        <v xml:space="preserve">PURVIS                    </v>
      </c>
      <c r="F14137" t="str">
        <f t="shared" si="359"/>
        <v>MS</v>
      </c>
    </row>
    <row r="14138" spans="1:6" x14ac:dyDescent="0.25">
      <c r="A14138" t="str">
        <f>"009328771"</f>
        <v>009328771</v>
      </c>
      <c r="B14138" t="str">
        <f>"1053845610"</f>
        <v>1053845610</v>
      </c>
      <c r="C14138" t="str">
        <f>"363L00000X"</f>
        <v>363L00000X</v>
      </c>
      <c r="D14138" t="str">
        <f>"MONTGOMERY               PRECIOUS     R           "</f>
        <v xml:space="preserve">MONTGOMERY               PRECIOUS     R           </v>
      </c>
      <c r="E14138" t="str">
        <f>"TUPELO                    "</f>
        <v xml:space="preserve">TUPELO                    </v>
      </c>
      <c r="F14138" t="str">
        <f t="shared" si="359"/>
        <v>MS</v>
      </c>
    </row>
    <row r="14139" spans="1:6" x14ac:dyDescent="0.25">
      <c r="A14139" t="str">
        <f>"009329529"</f>
        <v>009329529</v>
      </c>
      <c r="B14139" t="str">
        <f>"1316399546"</f>
        <v>1316399546</v>
      </c>
      <c r="C14139" t="str">
        <f>"208000000X"</f>
        <v>208000000X</v>
      </c>
      <c r="D14139" t="str">
        <f>"SANTIAGO MONTALVO        CRISTINE     M           "</f>
        <v xml:space="preserve">SANTIAGO MONTALVO        CRISTINE     M           </v>
      </c>
      <c r="E14139" t="str">
        <f>"CANTON                    "</f>
        <v xml:space="preserve">CANTON                    </v>
      </c>
      <c r="F14139" t="str">
        <f t="shared" si="359"/>
        <v>MS</v>
      </c>
    </row>
    <row r="14140" spans="1:6" x14ac:dyDescent="0.25">
      <c r="A14140" t="str">
        <f>"009330877"</f>
        <v>009330877</v>
      </c>
      <c r="B14140" t="str">
        <f>"1003239294"</f>
        <v>1003239294</v>
      </c>
      <c r="C14140" t="str">
        <f>"363L00000X"</f>
        <v>363L00000X</v>
      </c>
      <c r="D14140" t="str">
        <f>"LADNER                   TRACY        L           "</f>
        <v xml:space="preserve">LADNER                   TRACY        L           </v>
      </c>
      <c r="E14140" t="str">
        <f>"PICAYUNE                  "</f>
        <v xml:space="preserve">PICAYUNE                  </v>
      </c>
      <c r="F14140" t="str">
        <f t="shared" si="359"/>
        <v>MS</v>
      </c>
    </row>
    <row r="14141" spans="1:6" x14ac:dyDescent="0.25">
      <c r="A14141" t="str">
        <f>"009333052"</f>
        <v>009333052</v>
      </c>
      <c r="B14141" t="str">
        <f>"1568095453"</f>
        <v>1568095453</v>
      </c>
      <c r="C14141" t="str">
        <f>"363L00000X"</f>
        <v>363L00000X</v>
      </c>
      <c r="D14141" t="str">
        <f>"DYCUS                    ROBERT       W           "</f>
        <v xml:space="preserve">DYCUS                    ROBERT       W           </v>
      </c>
      <c r="E14141" t="str">
        <f>"QUITMAN                   "</f>
        <v xml:space="preserve">QUITMAN                   </v>
      </c>
      <c r="F14141" t="str">
        <f t="shared" si="359"/>
        <v>MS</v>
      </c>
    </row>
    <row r="14142" spans="1:6" x14ac:dyDescent="0.25">
      <c r="A14142" t="str">
        <f>"009333800"</f>
        <v>009333800</v>
      </c>
      <c r="B14142" t="str">
        <f>"1801355607"</f>
        <v>1801355607</v>
      </c>
      <c r="C14142" t="str">
        <f>"208000000X"</f>
        <v>208000000X</v>
      </c>
      <c r="D14142" t="str">
        <f>"BUCKELEW                 ANDREW                   "</f>
        <v xml:space="preserve">BUCKELEW                 ANDREW                   </v>
      </c>
      <c r="E14142" t="str">
        <f>"JACKSON                   "</f>
        <v xml:space="preserve">JACKSON                   </v>
      </c>
      <c r="F14142" t="str">
        <f t="shared" ref="F14142:F14205" si="360">"MS"</f>
        <v>MS</v>
      </c>
    </row>
    <row r="14143" spans="1:6" x14ac:dyDescent="0.25">
      <c r="A14143" t="str">
        <f>"009334366"</f>
        <v>009334366</v>
      </c>
      <c r="B14143" t="str">
        <f>"1255752812"</f>
        <v>1255752812</v>
      </c>
      <c r="C14143" t="str">
        <f>"367500000X"</f>
        <v>367500000X</v>
      </c>
      <c r="D14143" t="str">
        <f>"FISHER                   MARK         A           "</f>
        <v xml:space="preserve">FISHER                   MARK         A           </v>
      </c>
      <c r="E14143" t="str">
        <f>"JACKSON                   "</f>
        <v xml:space="preserve">JACKSON                   </v>
      </c>
      <c r="F14143" t="str">
        <f t="shared" si="360"/>
        <v>MS</v>
      </c>
    </row>
    <row r="14144" spans="1:6" x14ac:dyDescent="0.25">
      <c r="A14144" t="str">
        <f>"009334560"</f>
        <v>009334560</v>
      </c>
      <c r="B14144" t="str">
        <f>"1144837451"</f>
        <v>1144837451</v>
      </c>
      <c r="C14144" t="str">
        <f>"363L00000X"</f>
        <v>363L00000X</v>
      </c>
      <c r="D14144" t="str">
        <f>"JENKINS                  KAYLA        A           "</f>
        <v xml:space="preserve">JENKINS                  KAYLA        A           </v>
      </c>
      <c r="E14144" t="str">
        <f>"FULTON                    "</f>
        <v xml:space="preserve">FULTON                    </v>
      </c>
      <c r="F14144" t="str">
        <f t="shared" si="360"/>
        <v>MS</v>
      </c>
    </row>
    <row r="14145" spans="1:6" x14ac:dyDescent="0.25">
      <c r="A14145" t="str">
        <f>"009335095"</f>
        <v>009335095</v>
      </c>
      <c r="B14145" t="str">
        <f>"1326003443"</f>
        <v>1326003443</v>
      </c>
      <c r="C14145" t="str">
        <f>"207X00000X"</f>
        <v>207X00000X</v>
      </c>
      <c r="D14145" t="str">
        <f>"DANKO                    AILEEN       M           "</f>
        <v xml:space="preserve">DANKO                    AILEEN       M           </v>
      </c>
      <c r="E14145" t="str">
        <f>"MADISON                   "</f>
        <v xml:space="preserve">MADISON                   </v>
      </c>
      <c r="F14145" t="str">
        <f t="shared" si="360"/>
        <v>MS</v>
      </c>
    </row>
    <row r="14146" spans="1:6" x14ac:dyDescent="0.25">
      <c r="A14146" t="str">
        <f>"009335562"</f>
        <v>009335562</v>
      </c>
      <c r="B14146" t="str">
        <f>"1982833091"</f>
        <v>1982833091</v>
      </c>
      <c r="C14146" t="str">
        <f>"363L00000X"</f>
        <v>363L00000X</v>
      </c>
      <c r="D14146" t="str">
        <f>"LACEY                    LANISE       C           "</f>
        <v xml:space="preserve">LACEY                    LANISE       C           </v>
      </c>
      <c r="E14146" t="str">
        <f>"VICKSBURG                 "</f>
        <v xml:space="preserve">VICKSBURG                 </v>
      </c>
      <c r="F14146" t="str">
        <f t="shared" si="360"/>
        <v>MS</v>
      </c>
    </row>
    <row r="14147" spans="1:6" x14ac:dyDescent="0.25">
      <c r="A14147" t="str">
        <f>"009336715"</f>
        <v>009336715</v>
      </c>
      <c r="B14147" t="str">
        <f>"1861761348"</f>
        <v>1861761348</v>
      </c>
      <c r="C14147" t="str">
        <f>"363L00000X"</f>
        <v>363L00000X</v>
      </c>
      <c r="D14147" t="str">
        <f>"COCHRAN                  DOMONIQUE    N           "</f>
        <v xml:space="preserve">COCHRAN                  DOMONIQUE    N           </v>
      </c>
      <c r="E14147" t="str">
        <f>"MOSS POINT                "</f>
        <v xml:space="preserve">MOSS POINT                </v>
      </c>
      <c r="F14147" t="str">
        <f t="shared" si="360"/>
        <v>MS</v>
      </c>
    </row>
    <row r="14148" spans="1:6" x14ac:dyDescent="0.25">
      <c r="A14148" t="str">
        <f>"009337094"</f>
        <v>009337094</v>
      </c>
      <c r="B14148" t="str">
        <f>"1154629178"</f>
        <v>1154629178</v>
      </c>
      <c r="C14148" t="str">
        <f>"363L00000X"</f>
        <v>363L00000X</v>
      </c>
      <c r="D14148" t="str">
        <f>"GRAY                     ASHLEY       D           "</f>
        <v xml:space="preserve">GRAY                     ASHLEY       D           </v>
      </c>
      <c r="E14148" t="str">
        <f>"ENTERPRISE                "</f>
        <v xml:space="preserve">ENTERPRISE                </v>
      </c>
      <c r="F14148" t="str">
        <f t="shared" si="360"/>
        <v>MS</v>
      </c>
    </row>
    <row r="14149" spans="1:6" x14ac:dyDescent="0.25">
      <c r="A14149" t="str">
        <f>"009337201"</f>
        <v>009337201</v>
      </c>
      <c r="B14149" t="str">
        <f>"1053951194"</f>
        <v>1053951194</v>
      </c>
      <c r="C14149" t="str">
        <f>"367500000X"</f>
        <v>367500000X</v>
      </c>
      <c r="D14149" t="str">
        <f>"HALLIWELL                ZACHARY                  "</f>
        <v xml:space="preserve">HALLIWELL                ZACHARY                  </v>
      </c>
      <c r="E14149" t="str">
        <f>"BROOKHAVEN                "</f>
        <v xml:space="preserve">BROOKHAVEN                </v>
      </c>
      <c r="F14149" t="str">
        <f t="shared" si="360"/>
        <v>MS</v>
      </c>
    </row>
    <row r="14150" spans="1:6" x14ac:dyDescent="0.25">
      <c r="A14150" t="str">
        <f>"009337556"</f>
        <v>009337556</v>
      </c>
      <c r="B14150" t="str">
        <f>"1457582629"</f>
        <v>1457582629</v>
      </c>
      <c r="C14150" t="str">
        <f>"207Q00000X"</f>
        <v>207Q00000X</v>
      </c>
      <c r="D14150" t="str">
        <f>"ALLEYNE                  PAUL                     "</f>
        <v xml:space="preserve">ALLEYNE                  PAUL                     </v>
      </c>
      <c r="E14150" t="str">
        <f>"JACKSON                   "</f>
        <v xml:space="preserve">JACKSON                   </v>
      </c>
      <c r="F14150" t="str">
        <f t="shared" si="360"/>
        <v>MS</v>
      </c>
    </row>
    <row r="14151" spans="1:6" x14ac:dyDescent="0.25">
      <c r="A14151" t="str">
        <f>"009338201"</f>
        <v>009338201</v>
      </c>
      <c r="B14151" t="str">
        <f>"1851333009"</f>
        <v>1851333009</v>
      </c>
      <c r="C14151" t="str">
        <f>"207Q00000X"</f>
        <v>207Q00000X</v>
      </c>
      <c r="D14151" t="str">
        <f>"SHELBY                   CHRISTOPHER  L           "</f>
        <v xml:space="preserve">SHELBY                   CHRISTOPHER  L           </v>
      </c>
      <c r="E14151" t="str">
        <f>"BILOXI                    "</f>
        <v xml:space="preserve">BILOXI                    </v>
      </c>
      <c r="F14151" t="str">
        <f t="shared" si="360"/>
        <v>MS</v>
      </c>
    </row>
    <row r="14152" spans="1:6" x14ac:dyDescent="0.25">
      <c r="A14152" t="str">
        <f>"009339271"</f>
        <v>009339271</v>
      </c>
      <c r="B14152" t="str">
        <f>"1649745241"</f>
        <v>1649745241</v>
      </c>
      <c r="C14152" t="str">
        <f>"363L00000X"</f>
        <v>363L00000X</v>
      </c>
      <c r="D14152" t="str">
        <f>"MOORE                    CHERMAL                  "</f>
        <v xml:space="preserve">MOORE                    CHERMAL                  </v>
      </c>
      <c r="E14152" t="str">
        <f>"VICKSBURG                 "</f>
        <v xml:space="preserve">VICKSBURG                 </v>
      </c>
      <c r="F14152" t="str">
        <f t="shared" si="360"/>
        <v>MS</v>
      </c>
    </row>
    <row r="14153" spans="1:6" x14ac:dyDescent="0.25">
      <c r="A14153" t="str">
        <f>"009339897"</f>
        <v>009339897</v>
      </c>
      <c r="B14153" t="str">
        <f>"1184392458"</f>
        <v>1184392458</v>
      </c>
      <c r="C14153" t="str">
        <f>"363L00000X"</f>
        <v>363L00000X</v>
      </c>
      <c r="D14153" t="str">
        <f>"WELLS                    MARIA        D           "</f>
        <v xml:space="preserve">WELLS                    MARIA        D           </v>
      </c>
      <c r="E14153" t="str">
        <f>"HATTIESBURG               "</f>
        <v xml:space="preserve">HATTIESBURG               </v>
      </c>
      <c r="F14153" t="str">
        <f t="shared" si="360"/>
        <v>MS</v>
      </c>
    </row>
    <row r="14154" spans="1:6" x14ac:dyDescent="0.25">
      <c r="A14154" t="str">
        <f>"009350615"</f>
        <v>009350615</v>
      </c>
      <c r="B14154" t="str">
        <f>"1760800338"</f>
        <v>1760800338</v>
      </c>
      <c r="C14154" t="str">
        <f>"207RC0000X"</f>
        <v>207RC0000X</v>
      </c>
      <c r="D14154" t="str">
        <f>"REDDY                    SIDDHARTH    B           "</f>
        <v xml:space="preserve">REDDY                    SIDDHARTH    B           </v>
      </c>
      <c r="E14154" t="str">
        <f>"COLUMBUS                  "</f>
        <v xml:space="preserve">COLUMBUS                  </v>
      </c>
      <c r="F14154" t="str">
        <f t="shared" si="360"/>
        <v>MS</v>
      </c>
    </row>
    <row r="14155" spans="1:6" x14ac:dyDescent="0.25">
      <c r="A14155" t="str">
        <f>"009351503"</f>
        <v>009351503</v>
      </c>
      <c r="B14155" t="str">
        <f>"1508885369"</f>
        <v>1508885369</v>
      </c>
      <c r="C14155" t="str">
        <f>"152W00000X"</f>
        <v>152W00000X</v>
      </c>
      <c r="D14155" t="str">
        <f>"IVEY                     JACOB        A           "</f>
        <v xml:space="preserve">IVEY                     JACOB        A           </v>
      </c>
      <c r="E14155" t="str">
        <f>"NEWTON                    "</f>
        <v xml:space="preserve">NEWTON                    </v>
      </c>
      <c r="F14155" t="str">
        <f t="shared" si="360"/>
        <v>MS</v>
      </c>
    </row>
    <row r="14156" spans="1:6" x14ac:dyDescent="0.25">
      <c r="A14156" t="str">
        <f>"009351545"</f>
        <v>009351545</v>
      </c>
      <c r="B14156" t="str">
        <f>"1972606358"</f>
        <v>1972606358</v>
      </c>
      <c r="C14156" t="str">
        <f>"207Q00000X"</f>
        <v>207Q00000X</v>
      </c>
      <c r="D14156" t="str">
        <f>"RUHL                     FORSTER      G           "</f>
        <v xml:space="preserve">RUHL                     FORSTER      G           </v>
      </c>
      <c r="E14156" t="str">
        <f>"SENATOBIA                 "</f>
        <v xml:space="preserve">SENATOBIA                 </v>
      </c>
      <c r="F14156" t="str">
        <f t="shared" si="360"/>
        <v>MS</v>
      </c>
    </row>
    <row r="14157" spans="1:6" x14ac:dyDescent="0.25">
      <c r="A14157" t="str">
        <f>"009352501"</f>
        <v>009352501</v>
      </c>
      <c r="B14157" t="str">
        <f>"1558555391"</f>
        <v>1558555391</v>
      </c>
      <c r="C14157" t="str">
        <f>"363L00000X"</f>
        <v>363L00000X</v>
      </c>
      <c r="D14157" t="str">
        <f>"WALKER                   AMY          L           "</f>
        <v xml:space="preserve">WALKER                   AMY          L           </v>
      </c>
      <c r="E14157" t="str">
        <f>"GREENVILLE                "</f>
        <v xml:space="preserve">GREENVILLE                </v>
      </c>
      <c r="F14157" t="str">
        <f t="shared" si="360"/>
        <v>MS</v>
      </c>
    </row>
    <row r="14158" spans="1:6" x14ac:dyDescent="0.25">
      <c r="A14158" t="str">
        <f>"009353249"</f>
        <v>009353249</v>
      </c>
      <c r="B14158" t="str">
        <f>"1356653877"</f>
        <v>1356653877</v>
      </c>
      <c r="C14158" t="str">
        <f>"207L00000X"</f>
        <v>207L00000X</v>
      </c>
      <c r="D14158" t="str">
        <f>"FOUCHE                   MARYLIN      J           "</f>
        <v xml:space="preserve">FOUCHE                   MARYLIN      J           </v>
      </c>
      <c r="E14158" t="str">
        <f>"JACKSON                   "</f>
        <v xml:space="preserve">JACKSON                   </v>
      </c>
      <c r="F14158" t="str">
        <f t="shared" si="360"/>
        <v>MS</v>
      </c>
    </row>
    <row r="14159" spans="1:6" x14ac:dyDescent="0.25">
      <c r="A14159" t="str">
        <f>"009354827"</f>
        <v>009354827</v>
      </c>
      <c r="B14159" t="str">
        <f>"1376645697"</f>
        <v>1376645697</v>
      </c>
      <c r="C14159" t="str">
        <f>"363L00000X"</f>
        <v>363L00000X</v>
      </c>
      <c r="D14159" t="str">
        <f>"STONE NORTHINGTON        REBECCA      C           "</f>
        <v xml:space="preserve">STONE NORTHINGTON        REBECCA      C           </v>
      </c>
      <c r="E14159" t="str">
        <f>"FULTON                    "</f>
        <v xml:space="preserve">FULTON                    </v>
      </c>
      <c r="F14159" t="str">
        <f t="shared" si="360"/>
        <v>MS</v>
      </c>
    </row>
    <row r="14160" spans="1:6" x14ac:dyDescent="0.25">
      <c r="A14160" t="str">
        <f>"009356273"</f>
        <v>009356273</v>
      </c>
      <c r="B14160" t="str">
        <f>"1396814109"</f>
        <v>1396814109</v>
      </c>
      <c r="C14160" t="str">
        <f>"207P00000X"</f>
        <v>207P00000X</v>
      </c>
      <c r="D14160" t="str">
        <f>"ANDERSON JR              ANDREW       J           "</f>
        <v xml:space="preserve">ANDERSON JR              ANDREW       J           </v>
      </c>
      <c r="E14160" t="str">
        <f>"JACKSON                   "</f>
        <v xml:space="preserve">JACKSON                   </v>
      </c>
      <c r="F14160" t="str">
        <f t="shared" si="360"/>
        <v>MS</v>
      </c>
    </row>
    <row r="14161" spans="1:6" x14ac:dyDescent="0.25">
      <c r="A14161" t="str">
        <f>"009356706"</f>
        <v>009356706</v>
      </c>
      <c r="B14161" t="str">
        <f>"1043654312"</f>
        <v>1043654312</v>
      </c>
      <c r="C14161" t="str">
        <f>"208G00000X"</f>
        <v>208G00000X</v>
      </c>
      <c r="D14161" t="str">
        <f>"GARNER                   EVAN         F           "</f>
        <v xml:space="preserve">GARNER                   EVAN         F           </v>
      </c>
      <c r="E14161" t="str">
        <f>"TUPELO                    "</f>
        <v xml:space="preserve">TUPELO                    </v>
      </c>
      <c r="F14161" t="str">
        <f t="shared" si="360"/>
        <v>MS</v>
      </c>
    </row>
    <row r="14162" spans="1:6" x14ac:dyDescent="0.25">
      <c r="A14162" t="str">
        <f>"009356771"</f>
        <v>009356771</v>
      </c>
      <c r="B14162" t="str">
        <f>"1679183610"</f>
        <v>1679183610</v>
      </c>
      <c r="C14162" t="str">
        <f>"363L00000X"</f>
        <v>363L00000X</v>
      </c>
      <c r="D14162" t="str">
        <f>"MILLER                   AMANDA       D           "</f>
        <v xml:space="preserve">MILLER                   AMANDA       D           </v>
      </c>
      <c r="E14162" t="str">
        <f>"ACKERMAN                  "</f>
        <v xml:space="preserve">ACKERMAN                  </v>
      </c>
      <c r="F14162" t="str">
        <f t="shared" si="360"/>
        <v>MS</v>
      </c>
    </row>
    <row r="14163" spans="1:6" x14ac:dyDescent="0.25">
      <c r="A14163" t="str">
        <f>"009356801"</f>
        <v>009356801</v>
      </c>
      <c r="B14163" t="str">
        <f>"1649633116"</f>
        <v>1649633116</v>
      </c>
      <c r="C14163" t="str">
        <f>"2080N0001X"</f>
        <v>2080N0001X</v>
      </c>
      <c r="D14163" t="str">
        <f>"DOUCET                   ASHLEY       N           "</f>
        <v xml:space="preserve">DOUCET                   ASHLEY       N           </v>
      </c>
      <c r="E14163" t="str">
        <f>"JACKSON                   "</f>
        <v xml:space="preserve">JACKSON                   </v>
      </c>
      <c r="F14163" t="str">
        <f t="shared" si="360"/>
        <v>MS</v>
      </c>
    </row>
    <row r="14164" spans="1:6" x14ac:dyDescent="0.25">
      <c r="A14164" t="str">
        <f>"009356869"</f>
        <v>009356869</v>
      </c>
      <c r="B14164" t="str">
        <f>"1114317054"</f>
        <v>1114317054</v>
      </c>
      <c r="C14164" t="str">
        <f>"363L00000X"</f>
        <v>363L00000X</v>
      </c>
      <c r="D14164" t="str">
        <f>"CLARK                    LISA                     "</f>
        <v xml:space="preserve">CLARK                    LISA                     </v>
      </c>
      <c r="E14164" t="str">
        <f>"OXFORD                    "</f>
        <v xml:space="preserve">OXFORD                    </v>
      </c>
      <c r="F14164" t="str">
        <f t="shared" si="360"/>
        <v>MS</v>
      </c>
    </row>
    <row r="14165" spans="1:6" x14ac:dyDescent="0.25">
      <c r="A14165" t="str">
        <f>"009357761"</f>
        <v>009357761</v>
      </c>
      <c r="B14165" t="str">
        <f>"1538570361"</f>
        <v>1538570361</v>
      </c>
      <c r="C14165" t="str">
        <f>"2085R0202X"</f>
        <v>2085R0202X</v>
      </c>
      <c r="D14165" t="str">
        <f>"GILMER                   DANIEL       L           "</f>
        <v xml:space="preserve">GILMER                   DANIEL       L           </v>
      </c>
      <c r="E14165" t="str">
        <f>"JACKSON                   "</f>
        <v xml:space="preserve">JACKSON                   </v>
      </c>
      <c r="F14165" t="str">
        <f t="shared" si="360"/>
        <v>MS</v>
      </c>
    </row>
    <row r="14166" spans="1:6" x14ac:dyDescent="0.25">
      <c r="A14166" t="str">
        <f>"009370239"</f>
        <v>009370239</v>
      </c>
      <c r="B14166" t="str">
        <f>"1639373012"</f>
        <v>1639373012</v>
      </c>
      <c r="C14166" t="str">
        <f>"207V00000X"</f>
        <v>207V00000X</v>
      </c>
      <c r="D14166" t="str">
        <f>"SHIFLETT                 AMBER        N           "</f>
        <v xml:space="preserve">SHIFLETT                 AMBER        N           </v>
      </c>
      <c r="E14166" t="str">
        <f>"JACKSON                   "</f>
        <v xml:space="preserve">JACKSON                   </v>
      </c>
      <c r="F14166" t="str">
        <f t="shared" si="360"/>
        <v>MS</v>
      </c>
    </row>
    <row r="14167" spans="1:6" x14ac:dyDescent="0.25">
      <c r="A14167" t="str">
        <f>"009370254"</f>
        <v>009370254</v>
      </c>
      <c r="B14167" t="str">
        <f>"1780729665"</f>
        <v>1780729665</v>
      </c>
      <c r="C14167" t="str">
        <f>"363L00000X"</f>
        <v>363L00000X</v>
      </c>
      <c r="D14167" t="str">
        <f>"GLEASON                  SHERRY       S           "</f>
        <v xml:space="preserve">GLEASON                  SHERRY       S           </v>
      </c>
      <c r="E14167" t="str">
        <f>"FLOWOOD                   "</f>
        <v xml:space="preserve">FLOWOOD                   </v>
      </c>
      <c r="F14167" t="str">
        <f t="shared" si="360"/>
        <v>MS</v>
      </c>
    </row>
    <row r="14168" spans="1:6" x14ac:dyDescent="0.25">
      <c r="A14168" t="str">
        <f>"009372217"</f>
        <v>009372217</v>
      </c>
      <c r="B14168" t="str">
        <f>"1407307408"</f>
        <v>1407307408</v>
      </c>
      <c r="C14168" t="str">
        <f>"363L00000X"</f>
        <v>363L00000X</v>
      </c>
      <c r="D14168" t="str">
        <f>"HUGHES                   MINDY        B           "</f>
        <v xml:space="preserve">HUGHES                   MINDY        B           </v>
      </c>
      <c r="E14168" t="str">
        <f>"JACKSON                   "</f>
        <v xml:space="preserve">JACKSON                   </v>
      </c>
      <c r="F14168" t="str">
        <f t="shared" si="360"/>
        <v>MS</v>
      </c>
    </row>
    <row r="14169" spans="1:6" x14ac:dyDescent="0.25">
      <c r="A14169" t="str">
        <f>"009372291"</f>
        <v>009372291</v>
      </c>
      <c r="B14169" t="str">
        <f>"1033845771"</f>
        <v>1033845771</v>
      </c>
      <c r="C14169" t="str">
        <f>"363L00000X"</f>
        <v>363L00000X</v>
      </c>
      <c r="D14169" t="str">
        <f>"KING                     TIFFANY      Y           "</f>
        <v xml:space="preserve">KING                     TIFFANY      Y           </v>
      </c>
      <c r="E14169" t="str">
        <f>"HATTIESBURG               "</f>
        <v xml:space="preserve">HATTIESBURG               </v>
      </c>
      <c r="F14169" t="str">
        <f t="shared" si="360"/>
        <v>MS</v>
      </c>
    </row>
    <row r="14170" spans="1:6" x14ac:dyDescent="0.25">
      <c r="A14170" t="str">
        <f>"009372826"</f>
        <v>009372826</v>
      </c>
      <c r="B14170" t="str">
        <f>"1689696627"</f>
        <v>1689696627</v>
      </c>
      <c r="C14170" t="str">
        <f>"363L00000X"</f>
        <v>363L00000X</v>
      </c>
      <c r="D14170" t="str">
        <f>"STUCKEY                  JACKIE       B           "</f>
        <v xml:space="preserve">STUCKEY                  JACKIE       B           </v>
      </c>
      <c r="E14170" t="str">
        <f>"COLUMBIA                  "</f>
        <v xml:space="preserve">COLUMBIA                  </v>
      </c>
      <c r="F14170" t="str">
        <f t="shared" si="360"/>
        <v>MS</v>
      </c>
    </row>
    <row r="14171" spans="1:6" x14ac:dyDescent="0.25">
      <c r="A14171" t="str">
        <f>"009373514"</f>
        <v>009373514</v>
      </c>
      <c r="B14171" t="str">
        <f>"1265563365"</f>
        <v>1265563365</v>
      </c>
      <c r="C14171" t="str">
        <f>"367500000X"</f>
        <v>367500000X</v>
      </c>
      <c r="D14171" t="str">
        <f>"WADKINS                  TARA                     "</f>
        <v xml:space="preserve">WADKINS                  TARA                     </v>
      </c>
      <c r="E14171" t="str">
        <f>"CORINTH                   "</f>
        <v xml:space="preserve">CORINTH                   </v>
      </c>
      <c r="F14171" t="str">
        <f t="shared" si="360"/>
        <v>MS</v>
      </c>
    </row>
    <row r="14172" spans="1:6" x14ac:dyDescent="0.25">
      <c r="A14172" t="str">
        <f>"009374528"</f>
        <v>009374528</v>
      </c>
      <c r="B14172" t="str">
        <f>"1790701944"</f>
        <v>1790701944</v>
      </c>
      <c r="C14172" t="str">
        <f>"261QF0400X"</f>
        <v>261QF0400X</v>
      </c>
      <c r="D14172" t="str">
        <f>"FAMILY HEALTH CARE CLINIC INC                     "</f>
        <v xml:space="preserve">FAMILY HEALTH CARE CLINIC INC                     </v>
      </c>
      <c r="E14172" t="str">
        <f>"FLOWOOD                   "</f>
        <v xml:space="preserve">FLOWOOD                   </v>
      </c>
      <c r="F14172" t="str">
        <f t="shared" si="360"/>
        <v>MS</v>
      </c>
    </row>
    <row r="14173" spans="1:6" x14ac:dyDescent="0.25">
      <c r="A14173" t="str">
        <f>"009375026"</f>
        <v>009375026</v>
      </c>
      <c r="B14173" t="str">
        <f>"1902460777"</f>
        <v>1902460777</v>
      </c>
      <c r="C14173" t="str">
        <f>"363L00000X"</f>
        <v>363L00000X</v>
      </c>
      <c r="D14173" t="str">
        <f>"PEARSON                  ANGELA                   "</f>
        <v xml:space="preserve">PEARSON                  ANGELA                   </v>
      </c>
      <c r="E14173" t="str">
        <f>"VICKSBURG                 "</f>
        <v xml:space="preserve">VICKSBURG                 </v>
      </c>
      <c r="F14173" t="str">
        <f t="shared" si="360"/>
        <v>MS</v>
      </c>
    </row>
    <row r="14174" spans="1:6" x14ac:dyDescent="0.25">
      <c r="A14174" t="str">
        <f>"009375393"</f>
        <v>009375393</v>
      </c>
      <c r="B14174" t="str">
        <f>"1215133731"</f>
        <v>1215133731</v>
      </c>
      <c r="C14174" t="str">
        <f>"2084P0800X"</f>
        <v>2084P0800X</v>
      </c>
      <c r="D14174" t="str">
        <f>"GLEASON                  SARA         H           "</f>
        <v xml:space="preserve">GLEASON                  SARA         H           </v>
      </c>
      <c r="E14174" t="str">
        <f>"JACKSON                   "</f>
        <v xml:space="preserve">JACKSON                   </v>
      </c>
      <c r="F14174" t="str">
        <f t="shared" si="360"/>
        <v>MS</v>
      </c>
    </row>
    <row r="14175" spans="1:6" x14ac:dyDescent="0.25">
      <c r="A14175" t="str">
        <f>"009375729"</f>
        <v>009375729</v>
      </c>
      <c r="B14175" t="str">
        <f>"1710381264"</f>
        <v>1710381264</v>
      </c>
      <c r="C14175" t="str">
        <f>"363L00000X"</f>
        <v>363L00000X</v>
      </c>
      <c r="D14175" t="str">
        <f>"GOSTON                   JAKEISHA                 "</f>
        <v xml:space="preserve">GOSTON                   JAKEISHA                 </v>
      </c>
      <c r="E14175" t="str">
        <f>"BRANDON                   "</f>
        <v xml:space="preserve">BRANDON                   </v>
      </c>
      <c r="F14175" t="str">
        <f t="shared" si="360"/>
        <v>MS</v>
      </c>
    </row>
    <row r="14176" spans="1:6" x14ac:dyDescent="0.25">
      <c r="A14176" t="str">
        <f>"009375873"</f>
        <v>009375873</v>
      </c>
      <c r="B14176" t="str">
        <f>"1396362083"</f>
        <v>1396362083</v>
      </c>
      <c r="C14176" t="str">
        <f>"363L00000X"</f>
        <v>363L00000X</v>
      </c>
      <c r="D14176" t="str">
        <f>"WITHROW                  SARA                     "</f>
        <v xml:space="preserve">WITHROW                  SARA                     </v>
      </c>
      <c r="E14176" t="str">
        <f>"JACKSON                   "</f>
        <v xml:space="preserve">JACKSON                   </v>
      </c>
      <c r="F14176" t="str">
        <f t="shared" si="360"/>
        <v>MS</v>
      </c>
    </row>
    <row r="14177" spans="1:6" x14ac:dyDescent="0.25">
      <c r="A14177" t="str">
        <f>"009379098"</f>
        <v>009379098</v>
      </c>
      <c r="B14177" t="str">
        <f>"1891050548"</f>
        <v>1891050548</v>
      </c>
      <c r="C14177" t="str">
        <f>"363L00000X"</f>
        <v>363L00000X</v>
      </c>
      <c r="D14177" t="str">
        <f>"KUYKENDALL               AMELIA                   "</f>
        <v xml:space="preserve">KUYKENDALL               AMELIA                   </v>
      </c>
      <c r="E14177" t="str">
        <f>"TUPELO                    "</f>
        <v xml:space="preserve">TUPELO                    </v>
      </c>
      <c r="F14177" t="str">
        <f t="shared" si="360"/>
        <v>MS</v>
      </c>
    </row>
    <row r="14178" spans="1:6" x14ac:dyDescent="0.25">
      <c r="A14178" t="str">
        <f>"009379223"</f>
        <v>009379223</v>
      </c>
      <c r="B14178" t="str">
        <f>"1154522050"</f>
        <v>1154522050</v>
      </c>
      <c r="C14178" t="str">
        <f>"363L00000X"</f>
        <v>363L00000X</v>
      </c>
      <c r="D14178" t="str">
        <f>"CARROLL                  PAULA                    "</f>
        <v xml:space="preserve">CARROLL                  PAULA                    </v>
      </c>
      <c r="E14178" t="str">
        <f>"JACKSON                   "</f>
        <v xml:space="preserve">JACKSON                   </v>
      </c>
      <c r="F14178" t="str">
        <f t="shared" si="360"/>
        <v>MS</v>
      </c>
    </row>
    <row r="14179" spans="1:6" x14ac:dyDescent="0.25">
      <c r="A14179" t="str">
        <f>"009379226"</f>
        <v>009379226</v>
      </c>
      <c r="B14179" t="str">
        <f>"1912318882"</f>
        <v>1912318882</v>
      </c>
      <c r="C14179" t="str">
        <f>"1223P0221X"</f>
        <v>1223P0221X</v>
      </c>
      <c r="D14179" t="str">
        <f>"BRYANT                   KAYLA        M           "</f>
        <v xml:space="preserve">BRYANT                   KAYLA        M           </v>
      </c>
      <c r="E14179" t="str">
        <f>"BRANDON                   "</f>
        <v xml:space="preserve">BRANDON                   </v>
      </c>
      <c r="F14179" t="str">
        <f t="shared" si="360"/>
        <v>MS</v>
      </c>
    </row>
    <row r="14180" spans="1:6" x14ac:dyDescent="0.25">
      <c r="A14180" t="str">
        <f>"009379796"</f>
        <v>009379796</v>
      </c>
      <c r="B14180" t="str">
        <f>"1730836958"</f>
        <v>1730836958</v>
      </c>
      <c r="C14180" t="str">
        <f>"363L00000X"</f>
        <v>363L00000X</v>
      </c>
      <c r="D14180" t="str">
        <f>"HOSEY                    APRIL                    "</f>
        <v xml:space="preserve">HOSEY                    APRIL                    </v>
      </c>
      <c r="E14180" t="str">
        <f>"LAUREL                    "</f>
        <v xml:space="preserve">LAUREL                    </v>
      </c>
      <c r="F14180" t="str">
        <f t="shared" si="360"/>
        <v>MS</v>
      </c>
    </row>
    <row r="14181" spans="1:6" x14ac:dyDescent="0.25">
      <c r="A14181" t="str">
        <f>"009384306"</f>
        <v>009384306</v>
      </c>
      <c r="B14181" t="str">
        <f>"1821248527"</f>
        <v>1821248527</v>
      </c>
      <c r="C14181" t="str">
        <f>"122300000X"</f>
        <v>122300000X</v>
      </c>
      <c r="D14181" t="str">
        <f>"DARBY                    NICHOLAS     M           "</f>
        <v xml:space="preserve">DARBY                    NICHOLAS     M           </v>
      </c>
      <c r="E14181" t="str">
        <f>"RICHTON                   "</f>
        <v xml:space="preserve">RICHTON                   </v>
      </c>
      <c r="F14181" t="str">
        <f t="shared" si="360"/>
        <v>MS</v>
      </c>
    </row>
    <row r="14182" spans="1:6" x14ac:dyDescent="0.25">
      <c r="A14182" t="str">
        <f>"009384393"</f>
        <v>009384393</v>
      </c>
      <c r="B14182" t="str">
        <f>"1023164795"</f>
        <v>1023164795</v>
      </c>
      <c r="C14182" t="str">
        <f>"207Y00000X"</f>
        <v>207Y00000X</v>
      </c>
      <c r="D14182" t="str">
        <f>"SCHOLES                  MELISSA      A           "</f>
        <v xml:space="preserve">SCHOLES                  MELISSA      A           </v>
      </c>
      <c r="E14182" t="str">
        <f>"JACKSON                   "</f>
        <v xml:space="preserve">JACKSON                   </v>
      </c>
      <c r="F14182" t="str">
        <f t="shared" si="360"/>
        <v>MS</v>
      </c>
    </row>
    <row r="14183" spans="1:6" x14ac:dyDescent="0.25">
      <c r="A14183" t="str">
        <f>"009384568"</f>
        <v>009384568</v>
      </c>
      <c r="B14183" t="str">
        <f>"1225353840"</f>
        <v>1225353840</v>
      </c>
      <c r="C14183" t="str">
        <f>"363L00000X"</f>
        <v>363L00000X</v>
      </c>
      <c r="D14183" t="str">
        <f>"PALMER                   NOEL                     "</f>
        <v xml:space="preserve">PALMER                   NOEL                     </v>
      </c>
      <c r="E14183" t="str">
        <f>"VICKSBURG                 "</f>
        <v xml:space="preserve">VICKSBURG                 </v>
      </c>
      <c r="F14183" t="str">
        <f t="shared" si="360"/>
        <v>MS</v>
      </c>
    </row>
    <row r="14184" spans="1:6" x14ac:dyDescent="0.25">
      <c r="A14184" t="str">
        <f>"009385397"</f>
        <v>009385397</v>
      </c>
      <c r="B14184" t="str">
        <f>"1205076809"</f>
        <v>1205076809</v>
      </c>
      <c r="C14184" t="str">
        <f>"363L00000X"</f>
        <v>363L00000X</v>
      </c>
      <c r="D14184" t="str">
        <f>"MASSEY                   JENNIFER     R           "</f>
        <v xml:space="preserve">MASSEY                   JENNIFER     R           </v>
      </c>
      <c r="E14184" t="str">
        <f>"HATTIESBURG               "</f>
        <v xml:space="preserve">HATTIESBURG               </v>
      </c>
      <c r="F14184" t="str">
        <f t="shared" si="360"/>
        <v>MS</v>
      </c>
    </row>
    <row r="14185" spans="1:6" x14ac:dyDescent="0.25">
      <c r="A14185" t="str">
        <f>"009387220"</f>
        <v>009387220</v>
      </c>
      <c r="B14185" t="str">
        <f>"1700131331"</f>
        <v>1700131331</v>
      </c>
      <c r="C14185" t="str">
        <f>"122300000X"</f>
        <v>122300000X</v>
      </c>
      <c r="D14185" t="str">
        <f>"RIDER                    ANNA         R           "</f>
        <v xml:space="preserve">RIDER                    ANNA         R           </v>
      </c>
      <c r="E14185" t="str">
        <f>"GULFPORT                  "</f>
        <v xml:space="preserve">GULFPORT                  </v>
      </c>
      <c r="F14185" t="str">
        <f t="shared" si="360"/>
        <v>MS</v>
      </c>
    </row>
    <row r="14186" spans="1:6" x14ac:dyDescent="0.25">
      <c r="A14186" t="str">
        <f>"009387221"</f>
        <v>009387221</v>
      </c>
      <c r="B14186" t="str">
        <f>"1437805538"</f>
        <v>1437805538</v>
      </c>
      <c r="C14186" t="str">
        <f>"363L00000X"</f>
        <v>363L00000X</v>
      </c>
      <c r="D14186" t="str">
        <f>"ADAMS                    STEPHANIE    A           "</f>
        <v xml:space="preserve">ADAMS                    STEPHANIE    A           </v>
      </c>
      <c r="E14186" t="str">
        <f>"OCEAN SPRINGS             "</f>
        <v xml:space="preserve">OCEAN SPRINGS             </v>
      </c>
      <c r="F14186" t="str">
        <f t="shared" si="360"/>
        <v>MS</v>
      </c>
    </row>
    <row r="14187" spans="1:6" x14ac:dyDescent="0.25">
      <c r="A14187" t="str">
        <f>"009389256"</f>
        <v>009389256</v>
      </c>
      <c r="B14187" t="str">
        <f>"1831640911"</f>
        <v>1831640911</v>
      </c>
      <c r="C14187" t="str">
        <f>"363L00000X"</f>
        <v>363L00000X</v>
      </c>
      <c r="D14187" t="str">
        <f>"DYE                      HANNAH       K           "</f>
        <v xml:space="preserve">DYE                      HANNAH       K           </v>
      </c>
      <c r="E14187" t="str">
        <f>"OXFORD                    "</f>
        <v xml:space="preserve">OXFORD                    </v>
      </c>
      <c r="F14187" t="str">
        <f t="shared" si="360"/>
        <v>MS</v>
      </c>
    </row>
    <row r="14188" spans="1:6" x14ac:dyDescent="0.25">
      <c r="A14188" t="str">
        <f>"009389513"</f>
        <v>009389513</v>
      </c>
      <c r="B14188" t="str">
        <f>"1215156203"</f>
        <v>1215156203</v>
      </c>
      <c r="C14188" t="str">
        <f>"208000000X"</f>
        <v>208000000X</v>
      </c>
      <c r="D14188" t="str">
        <f>"SANDERS                  WHITNEY      L           "</f>
        <v xml:space="preserve">SANDERS                  WHITNEY      L           </v>
      </c>
      <c r="E14188" t="str">
        <f>"SOUTHAVEN                 "</f>
        <v xml:space="preserve">SOUTHAVEN                 </v>
      </c>
      <c r="F14188" t="str">
        <f t="shared" si="360"/>
        <v>MS</v>
      </c>
    </row>
    <row r="14189" spans="1:6" x14ac:dyDescent="0.25">
      <c r="A14189" t="str">
        <f>"009400003"</f>
        <v>009400003</v>
      </c>
      <c r="B14189" t="str">
        <f>"1316142821"</f>
        <v>1316142821</v>
      </c>
      <c r="C14189" t="str">
        <f>"207X00000X"</f>
        <v>207X00000X</v>
      </c>
      <c r="D14189" t="str">
        <f>"MASCIOLI                 ANTHONY      A           "</f>
        <v xml:space="preserve">MASCIOLI                 ANTHONY      A           </v>
      </c>
      <c r="E14189" t="str">
        <f>"SOUTHAVEN                 "</f>
        <v xml:space="preserve">SOUTHAVEN                 </v>
      </c>
      <c r="F14189" t="str">
        <f t="shared" si="360"/>
        <v>MS</v>
      </c>
    </row>
    <row r="14190" spans="1:6" x14ac:dyDescent="0.25">
      <c r="A14190" t="str">
        <f>"009400296"</f>
        <v>009400296</v>
      </c>
      <c r="B14190" t="str">
        <f>"1790392389"</f>
        <v>1790392389</v>
      </c>
      <c r="C14190" t="str">
        <f>"363L00000X"</f>
        <v>363L00000X</v>
      </c>
      <c r="D14190" t="str">
        <f>"MORRISON                 LAKEN                    "</f>
        <v xml:space="preserve">MORRISON                 LAKEN                    </v>
      </c>
      <c r="E14190" t="str">
        <f>"NEW ALBANY                "</f>
        <v xml:space="preserve">NEW ALBANY                </v>
      </c>
      <c r="F14190" t="str">
        <f t="shared" si="360"/>
        <v>MS</v>
      </c>
    </row>
    <row r="14191" spans="1:6" x14ac:dyDescent="0.25">
      <c r="A14191" t="str">
        <f>"009400546"</f>
        <v>009400546</v>
      </c>
      <c r="B14191" t="str">
        <f>"1528422763"</f>
        <v>1528422763</v>
      </c>
      <c r="C14191" t="str">
        <f>"363L00000X"</f>
        <v>363L00000X</v>
      </c>
      <c r="D14191" t="str">
        <f>"GARRETT                  MARCIA       P           "</f>
        <v xml:space="preserve">GARRETT                  MARCIA       P           </v>
      </c>
      <c r="E14191" t="str">
        <f>"ASHLAND                   "</f>
        <v xml:space="preserve">ASHLAND                   </v>
      </c>
      <c r="F14191" t="str">
        <f t="shared" si="360"/>
        <v>MS</v>
      </c>
    </row>
    <row r="14192" spans="1:6" x14ac:dyDescent="0.25">
      <c r="A14192" t="str">
        <f>"009400829"</f>
        <v>009400829</v>
      </c>
      <c r="B14192" t="str">
        <f>"1861044182"</f>
        <v>1861044182</v>
      </c>
      <c r="C14192" t="str">
        <f>"152W00000X"</f>
        <v>152W00000X</v>
      </c>
      <c r="D14192" t="str">
        <f>"MILES                    ANNA         C           "</f>
        <v xml:space="preserve">MILES                    ANNA         C           </v>
      </c>
      <c r="E14192" t="str">
        <f>"STARKVILLE                "</f>
        <v xml:space="preserve">STARKVILLE                </v>
      </c>
      <c r="F14192" t="str">
        <f t="shared" si="360"/>
        <v>MS</v>
      </c>
    </row>
    <row r="14193" spans="1:6" x14ac:dyDescent="0.25">
      <c r="A14193" t="str">
        <f>"009402277"</f>
        <v>009402277</v>
      </c>
      <c r="B14193" t="str">
        <f>"1861620148"</f>
        <v>1861620148</v>
      </c>
      <c r="C14193" t="str">
        <f>"207X00000X"</f>
        <v>207X00000X</v>
      </c>
      <c r="D14193" t="str">
        <f>"BURKS                    CHRISTOPHER  A           "</f>
        <v xml:space="preserve">BURKS                    CHRISTOPHER  A           </v>
      </c>
      <c r="E14193" t="str">
        <f>"VANCLEAVE                 "</f>
        <v xml:space="preserve">VANCLEAVE                 </v>
      </c>
      <c r="F14193" t="str">
        <f t="shared" si="360"/>
        <v>MS</v>
      </c>
    </row>
    <row r="14194" spans="1:6" x14ac:dyDescent="0.25">
      <c r="A14194" t="str">
        <f>"009402510"</f>
        <v>009402510</v>
      </c>
      <c r="B14194" t="str">
        <f>"1619440534"</f>
        <v>1619440534</v>
      </c>
      <c r="C14194" t="str">
        <f>"363L00000X"</f>
        <v>363L00000X</v>
      </c>
      <c r="D14194" t="str">
        <f>"SELLERS                  TERESA       S           "</f>
        <v xml:space="preserve">SELLERS                  TERESA       S           </v>
      </c>
      <c r="E14194" t="str">
        <f>"HATTIESBURG               "</f>
        <v xml:space="preserve">HATTIESBURG               </v>
      </c>
      <c r="F14194" t="str">
        <f t="shared" si="360"/>
        <v>MS</v>
      </c>
    </row>
    <row r="14195" spans="1:6" x14ac:dyDescent="0.25">
      <c r="A14195" t="str">
        <f>"009404537"</f>
        <v>009404537</v>
      </c>
      <c r="B14195" t="str">
        <f>"1528657939"</f>
        <v>1528657939</v>
      </c>
      <c r="C14195" t="str">
        <f>"122300000X"</f>
        <v>122300000X</v>
      </c>
      <c r="D14195" t="str">
        <f>"DOUGLAS ORTHODONTICS PLLC                         "</f>
        <v xml:space="preserve">DOUGLAS ORTHODONTICS PLLC                         </v>
      </c>
      <c r="E14195" t="str">
        <f>"MERIDIAN                  "</f>
        <v xml:space="preserve">MERIDIAN                  </v>
      </c>
      <c r="F14195" t="str">
        <f t="shared" si="360"/>
        <v>MS</v>
      </c>
    </row>
    <row r="14196" spans="1:6" x14ac:dyDescent="0.25">
      <c r="A14196" t="str">
        <f>"009406232"</f>
        <v>009406232</v>
      </c>
      <c r="B14196" t="str">
        <f>"1881968915"</f>
        <v>1881968915</v>
      </c>
      <c r="C14196" t="str">
        <f>"363L00000X"</f>
        <v>363L00000X</v>
      </c>
      <c r="D14196" t="str">
        <f>"FLETCHER                 CHRISTOPHER  M           "</f>
        <v xml:space="preserve">FLETCHER                 CHRISTOPHER  M           </v>
      </c>
      <c r="E14196" t="str">
        <f>"PICAYUNE                  "</f>
        <v xml:space="preserve">PICAYUNE                  </v>
      </c>
      <c r="F14196" t="str">
        <f t="shared" si="360"/>
        <v>MS</v>
      </c>
    </row>
    <row r="14197" spans="1:6" x14ac:dyDescent="0.25">
      <c r="A14197" t="str">
        <f>"009407000"</f>
        <v>009407000</v>
      </c>
      <c r="B14197" t="str">
        <f>"1356604664"</f>
        <v>1356604664</v>
      </c>
      <c r="C14197" t="str">
        <f>"122300000X"</f>
        <v>122300000X</v>
      </c>
      <c r="D14197" t="str">
        <f>"GO ORTHODONTICS PARTNERSHIP                       "</f>
        <v xml:space="preserve">GO ORTHODONTICS PARTNERSHIP                       </v>
      </c>
      <c r="E14197" t="str">
        <f>"SALTILLO                  "</f>
        <v xml:space="preserve">SALTILLO                  </v>
      </c>
      <c r="F14197" t="str">
        <f t="shared" si="360"/>
        <v>MS</v>
      </c>
    </row>
    <row r="14198" spans="1:6" x14ac:dyDescent="0.25">
      <c r="A14198" t="str">
        <f>"009407398"</f>
        <v>009407398</v>
      </c>
      <c r="B14198" t="str">
        <f>"1639705338"</f>
        <v>1639705338</v>
      </c>
      <c r="C14198" t="str">
        <f>"363L00000X"</f>
        <v>363L00000X</v>
      </c>
      <c r="D14198" t="str">
        <f>"PLUNK                    BRITTNEY                 "</f>
        <v xml:space="preserve">PLUNK                    BRITTNEY                 </v>
      </c>
      <c r="E14198" t="str">
        <f>"CORINTH                   "</f>
        <v xml:space="preserve">CORINTH                   </v>
      </c>
      <c r="F14198" t="str">
        <f t="shared" si="360"/>
        <v>MS</v>
      </c>
    </row>
    <row r="14199" spans="1:6" x14ac:dyDescent="0.25">
      <c r="A14199" t="str">
        <f>"009407724"</f>
        <v>009407724</v>
      </c>
      <c r="B14199" t="str">
        <f>"1275628125"</f>
        <v>1275628125</v>
      </c>
      <c r="C14199" t="str">
        <f>"207P00000X"</f>
        <v>207P00000X</v>
      </c>
      <c r="D14199" t="str">
        <f>"MAYFIELD JR              WALTER       G           "</f>
        <v xml:space="preserve">MAYFIELD JR              WALTER       G           </v>
      </c>
      <c r="E14199" t="str">
        <f>"IUKA                      "</f>
        <v xml:space="preserve">IUKA                      </v>
      </c>
      <c r="F14199" t="str">
        <f t="shared" si="360"/>
        <v>MS</v>
      </c>
    </row>
    <row r="14200" spans="1:6" x14ac:dyDescent="0.25">
      <c r="A14200" t="str">
        <f>"009409733"</f>
        <v>009409733</v>
      </c>
      <c r="B14200" t="str">
        <f>"1366905028"</f>
        <v>1366905028</v>
      </c>
      <c r="C14200" t="str">
        <f>"261QR1300X"</f>
        <v>261QR1300X</v>
      </c>
      <c r="D14200" t="str">
        <f>"PANOLA FAMILY AND SPECIALTY CLINIC                "</f>
        <v xml:space="preserve">PANOLA FAMILY AND SPECIALTY CLINIC                </v>
      </c>
      <c r="E14200" t="str">
        <f>"BATESVILLE                "</f>
        <v xml:space="preserve">BATESVILLE                </v>
      </c>
      <c r="F14200" t="str">
        <f t="shared" si="360"/>
        <v>MS</v>
      </c>
    </row>
    <row r="14201" spans="1:6" x14ac:dyDescent="0.25">
      <c r="A14201" t="str">
        <f>"009421887"</f>
        <v>009421887</v>
      </c>
      <c r="B14201" t="str">
        <f>"1053639088"</f>
        <v>1053639088</v>
      </c>
      <c r="C14201" t="str">
        <f>"363L00000X"</f>
        <v>363L00000X</v>
      </c>
      <c r="D14201" t="str">
        <f>"WYLIE                    HART         K           "</f>
        <v xml:space="preserve">WYLIE                    HART         K           </v>
      </c>
      <c r="E14201" t="str">
        <f>"JACKSON                   "</f>
        <v xml:space="preserve">JACKSON                   </v>
      </c>
      <c r="F14201" t="str">
        <f t="shared" si="360"/>
        <v>MS</v>
      </c>
    </row>
    <row r="14202" spans="1:6" x14ac:dyDescent="0.25">
      <c r="A14202" t="str">
        <f>"009422705"</f>
        <v>009422705</v>
      </c>
      <c r="B14202" t="str">
        <f>"1467778423"</f>
        <v>1467778423</v>
      </c>
      <c r="C14202" t="str">
        <f>"363L00000X"</f>
        <v>363L00000X</v>
      </c>
      <c r="D14202" t="str">
        <f>"BYNUM                    LEANNE       T           "</f>
        <v xml:space="preserve">BYNUM                    LEANNE       T           </v>
      </c>
      <c r="E14202" t="str">
        <f>"BAY SPRINGS               "</f>
        <v xml:space="preserve">BAY SPRINGS               </v>
      </c>
      <c r="F14202" t="str">
        <f t="shared" si="360"/>
        <v>MS</v>
      </c>
    </row>
    <row r="14203" spans="1:6" x14ac:dyDescent="0.25">
      <c r="A14203" t="str">
        <f>"009422772"</f>
        <v>009422772</v>
      </c>
      <c r="B14203" t="str">
        <f>"1649762253"</f>
        <v>1649762253</v>
      </c>
      <c r="C14203" t="str">
        <f>"363L00000X"</f>
        <v>363L00000X</v>
      </c>
      <c r="D14203" t="str">
        <f>"HARDIN                   ROBIN        D           "</f>
        <v xml:space="preserve">HARDIN                   ROBIN        D           </v>
      </c>
      <c r="E14203" t="str">
        <f>"MAGEE                     "</f>
        <v xml:space="preserve">MAGEE                     </v>
      </c>
      <c r="F14203" t="str">
        <f t="shared" si="360"/>
        <v>MS</v>
      </c>
    </row>
    <row r="14204" spans="1:6" x14ac:dyDescent="0.25">
      <c r="A14204" t="str">
        <f>"009423098"</f>
        <v>009423098</v>
      </c>
      <c r="B14204" t="str">
        <f>"1619198512"</f>
        <v>1619198512</v>
      </c>
      <c r="C14204" t="str">
        <f>"207RH0003X"</f>
        <v>207RH0003X</v>
      </c>
      <c r="D14204" t="str">
        <f>"RAZA                     MUHAMMAD                 "</f>
        <v xml:space="preserve">RAZA                     MUHAMMAD                 </v>
      </c>
      <c r="E14204" t="str">
        <f>"SOUTHAVEN                 "</f>
        <v xml:space="preserve">SOUTHAVEN                 </v>
      </c>
      <c r="F14204" t="str">
        <f t="shared" si="360"/>
        <v>MS</v>
      </c>
    </row>
    <row r="14205" spans="1:6" x14ac:dyDescent="0.25">
      <c r="A14205" t="str">
        <f>"009423212"</f>
        <v>009423212</v>
      </c>
      <c r="B14205" t="str">
        <f>"1184251795"</f>
        <v>1184251795</v>
      </c>
      <c r="C14205" t="str">
        <f>"261QM1300X"</f>
        <v>261QM1300X</v>
      </c>
      <c r="D14205" t="str">
        <f>"TMK ENTERPRISES                                   "</f>
        <v xml:space="preserve">TMK ENTERPRISES                                   </v>
      </c>
      <c r="E14205" t="str">
        <f>"BOONEVILLE                "</f>
        <v xml:space="preserve">BOONEVILLE                </v>
      </c>
      <c r="F14205" t="str">
        <f t="shared" si="360"/>
        <v>MS</v>
      </c>
    </row>
    <row r="14206" spans="1:6" x14ac:dyDescent="0.25">
      <c r="A14206" t="str">
        <f>"009425300"</f>
        <v>009425300</v>
      </c>
      <c r="B14206" t="str">
        <f>"1366644056"</f>
        <v>1366644056</v>
      </c>
      <c r="C14206" t="str">
        <f>"122300000X"</f>
        <v>122300000X</v>
      </c>
      <c r="D14206" t="str">
        <f>"WOODSON III              JAMES        R           "</f>
        <v xml:space="preserve">WOODSON III              JAMES        R           </v>
      </c>
      <c r="E14206" t="str">
        <f>"JACKSON                   "</f>
        <v xml:space="preserve">JACKSON                   </v>
      </c>
      <c r="F14206" t="str">
        <f t="shared" ref="F14206:F14269" si="361">"MS"</f>
        <v>MS</v>
      </c>
    </row>
    <row r="14207" spans="1:6" x14ac:dyDescent="0.25">
      <c r="A14207" t="str">
        <f>"009426581"</f>
        <v>009426581</v>
      </c>
      <c r="B14207" t="str">
        <f>"1457585739"</f>
        <v>1457585739</v>
      </c>
      <c r="C14207" t="str">
        <f>"207R00000X"</f>
        <v>207R00000X</v>
      </c>
      <c r="D14207" t="str">
        <f>"SALMON                   OLAYIWOLA                "</f>
        <v xml:space="preserve">SALMON                   OLAYIWOLA                </v>
      </c>
      <c r="E14207" t="str">
        <f>"SOUTHAVEN                 "</f>
        <v xml:space="preserve">SOUTHAVEN                 </v>
      </c>
      <c r="F14207" t="str">
        <f t="shared" si="361"/>
        <v>MS</v>
      </c>
    </row>
    <row r="14208" spans="1:6" x14ac:dyDescent="0.25">
      <c r="A14208" t="str">
        <f>"009426829"</f>
        <v>009426829</v>
      </c>
      <c r="B14208" t="str">
        <f>"1295126910"</f>
        <v>1295126910</v>
      </c>
      <c r="C14208" t="str">
        <f>"152W00000X"</f>
        <v>152W00000X</v>
      </c>
      <c r="D14208" t="str">
        <f>"FRANKLIN                 FARRYL       T           "</f>
        <v xml:space="preserve">FRANKLIN                 FARRYL       T           </v>
      </c>
      <c r="E14208" t="str">
        <f>"CANTON                    "</f>
        <v xml:space="preserve">CANTON                    </v>
      </c>
      <c r="F14208" t="str">
        <f t="shared" si="361"/>
        <v>MS</v>
      </c>
    </row>
    <row r="14209" spans="1:6" x14ac:dyDescent="0.25">
      <c r="A14209" t="str">
        <f>"009426877"</f>
        <v>009426877</v>
      </c>
      <c r="B14209" t="str">
        <f>"1174157317"</f>
        <v>1174157317</v>
      </c>
      <c r="C14209" t="str">
        <f>"363L00000X"</f>
        <v>363L00000X</v>
      </c>
      <c r="D14209" t="str">
        <f>"CARTER                   DELECIA                  "</f>
        <v xml:space="preserve">CARTER                   DELECIA                  </v>
      </c>
      <c r="E14209" t="str">
        <f>"BRANDON                   "</f>
        <v xml:space="preserve">BRANDON                   </v>
      </c>
      <c r="F14209" t="str">
        <f t="shared" si="361"/>
        <v>MS</v>
      </c>
    </row>
    <row r="14210" spans="1:6" x14ac:dyDescent="0.25">
      <c r="A14210" t="str">
        <f>"009428089"</f>
        <v>009428089</v>
      </c>
      <c r="B14210" t="str">
        <f>"1760464952"</f>
        <v>1760464952</v>
      </c>
      <c r="C14210" t="str">
        <f>"367500000X"</f>
        <v>367500000X</v>
      </c>
      <c r="D14210" t="str">
        <f>"BUSBEA                   KIMBERLY     A           "</f>
        <v xml:space="preserve">BUSBEA                   KIMBERLY     A           </v>
      </c>
      <c r="E14210" t="str">
        <f>"MERIDIAN                  "</f>
        <v xml:space="preserve">MERIDIAN                  </v>
      </c>
      <c r="F14210" t="str">
        <f t="shared" si="361"/>
        <v>MS</v>
      </c>
    </row>
    <row r="14211" spans="1:6" x14ac:dyDescent="0.25">
      <c r="A14211" t="str">
        <f>"009431322"</f>
        <v>009431322</v>
      </c>
      <c r="B14211" t="str">
        <f>"1538367610"</f>
        <v>1538367610</v>
      </c>
      <c r="C14211" t="str">
        <f>"208000000X"</f>
        <v>208000000X</v>
      </c>
      <c r="D14211" t="str">
        <f>"CHIPMAN                  LAUREN       T           "</f>
        <v xml:space="preserve">CHIPMAN                  LAUREN       T           </v>
      </c>
      <c r="E14211" t="str">
        <f>"OLIVE BRANCH              "</f>
        <v xml:space="preserve">OLIVE BRANCH              </v>
      </c>
      <c r="F14211" t="str">
        <f t="shared" si="361"/>
        <v>MS</v>
      </c>
    </row>
    <row r="14212" spans="1:6" x14ac:dyDescent="0.25">
      <c r="A14212" t="str">
        <f>"009432217"</f>
        <v>009432217</v>
      </c>
      <c r="B14212" t="str">
        <f>"1043720071"</f>
        <v>1043720071</v>
      </c>
      <c r="C14212" t="str">
        <f>"363LF0000X"</f>
        <v>363LF0000X</v>
      </c>
      <c r="D14212" t="str">
        <f>"SMITH                    TERESA                   "</f>
        <v xml:space="preserve">SMITH                    TERESA                   </v>
      </c>
      <c r="E14212" t="str">
        <f>"MACON                     "</f>
        <v xml:space="preserve">MACON                     </v>
      </c>
      <c r="F14212" t="str">
        <f t="shared" si="361"/>
        <v>MS</v>
      </c>
    </row>
    <row r="14213" spans="1:6" x14ac:dyDescent="0.25">
      <c r="A14213" t="str">
        <f>"009432765"</f>
        <v>009432765</v>
      </c>
      <c r="B14213" t="str">
        <f>"1356802235"</f>
        <v>1356802235</v>
      </c>
      <c r="C14213" t="str">
        <f>"207Q00000X"</f>
        <v>207Q00000X</v>
      </c>
      <c r="D14213" t="str">
        <f>"PARKER                   TERRA        L           "</f>
        <v xml:space="preserve">PARKER                   TERRA        L           </v>
      </c>
      <c r="E14213" t="str">
        <f>"COLUMBIA                  "</f>
        <v xml:space="preserve">COLUMBIA                  </v>
      </c>
      <c r="F14213" t="str">
        <f t="shared" si="361"/>
        <v>MS</v>
      </c>
    </row>
    <row r="14214" spans="1:6" x14ac:dyDescent="0.25">
      <c r="A14214" t="str">
        <f>"009432818"</f>
        <v>009432818</v>
      </c>
      <c r="B14214" t="str">
        <f>"1134339286"</f>
        <v>1134339286</v>
      </c>
      <c r="C14214" t="str">
        <f>"207RN0300X"</f>
        <v>207RN0300X</v>
      </c>
      <c r="D14214" t="str">
        <f>"AHUJA                    MOHIT                    "</f>
        <v xml:space="preserve">AHUJA                    MOHIT                    </v>
      </c>
      <c r="E14214" t="str">
        <f>"FLOWOOD                   "</f>
        <v xml:space="preserve">FLOWOOD                   </v>
      </c>
      <c r="F14214" t="str">
        <f t="shared" si="361"/>
        <v>MS</v>
      </c>
    </row>
    <row r="14215" spans="1:6" x14ac:dyDescent="0.25">
      <c r="A14215" t="str">
        <f>"009434726"</f>
        <v>009434726</v>
      </c>
      <c r="B14215" t="str">
        <f>"1407123961"</f>
        <v>1407123961</v>
      </c>
      <c r="C14215" t="str">
        <f>"363LF0000X"</f>
        <v>363LF0000X</v>
      </c>
      <c r="D14215" t="str">
        <f>"PIERPONT                 CARLA        M           "</f>
        <v xml:space="preserve">PIERPONT                 CARLA        M           </v>
      </c>
      <c r="E14215" t="str">
        <f>"BAY SAINT LOUIS           "</f>
        <v xml:space="preserve">BAY SAINT LOUIS           </v>
      </c>
      <c r="F14215" t="str">
        <f t="shared" si="361"/>
        <v>MS</v>
      </c>
    </row>
    <row r="14216" spans="1:6" x14ac:dyDescent="0.25">
      <c r="A14216" t="str">
        <f>"009435313"</f>
        <v>009435313</v>
      </c>
      <c r="B14216" t="str">
        <f>"1215976022"</f>
        <v>1215976022</v>
      </c>
      <c r="C14216" t="str">
        <f>"207Q00000X"</f>
        <v>207Q00000X</v>
      </c>
      <c r="D14216" t="str">
        <f>"HENDERSON                LARRY        A           "</f>
        <v xml:space="preserve">HENDERSON                LARRY        A           </v>
      </c>
      <c r="E14216" t="str">
        <f>"LUCEDALE                  "</f>
        <v xml:space="preserve">LUCEDALE                  </v>
      </c>
      <c r="F14216" t="str">
        <f t="shared" si="361"/>
        <v>MS</v>
      </c>
    </row>
    <row r="14217" spans="1:6" x14ac:dyDescent="0.25">
      <c r="A14217" t="str">
        <f>"009437721"</f>
        <v>009437721</v>
      </c>
      <c r="B14217" t="str">
        <f>"1396090163"</f>
        <v>1396090163</v>
      </c>
      <c r="C14217" t="str">
        <f>"152W00000X"</f>
        <v>152W00000X</v>
      </c>
      <c r="D14217" t="str">
        <f>"WILSON                   MARY KATHRYN             "</f>
        <v xml:space="preserve">WILSON                   MARY KATHRYN             </v>
      </c>
      <c r="E14217" t="str">
        <f>"GREENWOOD                 "</f>
        <v xml:space="preserve">GREENWOOD                 </v>
      </c>
      <c r="F14217" t="str">
        <f t="shared" si="361"/>
        <v>MS</v>
      </c>
    </row>
    <row r="14218" spans="1:6" x14ac:dyDescent="0.25">
      <c r="A14218" t="str">
        <f>"009437766"</f>
        <v>009437766</v>
      </c>
      <c r="B14218" t="str">
        <f>"1659988269"</f>
        <v>1659988269</v>
      </c>
      <c r="C14218" t="str">
        <f>"363L00000X"</f>
        <v>363L00000X</v>
      </c>
      <c r="D14218" t="str">
        <f>"ROBERTS                  ANNA                     "</f>
        <v xml:space="preserve">ROBERTS                  ANNA                     </v>
      </c>
      <c r="E14218" t="str">
        <f>"TUPELO                    "</f>
        <v xml:space="preserve">TUPELO                    </v>
      </c>
      <c r="F14218" t="str">
        <f t="shared" si="361"/>
        <v>MS</v>
      </c>
    </row>
    <row r="14219" spans="1:6" x14ac:dyDescent="0.25">
      <c r="A14219" t="str">
        <f>"009438250"</f>
        <v>009438250</v>
      </c>
      <c r="B14219" t="str">
        <f>"1972586188"</f>
        <v>1972586188</v>
      </c>
      <c r="C14219" t="str">
        <f>"207RH0000X"</f>
        <v>207RH0000X</v>
      </c>
      <c r="D14219" t="str">
        <f>"CHEDID                   SOLLY        S           "</f>
        <v xml:space="preserve">CHEDID                   SOLLY        S           </v>
      </c>
      <c r="E14219" t="str">
        <f>"PASCAGOULA                "</f>
        <v xml:space="preserve">PASCAGOULA                </v>
      </c>
      <c r="F14219" t="str">
        <f t="shared" si="361"/>
        <v>MS</v>
      </c>
    </row>
    <row r="14220" spans="1:6" x14ac:dyDescent="0.25">
      <c r="A14220" t="str">
        <f>"009450543"</f>
        <v>009450543</v>
      </c>
      <c r="B14220" t="str">
        <f>"1598218752"</f>
        <v>1598218752</v>
      </c>
      <c r="C14220" t="str">
        <f>"152W00000X"</f>
        <v>152W00000X</v>
      </c>
      <c r="D14220" t="str">
        <f>"RICHARDSON               KATIE        E           "</f>
        <v xml:space="preserve">RICHARDSON               KATIE        E           </v>
      </c>
      <c r="E14220" t="str">
        <f>"TUPELO                    "</f>
        <v xml:space="preserve">TUPELO                    </v>
      </c>
      <c r="F14220" t="str">
        <f t="shared" si="361"/>
        <v>MS</v>
      </c>
    </row>
    <row r="14221" spans="1:6" x14ac:dyDescent="0.25">
      <c r="A14221" t="str">
        <f>"009454275"</f>
        <v>009454275</v>
      </c>
      <c r="B14221" t="str">
        <f>"1518631365"</f>
        <v>1518631365</v>
      </c>
      <c r="C14221" t="str">
        <f>"152W00000X"</f>
        <v>152W00000X</v>
      </c>
      <c r="D14221" t="str">
        <f>"PACE                     JEFFERY      M           "</f>
        <v xml:space="preserve">PACE                     JEFFERY      M           </v>
      </c>
      <c r="E14221" t="str">
        <f>"PEARL                     "</f>
        <v xml:space="preserve">PEARL                     </v>
      </c>
      <c r="F14221" t="str">
        <f t="shared" si="361"/>
        <v>MS</v>
      </c>
    </row>
    <row r="14222" spans="1:6" x14ac:dyDescent="0.25">
      <c r="A14222" t="str">
        <f>"009455267"</f>
        <v>009455267</v>
      </c>
      <c r="B14222" t="str">
        <f>"1659650166"</f>
        <v>1659650166</v>
      </c>
      <c r="C14222" t="str">
        <f>"207W00000X"</f>
        <v>207W00000X</v>
      </c>
      <c r="D14222" t="str">
        <f>"SMITH                    AARON        J           "</f>
        <v xml:space="preserve">SMITH                    AARON        J           </v>
      </c>
      <c r="E14222" t="str">
        <f>"NATCHEZ                   "</f>
        <v xml:space="preserve">NATCHEZ                   </v>
      </c>
      <c r="F14222" t="str">
        <f t="shared" si="361"/>
        <v>MS</v>
      </c>
    </row>
    <row r="14223" spans="1:6" x14ac:dyDescent="0.25">
      <c r="A14223" t="str">
        <f>"009455703"</f>
        <v>009455703</v>
      </c>
      <c r="B14223" t="str">
        <f>"1780624510"</f>
        <v>1780624510</v>
      </c>
      <c r="C14223" t="str">
        <f>"363L00000X"</f>
        <v>363L00000X</v>
      </c>
      <c r="D14223" t="str">
        <f>"COOKSEY                  BOBBIE                   "</f>
        <v xml:space="preserve">COOKSEY                  BOBBIE                   </v>
      </c>
      <c r="E14223" t="str">
        <f>"WAYNESBORO                "</f>
        <v xml:space="preserve">WAYNESBORO                </v>
      </c>
      <c r="F14223" t="str">
        <f t="shared" si="361"/>
        <v>MS</v>
      </c>
    </row>
    <row r="14224" spans="1:6" x14ac:dyDescent="0.25">
      <c r="A14224" t="str">
        <f>"009456333"</f>
        <v>009456333</v>
      </c>
      <c r="B14224" t="str">
        <f>"1881644367"</f>
        <v>1881644367</v>
      </c>
      <c r="C14224" t="str">
        <f>"367500000X"</f>
        <v>367500000X</v>
      </c>
      <c r="D14224" t="str">
        <f>"BURNHAM                  JAMES        G           "</f>
        <v xml:space="preserve">BURNHAM                  JAMES        G           </v>
      </c>
      <c r="E14224" t="str">
        <f>"JACKSON                   "</f>
        <v xml:space="preserve">JACKSON                   </v>
      </c>
      <c r="F14224" t="str">
        <f t="shared" si="361"/>
        <v>MS</v>
      </c>
    </row>
    <row r="14225" spans="1:6" x14ac:dyDescent="0.25">
      <c r="A14225" t="str">
        <f>"009457208"</f>
        <v>009457208</v>
      </c>
      <c r="B14225" t="str">
        <f>"1871933994"</f>
        <v>1871933994</v>
      </c>
      <c r="C14225" t="str">
        <f>"363L00000X"</f>
        <v>363L00000X</v>
      </c>
      <c r="D14225" t="str">
        <f>"RHODES                   KELLY        L           "</f>
        <v xml:space="preserve">RHODES                   KELLY        L           </v>
      </c>
      <c r="E14225" t="str">
        <f>"OCEAN SPRINGS             "</f>
        <v xml:space="preserve">OCEAN SPRINGS             </v>
      </c>
      <c r="F14225" t="str">
        <f t="shared" si="361"/>
        <v>MS</v>
      </c>
    </row>
    <row r="14226" spans="1:6" x14ac:dyDescent="0.25">
      <c r="A14226" t="str">
        <f>"009458396"</f>
        <v>009458396</v>
      </c>
      <c r="B14226" t="str">
        <f>"1902575830"</f>
        <v>1902575830</v>
      </c>
      <c r="C14226" t="str">
        <f>"363L00000X"</f>
        <v>363L00000X</v>
      </c>
      <c r="D14226" t="str">
        <f>"HESTER                   XIAOMING                 "</f>
        <v xml:space="preserve">HESTER                   XIAOMING                 </v>
      </c>
      <c r="E14226" t="str">
        <f>"CLEVELAND                 "</f>
        <v xml:space="preserve">CLEVELAND                 </v>
      </c>
      <c r="F14226" t="str">
        <f t="shared" si="361"/>
        <v>MS</v>
      </c>
    </row>
    <row r="14227" spans="1:6" x14ac:dyDescent="0.25">
      <c r="A14227" t="str">
        <f>"009470323"</f>
        <v>009470323</v>
      </c>
      <c r="B14227" t="str">
        <f>"1942615117"</f>
        <v>1942615117</v>
      </c>
      <c r="C14227" t="str">
        <f>"207RG0100X"</f>
        <v>207RG0100X</v>
      </c>
      <c r="D14227" t="str">
        <f>"CHAKRABORTY              JOYDEEP                  "</f>
        <v xml:space="preserve">CHAKRABORTY              JOYDEEP                  </v>
      </c>
      <c r="E14227" t="str">
        <f>"JACKSON                   "</f>
        <v xml:space="preserve">JACKSON                   </v>
      </c>
      <c r="F14227" t="str">
        <f t="shared" si="361"/>
        <v>MS</v>
      </c>
    </row>
    <row r="14228" spans="1:6" x14ac:dyDescent="0.25">
      <c r="A14228" t="str">
        <f>"009471521"</f>
        <v>009471521</v>
      </c>
      <c r="B14228" t="str">
        <f>"1366837262"</f>
        <v>1366837262</v>
      </c>
      <c r="C14228" t="str">
        <f>"152W00000X"</f>
        <v>152W00000X</v>
      </c>
      <c r="D14228" t="str">
        <f>"TOTAL ICARE MS LLC                                "</f>
        <v xml:space="preserve">TOTAL ICARE MS LLC                                </v>
      </c>
      <c r="E14228" t="str">
        <f>"MAGEE                     "</f>
        <v xml:space="preserve">MAGEE                     </v>
      </c>
      <c r="F14228" t="str">
        <f t="shared" si="361"/>
        <v>MS</v>
      </c>
    </row>
    <row r="14229" spans="1:6" x14ac:dyDescent="0.25">
      <c r="A14229" t="str">
        <f>"009471531"</f>
        <v>009471531</v>
      </c>
      <c r="B14229" t="str">
        <f>"1316158900"</f>
        <v>1316158900</v>
      </c>
      <c r="C14229" t="str">
        <f>"363L00000X"</f>
        <v>363L00000X</v>
      </c>
      <c r="D14229" t="str">
        <f>"TAPPS                    BARBARA      L           "</f>
        <v xml:space="preserve">TAPPS                    BARBARA      L           </v>
      </c>
      <c r="E14229" t="str">
        <f>"MADISON                   "</f>
        <v xml:space="preserve">MADISON                   </v>
      </c>
      <c r="F14229" t="str">
        <f t="shared" si="361"/>
        <v>MS</v>
      </c>
    </row>
    <row r="14230" spans="1:6" x14ac:dyDescent="0.25">
      <c r="A14230" t="str">
        <f>"009472237"</f>
        <v>009472237</v>
      </c>
      <c r="B14230" t="str">
        <f>"1215347349"</f>
        <v>1215347349</v>
      </c>
      <c r="C14230" t="str">
        <f>"207R00000X"</f>
        <v>207R00000X</v>
      </c>
      <c r="D14230" t="str">
        <f>"THAGGARD                 DOUGLAS                  "</f>
        <v xml:space="preserve">THAGGARD                 DOUGLAS                  </v>
      </c>
      <c r="E14230" t="str">
        <f>"OLIVE BRANCH              "</f>
        <v xml:space="preserve">OLIVE BRANCH              </v>
      </c>
      <c r="F14230" t="str">
        <f t="shared" si="361"/>
        <v>MS</v>
      </c>
    </row>
    <row r="14231" spans="1:6" x14ac:dyDescent="0.25">
      <c r="A14231" t="str">
        <f>"009474826"</f>
        <v>009474826</v>
      </c>
      <c r="B14231" t="str">
        <f>"1255472502"</f>
        <v>1255472502</v>
      </c>
      <c r="C14231" t="str">
        <f>"152W00000X"</f>
        <v>152W00000X</v>
      </c>
      <c r="D14231" t="str">
        <f>"LORD                     MARY         A           "</f>
        <v xml:space="preserve">LORD                     MARY         A           </v>
      </c>
      <c r="E14231" t="str">
        <f>"GREENVILLE                "</f>
        <v xml:space="preserve">GREENVILLE                </v>
      </c>
      <c r="F14231" t="str">
        <f t="shared" si="361"/>
        <v>MS</v>
      </c>
    </row>
    <row r="14232" spans="1:6" x14ac:dyDescent="0.25">
      <c r="A14232" t="str">
        <f>"009476318"</f>
        <v>009476318</v>
      </c>
      <c r="B14232" t="str">
        <f>"1659645646"</f>
        <v>1659645646</v>
      </c>
      <c r="C14232" t="str">
        <f>"363L00000X"</f>
        <v>363L00000X</v>
      </c>
      <c r="D14232" t="str">
        <f>"SEXTON                   JESSICA                  "</f>
        <v xml:space="preserve">SEXTON                   JESSICA                  </v>
      </c>
      <c r="E14232" t="str">
        <f>"WEST POINT                "</f>
        <v xml:space="preserve">WEST POINT                </v>
      </c>
      <c r="F14232" t="str">
        <f t="shared" si="361"/>
        <v>MS</v>
      </c>
    </row>
    <row r="14233" spans="1:6" x14ac:dyDescent="0.25">
      <c r="A14233" t="str">
        <f>"009476371"</f>
        <v>009476371</v>
      </c>
      <c r="B14233" t="str">
        <f>"1619001864"</f>
        <v>1619001864</v>
      </c>
      <c r="C14233" t="str">
        <f>"261QA0600X"</f>
        <v>261QA0600X</v>
      </c>
      <c r="D14233" t="str">
        <f>"TOTAL HEALTH CARE ADULT DAY CARE CE               "</f>
        <v xml:space="preserve">TOTAL HEALTH CARE ADULT DAY CARE CE               </v>
      </c>
      <c r="E14233" t="str">
        <f>"BELZONI                   "</f>
        <v xml:space="preserve">BELZONI                   </v>
      </c>
      <c r="F14233" t="str">
        <f t="shared" si="361"/>
        <v>MS</v>
      </c>
    </row>
    <row r="14234" spans="1:6" x14ac:dyDescent="0.25">
      <c r="A14234" t="str">
        <f>"009477305"</f>
        <v>009477305</v>
      </c>
      <c r="B14234" t="str">
        <f>"1508029083"</f>
        <v>1508029083</v>
      </c>
      <c r="C14234" t="str">
        <f>"207P00000X"</f>
        <v>207P00000X</v>
      </c>
      <c r="D14234" t="str">
        <f>"BLACK                    JASON        L           "</f>
        <v xml:space="preserve">BLACK                    JASON        L           </v>
      </c>
      <c r="E14234" t="str">
        <f>"GULFPORT                  "</f>
        <v xml:space="preserve">GULFPORT                  </v>
      </c>
      <c r="F14234" t="str">
        <f t="shared" si="361"/>
        <v>MS</v>
      </c>
    </row>
    <row r="14235" spans="1:6" x14ac:dyDescent="0.25">
      <c r="A14235" t="str">
        <f>"009478561"</f>
        <v>009478561</v>
      </c>
      <c r="B14235" t="str">
        <f>"1538471842"</f>
        <v>1538471842</v>
      </c>
      <c r="C14235" t="str">
        <f>"207RI0011X"</f>
        <v>207RI0011X</v>
      </c>
      <c r="D14235" t="str">
        <f>"BENNETT                  BRETT        A           "</f>
        <v xml:space="preserve">BENNETT                  BRETT        A           </v>
      </c>
      <c r="E14235" t="str">
        <f>"JACKSON                   "</f>
        <v xml:space="preserve">JACKSON                   </v>
      </c>
      <c r="F14235" t="str">
        <f t="shared" si="361"/>
        <v>MS</v>
      </c>
    </row>
    <row r="14236" spans="1:6" x14ac:dyDescent="0.25">
      <c r="A14236" t="str">
        <f>"009479328"</f>
        <v>009479328</v>
      </c>
      <c r="B14236" t="str">
        <f>"1528094851"</f>
        <v>1528094851</v>
      </c>
      <c r="C14236" t="str">
        <f>"207T00000X"</f>
        <v>207T00000X</v>
      </c>
      <c r="D14236" t="str">
        <f>"ILERCIL                  ORHAN                    "</f>
        <v xml:space="preserve">ILERCIL                  ORHAN                    </v>
      </c>
      <c r="E14236" t="str">
        <f>"GULFPORT                  "</f>
        <v xml:space="preserve">GULFPORT                  </v>
      </c>
      <c r="F14236" t="str">
        <f t="shared" si="361"/>
        <v>MS</v>
      </c>
    </row>
    <row r="14237" spans="1:6" x14ac:dyDescent="0.25">
      <c r="A14237" t="str">
        <f>"009481205"</f>
        <v>009481205</v>
      </c>
      <c r="B14237" t="str">
        <f>"1124221601"</f>
        <v>1124221601</v>
      </c>
      <c r="C14237" t="str">
        <f>"207X00000X"</f>
        <v>207X00000X</v>
      </c>
      <c r="D14237" t="str">
        <f>"FUTVOYE                  MATTHEW      C           "</f>
        <v xml:space="preserve">FUTVOYE                  MATTHEW      C           </v>
      </c>
      <c r="E14237" t="str">
        <f>"FLOWOOD                   "</f>
        <v xml:space="preserve">FLOWOOD                   </v>
      </c>
      <c r="F14237" t="str">
        <f t="shared" si="361"/>
        <v>MS</v>
      </c>
    </row>
    <row r="14238" spans="1:6" x14ac:dyDescent="0.25">
      <c r="A14238" t="str">
        <f>"009482003"</f>
        <v>009482003</v>
      </c>
      <c r="B14238" t="str">
        <f>"1013567445"</f>
        <v>1013567445</v>
      </c>
      <c r="C14238" t="str">
        <f>"363L00000X"</f>
        <v>363L00000X</v>
      </c>
      <c r="D14238" t="str">
        <f>"LOTT                     JESSICA      W           "</f>
        <v xml:space="preserve">LOTT                     JESSICA      W           </v>
      </c>
      <c r="E14238" t="str">
        <f>"HATTIESBURG               "</f>
        <v xml:space="preserve">HATTIESBURG               </v>
      </c>
      <c r="F14238" t="str">
        <f t="shared" si="361"/>
        <v>MS</v>
      </c>
    </row>
    <row r="14239" spans="1:6" x14ac:dyDescent="0.25">
      <c r="A14239" t="str">
        <f>"009482518"</f>
        <v>009482518</v>
      </c>
      <c r="B14239" t="str">
        <f>"1811360993"</f>
        <v>1811360993</v>
      </c>
      <c r="C14239" t="str">
        <f>"363L00000X"</f>
        <v>363L00000X</v>
      </c>
      <c r="D14239" t="str">
        <f>"TAYLOR                   ALEX         B           "</f>
        <v xml:space="preserve">TAYLOR                   ALEX         B           </v>
      </c>
      <c r="E14239" t="str">
        <f>"JACKSON                   "</f>
        <v xml:space="preserve">JACKSON                   </v>
      </c>
      <c r="F14239" t="str">
        <f t="shared" si="361"/>
        <v>MS</v>
      </c>
    </row>
    <row r="14240" spans="1:6" x14ac:dyDescent="0.25">
      <c r="A14240" t="str">
        <f>"009482879"</f>
        <v>009482879</v>
      </c>
      <c r="B14240" t="str">
        <f>"1730194358"</f>
        <v>1730194358</v>
      </c>
      <c r="C14240" t="str">
        <f>"152W00000X"</f>
        <v>152W00000X</v>
      </c>
      <c r="D14240" t="str">
        <f>"SHIPP FAMILY EYECARE, PLLC                        "</f>
        <v xml:space="preserve">SHIPP FAMILY EYECARE, PLLC                        </v>
      </c>
      <c r="E14240" t="str">
        <f>"CLEVELAND                 "</f>
        <v xml:space="preserve">CLEVELAND                 </v>
      </c>
      <c r="F14240" t="str">
        <f t="shared" si="361"/>
        <v>MS</v>
      </c>
    </row>
    <row r="14241" spans="1:6" x14ac:dyDescent="0.25">
      <c r="A14241" t="str">
        <f>"009483506"</f>
        <v>009483506</v>
      </c>
      <c r="B14241" t="str">
        <f>"1174636195"</f>
        <v>1174636195</v>
      </c>
      <c r="C14241" t="str">
        <f>"363L00000X"</f>
        <v>363L00000X</v>
      </c>
      <c r="D14241" t="str">
        <f>"HARDY                    JOANNA       M           "</f>
        <v xml:space="preserve">HARDY                    JOANNA       M           </v>
      </c>
      <c r="E14241" t="str">
        <f>"HATTIESBURG               "</f>
        <v xml:space="preserve">HATTIESBURG               </v>
      </c>
      <c r="F14241" t="str">
        <f t="shared" si="361"/>
        <v>MS</v>
      </c>
    </row>
    <row r="14242" spans="1:6" x14ac:dyDescent="0.25">
      <c r="A14242" t="str">
        <f>"009483510"</f>
        <v>009483510</v>
      </c>
      <c r="B14242" t="str">
        <f>"1124412234"</f>
        <v>1124412234</v>
      </c>
      <c r="C14242" t="str">
        <f>"207L00000X"</f>
        <v>207L00000X</v>
      </c>
      <c r="D14242" t="str">
        <f>"MARTIN, IV               CHARLES      C           "</f>
        <v xml:space="preserve">MARTIN, IV               CHARLES      C           </v>
      </c>
      <c r="E14242" t="str">
        <f>"MERIDIAN                  "</f>
        <v xml:space="preserve">MERIDIAN                  </v>
      </c>
      <c r="F14242" t="str">
        <f t="shared" si="361"/>
        <v>MS</v>
      </c>
    </row>
    <row r="14243" spans="1:6" x14ac:dyDescent="0.25">
      <c r="A14243" t="str">
        <f>"009483701"</f>
        <v>009483701</v>
      </c>
      <c r="B14243" t="str">
        <f>"1023294527"</f>
        <v>1023294527</v>
      </c>
      <c r="C14243" t="str">
        <f>"207V00000X"</f>
        <v>207V00000X</v>
      </c>
      <c r="D14243" t="str">
        <f>"COLE                     SAMUEL       W           "</f>
        <v xml:space="preserve">COLE                     SAMUEL       W           </v>
      </c>
      <c r="E14243" t="str">
        <f>"OXFORD                    "</f>
        <v xml:space="preserve">OXFORD                    </v>
      </c>
      <c r="F14243" t="str">
        <f t="shared" si="361"/>
        <v>MS</v>
      </c>
    </row>
    <row r="14244" spans="1:6" x14ac:dyDescent="0.25">
      <c r="A14244" t="str">
        <f>"009483888"</f>
        <v>009483888</v>
      </c>
      <c r="B14244" t="str">
        <f>"1679107692"</f>
        <v>1679107692</v>
      </c>
      <c r="C14244" t="str">
        <f>"363L00000X"</f>
        <v>363L00000X</v>
      </c>
      <c r="D14244" t="str">
        <f>"BRADY                    TUCKER       L           "</f>
        <v xml:space="preserve">BRADY                    TUCKER       L           </v>
      </c>
      <c r="E14244" t="str">
        <f>"BROOKHAVEN                "</f>
        <v xml:space="preserve">BROOKHAVEN                </v>
      </c>
      <c r="F14244" t="str">
        <f t="shared" si="361"/>
        <v>MS</v>
      </c>
    </row>
    <row r="14245" spans="1:6" x14ac:dyDescent="0.25">
      <c r="A14245" t="str">
        <f>"009484030"</f>
        <v>009484030</v>
      </c>
      <c r="B14245" t="str">
        <f>"1447642335"</f>
        <v>1447642335</v>
      </c>
      <c r="C14245" t="str">
        <f>"363L00000X"</f>
        <v>363L00000X</v>
      </c>
      <c r="D14245" t="str">
        <f>"ROBINSON                 TANGA        D           "</f>
        <v xml:space="preserve">ROBINSON                 TANGA        D           </v>
      </c>
      <c r="E14245" t="str">
        <f>"ITTA BENA                 "</f>
        <v xml:space="preserve">ITTA BENA                 </v>
      </c>
      <c r="F14245" t="str">
        <f t="shared" si="361"/>
        <v>MS</v>
      </c>
    </row>
    <row r="14246" spans="1:6" x14ac:dyDescent="0.25">
      <c r="A14246" t="str">
        <f>"009486750"</f>
        <v>009486750</v>
      </c>
      <c r="B14246" t="str">
        <f>"1073113304"</f>
        <v>1073113304</v>
      </c>
      <c r="C14246" t="str">
        <f>"363L00000X"</f>
        <v>363L00000X</v>
      </c>
      <c r="D14246" t="str">
        <f>"RUCKER                   TASHA                    "</f>
        <v xml:space="preserve">RUCKER                   TASHA                    </v>
      </c>
      <c r="E14246" t="str">
        <f>"CLARKSDALE                "</f>
        <v xml:space="preserve">CLARKSDALE                </v>
      </c>
      <c r="F14246" t="str">
        <f t="shared" si="361"/>
        <v>MS</v>
      </c>
    </row>
    <row r="14247" spans="1:6" x14ac:dyDescent="0.25">
      <c r="A14247" t="str">
        <f>"009487534"</f>
        <v>009487534</v>
      </c>
      <c r="B14247" t="str">
        <f>"1114301397"</f>
        <v>1114301397</v>
      </c>
      <c r="C14247" t="str">
        <f>"207T00000X"</f>
        <v>207T00000X</v>
      </c>
      <c r="D14247" t="str">
        <f>"SMITH                    ANDREW       M           "</f>
        <v xml:space="preserve">SMITH                    ANDREW       M           </v>
      </c>
      <c r="E14247" t="str">
        <f>"JACKSON                   "</f>
        <v xml:space="preserve">JACKSON                   </v>
      </c>
      <c r="F14247" t="str">
        <f t="shared" si="361"/>
        <v>MS</v>
      </c>
    </row>
    <row r="14248" spans="1:6" x14ac:dyDescent="0.25">
      <c r="A14248" t="str">
        <f>"009487794"</f>
        <v>009487794</v>
      </c>
      <c r="B14248" t="str">
        <f>"1366875205"</f>
        <v>1366875205</v>
      </c>
      <c r="C14248" t="str">
        <f>"207R00000X"</f>
        <v>207R00000X</v>
      </c>
      <c r="D14248" t="str">
        <f>"ESQUER GARRIGOS          ZERELDA                  "</f>
        <v xml:space="preserve">ESQUER GARRIGOS          ZERELDA                  </v>
      </c>
      <c r="E14248" t="str">
        <f>"JACKSON                   "</f>
        <v xml:space="preserve">JACKSON                   </v>
      </c>
      <c r="F14248" t="str">
        <f t="shared" si="361"/>
        <v>MS</v>
      </c>
    </row>
    <row r="14249" spans="1:6" x14ac:dyDescent="0.25">
      <c r="A14249" t="str">
        <f>"009501028"</f>
        <v>009501028</v>
      </c>
      <c r="B14249" t="str">
        <f>"1487034849"</f>
        <v>1487034849</v>
      </c>
      <c r="C14249" t="str">
        <f>"363L00000X"</f>
        <v>363L00000X</v>
      </c>
      <c r="D14249" t="str">
        <f>"MCCLOUD                  KIMBERLY     A           "</f>
        <v xml:space="preserve">MCCLOUD                  KIMBERLY     A           </v>
      </c>
      <c r="E14249" t="str">
        <f>"HATTIESBURG               "</f>
        <v xml:space="preserve">HATTIESBURG               </v>
      </c>
      <c r="F14249" t="str">
        <f t="shared" si="361"/>
        <v>MS</v>
      </c>
    </row>
    <row r="14250" spans="1:6" x14ac:dyDescent="0.25">
      <c r="A14250" t="str">
        <f>"009501091"</f>
        <v>009501091</v>
      </c>
      <c r="B14250" t="str">
        <f>"1336147271"</f>
        <v>1336147271</v>
      </c>
      <c r="C14250" t="str">
        <f>"207W00000X"</f>
        <v>207W00000X</v>
      </c>
      <c r="D14250" t="str">
        <f>"COLEMAN                  LEE          W           "</f>
        <v xml:space="preserve">COLEMAN                  LEE          W           </v>
      </c>
      <c r="E14250" t="str">
        <f>"GREENWOOD                 "</f>
        <v xml:space="preserve">GREENWOOD                 </v>
      </c>
      <c r="F14250" t="str">
        <f t="shared" si="361"/>
        <v>MS</v>
      </c>
    </row>
    <row r="14251" spans="1:6" x14ac:dyDescent="0.25">
      <c r="A14251" t="str">
        <f>"009502276"</f>
        <v>009502276</v>
      </c>
      <c r="B14251" t="str">
        <f>"1841613676"</f>
        <v>1841613676</v>
      </c>
      <c r="C14251" t="str">
        <f>"363L00000X"</f>
        <v>363L00000X</v>
      </c>
      <c r="D14251" t="str">
        <f>"CAMPBELL                 JAMES        T           "</f>
        <v xml:space="preserve">CAMPBELL                 JAMES        T           </v>
      </c>
      <c r="E14251" t="str">
        <f>"RICHLAND                  "</f>
        <v xml:space="preserve">RICHLAND                  </v>
      </c>
      <c r="F14251" t="str">
        <f t="shared" si="361"/>
        <v>MS</v>
      </c>
    </row>
    <row r="14252" spans="1:6" x14ac:dyDescent="0.25">
      <c r="A14252" t="str">
        <f>"009503071"</f>
        <v>009503071</v>
      </c>
      <c r="B14252" t="str">
        <f>"1528102506"</f>
        <v>1528102506</v>
      </c>
      <c r="C14252" t="str">
        <f>"208000000X"</f>
        <v>208000000X</v>
      </c>
      <c r="D14252" t="str">
        <f>"THORNTON                 DONNYEL      T           "</f>
        <v xml:space="preserve">THORNTON                 DONNYEL      T           </v>
      </c>
      <c r="E14252" t="str">
        <f>"SOUTHAVEN                 "</f>
        <v xml:space="preserve">SOUTHAVEN                 </v>
      </c>
      <c r="F14252" t="str">
        <f t="shared" si="361"/>
        <v>MS</v>
      </c>
    </row>
    <row r="14253" spans="1:6" x14ac:dyDescent="0.25">
      <c r="A14253" t="str">
        <f>"009503346"</f>
        <v>009503346</v>
      </c>
      <c r="B14253" t="str">
        <f>"1578846598"</f>
        <v>1578846598</v>
      </c>
      <c r="C14253" t="str">
        <f>"363L00000X"</f>
        <v>363L00000X</v>
      </c>
      <c r="D14253" t="str">
        <f>"JACKSON                  SHANDA       S           "</f>
        <v xml:space="preserve">JACKSON                  SHANDA       S           </v>
      </c>
      <c r="E14253" t="str">
        <f>"NATCHEZ                   "</f>
        <v xml:space="preserve">NATCHEZ                   </v>
      </c>
      <c r="F14253" t="str">
        <f t="shared" si="361"/>
        <v>MS</v>
      </c>
    </row>
    <row r="14254" spans="1:6" x14ac:dyDescent="0.25">
      <c r="A14254" t="str">
        <f>"009504023"</f>
        <v>009504023</v>
      </c>
      <c r="B14254" t="str">
        <f>"1700818804"</f>
        <v>1700818804</v>
      </c>
      <c r="C14254" t="str">
        <f>"207L00000X"</f>
        <v>207L00000X</v>
      </c>
      <c r="D14254" t="str">
        <f>"MCCOY                    DENNIS       D           "</f>
        <v xml:space="preserve">MCCOY                    DENNIS       D           </v>
      </c>
      <c r="E14254" t="str">
        <f>"SOUTHAVEN                 "</f>
        <v xml:space="preserve">SOUTHAVEN                 </v>
      </c>
      <c r="F14254" t="str">
        <f t="shared" si="361"/>
        <v>MS</v>
      </c>
    </row>
    <row r="14255" spans="1:6" x14ac:dyDescent="0.25">
      <c r="A14255" t="str">
        <f>"009505020"</f>
        <v>009505020</v>
      </c>
      <c r="B14255" t="str">
        <f>"1063458412"</f>
        <v>1063458412</v>
      </c>
      <c r="C14255" t="str">
        <f>"363L00000X"</f>
        <v>363L00000X</v>
      </c>
      <c r="D14255" t="str">
        <f>"REED                     JULIE        D           "</f>
        <v xml:space="preserve">REED                     JULIE        D           </v>
      </c>
      <c r="E14255" t="str">
        <f>"FLOWOOD                   "</f>
        <v xml:space="preserve">FLOWOOD                   </v>
      </c>
      <c r="F14255" t="str">
        <f t="shared" si="361"/>
        <v>MS</v>
      </c>
    </row>
    <row r="14256" spans="1:6" x14ac:dyDescent="0.25">
      <c r="A14256" t="str">
        <f>"009505058"</f>
        <v>009505058</v>
      </c>
      <c r="B14256" t="str">
        <f>"1174980478"</f>
        <v>1174980478</v>
      </c>
      <c r="C14256" t="str">
        <f>"363LF0000X"</f>
        <v>363LF0000X</v>
      </c>
      <c r="D14256" t="str">
        <f>"OUTLAW                   AISHA        R           "</f>
        <v xml:space="preserve">OUTLAW                   AISHA        R           </v>
      </c>
      <c r="E14256" t="str">
        <f>"STARKVILLE                "</f>
        <v xml:space="preserve">STARKVILLE                </v>
      </c>
      <c r="F14256" t="str">
        <f t="shared" si="361"/>
        <v>MS</v>
      </c>
    </row>
    <row r="14257" spans="1:6" x14ac:dyDescent="0.25">
      <c r="A14257" t="str">
        <f>"009505362"</f>
        <v>009505362</v>
      </c>
      <c r="B14257" t="str">
        <f>"1962733147"</f>
        <v>1962733147</v>
      </c>
      <c r="C14257" t="str">
        <f>"367500000X"</f>
        <v>367500000X</v>
      </c>
      <c r="D14257" t="str">
        <f>"SUMRALL                  JUDITH       P           "</f>
        <v xml:space="preserve">SUMRALL                  JUDITH       P           </v>
      </c>
      <c r="E14257" t="str">
        <f>"JACKSON                   "</f>
        <v xml:space="preserve">JACKSON                   </v>
      </c>
      <c r="F14257" t="str">
        <f t="shared" si="361"/>
        <v>MS</v>
      </c>
    </row>
    <row r="14258" spans="1:6" x14ac:dyDescent="0.25">
      <c r="A14258" t="str">
        <f>"009507269"</f>
        <v>009507269</v>
      </c>
      <c r="B14258" t="str">
        <f>"1356693949"</f>
        <v>1356693949</v>
      </c>
      <c r="C14258" t="str">
        <f>"367500000X"</f>
        <v>367500000X</v>
      </c>
      <c r="D14258" t="str">
        <f>"VANCE                    ASHLEY       D           "</f>
        <v xml:space="preserve">VANCE                    ASHLEY       D           </v>
      </c>
      <c r="E14258" t="str">
        <f>"HATTIESBURG               "</f>
        <v xml:space="preserve">HATTIESBURG               </v>
      </c>
      <c r="F14258" t="str">
        <f t="shared" si="361"/>
        <v>MS</v>
      </c>
    </row>
    <row r="14259" spans="1:6" x14ac:dyDescent="0.25">
      <c r="A14259" t="str">
        <f>"009507716"</f>
        <v>009507716</v>
      </c>
      <c r="B14259" t="str">
        <f>"1376819748"</f>
        <v>1376819748</v>
      </c>
      <c r="C14259" t="str">
        <f>"363L00000X"</f>
        <v>363L00000X</v>
      </c>
      <c r="D14259" t="str">
        <f>"WHITE                    JANAE        H           "</f>
        <v xml:space="preserve">WHITE                    JANAE        H           </v>
      </c>
      <c r="E14259" t="str">
        <f>"CANTON                    "</f>
        <v xml:space="preserve">CANTON                    </v>
      </c>
      <c r="F14259" t="str">
        <f t="shared" si="361"/>
        <v>MS</v>
      </c>
    </row>
    <row r="14260" spans="1:6" x14ac:dyDescent="0.25">
      <c r="A14260" t="str">
        <f>"009507866"</f>
        <v>009507866</v>
      </c>
      <c r="B14260" t="str">
        <f>"1396185765"</f>
        <v>1396185765</v>
      </c>
      <c r="C14260" t="str">
        <f>"207Q00000X"</f>
        <v>207Q00000X</v>
      </c>
      <c r="D14260" t="str">
        <f>"BROWNING                 JOHN                     "</f>
        <v xml:space="preserve">BROWNING                 JOHN                     </v>
      </c>
      <c r="E14260" t="str">
        <f>"BOONEVILLE                "</f>
        <v xml:space="preserve">BOONEVILLE                </v>
      </c>
      <c r="F14260" t="str">
        <f t="shared" si="361"/>
        <v>MS</v>
      </c>
    </row>
    <row r="14261" spans="1:6" x14ac:dyDescent="0.25">
      <c r="A14261" t="str">
        <f>"009509758"</f>
        <v>009509758</v>
      </c>
      <c r="B14261" t="str">
        <f>"1598870032"</f>
        <v>1598870032</v>
      </c>
      <c r="C14261" t="str">
        <f>"207V00000X"</f>
        <v>207V00000X</v>
      </c>
      <c r="D14261" t="str">
        <f>"VAUGHN                   ERICKA       C           "</f>
        <v xml:space="preserve">VAUGHN                   ERICKA       C           </v>
      </c>
      <c r="E14261" t="str">
        <f>"JACKSON                   "</f>
        <v xml:space="preserve">JACKSON                   </v>
      </c>
      <c r="F14261" t="str">
        <f t="shared" si="361"/>
        <v>MS</v>
      </c>
    </row>
    <row r="14262" spans="1:6" x14ac:dyDescent="0.25">
      <c r="A14262" t="str">
        <f>"009520566"</f>
        <v>009520566</v>
      </c>
      <c r="B14262" t="str">
        <f>"1770885121"</f>
        <v>1770885121</v>
      </c>
      <c r="C14262" t="str">
        <f>"363L00000X"</f>
        <v>363L00000X</v>
      </c>
      <c r="D14262" t="str">
        <f>"SANFORD                  LISA         M           "</f>
        <v xml:space="preserve">SANFORD                  LISA         M           </v>
      </c>
      <c r="E14262" t="str">
        <f>"RIPLEY                    "</f>
        <v xml:space="preserve">RIPLEY                    </v>
      </c>
      <c r="F14262" t="str">
        <f t="shared" si="361"/>
        <v>MS</v>
      </c>
    </row>
    <row r="14263" spans="1:6" x14ac:dyDescent="0.25">
      <c r="A14263" t="str">
        <f>"009523090"</f>
        <v>009523090</v>
      </c>
      <c r="B14263" t="str">
        <f>"1639280274"</f>
        <v>1639280274</v>
      </c>
      <c r="C14263" t="str">
        <f>"152W00000X"</f>
        <v>152W00000X</v>
      </c>
      <c r="D14263" t="str">
        <f>"BROOKS EYE CENTER INC                             "</f>
        <v xml:space="preserve">BROOKS EYE CENTER INC                             </v>
      </c>
      <c r="E14263" t="str">
        <f>"COLUMBUS                  "</f>
        <v xml:space="preserve">COLUMBUS                  </v>
      </c>
      <c r="F14263" t="str">
        <f t="shared" si="361"/>
        <v>MS</v>
      </c>
    </row>
    <row r="14264" spans="1:6" x14ac:dyDescent="0.25">
      <c r="A14264" t="str">
        <f>"009523504"</f>
        <v>009523504</v>
      </c>
      <c r="B14264" t="str">
        <f>"1306086954"</f>
        <v>1306086954</v>
      </c>
      <c r="C14264" t="str">
        <f>"122300000X"</f>
        <v>122300000X</v>
      </c>
      <c r="D14264" t="str">
        <f>"SIFFRARD FAMILY DENISTRY PLLC                     "</f>
        <v xml:space="preserve">SIFFRARD FAMILY DENISTRY PLLC                     </v>
      </c>
      <c r="E14264" t="str">
        <f>"OLIVE BRANCH              "</f>
        <v xml:space="preserve">OLIVE BRANCH              </v>
      </c>
      <c r="F14264" t="str">
        <f t="shared" si="361"/>
        <v>MS</v>
      </c>
    </row>
    <row r="14265" spans="1:6" x14ac:dyDescent="0.25">
      <c r="A14265" t="str">
        <f>"009524011"</f>
        <v>009524011</v>
      </c>
      <c r="B14265" t="str">
        <f>"1871145714"</f>
        <v>1871145714</v>
      </c>
      <c r="C14265" t="str">
        <f>"363L00000X"</f>
        <v>363L00000X</v>
      </c>
      <c r="D14265" t="str">
        <f>"PACE                     ALICIA                   "</f>
        <v xml:space="preserve">PACE                     ALICIA                   </v>
      </c>
      <c r="E14265" t="str">
        <f>"HATTIESBURG               "</f>
        <v xml:space="preserve">HATTIESBURG               </v>
      </c>
      <c r="F14265" t="str">
        <f t="shared" si="361"/>
        <v>MS</v>
      </c>
    </row>
    <row r="14266" spans="1:6" x14ac:dyDescent="0.25">
      <c r="A14266" t="str">
        <f>"009525060"</f>
        <v>009525060</v>
      </c>
      <c r="B14266" t="str">
        <f>"1790185999"</f>
        <v>1790185999</v>
      </c>
      <c r="C14266" t="str">
        <f>"152W00000X"</f>
        <v>152W00000X</v>
      </c>
      <c r="D14266" t="str">
        <f>"JONES                    KELLIE                   "</f>
        <v xml:space="preserve">JONES                    KELLIE                   </v>
      </c>
      <c r="E14266" t="str">
        <f>"SOUTHAVEN                 "</f>
        <v xml:space="preserve">SOUTHAVEN                 </v>
      </c>
      <c r="F14266" t="str">
        <f t="shared" si="361"/>
        <v>MS</v>
      </c>
    </row>
    <row r="14267" spans="1:6" x14ac:dyDescent="0.25">
      <c r="A14267" t="str">
        <f>"009525394"</f>
        <v>009525394</v>
      </c>
      <c r="B14267" t="str">
        <f>"1205323177"</f>
        <v>1205323177</v>
      </c>
      <c r="C14267" t="str">
        <f>"207R00000X"</f>
        <v>207R00000X</v>
      </c>
      <c r="D14267" t="str">
        <f>"FULLER                   WILLIAM      T           "</f>
        <v xml:space="preserve">FULLER                   WILLIAM      T           </v>
      </c>
      <c r="E14267" t="str">
        <f>"JACKSON                   "</f>
        <v xml:space="preserve">JACKSON                   </v>
      </c>
      <c r="F14267" t="str">
        <f t="shared" si="361"/>
        <v>MS</v>
      </c>
    </row>
    <row r="14268" spans="1:6" x14ac:dyDescent="0.25">
      <c r="A14268" t="str">
        <f>"009525706"</f>
        <v>009525706</v>
      </c>
      <c r="B14268" t="str">
        <f>"1962041798"</f>
        <v>1962041798</v>
      </c>
      <c r="C14268" t="str">
        <f>"261QM3000X"</f>
        <v>261QM3000X</v>
      </c>
      <c r="D14268" t="str">
        <f>"PEDIATRIC HAVEN PPEC                              "</f>
        <v xml:space="preserve">PEDIATRIC HAVEN PPEC                              </v>
      </c>
      <c r="E14268" t="str">
        <f>"CANTON                    "</f>
        <v xml:space="preserve">CANTON                    </v>
      </c>
      <c r="F14268" t="str">
        <f t="shared" si="361"/>
        <v>MS</v>
      </c>
    </row>
    <row r="14269" spans="1:6" x14ac:dyDescent="0.25">
      <c r="A14269" t="str">
        <f>"009526713"</f>
        <v>009526713</v>
      </c>
      <c r="B14269" t="str">
        <f>"1821315011"</f>
        <v>1821315011</v>
      </c>
      <c r="C14269" t="str">
        <f>"207RC0000X"</f>
        <v>207RC0000X</v>
      </c>
      <c r="D14269" t="str">
        <f>"CLARK                    DONALD                   "</f>
        <v xml:space="preserve">CLARK                    DONALD                   </v>
      </c>
      <c r="E14269" t="str">
        <f>"JACKSON                   "</f>
        <v xml:space="preserve">JACKSON                   </v>
      </c>
      <c r="F14269" t="str">
        <f t="shared" si="361"/>
        <v>MS</v>
      </c>
    </row>
    <row r="14270" spans="1:6" x14ac:dyDescent="0.25">
      <c r="A14270" t="str">
        <f>"009527251"</f>
        <v>009527251</v>
      </c>
      <c r="B14270" t="str">
        <f>"1922559012"</f>
        <v>1922559012</v>
      </c>
      <c r="C14270" t="str">
        <f>"363LP0808X"</f>
        <v>363LP0808X</v>
      </c>
      <c r="D14270" t="str">
        <f>"MCMAHON                  COLLEEN      M           "</f>
        <v xml:space="preserve">MCMAHON                  COLLEEN      M           </v>
      </c>
      <c r="E14270" t="str">
        <f>"BILOXI                    "</f>
        <v xml:space="preserve">BILOXI                    </v>
      </c>
      <c r="F14270" t="str">
        <f t="shared" ref="F14270:F14333" si="362">"MS"</f>
        <v>MS</v>
      </c>
    </row>
    <row r="14271" spans="1:6" x14ac:dyDescent="0.25">
      <c r="A14271" t="str">
        <f>"009528347"</f>
        <v>009528347</v>
      </c>
      <c r="B14271" t="str">
        <f>"1043249295"</f>
        <v>1043249295</v>
      </c>
      <c r="C14271" t="str">
        <f>"363L00000X"</f>
        <v>363L00000X</v>
      </c>
      <c r="D14271" t="str">
        <f>"BOSTON                   CHANDRA      A           "</f>
        <v xml:space="preserve">BOSTON                   CHANDRA      A           </v>
      </c>
      <c r="E14271" t="str">
        <f>"GREENWOOD                 "</f>
        <v xml:space="preserve">GREENWOOD                 </v>
      </c>
      <c r="F14271" t="str">
        <f t="shared" si="362"/>
        <v>MS</v>
      </c>
    </row>
    <row r="14272" spans="1:6" x14ac:dyDescent="0.25">
      <c r="A14272" t="str">
        <f>"009528853"</f>
        <v>009528853</v>
      </c>
      <c r="B14272" t="str">
        <f>"1235571001"</f>
        <v>1235571001</v>
      </c>
      <c r="C14272" t="str">
        <f>"207R00000X"</f>
        <v>207R00000X</v>
      </c>
      <c r="D14272" t="str">
        <f>"MCINTOSH                 LEAH         M           "</f>
        <v xml:space="preserve">MCINTOSH                 LEAH         M           </v>
      </c>
      <c r="E14272" t="str">
        <f>"TUPELO                    "</f>
        <v xml:space="preserve">TUPELO                    </v>
      </c>
      <c r="F14272" t="str">
        <f t="shared" si="362"/>
        <v>MS</v>
      </c>
    </row>
    <row r="14273" spans="1:6" x14ac:dyDescent="0.25">
      <c r="A14273" t="str">
        <f>"009529204"</f>
        <v>009529204</v>
      </c>
      <c r="B14273" t="str">
        <f>"1386039683"</f>
        <v>1386039683</v>
      </c>
      <c r="C14273" t="str">
        <f>"2084N0400X"</f>
        <v>2084N0400X</v>
      </c>
      <c r="D14273" t="str">
        <f>"GILANI                   WAQAS                    "</f>
        <v xml:space="preserve">GILANI                   WAQAS                    </v>
      </c>
      <c r="E14273" t="str">
        <f>"TUPELO                    "</f>
        <v xml:space="preserve">TUPELO                    </v>
      </c>
      <c r="F14273" t="str">
        <f t="shared" si="362"/>
        <v>MS</v>
      </c>
    </row>
    <row r="14274" spans="1:6" x14ac:dyDescent="0.25">
      <c r="A14274" t="str">
        <f>"009529262"</f>
        <v>009529262</v>
      </c>
      <c r="B14274" t="str">
        <f>"1023687910"</f>
        <v>1023687910</v>
      </c>
      <c r="C14274" t="str">
        <f>"363L00000X"</f>
        <v>363L00000X</v>
      </c>
      <c r="D14274" t="str">
        <f>"CARPER                   BRITTANY                 "</f>
        <v xml:space="preserve">CARPER                   BRITTANY                 </v>
      </c>
      <c r="E14274" t="str">
        <f>"PONTOTOC                  "</f>
        <v xml:space="preserve">PONTOTOC                  </v>
      </c>
      <c r="F14274" t="str">
        <f t="shared" si="362"/>
        <v>MS</v>
      </c>
    </row>
    <row r="14275" spans="1:6" x14ac:dyDescent="0.25">
      <c r="A14275" t="str">
        <f>"009529306"</f>
        <v>009529306</v>
      </c>
      <c r="B14275" t="str">
        <f>"1356667455"</f>
        <v>1356667455</v>
      </c>
      <c r="C14275" t="str">
        <f>"363L00000X"</f>
        <v>363L00000X</v>
      </c>
      <c r="D14275" t="str">
        <f>"MARLAR                   KIMBERLY     K           "</f>
        <v xml:space="preserve">MARLAR                   KIMBERLY     K           </v>
      </c>
      <c r="E14275" t="str">
        <f>"CORINTH                   "</f>
        <v xml:space="preserve">CORINTH                   </v>
      </c>
      <c r="F14275" t="str">
        <f t="shared" si="362"/>
        <v>MS</v>
      </c>
    </row>
    <row r="14276" spans="1:6" x14ac:dyDescent="0.25">
      <c r="A14276" t="str">
        <f>"009531593"</f>
        <v>009531593</v>
      </c>
      <c r="B14276" t="str">
        <f>"1902282742"</f>
        <v>1902282742</v>
      </c>
      <c r="C14276" t="str">
        <f>"363A00000X"</f>
        <v>363A00000X</v>
      </c>
      <c r="D14276" t="str">
        <f>"HALL                     RICHARD      A           "</f>
        <v xml:space="preserve">HALL                     RICHARD      A           </v>
      </c>
      <c r="E14276" t="str">
        <f>"HATTIESBURG               "</f>
        <v xml:space="preserve">HATTIESBURG               </v>
      </c>
      <c r="F14276" t="str">
        <f t="shared" si="362"/>
        <v>MS</v>
      </c>
    </row>
    <row r="14277" spans="1:6" x14ac:dyDescent="0.25">
      <c r="A14277" t="str">
        <f>"009531792"</f>
        <v>009531792</v>
      </c>
      <c r="B14277" t="str">
        <f>"1922653849"</f>
        <v>1922653849</v>
      </c>
      <c r="C14277" t="str">
        <f>"363L00000X"</f>
        <v>363L00000X</v>
      </c>
      <c r="D14277" t="str">
        <f>"RUSHING                  TONYA                    "</f>
        <v xml:space="preserve">RUSHING                  TONYA                    </v>
      </c>
      <c r="E14277" t="str">
        <f>"VICKSBURG                 "</f>
        <v xml:space="preserve">VICKSBURG                 </v>
      </c>
      <c r="F14277" t="str">
        <f t="shared" si="362"/>
        <v>MS</v>
      </c>
    </row>
    <row r="14278" spans="1:6" x14ac:dyDescent="0.25">
      <c r="A14278" t="str">
        <f>"009532021"</f>
        <v>009532021</v>
      </c>
      <c r="B14278" t="str">
        <f>"1033325022"</f>
        <v>1033325022</v>
      </c>
      <c r="C14278" t="str">
        <f>"2084N0400X"</f>
        <v>2084N0400X</v>
      </c>
      <c r="D14278" t="str">
        <f>"ROLAND                   MALCOLM      M           "</f>
        <v xml:space="preserve">ROLAND                   MALCOLM      M           </v>
      </c>
      <c r="E14278" t="str">
        <f>"OXFORD                    "</f>
        <v xml:space="preserve">OXFORD                    </v>
      </c>
      <c r="F14278" t="str">
        <f t="shared" si="362"/>
        <v>MS</v>
      </c>
    </row>
    <row r="14279" spans="1:6" x14ac:dyDescent="0.25">
      <c r="A14279" t="str">
        <f>"009532327"</f>
        <v>009532327</v>
      </c>
      <c r="B14279" t="str">
        <f>"1982835237"</f>
        <v>1982835237</v>
      </c>
      <c r="C14279" t="str">
        <f>"207RI0200X"</f>
        <v>207RI0200X</v>
      </c>
      <c r="D14279" t="str">
        <f>"RIHANA                   NANCY        A           "</f>
        <v xml:space="preserve">RIHANA                   NANCY        A           </v>
      </c>
      <c r="E14279" t="str">
        <f>"CORINTH                   "</f>
        <v xml:space="preserve">CORINTH                   </v>
      </c>
      <c r="F14279" t="str">
        <f t="shared" si="362"/>
        <v>MS</v>
      </c>
    </row>
    <row r="14280" spans="1:6" x14ac:dyDescent="0.25">
      <c r="A14280" t="str">
        <f>"009532822"</f>
        <v>009532822</v>
      </c>
      <c r="B14280" t="str">
        <f>"1437278371"</f>
        <v>1437278371</v>
      </c>
      <c r="C14280" t="str">
        <f>"363L00000X"</f>
        <v>363L00000X</v>
      </c>
      <c r="D14280" t="str">
        <f>"SUMLIN-BROWN             CHANDRA      R           "</f>
        <v xml:space="preserve">SUMLIN-BROWN             CHANDRA      R           </v>
      </c>
      <c r="E14280" t="str">
        <f>"MERIDIAN                  "</f>
        <v xml:space="preserve">MERIDIAN                  </v>
      </c>
      <c r="F14280" t="str">
        <f t="shared" si="362"/>
        <v>MS</v>
      </c>
    </row>
    <row r="14281" spans="1:6" x14ac:dyDescent="0.25">
      <c r="A14281" t="str">
        <f>"009533511"</f>
        <v>009533511</v>
      </c>
      <c r="B14281" t="str">
        <f>"1770745630"</f>
        <v>1770745630</v>
      </c>
      <c r="C14281" t="str">
        <f>"207Q00000X"</f>
        <v>207Q00000X</v>
      </c>
      <c r="D14281" t="str">
        <f>"MORGAN                   ANDREA       M           "</f>
        <v xml:space="preserve">MORGAN                   ANDREA       M           </v>
      </c>
      <c r="E14281" t="str">
        <f>"NEWTON                    "</f>
        <v xml:space="preserve">NEWTON                    </v>
      </c>
      <c r="F14281" t="str">
        <f t="shared" si="362"/>
        <v>MS</v>
      </c>
    </row>
    <row r="14282" spans="1:6" x14ac:dyDescent="0.25">
      <c r="A14282" t="str">
        <f>"009533745"</f>
        <v>009533745</v>
      </c>
      <c r="B14282" t="str">
        <f>"1477756153"</f>
        <v>1477756153</v>
      </c>
      <c r="C14282" t="str">
        <f>"207P00000X"</f>
        <v>207P00000X</v>
      </c>
      <c r="D14282" t="str">
        <f>"SUMRALL                  STEPHEN      R           "</f>
        <v xml:space="preserve">SUMRALL                  STEPHEN      R           </v>
      </c>
      <c r="E14282" t="str">
        <f>"PASCAGOULA                "</f>
        <v xml:space="preserve">PASCAGOULA                </v>
      </c>
      <c r="F14282" t="str">
        <f t="shared" si="362"/>
        <v>MS</v>
      </c>
    </row>
    <row r="14283" spans="1:6" x14ac:dyDescent="0.25">
      <c r="A14283" t="str">
        <f>"009533798"</f>
        <v>009533798</v>
      </c>
      <c r="B14283" t="str">
        <f>"1114155884"</f>
        <v>1114155884</v>
      </c>
      <c r="C14283" t="str">
        <f>"208000000X"</f>
        <v>208000000X</v>
      </c>
      <c r="D14283" t="str">
        <f>"ILES                     JOSHUA       W           "</f>
        <v xml:space="preserve">ILES                     JOSHUA       W           </v>
      </c>
      <c r="E14283" t="str">
        <f>"BROOKHAVEN                "</f>
        <v xml:space="preserve">BROOKHAVEN                </v>
      </c>
      <c r="F14283" t="str">
        <f t="shared" si="362"/>
        <v>MS</v>
      </c>
    </row>
    <row r="14284" spans="1:6" x14ac:dyDescent="0.25">
      <c r="A14284" t="str">
        <f>"009534271"</f>
        <v>009534271</v>
      </c>
      <c r="B14284" t="str">
        <f>"1487859807"</f>
        <v>1487859807</v>
      </c>
      <c r="C14284" t="str">
        <f>"367500000X"</f>
        <v>367500000X</v>
      </c>
      <c r="D14284" t="str">
        <f>"MCALPIN                  CONNIE       A           "</f>
        <v xml:space="preserve">MCALPIN                  CONNIE       A           </v>
      </c>
      <c r="E14284" t="str">
        <f>"HATTIESBURG               "</f>
        <v xml:space="preserve">HATTIESBURG               </v>
      </c>
      <c r="F14284" t="str">
        <f t="shared" si="362"/>
        <v>MS</v>
      </c>
    </row>
    <row r="14285" spans="1:6" x14ac:dyDescent="0.25">
      <c r="A14285" t="str">
        <f>"009535073"</f>
        <v>009535073</v>
      </c>
      <c r="B14285" t="str">
        <f>"1649318486"</f>
        <v>1649318486</v>
      </c>
      <c r="C14285" t="str">
        <f>"2084P0800X"</f>
        <v>2084P0800X</v>
      </c>
      <c r="D14285" t="str">
        <f>"MCLAIN                   MARK         P           "</f>
        <v xml:space="preserve">MCLAIN                   MARK         P           </v>
      </c>
      <c r="E14285" t="str">
        <f>"RIDGELAND                 "</f>
        <v xml:space="preserve">RIDGELAND                 </v>
      </c>
      <c r="F14285" t="str">
        <f t="shared" si="362"/>
        <v>MS</v>
      </c>
    </row>
    <row r="14286" spans="1:6" x14ac:dyDescent="0.25">
      <c r="A14286" t="str">
        <f>"009536509"</f>
        <v>009536509</v>
      </c>
      <c r="B14286" t="str">
        <f>"1417132689"</f>
        <v>1417132689</v>
      </c>
      <c r="C14286" t="str">
        <f>"207V00000X"</f>
        <v>207V00000X</v>
      </c>
      <c r="D14286" t="str">
        <f>"RICHARDSON               LAKEISHA     W           "</f>
        <v xml:space="preserve">RICHARDSON               LAKEISHA     W           </v>
      </c>
      <c r="E14286" t="str">
        <f>"GREENVILLE                "</f>
        <v xml:space="preserve">GREENVILLE                </v>
      </c>
      <c r="F14286" t="str">
        <f t="shared" si="362"/>
        <v>MS</v>
      </c>
    </row>
    <row r="14287" spans="1:6" x14ac:dyDescent="0.25">
      <c r="A14287" t="str">
        <f>"009537331"</f>
        <v>009537331</v>
      </c>
      <c r="B14287" t="str">
        <f>"1639391097"</f>
        <v>1639391097</v>
      </c>
      <c r="C14287" t="str">
        <f>"2084P0800X"</f>
        <v>2084P0800X</v>
      </c>
      <c r="D14287" t="str">
        <f>"LAROSE                   SHARON       T           "</f>
        <v xml:space="preserve">LAROSE                   SHARON       T           </v>
      </c>
      <c r="E14287" t="str">
        <f>"BILOXI                    "</f>
        <v xml:space="preserve">BILOXI                    </v>
      </c>
      <c r="F14287" t="str">
        <f t="shared" si="362"/>
        <v>MS</v>
      </c>
    </row>
    <row r="14288" spans="1:6" x14ac:dyDescent="0.25">
      <c r="A14288" t="str">
        <f>"009537875"</f>
        <v>009537875</v>
      </c>
      <c r="B14288" t="str">
        <f>"1801097019"</f>
        <v>1801097019</v>
      </c>
      <c r="C14288" t="str">
        <f>"207N00000X"</f>
        <v>207N00000X</v>
      </c>
      <c r="D14288" t="str">
        <f>"ROY                      DAVID        B           "</f>
        <v xml:space="preserve">ROY                      DAVID        B           </v>
      </c>
      <c r="E14288" t="str">
        <f>"PETAL                     "</f>
        <v xml:space="preserve">PETAL                     </v>
      </c>
      <c r="F14288" t="str">
        <f t="shared" si="362"/>
        <v>MS</v>
      </c>
    </row>
    <row r="14289" spans="1:6" x14ac:dyDescent="0.25">
      <c r="A14289" t="str">
        <f>"009538067"</f>
        <v>009538067</v>
      </c>
      <c r="B14289" t="str">
        <f>"1053622142"</f>
        <v>1053622142</v>
      </c>
      <c r="C14289" t="str">
        <f>"207R00000X"</f>
        <v>207R00000X</v>
      </c>
      <c r="D14289" t="str">
        <f>"MITEMA                   DONALD       G           "</f>
        <v xml:space="preserve">MITEMA                   DONALD       G           </v>
      </c>
      <c r="E14289" t="str">
        <f>"JACKSON                   "</f>
        <v xml:space="preserve">JACKSON                   </v>
      </c>
      <c r="F14289" t="str">
        <f t="shared" si="362"/>
        <v>MS</v>
      </c>
    </row>
    <row r="14290" spans="1:6" x14ac:dyDescent="0.25">
      <c r="A14290" t="str">
        <f>"009538224"</f>
        <v>009538224</v>
      </c>
      <c r="B14290" t="str">
        <f>"1285897553"</f>
        <v>1285897553</v>
      </c>
      <c r="C14290" t="str">
        <f>"207R00000X"</f>
        <v>207R00000X</v>
      </c>
      <c r="D14290" t="str">
        <f>"AGUILAR DUENAS           SANTIAGO                 "</f>
        <v xml:space="preserve">AGUILAR DUENAS           SANTIAGO                 </v>
      </c>
      <c r="E14290" t="str">
        <f>"SOUTHAVEN                 "</f>
        <v xml:space="preserve">SOUTHAVEN                 </v>
      </c>
      <c r="F14290" t="str">
        <f t="shared" si="362"/>
        <v>MS</v>
      </c>
    </row>
    <row r="14291" spans="1:6" x14ac:dyDescent="0.25">
      <c r="A14291" t="str">
        <f>"009550025"</f>
        <v>009550025</v>
      </c>
      <c r="B14291" t="str">
        <f>"1396162715"</f>
        <v>1396162715</v>
      </c>
      <c r="C14291" t="str">
        <f>"363L00000X"</f>
        <v>363L00000X</v>
      </c>
      <c r="D14291" t="str">
        <f>"LOWERY                   JESSICA      S           "</f>
        <v xml:space="preserve">LOWERY                   JESSICA      S           </v>
      </c>
      <c r="E14291" t="str">
        <f>"RIDGELAND                 "</f>
        <v xml:space="preserve">RIDGELAND                 </v>
      </c>
      <c r="F14291" t="str">
        <f t="shared" si="362"/>
        <v>MS</v>
      </c>
    </row>
    <row r="14292" spans="1:6" x14ac:dyDescent="0.25">
      <c r="A14292" t="str">
        <f>"009550097"</f>
        <v>009550097</v>
      </c>
      <c r="B14292" t="str">
        <f>"1457907248"</f>
        <v>1457907248</v>
      </c>
      <c r="C14292" t="str">
        <f>"363L00000X"</f>
        <v>363L00000X</v>
      </c>
      <c r="D14292" t="str">
        <f>"SANDERSON                TANYA                    "</f>
        <v xml:space="preserve">SANDERSON                TANYA                    </v>
      </c>
      <c r="E14292" t="str">
        <f>"TUPELO                    "</f>
        <v xml:space="preserve">TUPELO                    </v>
      </c>
      <c r="F14292" t="str">
        <f t="shared" si="362"/>
        <v>MS</v>
      </c>
    </row>
    <row r="14293" spans="1:6" x14ac:dyDescent="0.25">
      <c r="A14293" t="str">
        <f>"009550526"</f>
        <v>009550526</v>
      </c>
      <c r="B14293" t="str">
        <f>"1730295619"</f>
        <v>1730295619</v>
      </c>
      <c r="C14293" t="str">
        <f>"363L00000X"</f>
        <v>363L00000X</v>
      </c>
      <c r="D14293" t="str">
        <f>"PAGE                     SHIRLEY      C           "</f>
        <v xml:space="preserve">PAGE                     SHIRLEY      C           </v>
      </c>
      <c r="E14293" t="str">
        <f>"HATTIESBURG               "</f>
        <v xml:space="preserve">HATTIESBURG               </v>
      </c>
      <c r="F14293" t="str">
        <f t="shared" si="362"/>
        <v>MS</v>
      </c>
    </row>
    <row r="14294" spans="1:6" x14ac:dyDescent="0.25">
      <c r="A14294" t="str">
        <f>"009550593"</f>
        <v>009550593</v>
      </c>
      <c r="B14294" t="str">
        <f>"1083630040"</f>
        <v>1083630040</v>
      </c>
      <c r="C14294" t="str">
        <f>"207X00000X"</f>
        <v>207X00000X</v>
      </c>
      <c r="D14294" t="str">
        <f>"RABALAIS                 ROBERT       D           "</f>
        <v xml:space="preserve">RABALAIS                 ROBERT       D           </v>
      </c>
      <c r="E14294" t="str">
        <f>"WOODVILLE                 "</f>
        <v xml:space="preserve">WOODVILLE                 </v>
      </c>
      <c r="F14294" t="str">
        <f t="shared" si="362"/>
        <v>MS</v>
      </c>
    </row>
    <row r="14295" spans="1:6" x14ac:dyDescent="0.25">
      <c r="A14295" t="str">
        <f>"009550789"</f>
        <v>009550789</v>
      </c>
      <c r="B14295" t="str">
        <f>"1326704248"</f>
        <v>1326704248</v>
      </c>
      <c r="C14295" t="str">
        <f>"363L00000X"</f>
        <v>363L00000X</v>
      </c>
      <c r="D14295" t="str">
        <f>"PUCKETT                  ZACHARY      N           "</f>
        <v xml:space="preserve">PUCKETT                  ZACHARY      N           </v>
      </c>
      <c r="E14295" t="str">
        <f>"JACKSON                   "</f>
        <v xml:space="preserve">JACKSON                   </v>
      </c>
      <c r="F14295" t="str">
        <f t="shared" si="362"/>
        <v>MS</v>
      </c>
    </row>
    <row r="14296" spans="1:6" x14ac:dyDescent="0.25">
      <c r="A14296" t="str">
        <f>"009555710"</f>
        <v>009555710</v>
      </c>
      <c r="B14296" t="str">
        <f>"1629392774"</f>
        <v>1629392774</v>
      </c>
      <c r="C14296" t="str">
        <f>"261QM0801X"</f>
        <v>261QM0801X</v>
      </c>
      <c r="D14296" t="str">
        <f>"SOUTH MS REGIONAL CENTER                          "</f>
        <v xml:space="preserve">SOUTH MS REGIONAL CENTER                          </v>
      </c>
      <c r="E14296" t="str">
        <f>"LONG BEACH                "</f>
        <v xml:space="preserve">LONG BEACH                </v>
      </c>
      <c r="F14296" t="str">
        <f t="shared" si="362"/>
        <v>MS</v>
      </c>
    </row>
    <row r="14297" spans="1:6" x14ac:dyDescent="0.25">
      <c r="A14297" t="str">
        <f>"009556847"</f>
        <v>009556847</v>
      </c>
      <c r="B14297" t="str">
        <f>"1134441587"</f>
        <v>1134441587</v>
      </c>
      <c r="C14297" t="str">
        <f>"363L00000X"</f>
        <v>363L00000X</v>
      </c>
      <c r="D14297" t="str">
        <f>"FLAKE                    ERICA        D           "</f>
        <v xml:space="preserve">FLAKE                    ERICA        D           </v>
      </c>
      <c r="E14297" t="str">
        <f>"PHILADELPHIA              "</f>
        <v xml:space="preserve">PHILADELPHIA              </v>
      </c>
      <c r="F14297" t="str">
        <f t="shared" si="362"/>
        <v>MS</v>
      </c>
    </row>
    <row r="14298" spans="1:6" x14ac:dyDescent="0.25">
      <c r="A14298" t="str">
        <f>"009556850"</f>
        <v>009556850</v>
      </c>
      <c r="B14298" t="str">
        <f>"1558784975"</f>
        <v>1558784975</v>
      </c>
      <c r="C14298" t="str">
        <f>"363L00000X"</f>
        <v>363L00000X</v>
      </c>
      <c r="D14298" t="str">
        <f>"GIBBS                    SHANNON      L           "</f>
        <v xml:space="preserve">GIBBS                    SHANNON      L           </v>
      </c>
      <c r="E14298" t="str">
        <f>"MERIDIAN                  "</f>
        <v xml:space="preserve">MERIDIAN                  </v>
      </c>
      <c r="F14298" t="str">
        <f t="shared" si="362"/>
        <v>MS</v>
      </c>
    </row>
    <row r="14299" spans="1:6" x14ac:dyDescent="0.25">
      <c r="A14299" t="str">
        <f>"009558504"</f>
        <v>009558504</v>
      </c>
      <c r="B14299" t="str">
        <f>"1134671126"</f>
        <v>1134671126</v>
      </c>
      <c r="C14299" t="str">
        <f>"363L00000X"</f>
        <v>363L00000X</v>
      </c>
      <c r="D14299" t="str">
        <f>"RUSSELL                  SANDRA       A           "</f>
        <v xml:space="preserve">RUSSELL                  SANDRA       A           </v>
      </c>
      <c r="E14299" t="str">
        <f>"TUPELO                    "</f>
        <v xml:space="preserve">TUPELO                    </v>
      </c>
      <c r="F14299" t="str">
        <f t="shared" si="362"/>
        <v>MS</v>
      </c>
    </row>
    <row r="14300" spans="1:6" x14ac:dyDescent="0.25">
      <c r="A14300" t="str">
        <f>"009558701"</f>
        <v>009558701</v>
      </c>
      <c r="B14300" t="str">
        <f>"1780764290"</f>
        <v>1780764290</v>
      </c>
      <c r="C14300" t="str">
        <f>"207V00000X"</f>
        <v>207V00000X</v>
      </c>
      <c r="D14300" t="str">
        <f>"TUCKER                   GEORGE       S           "</f>
        <v xml:space="preserve">TUCKER                   GEORGE       S           </v>
      </c>
      <c r="E14300" t="str">
        <f>"SOUTHAVEN                 "</f>
        <v xml:space="preserve">SOUTHAVEN                 </v>
      </c>
      <c r="F14300" t="str">
        <f t="shared" si="362"/>
        <v>MS</v>
      </c>
    </row>
    <row r="14301" spans="1:6" x14ac:dyDescent="0.25">
      <c r="A14301" t="str">
        <f>"009570029"</f>
        <v>009570029</v>
      </c>
      <c r="B14301" t="str">
        <f>"1861410904"</f>
        <v>1861410904</v>
      </c>
      <c r="C14301" t="str">
        <f>"207W00000X"</f>
        <v>207W00000X</v>
      </c>
      <c r="D14301" t="str">
        <f>"BAHADUR                  RAINNA       P           "</f>
        <v xml:space="preserve">BAHADUR                  RAINNA       P           </v>
      </c>
      <c r="E14301" t="str">
        <f>"BILOXI                    "</f>
        <v xml:space="preserve">BILOXI                    </v>
      </c>
      <c r="F14301" t="str">
        <f t="shared" si="362"/>
        <v>MS</v>
      </c>
    </row>
    <row r="14302" spans="1:6" x14ac:dyDescent="0.25">
      <c r="A14302" t="str">
        <f>"009571115"</f>
        <v>009571115</v>
      </c>
      <c r="B14302" t="str">
        <f>"1326682998"</f>
        <v>1326682998</v>
      </c>
      <c r="C14302" t="str">
        <f>"363LP0200X"</f>
        <v>363LP0200X</v>
      </c>
      <c r="D14302" t="str">
        <f>"SUMMERS                  KATHERINE    E           "</f>
        <v xml:space="preserve">SUMMERS                  KATHERINE    E           </v>
      </c>
      <c r="E14302" t="str">
        <f>"RULEVILLE                 "</f>
        <v xml:space="preserve">RULEVILLE                 </v>
      </c>
      <c r="F14302" t="str">
        <f t="shared" si="362"/>
        <v>MS</v>
      </c>
    </row>
    <row r="14303" spans="1:6" x14ac:dyDescent="0.25">
      <c r="A14303" t="str">
        <f>"009571374"</f>
        <v>009571374</v>
      </c>
      <c r="B14303" t="str">
        <f>"1033319389"</f>
        <v>1033319389</v>
      </c>
      <c r="C14303" t="str">
        <f>"208000000X"</f>
        <v>208000000X</v>
      </c>
      <c r="D14303" t="str">
        <f>"FARRELL                  KATHRYN      R           "</f>
        <v xml:space="preserve">FARRELL                  KATHRYN      R           </v>
      </c>
      <c r="E14303" t="str">
        <f>"FLOWOOD                   "</f>
        <v xml:space="preserve">FLOWOOD                   </v>
      </c>
      <c r="F14303" t="str">
        <f t="shared" si="362"/>
        <v>MS</v>
      </c>
    </row>
    <row r="14304" spans="1:6" x14ac:dyDescent="0.25">
      <c r="A14304" t="str">
        <f>"009574731"</f>
        <v>009574731</v>
      </c>
      <c r="B14304" t="str">
        <f>"1578823928"</f>
        <v>1578823928</v>
      </c>
      <c r="C14304" t="str">
        <f>"261QA0600X"</f>
        <v>261QA0600X</v>
      </c>
      <c r="D14304" t="str">
        <f>"GUARDIAN CARE LLC                                 "</f>
        <v xml:space="preserve">GUARDIAN CARE LLC                                 </v>
      </c>
      <c r="E14304" t="str">
        <f>"CRYSTAL SPRINGS           "</f>
        <v xml:space="preserve">CRYSTAL SPRINGS           </v>
      </c>
      <c r="F14304" t="str">
        <f t="shared" si="362"/>
        <v>MS</v>
      </c>
    </row>
    <row r="14305" spans="1:6" x14ac:dyDescent="0.25">
      <c r="A14305" t="str">
        <f>"009575773"</f>
        <v>009575773</v>
      </c>
      <c r="B14305" t="str">
        <f>"1164898474"</f>
        <v>1164898474</v>
      </c>
      <c r="C14305" t="str">
        <f>"363L00000X"</f>
        <v>363L00000X</v>
      </c>
      <c r="D14305" t="str">
        <f>"MURPHREE                 ROBIN        M           "</f>
        <v xml:space="preserve">MURPHREE                 ROBIN        M           </v>
      </c>
      <c r="E14305" t="str">
        <f>"SEMINARY                  "</f>
        <v xml:space="preserve">SEMINARY                  </v>
      </c>
      <c r="F14305" t="str">
        <f t="shared" si="362"/>
        <v>MS</v>
      </c>
    </row>
    <row r="14306" spans="1:6" x14ac:dyDescent="0.25">
      <c r="A14306" t="str">
        <f>"009577062"</f>
        <v>009577062</v>
      </c>
      <c r="B14306" t="str">
        <f>"1003019878"</f>
        <v>1003019878</v>
      </c>
      <c r="C14306" t="str">
        <f>"152W00000X"</f>
        <v>152W00000X</v>
      </c>
      <c r="D14306" t="str">
        <f>"OLIVE BRANCH EYECARE PLLC                         "</f>
        <v xml:space="preserve">OLIVE BRANCH EYECARE PLLC                         </v>
      </c>
      <c r="E14306" t="str">
        <f>"OLIVE BRANCH              "</f>
        <v xml:space="preserve">OLIVE BRANCH              </v>
      </c>
      <c r="F14306" t="str">
        <f t="shared" si="362"/>
        <v>MS</v>
      </c>
    </row>
    <row r="14307" spans="1:6" x14ac:dyDescent="0.25">
      <c r="A14307" t="str">
        <f>"009577564"</f>
        <v>009577564</v>
      </c>
      <c r="B14307" t="str">
        <f>"1952310492"</f>
        <v>1952310492</v>
      </c>
      <c r="C14307" t="str">
        <f>"152W00000X"</f>
        <v>152W00000X</v>
      </c>
      <c r="D14307" t="str">
        <f>"2020 VISION CENTER PA                             "</f>
        <v xml:space="preserve">2020 VISION CENTER PA                             </v>
      </c>
      <c r="E14307" t="str">
        <f>"TUPELO                    "</f>
        <v xml:space="preserve">TUPELO                    </v>
      </c>
      <c r="F14307" t="str">
        <f t="shared" si="362"/>
        <v>MS</v>
      </c>
    </row>
    <row r="14308" spans="1:6" x14ac:dyDescent="0.25">
      <c r="A14308" t="str">
        <f>"009577701"</f>
        <v>009577701</v>
      </c>
      <c r="B14308" t="str">
        <f>"1215340286"</f>
        <v>1215340286</v>
      </c>
      <c r="C14308" t="str">
        <f>"207R00000X"</f>
        <v>207R00000X</v>
      </c>
      <c r="D14308" t="str">
        <f>"CALDERONE                RICHARD      C           "</f>
        <v xml:space="preserve">CALDERONE                RICHARD      C           </v>
      </c>
      <c r="E14308" t="str">
        <f>"HATTIESBURG               "</f>
        <v xml:space="preserve">HATTIESBURG               </v>
      </c>
      <c r="F14308" t="str">
        <f t="shared" si="362"/>
        <v>MS</v>
      </c>
    </row>
    <row r="14309" spans="1:6" x14ac:dyDescent="0.25">
      <c r="A14309" t="str">
        <f>"009579703"</f>
        <v>009579703</v>
      </c>
      <c r="B14309" t="str">
        <f>"1801248810"</f>
        <v>1801248810</v>
      </c>
      <c r="C14309" t="str">
        <f>"207RN0300X"</f>
        <v>207RN0300X</v>
      </c>
      <c r="D14309" t="str">
        <f>"BELL                     THOMAS       N           "</f>
        <v xml:space="preserve">BELL                     THOMAS       N           </v>
      </c>
      <c r="E14309" t="str">
        <f>"OXFORD                    "</f>
        <v xml:space="preserve">OXFORD                    </v>
      </c>
      <c r="F14309" t="str">
        <f t="shared" si="362"/>
        <v>MS</v>
      </c>
    </row>
    <row r="14310" spans="1:6" x14ac:dyDescent="0.25">
      <c r="A14310" t="str">
        <f>"009580321"</f>
        <v>009580321</v>
      </c>
      <c r="B14310" t="str">
        <f>"1699756320"</f>
        <v>1699756320</v>
      </c>
      <c r="C14310" t="str">
        <f>"208100000X"</f>
        <v>208100000X</v>
      </c>
      <c r="D14310" t="str">
        <f>"KATZ                     HOWARD       T           "</f>
        <v xml:space="preserve">KATZ                     HOWARD       T           </v>
      </c>
      <c r="E14310" t="str">
        <f>"JACKSON                   "</f>
        <v xml:space="preserve">JACKSON                   </v>
      </c>
      <c r="F14310" t="str">
        <f t="shared" si="362"/>
        <v>MS</v>
      </c>
    </row>
    <row r="14311" spans="1:6" x14ac:dyDescent="0.25">
      <c r="A14311" t="str">
        <f>"009581514"</f>
        <v>009581514</v>
      </c>
      <c r="B14311" t="str">
        <f>"1447565700"</f>
        <v>1447565700</v>
      </c>
      <c r="C14311" t="str">
        <f>"363L00000X"</f>
        <v>363L00000X</v>
      </c>
      <c r="D14311" t="str">
        <f>"LAMAR                    STEPHANIE    D           "</f>
        <v xml:space="preserve">LAMAR                    STEPHANIE    D           </v>
      </c>
      <c r="E14311" t="str">
        <f>"SOUTHAVEN                 "</f>
        <v xml:space="preserve">SOUTHAVEN                 </v>
      </c>
      <c r="F14311" t="str">
        <f t="shared" si="362"/>
        <v>MS</v>
      </c>
    </row>
    <row r="14312" spans="1:6" x14ac:dyDescent="0.25">
      <c r="A14312" t="str">
        <f>"009581753"</f>
        <v>009581753</v>
      </c>
      <c r="B14312" t="str">
        <f>"1407318231"</f>
        <v>1407318231</v>
      </c>
      <c r="C14312" t="str">
        <f>"363L00000X"</f>
        <v>363L00000X</v>
      </c>
      <c r="D14312" t="str">
        <f>"FLEMING                  STEPHEN      G           "</f>
        <v xml:space="preserve">FLEMING                  STEPHEN      G           </v>
      </c>
      <c r="E14312" t="str">
        <f>"MERIDIAN                  "</f>
        <v xml:space="preserve">MERIDIAN                  </v>
      </c>
      <c r="F14312" t="str">
        <f t="shared" si="362"/>
        <v>MS</v>
      </c>
    </row>
    <row r="14313" spans="1:6" x14ac:dyDescent="0.25">
      <c r="A14313" t="str">
        <f>"009582002"</f>
        <v>009582002</v>
      </c>
      <c r="B14313" t="str">
        <f>"1871849372"</f>
        <v>1871849372</v>
      </c>
      <c r="C14313" t="str">
        <f>"363A00000X"</f>
        <v>363A00000X</v>
      </c>
      <c r="D14313" t="str">
        <f>"DRAMBAREAN               LAVINIA      D           "</f>
        <v xml:space="preserve">DRAMBAREAN               LAVINIA      D           </v>
      </c>
      <c r="E14313" t="str">
        <f>"HATTIESBURG               "</f>
        <v xml:space="preserve">HATTIESBURG               </v>
      </c>
      <c r="F14313" t="str">
        <f t="shared" si="362"/>
        <v>MS</v>
      </c>
    </row>
    <row r="14314" spans="1:6" x14ac:dyDescent="0.25">
      <c r="A14314" t="str">
        <f>"009582705"</f>
        <v>009582705</v>
      </c>
      <c r="B14314" t="str">
        <f>"1235243569"</f>
        <v>1235243569</v>
      </c>
      <c r="C14314" t="str">
        <f>"363L00000X"</f>
        <v>363L00000X</v>
      </c>
      <c r="D14314" t="str">
        <f>"GORDON                   RITA         L           "</f>
        <v xml:space="preserve">GORDON                   RITA         L           </v>
      </c>
      <c r="E14314" t="str">
        <f>"JACKSON                   "</f>
        <v xml:space="preserve">JACKSON                   </v>
      </c>
      <c r="F14314" t="str">
        <f t="shared" si="362"/>
        <v>MS</v>
      </c>
    </row>
    <row r="14315" spans="1:6" x14ac:dyDescent="0.25">
      <c r="A14315" t="str">
        <f>"009583764"</f>
        <v>009583764</v>
      </c>
      <c r="B14315" t="str">
        <f>"1275183550"</f>
        <v>1275183550</v>
      </c>
      <c r="C14315" t="str">
        <f>"122300000X"</f>
        <v>122300000X</v>
      </c>
      <c r="D14315" t="str">
        <f>"MORELLATO                AMANDA                   "</f>
        <v xml:space="preserve">MORELLATO                AMANDA                   </v>
      </c>
      <c r="E14315" t="str">
        <f>"JACKSON                   "</f>
        <v xml:space="preserve">JACKSON                   </v>
      </c>
      <c r="F14315" t="str">
        <f t="shared" si="362"/>
        <v>MS</v>
      </c>
    </row>
    <row r="14316" spans="1:6" x14ac:dyDescent="0.25">
      <c r="A14316" t="str">
        <f>"009583866"</f>
        <v>009583866</v>
      </c>
      <c r="B14316" t="str">
        <f>"1538576772"</f>
        <v>1538576772</v>
      </c>
      <c r="C14316" t="str">
        <f>"261QR1300X"</f>
        <v>261QR1300X</v>
      </c>
      <c r="D14316" t="str">
        <f>"PONTOTOC MEDICAL CLINIC                           "</f>
        <v xml:space="preserve">PONTOTOC MEDICAL CLINIC                           </v>
      </c>
      <c r="E14316" t="str">
        <f>"PONTOTOC                  "</f>
        <v xml:space="preserve">PONTOTOC                  </v>
      </c>
      <c r="F14316" t="str">
        <f t="shared" si="362"/>
        <v>MS</v>
      </c>
    </row>
    <row r="14317" spans="1:6" x14ac:dyDescent="0.25">
      <c r="A14317" t="str">
        <f>"009584521"</f>
        <v>009584521</v>
      </c>
      <c r="B14317" t="str">
        <f>"1467918581"</f>
        <v>1467918581</v>
      </c>
      <c r="C14317" t="str">
        <f>"363L00000X"</f>
        <v>363L00000X</v>
      </c>
      <c r="D14317" t="str">
        <f>"MCCAIN                   BRANDY                   "</f>
        <v xml:space="preserve">MCCAIN                   BRANDY                   </v>
      </c>
      <c r="E14317" t="str">
        <f>"TUPELO                    "</f>
        <v xml:space="preserve">TUPELO                    </v>
      </c>
      <c r="F14317" t="str">
        <f t="shared" si="362"/>
        <v>MS</v>
      </c>
    </row>
    <row r="14318" spans="1:6" x14ac:dyDescent="0.25">
      <c r="A14318" t="str">
        <f>"009584741"</f>
        <v>009584741</v>
      </c>
      <c r="B14318" t="str">
        <f>"1104012566"</f>
        <v>1104012566</v>
      </c>
      <c r="C14318" t="str">
        <f>"207X00000X"</f>
        <v>207X00000X</v>
      </c>
      <c r="D14318" t="str">
        <f>"WITTERSHEIM              DANIEL       A           "</f>
        <v xml:space="preserve">WITTERSHEIM              DANIEL       A           </v>
      </c>
      <c r="E14318" t="str">
        <f>"VANCLEAVE                 "</f>
        <v xml:space="preserve">VANCLEAVE                 </v>
      </c>
      <c r="F14318" t="str">
        <f t="shared" si="362"/>
        <v>MS</v>
      </c>
    </row>
    <row r="14319" spans="1:6" x14ac:dyDescent="0.25">
      <c r="A14319" t="str">
        <f>"009584761"</f>
        <v>009584761</v>
      </c>
      <c r="B14319" t="str">
        <f>"1184958969"</f>
        <v>1184958969</v>
      </c>
      <c r="C14319" t="str">
        <f>"363L00000X"</f>
        <v>363L00000X</v>
      </c>
      <c r="D14319" t="str">
        <f>"BOUTWELL                 JENNIFER     B           "</f>
        <v xml:space="preserve">BOUTWELL                 JENNIFER     B           </v>
      </c>
      <c r="E14319" t="str">
        <f>"MENDENHALL                "</f>
        <v xml:space="preserve">MENDENHALL                </v>
      </c>
      <c r="F14319" t="str">
        <f t="shared" si="362"/>
        <v>MS</v>
      </c>
    </row>
    <row r="14320" spans="1:6" x14ac:dyDescent="0.25">
      <c r="A14320" t="str">
        <f>"009585532"</f>
        <v>009585532</v>
      </c>
      <c r="B14320" t="str">
        <f>"1427377266"</f>
        <v>1427377266</v>
      </c>
      <c r="C14320" t="str">
        <f>"261QF0400X"</f>
        <v>261QF0400X</v>
      </c>
      <c r="D14320" t="str">
        <f>"JHCHC-THE LAKELAND                                "</f>
        <v xml:space="preserve">JHCHC-THE LAKELAND                                </v>
      </c>
      <c r="E14320" t="str">
        <f>"FLOWOOD                   "</f>
        <v xml:space="preserve">FLOWOOD                   </v>
      </c>
      <c r="F14320" t="str">
        <f t="shared" si="362"/>
        <v>MS</v>
      </c>
    </row>
    <row r="14321" spans="1:6" x14ac:dyDescent="0.25">
      <c r="A14321" t="str">
        <f>"009586759"</f>
        <v>009586759</v>
      </c>
      <c r="B14321" t="str">
        <f>"1982644597"</f>
        <v>1982644597</v>
      </c>
      <c r="C14321" t="str">
        <f>"152W00000X"</f>
        <v>152W00000X</v>
      </c>
      <c r="D14321" t="str">
        <f>"GREEN                    DANNY        L           "</f>
        <v xml:space="preserve">GREEN                    DANNY        L           </v>
      </c>
      <c r="E14321" t="str">
        <f>"JACKSON                   "</f>
        <v xml:space="preserve">JACKSON                   </v>
      </c>
      <c r="F14321" t="str">
        <f t="shared" si="362"/>
        <v>MS</v>
      </c>
    </row>
    <row r="14322" spans="1:6" x14ac:dyDescent="0.25">
      <c r="A14322" t="str">
        <f>"009587011"</f>
        <v>009587011</v>
      </c>
      <c r="B14322" t="str">
        <f>"1780948505"</f>
        <v>1780948505</v>
      </c>
      <c r="C14322" t="str">
        <f>"363L00000X"</f>
        <v>363L00000X</v>
      </c>
      <c r="D14322" t="str">
        <f>"BUTTS                    MEGAN        N           "</f>
        <v xml:space="preserve">BUTTS                    MEGAN        N           </v>
      </c>
      <c r="E14322" t="str">
        <f>"JACKSON                   "</f>
        <v xml:space="preserve">JACKSON                   </v>
      </c>
      <c r="F14322" t="str">
        <f t="shared" si="362"/>
        <v>MS</v>
      </c>
    </row>
    <row r="14323" spans="1:6" x14ac:dyDescent="0.25">
      <c r="A14323" t="str">
        <f>"009587509"</f>
        <v>009587509</v>
      </c>
      <c r="B14323" t="str">
        <f>"1881202182"</f>
        <v>1881202182</v>
      </c>
      <c r="C14323" t="str">
        <f>"363LP0808X"</f>
        <v>363LP0808X</v>
      </c>
      <c r="D14323" t="str">
        <f>"GIPSON                   TAWANA                   "</f>
        <v xml:space="preserve">GIPSON                   TAWANA                   </v>
      </c>
      <c r="E14323" t="str">
        <f>"LOUISVILLE                "</f>
        <v xml:space="preserve">LOUISVILLE                </v>
      </c>
      <c r="F14323" t="str">
        <f t="shared" si="362"/>
        <v>MS</v>
      </c>
    </row>
    <row r="14324" spans="1:6" x14ac:dyDescent="0.25">
      <c r="A14324" t="str">
        <f>"009588315"</f>
        <v>009588315</v>
      </c>
      <c r="B14324" t="str">
        <f>"1073721544"</f>
        <v>1073721544</v>
      </c>
      <c r="C14324" t="str">
        <f>"2085R0202X"</f>
        <v>2085R0202X</v>
      </c>
      <c r="D14324" t="str">
        <f>"GODWIN                   ROBBIE       B           "</f>
        <v xml:space="preserve">GODWIN                   ROBBIE       B           </v>
      </c>
      <c r="E14324" t="str">
        <f>"COLUMBUS                  "</f>
        <v xml:space="preserve">COLUMBUS                  </v>
      </c>
      <c r="F14324" t="str">
        <f t="shared" si="362"/>
        <v>MS</v>
      </c>
    </row>
    <row r="14325" spans="1:6" x14ac:dyDescent="0.25">
      <c r="A14325" t="str">
        <f>"009588582"</f>
        <v>009588582</v>
      </c>
      <c r="B14325" t="str">
        <f>"1326264953"</f>
        <v>1326264953</v>
      </c>
      <c r="C14325" t="str">
        <f>"363L00000X"</f>
        <v>363L00000X</v>
      </c>
      <c r="D14325" t="str">
        <f>"KERBY                    BARBARA      L           "</f>
        <v xml:space="preserve">KERBY                    BARBARA      L           </v>
      </c>
      <c r="E14325" t="str">
        <f>"GULFPORT                  "</f>
        <v xml:space="preserve">GULFPORT                  </v>
      </c>
      <c r="F14325" t="str">
        <f t="shared" si="362"/>
        <v>MS</v>
      </c>
    </row>
    <row r="14326" spans="1:6" x14ac:dyDescent="0.25">
      <c r="A14326" t="str">
        <f>"009588746"</f>
        <v>009588746</v>
      </c>
      <c r="B14326" t="str">
        <f>"1275980211"</f>
        <v>1275980211</v>
      </c>
      <c r="C14326" t="str">
        <f>"261QF0400X"</f>
        <v>261QF0400X</v>
      </c>
      <c r="D14326" t="str">
        <f>"NEW ALBANY HEALTH CARE ASSOCIATES                 "</f>
        <v xml:space="preserve">NEW ALBANY HEALTH CARE ASSOCIATES                 </v>
      </c>
      <c r="E14326" t="str">
        <f>"NEW ALBANY                "</f>
        <v xml:space="preserve">NEW ALBANY                </v>
      </c>
      <c r="F14326" t="str">
        <f t="shared" si="362"/>
        <v>MS</v>
      </c>
    </row>
    <row r="14327" spans="1:6" x14ac:dyDescent="0.25">
      <c r="A14327" t="str">
        <f>"009601736"</f>
        <v>009601736</v>
      </c>
      <c r="B14327" t="str">
        <f>"1548600968"</f>
        <v>1548600968</v>
      </c>
      <c r="C14327" t="str">
        <f>"207K00000X"</f>
        <v>207K00000X</v>
      </c>
      <c r="D14327" t="str">
        <f>"PERKINS                  JESSICA      B           "</f>
        <v xml:space="preserve">PERKINS                  JESSICA      B           </v>
      </c>
      <c r="E14327" t="str">
        <f>"JACKSON                   "</f>
        <v xml:space="preserve">JACKSON                   </v>
      </c>
      <c r="F14327" t="str">
        <f t="shared" si="362"/>
        <v>MS</v>
      </c>
    </row>
    <row r="14328" spans="1:6" x14ac:dyDescent="0.25">
      <c r="A14328" t="str">
        <f>"009602339"</f>
        <v>009602339</v>
      </c>
      <c r="B14328" t="str">
        <f>"1326437740"</f>
        <v>1326437740</v>
      </c>
      <c r="C14328" t="str">
        <f>"363L00000X"</f>
        <v>363L00000X</v>
      </c>
      <c r="D14328" t="str">
        <f>"HUDSON                   JEREMY                   "</f>
        <v xml:space="preserve">HUDSON                   JEREMY                   </v>
      </c>
      <c r="E14328" t="str">
        <f>"MADISON                   "</f>
        <v xml:space="preserve">MADISON                   </v>
      </c>
      <c r="F14328" t="str">
        <f t="shared" si="362"/>
        <v>MS</v>
      </c>
    </row>
    <row r="14329" spans="1:6" x14ac:dyDescent="0.25">
      <c r="A14329" t="str">
        <f>"009602869"</f>
        <v>009602869</v>
      </c>
      <c r="B14329" t="str">
        <f>"1861914699"</f>
        <v>1861914699</v>
      </c>
      <c r="C14329" t="str">
        <f>"363L00000X"</f>
        <v>363L00000X</v>
      </c>
      <c r="D14329" t="str">
        <f>"WELLS                    CHELSEA      L           "</f>
        <v xml:space="preserve">WELLS                    CHELSEA      L           </v>
      </c>
      <c r="E14329" t="str">
        <f>"IUKA                      "</f>
        <v xml:space="preserve">IUKA                      </v>
      </c>
      <c r="F14329" t="str">
        <f t="shared" si="362"/>
        <v>MS</v>
      </c>
    </row>
    <row r="14330" spans="1:6" x14ac:dyDescent="0.25">
      <c r="A14330" t="str">
        <f>"009604331"</f>
        <v>009604331</v>
      </c>
      <c r="B14330" t="str">
        <f>"1568796043"</f>
        <v>1568796043</v>
      </c>
      <c r="C14330" t="str">
        <f>"363L00000X"</f>
        <v>363L00000X</v>
      </c>
      <c r="D14330" t="str">
        <f>"JOLLY                    ASHLEY       N           "</f>
        <v xml:space="preserve">JOLLY                    ASHLEY       N           </v>
      </c>
      <c r="E14330" t="str">
        <f>"FLOWOOD                   "</f>
        <v xml:space="preserve">FLOWOOD                   </v>
      </c>
      <c r="F14330" t="str">
        <f t="shared" si="362"/>
        <v>MS</v>
      </c>
    </row>
    <row r="14331" spans="1:6" x14ac:dyDescent="0.25">
      <c r="A14331" t="str">
        <f>"009604862"</f>
        <v>009604862</v>
      </c>
      <c r="B14331" t="str">
        <f>"1891151817"</f>
        <v>1891151817</v>
      </c>
      <c r="C14331" t="str">
        <f>"261QE0700X"</f>
        <v>261QE0700X</v>
      </c>
      <c r="D14331" t="str">
        <f>"GULF ISLANDS HOME TRAINING                        "</f>
        <v xml:space="preserve">GULF ISLANDS HOME TRAINING                        </v>
      </c>
      <c r="E14331" t="str">
        <f>"DIBERVILLE                "</f>
        <v xml:space="preserve">DIBERVILLE                </v>
      </c>
      <c r="F14331" t="str">
        <f t="shared" si="362"/>
        <v>MS</v>
      </c>
    </row>
    <row r="14332" spans="1:6" x14ac:dyDescent="0.25">
      <c r="A14332" t="str">
        <f>"009604894"</f>
        <v>009604894</v>
      </c>
      <c r="B14332" t="str">
        <f>"1154945848"</f>
        <v>1154945848</v>
      </c>
      <c r="C14332" t="str">
        <f>"363L00000X"</f>
        <v>363L00000X</v>
      </c>
      <c r="D14332" t="str">
        <f>"FAILS                    ANNA                     "</f>
        <v xml:space="preserve">FAILS                    ANNA                     </v>
      </c>
      <c r="E14332" t="str">
        <f>"SUMRALL                   "</f>
        <v xml:space="preserve">SUMRALL                   </v>
      </c>
      <c r="F14332" t="str">
        <f t="shared" si="362"/>
        <v>MS</v>
      </c>
    </row>
    <row r="14333" spans="1:6" x14ac:dyDescent="0.25">
      <c r="A14333" t="str">
        <f>"009605501"</f>
        <v>009605501</v>
      </c>
      <c r="B14333" t="str">
        <f>"1093040057"</f>
        <v>1093040057</v>
      </c>
      <c r="C14333" t="str">
        <f>"363L00000X"</f>
        <v>363L00000X</v>
      </c>
      <c r="D14333" t="str">
        <f>"TAYLOR                   THOMAS       M           "</f>
        <v xml:space="preserve">TAYLOR                   THOMAS       M           </v>
      </c>
      <c r="E14333" t="str">
        <f>"FULTON                    "</f>
        <v xml:space="preserve">FULTON                    </v>
      </c>
      <c r="F14333" t="str">
        <f t="shared" si="362"/>
        <v>MS</v>
      </c>
    </row>
    <row r="14334" spans="1:6" x14ac:dyDescent="0.25">
      <c r="A14334" t="str">
        <f>"009605797"</f>
        <v>009605797</v>
      </c>
      <c r="B14334" t="str">
        <f>"1518164490"</f>
        <v>1518164490</v>
      </c>
      <c r="C14334" t="str">
        <f>"207K00000X"</f>
        <v>207K00000X</v>
      </c>
      <c r="D14334" t="str">
        <f>"MCMULLAN                 KATHRYN      L           "</f>
        <v xml:space="preserve">MCMULLAN                 KATHRYN      L           </v>
      </c>
      <c r="E14334" t="str">
        <f>"HATTIESBURG               "</f>
        <v xml:space="preserve">HATTIESBURG               </v>
      </c>
      <c r="F14334" t="str">
        <f t="shared" ref="F14334:F14397" si="363">"MS"</f>
        <v>MS</v>
      </c>
    </row>
    <row r="14335" spans="1:6" x14ac:dyDescent="0.25">
      <c r="A14335" t="str">
        <f>"009606852"</f>
        <v>009606852</v>
      </c>
      <c r="B14335" t="str">
        <f>"1003254525"</f>
        <v>1003254525</v>
      </c>
      <c r="C14335" t="str">
        <f>"207X00000X"</f>
        <v>207X00000X</v>
      </c>
      <c r="D14335" t="str">
        <f>"MYERS                    PHILIP       D           "</f>
        <v xml:space="preserve">MYERS                    PHILIP       D           </v>
      </c>
      <c r="E14335" t="str">
        <f>"GULFPORT                  "</f>
        <v xml:space="preserve">GULFPORT                  </v>
      </c>
      <c r="F14335" t="str">
        <f t="shared" si="363"/>
        <v>MS</v>
      </c>
    </row>
    <row r="14336" spans="1:6" x14ac:dyDescent="0.25">
      <c r="A14336" t="str">
        <f>"009608721"</f>
        <v>009608721</v>
      </c>
      <c r="B14336" t="str">
        <f>"1457834913"</f>
        <v>1457834913</v>
      </c>
      <c r="C14336" t="str">
        <f>"363LP0808X"</f>
        <v>363LP0808X</v>
      </c>
      <c r="D14336" t="str">
        <f>"TATE                     WHITNEY                  "</f>
        <v xml:space="preserve">TATE                     WHITNEY                  </v>
      </c>
      <c r="E14336" t="str">
        <f>"NEW ALBANY                "</f>
        <v xml:space="preserve">NEW ALBANY                </v>
      </c>
      <c r="F14336" t="str">
        <f t="shared" si="363"/>
        <v>MS</v>
      </c>
    </row>
    <row r="14337" spans="1:6" x14ac:dyDescent="0.25">
      <c r="A14337" t="str">
        <f>"009608851"</f>
        <v>009608851</v>
      </c>
      <c r="B14337" t="str">
        <f>"1427556349"</f>
        <v>1427556349</v>
      </c>
      <c r="C14337" t="str">
        <f>"363L00000X"</f>
        <v>363L00000X</v>
      </c>
      <c r="D14337" t="str">
        <f>"JOHNSON                  CANDACE      N           "</f>
        <v xml:space="preserve">JOHNSON                  CANDACE      N           </v>
      </c>
      <c r="E14337" t="str">
        <f>"JACKSON                   "</f>
        <v xml:space="preserve">JACKSON                   </v>
      </c>
      <c r="F14337" t="str">
        <f t="shared" si="363"/>
        <v>MS</v>
      </c>
    </row>
    <row r="14338" spans="1:6" x14ac:dyDescent="0.25">
      <c r="A14338" t="str">
        <f>"009609363"</f>
        <v>009609363</v>
      </c>
      <c r="B14338" t="str">
        <f>"1386010379"</f>
        <v>1386010379</v>
      </c>
      <c r="C14338" t="str">
        <f>"363L00000X"</f>
        <v>363L00000X</v>
      </c>
      <c r="D14338" t="str">
        <f>"SULLIVAN                 AMANDA       T           "</f>
        <v xml:space="preserve">SULLIVAN                 AMANDA       T           </v>
      </c>
      <c r="E14338" t="str">
        <f>"FLOWOOD                   "</f>
        <v xml:space="preserve">FLOWOOD                   </v>
      </c>
      <c r="F14338" t="str">
        <f t="shared" si="363"/>
        <v>MS</v>
      </c>
    </row>
    <row r="14339" spans="1:6" x14ac:dyDescent="0.25">
      <c r="A14339" t="str">
        <f>"009609794"</f>
        <v>009609794</v>
      </c>
      <c r="B14339" t="str">
        <f>"1417396565"</f>
        <v>1417396565</v>
      </c>
      <c r="C14339" t="str">
        <f>"363L00000X"</f>
        <v>363L00000X</v>
      </c>
      <c r="D14339" t="str">
        <f>"FOLEY                    MEGHAN       W           "</f>
        <v xml:space="preserve">FOLEY                    MEGHAN       W           </v>
      </c>
      <c r="E14339" t="str">
        <f>"NEW ALBANY                "</f>
        <v xml:space="preserve">NEW ALBANY                </v>
      </c>
      <c r="F14339" t="str">
        <f t="shared" si="363"/>
        <v>MS</v>
      </c>
    </row>
    <row r="14340" spans="1:6" x14ac:dyDescent="0.25">
      <c r="A14340" t="str">
        <f>"009620546"</f>
        <v>009620546</v>
      </c>
      <c r="B14340" t="str">
        <f>"1407309628"</f>
        <v>1407309628</v>
      </c>
      <c r="C14340" t="str">
        <f>"152W00000X"</f>
        <v>152W00000X</v>
      </c>
      <c r="D14340" t="str">
        <f>"MITCHELL                 WILLIAM      A           "</f>
        <v xml:space="preserve">MITCHELL                 WILLIAM      A           </v>
      </c>
      <c r="E14340" t="str">
        <f>"STARKVILLE                "</f>
        <v xml:space="preserve">STARKVILLE                </v>
      </c>
      <c r="F14340" t="str">
        <f t="shared" si="363"/>
        <v>MS</v>
      </c>
    </row>
    <row r="14341" spans="1:6" x14ac:dyDescent="0.25">
      <c r="A14341" t="str">
        <f>"009621593"</f>
        <v>009621593</v>
      </c>
      <c r="B14341" t="str">
        <f>"1194089508"</f>
        <v>1194089508</v>
      </c>
      <c r="C14341" t="str">
        <f>"207Q00000X"</f>
        <v>207Q00000X</v>
      </c>
      <c r="D14341" t="str">
        <f>"VONGALA                  AJAY         R           "</f>
        <v xml:space="preserve">VONGALA                  AJAY         R           </v>
      </c>
      <c r="E14341" t="str">
        <f>"JACKSON                   "</f>
        <v xml:space="preserve">JACKSON                   </v>
      </c>
      <c r="F14341" t="str">
        <f t="shared" si="363"/>
        <v>MS</v>
      </c>
    </row>
    <row r="14342" spans="1:6" x14ac:dyDescent="0.25">
      <c r="A14342" t="str">
        <f>"009621896"</f>
        <v>009621896</v>
      </c>
      <c r="B14342" t="str">
        <f>"1316987175"</f>
        <v>1316987175</v>
      </c>
      <c r="C14342" t="str">
        <f>"207P00000X"</f>
        <v>207P00000X</v>
      </c>
      <c r="D14342" t="str">
        <f>"MILES                    RICHARD      J           "</f>
        <v xml:space="preserve">MILES                    RICHARD      J           </v>
      </c>
      <c r="E14342" t="str">
        <f>"HATTIESBURG               "</f>
        <v xml:space="preserve">HATTIESBURG               </v>
      </c>
      <c r="F14342" t="str">
        <f t="shared" si="363"/>
        <v>MS</v>
      </c>
    </row>
    <row r="14343" spans="1:6" x14ac:dyDescent="0.25">
      <c r="A14343" t="str">
        <f>"009623766"</f>
        <v>009623766</v>
      </c>
      <c r="B14343" t="str">
        <f>"1356980817"</f>
        <v>1356980817</v>
      </c>
      <c r="C14343" t="str">
        <f>"363LA2200X"</f>
        <v>363LA2200X</v>
      </c>
      <c r="D14343" t="str">
        <f>"FITZHUGH                 ASHLEY       F           "</f>
        <v xml:space="preserve">FITZHUGH                 ASHLEY       F           </v>
      </c>
      <c r="E14343" t="str">
        <f>"JACKSON                   "</f>
        <v xml:space="preserve">JACKSON                   </v>
      </c>
      <c r="F14343" t="str">
        <f t="shared" si="363"/>
        <v>MS</v>
      </c>
    </row>
    <row r="14344" spans="1:6" x14ac:dyDescent="0.25">
      <c r="A14344" t="str">
        <f>"009623775"</f>
        <v>009623775</v>
      </c>
      <c r="B14344" t="str">
        <f>"1003420092"</f>
        <v>1003420092</v>
      </c>
      <c r="C14344" t="str">
        <f>"363L00000X"</f>
        <v>363L00000X</v>
      </c>
      <c r="D14344" t="str">
        <f>"JACKSON                  MERRICK                  "</f>
        <v xml:space="preserve">JACKSON                  MERRICK                  </v>
      </c>
      <c r="E14344" t="str">
        <f>"HATTIESBURG               "</f>
        <v xml:space="preserve">HATTIESBURG               </v>
      </c>
      <c r="F14344" t="str">
        <f t="shared" si="363"/>
        <v>MS</v>
      </c>
    </row>
    <row r="14345" spans="1:6" x14ac:dyDescent="0.25">
      <c r="A14345" t="str">
        <f>"009625521"</f>
        <v>009625521</v>
      </c>
      <c r="B14345" t="str">
        <f>"1437116811"</f>
        <v>1437116811</v>
      </c>
      <c r="C14345" t="str">
        <f>"207RG0100X"</f>
        <v>207RG0100X</v>
      </c>
      <c r="D14345" t="str">
        <f>"SCHAEFER                 DAVID        C           "</f>
        <v xml:space="preserve">SCHAEFER                 DAVID        C           </v>
      </c>
      <c r="E14345" t="str">
        <f>"JACKSON                   "</f>
        <v xml:space="preserve">JACKSON                   </v>
      </c>
      <c r="F14345" t="str">
        <f t="shared" si="363"/>
        <v>MS</v>
      </c>
    </row>
    <row r="14346" spans="1:6" x14ac:dyDescent="0.25">
      <c r="A14346" t="str">
        <f>"009627540"</f>
        <v>009627540</v>
      </c>
      <c r="B14346" t="str">
        <f>"1700417961"</f>
        <v>1700417961</v>
      </c>
      <c r="C14346" t="str">
        <f>"363L00000X"</f>
        <v>363L00000X</v>
      </c>
      <c r="D14346" t="str">
        <f>"HAYWOOD                  VANESSA      A           "</f>
        <v xml:space="preserve">HAYWOOD                  VANESSA      A           </v>
      </c>
      <c r="E14346" t="str">
        <f>"GREENVILLE                "</f>
        <v xml:space="preserve">GREENVILLE                </v>
      </c>
      <c r="F14346" t="str">
        <f t="shared" si="363"/>
        <v>MS</v>
      </c>
    </row>
    <row r="14347" spans="1:6" x14ac:dyDescent="0.25">
      <c r="A14347" t="str">
        <f>"009627870"</f>
        <v>009627870</v>
      </c>
      <c r="B14347" t="str">
        <f>"1528431145"</f>
        <v>1528431145</v>
      </c>
      <c r="C14347" t="str">
        <f>"363L00000X"</f>
        <v>363L00000X</v>
      </c>
      <c r="D14347" t="str">
        <f>"CRANFORD                 KELLI        C           "</f>
        <v xml:space="preserve">CRANFORD                 KELLI        C           </v>
      </c>
      <c r="E14347" t="str">
        <f>"MADISON                   "</f>
        <v xml:space="preserve">MADISON                   </v>
      </c>
      <c r="F14347" t="str">
        <f t="shared" si="363"/>
        <v>MS</v>
      </c>
    </row>
    <row r="14348" spans="1:6" x14ac:dyDescent="0.25">
      <c r="A14348" t="str">
        <f>"009628731"</f>
        <v>009628731</v>
      </c>
      <c r="B14348" t="str">
        <f>"1679109458"</f>
        <v>1679109458</v>
      </c>
      <c r="C14348" t="str">
        <f>"363L00000X"</f>
        <v>363L00000X</v>
      </c>
      <c r="D14348" t="str">
        <f>"ADAMS                    KARI         A           "</f>
        <v xml:space="preserve">ADAMS                    KARI         A           </v>
      </c>
      <c r="E14348" t="str">
        <f>"JACKSON                   "</f>
        <v xml:space="preserve">JACKSON                   </v>
      </c>
      <c r="F14348" t="str">
        <f t="shared" si="363"/>
        <v>MS</v>
      </c>
    </row>
    <row r="14349" spans="1:6" x14ac:dyDescent="0.25">
      <c r="A14349" t="str">
        <f>"009629062"</f>
        <v>009629062</v>
      </c>
      <c r="B14349" t="str">
        <f>"1306243936"</f>
        <v>1306243936</v>
      </c>
      <c r="C14349" t="str">
        <f>"363L00000X"</f>
        <v>363L00000X</v>
      </c>
      <c r="D14349" t="str">
        <f>"BROOKS                   DANA         W           "</f>
        <v xml:space="preserve">BROOKS                   DANA         W           </v>
      </c>
      <c r="E14349" t="str">
        <f>"STARKVILLE                "</f>
        <v xml:space="preserve">STARKVILLE                </v>
      </c>
      <c r="F14349" t="str">
        <f t="shared" si="363"/>
        <v>MS</v>
      </c>
    </row>
    <row r="14350" spans="1:6" x14ac:dyDescent="0.25">
      <c r="A14350" t="str">
        <f>"009629771"</f>
        <v>009629771</v>
      </c>
      <c r="B14350" t="str">
        <f>"1184068413"</f>
        <v>1184068413</v>
      </c>
      <c r="C14350" t="str">
        <f>"207X00000X"</f>
        <v>207X00000X</v>
      </c>
      <c r="D14350" t="str">
        <f>"ROYALS                   THOMAS       P           "</f>
        <v xml:space="preserve">ROYALS                   THOMAS       P           </v>
      </c>
      <c r="E14350" t="str">
        <f>"HATTIESBURG               "</f>
        <v xml:space="preserve">HATTIESBURG               </v>
      </c>
      <c r="F14350" t="str">
        <f t="shared" si="363"/>
        <v>MS</v>
      </c>
    </row>
    <row r="14351" spans="1:6" x14ac:dyDescent="0.25">
      <c r="A14351" t="str">
        <f>"009629811"</f>
        <v>009629811</v>
      </c>
      <c r="B14351" t="str">
        <f>"1154791028"</f>
        <v>1154791028</v>
      </c>
      <c r="C14351" t="str">
        <f>"363L00000X"</f>
        <v>363L00000X</v>
      </c>
      <c r="D14351" t="str">
        <f>"FERGUSON                 LAURA        H           "</f>
        <v xml:space="preserve">FERGUSON                 LAURA        H           </v>
      </c>
      <c r="E14351" t="str">
        <f>"COLUMBUS                  "</f>
        <v xml:space="preserve">COLUMBUS                  </v>
      </c>
      <c r="F14351" t="str">
        <f t="shared" si="363"/>
        <v>MS</v>
      </c>
    </row>
    <row r="14352" spans="1:6" x14ac:dyDescent="0.25">
      <c r="A14352" t="str">
        <f>"009632891"</f>
        <v>009632891</v>
      </c>
      <c r="B14352" t="str">
        <f>"1972515930"</f>
        <v>1972515930</v>
      </c>
      <c r="C14352" t="str">
        <f>"2080P0205X"</f>
        <v>2080P0205X</v>
      </c>
      <c r="D14352" t="str">
        <f>"DIXIT                    NAZNIN       M           "</f>
        <v xml:space="preserve">DIXIT                    NAZNIN       M           </v>
      </c>
      <c r="E14352" t="str">
        <f>"JACKSON                   "</f>
        <v xml:space="preserve">JACKSON                   </v>
      </c>
      <c r="F14352" t="str">
        <f t="shared" si="363"/>
        <v>MS</v>
      </c>
    </row>
    <row r="14353" spans="1:6" x14ac:dyDescent="0.25">
      <c r="A14353" t="str">
        <f>"009633391"</f>
        <v>009633391</v>
      </c>
      <c r="B14353" t="str">
        <f>"1235497645"</f>
        <v>1235497645</v>
      </c>
      <c r="C14353" t="str">
        <f>"207V00000X"</f>
        <v>207V00000X</v>
      </c>
      <c r="D14353" t="str">
        <f>"MARION                   LAURA        L           "</f>
        <v xml:space="preserve">MARION                   LAURA        L           </v>
      </c>
      <c r="E14353" t="str">
        <f>"TUPELO                    "</f>
        <v xml:space="preserve">TUPELO                    </v>
      </c>
      <c r="F14353" t="str">
        <f t="shared" si="363"/>
        <v>MS</v>
      </c>
    </row>
    <row r="14354" spans="1:6" x14ac:dyDescent="0.25">
      <c r="A14354" t="str">
        <f>"009635878"</f>
        <v>009635878</v>
      </c>
      <c r="B14354" t="str">
        <f>"1609380880"</f>
        <v>1609380880</v>
      </c>
      <c r="C14354" t="str">
        <f>"363L00000X"</f>
        <v>363L00000X</v>
      </c>
      <c r="D14354" t="str">
        <f>"WILKERSON                LESLEY       E           "</f>
        <v xml:space="preserve">WILKERSON                LESLEY       E           </v>
      </c>
      <c r="E14354" t="str">
        <f>"GREENVILLE                "</f>
        <v xml:space="preserve">GREENVILLE                </v>
      </c>
      <c r="F14354" t="str">
        <f t="shared" si="363"/>
        <v>MS</v>
      </c>
    </row>
    <row r="14355" spans="1:6" x14ac:dyDescent="0.25">
      <c r="A14355" t="str">
        <f>"009636381"</f>
        <v>009636381</v>
      </c>
      <c r="B14355" t="str">
        <f>"1710958202"</f>
        <v>1710958202</v>
      </c>
      <c r="C14355" t="str">
        <f>"207Y00000X"</f>
        <v>207Y00000X</v>
      </c>
      <c r="D14355" t="str">
        <f>"SCHWEINFURTH             JOHN                     "</f>
        <v xml:space="preserve">SCHWEINFURTH             JOHN                     </v>
      </c>
      <c r="E14355" t="str">
        <f>"JACKSON                   "</f>
        <v xml:space="preserve">JACKSON                   </v>
      </c>
      <c r="F14355" t="str">
        <f t="shared" si="363"/>
        <v>MS</v>
      </c>
    </row>
    <row r="14356" spans="1:6" x14ac:dyDescent="0.25">
      <c r="A14356" t="str">
        <f>"009636537"</f>
        <v>009636537</v>
      </c>
      <c r="B14356" t="str">
        <f>"1871791228"</f>
        <v>1871791228</v>
      </c>
      <c r="C14356" t="str">
        <f>"122300000X"</f>
        <v>122300000X</v>
      </c>
      <c r="D14356" t="str">
        <f>"ORAL &amp; MAXILLOFACIAL SURGERY ASSOCI               "</f>
        <v xml:space="preserve">ORAL &amp; MAXILLOFACIAL SURGERY ASSOCI               </v>
      </c>
      <c r="E14356" t="str">
        <f>"MADISON                   "</f>
        <v xml:space="preserve">MADISON                   </v>
      </c>
      <c r="F14356" t="str">
        <f t="shared" si="363"/>
        <v>MS</v>
      </c>
    </row>
    <row r="14357" spans="1:6" x14ac:dyDescent="0.25">
      <c r="A14357" t="str">
        <f>"009636591"</f>
        <v>009636591</v>
      </c>
      <c r="B14357" t="str">
        <f>"1164495065"</f>
        <v>1164495065</v>
      </c>
      <c r="C14357" t="str">
        <f>"207L00000X"</f>
        <v>207L00000X</v>
      </c>
      <c r="D14357" t="str">
        <f>"YOUNGBLOOD IV            BEEKMAN      L           "</f>
        <v xml:space="preserve">YOUNGBLOOD IV            BEEKMAN      L           </v>
      </c>
      <c r="E14357" t="str">
        <f>"COLUMBUS                  "</f>
        <v xml:space="preserve">COLUMBUS                  </v>
      </c>
      <c r="F14357" t="str">
        <f t="shared" si="363"/>
        <v>MS</v>
      </c>
    </row>
    <row r="14358" spans="1:6" x14ac:dyDescent="0.25">
      <c r="A14358" t="str">
        <f>"009636854"</f>
        <v>009636854</v>
      </c>
      <c r="B14358" t="str">
        <f>"1982012548"</f>
        <v>1982012548</v>
      </c>
      <c r="C14358" t="str">
        <f>"363L00000X"</f>
        <v>363L00000X</v>
      </c>
      <c r="D14358" t="str">
        <f>"HARVEY                   JOHN         N           "</f>
        <v xml:space="preserve">HARVEY                   JOHN         N           </v>
      </c>
      <c r="E14358" t="str">
        <f>"MCCOMB                    "</f>
        <v xml:space="preserve">MCCOMB                    </v>
      </c>
      <c r="F14358" t="str">
        <f t="shared" si="363"/>
        <v>MS</v>
      </c>
    </row>
    <row r="14359" spans="1:6" x14ac:dyDescent="0.25">
      <c r="A14359" t="str">
        <f>"009639019"</f>
        <v>009639019</v>
      </c>
      <c r="B14359" t="str">
        <f>"1558672865"</f>
        <v>1558672865</v>
      </c>
      <c r="C14359" t="str">
        <f>"207P00000X"</f>
        <v>207P00000X</v>
      </c>
      <c r="D14359" t="str">
        <f>"OUIMET                   CHRISTOPHER  A           "</f>
        <v xml:space="preserve">OUIMET                   CHRISTOPHER  A           </v>
      </c>
      <c r="E14359" t="str">
        <f>"GULFPORT                  "</f>
        <v xml:space="preserve">GULFPORT                  </v>
      </c>
      <c r="F14359" t="str">
        <f t="shared" si="363"/>
        <v>MS</v>
      </c>
    </row>
    <row r="14360" spans="1:6" x14ac:dyDescent="0.25">
      <c r="A14360" t="str">
        <f>"009650263"</f>
        <v>009650263</v>
      </c>
      <c r="B14360" t="str">
        <f>"1851510978"</f>
        <v>1851510978</v>
      </c>
      <c r="C14360" t="str">
        <f>"367500000X"</f>
        <v>367500000X</v>
      </c>
      <c r="D14360" t="str">
        <f>"MULLINS                  MINDY        A           "</f>
        <v xml:space="preserve">MULLINS                  MINDY        A           </v>
      </c>
      <c r="E14360" t="str">
        <f>"TUPELO                    "</f>
        <v xml:space="preserve">TUPELO                    </v>
      </c>
      <c r="F14360" t="str">
        <f t="shared" si="363"/>
        <v>MS</v>
      </c>
    </row>
    <row r="14361" spans="1:6" x14ac:dyDescent="0.25">
      <c r="A14361" t="str">
        <f>"009651252"</f>
        <v>009651252</v>
      </c>
      <c r="B14361" t="str">
        <f>"1871740910"</f>
        <v>1871740910</v>
      </c>
      <c r="C14361" t="str">
        <f>"363L00000X"</f>
        <v>363L00000X</v>
      </c>
      <c r="D14361" t="str">
        <f>"SHARP                    PATRICIA     J           "</f>
        <v xml:space="preserve">SHARP                    PATRICIA     J           </v>
      </c>
      <c r="E14361" t="str">
        <f>"JACKSON                   "</f>
        <v xml:space="preserve">JACKSON                   </v>
      </c>
      <c r="F14361" t="str">
        <f t="shared" si="363"/>
        <v>MS</v>
      </c>
    </row>
    <row r="14362" spans="1:6" x14ac:dyDescent="0.25">
      <c r="A14362" t="str">
        <f>"009651555"</f>
        <v>009651555</v>
      </c>
      <c r="B14362" t="str">
        <f>"1235495474"</f>
        <v>1235495474</v>
      </c>
      <c r="C14362" t="str">
        <f>"207RG0100X"</f>
        <v>207RG0100X</v>
      </c>
      <c r="D14362" t="str">
        <f>"SHAH                     NIRAJ        J           "</f>
        <v xml:space="preserve">SHAH                     NIRAJ        J           </v>
      </c>
      <c r="E14362" t="str">
        <f>"MERIDIAN                  "</f>
        <v xml:space="preserve">MERIDIAN                  </v>
      </c>
      <c r="F14362" t="str">
        <f t="shared" si="363"/>
        <v>MS</v>
      </c>
    </row>
    <row r="14363" spans="1:6" x14ac:dyDescent="0.25">
      <c r="A14363" t="str">
        <f>"009652019"</f>
        <v>009652019</v>
      </c>
      <c r="B14363" t="str">
        <f>"1427349273"</f>
        <v>1427349273</v>
      </c>
      <c r="C14363" t="str">
        <f>"363L00000X"</f>
        <v>363L00000X</v>
      </c>
      <c r="D14363" t="str">
        <f>"DENIUS                   MARY         E           "</f>
        <v xml:space="preserve">DENIUS                   MARY         E           </v>
      </c>
      <c r="E14363" t="str">
        <f>"GULFPORT                  "</f>
        <v xml:space="preserve">GULFPORT                  </v>
      </c>
      <c r="F14363" t="str">
        <f t="shared" si="363"/>
        <v>MS</v>
      </c>
    </row>
    <row r="14364" spans="1:6" x14ac:dyDescent="0.25">
      <c r="A14364" t="str">
        <f>"009655258"</f>
        <v>009655258</v>
      </c>
      <c r="B14364" t="str">
        <f>"1134495443"</f>
        <v>1134495443</v>
      </c>
      <c r="C14364" t="str">
        <f>"363L00000X"</f>
        <v>363L00000X</v>
      </c>
      <c r="D14364" t="str">
        <f>"HILSABECK                ASHLEY       N           "</f>
        <v xml:space="preserve">HILSABECK                ASHLEY       N           </v>
      </c>
      <c r="E14364" t="str">
        <f>"PASCAGOULA                "</f>
        <v xml:space="preserve">PASCAGOULA                </v>
      </c>
      <c r="F14364" t="str">
        <f t="shared" si="363"/>
        <v>MS</v>
      </c>
    </row>
    <row r="14365" spans="1:6" x14ac:dyDescent="0.25">
      <c r="A14365" t="str">
        <f>"009656060"</f>
        <v>009656060</v>
      </c>
      <c r="B14365" t="str">
        <f>"1215299656"</f>
        <v>1215299656</v>
      </c>
      <c r="C14365" t="str">
        <f>"208600000X"</f>
        <v>208600000X</v>
      </c>
      <c r="D14365" t="str">
        <f>"WIER                     ALYSSA       J           "</f>
        <v xml:space="preserve">WIER                     ALYSSA       J           </v>
      </c>
      <c r="E14365" t="str">
        <f>"SOUTHAVEN                 "</f>
        <v xml:space="preserve">SOUTHAVEN                 </v>
      </c>
      <c r="F14365" t="str">
        <f t="shared" si="363"/>
        <v>MS</v>
      </c>
    </row>
    <row r="14366" spans="1:6" x14ac:dyDescent="0.25">
      <c r="A14366" t="str">
        <f>"009656576"</f>
        <v>009656576</v>
      </c>
      <c r="B14366" t="str">
        <f>"1073585824"</f>
        <v>1073585824</v>
      </c>
      <c r="C14366" t="str">
        <f>"207Q00000X"</f>
        <v>207Q00000X</v>
      </c>
      <c r="D14366" t="str">
        <f>"BROWNING                 ROBERT       G           "</f>
        <v xml:space="preserve">BROWNING                 ROBERT       G           </v>
      </c>
      <c r="E14366" t="str">
        <f>"KOSCIUSKO                 "</f>
        <v xml:space="preserve">KOSCIUSKO                 </v>
      </c>
      <c r="F14366" t="str">
        <f t="shared" si="363"/>
        <v>MS</v>
      </c>
    </row>
    <row r="14367" spans="1:6" x14ac:dyDescent="0.25">
      <c r="A14367" t="str">
        <f>"009658867"</f>
        <v>009658867</v>
      </c>
      <c r="B14367" t="str">
        <f>"1518457928"</f>
        <v>1518457928</v>
      </c>
      <c r="C14367" t="str">
        <f t="shared" ref="C14367:C14373" si="364">"363L00000X"</f>
        <v>363L00000X</v>
      </c>
      <c r="D14367" t="str">
        <f>"RANSOM                   SHEMINA                  "</f>
        <v xml:space="preserve">RANSOM                   SHEMINA                  </v>
      </c>
      <c r="E14367" t="str">
        <f>"JACKSON                   "</f>
        <v xml:space="preserve">JACKSON                   </v>
      </c>
      <c r="F14367" t="str">
        <f t="shared" si="363"/>
        <v>MS</v>
      </c>
    </row>
    <row r="14368" spans="1:6" x14ac:dyDescent="0.25">
      <c r="A14368" t="str">
        <f>"009672552"</f>
        <v>009672552</v>
      </c>
      <c r="B14368" t="str">
        <f>"1699339200"</f>
        <v>1699339200</v>
      </c>
      <c r="C14368" t="str">
        <f t="shared" si="364"/>
        <v>363L00000X</v>
      </c>
      <c r="D14368" t="str">
        <f>"SARTIN                   JODIE                    "</f>
        <v xml:space="preserve">SARTIN                   JODIE                    </v>
      </c>
      <c r="E14368" t="str">
        <f>"BROOKHAVEN                "</f>
        <v xml:space="preserve">BROOKHAVEN                </v>
      </c>
      <c r="F14368" t="str">
        <f t="shared" si="363"/>
        <v>MS</v>
      </c>
    </row>
    <row r="14369" spans="1:6" x14ac:dyDescent="0.25">
      <c r="A14369" t="str">
        <f>"009673332"</f>
        <v>009673332</v>
      </c>
      <c r="B14369" t="str">
        <f>"1164828372"</f>
        <v>1164828372</v>
      </c>
      <c r="C14369" t="str">
        <f t="shared" si="364"/>
        <v>363L00000X</v>
      </c>
      <c r="D14369" t="str">
        <f>"COWAN                    KELLY        D           "</f>
        <v xml:space="preserve">COWAN                    KELLY        D           </v>
      </c>
      <c r="E14369" t="str">
        <f>"BILOXI                    "</f>
        <v xml:space="preserve">BILOXI                    </v>
      </c>
      <c r="F14369" t="str">
        <f t="shared" si="363"/>
        <v>MS</v>
      </c>
    </row>
    <row r="14370" spans="1:6" x14ac:dyDescent="0.25">
      <c r="A14370" t="str">
        <f>"009674227"</f>
        <v>009674227</v>
      </c>
      <c r="B14370" t="str">
        <f>"1144748898"</f>
        <v>1144748898</v>
      </c>
      <c r="C14370" t="str">
        <f t="shared" si="364"/>
        <v>363L00000X</v>
      </c>
      <c r="D14370" t="str">
        <f>"SHEPARD                  CASSANDRA                "</f>
        <v xml:space="preserve">SHEPARD                  CASSANDRA                </v>
      </c>
      <c r="E14370" t="str">
        <f>"CLEVELAND                 "</f>
        <v xml:space="preserve">CLEVELAND                 </v>
      </c>
      <c r="F14370" t="str">
        <f t="shared" si="363"/>
        <v>MS</v>
      </c>
    </row>
    <row r="14371" spans="1:6" x14ac:dyDescent="0.25">
      <c r="A14371" t="str">
        <f>"009675518"</f>
        <v>009675518</v>
      </c>
      <c r="B14371" t="str">
        <f>"1386206068"</f>
        <v>1386206068</v>
      </c>
      <c r="C14371" t="str">
        <f t="shared" si="364"/>
        <v>363L00000X</v>
      </c>
      <c r="D14371" t="str">
        <f>"STRINGER                 LLOYD        C           "</f>
        <v xml:space="preserve">STRINGER                 LLOYD        C           </v>
      </c>
      <c r="E14371" t="str">
        <f>"FOXWORTH                  "</f>
        <v xml:space="preserve">FOXWORTH                  </v>
      </c>
      <c r="F14371" t="str">
        <f t="shared" si="363"/>
        <v>MS</v>
      </c>
    </row>
    <row r="14372" spans="1:6" x14ac:dyDescent="0.25">
      <c r="A14372" t="str">
        <f>"009677276"</f>
        <v>009677276</v>
      </c>
      <c r="B14372" t="str">
        <f>"1043664972"</f>
        <v>1043664972</v>
      </c>
      <c r="C14372" t="str">
        <f t="shared" si="364"/>
        <v>363L00000X</v>
      </c>
      <c r="D14372" t="str">
        <f>"COOPER                   ANNA         M           "</f>
        <v xml:space="preserve">COOPER                   ANNA         M           </v>
      </c>
      <c r="E14372" t="str">
        <f>"STARKVILLE                "</f>
        <v xml:space="preserve">STARKVILLE                </v>
      </c>
      <c r="F14372" t="str">
        <f t="shared" si="363"/>
        <v>MS</v>
      </c>
    </row>
    <row r="14373" spans="1:6" x14ac:dyDescent="0.25">
      <c r="A14373" t="str">
        <f>"009678866"</f>
        <v>009678866</v>
      </c>
      <c r="B14373" t="str">
        <f>"1306364336"</f>
        <v>1306364336</v>
      </c>
      <c r="C14373" t="str">
        <f t="shared" si="364"/>
        <v>363L00000X</v>
      </c>
      <c r="D14373" t="str">
        <f>"MCPHERSON                GARY                     "</f>
        <v xml:space="preserve">MCPHERSON                GARY                     </v>
      </c>
      <c r="E14373" t="str">
        <f>"UNION                     "</f>
        <v xml:space="preserve">UNION                     </v>
      </c>
      <c r="F14373" t="str">
        <f t="shared" si="363"/>
        <v>MS</v>
      </c>
    </row>
    <row r="14374" spans="1:6" x14ac:dyDescent="0.25">
      <c r="A14374" t="str">
        <f>"009680596"</f>
        <v>009680596</v>
      </c>
      <c r="B14374" t="str">
        <f>"1194014118"</f>
        <v>1194014118</v>
      </c>
      <c r="C14374" t="str">
        <f>"152W00000X"</f>
        <v>152W00000X</v>
      </c>
      <c r="D14374" t="str">
        <f>"ODOMS EYE CARE OPTICAL                            "</f>
        <v xml:space="preserve">ODOMS EYE CARE OPTICAL                            </v>
      </c>
      <c r="E14374" t="str">
        <f>"JACKSON                   "</f>
        <v xml:space="preserve">JACKSON                   </v>
      </c>
      <c r="F14374" t="str">
        <f t="shared" si="363"/>
        <v>MS</v>
      </c>
    </row>
    <row r="14375" spans="1:6" x14ac:dyDescent="0.25">
      <c r="A14375" t="str">
        <f>"009681811"</f>
        <v>009681811</v>
      </c>
      <c r="B14375" t="str">
        <f>"1558681726"</f>
        <v>1558681726</v>
      </c>
      <c r="C14375" t="str">
        <f>"207P00000X"</f>
        <v>207P00000X</v>
      </c>
      <c r="D14375" t="str">
        <f>"NGUYEN                   NGHIA        D           "</f>
        <v xml:space="preserve">NGUYEN                   NGHIA        D           </v>
      </c>
      <c r="E14375" t="str">
        <f>"GULFPORT                  "</f>
        <v xml:space="preserve">GULFPORT                  </v>
      </c>
      <c r="F14375" t="str">
        <f t="shared" si="363"/>
        <v>MS</v>
      </c>
    </row>
    <row r="14376" spans="1:6" x14ac:dyDescent="0.25">
      <c r="A14376" t="str">
        <f>"009682394"</f>
        <v>009682394</v>
      </c>
      <c r="B14376" t="str">
        <f>"1700458122"</f>
        <v>1700458122</v>
      </c>
      <c r="C14376" t="str">
        <f>"363L00000X"</f>
        <v>363L00000X</v>
      </c>
      <c r="D14376" t="str">
        <f>"COX-SHELTON              THELMA                   "</f>
        <v xml:space="preserve">COX-SHELTON              THELMA                   </v>
      </c>
      <c r="E14376" t="str">
        <f>"ABERDEEN                  "</f>
        <v xml:space="preserve">ABERDEEN                  </v>
      </c>
      <c r="F14376" t="str">
        <f t="shared" si="363"/>
        <v>MS</v>
      </c>
    </row>
    <row r="14377" spans="1:6" x14ac:dyDescent="0.25">
      <c r="A14377" t="str">
        <f>"009682739"</f>
        <v>009682739</v>
      </c>
      <c r="B14377" t="str">
        <f>"1649473489"</f>
        <v>1649473489</v>
      </c>
      <c r="C14377" t="str">
        <f>"2084P0800X"</f>
        <v>2084P0800X</v>
      </c>
      <c r="D14377" t="str">
        <f>"PANNEL                   RICHARD      S           "</f>
        <v xml:space="preserve">PANNEL                   RICHARD      S           </v>
      </c>
      <c r="E14377" t="str">
        <f>"PONTOTOC                  "</f>
        <v xml:space="preserve">PONTOTOC                  </v>
      </c>
      <c r="F14377" t="str">
        <f t="shared" si="363"/>
        <v>MS</v>
      </c>
    </row>
    <row r="14378" spans="1:6" x14ac:dyDescent="0.25">
      <c r="A14378" t="str">
        <f>"009683890"</f>
        <v>009683890</v>
      </c>
      <c r="B14378" t="str">
        <f>"1831523620"</f>
        <v>1831523620</v>
      </c>
      <c r="C14378" t="str">
        <f>"363LF0000X"</f>
        <v>363LF0000X</v>
      </c>
      <c r="D14378" t="str">
        <f>"SIMMONS                  ALYSSA       K           "</f>
        <v xml:space="preserve">SIMMONS                  ALYSSA       K           </v>
      </c>
      <c r="E14378" t="str">
        <f>"INDIANOLA                 "</f>
        <v xml:space="preserve">INDIANOLA                 </v>
      </c>
      <c r="F14378" t="str">
        <f t="shared" si="363"/>
        <v>MS</v>
      </c>
    </row>
    <row r="14379" spans="1:6" x14ac:dyDescent="0.25">
      <c r="A14379" t="str">
        <f>"009684229"</f>
        <v>009684229</v>
      </c>
      <c r="B14379" t="str">
        <f>"1730104928"</f>
        <v>1730104928</v>
      </c>
      <c r="C14379" t="str">
        <f>"207V00000X"</f>
        <v>207V00000X</v>
      </c>
      <c r="D14379" t="str">
        <f>"HORD                     DELPHIA      M           "</f>
        <v xml:space="preserve">HORD                     DELPHIA      M           </v>
      </c>
      <c r="E14379" t="str">
        <f>"CLARKSDALE                "</f>
        <v xml:space="preserve">CLARKSDALE                </v>
      </c>
      <c r="F14379" t="str">
        <f t="shared" si="363"/>
        <v>MS</v>
      </c>
    </row>
    <row r="14380" spans="1:6" x14ac:dyDescent="0.25">
      <c r="A14380" t="str">
        <f>"009684296"</f>
        <v>009684296</v>
      </c>
      <c r="B14380" t="str">
        <f>"1396768982"</f>
        <v>1396768982</v>
      </c>
      <c r="C14380" t="str">
        <f>"208600000X"</f>
        <v>208600000X</v>
      </c>
      <c r="D14380" t="str">
        <f>"CARTER                   KRISTINE                 "</f>
        <v xml:space="preserve">CARTER                   KRISTINE                 </v>
      </c>
      <c r="E14380" t="str">
        <f>"GULFPORT                  "</f>
        <v xml:space="preserve">GULFPORT                  </v>
      </c>
      <c r="F14380" t="str">
        <f t="shared" si="363"/>
        <v>MS</v>
      </c>
    </row>
    <row r="14381" spans="1:6" x14ac:dyDescent="0.25">
      <c r="A14381" t="str">
        <f>"009684360"</f>
        <v>009684360</v>
      </c>
      <c r="B14381" t="str">
        <f>"1427099209"</f>
        <v>1427099209</v>
      </c>
      <c r="C14381" t="str">
        <f>"207R00000X"</f>
        <v>207R00000X</v>
      </c>
      <c r="D14381" t="str">
        <f>"OZDURAN                  VOLKAN                   "</f>
        <v xml:space="preserve">OZDURAN                  VOLKAN                   </v>
      </c>
      <c r="E14381" t="str">
        <f>"HATTIESBURG               "</f>
        <v xml:space="preserve">HATTIESBURG               </v>
      </c>
      <c r="F14381" t="str">
        <f t="shared" si="363"/>
        <v>MS</v>
      </c>
    </row>
    <row r="14382" spans="1:6" x14ac:dyDescent="0.25">
      <c r="A14382" t="str">
        <f>"009685357"</f>
        <v>009685357</v>
      </c>
      <c r="B14382" t="str">
        <f>"1821250978"</f>
        <v>1821250978</v>
      </c>
      <c r="C14382" t="str">
        <f>"207RG0100X"</f>
        <v>207RG0100X</v>
      </c>
      <c r="D14382" t="str">
        <f>"SMITH                    ROBERT       B           "</f>
        <v xml:space="preserve">SMITH                    ROBERT       B           </v>
      </c>
      <c r="E14382" t="str">
        <f>"TUPELO                    "</f>
        <v xml:space="preserve">TUPELO                    </v>
      </c>
      <c r="F14382" t="str">
        <f t="shared" si="363"/>
        <v>MS</v>
      </c>
    </row>
    <row r="14383" spans="1:6" x14ac:dyDescent="0.25">
      <c r="A14383" t="str">
        <f>"009685805"</f>
        <v>009685805</v>
      </c>
      <c r="B14383" t="str">
        <f>"1902454317"</f>
        <v>1902454317</v>
      </c>
      <c r="C14383" t="str">
        <f>"363L00000X"</f>
        <v>363L00000X</v>
      </c>
      <c r="D14383" t="str">
        <f>"PATTERSON                KRISTIN      B           "</f>
        <v xml:space="preserve">PATTERSON                KRISTIN      B           </v>
      </c>
      <c r="E14383" t="str">
        <f>"AMORY                     "</f>
        <v xml:space="preserve">AMORY                     </v>
      </c>
      <c r="F14383" t="str">
        <f t="shared" si="363"/>
        <v>MS</v>
      </c>
    </row>
    <row r="14384" spans="1:6" x14ac:dyDescent="0.25">
      <c r="A14384" t="str">
        <f>"009687217"</f>
        <v>009687217</v>
      </c>
      <c r="B14384" t="str">
        <f>"1558640813"</f>
        <v>1558640813</v>
      </c>
      <c r="C14384" t="str">
        <f>"207R00000X"</f>
        <v>207R00000X</v>
      </c>
      <c r="D14384" t="str">
        <f>"YERGAW                   DANIEL       A           "</f>
        <v xml:space="preserve">YERGAW                   DANIEL       A           </v>
      </c>
      <c r="E14384" t="str">
        <f>"MCCOMB                    "</f>
        <v xml:space="preserve">MCCOMB                    </v>
      </c>
      <c r="F14384" t="str">
        <f t="shared" si="363"/>
        <v>MS</v>
      </c>
    </row>
    <row r="14385" spans="1:6" x14ac:dyDescent="0.25">
      <c r="A14385" t="str">
        <f>"009688518"</f>
        <v>009688518</v>
      </c>
      <c r="B14385" t="str">
        <f>"1508942137"</f>
        <v>1508942137</v>
      </c>
      <c r="C14385" t="str">
        <f>"207Q00000X"</f>
        <v>207Q00000X</v>
      </c>
      <c r="D14385" t="str">
        <f>"DEWITT                   ERIN         A           "</f>
        <v xml:space="preserve">DEWITT                   ERIN         A           </v>
      </c>
      <c r="E14385" t="str">
        <f>"DIAMONDHEAD               "</f>
        <v xml:space="preserve">DIAMONDHEAD               </v>
      </c>
      <c r="F14385" t="str">
        <f t="shared" si="363"/>
        <v>MS</v>
      </c>
    </row>
    <row r="14386" spans="1:6" x14ac:dyDescent="0.25">
      <c r="A14386" t="str">
        <f>"009689004"</f>
        <v>009689004</v>
      </c>
      <c r="B14386" t="str">
        <f>"1619476652"</f>
        <v>1619476652</v>
      </c>
      <c r="C14386" t="str">
        <f>"363L00000X"</f>
        <v>363L00000X</v>
      </c>
      <c r="D14386" t="str">
        <f>"KINARD                   MOLLIE       J           "</f>
        <v xml:space="preserve">KINARD                   MOLLIE       J           </v>
      </c>
      <c r="E14386" t="str">
        <f>"OLIVE BRANCH              "</f>
        <v xml:space="preserve">OLIVE BRANCH              </v>
      </c>
      <c r="F14386" t="str">
        <f t="shared" si="363"/>
        <v>MS</v>
      </c>
    </row>
    <row r="14387" spans="1:6" x14ac:dyDescent="0.25">
      <c r="A14387" t="str">
        <f>"009689047"</f>
        <v>009689047</v>
      </c>
      <c r="B14387" t="str">
        <f>"1013145820"</f>
        <v>1013145820</v>
      </c>
      <c r="C14387" t="str">
        <f>"2085R0202X"</f>
        <v>2085R0202X</v>
      </c>
      <c r="D14387" t="str">
        <f>"ROBBINS                  PATRICK      J           "</f>
        <v xml:space="preserve">ROBBINS                  PATRICK      J           </v>
      </c>
      <c r="E14387" t="str">
        <f>"MERIDIAN                  "</f>
        <v xml:space="preserve">MERIDIAN                  </v>
      </c>
      <c r="F14387" t="str">
        <f t="shared" si="363"/>
        <v>MS</v>
      </c>
    </row>
    <row r="14388" spans="1:6" x14ac:dyDescent="0.25">
      <c r="A14388" t="str">
        <f>"009689299"</f>
        <v>009689299</v>
      </c>
      <c r="B14388" t="str">
        <f>"1003170036"</f>
        <v>1003170036</v>
      </c>
      <c r="C14388" t="str">
        <f>"207W00000X"</f>
        <v>207W00000X</v>
      </c>
      <c r="D14388" t="str">
        <f>"WHITTINGTON              ALEXANDER    C           "</f>
        <v xml:space="preserve">WHITTINGTON              ALEXANDER    C           </v>
      </c>
      <c r="E14388" t="str">
        <f>"MADISON                   "</f>
        <v xml:space="preserve">MADISON                   </v>
      </c>
      <c r="F14388" t="str">
        <f t="shared" si="363"/>
        <v>MS</v>
      </c>
    </row>
    <row r="14389" spans="1:6" x14ac:dyDescent="0.25">
      <c r="A14389" t="str">
        <f>"009689701"</f>
        <v>009689701</v>
      </c>
      <c r="B14389" t="str">
        <f>"1730491036"</f>
        <v>1730491036</v>
      </c>
      <c r="C14389" t="str">
        <f>"207R00000X"</f>
        <v>207R00000X</v>
      </c>
      <c r="D14389" t="str">
        <f>"ALLEN                    SUMMER       L           "</f>
        <v xml:space="preserve">ALLEN                    SUMMER       L           </v>
      </c>
      <c r="E14389" t="str">
        <f>"GULFPORT                  "</f>
        <v xml:space="preserve">GULFPORT                  </v>
      </c>
      <c r="F14389" t="str">
        <f t="shared" si="363"/>
        <v>MS</v>
      </c>
    </row>
    <row r="14390" spans="1:6" x14ac:dyDescent="0.25">
      <c r="A14390" t="str">
        <f>"009689722"</f>
        <v>009689722</v>
      </c>
      <c r="B14390" t="str">
        <f>"1720571805"</f>
        <v>1720571805</v>
      </c>
      <c r="C14390" t="str">
        <f>"363L00000X"</f>
        <v>363L00000X</v>
      </c>
      <c r="D14390" t="str">
        <f>"CASAREZ                  LEAH         M           "</f>
        <v xml:space="preserve">CASAREZ                  LEAH         M           </v>
      </c>
      <c r="E14390" t="str">
        <f>"GULFPORT                  "</f>
        <v xml:space="preserve">GULFPORT                  </v>
      </c>
      <c r="F14390" t="str">
        <f t="shared" si="363"/>
        <v>MS</v>
      </c>
    </row>
    <row r="14391" spans="1:6" x14ac:dyDescent="0.25">
      <c r="A14391" t="str">
        <f>"009700008"</f>
        <v>009700008</v>
      </c>
      <c r="B14391" t="str">
        <f>"1578760534"</f>
        <v>1578760534</v>
      </c>
      <c r="C14391" t="str">
        <f>"207RG0100X"</f>
        <v>207RG0100X</v>
      </c>
      <c r="D14391" t="str">
        <f>"WILLIAMS                 JANE-CLAIRE  B           "</f>
        <v xml:space="preserve">WILLIAMS                 JANE-CLAIRE  B           </v>
      </c>
      <c r="E14391" t="str">
        <f>"FLOWOOD                   "</f>
        <v xml:space="preserve">FLOWOOD                   </v>
      </c>
      <c r="F14391" t="str">
        <f t="shared" si="363"/>
        <v>MS</v>
      </c>
    </row>
    <row r="14392" spans="1:6" x14ac:dyDescent="0.25">
      <c r="A14392" t="str">
        <f>"009700016"</f>
        <v>009700016</v>
      </c>
      <c r="B14392" t="str">
        <f>"1154559672"</f>
        <v>1154559672</v>
      </c>
      <c r="C14392" t="str">
        <f>"207Y00000X"</f>
        <v>207Y00000X</v>
      </c>
      <c r="D14392" t="str">
        <f>"HARBARGER                CLAUDE       F           "</f>
        <v xml:space="preserve">HARBARGER                CLAUDE       F           </v>
      </c>
      <c r="E14392" t="str">
        <f>"JACKSON                   "</f>
        <v xml:space="preserve">JACKSON                   </v>
      </c>
      <c r="F14392" t="str">
        <f t="shared" si="363"/>
        <v>MS</v>
      </c>
    </row>
    <row r="14393" spans="1:6" x14ac:dyDescent="0.25">
      <c r="A14393" t="str">
        <f>"009701311"</f>
        <v>009701311</v>
      </c>
      <c r="B14393" t="str">
        <f>"1346504768"</f>
        <v>1346504768</v>
      </c>
      <c r="C14393" t="str">
        <f>"207RG0100X"</f>
        <v>207RG0100X</v>
      </c>
      <c r="D14393" t="str">
        <f>"WEEKS                    ANDREW       Q           "</f>
        <v xml:space="preserve">WEEKS                    ANDREW       Q           </v>
      </c>
      <c r="E14393" t="str">
        <f>"JACKSON                   "</f>
        <v xml:space="preserve">JACKSON                   </v>
      </c>
      <c r="F14393" t="str">
        <f t="shared" si="363"/>
        <v>MS</v>
      </c>
    </row>
    <row r="14394" spans="1:6" x14ac:dyDescent="0.25">
      <c r="A14394" t="str">
        <f>"009701839"</f>
        <v>009701839</v>
      </c>
      <c r="B14394" t="str">
        <f>"1780775619"</f>
        <v>1780775619</v>
      </c>
      <c r="C14394" t="str">
        <f>"363L00000X"</f>
        <v>363L00000X</v>
      </c>
      <c r="D14394" t="str">
        <f>"LEATHERS                 BREANNE      N           "</f>
        <v xml:space="preserve">LEATHERS                 BREANNE      N           </v>
      </c>
      <c r="E14394" t="str">
        <f>"HATTIESBURG               "</f>
        <v xml:space="preserve">HATTIESBURG               </v>
      </c>
      <c r="F14394" t="str">
        <f t="shared" si="363"/>
        <v>MS</v>
      </c>
    </row>
    <row r="14395" spans="1:6" x14ac:dyDescent="0.25">
      <c r="A14395" t="str">
        <f>"009702355"</f>
        <v>009702355</v>
      </c>
      <c r="B14395" t="str">
        <f>"1811213853"</f>
        <v>1811213853</v>
      </c>
      <c r="C14395" t="str">
        <f>"363L00000X"</f>
        <v>363L00000X</v>
      </c>
      <c r="D14395" t="str">
        <f>"LUTKEN                   ANN          E           "</f>
        <v xml:space="preserve">LUTKEN                   ANN          E           </v>
      </c>
      <c r="E14395" t="str">
        <f>"JACKSON                   "</f>
        <v xml:space="preserve">JACKSON                   </v>
      </c>
      <c r="F14395" t="str">
        <f t="shared" si="363"/>
        <v>MS</v>
      </c>
    </row>
    <row r="14396" spans="1:6" x14ac:dyDescent="0.25">
      <c r="A14396" t="str">
        <f>"009702516"</f>
        <v>009702516</v>
      </c>
      <c r="B14396" t="str">
        <f>"1629139977"</f>
        <v>1629139977</v>
      </c>
      <c r="C14396" t="str">
        <f>"363L00000X"</f>
        <v>363L00000X</v>
      </c>
      <c r="D14396" t="str">
        <f>"WATKINS                  PAMELA       H           "</f>
        <v xml:space="preserve">WATKINS                  PAMELA       H           </v>
      </c>
      <c r="E14396" t="str">
        <f>"MERIDIAN                  "</f>
        <v xml:space="preserve">MERIDIAN                  </v>
      </c>
      <c r="F14396" t="str">
        <f t="shared" si="363"/>
        <v>MS</v>
      </c>
    </row>
    <row r="14397" spans="1:6" x14ac:dyDescent="0.25">
      <c r="A14397" t="str">
        <f>"009705072"</f>
        <v>009705072</v>
      </c>
      <c r="B14397" t="str">
        <f>"1558693671"</f>
        <v>1558693671</v>
      </c>
      <c r="C14397" t="str">
        <f>"261QR1300X"</f>
        <v>261QR1300X</v>
      </c>
      <c r="D14397" t="str">
        <f>"GOLDEN AGE CLINIC                                 "</f>
        <v xml:space="preserve">GOLDEN AGE CLINIC                                 </v>
      </c>
      <c r="E14397" t="str">
        <f>"GREENWOOD                 "</f>
        <v xml:space="preserve">GREENWOOD                 </v>
      </c>
      <c r="F14397" t="str">
        <f t="shared" si="363"/>
        <v>MS</v>
      </c>
    </row>
    <row r="14398" spans="1:6" x14ac:dyDescent="0.25">
      <c r="A14398" t="str">
        <f>"009705504"</f>
        <v>009705504</v>
      </c>
      <c r="B14398" t="str">
        <f>"1598253858"</f>
        <v>1598253858</v>
      </c>
      <c r="C14398" t="str">
        <f>"207R00000X"</f>
        <v>207R00000X</v>
      </c>
      <c r="D14398" t="str">
        <f>"ABBAS                    KANIZ                    "</f>
        <v xml:space="preserve">ABBAS                    KANIZ                    </v>
      </c>
      <c r="E14398" t="str">
        <f>"OXFORD                    "</f>
        <v xml:space="preserve">OXFORD                    </v>
      </c>
      <c r="F14398" t="str">
        <f t="shared" ref="F14398:F14461" si="365">"MS"</f>
        <v>MS</v>
      </c>
    </row>
    <row r="14399" spans="1:6" x14ac:dyDescent="0.25">
      <c r="A14399" t="str">
        <f>"009705832"</f>
        <v>009705832</v>
      </c>
      <c r="B14399" t="str">
        <f>"1114009966"</f>
        <v>1114009966</v>
      </c>
      <c r="C14399" t="str">
        <f>"363L00000X"</f>
        <v>363L00000X</v>
      </c>
      <c r="D14399" t="str">
        <f>"MCINTYRE                 JAMES        D           "</f>
        <v xml:space="preserve">MCINTYRE                 JAMES        D           </v>
      </c>
      <c r="E14399" t="str">
        <f>"FLOWOOD                   "</f>
        <v xml:space="preserve">FLOWOOD                   </v>
      </c>
      <c r="F14399" t="str">
        <f t="shared" si="365"/>
        <v>MS</v>
      </c>
    </row>
    <row r="14400" spans="1:6" x14ac:dyDescent="0.25">
      <c r="A14400" t="str">
        <f>"009706794"</f>
        <v>009706794</v>
      </c>
      <c r="B14400" t="str">
        <f>"1215258702"</f>
        <v>1215258702</v>
      </c>
      <c r="C14400" t="str">
        <f>"207R00000X"</f>
        <v>207R00000X</v>
      </c>
      <c r="D14400" t="str">
        <f>"BOLDIZAR                 BRADLEY                  "</f>
        <v xml:space="preserve">BOLDIZAR                 BRADLEY                  </v>
      </c>
      <c r="E14400" t="str">
        <f>"TUPELO                    "</f>
        <v xml:space="preserve">TUPELO                    </v>
      </c>
      <c r="F14400" t="str">
        <f t="shared" si="365"/>
        <v>MS</v>
      </c>
    </row>
    <row r="14401" spans="1:6" x14ac:dyDescent="0.25">
      <c r="A14401" t="str">
        <f>"009707773"</f>
        <v>009707773</v>
      </c>
      <c r="B14401" t="str">
        <f>"1417504796"</f>
        <v>1417504796</v>
      </c>
      <c r="C14401" t="str">
        <f>"363L00000X"</f>
        <v>363L00000X</v>
      </c>
      <c r="D14401" t="str">
        <f>"EATON                    LESLIE       K           "</f>
        <v xml:space="preserve">EATON                    LESLIE       K           </v>
      </c>
      <c r="E14401" t="str">
        <f>"NEW ALBANY                "</f>
        <v xml:space="preserve">NEW ALBANY                </v>
      </c>
      <c r="F14401" t="str">
        <f t="shared" si="365"/>
        <v>MS</v>
      </c>
    </row>
    <row r="14402" spans="1:6" x14ac:dyDescent="0.25">
      <c r="A14402" t="str">
        <f>"009708514"</f>
        <v>009708514</v>
      </c>
      <c r="B14402" t="str">
        <f>"1457972788"</f>
        <v>1457972788</v>
      </c>
      <c r="C14402" t="str">
        <f>"363L00000X"</f>
        <v>363L00000X</v>
      </c>
      <c r="D14402" t="str">
        <f>"CROWELL                  JULIA        B           "</f>
        <v xml:space="preserve">CROWELL                  JULIA        B           </v>
      </c>
      <c r="E14402" t="str">
        <f>"MERIDIAN                  "</f>
        <v xml:space="preserve">MERIDIAN                  </v>
      </c>
      <c r="F14402" t="str">
        <f t="shared" si="365"/>
        <v>MS</v>
      </c>
    </row>
    <row r="14403" spans="1:6" x14ac:dyDescent="0.25">
      <c r="A14403" t="str">
        <f>"009709898"</f>
        <v>009709898</v>
      </c>
      <c r="B14403" t="str">
        <f>"1902440209"</f>
        <v>1902440209</v>
      </c>
      <c r="C14403" t="str">
        <f>"261QM1300X"</f>
        <v>261QM1300X</v>
      </c>
      <c r="D14403" t="str">
        <f>"SUNNYBROOK COUNSELING SERVICES                    "</f>
        <v xml:space="preserve">SUNNYBROOK COUNSELING SERVICES                    </v>
      </c>
      <c r="E14403" t="str">
        <f>"RIDGELAND                 "</f>
        <v xml:space="preserve">RIDGELAND                 </v>
      </c>
      <c r="F14403" t="str">
        <f t="shared" si="365"/>
        <v>MS</v>
      </c>
    </row>
    <row r="14404" spans="1:6" x14ac:dyDescent="0.25">
      <c r="A14404" t="str">
        <f>"009720015"</f>
        <v>009720015</v>
      </c>
      <c r="B14404" t="str">
        <f>"1770873978"</f>
        <v>1770873978</v>
      </c>
      <c r="C14404" t="str">
        <f>"2086S0122X"</f>
        <v>2086S0122X</v>
      </c>
      <c r="D14404" t="str">
        <f>"HOPPE                    IAN                      "</f>
        <v xml:space="preserve">HOPPE                    IAN                      </v>
      </c>
      <c r="E14404" t="str">
        <f>"JACKSON                   "</f>
        <v xml:space="preserve">JACKSON                   </v>
      </c>
      <c r="F14404" t="str">
        <f t="shared" si="365"/>
        <v>MS</v>
      </c>
    </row>
    <row r="14405" spans="1:6" x14ac:dyDescent="0.25">
      <c r="A14405" t="str">
        <f>"009721376"</f>
        <v>009721376</v>
      </c>
      <c r="B14405" t="str">
        <f>"1407114747"</f>
        <v>1407114747</v>
      </c>
      <c r="C14405" t="str">
        <f>"207N00000X"</f>
        <v>207N00000X</v>
      </c>
      <c r="D14405" t="str">
        <f>"MOCKBEE                  CHELSEA      L           "</f>
        <v xml:space="preserve">MOCKBEE                  CHELSEA      L           </v>
      </c>
      <c r="E14405" t="str">
        <f>"JACKSON                   "</f>
        <v xml:space="preserve">JACKSON                   </v>
      </c>
      <c r="F14405" t="str">
        <f t="shared" si="365"/>
        <v>MS</v>
      </c>
    </row>
    <row r="14406" spans="1:6" x14ac:dyDescent="0.25">
      <c r="A14406" t="str">
        <f>"009723710"</f>
        <v>009723710</v>
      </c>
      <c r="B14406" t="str">
        <f>"1962645770"</f>
        <v>1962645770</v>
      </c>
      <c r="C14406" t="str">
        <f>"208000000X"</f>
        <v>208000000X</v>
      </c>
      <c r="D14406" t="str">
        <f>"RICHARDSON               BRECK                    "</f>
        <v xml:space="preserve">RICHARDSON               BRECK                    </v>
      </c>
      <c r="E14406" t="str">
        <f>"FLOWOOD                   "</f>
        <v xml:space="preserve">FLOWOOD                   </v>
      </c>
      <c r="F14406" t="str">
        <f t="shared" si="365"/>
        <v>MS</v>
      </c>
    </row>
    <row r="14407" spans="1:6" x14ac:dyDescent="0.25">
      <c r="A14407" t="str">
        <f>"009723801"</f>
        <v>009723801</v>
      </c>
      <c r="B14407" t="str">
        <f>"1093485070"</f>
        <v>1093485070</v>
      </c>
      <c r="C14407" t="str">
        <f>"363L00000X"</f>
        <v>363L00000X</v>
      </c>
      <c r="D14407" t="str">
        <f>"HUSSEY                   ALYSE        J           "</f>
        <v xml:space="preserve">HUSSEY                   ALYSE        J           </v>
      </c>
      <c r="E14407" t="str">
        <f>"GULFPORT                  "</f>
        <v xml:space="preserve">GULFPORT                  </v>
      </c>
      <c r="F14407" t="str">
        <f t="shared" si="365"/>
        <v>MS</v>
      </c>
    </row>
    <row r="14408" spans="1:6" x14ac:dyDescent="0.25">
      <c r="A14408" t="str">
        <f>"009723831"</f>
        <v>009723831</v>
      </c>
      <c r="B14408" t="str">
        <f>"1568604569"</f>
        <v>1568604569</v>
      </c>
      <c r="C14408" t="str">
        <f>"207P00000X"</f>
        <v>207P00000X</v>
      </c>
      <c r="D14408" t="str">
        <f>"ADMIRE                   BEAU         D           "</f>
        <v xml:space="preserve">ADMIRE                   BEAU         D           </v>
      </c>
      <c r="E14408" t="str">
        <f>"GULFPORT                  "</f>
        <v xml:space="preserve">GULFPORT                  </v>
      </c>
      <c r="F14408" t="str">
        <f t="shared" si="365"/>
        <v>MS</v>
      </c>
    </row>
    <row r="14409" spans="1:6" x14ac:dyDescent="0.25">
      <c r="A14409" t="str">
        <f>"009724257"</f>
        <v>009724257</v>
      </c>
      <c r="B14409" t="str">
        <f>"1003827478"</f>
        <v>1003827478</v>
      </c>
      <c r="C14409" t="str">
        <f>"367500000X"</f>
        <v>367500000X</v>
      </c>
      <c r="D14409" t="str">
        <f>"LANE                     JASON                    "</f>
        <v xml:space="preserve">LANE                     JASON                    </v>
      </c>
      <c r="E14409" t="str">
        <f>"PICAYUNE                  "</f>
        <v xml:space="preserve">PICAYUNE                  </v>
      </c>
      <c r="F14409" t="str">
        <f t="shared" si="365"/>
        <v>MS</v>
      </c>
    </row>
    <row r="14410" spans="1:6" x14ac:dyDescent="0.25">
      <c r="A14410" t="str">
        <f>"009726757"</f>
        <v>009726757</v>
      </c>
      <c r="B14410" t="str">
        <f>"1548460629"</f>
        <v>1548460629</v>
      </c>
      <c r="C14410" t="str">
        <f>"2085R0202X"</f>
        <v>2085R0202X</v>
      </c>
      <c r="D14410" t="str">
        <f>"LEATHERBURY              CLIFTON      T           "</f>
        <v xml:space="preserve">LEATHERBURY              CLIFTON      T           </v>
      </c>
      <c r="E14410" t="str">
        <f>"GULFPORT                  "</f>
        <v xml:space="preserve">GULFPORT                  </v>
      </c>
      <c r="F14410" t="str">
        <f t="shared" si="365"/>
        <v>MS</v>
      </c>
    </row>
    <row r="14411" spans="1:6" x14ac:dyDescent="0.25">
      <c r="A14411" t="str">
        <f>"009726767"</f>
        <v>009726767</v>
      </c>
      <c r="B14411" t="str">
        <f>"1275951097"</f>
        <v>1275951097</v>
      </c>
      <c r="C14411" t="str">
        <f>"207RC0000X"</f>
        <v>207RC0000X</v>
      </c>
      <c r="D14411" t="str">
        <f>"HOLLAND                  ERIC         M           "</f>
        <v xml:space="preserve">HOLLAND                  ERIC         M           </v>
      </c>
      <c r="E14411" t="str">
        <f>"JACKSON                   "</f>
        <v xml:space="preserve">JACKSON                   </v>
      </c>
      <c r="F14411" t="str">
        <f t="shared" si="365"/>
        <v>MS</v>
      </c>
    </row>
    <row r="14412" spans="1:6" x14ac:dyDescent="0.25">
      <c r="A14412" t="str">
        <f>"009727025"</f>
        <v>009727025</v>
      </c>
      <c r="B14412" t="str">
        <f>"1700471612"</f>
        <v>1700471612</v>
      </c>
      <c r="C14412" t="str">
        <f>"363L00000X"</f>
        <v>363L00000X</v>
      </c>
      <c r="D14412" t="str">
        <f>"WALTON                   APPLE                    "</f>
        <v xml:space="preserve">WALTON                   APPLE                    </v>
      </c>
      <c r="E14412" t="str">
        <f>"SENATOBIA                 "</f>
        <v xml:space="preserve">SENATOBIA                 </v>
      </c>
      <c r="F14412" t="str">
        <f t="shared" si="365"/>
        <v>MS</v>
      </c>
    </row>
    <row r="14413" spans="1:6" x14ac:dyDescent="0.25">
      <c r="A14413" t="str">
        <f>"009728049"</f>
        <v>009728049</v>
      </c>
      <c r="B14413" t="str">
        <f>"1104104413"</f>
        <v>1104104413</v>
      </c>
      <c r="C14413" t="str">
        <f>"363L00000X"</f>
        <v>363L00000X</v>
      </c>
      <c r="D14413" t="str">
        <f>"CLAIBORNE                LATASHA      J           "</f>
        <v xml:space="preserve">CLAIBORNE                LATASHA      J           </v>
      </c>
      <c r="E14413" t="str">
        <f>"VICKSBURG                 "</f>
        <v xml:space="preserve">VICKSBURG                 </v>
      </c>
      <c r="F14413" t="str">
        <f t="shared" si="365"/>
        <v>MS</v>
      </c>
    </row>
    <row r="14414" spans="1:6" x14ac:dyDescent="0.25">
      <c r="A14414" t="str">
        <f>"009728755"</f>
        <v>009728755</v>
      </c>
      <c r="B14414" t="str">
        <f>"1548586399"</f>
        <v>1548586399</v>
      </c>
      <c r="C14414" t="str">
        <f>"207R00000X"</f>
        <v>207R00000X</v>
      </c>
      <c r="D14414" t="str">
        <f>"SHIAO                    RENEE        T           "</f>
        <v xml:space="preserve">SHIAO                    RENEE        T           </v>
      </c>
      <c r="E14414" t="str">
        <f>"PASCAGOULA                "</f>
        <v xml:space="preserve">PASCAGOULA                </v>
      </c>
      <c r="F14414" t="str">
        <f t="shared" si="365"/>
        <v>MS</v>
      </c>
    </row>
    <row r="14415" spans="1:6" x14ac:dyDescent="0.25">
      <c r="A14415" t="str">
        <f>"009729335"</f>
        <v>009729335</v>
      </c>
      <c r="B14415" t="str">
        <f>"1134628985"</f>
        <v>1134628985</v>
      </c>
      <c r="C14415" t="str">
        <f>"363LF0000X"</f>
        <v>363LF0000X</v>
      </c>
      <c r="D14415" t="str">
        <f>"GARDNER                  KENDRA                   "</f>
        <v xml:space="preserve">GARDNER                  KENDRA                   </v>
      </c>
      <c r="E14415" t="str">
        <f>"MOSS POINT                "</f>
        <v xml:space="preserve">MOSS POINT                </v>
      </c>
      <c r="F14415" t="str">
        <f t="shared" si="365"/>
        <v>MS</v>
      </c>
    </row>
    <row r="14416" spans="1:6" x14ac:dyDescent="0.25">
      <c r="A14416" t="str">
        <f>"009730307"</f>
        <v>009730307</v>
      </c>
      <c r="B14416" t="str">
        <f>"1073594743"</f>
        <v>1073594743</v>
      </c>
      <c r="C14416" t="str">
        <f>"208000000X"</f>
        <v>208000000X</v>
      </c>
      <c r="D14416" t="str">
        <f>"CHARLES                  CHRISTOPHER              "</f>
        <v xml:space="preserve">CHARLES                  CHRISTOPHER              </v>
      </c>
      <c r="E14416" t="str">
        <f>"MCCOMB                    "</f>
        <v xml:space="preserve">MCCOMB                    </v>
      </c>
      <c r="F14416" t="str">
        <f t="shared" si="365"/>
        <v>MS</v>
      </c>
    </row>
    <row r="14417" spans="1:6" x14ac:dyDescent="0.25">
      <c r="A14417" t="str">
        <f>"009733845"</f>
        <v>009733845</v>
      </c>
      <c r="B14417" t="str">
        <f>"1326094806"</f>
        <v>1326094806</v>
      </c>
      <c r="C14417" t="str">
        <f>"208600000X"</f>
        <v>208600000X</v>
      </c>
      <c r="D14417" t="str">
        <f>"ROTEN                    DONALD       P           "</f>
        <v xml:space="preserve">ROTEN                    DONALD       P           </v>
      </c>
      <c r="E14417" t="str">
        <f>"NEW ALBANY                "</f>
        <v xml:space="preserve">NEW ALBANY                </v>
      </c>
      <c r="F14417" t="str">
        <f t="shared" si="365"/>
        <v>MS</v>
      </c>
    </row>
    <row r="14418" spans="1:6" x14ac:dyDescent="0.25">
      <c r="A14418" t="str">
        <f>"009734315"</f>
        <v>009734315</v>
      </c>
      <c r="B14418" t="str">
        <f>"1225514391"</f>
        <v>1225514391</v>
      </c>
      <c r="C14418" t="str">
        <f>"363L00000X"</f>
        <v>363L00000X</v>
      </c>
      <c r="D14418" t="str">
        <f>"SUMMERS                  JENNIFER     M           "</f>
        <v xml:space="preserve">SUMMERS                  JENNIFER     M           </v>
      </c>
      <c r="E14418" t="str">
        <f>"BROOKLYN                  "</f>
        <v xml:space="preserve">BROOKLYN                  </v>
      </c>
      <c r="F14418" t="str">
        <f t="shared" si="365"/>
        <v>MS</v>
      </c>
    </row>
    <row r="14419" spans="1:6" x14ac:dyDescent="0.25">
      <c r="A14419" t="str">
        <f>"009734374"</f>
        <v>009734374</v>
      </c>
      <c r="B14419" t="str">
        <f>"1215035985"</f>
        <v>1215035985</v>
      </c>
      <c r="C14419" t="str">
        <f>"363L00000X"</f>
        <v>363L00000X</v>
      </c>
      <c r="D14419" t="str">
        <f>"BROWNLEE                 ROBIN        G           "</f>
        <v xml:space="preserve">BROWNLEE                 ROBIN        G           </v>
      </c>
      <c r="E14419" t="str">
        <f>"POPLARVILLE               "</f>
        <v xml:space="preserve">POPLARVILLE               </v>
      </c>
      <c r="F14419" t="str">
        <f t="shared" si="365"/>
        <v>MS</v>
      </c>
    </row>
    <row r="14420" spans="1:6" x14ac:dyDescent="0.25">
      <c r="A14420" t="str">
        <f>"009735576"</f>
        <v>009735576</v>
      </c>
      <c r="B14420" t="str">
        <f>"1396292033"</f>
        <v>1396292033</v>
      </c>
      <c r="C14420" t="str">
        <f>"363L00000X"</f>
        <v>363L00000X</v>
      </c>
      <c r="D14420" t="str">
        <f>"NASON                    AMANDA       D           "</f>
        <v xml:space="preserve">NASON                    AMANDA       D           </v>
      </c>
      <c r="E14420" t="str">
        <f>"FLOWOOD                   "</f>
        <v xml:space="preserve">FLOWOOD                   </v>
      </c>
      <c r="F14420" t="str">
        <f t="shared" si="365"/>
        <v>MS</v>
      </c>
    </row>
    <row r="14421" spans="1:6" x14ac:dyDescent="0.25">
      <c r="A14421" t="str">
        <f>"009736846"</f>
        <v>009736846</v>
      </c>
      <c r="B14421" t="str">
        <f>"1801449756"</f>
        <v>1801449756</v>
      </c>
      <c r="C14421" t="str">
        <f>"152W00000X"</f>
        <v>152W00000X</v>
      </c>
      <c r="D14421" t="str">
        <f>"COLLINS                  MALLORY      M           "</f>
        <v xml:space="preserve">COLLINS                  MALLORY      M           </v>
      </c>
      <c r="E14421" t="str">
        <f>"CLARKSDALE                "</f>
        <v xml:space="preserve">CLARKSDALE                </v>
      </c>
      <c r="F14421" t="str">
        <f t="shared" si="365"/>
        <v>MS</v>
      </c>
    </row>
    <row r="14422" spans="1:6" x14ac:dyDescent="0.25">
      <c r="A14422" t="str">
        <f>"009737706"</f>
        <v>009737706</v>
      </c>
      <c r="B14422" t="str">
        <f>"1366938102"</f>
        <v>1366938102</v>
      </c>
      <c r="C14422" t="str">
        <f>"363L00000X"</f>
        <v>363L00000X</v>
      </c>
      <c r="D14422" t="str">
        <f>"MIZE                     ASHLEY       R           "</f>
        <v xml:space="preserve">MIZE                     ASHLEY       R           </v>
      </c>
      <c r="E14422" t="str">
        <f>"CORINTH                   "</f>
        <v xml:space="preserve">CORINTH                   </v>
      </c>
      <c r="F14422" t="str">
        <f t="shared" si="365"/>
        <v>MS</v>
      </c>
    </row>
    <row r="14423" spans="1:6" x14ac:dyDescent="0.25">
      <c r="A14423" t="str">
        <f>"009738054"</f>
        <v>009738054</v>
      </c>
      <c r="B14423" t="str">
        <f>"1497199020"</f>
        <v>1497199020</v>
      </c>
      <c r="C14423" t="str">
        <f>"207X00000X"</f>
        <v>207X00000X</v>
      </c>
      <c r="D14423" t="str">
        <f>"SMITH                    EDWARD       L           "</f>
        <v xml:space="preserve">SMITH                    EDWARD       L           </v>
      </c>
      <c r="E14423" t="str">
        <f>"COLUMBUS                  "</f>
        <v xml:space="preserve">COLUMBUS                  </v>
      </c>
      <c r="F14423" t="str">
        <f t="shared" si="365"/>
        <v>MS</v>
      </c>
    </row>
    <row r="14424" spans="1:6" x14ac:dyDescent="0.25">
      <c r="A14424" t="str">
        <f>"009738877"</f>
        <v>009738877</v>
      </c>
      <c r="B14424" t="str">
        <f>"1396011458"</f>
        <v>1396011458</v>
      </c>
      <c r="C14424" t="str">
        <f>"261QE0700X"</f>
        <v>261QE0700X</v>
      </c>
      <c r="D14424" t="str">
        <f>"FRESENIUS MEDICAL CARE SW JACKSON H               "</f>
        <v xml:space="preserve">FRESENIUS MEDICAL CARE SW JACKSON H               </v>
      </c>
      <c r="E14424" t="str">
        <f>"JACKSON                   "</f>
        <v xml:space="preserve">JACKSON                   </v>
      </c>
      <c r="F14424" t="str">
        <f t="shared" si="365"/>
        <v>MS</v>
      </c>
    </row>
    <row r="14425" spans="1:6" x14ac:dyDescent="0.25">
      <c r="A14425" t="str">
        <f>"009739203"</f>
        <v>009739203</v>
      </c>
      <c r="B14425" t="str">
        <f>"1386246569"</f>
        <v>1386246569</v>
      </c>
      <c r="C14425" t="str">
        <f>"363L00000X"</f>
        <v>363L00000X</v>
      </c>
      <c r="D14425" t="str">
        <f>"STALLION-PATE            BRENDA       L           "</f>
        <v xml:space="preserve">STALLION-PATE            BRENDA       L           </v>
      </c>
      <c r="E14425" t="str">
        <f>"JACKSON                   "</f>
        <v xml:space="preserve">JACKSON                   </v>
      </c>
      <c r="F14425" t="str">
        <f t="shared" si="365"/>
        <v>MS</v>
      </c>
    </row>
    <row r="14426" spans="1:6" x14ac:dyDescent="0.25">
      <c r="A14426" t="str">
        <f>"009739384"</f>
        <v>009739384</v>
      </c>
      <c r="B14426" t="str">
        <f>"1538171566"</f>
        <v>1538171566</v>
      </c>
      <c r="C14426" t="str">
        <f>"122300000X"</f>
        <v>122300000X</v>
      </c>
      <c r="D14426" t="str">
        <f>"CHANDLER                 JOHN         M           "</f>
        <v xml:space="preserve">CHANDLER                 JOHN         M           </v>
      </c>
      <c r="E14426" t="str">
        <f>"COLLINS                   "</f>
        <v xml:space="preserve">COLLINS                   </v>
      </c>
      <c r="F14426" t="str">
        <f t="shared" si="365"/>
        <v>MS</v>
      </c>
    </row>
    <row r="14427" spans="1:6" x14ac:dyDescent="0.25">
      <c r="A14427" t="str">
        <f>"009739734"</f>
        <v>009739734</v>
      </c>
      <c r="B14427" t="str">
        <f>"1487974192"</f>
        <v>1487974192</v>
      </c>
      <c r="C14427" t="str">
        <f>"207RG0100X"</f>
        <v>207RG0100X</v>
      </c>
      <c r="D14427" t="str">
        <f>"VANCE                    RALPH        B           "</f>
        <v xml:space="preserve">VANCE                    RALPH        B           </v>
      </c>
      <c r="E14427" t="str">
        <f>"FLOWOOD                   "</f>
        <v xml:space="preserve">FLOWOOD                   </v>
      </c>
      <c r="F14427" t="str">
        <f t="shared" si="365"/>
        <v>MS</v>
      </c>
    </row>
    <row r="14428" spans="1:6" x14ac:dyDescent="0.25">
      <c r="A14428" t="str">
        <f>"009751365"</f>
        <v>009751365</v>
      </c>
      <c r="B14428" t="str">
        <f>"1629383922"</f>
        <v>1629383922</v>
      </c>
      <c r="C14428" t="str">
        <f>"208600000X"</f>
        <v>208600000X</v>
      </c>
      <c r="D14428" t="str">
        <f>"PROTOS                   ADAM                     "</f>
        <v xml:space="preserve">PROTOS                   ADAM                     </v>
      </c>
      <c r="E14428" t="str">
        <f>"FLOWOOD                   "</f>
        <v xml:space="preserve">FLOWOOD                   </v>
      </c>
      <c r="F14428" t="str">
        <f t="shared" si="365"/>
        <v>MS</v>
      </c>
    </row>
    <row r="14429" spans="1:6" x14ac:dyDescent="0.25">
      <c r="A14429" t="str">
        <f>"009755751"</f>
        <v>009755751</v>
      </c>
      <c r="B14429" t="str">
        <f>"1114387123"</f>
        <v>1114387123</v>
      </c>
      <c r="C14429" t="str">
        <f>"363A00000X"</f>
        <v>363A00000X</v>
      </c>
      <c r="D14429" t="str">
        <f>"FORD                     BALEIGH      V           "</f>
        <v xml:space="preserve">FORD                     BALEIGH      V           </v>
      </c>
      <c r="E14429" t="str">
        <f>"VICKSBURG                 "</f>
        <v xml:space="preserve">VICKSBURG                 </v>
      </c>
      <c r="F14429" t="str">
        <f t="shared" si="365"/>
        <v>MS</v>
      </c>
    </row>
    <row r="14430" spans="1:6" x14ac:dyDescent="0.25">
      <c r="A14430" t="str">
        <f>"009757222"</f>
        <v>009757222</v>
      </c>
      <c r="B14430" t="str">
        <f>"1720513617"</f>
        <v>1720513617</v>
      </c>
      <c r="C14430" t="str">
        <f>"207Q00000X"</f>
        <v>207Q00000X</v>
      </c>
      <c r="D14430" t="str">
        <f>"GRISSOM                  BRUCE        W           "</f>
        <v xml:space="preserve">GRISSOM                  BRUCE        W           </v>
      </c>
      <c r="E14430" t="str">
        <f>"PURVIS                    "</f>
        <v xml:space="preserve">PURVIS                    </v>
      </c>
      <c r="F14430" t="str">
        <f t="shared" si="365"/>
        <v>MS</v>
      </c>
    </row>
    <row r="14431" spans="1:6" x14ac:dyDescent="0.25">
      <c r="A14431" t="str">
        <f>"009758894"</f>
        <v>009758894</v>
      </c>
      <c r="B14431" t="str">
        <f>"1750309191"</f>
        <v>1750309191</v>
      </c>
      <c r="C14431" t="str">
        <f>"367500000X"</f>
        <v>367500000X</v>
      </c>
      <c r="D14431" t="str">
        <f>"ROGERS                   LEWIS        T           "</f>
        <v xml:space="preserve">ROGERS                   LEWIS        T           </v>
      </c>
      <c r="E14431" t="str">
        <f>"TUPELO                    "</f>
        <v xml:space="preserve">TUPELO                    </v>
      </c>
      <c r="F14431" t="str">
        <f t="shared" si="365"/>
        <v>MS</v>
      </c>
    </row>
    <row r="14432" spans="1:6" x14ac:dyDescent="0.25">
      <c r="A14432" t="str">
        <f>"009759342"</f>
        <v>009759342</v>
      </c>
      <c r="B14432" t="str">
        <f>"1275148967"</f>
        <v>1275148967</v>
      </c>
      <c r="C14432" t="str">
        <f>"363L00000X"</f>
        <v>363L00000X</v>
      </c>
      <c r="D14432" t="str">
        <f>"ESTES                    LACY         D           "</f>
        <v xml:space="preserve">ESTES                    LACY         D           </v>
      </c>
      <c r="E14432" t="str">
        <f>"IUKA                      "</f>
        <v xml:space="preserve">IUKA                      </v>
      </c>
      <c r="F14432" t="str">
        <f t="shared" si="365"/>
        <v>MS</v>
      </c>
    </row>
    <row r="14433" spans="1:6" x14ac:dyDescent="0.25">
      <c r="A14433" t="str">
        <f>"009770938"</f>
        <v>009770938</v>
      </c>
      <c r="B14433" t="str">
        <f>"1821650045"</f>
        <v>1821650045</v>
      </c>
      <c r="C14433" t="str">
        <f>"363L00000X"</f>
        <v>363L00000X</v>
      </c>
      <c r="D14433" t="str">
        <f>"JORDAN                   CHARLOTTE                "</f>
        <v xml:space="preserve">JORDAN                   CHARLOTTE                </v>
      </c>
      <c r="E14433" t="str">
        <f>"HATTIESBURG               "</f>
        <v xml:space="preserve">HATTIESBURG               </v>
      </c>
      <c r="F14433" t="str">
        <f t="shared" si="365"/>
        <v>MS</v>
      </c>
    </row>
    <row r="14434" spans="1:6" x14ac:dyDescent="0.25">
      <c r="A14434" t="str">
        <f>"009771018"</f>
        <v>009771018</v>
      </c>
      <c r="B14434" t="str">
        <f>"1699891705"</f>
        <v>1699891705</v>
      </c>
      <c r="C14434" t="str">
        <f>"2084P0800X"</f>
        <v>2084P0800X</v>
      </c>
      <c r="D14434" t="str">
        <f>"TRIHOULIS                JENNIFER     G           "</f>
        <v xml:space="preserve">TRIHOULIS                JENNIFER     G           </v>
      </c>
      <c r="E14434" t="str">
        <f>"POPLARVILLE               "</f>
        <v xml:space="preserve">POPLARVILLE               </v>
      </c>
      <c r="F14434" t="str">
        <f t="shared" si="365"/>
        <v>MS</v>
      </c>
    </row>
    <row r="14435" spans="1:6" x14ac:dyDescent="0.25">
      <c r="A14435" t="str">
        <f>"009772077"</f>
        <v>009772077</v>
      </c>
      <c r="B14435" t="str">
        <f>"1194230789"</f>
        <v>1194230789</v>
      </c>
      <c r="C14435" t="str">
        <f>"261QM1300X"</f>
        <v>261QM1300X</v>
      </c>
      <c r="D14435" t="str">
        <f>"CANOPY CHILDRENS SOLUTIONS                        "</f>
        <v xml:space="preserve">CANOPY CHILDRENS SOLUTIONS                        </v>
      </c>
      <c r="E14435" t="str">
        <f>"HATTIESBURG               "</f>
        <v xml:space="preserve">HATTIESBURG               </v>
      </c>
      <c r="F14435" t="str">
        <f t="shared" si="365"/>
        <v>MS</v>
      </c>
    </row>
    <row r="14436" spans="1:6" x14ac:dyDescent="0.25">
      <c r="A14436" t="str">
        <f>"009772510"</f>
        <v>009772510</v>
      </c>
      <c r="B14436" t="str">
        <f>"1902290950"</f>
        <v>1902290950</v>
      </c>
      <c r="C14436" t="str">
        <f>"207R00000X"</f>
        <v>207R00000X</v>
      </c>
      <c r="D14436" t="str">
        <f>"FUSSELL                  JAMES                    "</f>
        <v xml:space="preserve">FUSSELL                  JAMES                    </v>
      </c>
      <c r="E14436" t="str">
        <f>"JACKSON                   "</f>
        <v xml:space="preserve">JACKSON                   </v>
      </c>
      <c r="F14436" t="str">
        <f t="shared" si="365"/>
        <v>MS</v>
      </c>
    </row>
    <row r="14437" spans="1:6" x14ac:dyDescent="0.25">
      <c r="A14437" t="str">
        <f>"009772891"</f>
        <v>009772891</v>
      </c>
      <c r="B14437" t="str">
        <f>"1003166117"</f>
        <v>1003166117</v>
      </c>
      <c r="C14437" t="str">
        <f>"261QR1300X"</f>
        <v>261QR1300X</v>
      </c>
      <c r="D14437" t="str">
        <f>"SCOTT REGIONAL MEDICAL CENTER INC                 "</f>
        <v xml:space="preserve">SCOTT REGIONAL MEDICAL CENTER INC                 </v>
      </c>
      <c r="E14437" t="str">
        <f>"MORTON                    "</f>
        <v xml:space="preserve">MORTON                    </v>
      </c>
      <c r="F14437" t="str">
        <f t="shared" si="365"/>
        <v>MS</v>
      </c>
    </row>
    <row r="14438" spans="1:6" x14ac:dyDescent="0.25">
      <c r="A14438" t="str">
        <f>"009773780"</f>
        <v>009773780</v>
      </c>
      <c r="B14438" t="str">
        <f>"1306967161"</f>
        <v>1306967161</v>
      </c>
      <c r="C14438" t="str">
        <f>"122300000X"</f>
        <v>122300000X</v>
      </c>
      <c r="D14438" t="str">
        <f>"COLE                     MELISSA      G           "</f>
        <v xml:space="preserve">COLE                     MELISSA      G           </v>
      </c>
      <c r="E14438" t="str">
        <f>"FLORENCE                  "</f>
        <v xml:space="preserve">FLORENCE                  </v>
      </c>
      <c r="F14438" t="str">
        <f t="shared" si="365"/>
        <v>MS</v>
      </c>
    </row>
    <row r="14439" spans="1:6" x14ac:dyDescent="0.25">
      <c r="A14439" t="str">
        <f>"009775722"</f>
        <v>009775722</v>
      </c>
      <c r="B14439" t="str">
        <f>"1467559476"</f>
        <v>1467559476</v>
      </c>
      <c r="C14439" t="str">
        <f>"207RC0000X"</f>
        <v>207RC0000X</v>
      </c>
      <c r="D14439" t="str">
        <f>"THORNE                   KEITH        D           "</f>
        <v xml:space="preserve">THORNE                   KEITH        D           </v>
      </c>
      <c r="E14439" t="str">
        <f>"JACKSON                   "</f>
        <v xml:space="preserve">JACKSON                   </v>
      </c>
      <c r="F14439" t="str">
        <f t="shared" si="365"/>
        <v>MS</v>
      </c>
    </row>
    <row r="14440" spans="1:6" x14ac:dyDescent="0.25">
      <c r="A14440" t="str">
        <f>"009775775"</f>
        <v>009775775</v>
      </c>
      <c r="B14440" t="str">
        <f>"1851727689"</f>
        <v>1851727689</v>
      </c>
      <c r="C14440" t="str">
        <f>"363L00000X"</f>
        <v>363L00000X</v>
      </c>
      <c r="D14440" t="str">
        <f>"MCMILLIN                 MEREDITH     N           "</f>
        <v xml:space="preserve">MCMILLIN                 MEREDITH     N           </v>
      </c>
      <c r="E14440" t="str">
        <f>"JACKSON                   "</f>
        <v xml:space="preserve">JACKSON                   </v>
      </c>
      <c r="F14440" t="str">
        <f t="shared" si="365"/>
        <v>MS</v>
      </c>
    </row>
    <row r="14441" spans="1:6" x14ac:dyDescent="0.25">
      <c r="A14441" t="str">
        <f>"009775782"</f>
        <v>009775782</v>
      </c>
      <c r="B14441" t="str">
        <f>"1255806329"</f>
        <v>1255806329</v>
      </c>
      <c r="C14441" t="str">
        <f>"363L00000X"</f>
        <v>363L00000X</v>
      </c>
      <c r="D14441" t="str">
        <f>"ORTEGO                   DELOIS       D           "</f>
        <v xml:space="preserve">ORTEGO                   DELOIS       D           </v>
      </c>
      <c r="E14441" t="str">
        <f>"MERIDIAN                  "</f>
        <v xml:space="preserve">MERIDIAN                  </v>
      </c>
      <c r="F14441" t="str">
        <f t="shared" si="365"/>
        <v>MS</v>
      </c>
    </row>
    <row r="14442" spans="1:6" x14ac:dyDescent="0.25">
      <c r="A14442" t="str">
        <f>"009776004"</f>
        <v>009776004</v>
      </c>
      <c r="B14442" t="str">
        <f>"1316225055"</f>
        <v>1316225055</v>
      </c>
      <c r="C14442" t="str">
        <f>"152W00000X"</f>
        <v>152W00000X</v>
      </c>
      <c r="D14442" t="str">
        <f>"MITCHELL                 HENRY        S           "</f>
        <v xml:space="preserve">MITCHELL                 HENRY        S           </v>
      </c>
      <c r="E14442" t="str">
        <f>"STARKVILLE                "</f>
        <v xml:space="preserve">STARKVILLE                </v>
      </c>
      <c r="F14442" t="str">
        <f t="shared" si="365"/>
        <v>MS</v>
      </c>
    </row>
    <row r="14443" spans="1:6" x14ac:dyDescent="0.25">
      <c r="A14443" t="str">
        <f>"009776352"</f>
        <v>009776352</v>
      </c>
      <c r="B14443" t="str">
        <f>"1255929303"</f>
        <v>1255929303</v>
      </c>
      <c r="C14443" t="str">
        <f>"367500000X"</f>
        <v>367500000X</v>
      </c>
      <c r="D14443" t="str">
        <f>"COCKRELL                 MICHAEL      K           "</f>
        <v xml:space="preserve">COCKRELL                 MICHAEL      K           </v>
      </c>
      <c r="E14443" t="str">
        <f>"HATTIESBURG               "</f>
        <v xml:space="preserve">HATTIESBURG               </v>
      </c>
      <c r="F14443" t="str">
        <f t="shared" si="365"/>
        <v>MS</v>
      </c>
    </row>
    <row r="14444" spans="1:6" x14ac:dyDescent="0.25">
      <c r="A14444" t="str">
        <f>"009778019"</f>
        <v>009778019</v>
      </c>
      <c r="B14444" t="str">
        <f>"1073744553"</f>
        <v>1073744553</v>
      </c>
      <c r="C14444" t="str">
        <f>"363L00000X"</f>
        <v>363L00000X</v>
      </c>
      <c r="D14444" t="str">
        <f>"SPARKS                   LAUREN       H           "</f>
        <v xml:space="preserve">SPARKS                   LAUREN       H           </v>
      </c>
      <c r="E14444" t="str">
        <f>"BOONEVILLE                "</f>
        <v xml:space="preserve">BOONEVILLE                </v>
      </c>
      <c r="F14444" t="str">
        <f t="shared" si="365"/>
        <v>MS</v>
      </c>
    </row>
    <row r="14445" spans="1:6" x14ac:dyDescent="0.25">
      <c r="A14445" t="str">
        <f>"009778741"</f>
        <v>009778741</v>
      </c>
      <c r="B14445" t="str">
        <f>"1235154121"</f>
        <v>1235154121</v>
      </c>
      <c r="C14445" t="str">
        <f>"207N00000X"</f>
        <v>207N00000X</v>
      </c>
      <c r="D14445" t="str">
        <f>"SHATLEY                  MIRIAM       J           "</f>
        <v xml:space="preserve">SHATLEY                  MIRIAM       J           </v>
      </c>
      <c r="E14445" t="str">
        <f>"FLOWOOD                   "</f>
        <v xml:space="preserve">FLOWOOD                   </v>
      </c>
      <c r="F14445" t="str">
        <f t="shared" si="365"/>
        <v>MS</v>
      </c>
    </row>
    <row r="14446" spans="1:6" x14ac:dyDescent="0.25">
      <c r="A14446" t="str">
        <f>"009781305"</f>
        <v>009781305</v>
      </c>
      <c r="B14446" t="str">
        <f>"1013212893"</f>
        <v>1013212893</v>
      </c>
      <c r="C14446" t="str">
        <f>"207RP1001X"</f>
        <v>207RP1001X</v>
      </c>
      <c r="D14446" t="str">
        <f>"HOLDER                   NANCY        E           "</f>
        <v xml:space="preserve">HOLDER                   NANCY        E           </v>
      </c>
      <c r="E14446" t="str">
        <f>"COLUMBUS                  "</f>
        <v xml:space="preserve">COLUMBUS                  </v>
      </c>
      <c r="F14446" t="str">
        <f t="shared" si="365"/>
        <v>MS</v>
      </c>
    </row>
    <row r="14447" spans="1:6" x14ac:dyDescent="0.25">
      <c r="A14447" t="str">
        <f>"009783070"</f>
        <v>009783070</v>
      </c>
      <c r="B14447" t="str">
        <f>"1255740791"</f>
        <v>1255740791</v>
      </c>
      <c r="C14447" t="str">
        <f>"207R00000X"</f>
        <v>207R00000X</v>
      </c>
      <c r="D14447" t="str">
        <f>"MCDANIEL                 KORI         Y           "</f>
        <v xml:space="preserve">MCDANIEL                 KORI         Y           </v>
      </c>
      <c r="E14447" t="str">
        <f>"JACKSON                   "</f>
        <v xml:space="preserve">JACKSON                   </v>
      </c>
      <c r="F14447" t="str">
        <f t="shared" si="365"/>
        <v>MS</v>
      </c>
    </row>
    <row r="14448" spans="1:6" x14ac:dyDescent="0.25">
      <c r="A14448" t="str">
        <f>"009785526"</f>
        <v>009785526</v>
      </c>
      <c r="B14448" t="str">
        <f>"1043582513"</f>
        <v>1043582513</v>
      </c>
      <c r="C14448" t="str">
        <f>"363L00000X"</f>
        <v>363L00000X</v>
      </c>
      <c r="D14448" t="str">
        <f>"SHOOK                    GINGER       A           "</f>
        <v xml:space="preserve">SHOOK                    GINGER       A           </v>
      </c>
      <c r="E14448" t="str">
        <f>"CORINTH                   "</f>
        <v xml:space="preserve">CORINTH                   </v>
      </c>
      <c r="F14448" t="str">
        <f t="shared" si="365"/>
        <v>MS</v>
      </c>
    </row>
    <row r="14449" spans="1:6" x14ac:dyDescent="0.25">
      <c r="A14449" t="str">
        <f>"009785898"</f>
        <v>009785898</v>
      </c>
      <c r="B14449" t="str">
        <f>"1770521494"</f>
        <v>1770521494</v>
      </c>
      <c r="C14449" t="str">
        <f>"363L00000X"</f>
        <v>363L00000X</v>
      </c>
      <c r="D14449" t="str">
        <f>"ROLISON                  RACHEL       D           "</f>
        <v xml:space="preserve">ROLISON                  RACHEL       D           </v>
      </c>
      <c r="E14449" t="str">
        <f>"RIPLEY                    "</f>
        <v xml:space="preserve">RIPLEY                    </v>
      </c>
      <c r="F14449" t="str">
        <f t="shared" si="365"/>
        <v>MS</v>
      </c>
    </row>
    <row r="14450" spans="1:6" x14ac:dyDescent="0.25">
      <c r="A14450" t="str">
        <f>"009786331"</f>
        <v>009786331</v>
      </c>
      <c r="B14450" t="str">
        <f>"1699273490"</f>
        <v>1699273490</v>
      </c>
      <c r="C14450" t="str">
        <f>"363L00000X"</f>
        <v>363L00000X</v>
      </c>
      <c r="D14450" t="str">
        <f>"PETTY                    ASHLEY                   "</f>
        <v xml:space="preserve">PETTY                    ASHLEY                   </v>
      </c>
      <c r="E14450" t="str">
        <f>"PASCAGOULA                "</f>
        <v xml:space="preserve">PASCAGOULA                </v>
      </c>
      <c r="F14450" t="str">
        <f t="shared" si="365"/>
        <v>MS</v>
      </c>
    </row>
    <row r="14451" spans="1:6" x14ac:dyDescent="0.25">
      <c r="A14451" t="str">
        <f>"009787347"</f>
        <v>009787347</v>
      </c>
      <c r="B14451" t="str">
        <f>"1639532468"</f>
        <v>1639532468</v>
      </c>
      <c r="C14451" t="str">
        <f>"207W00000X"</f>
        <v>207W00000X</v>
      </c>
      <c r="D14451" t="str">
        <f>"JONES                    LEE          F           "</f>
        <v xml:space="preserve">JONES                    LEE          F           </v>
      </c>
      <c r="E14451" t="str">
        <f>"FLOWOOD                   "</f>
        <v xml:space="preserve">FLOWOOD                   </v>
      </c>
      <c r="F14451" t="str">
        <f t="shared" si="365"/>
        <v>MS</v>
      </c>
    </row>
    <row r="14452" spans="1:6" x14ac:dyDescent="0.25">
      <c r="A14452" t="str">
        <f>"009787378"</f>
        <v>009787378</v>
      </c>
      <c r="B14452" t="str">
        <f>"1699138479"</f>
        <v>1699138479</v>
      </c>
      <c r="C14452" t="str">
        <f>"207P00000X"</f>
        <v>207P00000X</v>
      </c>
      <c r="D14452" t="str">
        <f>"PICKETT                  JASON        C           "</f>
        <v xml:space="preserve">PICKETT                  JASON        C           </v>
      </c>
      <c r="E14452" t="str">
        <f>"JACKSON                   "</f>
        <v xml:space="preserve">JACKSON                   </v>
      </c>
      <c r="F14452" t="str">
        <f t="shared" si="365"/>
        <v>MS</v>
      </c>
    </row>
    <row r="14453" spans="1:6" x14ac:dyDescent="0.25">
      <c r="A14453" t="str">
        <f>"009788299"</f>
        <v>009788299</v>
      </c>
      <c r="B14453" t="str">
        <f>"1275189938"</f>
        <v>1275189938</v>
      </c>
      <c r="C14453" t="str">
        <f>"363L00000X"</f>
        <v>363L00000X</v>
      </c>
      <c r="D14453" t="str">
        <f>"PERRY                    APRIL                    "</f>
        <v xml:space="preserve">PERRY                    APRIL                    </v>
      </c>
      <c r="E14453" t="str">
        <f>"JACKSON                   "</f>
        <v xml:space="preserve">JACKSON                   </v>
      </c>
      <c r="F14453" t="str">
        <f t="shared" si="365"/>
        <v>MS</v>
      </c>
    </row>
    <row r="14454" spans="1:6" x14ac:dyDescent="0.25">
      <c r="A14454" t="str">
        <f>"009800006"</f>
        <v>009800006</v>
      </c>
      <c r="B14454" t="str">
        <f>"1366853079"</f>
        <v>1366853079</v>
      </c>
      <c r="C14454" t="str">
        <f>"207L00000X"</f>
        <v>207L00000X</v>
      </c>
      <c r="D14454" t="str">
        <f>"WALKER                   CAROLINE                 "</f>
        <v xml:space="preserve">WALKER                   CAROLINE                 </v>
      </c>
      <c r="E14454" t="str">
        <f>"JACKSON                   "</f>
        <v xml:space="preserve">JACKSON                   </v>
      </c>
      <c r="F14454" t="str">
        <f t="shared" si="365"/>
        <v>MS</v>
      </c>
    </row>
    <row r="14455" spans="1:6" x14ac:dyDescent="0.25">
      <c r="A14455" t="str">
        <f>"009800861"</f>
        <v>009800861</v>
      </c>
      <c r="B14455" t="str">
        <f>"1962925214"</f>
        <v>1962925214</v>
      </c>
      <c r="C14455" t="str">
        <f>"152W00000X"</f>
        <v>152W00000X</v>
      </c>
      <c r="D14455" t="str">
        <f>"MCELROY                  JUSTIN                   "</f>
        <v xml:space="preserve">MCELROY                  JUSTIN                   </v>
      </c>
      <c r="E14455" t="str">
        <f>"LAUREL                    "</f>
        <v xml:space="preserve">LAUREL                    </v>
      </c>
      <c r="F14455" t="str">
        <f t="shared" si="365"/>
        <v>MS</v>
      </c>
    </row>
    <row r="14456" spans="1:6" x14ac:dyDescent="0.25">
      <c r="A14456" t="str">
        <f>"009801514"</f>
        <v>009801514</v>
      </c>
      <c r="B14456" t="str">
        <f>"1740410661"</f>
        <v>1740410661</v>
      </c>
      <c r="C14456" t="str">
        <f>"363L00000X"</f>
        <v>363L00000X</v>
      </c>
      <c r="D14456" t="str">
        <f>"GOUGH DAVIS              NORA         C           "</f>
        <v xml:space="preserve">GOUGH DAVIS              NORA         C           </v>
      </c>
      <c r="E14456" t="str">
        <f>"SHAW                      "</f>
        <v xml:space="preserve">SHAW                      </v>
      </c>
      <c r="F14456" t="str">
        <f t="shared" si="365"/>
        <v>MS</v>
      </c>
    </row>
    <row r="14457" spans="1:6" x14ac:dyDescent="0.25">
      <c r="A14457" t="str">
        <f>"009804708"</f>
        <v>009804708</v>
      </c>
      <c r="B14457" t="str">
        <f>"1679028377"</f>
        <v>1679028377</v>
      </c>
      <c r="C14457" t="str">
        <f>"363L00000X"</f>
        <v>363L00000X</v>
      </c>
      <c r="D14457" t="str">
        <f>"HODNETT                  STEPHANIE                "</f>
        <v xml:space="preserve">HODNETT                  STEPHANIE                </v>
      </c>
      <c r="E14457" t="str">
        <f>"CLEVELAND                 "</f>
        <v xml:space="preserve">CLEVELAND                 </v>
      </c>
      <c r="F14457" t="str">
        <f t="shared" si="365"/>
        <v>MS</v>
      </c>
    </row>
    <row r="14458" spans="1:6" x14ac:dyDescent="0.25">
      <c r="A14458" t="str">
        <f>"009806704"</f>
        <v>009806704</v>
      </c>
      <c r="B14458" t="str">
        <f>"1619164019"</f>
        <v>1619164019</v>
      </c>
      <c r="C14458" t="str">
        <f>"363L00000X"</f>
        <v>363L00000X</v>
      </c>
      <c r="D14458" t="str">
        <f>"SEAWRIGHT                ASHLEY       H           "</f>
        <v xml:space="preserve">SEAWRIGHT                ASHLEY       H           </v>
      </c>
      <c r="E14458" t="str">
        <f>"JACKSON                   "</f>
        <v xml:space="preserve">JACKSON                   </v>
      </c>
      <c r="F14458" t="str">
        <f t="shared" si="365"/>
        <v>MS</v>
      </c>
    </row>
    <row r="14459" spans="1:6" x14ac:dyDescent="0.25">
      <c r="A14459" t="str">
        <f>"009807017"</f>
        <v>009807017</v>
      </c>
      <c r="B14459" t="str">
        <f>"1922238278"</f>
        <v>1922238278</v>
      </c>
      <c r="C14459" t="str">
        <f>"2085R0202X"</f>
        <v>2085R0202X</v>
      </c>
      <c r="D14459" t="str">
        <f>"MULLINS                  JONATHAN     B           "</f>
        <v xml:space="preserve">MULLINS                  JONATHAN     B           </v>
      </c>
      <c r="E14459" t="str">
        <f>"GULFPORT                  "</f>
        <v xml:space="preserve">GULFPORT                  </v>
      </c>
      <c r="F14459" t="str">
        <f t="shared" si="365"/>
        <v>MS</v>
      </c>
    </row>
    <row r="14460" spans="1:6" x14ac:dyDescent="0.25">
      <c r="A14460" t="str">
        <f>"009809517"</f>
        <v>009809517</v>
      </c>
      <c r="B14460" t="str">
        <f>"1669635926"</f>
        <v>1669635926</v>
      </c>
      <c r="C14460" t="str">
        <f>"363L00000X"</f>
        <v>363L00000X</v>
      </c>
      <c r="D14460" t="str">
        <f>"WATKINS                  RANDI        A           "</f>
        <v xml:space="preserve">WATKINS                  RANDI        A           </v>
      </c>
      <c r="E14460" t="str">
        <f>"CARTHAGE                  "</f>
        <v xml:space="preserve">CARTHAGE                  </v>
      </c>
      <c r="F14460" t="str">
        <f t="shared" si="365"/>
        <v>MS</v>
      </c>
    </row>
    <row r="14461" spans="1:6" x14ac:dyDescent="0.25">
      <c r="A14461" t="str">
        <f>"009820235"</f>
        <v>009820235</v>
      </c>
      <c r="B14461" t="str">
        <f>"1255728838"</f>
        <v>1255728838</v>
      </c>
      <c r="C14461" t="str">
        <f>"261QR1300X"</f>
        <v>261QR1300X</v>
      </c>
      <c r="D14461" t="str">
        <f>"VANCLEAVE MEDICAL CENTER                          "</f>
        <v xml:space="preserve">VANCLEAVE MEDICAL CENTER                          </v>
      </c>
      <c r="E14461" t="str">
        <f>"VANCLEAVE                 "</f>
        <v xml:space="preserve">VANCLEAVE                 </v>
      </c>
      <c r="F14461" t="str">
        <f t="shared" si="365"/>
        <v>MS</v>
      </c>
    </row>
    <row r="14462" spans="1:6" x14ac:dyDescent="0.25">
      <c r="A14462" t="str">
        <f>"009820597"</f>
        <v>009820597</v>
      </c>
      <c r="B14462" t="str">
        <f>"1871097626"</f>
        <v>1871097626</v>
      </c>
      <c r="C14462" t="str">
        <f>"363L00000X"</f>
        <v>363L00000X</v>
      </c>
      <c r="D14462" t="str">
        <f>"RIGBY                    WILLIAM      A           "</f>
        <v xml:space="preserve">RIGBY                    WILLIAM      A           </v>
      </c>
      <c r="E14462" t="str">
        <f>"JACKSON                   "</f>
        <v xml:space="preserve">JACKSON                   </v>
      </c>
      <c r="F14462" t="str">
        <f t="shared" ref="F14462:F14525" si="366">"MS"</f>
        <v>MS</v>
      </c>
    </row>
    <row r="14463" spans="1:6" x14ac:dyDescent="0.25">
      <c r="A14463" t="str">
        <f>"009821894"</f>
        <v>009821894</v>
      </c>
      <c r="B14463" t="str">
        <f>"1861011553"</f>
        <v>1861011553</v>
      </c>
      <c r="C14463" t="str">
        <f>"363L00000X"</f>
        <v>363L00000X</v>
      </c>
      <c r="D14463" t="str">
        <f>"PREWITT                  ASHLEY       M           "</f>
        <v xml:space="preserve">PREWITT                  ASHLEY       M           </v>
      </c>
      <c r="E14463" t="str">
        <f>"FLORENCE                  "</f>
        <v xml:space="preserve">FLORENCE                  </v>
      </c>
      <c r="F14463" t="str">
        <f t="shared" si="366"/>
        <v>MS</v>
      </c>
    </row>
    <row r="14464" spans="1:6" x14ac:dyDescent="0.25">
      <c r="A14464" t="str">
        <f>"009822061"</f>
        <v>009822061</v>
      </c>
      <c r="B14464" t="str">
        <f>"1871933291"</f>
        <v>1871933291</v>
      </c>
      <c r="C14464" t="str">
        <f>"207R00000X"</f>
        <v>207R00000X</v>
      </c>
      <c r="D14464" t="str">
        <f>"GRADY                    JOHN                     "</f>
        <v xml:space="preserve">GRADY                    JOHN                     </v>
      </c>
      <c r="E14464" t="str">
        <f>"GULFPORT                  "</f>
        <v xml:space="preserve">GULFPORT                  </v>
      </c>
      <c r="F14464" t="str">
        <f t="shared" si="366"/>
        <v>MS</v>
      </c>
    </row>
    <row r="14465" spans="1:6" x14ac:dyDescent="0.25">
      <c r="A14465" t="str">
        <f>"009822395"</f>
        <v>009822395</v>
      </c>
      <c r="B14465" t="str">
        <f>"1568766145"</f>
        <v>1568766145</v>
      </c>
      <c r="C14465" t="str">
        <f>"363L00000X"</f>
        <v>363L00000X</v>
      </c>
      <c r="D14465" t="str">
        <f>"BRADHAM                  LISA         D           "</f>
        <v xml:space="preserve">BRADHAM                  LISA         D           </v>
      </c>
      <c r="E14465" t="str">
        <f>"OXFORD                    "</f>
        <v xml:space="preserve">OXFORD                    </v>
      </c>
      <c r="F14465" t="str">
        <f t="shared" si="366"/>
        <v>MS</v>
      </c>
    </row>
    <row r="14466" spans="1:6" x14ac:dyDescent="0.25">
      <c r="A14466" t="str">
        <f>"009823561"</f>
        <v>009823561</v>
      </c>
      <c r="B14466" t="str">
        <f>"1023442795"</f>
        <v>1023442795</v>
      </c>
      <c r="C14466" t="str">
        <f>"363L00000X"</f>
        <v>363L00000X</v>
      </c>
      <c r="D14466" t="str">
        <f>"GARNETT                  MISTI                    "</f>
        <v xml:space="preserve">GARNETT                  MISTI                    </v>
      </c>
      <c r="E14466" t="str">
        <f>"MATHISTON                 "</f>
        <v xml:space="preserve">MATHISTON                 </v>
      </c>
      <c r="F14466" t="str">
        <f t="shared" si="366"/>
        <v>MS</v>
      </c>
    </row>
    <row r="14467" spans="1:6" x14ac:dyDescent="0.25">
      <c r="A14467" t="str">
        <f>"009823731"</f>
        <v>009823731</v>
      </c>
      <c r="B14467" t="str">
        <f>"1417407404"</f>
        <v>1417407404</v>
      </c>
      <c r="C14467" t="str">
        <f>"122300000X"</f>
        <v>122300000X</v>
      </c>
      <c r="D14467" t="str">
        <f>"JAMES R WOODSON III DMD PLLC                      "</f>
        <v xml:space="preserve">JAMES R WOODSON III DMD PLLC                      </v>
      </c>
      <c r="E14467" t="str">
        <f>"JACKSON                   "</f>
        <v xml:space="preserve">JACKSON                   </v>
      </c>
      <c r="F14467" t="str">
        <f t="shared" si="366"/>
        <v>MS</v>
      </c>
    </row>
    <row r="14468" spans="1:6" x14ac:dyDescent="0.25">
      <c r="A14468" t="str">
        <f>"009823789"</f>
        <v>009823789</v>
      </c>
      <c r="B14468" t="str">
        <f>"1821351107"</f>
        <v>1821351107</v>
      </c>
      <c r="C14468" t="str">
        <f>"2086S0122X"</f>
        <v>2086S0122X</v>
      </c>
      <c r="D14468" t="str">
        <f>"BHATTI                   SANA                     "</f>
        <v xml:space="preserve">BHATTI                   SANA                     </v>
      </c>
      <c r="E14468" t="str">
        <f>"MERIDIAN                  "</f>
        <v xml:space="preserve">MERIDIAN                  </v>
      </c>
      <c r="F14468" t="str">
        <f t="shared" si="366"/>
        <v>MS</v>
      </c>
    </row>
    <row r="14469" spans="1:6" x14ac:dyDescent="0.25">
      <c r="A14469" t="str">
        <f>"009824561"</f>
        <v>009824561</v>
      </c>
      <c r="B14469" t="str">
        <f>"1104177567"</f>
        <v>1104177567</v>
      </c>
      <c r="C14469" t="str">
        <f>"261QA0600X"</f>
        <v>261QA0600X</v>
      </c>
      <c r="D14469" t="str">
        <f>"CARNAGE TENDER LOVING CARE ADULT DA               "</f>
        <v xml:space="preserve">CARNAGE TENDER LOVING CARE ADULT DA               </v>
      </c>
      <c r="E14469" t="str">
        <f>"ITTA BENA                 "</f>
        <v xml:space="preserve">ITTA BENA                 </v>
      </c>
      <c r="F14469" t="str">
        <f t="shared" si="366"/>
        <v>MS</v>
      </c>
    </row>
    <row r="14470" spans="1:6" x14ac:dyDescent="0.25">
      <c r="A14470" t="str">
        <f>"009825390"</f>
        <v>009825390</v>
      </c>
      <c r="B14470" t="str">
        <f>"1578195293"</f>
        <v>1578195293</v>
      </c>
      <c r="C14470" t="str">
        <f>"363L00000X"</f>
        <v>363L00000X</v>
      </c>
      <c r="D14470" t="str">
        <f>"SANDIFER                 BRITNEY                  "</f>
        <v xml:space="preserve">SANDIFER                 BRITNEY                  </v>
      </c>
      <c r="E14470" t="str">
        <f>"HAZLEHURST                "</f>
        <v xml:space="preserve">HAZLEHURST                </v>
      </c>
      <c r="F14470" t="str">
        <f t="shared" si="366"/>
        <v>MS</v>
      </c>
    </row>
    <row r="14471" spans="1:6" x14ac:dyDescent="0.25">
      <c r="A14471" t="str">
        <f>"009827392"</f>
        <v>009827392</v>
      </c>
      <c r="B14471" t="str">
        <f>"1467962431"</f>
        <v>1467962431</v>
      </c>
      <c r="C14471" t="str">
        <f>"261QE0700X"</f>
        <v>261QE0700X</v>
      </c>
      <c r="D14471" t="str">
        <f>"RCG OXFORD HOME THERAPY                           "</f>
        <v xml:space="preserve">RCG OXFORD HOME THERAPY                           </v>
      </c>
      <c r="E14471" t="str">
        <f>"OXFORD                    "</f>
        <v xml:space="preserve">OXFORD                    </v>
      </c>
      <c r="F14471" t="str">
        <f t="shared" si="366"/>
        <v>MS</v>
      </c>
    </row>
    <row r="14472" spans="1:6" x14ac:dyDescent="0.25">
      <c r="A14472" t="str">
        <f>"009827807"</f>
        <v>009827807</v>
      </c>
      <c r="B14472" t="str">
        <f>"1972150860"</f>
        <v>1972150860</v>
      </c>
      <c r="C14472" t="str">
        <f t="shared" ref="C14472:C14477" si="367">"363L00000X"</f>
        <v>363L00000X</v>
      </c>
      <c r="D14472" t="str">
        <f>"HOSEY                    CHRISTA                  "</f>
        <v xml:space="preserve">HOSEY                    CHRISTA                  </v>
      </c>
      <c r="E14472" t="str">
        <f>"HATTIESBURG               "</f>
        <v xml:space="preserve">HATTIESBURG               </v>
      </c>
      <c r="F14472" t="str">
        <f t="shared" si="366"/>
        <v>MS</v>
      </c>
    </row>
    <row r="14473" spans="1:6" x14ac:dyDescent="0.25">
      <c r="A14473" t="str">
        <f>"009827840"</f>
        <v>009827840</v>
      </c>
      <c r="B14473" t="str">
        <f>"1740767920"</f>
        <v>1740767920</v>
      </c>
      <c r="C14473" t="str">
        <f t="shared" si="367"/>
        <v>363L00000X</v>
      </c>
      <c r="D14473" t="str">
        <f>"PRICE                    CHRISTOPHER  J           "</f>
        <v xml:space="preserve">PRICE                    CHRISTOPHER  J           </v>
      </c>
      <c r="E14473" t="str">
        <f>"FLOWOOD                   "</f>
        <v xml:space="preserve">FLOWOOD                   </v>
      </c>
      <c r="F14473" t="str">
        <f t="shared" si="366"/>
        <v>MS</v>
      </c>
    </row>
    <row r="14474" spans="1:6" x14ac:dyDescent="0.25">
      <c r="A14474" t="str">
        <f>"009828369"</f>
        <v>009828369</v>
      </c>
      <c r="B14474" t="str">
        <f>"1073912366"</f>
        <v>1073912366</v>
      </c>
      <c r="C14474" t="str">
        <f t="shared" si="367"/>
        <v>363L00000X</v>
      </c>
      <c r="D14474" t="str">
        <f>"COLEMAN                  CANDICE                  "</f>
        <v xml:space="preserve">COLEMAN                  CANDICE                  </v>
      </c>
      <c r="E14474" t="str">
        <f>"JACKSON                   "</f>
        <v xml:space="preserve">JACKSON                   </v>
      </c>
      <c r="F14474" t="str">
        <f t="shared" si="366"/>
        <v>MS</v>
      </c>
    </row>
    <row r="14475" spans="1:6" x14ac:dyDescent="0.25">
      <c r="A14475" t="str">
        <f>"009829211"</f>
        <v>009829211</v>
      </c>
      <c r="B14475" t="str">
        <f>"1700125895"</f>
        <v>1700125895</v>
      </c>
      <c r="C14475" t="str">
        <f t="shared" si="367"/>
        <v>363L00000X</v>
      </c>
      <c r="D14475" t="str">
        <f>"BONNER                   BREANNA      L           "</f>
        <v xml:space="preserve">BONNER                   BREANNA      L           </v>
      </c>
      <c r="E14475" t="str">
        <f>"ELLISVILLE                "</f>
        <v xml:space="preserve">ELLISVILLE                </v>
      </c>
      <c r="F14475" t="str">
        <f t="shared" si="366"/>
        <v>MS</v>
      </c>
    </row>
    <row r="14476" spans="1:6" x14ac:dyDescent="0.25">
      <c r="A14476" t="str">
        <f>"009830961"</f>
        <v>009830961</v>
      </c>
      <c r="B14476" t="str">
        <f>"1295377877"</f>
        <v>1295377877</v>
      </c>
      <c r="C14476" t="str">
        <f t="shared" si="367"/>
        <v>363L00000X</v>
      </c>
      <c r="D14476" t="str">
        <f>"THOMAS                   SHELBY       S           "</f>
        <v xml:space="preserve">THOMAS                   SHELBY       S           </v>
      </c>
      <c r="E14476" t="str">
        <f>"PEARL                     "</f>
        <v xml:space="preserve">PEARL                     </v>
      </c>
      <c r="F14476" t="str">
        <f t="shared" si="366"/>
        <v>MS</v>
      </c>
    </row>
    <row r="14477" spans="1:6" x14ac:dyDescent="0.25">
      <c r="A14477" t="str">
        <f>"009831591"</f>
        <v>009831591</v>
      </c>
      <c r="B14477" t="str">
        <f>"1124513213"</f>
        <v>1124513213</v>
      </c>
      <c r="C14477" t="str">
        <f t="shared" si="367"/>
        <v>363L00000X</v>
      </c>
      <c r="D14477" t="str">
        <f>"JONES                    STEPHANIE    P           "</f>
        <v xml:space="preserve">JONES                    STEPHANIE    P           </v>
      </c>
      <c r="E14477" t="str">
        <f>"JACKSON                   "</f>
        <v xml:space="preserve">JACKSON                   </v>
      </c>
      <c r="F14477" t="str">
        <f t="shared" si="366"/>
        <v>MS</v>
      </c>
    </row>
    <row r="14478" spans="1:6" x14ac:dyDescent="0.25">
      <c r="A14478" t="str">
        <f>"009834040"</f>
        <v>009834040</v>
      </c>
      <c r="B14478" t="str">
        <f>"1497990048"</f>
        <v>1497990048</v>
      </c>
      <c r="C14478" t="str">
        <f>"152W00000X"</f>
        <v>152W00000X</v>
      </c>
      <c r="D14478" t="str">
        <f>"MAYNARD                  MIRANDA      W           "</f>
        <v xml:space="preserve">MAYNARD                  MIRANDA      W           </v>
      </c>
      <c r="E14478" t="str">
        <f>"PONTOTOC                  "</f>
        <v xml:space="preserve">PONTOTOC                  </v>
      </c>
      <c r="F14478" t="str">
        <f t="shared" si="366"/>
        <v>MS</v>
      </c>
    </row>
    <row r="14479" spans="1:6" x14ac:dyDescent="0.25">
      <c r="A14479" t="str">
        <f>"009834715"</f>
        <v>009834715</v>
      </c>
      <c r="B14479" t="str">
        <f>"1578048823"</f>
        <v>1578048823</v>
      </c>
      <c r="C14479" t="str">
        <f>"363L00000X"</f>
        <v>363L00000X</v>
      </c>
      <c r="D14479" t="str">
        <f>"JOHNSON                  KELLY        J           "</f>
        <v xml:space="preserve">JOHNSON                  KELLY        J           </v>
      </c>
      <c r="E14479" t="str">
        <f>"JACKSON                   "</f>
        <v xml:space="preserve">JACKSON                   </v>
      </c>
      <c r="F14479" t="str">
        <f t="shared" si="366"/>
        <v>MS</v>
      </c>
    </row>
    <row r="14480" spans="1:6" x14ac:dyDescent="0.25">
      <c r="A14480" t="str">
        <f>"009835551"</f>
        <v>009835551</v>
      </c>
      <c r="B14480" t="str">
        <f>"1548655053"</f>
        <v>1548655053</v>
      </c>
      <c r="C14480" t="str">
        <f>"261QA1903X"</f>
        <v>261QA1903X</v>
      </c>
      <c r="D14480" t="str">
        <f>"MISSISSSIPPI UROLOGY OUTPATIENT SUR               "</f>
        <v xml:space="preserve">MISSISSSIPPI UROLOGY OUTPATIENT SUR               </v>
      </c>
      <c r="E14480" t="str">
        <f>"JACKSON                   "</f>
        <v xml:space="preserve">JACKSON                   </v>
      </c>
      <c r="F14480" t="str">
        <f t="shared" si="366"/>
        <v>MS</v>
      </c>
    </row>
    <row r="14481" spans="1:6" x14ac:dyDescent="0.25">
      <c r="A14481" t="str">
        <f>"009836396"</f>
        <v>009836396</v>
      </c>
      <c r="B14481" t="str">
        <f>"1356901169"</f>
        <v>1356901169</v>
      </c>
      <c r="C14481" t="str">
        <f>"363L00000X"</f>
        <v>363L00000X</v>
      </c>
      <c r="D14481" t="str">
        <f>"PERRY                    LAURA        E           "</f>
        <v xml:space="preserve">PERRY                    LAURA        E           </v>
      </c>
      <c r="E14481" t="str">
        <f>"MERIDIAN                  "</f>
        <v xml:space="preserve">MERIDIAN                  </v>
      </c>
      <c r="F14481" t="str">
        <f t="shared" si="366"/>
        <v>MS</v>
      </c>
    </row>
    <row r="14482" spans="1:6" x14ac:dyDescent="0.25">
      <c r="A14482" t="str">
        <f>"009837821"</f>
        <v>009837821</v>
      </c>
      <c r="B14482" t="str">
        <f>"1437560281"</f>
        <v>1437560281</v>
      </c>
      <c r="C14482" t="str">
        <f>"2085R0202X"</f>
        <v>2085R0202X</v>
      </c>
      <c r="D14482" t="str">
        <f>"KENNEDY                  DANIEL       P           "</f>
        <v xml:space="preserve">KENNEDY                  DANIEL       P           </v>
      </c>
      <c r="E14482" t="str">
        <f>"JACKSON                   "</f>
        <v xml:space="preserve">JACKSON                   </v>
      </c>
      <c r="F14482" t="str">
        <f t="shared" si="366"/>
        <v>MS</v>
      </c>
    </row>
    <row r="14483" spans="1:6" x14ac:dyDescent="0.25">
      <c r="A14483" t="str">
        <f>"009838050"</f>
        <v>009838050</v>
      </c>
      <c r="B14483" t="str">
        <f>"1609181882"</f>
        <v>1609181882</v>
      </c>
      <c r="C14483" t="str">
        <f>"363L00000X"</f>
        <v>363L00000X</v>
      </c>
      <c r="D14483" t="str">
        <f>"KURIGER                  HEATHER      M           "</f>
        <v xml:space="preserve">KURIGER                  HEATHER      M           </v>
      </c>
      <c r="E14483" t="str">
        <f>"BRANDON                   "</f>
        <v xml:space="preserve">BRANDON                   </v>
      </c>
      <c r="F14483" t="str">
        <f t="shared" si="366"/>
        <v>MS</v>
      </c>
    </row>
    <row r="14484" spans="1:6" x14ac:dyDescent="0.25">
      <c r="A14484" t="str">
        <f>"009839578"</f>
        <v>009839578</v>
      </c>
      <c r="B14484" t="str">
        <f>"1275282311"</f>
        <v>1275282311</v>
      </c>
      <c r="C14484" t="str">
        <f>"261QM1300X"</f>
        <v>261QM1300X</v>
      </c>
      <c r="D14484" t="str">
        <f>"BEHAVIOR CONSULTANT SOLUTIONS LLC                 "</f>
        <v xml:space="preserve">BEHAVIOR CONSULTANT SOLUTIONS LLC                 </v>
      </c>
      <c r="E14484" t="str">
        <f>"RICHTON                   "</f>
        <v xml:space="preserve">RICHTON                   </v>
      </c>
      <c r="F14484" t="str">
        <f t="shared" si="366"/>
        <v>MS</v>
      </c>
    </row>
    <row r="14485" spans="1:6" x14ac:dyDescent="0.25">
      <c r="A14485" t="str">
        <f>"009850050"</f>
        <v>009850050</v>
      </c>
      <c r="B14485" t="str">
        <f>"1427689751"</f>
        <v>1427689751</v>
      </c>
      <c r="C14485" t="str">
        <f>"363A00000X"</f>
        <v>363A00000X</v>
      </c>
      <c r="D14485" t="str">
        <f>"KNIGHT                   AUSTIN       R           "</f>
        <v xml:space="preserve">KNIGHT                   AUSTIN       R           </v>
      </c>
      <c r="E14485" t="str">
        <f>"PONTOTOC                  "</f>
        <v xml:space="preserve">PONTOTOC                  </v>
      </c>
      <c r="F14485" t="str">
        <f t="shared" si="366"/>
        <v>MS</v>
      </c>
    </row>
    <row r="14486" spans="1:6" x14ac:dyDescent="0.25">
      <c r="A14486" t="str">
        <f>"009852011"</f>
        <v>009852011</v>
      </c>
      <c r="B14486" t="str">
        <f>"1649650854"</f>
        <v>1649650854</v>
      </c>
      <c r="C14486" t="str">
        <f>"363L00000X"</f>
        <v>363L00000X</v>
      </c>
      <c r="D14486" t="str">
        <f>"LONG                     LAURA        U           "</f>
        <v xml:space="preserve">LONG                     LAURA        U           </v>
      </c>
      <c r="E14486" t="str">
        <f>"HATTIESBURG               "</f>
        <v xml:space="preserve">HATTIESBURG               </v>
      </c>
      <c r="F14486" t="str">
        <f t="shared" si="366"/>
        <v>MS</v>
      </c>
    </row>
    <row r="14487" spans="1:6" x14ac:dyDescent="0.25">
      <c r="A14487" t="str">
        <f>"009852254"</f>
        <v>009852254</v>
      </c>
      <c r="B14487" t="str">
        <f>"1699157487"</f>
        <v>1699157487</v>
      </c>
      <c r="C14487" t="str">
        <f>"363L00000X"</f>
        <v>363L00000X</v>
      </c>
      <c r="D14487" t="str">
        <f>"VIERLING HILL            JADA         E           "</f>
        <v xml:space="preserve">VIERLING HILL            JADA         E           </v>
      </c>
      <c r="E14487" t="str">
        <f>"BILOXI                    "</f>
        <v xml:space="preserve">BILOXI                    </v>
      </c>
      <c r="F14487" t="str">
        <f t="shared" si="366"/>
        <v>MS</v>
      </c>
    </row>
    <row r="14488" spans="1:6" x14ac:dyDescent="0.25">
      <c r="A14488" t="str">
        <f>"009852313"</f>
        <v>009852313</v>
      </c>
      <c r="B14488" t="str">
        <f>"1326689860"</f>
        <v>1326689860</v>
      </c>
      <c r="C14488" t="str">
        <f>"363L00000X"</f>
        <v>363L00000X</v>
      </c>
      <c r="D14488" t="str">
        <f>"DAVIS                    JESSE        L           "</f>
        <v xml:space="preserve">DAVIS                    JESSE        L           </v>
      </c>
      <c r="E14488" t="str">
        <f>"TUPELO                    "</f>
        <v xml:space="preserve">TUPELO                    </v>
      </c>
      <c r="F14488" t="str">
        <f t="shared" si="366"/>
        <v>MS</v>
      </c>
    </row>
    <row r="14489" spans="1:6" x14ac:dyDescent="0.25">
      <c r="A14489" t="str">
        <f>"009852500"</f>
        <v>009852500</v>
      </c>
      <c r="B14489" t="str">
        <f>"1629287719"</f>
        <v>1629287719</v>
      </c>
      <c r="C14489" t="str">
        <f>"261QR1300X"</f>
        <v>261QR1300X</v>
      </c>
      <c r="D14489" t="str">
        <f>"EAST CENTRAL MEDICAL CENTER                       "</f>
        <v xml:space="preserve">EAST CENTRAL MEDICAL CENTER                       </v>
      </c>
      <c r="E14489" t="str">
        <f>"MOSS POINT                "</f>
        <v xml:space="preserve">MOSS POINT                </v>
      </c>
      <c r="F14489" t="str">
        <f t="shared" si="366"/>
        <v>MS</v>
      </c>
    </row>
    <row r="14490" spans="1:6" x14ac:dyDescent="0.25">
      <c r="A14490" t="str">
        <f>"009853301"</f>
        <v>009853301</v>
      </c>
      <c r="B14490" t="str">
        <f>"1427337765"</f>
        <v>1427337765</v>
      </c>
      <c r="C14490" t="str">
        <f>"363L00000X"</f>
        <v>363L00000X</v>
      </c>
      <c r="D14490" t="str">
        <f>"GIBSON                   BRIAN        C           "</f>
        <v xml:space="preserve">GIBSON                   BRIAN        C           </v>
      </c>
      <c r="E14490" t="str">
        <f>"GULFPORT                  "</f>
        <v xml:space="preserve">GULFPORT                  </v>
      </c>
      <c r="F14490" t="str">
        <f t="shared" si="366"/>
        <v>MS</v>
      </c>
    </row>
    <row r="14491" spans="1:6" x14ac:dyDescent="0.25">
      <c r="A14491" t="str">
        <f>"009854288"</f>
        <v>009854288</v>
      </c>
      <c r="B14491" t="str">
        <f>"1730236605"</f>
        <v>1730236605</v>
      </c>
      <c r="C14491" t="str">
        <f>"208D00000X"</f>
        <v>208D00000X</v>
      </c>
      <c r="D14491" t="str">
        <f>"MCCAUGHAN                DANNY                    "</f>
        <v xml:space="preserve">MCCAUGHAN                DANNY                    </v>
      </c>
      <c r="E14491" t="str">
        <f>"FLOWOOD                   "</f>
        <v xml:space="preserve">FLOWOOD                   </v>
      </c>
      <c r="F14491" t="str">
        <f t="shared" si="366"/>
        <v>MS</v>
      </c>
    </row>
    <row r="14492" spans="1:6" x14ac:dyDescent="0.25">
      <c r="A14492" t="str">
        <f>"009854713"</f>
        <v>009854713</v>
      </c>
      <c r="B14492" t="str">
        <f>"1376750372"</f>
        <v>1376750372</v>
      </c>
      <c r="C14492" t="str">
        <f>"207RC0000X"</f>
        <v>207RC0000X</v>
      </c>
      <c r="D14492" t="str">
        <f>"CHEEMA                   QASIM        M           "</f>
        <v xml:space="preserve">CHEEMA                   QASIM        M           </v>
      </c>
      <c r="E14492" t="str">
        <f>"JACKSON                   "</f>
        <v xml:space="preserve">JACKSON                   </v>
      </c>
      <c r="F14492" t="str">
        <f t="shared" si="366"/>
        <v>MS</v>
      </c>
    </row>
    <row r="14493" spans="1:6" x14ac:dyDescent="0.25">
      <c r="A14493" t="str">
        <f>"009854764"</f>
        <v>009854764</v>
      </c>
      <c r="B14493" t="str">
        <f>"1558532028"</f>
        <v>1558532028</v>
      </c>
      <c r="C14493" t="str">
        <f>"122300000X"</f>
        <v>122300000X</v>
      </c>
      <c r="D14493" t="str">
        <f>"PEDIATRIC DENTAL SPECIALISTS, PLLC                "</f>
        <v xml:space="preserve">PEDIATRIC DENTAL SPECIALISTS, PLLC                </v>
      </c>
      <c r="E14493" t="str">
        <f>"GREENVILLE                "</f>
        <v xml:space="preserve">GREENVILLE                </v>
      </c>
      <c r="F14493" t="str">
        <f t="shared" si="366"/>
        <v>MS</v>
      </c>
    </row>
    <row r="14494" spans="1:6" x14ac:dyDescent="0.25">
      <c r="A14494" t="str">
        <f>"009855521"</f>
        <v>009855521</v>
      </c>
      <c r="B14494" t="str">
        <f>"1518178524"</f>
        <v>1518178524</v>
      </c>
      <c r="C14494" t="str">
        <f>"207RX0202X"</f>
        <v>207RX0202X</v>
      </c>
      <c r="D14494" t="str">
        <f>"SHEEHAN                  NATALE       T           "</f>
        <v xml:space="preserve">SHEEHAN                  NATALE       T           </v>
      </c>
      <c r="E14494" t="str">
        <f>"JACKSON                   "</f>
        <v xml:space="preserve">JACKSON                   </v>
      </c>
      <c r="F14494" t="str">
        <f t="shared" si="366"/>
        <v>MS</v>
      </c>
    </row>
    <row r="14495" spans="1:6" x14ac:dyDescent="0.25">
      <c r="A14495" t="str">
        <f>"009855844"</f>
        <v>009855844</v>
      </c>
      <c r="B14495" t="str">
        <f>"1932543816"</f>
        <v>1932543816</v>
      </c>
      <c r="C14495" t="str">
        <f>"207L00000X"</f>
        <v>207L00000X</v>
      </c>
      <c r="D14495" t="str">
        <f>"TORRES                   TIMOTHY      A           "</f>
        <v xml:space="preserve">TORRES                   TIMOTHY      A           </v>
      </c>
      <c r="E14495" t="str">
        <f>"HATTIESBURG               "</f>
        <v xml:space="preserve">HATTIESBURG               </v>
      </c>
      <c r="F14495" t="str">
        <f t="shared" si="366"/>
        <v>MS</v>
      </c>
    </row>
    <row r="14496" spans="1:6" x14ac:dyDescent="0.25">
      <c r="A14496" t="str">
        <f>"009856336"</f>
        <v>009856336</v>
      </c>
      <c r="B14496" t="str">
        <f>"1255529228"</f>
        <v>1255529228</v>
      </c>
      <c r="C14496" t="str">
        <f>"261QE0700X"</f>
        <v>261QE0700X</v>
      </c>
      <c r="D14496" t="str">
        <f>"PACHUTA DIALYSIS UNIT                             "</f>
        <v xml:space="preserve">PACHUTA DIALYSIS UNIT                             </v>
      </c>
      <c r="E14496" t="str">
        <f>"PACHUTA                   "</f>
        <v xml:space="preserve">PACHUTA                   </v>
      </c>
      <c r="F14496" t="str">
        <f t="shared" si="366"/>
        <v>MS</v>
      </c>
    </row>
    <row r="14497" spans="1:6" x14ac:dyDescent="0.25">
      <c r="A14497" t="str">
        <f>"009857307"</f>
        <v>009857307</v>
      </c>
      <c r="B14497" t="str">
        <f>"1598984395"</f>
        <v>1598984395</v>
      </c>
      <c r="C14497" t="str">
        <f>"363L00000X"</f>
        <v>363L00000X</v>
      </c>
      <c r="D14497" t="str">
        <f>"KIRKENDALL               NEELI        C           "</f>
        <v xml:space="preserve">KIRKENDALL               NEELI        C           </v>
      </c>
      <c r="E14497" t="str">
        <f>"OXFORD                    "</f>
        <v xml:space="preserve">OXFORD                    </v>
      </c>
      <c r="F14497" t="str">
        <f t="shared" si="366"/>
        <v>MS</v>
      </c>
    </row>
    <row r="14498" spans="1:6" x14ac:dyDescent="0.25">
      <c r="A14498" t="str">
        <f>"009858546"</f>
        <v>009858546</v>
      </c>
      <c r="B14498" t="str">
        <f>"1568862019"</f>
        <v>1568862019</v>
      </c>
      <c r="C14498" t="str">
        <f>"363L00000X"</f>
        <v>363L00000X</v>
      </c>
      <c r="D14498" t="str">
        <f>"BARTHOLOMEW              KIMBERLEY    P           "</f>
        <v xml:space="preserve">BARTHOLOMEW              KIMBERLEY    P           </v>
      </c>
      <c r="E14498" t="str">
        <f>"FLOWOOD                   "</f>
        <v xml:space="preserve">FLOWOOD                   </v>
      </c>
      <c r="F14498" t="str">
        <f t="shared" si="366"/>
        <v>MS</v>
      </c>
    </row>
    <row r="14499" spans="1:6" x14ac:dyDescent="0.25">
      <c r="A14499" t="str">
        <f>"009858801"</f>
        <v>009858801</v>
      </c>
      <c r="B14499" t="str">
        <f>"1528318391"</f>
        <v>1528318391</v>
      </c>
      <c r="C14499" t="str">
        <f>"363L00000X"</f>
        <v>363L00000X</v>
      </c>
      <c r="D14499" t="str">
        <f>"RAMSAY                   JESSICA                  "</f>
        <v xml:space="preserve">RAMSAY                   JESSICA                  </v>
      </c>
      <c r="E14499" t="str">
        <f>"RIDGELAND                 "</f>
        <v xml:space="preserve">RIDGELAND                 </v>
      </c>
      <c r="F14499" t="str">
        <f t="shared" si="366"/>
        <v>MS</v>
      </c>
    </row>
    <row r="14500" spans="1:6" x14ac:dyDescent="0.25">
      <c r="A14500" t="str">
        <f>"009870004"</f>
        <v>009870004</v>
      </c>
      <c r="B14500" t="str">
        <f>"1154531234"</f>
        <v>1154531234</v>
      </c>
      <c r="C14500" t="str">
        <f>"207R00000X"</f>
        <v>207R00000X</v>
      </c>
      <c r="D14500" t="str">
        <f>"ALLEN                    DUSTIN       S           "</f>
        <v xml:space="preserve">ALLEN                    DUSTIN       S           </v>
      </c>
      <c r="E14500" t="str">
        <f>"MERIDIAN                  "</f>
        <v xml:space="preserve">MERIDIAN                  </v>
      </c>
      <c r="F14500" t="str">
        <f t="shared" si="366"/>
        <v>MS</v>
      </c>
    </row>
    <row r="14501" spans="1:6" x14ac:dyDescent="0.25">
      <c r="A14501" t="str">
        <f>"009870248"</f>
        <v>009870248</v>
      </c>
      <c r="B14501" t="str">
        <f>"1770646598"</f>
        <v>1770646598</v>
      </c>
      <c r="C14501" t="str">
        <f>"122300000X"</f>
        <v>122300000X</v>
      </c>
      <c r="D14501" t="str">
        <f>"OXFORD DENTAL SPECIALISTS, PLLC                   "</f>
        <v xml:space="preserve">OXFORD DENTAL SPECIALISTS, PLLC                   </v>
      </c>
      <c r="E14501" t="str">
        <f>"OXFORD                    "</f>
        <v xml:space="preserve">OXFORD                    </v>
      </c>
      <c r="F14501" t="str">
        <f t="shared" si="366"/>
        <v>MS</v>
      </c>
    </row>
    <row r="14502" spans="1:6" x14ac:dyDescent="0.25">
      <c r="A14502" t="str">
        <f>"009870273"</f>
        <v>009870273</v>
      </c>
      <c r="B14502" t="str">
        <f>"1912386269"</f>
        <v>1912386269</v>
      </c>
      <c r="C14502" t="str">
        <f>"261QA0600X"</f>
        <v>261QA0600X</v>
      </c>
      <c r="D14502" t="str">
        <f>"VISIONS OF SUNSHINE ADULT DAYCARE                 "</f>
        <v xml:space="preserve">VISIONS OF SUNSHINE ADULT DAYCARE                 </v>
      </c>
      <c r="E14502" t="str">
        <f>"HOLLANDALE                "</f>
        <v xml:space="preserve">HOLLANDALE                </v>
      </c>
      <c r="F14502" t="str">
        <f t="shared" si="366"/>
        <v>MS</v>
      </c>
    </row>
    <row r="14503" spans="1:6" x14ac:dyDescent="0.25">
      <c r="A14503" t="str">
        <f>"009870401"</f>
        <v>009870401</v>
      </c>
      <c r="B14503" t="str">
        <f>"1306412895"</f>
        <v>1306412895</v>
      </c>
      <c r="C14503" t="str">
        <f>"122300000X"</f>
        <v>122300000X</v>
      </c>
      <c r="D14503" t="str">
        <f>"GRANIER                  CHRISTINA                "</f>
        <v xml:space="preserve">GRANIER                  CHRISTINA                </v>
      </c>
      <c r="E14503" t="str">
        <f>"PASCAGOULA                "</f>
        <v xml:space="preserve">PASCAGOULA                </v>
      </c>
      <c r="F14503" t="str">
        <f t="shared" si="366"/>
        <v>MS</v>
      </c>
    </row>
    <row r="14504" spans="1:6" x14ac:dyDescent="0.25">
      <c r="A14504" t="str">
        <f>"009872003"</f>
        <v>009872003</v>
      </c>
      <c r="B14504" t="str">
        <f>"1346747953"</f>
        <v>1346747953</v>
      </c>
      <c r="C14504" t="str">
        <f>"207Q00000X"</f>
        <v>207Q00000X</v>
      </c>
      <c r="D14504" t="str">
        <f>"BULLOCK                  JAMES        C           "</f>
        <v xml:space="preserve">BULLOCK                  JAMES        C           </v>
      </c>
      <c r="E14504" t="str">
        <f>"NEW ALBANY                "</f>
        <v xml:space="preserve">NEW ALBANY                </v>
      </c>
      <c r="F14504" t="str">
        <f t="shared" si="366"/>
        <v>MS</v>
      </c>
    </row>
    <row r="14505" spans="1:6" x14ac:dyDescent="0.25">
      <c r="A14505" t="str">
        <f>"009872759"</f>
        <v>009872759</v>
      </c>
      <c r="B14505" t="str">
        <f>"1083271407"</f>
        <v>1083271407</v>
      </c>
      <c r="C14505" t="str">
        <f>"363L00000X"</f>
        <v>363L00000X</v>
      </c>
      <c r="D14505" t="str">
        <f>"EUBANKS                  MONICA       G           "</f>
        <v xml:space="preserve">EUBANKS                  MONICA       G           </v>
      </c>
      <c r="E14505" t="str">
        <f>"BROOKHAVEN                "</f>
        <v xml:space="preserve">BROOKHAVEN                </v>
      </c>
      <c r="F14505" t="str">
        <f t="shared" si="366"/>
        <v>MS</v>
      </c>
    </row>
    <row r="14506" spans="1:6" x14ac:dyDescent="0.25">
      <c r="A14506" t="str">
        <f>"009873052"</f>
        <v>009873052</v>
      </c>
      <c r="B14506" t="str">
        <f>"1023549219"</f>
        <v>1023549219</v>
      </c>
      <c r="C14506" t="str">
        <f>"261QR1300X"</f>
        <v>261QR1300X</v>
      </c>
      <c r="D14506" t="str">
        <f>"CHILDREN'S INTERNATIONAL MEDICAL GR               "</f>
        <v xml:space="preserve">CHILDREN'S INTERNATIONAL MEDICAL GR               </v>
      </c>
      <c r="E14506" t="str">
        <f>"GULFPORT                  "</f>
        <v xml:space="preserve">GULFPORT                  </v>
      </c>
      <c r="F14506" t="str">
        <f t="shared" si="366"/>
        <v>MS</v>
      </c>
    </row>
    <row r="14507" spans="1:6" x14ac:dyDescent="0.25">
      <c r="A14507" t="str">
        <f>"009873380"</f>
        <v>009873380</v>
      </c>
      <c r="B14507" t="str">
        <f>"1689195463"</f>
        <v>1689195463</v>
      </c>
      <c r="C14507" t="str">
        <f>"363L00000X"</f>
        <v>363L00000X</v>
      </c>
      <c r="D14507" t="str">
        <f>"MURRAY                   LEANNE       L           "</f>
        <v xml:space="preserve">MURRAY                   LEANNE       L           </v>
      </c>
      <c r="E14507" t="str">
        <f>"BAY SAINT LOUIS           "</f>
        <v xml:space="preserve">BAY SAINT LOUIS           </v>
      </c>
      <c r="F14507" t="str">
        <f t="shared" si="366"/>
        <v>MS</v>
      </c>
    </row>
    <row r="14508" spans="1:6" x14ac:dyDescent="0.25">
      <c r="A14508" t="str">
        <f>"009873741"</f>
        <v>009873741</v>
      </c>
      <c r="B14508" t="str">
        <f>"1922687524"</f>
        <v>1922687524</v>
      </c>
      <c r="C14508" t="str">
        <f>"208000000X"</f>
        <v>208000000X</v>
      </c>
      <c r="D14508" t="str">
        <f>"DILLISTONE               DANA                     "</f>
        <v xml:space="preserve">DILLISTONE               DANA                     </v>
      </c>
      <c r="E14508" t="str">
        <f>"JACKSON                   "</f>
        <v xml:space="preserve">JACKSON                   </v>
      </c>
      <c r="F14508" t="str">
        <f t="shared" si="366"/>
        <v>MS</v>
      </c>
    </row>
    <row r="14509" spans="1:6" x14ac:dyDescent="0.25">
      <c r="A14509" t="str">
        <f>"009874713"</f>
        <v>009874713</v>
      </c>
      <c r="B14509" t="str">
        <f>"1538725478"</f>
        <v>1538725478</v>
      </c>
      <c r="C14509" t="str">
        <f>"363L00000X"</f>
        <v>363L00000X</v>
      </c>
      <c r="D14509" t="str">
        <f>"BAILEY                   KRISTEN                  "</f>
        <v xml:space="preserve">BAILEY                   KRISTEN                  </v>
      </c>
      <c r="E14509" t="str">
        <f>"FLOWOOD                   "</f>
        <v xml:space="preserve">FLOWOOD                   </v>
      </c>
      <c r="F14509" t="str">
        <f t="shared" si="366"/>
        <v>MS</v>
      </c>
    </row>
    <row r="14510" spans="1:6" x14ac:dyDescent="0.25">
      <c r="A14510" t="str">
        <f>"009875254"</f>
        <v>009875254</v>
      </c>
      <c r="B14510" t="str">
        <f>"1548725161"</f>
        <v>1548725161</v>
      </c>
      <c r="C14510" t="str">
        <f>"363L00000X"</f>
        <v>363L00000X</v>
      </c>
      <c r="D14510" t="str">
        <f>"ROBINSON                 BRITTANY     L           "</f>
        <v xml:space="preserve">ROBINSON                 BRITTANY     L           </v>
      </c>
      <c r="E14510" t="str">
        <f>"HATTIESBURG               "</f>
        <v xml:space="preserve">HATTIESBURG               </v>
      </c>
      <c r="F14510" t="str">
        <f t="shared" si="366"/>
        <v>MS</v>
      </c>
    </row>
    <row r="14511" spans="1:6" x14ac:dyDescent="0.25">
      <c r="A14511" t="str">
        <f>"009876063"</f>
        <v>009876063</v>
      </c>
      <c r="B14511" t="str">
        <f>"1184000952"</f>
        <v>1184000952</v>
      </c>
      <c r="C14511" t="str">
        <f>"363L00000X"</f>
        <v>363L00000X</v>
      </c>
      <c r="D14511" t="str">
        <f>"ROGERS                   SHARONDA                 "</f>
        <v xml:space="preserve">ROGERS                   SHARONDA                 </v>
      </c>
      <c r="E14511" t="str">
        <f>"FAYETTE                   "</f>
        <v xml:space="preserve">FAYETTE                   </v>
      </c>
      <c r="F14511" t="str">
        <f t="shared" si="366"/>
        <v>MS</v>
      </c>
    </row>
    <row r="14512" spans="1:6" x14ac:dyDescent="0.25">
      <c r="A14512" t="str">
        <f>"009876307"</f>
        <v>009876307</v>
      </c>
      <c r="B14512" t="str">
        <f>"1104472653"</f>
        <v>1104472653</v>
      </c>
      <c r="C14512" t="str">
        <f>"363L00000X"</f>
        <v>363L00000X</v>
      </c>
      <c r="D14512" t="str">
        <f>"DALTON                   SALLIE                   "</f>
        <v xml:space="preserve">DALTON                   SALLIE                   </v>
      </c>
      <c r="E14512" t="str">
        <f>"PHILADELPHIA              "</f>
        <v xml:space="preserve">PHILADELPHIA              </v>
      </c>
      <c r="F14512" t="str">
        <f t="shared" si="366"/>
        <v>MS</v>
      </c>
    </row>
    <row r="14513" spans="1:6" x14ac:dyDescent="0.25">
      <c r="A14513" t="str">
        <f>"009876839"</f>
        <v>009876839</v>
      </c>
      <c r="B14513" t="str">
        <f>"1780025809"</f>
        <v>1780025809</v>
      </c>
      <c r="C14513" t="str">
        <f>"363L00000X"</f>
        <v>363L00000X</v>
      </c>
      <c r="D14513" t="str">
        <f>"PEARSON                  BILLY        T           "</f>
        <v xml:space="preserve">PEARSON                  BILLY        T           </v>
      </c>
      <c r="E14513" t="str">
        <f>"PRENTISS                  "</f>
        <v xml:space="preserve">PRENTISS                  </v>
      </c>
      <c r="F14513" t="str">
        <f t="shared" si="366"/>
        <v>MS</v>
      </c>
    </row>
    <row r="14514" spans="1:6" x14ac:dyDescent="0.25">
      <c r="A14514" t="str">
        <f>"009877072"</f>
        <v>009877072</v>
      </c>
      <c r="B14514" t="str">
        <f>"1891966404"</f>
        <v>1891966404</v>
      </c>
      <c r="C14514" t="str">
        <f>"1223S0112X"</f>
        <v>1223S0112X</v>
      </c>
      <c r="D14514" t="str">
        <f>"MARTIN                   ROBERT       A           "</f>
        <v xml:space="preserve">MARTIN                   ROBERT       A           </v>
      </c>
      <c r="E14514" t="str">
        <f>"STARKVILLE                "</f>
        <v xml:space="preserve">STARKVILLE                </v>
      </c>
      <c r="F14514" t="str">
        <f t="shared" si="366"/>
        <v>MS</v>
      </c>
    </row>
    <row r="14515" spans="1:6" x14ac:dyDescent="0.25">
      <c r="A14515" t="str">
        <f>"009877251"</f>
        <v>009877251</v>
      </c>
      <c r="B14515" t="str">
        <f>"1235201955"</f>
        <v>1235201955</v>
      </c>
      <c r="C14515" t="str">
        <f>"1223P0221X"</f>
        <v>1223P0221X</v>
      </c>
      <c r="D14515" t="str">
        <f>"JONES                    LAUREN       B           "</f>
        <v xml:space="preserve">JONES                    LAUREN       B           </v>
      </c>
      <c r="E14515" t="str">
        <f>"MCCOMB                    "</f>
        <v xml:space="preserve">MCCOMB                    </v>
      </c>
      <c r="F14515" t="str">
        <f t="shared" si="366"/>
        <v>MS</v>
      </c>
    </row>
    <row r="14516" spans="1:6" x14ac:dyDescent="0.25">
      <c r="A14516" t="str">
        <f>"009877843"</f>
        <v>009877843</v>
      </c>
      <c r="B14516" t="str">
        <f>"1922431048"</f>
        <v>1922431048</v>
      </c>
      <c r="C14516" t="str">
        <f>"363L00000X"</f>
        <v>363L00000X</v>
      </c>
      <c r="D14516" t="str">
        <f>"JAMISON                  LEE                      "</f>
        <v xml:space="preserve">JAMISON                  LEE                      </v>
      </c>
      <c r="E14516" t="str">
        <f>"FLOWOOD                   "</f>
        <v xml:space="preserve">FLOWOOD                   </v>
      </c>
      <c r="F14516" t="str">
        <f t="shared" si="366"/>
        <v>MS</v>
      </c>
    </row>
    <row r="14517" spans="1:6" x14ac:dyDescent="0.25">
      <c r="A14517" t="str">
        <f>"009878076"</f>
        <v>009878076</v>
      </c>
      <c r="B14517" t="str">
        <f>"1871944652"</f>
        <v>1871944652</v>
      </c>
      <c r="C14517" t="str">
        <f>"363L00000X"</f>
        <v>363L00000X</v>
      </c>
      <c r="D14517" t="str">
        <f>"NICOLE HARVEY            NANCY                    "</f>
        <v xml:space="preserve">NICOLE HARVEY            NANCY                    </v>
      </c>
      <c r="E14517" t="str">
        <f>"FLOWOOD                   "</f>
        <v xml:space="preserve">FLOWOOD                   </v>
      </c>
      <c r="F14517" t="str">
        <f t="shared" si="366"/>
        <v>MS</v>
      </c>
    </row>
    <row r="14518" spans="1:6" x14ac:dyDescent="0.25">
      <c r="A14518" t="str">
        <f>"009878077"</f>
        <v>009878077</v>
      </c>
      <c r="B14518" t="str">
        <f>"1316056567"</f>
        <v>1316056567</v>
      </c>
      <c r="C14518" t="str">
        <f>"207N00000X"</f>
        <v>207N00000X</v>
      </c>
      <c r="D14518" t="str">
        <f>"CONTE                    EUGENE       T           "</f>
        <v xml:space="preserve">CONTE                    EUGENE       T           </v>
      </c>
      <c r="E14518" t="str">
        <f>"PETAL                     "</f>
        <v xml:space="preserve">PETAL                     </v>
      </c>
      <c r="F14518" t="str">
        <f t="shared" si="366"/>
        <v>MS</v>
      </c>
    </row>
    <row r="14519" spans="1:6" x14ac:dyDescent="0.25">
      <c r="A14519" t="str">
        <f>"009878861"</f>
        <v>009878861</v>
      </c>
      <c r="B14519" t="str">
        <f>"1417053588"</f>
        <v>1417053588</v>
      </c>
      <c r="C14519" t="str">
        <f>"367500000X"</f>
        <v>367500000X</v>
      </c>
      <c r="D14519" t="str">
        <f>"GREMILLION               PATRICIA                 "</f>
        <v xml:space="preserve">GREMILLION               PATRICIA                 </v>
      </c>
      <c r="E14519" t="str">
        <f>"GULFPORT                  "</f>
        <v xml:space="preserve">GULFPORT                  </v>
      </c>
      <c r="F14519" t="str">
        <f t="shared" si="366"/>
        <v>MS</v>
      </c>
    </row>
    <row r="14520" spans="1:6" x14ac:dyDescent="0.25">
      <c r="A14520" t="str">
        <f>"009879356"</f>
        <v>009879356</v>
      </c>
      <c r="B14520" t="str">
        <f>"1528478690"</f>
        <v>1528478690</v>
      </c>
      <c r="C14520" t="str">
        <f>"367500000X"</f>
        <v>367500000X</v>
      </c>
      <c r="D14520" t="str">
        <f>"CUMMINGS                 JAZMINE      S           "</f>
        <v xml:space="preserve">CUMMINGS                 JAZMINE      S           </v>
      </c>
      <c r="E14520" t="str">
        <f>"OXFORD                    "</f>
        <v xml:space="preserve">OXFORD                    </v>
      </c>
      <c r="F14520" t="str">
        <f t="shared" si="366"/>
        <v>MS</v>
      </c>
    </row>
    <row r="14521" spans="1:6" x14ac:dyDescent="0.25">
      <c r="A14521" t="str">
        <f>"009881774"</f>
        <v>009881774</v>
      </c>
      <c r="B14521" t="str">
        <f>"1528473329"</f>
        <v>1528473329</v>
      </c>
      <c r="C14521" t="str">
        <f>"207R00000X"</f>
        <v>207R00000X</v>
      </c>
      <c r="D14521" t="str">
        <f>"COWART                   DASHA        N           "</f>
        <v xml:space="preserve">COWART                   DASHA        N           </v>
      </c>
      <c r="E14521" t="str">
        <f>"GULFPORT                  "</f>
        <v xml:space="preserve">GULFPORT                  </v>
      </c>
      <c r="F14521" t="str">
        <f t="shared" si="366"/>
        <v>MS</v>
      </c>
    </row>
    <row r="14522" spans="1:6" x14ac:dyDescent="0.25">
      <c r="A14522" t="str">
        <f>"009885302"</f>
        <v>009885302</v>
      </c>
      <c r="B14522" t="str">
        <f>"1053962068"</f>
        <v>1053962068</v>
      </c>
      <c r="C14522" t="str">
        <f>"363L00000X"</f>
        <v>363L00000X</v>
      </c>
      <c r="D14522" t="str">
        <f>"GUTHRIE                  LAUREN       L           "</f>
        <v xml:space="preserve">GUTHRIE                  LAUREN       L           </v>
      </c>
      <c r="E14522" t="str">
        <f>"JACKSON                   "</f>
        <v xml:space="preserve">JACKSON                   </v>
      </c>
      <c r="F14522" t="str">
        <f t="shared" si="366"/>
        <v>MS</v>
      </c>
    </row>
    <row r="14523" spans="1:6" x14ac:dyDescent="0.25">
      <c r="A14523" t="str">
        <f>"009887263"</f>
        <v>009887263</v>
      </c>
      <c r="B14523" t="str">
        <f>"1518323427"</f>
        <v>1518323427</v>
      </c>
      <c r="C14523" t="str">
        <f>"363L00000X"</f>
        <v>363L00000X</v>
      </c>
      <c r="D14523" t="str">
        <f>"LEWIS                    VIRGINIA     P           "</f>
        <v xml:space="preserve">LEWIS                    VIRGINIA     P           </v>
      </c>
      <c r="E14523" t="str">
        <f>"WHITFIELD                 "</f>
        <v xml:space="preserve">WHITFIELD                 </v>
      </c>
      <c r="F14523" t="str">
        <f t="shared" si="366"/>
        <v>MS</v>
      </c>
    </row>
    <row r="14524" spans="1:6" x14ac:dyDescent="0.25">
      <c r="A14524" t="str">
        <f>"009887594"</f>
        <v>009887594</v>
      </c>
      <c r="B14524" t="str">
        <f>"1790339000"</f>
        <v>1790339000</v>
      </c>
      <c r="C14524" t="str">
        <f>"363L00000X"</f>
        <v>363L00000X</v>
      </c>
      <c r="D14524" t="str">
        <f>"JAMES                    KAELYN                   "</f>
        <v xml:space="preserve">JAMES                    KAELYN                   </v>
      </c>
      <c r="E14524" t="str">
        <f>"PHILADELPHIA              "</f>
        <v xml:space="preserve">PHILADELPHIA              </v>
      </c>
      <c r="F14524" t="str">
        <f t="shared" si="366"/>
        <v>MS</v>
      </c>
    </row>
    <row r="14525" spans="1:6" x14ac:dyDescent="0.25">
      <c r="A14525" t="str">
        <f>"009888353"</f>
        <v>009888353</v>
      </c>
      <c r="B14525" t="str">
        <f>"1255560306"</f>
        <v>1255560306</v>
      </c>
      <c r="C14525" t="str">
        <f>"208000000X"</f>
        <v>208000000X</v>
      </c>
      <c r="D14525" t="str">
        <f>"BARTON                   TONIA                    "</f>
        <v xml:space="preserve">BARTON                   TONIA                    </v>
      </c>
      <c r="E14525" t="str">
        <f>"MERIDIAN                  "</f>
        <v xml:space="preserve">MERIDIAN                  </v>
      </c>
      <c r="F14525" t="str">
        <f t="shared" si="366"/>
        <v>MS</v>
      </c>
    </row>
    <row r="14526" spans="1:6" x14ac:dyDescent="0.25">
      <c r="A14526" t="str">
        <f>"009889712"</f>
        <v>009889712</v>
      </c>
      <c r="B14526" t="str">
        <f>"1508312992"</f>
        <v>1508312992</v>
      </c>
      <c r="C14526" t="str">
        <f>"261QF0400X"</f>
        <v>261QF0400X</v>
      </c>
      <c r="D14526" t="str">
        <f>"MALLORY MOBILE RV CLINIC                          "</f>
        <v xml:space="preserve">MALLORY MOBILE RV CLINIC                          </v>
      </c>
      <c r="E14526" t="str">
        <f>"LEXINGTON                 "</f>
        <v xml:space="preserve">LEXINGTON                 </v>
      </c>
      <c r="F14526" t="str">
        <f t="shared" ref="F14526:F14589" si="368">"MS"</f>
        <v>MS</v>
      </c>
    </row>
    <row r="14527" spans="1:6" x14ac:dyDescent="0.25">
      <c r="A14527" t="str">
        <f>"009900016"</f>
        <v>009900016</v>
      </c>
      <c r="B14527" t="str">
        <f>"1194353391"</f>
        <v>1194353391</v>
      </c>
      <c r="C14527" t="str">
        <f>"208000000X"</f>
        <v>208000000X</v>
      </c>
      <c r="D14527" t="str">
        <f>"ARRINGTON                BRIANNA      L           "</f>
        <v xml:space="preserve">ARRINGTON                BRIANNA      L           </v>
      </c>
      <c r="E14527" t="str">
        <f>"JACKSON                   "</f>
        <v xml:space="preserve">JACKSON                   </v>
      </c>
      <c r="F14527" t="str">
        <f t="shared" si="368"/>
        <v>MS</v>
      </c>
    </row>
    <row r="14528" spans="1:6" x14ac:dyDescent="0.25">
      <c r="A14528" t="str">
        <f>"009901701"</f>
        <v>009901701</v>
      </c>
      <c r="B14528" t="str">
        <f>"1720552755"</f>
        <v>1720552755</v>
      </c>
      <c r="C14528" t="str">
        <f>"363L00000X"</f>
        <v>363L00000X</v>
      </c>
      <c r="D14528" t="str">
        <f>"DEVAZIER                 HANNAH                   "</f>
        <v xml:space="preserve">DEVAZIER                 HANNAH                   </v>
      </c>
      <c r="E14528" t="str">
        <f>"BATESVILLE                "</f>
        <v xml:space="preserve">BATESVILLE                </v>
      </c>
      <c r="F14528" t="str">
        <f t="shared" si="368"/>
        <v>MS</v>
      </c>
    </row>
    <row r="14529" spans="1:6" x14ac:dyDescent="0.25">
      <c r="A14529" t="str">
        <f>"009902332"</f>
        <v>009902332</v>
      </c>
      <c r="B14529" t="str">
        <f>"1720490691"</f>
        <v>1720490691</v>
      </c>
      <c r="C14529" t="str">
        <f>"207R00000X"</f>
        <v>207R00000X</v>
      </c>
      <c r="D14529" t="str">
        <f>"JACKSON                  TERICA       T           "</f>
        <v xml:space="preserve">JACKSON                  TERICA       T           </v>
      </c>
      <c r="E14529" t="str">
        <f>"JACKSON                   "</f>
        <v xml:space="preserve">JACKSON                   </v>
      </c>
      <c r="F14529" t="str">
        <f t="shared" si="368"/>
        <v>MS</v>
      </c>
    </row>
    <row r="14530" spans="1:6" x14ac:dyDescent="0.25">
      <c r="A14530" t="str">
        <f>"009903359"</f>
        <v>009903359</v>
      </c>
      <c r="B14530" t="str">
        <f>"1710412234"</f>
        <v>1710412234</v>
      </c>
      <c r="C14530" t="str">
        <f>"363L00000X"</f>
        <v>363L00000X</v>
      </c>
      <c r="D14530" t="str">
        <f>"THOMPSON                 JOSHUA       M           "</f>
        <v xml:space="preserve">THOMPSON                 JOSHUA       M           </v>
      </c>
      <c r="E14530" t="str">
        <f>"HATTIESBURG               "</f>
        <v xml:space="preserve">HATTIESBURG               </v>
      </c>
      <c r="F14530" t="str">
        <f t="shared" si="368"/>
        <v>MS</v>
      </c>
    </row>
    <row r="14531" spans="1:6" x14ac:dyDescent="0.25">
      <c r="A14531" t="str">
        <f>"009903368"</f>
        <v>009903368</v>
      </c>
      <c r="B14531" t="str">
        <f>"1477734689"</f>
        <v>1477734689</v>
      </c>
      <c r="C14531" t="str">
        <f>"261QE0700X"</f>
        <v>261QE0700X</v>
      </c>
      <c r="D14531" t="str">
        <f>"STATE OF MS UMMC OP DIALYSIS PEDIAT               "</f>
        <v xml:space="preserve">STATE OF MS UMMC OP DIALYSIS PEDIAT               </v>
      </c>
      <c r="E14531" t="str">
        <f>"JACKSON                   "</f>
        <v xml:space="preserve">JACKSON                   </v>
      </c>
      <c r="F14531" t="str">
        <f t="shared" si="368"/>
        <v>MS</v>
      </c>
    </row>
    <row r="14532" spans="1:6" x14ac:dyDescent="0.25">
      <c r="A14532" t="str">
        <f>"009903743"</f>
        <v>009903743</v>
      </c>
      <c r="B14532" t="str">
        <f>"1285129833"</f>
        <v>1285129833</v>
      </c>
      <c r="C14532" t="str">
        <f>"363L00000X"</f>
        <v>363L00000X</v>
      </c>
      <c r="D14532" t="str">
        <f>"THOMPSON                 LAUREN       C           "</f>
        <v xml:space="preserve">THOMPSON                 LAUREN       C           </v>
      </c>
      <c r="E14532" t="str">
        <f>"HAZLEHURST                "</f>
        <v xml:space="preserve">HAZLEHURST                </v>
      </c>
      <c r="F14532" t="str">
        <f t="shared" si="368"/>
        <v>MS</v>
      </c>
    </row>
    <row r="14533" spans="1:6" x14ac:dyDescent="0.25">
      <c r="A14533" t="str">
        <f>"009905816"</f>
        <v>009905816</v>
      </c>
      <c r="B14533" t="str">
        <f>"1639481856"</f>
        <v>1639481856</v>
      </c>
      <c r="C14533" t="str">
        <f>"207RH0003X"</f>
        <v>207RH0003X</v>
      </c>
      <c r="D14533" t="str">
        <f>"WILKINSON                KELLY        J           "</f>
        <v xml:space="preserve">WILKINSON                KELLY        J           </v>
      </c>
      <c r="E14533" t="str">
        <f>"JACKSON                   "</f>
        <v xml:space="preserve">JACKSON                   </v>
      </c>
      <c r="F14533" t="str">
        <f t="shared" si="368"/>
        <v>MS</v>
      </c>
    </row>
    <row r="14534" spans="1:6" x14ac:dyDescent="0.25">
      <c r="A14534" t="str">
        <f>"009906571"</f>
        <v>009906571</v>
      </c>
      <c r="B14534" t="str">
        <f>"1336502921"</f>
        <v>1336502921</v>
      </c>
      <c r="C14534" t="str">
        <f>"2084P0800X"</f>
        <v>2084P0800X</v>
      </c>
      <c r="D14534" t="str">
        <f>"PERKINS IV               FRANK        N           "</f>
        <v xml:space="preserve">PERKINS IV               FRANK        N           </v>
      </c>
      <c r="E14534" t="str">
        <f>"FLOWOOD                   "</f>
        <v xml:space="preserve">FLOWOOD                   </v>
      </c>
      <c r="F14534" t="str">
        <f t="shared" si="368"/>
        <v>MS</v>
      </c>
    </row>
    <row r="14535" spans="1:6" x14ac:dyDescent="0.25">
      <c r="A14535" t="str">
        <f>"009907750"</f>
        <v>009907750</v>
      </c>
      <c r="B14535" t="str">
        <f>"1497747661"</f>
        <v>1497747661</v>
      </c>
      <c r="C14535" t="str">
        <f>"1223P0221X"</f>
        <v>1223P0221X</v>
      </c>
      <c r="D14535" t="str">
        <f>"BENTON                   GAIL         M           "</f>
        <v xml:space="preserve">BENTON                   GAIL         M           </v>
      </c>
      <c r="E14535" t="str">
        <f>"JACKSON                   "</f>
        <v xml:space="preserve">JACKSON                   </v>
      </c>
      <c r="F14535" t="str">
        <f t="shared" si="368"/>
        <v>MS</v>
      </c>
    </row>
    <row r="14536" spans="1:6" x14ac:dyDescent="0.25">
      <c r="A14536" t="str">
        <f>"009908710"</f>
        <v>009908710</v>
      </c>
      <c r="B14536" t="str">
        <f>"1114187333"</f>
        <v>1114187333</v>
      </c>
      <c r="C14536" t="str">
        <f>"207P00000X"</f>
        <v>207P00000X</v>
      </c>
      <c r="D14536" t="str">
        <f>"DUNLAP                   PATRICIA                 "</f>
        <v xml:space="preserve">DUNLAP                   PATRICIA                 </v>
      </c>
      <c r="E14536" t="str">
        <f>"CHOCTAW                   "</f>
        <v xml:space="preserve">CHOCTAW                   </v>
      </c>
      <c r="F14536" t="str">
        <f t="shared" si="368"/>
        <v>MS</v>
      </c>
    </row>
    <row r="14537" spans="1:6" x14ac:dyDescent="0.25">
      <c r="A14537" t="str">
        <f>"009908818"</f>
        <v>009908818</v>
      </c>
      <c r="B14537" t="str">
        <f>"1811159460"</f>
        <v>1811159460</v>
      </c>
      <c r="C14537" t="str">
        <f>"367500000X"</f>
        <v>367500000X</v>
      </c>
      <c r="D14537" t="str">
        <f>"BLISS                    MICHELLE     M           "</f>
        <v xml:space="preserve">BLISS                    MICHELLE     M           </v>
      </c>
      <c r="E14537" t="str">
        <f>"PICAYUNE                  "</f>
        <v xml:space="preserve">PICAYUNE                  </v>
      </c>
      <c r="F14537" t="str">
        <f t="shared" si="368"/>
        <v>MS</v>
      </c>
    </row>
    <row r="14538" spans="1:6" x14ac:dyDescent="0.25">
      <c r="A14538" t="str">
        <f>"009909347"</f>
        <v>009909347</v>
      </c>
      <c r="B14538" t="str">
        <f>"1548828882"</f>
        <v>1548828882</v>
      </c>
      <c r="C14538" t="str">
        <f>"363L00000X"</f>
        <v>363L00000X</v>
      </c>
      <c r="D14538" t="str">
        <f>"TERRY                    DEANA        M           "</f>
        <v xml:space="preserve">TERRY                    DEANA        M           </v>
      </c>
      <c r="E14538" t="str">
        <f>"WATER VALLEY              "</f>
        <v xml:space="preserve">WATER VALLEY              </v>
      </c>
      <c r="F14538" t="str">
        <f t="shared" si="368"/>
        <v>MS</v>
      </c>
    </row>
    <row r="14539" spans="1:6" x14ac:dyDescent="0.25">
      <c r="A14539" t="str">
        <f>"009909385"</f>
        <v>009909385</v>
      </c>
      <c r="B14539" t="str">
        <f>"1528472180"</f>
        <v>1528472180</v>
      </c>
      <c r="C14539" t="str">
        <f>"207ZP0102X"</f>
        <v>207ZP0102X</v>
      </c>
      <c r="D14539" t="str">
        <f>"NEWMAN                   CHARLES      N           "</f>
        <v xml:space="preserve">NEWMAN                   CHARLES      N           </v>
      </c>
      <c r="E14539" t="str">
        <f>"SOUTHAVEN                 "</f>
        <v xml:space="preserve">SOUTHAVEN                 </v>
      </c>
      <c r="F14539" t="str">
        <f t="shared" si="368"/>
        <v>MS</v>
      </c>
    </row>
    <row r="14540" spans="1:6" x14ac:dyDescent="0.25">
      <c r="A14540" t="str">
        <f>"009909850"</f>
        <v>009909850</v>
      </c>
      <c r="B14540" t="str">
        <f>"1497070312"</f>
        <v>1497070312</v>
      </c>
      <c r="C14540" t="str">
        <f>"207L00000X"</f>
        <v>207L00000X</v>
      </c>
      <c r="D14540" t="str">
        <f>"ROBERTSON                HESS         M           "</f>
        <v xml:space="preserve">ROBERTSON                HESS         M           </v>
      </c>
      <c r="E14540" t="str">
        <f>"JACKSON                   "</f>
        <v xml:space="preserve">JACKSON                   </v>
      </c>
      <c r="F14540" t="str">
        <f t="shared" si="368"/>
        <v>MS</v>
      </c>
    </row>
    <row r="14541" spans="1:6" x14ac:dyDescent="0.25">
      <c r="A14541" t="str">
        <f>"009909876"</f>
        <v>009909876</v>
      </c>
      <c r="B14541" t="str">
        <f>"1174075220"</f>
        <v>1174075220</v>
      </c>
      <c r="C14541" t="str">
        <f>"363L00000X"</f>
        <v>363L00000X</v>
      </c>
      <c r="D14541" t="str">
        <f>"FLOYD                    KEVIN        A           "</f>
        <v xml:space="preserve">FLOYD                    KEVIN        A           </v>
      </c>
      <c r="E14541" t="str">
        <f>"THAXTON                   "</f>
        <v xml:space="preserve">THAXTON                   </v>
      </c>
      <c r="F14541" t="str">
        <f t="shared" si="368"/>
        <v>MS</v>
      </c>
    </row>
    <row r="14542" spans="1:6" x14ac:dyDescent="0.25">
      <c r="A14542" t="str">
        <f>"009920709"</f>
        <v>009920709</v>
      </c>
      <c r="B14542" t="str">
        <f>"1548690688"</f>
        <v>1548690688</v>
      </c>
      <c r="C14542" t="str">
        <f>"122300000X"</f>
        <v>122300000X</v>
      </c>
      <c r="D14542" t="str">
        <f>"MINOR                    CHANDRA      M           "</f>
        <v xml:space="preserve">MINOR                    CHANDRA      M           </v>
      </c>
      <c r="E14542" t="str">
        <f>"PEARL                     "</f>
        <v xml:space="preserve">PEARL                     </v>
      </c>
      <c r="F14542" t="str">
        <f t="shared" si="368"/>
        <v>MS</v>
      </c>
    </row>
    <row r="14543" spans="1:6" x14ac:dyDescent="0.25">
      <c r="A14543" t="str">
        <f>"009922261"</f>
        <v>009922261</v>
      </c>
      <c r="B14543" t="str">
        <f>"1063033108"</f>
        <v>1063033108</v>
      </c>
      <c r="C14543" t="str">
        <f>"363L00000X"</f>
        <v>363L00000X</v>
      </c>
      <c r="D14543" t="str">
        <f>"REFFIT                   TIFFANY                  "</f>
        <v xml:space="preserve">REFFIT                   TIFFANY                  </v>
      </c>
      <c r="E14543" t="str">
        <f>"GULFPORT                  "</f>
        <v xml:space="preserve">GULFPORT                  </v>
      </c>
      <c r="F14543" t="str">
        <f t="shared" si="368"/>
        <v>MS</v>
      </c>
    </row>
    <row r="14544" spans="1:6" x14ac:dyDescent="0.25">
      <c r="A14544" t="str">
        <f>"009922831"</f>
        <v>009922831</v>
      </c>
      <c r="B14544" t="str">
        <f>"1972912897"</f>
        <v>1972912897</v>
      </c>
      <c r="C14544" t="str">
        <f>"363L00000X"</f>
        <v>363L00000X</v>
      </c>
      <c r="D14544" t="str">
        <f>"MURPHY                   CHANEL       O           "</f>
        <v xml:space="preserve">MURPHY                   CHANEL       O           </v>
      </c>
      <c r="E14544" t="str">
        <f>"HATTIESBURG               "</f>
        <v xml:space="preserve">HATTIESBURG               </v>
      </c>
      <c r="F14544" t="str">
        <f t="shared" si="368"/>
        <v>MS</v>
      </c>
    </row>
    <row r="14545" spans="1:6" x14ac:dyDescent="0.25">
      <c r="A14545" t="str">
        <f>"009923554"</f>
        <v>009923554</v>
      </c>
      <c r="B14545" t="str">
        <f>"1871518597"</f>
        <v>1871518597</v>
      </c>
      <c r="C14545" t="str">
        <f>"208D00000X"</f>
        <v>208D00000X</v>
      </c>
      <c r="D14545" t="str">
        <f>"HALL                     JAMES        B           "</f>
        <v xml:space="preserve">HALL                     JAMES        B           </v>
      </c>
      <c r="E14545" t="str">
        <f>"BROOKHAVEN                "</f>
        <v xml:space="preserve">BROOKHAVEN                </v>
      </c>
      <c r="F14545" t="str">
        <f t="shared" si="368"/>
        <v>MS</v>
      </c>
    </row>
    <row r="14546" spans="1:6" x14ac:dyDescent="0.25">
      <c r="A14546" t="str">
        <f>"009923854"</f>
        <v>009923854</v>
      </c>
      <c r="B14546" t="str">
        <f>"1295758100"</f>
        <v>1295758100</v>
      </c>
      <c r="C14546" t="str">
        <f>"367500000X"</f>
        <v>367500000X</v>
      </c>
      <c r="D14546" t="str">
        <f>"RUHL                     ANDREW       D           "</f>
        <v xml:space="preserve">RUHL                     ANDREW       D           </v>
      </c>
      <c r="E14546" t="str">
        <f>"STARKVILLE                "</f>
        <v xml:space="preserve">STARKVILLE                </v>
      </c>
      <c r="F14546" t="str">
        <f t="shared" si="368"/>
        <v>MS</v>
      </c>
    </row>
    <row r="14547" spans="1:6" x14ac:dyDescent="0.25">
      <c r="A14547" t="str">
        <f>"009924066"</f>
        <v>009924066</v>
      </c>
      <c r="B14547" t="str">
        <f>"1538485271"</f>
        <v>1538485271</v>
      </c>
      <c r="C14547" t="str">
        <f>"207V00000X"</f>
        <v>207V00000X</v>
      </c>
      <c r="D14547" t="str">
        <f>"LEE                      DANIEL       A           "</f>
        <v xml:space="preserve">LEE                      DANIEL       A           </v>
      </c>
      <c r="E14547" t="str">
        <f>"SOUTHAVEN                 "</f>
        <v xml:space="preserve">SOUTHAVEN                 </v>
      </c>
      <c r="F14547" t="str">
        <f t="shared" si="368"/>
        <v>MS</v>
      </c>
    </row>
    <row r="14548" spans="1:6" x14ac:dyDescent="0.25">
      <c r="A14548" t="str">
        <f>"009924545"</f>
        <v>009924545</v>
      </c>
      <c r="B14548" t="str">
        <f>"1154973345"</f>
        <v>1154973345</v>
      </c>
      <c r="C14548" t="str">
        <f>"363L00000X"</f>
        <v>363L00000X</v>
      </c>
      <c r="D14548" t="str">
        <f>"HUDSON                   ANGELA                   "</f>
        <v xml:space="preserve">HUDSON                   ANGELA                   </v>
      </c>
      <c r="E14548" t="str">
        <f>"GREENWOOD                 "</f>
        <v xml:space="preserve">GREENWOOD                 </v>
      </c>
      <c r="F14548" t="str">
        <f t="shared" si="368"/>
        <v>MS</v>
      </c>
    </row>
    <row r="14549" spans="1:6" x14ac:dyDescent="0.25">
      <c r="A14549" t="str">
        <f>"009925232"</f>
        <v>009925232</v>
      </c>
      <c r="B14549" t="str">
        <f>"1053320820"</f>
        <v>1053320820</v>
      </c>
      <c r="C14549" t="str">
        <f>"152W00000X"</f>
        <v>152W00000X</v>
      </c>
      <c r="D14549" t="str">
        <f>"LAUREL EYE CLINIC, PC                             "</f>
        <v xml:space="preserve">LAUREL EYE CLINIC, PC                             </v>
      </c>
      <c r="E14549" t="str">
        <f>"LAUREL                    "</f>
        <v xml:space="preserve">LAUREL                    </v>
      </c>
      <c r="F14549" t="str">
        <f t="shared" si="368"/>
        <v>MS</v>
      </c>
    </row>
    <row r="14550" spans="1:6" x14ac:dyDescent="0.25">
      <c r="A14550" t="str">
        <f>"009925332"</f>
        <v>009925332</v>
      </c>
      <c r="B14550" t="str">
        <f>"1093130312"</f>
        <v>1093130312</v>
      </c>
      <c r="C14550" t="str">
        <f>"367500000X"</f>
        <v>367500000X</v>
      </c>
      <c r="D14550" t="str">
        <f>"BRITT                    STUART                   "</f>
        <v xml:space="preserve">BRITT                    STUART                   </v>
      </c>
      <c r="E14550" t="str">
        <f>"VICKSBURG                 "</f>
        <v xml:space="preserve">VICKSBURG                 </v>
      </c>
      <c r="F14550" t="str">
        <f t="shared" si="368"/>
        <v>MS</v>
      </c>
    </row>
    <row r="14551" spans="1:6" x14ac:dyDescent="0.25">
      <c r="A14551" t="str">
        <f>"009927394"</f>
        <v>009927394</v>
      </c>
      <c r="B14551" t="str">
        <f>"1639107121"</f>
        <v>1639107121</v>
      </c>
      <c r="C14551" t="str">
        <f>"2085R0202X"</f>
        <v>2085R0202X</v>
      </c>
      <c r="D14551" t="str">
        <f>"COLE                     THOMAS       P           "</f>
        <v xml:space="preserve">COLE                     THOMAS       P           </v>
      </c>
      <c r="E14551" t="str">
        <f>"HATTIESBURG               "</f>
        <v xml:space="preserve">HATTIESBURG               </v>
      </c>
      <c r="F14551" t="str">
        <f t="shared" si="368"/>
        <v>MS</v>
      </c>
    </row>
    <row r="14552" spans="1:6" x14ac:dyDescent="0.25">
      <c r="A14552" t="str">
        <f>"009928001"</f>
        <v>009928001</v>
      </c>
      <c r="B14552" t="str">
        <f>"1215165980"</f>
        <v>1215165980</v>
      </c>
      <c r="C14552" t="str">
        <f>"208000000X"</f>
        <v>208000000X</v>
      </c>
      <c r="D14552" t="str">
        <f>"JONES                    SARAH        M           "</f>
        <v xml:space="preserve">JONES                    SARAH        M           </v>
      </c>
      <c r="E14552" t="str">
        <f>"JACKSON                   "</f>
        <v xml:space="preserve">JACKSON                   </v>
      </c>
      <c r="F14552" t="str">
        <f t="shared" si="368"/>
        <v>MS</v>
      </c>
    </row>
    <row r="14553" spans="1:6" x14ac:dyDescent="0.25">
      <c r="A14553" t="str">
        <f>"009928092"</f>
        <v>009928092</v>
      </c>
      <c r="B14553" t="str">
        <f>"1568896165"</f>
        <v>1568896165</v>
      </c>
      <c r="C14553" t="str">
        <f>"363LF0000X"</f>
        <v>363LF0000X</v>
      </c>
      <c r="D14553" t="str">
        <f>"LYLE                     LANA         J           "</f>
        <v xml:space="preserve">LYLE                     LANA         J           </v>
      </c>
      <c r="E14553" t="str">
        <f>"STARKVILLE                "</f>
        <v xml:space="preserve">STARKVILLE                </v>
      </c>
      <c r="F14553" t="str">
        <f t="shared" si="368"/>
        <v>MS</v>
      </c>
    </row>
    <row r="14554" spans="1:6" x14ac:dyDescent="0.25">
      <c r="A14554" t="str">
        <f>"009928291"</f>
        <v>009928291</v>
      </c>
      <c r="B14554" t="str">
        <f>"1215128046"</f>
        <v>1215128046</v>
      </c>
      <c r="C14554" t="str">
        <f>"261QF0400X"</f>
        <v>261QF0400X</v>
      </c>
      <c r="D14554" t="str">
        <f>"G A CARMICHAEL FAMILY HEALTH CENTER               "</f>
        <v xml:space="preserve">G A CARMICHAEL FAMILY HEALTH CENTER               </v>
      </c>
      <c r="E14554" t="str">
        <f>"YAZOO CITY                "</f>
        <v xml:space="preserve">YAZOO CITY                </v>
      </c>
      <c r="F14554" t="str">
        <f t="shared" si="368"/>
        <v>MS</v>
      </c>
    </row>
    <row r="14555" spans="1:6" x14ac:dyDescent="0.25">
      <c r="A14555" t="str">
        <f>"009928599"</f>
        <v>009928599</v>
      </c>
      <c r="B14555" t="str">
        <f>"1740370261"</f>
        <v>1740370261</v>
      </c>
      <c r="C14555" t="str">
        <f>"207R00000X"</f>
        <v>207R00000X</v>
      </c>
      <c r="D14555" t="str">
        <f>"WYATT                    FELICIE      G           "</f>
        <v xml:space="preserve">WYATT                    FELICIE      G           </v>
      </c>
      <c r="E14555" t="str">
        <f>"JACKSON                   "</f>
        <v xml:space="preserve">JACKSON                   </v>
      </c>
      <c r="F14555" t="str">
        <f t="shared" si="368"/>
        <v>MS</v>
      </c>
    </row>
    <row r="14556" spans="1:6" x14ac:dyDescent="0.25">
      <c r="A14556" t="str">
        <f>"009931567"</f>
        <v>009931567</v>
      </c>
      <c r="B14556" t="str">
        <f>"1073908679"</f>
        <v>1073908679</v>
      </c>
      <c r="C14556" t="str">
        <f>"261QA0600X"</f>
        <v>261QA0600X</v>
      </c>
      <c r="D14556" t="str">
        <f>"R &amp; N ADULT DAYCARE II                            "</f>
        <v xml:space="preserve">R &amp; N ADULT DAYCARE II                            </v>
      </c>
      <c r="E14556" t="str">
        <f>"HOLLANDALE                "</f>
        <v xml:space="preserve">HOLLANDALE                </v>
      </c>
      <c r="F14556" t="str">
        <f t="shared" si="368"/>
        <v>MS</v>
      </c>
    </row>
    <row r="14557" spans="1:6" x14ac:dyDescent="0.25">
      <c r="A14557" t="str">
        <f>"009931583"</f>
        <v>009931583</v>
      </c>
      <c r="B14557" t="str">
        <f>"1740646421"</f>
        <v>1740646421</v>
      </c>
      <c r="C14557" t="str">
        <f>"363L00000X"</f>
        <v>363L00000X</v>
      </c>
      <c r="D14557" t="str">
        <f>"BRUCE                    CHARLES      A           "</f>
        <v xml:space="preserve">BRUCE                    CHARLES      A           </v>
      </c>
      <c r="E14557" t="str">
        <f>"SUMRALL                   "</f>
        <v xml:space="preserve">SUMRALL                   </v>
      </c>
      <c r="F14557" t="str">
        <f t="shared" si="368"/>
        <v>MS</v>
      </c>
    </row>
    <row r="14558" spans="1:6" x14ac:dyDescent="0.25">
      <c r="A14558" t="str">
        <f>"009933313"</f>
        <v>009933313</v>
      </c>
      <c r="B14558" t="str">
        <f>"1235139866"</f>
        <v>1235139866</v>
      </c>
      <c r="C14558" t="str">
        <f>"207RC0000X"</f>
        <v>207RC0000X</v>
      </c>
      <c r="D14558" t="str">
        <f>"BORGANELLI               SANTO        M           "</f>
        <v xml:space="preserve">BORGANELLI               SANTO        M           </v>
      </c>
      <c r="E14558" t="str">
        <f>"HATTIESBURG               "</f>
        <v xml:space="preserve">HATTIESBURG               </v>
      </c>
      <c r="F14558" t="str">
        <f t="shared" si="368"/>
        <v>MS</v>
      </c>
    </row>
    <row r="14559" spans="1:6" x14ac:dyDescent="0.25">
      <c r="A14559" t="str">
        <f>"009935899"</f>
        <v>009935899</v>
      </c>
      <c r="B14559" t="str">
        <f>"1154318038"</f>
        <v>1154318038</v>
      </c>
      <c r="C14559" t="str">
        <f>"207X00000X"</f>
        <v>207X00000X</v>
      </c>
      <c r="D14559" t="str">
        <f>"SAWYER                   JEFFREY      R           "</f>
        <v xml:space="preserve">SAWYER                   JEFFREY      R           </v>
      </c>
      <c r="E14559" t="str">
        <f>"SOUTHAVEN                 "</f>
        <v xml:space="preserve">SOUTHAVEN                 </v>
      </c>
      <c r="F14559" t="str">
        <f t="shared" si="368"/>
        <v>MS</v>
      </c>
    </row>
    <row r="14560" spans="1:6" x14ac:dyDescent="0.25">
      <c r="A14560" t="str">
        <f>"009937001"</f>
        <v>009937001</v>
      </c>
      <c r="B14560" t="str">
        <f>"1104271931"</f>
        <v>1104271931</v>
      </c>
      <c r="C14560" t="str">
        <f>"363L00000X"</f>
        <v>363L00000X</v>
      </c>
      <c r="D14560" t="str">
        <f>"COX                      RHONDA       J           "</f>
        <v xml:space="preserve">COX                      RHONDA       J           </v>
      </c>
      <c r="E14560" t="str">
        <f>"MAGEE                     "</f>
        <v xml:space="preserve">MAGEE                     </v>
      </c>
      <c r="F14560" t="str">
        <f t="shared" si="368"/>
        <v>MS</v>
      </c>
    </row>
    <row r="14561" spans="1:6" x14ac:dyDescent="0.25">
      <c r="A14561" t="str">
        <f>"009937036"</f>
        <v>009937036</v>
      </c>
      <c r="B14561" t="str">
        <f>"1639115207"</f>
        <v>1639115207</v>
      </c>
      <c r="C14561" t="str">
        <f>"261QF0400X"</f>
        <v>261QF0400X</v>
      </c>
      <c r="D14561" t="str">
        <f>"PERRY CENTRAL MIDDLE SCHOOL                       "</f>
        <v xml:space="preserve">PERRY CENTRAL MIDDLE SCHOOL                       </v>
      </c>
      <c r="E14561" t="str">
        <f>"NEW AUGUSTA               "</f>
        <v xml:space="preserve">NEW AUGUSTA               </v>
      </c>
      <c r="F14561" t="str">
        <f t="shared" si="368"/>
        <v>MS</v>
      </c>
    </row>
    <row r="14562" spans="1:6" x14ac:dyDescent="0.25">
      <c r="A14562" t="str">
        <f>"009937561"</f>
        <v>009937561</v>
      </c>
      <c r="B14562" t="str">
        <f>"1053935023"</f>
        <v>1053935023</v>
      </c>
      <c r="C14562" t="str">
        <f>"152W00000X"</f>
        <v>152W00000X</v>
      </c>
      <c r="D14562" t="str">
        <f>"AMANN                    KATIE                    "</f>
        <v xml:space="preserve">AMANN                    KATIE                    </v>
      </c>
      <c r="E14562" t="str">
        <f>"OXFORD                    "</f>
        <v xml:space="preserve">OXFORD                    </v>
      </c>
      <c r="F14562" t="str">
        <f t="shared" si="368"/>
        <v>MS</v>
      </c>
    </row>
    <row r="14563" spans="1:6" x14ac:dyDescent="0.25">
      <c r="A14563" t="str">
        <f>"009937761"</f>
        <v>009937761</v>
      </c>
      <c r="B14563" t="str">
        <f>"1558856310"</f>
        <v>1558856310</v>
      </c>
      <c r="C14563" t="str">
        <f>"363L00000X"</f>
        <v>363L00000X</v>
      </c>
      <c r="D14563" t="str">
        <f>"PEPPER                   STEFANIE                 "</f>
        <v xml:space="preserve">PEPPER                   STEFANIE                 </v>
      </c>
      <c r="E14563" t="str">
        <f>"CANTON                    "</f>
        <v xml:space="preserve">CANTON                    </v>
      </c>
      <c r="F14563" t="str">
        <f t="shared" si="368"/>
        <v>MS</v>
      </c>
    </row>
    <row r="14564" spans="1:6" x14ac:dyDescent="0.25">
      <c r="A14564" t="str">
        <f>"009939296"</f>
        <v>009939296</v>
      </c>
      <c r="B14564" t="str">
        <f>"1033710272"</f>
        <v>1033710272</v>
      </c>
      <c r="C14564" t="str">
        <f>"363L00000X"</f>
        <v>363L00000X</v>
      </c>
      <c r="D14564" t="str">
        <f>"HORN                     GARTH        H           "</f>
        <v xml:space="preserve">HORN                     GARTH        H           </v>
      </c>
      <c r="E14564" t="str">
        <f>"HOUSTON                   "</f>
        <v xml:space="preserve">HOUSTON                   </v>
      </c>
      <c r="F14564" t="str">
        <f t="shared" si="368"/>
        <v>MS</v>
      </c>
    </row>
    <row r="14565" spans="1:6" x14ac:dyDescent="0.25">
      <c r="A14565" t="str">
        <f>"009939905"</f>
        <v>009939905</v>
      </c>
      <c r="B14565" t="str">
        <f>"1952989675"</f>
        <v>1952989675</v>
      </c>
      <c r="C14565" t="str">
        <f>"208000000X"</f>
        <v>208000000X</v>
      </c>
      <c r="D14565" t="str">
        <f>"LEWIS                    HALLYE                   "</f>
        <v xml:space="preserve">LEWIS                    HALLYE                   </v>
      </c>
      <c r="E14565" t="str">
        <f>"CLINTON                   "</f>
        <v xml:space="preserve">CLINTON                   </v>
      </c>
      <c r="F14565" t="str">
        <f t="shared" si="368"/>
        <v>MS</v>
      </c>
    </row>
    <row r="14566" spans="1:6" x14ac:dyDescent="0.25">
      <c r="A14566" t="str">
        <f>"009950836"</f>
        <v>009950836</v>
      </c>
      <c r="B14566" t="str">
        <f>"1144423005"</f>
        <v>1144423005</v>
      </c>
      <c r="C14566" t="str">
        <f>"208000000X"</f>
        <v>208000000X</v>
      </c>
      <c r="D14566" t="str">
        <f>"VAUGHN                   ALISHA       S           "</f>
        <v xml:space="preserve">VAUGHN                   ALISHA       S           </v>
      </c>
      <c r="E14566" t="str">
        <f>"FLOWOOD                   "</f>
        <v xml:space="preserve">FLOWOOD                   </v>
      </c>
      <c r="F14566" t="str">
        <f t="shared" si="368"/>
        <v>MS</v>
      </c>
    </row>
    <row r="14567" spans="1:6" x14ac:dyDescent="0.25">
      <c r="A14567" t="str">
        <f>"009950883"</f>
        <v>009950883</v>
      </c>
      <c r="B14567" t="str">
        <f>"1275182818"</f>
        <v>1275182818</v>
      </c>
      <c r="C14567" t="str">
        <f>"363L00000X"</f>
        <v>363L00000X</v>
      </c>
      <c r="D14567" t="str">
        <f>"POUNDS                   ANDREA                   "</f>
        <v xml:space="preserve">POUNDS                   ANDREA                   </v>
      </c>
      <c r="E14567" t="str">
        <f>"TUPELO                    "</f>
        <v xml:space="preserve">TUPELO                    </v>
      </c>
      <c r="F14567" t="str">
        <f t="shared" si="368"/>
        <v>MS</v>
      </c>
    </row>
    <row r="14568" spans="1:6" x14ac:dyDescent="0.25">
      <c r="A14568" t="str">
        <f>"009952743"</f>
        <v>009952743</v>
      </c>
      <c r="B14568" t="str">
        <f>"1730277757"</f>
        <v>1730277757</v>
      </c>
      <c r="C14568" t="str">
        <f>"207R00000X"</f>
        <v>207R00000X</v>
      </c>
      <c r="D14568" t="str">
        <f>"BOLES                    NATHAN       D           "</f>
        <v xml:space="preserve">BOLES                    NATHAN       D           </v>
      </c>
      <c r="E14568" t="str">
        <f>"GULFPORT                  "</f>
        <v xml:space="preserve">GULFPORT                  </v>
      </c>
      <c r="F14568" t="str">
        <f t="shared" si="368"/>
        <v>MS</v>
      </c>
    </row>
    <row r="14569" spans="1:6" x14ac:dyDescent="0.25">
      <c r="A14569" t="str">
        <f>"009953206"</f>
        <v>009953206</v>
      </c>
      <c r="B14569" t="str">
        <f>"1629329289"</f>
        <v>1629329289</v>
      </c>
      <c r="C14569" t="str">
        <f>"363L00000X"</f>
        <v>363L00000X</v>
      </c>
      <c r="D14569" t="str">
        <f>"BLANKENSHIP              CARMIE       S           "</f>
        <v xml:space="preserve">BLANKENSHIP              CARMIE       S           </v>
      </c>
      <c r="E14569" t="str">
        <f>"GRENADA                   "</f>
        <v xml:space="preserve">GRENADA                   </v>
      </c>
      <c r="F14569" t="str">
        <f t="shared" si="368"/>
        <v>MS</v>
      </c>
    </row>
    <row r="14570" spans="1:6" x14ac:dyDescent="0.25">
      <c r="A14570" t="str">
        <f>"009953812"</f>
        <v>009953812</v>
      </c>
      <c r="B14570" t="str">
        <f>"1689920209"</f>
        <v>1689920209</v>
      </c>
      <c r="C14570" t="str">
        <f>"363L00000X"</f>
        <v>363L00000X</v>
      </c>
      <c r="D14570" t="str">
        <f>"CAMPBELL                 PATRICIA     L           "</f>
        <v xml:space="preserve">CAMPBELL                 PATRICIA     L           </v>
      </c>
      <c r="E14570" t="str">
        <f>"MACON                     "</f>
        <v xml:space="preserve">MACON                     </v>
      </c>
      <c r="F14570" t="str">
        <f t="shared" si="368"/>
        <v>MS</v>
      </c>
    </row>
    <row r="14571" spans="1:6" x14ac:dyDescent="0.25">
      <c r="A14571" t="str">
        <f>"009953898"</f>
        <v>009953898</v>
      </c>
      <c r="B14571" t="str">
        <f>"1740455138"</f>
        <v>1740455138</v>
      </c>
      <c r="C14571" t="str">
        <f>"363L00000X"</f>
        <v>363L00000X</v>
      </c>
      <c r="D14571" t="str">
        <f>"BROWN                    JENNIE                   "</f>
        <v xml:space="preserve">BROWN                    JENNIE                   </v>
      </c>
      <c r="E14571" t="str">
        <f>"FLOWOOD                   "</f>
        <v xml:space="preserve">FLOWOOD                   </v>
      </c>
      <c r="F14571" t="str">
        <f t="shared" si="368"/>
        <v>MS</v>
      </c>
    </row>
    <row r="14572" spans="1:6" x14ac:dyDescent="0.25">
      <c r="A14572" t="str">
        <f>"009955018"</f>
        <v>009955018</v>
      </c>
      <c r="B14572" t="str">
        <f>"1134680705"</f>
        <v>1134680705</v>
      </c>
      <c r="C14572" t="str">
        <f>"2085R0202X"</f>
        <v>2085R0202X</v>
      </c>
      <c r="D14572" t="str">
        <f>"KLEINPETER               SCOTT        M           "</f>
        <v xml:space="preserve">KLEINPETER               SCOTT        M           </v>
      </c>
      <c r="E14572" t="str">
        <f>"JACKSON                   "</f>
        <v xml:space="preserve">JACKSON                   </v>
      </c>
      <c r="F14572" t="str">
        <f t="shared" si="368"/>
        <v>MS</v>
      </c>
    </row>
    <row r="14573" spans="1:6" x14ac:dyDescent="0.25">
      <c r="A14573" t="str">
        <f>"009955501"</f>
        <v>009955501</v>
      </c>
      <c r="B14573" t="str">
        <f>"1225760598"</f>
        <v>1225760598</v>
      </c>
      <c r="C14573" t="str">
        <f>"207Q00000X"</f>
        <v>207Q00000X</v>
      </c>
      <c r="D14573" t="str">
        <f>"BLUNDELL                 KELSEY       O           "</f>
        <v xml:space="preserve">BLUNDELL                 KELSEY       O           </v>
      </c>
      <c r="E14573" t="str">
        <f>"TUPELO                    "</f>
        <v xml:space="preserve">TUPELO                    </v>
      </c>
      <c r="F14573" t="str">
        <f t="shared" si="368"/>
        <v>MS</v>
      </c>
    </row>
    <row r="14574" spans="1:6" x14ac:dyDescent="0.25">
      <c r="A14574" t="str">
        <f>"009956360"</f>
        <v>009956360</v>
      </c>
      <c r="B14574" t="str">
        <f>"1104235951"</f>
        <v>1104235951</v>
      </c>
      <c r="C14574" t="str">
        <f>"261QM1300X"</f>
        <v>261QM1300X</v>
      </c>
      <c r="D14574" t="str">
        <f>"YEATES CONSULTING                                 "</f>
        <v xml:space="preserve">YEATES CONSULTING                                 </v>
      </c>
      <c r="E14574" t="str">
        <f>"COLUMBUS                  "</f>
        <v xml:space="preserve">COLUMBUS                  </v>
      </c>
      <c r="F14574" t="str">
        <f t="shared" si="368"/>
        <v>MS</v>
      </c>
    </row>
    <row r="14575" spans="1:6" x14ac:dyDescent="0.25">
      <c r="A14575" t="str">
        <f>"009957805"</f>
        <v>009957805</v>
      </c>
      <c r="B14575" t="str">
        <f>"1639835234"</f>
        <v>1639835234</v>
      </c>
      <c r="C14575" t="str">
        <f>"363L00000X"</f>
        <v>363L00000X</v>
      </c>
      <c r="D14575" t="str">
        <f>"COTTRELL                 CHELSEA                  "</f>
        <v xml:space="preserve">COTTRELL                 CHELSEA                  </v>
      </c>
      <c r="E14575" t="str">
        <f>"PONTOTOC                  "</f>
        <v xml:space="preserve">PONTOTOC                  </v>
      </c>
      <c r="F14575" t="str">
        <f t="shared" si="368"/>
        <v>MS</v>
      </c>
    </row>
    <row r="14576" spans="1:6" x14ac:dyDescent="0.25">
      <c r="A14576" t="str">
        <f>"009958075"</f>
        <v>009958075</v>
      </c>
      <c r="B14576" t="str">
        <f>"1356091953"</f>
        <v>1356091953</v>
      </c>
      <c r="C14576" t="str">
        <f>"207Y00000X"</f>
        <v>207Y00000X</v>
      </c>
      <c r="D14576" t="str">
        <f>"BABIN                    KATHERINE                "</f>
        <v xml:space="preserve">BABIN                    KATHERINE                </v>
      </c>
      <c r="E14576" t="str">
        <f>"JACKSON                   "</f>
        <v xml:space="preserve">JACKSON                   </v>
      </c>
      <c r="F14576" t="str">
        <f t="shared" si="368"/>
        <v>MS</v>
      </c>
    </row>
    <row r="14577" spans="1:6" x14ac:dyDescent="0.25">
      <c r="A14577" t="str">
        <f>"009959571"</f>
        <v>009959571</v>
      </c>
      <c r="B14577" t="str">
        <f>"1184678716"</f>
        <v>1184678716</v>
      </c>
      <c r="C14577" t="str">
        <f>"363L00000X"</f>
        <v>363L00000X</v>
      </c>
      <c r="D14577" t="str">
        <f>"BENNETT                  MIRANDA      L           "</f>
        <v xml:space="preserve">BENNETT                  MIRANDA      L           </v>
      </c>
      <c r="E14577" t="str">
        <f>"OXFORD                    "</f>
        <v xml:space="preserve">OXFORD                    </v>
      </c>
      <c r="F14577" t="str">
        <f t="shared" si="368"/>
        <v>MS</v>
      </c>
    </row>
    <row r="14578" spans="1:6" x14ac:dyDescent="0.25">
      <c r="A14578" t="str">
        <f>"009970095"</f>
        <v>009970095</v>
      </c>
      <c r="B14578" t="str">
        <f>"1619350915"</f>
        <v>1619350915</v>
      </c>
      <c r="C14578" t="str">
        <f>"122300000X"</f>
        <v>122300000X</v>
      </c>
      <c r="D14578" t="str">
        <f>"BRADLEY                  MELISSA      J           "</f>
        <v xml:space="preserve">BRADLEY                  MELISSA      J           </v>
      </c>
      <c r="E14578" t="str">
        <f>"JACKSON                   "</f>
        <v xml:space="preserve">JACKSON                   </v>
      </c>
      <c r="F14578" t="str">
        <f t="shared" si="368"/>
        <v>MS</v>
      </c>
    </row>
    <row r="14579" spans="1:6" x14ac:dyDescent="0.25">
      <c r="A14579" t="str">
        <f>"009970770"</f>
        <v>009970770</v>
      </c>
      <c r="B14579" t="str">
        <f>"1518378116"</f>
        <v>1518378116</v>
      </c>
      <c r="C14579" t="str">
        <f>"208D00000X"</f>
        <v>208D00000X</v>
      </c>
      <c r="D14579" t="str">
        <f>"CURRIE                   WILLIAM      K           "</f>
        <v xml:space="preserve">CURRIE                   WILLIAM      K           </v>
      </c>
      <c r="E14579" t="str">
        <f>"ELLISVILLE                "</f>
        <v xml:space="preserve">ELLISVILLE                </v>
      </c>
      <c r="F14579" t="str">
        <f t="shared" si="368"/>
        <v>MS</v>
      </c>
    </row>
    <row r="14580" spans="1:6" x14ac:dyDescent="0.25">
      <c r="A14580" t="str">
        <f>"009971043"</f>
        <v>009971043</v>
      </c>
      <c r="B14580" t="str">
        <f>"1336517606"</f>
        <v>1336517606</v>
      </c>
      <c r="C14580" t="str">
        <f>"261QF0400X"</f>
        <v>261QF0400X</v>
      </c>
      <c r="D14580" t="str">
        <f>"DELTA HEALTH CENTER INC                           "</f>
        <v xml:space="preserve">DELTA HEALTH CENTER INC                           </v>
      </c>
      <c r="E14580" t="str">
        <f>"ROLLING FORK              "</f>
        <v xml:space="preserve">ROLLING FORK              </v>
      </c>
      <c r="F14580" t="str">
        <f t="shared" si="368"/>
        <v>MS</v>
      </c>
    </row>
    <row r="14581" spans="1:6" x14ac:dyDescent="0.25">
      <c r="A14581" t="str">
        <f>"009972760"</f>
        <v>009972760</v>
      </c>
      <c r="B14581" t="str">
        <f>"1588104814"</f>
        <v>1588104814</v>
      </c>
      <c r="C14581" t="str">
        <f>"261QM3000X"</f>
        <v>261QM3000X</v>
      </c>
      <c r="D14581" t="str">
        <f>"GULF COAST PEDIATRIC CARE PASCAGOUL               "</f>
        <v xml:space="preserve">GULF COAST PEDIATRIC CARE PASCAGOUL               </v>
      </c>
      <c r="E14581" t="str">
        <f>"PASCAGOULA                "</f>
        <v xml:space="preserve">PASCAGOULA                </v>
      </c>
      <c r="F14581" t="str">
        <f t="shared" si="368"/>
        <v>MS</v>
      </c>
    </row>
    <row r="14582" spans="1:6" x14ac:dyDescent="0.25">
      <c r="A14582" t="str">
        <f>"009973002"</f>
        <v>009973002</v>
      </c>
      <c r="B14582" t="str">
        <f>"1144519141"</f>
        <v>1144519141</v>
      </c>
      <c r="C14582" t="str">
        <f>"207P00000X"</f>
        <v>207P00000X</v>
      </c>
      <c r="D14582" t="str">
        <f>"BOIK-PRICE               LINDSAY                  "</f>
        <v xml:space="preserve">BOIK-PRICE               LINDSAY                  </v>
      </c>
      <c r="E14582" t="str">
        <f>"CLARKSDALE                "</f>
        <v xml:space="preserve">CLARKSDALE                </v>
      </c>
      <c r="F14582" t="str">
        <f t="shared" si="368"/>
        <v>MS</v>
      </c>
    </row>
    <row r="14583" spans="1:6" x14ac:dyDescent="0.25">
      <c r="A14583" t="str">
        <f>"009974385"</f>
        <v>009974385</v>
      </c>
      <c r="B14583" t="str">
        <f>"1053821793"</f>
        <v>1053821793</v>
      </c>
      <c r="C14583" t="str">
        <f>"363L00000X"</f>
        <v>363L00000X</v>
      </c>
      <c r="D14583" t="str">
        <f>"HAMBLIN                  SHELLEY      M           "</f>
        <v xml:space="preserve">HAMBLIN                  SHELLEY      M           </v>
      </c>
      <c r="E14583" t="str">
        <f>"TUPELO                    "</f>
        <v xml:space="preserve">TUPELO                    </v>
      </c>
      <c r="F14583" t="str">
        <f t="shared" si="368"/>
        <v>MS</v>
      </c>
    </row>
    <row r="14584" spans="1:6" x14ac:dyDescent="0.25">
      <c r="A14584" t="str">
        <f>"009975030"</f>
        <v>009975030</v>
      </c>
      <c r="B14584" t="str">
        <f>"1679837066"</f>
        <v>1679837066</v>
      </c>
      <c r="C14584" t="str">
        <f>"207K00000X"</f>
        <v>207K00000X</v>
      </c>
      <c r="D14584" t="str">
        <f>"LEBLANC                  STEPHEN      B           "</f>
        <v xml:space="preserve">LEBLANC                  STEPHEN      B           </v>
      </c>
      <c r="E14584" t="str">
        <f>"MERIDIAN                  "</f>
        <v xml:space="preserve">MERIDIAN                  </v>
      </c>
      <c r="F14584" t="str">
        <f t="shared" si="368"/>
        <v>MS</v>
      </c>
    </row>
    <row r="14585" spans="1:6" x14ac:dyDescent="0.25">
      <c r="A14585" t="str">
        <f>"009975098"</f>
        <v>009975098</v>
      </c>
      <c r="B14585" t="str">
        <f>"1629634506"</f>
        <v>1629634506</v>
      </c>
      <c r="C14585" t="str">
        <f>"363L00000X"</f>
        <v>363L00000X</v>
      </c>
      <c r="D14585" t="str">
        <f>"GATLIN                   MATT         K           "</f>
        <v xml:space="preserve">GATLIN                   MATT         K           </v>
      </c>
      <c r="E14585" t="str">
        <f>"GULFPORT                  "</f>
        <v xml:space="preserve">GULFPORT                  </v>
      </c>
      <c r="F14585" t="str">
        <f t="shared" si="368"/>
        <v>MS</v>
      </c>
    </row>
    <row r="14586" spans="1:6" x14ac:dyDescent="0.25">
      <c r="A14586" t="str">
        <f>"009975871"</f>
        <v>009975871</v>
      </c>
      <c r="B14586" t="str">
        <f>"1326704321"</f>
        <v>1326704321</v>
      </c>
      <c r="C14586" t="str">
        <f>"363L00000X"</f>
        <v>363L00000X</v>
      </c>
      <c r="D14586" t="str">
        <f>"POWELL                   VIRGINIA     L           "</f>
        <v xml:space="preserve">POWELL                   VIRGINIA     L           </v>
      </c>
      <c r="E14586" t="str">
        <f>"JACKSON                   "</f>
        <v xml:space="preserve">JACKSON                   </v>
      </c>
      <c r="F14586" t="str">
        <f t="shared" si="368"/>
        <v>MS</v>
      </c>
    </row>
    <row r="14587" spans="1:6" x14ac:dyDescent="0.25">
      <c r="A14587" t="str">
        <f>"009976282"</f>
        <v>009976282</v>
      </c>
      <c r="B14587" t="str">
        <f>"1114489507"</f>
        <v>1114489507</v>
      </c>
      <c r="C14587" t="str">
        <f>"207Q00000X"</f>
        <v>207Q00000X</v>
      </c>
      <c r="D14587" t="str">
        <f>"MARTIN                   JOHN         L           "</f>
        <v xml:space="preserve">MARTIN                   JOHN         L           </v>
      </c>
      <c r="E14587" t="str">
        <f>"HATTIESBURG               "</f>
        <v xml:space="preserve">HATTIESBURG               </v>
      </c>
      <c r="F14587" t="str">
        <f t="shared" si="368"/>
        <v>MS</v>
      </c>
    </row>
    <row r="14588" spans="1:6" x14ac:dyDescent="0.25">
      <c r="A14588" t="str">
        <f>"009976358"</f>
        <v>009976358</v>
      </c>
      <c r="B14588" t="str">
        <f>"1356464523"</f>
        <v>1356464523</v>
      </c>
      <c r="C14588" t="str">
        <f>"208VP0014X"</f>
        <v>208VP0014X</v>
      </c>
      <c r="D14588" t="str">
        <f>"HAPWORTH                 HUNTINGTON   T           "</f>
        <v xml:space="preserve">HAPWORTH                 HUNTINGTON   T           </v>
      </c>
      <c r="E14588" t="str">
        <f>"PASCAGOULA                "</f>
        <v xml:space="preserve">PASCAGOULA                </v>
      </c>
      <c r="F14588" t="str">
        <f t="shared" si="368"/>
        <v>MS</v>
      </c>
    </row>
    <row r="14589" spans="1:6" x14ac:dyDescent="0.25">
      <c r="A14589" t="str">
        <f>"009976791"</f>
        <v>009976791</v>
      </c>
      <c r="B14589" t="str">
        <f>"1053545913"</f>
        <v>1053545913</v>
      </c>
      <c r="C14589" t="str">
        <f>"207R00000X"</f>
        <v>207R00000X</v>
      </c>
      <c r="D14589" t="str">
        <f>"SELVARAJ                 PRADEEP      K           "</f>
        <v xml:space="preserve">SELVARAJ                 PRADEEP      K           </v>
      </c>
      <c r="E14589" t="str">
        <f>"WOODVILLE                 "</f>
        <v xml:space="preserve">WOODVILLE                 </v>
      </c>
      <c r="F14589" t="str">
        <f t="shared" si="368"/>
        <v>MS</v>
      </c>
    </row>
    <row r="14590" spans="1:6" x14ac:dyDescent="0.25">
      <c r="A14590" t="str">
        <f>"009981721"</f>
        <v>009981721</v>
      </c>
      <c r="B14590" t="str">
        <f>"1508043951"</f>
        <v>1508043951</v>
      </c>
      <c r="C14590" t="str">
        <f>"363L00000X"</f>
        <v>363L00000X</v>
      </c>
      <c r="D14590" t="str">
        <f>"MOSLEY                   MARGARET                 "</f>
        <v xml:space="preserve">MOSLEY                   MARGARET                 </v>
      </c>
      <c r="E14590" t="str">
        <f>"JACKSON                   "</f>
        <v xml:space="preserve">JACKSON                   </v>
      </c>
      <c r="F14590" t="str">
        <f t="shared" ref="F14590:F14653" si="369">"MS"</f>
        <v>MS</v>
      </c>
    </row>
    <row r="14591" spans="1:6" x14ac:dyDescent="0.25">
      <c r="A14591" t="str">
        <f>"009981878"</f>
        <v>009981878</v>
      </c>
      <c r="B14591" t="str">
        <f>"1376698977"</f>
        <v>1376698977</v>
      </c>
      <c r="C14591" t="str">
        <f>"207L00000X"</f>
        <v>207L00000X</v>
      </c>
      <c r="D14591" t="str">
        <f>"MCLEOD                   SCOTT        H           "</f>
        <v xml:space="preserve">MCLEOD                   SCOTT        H           </v>
      </c>
      <c r="E14591" t="str">
        <f>"JACKSON                   "</f>
        <v xml:space="preserve">JACKSON                   </v>
      </c>
      <c r="F14591" t="str">
        <f t="shared" si="369"/>
        <v>MS</v>
      </c>
    </row>
    <row r="14592" spans="1:6" x14ac:dyDescent="0.25">
      <c r="A14592" t="str">
        <f>"009982851"</f>
        <v>009982851</v>
      </c>
      <c r="B14592" t="str">
        <f>"1942425459"</f>
        <v>1942425459</v>
      </c>
      <c r="C14592" t="str">
        <f>"207RS0010X"</f>
        <v>207RS0010X</v>
      </c>
      <c r="D14592" t="str">
        <f>"RULEWICZ                 GABRIEL      J           "</f>
        <v xml:space="preserve">RULEWICZ                 GABRIEL      J           </v>
      </c>
      <c r="E14592" t="str">
        <f>"TUPELO                    "</f>
        <v xml:space="preserve">TUPELO                    </v>
      </c>
      <c r="F14592" t="str">
        <f t="shared" si="369"/>
        <v>MS</v>
      </c>
    </row>
    <row r="14593" spans="1:6" x14ac:dyDescent="0.25">
      <c r="A14593" t="str">
        <f>"009983301"</f>
        <v>009983301</v>
      </c>
      <c r="B14593" t="str">
        <f>"1083942338"</f>
        <v>1083942338</v>
      </c>
      <c r="C14593" t="str">
        <f>"207Q00000X"</f>
        <v>207Q00000X</v>
      </c>
      <c r="D14593" t="str">
        <f>"SHIVES                   JASON        L           "</f>
        <v xml:space="preserve">SHIVES                   JASON        L           </v>
      </c>
      <c r="E14593" t="str">
        <f>"HATTIESBURG               "</f>
        <v xml:space="preserve">HATTIESBURG               </v>
      </c>
      <c r="F14593" t="str">
        <f t="shared" si="369"/>
        <v>MS</v>
      </c>
    </row>
    <row r="14594" spans="1:6" x14ac:dyDescent="0.25">
      <c r="A14594" t="str">
        <f>"009983823"</f>
        <v>009983823</v>
      </c>
      <c r="B14594" t="str">
        <f>"1245991876"</f>
        <v>1245991876</v>
      </c>
      <c r="C14594" t="str">
        <f>"367500000X"</f>
        <v>367500000X</v>
      </c>
      <c r="D14594" t="str">
        <f>"BERRY                    KRISTEN                  "</f>
        <v xml:space="preserve">BERRY                    KRISTEN                  </v>
      </c>
      <c r="E14594" t="str">
        <f>"JACKSON                   "</f>
        <v xml:space="preserve">JACKSON                   </v>
      </c>
      <c r="F14594" t="str">
        <f t="shared" si="369"/>
        <v>MS</v>
      </c>
    </row>
    <row r="14595" spans="1:6" x14ac:dyDescent="0.25">
      <c r="A14595" t="str">
        <f>"009986891"</f>
        <v>009986891</v>
      </c>
      <c r="B14595" t="str">
        <f>"1316338833"</f>
        <v>1316338833</v>
      </c>
      <c r="C14595" t="str">
        <f>"363L00000X"</f>
        <v>363L00000X</v>
      </c>
      <c r="D14595" t="str">
        <f>"HENSON                   VENETTA      D           "</f>
        <v xml:space="preserve">HENSON                   VENETTA      D           </v>
      </c>
      <c r="E14595" t="str">
        <f>"MOOREVILLE                "</f>
        <v xml:space="preserve">MOOREVILLE                </v>
      </c>
      <c r="F14595" t="str">
        <f t="shared" si="369"/>
        <v>MS</v>
      </c>
    </row>
    <row r="14596" spans="1:6" x14ac:dyDescent="0.25">
      <c r="A14596" t="str">
        <f>"009988555"</f>
        <v>009988555</v>
      </c>
      <c r="B14596" t="str">
        <f>"1528492170"</f>
        <v>1528492170</v>
      </c>
      <c r="C14596" t="str">
        <f>"152W00000X"</f>
        <v>152W00000X</v>
      </c>
      <c r="D14596" t="str">
        <f>"HELTON                   ASHLEY       L           "</f>
        <v xml:space="preserve">HELTON                   ASHLEY       L           </v>
      </c>
      <c r="E14596" t="str">
        <f>"TISHOMINGO                "</f>
        <v xml:space="preserve">TISHOMINGO                </v>
      </c>
      <c r="F14596" t="str">
        <f t="shared" si="369"/>
        <v>MS</v>
      </c>
    </row>
    <row r="14597" spans="1:6" x14ac:dyDescent="0.25">
      <c r="A14597" t="str">
        <f>"009988811"</f>
        <v>009988811</v>
      </c>
      <c r="B14597" t="str">
        <f>"1770535734"</f>
        <v>1770535734</v>
      </c>
      <c r="C14597" t="str">
        <f>"208600000X"</f>
        <v>208600000X</v>
      </c>
      <c r="D14597" t="str">
        <f>"METHVIN                  JAMES        T           "</f>
        <v xml:space="preserve">METHVIN                  JAMES        T           </v>
      </c>
      <c r="E14597" t="str">
        <f>"STARKVILLE                "</f>
        <v xml:space="preserve">STARKVILLE                </v>
      </c>
      <c r="F14597" t="str">
        <f t="shared" si="369"/>
        <v>MS</v>
      </c>
    </row>
    <row r="14598" spans="1:6" x14ac:dyDescent="0.25">
      <c r="A14598" t="str">
        <f>"100000051"</f>
        <v>100000051</v>
      </c>
      <c r="B14598" t="str">
        <f>"1073626511"</f>
        <v>1073626511</v>
      </c>
      <c r="C14598" t="str">
        <f>"261QM0801X"</f>
        <v>261QM0801X</v>
      </c>
      <c r="D14598" t="str">
        <f>"WEEMS COMMUNITY MENTAL HEALTH CENTE               "</f>
        <v xml:space="preserve">WEEMS COMMUNITY MENTAL HEALTH CENTE               </v>
      </c>
      <c r="E14598" t="str">
        <f>"DE KALB                   "</f>
        <v xml:space="preserve">DE KALB                   </v>
      </c>
      <c r="F14598" t="str">
        <f t="shared" si="369"/>
        <v>MS</v>
      </c>
    </row>
    <row r="14599" spans="1:6" x14ac:dyDescent="0.25">
      <c r="A14599" t="str">
        <f>"100000053"</f>
        <v>100000053</v>
      </c>
      <c r="B14599" t="str">
        <f>"1073626511"</f>
        <v>1073626511</v>
      </c>
      <c r="C14599" t="str">
        <f>"261QM0801X"</f>
        <v>261QM0801X</v>
      </c>
      <c r="D14599" t="str">
        <f>"WEEMS COMMUNITY MENTAL HEALTH CENTE               "</f>
        <v xml:space="preserve">WEEMS COMMUNITY MENTAL HEALTH CENTE               </v>
      </c>
      <c r="E14599" t="str">
        <f>"CARTHAGE                  "</f>
        <v xml:space="preserve">CARTHAGE                  </v>
      </c>
      <c r="F14599" t="str">
        <f t="shared" si="369"/>
        <v>MS</v>
      </c>
    </row>
    <row r="14600" spans="1:6" x14ac:dyDescent="0.25">
      <c r="A14600" t="str">
        <f>"100000054"</f>
        <v>100000054</v>
      </c>
      <c r="B14600" t="str">
        <f>"1073626511"</f>
        <v>1073626511</v>
      </c>
      <c r="C14600" t="str">
        <f>"261QM0801X"</f>
        <v>261QM0801X</v>
      </c>
      <c r="D14600" t="str">
        <f>"WEEMS COMMUNITY MENTAL HEALTH CENTE               "</f>
        <v xml:space="preserve">WEEMS COMMUNITY MENTAL HEALTH CENTE               </v>
      </c>
      <c r="E14600" t="str">
        <f>"PHILADELPHIA              "</f>
        <v xml:space="preserve">PHILADELPHIA              </v>
      </c>
      <c r="F14600" t="str">
        <f t="shared" si="369"/>
        <v>MS</v>
      </c>
    </row>
    <row r="14601" spans="1:6" x14ac:dyDescent="0.25">
      <c r="A14601" t="str">
        <f>"100000055"</f>
        <v>100000055</v>
      </c>
      <c r="B14601" t="str">
        <f>"1073626511"</f>
        <v>1073626511</v>
      </c>
      <c r="C14601" t="str">
        <f>"261QM0801X"</f>
        <v>261QM0801X</v>
      </c>
      <c r="D14601" t="str">
        <f>"WEEMS COMMUNITY MENTAL HEALTH CENTE               "</f>
        <v xml:space="preserve">WEEMS COMMUNITY MENTAL HEALTH CENTE               </v>
      </c>
      <c r="E14601" t="str">
        <f>"MERIDIAN                  "</f>
        <v xml:space="preserve">MERIDIAN                  </v>
      </c>
      <c r="F14601" t="str">
        <f t="shared" si="369"/>
        <v>MS</v>
      </c>
    </row>
    <row r="14602" spans="1:6" x14ac:dyDescent="0.25">
      <c r="A14602" t="str">
        <f>"100000058"</f>
        <v>100000058</v>
      </c>
      <c r="B14602" t="str">
        <f>"1073626511"</f>
        <v>1073626511</v>
      </c>
      <c r="C14602" t="str">
        <f>"261QM0801X"</f>
        <v>261QM0801X</v>
      </c>
      <c r="D14602" t="str">
        <f>"WEEMS COMMUNITY MENTAL HEALTH CENTE               "</f>
        <v xml:space="preserve">WEEMS COMMUNITY MENTAL HEALTH CENTE               </v>
      </c>
      <c r="E14602" t="str">
        <f>"DECATUR                   "</f>
        <v xml:space="preserve">DECATUR                   </v>
      </c>
      <c r="F14602" t="str">
        <f t="shared" si="369"/>
        <v>MS</v>
      </c>
    </row>
    <row r="14603" spans="1:6" x14ac:dyDescent="0.25">
      <c r="A14603" t="str">
        <f>"100002374"</f>
        <v>100002374</v>
      </c>
      <c r="B14603" t="str">
        <f>"1043815855"</f>
        <v>1043815855</v>
      </c>
      <c r="C14603" t="str">
        <f>"122300000X"</f>
        <v>122300000X</v>
      </c>
      <c r="D14603" t="str">
        <f>"ORAL AND FACIAL SURGERY CENTER                    "</f>
        <v xml:space="preserve">ORAL AND FACIAL SURGERY CENTER                    </v>
      </c>
      <c r="E14603" t="str">
        <f>"HATTIESBURG               "</f>
        <v xml:space="preserve">HATTIESBURG               </v>
      </c>
      <c r="F14603" t="str">
        <f t="shared" si="369"/>
        <v>MS</v>
      </c>
    </row>
    <row r="14604" spans="1:6" x14ac:dyDescent="0.25">
      <c r="A14604" t="str">
        <f>"100002909"</f>
        <v>100002909</v>
      </c>
      <c r="B14604" t="str">
        <f>"1164509675"</f>
        <v>1164509675</v>
      </c>
      <c r="C14604" t="str">
        <f>"152W00000X"</f>
        <v>152W00000X</v>
      </c>
      <c r="D14604" t="str">
        <f>"PREMIER EYE CLINIC PLLC                           "</f>
        <v xml:space="preserve">PREMIER EYE CLINIC PLLC                           </v>
      </c>
      <c r="E14604" t="str">
        <f>"PASCAGOULA                "</f>
        <v xml:space="preserve">PASCAGOULA                </v>
      </c>
      <c r="F14604" t="str">
        <f t="shared" si="369"/>
        <v>MS</v>
      </c>
    </row>
    <row r="14605" spans="1:6" x14ac:dyDescent="0.25">
      <c r="A14605" t="str">
        <f>"100003063"</f>
        <v>100003063</v>
      </c>
      <c r="B14605" t="str">
        <f>"1124288501"</f>
        <v>1124288501</v>
      </c>
      <c r="C14605" t="str">
        <f>"261QF0400X"</f>
        <v>261QF0400X</v>
      </c>
      <c r="D14605" t="str">
        <f>"COASTAL FAMILY HEALTH CENTER                      "</f>
        <v xml:space="preserve">COASTAL FAMILY HEALTH CENTER                      </v>
      </c>
      <c r="E14605" t="str">
        <f>"BILOXI                    "</f>
        <v xml:space="preserve">BILOXI                    </v>
      </c>
      <c r="F14605" t="str">
        <f t="shared" si="369"/>
        <v>MS</v>
      </c>
    </row>
    <row r="14606" spans="1:6" x14ac:dyDescent="0.25">
      <c r="A14606" t="str">
        <f>"100003113"</f>
        <v>100003113</v>
      </c>
      <c r="B14606" t="str">
        <f>"1073715579"</f>
        <v>1073715579</v>
      </c>
      <c r="C14606" t="str">
        <f>"122300000X"</f>
        <v>122300000X</v>
      </c>
      <c r="D14606" t="str">
        <f>"CHOCTAW HEALTH CENTER-DENTAL                      "</f>
        <v xml:space="preserve">CHOCTAW HEALTH CENTER-DENTAL                      </v>
      </c>
      <c r="E14606" t="str">
        <f>"PHILADELPHIA              "</f>
        <v xml:space="preserve">PHILADELPHIA              </v>
      </c>
      <c r="F14606" t="str">
        <f t="shared" si="369"/>
        <v>MS</v>
      </c>
    </row>
    <row r="14607" spans="1:6" x14ac:dyDescent="0.25">
      <c r="A14607" t="str">
        <f>"100003114"</f>
        <v>100003114</v>
      </c>
      <c r="B14607" t="str">
        <f>"1073715579"</f>
        <v>1073715579</v>
      </c>
      <c r="C14607" t="str">
        <f>"122300000X"</f>
        <v>122300000X</v>
      </c>
      <c r="D14607" t="str">
        <f>"CHOCTAW HEALTH CENTER-DENTAL                      "</f>
        <v xml:space="preserve">CHOCTAW HEALTH CENTER-DENTAL                      </v>
      </c>
      <c r="E14607" t="str">
        <f>"CONEHATTA                 "</f>
        <v xml:space="preserve">CONEHATTA                 </v>
      </c>
      <c r="F14607" t="str">
        <f t="shared" si="369"/>
        <v>MS</v>
      </c>
    </row>
    <row r="14608" spans="1:6" x14ac:dyDescent="0.25">
      <c r="A14608" t="str">
        <f>"100003115"</f>
        <v>100003115</v>
      </c>
      <c r="B14608" t="str">
        <f>"1073715579"</f>
        <v>1073715579</v>
      </c>
      <c r="C14608" t="str">
        <f>"122300000X"</f>
        <v>122300000X</v>
      </c>
      <c r="D14608" t="str">
        <f>"CHOCTAW HEALTH CENTER-DENTAL                      "</f>
        <v xml:space="preserve">CHOCTAW HEALTH CENTER-DENTAL                      </v>
      </c>
      <c r="E14608" t="str">
        <f>"CARTHAGE                  "</f>
        <v xml:space="preserve">CARTHAGE                  </v>
      </c>
      <c r="F14608" t="str">
        <f t="shared" si="369"/>
        <v>MS</v>
      </c>
    </row>
    <row r="14609" spans="1:6" x14ac:dyDescent="0.25">
      <c r="A14609" t="str">
        <f>"100003375"</f>
        <v>100003375</v>
      </c>
      <c r="B14609" t="str">
        <f>"1114240421"</f>
        <v>1114240421</v>
      </c>
      <c r="C14609" t="str">
        <f>"152W00000X"</f>
        <v>152W00000X</v>
      </c>
      <c r="D14609" t="str">
        <f>"CHOCTAW HEALTH CENTER OPTOMETRY                   "</f>
        <v xml:space="preserve">CHOCTAW HEALTH CENTER OPTOMETRY                   </v>
      </c>
      <c r="E14609" t="str">
        <f>"CHOCTAW                   "</f>
        <v xml:space="preserve">CHOCTAW                   </v>
      </c>
      <c r="F14609" t="str">
        <f t="shared" si="369"/>
        <v>MS</v>
      </c>
    </row>
    <row r="14610" spans="1:6" x14ac:dyDescent="0.25">
      <c r="A14610" t="str">
        <f>"100003554"</f>
        <v>100003554</v>
      </c>
      <c r="B14610" t="str">
        <f>"1053750125"</f>
        <v>1053750125</v>
      </c>
      <c r="C14610" t="str">
        <f>"261QR1300X"</f>
        <v>261QR1300X</v>
      </c>
      <c r="D14610" t="str">
        <f>"BAPTIST ANDERSON FAMILY MEDICAL CENTER - AIRPARK  "</f>
        <v xml:space="preserve">BAPTIST ANDERSON FAMILY MEDICAL CENTER - AIRPARK  </v>
      </c>
      <c r="E14610" t="str">
        <f>"PHILADELPHIA              "</f>
        <v xml:space="preserve">PHILADELPHIA              </v>
      </c>
      <c r="F14610" t="str">
        <f t="shared" si="369"/>
        <v>MS</v>
      </c>
    </row>
    <row r="14611" spans="1:6" x14ac:dyDescent="0.25">
      <c r="A14611" t="str">
        <f>"100003593"</f>
        <v>100003593</v>
      </c>
      <c r="B14611" t="str">
        <f>"1790858538"</f>
        <v>1790858538</v>
      </c>
      <c r="C14611" t="str">
        <f>"152W00000X"</f>
        <v>152W00000X</v>
      </c>
      <c r="D14611" t="str">
        <f>"THARP FAMILY EYE CARE                             "</f>
        <v xml:space="preserve">THARP FAMILY EYE CARE                             </v>
      </c>
      <c r="E14611" t="str">
        <f>"JACKSON                   "</f>
        <v xml:space="preserve">JACKSON                   </v>
      </c>
      <c r="F14611" t="str">
        <f t="shared" si="369"/>
        <v>MS</v>
      </c>
    </row>
    <row r="14612" spans="1:6" x14ac:dyDescent="0.25">
      <c r="A14612" t="str">
        <f>"100004126"</f>
        <v>100004126</v>
      </c>
      <c r="B14612" t="str">
        <f>"1881744282"</f>
        <v>1881744282</v>
      </c>
      <c r="C14612" t="str">
        <f>"152W00000X"</f>
        <v>152W00000X</v>
      </c>
      <c r="D14612" t="str">
        <f>"RIDGELAND EYECARE CENTER                          "</f>
        <v xml:space="preserve">RIDGELAND EYECARE CENTER                          </v>
      </c>
      <c r="E14612" t="str">
        <f>"RIDGELAND                 "</f>
        <v xml:space="preserve">RIDGELAND                 </v>
      </c>
      <c r="F14612" t="str">
        <f t="shared" si="369"/>
        <v>MS</v>
      </c>
    </row>
    <row r="14613" spans="1:6" x14ac:dyDescent="0.25">
      <c r="A14613" t="str">
        <f>"100004374"</f>
        <v>100004374</v>
      </c>
      <c r="B14613" t="str">
        <f>"1831140300"</f>
        <v>1831140300</v>
      </c>
      <c r="C14613" t="str">
        <f>"152W00000X"</f>
        <v>152W00000X</v>
      </c>
      <c r="D14613" t="str">
        <f>"MOTHERSHED OPTOMETRY ASSOCIATES PLL               "</f>
        <v xml:space="preserve">MOTHERSHED OPTOMETRY ASSOCIATES PLL               </v>
      </c>
      <c r="E14613" t="str">
        <f>"TUPELO                    "</f>
        <v xml:space="preserve">TUPELO                    </v>
      </c>
      <c r="F14613" t="str">
        <f t="shared" si="369"/>
        <v>MS</v>
      </c>
    </row>
    <row r="14614" spans="1:6" x14ac:dyDescent="0.25">
      <c r="A14614" t="str">
        <f>"100004480"</f>
        <v>100004480</v>
      </c>
      <c r="B14614" t="str">
        <f>"1306041322"</f>
        <v>1306041322</v>
      </c>
      <c r="C14614" t="str">
        <f>"122300000X"</f>
        <v>122300000X</v>
      </c>
      <c r="D14614" t="str">
        <f>"DAVID K CURTIS DMD PA                             "</f>
        <v xml:space="preserve">DAVID K CURTIS DMD PA                             </v>
      </c>
      <c r="E14614" t="str">
        <f>"CORINTH                   "</f>
        <v xml:space="preserve">CORINTH                   </v>
      </c>
      <c r="F14614" t="str">
        <f t="shared" si="369"/>
        <v>MS</v>
      </c>
    </row>
    <row r="14615" spans="1:6" x14ac:dyDescent="0.25">
      <c r="A14615" t="str">
        <f>"100004491"</f>
        <v>100004491</v>
      </c>
      <c r="B14615" t="str">
        <f>"1497830020"</f>
        <v>1497830020</v>
      </c>
      <c r="C14615" t="str">
        <f>"152W00000X"</f>
        <v>152W00000X</v>
      </c>
      <c r="D14615" t="str">
        <f>"PROFESSIONAL EYECARE ASSOCIATES INC               "</f>
        <v xml:space="preserve">PROFESSIONAL EYECARE ASSOCIATES INC               </v>
      </c>
      <c r="E14615" t="str">
        <f>"RIDGELAND                 "</f>
        <v xml:space="preserve">RIDGELAND                 </v>
      </c>
      <c r="F14615" t="str">
        <f t="shared" si="369"/>
        <v>MS</v>
      </c>
    </row>
    <row r="14616" spans="1:6" x14ac:dyDescent="0.25">
      <c r="A14616" t="str">
        <f>"100004736"</f>
        <v>100004736</v>
      </c>
      <c r="B14616" t="str">
        <f>"1093955262"</f>
        <v>1093955262</v>
      </c>
      <c r="C14616" t="str">
        <f>"152W00000X"</f>
        <v>152W00000X</v>
      </c>
      <c r="D14616" t="str">
        <f>"TONYA CANNON STEWART OD PLLC                      "</f>
        <v xml:space="preserve">TONYA CANNON STEWART OD PLLC                      </v>
      </c>
      <c r="E14616" t="str">
        <f>"CLINTON                   "</f>
        <v xml:space="preserve">CLINTON                   </v>
      </c>
      <c r="F14616" t="str">
        <f t="shared" si="369"/>
        <v>MS</v>
      </c>
    </row>
    <row r="14617" spans="1:6" x14ac:dyDescent="0.25">
      <c r="A14617" t="str">
        <f>"100004746"</f>
        <v>100004746</v>
      </c>
      <c r="B14617" t="str">
        <f>"1477731131"</f>
        <v>1477731131</v>
      </c>
      <c r="C14617" t="str">
        <f>"152W00000X"</f>
        <v>152W00000X</v>
      </c>
      <c r="D14617" t="str">
        <f>"FAMILY EYE CARE                                   "</f>
        <v xml:space="preserve">FAMILY EYE CARE                                   </v>
      </c>
      <c r="E14617" t="str">
        <f>"GREENVILLE                "</f>
        <v xml:space="preserve">GREENVILLE                </v>
      </c>
      <c r="F14617" t="str">
        <f t="shared" si="369"/>
        <v>MS</v>
      </c>
    </row>
    <row r="14618" spans="1:6" x14ac:dyDescent="0.25">
      <c r="A14618" t="str">
        <f>"100004918"</f>
        <v>100004918</v>
      </c>
      <c r="B14618" t="str">
        <f>"1770786188"</f>
        <v>1770786188</v>
      </c>
      <c r="C14618" t="str">
        <f>"152W00000X"</f>
        <v>152W00000X</v>
      </c>
      <c r="D14618" t="str">
        <f>"CARTHAGE EYE CLINIC PA                            "</f>
        <v xml:space="preserve">CARTHAGE EYE CLINIC PA                            </v>
      </c>
      <c r="E14618" t="str">
        <f>"CARTHAGE                  "</f>
        <v xml:space="preserve">CARTHAGE                  </v>
      </c>
      <c r="F14618" t="str">
        <f t="shared" si="369"/>
        <v>MS</v>
      </c>
    </row>
    <row r="14619" spans="1:6" x14ac:dyDescent="0.25">
      <c r="A14619" t="str">
        <f>"100005071"</f>
        <v>100005071</v>
      </c>
      <c r="B14619" t="str">
        <f>"1831268374"</f>
        <v>1831268374</v>
      </c>
      <c r="C14619" t="str">
        <f>"122300000X"</f>
        <v>122300000X</v>
      </c>
      <c r="D14619" t="str">
        <f>"STONE DENTAL CLINIC                               "</f>
        <v xml:space="preserve">STONE DENTAL CLINIC                               </v>
      </c>
      <c r="E14619" t="str">
        <f>"WIGGINS                   "</f>
        <v xml:space="preserve">WIGGINS                   </v>
      </c>
      <c r="F14619" t="str">
        <f t="shared" si="369"/>
        <v>MS</v>
      </c>
    </row>
    <row r="14620" spans="1:6" x14ac:dyDescent="0.25">
      <c r="A14620" t="str">
        <f>"100005145"</f>
        <v>100005145</v>
      </c>
      <c r="B14620" t="str">
        <f>"1497025183"</f>
        <v>1497025183</v>
      </c>
      <c r="C14620" t="str">
        <f>"152W00000X"</f>
        <v>152W00000X</v>
      </c>
      <c r="D14620" t="str">
        <f>"20/20 EYE CARE OF GRENADA PA                      "</f>
        <v xml:space="preserve">20/20 EYE CARE OF GRENADA PA                      </v>
      </c>
      <c r="E14620" t="str">
        <f>"WINONA                    "</f>
        <v xml:space="preserve">WINONA                    </v>
      </c>
      <c r="F14620" t="str">
        <f t="shared" si="369"/>
        <v>MS</v>
      </c>
    </row>
    <row r="14621" spans="1:6" x14ac:dyDescent="0.25">
      <c r="A14621" t="str">
        <f>"100007704"</f>
        <v>100007704</v>
      </c>
      <c r="B14621" t="str">
        <f>"1629225354"</f>
        <v>1629225354</v>
      </c>
      <c r="C14621" t="str">
        <f>"152W00000X"</f>
        <v>152W00000X</v>
      </c>
      <c r="D14621" t="str">
        <f>"HARRELL FAMILY EYE CLINIC NO 2 INC                "</f>
        <v xml:space="preserve">HARRELL FAMILY EYE CLINIC NO 2 INC                </v>
      </c>
      <c r="E14621" t="str">
        <f>"MCCOMB                    "</f>
        <v xml:space="preserve">MCCOMB                    </v>
      </c>
      <c r="F14621" t="str">
        <f t="shared" si="369"/>
        <v>MS</v>
      </c>
    </row>
    <row r="14622" spans="1:6" x14ac:dyDescent="0.25">
      <c r="A14622" t="str">
        <f>"100008397"</f>
        <v>100008397</v>
      </c>
      <c r="B14622" t="str">
        <f>"1083893937"</f>
        <v>1083893937</v>
      </c>
      <c r="C14622" t="str">
        <f>"261QM1300X"</f>
        <v>261QM1300X</v>
      </c>
      <c r="D14622" t="str">
        <f>"COASTAL AMBULATORY SERVICES                       "</f>
        <v xml:space="preserve">COASTAL AMBULATORY SERVICES                       </v>
      </c>
      <c r="E14622" t="str">
        <f>"BILOXI                    "</f>
        <v xml:space="preserve">BILOXI                    </v>
      </c>
      <c r="F14622" t="str">
        <f t="shared" si="369"/>
        <v>MS</v>
      </c>
    </row>
    <row r="14623" spans="1:6" x14ac:dyDescent="0.25">
      <c r="A14623" t="str">
        <f>"100008400"</f>
        <v>100008400</v>
      </c>
      <c r="B14623" t="str">
        <f>"1083893937"</f>
        <v>1083893937</v>
      </c>
      <c r="C14623" t="str">
        <f>"261QM1300X"</f>
        <v>261QM1300X</v>
      </c>
      <c r="D14623" t="str">
        <f>"COASTAL AMBULATORY SERVICES                       "</f>
        <v xml:space="preserve">COASTAL AMBULATORY SERVICES                       </v>
      </c>
      <c r="E14623" t="str">
        <f>"PASCAGOULA                "</f>
        <v xml:space="preserve">PASCAGOULA                </v>
      </c>
      <c r="F14623" t="str">
        <f t="shared" si="369"/>
        <v>MS</v>
      </c>
    </row>
    <row r="14624" spans="1:6" x14ac:dyDescent="0.25">
      <c r="A14624" t="str">
        <f>"100008401"</f>
        <v>100008401</v>
      </c>
      <c r="B14624" t="str">
        <f>"1083893937"</f>
        <v>1083893937</v>
      </c>
      <c r="C14624" t="str">
        <f>"261QM1300X"</f>
        <v>261QM1300X</v>
      </c>
      <c r="D14624" t="str">
        <f>"COASTAL AMBULATORY SERVICES                       "</f>
        <v xml:space="preserve">COASTAL AMBULATORY SERVICES                       </v>
      </c>
      <c r="E14624" t="str">
        <f>"OCEAN SPRINGS             "</f>
        <v xml:space="preserve">OCEAN SPRINGS             </v>
      </c>
      <c r="F14624" t="str">
        <f t="shared" si="369"/>
        <v>MS</v>
      </c>
    </row>
    <row r="14625" spans="1:6" x14ac:dyDescent="0.25">
      <c r="A14625" t="str">
        <f>"100008405"</f>
        <v>100008405</v>
      </c>
      <c r="B14625" t="str">
        <f>"1083893937"</f>
        <v>1083893937</v>
      </c>
      <c r="C14625" t="str">
        <f>"261QM1300X"</f>
        <v>261QM1300X</v>
      </c>
      <c r="D14625" t="str">
        <f>"COASTAL AMBULATORY SERVICES                       "</f>
        <v xml:space="preserve">COASTAL AMBULATORY SERVICES                       </v>
      </c>
      <c r="E14625" t="str">
        <f>"PASCAGOULA                "</f>
        <v xml:space="preserve">PASCAGOULA                </v>
      </c>
      <c r="F14625" t="str">
        <f t="shared" si="369"/>
        <v>MS</v>
      </c>
    </row>
    <row r="14626" spans="1:6" x14ac:dyDescent="0.25">
      <c r="A14626" t="str">
        <f>"100008406"</f>
        <v>100008406</v>
      </c>
      <c r="B14626" t="str">
        <f>"1083893937"</f>
        <v>1083893937</v>
      </c>
      <c r="C14626" t="str">
        <f>"261QM1300X"</f>
        <v>261QM1300X</v>
      </c>
      <c r="D14626" t="str">
        <f>"COASTAL AMBULATORY SERVICES                       "</f>
        <v xml:space="preserve">COASTAL AMBULATORY SERVICES                       </v>
      </c>
      <c r="E14626" t="str">
        <f>"OCEAN SPRINGS             "</f>
        <v xml:space="preserve">OCEAN SPRINGS             </v>
      </c>
      <c r="F14626" t="str">
        <f t="shared" si="369"/>
        <v>MS</v>
      </c>
    </row>
    <row r="14627" spans="1:6" x14ac:dyDescent="0.25">
      <c r="A14627" t="str">
        <f>"100008673"</f>
        <v>100008673</v>
      </c>
      <c r="B14627" t="str">
        <f>"1356604664"</f>
        <v>1356604664</v>
      </c>
      <c r="C14627" t="str">
        <f>"122300000X"</f>
        <v>122300000X</v>
      </c>
      <c r="D14627" t="str">
        <f>"GO ORTHODONTICS PARTNERSHIP                       "</f>
        <v xml:space="preserve">GO ORTHODONTICS PARTNERSHIP                       </v>
      </c>
      <c r="E14627" t="str">
        <f>"OXFORD                    "</f>
        <v xml:space="preserve">OXFORD                    </v>
      </c>
      <c r="F14627" t="str">
        <f t="shared" si="369"/>
        <v>MS</v>
      </c>
    </row>
    <row r="14628" spans="1:6" x14ac:dyDescent="0.25">
      <c r="A14628" t="str">
        <f>"100008674"</f>
        <v>100008674</v>
      </c>
      <c r="B14628" t="str">
        <f>"1356604664"</f>
        <v>1356604664</v>
      </c>
      <c r="C14628" t="str">
        <f>"122300000X"</f>
        <v>122300000X</v>
      </c>
      <c r="D14628" t="str">
        <f>"GO ORTHODONTICS PARTNERSHIP                       "</f>
        <v xml:space="preserve">GO ORTHODONTICS PARTNERSHIP                       </v>
      </c>
      <c r="E14628" t="str">
        <f>"SOUTHAVEN                 "</f>
        <v xml:space="preserve">SOUTHAVEN                 </v>
      </c>
      <c r="F14628" t="str">
        <f t="shared" si="369"/>
        <v>MS</v>
      </c>
    </row>
    <row r="14629" spans="1:6" x14ac:dyDescent="0.25">
      <c r="A14629" t="str">
        <f>"100008675"</f>
        <v>100008675</v>
      </c>
      <c r="B14629" t="str">
        <f>"1356604664"</f>
        <v>1356604664</v>
      </c>
      <c r="C14629" t="str">
        <f>"122300000X"</f>
        <v>122300000X</v>
      </c>
      <c r="D14629" t="str">
        <f>"GO ORTHODONTICS PARTNERSHIP                       "</f>
        <v xml:space="preserve">GO ORTHODONTICS PARTNERSHIP                       </v>
      </c>
      <c r="E14629" t="str">
        <f>"CORINTH                   "</f>
        <v xml:space="preserve">CORINTH                   </v>
      </c>
      <c r="F14629" t="str">
        <f t="shared" si="369"/>
        <v>MS</v>
      </c>
    </row>
    <row r="14630" spans="1:6" x14ac:dyDescent="0.25">
      <c r="A14630" t="str">
        <f>"100008823"</f>
        <v>100008823</v>
      </c>
      <c r="B14630" t="str">
        <f>"1992025951"</f>
        <v>1992025951</v>
      </c>
      <c r="C14630" t="str">
        <f>"152W00000X"</f>
        <v>152W00000X</v>
      </c>
      <c r="D14630" t="str">
        <f>"PHILLIPS EYE CARE                                 "</f>
        <v xml:space="preserve">PHILLIPS EYE CARE                                 </v>
      </c>
      <c r="E14630" t="str">
        <f>"PHILADELPHIA              "</f>
        <v xml:space="preserve">PHILADELPHIA              </v>
      </c>
      <c r="F14630" t="str">
        <f t="shared" si="369"/>
        <v>MS</v>
      </c>
    </row>
    <row r="14631" spans="1:6" x14ac:dyDescent="0.25">
      <c r="A14631" t="str">
        <f>"100009940"</f>
        <v>100009940</v>
      </c>
      <c r="B14631" t="str">
        <f>"1821355785"</f>
        <v>1821355785</v>
      </c>
      <c r="C14631" t="str">
        <f>"122300000X"</f>
        <v>122300000X</v>
      </c>
      <c r="D14631" t="str">
        <f>"JOSEPH K SHLEWEET DDS LLC                         "</f>
        <v xml:space="preserve">JOSEPH K SHLEWEET DDS LLC                         </v>
      </c>
      <c r="E14631" t="str">
        <f>"SOUTHAVEN                 "</f>
        <v xml:space="preserve">SOUTHAVEN                 </v>
      </c>
      <c r="F14631" t="str">
        <f t="shared" si="369"/>
        <v>MS</v>
      </c>
    </row>
    <row r="14632" spans="1:6" x14ac:dyDescent="0.25">
      <c r="A14632" t="str">
        <f>"100011502"</f>
        <v>100011502</v>
      </c>
      <c r="B14632" t="str">
        <f>"1679810733"</f>
        <v>1679810733</v>
      </c>
      <c r="C14632" t="str">
        <f>"261QA0600X"</f>
        <v>261QA0600X</v>
      </c>
      <c r="D14632" t="str">
        <f>"CARING HEART AND HANDS, ADC                       "</f>
        <v xml:space="preserve">CARING HEART AND HANDS, ADC                       </v>
      </c>
      <c r="E14632" t="str">
        <f>"ABERDEEN                  "</f>
        <v xml:space="preserve">ABERDEEN                  </v>
      </c>
      <c r="F14632" t="str">
        <f t="shared" si="369"/>
        <v>MS</v>
      </c>
    </row>
    <row r="14633" spans="1:6" x14ac:dyDescent="0.25">
      <c r="A14633" t="str">
        <f>"100022783"</f>
        <v>100022783</v>
      </c>
      <c r="B14633" t="str">
        <f>"1427485184"</f>
        <v>1427485184</v>
      </c>
      <c r="C14633" t="str">
        <f>"261QM1300X"</f>
        <v>261QM1300X</v>
      </c>
      <c r="D14633" t="str">
        <f>"CANOPY CHILDRENS SOLUTIONS                        "</f>
        <v xml:space="preserve">CANOPY CHILDRENS SOLUTIONS                        </v>
      </c>
      <c r="E14633" t="str">
        <f>"JACKSON                   "</f>
        <v xml:space="preserve">JACKSON                   </v>
      </c>
      <c r="F14633" t="str">
        <f t="shared" si="369"/>
        <v>MS</v>
      </c>
    </row>
    <row r="14634" spans="1:6" x14ac:dyDescent="0.25">
      <c r="A14634" t="str">
        <f>"100023286"</f>
        <v>100023286</v>
      </c>
      <c r="B14634" t="str">
        <f>"1013430412"</f>
        <v>1013430412</v>
      </c>
      <c r="C14634" t="str">
        <f>"152W00000X"</f>
        <v>152W00000X</v>
      </c>
      <c r="D14634" t="str">
        <f>"CRYSTAL CLEAR EYE CARE LLC                        "</f>
        <v xml:space="preserve">CRYSTAL CLEAR EYE CARE LLC                        </v>
      </c>
      <c r="E14634" t="str">
        <f>"HAZLEHURST                "</f>
        <v xml:space="preserve">HAZLEHURST                </v>
      </c>
      <c r="F14634" t="str">
        <f t="shared" si="369"/>
        <v>MS</v>
      </c>
    </row>
    <row r="14635" spans="1:6" x14ac:dyDescent="0.25">
      <c r="A14635" t="str">
        <f>"100023529"</f>
        <v>100023529</v>
      </c>
      <c r="B14635" t="str">
        <f>"1194230789"</f>
        <v>1194230789</v>
      </c>
      <c r="C14635" t="str">
        <f>"261QM1300X"</f>
        <v>261QM1300X</v>
      </c>
      <c r="D14635" t="str">
        <f>"CANOPY CHILDRENS SOLUTIONS                        "</f>
        <v xml:space="preserve">CANOPY CHILDRENS SOLUTIONS                        </v>
      </c>
      <c r="E14635" t="str">
        <f>"JACKSON                   "</f>
        <v xml:space="preserve">JACKSON                   </v>
      </c>
      <c r="F14635" t="str">
        <f t="shared" si="369"/>
        <v>MS</v>
      </c>
    </row>
    <row r="14636" spans="1:6" x14ac:dyDescent="0.25">
      <c r="A14636" t="str">
        <f>"100027719"</f>
        <v>100027719</v>
      </c>
      <c r="B14636" t="str">
        <f>"1356904445"</f>
        <v>1356904445</v>
      </c>
      <c r="C14636" t="str">
        <f>"152W00000X"</f>
        <v>152W00000X</v>
      </c>
      <c r="D14636" t="str">
        <f>"SAWYER SCOTT EYECARE CENTER                       "</f>
        <v xml:space="preserve">SAWYER SCOTT EYECARE CENTER                       </v>
      </c>
      <c r="E14636" t="str">
        <f>"SENATOBIA                 "</f>
        <v xml:space="preserve">SENATOBIA                 </v>
      </c>
      <c r="F14636" t="str">
        <f t="shared" si="369"/>
        <v>MS</v>
      </c>
    </row>
    <row r="14637" spans="1:6" x14ac:dyDescent="0.25">
      <c r="A14637" t="str">
        <f>"100111454"</f>
        <v>100111454</v>
      </c>
      <c r="B14637" t="str">
        <f>"1053841734"</f>
        <v>1053841734</v>
      </c>
      <c r="C14637" t="str">
        <f>"261QM1300X"</f>
        <v>261QM1300X</v>
      </c>
      <c r="D14637" t="str">
        <f>"OASIS MENTAL WELLNESS                             "</f>
        <v xml:space="preserve">OASIS MENTAL WELLNESS                             </v>
      </c>
      <c r="E14637" t="str">
        <f>"BILOXI                    "</f>
        <v xml:space="preserve">BILOXI                    </v>
      </c>
      <c r="F14637" t="str">
        <f t="shared" si="369"/>
        <v>MS</v>
      </c>
    </row>
    <row r="14638" spans="1:6" x14ac:dyDescent="0.25">
      <c r="A14638" t="str">
        <f>"100112875"</f>
        <v>100112875</v>
      </c>
      <c r="B14638" t="str">
        <f>"1386169050"</f>
        <v>1386169050</v>
      </c>
      <c r="C14638" t="str">
        <f>"261QM1300X"</f>
        <v>261QM1300X</v>
      </c>
      <c r="D14638" t="str">
        <f>"IMPACT BEHAVIORAL COUNSELING, LLC                 "</f>
        <v xml:space="preserve">IMPACT BEHAVIORAL COUNSELING, LLC                 </v>
      </c>
      <c r="E14638" t="str">
        <f>"VICKSBURG                 "</f>
        <v xml:space="preserve">VICKSBURG                 </v>
      </c>
      <c r="F14638" t="str">
        <f t="shared" si="369"/>
        <v>MS</v>
      </c>
    </row>
    <row r="14639" spans="1:6" x14ac:dyDescent="0.25">
      <c r="A14639" t="str">
        <f>"100112876"</f>
        <v>100112876</v>
      </c>
      <c r="B14639" t="str">
        <f>"1386169050"</f>
        <v>1386169050</v>
      </c>
      <c r="C14639" t="str">
        <f>"261QM1300X"</f>
        <v>261QM1300X</v>
      </c>
      <c r="D14639" t="str">
        <f>"IMPACT BEHAVIORAL COUNSELING, LLC                 "</f>
        <v xml:space="preserve">IMPACT BEHAVIORAL COUNSELING, LLC                 </v>
      </c>
      <c r="E14639" t="str">
        <f>"COLUMBUS                  "</f>
        <v xml:space="preserve">COLUMBUS                  </v>
      </c>
      <c r="F14639" t="str">
        <f t="shared" si="369"/>
        <v>MS</v>
      </c>
    </row>
    <row r="14640" spans="1:6" x14ac:dyDescent="0.25">
      <c r="A14640" t="str">
        <f>"100115205"</f>
        <v>100115205</v>
      </c>
      <c r="B14640" t="str">
        <f>"1891393435"</f>
        <v>1891393435</v>
      </c>
      <c r="C14640" t="str">
        <f>"261QR1300X"</f>
        <v>261QR1300X</v>
      </c>
      <c r="D14640" t="str">
        <f>"RUSH MEDICAL FOUNDATION                           "</f>
        <v xml:space="preserve">RUSH MEDICAL FOUNDATION                           </v>
      </c>
      <c r="E14640" t="str">
        <f>"MERIDIAN                  "</f>
        <v xml:space="preserve">MERIDIAN                  </v>
      </c>
      <c r="F14640" t="str">
        <f t="shared" si="369"/>
        <v>MS</v>
      </c>
    </row>
    <row r="14641" spans="1:6" x14ac:dyDescent="0.25">
      <c r="A14641" t="str">
        <f>"100115679"</f>
        <v>100115679</v>
      </c>
      <c r="B14641" t="str">
        <f>"1871791228"</f>
        <v>1871791228</v>
      </c>
      <c r="C14641" t="str">
        <f>"122300000X"</f>
        <v>122300000X</v>
      </c>
      <c r="D14641" t="str">
        <f>"ORAL &amp; MAXILLOFACIAL SURGERY ASSOCI               "</f>
        <v xml:space="preserve">ORAL &amp; MAXILLOFACIAL SURGERY ASSOCI               </v>
      </c>
      <c r="E14641" t="str">
        <f>"FLOWOOD                   "</f>
        <v xml:space="preserve">FLOWOOD                   </v>
      </c>
      <c r="F14641" t="str">
        <f t="shared" si="369"/>
        <v>MS</v>
      </c>
    </row>
    <row r="14642" spans="1:6" x14ac:dyDescent="0.25">
      <c r="A14642" t="str">
        <f>"100117262"</f>
        <v>100117262</v>
      </c>
      <c r="B14642" t="str">
        <f>"1528657939"</f>
        <v>1528657939</v>
      </c>
      <c r="C14642" t="str">
        <f>"122300000X"</f>
        <v>122300000X</v>
      </c>
      <c r="D14642" t="str">
        <f>"DOUGLAS ORTHODONTICS PLLC                         "</f>
        <v xml:space="preserve">DOUGLAS ORTHODONTICS PLLC                         </v>
      </c>
      <c r="E14642" t="str">
        <f>"LAUREL                    "</f>
        <v xml:space="preserve">LAUREL                    </v>
      </c>
      <c r="F14642" t="str">
        <f t="shared" si="369"/>
        <v>MS</v>
      </c>
    </row>
    <row r="14643" spans="1:6" x14ac:dyDescent="0.25">
      <c r="A14643" t="str">
        <f>"100118161"</f>
        <v>100118161</v>
      </c>
      <c r="B14643" t="str">
        <f>"1881279016"</f>
        <v>1881279016</v>
      </c>
      <c r="C14643" t="str">
        <f>"122300000X"</f>
        <v>122300000X</v>
      </c>
      <c r="D14643" t="str">
        <f>"SPARKLING SMILES PEDIATRIC DENTISTR               "</f>
        <v xml:space="preserve">SPARKLING SMILES PEDIATRIC DENTISTR               </v>
      </c>
      <c r="E14643" t="str">
        <f>"LAUREL                    "</f>
        <v xml:space="preserve">LAUREL                    </v>
      </c>
      <c r="F14643" t="str">
        <f t="shared" si="369"/>
        <v>MS</v>
      </c>
    </row>
    <row r="14644" spans="1:6" x14ac:dyDescent="0.25">
      <c r="A14644" t="str">
        <f>"100118222"</f>
        <v>100118222</v>
      </c>
      <c r="B14644" t="str">
        <f>"1710427208"</f>
        <v>1710427208</v>
      </c>
      <c r="C14644" t="str">
        <f>"152W00000X"</f>
        <v>152W00000X</v>
      </c>
      <c r="D14644" t="str">
        <f>"TROUPE FAMILY OPTOMETRY LLC                       "</f>
        <v xml:space="preserve">TROUPE FAMILY OPTOMETRY LLC                       </v>
      </c>
      <c r="E14644" t="str">
        <f>"MERIDIAN                  "</f>
        <v xml:space="preserve">MERIDIAN                  </v>
      </c>
      <c r="F14644" t="str">
        <f t="shared" si="369"/>
        <v>MS</v>
      </c>
    </row>
    <row r="14645" spans="1:6" x14ac:dyDescent="0.25">
      <c r="A14645" t="str">
        <f>"100118559"</f>
        <v>100118559</v>
      </c>
      <c r="B14645" t="str">
        <f>"1427327725"</f>
        <v>1427327725</v>
      </c>
      <c r="C14645" t="str">
        <f>"122300000X"</f>
        <v>122300000X</v>
      </c>
      <c r="D14645" t="str">
        <f>"DIVINE DENTISTRY                                  "</f>
        <v xml:space="preserve">DIVINE DENTISTRY                                  </v>
      </c>
      <c r="E14645" t="str">
        <f>"DIBERVILLE                "</f>
        <v xml:space="preserve">DIBERVILLE                </v>
      </c>
      <c r="F14645" t="str">
        <f t="shared" si="369"/>
        <v>MS</v>
      </c>
    </row>
    <row r="14646" spans="1:6" x14ac:dyDescent="0.25">
      <c r="A14646" t="str">
        <f>"100118820"</f>
        <v>100118820</v>
      </c>
      <c r="B14646" t="str">
        <f>"1255977419"</f>
        <v>1255977419</v>
      </c>
      <c r="C14646" t="str">
        <f>"261QM0801X"</f>
        <v>261QM0801X</v>
      </c>
      <c r="D14646" t="str">
        <f>"HAMILTONDAVIS MENTAL HEALTH, INC.                 "</f>
        <v xml:space="preserve">HAMILTONDAVIS MENTAL HEALTH, INC.                 </v>
      </c>
      <c r="E14646" t="str">
        <f>"FLOWOOD                   "</f>
        <v xml:space="preserve">FLOWOOD                   </v>
      </c>
      <c r="F14646" t="str">
        <f t="shared" si="369"/>
        <v>MS</v>
      </c>
    </row>
    <row r="14647" spans="1:6" x14ac:dyDescent="0.25">
      <c r="A14647" t="str">
        <f>"100119511"</f>
        <v>100119511</v>
      </c>
      <c r="B14647" t="str">
        <f>"1023695004"</f>
        <v>1023695004</v>
      </c>
      <c r="C14647" t="str">
        <f>"261QM1300X"</f>
        <v>261QM1300X</v>
      </c>
      <c r="D14647" t="str">
        <f>"TAYLOR MADE COUNSELING SERVICES                   "</f>
        <v xml:space="preserve">TAYLOR MADE COUNSELING SERVICES                   </v>
      </c>
      <c r="E14647" t="str">
        <f>"DIBERVILLE                "</f>
        <v xml:space="preserve">DIBERVILLE                </v>
      </c>
      <c r="F14647" t="str">
        <f t="shared" si="369"/>
        <v>MS</v>
      </c>
    </row>
    <row r="14648" spans="1:6" x14ac:dyDescent="0.25">
      <c r="A14648" t="str">
        <f>"100119634"</f>
        <v>100119634</v>
      </c>
      <c r="B14648" t="str">
        <f>"1497413330"</f>
        <v>1497413330</v>
      </c>
      <c r="C14648" t="str">
        <f>"261QM1300X"</f>
        <v>261QM1300X</v>
      </c>
      <c r="D14648" t="str">
        <f>"LUMLEY HEALTH SERVICES LLC                        "</f>
        <v xml:space="preserve">LUMLEY HEALTH SERVICES LLC                        </v>
      </c>
      <c r="E14648" t="str">
        <f>"MCCOMB                    "</f>
        <v xml:space="preserve">MCCOMB                    </v>
      </c>
      <c r="F14648" t="str">
        <f t="shared" si="369"/>
        <v>MS</v>
      </c>
    </row>
    <row r="14649" spans="1:6" x14ac:dyDescent="0.25">
      <c r="A14649" t="str">
        <f>"100120347"</f>
        <v>100120347</v>
      </c>
      <c r="B14649" t="str">
        <f>"1467479485"</f>
        <v>1467479485</v>
      </c>
      <c r="C14649" t="str">
        <f>"208600000X"</f>
        <v>208600000X</v>
      </c>
      <c r="D14649" t="str">
        <f>"STENNETT                 JERRY        L           "</f>
        <v xml:space="preserve">STENNETT                 JERRY        L           </v>
      </c>
      <c r="E14649" t="str">
        <f>"COLUMBUS                  "</f>
        <v xml:space="preserve">COLUMBUS                  </v>
      </c>
      <c r="F14649" t="str">
        <f t="shared" si="369"/>
        <v>MS</v>
      </c>
    </row>
    <row r="14650" spans="1:6" x14ac:dyDescent="0.25">
      <c r="A14650" t="str">
        <f>"100120850"</f>
        <v>100120850</v>
      </c>
      <c r="B14650" t="str">
        <f>"1033103122"</f>
        <v>1033103122</v>
      </c>
      <c r="C14650" t="str">
        <f>"207RP1001X"</f>
        <v>207RP1001X</v>
      </c>
      <c r="D14650" t="str">
        <f>"CANNON                   DON          T           "</f>
        <v xml:space="preserve">CANNON                   DON          T           </v>
      </c>
      <c r="E14650" t="str">
        <f>"JACKSON                   "</f>
        <v xml:space="preserve">JACKSON                   </v>
      </c>
      <c r="F14650" t="str">
        <f t="shared" si="369"/>
        <v>MS</v>
      </c>
    </row>
    <row r="14651" spans="1:6" x14ac:dyDescent="0.25">
      <c r="A14651" t="str">
        <f>"100121359"</f>
        <v>100121359</v>
      </c>
      <c r="B14651" t="str">
        <f>"1760559751"</f>
        <v>1760559751</v>
      </c>
      <c r="C14651" t="str">
        <f>"207RN0300X"</f>
        <v>207RN0300X</v>
      </c>
      <c r="D14651" t="str">
        <f>"WHITE, JR.               ALLISON      R           "</f>
        <v xml:space="preserve">WHITE, JR.               ALLISON      R           </v>
      </c>
      <c r="E14651" t="str">
        <f>"GREENWOOD                 "</f>
        <v xml:space="preserve">GREENWOOD                 </v>
      </c>
      <c r="F14651" t="str">
        <f t="shared" si="369"/>
        <v>MS</v>
      </c>
    </row>
    <row r="14652" spans="1:6" x14ac:dyDescent="0.25">
      <c r="A14652" t="str">
        <f>"100122446"</f>
        <v>100122446</v>
      </c>
      <c r="B14652" t="str">
        <f>"1093734840"</f>
        <v>1093734840</v>
      </c>
      <c r="C14652" t="str">
        <f>"208600000X"</f>
        <v>208600000X</v>
      </c>
      <c r="D14652" t="str">
        <f>"LUCAS III                JOHN         F           "</f>
        <v xml:space="preserve">LUCAS III                JOHN         F           </v>
      </c>
      <c r="E14652" t="str">
        <f>"GREENWOOD                 "</f>
        <v xml:space="preserve">GREENWOOD                 </v>
      </c>
      <c r="F14652" t="str">
        <f t="shared" si="369"/>
        <v>MS</v>
      </c>
    </row>
    <row r="14653" spans="1:6" x14ac:dyDescent="0.25">
      <c r="A14653" t="str">
        <f>"100122482"</f>
        <v>100122482</v>
      </c>
      <c r="B14653" t="str">
        <f>"1427197052"</f>
        <v>1427197052</v>
      </c>
      <c r="C14653" t="str">
        <f>"207R00000X"</f>
        <v>207R00000X</v>
      </c>
      <c r="D14653" t="str">
        <f>"MOSES                    LOUIS        J           "</f>
        <v xml:space="preserve">MOSES                    LOUIS        J           </v>
      </c>
      <c r="E14653" t="str">
        <f>"GREENWOOD                 "</f>
        <v xml:space="preserve">GREENWOOD                 </v>
      </c>
      <c r="F14653" t="str">
        <f t="shared" si="369"/>
        <v>MS</v>
      </c>
    </row>
    <row r="14654" spans="1:6" x14ac:dyDescent="0.25">
      <c r="A14654" t="str">
        <f>"100122848"</f>
        <v>100122848</v>
      </c>
      <c r="B14654" t="str">
        <f>"1215960414"</f>
        <v>1215960414</v>
      </c>
      <c r="C14654" t="str">
        <f>"208600000X"</f>
        <v>208600000X</v>
      </c>
      <c r="D14654" t="str">
        <f>"RAJU                     SESHADRI                 "</f>
        <v xml:space="preserve">RAJU                     SESHADRI                 </v>
      </c>
      <c r="E14654" t="str">
        <f>"JACKSON                   "</f>
        <v xml:space="preserve">JACKSON                   </v>
      </c>
      <c r="F14654" t="str">
        <f t="shared" ref="F14654:F14717" si="370">"MS"</f>
        <v>MS</v>
      </c>
    </row>
    <row r="14655" spans="1:6" x14ac:dyDescent="0.25">
      <c r="A14655" t="str">
        <f>"100124275"</f>
        <v>100124275</v>
      </c>
      <c r="B14655" t="str">
        <f>"1083610117"</f>
        <v>1083610117</v>
      </c>
      <c r="C14655" t="str">
        <f>"208100000X"</f>
        <v>208100000X</v>
      </c>
      <c r="D14655" t="str">
        <f>"BRUCKMEIER               KURT         F           "</f>
        <v xml:space="preserve">BRUCKMEIER               KURT         F           </v>
      </c>
      <c r="E14655" t="str">
        <f>"HATTIESBURG               "</f>
        <v xml:space="preserve">HATTIESBURG               </v>
      </c>
      <c r="F14655" t="str">
        <f t="shared" si="370"/>
        <v>MS</v>
      </c>
    </row>
    <row r="14656" spans="1:6" x14ac:dyDescent="0.25">
      <c r="A14656" t="str">
        <f>"100124277"</f>
        <v>100124277</v>
      </c>
      <c r="B14656" t="str">
        <f>"1083610117"</f>
        <v>1083610117</v>
      </c>
      <c r="C14656" t="str">
        <f>"207RG0300X"</f>
        <v>207RG0300X</v>
      </c>
      <c r="D14656" t="str">
        <f>"BRUCKMEIER               KURT         F           "</f>
        <v xml:space="preserve">BRUCKMEIER               KURT         F           </v>
      </c>
      <c r="E14656" t="str">
        <f>"HATTIESBURG               "</f>
        <v xml:space="preserve">HATTIESBURG               </v>
      </c>
      <c r="F14656" t="str">
        <f t="shared" si="370"/>
        <v>MS</v>
      </c>
    </row>
    <row r="14657" spans="1:6" x14ac:dyDescent="0.25">
      <c r="A14657" t="str">
        <f>"100125363"</f>
        <v>100125363</v>
      </c>
      <c r="B14657" t="str">
        <f>"1871773671"</f>
        <v>1871773671</v>
      </c>
      <c r="C14657" t="str">
        <f>"207R00000X"</f>
        <v>207R00000X</v>
      </c>
      <c r="D14657" t="str">
        <f>"NAMIHIRA                 YOSHINOBU                "</f>
        <v xml:space="preserve">NAMIHIRA                 YOSHINOBU                </v>
      </c>
      <c r="E14657" t="str">
        <f>"VICKSBURG                 "</f>
        <v xml:space="preserve">VICKSBURG                 </v>
      </c>
      <c r="F14657" t="str">
        <f t="shared" si="370"/>
        <v>MS</v>
      </c>
    </row>
    <row r="14658" spans="1:6" x14ac:dyDescent="0.25">
      <c r="A14658" t="str">
        <f>"100125617"</f>
        <v>100125617</v>
      </c>
      <c r="B14658" t="str">
        <f>"1700885746"</f>
        <v>1700885746</v>
      </c>
      <c r="C14658" t="str">
        <f>"207RG0100X"</f>
        <v>207RG0100X</v>
      </c>
      <c r="D14658" t="str">
        <f>"MCNAIR JR                ALFRED       E           "</f>
        <v xml:space="preserve">MCNAIR JR                ALFRED       E           </v>
      </c>
      <c r="E14658" t="str">
        <f>"OCEAN SPRINGS             "</f>
        <v xml:space="preserve">OCEAN SPRINGS             </v>
      </c>
      <c r="F14658" t="str">
        <f t="shared" si="370"/>
        <v>MS</v>
      </c>
    </row>
    <row r="14659" spans="1:6" x14ac:dyDescent="0.25">
      <c r="A14659" t="str">
        <f>"100125848"</f>
        <v>100125848</v>
      </c>
      <c r="B14659" t="str">
        <f>"1780686352"</f>
        <v>1780686352</v>
      </c>
      <c r="C14659" t="str">
        <f>"207N00000X"</f>
        <v>207N00000X</v>
      </c>
      <c r="D14659" t="str">
        <f>"TUMMINELLO               SAM          C           "</f>
        <v xml:space="preserve">TUMMINELLO               SAM          C           </v>
      </c>
      <c r="E14659" t="str">
        <f>"NATCHEZ                   "</f>
        <v xml:space="preserve">NATCHEZ                   </v>
      </c>
      <c r="F14659" t="str">
        <f t="shared" si="370"/>
        <v>MS</v>
      </c>
    </row>
    <row r="14660" spans="1:6" x14ac:dyDescent="0.25">
      <c r="A14660" t="str">
        <f>"100125851"</f>
        <v>100125851</v>
      </c>
      <c r="B14660" t="str">
        <f>"1598795171"</f>
        <v>1598795171</v>
      </c>
      <c r="C14660" t="str">
        <f>"207RG0100X"</f>
        <v>207RG0100X</v>
      </c>
      <c r="D14660" t="str">
        <f>"HIRSCH                   CATHERINE    P           "</f>
        <v xml:space="preserve">HIRSCH                   CATHERINE    P           </v>
      </c>
      <c r="E14660" t="str">
        <f>"PASCAGOULA                "</f>
        <v xml:space="preserve">PASCAGOULA                </v>
      </c>
      <c r="F14660" t="str">
        <f t="shared" si="370"/>
        <v>MS</v>
      </c>
    </row>
    <row r="14661" spans="1:6" x14ac:dyDescent="0.25">
      <c r="A14661" t="str">
        <f>"100126229"</f>
        <v>100126229</v>
      </c>
      <c r="B14661" t="str">
        <f>"1730109018"</f>
        <v>1730109018</v>
      </c>
      <c r="C14661" t="str">
        <f>"207P00000X"</f>
        <v>207P00000X</v>
      </c>
      <c r="D14661" t="str">
        <f>"KERGOSIEN                WILLIAM      E           "</f>
        <v xml:space="preserve">KERGOSIEN                WILLIAM      E           </v>
      </c>
      <c r="E14661" t="str">
        <f>"PICAYUNE                  "</f>
        <v xml:space="preserve">PICAYUNE                  </v>
      </c>
      <c r="F14661" t="str">
        <f t="shared" si="370"/>
        <v>MS</v>
      </c>
    </row>
    <row r="14662" spans="1:6" x14ac:dyDescent="0.25">
      <c r="A14662" t="str">
        <f>"100126387"</f>
        <v>100126387</v>
      </c>
      <c r="B14662" t="str">
        <f>"1831147917"</f>
        <v>1831147917</v>
      </c>
      <c r="C14662" t="str">
        <f>"207Q00000X"</f>
        <v>207Q00000X</v>
      </c>
      <c r="D14662" t="str">
        <f>"JEFFERSON                JAMES        A           "</f>
        <v xml:space="preserve">JEFFERSON                JAMES        A           </v>
      </c>
      <c r="E14662" t="str">
        <f>"MONTICELLO                "</f>
        <v xml:space="preserve">MONTICELLO                </v>
      </c>
      <c r="F14662" t="str">
        <f t="shared" si="370"/>
        <v>MS</v>
      </c>
    </row>
    <row r="14663" spans="1:6" x14ac:dyDescent="0.25">
      <c r="A14663" t="str">
        <f>"100126557"</f>
        <v>100126557</v>
      </c>
      <c r="B14663" t="str">
        <f>"1053373316"</f>
        <v>1053373316</v>
      </c>
      <c r="C14663" t="str">
        <f>"207R00000X"</f>
        <v>207R00000X</v>
      </c>
      <c r="D14663" t="str">
        <f>"ALBRIGHT                 ANTHONY                  "</f>
        <v xml:space="preserve">ALBRIGHT                 ANTHONY                  </v>
      </c>
      <c r="E14663" t="str">
        <f>"PICAYUNE                  "</f>
        <v xml:space="preserve">PICAYUNE                  </v>
      </c>
      <c r="F14663" t="str">
        <f t="shared" si="370"/>
        <v>MS</v>
      </c>
    </row>
    <row r="14664" spans="1:6" x14ac:dyDescent="0.25">
      <c r="A14664" t="str">
        <f>"100126687"</f>
        <v>100126687</v>
      </c>
      <c r="B14664" t="str">
        <f>"1538196142"</f>
        <v>1538196142</v>
      </c>
      <c r="C14664" t="str">
        <f>"207R00000X"</f>
        <v>207R00000X</v>
      </c>
      <c r="D14664" t="str">
        <f>"PAKRON                   FREDERICK    J           "</f>
        <v xml:space="preserve">PAKRON                   FREDERICK    J           </v>
      </c>
      <c r="E14664" t="str">
        <f>"GULFPORT                  "</f>
        <v xml:space="preserve">GULFPORT                  </v>
      </c>
      <c r="F14664" t="str">
        <f t="shared" si="370"/>
        <v>MS</v>
      </c>
    </row>
    <row r="14665" spans="1:6" x14ac:dyDescent="0.25">
      <c r="A14665" t="str">
        <f>"100128441"</f>
        <v>100128441</v>
      </c>
      <c r="B14665" t="str">
        <f>"1538223052"</f>
        <v>1538223052</v>
      </c>
      <c r="C14665" t="str">
        <f>"122300000X"</f>
        <v>122300000X</v>
      </c>
      <c r="D14665" t="str">
        <f>"CURTIS                   DAVID        K           "</f>
        <v xml:space="preserve">CURTIS                   DAVID        K           </v>
      </c>
      <c r="E14665" t="str">
        <f>"CORINTH                   "</f>
        <v xml:space="preserve">CORINTH                   </v>
      </c>
      <c r="F14665" t="str">
        <f t="shared" si="370"/>
        <v>MS</v>
      </c>
    </row>
    <row r="14666" spans="1:6" x14ac:dyDescent="0.25">
      <c r="A14666" t="str">
        <f>"100128539"</f>
        <v>100128539</v>
      </c>
      <c r="B14666" t="str">
        <f>"1841274149"</f>
        <v>1841274149</v>
      </c>
      <c r="C14666" t="str">
        <f>"1223X0400X"</f>
        <v>1223X0400X</v>
      </c>
      <c r="D14666" t="str">
        <f>"MUSE                     DWEEN        S           "</f>
        <v xml:space="preserve">MUSE                     DWEEN        S           </v>
      </c>
      <c r="E14666" t="str">
        <f>"MCCOMB                    "</f>
        <v xml:space="preserve">MCCOMB                    </v>
      </c>
      <c r="F14666" t="str">
        <f t="shared" si="370"/>
        <v>MS</v>
      </c>
    </row>
    <row r="14667" spans="1:6" x14ac:dyDescent="0.25">
      <c r="A14667" t="str">
        <f>"100132008"</f>
        <v>100132008</v>
      </c>
      <c r="B14667" t="str">
        <f>"1922092881"</f>
        <v>1922092881</v>
      </c>
      <c r="C14667" t="str">
        <f>"207LP2900X"</f>
        <v>207LP2900X</v>
      </c>
      <c r="D14667" t="str">
        <f>"PEARSON                  ERIC         J           "</f>
        <v xml:space="preserve">PEARSON                  ERIC         J           </v>
      </c>
      <c r="E14667" t="str">
        <f>"MERIDIAN                  "</f>
        <v xml:space="preserve">MERIDIAN                  </v>
      </c>
      <c r="F14667" t="str">
        <f t="shared" si="370"/>
        <v>MS</v>
      </c>
    </row>
    <row r="14668" spans="1:6" x14ac:dyDescent="0.25">
      <c r="A14668" t="str">
        <f>"100132919"</f>
        <v>100132919</v>
      </c>
      <c r="B14668" t="str">
        <f>"1316909724"</f>
        <v>1316909724</v>
      </c>
      <c r="C14668" t="str">
        <f>"207LP2900X"</f>
        <v>207LP2900X</v>
      </c>
      <c r="D14668" t="str">
        <f>"TERRACINA                JOSEPH       R           "</f>
        <v xml:space="preserve">TERRACINA                JOSEPH       R           </v>
      </c>
      <c r="E14668" t="str">
        <f>"GREENVILLE                "</f>
        <v xml:space="preserve">GREENVILLE                </v>
      </c>
      <c r="F14668" t="str">
        <f t="shared" si="370"/>
        <v>MS</v>
      </c>
    </row>
    <row r="14669" spans="1:6" x14ac:dyDescent="0.25">
      <c r="A14669" t="str">
        <f>"100133108"</f>
        <v>100133108</v>
      </c>
      <c r="B14669" t="str">
        <f>"1922039528"</f>
        <v>1922039528</v>
      </c>
      <c r="C14669" t="str">
        <f>"2084N0400X"</f>
        <v>2084N0400X</v>
      </c>
      <c r="D14669" t="str">
        <f>"TIWARI                   SALIL        C           "</f>
        <v xml:space="preserve">TIWARI                   SALIL        C           </v>
      </c>
      <c r="E14669" t="str">
        <f>"JACKSON                   "</f>
        <v xml:space="preserve">JACKSON                   </v>
      </c>
      <c r="F14669" t="str">
        <f t="shared" si="370"/>
        <v>MS</v>
      </c>
    </row>
    <row r="14670" spans="1:6" x14ac:dyDescent="0.25">
      <c r="A14670" t="str">
        <f>"100133120"</f>
        <v>100133120</v>
      </c>
      <c r="B14670" t="str">
        <f>"1154410900"</f>
        <v>1154410900</v>
      </c>
      <c r="C14670" t="str">
        <f>"208D00000X"</f>
        <v>208D00000X</v>
      </c>
      <c r="D14670" t="str">
        <f>"COUGHLIN                 WILLIAM      D           "</f>
        <v xml:space="preserve">COUGHLIN                 WILLIAM      D           </v>
      </c>
      <c r="E14670" t="str">
        <f>"WHITFIELD                 "</f>
        <v xml:space="preserve">WHITFIELD                 </v>
      </c>
      <c r="F14670" t="str">
        <f t="shared" si="370"/>
        <v>MS</v>
      </c>
    </row>
    <row r="14671" spans="1:6" x14ac:dyDescent="0.25">
      <c r="A14671" t="str">
        <f>"100133350"</f>
        <v>100133350</v>
      </c>
      <c r="B14671" t="str">
        <f>"1164413407"</f>
        <v>1164413407</v>
      </c>
      <c r="C14671" t="str">
        <f>"207RP1001X"</f>
        <v>207RP1001X</v>
      </c>
      <c r="D14671" t="str">
        <f>"MCEACHERN                ROBERT       C           "</f>
        <v xml:space="preserve">MCEACHERN                ROBERT       C           </v>
      </c>
      <c r="E14671" t="str">
        <f>"TUPELO                    "</f>
        <v xml:space="preserve">TUPELO                    </v>
      </c>
      <c r="F14671" t="str">
        <f t="shared" si="370"/>
        <v>MS</v>
      </c>
    </row>
    <row r="14672" spans="1:6" x14ac:dyDescent="0.25">
      <c r="A14672" t="str">
        <f>"100133684"</f>
        <v>100133684</v>
      </c>
      <c r="B14672" t="str">
        <f>"1275695694"</f>
        <v>1275695694</v>
      </c>
      <c r="C14672" t="str">
        <f>"207RC0000X"</f>
        <v>207RC0000X</v>
      </c>
      <c r="D14672" t="str">
        <f>"DAYTON                   HARRY        E           "</f>
        <v xml:space="preserve">DAYTON                   HARRY        E           </v>
      </c>
      <c r="E14672" t="str">
        <f>"MERIDIAN                  "</f>
        <v xml:space="preserve">MERIDIAN                  </v>
      </c>
      <c r="F14672" t="str">
        <f t="shared" si="370"/>
        <v>MS</v>
      </c>
    </row>
    <row r="14673" spans="1:6" x14ac:dyDescent="0.25">
      <c r="A14673" t="str">
        <f>"100134385"</f>
        <v>100134385</v>
      </c>
      <c r="B14673" t="str">
        <f>"1336257500"</f>
        <v>1336257500</v>
      </c>
      <c r="C14673" t="str">
        <f>"207LP2900X"</f>
        <v>207LP2900X</v>
      </c>
      <c r="D14673" t="str">
        <f>"SUMMERS                  JEFFREY      T           "</f>
        <v xml:space="preserve">SUMMERS                  JEFFREY      T           </v>
      </c>
      <c r="E14673" t="str">
        <f>"FLOWOOD                   "</f>
        <v xml:space="preserve">FLOWOOD                   </v>
      </c>
      <c r="F14673" t="str">
        <f t="shared" si="370"/>
        <v>MS</v>
      </c>
    </row>
    <row r="14674" spans="1:6" x14ac:dyDescent="0.25">
      <c r="A14674" t="str">
        <f>"100134391"</f>
        <v>100134391</v>
      </c>
      <c r="B14674" t="str">
        <f>"1932215464"</f>
        <v>1932215464</v>
      </c>
      <c r="C14674" t="str">
        <f>"207LP2900X"</f>
        <v>207LP2900X</v>
      </c>
      <c r="D14674" t="str">
        <f>"DIX                      BRIAN        R           "</f>
        <v xml:space="preserve">DIX                      BRIAN        R           </v>
      </c>
      <c r="E14674" t="str">
        <f>"GULFPORT                  "</f>
        <v xml:space="preserve">GULFPORT                  </v>
      </c>
      <c r="F14674" t="str">
        <f t="shared" si="370"/>
        <v>MS</v>
      </c>
    </row>
    <row r="14675" spans="1:6" x14ac:dyDescent="0.25">
      <c r="A14675" t="str">
        <f>"100134718"</f>
        <v>100134718</v>
      </c>
      <c r="B14675" t="str">
        <f>"1811953888"</f>
        <v>1811953888</v>
      </c>
      <c r="C14675" t="str">
        <f>"207R00000X"</f>
        <v>207R00000X</v>
      </c>
      <c r="D14675" t="str">
        <f>"THOMAS                   HAROLD       R           "</f>
        <v xml:space="preserve">THOMAS                   HAROLD       R           </v>
      </c>
      <c r="E14675" t="str">
        <f>"AMORY                     "</f>
        <v xml:space="preserve">AMORY                     </v>
      </c>
      <c r="F14675" t="str">
        <f t="shared" si="370"/>
        <v>MS</v>
      </c>
    </row>
    <row r="14676" spans="1:6" x14ac:dyDescent="0.25">
      <c r="A14676" t="str">
        <f>"100134776"</f>
        <v>100134776</v>
      </c>
      <c r="B14676" t="str">
        <f>"1629056502"</f>
        <v>1629056502</v>
      </c>
      <c r="C14676" t="str">
        <f>"207K00000X"</f>
        <v>207K00000X</v>
      </c>
      <c r="D14676" t="str">
        <f>"ADKINS                   TODD         N           "</f>
        <v xml:space="preserve">ADKINS                   TODD         N           </v>
      </c>
      <c r="E14676" t="str">
        <f>"OXFORD                    "</f>
        <v xml:space="preserve">OXFORD                    </v>
      </c>
      <c r="F14676" t="str">
        <f t="shared" si="370"/>
        <v>MS</v>
      </c>
    </row>
    <row r="14677" spans="1:6" x14ac:dyDescent="0.25">
      <c r="A14677" t="str">
        <f>"100134966"</f>
        <v>100134966</v>
      </c>
      <c r="B14677" t="str">
        <f>"1578678868"</f>
        <v>1578678868</v>
      </c>
      <c r="C14677" t="str">
        <f>"207R00000X"</f>
        <v>207R00000X</v>
      </c>
      <c r="D14677" t="str">
        <f>"EKENNA                   OKECHUKWU                "</f>
        <v xml:space="preserve">EKENNA                   OKECHUKWU                </v>
      </c>
      <c r="E14677" t="str">
        <f>"PASCAGOULA                "</f>
        <v xml:space="preserve">PASCAGOULA                </v>
      </c>
      <c r="F14677" t="str">
        <f t="shared" si="370"/>
        <v>MS</v>
      </c>
    </row>
    <row r="14678" spans="1:6" x14ac:dyDescent="0.25">
      <c r="A14678" t="str">
        <f>"100135201"</f>
        <v>100135201</v>
      </c>
      <c r="B14678" t="str">
        <f>"1568533198"</f>
        <v>1568533198</v>
      </c>
      <c r="C14678" t="str">
        <f>"207RG0100X"</f>
        <v>207RG0100X</v>
      </c>
      <c r="D14678" t="str">
        <f>"BRANNAN                  DONALD       P           "</f>
        <v xml:space="preserve">BRANNAN                  DONALD       P           </v>
      </c>
      <c r="E14678" t="str">
        <f>"FLOWOOD                   "</f>
        <v xml:space="preserve">FLOWOOD                   </v>
      </c>
      <c r="F14678" t="str">
        <f t="shared" si="370"/>
        <v>MS</v>
      </c>
    </row>
    <row r="14679" spans="1:6" x14ac:dyDescent="0.25">
      <c r="A14679" t="str">
        <f>"100135749"</f>
        <v>100135749</v>
      </c>
      <c r="B14679" t="str">
        <f>"1932176641"</f>
        <v>1932176641</v>
      </c>
      <c r="C14679" t="str">
        <f>"207R00000X"</f>
        <v>207R00000X</v>
      </c>
      <c r="D14679" t="str">
        <f>"SULLIVAN                 SABRA                    "</f>
        <v xml:space="preserve">SULLIVAN                 SABRA                    </v>
      </c>
      <c r="E14679" t="str">
        <f>"JACKSON                   "</f>
        <v xml:space="preserve">JACKSON                   </v>
      </c>
      <c r="F14679" t="str">
        <f t="shared" si="370"/>
        <v>MS</v>
      </c>
    </row>
    <row r="14680" spans="1:6" x14ac:dyDescent="0.25">
      <c r="A14680" t="str">
        <f>"100135941"</f>
        <v>100135941</v>
      </c>
      <c r="B14680" t="str">
        <f>"1942203286"</f>
        <v>1942203286</v>
      </c>
      <c r="C14680" t="str">
        <f>"207R00000X"</f>
        <v>207R00000X</v>
      </c>
      <c r="D14680" t="str">
        <f>"HARDING                  ERIC         D           "</f>
        <v xml:space="preserve">HARDING                  ERIC         D           </v>
      </c>
      <c r="E14680" t="str">
        <f>"NEW ALBANY                "</f>
        <v xml:space="preserve">NEW ALBANY                </v>
      </c>
      <c r="F14680" t="str">
        <f t="shared" si="370"/>
        <v>MS</v>
      </c>
    </row>
    <row r="14681" spans="1:6" x14ac:dyDescent="0.25">
      <c r="A14681" t="str">
        <f>"100136004"</f>
        <v>100136004</v>
      </c>
      <c r="B14681" t="str">
        <f>"1295834166"</f>
        <v>1295834166</v>
      </c>
      <c r="C14681" t="str">
        <f>"208600000X"</f>
        <v>208600000X</v>
      </c>
      <c r="D14681" t="str">
        <f>"YELVERTON JR             RICHARD      L           "</f>
        <v xml:space="preserve">YELVERTON JR             RICHARD      L           </v>
      </c>
      <c r="E14681" t="str">
        <f>"JACKSON                   "</f>
        <v xml:space="preserve">JACKSON                   </v>
      </c>
      <c r="F14681" t="str">
        <f t="shared" si="370"/>
        <v>MS</v>
      </c>
    </row>
    <row r="14682" spans="1:6" x14ac:dyDescent="0.25">
      <c r="A14682" t="str">
        <f>"100136120"</f>
        <v>100136120</v>
      </c>
      <c r="B14682" t="str">
        <f>"1508970211"</f>
        <v>1508970211</v>
      </c>
      <c r="C14682" t="str">
        <f>"207R00000X"</f>
        <v>207R00000X</v>
      </c>
      <c r="D14682" t="str">
        <f>"LEADER                   LAWRENCE     J           "</f>
        <v xml:space="preserve">LEADER                   LAWRENCE     J           </v>
      </c>
      <c r="E14682" t="str">
        <f>"HATTIESBURG               "</f>
        <v xml:space="preserve">HATTIESBURG               </v>
      </c>
      <c r="F14682" t="str">
        <f t="shared" si="370"/>
        <v>MS</v>
      </c>
    </row>
    <row r="14683" spans="1:6" x14ac:dyDescent="0.25">
      <c r="A14683" t="str">
        <f>"100136261"</f>
        <v>100136261</v>
      </c>
      <c r="B14683" t="str">
        <f>"1144261793"</f>
        <v>1144261793</v>
      </c>
      <c r="C14683" t="str">
        <f>"207P00000X"</f>
        <v>207P00000X</v>
      </c>
      <c r="D14683" t="str">
        <f>"WHITE                    JOSEPH                   "</f>
        <v xml:space="preserve">WHITE                    JOSEPH                   </v>
      </c>
      <c r="E14683" t="str">
        <f>"BROOKHAVEN                "</f>
        <v xml:space="preserve">BROOKHAVEN                </v>
      </c>
      <c r="F14683" t="str">
        <f t="shared" si="370"/>
        <v>MS</v>
      </c>
    </row>
    <row r="14684" spans="1:6" x14ac:dyDescent="0.25">
      <c r="A14684" t="str">
        <f>"100136311"</f>
        <v>100136311</v>
      </c>
      <c r="B14684" t="str">
        <f>"1194825513"</f>
        <v>1194825513</v>
      </c>
      <c r="C14684" t="str">
        <f>"208000000X"</f>
        <v>208000000X</v>
      </c>
      <c r="D14684" t="str">
        <f>"CLAWSON                  MARY         E           "</f>
        <v xml:space="preserve">CLAWSON                  MARY         E           </v>
      </c>
      <c r="E14684" t="str">
        <f>"BAY SPRINGS               "</f>
        <v xml:space="preserve">BAY SPRINGS               </v>
      </c>
      <c r="F14684" t="str">
        <f t="shared" si="370"/>
        <v>MS</v>
      </c>
    </row>
    <row r="14685" spans="1:6" x14ac:dyDescent="0.25">
      <c r="A14685" t="str">
        <f>"100136313"</f>
        <v>100136313</v>
      </c>
      <c r="B14685" t="str">
        <f>"1194825513"</f>
        <v>1194825513</v>
      </c>
      <c r="C14685" t="str">
        <f>"207R00000X"</f>
        <v>207R00000X</v>
      </c>
      <c r="D14685" t="str">
        <f>"CLAWSON                  MARY         E           "</f>
        <v xml:space="preserve">CLAWSON                  MARY         E           </v>
      </c>
      <c r="E14685" t="str">
        <f>"BAY SPRINGS               "</f>
        <v xml:space="preserve">BAY SPRINGS               </v>
      </c>
      <c r="F14685" t="str">
        <f t="shared" si="370"/>
        <v>MS</v>
      </c>
    </row>
    <row r="14686" spans="1:6" x14ac:dyDescent="0.25">
      <c r="A14686" t="str">
        <f>"100136361"</f>
        <v>100136361</v>
      </c>
      <c r="B14686" t="str">
        <f>"1093752115"</f>
        <v>1093752115</v>
      </c>
      <c r="C14686" t="str">
        <f>"207R00000X"</f>
        <v>207R00000X</v>
      </c>
      <c r="D14686" t="str">
        <f>"LEWIS                    ROBERT       L           "</f>
        <v xml:space="preserve">LEWIS                    ROBERT       L           </v>
      </c>
      <c r="E14686" t="str">
        <f>"WOODVILLE                 "</f>
        <v xml:space="preserve">WOODVILLE                 </v>
      </c>
      <c r="F14686" t="str">
        <f t="shared" si="370"/>
        <v>MS</v>
      </c>
    </row>
    <row r="14687" spans="1:6" x14ac:dyDescent="0.25">
      <c r="A14687" t="str">
        <f>"100136510"</f>
        <v>100136510</v>
      </c>
      <c r="B14687" t="str">
        <f>"1346238615"</f>
        <v>1346238615</v>
      </c>
      <c r="C14687" t="str">
        <f>"207R00000X"</f>
        <v>207R00000X</v>
      </c>
      <c r="D14687" t="str">
        <f>"DOTHEROW                 PIERCE       D           "</f>
        <v xml:space="preserve">DOTHEROW                 PIERCE       D           </v>
      </c>
      <c r="E14687" t="str">
        <f>"FLOWOOD                   "</f>
        <v xml:space="preserve">FLOWOOD                   </v>
      </c>
      <c r="F14687" t="str">
        <f t="shared" si="370"/>
        <v>MS</v>
      </c>
    </row>
    <row r="14688" spans="1:6" x14ac:dyDescent="0.25">
      <c r="A14688" t="str">
        <f>"100136578"</f>
        <v>100136578</v>
      </c>
      <c r="B14688" t="str">
        <f>"1992857106"</f>
        <v>1992857106</v>
      </c>
      <c r="C14688" t="str">
        <f>"208600000X"</f>
        <v>208600000X</v>
      </c>
      <c r="D14688" t="str">
        <f>"WRIGHT JR                BENNIE       B           "</f>
        <v xml:space="preserve">WRIGHT JR                BENNIE       B           </v>
      </c>
      <c r="E14688" t="str">
        <f>"CLEVELAND                 "</f>
        <v xml:space="preserve">CLEVELAND                 </v>
      </c>
      <c r="F14688" t="str">
        <f t="shared" si="370"/>
        <v>MS</v>
      </c>
    </row>
    <row r="14689" spans="1:6" x14ac:dyDescent="0.25">
      <c r="A14689" t="str">
        <f>"100136587"</f>
        <v>100136587</v>
      </c>
      <c r="B14689" t="str">
        <f>"1417945668"</f>
        <v>1417945668</v>
      </c>
      <c r="C14689" t="str">
        <f>"207RG0100X"</f>
        <v>207RG0100X</v>
      </c>
      <c r="D14689" t="str">
        <f>"WRIGHT                   CYNTHIA      H           "</f>
        <v xml:space="preserve">WRIGHT                   CYNTHIA      H           </v>
      </c>
      <c r="E14689" t="str">
        <f>"FLOWOOD                   "</f>
        <v xml:space="preserve">FLOWOOD                   </v>
      </c>
      <c r="F14689" t="str">
        <f t="shared" si="370"/>
        <v>MS</v>
      </c>
    </row>
    <row r="14690" spans="1:6" x14ac:dyDescent="0.25">
      <c r="A14690" t="str">
        <f>"100136781"</f>
        <v>100136781</v>
      </c>
      <c r="B14690" t="str">
        <f>"1043246259"</f>
        <v>1043246259</v>
      </c>
      <c r="C14690" t="str">
        <f>"207P00000X"</f>
        <v>207P00000X</v>
      </c>
      <c r="D14690" t="str">
        <f>"WADE                     TARENCE      E           "</f>
        <v xml:space="preserve">WADE                     TARENCE      E           </v>
      </c>
      <c r="E14690" t="str">
        <f>"CLARKSDALE                "</f>
        <v xml:space="preserve">CLARKSDALE                </v>
      </c>
      <c r="F14690" t="str">
        <f t="shared" si="370"/>
        <v>MS</v>
      </c>
    </row>
    <row r="14691" spans="1:6" x14ac:dyDescent="0.25">
      <c r="A14691" t="str">
        <f>"100137069"</f>
        <v>100137069</v>
      </c>
      <c r="B14691" t="str">
        <f>"1265467724"</f>
        <v>1265467724</v>
      </c>
      <c r="C14691" t="str">
        <f>"207P00000X"</f>
        <v>207P00000X</v>
      </c>
      <c r="D14691" t="str">
        <f>"COX                      ROBERT       D           "</f>
        <v xml:space="preserve">COX                      ROBERT       D           </v>
      </c>
      <c r="E14691" t="str">
        <f>"JACKSON                   "</f>
        <v xml:space="preserve">JACKSON                   </v>
      </c>
      <c r="F14691" t="str">
        <f t="shared" si="370"/>
        <v>MS</v>
      </c>
    </row>
    <row r="14692" spans="1:6" x14ac:dyDescent="0.25">
      <c r="A14692" t="str">
        <f>"100137105"</f>
        <v>100137105</v>
      </c>
      <c r="B14692" t="str">
        <f>"1194723965"</f>
        <v>1194723965</v>
      </c>
      <c r="C14692" t="str">
        <f>"207RX0202X"</f>
        <v>207RX0202X</v>
      </c>
      <c r="D14692" t="str">
        <f>"MORGAN                   DENNIS       P           "</f>
        <v xml:space="preserve">MORGAN                   DENNIS       P           </v>
      </c>
      <c r="E14692" t="str">
        <f>"CANTON                    "</f>
        <v xml:space="preserve">CANTON                    </v>
      </c>
      <c r="F14692" t="str">
        <f t="shared" si="370"/>
        <v>MS</v>
      </c>
    </row>
    <row r="14693" spans="1:6" x14ac:dyDescent="0.25">
      <c r="A14693" t="str">
        <f>"100137110"</f>
        <v>100137110</v>
      </c>
      <c r="B14693" t="str">
        <f>"1356364905"</f>
        <v>1356364905</v>
      </c>
      <c r="C14693" t="str">
        <f>"207R00000X"</f>
        <v>207R00000X</v>
      </c>
      <c r="D14693" t="str">
        <f>"FLOWERS III              RICHARD      H           "</f>
        <v xml:space="preserve">FLOWERS III              RICHARD      H           </v>
      </c>
      <c r="E14693" t="str">
        <f>"JACKSON                   "</f>
        <v xml:space="preserve">JACKSON                   </v>
      </c>
      <c r="F14693" t="str">
        <f t="shared" si="370"/>
        <v>MS</v>
      </c>
    </row>
    <row r="14694" spans="1:6" x14ac:dyDescent="0.25">
      <c r="A14694" t="str">
        <f>"100137121"</f>
        <v>100137121</v>
      </c>
      <c r="B14694" t="str">
        <f>"1346311982"</f>
        <v>1346311982</v>
      </c>
      <c r="C14694" t="str">
        <f>"207RI0200X"</f>
        <v>207RI0200X</v>
      </c>
      <c r="D14694" t="str">
        <f>"BYERS                    MICHAEL      R           "</f>
        <v xml:space="preserve">BYERS                    MICHAEL      R           </v>
      </c>
      <c r="E14694" t="str">
        <f>"JACKSON                   "</f>
        <v xml:space="preserve">JACKSON                   </v>
      </c>
      <c r="F14694" t="str">
        <f t="shared" si="370"/>
        <v>MS</v>
      </c>
    </row>
    <row r="14695" spans="1:6" x14ac:dyDescent="0.25">
      <c r="A14695" t="str">
        <f>"100137197"</f>
        <v>100137197</v>
      </c>
      <c r="B14695" t="str">
        <f>"1760561252"</f>
        <v>1760561252</v>
      </c>
      <c r="C14695" t="str">
        <f>"207R00000X"</f>
        <v>207R00000X</v>
      </c>
      <c r="D14695" t="str">
        <f>"MOORE                    JAMES        B           "</f>
        <v xml:space="preserve">MOORE                    JAMES        B           </v>
      </c>
      <c r="E14695" t="str">
        <f>"JACKSON                   "</f>
        <v xml:space="preserve">JACKSON                   </v>
      </c>
      <c r="F14695" t="str">
        <f t="shared" si="370"/>
        <v>MS</v>
      </c>
    </row>
    <row r="14696" spans="1:6" x14ac:dyDescent="0.25">
      <c r="A14696" t="str">
        <f>"100137198"</f>
        <v>100137198</v>
      </c>
      <c r="B14696" t="str">
        <f>"1760561252"</f>
        <v>1760561252</v>
      </c>
      <c r="C14696" t="str">
        <f>"207RN0300X"</f>
        <v>207RN0300X</v>
      </c>
      <c r="D14696" t="str">
        <f>"MOORE                    JAMES        B           "</f>
        <v xml:space="preserve">MOORE                    JAMES        B           </v>
      </c>
      <c r="E14696" t="str">
        <f>"JACKSON                   "</f>
        <v xml:space="preserve">JACKSON                   </v>
      </c>
      <c r="F14696" t="str">
        <f t="shared" si="370"/>
        <v>MS</v>
      </c>
    </row>
    <row r="14697" spans="1:6" x14ac:dyDescent="0.25">
      <c r="A14697" t="str">
        <f>"100137809"</f>
        <v>100137809</v>
      </c>
      <c r="B14697" t="str">
        <f>"1821104365"</f>
        <v>1821104365</v>
      </c>
      <c r="C14697" t="str">
        <f>"207L00000X"</f>
        <v>207L00000X</v>
      </c>
      <c r="D14697" t="str">
        <f>"OVERMYER                 KENT         T           "</f>
        <v xml:space="preserve">OVERMYER                 KENT         T           </v>
      </c>
      <c r="E14697" t="str">
        <f>"GULFPORT                  "</f>
        <v xml:space="preserve">GULFPORT                  </v>
      </c>
      <c r="F14697" t="str">
        <f t="shared" si="370"/>
        <v>MS</v>
      </c>
    </row>
    <row r="14698" spans="1:6" x14ac:dyDescent="0.25">
      <c r="A14698" t="str">
        <f>"100138199"</f>
        <v>100138199</v>
      </c>
      <c r="B14698" t="str">
        <f>"1053315028"</f>
        <v>1053315028</v>
      </c>
      <c r="C14698" t="str">
        <f>"207V00000X"</f>
        <v>207V00000X</v>
      </c>
      <c r="D14698" t="str">
        <f>"JOHNSON                  WILLIAM      W           "</f>
        <v xml:space="preserve">JOHNSON                  WILLIAM      W           </v>
      </c>
      <c r="E14698" t="str">
        <f>"NEW ALBANY                "</f>
        <v xml:space="preserve">NEW ALBANY                </v>
      </c>
      <c r="F14698" t="str">
        <f t="shared" si="370"/>
        <v>MS</v>
      </c>
    </row>
    <row r="14699" spans="1:6" x14ac:dyDescent="0.25">
      <c r="A14699" t="str">
        <f>"100138357"</f>
        <v>100138357</v>
      </c>
      <c r="B14699" t="str">
        <f>"1841369907"</f>
        <v>1841369907</v>
      </c>
      <c r="C14699" t="str">
        <f>"207R00000X"</f>
        <v>207R00000X</v>
      </c>
      <c r="D14699" t="str">
        <f>"MALHOTRA                 SUNIL                    "</f>
        <v xml:space="preserve">MALHOTRA                 SUNIL                    </v>
      </c>
      <c r="E14699" t="str">
        <f>"SOUTHAVEN                 "</f>
        <v xml:space="preserve">SOUTHAVEN                 </v>
      </c>
      <c r="F14699" t="str">
        <f t="shared" si="370"/>
        <v>MS</v>
      </c>
    </row>
    <row r="14700" spans="1:6" x14ac:dyDescent="0.25">
      <c r="A14700" t="str">
        <f>"100138615"</f>
        <v>100138615</v>
      </c>
      <c r="B14700" t="str">
        <f>"1164436044"</f>
        <v>1164436044</v>
      </c>
      <c r="C14700" t="str">
        <f>"207P00000X"</f>
        <v>207P00000X</v>
      </c>
      <c r="D14700" t="str">
        <f>"MEYER                    WILLIAM      T           "</f>
        <v xml:space="preserve">MEYER                    WILLIAM      T           </v>
      </c>
      <c r="E14700" t="str">
        <f>"MERIDIAN                  "</f>
        <v xml:space="preserve">MERIDIAN                  </v>
      </c>
      <c r="F14700" t="str">
        <f t="shared" si="370"/>
        <v>MS</v>
      </c>
    </row>
    <row r="14701" spans="1:6" x14ac:dyDescent="0.25">
      <c r="A14701" t="str">
        <f>"100138630"</f>
        <v>100138630</v>
      </c>
      <c r="B14701" t="str">
        <f>"1699790196"</f>
        <v>1699790196</v>
      </c>
      <c r="C14701" t="str">
        <f>"207R00000X"</f>
        <v>207R00000X</v>
      </c>
      <c r="D14701" t="str">
        <f>"ZAYED                    MAHMOUD      H           "</f>
        <v xml:space="preserve">ZAYED                    MAHMOUD      H           </v>
      </c>
      <c r="E14701" t="str">
        <f>"PASCAGOULA                "</f>
        <v xml:space="preserve">PASCAGOULA                </v>
      </c>
      <c r="F14701" t="str">
        <f t="shared" si="370"/>
        <v>MS</v>
      </c>
    </row>
    <row r="14702" spans="1:6" x14ac:dyDescent="0.25">
      <c r="A14702" t="str">
        <f>"100138839"</f>
        <v>100138839</v>
      </c>
      <c r="B14702" t="str">
        <f>"1134236128"</f>
        <v>1134236128</v>
      </c>
      <c r="C14702" t="str">
        <f>"207R00000X"</f>
        <v>207R00000X</v>
      </c>
      <c r="D14702" t="str">
        <f>"FIGUEROA                 ALFREDO      H           "</f>
        <v xml:space="preserve">FIGUEROA                 ALFREDO      H           </v>
      </c>
      <c r="E14702" t="str">
        <f>"FLOWOOD                   "</f>
        <v xml:space="preserve">FLOWOOD                   </v>
      </c>
      <c r="F14702" t="str">
        <f t="shared" si="370"/>
        <v>MS</v>
      </c>
    </row>
    <row r="14703" spans="1:6" x14ac:dyDescent="0.25">
      <c r="A14703" t="str">
        <f>"100139096"</f>
        <v>100139096</v>
      </c>
      <c r="B14703" t="str">
        <f>"1063527356"</f>
        <v>1063527356</v>
      </c>
      <c r="C14703" t="str">
        <f>"207K00000X"</f>
        <v>207K00000X</v>
      </c>
      <c r="D14703" t="str">
        <f>"HOLLAND                  JAMES        S           "</f>
        <v xml:space="preserve">HOLLAND                  JAMES        S           </v>
      </c>
      <c r="E14703" t="str">
        <f>"GULFPORT                  "</f>
        <v xml:space="preserve">GULFPORT                  </v>
      </c>
      <c r="F14703" t="str">
        <f t="shared" si="370"/>
        <v>MS</v>
      </c>
    </row>
    <row r="14704" spans="1:6" x14ac:dyDescent="0.25">
      <c r="A14704" t="str">
        <f>"100139277"</f>
        <v>100139277</v>
      </c>
      <c r="B14704" t="str">
        <f>"1942298120"</f>
        <v>1942298120</v>
      </c>
      <c r="C14704" t="str">
        <f>"207RG0100X"</f>
        <v>207RG0100X</v>
      </c>
      <c r="D14704" t="str">
        <f>"KOTFILA                  RONALD       P           "</f>
        <v xml:space="preserve">KOTFILA                  RONALD       P           </v>
      </c>
      <c r="E14704" t="str">
        <f>"FLOWOOD                   "</f>
        <v xml:space="preserve">FLOWOOD                   </v>
      </c>
      <c r="F14704" t="str">
        <f t="shared" si="370"/>
        <v>MS</v>
      </c>
    </row>
    <row r="14705" spans="1:6" x14ac:dyDescent="0.25">
      <c r="A14705" t="str">
        <f>"100139297"</f>
        <v>100139297</v>
      </c>
      <c r="B14705" t="str">
        <f>"1487659850"</f>
        <v>1487659850</v>
      </c>
      <c r="C14705" t="str">
        <f>"207R00000X"</f>
        <v>207R00000X</v>
      </c>
      <c r="D14705" t="str">
        <f>"PATEL                    MANUBHAI     S           "</f>
        <v xml:space="preserve">PATEL                    MANUBHAI     S           </v>
      </c>
      <c r="E14705" t="str">
        <f>"JACKSON                   "</f>
        <v xml:space="preserve">JACKSON                   </v>
      </c>
      <c r="F14705" t="str">
        <f t="shared" si="370"/>
        <v>MS</v>
      </c>
    </row>
    <row r="14706" spans="1:6" x14ac:dyDescent="0.25">
      <c r="A14706" t="str">
        <f>"100139421"</f>
        <v>100139421</v>
      </c>
      <c r="B14706" t="str">
        <f>"1710095880"</f>
        <v>1710095880</v>
      </c>
      <c r="C14706" t="str">
        <f>"207LP2900X"</f>
        <v>207LP2900X</v>
      </c>
      <c r="D14706" t="str">
        <f>"LASETER                  JEFFREY      T           "</f>
        <v xml:space="preserve">LASETER                  JEFFREY      T           </v>
      </c>
      <c r="E14706" t="str">
        <f>"FLOWOOD                   "</f>
        <v xml:space="preserve">FLOWOOD                   </v>
      </c>
      <c r="F14706" t="str">
        <f t="shared" si="370"/>
        <v>MS</v>
      </c>
    </row>
    <row r="14707" spans="1:6" x14ac:dyDescent="0.25">
      <c r="A14707" t="str">
        <f>"100139457"</f>
        <v>100139457</v>
      </c>
      <c r="B14707" t="str">
        <f>"1326149253"</f>
        <v>1326149253</v>
      </c>
      <c r="C14707" t="str">
        <f>"208D00000X"</f>
        <v>208D00000X</v>
      </c>
      <c r="D14707" t="str">
        <f>"JAGADESSAN               JAISHANKAR               "</f>
        <v xml:space="preserve">JAGADESSAN               JAISHANKAR               </v>
      </c>
      <c r="E14707" t="str">
        <f>"PRENTISS                  "</f>
        <v xml:space="preserve">PRENTISS                  </v>
      </c>
      <c r="F14707" t="str">
        <f t="shared" si="370"/>
        <v>MS</v>
      </c>
    </row>
    <row r="14708" spans="1:6" x14ac:dyDescent="0.25">
      <c r="A14708" t="str">
        <f>"100139505"</f>
        <v>100139505</v>
      </c>
      <c r="B14708" t="str">
        <f>"1568489417"</f>
        <v>1568489417</v>
      </c>
      <c r="C14708" t="str">
        <f>"207RN0300X"</f>
        <v>207RN0300X</v>
      </c>
      <c r="D14708" t="str">
        <f>"GHAEMMAGHAMI             NOSRATOLLAH              "</f>
        <v xml:space="preserve">GHAEMMAGHAMI             NOSRATOLLAH              </v>
      </c>
      <c r="E14708" t="str">
        <f>"JACKSON                   "</f>
        <v xml:space="preserve">JACKSON                   </v>
      </c>
      <c r="F14708" t="str">
        <f t="shared" si="370"/>
        <v>MS</v>
      </c>
    </row>
    <row r="14709" spans="1:6" x14ac:dyDescent="0.25">
      <c r="A14709" t="str">
        <f>"100139656"</f>
        <v>100139656</v>
      </c>
      <c r="B14709" t="str">
        <f>"1851495295"</f>
        <v>1851495295</v>
      </c>
      <c r="C14709" t="str">
        <f>"207V00000X"</f>
        <v>207V00000X</v>
      </c>
      <c r="D14709" t="str">
        <f>"PURVIS                   RONNYE       D           "</f>
        <v xml:space="preserve">PURVIS                   RONNYE       D           </v>
      </c>
      <c r="E14709" t="str">
        <f>"MERIDIAN                  "</f>
        <v xml:space="preserve">MERIDIAN                  </v>
      </c>
      <c r="F14709" t="str">
        <f t="shared" si="370"/>
        <v>MS</v>
      </c>
    </row>
    <row r="14710" spans="1:6" x14ac:dyDescent="0.25">
      <c r="A14710" t="str">
        <f>"100139783"</f>
        <v>100139783</v>
      </c>
      <c r="B14710" t="str">
        <f>"1184612368"</f>
        <v>1184612368</v>
      </c>
      <c r="C14710" t="str">
        <f>"207RG0100X"</f>
        <v>207RG0100X</v>
      </c>
      <c r="D14710" t="str">
        <f>"WILSON                   MARK         E           "</f>
        <v xml:space="preserve">WILSON                   MARK         E           </v>
      </c>
      <c r="E14710" t="str">
        <f>"FLOWOOD                   "</f>
        <v xml:space="preserve">FLOWOOD                   </v>
      </c>
      <c r="F14710" t="str">
        <f t="shared" si="370"/>
        <v>MS</v>
      </c>
    </row>
    <row r="14711" spans="1:6" x14ac:dyDescent="0.25">
      <c r="A14711" t="str">
        <f>"100140323"</f>
        <v>100140323</v>
      </c>
      <c r="B14711" t="str">
        <f>"1114995537"</f>
        <v>1114995537</v>
      </c>
      <c r="C14711" t="str">
        <f>"207R00000X"</f>
        <v>207R00000X</v>
      </c>
      <c r="D14711" t="str">
        <f>"HIRSCHFIELD              WULF                     "</f>
        <v xml:space="preserve">HIRSCHFIELD              WULF                     </v>
      </c>
      <c r="E14711" t="str">
        <f>"WAYNESBORO                "</f>
        <v xml:space="preserve">WAYNESBORO                </v>
      </c>
      <c r="F14711" t="str">
        <f t="shared" si="370"/>
        <v>MS</v>
      </c>
    </row>
    <row r="14712" spans="1:6" x14ac:dyDescent="0.25">
      <c r="A14712" t="str">
        <f>"100140324"</f>
        <v>100140324</v>
      </c>
      <c r="B14712" t="str">
        <f>"1114995537"</f>
        <v>1114995537</v>
      </c>
      <c r="C14712" t="str">
        <f>"207RP1001X"</f>
        <v>207RP1001X</v>
      </c>
      <c r="D14712" t="str">
        <f>"HIRSCHFIELD              WULF                     "</f>
        <v xml:space="preserve">HIRSCHFIELD              WULF                     </v>
      </c>
      <c r="E14712" t="str">
        <f>"WAYNESBORO                "</f>
        <v xml:space="preserve">WAYNESBORO                </v>
      </c>
      <c r="F14712" t="str">
        <f t="shared" si="370"/>
        <v>MS</v>
      </c>
    </row>
    <row r="14713" spans="1:6" x14ac:dyDescent="0.25">
      <c r="A14713" t="str">
        <f>"100140962"</f>
        <v>100140962</v>
      </c>
      <c r="B14713" t="str">
        <f>"1427032754"</f>
        <v>1427032754</v>
      </c>
      <c r="C14713" t="str">
        <f>"2084P0800X"</f>
        <v>2084P0800X</v>
      </c>
      <c r="D14713" t="str">
        <f>"CASSADA                  MARGARET     K           "</f>
        <v xml:space="preserve">CASSADA                  MARGARET     K           </v>
      </c>
      <c r="E14713" t="str">
        <f>"LELAND                    "</f>
        <v xml:space="preserve">LELAND                    </v>
      </c>
      <c r="F14713" t="str">
        <f t="shared" si="370"/>
        <v>MS</v>
      </c>
    </row>
    <row r="14714" spans="1:6" x14ac:dyDescent="0.25">
      <c r="A14714" t="str">
        <f>"100141090"</f>
        <v>100141090</v>
      </c>
      <c r="B14714" t="str">
        <f>"1154378735"</f>
        <v>1154378735</v>
      </c>
      <c r="C14714" t="str">
        <f>"207W00000X"</f>
        <v>207W00000X</v>
      </c>
      <c r="D14714" t="str">
        <f>"GOLLAMUDI                SUBBA        R           "</f>
        <v xml:space="preserve">GOLLAMUDI                SUBBA        R           </v>
      </c>
      <c r="E14714" t="str">
        <f>"SOUTHAVEN                 "</f>
        <v xml:space="preserve">SOUTHAVEN                 </v>
      </c>
      <c r="F14714" t="str">
        <f t="shared" si="370"/>
        <v>MS</v>
      </c>
    </row>
    <row r="14715" spans="1:6" x14ac:dyDescent="0.25">
      <c r="A14715" t="str">
        <f>"100141148"</f>
        <v>100141148</v>
      </c>
      <c r="B14715" t="str">
        <f>"1326123423"</f>
        <v>1326123423</v>
      </c>
      <c r="C14715" t="str">
        <f>"207RN0300X"</f>
        <v>207RN0300X</v>
      </c>
      <c r="D14715" t="str">
        <f>"PATEL                    AMI          R           "</f>
        <v xml:space="preserve">PATEL                    AMI          R           </v>
      </c>
      <c r="E14715" t="str">
        <f>"FLOWOOD                   "</f>
        <v xml:space="preserve">FLOWOOD                   </v>
      </c>
      <c r="F14715" t="str">
        <f t="shared" si="370"/>
        <v>MS</v>
      </c>
    </row>
    <row r="14716" spans="1:6" x14ac:dyDescent="0.25">
      <c r="A14716" t="str">
        <f>"100141208"</f>
        <v>100141208</v>
      </c>
      <c r="B14716" t="str">
        <f>"1649273509"</f>
        <v>1649273509</v>
      </c>
      <c r="C14716" t="str">
        <f>"207R00000X"</f>
        <v>207R00000X</v>
      </c>
      <c r="D14716" t="str">
        <f>"JOHNSON                  VERONICA     Y           "</f>
        <v xml:space="preserve">JOHNSON                  VERONICA     Y           </v>
      </c>
      <c r="E14716" t="str">
        <f>"CHOCTAW                   "</f>
        <v xml:space="preserve">CHOCTAW                   </v>
      </c>
      <c r="F14716" t="str">
        <f t="shared" si="370"/>
        <v>MS</v>
      </c>
    </row>
    <row r="14717" spans="1:6" x14ac:dyDescent="0.25">
      <c r="A14717" t="str">
        <f>"100141756"</f>
        <v>100141756</v>
      </c>
      <c r="B14717" t="str">
        <f>"1568572709"</f>
        <v>1568572709</v>
      </c>
      <c r="C14717" t="str">
        <f>"207RC0000X"</f>
        <v>207RC0000X</v>
      </c>
      <c r="D14717" t="str">
        <f>"WILLIAMS                 ROGER        A           "</f>
        <v xml:space="preserve">WILLIAMS                 ROGER        A           </v>
      </c>
      <c r="E14717" t="str">
        <f>"TUPELO                    "</f>
        <v xml:space="preserve">TUPELO                    </v>
      </c>
      <c r="F14717" t="str">
        <f t="shared" si="370"/>
        <v>MS</v>
      </c>
    </row>
    <row r="14718" spans="1:6" x14ac:dyDescent="0.25">
      <c r="A14718" t="str">
        <f>"100141787"</f>
        <v>100141787</v>
      </c>
      <c r="B14718" t="str">
        <f>"1417066226"</f>
        <v>1417066226</v>
      </c>
      <c r="C14718" t="str">
        <f>"207RC0000X"</f>
        <v>207RC0000X</v>
      </c>
      <c r="D14718" t="str">
        <f>"STONE JR                 JAMES        E           "</f>
        <v xml:space="preserve">STONE JR                 JAMES        E           </v>
      </c>
      <c r="E14718" t="str">
        <f>"TUPELO                    "</f>
        <v xml:space="preserve">TUPELO                    </v>
      </c>
      <c r="F14718" t="str">
        <f t="shared" ref="F14718:F14781" si="371">"MS"</f>
        <v>MS</v>
      </c>
    </row>
    <row r="14719" spans="1:6" x14ac:dyDescent="0.25">
      <c r="A14719" t="str">
        <f>"100141888"</f>
        <v>100141888</v>
      </c>
      <c r="B14719" t="str">
        <f>"1932165073"</f>
        <v>1932165073</v>
      </c>
      <c r="C14719" t="str">
        <f>"207R00000X"</f>
        <v>207R00000X</v>
      </c>
      <c r="D14719" t="str">
        <f>"STEWART                  ROBERT       N           "</f>
        <v xml:space="preserve">STEWART                  ROBERT       N           </v>
      </c>
      <c r="E14719" t="str">
        <f>"TUPELO                    "</f>
        <v xml:space="preserve">TUPELO                    </v>
      </c>
      <c r="F14719" t="str">
        <f t="shared" si="371"/>
        <v>MS</v>
      </c>
    </row>
    <row r="14720" spans="1:6" x14ac:dyDescent="0.25">
      <c r="A14720" t="str">
        <f>"100142083"</f>
        <v>100142083</v>
      </c>
      <c r="B14720" t="str">
        <f>"1063471761"</f>
        <v>1063471761</v>
      </c>
      <c r="C14720" t="str">
        <f>"207RG0100X"</f>
        <v>207RG0100X</v>
      </c>
      <c r="D14720" t="str">
        <f>"AMANN                    STEPHEN      T           "</f>
        <v xml:space="preserve">AMANN                    STEPHEN      T           </v>
      </c>
      <c r="E14720" t="str">
        <f>"TUPELO                    "</f>
        <v xml:space="preserve">TUPELO                    </v>
      </c>
      <c r="F14720" t="str">
        <f t="shared" si="371"/>
        <v>MS</v>
      </c>
    </row>
    <row r="14721" spans="1:6" x14ac:dyDescent="0.25">
      <c r="A14721" t="str">
        <f>"100142257"</f>
        <v>100142257</v>
      </c>
      <c r="B14721" t="str">
        <f>"1366451387"</f>
        <v>1366451387</v>
      </c>
      <c r="C14721" t="str">
        <f>"207Q00000X"</f>
        <v>207Q00000X</v>
      </c>
      <c r="D14721" t="str">
        <f>"HOLLMAN                  AMY          B           "</f>
        <v xml:space="preserve">HOLLMAN                  AMY          B           </v>
      </c>
      <c r="E14721" t="str">
        <f>"BRANDON                   "</f>
        <v xml:space="preserve">BRANDON                   </v>
      </c>
      <c r="F14721" t="str">
        <f t="shared" si="371"/>
        <v>MS</v>
      </c>
    </row>
    <row r="14722" spans="1:6" x14ac:dyDescent="0.25">
      <c r="A14722" t="str">
        <f>"100142376"</f>
        <v>100142376</v>
      </c>
      <c r="B14722" t="str">
        <f>"1427095579"</f>
        <v>1427095579</v>
      </c>
      <c r="C14722" t="str">
        <f>"207Q00000X"</f>
        <v>207Q00000X</v>
      </c>
      <c r="D14722" t="str">
        <f>"SUMRALL                  CHRYSTAL     A           "</f>
        <v xml:space="preserve">SUMRALL                  CHRYSTAL     A           </v>
      </c>
      <c r="E14722" t="str">
        <f>"LAUREL                    "</f>
        <v xml:space="preserve">LAUREL                    </v>
      </c>
      <c r="F14722" t="str">
        <f t="shared" si="371"/>
        <v>MS</v>
      </c>
    </row>
    <row r="14723" spans="1:6" x14ac:dyDescent="0.25">
      <c r="A14723" t="str">
        <f>"100142817"</f>
        <v>100142817</v>
      </c>
      <c r="B14723" t="str">
        <f>"1841341369"</f>
        <v>1841341369</v>
      </c>
      <c r="C14723" t="str">
        <f>"208G00000X"</f>
        <v>208G00000X</v>
      </c>
      <c r="D14723" t="str">
        <f>"HORSLEY                  WILLIAM      S           "</f>
        <v xml:space="preserve">HORSLEY                  WILLIAM      S           </v>
      </c>
      <c r="E14723" t="str">
        <f>"JACKSON                   "</f>
        <v xml:space="preserve">JACKSON                   </v>
      </c>
      <c r="F14723" t="str">
        <f t="shared" si="371"/>
        <v>MS</v>
      </c>
    </row>
    <row r="14724" spans="1:6" x14ac:dyDescent="0.25">
      <c r="A14724" t="str">
        <f>"100142898"</f>
        <v>100142898</v>
      </c>
      <c r="B14724" t="str">
        <f>"1699775171"</f>
        <v>1699775171</v>
      </c>
      <c r="C14724" t="str">
        <f>"207RG0100X"</f>
        <v>207RG0100X</v>
      </c>
      <c r="D14724" t="str">
        <f>"DILLON JR                ALVA                     "</f>
        <v xml:space="preserve">DILLON JR                ALVA                     </v>
      </c>
      <c r="E14724" t="str">
        <f>"OCEAN SPRINGS             "</f>
        <v xml:space="preserve">OCEAN SPRINGS             </v>
      </c>
      <c r="F14724" t="str">
        <f t="shared" si="371"/>
        <v>MS</v>
      </c>
    </row>
    <row r="14725" spans="1:6" x14ac:dyDescent="0.25">
      <c r="A14725" t="str">
        <f>"100142912"</f>
        <v>100142912</v>
      </c>
      <c r="B14725" t="str">
        <f>"1194749150"</f>
        <v>1194749150</v>
      </c>
      <c r="C14725" t="str">
        <f>"207RC0000X"</f>
        <v>207RC0000X</v>
      </c>
      <c r="D14725" t="str">
        <f>"MORGAN                   KERRY        D           "</f>
        <v xml:space="preserve">MORGAN                   KERRY        D           </v>
      </c>
      <c r="E14725" t="str">
        <f>"CORINTH                   "</f>
        <v xml:space="preserve">CORINTH                   </v>
      </c>
      <c r="F14725" t="str">
        <f t="shared" si="371"/>
        <v>MS</v>
      </c>
    </row>
    <row r="14726" spans="1:6" x14ac:dyDescent="0.25">
      <c r="A14726" t="str">
        <f>"100143033"</f>
        <v>100143033</v>
      </c>
      <c r="B14726" t="str">
        <f>"1497735039"</f>
        <v>1497735039</v>
      </c>
      <c r="C14726" t="str">
        <f>"207P00000X"</f>
        <v>207P00000X</v>
      </c>
      <c r="D14726" t="str">
        <f>"ALI                      RONNIE                   "</f>
        <v xml:space="preserve">ALI                      RONNIE                   </v>
      </c>
      <c r="E14726" t="str">
        <f>"GULFPORT                  "</f>
        <v xml:space="preserve">GULFPORT                  </v>
      </c>
      <c r="F14726" t="str">
        <f t="shared" si="371"/>
        <v>MS</v>
      </c>
    </row>
    <row r="14727" spans="1:6" x14ac:dyDescent="0.25">
      <c r="A14727" t="str">
        <f>"100143113"</f>
        <v>100143113</v>
      </c>
      <c r="B14727" t="str">
        <f>"1033129440"</f>
        <v>1033129440</v>
      </c>
      <c r="C14727" t="str">
        <f>"207R00000X"</f>
        <v>207R00000X</v>
      </c>
      <c r="D14727" t="str">
        <f>"ODEN                     GREGORY      S           "</f>
        <v xml:space="preserve">ODEN                     GREGORY      S           </v>
      </c>
      <c r="E14727" t="str">
        <f>"JACKSON                   "</f>
        <v xml:space="preserve">JACKSON                   </v>
      </c>
      <c r="F14727" t="str">
        <f t="shared" si="371"/>
        <v>MS</v>
      </c>
    </row>
    <row r="14728" spans="1:6" x14ac:dyDescent="0.25">
      <c r="A14728" t="str">
        <f>"100143175"</f>
        <v>100143175</v>
      </c>
      <c r="B14728" t="str">
        <f>"1144214925"</f>
        <v>1144214925</v>
      </c>
      <c r="C14728" t="str">
        <f>"207R00000X"</f>
        <v>207R00000X</v>
      </c>
      <c r="D14728" t="str">
        <f>"PATEL                    RAJESH       G           "</f>
        <v xml:space="preserve">PATEL                    RAJESH       G           </v>
      </c>
      <c r="E14728" t="str">
        <f>"JACKSON                   "</f>
        <v xml:space="preserve">JACKSON                   </v>
      </c>
      <c r="F14728" t="str">
        <f t="shared" si="371"/>
        <v>MS</v>
      </c>
    </row>
    <row r="14729" spans="1:6" x14ac:dyDescent="0.25">
      <c r="A14729" t="str">
        <f>"100143413"</f>
        <v>100143413</v>
      </c>
      <c r="B14729" t="str">
        <f>"1245232792"</f>
        <v>1245232792</v>
      </c>
      <c r="C14729" t="str">
        <f>"207P00000X"</f>
        <v>207P00000X</v>
      </c>
      <c r="D14729" t="str">
        <f>"ANAZIA                   VICTOR       O           "</f>
        <v xml:space="preserve">ANAZIA                   VICTOR       O           </v>
      </c>
      <c r="E14729" t="str">
        <f>"MCCOMB                    "</f>
        <v xml:space="preserve">MCCOMB                    </v>
      </c>
      <c r="F14729" t="str">
        <f t="shared" si="371"/>
        <v>MS</v>
      </c>
    </row>
    <row r="14730" spans="1:6" x14ac:dyDescent="0.25">
      <c r="A14730" t="str">
        <f>"100143862"</f>
        <v>100143862</v>
      </c>
      <c r="B14730" t="str">
        <f>"1881601409"</f>
        <v>1881601409</v>
      </c>
      <c r="C14730" t="str">
        <f>"207Q00000X"</f>
        <v>207Q00000X</v>
      </c>
      <c r="D14730" t="str">
        <f>"LOPER, III               WILLIAM      E           "</f>
        <v xml:space="preserve">LOPER, III               WILLIAM      E           </v>
      </c>
      <c r="E14730" t="str">
        <f>"RIDGELAND                 "</f>
        <v xml:space="preserve">RIDGELAND                 </v>
      </c>
      <c r="F14730" t="str">
        <f t="shared" si="371"/>
        <v>MS</v>
      </c>
    </row>
    <row r="14731" spans="1:6" x14ac:dyDescent="0.25">
      <c r="A14731" t="str">
        <f>"100144328"</f>
        <v>100144328</v>
      </c>
      <c r="B14731" t="str">
        <f>"1821084633"</f>
        <v>1821084633</v>
      </c>
      <c r="C14731" t="str">
        <f>"207X00000X"</f>
        <v>207X00000X</v>
      </c>
      <c r="D14731" t="str">
        <f>"AZAR                     FREDERICK    M           "</f>
        <v xml:space="preserve">AZAR                     FREDERICK    M           </v>
      </c>
      <c r="E14731" t="str">
        <f>"SOUTHAVEN                 "</f>
        <v xml:space="preserve">SOUTHAVEN                 </v>
      </c>
      <c r="F14731" t="str">
        <f t="shared" si="371"/>
        <v>MS</v>
      </c>
    </row>
    <row r="14732" spans="1:6" x14ac:dyDescent="0.25">
      <c r="A14732" t="str">
        <f>"100144677"</f>
        <v>100144677</v>
      </c>
      <c r="B14732" t="str">
        <f>"1093891657"</f>
        <v>1093891657</v>
      </c>
      <c r="C14732" t="str">
        <f>"2080N0001X"</f>
        <v>2080N0001X</v>
      </c>
      <c r="D14732" t="str">
        <f>"TEMPLE                   DAVID        M           "</f>
        <v xml:space="preserve">TEMPLE                   DAVID        M           </v>
      </c>
      <c r="E14732" t="str">
        <f>"FLOWOOD                   "</f>
        <v xml:space="preserve">FLOWOOD                   </v>
      </c>
      <c r="F14732" t="str">
        <f t="shared" si="371"/>
        <v>MS</v>
      </c>
    </row>
    <row r="14733" spans="1:6" x14ac:dyDescent="0.25">
      <c r="A14733" t="str">
        <f>"100144694"</f>
        <v>100144694</v>
      </c>
      <c r="B14733" t="str">
        <f>"1639255284"</f>
        <v>1639255284</v>
      </c>
      <c r="C14733" t="str">
        <f>"2080N0001X"</f>
        <v>2080N0001X</v>
      </c>
      <c r="D14733" t="str">
        <f>"ROBBINS                  KENNY        K           "</f>
        <v xml:space="preserve">ROBBINS                  KENNY        K           </v>
      </c>
      <c r="E14733" t="str">
        <f>"FLOWOOD                   "</f>
        <v xml:space="preserve">FLOWOOD                   </v>
      </c>
      <c r="F14733" t="str">
        <f t="shared" si="371"/>
        <v>MS</v>
      </c>
    </row>
    <row r="14734" spans="1:6" x14ac:dyDescent="0.25">
      <c r="A14734" t="str">
        <f>"100145022"</f>
        <v>100145022</v>
      </c>
      <c r="B14734" t="str">
        <f>"1356482459"</f>
        <v>1356482459</v>
      </c>
      <c r="C14734" t="str">
        <f>"2084P0804X"</f>
        <v>2084P0804X</v>
      </c>
      <c r="D14734" t="str">
        <f>"ABU-HAMDAN               KHALED       N           "</f>
        <v xml:space="preserve">ABU-HAMDAN               KHALED       N           </v>
      </c>
      <c r="E14734" t="str">
        <f>"GREENVILLE                "</f>
        <v xml:space="preserve">GREENVILLE                </v>
      </c>
      <c r="F14734" t="str">
        <f t="shared" si="371"/>
        <v>MS</v>
      </c>
    </row>
    <row r="14735" spans="1:6" x14ac:dyDescent="0.25">
      <c r="A14735" t="str">
        <f>"100145043"</f>
        <v>100145043</v>
      </c>
      <c r="B14735" t="str">
        <f>"1174517007"</f>
        <v>1174517007</v>
      </c>
      <c r="C14735" t="str">
        <f>"208000000X"</f>
        <v>208000000X</v>
      </c>
      <c r="D14735" t="str">
        <f>"ROBERTS                  MELISSA      B           "</f>
        <v xml:space="preserve">ROBERTS                  MELISSA      B           </v>
      </c>
      <c r="E14735" t="str">
        <f>"LUCEDALE                  "</f>
        <v xml:space="preserve">LUCEDALE                  </v>
      </c>
      <c r="F14735" t="str">
        <f t="shared" si="371"/>
        <v>MS</v>
      </c>
    </row>
    <row r="14736" spans="1:6" x14ac:dyDescent="0.25">
      <c r="A14736" t="str">
        <f>"100145151"</f>
        <v>100145151</v>
      </c>
      <c r="B14736" t="str">
        <f>"1679507024"</f>
        <v>1679507024</v>
      </c>
      <c r="C14736" t="str">
        <f>"207R00000X"</f>
        <v>207R00000X</v>
      </c>
      <c r="D14736" t="str">
        <f>"RAHMAN                   NAIM         U           "</f>
        <v xml:space="preserve">RAHMAN                   NAIM         U           </v>
      </c>
      <c r="E14736" t="str">
        <f>"MACON                     "</f>
        <v xml:space="preserve">MACON                     </v>
      </c>
      <c r="F14736" t="str">
        <f t="shared" si="371"/>
        <v>MS</v>
      </c>
    </row>
    <row r="14737" spans="1:6" x14ac:dyDescent="0.25">
      <c r="A14737" t="str">
        <f>"100145354"</f>
        <v>100145354</v>
      </c>
      <c r="B14737" t="str">
        <f>"1629026596"</f>
        <v>1629026596</v>
      </c>
      <c r="C14737" t="str">
        <f>"207Q00000X"</f>
        <v>207Q00000X</v>
      </c>
      <c r="D14737" t="str">
        <f>"KELLY                    THOMAS       J           "</f>
        <v xml:space="preserve">KELLY                    THOMAS       J           </v>
      </c>
      <c r="E14737" t="str">
        <f>"BRANDON                   "</f>
        <v xml:space="preserve">BRANDON                   </v>
      </c>
      <c r="F14737" t="str">
        <f t="shared" si="371"/>
        <v>MS</v>
      </c>
    </row>
    <row r="14738" spans="1:6" x14ac:dyDescent="0.25">
      <c r="A14738" t="str">
        <f>"100145424"</f>
        <v>100145424</v>
      </c>
      <c r="B14738" t="str">
        <f>"1659306124"</f>
        <v>1659306124</v>
      </c>
      <c r="C14738" t="str">
        <f>"207X00000X"</f>
        <v>207X00000X</v>
      </c>
      <c r="D14738" t="str">
        <f>"PILLOW                   WILLIAM      P           "</f>
        <v xml:space="preserve">PILLOW                   WILLIAM      P           </v>
      </c>
      <c r="E14738" t="str">
        <f>"TUPELO                    "</f>
        <v xml:space="preserve">TUPELO                    </v>
      </c>
      <c r="F14738" t="str">
        <f t="shared" si="371"/>
        <v>MS</v>
      </c>
    </row>
    <row r="14739" spans="1:6" x14ac:dyDescent="0.25">
      <c r="A14739" t="str">
        <f>"100145426"</f>
        <v>100145426</v>
      </c>
      <c r="B14739" t="str">
        <f>"1912979592"</f>
        <v>1912979592</v>
      </c>
      <c r="C14739" t="str">
        <f>"207Q00000X"</f>
        <v>207Q00000X</v>
      </c>
      <c r="D14739" t="str">
        <f>"KITCHENS                 BEN          E           "</f>
        <v xml:space="preserve">KITCHENS                 BEN          E           </v>
      </c>
      <c r="E14739" t="str">
        <f>"IUKA                      "</f>
        <v xml:space="preserve">IUKA                      </v>
      </c>
      <c r="F14739" t="str">
        <f t="shared" si="371"/>
        <v>MS</v>
      </c>
    </row>
    <row r="14740" spans="1:6" x14ac:dyDescent="0.25">
      <c r="A14740" t="str">
        <f>"100145486"</f>
        <v>100145486</v>
      </c>
      <c r="B14740" t="str">
        <f>"1336145770"</f>
        <v>1336145770</v>
      </c>
      <c r="C14740" t="str">
        <f>"207RP1001X"</f>
        <v>207RP1001X</v>
      </c>
      <c r="D14740" t="str">
        <f>"ALEXANDER III            RICHMOND     L           "</f>
        <v xml:space="preserve">ALEXANDER III            RICHMOND     L           </v>
      </c>
      <c r="E14740" t="str">
        <f>"MERIDIAN                  "</f>
        <v xml:space="preserve">MERIDIAN                  </v>
      </c>
      <c r="F14740" t="str">
        <f t="shared" si="371"/>
        <v>MS</v>
      </c>
    </row>
    <row r="14741" spans="1:6" x14ac:dyDescent="0.25">
      <c r="A14741" t="str">
        <f>"100145565"</f>
        <v>100145565</v>
      </c>
      <c r="B14741" t="str">
        <f>"1447240494"</f>
        <v>1447240494</v>
      </c>
      <c r="C14741" t="str">
        <f>"207R00000X"</f>
        <v>207R00000X</v>
      </c>
      <c r="D14741" t="str">
        <f>"UNDERWOOD JR             JAMES        A           "</f>
        <v xml:space="preserve">UNDERWOOD JR             JAMES        A           </v>
      </c>
      <c r="E14741" t="str">
        <f>"FLOWOOD                   "</f>
        <v xml:space="preserve">FLOWOOD                   </v>
      </c>
      <c r="F14741" t="str">
        <f t="shared" si="371"/>
        <v>MS</v>
      </c>
    </row>
    <row r="14742" spans="1:6" x14ac:dyDescent="0.25">
      <c r="A14742" t="str">
        <f>"100145628"</f>
        <v>100145628</v>
      </c>
      <c r="B14742" t="str">
        <f>"1144230491"</f>
        <v>1144230491</v>
      </c>
      <c r="C14742" t="str">
        <f>"207RE0101X"</f>
        <v>207RE0101X</v>
      </c>
      <c r="D14742" t="str">
        <f>"FERNANDEZ                JOSE         P           "</f>
        <v xml:space="preserve">FERNANDEZ                JOSE         P           </v>
      </c>
      <c r="E14742" t="str">
        <f>"HATTIESBURG               "</f>
        <v xml:space="preserve">HATTIESBURG               </v>
      </c>
      <c r="F14742" t="str">
        <f t="shared" si="371"/>
        <v>MS</v>
      </c>
    </row>
    <row r="14743" spans="1:6" x14ac:dyDescent="0.25">
      <c r="A14743" t="str">
        <f>"100146055"</f>
        <v>100146055</v>
      </c>
      <c r="B14743" t="str">
        <f>"1770548950"</f>
        <v>1770548950</v>
      </c>
      <c r="C14743" t="str">
        <f>"207R00000X"</f>
        <v>207R00000X</v>
      </c>
      <c r="D14743" t="str">
        <f>"HYER JR                  JERRY        D           "</f>
        <v xml:space="preserve">HYER JR                  JERRY        D           </v>
      </c>
      <c r="E14743" t="str">
        <f>"HATTIESBURG               "</f>
        <v xml:space="preserve">HATTIESBURG               </v>
      </c>
      <c r="F14743" t="str">
        <f t="shared" si="371"/>
        <v>MS</v>
      </c>
    </row>
    <row r="14744" spans="1:6" x14ac:dyDescent="0.25">
      <c r="A14744" t="str">
        <f>"100146150"</f>
        <v>100146150</v>
      </c>
      <c r="B14744" t="str">
        <f>"1083658702"</f>
        <v>1083658702</v>
      </c>
      <c r="C14744" t="str">
        <f>"2084P0800X"</f>
        <v>2084P0800X</v>
      </c>
      <c r="D14744" t="str">
        <f>"MILLER                   THOMAS       A           "</f>
        <v xml:space="preserve">MILLER                   THOMAS       A           </v>
      </c>
      <c r="E14744" t="str">
        <f>"HATTIESBURG               "</f>
        <v xml:space="preserve">HATTIESBURG               </v>
      </c>
      <c r="F14744" t="str">
        <f t="shared" si="371"/>
        <v>MS</v>
      </c>
    </row>
    <row r="14745" spans="1:6" x14ac:dyDescent="0.25">
      <c r="A14745" t="str">
        <f>"100146157"</f>
        <v>100146157</v>
      </c>
      <c r="B14745" t="str">
        <f>"1780657056"</f>
        <v>1780657056</v>
      </c>
      <c r="C14745" t="str">
        <f>"208D00000X"</f>
        <v>208D00000X</v>
      </c>
      <c r="D14745" t="str">
        <f>"WILLIAMS                 JAMES        B           "</f>
        <v xml:space="preserve">WILLIAMS                 JAMES        B           </v>
      </c>
      <c r="E14745" t="str">
        <f>"COLUMBUS                  "</f>
        <v xml:space="preserve">COLUMBUS                  </v>
      </c>
      <c r="F14745" t="str">
        <f t="shared" si="371"/>
        <v>MS</v>
      </c>
    </row>
    <row r="14746" spans="1:6" x14ac:dyDescent="0.25">
      <c r="A14746" t="str">
        <f>"100146158"</f>
        <v>100146158</v>
      </c>
      <c r="B14746" t="str">
        <f>"1780657056"</f>
        <v>1780657056</v>
      </c>
      <c r="C14746" t="str">
        <f>"207RC0000X"</f>
        <v>207RC0000X</v>
      </c>
      <c r="D14746" t="str">
        <f>"WILLIAMS                 JAMES        B           "</f>
        <v xml:space="preserve">WILLIAMS                 JAMES        B           </v>
      </c>
      <c r="E14746" t="str">
        <f>"COLUMBUS                  "</f>
        <v xml:space="preserve">COLUMBUS                  </v>
      </c>
      <c r="F14746" t="str">
        <f t="shared" si="371"/>
        <v>MS</v>
      </c>
    </row>
    <row r="14747" spans="1:6" x14ac:dyDescent="0.25">
      <c r="A14747" t="str">
        <f>"100146193"</f>
        <v>100146193</v>
      </c>
      <c r="B14747" t="str">
        <f>"1962430074"</f>
        <v>1962430074</v>
      </c>
      <c r="C14747" t="str">
        <f>"207W00000X"</f>
        <v>207W00000X</v>
      </c>
      <c r="D14747" t="str">
        <f>"MITCHELL                 ELIZABETH    W           "</f>
        <v xml:space="preserve">MITCHELL                 ELIZABETH    W           </v>
      </c>
      <c r="E14747" t="str">
        <f>"MADISON                   "</f>
        <v xml:space="preserve">MADISON                   </v>
      </c>
      <c r="F14747" t="str">
        <f t="shared" si="371"/>
        <v>MS</v>
      </c>
    </row>
    <row r="14748" spans="1:6" x14ac:dyDescent="0.25">
      <c r="A14748" t="str">
        <f>"100146215"</f>
        <v>100146215</v>
      </c>
      <c r="B14748" t="str">
        <f>"1588623292"</f>
        <v>1588623292</v>
      </c>
      <c r="C14748" t="str">
        <f>"207R00000X"</f>
        <v>207R00000X</v>
      </c>
      <c r="D14748" t="str">
        <f>"WILLIAMS                 ERNEST       Q           "</f>
        <v xml:space="preserve">WILLIAMS                 ERNEST       Q           </v>
      </c>
      <c r="E14748" t="str">
        <f>"OXFORD                    "</f>
        <v xml:space="preserve">OXFORD                    </v>
      </c>
      <c r="F14748" t="str">
        <f t="shared" si="371"/>
        <v>MS</v>
      </c>
    </row>
    <row r="14749" spans="1:6" x14ac:dyDescent="0.25">
      <c r="A14749" t="str">
        <f>"100146828"</f>
        <v>100146828</v>
      </c>
      <c r="B14749" t="str">
        <f>"1396740882"</f>
        <v>1396740882</v>
      </c>
      <c r="C14749" t="str">
        <f>"207P00000X"</f>
        <v>207P00000X</v>
      </c>
      <c r="D14749" t="str">
        <f>"PHILLIPS                 DOUGLAS      C           "</f>
        <v xml:space="preserve">PHILLIPS                 DOUGLAS      C           </v>
      </c>
      <c r="E14749" t="str">
        <f>"MERIDIAN                  "</f>
        <v xml:space="preserve">MERIDIAN                  </v>
      </c>
      <c r="F14749" t="str">
        <f t="shared" si="371"/>
        <v>MS</v>
      </c>
    </row>
    <row r="14750" spans="1:6" x14ac:dyDescent="0.25">
      <c r="A14750" t="str">
        <f>"100147271"</f>
        <v>100147271</v>
      </c>
      <c r="B14750" t="str">
        <f>"1275535551"</f>
        <v>1275535551</v>
      </c>
      <c r="C14750" t="str">
        <f>"207R00000X"</f>
        <v>207R00000X</v>
      </c>
      <c r="D14750" t="str">
        <f>"SCOTT                    MICHAEL      S           "</f>
        <v xml:space="preserve">SCOTT                    MICHAEL      S           </v>
      </c>
      <c r="E14750" t="str">
        <f>"NEW ALBANY                "</f>
        <v xml:space="preserve">NEW ALBANY                </v>
      </c>
      <c r="F14750" t="str">
        <f t="shared" si="371"/>
        <v>MS</v>
      </c>
    </row>
    <row r="14751" spans="1:6" x14ac:dyDescent="0.25">
      <c r="A14751" t="str">
        <f>"100147360"</f>
        <v>100147360</v>
      </c>
      <c r="B14751" t="str">
        <f>"1699745133"</f>
        <v>1699745133</v>
      </c>
      <c r="C14751" t="str">
        <f>"207RN0300X"</f>
        <v>207RN0300X</v>
      </c>
      <c r="D14751" t="str">
        <f>"MASSEY                   JONATHAN     H           "</f>
        <v xml:space="preserve">MASSEY                   JONATHAN     H           </v>
      </c>
      <c r="E14751" t="str">
        <f>"OXFORD                    "</f>
        <v xml:space="preserve">OXFORD                    </v>
      </c>
      <c r="F14751" t="str">
        <f t="shared" si="371"/>
        <v>MS</v>
      </c>
    </row>
    <row r="14752" spans="1:6" x14ac:dyDescent="0.25">
      <c r="A14752" t="str">
        <f>"100147503"</f>
        <v>100147503</v>
      </c>
      <c r="B14752" t="str">
        <f>"1376628529"</f>
        <v>1376628529</v>
      </c>
      <c r="C14752" t="str">
        <f>"207R00000X"</f>
        <v>207R00000X</v>
      </c>
      <c r="D14752" t="str">
        <f>"KLEIN                    MARK                     "</f>
        <v xml:space="preserve">KLEIN                    MARK                     </v>
      </c>
      <c r="E14752" t="str">
        <f>"FLOWOOD                   "</f>
        <v xml:space="preserve">FLOWOOD                   </v>
      </c>
      <c r="F14752" t="str">
        <f t="shared" si="371"/>
        <v>MS</v>
      </c>
    </row>
    <row r="14753" spans="1:6" x14ac:dyDescent="0.25">
      <c r="A14753" t="str">
        <f>"100147612"</f>
        <v>100147612</v>
      </c>
      <c r="B14753" t="str">
        <f>"1003892357"</f>
        <v>1003892357</v>
      </c>
      <c r="C14753" t="str">
        <f>"208000000X"</f>
        <v>208000000X</v>
      </c>
      <c r="D14753" t="str">
        <f>"VENARSKE                 DANIEL       L           "</f>
        <v xml:space="preserve">VENARSKE                 DANIEL       L           </v>
      </c>
      <c r="E14753" t="str">
        <f>"OXFORD                    "</f>
        <v xml:space="preserve">OXFORD                    </v>
      </c>
      <c r="F14753" t="str">
        <f t="shared" si="371"/>
        <v>MS</v>
      </c>
    </row>
    <row r="14754" spans="1:6" x14ac:dyDescent="0.25">
      <c r="A14754" t="str">
        <f>"100147688"</f>
        <v>100147688</v>
      </c>
      <c r="B14754" t="str">
        <f>"1013911668"</f>
        <v>1013911668</v>
      </c>
      <c r="C14754" t="str">
        <f>"207R00000X"</f>
        <v>207R00000X</v>
      </c>
      <c r="D14754" t="str">
        <f>"YOUNG                    TAMMY        H           "</f>
        <v xml:space="preserve">YOUNG                    TAMMY        H           </v>
      </c>
      <c r="E14754" t="str">
        <f>"JACKSON                   "</f>
        <v xml:space="preserve">JACKSON                   </v>
      </c>
      <c r="F14754" t="str">
        <f t="shared" si="371"/>
        <v>MS</v>
      </c>
    </row>
    <row r="14755" spans="1:6" x14ac:dyDescent="0.25">
      <c r="A14755" t="str">
        <f>"100147766"</f>
        <v>100147766</v>
      </c>
      <c r="B14755" t="str">
        <f>"1649226317"</f>
        <v>1649226317</v>
      </c>
      <c r="C14755" t="str">
        <f>"207RN0300X"</f>
        <v>207RN0300X</v>
      </c>
      <c r="D14755" t="str">
        <f>"LEBRUN                   CHRISTOPHER              "</f>
        <v xml:space="preserve">LEBRUN                   CHRISTOPHER              </v>
      </c>
      <c r="E14755" t="str">
        <f>"COLUMBUS                  "</f>
        <v xml:space="preserve">COLUMBUS                  </v>
      </c>
      <c r="F14755" t="str">
        <f t="shared" si="371"/>
        <v>MS</v>
      </c>
    </row>
    <row r="14756" spans="1:6" x14ac:dyDescent="0.25">
      <c r="A14756" t="str">
        <f>"100148047"</f>
        <v>100148047</v>
      </c>
      <c r="B14756" t="str">
        <f>"1497865638"</f>
        <v>1497865638</v>
      </c>
      <c r="C14756" t="str">
        <f>"207RC0000X"</f>
        <v>207RC0000X</v>
      </c>
      <c r="D14756" t="str">
        <f>"ESTESS JR                JOHN         M           "</f>
        <v xml:space="preserve">ESTESS JR                JOHN         M           </v>
      </c>
      <c r="E14756" t="str">
        <f>"TUPELO                    "</f>
        <v xml:space="preserve">TUPELO                    </v>
      </c>
      <c r="F14756" t="str">
        <f t="shared" si="371"/>
        <v>MS</v>
      </c>
    </row>
    <row r="14757" spans="1:6" x14ac:dyDescent="0.25">
      <c r="A14757" t="str">
        <f>"100148112"</f>
        <v>100148112</v>
      </c>
      <c r="B14757" t="str">
        <f>"1598747529"</f>
        <v>1598747529</v>
      </c>
      <c r="C14757" t="str">
        <f>"207R00000X"</f>
        <v>207R00000X</v>
      </c>
      <c r="D14757" t="str">
        <f>"CAMPBELL                 MELISSA      D           "</f>
        <v xml:space="preserve">CAMPBELL                 MELISSA      D           </v>
      </c>
      <c r="E14757" t="str">
        <f>"MERIDIAN                  "</f>
        <v xml:space="preserve">MERIDIAN                  </v>
      </c>
      <c r="F14757" t="str">
        <f t="shared" si="371"/>
        <v>MS</v>
      </c>
    </row>
    <row r="14758" spans="1:6" x14ac:dyDescent="0.25">
      <c r="A14758" t="str">
        <f>"100148258"</f>
        <v>100148258</v>
      </c>
      <c r="B14758" t="str">
        <f>"1447350152"</f>
        <v>1447350152</v>
      </c>
      <c r="C14758" t="str">
        <f>"208600000X"</f>
        <v>208600000X</v>
      </c>
      <c r="D14758" t="str">
        <f>"CHANDLER                 JAMES        K           "</f>
        <v xml:space="preserve">CHANDLER                 JAMES        K           </v>
      </c>
      <c r="E14758" t="str">
        <f>"JACKSON                   "</f>
        <v xml:space="preserve">JACKSON                   </v>
      </c>
      <c r="F14758" t="str">
        <f t="shared" si="371"/>
        <v>MS</v>
      </c>
    </row>
    <row r="14759" spans="1:6" x14ac:dyDescent="0.25">
      <c r="A14759" t="str">
        <f>"100148571"</f>
        <v>100148571</v>
      </c>
      <c r="B14759" t="str">
        <f>"1083690465"</f>
        <v>1083690465</v>
      </c>
      <c r="C14759" t="str">
        <f>"207RN0300X"</f>
        <v>207RN0300X</v>
      </c>
      <c r="D14759" t="str">
        <f>"NIPPER                   JOHN         M           "</f>
        <v xml:space="preserve">NIPPER                   JOHN         M           </v>
      </c>
      <c r="E14759" t="str">
        <f>"LUCEDALE                  "</f>
        <v xml:space="preserve">LUCEDALE                  </v>
      </c>
      <c r="F14759" t="str">
        <f t="shared" si="371"/>
        <v>MS</v>
      </c>
    </row>
    <row r="14760" spans="1:6" x14ac:dyDescent="0.25">
      <c r="A14760" t="str">
        <f>"100148878"</f>
        <v>100148878</v>
      </c>
      <c r="B14760" t="str">
        <f>"1477582096"</f>
        <v>1477582096</v>
      </c>
      <c r="C14760" t="str">
        <f>"2084P0800X"</f>
        <v>2084P0800X</v>
      </c>
      <c r="D14760" t="str">
        <f>"KWENTUS                  JOSEPH       A           "</f>
        <v xml:space="preserve">KWENTUS                  JOSEPH       A           </v>
      </c>
      <c r="E14760" t="str">
        <f>"FLOWOOD                   "</f>
        <v xml:space="preserve">FLOWOOD                   </v>
      </c>
      <c r="F14760" t="str">
        <f t="shared" si="371"/>
        <v>MS</v>
      </c>
    </row>
    <row r="14761" spans="1:6" x14ac:dyDescent="0.25">
      <c r="A14761" t="str">
        <f>"100148955"</f>
        <v>100148955</v>
      </c>
      <c r="B14761" t="str">
        <f>"1093796500"</f>
        <v>1093796500</v>
      </c>
      <c r="C14761" t="str">
        <f>"207R00000X"</f>
        <v>207R00000X</v>
      </c>
      <c r="D14761" t="str">
        <f>"THOMAS                   CATHERINE    M           "</f>
        <v xml:space="preserve">THOMAS                   CATHERINE    M           </v>
      </c>
      <c r="E14761" t="str">
        <f>"HATTIESBURG               "</f>
        <v xml:space="preserve">HATTIESBURG               </v>
      </c>
      <c r="F14761" t="str">
        <f t="shared" si="371"/>
        <v>MS</v>
      </c>
    </row>
    <row r="14762" spans="1:6" x14ac:dyDescent="0.25">
      <c r="A14762" t="str">
        <f>"100149319"</f>
        <v>100149319</v>
      </c>
      <c r="B14762" t="str">
        <f>"1861580557"</f>
        <v>1861580557</v>
      </c>
      <c r="C14762" t="str">
        <f>"2086S0122X"</f>
        <v>2086S0122X</v>
      </c>
      <c r="D14762" t="str">
        <f>"RENO III                 WILLIAM      L           "</f>
        <v xml:space="preserve">RENO III                 WILLIAM      L           </v>
      </c>
      <c r="E14762" t="str">
        <f>"HATTIESBURG               "</f>
        <v xml:space="preserve">HATTIESBURG               </v>
      </c>
      <c r="F14762" t="str">
        <f t="shared" si="371"/>
        <v>MS</v>
      </c>
    </row>
    <row r="14763" spans="1:6" x14ac:dyDescent="0.25">
      <c r="A14763" t="str">
        <f>"100153738"</f>
        <v>100153738</v>
      </c>
      <c r="B14763" t="str">
        <f>"1215037445"</f>
        <v>1215037445</v>
      </c>
      <c r="C14763" t="str">
        <f>"1223P0221X"</f>
        <v>1223P0221X</v>
      </c>
      <c r="D14763" t="str">
        <f>"LOCKHART                 TAMMI        T           "</f>
        <v xml:space="preserve">LOCKHART                 TAMMI        T           </v>
      </c>
      <c r="E14763" t="str">
        <f>"STARKVILLE                "</f>
        <v xml:space="preserve">STARKVILLE                </v>
      </c>
      <c r="F14763" t="str">
        <f t="shared" si="371"/>
        <v>MS</v>
      </c>
    </row>
    <row r="14764" spans="1:6" x14ac:dyDescent="0.25">
      <c r="A14764" t="str">
        <f>"100156423"</f>
        <v>100156423</v>
      </c>
      <c r="B14764" t="str">
        <f>"1871694646"</f>
        <v>1871694646</v>
      </c>
      <c r="C14764" t="str">
        <f>"207R00000X"</f>
        <v>207R00000X</v>
      </c>
      <c r="D14764" t="str">
        <f>"MCCALL IV                DANIEL       T           "</f>
        <v xml:space="preserve">MCCALL IV                DANIEL       T           </v>
      </c>
      <c r="E14764" t="str">
        <f>"HATTIESBURG               "</f>
        <v xml:space="preserve">HATTIESBURG               </v>
      </c>
      <c r="F14764" t="str">
        <f t="shared" si="371"/>
        <v>MS</v>
      </c>
    </row>
    <row r="14765" spans="1:6" x14ac:dyDescent="0.25">
      <c r="A14765" t="str">
        <f>"100156698"</f>
        <v>100156698</v>
      </c>
      <c r="B14765" t="str">
        <f>"1124043641"</f>
        <v>1124043641</v>
      </c>
      <c r="C14765" t="str">
        <f>"207R00000X"</f>
        <v>207R00000X</v>
      </c>
      <c r="D14765" t="str">
        <f>"QUINTANA                 HUGO         A           "</f>
        <v xml:space="preserve">QUINTANA                 HUGO         A           </v>
      </c>
      <c r="E14765" t="str">
        <f>"PASCAGOULA                "</f>
        <v xml:space="preserve">PASCAGOULA                </v>
      </c>
      <c r="F14765" t="str">
        <f t="shared" si="371"/>
        <v>MS</v>
      </c>
    </row>
    <row r="14766" spans="1:6" x14ac:dyDescent="0.25">
      <c r="A14766" t="str">
        <f>"100157384"</f>
        <v>100157384</v>
      </c>
      <c r="B14766" t="str">
        <f>"1124001656"</f>
        <v>1124001656</v>
      </c>
      <c r="C14766" t="str">
        <f>"2085R0202X"</f>
        <v>2085R0202X</v>
      </c>
      <c r="D14766" t="str">
        <f>"NEWSOME, SR.             ROBERT       R           "</f>
        <v xml:space="preserve">NEWSOME, SR.             ROBERT       R           </v>
      </c>
      <c r="E14766" t="str">
        <f>"CLEVELAND                 "</f>
        <v xml:space="preserve">CLEVELAND                 </v>
      </c>
      <c r="F14766" t="str">
        <f t="shared" si="371"/>
        <v>MS</v>
      </c>
    </row>
    <row r="14767" spans="1:6" x14ac:dyDescent="0.25">
      <c r="A14767" t="str">
        <f>"100158396"</f>
        <v>100158396</v>
      </c>
      <c r="B14767" t="str">
        <f>"1871678029"</f>
        <v>1871678029</v>
      </c>
      <c r="C14767" t="str">
        <f>"207RN0300X"</f>
        <v>207RN0300X</v>
      </c>
      <c r="D14767" t="str">
        <f>"PHILLIPPI                FRANCIS      M           "</f>
        <v xml:space="preserve">PHILLIPPI                FRANCIS      M           </v>
      </c>
      <c r="E14767" t="str">
        <f>"FLOWOOD                   "</f>
        <v xml:space="preserve">FLOWOOD                   </v>
      </c>
      <c r="F14767" t="str">
        <f t="shared" si="371"/>
        <v>MS</v>
      </c>
    </row>
    <row r="14768" spans="1:6" x14ac:dyDescent="0.25">
      <c r="A14768" t="str">
        <f>"100159245"</f>
        <v>100159245</v>
      </c>
      <c r="B14768" t="str">
        <f>"1972597961"</f>
        <v>1972597961</v>
      </c>
      <c r="C14768" t="str">
        <f>"207R00000X"</f>
        <v>207R00000X</v>
      </c>
      <c r="D14768" t="str">
        <f>"RAPPAI                   MARIA                    "</f>
        <v xml:space="preserve">RAPPAI                   MARIA                    </v>
      </c>
      <c r="E14768" t="str">
        <f>"JACKSON                   "</f>
        <v xml:space="preserve">JACKSON                   </v>
      </c>
      <c r="F14768" t="str">
        <f t="shared" si="371"/>
        <v>MS</v>
      </c>
    </row>
    <row r="14769" spans="1:6" x14ac:dyDescent="0.25">
      <c r="A14769" t="str">
        <f>"100159569"</f>
        <v>100159569</v>
      </c>
      <c r="B14769" t="str">
        <f>"1780799965"</f>
        <v>1780799965</v>
      </c>
      <c r="C14769" t="str">
        <f>"207R00000X"</f>
        <v>207R00000X</v>
      </c>
      <c r="D14769" t="str">
        <f>"MOUANNES                 WASSIM       E           "</f>
        <v xml:space="preserve">MOUANNES                 WASSIM       E           </v>
      </c>
      <c r="E14769" t="str">
        <f>"LAUREL                    "</f>
        <v xml:space="preserve">LAUREL                    </v>
      </c>
      <c r="F14769" t="str">
        <f t="shared" si="371"/>
        <v>MS</v>
      </c>
    </row>
    <row r="14770" spans="1:6" x14ac:dyDescent="0.25">
      <c r="A14770" t="str">
        <f>"100159754"</f>
        <v>100159754</v>
      </c>
      <c r="B14770" t="str">
        <f>"1760492037"</f>
        <v>1760492037</v>
      </c>
      <c r="C14770" t="str">
        <f>"207RG0100X"</f>
        <v>207RG0100X</v>
      </c>
      <c r="D14770" t="str">
        <f>"ABAI                     AJA          A           "</f>
        <v xml:space="preserve">ABAI                     AJA          A           </v>
      </c>
      <c r="E14770" t="str">
        <f>"HATTIESBURG               "</f>
        <v xml:space="preserve">HATTIESBURG               </v>
      </c>
      <c r="F14770" t="str">
        <f t="shared" si="371"/>
        <v>MS</v>
      </c>
    </row>
    <row r="14771" spans="1:6" x14ac:dyDescent="0.25">
      <c r="A14771" t="str">
        <f>"100159891"</f>
        <v>100159891</v>
      </c>
      <c r="B14771" t="str">
        <f>"1073567251"</f>
        <v>1073567251</v>
      </c>
      <c r="C14771" t="str">
        <f>"207R00000X"</f>
        <v>207R00000X</v>
      </c>
      <c r="D14771" t="str">
        <f>"ADELEYE                  OLUFEMI      O           "</f>
        <v xml:space="preserve">ADELEYE                  OLUFEMI      O           </v>
      </c>
      <c r="E14771" t="str">
        <f>"SOUTHAVEN                 "</f>
        <v xml:space="preserve">SOUTHAVEN                 </v>
      </c>
      <c r="F14771" t="str">
        <f t="shared" si="371"/>
        <v>MS</v>
      </c>
    </row>
    <row r="14772" spans="1:6" x14ac:dyDescent="0.25">
      <c r="A14772" t="str">
        <f>"100160419"</f>
        <v>100160419</v>
      </c>
      <c r="B14772" t="str">
        <f>"1326153149"</f>
        <v>1326153149</v>
      </c>
      <c r="C14772" t="str">
        <f>"208600000X"</f>
        <v>208600000X</v>
      </c>
      <c r="D14772" t="str">
        <f>"COPELAND III             GEORGE       E           "</f>
        <v xml:space="preserve">COPELAND III             GEORGE       E           </v>
      </c>
      <c r="E14772" t="str">
        <f>"JACKSON                   "</f>
        <v xml:space="preserve">JACKSON                   </v>
      </c>
      <c r="F14772" t="str">
        <f t="shared" si="371"/>
        <v>MS</v>
      </c>
    </row>
    <row r="14773" spans="1:6" x14ac:dyDescent="0.25">
      <c r="A14773" t="str">
        <f>"100160506"</f>
        <v>100160506</v>
      </c>
      <c r="B14773" t="str">
        <f>"1023122900"</f>
        <v>1023122900</v>
      </c>
      <c r="C14773" t="str">
        <f>"207Q00000X"</f>
        <v>207Q00000X</v>
      </c>
      <c r="D14773" t="str">
        <f>"JONES                    ANGELA       C           "</f>
        <v xml:space="preserve">JONES                    ANGELA       C           </v>
      </c>
      <c r="E14773" t="str">
        <f>"POPLARVILLE               "</f>
        <v xml:space="preserve">POPLARVILLE               </v>
      </c>
      <c r="F14773" t="str">
        <f t="shared" si="371"/>
        <v>MS</v>
      </c>
    </row>
    <row r="14774" spans="1:6" x14ac:dyDescent="0.25">
      <c r="A14774" t="str">
        <f>"100160561"</f>
        <v>100160561</v>
      </c>
      <c r="B14774" t="str">
        <f>"1669420915"</f>
        <v>1669420915</v>
      </c>
      <c r="C14774" t="str">
        <f>"207Q00000X"</f>
        <v>207Q00000X</v>
      </c>
      <c r="D14774" t="str">
        <f>"COACHYS                  STEPHEN                  "</f>
        <v xml:space="preserve">COACHYS                  STEPHEN                  </v>
      </c>
      <c r="E14774" t="str">
        <f>"YAZOO CITY                "</f>
        <v xml:space="preserve">YAZOO CITY                </v>
      </c>
      <c r="F14774" t="str">
        <f t="shared" si="371"/>
        <v>MS</v>
      </c>
    </row>
    <row r="14775" spans="1:6" x14ac:dyDescent="0.25">
      <c r="A14775" t="str">
        <f>"100160944"</f>
        <v>100160944</v>
      </c>
      <c r="B14775" t="str">
        <f>"1821005265"</f>
        <v>1821005265</v>
      </c>
      <c r="C14775" t="str">
        <f>"207R00000X"</f>
        <v>207R00000X</v>
      </c>
      <c r="D14775" t="str">
        <f>"PIERCE, IV               PAUL         W           "</f>
        <v xml:space="preserve">PIERCE, IV               PAUL         W           </v>
      </c>
      <c r="E14775" t="str">
        <f>"VICKSBURG                 "</f>
        <v xml:space="preserve">VICKSBURG                 </v>
      </c>
      <c r="F14775" t="str">
        <f t="shared" si="371"/>
        <v>MS</v>
      </c>
    </row>
    <row r="14776" spans="1:6" x14ac:dyDescent="0.25">
      <c r="A14776" t="str">
        <f>"100161266"</f>
        <v>100161266</v>
      </c>
      <c r="B14776" t="str">
        <f>"1679561948"</f>
        <v>1679561948</v>
      </c>
      <c r="C14776" t="str">
        <f>"207R00000X"</f>
        <v>207R00000X</v>
      </c>
      <c r="D14776" t="str">
        <f>"PETRO                    MICHELLE     A           "</f>
        <v xml:space="preserve">PETRO                    MICHELLE     A           </v>
      </c>
      <c r="E14776" t="str">
        <f>"FLOWOOD                   "</f>
        <v xml:space="preserve">FLOWOOD                   </v>
      </c>
      <c r="F14776" t="str">
        <f t="shared" si="371"/>
        <v>MS</v>
      </c>
    </row>
    <row r="14777" spans="1:6" x14ac:dyDescent="0.25">
      <c r="A14777" t="str">
        <f>"100161347"</f>
        <v>100161347</v>
      </c>
      <c r="B14777" t="str">
        <f>"1154339414"</f>
        <v>1154339414</v>
      </c>
      <c r="C14777" t="str">
        <f>"207RG0100X"</f>
        <v>207RG0100X</v>
      </c>
      <c r="D14777" t="str">
        <f>"BRIDGERS III             DAVID        I           "</f>
        <v xml:space="preserve">BRIDGERS III             DAVID        I           </v>
      </c>
      <c r="E14777" t="str">
        <f>"OXFORD                    "</f>
        <v xml:space="preserve">OXFORD                    </v>
      </c>
      <c r="F14777" t="str">
        <f t="shared" si="371"/>
        <v>MS</v>
      </c>
    </row>
    <row r="14778" spans="1:6" x14ac:dyDescent="0.25">
      <c r="A14778" t="str">
        <f>"100163242"</f>
        <v>100163242</v>
      </c>
      <c r="B14778" t="str">
        <f>"1649240508"</f>
        <v>1649240508</v>
      </c>
      <c r="C14778" t="str">
        <f>"2080N0001X"</f>
        <v>2080N0001X</v>
      </c>
      <c r="D14778" t="str">
        <f>"KONERU                   PADMAJA                  "</f>
        <v xml:space="preserve">KONERU                   PADMAJA                  </v>
      </c>
      <c r="E14778" t="str">
        <f>"SOUTHAVEN                 "</f>
        <v xml:space="preserve">SOUTHAVEN                 </v>
      </c>
      <c r="F14778" t="str">
        <f t="shared" si="371"/>
        <v>MS</v>
      </c>
    </row>
    <row r="14779" spans="1:6" x14ac:dyDescent="0.25">
      <c r="A14779" t="str">
        <f>"100164341"</f>
        <v>100164341</v>
      </c>
      <c r="B14779" t="str">
        <f>"1366477390"</f>
        <v>1366477390</v>
      </c>
      <c r="C14779" t="str">
        <f>"207RG0100X"</f>
        <v>207RG0100X</v>
      </c>
      <c r="D14779" t="str">
        <f>"AVERETTE                 JOHN         B           "</f>
        <v xml:space="preserve">AVERETTE                 JOHN         B           </v>
      </c>
      <c r="E14779" t="str">
        <f>"TUPELO                    "</f>
        <v xml:space="preserve">TUPELO                    </v>
      </c>
      <c r="F14779" t="str">
        <f t="shared" si="371"/>
        <v>MS</v>
      </c>
    </row>
    <row r="14780" spans="1:6" x14ac:dyDescent="0.25">
      <c r="A14780" t="str">
        <f>"100164627"</f>
        <v>100164627</v>
      </c>
      <c r="B14780" t="str">
        <f>"1720092877"</f>
        <v>1720092877</v>
      </c>
      <c r="C14780" t="str">
        <f>"207R00000X"</f>
        <v>207R00000X</v>
      </c>
      <c r="D14780" t="str">
        <f>"RIZK                     SIMON        G           "</f>
        <v xml:space="preserve">RIZK                     SIMON        G           </v>
      </c>
      <c r="E14780" t="str">
        <f>"PASCAGOULA                "</f>
        <v xml:space="preserve">PASCAGOULA                </v>
      </c>
      <c r="F14780" t="str">
        <f t="shared" si="371"/>
        <v>MS</v>
      </c>
    </row>
    <row r="14781" spans="1:6" x14ac:dyDescent="0.25">
      <c r="A14781" t="str">
        <f>"100164628"</f>
        <v>100164628</v>
      </c>
      <c r="B14781" t="str">
        <f>"1720092877"</f>
        <v>1720092877</v>
      </c>
      <c r="C14781" t="str">
        <f>"207RC0000X"</f>
        <v>207RC0000X</v>
      </c>
      <c r="D14781" t="str">
        <f>"RIZK                     SIMON        G           "</f>
        <v xml:space="preserve">RIZK                     SIMON        G           </v>
      </c>
      <c r="E14781" t="str">
        <f>"PASCAGOULA                "</f>
        <v xml:space="preserve">PASCAGOULA                </v>
      </c>
      <c r="F14781" t="str">
        <f t="shared" si="371"/>
        <v>MS</v>
      </c>
    </row>
    <row r="14782" spans="1:6" x14ac:dyDescent="0.25">
      <c r="A14782" t="str">
        <f>"100164798"</f>
        <v>100164798</v>
      </c>
      <c r="B14782" t="str">
        <f>"1780793059"</f>
        <v>1780793059</v>
      </c>
      <c r="C14782" t="str">
        <f>"207RH0003X"</f>
        <v>207RH0003X</v>
      </c>
      <c r="D14782" t="str">
        <f>"VOSS                     JOHN         D           "</f>
        <v xml:space="preserve">VOSS                     JOHN         D           </v>
      </c>
      <c r="E14782" t="str">
        <f>"MERIDIAN                  "</f>
        <v xml:space="preserve">MERIDIAN                  </v>
      </c>
      <c r="F14782" t="str">
        <f t="shared" ref="F14782:F14845" si="372">"MS"</f>
        <v>MS</v>
      </c>
    </row>
    <row r="14783" spans="1:6" x14ac:dyDescent="0.25">
      <c r="A14783" t="str">
        <f>"100164801"</f>
        <v>100164801</v>
      </c>
      <c r="B14783" t="str">
        <f>"1568495869"</f>
        <v>1568495869</v>
      </c>
      <c r="C14783" t="str">
        <f>"207Q00000X"</f>
        <v>207Q00000X</v>
      </c>
      <c r="D14783" t="str">
        <f>"BIBB                     KIMBERLY     A           "</f>
        <v xml:space="preserve">BIBB                     KIMBERLY     A           </v>
      </c>
      <c r="E14783" t="str">
        <f>"JACKSON                   "</f>
        <v xml:space="preserve">JACKSON                   </v>
      </c>
      <c r="F14783" t="str">
        <f t="shared" si="372"/>
        <v>MS</v>
      </c>
    </row>
    <row r="14784" spans="1:6" x14ac:dyDescent="0.25">
      <c r="A14784" t="str">
        <f>"100164998"</f>
        <v>100164998</v>
      </c>
      <c r="B14784" t="str">
        <f>"1316046410"</f>
        <v>1316046410</v>
      </c>
      <c r="C14784" t="str">
        <f>"207R00000X"</f>
        <v>207R00000X</v>
      </c>
      <c r="D14784" t="str">
        <f>"SETHI                    MANISHA                  "</f>
        <v xml:space="preserve">SETHI                    MANISHA                  </v>
      </c>
      <c r="E14784" t="str">
        <f>"RIDGELAND                 "</f>
        <v xml:space="preserve">RIDGELAND                 </v>
      </c>
      <c r="F14784" t="str">
        <f t="shared" si="372"/>
        <v>MS</v>
      </c>
    </row>
    <row r="14785" spans="1:6" x14ac:dyDescent="0.25">
      <c r="A14785" t="str">
        <f>"100165496"</f>
        <v>100165496</v>
      </c>
      <c r="B14785" t="str">
        <f>"1467422436"</f>
        <v>1467422436</v>
      </c>
      <c r="C14785" t="str">
        <f>"207RN0300X"</f>
        <v>207RN0300X</v>
      </c>
      <c r="D14785" t="str">
        <f>"HIGH                     LOYD         B           "</f>
        <v xml:space="preserve">HIGH                     LOYD         B           </v>
      </c>
      <c r="E14785" t="str">
        <f>"HATTIESBURG               "</f>
        <v xml:space="preserve">HATTIESBURG               </v>
      </c>
      <c r="F14785" t="str">
        <f t="shared" si="372"/>
        <v>MS</v>
      </c>
    </row>
    <row r="14786" spans="1:6" x14ac:dyDescent="0.25">
      <c r="A14786" t="str">
        <f>"100166109"</f>
        <v>100166109</v>
      </c>
      <c r="B14786" t="str">
        <f>"1063625325"</f>
        <v>1063625325</v>
      </c>
      <c r="C14786" t="str">
        <f>"207RC0000X"</f>
        <v>207RC0000X</v>
      </c>
      <c r="D14786" t="str">
        <f>"MECHLEB                  BASSAM       K           "</f>
        <v xml:space="preserve">MECHLEB                  BASSAM       K           </v>
      </c>
      <c r="E14786" t="str">
        <f>"HATTIESBURG               "</f>
        <v xml:space="preserve">HATTIESBURG               </v>
      </c>
      <c r="F14786" t="str">
        <f t="shared" si="372"/>
        <v>MS</v>
      </c>
    </row>
    <row r="14787" spans="1:6" x14ac:dyDescent="0.25">
      <c r="A14787" t="str">
        <f>"100166678"</f>
        <v>100166678</v>
      </c>
      <c r="B14787" t="str">
        <f>"1023034097"</f>
        <v>1023034097</v>
      </c>
      <c r="C14787" t="str">
        <f>"207R00000X"</f>
        <v>207R00000X</v>
      </c>
      <c r="D14787" t="str">
        <f>"HICKS                    JASON        B           "</f>
        <v xml:space="preserve">HICKS                    JASON        B           </v>
      </c>
      <c r="E14787" t="str">
        <f>"RIDGELAND                 "</f>
        <v xml:space="preserve">RIDGELAND                 </v>
      </c>
      <c r="F14787" t="str">
        <f t="shared" si="372"/>
        <v>MS</v>
      </c>
    </row>
    <row r="14788" spans="1:6" x14ac:dyDescent="0.25">
      <c r="A14788" t="str">
        <f>"100166907"</f>
        <v>100166907</v>
      </c>
      <c r="B14788" t="str">
        <f>"1447220306"</f>
        <v>1447220306</v>
      </c>
      <c r="C14788" t="str">
        <f>"2080N0001X"</f>
        <v>2080N0001X</v>
      </c>
      <c r="D14788" t="str">
        <f>"ARRINDELL                ESMOND       L           "</f>
        <v xml:space="preserve">ARRINDELL                ESMOND       L           </v>
      </c>
      <c r="E14788" t="str">
        <f>"SOUTHAVEN                 "</f>
        <v xml:space="preserve">SOUTHAVEN                 </v>
      </c>
      <c r="F14788" t="str">
        <f t="shared" si="372"/>
        <v>MS</v>
      </c>
    </row>
    <row r="14789" spans="1:6" x14ac:dyDescent="0.25">
      <c r="A14789" t="str">
        <f>"100167538"</f>
        <v>100167538</v>
      </c>
      <c r="B14789" t="str">
        <f>"1710181078"</f>
        <v>1710181078</v>
      </c>
      <c r="C14789" t="str">
        <f>"207Q00000X"</f>
        <v>207Q00000X</v>
      </c>
      <c r="D14789" t="str">
        <f>"PARK                     CHRISTOPHER  L           "</f>
        <v xml:space="preserve">PARK                     CHRISTOPHER  L           </v>
      </c>
      <c r="E14789" t="str">
        <f>"PONTOTOC                  "</f>
        <v xml:space="preserve">PONTOTOC                  </v>
      </c>
      <c r="F14789" t="str">
        <f t="shared" si="372"/>
        <v>MS</v>
      </c>
    </row>
    <row r="14790" spans="1:6" x14ac:dyDescent="0.25">
      <c r="A14790" t="str">
        <f>"100168390"</f>
        <v>100168390</v>
      </c>
      <c r="B14790" t="str">
        <f>"1376740803"</f>
        <v>1376740803</v>
      </c>
      <c r="C14790" t="str">
        <f>"207LP2900X"</f>
        <v>207LP2900X</v>
      </c>
      <c r="D14790" t="str">
        <f>"KINARD                   KIRK         L           "</f>
        <v xml:space="preserve">KINARD                   KIRK         L           </v>
      </c>
      <c r="E14790" t="str">
        <f>"OXFORD                    "</f>
        <v xml:space="preserve">OXFORD                    </v>
      </c>
      <c r="F14790" t="str">
        <f t="shared" si="372"/>
        <v>MS</v>
      </c>
    </row>
    <row r="14791" spans="1:6" x14ac:dyDescent="0.25">
      <c r="A14791" t="str">
        <f>"100168535"</f>
        <v>100168535</v>
      </c>
      <c r="B14791" t="str">
        <f>"1760663579"</f>
        <v>1760663579</v>
      </c>
      <c r="C14791" t="str">
        <f>"207R00000X"</f>
        <v>207R00000X</v>
      </c>
      <c r="D14791" t="str">
        <f>"CUNNINGHAM               AMANDA       R           "</f>
        <v xml:space="preserve">CUNNINGHAM               AMANDA       R           </v>
      </c>
      <c r="E14791" t="str">
        <f>"SOUTHAVEN                 "</f>
        <v xml:space="preserve">SOUTHAVEN                 </v>
      </c>
      <c r="F14791" t="str">
        <f t="shared" si="372"/>
        <v>MS</v>
      </c>
    </row>
    <row r="14792" spans="1:6" x14ac:dyDescent="0.25">
      <c r="A14792" t="str">
        <f>"100168836"</f>
        <v>100168836</v>
      </c>
      <c r="B14792" t="str">
        <f>"1386725570"</f>
        <v>1386725570</v>
      </c>
      <c r="C14792" t="str">
        <f>"2084P0800X"</f>
        <v>2084P0800X</v>
      </c>
      <c r="D14792" t="str">
        <f>"PATEL                    SAGAR        H           "</f>
        <v xml:space="preserve">PATEL                    SAGAR        H           </v>
      </c>
      <c r="E14792" t="str">
        <f>"RIDGELAND                 "</f>
        <v xml:space="preserve">RIDGELAND                 </v>
      </c>
      <c r="F14792" t="str">
        <f t="shared" si="372"/>
        <v>MS</v>
      </c>
    </row>
    <row r="14793" spans="1:6" x14ac:dyDescent="0.25">
      <c r="A14793" t="str">
        <f>"100168865"</f>
        <v>100168865</v>
      </c>
      <c r="B14793" t="str">
        <f>"1972671626"</f>
        <v>1972671626</v>
      </c>
      <c r="C14793" t="str">
        <f>"207RP1001X"</f>
        <v>207RP1001X</v>
      </c>
      <c r="D14793" t="str">
        <f>"HUXFORD                  CAMERON      S           "</f>
        <v xml:space="preserve">HUXFORD                  CAMERON      S           </v>
      </c>
      <c r="E14793" t="str">
        <f>"STARKVILLE                "</f>
        <v xml:space="preserve">STARKVILLE                </v>
      </c>
      <c r="F14793" t="str">
        <f t="shared" si="372"/>
        <v>MS</v>
      </c>
    </row>
    <row r="14794" spans="1:6" x14ac:dyDescent="0.25">
      <c r="A14794" t="str">
        <f>"100170414"</f>
        <v>100170414</v>
      </c>
      <c r="B14794" t="str">
        <f>"1558421651"</f>
        <v>1558421651</v>
      </c>
      <c r="C14794" t="str">
        <f>"207L00000X"</f>
        <v>207L00000X</v>
      </c>
      <c r="D14794" t="str">
        <f>"AUZENNE                  GREGORY      A           "</f>
        <v xml:space="preserve">AUZENNE                  GREGORY      A           </v>
      </c>
      <c r="E14794" t="str">
        <f>"MERIDIAN                  "</f>
        <v xml:space="preserve">MERIDIAN                  </v>
      </c>
      <c r="F14794" t="str">
        <f t="shared" si="372"/>
        <v>MS</v>
      </c>
    </row>
    <row r="14795" spans="1:6" x14ac:dyDescent="0.25">
      <c r="A14795" t="str">
        <f>"100171142"</f>
        <v>100171142</v>
      </c>
      <c r="B14795" t="str">
        <f>"1639380207"</f>
        <v>1639380207</v>
      </c>
      <c r="C14795" t="str">
        <f>"207RX0202X"</f>
        <v>207RX0202X</v>
      </c>
      <c r="D14795" t="str">
        <f>"CLEVELAND                NICOLE       D           "</f>
        <v xml:space="preserve">CLEVELAND                NICOLE       D           </v>
      </c>
      <c r="E14795" t="str">
        <f>"JACKSON                   "</f>
        <v xml:space="preserve">JACKSON                   </v>
      </c>
      <c r="F14795" t="str">
        <f t="shared" si="372"/>
        <v>MS</v>
      </c>
    </row>
    <row r="14796" spans="1:6" x14ac:dyDescent="0.25">
      <c r="A14796" t="str">
        <f>"100171531"</f>
        <v>100171531</v>
      </c>
      <c r="B14796" t="str">
        <f>"1841223377"</f>
        <v>1841223377</v>
      </c>
      <c r="C14796" t="str">
        <f>"207RI0200X"</f>
        <v>207RI0200X</v>
      </c>
      <c r="D14796" t="str">
        <f>"DHAR                     UJJWAL                   "</f>
        <v xml:space="preserve">DHAR                     UJJWAL                   </v>
      </c>
      <c r="E14796" t="str">
        <f>"JACKSON                   "</f>
        <v xml:space="preserve">JACKSON                   </v>
      </c>
      <c r="F14796" t="str">
        <f t="shared" si="372"/>
        <v>MS</v>
      </c>
    </row>
    <row r="14797" spans="1:6" x14ac:dyDescent="0.25">
      <c r="A14797" t="str">
        <f>"100172055"</f>
        <v>100172055</v>
      </c>
      <c r="B14797" t="str">
        <f>"1043229990"</f>
        <v>1043229990</v>
      </c>
      <c r="C14797" t="str">
        <f>"2086S0105X"</f>
        <v>2086S0105X</v>
      </c>
      <c r="D14797" t="str">
        <f>"LEWIS                    ERIC         V           "</f>
        <v xml:space="preserve">LEWIS                    ERIC         V           </v>
      </c>
      <c r="E14797" t="str">
        <f>"TUPELO                    "</f>
        <v xml:space="preserve">TUPELO                    </v>
      </c>
      <c r="F14797" t="str">
        <f t="shared" si="372"/>
        <v>MS</v>
      </c>
    </row>
    <row r="14798" spans="1:6" x14ac:dyDescent="0.25">
      <c r="A14798" t="str">
        <f>"100172326"</f>
        <v>100172326</v>
      </c>
      <c r="B14798" t="str">
        <f>"1427031731"</f>
        <v>1427031731</v>
      </c>
      <c r="C14798" t="str">
        <f>"207RG0100X"</f>
        <v>207RG0100X</v>
      </c>
      <c r="D14798" t="str">
        <f>"CALVIT                   THOMAS       B           "</f>
        <v xml:space="preserve">CALVIT                   THOMAS       B           </v>
      </c>
      <c r="E14798" t="str">
        <f>"MERIDIAN                  "</f>
        <v xml:space="preserve">MERIDIAN                  </v>
      </c>
      <c r="F14798" t="str">
        <f t="shared" si="372"/>
        <v>MS</v>
      </c>
    </row>
    <row r="14799" spans="1:6" x14ac:dyDescent="0.25">
      <c r="A14799" t="str">
        <f>"100172851"</f>
        <v>100172851</v>
      </c>
      <c r="B14799" t="str">
        <f>"1508066911"</f>
        <v>1508066911</v>
      </c>
      <c r="C14799" t="str">
        <f>"2085R0202X"</f>
        <v>2085R0202X</v>
      </c>
      <c r="D14799" t="str">
        <f>"MAY                      BYRON        B           "</f>
        <v xml:space="preserve">MAY                      BYRON        B           </v>
      </c>
      <c r="E14799" t="str">
        <f>"CLEVELAND                 "</f>
        <v xml:space="preserve">CLEVELAND                 </v>
      </c>
      <c r="F14799" t="str">
        <f t="shared" si="372"/>
        <v>MS</v>
      </c>
    </row>
    <row r="14800" spans="1:6" x14ac:dyDescent="0.25">
      <c r="A14800" t="str">
        <f>"100173375"</f>
        <v>100173375</v>
      </c>
      <c r="B14800" t="str">
        <f>"1699959882"</f>
        <v>1699959882</v>
      </c>
      <c r="C14800" t="str">
        <f>"208000000X"</f>
        <v>208000000X</v>
      </c>
      <c r="D14800" t="str">
        <f>"WALLACE-STEVENS          ALICIA       L           "</f>
        <v xml:space="preserve">WALLACE-STEVENS          ALICIA       L           </v>
      </c>
      <c r="E14800" t="str">
        <f>"POPLARVILLE               "</f>
        <v xml:space="preserve">POPLARVILLE               </v>
      </c>
      <c r="F14800" t="str">
        <f t="shared" si="372"/>
        <v>MS</v>
      </c>
    </row>
    <row r="14801" spans="1:6" x14ac:dyDescent="0.25">
      <c r="A14801" t="str">
        <f>"100173419"</f>
        <v>100173419</v>
      </c>
      <c r="B14801" t="str">
        <f>"1255321766"</f>
        <v>1255321766</v>
      </c>
      <c r="C14801" t="str">
        <f>"207RP1001X"</f>
        <v>207RP1001X</v>
      </c>
      <c r="D14801" t="str">
        <f>"HAYES                    JACKIE       A           "</f>
        <v xml:space="preserve">HAYES                    JACKIE       A           </v>
      </c>
      <c r="E14801" t="str">
        <f>"GULFPORT                  "</f>
        <v xml:space="preserve">GULFPORT                  </v>
      </c>
      <c r="F14801" t="str">
        <f t="shared" si="372"/>
        <v>MS</v>
      </c>
    </row>
    <row r="14802" spans="1:6" x14ac:dyDescent="0.25">
      <c r="A14802" t="str">
        <f>"100173738"</f>
        <v>100173738</v>
      </c>
      <c r="B14802" t="str">
        <f>"1669683405"</f>
        <v>1669683405</v>
      </c>
      <c r="C14802" t="str">
        <f>"207X00000X"</f>
        <v>207X00000X</v>
      </c>
      <c r="D14802" t="str">
        <f>"FAGAN                    BRYAN        C           "</f>
        <v xml:space="preserve">FAGAN                    BRYAN        C           </v>
      </c>
      <c r="E14802" t="str">
        <f>"TUPELO                    "</f>
        <v xml:space="preserve">TUPELO                    </v>
      </c>
      <c r="F14802" t="str">
        <f t="shared" si="372"/>
        <v>MS</v>
      </c>
    </row>
    <row r="14803" spans="1:6" x14ac:dyDescent="0.25">
      <c r="A14803" t="str">
        <f>"100174294"</f>
        <v>100174294</v>
      </c>
      <c r="B14803" t="str">
        <f>"1356656029"</f>
        <v>1356656029</v>
      </c>
      <c r="C14803" t="str">
        <f>"152W00000X"</f>
        <v>152W00000X</v>
      </c>
      <c r="D14803" t="str">
        <f>"NORWOOD                  CHAKA        C           "</f>
        <v xml:space="preserve">NORWOOD                  CHAKA        C           </v>
      </c>
      <c r="E14803" t="str">
        <f>"MOUND BAYOU               "</f>
        <v xml:space="preserve">MOUND BAYOU               </v>
      </c>
      <c r="F14803" t="str">
        <f t="shared" si="372"/>
        <v>MS</v>
      </c>
    </row>
    <row r="14804" spans="1:6" x14ac:dyDescent="0.25">
      <c r="A14804" t="str">
        <f>"100174914"</f>
        <v>100174914</v>
      </c>
      <c r="B14804" t="str">
        <f>"1114256260"</f>
        <v>1114256260</v>
      </c>
      <c r="C14804" t="str">
        <f>"208000000X"</f>
        <v>208000000X</v>
      </c>
      <c r="D14804" t="str">
        <f>"MENDOZA                  SHEON        H           "</f>
        <v xml:space="preserve">MENDOZA                  SHEON        H           </v>
      </c>
      <c r="E14804" t="str">
        <f>"JACKSON                   "</f>
        <v xml:space="preserve">JACKSON                   </v>
      </c>
      <c r="F14804" t="str">
        <f t="shared" si="372"/>
        <v>MS</v>
      </c>
    </row>
    <row r="14805" spans="1:6" x14ac:dyDescent="0.25">
      <c r="A14805" t="str">
        <f>"100175066"</f>
        <v>100175066</v>
      </c>
      <c r="B14805" t="str">
        <f>"1720241201"</f>
        <v>1720241201</v>
      </c>
      <c r="C14805" t="str">
        <f>"207RH0003X"</f>
        <v>207RH0003X</v>
      </c>
      <c r="D14805" t="str">
        <f>"EUBANKS                  JENNIFER     T           "</f>
        <v xml:space="preserve">EUBANKS                  JENNIFER     T           </v>
      </c>
      <c r="E14805" t="str">
        <f>"MERIDIAN                  "</f>
        <v xml:space="preserve">MERIDIAN                  </v>
      </c>
      <c r="F14805" t="str">
        <f t="shared" si="372"/>
        <v>MS</v>
      </c>
    </row>
    <row r="14806" spans="1:6" x14ac:dyDescent="0.25">
      <c r="A14806" t="str">
        <f>"100175184"</f>
        <v>100175184</v>
      </c>
      <c r="B14806" t="str">
        <f>"1548423114"</f>
        <v>1548423114</v>
      </c>
      <c r="C14806" t="str">
        <f>"207R00000X"</f>
        <v>207R00000X</v>
      </c>
      <c r="D14806" t="str">
        <f>"BADERO                   OLUROTIMI    J           "</f>
        <v xml:space="preserve">BADERO                   OLUROTIMI    J           </v>
      </c>
      <c r="E14806" t="str">
        <f>"JACKSON                   "</f>
        <v xml:space="preserve">JACKSON                   </v>
      </c>
      <c r="F14806" t="str">
        <f t="shared" si="372"/>
        <v>MS</v>
      </c>
    </row>
    <row r="14807" spans="1:6" x14ac:dyDescent="0.25">
      <c r="A14807" t="str">
        <f>"100175292"</f>
        <v>100175292</v>
      </c>
      <c r="B14807" t="str">
        <f>"1770553448"</f>
        <v>1770553448</v>
      </c>
      <c r="C14807" t="str">
        <f>"2083A0100X"</f>
        <v>2083A0100X</v>
      </c>
      <c r="D14807" t="str">
        <f>"PREWITT                  LINDSEY      J           "</f>
        <v xml:space="preserve">PREWITT                  LINDSEY      J           </v>
      </c>
      <c r="E14807" t="str">
        <f>"MERIDIAN                  "</f>
        <v xml:space="preserve">MERIDIAN                  </v>
      </c>
      <c r="F14807" t="str">
        <f t="shared" si="372"/>
        <v>MS</v>
      </c>
    </row>
    <row r="14808" spans="1:6" x14ac:dyDescent="0.25">
      <c r="A14808" t="str">
        <f>"100175364"</f>
        <v>100175364</v>
      </c>
      <c r="B14808" t="str">
        <f>"1437237732"</f>
        <v>1437237732</v>
      </c>
      <c r="C14808" t="str">
        <f>"207RC0200X"</f>
        <v>207RC0200X</v>
      </c>
      <c r="D14808" t="str">
        <f>"WILHELM                  ANDREW       M           "</f>
        <v xml:space="preserve">WILHELM                  ANDREW       M           </v>
      </c>
      <c r="E14808" t="str">
        <f>"JACKSON                   "</f>
        <v xml:space="preserve">JACKSON                   </v>
      </c>
      <c r="F14808" t="str">
        <f t="shared" si="372"/>
        <v>MS</v>
      </c>
    </row>
    <row r="14809" spans="1:6" x14ac:dyDescent="0.25">
      <c r="A14809" t="str">
        <f>"100175374"</f>
        <v>100175374</v>
      </c>
      <c r="B14809" t="str">
        <f>"1134180615"</f>
        <v>1134180615</v>
      </c>
      <c r="C14809" t="str">
        <f>"207R00000X"</f>
        <v>207R00000X</v>
      </c>
      <c r="D14809" t="str">
        <f>"SEIGLER                  RICHARD      A           "</f>
        <v xml:space="preserve">SEIGLER                  RICHARD      A           </v>
      </c>
      <c r="E14809" t="str">
        <f>"PASCAGOULA                "</f>
        <v xml:space="preserve">PASCAGOULA                </v>
      </c>
      <c r="F14809" t="str">
        <f t="shared" si="372"/>
        <v>MS</v>
      </c>
    </row>
    <row r="14810" spans="1:6" x14ac:dyDescent="0.25">
      <c r="A14810" t="str">
        <f>"100175924"</f>
        <v>100175924</v>
      </c>
      <c r="B14810" t="str">
        <f>"1285700732"</f>
        <v>1285700732</v>
      </c>
      <c r="C14810" t="str">
        <f>"207N00000X"</f>
        <v>207N00000X</v>
      </c>
      <c r="D14810" t="str">
        <f>"DIMITRI                  ELIZABETH    M           "</f>
        <v xml:space="preserve">DIMITRI                  ELIZABETH    M           </v>
      </c>
      <c r="E14810" t="str">
        <f>"BAY SAINT LOUIS           "</f>
        <v xml:space="preserve">BAY SAINT LOUIS           </v>
      </c>
      <c r="F14810" t="str">
        <f t="shared" si="372"/>
        <v>MS</v>
      </c>
    </row>
    <row r="14811" spans="1:6" x14ac:dyDescent="0.25">
      <c r="A14811" t="str">
        <f>"100177160"</f>
        <v>100177160</v>
      </c>
      <c r="B14811" t="str">
        <f>"1942425459"</f>
        <v>1942425459</v>
      </c>
      <c r="C14811" t="str">
        <f>"207X00000X"</f>
        <v>207X00000X</v>
      </c>
      <c r="D14811" t="str">
        <f>"RULEWICZ                 GABRIEL      J           "</f>
        <v xml:space="preserve">RULEWICZ                 GABRIEL      J           </v>
      </c>
      <c r="E14811" t="str">
        <f>"TUPELO                    "</f>
        <v xml:space="preserve">TUPELO                    </v>
      </c>
      <c r="F14811" t="str">
        <f t="shared" si="372"/>
        <v>MS</v>
      </c>
    </row>
    <row r="14812" spans="1:6" x14ac:dyDescent="0.25">
      <c r="A14812" t="str">
        <f>"100177727"</f>
        <v>100177727</v>
      </c>
      <c r="B14812" t="str">
        <f>"1881816619"</f>
        <v>1881816619</v>
      </c>
      <c r="C14812" t="str">
        <f>"207RG0100X"</f>
        <v>207RG0100X</v>
      </c>
      <c r="D14812" t="str">
        <f>"OGG                      WILLIAM      G           "</f>
        <v xml:space="preserve">OGG                      WILLIAM      G           </v>
      </c>
      <c r="E14812" t="str">
        <f>"TUPELO                    "</f>
        <v xml:space="preserve">TUPELO                    </v>
      </c>
      <c r="F14812" t="str">
        <f t="shared" si="372"/>
        <v>MS</v>
      </c>
    </row>
    <row r="14813" spans="1:6" x14ac:dyDescent="0.25">
      <c r="A14813" t="str">
        <f>"100177797"</f>
        <v>100177797</v>
      </c>
      <c r="B14813" t="str">
        <f>"1730386608"</f>
        <v>1730386608</v>
      </c>
      <c r="C14813" t="str">
        <f>"207RE0101X"</f>
        <v>207RE0101X</v>
      </c>
      <c r="D14813" t="str">
        <f>"FRENCH                   SARAH        E           "</f>
        <v xml:space="preserve">FRENCH                   SARAH        E           </v>
      </c>
      <c r="E14813" t="str">
        <f>"NEW ALBANY                "</f>
        <v xml:space="preserve">NEW ALBANY                </v>
      </c>
      <c r="F14813" t="str">
        <f t="shared" si="372"/>
        <v>MS</v>
      </c>
    </row>
    <row r="14814" spans="1:6" x14ac:dyDescent="0.25">
      <c r="A14814" t="str">
        <f>"100178438"</f>
        <v>100178438</v>
      </c>
      <c r="B14814" t="str">
        <f>"1104002898"</f>
        <v>1104002898</v>
      </c>
      <c r="C14814" t="str">
        <f>"207R00000X"</f>
        <v>207R00000X</v>
      </c>
      <c r="D14814" t="str">
        <f>"SANDIFER                 VANESSA      L           "</f>
        <v xml:space="preserve">SANDIFER                 VANESSA      L           </v>
      </c>
      <c r="E14814" t="str">
        <f>"JACKSON                   "</f>
        <v xml:space="preserve">JACKSON                   </v>
      </c>
      <c r="F14814" t="str">
        <f t="shared" si="372"/>
        <v>MS</v>
      </c>
    </row>
    <row r="14815" spans="1:6" x14ac:dyDescent="0.25">
      <c r="A14815" t="str">
        <f>"100178727"</f>
        <v>100178727</v>
      </c>
      <c r="B14815" t="str">
        <f>"1649473489"</f>
        <v>1649473489</v>
      </c>
      <c r="C14815" t="str">
        <f>"2084P0804X"</f>
        <v>2084P0804X</v>
      </c>
      <c r="D14815" t="str">
        <f>"PANNEL                   RICHARD      S           "</f>
        <v xml:space="preserve">PANNEL                   RICHARD      S           </v>
      </c>
      <c r="E14815" t="str">
        <f>"PONTOTOC                  "</f>
        <v xml:space="preserve">PONTOTOC                  </v>
      </c>
      <c r="F14815" t="str">
        <f t="shared" si="372"/>
        <v>MS</v>
      </c>
    </row>
    <row r="14816" spans="1:6" x14ac:dyDescent="0.25">
      <c r="A14816" t="str">
        <f>"100179253"</f>
        <v>100179253</v>
      </c>
      <c r="B14816" t="str">
        <f>"1922322940"</f>
        <v>1922322940</v>
      </c>
      <c r="C14816" t="str">
        <f>"208D00000X"</f>
        <v>208D00000X</v>
      </c>
      <c r="D14816" t="str">
        <f>"ORGERON                  THOMAS       J           "</f>
        <v xml:space="preserve">ORGERON                  THOMAS       J           </v>
      </c>
      <c r="E14816" t="str">
        <f>"GULFPORT                  "</f>
        <v xml:space="preserve">GULFPORT                  </v>
      </c>
      <c r="F14816" t="str">
        <f t="shared" si="372"/>
        <v>MS</v>
      </c>
    </row>
    <row r="14817" spans="1:6" x14ac:dyDescent="0.25">
      <c r="A14817" t="str">
        <f>"100179661"</f>
        <v>100179661</v>
      </c>
      <c r="B14817" t="str">
        <f>"1114134863"</f>
        <v>1114134863</v>
      </c>
      <c r="C14817" t="str">
        <f>"207K00000X"</f>
        <v>207K00000X</v>
      </c>
      <c r="D14817" t="str">
        <f>"MALTBY                   KAREN                    "</f>
        <v xml:space="preserve">MALTBY                   KAREN                    </v>
      </c>
      <c r="E14817" t="str">
        <f>"TUPELO                    "</f>
        <v xml:space="preserve">TUPELO                    </v>
      </c>
      <c r="F14817" t="str">
        <f t="shared" si="372"/>
        <v>MS</v>
      </c>
    </row>
    <row r="14818" spans="1:6" x14ac:dyDescent="0.25">
      <c r="A14818" t="str">
        <f>"100180104"</f>
        <v>100180104</v>
      </c>
      <c r="B14818" t="str">
        <f>"1306166970"</f>
        <v>1306166970</v>
      </c>
      <c r="C14818" t="str">
        <f>"207RN0300X"</f>
        <v>207RN0300X</v>
      </c>
      <c r="D14818" t="str">
        <f>"NORRIS                   LINDSEY      T           "</f>
        <v xml:space="preserve">NORRIS                   LINDSEY      T           </v>
      </c>
      <c r="E14818" t="str">
        <f>"FLOWOOD                   "</f>
        <v xml:space="preserve">FLOWOOD                   </v>
      </c>
      <c r="F14818" t="str">
        <f t="shared" si="372"/>
        <v>MS</v>
      </c>
    </row>
    <row r="14819" spans="1:6" x14ac:dyDescent="0.25">
      <c r="A14819" t="str">
        <f>"100180108"</f>
        <v>100180108</v>
      </c>
      <c r="B14819" t="str">
        <f>"1114239423"</f>
        <v>1114239423</v>
      </c>
      <c r="C14819" t="str">
        <f>"207RN0300X"</f>
        <v>207RN0300X</v>
      </c>
      <c r="D14819" t="str">
        <f>"FERGUSON                 LEE          M           "</f>
        <v xml:space="preserve">FERGUSON                 LEE          M           </v>
      </c>
      <c r="E14819" t="str">
        <f>"FLOWOOD                   "</f>
        <v xml:space="preserve">FLOWOOD                   </v>
      </c>
      <c r="F14819" t="str">
        <f t="shared" si="372"/>
        <v>MS</v>
      </c>
    </row>
    <row r="14820" spans="1:6" x14ac:dyDescent="0.25">
      <c r="A14820" t="str">
        <f>"100180148"</f>
        <v>100180148</v>
      </c>
      <c r="B14820" t="str">
        <f>"1881794162"</f>
        <v>1881794162</v>
      </c>
      <c r="C14820" t="str">
        <f>"208800000X"</f>
        <v>208800000X</v>
      </c>
      <c r="D14820" t="str">
        <f>"WALLACE                  JAMES        H           "</f>
        <v xml:space="preserve">WALLACE                  JAMES        H           </v>
      </c>
      <c r="E14820" t="str">
        <f>"MERIDIAN                  "</f>
        <v xml:space="preserve">MERIDIAN                  </v>
      </c>
      <c r="F14820" t="str">
        <f t="shared" si="372"/>
        <v>MS</v>
      </c>
    </row>
    <row r="14821" spans="1:6" x14ac:dyDescent="0.25">
      <c r="A14821" t="str">
        <f>"100180295"</f>
        <v>100180295</v>
      </c>
      <c r="B14821" t="str">
        <f>"1669760609"</f>
        <v>1669760609</v>
      </c>
      <c r="C14821" t="str">
        <f>"207R00000X"</f>
        <v>207R00000X</v>
      </c>
      <c r="D14821" t="str">
        <f>"RHINEWALT                JAMES        M           "</f>
        <v xml:space="preserve">RHINEWALT                JAMES        M           </v>
      </c>
      <c r="E14821" t="str">
        <f>"SALTILLO                  "</f>
        <v xml:space="preserve">SALTILLO                  </v>
      </c>
      <c r="F14821" t="str">
        <f t="shared" si="372"/>
        <v>MS</v>
      </c>
    </row>
    <row r="14822" spans="1:6" x14ac:dyDescent="0.25">
      <c r="A14822" t="str">
        <f>"100180480"</f>
        <v>100180480</v>
      </c>
      <c r="B14822" t="str">
        <f>"1568606176"</f>
        <v>1568606176</v>
      </c>
      <c r="C14822" t="str">
        <f>"207ZP0101X"</f>
        <v>207ZP0101X</v>
      </c>
      <c r="D14822" t="str">
        <f>"SAFLEY                   MATTHEW      L           "</f>
        <v xml:space="preserve">SAFLEY                   MATTHEW      L           </v>
      </c>
      <c r="E14822" t="str">
        <f>"GULFPORT                  "</f>
        <v xml:space="preserve">GULFPORT                  </v>
      </c>
      <c r="F14822" t="str">
        <f t="shared" si="372"/>
        <v>MS</v>
      </c>
    </row>
    <row r="14823" spans="1:6" x14ac:dyDescent="0.25">
      <c r="A14823" t="str">
        <f>"100181352"</f>
        <v>100181352</v>
      </c>
      <c r="B14823" t="str">
        <f>"1770847154"</f>
        <v>1770847154</v>
      </c>
      <c r="C14823" t="str">
        <f>"207L00000X"</f>
        <v>207L00000X</v>
      </c>
      <c r="D14823" t="str">
        <f>"MCGAUGHEY                RYAN         R           "</f>
        <v xml:space="preserve">MCGAUGHEY                RYAN         R           </v>
      </c>
      <c r="E14823" t="str">
        <f>"HATTIESBURG               "</f>
        <v xml:space="preserve">HATTIESBURG               </v>
      </c>
      <c r="F14823" t="str">
        <f t="shared" si="372"/>
        <v>MS</v>
      </c>
    </row>
    <row r="14824" spans="1:6" x14ac:dyDescent="0.25">
      <c r="A14824" t="str">
        <f>"100185136"</f>
        <v>100185136</v>
      </c>
      <c r="B14824" t="str">
        <f>"1902826233"</f>
        <v>1902826233</v>
      </c>
      <c r="C14824" t="str">
        <f t="shared" ref="C14824:C14830" si="373">"2085R0202X"</f>
        <v>2085R0202X</v>
      </c>
      <c r="D14824" t="str">
        <f>"AULTMAN                  CHAD         J           "</f>
        <v xml:space="preserve">AULTMAN                  CHAD         J           </v>
      </c>
      <c r="E14824" t="str">
        <f t="shared" ref="E14824:E14830" si="374">"CLEVELAND                 "</f>
        <v xml:space="preserve">CLEVELAND                 </v>
      </c>
      <c r="F14824" t="str">
        <f t="shared" si="372"/>
        <v>MS</v>
      </c>
    </row>
    <row r="14825" spans="1:6" x14ac:dyDescent="0.25">
      <c r="A14825" t="str">
        <f>"100185201"</f>
        <v>100185201</v>
      </c>
      <c r="B14825" t="str">
        <f>"1164445888"</f>
        <v>1164445888</v>
      </c>
      <c r="C14825" t="str">
        <f t="shared" si="373"/>
        <v>2085R0202X</v>
      </c>
      <c r="D14825" t="str">
        <f>"SPARKS                   JOHN         D           "</f>
        <v xml:space="preserve">SPARKS                   JOHN         D           </v>
      </c>
      <c r="E14825" t="str">
        <f t="shared" si="374"/>
        <v xml:space="preserve">CLEVELAND                 </v>
      </c>
      <c r="F14825" t="str">
        <f t="shared" si="372"/>
        <v>MS</v>
      </c>
    </row>
    <row r="14826" spans="1:6" x14ac:dyDescent="0.25">
      <c r="A14826" t="str">
        <f>"100185217"</f>
        <v>100185217</v>
      </c>
      <c r="B14826" t="str">
        <f>"1497778146"</f>
        <v>1497778146</v>
      </c>
      <c r="C14826" t="str">
        <f t="shared" si="373"/>
        <v>2085R0202X</v>
      </c>
      <c r="D14826" t="str">
        <f>"BRANSTETTER              ROBERT       M           "</f>
        <v xml:space="preserve">BRANSTETTER              ROBERT       M           </v>
      </c>
      <c r="E14826" t="str">
        <f t="shared" si="374"/>
        <v xml:space="preserve">CLEVELAND                 </v>
      </c>
      <c r="F14826" t="str">
        <f t="shared" si="372"/>
        <v>MS</v>
      </c>
    </row>
    <row r="14827" spans="1:6" x14ac:dyDescent="0.25">
      <c r="A14827" t="str">
        <f>"100185219"</f>
        <v>100185219</v>
      </c>
      <c r="B14827" t="str">
        <f>"1659575173"</f>
        <v>1659575173</v>
      </c>
      <c r="C14827" t="str">
        <f t="shared" si="373"/>
        <v>2085R0202X</v>
      </c>
      <c r="D14827" t="str">
        <f>"GREZAFFI JR              JOHN                     "</f>
        <v xml:space="preserve">GREZAFFI JR              JOHN                     </v>
      </c>
      <c r="E14827" t="str">
        <f t="shared" si="374"/>
        <v xml:space="preserve">CLEVELAND                 </v>
      </c>
      <c r="F14827" t="str">
        <f t="shared" si="372"/>
        <v>MS</v>
      </c>
    </row>
    <row r="14828" spans="1:6" x14ac:dyDescent="0.25">
      <c r="A14828" t="str">
        <f>"100185223"</f>
        <v>100185223</v>
      </c>
      <c r="B14828" t="str">
        <f>"1700809456"</f>
        <v>1700809456</v>
      </c>
      <c r="C14828" t="str">
        <f t="shared" si="373"/>
        <v>2085R0202X</v>
      </c>
      <c r="D14828" t="str">
        <f>"HARRIS                   JOHN         P           "</f>
        <v xml:space="preserve">HARRIS                   JOHN         P           </v>
      </c>
      <c r="E14828" t="str">
        <f t="shared" si="374"/>
        <v xml:space="preserve">CLEVELAND                 </v>
      </c>
      <c r="F14828" t="str">
        <f t="shared" si="372"/>
        <v>MS</v>
      </c>
    </row>
    <row r="14829" spans="1:6" x14ac:dyDescent="0.25">
      <c r="A14829" t="str">
        <f>"100185233"</f>
        <v>100185233</v>
      </c>
      <c r="B14829" t="str">
        <f>"1447273479"</f>
        <v>1447273479</v>
      </c>
      <c r="C14829" t="str">
        <f t="shared" si="373"/>
        <v>2085R0202X</v>
      </c>
      <c r="D14829" t="str">
        <f>"TSAI                     SANG-TING                "</f>
        <v xml:space="preserve">TSAI                     SANG-TING                </v>
      </c>
      <c r="E14829" t="str">
        <f t="shared" si="374"/>
        <v xml:space="preserve">CLEVELAND                 </v>
      </c>
      <c r="F14829" t="str">
        <f t="shared" si="372"/>
        <v>MS</v>
      </c>
    </row>
    <row r="14830" spans="1:6" x14ac:dyDescent="0.25">
      <c r="A14830" t="str">
        <f>"100185315"</f>
        <v>100185315</v>
      </c>
      <c r="B14830" t="str">
        <f>"1407903388"</f>
        <v>1407903388</v>
      </c>
      <c r="C14830" t="str">
        <f t="shared" si="373"/>
        <v>2085R0202X</v>
      </c>
      <c r="D14830" t="str">
        <f>"HARRIS                   ADAM         W           "</f>
        <v xml:space="preserve">HARRIS                   ADAM         W           </v>
      </c>
      <c r="E14830" t="str">
        <f t="shared" si="374"/>
        <v xml:space="preserve">CLEVELAND                 </v>
      </c>
      <c r="F14830" t="str">
        <f t="shared" si="372"/>
        <v>MS</v>
      </c>
    </row>
    <row r="14831" spans="1:6" x14ac:dyDescent="0.25">
      <c r="A14831" t="str">
        <f>"100186444"</f>
        <v>100186444</v>
      </c>
      <c r="B14831" t="str">
        <f>"1952536641"</f>
        <v>1952536641</v>
      </c>
      <c r="C14831" t="str">
        <f>"207X00000X"</f>
        <v>207X00000X</v>
      </c>
      <c r="D14831" t="str">
        <f>"THOMPSON                 NORFLEET     B           "</f>
        <v xml:space="preserve">THOMPSON                 NORFLEET     B           </v>
      </c>
      <c r="E14831" t="str">
        <f>"SOUTHAVEN                 "</f>
        <v xml:space="preserve">SOUTHAVEN                 </v>
      </c>
      <c r="F14831" t="str">
        <f t="shared" si="372"/>
        <v>MS</v>
      </c>
    </row>
    <row r="14832" spans="1:6" x14ac:dyDescent="0.25">
      <c r="A14832" t="str">
        <f>"100204695"</f>
        <v>100204695</v>
      </c>
      <c r="B14832" t="str">
        <f>"1821060096"</f>
        <v>1821060096</v>
      </c>
      <c r="C14832" t="str">
        <f>"1223X0400X"</f>
        <v>1223X0400X</v>
      </c>
      <c r="D14832" t="str">
        <f>"MCMILLAN                 JEFFREY      B           "</f>
        <v xml:space="preserve">MCMILLAN                 JEFFREY      B           </v>
      </c>
      <c r="E14832" t="str">
        <f>"OXFORD                    "</f>
        <v xml:space="preserve">OXFORD                    </v>
      </c>
      <c r="F14832" t="str">
        <f t="shared" si="372"/>
        <v>MS</v>
      </c>
    </row>
    <row r="14833" spans="1:6" x14ac:dyDescent="0.25">
      <c r="A14833" t="str">
        <f>"100205675"</f>
        <v>100205675</v>
      </c>
      <c r="B14833" t="str">
        <f>"1578550976"</f>
        <v>1578550976</v>
      </c>
      <c r="C14833" t="str">
        <f>"207X00000X"</f>
        <v>207X00000X</v>
      </c>
      <c r="D14833" t="str">
        <f>"PHILLIPS                 BARRY        B           "</f>
        <v xml:space="preserve">PHILLIPS                 BARRY        B           </v>
      </c>
      <c r="E14833" t="str">
        <f>"SOUTHAVEN                 "</f>
        <v xml:space="preserve">SOUTHAVEN                 </v>
      </c>
      <c r="F14833" t="str">
        <f t="shared" si="372"/>
        <v>MS</v>
      </c>
    </row>
    <row r="14834" spans="1:6" x14ac:dyDescent="0.25">
      <c r="A14834" t="str">
        <f>"100208037"</f>
        <v>100208037</v>
      </c>
      <c r="B14834" t="str">
        <f>"1417248501"</f>
        <v>1417248501</v>
      </c>
      <c r="C14834" t="str">
        <f>"2085R0001X"</f>
        <v>2085R0001X</v>
      </c>
      <c r="D14834" t="str">
        <f>"HINTON                   BENJAMIN     K           "</f>
        <v xml:space="preserve">HINTON                   BENJAMIN     K           </v>
      </c>
      <c r="E14834" t="str">
        <f>"TUPELO                    "</f>
        <v xml:space="preserve">TUPELO                    </v>
      </c>
      <c r="F14834" t="str">
        <f t="shared" si="372"/>
        <v>MS</v>
      </c>
    </row>
    <row r="14835" spans="1:6" x14ac:dyDescent="0.25">
      <c r="A14835" t="str">
        <f>"100210093"</f>
        <v>100210093</v>
      </c>
      <c r="B14835" t="str">
        <f>"1124480033"</f>
        <v>1124480033</v>
      </c>
      <c r="C14835" t="str">
        <f>"208000000X"</f>
        <v>208000000X</v>
      </c>
      <c r="D14835" t="str">
        <f>"JUSTICE JR               WILLIAM      R           "</f>
        <v xml:space="preserve">JUSTICE JR               WILLIAM      R           </v>
      </c>
      <c r="E14835" t="str">
        <f>"MERIDIAN                  "</f>
        <v xml:space="preserve">MERIDIAN                  </v>
      </c>
      <c r="F14835" t="str">
        <f t="shared" si="372"/>
        <v>MS</v>
      </c>
    </row>
    <row r="14836" spans="1:6" x14ac:dyDescent="0.25">
      <c r="A14836" t="str">
        <f>"100211029"</f>
        <v>100211029</v>
      </c>
      <c r="B14836" t="str">
        <f>"1851570006"</f>
        <v>1851570006</v>
      </c>
      <c r="C14836" t="str">
        <f>"207R00000X"</f>
        <v>207R00000X</v>
      </c>
      <c r="D14836" t="str">
        <f>"GRANT-SPENCER            TELITHA      K           "</f>
        <v xml:space="preserve">GRANT-SPENCER            TELITHA      K           </v>
      </c>
      <c r="E14836" t="str">
        <f>"SEBASTOPOL                "</f>
        <v xml:space="preserve">SEBASTOPOL                </v>
      </c>
      <c r="F14836" t="str">
        <f t="shared" si="372"/>
        <v>MS</v>
      </c>
    </row>
    <row r="14837" spans="1:6" x14ac:dyDescent="0.25">
      <c r="A14837" t="str">
        <f>"100211045"</f>
        <v>100211045</v>
      </c>
      <c r="B14837" t="str">
        <f>"1508208992"</f>
        <v>1508208992</v>
      </c>
      <c r="C14837" t="str">
        <f>"207R00000X"</f>
        <v>207R00000X</v>
      </c>
      <c r="D14837" t="str">
        <f>"LINDSEY                  MARY         E           "</f>
        <v xml:space="preserve">LINDSEY                  MARY         E           </v>
      </c>
      <c r="E14837" t="str">
        <f>"PASCAGOULA                "</f>
        <v xml:space="preserve">PASCAGOULA                </v>
      </c>
      <c r="F14837" t="str">
        <f t="shared" si="372"/>
        <v>MS</v>
      </c>
    </row>
    <row r="14838" spans="1:6" x14ac:dyDescent="0.25">
      <c r="A14838" t="str">
        <f>"100211495"</f>
        <v>100211495</v>
      </c>
      <c r="B14838" t="str">
        <f>"1356464523"</f>
        <v>1356464523</v>
      </c>
      <c r="C14838" t="str">
        <f>"208VP0014X"</f>
        <v>208VP0014X</v>
      </c>
      <c r="D14838" t="str">
        <f>"HAPWORTH                 HUNTINGTON   T           "</f>
        <v xml:space="preserve">HAPWORTH                 HUNTINGTON   T           </v>
      </c>
      <c r="E14838" t="str">
        <f>"PASCAGOULA                "</f>
        <v xml:space="preserve">PASCAGOULA                </v>
      </c>
      <c r="F14838" t="str">
        <f t="shared" si="372"/>
        <v>MS</v>
      </c>
    </row>
    <row r="14839" spans="1:6" x14ac:dyDescent="0.25">
      <c r="A14839" t="str">
        <f>"100212642"</f>
        <v>100212642</v>
      </c>
      <c r="B14839" t="str">
        <f>"1376092155"</f>
        <v>1376092155</v>
      </c>
      <c r="C14839" t="str">
        <f>"363A00000X"</f>
        <v>363A00000X</v>
      </c>
      <c r="D14839" t="str">
        <f>"TRAN                     THUY         T           "</f>
        <v xml:space="preserve">TRAN                     THUY         T           </v>
      </c>
      <c r="E14839" t="str">
        <f>"GULFPORT                  "</f>
        <v xml:space="preserve">GULFPORT                  </v>
      </c>
      <c r="F14839" t="str">
        <f t="shared" si="372"/>
        <v>MS</v>
      </c>
    </row>
    <row r="14840" spans="1:6" x14ac:dyDescent="0.25">
      <c r="A14840" t="str">
        <f>"100213171"</f>
        <v>100213171</v>
      </c>
      <c r="B14840" t="str">
        <f>"1891912556"</f>
        <v>1891912556</v>
      </c>
      <c r="C14840" t="str">
        <f>"2085R0202X"</f>
        <v>2085R0202X</v>
      </c>
      <c r="D14840" t="str">
        <f>"COHEN                    DAVID        B           "</f>
        <v xml:space="preserve">COHEN                    DAVID        B           </v>
      </c>
      <c r="E14840" t="str">
        <f>"SOUTHAVEN                 "</f>
        <v xml:space="preserve">SOUTHAVEN                 </v>
      </c>
      <c r="F14840" t="str">
        <f t="shared" si="372"/>
        <v>MS</v>
      </c>
    </row>
    <row r="14841" spans="1:6" x14ac:dyDescent="0.25">
      <c r="A14841" t="str">
        <f>"100214801"</f>
        <v>100214801</v>
      </c>
      <c r="B14841" t="str">
        <f>"1881146306"</f>
        <v>1881146306</v>
      </c>
      <c r="C14841" t="str">
        <f>"363L00000X"</f>
        <v>363L00000X</v>
      </c>
      <c r="D14841" t="str">
        <f>"KILPATRICK               KIMBERLY     R           "</f>
        <v xml:space="preserve">KILPATRICK               KIMBERLY     R           </v>
      </c>
      <c r="E14841" t="str">
        <f>"VICKSBURG                 "</f>
        <v xml:space="preserve">VICKSBURG                 </v>
      </c>
      <c r="F14841" t="str">
        <f t="shared" si="372"/>
        <v>MS</v>
      </c>
    </row>
    <row r="14842" spans="1:6" x14ac:dyDescent="0.25">
      <c r="A14842" t="str">
        <f>"100215135"</f>
        <v>100215135</v>
      </c>
      <c r="B14842" t="str">
        <f>"1568843332"</f>
        <v>1568843332</v>
      </c>
      <c r="C14842" t="str">
        <f>"207R00000X"</f>
        <v>207R00000X</v>
      </c>
      <c r="D14842" t="str">
        <f>"STEELE                   JORDAN       W           "</f>
        <v xml:space="preserve">STEELE                   JORDAN       W           </v>
      </c>
      <c r="E14842" t="str">
        <f>"TUPELO                    "</f>
        <v xml:space="preserve">TUPELO                    </v>
      </c>
      <c r="F14842" t="str">
        <f t="shared" si="372"/>
        <v>MS</v>
      </c>
    </row>
    <row r="14843" spans="1:6" x14ac:dyDescent="0.25">
      <c r="A14843" t="str">
        <f>"100215791"</f>
        <v>100215791</v>
      </c>
      <c r="B14843" t="str">
        <f>"1578019808"</f>
        <v>1578019808</v>
      </c>
      <c r="C14843" t="str">
        <f>"363L00000X"</f>
        <v>363L00000X</v>
      </c>
      <c r="D14843" t="str">
        <f>"LITTLE                   REBECCA                  "</f>
        <v xml:space="preserve">LITTLE                   REBECCA                  </v>
      </c>
      <c r="E14843" t="str">
        <f>"BRANDON                   "</f>
        <v xml:space="preserve">BRANDON                   </v>
      </c>
      <c r="F14843" t="str">
        <f t="shared" si="372"/>
        <v>MS</v>
      </c>
    </row>
    <row r="14844" spans="1:6" x14ac:dyDescent="0.25">
      <c r="A14844" t="str">
        <f>"100217746"</f>
        <v>100217746</v>
      </c>
      <c r="B14844" t="str">
        <f>"1346530599"</f>
        <v>1346530599</v>
      </c>
      <c r="C14844" t="str">
        <f>"207RG0100X"</f>
        <v>207RG0100X</v>
      </c>
      <c r="D14844" t="str">
        <f>"STONE                    WILLIAM      R           "</f>
        <v xml:space="preserve">STONE                    WILLIAM      R           </v>
      </c>
      <c r="E14844" t="str">
        <f>"TUPELO                    "</f>
        <v xml:space="preserve">TUPELO                    </v>
      </c>
      <c r="F14844" t="str">
        <f t="shared" si="372"/>
        <v>MS</v>
      </c>
    </row>
    <row r="14845" spans="1:6" x14ac:dyDescent="0.25">
      <c r="A14845" t="str">
        <f>"100219513"</f>
        <v>100219513</v>
      </c>
      <c r="B14845" t="str">
        <f>"1013296052"</f>
        <v>1013296052</v>
      </c>
      <c r="C14845" t="str">
        <f>"363L00000X"</f>
        <v>363L00000X</v>
      </c>
      <c r="D14845" t="str">
        <f>"DEESE                    KAREN                    "</f>
        <v xml:space="preserve">DEESE                    KAREN                    </v>
      </c>
      <c r="E14845" t="str">
        <f>"MERIDIAN                  "</f>
        <v xml:space="preserve">MERIDIAN                  </v>
      </c>
      <c r="F14845" t="str">
        <f t="shared" si="372"/>
        <v>MS</v>
      </c>
    </row>
    <row r="14846" spans="1:6" x14ac:dyDescent="0.25">
      <c r="A14846" t="str">
        <f>"100220533"</f>
        <v>100220533</v>
      </c>
      <c r="B14846" t="str">
        <f>"1285188490"</f>
        <v>1285188490</v>
      </c>
      <c r="C14846" t="str">
        <f>"152W00000X"</f>
        <v>152W00000X</v>
      </c>
      <c r="D14846" t="str">
        <f>"BRINKLEY                 DESIRAE      A           "</f>
        <v xml:space="preserve">BRINKLEY                 DESIRAE      A           </v>
      </c>
      <c r="E14846" t="str">
        <f>"SOUTHAVEN                 "</f>
        <v xml:space="preserve">SOUTHAVEN                 </v>
      </c>
      <c r="F14846" t="str">
        <f t="shared" ref="F14846:F14909" si="375">"MS"</f>
        <v>MS</v>
      </c>
    </row>
    <row r="14847" spans="1:6" x14ac:dyDescent="0.25">
      <c r="A14847" t="str">
        <f>"100222435"</f>
        <v>100222435</v>
      </c>
      <c r="B14847" t="str">
        <f>"1134204662"</f>
        <v>1134204662</v>
      </c>
      <c r="C14847" t="str">
        <f>"207RI0200X"</f>
        <v>207RI0200X</v>
      </c>
      <c r="D14847" t="str">
        <f>"BLATZ                    PETER                    "</f>
        <v xml:space="preserve">BLATZ                    PETER                    </v>
      </c>
      <c r="E14847" t="str">
        <f>"GULFPORT                  "</f>
        <v xml:space="preserve">GULFPORT                  </v>
      </c>
      <c r="F14847" t="str">
        <f t="shared" si="375"/>
        <v>MS</v>
      </c>
    </row>
    <row r="14848" spans="1:6" x14ac:dyDescent="0.25">
      <c r="A14848" t="str">
        <f>"100228198"</f>
        <v>100228198</v>
      </c>
      <c r="B14848" t="str">
        <f>"1851653315"</f>
        <v>1851653315</v>
      </c>
      <c r="C14848" t="str">
        <f>"207RC0000X"</f>
        <v>207RC0000X</v>
      </c>
      <c r="D14848" t="str">
        <f>"HARLESS                  ADAM         C           "</f>
        <v xml:space="preserve">HARLESS                  ADAM         C           </v>
      </c>
      <c r="E14848" t="str">
        <f>"HATTIESBURG               "</f>
        <v xml:space="preserve">HATTIESBURG               </v>
      </c>
      <c r="F14848" t="str">
        <f t="shared" si="375"/>
        <v>MS</v>
      </c>
    </row>
    <row r="14849" spans="1:6" x14ac:dyDescent="0.25">
      <c r="A14849" t="str">
        <f>"100232767"</f>
        <v>100232767</v>
      </c>
      <c r="B14849" t="str">
        <f>"1497241285"</f>
        <v>1497241285</v>
      </c>
      <c r="C14849" t="str">
        <f>"363L00000X"</f>
        <v>363L00000X</v>
      </c>
      <c r="D14849" t="str">
        <f>"COOKSEY                  JAMES                    "</f>
        <v xml:space="preserve">COOKSEY                  JAMES                    </v>
      </c>
      <c r="E14849" t="str">
        <f>"BRANDON                   "</f>
        <v xml:space="preserve">BRANDON                   </v>
      </c>
      <c r="F14849" t="str">
        <f t="shared" si="375"/>
        <v>MS</v>
      </c>
    </row>
    <row r="14850" spans="1:6" x14ac:dyDescent="0.25">
      <c r="A14850" t="str">
        <f>"100233483"</f>
        <v>100233483</v>
      </c>
      <c r="B14850" t="str">
        <f>"1609132232"</f>
        <v>1609132232</v>
      </c>
      <c r="C14850" t="str">
        <f>"208000000X"</f>
        <v>208000000X</v>
      </c>
      <c r="D14850" t="str">
        <f>"PRESSLEY-WALLACE         ANGELA                   "</f>
        <v xml:space="preserve">PRESSLEY-WALLACE         ANGELA                   </v>
      </c>
      <c r="E14850" t="str">
        <f>"OCEAN SPRINGS             "</f>
        <v xml:space="preserve">OCEAN SPRINGS             </v>
      </c>
      <c r="F14850" t="str">
        <f t="shared" si="375"/>
        <v>MS</v>
      </c>
    </row>
    <row r="14851" spans="1:6" x14ac:dyDescent="0.25">
      <c r="A14851" t="str">
        <f>"100237497"</f>
        <v>100237497</v>
      </c>
      <c r="B14851" t="str">
        <f>"1952886806"</f>
        <v>1952886806</v>
      </c>
      <c r="C14851" t="str">
        <f>"363L00000X"</f>
        <v>363L00000X</v>
      </c>
      <c r="D14851" t="str">
        <f>"PIPPINS                  SONYA        N           "</f>
        <v xml:space="preserve">PIPPINS                  SONYA        N           </v>
      </c>
      <c r="E14851" t="str">
        <f>"NEW ALBANY                "</f>
        <v xml:space="preserve">NEW ALBANY                </v>
      </c>
      <c r="F14851" t="str">
        <f t="shared" si="375"/>
        <v>MS</v>
      </c>
    </row>
    <row r="14852" spans="1:6" x14ac:dyDescent="0.25">
      <c r="A14852" t="str">
        <f>"100243651"</f>
        <v>100243651</v>
      </c>
      <c r="B14852" t="str">
        <f>"1578959052"</f>
        <v>1578959052</v>
      </c>
      <c r="C14852" t="str">
        <f>"207R00000X"</f>
        <v>207R00000X</v>
      </c>
      <c r="D14852" t="str">
        <f>"TOMSIC                   MARTHA       P           "</f>
        <v xml:space="preserve">TOMSIC                   MARTHA       P           </v>
      </c>
      <c r="E14852" t="str">
        <f>"NEW ALBANY                "</f>
        <v xml:space="preserve">NEW ALBANY                </v>
      </c>
      <c r="F14852" t="str">
        <f t="shared" si="375"/>
        <v>MS</v>
      </c>
    </row>
    <row r="14853" spans="1:6" x14ac:dyDescent="0.25">
      <c r="A14853" t="str">
        <f>"100243850"</f>
        <v>100243850</v>
      </c>
      <c r="B14853" t="str">
        <f>"1093057184"</f>
        <v>1093057184</v>
      </c>
      <c r="C14853" t="str">
        <f>"207RN0300X"</f>
        <v>207RN0300X</v>
      </c>
      <c r="D14853" t="str">
        <f>"ISIKALU                  OLUSOLA      O           "</f>
        <v xml:space="preserve">ISIKALU                  OLUSOLA      O           </v>
      </c>
      <c r="E14853" t="str">
        <f>"PASCAGOULA                "</f>
        <v xml:space="preserve">PASCAGOULA                </v>
      </c>
      <c r="F14853" t="str">
        <f t="shared" si="375"/>
        <v>MS</v>
      </c>
    </row>
    <row r="14854" spans="1:6" x14ac:dyDescent="0.25">
      <c r="A14854" t="str">
        <f>"100262645"</f>
        <v>100262645</v>
      </c>
      <c r="B14854" t="str">
        <f>"1013070424"</f>
        <v>1013070424</v>
      </c>
      <c r="C14854" t="str">
        <f>"207RN0300X"</f>
        <v>207RN0300X</v>
      </c>
      <c r="D14854" t="str">
        <f>"HOLT                     ERIC         E           "</f>
        <v xml:space="preserve">HOLT                     ERIC         E           </v>
      </c>
      <c r="E14854" t="str">
        <f>"MERIDIAN                  "</f>
        <v xml:space="preserve">MERIDIAN                  </v>
      </c>
      <c r="F14854" t="str">
        <f t="shared" si="375"/>
        <v>MS</v>
      </c>
    </row>
    <row r="14855" spans="1:6" x14ac:dyDescent="0.25">
      <c r="A14855" t="str">
        <f>"100269928"</f>
        <v>100269928</v>
      </c>
      <c r="B14855" t="str">
        <f>"1033201454"</f>
        <v>1033201454</v>
      </c>
      <c r="C14855" t="str">
        <f>"207RE0101X"</f>
        <v>207RE0101X</v>
      </c>
      <c r="D14855" t="str">
        <f>"POTTER                   AMY                      "</f>
        <v xml:space="preserve">POTTER                   AMY                      </v>
      </c>
      <c r="E14855" t="str">
        <f>"MADISON                   "</f>
        <v xml:space="preserve">MADISON                   </v>
      </c>
      <c r="F14855" t="str">
        <f t="shared" si="375"/>
        <v>MS</v>
      </c>
    </row>
    <row r="14856" spans="1:6" x14ac:dyDescent="0.25">
      <c r="A14856" t="str">
        <f>"100270175"</f>
        <v>100270175</v>
      </c>
      <c r="B14856" t="str">
        <f>"1962865162"</f>
        <v>1962865162</v>
      </c>
      <c r="C14856" t="str">
        <f>"207R00000X"</f>
        <v>207R00000X</v>
      </c>
      <c r="D14856" t="str">
        <f>"HESTER                   DANIEL       P           "</f>
        <v xml:space="preserve">HESTER                   DANIEL       P           </v>
      </c>
      <c r="E14856" t="str">
        <f>"WATER VALLEY              "</f>
        <v xml:space="preserve">WATER VALLEY              </v>
      </c>
      <c r="F14856" t="str">
        <f t="shared" si="375"/>
        <v>MS</v>
      </c>
    </row>
    <row r="14857" spans="1:6" x14ac:dyDescent="0.25">
      <c r="A14857" t="str">
        <f>"100294032"</f>
        <v>100294032</v>
      </c>
      <c r="B14857" t="str">
        <f>"1699197574"</f>
        <v>1699197574</v>
      </c>
      <c r="C14857" t="str">
        <f>"122300000X"</f>
        <v>122300000X</v>
      </c>
      <c r="D14857" t="str">
        <f>"THE PEDIATRIC DENTAL STUDIO                       "</f>
        <v xml:space="preserve">THE PEDIATRIC DENTAL STUDIO                       </v>
      </c>
      <c r="E14857" t="str">
        <f>"CRYSTAL SPRINGS           "</f>
        <v xml:space="preserve">CRYSTAL SPRINGS           </v>
      </c>
      <c r="F14857" t="str">
        <f t="shared" si="375"/>
        <v>MS</v>
      </c>
    </row>
    <row r="14858" spans="1:6" x14ac:dyDescent="0.25">
      <c r="A14858" t="str">
        <f>"100294034"</f>
        <v>100294034</v>
      </c>
      <c r="B14858" t="str">
        <f>"1891102604"</f>
        <v>1891102604</v>
      </c>
      <c r="C14858" t="str">
        <f>"122300000X"</f>
        <v>122300000X</v>
      </c>
      <c r="D14858" t="str">
        <f>"SMILE DESIGN ORTHODONTICS, LLC                    "</f>
        <v xml:space="preserve">SMILE DESIGN ORTHODONTICS, LLC                    </v>
      </c>
      <c r="E14858" t="str">
        <f>"CRYSTAL SPRINGS           "</f>
        <v xml:space="preserve">CRYSTAL SPRINGS           </v>
      </c>
      <c r="F14858" t="str">
        <f t="shared" si="375"/>
        <v>MS</v>
      </c>
    </row>
    <row r="14859" spans="1:6" x14ac:dyDescent="0.25">
      <c r="A14859" t="str">
        <f>"100296275"</f>
        <v>100296275</v>
      </c>
      <c r="B14859" t="str">
        <f>"1801538186"</f>
        <v>1801538186</v>
      </c>
      <c r="C14859" t="str">
        <f>"261QM1300X"</f>
        <v>261QM1300X</v>
      </c>
      <c r="D14859" t="str">
        <f>"CHADWICK CLINIC                                   "</f>
        <v xml:space="preserve">CHADWICK CLINIC                                   </v>
      </c>
      <c r="E14859" t="str">
        <f>"TUPELO                    "</f>
        <v xml:space="preserve">TUPELO                    </v>
      </c>
      <c r="F14859" t="str">
        <f t="shared" si="375"/>
        <v>MS</v>
      </c>
    </row>
    <row r="14860" spans="1:6" x14ac:dyDescent="0.25">
      <c r="A14860" t="str">
        <f>"100296446"</f>
        <v>100296446</v>
      </c>
      <c r="B14860" t="str">
        <f>"1295702595"</f>
        <v>1295702595</v>
      </c>
      <c r="C14860" t="str">
        <f>"207R00000X"</f>
        <v>207R00000X</v>
      </c>
      <c r="D14860" t="str">
        <f>"ALLEN JR.                RAY          M           "</f>
        <v xml:space="preserve">ALLEN JR.                RAY          M           </v>
      </c>
      <c r="E14860" t="str">
        <f>"SOUTHAVEN                 "</f>
        <v xml:space="preserve">SOUTHAVEN                 </v>
      </c>
      <c r="F14860" t="str">
        <f t="shared" si="375"/>
        <v>MS</v>
      </c>
    </row>
    <row r="14861" spans="1:6" x14ac:dyDescent="0.25">
      <c r="A14861" t="str">
        <f>"100315611"</f>
        <v>100315611</v>
      </c>
      <c r="B14861" t="str">
        <f t="shared" ref="B14861:B14867" si="376">"1851050579"</f>
        <v>1851050579</v>
      </c>
      <c r="C14861" t="str">
        <f t="shared" ref="C14861:C14867" si="377">"261QR1300X"</f>
        <v>261QR1300X</v>
      </c>
      <c r="D14861" t="str">
        <f t="shared" ref="D14861:D14867" si="378">"FAST PACE MISSISSIPPI, PLLC                       "</f>
        <v xml:space="preserve">FAST PACE MISSISSIPPI, PLLC                       </v>
      </c>
      <c r="E14861" t="str">
        <f>"KOSCIUSKO                 "</f>
        <v xml:space="preserve">KOSCIUSKO                 </v>
      </c>
      <c r="F14861" t="str">
        <f t="shared" si="375"/>
        <v>MS</v>
      </c>
    </row>
    <row r="14862" spans="1:6" x14ac:dyDescent="0.25">
      <c r="A14862" t="str">
        <f>"100315614"</f>
        <v>100315614</v>
      </c>
      <c r="B14862" t="str">
        <f t="shared" si="376"/>
        <v>1851050579</v>
      </c>
      <c r="C14862" t="str">
        <f t="shared" si="377"/>
        <v>261QR1300X</v>
      </c>
      <c r="D14862" t="str">
        <f t="shared" si="378"/>
        <v xml:space="preserve">FAST PACE MISSISSIPPI, PLLC                       </v>
      </c>
      <c r="E14862" t="str">
        <f>"HAZLEHURST                "</f>
        <v xml:space="preserve">HAZLEHURST                </v>
      </c>
      <c r="F14862" t="str">
        <f t="shared" si="375"/>
        <v>MS</v>
      </c>
    </row>
    <row r="14863" spans="1:6" x14ac:dyDescent="0.25">
      <c r="A14863" t="str">
        <f>"100315615"</f>
        <v>100315615</v>
      </c>
      <c r="B14863" t="str">
        <f t="shared" si="376"/>
        <v>1851050579</v>
      </c>
      <c r="C14863" t="str">
        <f t="shared" si="377"/>
        <v>261QR1300X</v>
      </c>
      <c r="D14863" t="str">
        <f t="shared" si="378"/>
        <v xml:space="preserve">FAST PACE MISSISSIPPI, PLLC                       </v>
      </c>
      <c r="E14863" t="str">
        <f>"GREENVILLE                "</f>
        <v xml:space="preserve">GREENVILLE                </v>
      </c>
      <c r="F14863" t="str">
        <f t="shared" si="375"/>
        <v>MS</v>
      </c>
    </row>
    <row r="14864" spans="1:6" x14ac:dyDescent="0.25">
      <c r="A14864" t="str">
        <f>"100315616"</f>
        <v>100315616</v>
      </c>
      <c r="B14864" t="str">
        <f t="shared" si="376"/>
        <v>1851050579</v>
      </c>
      <c r="C14864" t="str">
        <f t="shared" si="377"/>
        <v>261QR1300X</v>
      </c>
      <c r="D14864" t="str">
        <f t="shared" si="378"/>
        <v xml:space="preserve">FAST PACE MISSISSIPPI, PLLC                       </v>
      </c>
      <c r="E14864" t="str">
        <f>"COLUMBIA                  "</f>
        <v xml:space="preserve">COLUMBIA                  </v>
      </c>
      <c r="F14864" t="str">
        <f t="shared" si="375"/>
        <v>MS</v>
      </c>
    </row>
    <row r="14865" spans="1:6" x14ac:dyDescent="0.25">
      <c r="A14865" t="str">
        <f>"100315617"</f>
        <v>100315617</v>
      </c>
      <c r="B14865" t="str">
        <f t="shared" si="376"/>
        <v>1851050579</v>
      </c>
      <c r="C14865" t="str">
        <f t="shared" si="377"/>
        <v>261QR1300X</v>
      </c>
      <c r="D14865" t="str">
        <f t="shared" si="378"/>
        <v xml:space="preserve">FAST PACE MISSISSIPPI, PLLC                       </v>
      </c>
      <c r="E14865" t="str">
        <f>"CORINTH                   "</f>
        <v xml:space="preserve">CORINTH                   </v>
      </c>
      <c r="F14865" t="str">
        <f t="shared" si="375"/>
        <v>MS</v>
      </c>
    </row>
    <row r="14866" spans="1:6" x14ac:dyDescent="0.25">
      <c r="A14866" t="str">
        <f>"100315618"</f>
        <v>100315618</v>
      </c>
      <c r="B14866" t="str">
        <f t="shared" si="376"/>
        <v>1851050579</v>
      </c>
      <c r="C14866" t="str">
        <f t="shared" si="377"/>
        <v>261QR1300X</v>
      </c>
      <c r="D14866" t="str">
        <f t="shared" si="378"/>
        <v xml:space="preserve">FAST PACE MISSISSIPPI, PLLC                       </v>
      </c>
      <c r="E14866" t="str">
        <f>"ELLISVILLE                "</f>
        <v xml:space="preserve">ELLISVILLE                </v>
      </c>
      <c r="F14866" t="str">
        <f t="shared" si="375"/>
        <v>MS</v>
      </c>
    </row>
    <row r="14867" spans="1:6" x14ac:dyDescent="0.25">
      <c r="A14867" t="str">
        <f>"100315619"</f>
        <v>100315619</v>
      </c>
      <c r="B14867" t="str">
        <f t="shared" si="376"/>
        <v>1851050579</v>
      </c>
      <c r="C14867" t="str">
        <f t="shared" si="377"/>
        <v>261QR1300X</v>
      </c>
      <c r="D14867" t="str">
        <f t="shared" si="378"/>
        <v xml:space="preserve">FAST PACE MISSISSIPPI, PLLC                       </v>
      </c>
      <c r="E14867" t="str">
        <f>"CLARKSDALE                "</f>
        <v xml:space="preserve">CLARKSDALE                </v>
      </c>
      <c r="F14867" t="str">
        <f t="shared" si="375"/>
        <v>MS</v>
      </c>
    </row>
    <row r="14868" spans="1:6" x14ac:dyDescent="0.25">
      <c r="A14868" t="str">
        <f>"100315665"</f>
        <v>100315665</v>
      </c>
      <c r="B14868" t="str">
        <f>"1891136818"</f>
        <v>1891136818</v>
      </c>
      <c r="C14868" t="str">
        <f>"261QM1300X"</f>
        <v>261QM1300X</v>
      </c>
      <c r="D14868" t="str">
        <f>"CHILDRENS PSYCHIATRIC SOLUTIONS                   "</f>
        <v xml:space="preserve">CHILDRENS PSYCHIATRIC SOLUTIONS                   </v>
      </c>
      <c r="E14868" t="str">
        <f>"FLOWOOD                   "</f>
        <v xml:space="preserve">FLOWOOD                   </v>
      </c>
      <c r="F14868" t="str">
        <f t="shared" si="375"/>
        <v>MS</v>
      </c>
    </row>
    <row r="14869" spans="1:6" x14ac:dyDescent="0.25">
      <c r="A14869" t="str">
        <f>"100315694"</f>
        <v>100315694</v>
      </c>
      <c r="B14869" t="str">
        <f>"1306043278"</f>
        <v>1306043278</v>
      </c>
      <c r="C14869" t="str">
        <f>"207RX0202X"</f>
        <v>207RX0202X</v>
      </c>
      <c r="D14869" t="str">
        <f>"HERRINGTON               ELIZABETH    L           "</f>
        <v xml:space="preserve">HERRINGTON               ELIZABETH    L           </v>
      </c>
      <c r="E14869" t="str">
        <f>"VICKSBURG                 "</f>
        <v xml:space="preserve">VICKSBURG                 </v>
      </c>
      <c r="F14869" t="str">
        <f t="shared" si="375"/>
        <v>MS</v>
      </c>
    </row>
    <row r="14870" spans="1:6" x14ac:dyDescent="0.25">
      <c r="A14870" t="str">
        <f>"100315932"</f>
        <v>100315932</v>
      </c>
      <c r="B14870" t="str">
        <f>"1225256613"</f>
        <v>1225256613</v>
      </c>
      <c r="C14870" t="str">
        <f>"207K00000X"</f>
        <v>207K00000X</v>
      </c>
      <c r="D14870" t="str">
        <f>"OGILVIE                  CHRISHANA                "</f>
        <v xml:space="preserve">OGILVIE                  CHRISHANA                </v>
      </c>
      <c r="E14870" t="str">
        <f>"SOUTHAVEN                 "</f>
        <v xml:space="preserve">SOUTHAVEN                 </v>
      </c>
      <c r="F14870" t="str">
        <f t="shared" si="375"/>
        <v>MS</v>
      </c>
    </row>
    <row r="14871" spans="1:6" x14ac:dyDescent="0.25">
      <c r="A14871" t="str">
        <f>"200000004"</f>
        <v>200000004</v>
      </c>
      <c r="B14871" t="str">
        <f>"1710522198"</f>
        <v>1710522198</v>
      </c>
      <c r="C14871" t="str">
        <f>"363L00000X"</f>
        <v>363L00000X</v>
      </c>
      <c r="D14871" t="str">
        <f>"KELLEWAY                 LAURA                    "</f>
        <v xml:space="preserve">KELLEWAY                 LAURA                    </v>
      </c>
      <c r="E14871" t="str">
        <f>"OXFORD                    "</f>
        <v xml:space="preserve">OXFORD                    </v>
      </c>
      <c r="F14871" t="str">
        <f t="shared" si="375"/>
        <v>MS</v>
      </c>
    </row>
    <row r="14872" spans="1:6" x14ac:dyDescent="0.25">
      <c r="A14872" t="str">
        <f>"200000006"</f>
        <v>200000006</v>
      </c>
      <c r="B14872" t="str">
        <f>"1215933924"</f>
        <v>1215933924</v>
      </c>
      <c r="C14872" t="str">
        <f>"207RS0012X"</f>
        <v>207RS0012X</v>
      </c>
      <c r="D14872" t="str">
        <f>"WHITEHEAD                KARY                     "</f>
        <v xml:space="preserve">WHITEHEAD                KARY                     </v>
      </c>
      <c r="E14872" t="str">
        <f>"OXFORD                    "</f>
        <v xml:space="preserve">OXFORD                    </v>
      </c>
      <c r="F14872" t="str">
        <f t="shared" si="375"/>
        <v>MS</v>
      </c>
    </row>
    <row r="14873" spans="1:6" x14ac:dyDescent="0.25">
      <c r="A14873" t="str">
        <f>"200000007"</f>
        <v>200000007</v>
      </c>
      <c r="B14873" t="str">
        <f>"1992434054"</f>
        <v>1992434054</v>
      </c>
      <c r="C14873" t="str">
        <f>"363A00000X"</f>
        <v>363A00000X</v>
      </c>
      <c r="D14873" t="str">
        <f>"GRISHAM                  KARLEE                   "</f>
        <v xml:space="preserve">GRISHAM                  KARLEE                   </v>
      </c>
      <c r="E14873" t="str">
        <f>"COLUMBUS                  "</f>
        <v xml:space="preserve">COLUMBUS                  </v>
      </c>
      <c r="F14873" t="str">
        <f t="shared" si="375"/>
        <v>MS</v>
      </c>
    </row>
    <row r="14874" spans="1:6" x14ac:dyDescent="0.25">
      <c r="A14874" t="str">
        <f>"200000018"</f>
        <v>200000018</v>
      </c>
      <c r="B14874" t="str">
        <f>"1922722883"</f>
        <v>1922722883</v>
      </c>
      <c r="C14874" t="str">
        <f>"363L00000X"</f>
        <v>363L00000X</v>
      </c>
      <c r="D14874" t="str">
        <f>"JOHNSTON                 KRISTIN                  "</f>
        <v xml:space="preserve">JOHNSTON                 KRISTIN                  </v>
      </c>
      <c r="E14874" t="str">
        <f>"TUPELO                    "</f>
        <v xml:space="preserve">TUPELO                    </v>
      </c>
      <c r="F14874" t="str">
        <f t="shared" si="375"/>
        <v>MS</v>
      </c>
    </row>
    <row r="14875" spans="1:6" x14ac:dyDescent="0.25">
      <c r="A14875" t="str">
        <f>"200000028"</f>
        <v>200000028</v>
      </c>
      <c r="B14875" t="str">
        <f>"1245859081"</f>
        <v>1245859081</v>
      </c>
      <c r="C14875" t="str">
        <f>"207P00000X"</f>
        <v>207P00000X</v>
      </c>
      <c r="D14875" t="str">
        <f>"WEBB                     TAYLOR                   "</f>
        <v xml:space="preserve">WEBB                     TAYLOR                   </v>
      </c>
      <c r="E14875" t="str">
        <f>"CARTHAGE                  "</f>
        <v xml:space="preserve">CARTHAGE                  </v>
      </c>
      <c r="F14875" t="str">
        <f t="shared" si="375"/>
        <v>MS</v>
      </c>
    </row>
    <row r="14876" spans="1:6" x14ac:dyDescent="0.25">
      <c r="A14876" t="str">
        <f>"200000035"</f>
        <v>200000035</v>
      </c>
      <c r="B14876" t="str">
        <f>"1730709627"</f>
        <v>1730709627</v>
      </c>
      <c r="C14876" t="str">
        <f>"207P00000X"</f>
        <v>207P00000X</v>
      </c>
      <c r="D14876" t="str">
        <f>"WILSON                   LOGAN                    "</f>
        <v xml:space="preserve">WILSON                   LOGAN                    </v>
      </c>
      <c r="E14876" t="str">
        <f>"COLUMBUS                  "</f>
        <v xml:space="preserve">COLUMBUS                  </v>
      </c>
      <c r="F14876" t="str">
        <f t="shared" si="375"/>
        <v>MS</v>
      </c>
    </row>
    <row r="14877" spans="1:6" x14ac:dyDescent="0.25">
      <c r="A14877" t="str">
        <f>"200000044"</f>
        <v>200000044</v>
      </c>
      <c r="B14877" t="str">
        <f>"1265160790"</f>
        <v>1265160790</v>
      </c>
      <c r="C14877" t="str">
        <f>"363L00000X"</f>
        <v>363L00000X</v>
      </c>
      <c r="D14877" t="str">
        <f>"MUSGROVE                 KENDRA                   "</f>
        <v xml:space="preserve">MUSGROVE                 KENDRA                   </v>
      </c>
      <c r="E14877" t="str">
        <f>"JACKSON                   "</f>
        <v xml:space="preserve">JACKSON                   </v>
      </c>
      <c r="F14877" t="str">
        <f t="shared" si="375"/>
        <v>MS</v>
      </c>
    </row>
    <row r="14878" spans="1:6" x14ac:dyDescent="0.25">
      <c r="A14878" t="str">
        <f>"200000049"</f>
        <v>200000049</v>
      </c>
      <c r="B14878" t="str">
        <f>"1073719803"</f>
        <v>1073719803</v>
      </c>
      <c r="C14878" t="str">
        <f>"2085R0202X"</f>
        <v>2085R0202X</v>
      </c>
      <c r="D14878" t="str">
        <f>"GREEN                    EDWARD                   "</f>
        <v xml:space="preserve">GREEN                    EDWARD                   </v>
      </c>
      <c r="E14878" t="str">
        <f>"JACKSON                   "</f>
        <v xml:space="preserve">JACKSON                   </v>
      </c>
      <c r="F14878" t="str">
        <f t="shared" si="375"/>
        <v>MS</v>
      </c>
    </row>
    <row r="14879" spans="1:6" x14ac:dyDescent="0.25">
      <c r="A14879" t="str">
        <f>"200000056"</f>
        <v>200000056</v>
      </c>
      <c r="B14879" t="str">
        <f>"1083207005"</f>
        <v>1083207005</v>
      </c>
      <c r="C14879" t="str">
        <f>"363L00000X"</f>
        <v>363L00000X</v>
      </c>
      <c r="D14879" t="str">
        <f>"BRIANNA                  MCCUE                    "</f>
        <v xml:space="preserve">BRIANNA                  MCCUE                    </v>
      </c>
      <c r="E14879" t="str">
        <f>"MAGEE                     "</f>
        <v xml:space="preserve">MAGEE                     </v>
      </c>
      <c r="F14879" t="str">
        <f t="shared" si="375"/>
        <v>MS</v>
      </c>
    </row>
    <row r="14880" spans="1:6" x14ac:dyDescent="0.25">
      <c r="A14880" t="str">
        <f>"200000057"</f>
        <v>200000057</v>
      </c>
      <c r="B14880" t="str">
        <f>"1679101299"</f>
        <v>1679101299</v>
      </c>
      <c r="C14880" t="str">
        <f>"207P00000X"</f>
        <v>207P00000X</v>
      </c>
      <c r="D14880" t="str">
        <f>"SARAN                    ZARIAD                   "</f>
        <v xml:space="preserve">SARAN                    ZARIAD                   </v>
      </c>
      <c r="E14880" t="str">
        <f>"CARTHAGE                  "</f>
        <v xml:space="preserve">CARTHAGE                  </v>
      </c>
      <c r="F14880" t="str">
        <f t="shared" si="375"/>
        <v>MS</v>
      </c>
    </row>
    <row r="14881" spans="1:6" x14ac:dyDescent="0.25">
      <c r="A14881" t="str">
        <f>"200000059"</f>
        <v>200000059</v>
      </c>
      <c r="B14881" t="str">
        <f>"1558660217"</f>
        <v>1558660217</v>
      </c>
      <c r="C14881" t="str">
        <f>"207RN0300X"</f>
        <v>207RN0300X</v>
      </c>
      <c r="D14881" t="str">
        <f>"SINGHANIA                GIRISH                   "</f>
        <v xml:space="preserve">SINGHANIA                GIRISH                   </v>
      </c>
      <c r="E14881" t="str">
        <f>"CANTON                    "</f>
        <v xml:space="preserve">CANTON                    </v>
      </c>
      <c r="F14881" t="str">
        <f t="shared" si="375"/>
        <v>MS</v>
      </c>
    </row>
    <row r="14882" spans="1:6" x14ac:dyDescent="0.25">
      <c r="A14882" t="str">
        <f>"200000066"</f>
        <v>200000066</v>
      </c>
      <c r="B14882" t="str">
        <f>"1922118173"</f>
        <v>1922118173</v>
      </c>
      <c r="C14882" t="str">
        <f>"207RC0000X"</f>
        <v>207RC0000X</v>
      </c>
      <c r="D14882" t="str">
        <f>"SIERRA                   FRANCISCO                "</f>
        <v xml:space="preserve">SIERRA                   FRANCISCO                </v>
      </c>
      <c r="E14882" t="str">
        <f>"OLIVE BRANCH              "</f>
        <v xml:space="preserve">OLIVE BRANCH              </v>
      </c>
      <c r="F14882" t="str">
        <f t="shared" si="375"/>
        <v>MS</v>
      </c>
    </row>
    <row r="14883" spans="1:6" x14ac:dyDescent="0.25">
      <c r="A14883" t="str">
        <f>"200000074"</f>
        <v>200000074</v>
      </c>
      <c r="B14883" t="str">
        <f>"1568502714"</f>
        <v>1568502714</v>
      </c>
      <c r="C14883" t="str">
        <f>"207P00000X"</f>
        <v>207P00000X</v>
      </c>
      <c r="D14883" t="str">
        <f>"HARPER                   WILLIAM                  "</f>
        <v xml:space="preserve">HARPER                   WILLIAM                  </v>
      </c>
      <c r="E14883" t="str">
        <f>"KOSCIUSKO                 "</f>
        <v xml:space="preserve">KOSCIUSKO                 </v>
      </c>
      <c r="F14883" t="str">
        <f t="shared" si="375"/>
        <v>MS</v>
      </c>
    </row>
    <row r="14884" spans="1:6" x14ac:dyDescent="0.25">
      <c r="A14884" t="str">
        <f>"200000077"</f>
        <v>200000077</v>
      </c>
      <c r="B14884" t="str">
        <f>"1740668334"</f>
        <v>1740668334</v>
      </c>
      <c r="C14884" t="str">
        <f>"2084N0400X"</f>
        <v>2084N0400X</v>
      </c>
      <c r="D14884" t="str">
        <f>"YAKHKIND                 ALEKSANDRA               "</f>
        <v xml:space="preserve">YAKHKIND                 ALEKSANDRA               </v>
      </c>
      <c r="E14884" t="str">
        <f>"BRANDON                   "</f>
        <v xml:space="preserve">BRANDON                   </v>
      </c>
      <c r="F14884" t="str">
        <f t="shared" si="375"/>
        <v>MS</v>
      </c>
    </row>
    <row r="14885" spans="1:6" x14ac:dyDescent="0.25">
      <c r="A14885" t="str">
        <f>"200000080"</f>
        <v>200000080</v>
      </c>
      <c r="B14885" t="str">
        <f>"1952037731"</f>
        <v>1952037731</v>
      </c>
      <c r="C14885" t="str">
        <f>"363L00000X"</f>
        <v>363L00000X</v>
      </c>
      <c r="D14885" t="str">
        <f>"INGRAM                   CORRETHA                 "</f>
        <v xml:space="preserve">INGRAM                   CORRETHA                 </v>
      </c>
      <c r="E14885" t="str">
        <f>"JACKSON                   "</f>
        <v xml:space="preserve">JACKSON                   </v>
      </c>
      <c r="F14885" t="str">
        <f t="shared" si="375"/>
        <v>MS</v>
      </c>
    </row>
    <row r="14886" spans="1:6" x14ac:dyDescent="0.25">
      <c r="A14886" t="str">
        <f>"200000084"</f>
        <v>200000084</v>
      </c>
      <c r="B14886" t="str">
        <f>"1013637529"</f>
        <v>1013637529</v>
      </c>
      <c r="C14886" t="str">
        <f>"363L00000X"</f>
        <v>363L00000X</v>
      </c>
      <c r="D14886" t="str">
        <f>"JONES                    BONNIE                   "</f>
        <v xml:space="preserve">JONES                    BONNIE                   </v>
      </c>
      <c r="E14886" t="str">
        <f>"MANTACHIE                 "</f>
        <v xml:space="preserve">MANTACHIE                 </v>
      </c>
      <c r="F14886" t="str">
        <f t="shared" si="375"/>
        <v>MS</v>
      </c>
    </row>
    <row r="14887" spans="1:6" x14ac:dyDescent="0.25">
      <c r="A14887" t="str">
        <f>"200000085"</f>
        <v>200000085</v>
      </c>
      <c r="B14887" t="str">
        <f>"1184342164"</f>
        <v>1184342164</v>
      </c>
      <c r="C14887" t="str">
        <f>"363L00000X"</f>
        <v>363L00000X</v>
      </c>
      <c r="D14887" t="str">
        <f>"BLAKENEY                 KRISTEN                  "</f>
        <v xml:space="preserve">BLAKENEY                 KRISTEN                  </v>
      </c>
      <c r="E14887" t="str">
        <f>"JACKSON                   "</f>
        <v xml:space="preserve">JACKSON                   </v>
      </c>
      <c r="F14887" t="str">
        <f t="shared" si="375"/>
        <v>MS</v>
      </c>
    </row>
    <row r="14888" spans="1:6" x14ac:dyDescent="0.25">
      <c r="A14888" t="str">
        <f>"200000089"</f>
        <v>200000089</v>
      </c>
      <c r="B14888" t="str">
        <f>"1205560059"</f>
        <v>1205560059</v>
      </c>
      <c r="C14888" t="str">
        <f>"363L00000X"</f>
        <v>363L00000X</v>
      </c>
      <c r="D14888" t="str">
        <f>"JONES                    ANGELA       N           "</f>
        <v xml:space="preserve">JONES                    ANGELA       N           </v>
      </c>
      <c r="E14888" t="str">
        <f>"PASCAGOULA                "</f>
        <v xml:space="preserve">PASCAGOULA                </v>
      </c>
      <c r="F14888" t="str">
        <f t="shared" si="375"/>
        <v>MS</v>
      </c>
    </row>
    <row r="14889" spans="1:6" x14ac:dyDescent="0.25">
      <c r="A14889" t="str">
        <f>"200000100"</f>
        <v>200000100</v>
      </c>
      <c r="B14889" t="str">
        <f>"1164155297"</f>
        <v>1164155297</v>
      </c>
      <c r="C14889" t="str">
        <f>"363L00000X"</f>
        <v>363L00000X</v>
      </c>
      <c r="D14889" t="str">
        <f>"SULLIVAN                 CARRINGTON               "</f>
        <v xml:space="preserve">SULLIVAN                 CARRINGTON               </v>
      </c>
      <c r="E14889" t="str">
        <f>"JACKSON                   "</f>
        <v xml:space="preserve">JACKSON                   </v>
      </c>
      <c r="F14889" t="str">
        <f t="shared" si="375"/>
        <v>MS</v>
      </c>
    </row>
    <row r="14890" spans="1:6" x14ac:dyDescent="0.25">
      <c r="A14890" t="str">
        <f>"200000105"</f>
        <v>200000105</v>
      </c>
      <c r="B14890" t="str">
        <f>"1780831164"</f>
        <v>1780831164</v>
      </c>
      <c r="C14890" t="str">
        <f>"207RN0300X"</f>
        <v>207RN0300X</v>
      </c>
      <c r="D14890" t="str">
        <f>"RIAZ                     HASAN                    "</f>
        <v xml:space="preserve">RIAZ                     HASAN                    </v>
      </c>
      <c r="E14890" t="str">
        <f>"CANTON                    "</f>
        <v xml:space="preserve">CANTON                    </v>
      </c>
      <c r="F14890" t="str">
        <f t="shared" si="375"/>
        <v>MS</v>
      </c>
    </row>
    <row r="14891" spans="1:6" x14ac:dyDescent="0.25">
      <c r="A14891" t="str">
        <f>"200000107"</f>
        <v>200000107</v>
      </c>
      <c r="B14891" t="str">
        <f>"1841319308"</f>
        <v>1841319308</v>
      </c>
      <c r="C14891" t="str">
        <f>"1223X0400X"</f>
        <v>1223X0400X</v>
      </c>
      <c r="D14891" t="str">
        <f>"WILLIAMS                 RICHARD      A           "</f>
        <v xml:space="preserve">WILLIAMS                 RICHARD      A           </v>
      </c>
      <c r="E14891" t="str">
        <f>"BRANDON                   "</f>
        <v xml:space="preserve">BRANDON                   </v>
      </c>
      <c r="F14891" t="str">
        <f t="shared" si="375"/>
        <v>MS</v>
      </c>
    </row>
    <row r="14892" spans="1:6" x14ac:dyDescent="0.25">
      <c r="A14892" t="str">
        <f>"200000109"</f>
        <v>200000109</v>
      </c>
      <c r="B14892" t="str">
        <f>"1013131747"</f>
        <v>1013131747</v>
      </c>
      <c r="C14892" t="str">
        <f>"207X00000X"</f>
        <v>207X00000X</v>
      </c>
      <c r="D14892" t="str">
        <f>"BROWN                    DAVID        G           "</f>
        <v xml:space="preserve">BROWN                    DAVID        G           </v>
      </c>
      <c r="E14892" t="str">
        <f>"SOUTHAVEN                 "</f>
        <v xml:space="preserve">SOUTHAVEN                 </v>
      </c>
      <c r="F14892" t="str">
        <f t="shared" si="375"/>
        <v>MS</v>
      </c>
    </row>
    <row r="14893" spans="1:6" x14ac:dyDescent="0.25">
      <c r="A14893" t="str">
        <f>"200000112"</f>
        <v>200000112</v>
      </c>
      <c r="B14893" t="str">
        <f>"1053314096"</f>
        <v>1053314096</v>
      </c>
      <c r="C14893" t="str">
        <f>"207X00000X"</f>
        <v>207X00000X</v>
      </c>
      <c r="D14893" t="str">
        <f>"MURRELL                  SAMUEL       E           "</f>
        <v xml:space="preserve">MURRELL                  SAMUEL       E           </v>
      </c>
      <c r="E14893" t="str">
        <f>"HERNANDO                  "</f>
        <v xml:space="preserve">HERNANDO                  </v>
      </c>
      <c r="F14893" t="str">
        <f t="shared" si="375"/>
        <v>MS</v>
      </c>
    </row>
    <row r="14894" spans="1:6" x14ac:dyDescent="0.25">
      <c r="A14894" t="str">
        <f>"200000117"</f>
        <v>200000117</v>
      </c>
      <c r="B14894" t="str">
        <f>"1871931568"</f>
        <v>1871931568</v>
      </c>
      <c r="C14894" t="str">
        <f>"207R00000X"</f>
        <v>207R00000X</v>
      </c>
      <c r="D14894" t="str">
        <f>"HANNAH                   WILSON                   "</f>
        <v xml:space="preserve">HANNAH                   WILSON                   </v>
      </c>
      <c r="E14894" t="str">
        <f>"MERIDIAN                  "</f>
        <v xml:space="preserve">MERIDIAN                  </v>
      </c>
      <c r="F14894" t="str">
        <f t="shared" si="375"/>
        <v>MS</v>
      </c>
    </row>
    <row r="14895" spans="1:6" x14ac:dyDescent="0.25">
      <c r="A14895" t="str">
        <f>"200000126"</f>
        <v>200000126</v>
      </c>
      <c r="B14895" t="str">
        <f>"1811359904"</f>
        <v>1811359904</v>
      </c>
      <c r="C14895" t="str">
        <f>"2085R0202X"</f>
        <v>2085R0202X</v>
      </c>
      <c r="D14895" t="str">
        <f>"NORTH                    DURHAM                   "</f>
        <v xml:space="preserve">NORTH                    DURHAM                   </v>
      </c>
      <c r="E14895" t="str">
        <f>"JACKSON                   "</f>
        <v xml:space="preserve">JACKSON                   </v>
      </c>
      <c r="F14895" t="str">
        <f t="shared" si="375"/>
        <v>MS</v>
      </c>
    </row>
    <row r="14896" spans="1:6" x14ac:dyDescent="0.25">
      <c r="A14896" t="str">
        <f>"200000135"</f>
        <v>200000135</v>
      </c>
      <c r="B14896" t="str">
        <f>"1073118501"</f>
        <v>1073118501</v>
      </c>
      <c r="C14896" t="str">
        <f>"261QM1300X"</f>
        <v>261QM1300X</v>
      </c>
      <c r="D14896" t="str">
        <f>"SHARKEY ISSAQUENA MEDICAL CLINIC                  "</f>
        <v xml:space="preserve">SHARKEY ISSAQUENA MEDICAL CLINIC                  </v>
      </c>
      <c r="E14896" t="str">
        <f>"ROLLING FORK              "</f>
        <v xml:space="preserve">ROLLING FORK              </v>
      </c>
      <c r="F14896" t="str">
        <f t="shared" si="375"/>
        <v>MS</v>
      </c>
    </row>
    <row r="14897" spans="1:6" x14ac:dyDescent="0.25">
      <c r="A14897" t="str">
        <f>"200000140"</f>
        <v>200000140</v>
      </c>
      <c r="B14897" t="str">
        <f>"1780626762"</f>
        <v>1780626762</v>
      </c>
      <c r="C14897" t="str">
        <f>"207V00000X"</f>
        <v>207V00000X</v>
      </c>
      <c r="D14897" t="str">
        <f>"WALKER                   ARMIE                    "</f>
        <v xml:space="preserve">WALKER                   ARMIE                    </v>
      </c>
      <c r="E14897" t="str">
        <f>"SOUTHAVEN                 "</f>
        <v xml:space="preserve">SOUTHAVEN                 </v>
      </c>
      <c r="F14897" t="str">
        <f t="shared" si="375"/>
        <v>MS</v>
      </c>
    </row>
    <row r="14898" spans="1:6" x14ac:dyDescent="0.25">
      <c r="A14898" t="str">
        <f>"200000144"</f>
        <v>200000144</v>
      </c>
      <c r="B14898" t="str">
        <f>"1023538402"</f>
        <v>1023538402</v>
      </c>
      <c r="C14898" t="str">
        <f>"207P00000X"</f>
        <v>207P00000X</v>
      </c>
      <c r="D14898" t="str">
        <f>"OLAVESON                 HANS                     "</f>
        <v xml:space="preserve">OLAVESON                 HANS                     </v>
      </c>
      <c r="E14898" t="str">
        <f>"GULFPORT                  "</f>
        <v xml:space="preserve">GULFPORT                  </v>
      </c>
      <c r="F14898" t="str">
        <f t="shared" si="375"/>
        <v>MS</v>
      </c>
    </row>
    <row r="14899" spans="1:6" x14ac:dyDescent="0.25">
      <c r="A14899" t="str">
        <f>"200000150"</f>
        <v>200000150</v>
      </c>
      <c r="B14899" t="str">
        <f>"1265472203"</f>
        <v>1265472203</v>
      </c>
      <c r="C14899" t="str">
        <f>"207P00000X"</f>
        <v>207P00000X</v>
      </c>
      <c r="D14899" t="str">
        <f>"CREASY                   STEVEN                   "</f>
        <v xml:space="preserve">CREASY                   STEVEN                   </v>
      </c>
      <c r="E14899" t="str">
        <f>"BOONEVILLE                "</f>
        <v xml:space="preserve">BOONEVILLE                </v>
      </c>
      <c r="F14899" t="str">
        <f t="shared" si="375"/>
        <v>MS</v>
      </c>
    </row>
    <row r="14900" spans="1:6" x14ac:dyDescent="0.25">
      <c r="A14900" t="str">
        <f>"200000151"</f>
        <v>200000151</v>
      </c>
      <c r="B14900" t="str">
        <f>"1326659772"</f>
        <v>1326659772</v>
      </c>
      <c r="C14900" t="str">
        <f>"363L00000X"</f>
        <v>363L00000X</v>
      </c>
      <c r="D14900" t="str">
        <f>"DRENNAN                  JO           A           "</f>
        <v xml:space="preserve">DRENNAN                  JO           A           </v>
      </c>
      <c r="E14900" t="str">
        <f>"GAUTIER                   "</f>
        <v xml:space="preserve">GAUTIER                   </v>
      </c>
      <c r="F14900" t="str">
        <f t="shared" si="375"/>
        <v>MS</v>
      </c>
    </row>
    <row r="14901" spans="1:6" x14ac:dyDescent="0.25">
      <c r="A14901" t="str">
        <f>"200000157"</f>
        <v>200000157</v>
      </c>
      <c r="B14901" t="str">
        <f>"1932284833"</f>
        <v>1932284833</v>
      </c>
      <c r="C14901" t="str">
        <f>"2085R0202X"</f>
        <v>2085R0202X</v>
      </c>
      <c r="D14901" t="str">
        <f>"OWENS                    DAVID                    "</f>
        <v xml:space="preserve">OWENS                    DAVID                    </v>
      </c>
      <c r="E14901" t="str">
        <f>"OXFORD                    "</f>
        <v xml:space="preserve">OXFORD                    </v>
      </c>
      <c r="F14901" t="str">
        <f t="shared" si="375"/>
        <v>MS</v>
      </c>
    </row>
    <row r="14902" spans="1:6" x14ac:dyDescent="0.25">
      <c r="A14902" t="str">
        <f>"200000175"</f>
        <v>200000175</v>
      </c>
      <c r="B14902" t="str">
        <f>"1962707745"</f>
        <v>1962707745</v>
      </c>
      <c r="C14902" t="str">
        <f>"207ZP0101X"</f>
        <v>207ZP0101X</v>
      </c>
      <c r="D14902" t="str">
        <f>"SULLIVAN                 LACEY                    "</f>
        <v xml:space="preserve">SULLIVAN                 LACEY                    </v>
      </c>
      <c r="E14902" t="str">
        <f>"OCEAN SPRINGS             "</f>
        <v xml:space="preserve">OCEAN SPRINGS             </v>
      </c>
      <c r="F14902" t="str">
        <f t="shared" si="375"/>
        <v>MS</v>
      </c>
    </row>
    <row r="14903" spans="1:6" x14ac:dyDescent="0.25">
      <c r="A14903" t="str">
        <f>"200000176"</f>
        <v>200000176</v>
      </c>
      <c r="B14903" t="str">
        <f>"1326763558"</f>
        <v>1326763558</v>
      </c>
      <c r="C14903" t="str">
        <f>"122300000X"</f>
        <v>122300000X</v>
      </c>
      <c r="D14903" t="str">
        <f>"ANNA JENNINGS NIX, DMD, PLLC                      "</f>
        <v xml:space="preserve">ANNA JENNINGS NIX, DMD, PLLC                      </v>
      </c>
      <c r="E14903" t="str">
        <f>"CLINTON                   "</f>
        <v xml:space="preserve">CLINTON                   </v>
      </c>
      <c r="F14903" t="str">
        <f t="shared" si="375"/>
        <v>MS</v>
      </c>
    </row>
    <row r="14904" spans="1:6" x14ac:dyDescent="0.25">
      <c r="A14904" t="str">
        <f>"200000179"</f>
        <v>200000179</v>
      </c>
      <c r="B14904" t="str">
        <f>"1629791660"</f>
        <v>1629791660</v>
      </c>
      <c r="C14904" t="str">
        <f>"363L00000X"</f>
        <v>363L00000X</v>
      </c>
      <c r="D14904" t="str">
        <f>"WHEATON                  MELISSA                  "</f>
        <v xml:space="preserve">WHEATON                  MELISSA                  </v>
      </c>
      <c r="E14904" t="str">
        <f>"LAUREL                    "</f>
        <v xml:space="preserve">LAUREL                    </v>
      </c>
      <c r="F14904" t="str">
        <f t="shared" si="375"/>
        <v>MS</v>
      </c>
    </row>
    <row r="14905" spans="1:6" x14ac:dyDescent="0.25">
      <c r="A14905" t="str">
        <f>"200000182"</f>
        <v>200000182</v>
      </c>
      <c r="B14905" t="str">
        <f>"1851013353"</f>
        <v>1851013353</v>
      </c>
      <c r="C14905" t="str">
        <f>"261QM1300X"</f>
        <v>261QM1300X</v>
      </c>
      <c r="D14905" t="str">
        <f>"SHARKEY ISSAQUENA COMPLETE CARE CLINIC            "</f>
        <v xml:space="preserve">SHARKEY ISSAQUENA COMPLETE CARE CLINIC            </v>
      </c>
      <c r="E14905" t="str">
        <f>"ROLLING FORK              "</f>
        <v xml:space="preserve">ROLLING FORK              </v>
      </c>
      <c r="F14905" t="str">
        <f t="shared" si="375"/>
        <v>MS</v>
      </c>
    </row>
    <row r="14906" spans="1:6" x14ac:dyDescent="0.25">
      <c r="A14906" t="str">
        <f>"200000194"</f>
        <v>200000194</v>
      </c>
      <c r="B14906" t="str">
        <f>"1710602776"</f>
        <v>1710602776</v>
      </c>
      <c r="C14906" t="str">
        <f>"363L00000X"</f>
        <v>363L00000X</v>
      </c>
      <c r="D14906" t="str">
        <f>"LOVELL                   DONNIE                   "</f>
        <v xml:space="preserve">LOVELL                   DONNIE                   </v>
      </c>
      <c r="E14906" t="str">
        <f>"TUPELO                    "</f>
        <v xml:space="preserve">TUPELO                    </v>
      </c>
      <c r="F14906" t="str">
        <f t="shared" si="375"/>
        <v>MS</v>
      </c>
    </row>
    <row r="14907" spans="1:6" x14ac:dyDescent="0.25">
      <c r="A14907" t="str">
        <f>"200000197"</f>
        <v>200000197</v>
      </c>
      <c r="B14907" t="str">
        <f>"1972002137"</f>
        <v>1972002137</v>
      </c>
      <c r="C14907" t="str">
        <f>"152W00000X"</f>
        <v>152W00000X</v>
      </c>
      <c r="D14907" t="str">
        <f>"MITCHELL EYE CARE                                 "</f>
        <v xml:space="preserve">MITCHELL EYE CARE                                 </v>
      </c>
      <c r="E14907" t="str">
        <f>"STARKVILLE                "</f>
        <v xml:space="preserve">STARKVILLE                </v>
      </c>
      <c r="F14907" t="str">
        <f t="shared" si="375"/>
        <v>MS</v>
      </c>
    </row>
    <row r="14908" spans="1:6" x14ac:dyDescent="0.25">
      <c r="A14908" t="str">
        <f>"200000198"</f>
        <v>200000198</v>
      </c>
      <c r="B14908" t="str">
        <f>"1952901076"</f>
        <v>1952901076</v>
      </c>
      <c r="C14908" t="str">
        <f>"363L00000X"</f>
        <v>363L00000X</v>
      </c>
      <c r="D14908" t="str">
        <f>"HOLLOWAY                 ANGELA                   "</f>
        <v xml:space="preserve">HOLLOWAY                 ANGELA                   </v>
      </c>
      <c r="E14908" t="str">
        <f>"TUPELO                    "</f>
        <v xml:space="preserve">TUPELO                    </v>
      </c>
      <c r="F14908" t="str">
        <f t="shared" si="375"/>
        <v>MS</v>
      </c>
    </row>
    <row r="14909" spans="1:6" x14ac:dyDescent="0.25">
      <c r="A14909" t="str">
        <f>"200000202"</f>
        <v>200000202</v>
      </c>
      <c r="B14909" t="str">
        <f>"1649834508"</f>
        <v>1649834508</v>
      </c>
      <c r="C14909" t="str">
        <f>"207Q00000X"</f>
        <v>207Q00000X</v>
      </c>
      <c r="D14909" t="str">
        <f>"OZBUN                    BENJAMIN                 "</f>
        <v xml:space="preserve">OZBUN                    BENJAMIN                 </v>
      </c>
      <c r="E14909" t="str">
        <f>"ROLLING FORK              "</f>
        <v xml:space="preserve">ROLLING FORK              </v>
      </c>
      <c r="F14909" t="str">
        <f t="shared" si="375"/>
        <v>MS</v>
      </c>
    </row>
    <row r="14910" spans="1:6" x14ac:dyDescent="0.25">
      <c r="A14910" t="str">
        <f>"200000205"</f>
        <v>200000205</v>
      </c>
      <c r="B14910" t="str">
        <f>"1871157198"</f>
        <v>1871157198</v>
      </c>
      <c r="C14910" t="str">
        <f>"363L00000X"</f>
        <v>363L00000X</v>
      </c>
      <c r="D14910" t="str">
        <f>"WEATHERSPOON             LAKEYSHA                 "</f>
        <v xml:space="preserve">WEATHERSPOON             LAKEYSHA                 </v>
      </c>
      <c r="E14910" t="str">
        <f>"TUPELO                    "</f>
        <v xml:space="preserve">TUPELO                    </v>
      </c>
      <c r="F14910" t="str">
        <f t="shared" ref="F14910:F14973" si="379">"MS"</f>
        <v>MS</v>
      </c>
    </row>
    <row r="14911" spans="1:6" x14ac:dyDescent="0.25">
      <c r="A14911" t="str">
        <f>"200000206"</f>
        <v>200000206</v>
      </c>
      <c r="B14911" t="str">
        <f>"1780321232"</f>
        <v>1780321232</v>
      </c>
      <c r="C14911" t="str">
        <f>"363L00000X"</f>
        <v>363L00000X</v>
      </c>
      <c r="D14911" t="str">
        <f>"TURNER                   JESSICA      H           "</f>
        <v xml:space="preserve">TURNER                   JESSICA      H           </v>
      </c>
      <c r="E14911" t="str">
        <f>"LUCEDALE                  "</f>
        <v xml:space="preserve">LUCEDALE                  </v>
      </c>
      <c r="F14911" t="str">
        <f t="shared" si="379"/>
        <v>MS</v>
      </c>
    </row>
    <row r="14912" spans="1:6" x14ac:dyDescent="0.25">
      <c r="A14912" t="str">
        <f>"200000214"</f>
        <v>200000214</v>
      </c>
      <c r="B14912" t="str">
        <f>"1831630144"</f>
        <v>1831630144</v>
      </c>
      <c r="C14912" t="str">
        <f>"207P00000X"</f>
        <v>207P00000X</v>
      </c>
      <c r="D14912" t="str">
        <f>"HICKEY                   CHERYL                   "</f>
        <v xml:space="preserve">HICKEY                   CHERYL                   </v>
      </c>
      <c r="E14912" t="str">
        <f>"BAY SAINT LOUIS           "</f>
        <v xml:space="preserve">BAY SAINT LOUIS           </v>
      </c>
      <c r="F14912" t="str">
        <f t="shared" si="379"/>
        <v>MS</v>
      </c>
    </row>
    <row r="14913" spans="1:6" x14ac:dyDescent="0.25">
      <c r="A14913" t="str">
        <f>"200000216"</f>
        <v>200000216</v>
      </c>
      <c r="B14913" t="str">
        <f>"1326213919"</f>
        <v>1326213919</v>
      </c>
      <c r="C14913" t="str">
        <f>"2085R0202X"</f>
        <v>2085R0202X</v>
      </c>
      <c r="D14913" t="str">
        <f>"NATERA                   ALEJANDRO                "</f>
        <v xml:space="preserve">NATERA                   ALEJANDRO                </v>
      </c>
      <c r="E14913" t="str">
        <f>"OLIVE BRANCH              "</f>
        <v xml:space="preserve">OLIVE BRANCH              </v>
      </c>
      <c r="F14913" t="str">
        <f t="shared" si="379"/>
        <v>MS</v>
      </c>
    </row>
    <row r="14914" spans="1:6" x14ac:dyDescent="0.25">
      <c r="A14914" t="str">
        <f>"200000217"</f>
        <v>200000217</v>
      </c>
      <c r="B14914" t="str">
        <f>"1477921823"</f>
        <v>1477921823</v>
      </c>
      <c r="C14914" t="str">
        <f>"367500000X"</f>
        <v>367500000X</v>
      </c>
      <c r="D14914" t="str">
        <f>"SIEFERT                  LAURA                    "</f>
        <v xml:space="preserve">SIEFERT                  LAURA                    </v>
      </c>
      <c r="E14914" t="str">
        <f>"OXFORD                    "</f>
        <v xml:space="preserve">OXFORD                    </v>
      </c>
      <c r="F14914" t="str">
        <f t="shared" si="379"/>
        <v>MS</v>
      </c>
    </row>
    <row r="14915" spans="1:6" x14ac:dyDescent="0.25">
      <c r="A14915" t="str">
        <f>"200000225"</f>
        <v>200000225</v>
      </c>
      <c r="B14915" t="str">
        <f>"1598488660"</f>
        <v>1598488660</v>
      </c>
      <c r="C14915" t="str">
        <f>"363L00000X"</f>
        <v>363L00000X</v>
      </c>
      <c r="D14915" t="str">
        <f>"BUCKLEY                  JENNIFER                 "</f>
        <v xml:space="preserve">BUCKLEY                  JENNIFER                 </v>
      </c>
      <c r="E14915" t="str">
        <f>"GULFPORT                  "</f>
        <v xml:space="preserve">GULFPORT                  </v>
      </c>
      <c r="F14915" t="str">
        <f t="shared" si="379"/>
        <v>MS</v>
      </c>
    </row>
    <row r="14916" spans="1:6" x14ac:dyDescent="0.25">
      <c r="A14916" t="str">
        <f>"200000235"</f>
        <v>200000235</v>
      </c>
      <c r="B14916" t="str">
        <f>"1932559788"</f>
        <v>1932559788</v>
      </c>
      <c r="C14916" t="str">
        <f>"363L00000X"</f>
        <v>363L00000X</v>
      </c>
      <c r="D14916" t="str">
        <f>"MYERS                    DABRIELLE                "</f>
        <v xml:space="preserve">MYERS                    DABRIELLE                </v>
      </c>
      <c r="E14916" t="str">
        <f>"OLIVE BRANCH              "</f>
        <v xml:space="preserve">OLIVE BRANCH              </v>
      </c>
      <c r="F14916" t="str">
        <f t="shared" si="379"/>
        <v>MS</v>
      </c>
    </row>
    <row r="14917" spans="1:6" x14ac:dyDescent="0.25">
      <c r="A14917" t="str">
        <f>"200000238"</f>
        <v>200000238</v>
      </c>
      <c r="B14917" t="str">
        <f>"1215657937"</f>
        <v>1215657937</v>
      </c>
      <c r="C14917" t="str">
        <f>"261QM1300X"</f>
        <v>261QM1300X</v>
      </c>
      <c r="D14917" t="str">
        <f>"PREMIER CHOICE BEHAVIORAL HEALTH AND WELLNESS CLIN"</f>
        <v>PREMIER CHOICE BEHAVIORAL HEALTH AND WELLNESS CLIN</v>
      </c>
      <c r="E14917" t="str">
        <f>"JACKSON                   "</f>
        <v xml:space="preserve">JACKSON                   </v>
      </c>
      <c r="F14917" t="str">
        <f t="shared" si="379"/>
        <v>MS</v>
      </c>
    </row>
    <row r="14918" spans="1:6" x14ac:dyDescent="0.25">
      <c r="A14918" t="str">
        <f>"200000256"</f>
        <v>200000256</v>
      </c>
      <c r="B14918" t="str">
        <f>"1770234338"</f>
        <v>1770234338</v>
      </c>
      <c r="C14918" t="str">
        <f>"363A00000X"</f>
        <v>363A00000X</v>
      </c>
      <c r="D14918" t="str">
        <f>"CARTER                   EMILY                    "</f>
        <v xml:space="preserve">CARTER                   EMILY                    </v>
      </c>
      <c r="E14918" t="str">
        <f>"ROLLING FORK              "</f>
        <v xml:space="preserve">ROLLING FORK              </v>
      </c>
      <c r="F14918" t="str">
        <f t="shared" si="379"/>
        <v>MS</v>
      </c>
    </row>
    <row r="14919" spans="1:6" x14ac:dyDescent="0.25">
      <c r="A14919" t="str">
        <f>"200000261"</f>
        <v>200000261</v>
      </c>
      <c r="B14919" t="str">
        <f>"1912112061"</f>
        <v>1912112061</v>
      </c>
      <c r="C14919" t="str">
        <f>"122300000X"</f>
        <v>122300000X</v>
      </c>
      <c r="D14919" t="str">
        <f>"TOLBERT                  WILLIAM      E           "</f>
        <v xml:space="preserve">TOLBERT                  WILLIAM      E           </v>
      </c>
      <c r="E14919" t="str">
        <f>"NATCHEZ                   "</f>
        <v xml:space="preserve">NATCHEZ                   </v>
      </c>
      <c r="F14919" t="str">
        <f t="shared" si="379"/>
        <v>MS</v>
      </c>
    </row>
    <row r="14920" spans="1:6" x14ac:dyDescent="0.25">
      <c r="A14920" t="str">
        <f>"200000262"</f>
        <v>200000262</v>
      </c>
      <c r="B14920" t="str">
        <f>"1972234516"</f>
        <v>1972234516</v>
      </c>
      <c r="C14920" t="str">
        <f>"122300000X"</f>
        <v>122300000X</v>
      </c>
      <c r="D14920" t="str">
        <f>"DELTA PEDIATRIC DENTISTRY LLC                     "</f>
        <v xml:space="preserve">DELTA PEDIATRIC DENTISTRY LLC                     </v>
      </c>
      <c r="E14920" t="str">
        <f>"NATCHEZ                   "</f>
        <v xml:space="preserve">NATCHEZ                   </v>
      </c>
      <c r="F14920" t="str">
        <f t="shared" si="379"/>
        <v>MS</v>
      </c>
    </row>
    <row r="14921" spans="1:6" x14ac:dyDescent="0.25">
      <c r="A14921" t="str">
        <f>"200000272"</f>
        <v>200000272</v>
      </c>
      <c r="B14921" t="str">
        <f>"1285357293"</f>
        <v>1285357293</v>
      </c>
      <c r="C14921" t="str">
        <f>"363L00000X"</f>
        <v>363L00000X</v>
      </c>
      <c r="D14921" t="str">
        <f>"WALKER                   REAGAN                   "</f>
        <v xml:space="preserve">WALKER                   REAGAN                   </v>
      </c>
      <c r="E14921" t="str">
        <f>"CLEVELAND                 "</f>
        <v xml:space="preserve">CLEVELAND                 </v>
      </c>
      <c r="F14921" t="str">
        <f t="shared" si="379"/>
        <v>MS</v>
      </c>
    </row>
    <row r="14922" spans="1:6" x14ac:dyDescent="0.25">
      <c r="A14922" t="str">
        <f>"200000283"</f>
        <v>200000283</v>
      </c>
      <c r="B14922" t="str">
        <f>"1629712310"</f>
        <v>1629712310</v>
      </c>
      <c r="C14922" t="str">
        <f>"363L00000X"</f>
        <v>363L00000X</v>
      </c>
      <c r="D14922" t="str">
        <f>"PHILLIPS                 KACEY        B           "</f>
        <v xml:space="preserve">PHILLIPS                 KACEY        B           </v>
      </c>
      <c r="E14922" t="str">
        <f>"HATTIESBURG               "</f>
        <v xml:space="preserve">HATTIESBURG               </v>
      </c>
      <c r="F14922" t="str">
        <f t="shared" si="379"/>
        <v>MS</v>
      </c>
    </row>
    <row r="14923" spans="1:6" x14ac:dyDescent="0.25">
      <c r="A14923" t="str">
        <f>"200000291"</f>
        <v>200000291</v>
      </c>
      <c r="B14923" t="str">
        <f>"1316677446"</f>
        <v>1316677446</v>
      </c>
      <c r="C14923" t="str">
        <f>"363L00000X"</f>
        <v>363L00000X</v>
      </c>
      <c r="D14923" t="str">
        <f>"ROSAMOND                 HOLLY        K           "</f>
        <v xml:space="preserve">ROSAMOND                 HOLLY        K           </v>
      </c>
      <c r="E14923" t="str">
        <f>"JACKSON                   "</f>
        <v xml:space="preserve">JACKSON                   </v>
      </c>
      <c r="F14923" t="str">
        <f t="shared" si="379"/>
        <v>MS</v>
      </c>
    </row>
    <row r="14924" spans="1:6" x14ac:dyDescent="0.25">
      <c r="A14924" t="str">
        <f>"200000305"</f>
        <v>200000305</v>
      </c>
      <c r="B14924" t="str">
        <f>"1336436344"</f>
        <v>1336436344</v>
      </c>
      <c r="C14924" t="str">
        <f>"152W00000X"</f>
        <v>152W00000X</v>
      </c>
      <c r="D14924" t="str">
        <f>"ARMSTRONG                JESSICA                  "</f>
        <v xml:space="preserve">ARMSTRONG                JESSICA                  </v>
      </c>
      <c r="E14924" t="str">
        <f>"SOUTHAVEN                 "</f>
        <v xml:space="preserve">SOUTHAVEN                 </v>
      </c>
      <c r="F14924" t="str">
        <f t="shared" si="379"/>
        <v>MS</v>
      </c>
    </row>
    <row r="14925" spans="1:6" x14ac:dyDescent="0.25">
      <c r="A14925" t="str">
        <f>"200000307"</f>
        <v>200000307</v>
      </c>
      <c r="B14925" t="str">
        <f>"1376262360"</f>
        <v>1376262360</v>
      </c>
      <c r="C14925" t="str">
        <f>"122300000X"</f>
        <v>122300000X</v>
      </c>
      <c r="D14925" t="str">
        <f>"MISSISSIPPI DENTAL CENTER OF PELAHATCHIE LLC      "</f>
        <v xml:space="preserve">MISSISSIPPI DENTAL CENTER OF PELAHATCHIE LLC      </v>
      </c>
      <c r="E14925" t="str">
        <f>"PELAHATCHIE               "</f>
        <v xml:space="preserve">PELAHATCHIE               </v>
      </c>
      <c r="F14925" t="str">
        <f t="shared" si="379"/>
        <v>MS</v>
      </c>
    </row>
    <row r="14926" spans="1:6" x14ac:dyDescent="0.25">
      <c r="A14926" t="str">
        <f>"200000320"</f>
        <v>200000320</v>
      </c>
      <c r="B14926" t="str">
        <f>"1720475783"</f>
        <v>1720475783</v>
      </c>
      <c r="C14926" t="str">
        <f>"207RN0300X"</f>
        <v>207RN0300X</v>
      </c>
      <c r="D14926" t="str">
        <f>"ONYIRIMBA                JAMES                    "</f>
        <v xml:space="preserve">ONYIRIMBA                JAMES                    </v>
      </c>
      <c r="E14926" t="str">
        <f>"JACKSON                   "</f>
        <v xml:space="preserve">JACKSON                   </v>
      </c>
      <c r="F14926" t="str">
        <f t="shared" si="379"/>
        <v>MS</v>
      </c>
    </row>
    <row r="14927" spans="1:6" x14ac:dyDescent="0.25">
      <c r="A14927" t="str">
        <f>"200000324"</f>
        <v>200000324</v>
      </c>
      <c r="B14927" t="str">
        <f>"1336142520"</f>
        <v>1336142520</v>
      </c>
      <c r="C14927" t="str">
        <f>"2085R0202X"</f>
        <v>2085R0202X</v>
      </c>
      <c r="D14927" t="str">
        <f>"BOALS JR                 JAMES        W           "</f>
        <v xml:space="preserve">BOALS JR                 JAMES        W           </v>
      </c>
      <c r="E14927" t="str">
        <f>"OLIVE BRANCH              "</f>
        <v xml:space="preserve">OLIVE BRANCH              </v>
      </c>
      <c r="F14927" t="str">
        <f t="shared" si="379"/>
        <v>MS</v>
      </c>
    </row>
    <row r="14928" spans="1:6" x14ac:dyDescent="0.25">
      <c r="A14928" t="str">
        <f>"200000325"</f>
        <v>200000325</v>
      </c>
      <c r="B14928" t="str">
        <f>"1336142520"</f>
        <v>1336142520</v>
      </c>
      <c r="C14928" t="str">
        <f>"2085R0204X"</f>
        <v>2085R0204X</v>
      </c>
      <c r="D14928" t="str">
        <f>"BOALS JR                 JAMES        W           "</f>
        <v xml:space="preserve">BOALS JR                 JAMES        W           </v>
      </c>
      <c r="E14928" t="str">
        <f>"OLIVE BRANCH              "</f>
        <v xml:space="preserve">OLIVE BRANCH              </v>
      </c>
      <c r="F14928" t="str">
        <f t="shared" si="379"/>
        <v>MS</v>
      </c>
    </row>
    <row r="14929" spans="1:6" x14ac:dyDescent="0.25">
      <c r="A14929" t="str">
        <f>"200000329"</f>
        <v>200000329</v>
      </c>
      <c r="B14929" t="str">
        <f>"1497478812"</f>
        <v>1497478812</v>
      </c>
      <c r="C14929" t="str">
        <f>"363L00000X"</f>
        <v>363L00000X</v>
      </c>
      <c r="D14929" t="str">
        <f>"NEUHAUS                  SAMANTHA                 "</f>
        <v xml:space="preserve">NEUHAUS                  SAMANTHA                 </v>
      </c>
      <c r="E14929" t="str">
        <f>"TUPELO                    "</f>
        <v xml:space="preserve">TUPELO                    </v>
      </c>
      <c r="F14929" t="str">
        <f t="shared" si="379"/>
        <v>MS</v>
      </c>
    </row>
    <row r="14930" spans="1:6" x14ac:dyDescent="0.25">
      <c r="A14930" t="str">
        <f>"200000331"</f>
        <v>200000331</v>
      </c>
      <c r="B14930" t="str">
        <f>"1275709859"</f>
        <v>1275709859</v>
      </c>
      <c r="C14930" t="str">
        <f>"2084N0400X"</f>
        <v>2084N0400X</v>
      </c>
      <c r="D14930" t="str">
        <f>"PRADHAN                  TANIYA                   "</f>
        <v xml:space="preserve">PRADHAN                  TANIYA                   </v>
      </c>
      <c r="E14930" t="str">
        <f>"SOUTHAVEN                 "</f>
        <v xml:space="preserve">SOUTHAVEN                 </v>
      </c>
      <c r="F14930" t="str">
        <f t="shared" si="379"/>
        <v>MS</v>
      </c>
    </row>
    <row r="14931" spans="1:6" x14ac:dyDescent="0.25">
      <c r="A14931" t="str">
        <f>"200000333"</f>
        <v>200000333</v>
      </c>
      <c r="B14931" t="str">
        <f>"1740916568"</f>
        <v>1740916568</v>
      </c>
      <c r="C14931" t="str">
        <f>"122300000X"</f>
        <v>122300000X</v>
      </c>
      <c r="D14931" t="str">
        <f>"SMITH                    MARISSA                  "</f>
        <v xml:space="preserve">SMITH                    MARISSA                  </v>
      </c>
      <c r="E14931" t="str">
        <f>"WESSON                    "</f>
        <v xml:space="preserve">WESSON                    </v>
      </c>
      <c r="F14931" t="str">
        <f t="shared" si="379"/>
        <v>MS</v>
      </c>
    </row>
    <row r="14932" spans="1:6" x14ac:dyDescent="0.25">
      <c r="A14932" t="str">
        <f>"200000336"</f>
        <v>200000336</v>
      </c>
      <c r="B14932" t="str">
        <f>"1053667758"</f>
        <v>1053667758</v>
      </c>
      <c r="C14932" t="str">
        <f>"152W00000X"</f>
        <v>152W00000X</v>
      </c>
      <c r="D14932" t="str">
        <f>"FULLER                   JAY                      "</f>
        <v xml:space="preserve">FULLER                   JAY                      </v>
      </c>
      <c r="E14932" t="str">
        <f>"GULFPORT                  "</f>
        <v xml:space="preserve">GULFPORT                  </v>
      </c>
      <c r="F14932" t="str">
        <f t="shared" si="379"/>
        <v>MS</v>
      </c>
    </row>
    <row r="14933" spans="1:6" x14ac:dyDescent="0.25">
      <c r="A14933" t="str">
        <f>"200000344"</f>
        <v>200000344</v>
      </c>
      <c r="B14933" t="str">
        <f>"1033616412"</f>
        <v>1033616412</v>
      </c>
      <c r="C14933" t="str">
        <f>"207Q00000X"</f>
        <v>207Q00000X</v>
      </c>
      <c r="D14933" t="str">
        <f>"HALEY                    HUNTER                   "</f>
        <v xml:space="preserve">HALEY                    HUNTER                   </v>
      </c>
      <c r="E14933" t="str">
        <f>"OXFORD                    "</f>
        <v xml:space="preserve">OXFORD                    </v>
      </c>
      <c r="F14933" t="str">
        <f t="shared" si="379"/>
        <v>MS</v>
      </c>
    </row>
    <row r="14934" spans="1:6" x14ac:dyDescent="0.25">
      <c r="A14934" t="str">
        <f>"200000350"</f>
        <v>200000350</v>
      </c>
      <c r="B14934" t="str">
        <f>"1538509955"</f>
        <v>1538509955</v>
      </c>
      <c r="C14934" t="str">
        <f>"207RR0500X"</f>
        <v>207RR0500X</v>
      </c>
      <c r="D14934" t="str">
        <f>"LENNEP                   DAY          S           "</f>
        <v xml:space="preserve">LENNEP                   DAY          S           </v>
      </c>
      <c r="E14934" t="str">
        <f>"FLOWOOD                   "</f>
        <v xml:space="preserve">FLOWOOD                   </v>
      </c>
      <c r="F14934" t="str">
        <f t="shared" si="379"/>
        <v>MS</v>
      </c>
    </row>
    <row r="14935" spans="1:6" x14ac:dyDescent="0.25">
      <c r="A14935" t="str">
        <f>"200000352"</f>
        <v>200000352</v>
      </c>
      <c r="B14935" t="str">
        <f>"1588974828"</f>
        <v>1588974828</v>
      </c>
      <c r="C14935" t="str">
        <f>"207ZP0102X"</f>
        <v>207ZP0102X</v>
      </c>
      <c r="D14935" t="str">
        <f>"REDFIELD                 SAMANTHA                 "</f>
        <v xml:space="preserve">REDFIELD                 SAMANTHA                 </v>
      </c>
      <c r="E14935" t="str">
        <f>"JACKSON                   "</f>
        <v xml:space="preserve">JACKSON                   </v>
      </c>
      <c r="F14935" t="str">
        <f t="shared" si="379"/>
        <v>MS</v>
      </c>
    </row>
    <row r="14936" spans="1:6" x14ac:dyDescent="0.25">
      <c r="A14936" t="str">
        <f>"200000354"</f>
        <v>200000354</v>
      </c>
      <c r="B14936" t="str">
        <f>"1801505052"</f>
        <v>1801505052</v>
      </c>
      <c r="C14936" t="str">
        <f>"122300000X"</f>
        <v>122300000X</v>
      </c>
      <c r="D14936" t="str">
        <f>"LATI                     MAI                      "</f>
        <v xml:space="preserve">LATI                     MAI                      </v>
      </c>
      <c r="E14936" t="str">
        <f>"COLUMBIA                  "</f>
        <v xml:space="preserve">COLUMBIA                  </v>
      </c>
      <c r="F14936" t="str">
        <f t="shared" si="379"/>
        <v>MS</v>
      </c>
    </row>
    <row r="14937" spans="1:6" x14ac:dyDescent="0.25">
      <c r="A14937" t="str">
        <f>"200000359"</f>
        <v>200000359</v>
      </c>
      <c r="B14937" t="str">
        <f>"1184387672"</f>
        <v>1184387672</v>
      </c>
      <c r="C14937" t="str">
        <f>"363L00000X"</f>
        <v>363L00000X</v>
      </c>
      <c r="D14937" t="str">
        <f>"CLARK                    BEVERLY                  "</f>
        <v xml:space="preserve">CLARK                    BEVERLY                  </v>
      </c>
      <c r="E14937" t="str">
        <f>"MACON                     "</f>
        <v xml:space="preserve">MACON                     </v>
      </c>
      <c r="F14937" t="str">
        <f t="shared" si="379"/>
        <v>MS</v>
      </c>
    </row>
    <row r="14938" spans="1:6" x14ac:dyDescent="0.25">
      <c r="A14938" t="str">
        <f>"200000360"</f>
        <v>200000360</v>
      </c>
      <c r="B14938" t="str">
        <f>"1942924154"</f>
        <v>1942924154</v>
      </c>
      <c r="C14938" t="str">
        <f>"363LP0808X"</f>
        <v>363LP0808X</v>
      </c>
      <c r="D14938" t="str">
        <f>"BROWN                    CHRISTOPHER              "</f>
        <v xml:space="preserve">BROWN                    CHRISTOPHER              </v>
      </c>
      <c r="E14938" t="str">
        <f>"COLUMBUS                  "</f>
        <v xml:space="preserve">COLUMBUS                  </v>
      </c>
      <c r="F14938" t="str">
        <f t="shared" si="379"/>
        <v>MS</v>
      </c>
    </row>
    <row r="14939" spans="1:6" x14ac:dyDescent="0.25">
      <c r="A14939" t="str">
        <f>"200000386"</f>
        <v>200000386</v>
      </c>
      <c r="B14939" t="str">
        <f>"1831796614"</f>
        <v>1831796614</v>
      </c>
      <c r="C14939" t="str">
        <f>"367500000X"</f>
        <v>367500000X</v>
      </c>
      <c r="D14939" t="str">
        <f>"BLACKMON                 VICTORIA     E           "</f>
        <v xml:space="preserve">BLACKMON                 VICTORIA     E           </v>
      </c>
      <c r="E14939" t="str">
        <f>"OXFORD                    "</f>
        <v xml:space="preserve">OXFORD                    </v>
      </c>
      <c r="F14939" t="str">
        <f t="shared" si="379"/>
        <v>MS</v>
      </c>
    </row>
    <row r="14940" spans="1:6" x14ac:dyDescent="0.25">
      <c r="A14940" t="str">
        <f>"200000388"</f>
        <v>200000388</v>
      </c>
      <c r="B14940" t="str">
        <f>"1952047391"</f>
        <v>1952047391</v>
      </c>
      <c r="C14940" t="str">
        <f>"261QM0801X"</f>
        <v>261QM0801X</v>
      </c>
      <c r="D14940" t="str">
        <f>"BELMONT GARDENS RECOVERY CENTER                   "</f>
        <v xml:space="preserve">BELMONT GARDENS RECOVERY CENTER                   </v>
      </c>
      <c r="E14940" t="str">
        <f>"VICKSBURG                 "</f>
        <v xml:space="preserve">VICKSBURG                 </v>
      </c>
      <c r="F14940" t="str">
        <f t="shared" si="379"/>
        <v>MS</v>
      </c>
    </row>
    <row r="14941" spans="1:6" x14ac:dyDescent="0.25">
      <c r="A14941" t="str">
        <f>"200000396"</f>
        <v>200000396</v>
      </c>
      <c r="B14941" t="str">
        <f>"1912225418"</f>
        <v>1912225418</v>
      </c>
      <c r="C14941" t="str">
        <f>"207ZP0102X"</f>
        <v>207ZP0102X</v>
      </c>
      <c r="D14941" t="str">
        <f>"MULLINS                  TIFFANY      C           "</f>
        <v xml:space="preserve">MULLINS                  TIFFANY      C           </v>
      </c>
      <c r="E14941" t="str">
        <f>"FLOWOOD                   "</f>
        <v xml:space="preserve">FLOWOOD                   </v>
      </c>
      <c r="F14941" t="str">
        <f t="shared" si="379"/>
        <v>MS</v>
      </c>
    </row>
    <row r="14942" spans="1:6" x14ac:dyDescent="0.25">
      <c r="A14942" t="str">
        <f>"200000402"</f>
        <v>200000402</v>
      </c>
      <c r="B14942" t="str">
        <f>"1336136563"</f>
        <v>1336136563</v>
      </c>
      <c r="C14942" t="str">
        <f>"2085R0202X"</f>
        <v>2085R0202X</v>
      </c>
      <c r="D14942" t="str">
        <f>"MARCANTEL                KARA                     "</f>
        <v xml:space="preserve">MARCANTEL                KARA                     </v>
      </c>
      <c r="E14942" t="str">
        <f>"CLEVELAND                 "</f>
        <v xml:space="preserve">CLEVELAND                 </v>
      </c>
      <c r="F14942" t="str">
        <f t="shared" si="379"/>
        <v>MS</v>
      </c>
    </row>
    <row r="14943" spans="1:6" x14ac:dyDescent="0.25">
      <c r="A14943" t="str">
        <f>"200000405"</f>
        <v>200000405</v>
      </c>
      <c r="B14943" t="str">
        <f>"1679203863"</f>
        <v>1679203863</v>
      </c>
      <c r="C14943" t="str">
        <f>"122300000X"</f>
        <v>122300000X</v>
      </c>
      <c r="D14943" t="str">
        <f>"MOONEY                   JENNIFER                 "</f>
        <v xml:space="preserve">MOONEY                   JENNIFER                 </v>
      </c>
      <c r="E14943" t="str">
        <f>"PEARL                     "</f>
        <v xml:space="preserve">PEARL                     </v>
      </c>
      <c r="F14943" t="str">
        <f t="shared" si="379"/>
        <v>MS</v>
      </c>
    </row>
    <row r="14944" spans="1:6" x14ac:dyDescent="0.25">
      <c r="A14944" t="str">
        <f>"200000407"</f>
        <v>200000407</v>
      </c>
      <c r="B14944" t="str">
        <f>"1740740778"</f>
        <v>1740740778</v>
      </c>
      <c r="C14944" t="str">
        <f>"207Q00000X"</f>
        <v>207Q00000X</v>
      </c>
      <c r="D14944" t="str">
        <f>"PURVIS                   ADAM         T           "</f>
        <v xml:space="preserve">PURVIS                   ADAM         T           </v>
      </c>
      <c r="E14944" t="str">
        <f>"ELLISVILLE                "</f>
        <v xml:space="preserve">ELLISVILLE                </v>
      </c>
      <c r="F14944" t="str">
        <f t="shared" si="379"/>
        <v>MS</v>
      </c>
    </row>
    <row r="14945" spans="1:6" x14ac:dyDescent="0.25">
      <c r="A14945" t="str">
        <f>"200000414"</f>
        <v>200000414</v>
      </c>
      <c r="B14945" t="str">
        <f>"1083366975"</f>
        <v>1083366975</v>
      </c>
      <c r="C14945" t="str">
        <f>"363L00000X"</f>
        <v>363L00000X</v>
      </c>
      <c r="D14945" t="str">
        <f>"BRYANT                   MARSHALVIA   R           "</f>
        <v xml:space="preserve">BRYANT                   MARSHALVIA   R           </v>
      </c>
      <c r="E14945" t="str">
        <f>"CANTON                    "</f>
        <v xml:space="preserve">CANTON                    </v>
      </c>
      <c r="F14945" t="str">
        <f t="shared" si="379"/>
        <v>MS</v>
      </c>
    </row>
    <row r="14946" spans="1:6" x14ac:dyDescent="0.25">
      <c r="A14946" t="str">
        <f>"200000415"</f>
        <v>200000415</v>
      </c>
      <c r="B14946" t="str">
        <f>"1700309432"</f>
        <v>1700309432</v>
      </c>
      <c r="C14946" t="str">
        <f>"207RI0200X"</f>
        <v>207RI0200X</v>
      </c>
      <c r="D14946" t="str">
        <f>"AMUSU                    SENATE                   "</f>
        <v xml:space="preserve">AMUSU                    SENATE                   </v>
      </c>
      <c r="E14946" t="str">
        <f>"HATTIESBURG               "</f>
        <v xml:space="preserve">HATTIESBURG               </v>
      </c>
      <c r="F14946" t="str">
        <f t="shared" si="379"/>
        <v>MS</v>
      </c>
    </row>
    <row r="14947" spans="1:6" x14ac:dyDescent="0.25">
      <c r="A14947" t="str">
        <f>"200000417"</f>
        <v>200000417</v>
      </c>
      <c r="B14947" t="str">
        <f>"1588047567"</f>
        <v>1588047567</v>
      </c>
      <c r="C14947" t="str">
        <f>"207RC0200X"</f>
        <v>207RC0200X</v>
      </c>
      <c r="D14947" t="str">
        <f>"WALLEY                   ROBERT       D           "</f>
        <v xml:space="preserve">WALLEY                   ROBERT       D           </v>
      </c>
      <c r="E14947" t="str">
        <f>"HATTIESBURG               "</f>
        <v xml:space="preserve">HATTIESBURG               </v>
      </c>
      <c r="F14947" t="str">
        <f t="shared" si="379"/>
        <v>MS</v>
      </c>
    </row>
    <row r="14948" spans="1:6" x14ac:dyDescent="0.25">
      <c r="A14948" t="str">
        <f>"200000426"</f>
        <v>200000426</v>
      </c>
      <c r="B14948" t="str">
        <f>"1356538383"</f>
        <v>1356538383</v>
      </c>
      <c r="C14948" t="str">
        <f>"261QM0801X"</f>
        <v>261QM0801X</v>
      </c>
      <c r="D14948" t="str">
        <f>"YOUTH VILLAGES INC. - GREENWOOD                   "</f>
        <v xml:space="preserve">YOUTH VILLAGES INC. - GREENWOOD                   </v>
      </c>
      <c r="E14948" t="str">
        <f>"GREENWOOD                 "</f>
        <v xml:space="preserve">GREENWOOD                 </v>
      </c>
      <c r="F14948" t="str">
        <f t="shared" si="379"/>
        <v>MS</v>
      </c>
    </row>
    <row r="14949" spans="1:6" x14ac:dyDescent="0.25">
      <c r="A14949" t="str">
        <f>"200000432"</f>
        <v>200000432</v>
      </c>
      <c r="B14949" t="str">
        <f>"1780188151"</f>
        <v>1780188151</v>
      </c>
      <c r="C14949" t="str">
        <f>"207R00000X"</f>
        <v>207R00000X</v>
      </c>
      <c r="D14949" t="str">
        <f>"COPELAND                 TIMOTHY      K           "</f>
        <v xml:space="preserve">COPELAND                 TIMOTHY      K           </v>
      </c>
      <c r="E14949" t="str">
        <f>"BAY ST. LOUIS             "</f>
        <v xml:space="preserve">BAY ST. LOUIS             </v>
      </c>
      <c r="F14949" t="str">
        <f t="shared" si="379"/>
        <v>MS</v>
      </c>
    </row>
    <row r="14950" spans="1:6" x14ac:dyDescent="0.25">
      <c r="A14950" t="str">
        <f>"200000434"</f>
        <v>200000434</v>
      </c>
      <c r="B14950" t="str">
        <f>"1265051890"</f>
        <v>1265051890</v>
      </c>
      <c r="C14950" t="str">
        <f>"207P00000X"</f>
        <v>207P00000X</v>
      </c>
      <c r="D14950" t="str">
        <f>"LIAPIN                   IVAN                     "</f>
        <v xml:space="preserve">LIAPIN                   IVAN                     </v>
      </c>
      <c r="E14950" t="str">
        <f>"FOREST                    "</f>
        <v xml:space="preserve">FOREST                    </v>
      </c>
      <c r="F14950" t="str">
        <f t="shared" si="379"/>
        <v>MS</v>
      </c>
    </row>
    <row r="14951" spans="1:6" x14ac:dyDescent="0.25">
      <c r="A14951" t="str">
        <f>"200000435"</f>
        <v>200000435</v>
      </c>
      <c r="B14951" t="str">
        <f>"1780303677"</f>
        <v>1780303677</v>
      </c>
      <c r="C14951" t="str">
        <f>"122300000X"</f>
        <v>122300000X</v>
      </c>
      <c r="D14951" t="str">
        <f>"NETTLETON DENTAL LLC                              "</f>
        <v xml:space="preserve">NETTLETON DENTAL LLC                              </v>
      </c>
      <c r="E14951" t="str">
        <f>"OXFORD                    "</f>
        <v xml:space="preserve">OXFORD                    </v>
      </c>
      <c r="F14951" t="str">
        <f t="shared" si="379"/>
        <v>MS</v>
      </c>
    </row>
    <row r="14952" spans="1:6" x14ac:dyDescent="0.25">
      <c r="A14952" t="str">
        <f>"200000444"</f>
        <v>200000444</v>
      </c>
      <c r="B14952" t="str">
        <f>"1447565064"</f>
        <v>1447565064</v>
      </c>
      <c r="C14952" t="str">
        <f>"207P00000X"</f>
        <v>207P00000X</v>
      </c>
      <c r="D14952" t="str">
        <f>"REDD                     RITA         R           "</f>
        <v xml:space="preserve">REDD                     RITA         R           </v>
      </c>
      <c r="E14952" t="str">
        <f>"MAGEE                     "</f>
        <v xml:space="preserve">MAGEE                     </v>
      </c>
      <c r="F14952" t="str">
        <f t="shared" si="379"/>
        <v>MS</v>
      </c>
    </row>
    <row r="14953" spans="1:6" x14ac:dyDescent="0.25">
      <c r="A14953" t="str">
        <f>"200000445"</f>
        <v>200000445</v>
      </c>
      <c r="B14953" t="str">
        <f>"1457089302"</f>
        <v>1457089302</v>
      </c>
      <c r="C14953" t="str">
        <f>"363L00000X"</f>
        <v>363L00000X</v>
      </c>
      <c r="D14953" t="str">
        <f>"PEAK                     MEGAN                    "</f>
        <v xml:space="preserve">PEAK                     MEGAN                    </v>
      </c>
      <c r="E14953" t="str">
        <f>"LAUREL                    "</f>
        <v xml:space="preserve">LAUREL                    </v>
      </c>
      <c r="F14953" t="str">
        <f t="shared" si="379"/>
        <v>MS</v>
      </c>
    </row>
    <row r="14954" spans="1:6" x14ac:dyDescent="0.25">
      <c r="A14954" t="str">
        <f>"200000447"</f>
        <v>200000447</v>
      </c>
      <c r="B14954" t="str">
        <f>"1235781212"</f>
        <v>1235781212</v>
      </c>
      <c r="C14954" t="str">
        <f>"207ZP0101X"</f>
        <v>207ZP0101X</v>
      </c>
      <c r="D14954" t="str">
        <f>"OSCAR                    LAURA                    "</f>
        <v xml:space="preserve">OSCAR                    LAURA                    </v>
      </c>
      <c r="E14954" t="str">
        <f>"OCEAN SPRINGS             "</f>
        <v xml:space="preserve">OCEAN SPRINGS             </v>
      </c>
      <c r="F14954" t="str">
        <f t="shared" si="379"/>
        <v>MS</v>
      </c>
    </row>
    <row r="14955" spans="1:6" x14ac:dyDescent="0.25">
      <c r="A14955" t="str">
        <f>"200000457"</f>
        <v>200000457</v>
      </c>
      <c r="B14955" t="str">
        <f>"1043946932"</f>
        <v>1043946932</v>
      </c>
      <c r="C14955" t="str">
        <f>"363L00000X"</f>
        <v>363L00000X</v>
      </c>
      <c r="D14955" t="str">
        <f>"EDWARDS                  AMY                      "</f>
        <v xml:space="preserve">EDWARDS                  AMY                      </v>
      </c>
      <c r="E14955" t="str">
        <f>"JACKSON                   "</f>
        <v xml:space="preserve">JACKSON                   </v>
      </c>
      <c r="F14955" t="str">
        <f t="shared" si="379"/>
        <v>MS</v>
      </c>
    </row>
    <row r="14956" spans="1:6" x14ac:dyDescent="0.25">
      <c r="A14956" t="str">
        <f>"200000461"</f>
        <v>200000461</v>
      </c>
      <c r="B14956" t="str">
        <f>"1386209500"</f>
        <v>1386209500</v>
      </c>
      <c r="C14956" t="str">
        <f>"207Q00000X"</f>
        <v>207Q00000X</v>
      </c>
      <c r="D14956" t="str">
        <f>"MORRIS                   JACOB        B           "</f>
        <v xml:space="preserve">MORRIS                   JACOB        B           </v>
      </c>
      <c r="E14956" t="str">
        <f>"PEARL                     "</f>
        <v xml:space="preserve">PEARL                     </v>
      </c>
      <c r="F14956" t="str">
        <f t="shared" si="379"/>
        <v>MS</v>
      </c>
    </row>
    <row r="14957" spans="1:6" x14ac:dyDescent="0.25">
      <c r="A14957" t="str">
        <f>"200000463"</f>
        <v>200000463</v>
      </c>
      <c r="B14957" t="str">
        <f>"1548989882"</f>
        <v>1548989882</v>
      </c>
      <c r="C14957" t="str">
        <f>"363L00000X"</f>
        <v>363L00000X</v>
      </c>
      <c r="D14957" t="str">
        <f>"MOORE                    GEORGANNA                "</f>
        <v xml:space="preserve">MOORE                    GEORGANNA                </v>
      </c>
      <c r="E14957" t="str">
        <f>"OXFORD                    "</f>
        <v xml:space="preserve">OXFORD                    </v>
      </c>
      <c r="F14957" t="str">
        <f t="shared" si="379"/>
        <v>MS</v>
      </c>
    </row>
    <row r="14958" spans="1:6" x14ac:dyDescent="0.25">
      <c r="A14958" t="str">
        <f>"200000477"</f>
        <v>200000477</v>
      </c>
      <c r="B14958" t="str">
        <f>"1437819513"</f>
        <v>1437819513</v>
      </c>
      <c r="C14958" t="str">
        <f>"363L00000X"</f>
        <v>363L00000X</v>
      </c>
      <c r="D14958" t="str">
        <f>"MCGOWAN COLLINS          JERRYL                   "</f>
        <v xml:space="preserve">MCGOWAN COLLINS          JERRYL                   </v>
      </c>
      <c r="E14958" t="str">
        <f>"RICHTON                   "</f>
        <v xml:space="preserve">RICHTON                   </v>
      </c>
      <c r="F14958" t="str">
        <f t="shared" si="379"/>
        <v>MS</v>
      </c>
    </row>
    <row r="14959" spans="1:6" x14ac:dyDescent="0.25">
      <c r="A14959" t="str">
        <f>"200000483"</f>
        <v>200000483</v>
      </c>
      <c r="B14959" t="str">
        <f>"1467046581"</f>
        <v>1467046581</v>
      </c>
      <c r="C14959" t="str">
        <f>"363L00000X"</f>
        <v>363L00000X</v>
      </c>
      <c r="D14959" t="str">
        <f>"DEAN                     SHERRIE      A           "</f>
        <v xml:space="preserve">DEAN                     SHERRIE      A           </v>
      </c>
      <c r="E14959" t="str">
        <f>"PASCAGOULA                "</f>
        <v xml:space="preserve">PASCAGOULA                </v>
      </c>
      <c r="F14959" t="str">
        <f t="shared" si="379"/>
        <v>MS</v>
      </c>
    </row>
    <row r="14960" spans="1:6" x14ac:dyDescent="0.25">
      <c r="A14960" t="str">
        <f>"200000495"</f>
        <v>200000495</v>
      </c>
      <c r="B14960" t="str">
        <f>"1407940141"</f>
        <v>1407940141</v>
      </c>
      <c r="C14960" t="str">
        <f>"122300000X"</f>
        <v>122300000X</v>
      </c>
      <c r="D14960" t="str">
        <f>"NASH FAMILY DENTISTRY                             "</f>
        <v xml:space="preserve">NASH FAMILY DENTISTRY                             </v>
      </c>
      <c r="E14960" t="str">
        <f>"VICKSBURG                 "</f>
        <v xml:space="preserve">VICKSBURG                 </v>
      </c>
      <c r="F14960" t="str">
        <f t="shared" si="379"/>
        <v>MS</v>
      </c>
    </row>
    <row r="14961" spans="1:6" x14ac:dyDescent="0.25">
      <c r="A14961" t="str">
        <f>"200000496"</f>
        <v>200000496</v>
      </c>
      <c r="B14961" t="str">
        <f>"1972226017"</f>
        <v>1972226017</v>
      </c>
      <c r="C14961" t="str">
        <f>"363L00000X"</f>
        <v>363L00000X</v>
      </c>
      <c r="D14961" t="str">
        <f>"WINN                     ALEXANDRA                "</f>
        <v xml:space="preserve">WINN                     ALEXANDRA                </v>
      </c>
      <c r="E14961" t="str">
        <f>"RALEIGH                   "</f>
        <v xml:space="preserve">RALEIGH                   </v>
      </c>
      <c r="F14961" t="str">
        <f t="shared" si="379"/>
        <v>MS</v>
      </c>
    </row>
    <row r="14962" spans="1:6" x14ac:dyDescent="0.25">
      <c r="A14962" t="str">
        <f>"200000507"</f>
        <v>200000507</v>
      </c>
      <c r="B14962" t="str">
        <f>"1356538383"</f>
        <v>1356538383</v>
      </c>
      <c r="C14962" t="str">
        <f>"261QM0801X"</f>
        <v>261QM0801X</v>
      </c>
      <c r="D14962" t="str">
        <f>"YOUTH VILLAGES, INC.  - JACKSON                   "</f>
        <v xml:space="preserve">YOUTH VILLAGES, INC.  - JACKSON                   </v>
      </c>
      <c r="E14962" t="str">
        <f>"RIDGELAND                 "</f>
        <v xml:space="preserve">RIDGELAND                 </v>
      </c>
      <c r="F14962" t="str">
        <f t="shared" si="379"/>
        <v>MS</v>
      </c>
    </row>
    <row r="14963" spans="1:6" x14ac:dyDescent="0.25">
      <c r="A14963" t="str">
        <f>"200000515"</f>
        <v>200000515</v>
      </c>
      <c r="B14963" t="str">
        <f>"1043770845"</f>
        <v>1043770845</v>
      </c>
      <c r="C14963" t="str">
        <f>"207R00000X"</f>
        <v>207R00000X</v>
      </c>
      <c r="D14963" t="str">
        <f>"THOPPIL                  MONIKA                   "</f>
        <v xml:space="preserve">THOPPIL                  MONIKA                   </v>
      </c>
      <c r="E14963" t="str">
        <f>"LAUREL                    "</f>
        <v xml:space="preserve">LAUREL                    </v>
      </c>
      <c r="F14963" t="str">
        <f t="shared" si="379"/>
        <v>MS</v>
      </c>
    </row>
    <row r="14964" spans="1:6" x14ac:dyDescent="0.25">
      <c r="A14964" t="str">
        <f>"200000519"</f>
        <v>200000519</v>
      </c>
      <c r="B14964" t="str">
        <f>"1013631233"</f>
        <v>1013631233</v>
      </c>
      <c r="C14964" t="str">
        <f>"363L00000X"</f>
        <v>363L00000X</v>
      </c>
      <c r="D14964" t="str">
        <f>"BRITT                    CHRISTIANA   D           "</f>
        <v xml:space="preserve">BRITT                    CHRISTIANA   D           </v>
      </c>
      <c r="E14964" t="str">
        <f>"BATESVILLE                "</f>
        <v xml:space="preserve">BATESVILLE                </v>
      </c>
      <c r="F14964" t="str">
        <f t="shared" si="379"/>
        <v>MS</v>
      </c>
    </row>
    <row r="14965" spans="1:6" x14ac:dyDescent="0.25">
      <c r="A14965" t="str">
        <f>"200000522"</f>
        <v>200000522</v>
      </c>
      <c r="B14965" t="str">
        <f>"1710316880"</f>
        <v>1710316880</v>
      </c>
      <c r="C14965" t="str">
        <f>"363A00000X"</f>
        <v>363A00000X</v>
      </c>
      <c r="D14965" t="str">
        <f>"NARAHARISETTY            VANI                     "</f>
        <v xml:space="preserve">NARAHARISETTY            VANI                     </v>
      </c>
      <c r="E14965" t="str">
        <f>"HATTIESBURG               "</f>
        <v xml:space="preserve">HATTIESBURG               </v>
      </c>
      <c r="F14965" t="str">
        <f t="shared" si="379"/>
        <v>MS</v>
      </c>
    </row>
    <row r="14966" spans="1:6" x14ac:dyDescent="0.25">
      <c r="A14966" t="str">
        <f>"200000526"</f>
        <v>200000526</v>
      </c>
      <c r="B14966" t="str">
        <f>"1639803430"</f>
        <v>1639803430</v>
      </c>
      <c r="C14966" t="str">
        <f>"363L00000X"</f>
        <v>363L00000X</v>
      </c>
      <c r="D14966" t="str">
        <f>"LANDER                   BRITTANY     M           "</f>
        <v xml:space="preserve">LANDER                   BRITTANY     M           </v>
      </c>
      <c r="E14966" t="str">
        <f>"DIAMONDHEAD               "</f>
        <v xml:space="preserve">DIAMONDHEAD               </v>
      </c>
      <c r="F14966" t="str">
        <f t="shared" si="379"/>
        <v>MS</v>
      </c>
    </row>
    <row r="14967" spans="1:6" x14ac:dyDescent="0.25">
      <c r="A14967" t="str">
        <f>"200000527"</f>
        <v>200000527</v>
      </c>
      <c r="B14967" t="str">
        <f>"1356538383"</f>
        <v>1356538383</v>
      </c>
      <c r="C14967" t="str">
        <f>"261QM0801X"</f>
        <v>261QM0801X</v>
      </c>
      <c r="D14967" t="str">
        <f>"YOUTH VILLAGES - MERIDIAN                         "</f>
        <v xml:space="preserve">YOUTH VILLAGES - MERIDIAN                         </v>
      </c>
      <c r="E14967" t="str">
        <f>"MERIDIAN                  "</f>
        <v xml:space="preserve">MERIDIAN                  </v>
      </c>
      <c r="F14967" t="str">
        <f t="shared" si="379"/>
        <v>MS</v>
      </c>
    </row>
    <row r="14968" spans="1:6" x14ac:dyDescent="0.25">
      <c r="A14968" t="str">
        <f>"200000528"</f>
        <v>200000528</v>
      </c>
      <c r="B14968" t="str">
        <f>"1457633034"</f>
        <v>1457633034</v>
      </c>
      <c r="C14968" t="str">
        <f>"363L00000X"</f>
        <v>363L00000X</v>
      </c>
      <c r="D14968" t="str">
        <f>"WILSON                   KENYATTA                 "</f>
        <v xml:space="preserve">WILSON                   KENYATTA                 </v>
      </c>
      <c r="E14968" t="str">
        <f>"VICKSBURG                 "</f>
        <v xml:space="preserve">VICKSBURG                 </v>
      </c>
      <c r="F14968" t="str">
        <f t="shared" si="379"/>
        <v>MS</v>
      </c>
    </row>
    <row r="14969" spans="1:6" x14ac:dyDescent="0.25">
      <c r="A14969" t="str">
        <f>"200000537"</f>
        <v>200000537</v>
      </c>
      <c r="B14969" t="str">
        <f>"1104874056"</f>
        <v>1104874056</v>
      </c>
      <c r="C14969" t="str">
        <f>"2084P0800X"</f>
        <v>2084P0800X</v>
      </c>
      <c r="D14969" t="str">
        <f>"SCHOFIELD                MICHELLE     W           "</f>
        <v xml:space="preserve">SCHOFIELD                MICHELLE     W           </v>
      </c>
      <c r="E14969" t="str">
        <f>"SOUTHAVEN                 "</f>
        <v xml:space="preserve">SOUTHAVEN                 </v>
      </c>
      <c r="F14969" t="str">
        <f t="shared" si="379"/>
        <v>MS</v>
      </c>
    </row>
    <row r="14970" spans="1:6" x14ac:dyDescent="0.25">
      <c r="A14970" t="str">
        <f>"200000542"</f>
        <v>200000542</v>
      </c>
      <c r="B14970" t="str">
        <f>"1881189967"</f>
        <v>1881189967</v>
      </c>
      <c r="C14970" t="str">
        <f>"207R00000X"</f>
        <v>207R00000X</v>
      </c>
      <c r="D14970" t="str">
        <f>"BEALE                    STEFANI                  "</f>
        <v xml:space="preserve">BEALE                    STEFANI                  </v>
      </c>
      <c r="E14970" t="str">
        <f>"PHILADELPHIA              "</f>
        <v xml:space="preserve">PHILADELPHIA              </v>
      </c>
      <c r="F14970" t="str">
        <f t="shared" si="379"/>
        <v>MS</v>
      </c>
    </row>
    <row r="14971" spans="1:6" x14ac:dyDescent="0.25">
      <c r="A14971" t="str">
        <f>"200000546"</f>
        <v>200000546</v>
      </c>
      <c r="B14971" t="str">
        <f>"1366434078"</f>
        <v>1366434078</v>
      </c>
      <c r="C14971" t="str">
        <f>"207X00000X"</f>
        <v>207X00000X</v>
      </c>
      <c r="D14971" t="str">
        <f>"PALMER                   CHRISTOPHER  G           "</f>
        <v xml:space="preserve">PALMER                   CHRISTOPHER  G           </v>
      </c>
      <c r="E14971" t="str">
        <f>"BAY ST. LOUIS             "</f>
        <v xml:space="preserve">BAY ST. LOUIS             </v>
      </c>
      <c r="F14971" t="str">
        <f t="shared" si="379"/>
        <v>MS</v>
      </c>
    </row>
    <row r="14972" spans="1:6" x14ac:dyDescent="0.25">
      <c r="A14972" t="str">
        <f>"200000561"</f>
        <v>200000561</v>
      </c>
      <c r="B14972" t="str">
        <f>"1003414509"</f>
        <v>1003414509</v>
      </c>
      <c r="C14972" t="str">
        <f>"363L00000X"</f>
        <v>363L00000X</v>
      </c>
      <c r="D14972" t="str">
        <f>"RICHARDSON               KATELYN                  "</f>
        <v xml:space="preserve">RICHARDSON               KATELYN                  </v>
      </c>
      <c r="E14972" t="str">
        <f>"TUPELO                    "</f>
        <v xml:space="preserve">TUPELO                    </v>
      </c>
      <c r="F14972" t="str">
        <f t="shared" si="379"/>
        <v>MS</v>
      </c>
    </row>
    <row r="14973" spans="1:6" x14ac:dyDescent="0.25">
      <c r="A14973" t="str">
        <f>"200000574"</f>
        <v>200000574</v>
      </c>
      <c r="B14973" t="str">
        <f>"1376004150"</f>
        <v>1376004150</v>
      </c>
      <c r="C14973" t="str">
        <f>"207R00000X"</f>
        <v>207R00000X</v>
      </c>
      <c r="D14973" t="str">
        <f>"KAUR                     JASMEET                  "</f>
        <v xml:space="preserve">KAUR                     JASMEET                  </v>
      </c>
      <c r="E14973" t="str">
        <f>"FOREST                    "</f>
        <v xml:space="preserve">FOREST                    </v>
      </c>
      <c r="F14973" t="str">
        <f t="shared" si="379"/>
        <v>MS</v>
      </c>
    </row>
    <row r="14974" spans="1:6" x14ac:dyDescent="0.25">
      <c r="A14974" t="str">
        <f>"200000576"</f>
        <v>200000576</v>
      </c>
      <c r="B14974" t="str">
        <f>"1417309147"</f>
        <v>1417309147</v>
      </c>
      <c r="C14974" t="str">
        <f>"363L00000X"</f>
        <v>363L00000X</v>
      </c>
      <c r="D14974" t="str">
        <f>"ATKINSON                 AMBER        K           "</f>
        <v xml:space="preserve">ATKINSON                 AMBER        K           </v>
      </c>
      <c r="E14974" t="str">
        <f>"CARTHAGE                  "</f>
        <v xml:space="preserve">CARTHAGE                  </v>
      </c>
      <c r="F14974" t="str">
        <f t="shared" ref="F14974:F15037" si="380">"MS"</f>
        <v>MS</v>
      </c>
    </row>
    <row r="14975" spans="1:6" x14ac:dyDescent="0.25">
      <c r="A14975" t="str">
        <f>"200000587"</f>
        <v>200000587</v>
      </c>
      <c r="B14975" t="str">
        <f>"1184347296"</f>
        <v>1184347296</v>
      </c>
      <c r="C14975" t="str">
        <f>"363L00000X"</f>
        <v>363L00000X</v>
      </c>
      <c r="D14975" t="str">
        <f>"JONES                    ALISHA                   "</f>
        <v xml:space="preserve">JONES                    ALISHA                   </v>
      </c>
      <c r="E14975" t="str">
        <f>"PHILADELPHIA              "</f>
        <v xml:space="preserve">PHILADELPHIA              </v>
      </c>
      <c r="F14975" t="str">
        <f t="shared" si="380"/>
        <v>MS</v>
      </c>
    </row>
    <row r="14976" spans="1:6" x14ac:dyDescent="0.25">
      <c r="A14976" t="str">
        <f>"200000588"</f>
        <v>200000588</v>
      </c>
      <c r="B14976" t="str">
        <f>"1083091292"</f>
        <v>1083091292</v>
      </c>
      <c r="C14976" t="str">
        <f>"367500000X"</f>
        <v>367500000X</v>
      </c>
      <c r="D14976" t="str">
        <f>"HURST                    SUNNI                    "</f>
        <v xml:space="preserve">HURST                    SUNNI                    </v>
      </c>
      <c r="E14976" t="str">
        <f>"OXFORD                    "</f>
        <v xml:space="preserve">OXFORD                    </v>
      </c>
      <c r="F14976" t="str">
        <f t="shared" si="380"/>
        <v>MS</v>
      </c>
    </row>
    <row r="14977" spans="1:6" x14ac:dyDescent="0.25">
      <c r="A14977" t="str">
        <f>"200000592"</f>
        <v>200000592</v>
      </c>
      <c r="B14977" t="str">
        <f>"1356424576"</f>
        <v>1356424576</v>
      </c>
      <c r="C14977" t="str">
        <f>"207R00000X"</f>
        <v>207R00000X</v>
      </c>
      <c r="D14977" t="str">
        <f>"STANICH                  CHARLES                  "</f>
        <v xml:space="preserve">STANICH                  CHARLES                  </v>
      </c>
      <c r="E14977" t="str">
        <f>"WIGGINS                   "</f>
        <v xml:space="preserve">WIGGINS                   </v>
      </c>
      <c r="F14977" t="str">
        <f t="shared" si="380"/>
        <v>MS</v>
      </c>
    </row>
    <row r="14978" spans="1:6" x14ac:dyDescent="0.25">
      <c r="A14978" t="str">
        <f>"200000607"</f>
        <v>200000607</v>
      </c>
      <c r="B14978" t="str">
        <f>"1407581408"</f>
        <v>1407581408</v>
      </c>
      <c r="C14978" t="str">
        <f>"122300000X"</f>
        <v>122300000X</v>
      </c>
      <c r="D14978" t="str">
        <f>"BRITTANY                 DAVIS                    "</f>
        <v xml:space="preserve">BRITTANY                 DAVIS                    </v>
      </c>
      <c r="E14978" t="str">
        <f>"GULFPORT                  "</f>
        <v xml:space="preserve">GULFPORT                  </v>
      </c>
      <c r="F14978" t="str">
        <f t="shared" si="380"/>
        <v>MS</v>
      </c>
    </row>
    <row r="14979" spans="1:6" x14ac:dyDescent="0.25">
      <c r="A14979" t="str">
        <f>"200000616"</f>
        <v>200000616</v>
      </c>
      <c r="B14979" t="str">
        <f>"1477144939"</f>
        <v>1477144939</v>
      </c>
      <c r="C14979" t="str">
        <f>"363L00000X"</f>
        <v>363L00000X</v>
      </c>
      <c r="D14979" t="str">
        <f>"BRUSHABER                ELIZABETH                "</f>
        <v xml:space="preserve">BRUSHABER                ELIZABETH                </v>
      </c>
      <c r="E14979" t="str">
        <f>"OCEAN SPRINGS             "</f>
        <v xml:space="preserve">OCEAN SPRINGS             </v>
      </c>
      <c r="F14979" t="str">
        <f t="shared" si="380"/>
        <v>MS</v>
      </c>
    </row>
    <row r="14980" spans="1:6" x14ac:dyDescent="0.25">
      <c r="A14980" t="str">
        <f>"200000617"</f>
        <v>200000617</v>
      </c>
      <c r="B14980" t="str">
        <f>"1972598415"</f>
        <v>1972598415</v>
      </c>
      <c r="C14980" t="str">
        <f>"367500000X"</f>
        <v>367500000X</v>
      </c>
      <c r="D14980" t="str">
        <f>"SUTHERLIN                RICHARD                  "</f>
        <v xml:space="preserve">SUTHERLIN                RICHARD                  </v>
      </c>
      <c r="E14980" t="str">
        <f>"OXFORD                    "</f>
        <v xml:space="preserve">OXFORD                    </v>
      </c>
      <c r="F14980" t="str">
        <f t="shared" si="380"/>
        <v>MS</v>
      </c>
    </row>
    <row r="14981" spans="1:6" x14ac:dyDescent="0.25">
      <c r="A14981" t="str">
        <f>"200000623"</f>
        <v>200000623</v>
      </c>
      <c r="B14981" t="str">
        <f>"1326768854"</f>
        <v>1326768854</v>
      </c>
      <c r="C14981" t="str">
        <f>"363L00000X"</f>
        <v>363L00000X</v>
      </c>
      <c r="D14981" t="str">
        <f>"LEWIS                    DANIELLE                 "</f>
        <v xml:space="preserve">LEWIS                    DANIELLE                 </v>
      </c>
      <c r="E14981" t="str">
        <f>"AMORY                     "</f>
        <v xml:space="preserve">AMORY                     </v>
      </c>
      <c r="F14981" t="str">
        <f t="shared" si="380"/>
        <v>MS</v>
      </c>
    </row>
    <row r="14982" spans="1:6" x14ac:dyDescent="0.25">
      <c r="A14982" t="str">
        <f>"200000625"</f>
        <v>200000625</v>
      </c>
      <c r="B14982" t="str">
        <f>"1922312388"</f>
        <v>1922312388</v>
      </c>
      <c r="C14982" t="str">
        <f>"152W00000X"</f>
        <v>152W00000X</v>
      </c>
      <c r="D14982" t="str">
        <f>"HOLIFIELD                DAVID        M           "</f>
        <v xml:space="preserve">HOLIFIELD                DAVID        M           </v>
      </c>
      <c r="E14982" t="str">
        <f>"QUITMAN                   "</f>
        <v xml:space="preserve">QUITMAN                   </v>
      </c>
      <c r="F14982" t="str">
        <f t="shared" si="380"/>
        <v>MS</v>
      </c>
    </row>
    <row r="14983" spans="1:6" x14ac:dyDescent="0.25">
      <c r="A14983" t="str">
        <f>"200000634"</f>
        <v>200000634</v>
      </c>
      <c r="B14983" t="str">
        <f>"1649993957"</f>
        <v>1649993957</v>
      </c>
      <c r="C14983" t="str">
        <f>"363L00000X"</f>
        <v>363L00000X</v>
      </c>
      <c r="D14983" t="str">
        <f>"NABORS                   LEAH                     "</f>
        <v xml:space="preserve">NABORS                   LEAH                     </v>
      </c>
      <c r="E14983" t="str">
        <f>"TUPELO                    "</f>
        <v xml:space="preserve">TUPELO                    </v>
      </c>
      <c r="F14983" t="str">
        <f t="shared" si="380"/>
        <v>MS</v>
      </c>
    </row>
    <row r="14984" spans="1:6" x14ac:dyDescent="0.25">
      <c r="A14984" t="str">
        <f>"200000657"</f>
        <v>200000657</v>
      </c>
      <c r="B14984" t="str">
        <f>"1790404952"</f>
        <v>1790404952</v>
      </c>
      <c r="C14984" t="str">
        <f>"363L00000X"</f>
        <v>363L00000X</v>
      </c>
      <c r="D14984" t="str">
        <f>"HOLLOWAY                 EMILY                    "</f>
        <v xml:space="preserve">HOLLOWAY                 EMILY                    </v>
      </c>
      <c r="E14984" t="str">
        <f>"GLUCKSTADT                "</f>
        <v xml:space="preserve">GLUCKSTADT                </v>
      </c>
      <c r="F14984" t="str">
        <f t="shared" si="380"/>
        <v>MS</v>
      </c>
    </row>
    <row r="14985" spans="1:6" x14ac:dyDescent="0.25">
      <c r="A14985" t="str">
        <f>"200000658"</f>
        <v>200000658</v>
      </c>
      <c r="B14985" t="str">
        <f>"1578539557"</f>
        <v>1578539557</v>
      </c>
      <c r="C14985" t="str">
        <f>"2085R0202X"</f>
        <v>2085R0202X</v>
      </c>
      <c r="D14985" t="str">
        <f>"CHAMSUDDIN               ABBAS                    "</f>
        <v xml:space="preserve">CHAMSUDDIN               ABBAS                    </v>
      </c>
      <c r="E14985" t="str">
        <f>"OXFORD                    "</f>
        <v xml:space="preserve">OXFORD                    </v>
      </c>
      <c r="F14985" t="str">
        <f t="shared" si="380"/>
        <v>MS</v>
      </c>
    </row>
    <row r="14986" spans="1:6" x14ac:dyDescent="0.25">
      <c r="A14986" t="str">
        <f>"200000660"</f>
        <v>200000660</v>
      </c>
      <c r="B14986" t="str">
        <f>"1730774290"</f>
        <v>1730774290</v>
      </c>
      <c r="C14986" t="str">
        <f>"363LF0000X"</f>
        <v>363LF0000X</v>
      </c>
      <c r="D14986" t="str">
        <f>"RANDLE                   FARELON                  "</f>
        <v xml:space="preserve">RANDLE                   FARELON                  </v>
      </c>
      <c r="E14986" t="str">
        <f>"TUPELO                    "</f>
        <v xml:space="preserve">TUPELO                    </v>
      </c>
      <c r="F14986" t="str">
        <f t="shared" si="380"/>
        <v>MS</v>
      </c>
    </row>
    <row r="14987" spans="1:6" x14ac:dyDescent="0.25">
      <c r="A14987" t="str">
        <f>"200000667"</f>
        <v>200000667</v>
      </c>
      <c r="B14987" t="str">
        <f>"1417681446"</f>
        <v>1417681446</v>
      </c>
      <c r="C14987" t="str">
        <f>"363L00000X"</f>
        <v>363L00000X</v>
      </c>
      <c r="D14987" t="str">
        <f>"HUFF BROWN               ALAINA                   "</f>
        <v xml:space="preserve">HUFF BROWN               ALAINA                   </v>
      </c>
      <c r="E14987" t="str">
        <f>"LUCEDALE                  "</f>
        <v xml:space="preserve">LUCEDALE                  </v>
      </c>
      <c r="F14987" t="str">
        <f t="shared" si="380"/>
        <v>MS</v>
      </c>
    </row>
    <row r="14988" spans="1:6" x14ac:dyDescent="0.25">
      <c r="A14988" t="str">
        <f>"200000671"</f>
        <v>200000671</v>
      </c>
      <c r="B14988" t="str">
        <f>"1285187930"</f>
        <v>1285187930</v>
      </c>
      <c r="C14988" t="str">
        <f>"363L00000X"</f>
        <v>363L00000X</v>
      </c>
      <c r="D14988" t="str">
        <f>"LADNER                   MICAH        A           "</f>
        <v xml:space="preserve">LADNER                   MICAH        A           </v>
      </c>
      <c r="E14988" t="str">
        <f>"DIAMONDHEAD               "</f>
        <v xml:space="preserve">DIAMONDHEAD               </v>
      </c>
      <c r="F14988" t="str">
        <f t="shared" si="380"/>
        <v>MS</v>
      </c>
    </row>
    <row r="14989" spans="1:6" x14ac:dyDescent="0.25">
      <c r="A14989" t="str">
        <f>"200000678"</f>
        <v>200000678</v>
      </c>
      <c r="B14989" t="str">
        <f>"1629564745"</f>
        <v>1629564745</v>
      </c>
      <c r="C14989" t="str">
        <f>"207P00000X"</f>
        <v>207P00000X</v>
      </c>
      <c r="D14989" t="str">
        <f>"LINGLE                   MARC                     "</f>
        <v xml:space="preserve">LINGLE                   MARC                     </v>
      </c>
      <c r="E14989" t="str">
        <f>"CARTHAGE                  "</f>
        <v xml:space="preserve">CARTHAGE                  </v>
      </c>
      <c r="F14989" t="str">
        <f t="shared" si="380"/>
        <v>MS</v>
      </c>
    </row>
    <row r="14990" spans="1:6" x14ac:dyDescent="0.25">
      <c r="A14990" t="str">
        <f>"200000684"</f>
        <v>200000684</v>
      </c>
      <c r="B14990" t="str">
        <f>"1841881398"</f>
        <v>1841881398</v>
      </c>
      <c r="C14990" t="str">
        <f>"367500000X"</f>
        <v>367500000X</v>
      </c>
      <c r="D14990" t="str">
        <f>"SHERMAN                  FAITH                    "</f>
        <v xml:space="preserve">SHERMAN                  FAITH                    </v>
      </c>
      <c r="E14990" t="str">
        <f>"OXFORD                    "</f>
        <v xml:space="preserve">OXFORD                    </v>
      </c>
      <c r="F14990" t="str">
        <f t="shared" si="380"/>
        <v>MS</v>
      </c>
    </row>
    <row r="14991" spans="1:6" x14ac:dyDescent="0.25">
      <c r="A14991" t="str">
        <f>"200000689"</f>
        <v>200000689</v>
      </c>
      <c r="B14991" t="str">
        <f>"1942737069"</f>
        <v>1942737069</v>
      </c>
      <c r="C14991" t="str">
        <f>"2084P0800X"</f>
        <v>2084P0800X</v>
      </c>
      <c r="D14991" t="str">
        <f>"AHMED                    AISHA        J           "</f>
        <v xml:space="preserve">AHMED                    AISHA        J           </v>
      </c>
      <c r="E14991" t="str">
        <f>"SOUTHAVEN                 "</f>
        <v xml:space="preserve">SOUTHAVEN                 </v>
      </c>
      <c r="F14991" t="str">
        <f t="shared" si="380"/>
        <v>MS</v>
      </c>
    </row>
    <row r="14992" spans="1:6" x14ac:dyDescent="0.25">
      <c r="A14992" t="str">
        <f>"200000690"</f>
        <v>200000690</v>
      </c>
      <c r="B14992" t="str">
        <f>"1164434163"</f>
        <v>1164434163</v>
      </c>
      <c r="C14992" t="str">
        <f>"363L00000X"</f>
        <v>363L00000X</v>
      </c>
      <c r="D14992" t="str">
        <f>"GIBSON                   ANGELA                   "</f>
        <v xml:space="preserve">GIBSON                   ANGELA                   </v>
      </c>
      <c r="E14992" t="str">
        <f>"COLUMBUS                  "</f>
        <v xml:space="preserve">COLUMBUS                  </v>
      </c>
      <c r="F14992" t="str">
        <f t="shared" si="380"/>
        <v>MS</v>
      </c>
    </row>
    <row r="14993" spans="1:6" x14ac:dyDescent="0.25">
      <c r="A14993" t="str">
        <f>"200000693"</f>
        <v>200000693</v>
      </c>
      <c r="B14993" t="str">
        <f>"1194449702"</f>
        <v>1194449702</v>
      </c>
      <c r="C14993" t="str">
        <f>"363L00000X"</f>
        <v>363L00000X</v>
      </c>
      <c r="D14993" t="str">
        <f>"HUTCHINS                 MIRANDA                  "</f>
        <v xml:space="preserve">HUTCHINS                 MIRANDA                  </v>
      </c>
      <c r="E14993" t="str">
        <f>"BATESVILLE                "</f>
        <v xml:space="preserve">BATESVILLE                </v>
      </c>
      <c r="F14993" t="str">
        <f t="shared" si="380"/>
        <v>MS</v>
      </c>
    </row>
    <row r="14994" spans="1:6" x14ac:dyDescent="0.25">
      <c r="A14994" t="str">
        <f>"200000702"</f>
        <v>200000702</v>
      </c>
      <c r="B14994" t="str">
        <f>"1447974159"</f>
        <v>1447974159</v>
      </c>
      <c r="C14994" t="str">
        <f>"363L00000X"</f>
        <v>363L00000X</v>
      </c>
      <c r="D14994" t="str">
        <f>"RUDMAN                   ELIZABETH                "</f>
        <v xml:space="preserve">RUDMAN                   ELIZABETH                </v>
      </c>
      <c r="E14994" t="str">
        <f>"SOUTHAVEN                 "</f>
        <v xml:space="preserve">SOUTHAVEN                 </v>
      </c>
      <c r="F14994" t="str">
        <f t="shared" si="380"/>
        <v>MS</v>
      </c>
    </row>
    <row r="14995" spans="1:6" x14ac:dyDescent="0.25">
      <c r="A14995" t="str">
        <f>"200000705"</f>
        <v>200000705</v>
      </c>
      <c r="B14995" t="str">
        <f>"1740244466"</f>
        <v>1740244466</v>
      </c>
      <c r="C14995" t="str">
        <f>"2085R0202X"</f>
        <v>2085R0202X</v>
      </c>
      <c r="D14995" t="str">
        <f>"SOHAL                    RAVINDER                 "</f>
        <v xml:space="preserve">SOHAL                    RAVINDER                 </v>
      </c>
      <c r="E14995" t="str">
        <f>"JACKSON                   "</f>
        <v xml:space="preserve">JACKSON                   </v>
      </c>
      <c r="F14995" t="str">
        <f t="shared" si="380"/>
        <v>MS</v>
      </c>
    </row>
    <row r="14996" spans="1:6" x14ac:dyDescent="0.25">
      <c r="A14996" t="str">
        <f>"200000707"</f>
        <v>200000707</v>
      </c>
      <c r="B14996" t="str">
        <f>"1396910865"</f>
        <v>1396910865</v>
      </c>
      <c r="C14996" t="str">
        <f>"363L00000X"</f>
        <v>363L00000X</v>
      </c>
      <c r="D14996" t="str">
        <f>"STANFORD                 STACEY                   "</f>
        <v xml:space="preserve">STANFORD                 STACEY                   </v>
      </c>
      <c r="E14996" t="str">
        <f>"TUPELO                    "</f>
        <v xml:space="preserve">TUPELO                    </v>
      </c>
      <c r="F14996" t="str">
        <f t="shared" si="380"/>
        <v>MS</v>
      </c>
    </row>
    <row r="14997" spans="1:6" x14ac:dyDescent="0.25">
      <c r="A14997" t="str">
        <f>"200000708"</f>
        <v>200000708</v>
      </c>
      <c r="B14997" t="str">
        <f>"1265470900"</f>
        <v>1265470900</v>
      </c>
      <c r="C14997" t="str">
        <f>"207Q00000X"</f>
        <v>207Q00000X</v>
      </c>
      <c r="D14997" t="str">
        <f>"COLE                     ELIZABETH    D           "</f>
        <v xml:space="preserve">COLE                     ELIZABETH    D           </v>
      </c>
      <c r="E14997" t="str">
        <f>"PICAYUNE                  "</f>
        <v xml:space="preserve">PICAYUNE                  </v>
      </c>
      <c r="F14997" t="str">
        <f t="shared" si="380"/>
        <v>MS</v>
      </c>
    </row>
    <row r="14998" spans="1:6" x14ac:dyDescent="0.25">
      <c r="A14998" t="str">
        <f>"200000719"</f>
        <v>200000719</v>
      </c>
      <c r="B14998" t="str">
        <f>"1477271377"</f>
        <v>1477271377</v>
      </c>
      <c r="C14998" t="str">
        <f>"152W00000X"</f>
        <v>152W00000X</v>
      </c>
      <c r="D14998" t="str">
        <f>"ODOMS EYE CARE CENTRAL                            "</f>
        <v xml:space="preserve">ODOMS EYE CARE CENTRAL                            </v>
      </c>
      <c r="E14998" t="str">
        <f>"JACKSON                   "</f>
        <v xml:space="preserve">JACKSON                   </v>
      </c>
      <c r="F14998" t="str">
        <f t="shared" si="380"/>
        <v>MS</v>
      </c>
    </row>
    <row r="14999" spans="1:6" x14ac:dyDescent="0.25">
      <c r="A14999" t="str">
        <f>"200000720"</f>
        <v>200000720</v>
      </c>
      <c r="B14999" t="str">
        <f>"1912623141"</f>
        <v>1912623141</v>
      </c>
      <c r="C14999" t="str">
        <f>"122300000X"</f>
        <v>122300000X</v>
      </c>
      <c r="D14999" t="str">
        <f>"VIP SMILES ORTHODONTICS                           "</f>
        <v xml:space="preserve">VIP SMILES ORTHODONTICS                           </v>
      </c>
      <c r="E14999" t="str">
        <f>"JACKSON                   "</f>
        <v xml:space="preserve">JACKSON                   </v>
      </c>
      <c r="F14999" t="str">
        <f t="shared" si="380"/>
        <v>MS</v>
      </c>
    </row>
    <row r="15000" spans="1:6" x14ac:dyDescent="0.25">
      <c r="A15000" t="str">
        <f>"200000722"</f>
        <v>200000722</v>
      </c>
      <c r="B15000" t="str">
        <f>"1255628020"</f>
        <v>1255628020</v>
      </c>
      <c r="C15000" t="str">
        <f>"208VP0014X"</f>
        <v>208VP0014X</v>
      </c>
      <c r="D15000" t="str">
        <f>"LUTZ                     JOHN                     "</f>
        <v xml:space="preserve">LUTZ                     JOHN                     </v>
      </c>
      <c r="E15000" t="str">
        <f>"JACKSON                   "</f>
        <v xml:space="preserve">JACKSON                   </v>
      </c>
      <c r="F15000" t="str">
        <f t="shared" si="380"/>
        <v>MS</v>
      </c>
    </row>
    <row r="15001" spans="1:6" x14ac:dyDescent="0.25">
      <c r="A15001" t="str">
        <f>"200000741"</f>
        <v>200000741</v>
      </c>
      <c r="B15001" t="str">
        <f>"1932833639"</f>
        <v>1932833639</v>
      </c>
      <c r="C15001" t="str">
        <f>"363L00000X"</f>
        <v>363L00000X</v>
      </c>
      <c r="D15001" t="str">
        <f>"COOK                     ERIN         M           "</f>
        <v xml:space="preserve">COOK                     ERIN         M           </v>
      </c>
      <c r="E15001" t="str">
        <f>"JACKSON                   "</f>
        <v xml:space="preserve">JACKSON                   </v>
      </c>
      <c r="F15001" t="str">
        <f t="shared" si="380"/>
        <v>MS</v>
      </c>
    </row>
    <row r="15002" spans="1:6" x14ac:dyDescent="0.25">
      <c r="A15002" t="str">
        <f>"200000746"</f>
        <v>200000746</v>
      </c>
      <c r="B15002" t="str">
        <f>"1285829200"</f>
        <v>1285829200</v>
      </c>
      <c r="C15002" t="str">
        <f>"207ZC0500X"</f>
        <v>207ZC0500X</v>
      </c>
      <c r="D15002" t="str">
        <f>"ANDREI                   ANAMARIA                 "</f>
        <v xml:space="preserve">ANDREI                   ANAMARIA                 </v>
      </c>
      <c r="E15002" t="str">
        <f>"JACKSON                   "</f>
        <v xml:space="preserve">JACKSON                   </v>
      </c>
      <c r="F15002" t="str">
        <f t="shared" si="380"/>
        <v>MS</v>
      </c>
    </row>
    <row r="15003" spans="1:6" x14ac:dyDescent="0.25">
      <c r="A15003" t="str">
        <f>"200000748"</f>
        <v>200000748</v>
      </c>
      <c r="B15003" t="str">
        <f>"1760100531"</f>
        <v>1760100531</v>
      </c>
      <c r="C15003" t="str">
        <f>"363L00000X"</f>
        <v>363L00000X</v>
      </c>
      <c r="D15003" t="str">
        <f>"HUGHES                   BONNIE                   "</f>
        <v xml:space="preserve">HUGHES                   BONNIE                   </v>
      </c>
      <c r="E15003" t="str">
        <f>"MCCOMB                    "</f>
        <v xml:space="preserve">MCCOMB                    </v>
      </c>
      <c r="F15003" t="str">
        <f t="shared" si="380"/>
        <v>MS</v>
      </c>
    </row>
    <row r="15004" spans="1:6" x14ac:dyDescent="0.25">
      <c r="A15004" t="str">
        <f>"200000750"</f>
        <v>200000750</v>
      </c>
      <c r="B15004" t="str">
        <f>"1417182007"</f>
        <v>1417182007</v>
      </c>
      <c r="C15004" t="str">
        <f>"2085R0202X"</f>
        <v>2085R0202X</v>
      </c>
      <c r="D15004" t="str">
        <f>"HANSEN III               DALE         E           "</f>
        <v xml:space="preserve">HANSEN III               DALE         E           </v>
      </c>
      <c r="E15004" t="str">
        <f>"OLIVE BRANCH              "</f>
        <v xml:space="preserve">OLIVE BRANCH              </v>
      </c>
      <c r="F15004" t="str">
        <f t="shared" si="380"/>
        <v>MS</v>
      </c>
    </row>
    <row r="15005" spans="1:6" x14ac:dyDescent="0.25">
      <c r="A15005" t="str">
        <f>"200000751"</f>
        <v>200000751</v>
      </c>
      <c r="B15005" t="str">
        <f>"1417182007"</f>
        <v>1417182007</v>
      </c>
      <c r="C15005" t="str">
        <f>"2085R0204X"</f>
        <v>2085R0204X</v>
      </c>
      <c r="D15005" t="str">
        <f>"HANSEN III               DALE         E           "</f>
        <v xml:space="preserve">HANSEN III               DALE         E           </v>
      </c>
      <c r="E15005" t="str">
        <f>"OLIVE BRANCH              "</f>
        <v xml:space="preserve">OLIVE BRANCH              </v>
      </c>
      <c r="F15005" t="str">
        <f t="shared" si="380"/>
        <v>MS</v>
      </c>
    </row>
    <row r="15006" spans="1:6" x14ac:dyDescent="0.25">
      <c r="A15006" t="str">
        <f>"200000757"</f>
        <v>200000757</v>
      </c>
      <c r="B15006" t="str">
        <f>"1164143087"</f>
        <v>1164143087</v>
      </c>
      <c r="C15006" t="str">
        <f>"363L00000X"</f>
        <v>363L00000X</v>
      </c>
      <c r="D15006" t="str">
        <f>"VINSON                   JONATHAN                 "</f>
        <v xml:space="preserve">VINSON                   JONATHAN                 </v>
      </c>
      <c r="E15006" t="str">
        <f>"CLEVELAND                 "</f>
        <v xml:space="preserve">CLEVELAND                 </v>
      </c>
      <c r="F15006" t="str">
        <f t="shared" si="380"/>
        <v>MS</v>
      </c>
    </row>
    <row r="15007" spans="1:6" x14ac:dyDescent="0.25">
      <c r="A15007" t="str">
        <f>"200000763"</f>
        <v>200000763</v>
      </c>
      <c r="B15007" t="str">
        <f>"1396483871"</f>
        <v>1396483871</v>
      </c>
      <c r="C15007" t="str">
        <f>"122300000X"</f>
        <v>122300000X</v>
      </c>
      <c r="D15007" t="str">
        <f>"MAGNOLIA SMILES OF PETAL PLLC                     "</f>
        <v xml:space="preserve">MAGNOLIA SMILES OF PETAL PLLC                     </v>
      </c>
      <c r="E15007" t="str">
        <f>"PETAL                     "</f>
        <v xml:space="preserve">PETAL                     </v>
      </c>
      <c r="F15007" t="str">
        <f t="shared" si="380"/>
        <v>MS</v>
      </c>
    </row>
    <row r="15008" spans="1:6" x14ac:dyDescent="0.25">
      <c r="A15008" t="str">
        <f>"200000774"</f>
        <v>200000774</v>
      </c>
      <c r="B15008" t="str">
        <f>"1356538383"</f>
        <v>1356538383</v>
      </c>
      <c r="C15008" t="str">
        <f>"261QM0801X"</f>
        <v>261QM0801X</v>
      </c>
      <c r="D15008" t="str">
        <f>"YOUTH VILLAGES, INC. - HATTIESBURG                "</f>
        <v xml:space="preserve">YOUTH VILLAGES, INC. - HATTIESBURG                </v>
      </c>
      <c r="E15008" t="str">
        <f>"HATTIESBURG               "</f>
        <v xml:space="preserve">HATTIESBURG               </v>
      </c>
      <c r="F15008" t="str">
        <f t="shared" si="380"/>
        <v>MS</v>
      </c>
    </row>
    <row r="15009" spans="1:6" x14ac:dyDescent="0.25">
      <c r="A15009" t="str">
        <f>"200000783"</f>
        <v>200000783</v>
      </c>
      <c r="B15009" t="str">
        <f>"1124022637"</f>
        <v>1124022637</v>
      </c>
      <c r="C15009" t="str">
        <f>"2085R0202X"</f>
        <v>2085R0202X</v>
      </c>
      <c r="D15009" t="str">
        <f>"DUSZAK                   RICHARD                  "</f>
        <v xml:space="preserve">DUSZAK                   RICHARD                  </v>
      </c>
      <c r="E15009" t="str">
        <f>"JACKSON                   "</f>
        <v xml:space="preserve">JACKSON                   </v>
      </c>
      <c r="F15009" t="str">
        <f t="shared" si="380"/>
        <v>MS</v>
      </c>
    </row>
    <row r="15010" spans="1:6" x14ac:dyDescent="0.25">
      <c r="A15010" t="str">
        <f>"200000804"</f>
        <v>200000804</v>
      </c>
      <c r="B15010" t="str">
        <f>"1275271322"</f>
        <v>1275271322</v>
      </c>
      <c r="C15010" t="str">
        <f>"152W00000X"</f>
        <v>152W00000X</v>
      </c>
      <c r="D15010" t="str">
        <f>"MCARTHUR                 JOSEPH       B           "</f>
        <v xml:space="preserve">MCARTHUR                 JOSEPH       B           </v>
      </c>
      <c r="E15010" t="str">
        <f>"LAUREL                    "</f>
        <v xml:space="preserve">LAUREL                    </v>
      </c>
      <c r="F15010" t="str">
        <f t="shared" si="380"/>
        <v>MS</v>
      </c>
    </row>
    <row r="15011" spans="1:6" x14ac:dyDescent="0.25">
      <c r="A15011" t="str">
        <f>"200000813"</f>
        <v>200000813</v>
      </c>
      <c r="B15011" t="str">
        <f>"1427772284"</f>
        <v>1427772284</v>
      </c>
      <c r="C15011" t="str">
        <f>"363L00000X"</f>
        <v>363L00000X</v>
      </c>
      <c r="D15011" t="str">
        <f>"HARRELSON                ALICE        C           "</f>
        <v xml:space="preserve">HARRELSON                ALICE        C           </v>
      </c>
      <c r="E15011" t="str">
        <f>"TUPELO                    "</f>
        <v xml:space="preserve">TUPELO                    </v>
      </c>
      <c r="F15011" t="str">
        <f t="shared" si="380"/>
        <v>MS</v>
      </c>
    </row>
    <row r="15012" spans="1:6" x14ac:dyDescent="0.25">
      <c r="A15012" t="str">
        <f>"200000819"</f>
        <v>200000819</v>
      </c>
      <c r="B15012" t="str">
        <f>"1104440544"</f>
        <v>1104440544</v>
      </c>
      <c r="C15012" t="str">
        <f>"207Q00000X"</f>
        <v>207Q00000X</v>
      </c>
      <c r="D15012" t="str">
        <f>"DABBS                    RIDGELAND                "</f>
        <v xml:space="preserve">DABBS                    RIDGELAND                </v>
      </c>
      <c r="E15012" t="str">
        <f>"BOONEVILLE                "</f>
        <v xml:space="preserve">BOONEVILLE                </v>
      </c>
      <c r="F15012" t="str">
        <f t="shared" si="380"/>
        <v>MS</v>
      </c>
    </row>
    <row r="15013" spans="1:6" x14ac:dyDescent="0.25">
      <c r="A15013" t="str">
        <f>"200000834"</f>
        <v>200000834</v>
      </c>
      <c r="B15013" t="str">
        <f>"1699981639"</f>
        <v>1699981639</v>
      </c>
      <c r="C15013" t="str">
        <f>"207ZP0101X"</f>
        <v>207ZP0101X</v>
      </c>
      <c r="D15013" t="str">
        <f>"ELKINS                   CAMILLE                  "</f>
        <v xml:space="preserve">ELKINS                   CAMILLE                  </v>
      </c>
      <c r="E15013" t="str">
        <f>"OCEAN SPRINGS             "</f>
        <v xml:space="preserve">OCEAN SPRINGS             </v>
      </c>
      <c r="F15013" t="str">
        <f t="shared" si="380"/>
        <v>MS</v>
      </c>
    </row>
    <row r="15014" spans="1:6" x14ac:dyDescent="0.25">
      <c r="A15014" t="str">
        <f>"200000837"</f>
        <v>200000837</v>
      </c>
      <c r="B15014" t="str">
        <f>"1891923918"</f>
        <v>1891923918</v>
      </c>
      <c r="C15014" t="str">
        <f>"2085R0202X"</f>
        <v>2085R0202X</v>
      </c>
      <c r="D15014" t="str">
        <f>"JONES                    DAVID        P           "</f>
        <v xml:space="preserve">JONES                    DAVID        P           </v>
      </c>
      <c r="E15014" t="str">
        <f>"OXFORD                    "</f>
        <v xml:space="preserve">OXFORD                    </v>
      </c>
      <c r="F15014" t="str">
        <f t="shared" si="380"/>
        <v>MS</v>
      </c>
    </row>
    <row r="15015" spans="1:6" x14ac:dyDescent="0.25">
      <c r="A15015" t="str">
        <f>"200000839"</f>
        <v>200000839</v>
      </c>
      <c r="B15015" t="str">
        <f>"1942928999"</f>
        <v>1942928999</v>
      </c>
      <c r="C15015" t="str">
        <f>"363L00000X"</f>
        <v>363L00000X</v>
      </c>
      <c r="D15015" t="str">
        <f>"NELSON                   MELANIE                  "</f>
        <v xml:space="preserve">NELSON                   MELANIE                  </v>
      </c>
      <c r="E15015" t="str">
        <f>"JACKSON                   "</f>
        <v xml:space="preserve">JACKSON                   </v>
      </c>
      <c r="F15015" t="str">
        <f t="shared" si="380"/>
        <v>MS</v>
      </c>
    </row>
    <row r="15016" spans="1:6" x14ac:dyDescent="0.25">
      <c r="A15016" t="str">
        <f>"200000840"</f>
        <v>200000840</v>
      </c>
      <c r="B15016" t="str">
        <f>"1265049928"</f>
        <v>1265049928</v>
      </c>
      <c r="C15016" t="str">
        <f>"363L00000X"</f>
        <v>363L00000X</v>
      </c>
      <c r="D15016" t="str">
        <f>"SMITH                    JILLIAN                  "</f>
        <v xml:space="preserve">SMITH                    JILLIAN                  </v>
      </c>
      <c r="E15016" t="str">
        <f>"WAYNESBORO                "</f>
        <v xml:space="preserve">WAYNESBORO                </v>
      </c>
      <c r="F15016" t="str">
        <f t="shared" si="380"/>
        <v>MS</v>
      </c>
    </row>
    <row r="15017" spans="1:6" x14ac:dyDescent="0.25">
      <c r="A15017" t="str">
        <f>"200000844"</f>
        <v>200000844</v>
      </c>
      <c r="B15017" t="str">
        <f>"1548995509"</f>
        <v>1548995509</v>
      </c>
      <c r="C15017" t="str">
        <f>"152W00000X"</f>
        <v>152W00000X</v>
      </c>
      <c r="D15017" t="str">
        <f>"EDWARDS                  TAYLOR       W           "</f>
        <v xml:space="preserve">EDWARDS                  TAYLOR       W           </v>
      </c>
      <c r="E15017" t="str">
        <f>"WATER VALLEY              "</f>
        <v xml:space="preserve">WATER VALLEY              </v>
      </c>
      <c r="F15017" t="str">
        <f t="shared" si="380"/>
        <v>MS</v>
      </c>
    </row>
    <row r="15018" spans="1:6" x14ac:dyDescent="0.25">
      <c r="A15018" t="str">
        <f>"200000855"</f>
        <v>200000855</v>
      </c>
      <c r="B15018" t="str">
        <f>"1093753303"</f>
        <v>1093753303</v>
      </c>
      <c r="C15018" t="str">
        <f>"207ZP0102X"</f>
        <v>207ZP0102X</v>
      </c>
      <c r="D15018" t="str">
        <f>"WELCH                    DEREK                    "</f>
        <v xml:space="preserve">WELCH                    DEREK                    </v>
      </c>
      <c r="E15018" t="str">
        <f>"SOUTHAVEN                 "</f>
        <v xml:space="preserve">SOUTHAVEN                 </v>
      </c>
      <c r="F15018" t="str">
        <f t="shared" si="380"/>
        <v>MS</v>
      </c>
    </row>
    <row r="15019" spans="1:6" x14ac:dyDescent="0.25">
      <c r="A15019" t="str">
        <f>"200000861"</f>
        <v>200000861</v>
      </c>
      <c r="B15019" t="str">
        <f>"1922252477"</f>
        <v>1922252477</v>
      </c>
      <c r="C15019" t="str">
        <f>"207P00000X"</f>
        <v>207P00000X</v>
      </c>
      <c r="D15019" t="str">
        <f>"HALES                    ANGELA                   "</f>
        <v xml:space="preserve">HALES                    ANGELA                   </v>
      </c>
      <c r="E15019" t="str">
        <f>"MERIDIAN                  "</f>
        <v xml:space="preserve">MERIDIAN                  </v>
      </c>
      <c r="F15019" t="str">
        <f t="shared" si="380"/>
        <v>MS</v>
      </c>
    </row>
    <row r="15020" spans="1:6" x14ac:dyDescent="0.25">
      <c r="A15020" t="str">
        <f>"200000881"</f>
        <v>200000881</v>
      </c>
      <c r="B15020" t="str">
        <f>"1063174266"</f>
        <v>1063174266</v>
      </c>
      <c r="C15020" t="str">
        <f>"363A00000X"</f>
        <v>363A00000X</v>
      </c>
      <c r="D15020" t="str">
        <f>"HEROUX                   ELIZABETH                "</f>
        <v xml:space="preserve">HEROUX                   ELIZABETH                </v>
      </c>
      <c r="E15020" t="str">
        <f>"OCEAN SPRINGS             "</f>
        <v xml:space="preserve">OCEAN SPRINGS             </v>
      </c>
      <c r="F15020" t="str">
        <f t="shared" si="380"/>
        <v>MS</v>
      </c>
    </row>
    <row r="15021" spans="1:6" x14ac:dyDescent="0.25">
      <c r="A15021" t="str">
        <f>"200000882"</f>
        <v>200000882</v>
      </c>
      <c r="B15021" t="str">
        <f>"1780843284"</f>
        <v>1780843284</v>
      </c>
      <c r="C15021" t="str">
        <f>"122300000X"</f>
        <v>122300000X</v>
      </c>
      <c r="D15021" t="str">
        <f>"LANE                     KEETH                    "</f>
        <v xml:space="preserve">LANE                     KEETH                    </v>
      </c>
      <c r="E15021" t="str">
        <f>"TAYLORSVILLE              "</f>
        <v xml:space="preserve">TAYLORSVILLE              </v>
      </c>
      <c r="F15021" t="str">
        <f t="shared" si="380"/>
        <v>MS</v>
      </c>
    </row>
    <row r="15022" spans="1:6" x14ac:dyDescent="0.25">
      <c r="A15022" t="str">
        <f>"200000885"</f>
        <v>200000885</v>
      </c>
      <c r="B15022" t="str">
        <f>"1215497326"</f>
        <v>1215497326</v>
      </c>
      <c r="C15022" t="str">
        <f>"207P00000X"</f>
        <v>207P00000X</v>
      </c>
      <c r="D15022" t="str">
        <f>"MAYAR                    ESMAEL                   "</f>
        <v xml:space="preserve">MAYAR                    ESMAEL                   </v>
      </c>
      <c r="E15022" t="str">
        <f>"BILOXI                    "</f>
        <v xml:space="preserve">BILOXI                    </v>
      </c>
      <c r="F15022" t="str">
        <f t="shared" si="380"/>
        <v>MS</v>
      </c>
    </row>
    <row r="15023" spans="1:6" x14ac:dyDescent="0.25">
      <c r="A15023" t="str">
        <f>"200000886"</f>
        <v>200000886</v>
      </c>
      <c r="B15023" t="str">
        <f>"1649653247"</f>
        <v>1649653247</v>
      </c>
      <c r="C15023" t="str">
        <f>"207V00000X"</f>
        <v>207V00000X</v>
      </c>
      <c r="D15023" t="str">
        <f>"RUSHING                  JOHN                     "</f>
        <v xml:space="preserve">RUSHING                  JOHN                     </v>
      </c>
      <c r="E15023" t="str">
        <f>"JACKSON                   "</f>
        <v xml:space="preserve">JACKSON                   </v>
      </c>
      <c r="F15023" t="str">
        <f t="shared" si="380"/>
        <v>MS</v>
      </c>
    </row>
    <row r="15024" spans="1:6" x14ac:dyDescent="0.25">
      <c r="A15024" t="str">
        <f>"200000896"</f>
        <v>200000896</v>
      </c>
      <c r="B15024" t="str">
        <f>"1275054579"</f>
        <v>1275054579</v>
      </c>
      <c r="C15024" t="str">
        <f>"208600000X"</f>
        <v>208600000X</v>
      </c>
      <c r="D15024" t="str">
        <f>"BILAL                    MUHAMMED                 "</f>
        <v xml:space="preserve">BILAL                    MUHAMMED                 </v>
      </c>
      <c r="E15024" t="str">
        <f>"WAYNESBORO                "</f>
        <v xml:space="preserve">WAYNESBORO                </v>
      </c>
      <c r="F15024" t="str">
        <f t="shared" si="380"/>
        <v>MS</v>
      </c>
    </row>
    <row r="15025" spans="1:6" x14ac:dyDescent="0.25">
      <c r="A15025" t="str">
        <f>"200000898"</f>
        <v>200000898</v>
      </c>
      <c r="B15025" t="str">
        <f>"1841719903"</f>
        <v>1841719903</v>
      </c>
      <c r="C15025" t="str">
        <f>"363L00000X"</f>
        <v>363L00000X</v>
      </c>
      <c r="D15025" t="str">
        <f>"BELL                     YOLANDA                  "</f>
        <v xml:space="preserve">BELL                     YOLANDA                  </v>
      </c>
      <c r="E15025" t="str">
        <f>"VICKSBURG                 "</f>
        <v xml:space="preserve">VICKSBURG                 </v>
      </c>
      <c r="F15025" t="str">
        <f t="shared" si="380"/>
        <v>MS</v>
      </c>
    </row>
    <row r="15026" spans="1:6" x14ac:dyDescent="0.25">
      <c r="A15026" t="str">
        <f>"200000908"</f>
        <v>200000908</v>
      </c>
      <c r="B15026" t="str">
        <f>"1023375300"</f>
        <v>1023375300</v>
      </c>
      <c r="C15026" t="str">
        <f>"207RN0300X"</f>
        <v>207RN0300X</v>
      </c>
      <c r="D15026" t="str">
        <f>"MARES                    JON                      "</f>
        <v xml:space="preserve">MARES                    JON                      </v>
      </c>
      <c r="E15026" t="str">
        <f>"GULFPORT                  "</f>
        <v xml:space="preserve">GULFPORT                  </v>
      </c>
      <c r="F15026" t="str">
        <f t="shared" si="380"/>
        <v>MS</v>
      </c>
    </row>
    <row r="15027" spans="1:6" x14ac:dyDescent="0.25">
      <c r="A15027" t="str">
        <f>"200000957"</f>
        <v>200000957</v>
      </c>
      <c r="B15027" t="str">
        <f>"1790122141"</f>
        <v>1790122141</v>
      </c>
      <c r="C15027" t="str">
        <f>"207T00000X"</f>
        <v>207T00000X</v>
      </c>
      <c r="D15027" t="str">
        <f>"JOHNSON                  KENDRICK                 "</f>
        <v xml:space="preserve">JOHNSON                  KENDRICK                 </v>
      </c>
      <c r="E15027" t="str">
        <f>"GULFPORT                  "</f>
        <v xml:space="preserve">GULFPORT                  </v>
      </c>
      <c r="F15027" t="str">
        <f t="shared" si="380"/>
        <v>MS</v>
      </c>
    </row>
    <row r="15028" spans="1:6" x14ac:dyDescent="0.25">
      <c r="A15028" t="str">
        <f>"200000958"</f>
        <v>200000958</v>
      </c>
      <c r="B15028" t="str">
        <f>"1093437295"</f>
        <v>1093437295</v>
      </c>
      <c r="C15028" t="str">
        <f>"1223X0400X"</f>
        <v>1223X0400X</v>
      </c>
      <c r="D15028" t="str">
        <f>"REMLEY                   MARY         L           "</f>
        <v xml:space="preserve">REMLEY                   MARY         L           </v>
      </c>
      <c r="E15028" t="str">
        <f>"MAGEE                     "</f>
        <v xml:space="preserve">MAGEE                     </v>
      </c>
      <c r="F15028" t="str">
        <f t="shared" si="380"/>
        <v>MS</v>
      </c>
    </row>
    <row r="15029" spans="1:6" x14ac:dyDescent="0.25">
      <c r="A15029" t="str">
        <f>"200000960"</f>
        <v>200000960</v>
      </c>
      <c r="B15029" t="str">
        <f>"1710613294"</f>
        <v>1710613294</v>
      </c>
      <c r="C15029" t="str">
        <f>"261QM1300X"</f>
        <v>261QM1300X</v>
      </c>
      <c r="D15029" t="str">
        <f>"KIDS HUB CHILD ADVOCACY CENTER                    "</f>
        <v xml:space="preserve">KIDS HUB CHILD ADVOCACY CENTER                    </v>
      </c>
      <c r="E15029" t="str">
        <f>"HATTIESBURG               "</f>
        <v xml:space="preserve">HATTIESBURG               </v>
      </c>
      <c r="F15029" t="str">
        <f t="shared" si="380"/>
        <v>MS</v>
      </c>
    </row>
    <row r="15030" spans="1:6" x14ac:dyDescent="0.25">
      <c r="A15030" t="str">
        <f>"200000978"</f>
        <v>200000978</v>
      </c>
      <c r="B15030" t="str">
        <f>"1225757123"</f>
        <v>1225757123</v>
      </c>
      <c r="C15030" t="str">
        <f>"363L00000X"</f>
        <v>363L00000X</v>
      </c>
      <c r="D15030" t="str">
        <f>"SHOOK                    KATHERINE                "</f>
        <v xml:space="preserve">SHOOK                    KATHERINE                </v>
      </c>
      <c r="E15030" t="str">
        <f>"HERNANDO                  "</f>
        <v xml:space="preserve">HERNANDO                  </v>
      </c>
      <c r="F15030" t="str">
        <f t="shared" si="380"/>
        <v>MS</v>
      </c>
    </row>
    <row r="15031" spans="1:6" x14ac:dyDescent="0.25">
      <c r="A15031" t="str">
        <f>"200000992"</f>
        <v>200000992</v>
      </c>
      <c r="B15031" t="str">
        <f>"1255728010"</f>
        <v>1255728010</v>
      </c>
      <c r="C15031" t="str">
        <f>"207RE0101X"</f>
        <v>207RE0101X</v>
      </c>
      <c r="D15031" t="str">
        <f>"WILSON                   MARIANNE                 "</f>
        <v xml:space="preserve">WILSON                   MARIANNE                 </v>
      </c>
      <c r="E15031" t="str">
        <f>"JACKSON                   "</f>
        <v xml:space="preserve">JACKSON                   </v>
      </c>
      <c r="F15031" t="str">
        <f t="shared" si="380"/>
        <v>MS</v>
      </c>
    </row>
    <row r="15032" spans="1:6" x14ac:dyDescent="0.25">
      <c r="A15032" t="str">
        <f>"200001005"</f>
        <v>200001005</v>
      </c>
      <c r="B15032" t="str">
        <f>"1023362456"</f>
        <v>1023362456</v>
      </c>
      <c r="C15032" t="str">
        <f>"207ZP0102X"</f>
        <v>207ZP0102X</v>
      </c>
      <c r="D15032" t="str">
        <f>"BROWN                    KATHRYN      B           "</f>
        <v xml:space="preserve">BROWN                    KATHRYN      B           </v>
      </c>
      <c r="E15032" t="str">
        <f>"JACKSON                   "</f>
        <v xml:space="preserve">JACKSON                   </v>
      </c>
      <c r="F15032" t="str">
        <f t="shared" si="380"/>
        <v>MS</v>
      </c>
    </row>
    <row r="15033" spans="1:6" x14ac:dyDescent="0.25">
      <c r="A15033" t="str">
        <f>"200001006"</f>
        <v>200001006</v>
      </c>
      <c r="B15033" t="str">
        <f>"1184915241"</f>
        <v>1184915241</v>
      </c>
      <c r="C15033" t="str">
        <f>"207ZC0500X"</f>
        <v>207ZC0500X</v>
      </c>
      <c r="D15033" t="str">
        <f>"KEMPE                    MEGAN                    "</f>
        <v xml:space="preserve">KEMPE                    MEGAN                    </v>
      </c>
      <c r="E15033" t="str">
        <f>"OLIVE BRANCH              "</f>
        <v xml:space="preserve">OLIVE BRANCH              </v>
      </c>
      <c r="F15033" t="str">
        <f t="shared" si="380"/>
        <v>MS</v>
      </c>
    </row>
    <row r="15034" spans="1:6" x14ac:dyDescent="0.25">
      <c r="A15034" t="str">
        <f>"200001008"</f>
        <v>200001008</v>
      </c>
      <c r="B15034" t="str">
        <f>"1710529888"</f>
        <v>1710529888</v>
      </c>
      <c r="C15034" t="str">
        <f>"363L00000X"</f>
        <v>363L00000X</v>
      </c>
      <c r="D15034" t="str">
        <f>"MILLER                   BRITTANY     A           "</f>
        <v xml:space="preserve">MILLER                   BRITTANY     A           </v>
      </c>
      <c r="E15034" t="str">
        <f>"BOONEVILLE                "</f>
        <v xml:space="preserve">BOONEVILLE                </v>
      </c>
      <c r="F15034" t="str">
        <f t="shared" si="380"/>
        <v>MS</v>
      </c>
    </row>
    <row r="15035" spans="1:6" x14ac:dyDescent="0.25">
      <c r="A15035" t="str">
        <f>"200001009"</f>
        <v>200001009</v>
      </c>
      <c r="B15035" t="str">
        <f>"1265420467"</f>
        <v>1265420467</v>
      </c>
      <c r="C15035" t="str">
        <f>"208600000X"</f>
        <v>208600000X</v>
      </c>
      <c r="D15035" t="str">
        <f>"BRUNSTON                 ROBERT       L           "</f>
        <v xml:space="preserve">BRUNSTON                 ROBERT       L           </v>
      </c>
      <c r="E15035" t="str">
        <f>"GREENVILLE                "</f>
        <v xml:space="preserve">GREENVILLE                </v>
      </c>
      <c r="F15035" t="str">
        <f t="shared" si="380"/>
        <v>MS</v>
      </c>
    </row>
    <row r="15036" spans="1:6" x14ac:dyDescent="0.25">
      <c r="A15036" t="str">
        <f>"200001010"</f>
        <v>200001010</v>
      </c>
      <c r="B15036" t="str">
        <f>"1285259275"</f>
        <v>1285259275</v>
      </c>
      <c r="C15036" t="str">
        <f>"207R00000X"</f>
        <v>207R00000X</v>
      </c>
      <c r="D15036" t="str">
        <f>"SOMI                     SHAMIMA      A           "</f>
        <v xml:space="preserve">SOMI                     SHAMIMA      A           </v>
      </c>
      <c r="E15036" t="str">
        <f>"JACKSON                   "</f>
        <v xml:space="preserve">JACKSON                   </v>
      </c>
      <c r="F15036" t="str">
        <f t="shared" si="380"/>
        <v>MS</v>
      </c>
    </row>
    <row r="15037" spans="1:6" x14ac:dyDescent="0.25">
      <c r="A15037" t="str">
        <f>"200001022"</f>
        <v>200001022</v>
      </c>
      <c r="B15037" t="str">
        <f>"1104233378"</f>
        <v>1104233378</v>
      </c>
      <c r="C15037" t="str">
        <f>"207Q00000X"</f>
        <v>207Q00000X</v>
      </c>
      <c r="D15037" t="str">
        <f>"GEISENHEIMER             THOMAS                   "</f>
        <v xml:space="preserve">GEISENHEIMER             THOMAS                   </v>
      </c>
      <c r="E15037" t="str">
        <f>"BILOXI                    "</f>
        <v xml:space="preserve">BILOXI                    </v>
      </c>
      <c r="F15037" t="str">
        <f t="shared" si="380"/>
        <v>MS</v>
      </c>
    </row>
    <row r="15038" spans="1:6" x14ac:dyDescent="0.25">
      <c r="A15038" t="str">
        <f>"200001026"</f>
        <v>200001026</v>
      </c>
      <c r="B15038" t="str">
        <f>"1073727772"</f>
        <v>1073727772</v>
      </c>
      <c r="C15038" t="str">
        <f>"122300000X"</f>
        <v>122300000X</v>
      </c>
      <c r="D15038" t="str">
        <f>"COLLINS                  JOBY                     "</f>
        <v xml:space="preserve">COLLINS                  JOBY                     </v>
      </c>
      <c r="E15038" t="str">
        <f>"SMITHVILLE                "</f>
        <v xml:space="preserve">SMITHVILLE                </v>
      </c>
      <c r="F15038" t="str">
        <f t="shared" ref="F15038:F15101" si="381">"MS"</f>
        <v>MS</v>
      </c>
    </row>
    <row r="15039" spans="1:6" x14ac:dyDescent="0.25">
      <c r="A15039" t="str">
        <f>"200001027"</f>
        <v>200001027</v>
      </c>
      <c r="B15039" t="str">
        <f>"1710309877"</f>
        <v>1710309877</v>
      </c>
      <c r="C15039" t="str">
        <f>"363L00000X"</f>
        <v>363L00000X</v>
      </c>
      <c r="D15039" t="str">
        <f>"DELANEY MAGITT           ROSELYN                  "</f>
        <v xml:space="preserve">DELANEY MAGITT           ROSELYN                  </v>
      </c>
      <c r="E15039" t="str">
        <f>"OLIVE BRANCH              "</f>
        <v xml:space="preserve">OLIVE BRANCH              </v>
      </c>
      <c r="F15039" t="str">
        <f t="shared" si="381"/>
        <v>MS</v>
      </c>
    </row>
    <row r="15040" spans="1:6" x14ac:dyDescent="0.25">
      <c r="A15040" t="str">
        <f>"200001034"</f>
        <v>200001034</v>
      </c>
      <c r="B15040" t="str">
        <f>"1245940337"</f>
        <v>1245940337</v>
      </c>
      <c r="C15040" t="str">
        <f>"367500000X"</f>
        <v>367500000X</v>
      </c>
      <c r="D15040" t="str">
        <f>"BAILEY                   BRIAN                    "</f>
        <v xml:space="preserve">BAILEY                   BRIAN                    </v>
      </c>
      <c r="E15040" t="str">
        <f>"HATTIESBURG               "</f>
        <v xml:space="preserve">HATTIESBURG               </v>
      </c>
      <c r="F15040" t="str">
        <f t="shared" si="381"/>
        <v>MS</v>
      </c>
    </row>
    <row r="15041" spans="1:6" x14ac:dyDescent="0.25">
      <c r="A15041" t="str">
        <f>"200001038"</f>
        <v>200001038</v>
      </c>
      <c r="B15041" t="str">
        <f>"1598933301"</f>
        <v>1598933301</v>
      </c>
      <c r="C15041" t="str">
        <f>"207T00000X"</f>
        <v>207T00000X</v>
      </c>
      <c r="D15041" t="str">
        <f>"WINESTONE                JOHN                     "</f>
        <v xml:space="preserve">WINESTONE                JOHN                     </v>
      </c>
      <c r="E15041" t="str">
        <f>"TUPELO                    "</f>
        <v xml:space="preserve">TUPELO                    </v>
      </c>
      <c r="F15041" t="str">
        <f t="shared" si="381"/>
        <v>MS</v>
      </c>
    </row>
    <row r="15042" spans="1:6" x14ac:dyDescent="0.25">
      <c r="A15042" t="str">
        <f>"200001042"</f>
        <v>200001042</v>
      </c>
      <c r="B15042" t="str">
        <f>"1063989036"</f>
        <v>1063989036</v>
      </c>
      <c r="C15042" t="str">
        <f>"363L00000X"</f>
        <v>363L00000X</v>
      </c>
      <c r="D15042" t="str">
        <f>"PENDER                   MELISSA                  "</f>
        <v xml:space="preserve">PENDER                   MELISSA                  </v>
      </c>
      <c r="E15042" t="str">
        <f>"JACKSON                   "</f>
        <v xml:space="preserve">JACKSON                   </v>
      </c>
      <c r="F15042" t="str">
        <f t="shared" si="381"/>
        <v>MS</v>
      </c>
    </row>
    <row r="15043" spans="1:6" x14ac:dyDescent="0.25">
      <c r="A15043" t="str">
        <f>"200001044"</f>
        <v>200001044</v>
      </c>
      <c r="B15043" t="str">
        <f>"1952808958"</f>
        <v>1952808958</v>
      </c>
      <c r="C15043" t="str">
        <f>"207Q00000X"</f>
        <v>207Q00000X</v>
      </c>
      <c r="D15043" t="str">
        <f>"CONLEY                   DENAYA                   "</f>
        <v xml:space="preserve">CONLEY                   DENAYA                   </v>
      </c>
      <c r="E15043" t="str">
        <f>"TUPELO                    "</f>
        <v xml:space="preserve">TUPELO                    </v>
      </c>
      <c r="F15043" t="str">
        <f t="shared" si="381"/>
        <v>MS</v>
      </c>
    </row>
    <row r="15044" spans="1:6" x14ac:dyDescent="0.25">
      <c r="A15044" t="str">
        <f>"200001049"</f>
        <v>200001049</v>
      </c>
      <c r="B15044" t="str">
        <f>"1881314193"</f>
        <v>1881314193</v>
      </c>
      <c r="C15044" t="str">
        <f>"363L00000X"</f>
        <v>363L00000X</v>
      </c>
      <c r="D15044" t="str">
        <f>"HARRIS                   ALICIA                   "</f>
        <v xml:space="preserve">HARRIS                   ALICIA                   </v>
      </c>
      <c r="E15044" t="str">
        <f>"COLUMBUS                  "</f>
        <v xml:space="preserve">COLUMBUS                  </v>
      </c>
      <c r="F15044" t="str">
        <f t="shared" si="381"/>
        <v>MS</v>
      </c>
    </row>
    <row r="15045" spans="1:6" x14ac:dyDescent="0.25">
      <c r="A15045" t="str">
        <f>"200001061"</f>
        <v>200001061</v>
      </c>
      <c r="B15045" t="str">
        <f>"1952071227"</f>
        <v>1952071227</v>
      </c>
      <c r="C15045" t="str">
        <f>"363L00000X"</f>
        <v>363L00000X</v>
      </c>
      <c r="D15045" t="str">
        <f>"SKINNER                  JESSICA      F           "</f>
        <v xml:space="preserve">SKINNER                  JESSICA      F           </v>
      </c>
      <c r="E15045" t="str">
        <f>"RIDGELAND                 "</f>
        <v xml:space="preserve">RIDGELAND                 </v>
      </c>
      <c r="F15045" t="str">
        <f t="shared" si="381"/>
        <v>MS</v>
      </c>
    </row>
    <row r="15046" spans="1:6" x14ac:dyDescent="0.25">
      <c r="A15046" t="str">
        <f>"200001064"</f>
        <v>200001064</v>
      </c>
      <c r="B15046" t="str">
        <f>"1962636605"</f>
        <v>1962636605</v>
      </c>
      <c r="C15046" t="str">
        <f>"207X00000X"</f>
        <v>207X00000X</v>
      </c>
      <c r="D15046" t="str">
        <f>"BIGGERS, III             MARCUS       D           "</f>
        <v xml:space="preserve">BIGGERS, III             MARCUS       D           </v>
      </c>
      <c r="E15046" t="str">
        <f>"SOUTHAVEN                 "</f>
        <v xml:space="preserve">SOUTHAVEN                 </v>
      </c>
      <c r="F15046" t="str">
        <f t="shared" si="381"/>
        <v>MS</v>
      </c>
    </row>
    <row r="15047" spans="1:6" x14ac:dyDescent="0.25">
      <c r="A15047" t="str">
        <f>"200001070"</f>
        <v>200001070</v>
      </c>
      <c r="B15047" t="str">
        <f>"1649624834"</f>
        <v>1649624834</v>
      </c>
      <c r="C15047" t="str">
        <f>"207RP1001X"</f>
        <v>207RP1001X</v>
      </c>
      <c r="D15047" t="str">
        <f>"YUGAY                    ALLA                     "</f>
        <v xml:space="preserve">YUGAY                    ALLA                     </v>
      </c>
      <c r="E15047" t="str">
        <f>"LAUREL                    "</f>
        <v xml:space="preserve">LAUREL                    </v>
      </c>
      <c r="F15047" t="str">
        <f t="shared" si="381"/>
        <v>MS</v>
      </c>
    </row>
    <row r="15048" spans="1:6" x14ac:dyDescent="0.25">
      <c r="A15048" t="str">
        <f>"200001074"</f>
        <v>200001074</v>
      </c>
      <c r="B15048" t="str">
        <f>"1407576382"</f>
        <v>1407576382</v>
      </c>
      <c r="C15048" t="str">
        <f>"363L00000X"</f>
        <v>363L00000X</v>
      </c>
      <c r="D15048" t="str">
        <f>"HOLLY                    RIED         A           "</f>
        <v xml:space="preserve">HOLLY                    RIED         A           </v>
      </c>
      <c r="E15048" t="str">
        <f>"SOUTHAVEN                 "</f>
        <v xml:space="preserve">SOUTHAVEN                 </v>
      </c>
      <c r="F15048" t="str">
        <f t="shared" si="381"/>
        <v>MS</v>
      </c>
    </row>
    <row r="15049" spans="1:6" x14ac:dyDescent="0.25">
      <c r="A15049" t="str">
        <f>"200001075"</f>
        <v>200001075</v>
      </c>
      <c r="B15049" t="str">
        <f>"1710619622"</f>
        <v>1710619622</v>
      </c>
      <c r="C15049" t="str">
        <f>"363L00000X"</f>
        <v>363L00000X</v>
      </c>
      <c r="D15049" t="str">
        <f>"ALRED                    KATHRYN                  "</f>
        <v xml:space="preserve">ALRED                    KATHRYN                  </v>
      </c>
      <c r="E15049" t="str">
        <f>"PONTOTOC                  "</f>
        <v xml:space="preserve">PONTOTOC                  </v>
      </c>
      <c r="F15049" t="str">
        <f t="shared" si="381"/>
        <v>MS</v>
      </c>
    </row>
    <row r="15050" spans="1:6" x14ac:dyDescent="0.25">
      <c r="A15050" t="str">
        <f>"200001078"</f>
        <v>200001078</v>
      </c>
      <c r="B15050" t="str">
        <f>"1295480630"</f>
        <v>1295480630</v>
      </c>
      <c r="C15050" t="str">
        <f>"363L00000X"</f>
        <v>363L00000X</v>
      </c>
      <c r="D15050" t="str">
        <f>"EASON                    JEFFREY                  "</f>
        <v xml:space="preserve">EASON                    JEFFREY                  </v>
      </c>
      <c r="E15050" t="str">
        <f>"OLIVE BRANCH              "</f>
        <v xml:space="preserve">OLIVE BRANCH              </v>
      </c>
      <c r="F15050" t="str">
        <f t="shared" si="381"/>
        <v>MS</v>
      </c>
    </row>
    <row r="15051" spans="1:6" x14ac:dyDescent="0.25">
      <c r="A15051" t="str">
        <f>"200001083"</f>
        <v>200001083</v>
      </c>
      <c r="B15051" t="str">
        <f>"1306564034"</f>
        <v>1306564034</v>
      </c>
      <c r="C15051" t="str">
        <f>"122300000X"</f>
        <v>122300000X</v>
      </c>
      <c r="D15051" t="str">
        <f>"AMY KENNY DMD, LLC                                "</f>
        <v xml:space="preserve">AMY KENNY DMD, LLC                                </v>
      </c>
      <c r="E15051" t="str">
        <f>"BAY SAINT LOUIS           "</f>
        <v xml:space="preserve">BAY SAINT LOUIS           </v>
      </c>
      <c r="F15051" t="str">
        <f t="shared" si="381"/>
        <v>MS</v>
      </c>
    </row>
    <row r="15052" spans="1:6" x14ac:dyDescent="0.25">
      <c r="A15052" t="str">
        <f>"200001092"</f>
        <v>200001092</v>
      </c>
      <c r="B15052" t="str">
        <f>"1417426958"</f>
        <v>1417426958</v>
      </c>
      <c r="C15052" t="str">
        <f>"363L00000X"</f>
        <v>363L00000X</v>
      </c>
      <c r="D15052" t="str">
        <f>"BOX                      KARA                     "</f>
        <v xml:space="preserve">BOX                      KARA                     </v>
      </c>
      <c r="E15052" t="str">
        <f>"HATTIESBURG               "</f>
        <v xml:space="preserve">HATTIESBURG               </v>
      </c>
      <c r="F15052" t="str">
        <f t="shared" si="381"/>
        <v>MS</v>
      </c>
    </row>
    <row r="15053" spans="1:6" x14ac:dyDescent="0.25">
      <c r="A15053" t="str">
        <f>"200001101"</f>
        <v>200001101</v>
      </c>
      <c r="B15053" t="str">
        <f>"1962495655"</f>
        <v>1962495655</v>
      </c>
      <c r="C15053" t="str">
        <f>"208000000X"</f>
        <v>208000000X</v>
      </c>
      <c r="D15053" t="str">
        <f>"HOGG                     JEANNINE     E           "</f>
        <v xml:space="preserve">HOGG                     JEANNINE     E           </v>
      </c>
      <c r="E15053" t="str">
        <f>"OXFORD                    "</f>
        <v xml:space="preserve">OXFORD                    </v>
      </c>
      <c r="F15053" t="str">
        <f t="shared" si="381"/>
        <v>MS</v>
      </c>
    </row>
    <row r="15054" spans="1:6" x14ac:dyDescent="0.25">
      <c r="A15054" t="str">
        <f>"200001107"</f>
        <v>200001107</v>
      </c>
      <c r="B15054" t="str">
        <f>"1255991253"</f>
        <v>1255991253</v>
      </c>
      <c r="C15054" t="str">
        <f>"207Q00000X"</f>
        <v>207Q00000X</v>
      </c>
      <c r="D15054" t="str">
        <f>"CAMPBELL                 PATRICIA                 "</f>
        <v xml:space="preserve">CAMPBELL                 PATRICIA                 </v>
      </c>
      <c r="E15054" t="str">
        <f>"PETAL                     "</f>
        <v xml:space="preserve">PETAL                     </v>
      </c>
      <c r="F15054" t="str">
        <f t="shared" si="381"/>
        <v>MS</v>
      </c>
    </row>
    <row r="15055" spans="1:6" x14ac:dyDescent="0.25">
      <c r="A15055" t="str">
        <f>"200001109"</f>
        <v>200001109</v>
      </c>
      <c r="B15055" t="str">
        <f>"1215028899"</f>
        <v>1215028899</v>
      </c>
      <c r="C15055" t="str">
        <f>"207ZP0102X"</f>
        <v>207ZP0102X</v>
      </c>
      <c r="D15055" t="str">
        <f>"RIETZ                    HEATHER                  "</f>
        <v xml:space="preserve">RIETZ                    HEATHER                  </v>
      </c>
      <c r="E15055" t="str">
        <f>"SOUTHAVEN                 "</f>
        <v xml:space="preserve">SOUTHAVEN                 </v>
      </c>
      <c r="F15055" t="str">
        <f t="shared" si="381"/>
        <v>MS</v>
      </c>
    </row>
    <row r="15056" spans="1:6" x14ac:dyDescent="0.25">
      <c r="A15056" t="str">
        <f>"200001112"</f>
        <v>200001112</v>
      </c>
      <c r="B15056" t="str">
        <f>"1851825467"</f>
        <v>1851825467</v>
      </c>
      <c r="C15056" t="str">
        <f>"2085R0202X"</f>
        <v>2085R0202X</v>
      </c>
      <c r="D15056" t="str">
        <f>"JUEL                     STEPHEN      JOSEPH      "</f>
        <v xml:space="preserve">JUEL                     STEPHEN      JOSEPH      </v>
      </c>
      <c r="E15056" t="str">
        <f>"COLUMBUS                  "</f>
        <v xml:space="preserve">COLUMBUS                  </v>
      </c>
      <c r="F15056" t="str">
        <f t="shared" si="381"/>
        <v>MS</v>
      </c>
    </row>
    <row r="15057" spans="1:6" x14ac:dyDescent="0.25">
      <c r="A15057" t="str">
        <f>"200001114"</f>
        <v>200001114</v>
      </c>
      <c r="B15057" t="str">
        <f>"1659445492"</f>
        <v>1659445492</v>
      </c>
      <c r="C15057" t="str">
        <f>"363L00000X"</f>
        <v>363L00000X</v>
      </c>
      <c r="D15057" t="str">
        <f>"SHELTON                  BRENDA                   "</f>
        <v xml:space="preserve">SHELTON                  BRENDA                   </v>
      </c>
      <c r="E15057" t="str">
        <f>"RIPLEY                    "</f>
        <v xml:space="preserve">RIPLEY                    </v>
      </c>
      <c r="F15057" t="str">
        <f t="shared" si="381"/>
        <v>MS</v>
      </c>
    </row>
    <row r="15058" spans="1:6" x14ac:dyDescent="0.25">
      <c r="A15058" t="str">
        <f>"200001118"</f>
        <v>200001118</v>
      </c>
      <c r="B15058" t="str">
        <f>"1538535737"</f>
        <v>1538535737</v>
      </c>
      <c r="C15058" t="str">
        <f>"207RC0000X"</f>
        <v>207RC0000X</v>
      </c>
      <c r="D15058" t="str">
        <f>"KHAN                     EESHA                    "</f>
        <v xml:space="preserve">KHAN                     EESHA                    </v>
      </c>
      <c r="E15058" t="str">
        <f>"MERIDIAN                  "</f>
        <v xml:space="preserve">MERIDIAN                  </v>
      </c>
      <c r="F15058" t="str">
        <f t="shared" si="381"/>
        <v>MS</v>
      </c>
    </row>
    <row r="15059" spans="1:6" x14ac:dyDescent="0.25">
      <c r="A15059" t="str">
        <f>"200001122"</f>
        <v>200001122</v>
      </c>
      <c r="B15059" t="str">
        <f>"1558089979"</f>
        <v>1558089979</v>
      </c>
      <c r="C15059" t="str">
        <f>"152W00000X"</f>
        <v>152W00000X</v>
      </c>
      <c r="D15059" t="str">
        <f>"SOUTHERN EYE CARE OF VICKSBURG PA                 "</f>
        <v xml:space="preserve">SOUTHERN EYE CARE OF VICKSBURG PA                 </v>
      </c>
      <c r="E15059" t="str">
        <f>"VICKSBURG                 "</f>
        <v xml:space="preserve">VICKSBURG                 </v>
      </c>
      <c r="F15059" t="str">
        <f t="shared" si="381"/>
        <v>MS</v>
      </c>
    </row>
    <row r="15060" spans="1:6" x14ac:dyDescent="0.25">
      <c r="A15060" t="str">
        <f>"200001124"</f>
        <v>200001124</v>
      </c>
      <c r="B15060" t="str">
        <f>"1598438483"</f>
        <v>1598438483</v>
      </c>
      <c r="C15060" t="str">
        <f>"363L00000X"</f>
        <v>363L00000X</v>
      </c>
      <c r="D15060" t="str">
        <f>"MCCOY                    FULUMIRANI               "</f>
        <v xml:space="preserve">MCCOY                    FULUMIRANI               </v>
      </c>
      <c r="E15060" t="str">
        <f>"GUNTOWN                   "</f>
        <v xml:space="preserve">GUNTOWN                   </v>
      </c>
      <c r="F15060" t="str">
        <f t="shared" si="381"/>
        <v>MS</v>
      </c>
    </row>
    <row r="15061" spans="1:6" x14ac:dyDescent="0.25">
      <c r="A15061" t="str">
        <f>"200001125"</f>
        <v>200001125</v>
      </c>
      <c r="B15061" t="str">
        <f>"1992076467"</f>
        <v>1992076467</v>
      </c>
      <c r="C15061" t="str">
        <f>"363A00000X"</f>
        <v>363A00000X</v>
      </c>
      <c r="D15061" t="str">
        <f>"NETTLES                  KENNA        H           "</f>
        <v xml:space="preserve">NETTLES                  KENNA        H           </v>
      </c>
      <c r="E15061" t="str">
        <f>"JACKSON                   "</f>
        <v xml:space="preserve">JACKSON                   </v>
      </c>
      <c r="F15061" t="str">
        <f t="shared" si="381"/>
        <v>MS</v>
      </c>
    </row>
    <row r="15062" spans="1:6" x14ac:dyDescent="0.25">
      <c r="A15062" t="str">
        <f>"200001134"</f>
        <v>200001134</v>
      </c>
      <c r="B15062" t="str">
        <f>"1346963519"</f>
        <v>1346963519</v>
      </c>
      <c r="C15062" t="str">
        <f>"363L00000X"</f>
        <v>363L00000X</v>
      </c>
      <c r="D15062" t="str">
        <f>"JONES                    KIZMET                   "</f>
        <v xml:space="preserve">JONES                    KIZMET                   </v>
      </c>
      <c r="E15062" t="str">
        <f>"MT. PLEASANT              "</f>
        <v xml:space="preserve">MT. PLEASANT              </v>
      </c>
      <c r="F15062" t="str">
        <f t="shared" si="381"/>
        <v>MS</v>
      </c>
    </row>
    <row r="15063" spans="1:6" x14ac:dyDescent="0.25">
      <c r="A15063" t="str">
        <f>"200001135"</f>
        <v>200001135</v>
      </c>
      <c r="B15063" t="str">
        <f>"1427511252"</f>
        <v>1427511252</v>
      </c>
      <c r="C15063" t="str">
        <f>"207R00000X"</f>
        <v>207R00000X</v>
      </c>
      <c r="D15063" t="str">
        <f>"PARKER                   THOMAS       A           "</f>
        <v xml:space="preserve">PARKER                   THOMAS       A           </v>
      </c>
      <c r="E15063" t="str">
        <f>"MERIDIAN                  "</f>
        <v xml:space="preserve">MERIDIAN                  </v>
      </c>
      <c r="F15063" t="str">
        <f t="shared" si="381"/>
        <v>MS</v>
      </c>
    </row>
    <row r="15064" spans="1:6" x14ac:dyDescent="0.25">
      <c r="A15064" t="str">
        <f>"200001153"</f>
        <v>200001153</v>
      </c>
      <c r="B15064" t="str">
        <f>"1235883554"</f>
        <v>1235883554</v>
      </c>
      <c r="C15064" t="str">
        <f>"363L00000X"</f>
        <v>363L00000X</v>
      </c>
      <c r="D15064" t="str">
        <f>"REMEDIOS                 MEGEAN                   "</f>
        <v xml:space="preserve">REMEDIOS                 MEGEAN                   </v>
      </c>
      <c r="E15064" t="str">
        <f>"BOONEVILLE                "</f>
        <v xml:space="preserve">BOONEVILLE                </v>
      </c>
      <c r="F15064" t="str">
        <f t="shared" si="381"/>
        <v>MS</v>
      </c>
    </row>
    <row r="15065" spans="1:6" x14ac:dyDescent="0.25">
      <c r="A15065" t="str">
        <f>"200001156"</f>
        <v>200001156</v>
      </c>
      <c r="B15065" t="str">
        <f>"1174236392"</f>
        <v>1174236392</v>
      </c>
      <c r="C15065" t="str">
        <f>"363L00000X"</f>
        <v>363L00000X</v>
      </c>
      <c r="D15065" t="str">
        <f>"MORROW                   MARKETIA                 "</f>
        <v xml:space="preserve">MORROW                   MARKETIA                 </v>
      </c>
      <c r="E15065" t="str">
        <f>"SOUTHAVEN                 "</f>
        <v xml:space="preserve">SOUTHAVEN                 </v>
      </c>
      <c r="F15065" t="str">
        <f t="shared" si="381"/>
        <v>MS</v>
      </c>
    </row>
    <row r="15066" spans="1:6" x14ac:dyDescent="0.25">
      <c r="A15066" t="str">
        <f>"200001158"</f>
        <v>200001158</v>
      </c>
      <c r="B15066" t="str">
        <f>"1083368880"</f>
        <v>1083368880</v>
      </c>
      <c r="C15066" t="str">
        <f>"363L00000X"</f>
        <v>363L00000X</v>
      </c>
      <c r="D15066" t="str">
        <f>"HOLLIDAY                 DORIS                    "</f>
        <v xml:space="preserve">HOLLIDAY                 DORIS                    </v>
      </c>
      <c r="E15066" t="str">
        <f>"MAGNOLIA                  "</f>
        <v xml:space="preserve">MAGNOLIA                  </v>
      </c>
      <c r="F15066" t="str">
        <f t="shared" si="381"/>
        <v>MS</v>
      </c>
    </row>
    <row r="15067" spans="1:6" x14ac:dyDescent="0.25">
      <c r="A15067" t="str">
        <f>"200001160"</f>
        <v>200001160</v>
      </c>
      <c r="B15067" t="str">
        <f>"1649993262"</f>
        <v>1649993262</v>
      </c>
      <c r="C15067" t="str">
        <f>"363L00000X"</f>
        <v>363L00000X</v>
      </c>
      <c r="D15067" t="str">
        <f>"MILES                    HALEY                    "</f>
        <v xml:space="preserve">MILES                    HALEY                    </v>
      </c>
      <c r="E15067" t="str">
        <f>"PASCAGOULA                "</f>
        <v xml:space="preserve">PASCAGOULA                </v>
      </c>
      <c r="F15067" t="str">
        <f t="shared" si="381"/>
        <v>MS</v>
      </c>
    </row>
    <row r="15068" spans="1:6" x14ac:dyDescent="0.25">
      <c r="A15068" t="str">
        <f>"200001176"</f>
        <v>200001176</v>
      </c>
      <c r="B15068" t="str">
        <f>"1235474065"</f>
        <v>1235474065</v>
      </c>
      <c r="C15068" t="str">
        <f>"207ZP0102X"</f>
        <v>207ZP0102X</v>
      </c>
      <c r="D15068" t="str">
        <f>"BARATELLI                FELICITA                 "</f>
        <v xml:space="preserve">BARATELLI                FELICITA                 </v>
      </c>
      <c r="E15068" t="str">
        <f>"TUPELO                    "</f>
        <v xml:space="preserve">TUPELO                    </v>
      </c>
      <c r="F15068" t="str">
        <f t="shared" si="381"/>
        <v>MS</v>
      </c>
    </row>
    <row r="15069" spans="1:6" x14ac:dyDescent="0.25">
      <c r="A15069" t="str">
        <f>"200001179"</f>
        <v>200001179</v>
      </c>
      <c r="B15069" t="str">
        <f>"1902534035"</f>
        <v>1902534035</v>
      </c>
      <c r="C15069" t="str">
        <f t="shared" ref="C15069:C15075" si="382">"363L00000X"</f>
        <v>363L00000X</v>
      </c>
      <c r="D15069" t="str">
        <f>"MELANCON                 ABBY                     "</f>
        <v xml:space="preserve">MELANCON                 ABBY                     </v>
      </c>
      <c r="E15069" t="str">
        <f>"JACKSON                   "</f>
        <v xml:space="preserve">JACKSON                   </v>
      </c>
      <c r="F15069" t="str">
        <f t="shared" si="381"/>
        <v>MS</v>
      </c>
    </row>
    <row r="15070" spans="1:6" x14ac:dyDescent="0.25">
      <c r="A15070" t="str">
        <f>"200001206"</f>
        <v>200001206</v>
      </c>
      <c r="B15070" t="str">
        <f>"1255975405"</f>
        <v>1255975405</v>
      </c>
      <c r="C15070" t="str">
        <f t="shared" si="382"/>
        <v>363L00000X</v>
      </c>
      <c r="D15070" t="str">
        <f>"SAWYER                   BRYON        A           "</f>
        <v xml:space="preserve">SAWYER                   BRYON        A           </v>
      </c>
      <c r="E15070" t="str">
        <f>"COLUMBUS                  "</f>
        <v xml:space="preserve">COLUMBUS                  </v>
      </c>
      <c r="F15070" t="str">
        <f t="shared" si="381"/>
        <v>MS</v>
      </c>
    </row>
    <row r="15071" spans="1:6" x14ac:dyDescent="0.25">
      <c r="A15071" t="str">
        <f>"200001220"</f>
        <v>200001220</v>
      </c>
      <c r="B15071" t="str">
        <f>"1407515570"</f>
        <v>1407515570</v>
      </c>
      <c r="C15071" t="str">
        <f t="shared" si="382"/>
        <v>363L00000X</v>
      </c>
      <c r="D15071" t="str">
        <f>"PRUITT                   COURTNEY                 "</f>
        <v xml:space="preserve">PRUITT                   COURTNEY                 </v>
      </c>
      <c r="E15071" t="str">
        <f>"OXFORD                    "</f>
        <v xml:space="preserve">OXFORD                    </v>
      </c>
      <c r="F15071" t="str">
        <f t="shared" si="381"/>
        <v>MS</v>
      </c>
    </row>
    <row r="15072" spans="1:6" x14ac:dyDescent="0.25">
      <c r="A15072" t="str">
        <f>"200001223"</f>
        <v>200001223</v>
      </c>
      <c r="B15072" t="str">
        <f>"1851059950"</f>
        <v>1851059950</v>
      </c>
      <c r="C15072" t="str">
        <f t="shared" si="382"/>
        <v>363L00000X</v>
      </c>
      <c r="D15072" t="str">
        <f>"ARD                      KACY                     "</f>
        <v xml:space="preserve">ARD                      KACY                     </v>
      </c>
      <c r="E15072" t="str">
        <f>"RICHLAND                  "</f>
        <v xml:space="preserve">RICHLAND                  </v>
      </c>
      <c r="F15072" t="str">
        <f t="shared" si="381"/>
        <v>MS</v>
      </c>
    </row>
    <row r="15073" spans="1:6" x14ac:dyDescent="0.25">
      <c r="A15073" t="str">
        <f>"200001228"</f>
        <v>200001228</v>
      </c>
      <c r="B15073" t="str">
        <f>"1770295735"</f>
        <v>1770295735</v>
      </c>
      <c r="C15073" t="str">
        <f t="shared" si="382"/>
        <v>363L00000X</v>
      </c>
      <c r="D15073" t="str">
        <f>"CARPENTER                MEAGAN       M           "</f>
        <v xml:space="preserve">CARPENTER                MEAGAN       M           </v>
      </c>
      <c r="E15073" t="str">
        <f>"FLOWOOD                   "</f>
        <v xml:space="preserve">FLOWOOD                   </v>
      </c>
      <c r="F15073" t="str">
        <f t="shared" si="381"/>
        <v>MS</v>
      </c>
    </row>
    <row r="15074" spans="1:6" x14ac:dyDescent="0.25">
      <c r="A15074" t="str">
        <f>"200001245"</f>
        <v>200001245</v>
      </c>
      <c r="B15074" t="str">
        <f>"1063145902"</f>
        <v>1063145902</v>
      </c>
      <c r="C15074" t="str">
        <f t="shared" si="382"/>
        <v>363L00000X</v>
      </c>
      <c r="D15074" t="str">
        <f>"MARTIN                   KELYN                    "</f>
        <v xml:space="preserve">MARTIN                   KELYN                    </v>
      </c>
      <c r="E15074" t="str">
        <f>"PASCAGOULA                "</f>
        <v xml:space="preserve">PASCAGOULA                </v>
      </c>
      <c r="F15074" t="str">
        <f t="shared" si="381"/>
        <v>MS</v>
      </c>
    </row>
    <row r="15075" spans="1:6" x14ac:dyDescent="0.25">
      <c r="A15075" t="str">
        <f>"200001255"</f>
        <v>200001255</v>
      </c>
      <c r="B15075" t="str">
        <f>"1336862440"</f>
        <v>1336862440</v>
      </c>
      <c r="C15075" t="str">
        <f t="shared" si="382"/>
        <v>363L00000X</v>
      </c>
      <c r="D15075" t="str">
        <f>"COVINGTON                SALLY                    "</f>
        <v xml:space="preserve">COVINGTON                SALLY                    </v>
      </c>
      <c r="E15075" t="str">
        <f>"PASCAGOULA                "</f>
        <v xml:space="preserve">PASCAGOULA                </v>
      </c>
      <c r="F15075" t="str">
        <f t="shared" si="381"/>
        <v>MS</v>
      </c>
    </row>
    <row r="15076" spans="1:6" x14ac:dyDescent="0.25">
      <c r="A15076" t="str">
        <f>"200001256"</f>
        <v>200001256</v>
      </c>
      <c r="B15076" t="str">
        <f>"1124188347"</f>
        <v>1124188347</v>
      </c>
      <c r="C15076" t="str">
        <f>"207RN0300X"</f>
        <v>207RN0300X</v>
      </c>
      <c r="D15076" t="str">
        <f>"PARRY                    WILSON                   "</f>
        <v xml:space="preserve">PARRY                    WILSON                   </v>
      </c>
      <c r="E15076" t="str">
        <f>"GREENVILLE                "</f>
        <v xml:space="preserve">GREENVILLE                </v>
      </c>
      <c r="F15076" t="str">
        <f t="shared" si="381"/>
        <v>MS</v>
      </c>
    </row>
    <row r="15077" spans="1:6" x14ac:dyDescent="0.25">
      <c r="A15077" t="str">
        <f>"200001261"</f>
        <v>200001261</v>
      </c>
      <c r="B15077" t="str">
        <f>"1194014985"</f>
        <v>1194014985</v>
      </c>
      <c r="C15077" t="str">
        <f>"208000000X"</f>
        <v>208000000X</v>
      </c>
      <c r="D15077" t="str">
        <f>"THOMAS                   EMILY        Y           "</f>
        <v xml:space="preserve">THOMAS                   EMILY        Y           </v>
      </c>
      <c r="E15077" t="str">
        <f>"BRANDON                   "</f>
        <v xml:space="preserve">BRANDON                   </v>
      </c>
      <c r="F15077" t="str">
        <f t="shared" si="381"/>
        <v>MS</v>
      </c>
    </row>
    <row r="15078" spans="1:6" x14ac:dyDescent="0.25">
      <c r="A15078" t="str">
        <f>"200001281"</f>
        <v>200001281</v>
      </c>
      <c r="B15078" t="str">
        <f>"1689697336"</f>
        <v>1689697336</v>
      </c>
      <c r="C15078" t="str">
        <f>"208000000X"</f>
        <v>208000000X</v>
      </c>
      <c r="D15078" t="str">
        <f>"BRADEN                   DAVID        S           "</f>
        <v xml:space="preserve">BRADEN                   DAVID        S           </v>
      </c>
      <c r="E15078" t="str">
        <f>"OXFORD                    "</f>
        <v xml:space="preserve">OXFORD                    </v>
      </c>
      <c r="F15078" t="str">
        <f t="shared" si="381"/>
        <v>MS</v>
      </c>
    </row>
    <row r="15079" spans="1:6" x14ac:dyDescent="0.25">
      <c r="A15079" t="str">
        <f>"200001292"</f>
        <v>200001292</v>
      </c>
      <c r="B15079" t="str">
        <f>"1073857454"</f>
        <v>1073857454</v>
      </c>
      <c r="C15079" t="str">
        <f>"363L00000X"</f>
        <v>363L00000X</v>
      </c>
      <c r="D15079" t="str">
        <f>"MAZZETTI-RUDY            PATRICIA                 "</f>
        <v xml:space="preserve">MAZZETTI-RUDY            PATRICIA                 </v>
      </c>
      <c r="E15079" t="str">
        <f>"FLOWOOD                   "</f>
        <v xml:space="preserve">FLOWOOD                   </v>
      </c>
      <c r="F15079" t="str">
        <f t="shared" si="381"/>
        <v>MS</v>
      </c>
    </row>
    <row r="15080" spans="1:6" x14ac:dyDescent="0.25">
      <c r="A15080" t="str">
        <f>"200001300"</f>
        <v>200001300</v>
      </c>
      <c r="B15080" t="str">
        <f>"1598269920"</f>
        <v>1598269920</v>
      </c>
      <c r="C15080" t="str">
        <f>"207Q00000X"</f>
        <v>207Q00000X</v>
      </c>
      <c r="D15080" t="str">
        <f>"MORAN                    TERRY                    "</f>
        <v xml:space="preserve">MORAN                    TERRY                    </v>
      </c>
      <c r="E15080" t="str">
        <f>"POPLARVILLE               "</f>
        <v xml:space="preserve">POPLARVILLE               </v>
      </c>
      <c r="F15080" t="str">
        <f t="shared" si="381"/>
        <v>MS</v>
      </c>
    </row>
    <row r="15081" spans="1:6" x14ac:dyDescent="0.25">
      <c r="A15081" t="str">
        <f>"200001303"</f>
        <v>200001303</v>
      </c>
      <c r="B15081" t="str">
        <f>"1316394448"</f>
        <v>1316394448</v>
      </c>
      <c r="C15081" t="str">
        <f>"207RE0101X"</f>
        <v>207RE0101X</v>
      </c>
      <c r="D15081" t="str">
        <f>"NARAN                    JAYA                     "</f>
        <v xml:space="preserve">NARAN                    JAYA                     </v>
      </c>
      <c r="E15081" t="str">
        <f>"HATTIESBURG               "</f>
        <v xml:space="preserve">HATTIESBURG               </v>
      </c>
      <c r="F15081" t="str">
        <f t="shared" si="381"/>
        <v>MS</v>
      </c>
    </row>
    <row r="15082" spans="1:6" x14ac:dyDescent="0.25">
      <c r="A15082" t="str">
        <f>"200001309"</f>
        <v>200001309</v>
      </c>
      <c r="B15082" t="str">
        <f>"1528276284"</f>
        <v>1528276284</v>
      </c>
      <c r="C15082" t="str">
        <f>"208VP0014X"</f>
        <v>208VP0014X</v>
      </c>
      <c r="D15082" t="str">
        <f>"BARFIELD                 MATTHEW      Q           "</f>
        <v xml:space="preserve">BARFIELD                 MATTHEW      Q           </v>
      </c>
      <c r="E15082" t="str">
        <f>"PASCAGOULA                "</f>
        <v xml:space="preserve">PASCAGOULA                </v>
      </c>
      <c r="F15082" t="str">
        <f t="shared" si="381"/>
        <v>MS</v>
      </c>
    </row>
    <row r="15083" spans="1:6" x14ac:dyDescent="0.25">
      <c r="A15083" t="str">
        <f>"200001314"</f>
        <v>200001314</v>
      </c>
      <c r="B15083" t="str">
        <f>"1003555079"</f>
        <v>1003555079</v>
      </c>
      <c r="C15083" t="str">
        <f>"261QM1300X"</f>
        <v>261QM1300X</v>
      </c>
      <c r="D15083" t="str">
        <f>"REFINED THERAPY GROUP, LLC                        "</f>
        <v xml:space="preserve">REFINED THERAPY GROUP, LLC                        </v>
      </c>
      <c r="E15083" t="str">
        <f>"GULFPORT                  "</f>
        <v xml:space="preserve">GULFPORT                  </v>
      </c>
      <c r="F15083" t="str">
        <f t="shared" si="381"/>
        <v>MS</v>
      </c>
    </row>
    <row r="15084" spans="1:6" x14ac:dyDescent="0.25">
      <c r="A15084" t="str">
        <f>"200001316"</f>
        <v>200001316</v>
      </c>
      <c r="B15084" t="str">
        <f>"1619993367"</f>
        <v>1619993367</v>
      </c>
      <c r="C15084" t="str">
        <f>"207R00000X"</f>
        <v>207R00000X</v>
      </c>
      <c r="D15084" t="str">
        <f>"GORGI-MIKHAIL            MAGDY        Y           "</f>
        <v xml:space="preserve">GORGI-MIKHAIL            MAGDY        Y           </v>
      </c>
      <c r="E15084" t="str">
        <f>"GULFPORT                  "</f>
        <v xml:space="preserve">GULFPORT                  </v>
      </c>
      <c r="F15084" t="str">
        <f t="shared" si="381"/>
        <v>MS</v>
      </c>
    </row>
    <row r="15085" spans="1:6" x14ac:dyDescent="0.25">
      <c r="A15085" t="str">
        <f>"200001327"</f>
        <v>200001327</v>
      </c>
      <c r="B15085" t="str">
        <f>"1568172658"</f>
        <v>1568172658</v>
      </c>
      <c r="C15085" t="str">
        <f>"367500000X"</f>
        <v>367500000X</v>
      </c>
      <c r="D15085" t="str">
        <f>"NEWSOM                   ANTHONY      C           "</f>
        <v xml:space="preserve">NEWSOM                   ANTHONY      C           </v>
      </c>
      <c r="E15085" t="str">
        <f>"HATTIESBURG               "</f>
        <v xml:space="preserve">HATTIESBURG               </v>
      </c>
      <c r="F15085" t="str">
        <f t="shared" si="381"/>
        <v>MS</v>
      </c>
    </row>
    <row r="15086" spans="1:6" x14ac:dyDescent="0.25">
      <c r="A15086" t="str">
        <f>"200001336"</f>
        <v>200001336</v>
      </c>
      <c r="B15086" t="str">
        <f>"1902542848"</f>
        <v>1902542848</v>
      </c>
      <c r="C15086" t="str">
        <f>"363L00000X"</f>
        <v>363L00000X</v>
      </c>
      <c r="D15086" t="str">
        <f>"THOMPSON                 ASHLEY                   "</f>
        <v xml:space="preserve">THOMPSON                 ASHLEY                   </v>
      </c>
      <c r="E15086" t="str">
        <f>"MARKS                     "</f>
        <v xml:space="preserve">MARKS                     </v>
      </c>
      <c r="F15086" t="str">
        <f t="shared" si="381"/>
        <v>MS</v>
      </c>
    </row>
    <row r="15087" spans="1:6" x14ac:dyDescent="0.25">
      <c r="A15087" t="str">
        <f>"200001346"</f>
        <v>200001346</v>
      </c>
      <c r="B15087" t="str">
        <f>"1699724294"</f>
        <v>1699724294</v>
      </c>
      <c r="C15087" t="str">
        <f>"207R00000X"</f>
        <v>207R00000X</v>
      </c>
      <c r="D15087" t="str">
        <f>"MALHOTRA                 AMIT                     "</f>
        <v xml:space="preserve">MALHOTRA                 AMIT                     </v>
      </c>
      <c r="E15087" t="str">
        <f>"SOUTHAVEN                 "</f>
        <v xml:space="preserve">SOUTHAVEN                 </v>
      </c>
      <c r="F15087" t="str">
        <f t="shared" si="381"/>
        <v>MS</v>
      </c>
    </row>
    <row r="15088" spans="1:6" x14ac:dyDescent="0.25">
      <c r="A15088" t="str">
        <f>"200001349"</f>
        <v>200001349</v>
      </c>
      <c r="B15088" t="str">
        <f>"1558411207"</f>
        <v>1558411207</v>
      </c>
      <c r="C15088" t="str">
        <f>"207V00000X"</f>
        <v>207V00000X</v>
      </c>
      <c r="D15088" t="str">
        <f>"MCBRIDE                  SILVIA                   "</f>
        <v xml:space="preserve">MCBRIDE                  SILVIA                   </v>
      </c>
      <c r="E15088" t="str">
        <f>"MERIDIAN                  "</f>
        <v xml:space="preserve">MERIDIAN                  </v>
      </c>
      <c r="F15088" t="str">
        <f t="shared" si="381"/>
        <v>MS</v>
      </c>
    </row>
    <row r="15089" spans="1:6" x14ac:dyDescent="0.25">
      <c r="A15089" t="str">
        <f>"200001350"</f>
        <v>200001350</v>
      </c>
      <c r="B15089" t="str">
        <f>"1881328938"</f>
        <v>1881328938</v>
      </c>
      <c r="C15089" t="str">
        <f>"367500000X"</f>
        <v>367500000X</v>
      </c>
      <c r="D15089" t="str">
        <f>"REEVES                   RACHEL       C           "</f>
        <v xml:space="preserve">REEVES                   RACHEL       C           </v>
      </c>
      <c r="E15089" t="str">
        <f>"MERIDIAN                  "</f>
        <v xml:space="preserve">MERIDIAN                  </v>
      </c>
      <c r="F15089" t="str">
        <f t="shared" si="381"/>
        <v>MS</v>
      </c>
    </row>
    <row r="15090" spans="1:6" x14ac:dyDescent="0.25">
      <c r="A15090" t="str">
        <f>"200001355"</f>
        <v>200001355</v>
      </c>
      <c r="B15090" t="str">
        <f>"1952047391"</f>
        <v>1952047391</v>
      </c>
      <c r="C15090" t="str">
        <f>"261QM0801X"</f>
        <v>261QM0801X</v>
      </c>
      <c r="D15090" t="str">
        <f>"BELMONT GARDENS RECOVERY CENTER OUTPATIENT        "</f>
        <v xml:space="preserve">BELMONT GARDENS RECOVERY CENTER OUTPATIENT        </v>
      </c>
      <c r="E15090" t="str">
        <f>"VICKSBURG                 "</f>
        <v xml:space="preserve">VICKSBURG                 </v>
      </c>
      <c r="F15090" t="str">
        <f t="shared" si="381"/>
        <v>MS</v>
      </c>
    </row>
    <row r="15091" spans="1:6" x14ac:dyDescent="0.25">
      <c r="A15091" t="str">
        <f>"200001356"</f>
        <v>200001356</v>
      </c>
      <c r="B15091" t="str">
        <f>"1245571124"</f>
        <v>1245571124</v>
      </c>
      <c r="C15091" t="str">
        <f>"363L00000X"</f>
        <v>363L00000X</v>
      </c>
      <c r="D15091" t="str">
        <f>"MILLER JR                RONALD       B           "</f>
        <v xml:space="preserve">MILLER JR                RONALD       B           </v>
      </c>
      <c r="E15091" t="str">
        <f>"DIAMONDHEAD               "</f>
        <v xml:space="preserve">DIAMONDHEAD               </v>
      </c>
      <c r="F15091" t="str">
        <f t="shared" si="381"/>
        <v>MS</v>
      </c>
    </row>
    <row r="15092" spans="1:6" x14ac:dyDescent="0.25">
      <c r="A15092" t="str">
        <f>"200001366"</f>
        <v>200001366</v>
      </c>
      <c r="B15092" t="str">
        <f>"1205328341"</f>
        <v>1205328341</v>
      </c>
      <c r="C15092" t="str">
        <f>"207P00000X"</f>
        <v>207P00000X</v>
      </c>
      <c r="D15092" t="str">
        <f>"RIVERA-RIVERA            YAMILETTE                "</f>
        <v xml:space="preserve">RIVERA-RIVERA            YAMILETTE                </v>
      </c>
      <c r="E15092" t="str">
        <f>"BILOXI                    "</f>
        <v xml:space="preserve">BILOXI                    </v>
      </c>
      <c r="F15092" t="str">
        <f t="shared" si="381"/>
        <v>MS</v>
      </c>
    </row>
    <row r="15093" spans="1:6" x14ac:dyDescent="0.25">
      <c r="A15093" t="str">
        <f>"200001376"</f>
        <v>200001376</v>
      </c>
      <c r="B15093" t="str">
        <f>"1689950040"</f>
        <v>1689950040</v>
      </c>
      <c r="C15093" t="str">
        <f>"363L00000X"</f>
        <v>363L00000X</v>
      </c>
      <c r="D15093" t="str">
        <f>"DABBS                    LISA                     "</f>
        <v xml:space="preserve">DABBS                    LISA                     </v>
      </c>
      <c r="E15093" t="str">
        <f>"HATTIESBURG               "</f>
        <v xml:space="preserve">HATTIESBURG               </v>
      </c>
      <c r="F15093" t="str">
        <f t="shared" si="381"/>
        <v>MS</v>
      </c>
    </row>
    <row r="15094" spans="1:6" x14ac:dyDescent="0.25">
      <c r="A15094" t="str">
        <f>"200001379"</f>
        <v>200001379</v>
      </c>
      <c r="B15094" t="str">
        <f>"1013329044"</f>
        <v>1013329044</v>
      </c>
      <c r="C15094" t="str">
        <f>"2085R0204X"</f>
        <v>2085R0204X</v>
      </c>
      <c r="D15094" t="str">
        <f>"BEAUCAIRE                MICHAEL                  "</f>
        <v xml:space="preserve">BEAUCAIRE                MICHAEL                  </v>
      </c>
      <c r="E15094" t="str">
        <f>"OLIVE BRANCH              "</f>
        <v xml:space="preserve">OLIVE BRANCH              </v>
      </c>
      <c r="F15094" t="str">
        <f t="shared" si="381"/>
        <v>MS</v>
      </c>
    </row>
    <row r="15095" spans="1:6" x14ac:dyDescent="0.25">
      <c r="A15095" t="str">
        <f>"200001380"</f>
        <v>200001380</v>
      </c>
      <c r="B15095" t="str">
        <f>"1013329044"</f>
        <v>1013329044</v>
      </c>
      <c r="C15095" t="str">
        <f>"2085R0202X"</f>
        <v>2085R0202X</v>
      </c>
      <c r="D15095" t="str">
        <f>"BEAUCAIRE                MICHAEL                  "</f>
        <v xml:space="preserve">BEAUCAIRE                MICHAEL                  </v>
      </c>
      <c r="E15095" t="str">
        <f>"OLIVE BRANCH              "</f>
        <v xml:space="preserve">OLIVE BRANCH              </v>
      </c>
      <c r="F15095" t="str">
        <f t="shared" si="381"/>
        <v>MS</v>
      </c>
    </row>
    <row r="15096" spans="1:6" x14ac:dyDescent="0.25">
      <c r="A15096" t="str">
        <f>"200001383"</f>
        <v>200001383</v>
      </c>
      <c r="B15096" t="str">
        <f>"1114085776"</f>
        <v>1114085776</v>
      </c>
      <c r="C15096" t="str">
        <f>"363L00000X"</f>
        <v>363L00000X</v>
      </c>
      <c r="D15096" t="str">
        <f>"PUGH                     JANET        D           "</f>
        <v xml:space="preserve">PUGH                     JANET        D           </v>
      </c>
      <c r="E15096" t="str">
        <f>"MERIDIAN                  "</f>
        <v xml:space="preserve">MERIDIAN                  </v>
      </c>
      <c r="F15096" t="str">
        <f t="shared" si="381"/>
        <v>MS</v>
      </c>
    </row>
    <row r="15097" spans="1:6" x14ac:dyDescent="0.25">
      <c r="A15097" t="str">
        <f>"200001388"</f>
        <v>200001388</v>
      </c>
      <c r="B15097" t="str">
        <f>"1912437310"</f>
        <v>1912437310</v>
      </c>
      <c r="C15097" t="str">
        <f>"207RH0003X"</f>
        <v>207RH0003X</v>
      </c>
      <c r="D15097" t="str">
        <f>"BELL                     FRANCIS      G           "</f>
        <v xml:space="preserve">BELL                     FRANCIS      G           </v>
      </c>
      <c r="E15097" t="str">
        <f>"HATTIESBURG               "</f>
        <v xml:space="preserve">HATTIESBURG               </v>
      </c>
      <c r="F15097" t="str">
        <f t="shared" si="381"/>
        <v>MS</v>
      </c>
    </row>
    <row r="15098" spans="1:6" x14ac:dyDescent="0.25">
      <c r="A15098" t="str">
        <f>"200001389"</f>
        <v>200001389</v>
      </c>
      <c r="B15098" t="str">
        <f>"1336544253"</f>
        <v>1336544253</v>
      </c>
      <c r="C15098" t="str">
        <f>"363L00000X"</f>
        <v>363L00000X</v>
      </c>
      <c r="D15098" t="str">
        <f>"LOPRINZI                 KRISTINA                 "</f>
        <v xml:space="preserve">LOPRINZI                 KRISTINA                 </v>
      </c>
      <c r="E15098" t="str">
        <f>"CLEVLAND                  "</f>
        <v xml:space="preserve">CLEVLAND                  </v>
      </c>
      <c r="F15098" t="str">
        <f t="shared" si="381"/>
        <v>MS</v>
      </c>
    </row>
    <row r="15099" spans="1:6" x14ac:dyDescent="0.25">
      <c r="A15099" t="str">
        <f>"200001401"</f>
        <v>200001401</v>
      </c>
      <c r="B15099" t="str">
        <f>"1144951153"</f>
        <v>1144951153</v>
      </c>
      <c r="C15099" t="str">
        <f>"363L00000X"</f>
        <v>363L00000X</v>
      </c>
      <c r="D15099" t="str">
        <f>"FELTMAN                  EMILY                    "</f>
        <v xml:space="preserve">FELTMAN                  EMILY                    </v>
      </c>
      <c r="E15099" t="str">
        <f>"CORINTH                   "</f>
        <v xml:space="preserve">CORINTH                   </v>
      </c>
      <c r="F15099" t="str">
        <f t="shared" si="381"/>
        <v>MS</v>
      </c>
    </row>
    <row r="15100" spans="1:6" x14ac:dyDescent="0.25">
      <c r="A15100" t="str">
        <f>"200001407"</f>
        <v>200001407</v>
      </c>
      <c r="B15100" t="str">
        <f>"1699441980"</f>
        <v>1699441980</v>
      </c>
      <c r="C15100" t="str">
        <f>"363A00000X"</f>
        <v>363A00000X</v>
      </c>
      <c r="D15100" t="str">
        <f>"MORRIS                   BAILEY       V           "</f>
        <v xml:space="preserve">MORRIS                   BAILEY       V           </v>
      </c>
      <c r="E15100" t="str">
        <f>"GULFPORT                  "</f>
        <v xml:space="preserve">GULFPORT                  </v>
      </c>
      <c r="F15100" t="str">
        <f t="shared" si="381"/>
        <v>MS</v>
      </c>
    </row>
    <row r="15101" spans="1:6" x14ac:dyDescent="0.25">
      <c r="A15101" t="str">
        <f>"200001422"</f>
        <v>200001422</v>
      </c>
      <c r="B15101" t="str">
        <f>"1568782274"</f>
        <v>1568782274</v>
      </c>
      <c r="C15101" t="str">
        <f>"1223G0001X"</f>
        <v>1223G0001X</v>
      </c>
      <c r="D15101" t="str">
        <f>"SANDERS                  ALIX         H           "</f>
        <v xml:space="preserve">SANDERS                  ALIX         H           </v>
      </c>
      <c r="E15101" t="str">
        <f>"HOLLANDALE                "</f>
        <v xml:space="preserve">HOLLANDALE                </v>
      </c>
      <c r="F15101" t="str">
        <f t="shared" si="381"/>
        <v>MS</v>
      </c>
    </row>
    <row r="15102" spans="1:6" x14ac:dyDescent="0.25">
      <c r="A15102" t="str">
        <f>"200001426"</f>
        <v>200001426</v>
      </c>
      <c r="B15102" t="str">
        <f>"1396171484"</f>
        <v>1396171484</v>
      </c>
      <c r="C15102" t="str">
        <f>"207N00000X"</f>
        <v>207N00000X</v>
      </c>
      <c r="D15102" t="str">
        <f>"BARNES                   PETER                    "</f>
        <v xml:space="preserve">BARNES                   PETER                    </v>
      </c>
      <c r="E15102" t="str">
        <f>"BILOXI                    "</f>
        <v xml:space="preserve">BILOXI                    </v>
      </c>
      <c r="F15102" t="str">
        <f t="shared" ref="F15102:F15165" si="383">"MS"</f>
        <v>MS</v>
      </c>
    </row>
    <row r="15103" spans="1:6" x14ac:dyDescent="0.25">
      <c r="A15103" t="str">
        <f>"200001428"</f>
        <v>200001428</v>
      </c>
      <c r="B15103" t="str">
        <f>"1134870470"</f>
        <v>1134870470</v>
      </c>
      <c r="C15103" t="str">
        <f>"363L00000X"</f>
        <v>363L00000X</v>
      </c>
      <c r="D15103" t="str">
        <f>"HALEY                    CHEKITA                  "</f>
        <v xml:space="preserve">HALEY                    CHEKITA                  </v>
      </c>
      <c r="E15103" t="str">
        <f>"JACKSON                   "</f>
        <v xml:space="preserve">JACKSON                   </v>
      </c>
      <c r="F15103" t="str">
        <f t="shared" si="383"/>
        <v>MS</v>
      </c>
    </row>
    <row r="15104" spans="1:6" x14ac:dyDescent="0.25">
      <c r="A15104" t="str">
        <f>"200001438"</f>
        <v>200001438</v>
      </c>
      <c r="B15104" t="str">
        <f>"1700339462"</f>
        <v>1700339462</v>
      </c>
      <c r="C15104" t="str">
        <f>"2080P0210X"</f>
        <v>2080P0210X</v>
      </c>
      <c r="D15104" t="str">
        <f>"AMETA                    PRIYANKA                 "</f>
        <v xml:space="preserve">AMETA                    PRIYANKA                 </v>
      </c>
      <c r="E15104" t="str">
        <f>"JACKSON                   "</f>
        <v xml:space="preserve">JACKSON                   </v>
      </c>
      <c r="F15104" t="str">
        <f t="shared" si="383"/>
        <v>MS</v>
      </c>
    </row>
    <row r="15105" spans="1:6" x14ac:dyDescent="0.25">
      <c r="A15105" t="str">
        <f>"200001452"</f>
        <v>200001452</v>
      </c>
      <c r="B15105" t="str">
        <f>"1154039840"</f>
        <v>1154039840</v>
      </c>
      <c r="C15105" t="str">
        <f>"363L00000X"</f>
        <v>363L00000X</v>
      </c>
      <c r="D15105" t="str">
        <f>"BYRD                     HANNA                    "</f>
        <v xml:space="preserve">BYRD                     HANNA                    </v>
      </c>
      <c r="E15105" t="str">
        <f>"CORINTH                   "</f>
        <v xml:space="preserve">CORINTH                   </v>
      </c>
      <c r="F15105" t="str">
        <f t="shared" si="383"/>
        <v>MS</v>
      </c>
    </row>
    <row r="15106" spans="1:6" x14ac:dyDescent="0.25">
      <c r="A15106" t="str">
        <f>"200001455"</f>
        <v>200001455</v>
      </c>
      <c r="B15106" t="str">
        <f>"1912998402"</f>
        <v>1912998402</v>
      </c>
      <c r="C15106" t="str">
        <f>"207V00000X"</f>
        <v>207V00000X</v>
      </c>
      <c r="D15106" t="str">
        <f>"SAWYER                   KIMBERLY                 "</f>
        <v xml:space="preserve">SAWYER                   KIMBERLY                 </v>
      </c>
      <c r="E15106" t="str">
        <f>"SOUTHAVEN                 "</f>
        <v xml:space="preserve">SOUTHAVEN                 </v>
      </c>
      <c r="F15106" t="str">
        <f t="shared" si="383"/>
        <v>MS</v>
      </c>
    </row>
    <row r="15107" spans="1:6" x14ac:dyDescent="0.25">
      <c r="A15107" t="str">
        <f>"200001457"</f>
        <v>200001457</v>
      </c>
      <c r="B15107" t="str">
        <f>"1376264697"</f>
        <v>1376264697</v>
      </c>
      <c r="C15107" t="str">
        <f>"363L00000X"</f>
        <v>363L00000X</v>
      </c>
      <c r="D15107" t="str">
        <f>"BROWN                    SYNETHIA                 "</f>
        <v xml:space="preserve">BROWN                    SYNETHIA                 </v>
      </c>
      <c r="E15107" t="str">
        <f>"QUITMAN                   "</f>
        <v xml:space="preserve">QUITMAN                   </v>
      </c>
      <c r="F15107" t="str">
        <f t="shared" si="383"/>
        <v>MS</v>
      </c>
    </row>
    <row r="15108" spans="1:6" x14ac:dyDescent="0.25">
      <c r="A15108" t="str">
        <f>"200001459"</f>
        <v>200001459</v>
      </c>
      <c r="B15108" t="str">
        <f>"1295288033"</f>
        <v>1295288033</v>
      </c>
      <c r="C15108" t="str">
        <f>"363L00000X"</f>
        <v>363L00000X</v>
      </c>
      <c r="D15108" t="str">
        <f>"NICHOLAS                 JILL                     "</f>
        <v xml:space="preserve">NICHOLAS                 JILL                     </v>
      </c>
      <c r="E15108" t="str">
        <f>"ELLISVILLE                "</f>
        <v xml:space="preserve">ELLISVILLE                </v>
      </c>
      <c r="F15108" t="str">
        <f t="shared" si="383"/>
        <v>MS</v>
      </c>
    </row>
    <row r="15109" spans="1:6" x14ac:dyDescent="0.25">
      <c r="A15109" t="str">
        <f>"200001475"</f>
        <v>200001475</v>
      </c>
      <c r="B15109" t="str">
        <f>"1598406357"</f>
        <v>1598406357</v>
      </c>
      <c r="C15109" t="str">
        <f>"363A00000X"</f>
        <v>363A00000X</v>
      </c>
      <c r="D15109" t="str">
        <f>"MURPHY                   MATTHEW                  "</f>
        <v xml:space="preserve">MURPHY                   MATTHEW                  </v>
      </c>
      <c r="E15109" t="str">
        <f>"TUPELO                    "</f>
        <v xml:space="preserve">TUPELO                    </v>
      </c>
      <c r="F15109" t="str">
        <f t="shared" si="383"/>
        <v>MS</v>
      </c>
    </row>
    <row r="15110" spans="1:6" x14ac:dyDescent="0.25">
      <c r="A15110" t="str">
        <f>"200001476"</f>
        <v>200001476</v>
      </c>
      <c r="B15110" t="str">
        <f>"1992433163"</f>
        <v>1992433163</v>
      </c>
      <c r="C15110" t="str">
        <f>"363L00000X"</f>
        <v>363L00000X</v>
      </c>
      <c r="D15110" t="str">
        <f>"BOYD                     TIFFANY                  "</f>
        <v xml:space="preserve">BOYD                     TIFFANY                  </v>
      </c>
      <c r="E15110" t="str">
        <f>"SOUTHAVEN                 "</f>
        <v xml:space="preserve">SOUTHAVEN                 </v>
      </c>
      <c r="F15110" t="str">
        <f t="shared" si="383"/>
        <v>MS</v>
      </c>
    </row>
    <row r="15111" spans="1:6" x14ac:dyDescent="0.25">
      <c r="A15111" t="str">
        <f>"200001478"</f>
        <v>200001478</v>
      </c>
      <c r="B15111" t="str">
        <f>"1033724349"</f>
        <v>1033724349</v>
      </c>
      <c r="C15111" t="str">
        <f>"363L00000X"</f>
        <v>363L00000X</v>
      </c>
      <c r="D15111" t="str">
        <f>"SEVERINO                 TATUM                    "</f>
        <v xml:space="preserve">SEVERINO                 TATUM                    </v>
      </c>
      <c r="E15111" t="str">
        <f>"VICKSBURG                 "</f>
        <v xml:space="preserve">VICKSBURG                 </v>
      </c>
      <c r="F15111" t="str">
        <f t="shared" si="383"/>
        <v>MS</v>
      </c>
    </row>
    <row r="15112" spans="1:6" x14ac:dyDescent="0.25">
      <c r="A15112" t="str">
        <f>"200001480"</f>
        <v>200001480</v>
      </c>
      <c r="B15112" t="str">
        <f>"1053047464"</f>
        <v>1053047464</v>
      </c>
      <c r="C15112" t="str">
        <f>"363L00000X"</f>
        <v>363L00000X</v>
      </c>
      <c r="D15112" t="str">
        <f>"TURNER                   DENISE       M           "</f>
        <v xml:space="preserve">TURNER                   DENISE       M           </v>
      </c>
      <c r="E15112" t="str">
        <f>"COLUMBUS                  "</f>
        <v xml:space="preserve">COLUMBUS                  </v>
      </c>
      <c r="F15112" t="str">
        <f t="shared" si="383"/>
        <v>MS</v>
      </c>
    </row>
    <row r="15113" spans="1:6" x14ac:dyDescent="0.25">
      <c r="A15113" t="str">
        <f>"200001494"</f>
        <v>200001494</v>
      </c>
      <c r="B15113" t="str">
        <f>"1568502714"</f>
        <v>1568502714</v>
      </c>
      <c r="C15113" t="str">
        <f>"207Q00000X"</f>
        <v>207Q00000X</v>
      </c>
      <c r="D15113" t="str">
        <f>"HARPER                   WILLIAM                  "</f>
        <v xml:space="preserve">HARPER                   WILLIAM                  </v>
      </c>
      <c r="E15113" t="str">
        <f>"NORTH CARROLLTON          "</f>
        <v xml:space="preserve">NORTH CARROLLTON          </v>
      </c>
      <c r="F15113" t="str">
        <f t="shared" si="383"/>
        <v>MS</v>
      </c>
    </row>
    <row r="15114" spans="1:6" x14ac:dyDescent="0.25">
      <c r="A15114" t="str">
        <f>"200001495"</f>
        <v>200001495</v>
      </c>
      <c r="B15114" t="str">
        <f>"1770963258"</f>
        <v>1770963258</v>
      </c>
      <c r="C15114" t="str">
        <f>"207RC0000X"</f>
        <v>207RC0000X</v>
      </c>
      <c r="D15114" t="str">
        <f>"ORTEGA                   ZOE                      "</f>
        <v xml:space="preserve">ORTEGA                   ZOE                      </v>
      </c>
      <c r="E15114" t="str">
        <f>"HATTIESBURG               "</f>
        <v xml:space="preserve">HATTIESBURG               </v>
      </c>
      <c r="F15114" t="str">
        <f t="shared" si="383"/>
        <v>MS</v>
      </c>
    </row>
    <row r="15115" spans="1:6" x14ac:dyDescent="0.25">
      <c r="A15115" t="str">
        <f>"200001497"</f>
        <v>200001497</v>
      </c>
      <c r="B15115" t="str">
        <f>"1003078692"</f>
        <v>1003078692</v>
      </c>
      <c r="C15115" t="str">
        <f>"2084N0400X"</f>
        <v>2084N0400X</v>
      </c>
      <c r="D15115" t="str">
        <f>"RIVERA-PEREZ             FELIX                    "</f>
        <v xml:space="preserve">RIVERA-PEREZ             FELIX                    </v>
      </c>
      <c r="E15115" t="str">
        <f>"TUPELO                    "</f>
        <v xml:space="preserve">TUPELO                    </v>
      </c>
      <c r="F15115" t="str">
        <f t="shared" si="383"/>
        <v>MS</v>
      </c>
    </row>
    <row r="15116" spans="1:6" x14ac:dyDescent="0.25">
      <c r="A15116" t="str">
        <f>"200001502"</f>
        <v>200001502</v>
      </c>
      <c r="B15116" t="str">
        <f>"1871174706"</f>
        <v>1871174706</v>
      </c>
      <c r="C15116" t="str">
        <f>"261QA1903X"</f>
        <v>261QA1903X</v>
      </c>
      <c r="D15116" t="str">
        <f>"AMBULATORY CARDIOVASCULAR CENTER OF MS, LLC       "</f>
        <v xml:space="preserve">AMBULATORY CARDIOVASCULAR CENTER OF MS, LLC       </v>
      </c>
      <c r="E15116" t="str">
        <f>"HATTIESBURG               "</f>
        <v xml:space="preserve">HATTIESBURG               </v>
      </c>
      <c r="F15116" t="str">
        <f t="shared" si="383"/>
        <v>MS</v>
      </c>
    </row>
    <row r="15117" spans="1:6" x14ac:dyDescent="0.25">
      <c r="A15117" t="str">
        <f>"200001507"</f>
        <v>200001507</v>
      </c>
      <c r="B15117" t="str">
        <f>"1053041251"</f>
        <v>1053041251</v>
      </c>
      <c r="C15117" t="str">
        <f>"363L00000X"</f>
        <v>363L00000X</v>
      </c>
      <c r="D15117" t="str">
        <f>"BEGNER                   DAWN                     "</f>
        <v xml:space="preserve">BEGNER                   DAWN                     </v>
      </c>
      <c r="E15117" t="str">
        <f>"TUPELO                    "</f>
        <v xml:space="preserve">TUPELO                    </v>
      </c>
      <c r="F15117" t="str">
        <f t="shared" si="383"/>
        <v>MS</v>
      </c>
    </row>
    <row r="15118" spans="1:6" x14ac:dyDescent="0.25">
      <c r="A15118" t="str">
        <f>"200001514"</f>
        <v>200001514</v>
      </c>
      <c r="B15118" t="str">
        <f>"1417673484"</f>
        <v>1417673484</v>
      </c>
      <c r="C15118" t="str">
        <f>"363L00000X"</f>
        <v>363L00000X</v>
      </c>
      <c r="D15118" t="str">
        <f>"ROJAS                    SUSAN                    "</f>
        <v xml:space="preserve">ROJAS                    SUSAN                    </v>
      </c>
      <c r="E15118" t="str">
        <f>"GULFPORT                  "</f>
        <v xml:space="preserve">GULFPORT                  </v>
      </c>
      <c r="F15118" t="str">
        <f t="shared" si="383"/>
        <v>MS</v>
      </c>
    </row>
    <row r="15119" spans="1:6" x14ac:dyDescent="0.25">
      <c r="A15119" t="str">
        <f>"200001517"</f>
        <v>200001517</v>
      </c>
      <c r="B15119" t="str">
        <f>"1114654423"</f>
        <v>1114654423</v>
      </c>
      <c r="C15119" t="str">
        <f>"261QM1300X"</f>
        <v>261QM1300X</v>
      </c>
      <c r="D15119" t="str">
        <f>"CROSSROADS FAMILY HEALTH CLINIC LLC               "</f>
        <v xml:space="preserve">CROSSROADS FAMILY HEALTH CLINIC LLC               </v>
      </c>
      <c r="E15119" t="str">
        <f>"CORINTH                   "</f>
        <v xml:space="preserve">CORINTH                   </v>
      </c>
      <c r="F15119" t="str">
        <f t="shared" si="383"/>
        <v>MS</v>
      </c>
    </row>
    <row r="15120" spans="1:6" x14ac:dyDescent="0.25">
      <c r="A15120" t="str">
        <f>"200001518"</f>
        <v>200001518</v>
      </c>
      <c r="B15120" t="str">
        <f>"1720405814"</f>
        <v>1720405814</v>
      </c>
      <c r="C15120" t="str">
        <f>"207ZP0102X"</f>
        <v>207ZP0102X</v>
      </c>
      <c r="D15120" t="str">
        <f>"COBB                     JARED                    "</f>
        <v xml:space="preserve">COBB                     JARED                    </v>
      </c>
      <c r="E15120" t="str">
        <f>"SOUTHAVEN                 "</f>
        <v xml:space="preserve">SOUTHAVEN                 </v>
      </c>
      <c r="F15120" t="str">
        <f t="shared" si="383"/>
        <v>MS</v>
      </c>
    </row>
    <row r="15121" spans="1:6" x14ac:dyDescent="0.25">
      <c r="A15121" t="str">
        <f>"200001526"</f>
        <v>200001526</v>
      </c>
      <c r="B15121" t="str">
        <f>"1588940142"</f>
        <v>1588940142</v>
      </c>
      <c r="C15121" t="str">
        <f>"208800000X"</f>
        <v>208800000X</v>
      </c>
      <c r="D15121" t="str">
        <f>"SHIN                     DANIEL       H           "</f>
        <v xml:space="preserve">SHIN                     DANIEL       H           </v>
      </c>
      <c r="E15121" t="str">
        <f>"OXFORD                    "</f>
        <v xml:space="preserve">OXFORD                    </v>
      </c>
      <c r="F15121" t="str">
        <f t="shared" si="383"/>
        <v>MS</v>
      </c>
    </row>
    <row r="15122" spans="1:6" x14ac:dyDescent="0.25">
      <c r="A15122" t="str">
        <f>"200001530"</f>
        <v>200001530</v>
      </c>
      <c r="B15122" t="str">
        <f>"1912978255"</f>
        <v>1912978255</v>
      </c>
      <c r="C15122" t="str">
        <f>"207V00000X"</f>
        <v>207V00000X</v>
      </c>
      <c r="D15122" t="str">
        <f>"SAMS                     JOSEPH       O           "</f>
        <v xml:space="preserve">SAMS                     JOSEPH       O           </v>
      </c>
      <c r="E15122" t="str">
        <f>"OXFORD                    "</f>
        <v xml:space="preserve">OXFORD                    </v>
      </c>
      <c r="F15122" t="str">
        <f t="shared" si="383"/>
        <v>MS</v>
      </c>
    </row>
    <row r="15123" spans="1:6" x14ac:dyDescent="0.25">
      <c r="A15123" t="str">
        <f>"200001540"</f>
        <v>200001540</v>
      </c>
      <c r="B15123" t="str">
        <f>"1649990144"</f>
        <v>1649990144</v>
      </c>
      <c r="C15123" t="str">
        <f>"363L00000X"</f>
        <v>363L00000X</v>
      </c>
      <c r="D15123" t="str">
        <f>"GOODNIGHT                LORI                     "</f>
        <v xml:space="preserve">GOODNIGHT                LORI                     </v>
      </c>
      <c r="E15123" t="str">
        <f>"MOSS POINT                "</f>
        <v xml:space="preserve">MOSS POINT                </v>
      </c>
      <c r="F15123" t="str">
        <f t="shared" si="383"/>
        <v>MS</v>
      </c>
    </row>
    <row r="15124" spans="1:6" x14ac:dyDescent="0.25">
      <c r="A15124" t="str">
        <f>"200001544"</f>
        <v>200001544</v>
      </c>
      <c r="B15124" t="str">
        <f>"1164625448"</f>
        <v>1164625448</v>
      </c>
      <c r="C15124" t="str">
        <f>"207RC0200X"</f>
        <v>207RC0200X</v>
      </c>
      <c r="D15124" t="str">
        <f>"PRESSLER                 JOE          M           "</f>
        <v xml:space="preserve">PRESSLER                 JOE          M           </v>
      </c>
      <c r="E15124" t="str">
        <f>"HATTIESBURG               "</f>
        <v xml:space="preserve">HATTIESBURG               </v>
      </c>
      <c r="F15124" t="str">
        <f t="shared" si="383"/>
        <v>MS</v>
      </c>
    </row>
    <row r="15125" spans="1:6" x14ac:dyDescent="0.25">
      <c r="A15125" t="str">
        <f>"200001552"</f>
        <v>200001552</v>
      </c>
      <c r="B15125" t="str">
        <f>"1548858749"</f>
        <v>1548858749</v>
      </c>
      <c r="C15125" t="str">
        <f>"363A00000X"</f>
        <v>363A00000X</v>
      </c>
      <c r="D15125" t="str">
        <f>"LEIS                     CRISTINA                 "</f>
        <v xml:space="preserve">LEIS                     CRISTINA                 </v>
      </c>
      <c r="E15125" t="str">
        <f>"GLUCKSTADT                "</f>
        <v xml:space="preserve">GLUCKSTADT                </v>
      </c>
      <c r="F15125" t="str">
        <f t="shared" si="383"/>
        <v>MS</v>
      </c>
    </row>
    <row r="15126" spans="1:6" x14ac:dyDescent="0.25">
      <c r="A15126" t="str">
        <f>"200001564"</f>
        <v>200001564</v>
      </c>
      <c r="B15126" t="str">
        <f>"1417497306"</f>
        <v>1417497306</v>
      </c>
      <c r="C15126" t="str">
        <f>"261QA0600X"</f>
        <v>261QA0600X</v>
      </c>
      <c r="D15126" t="str">
        <f>"GOLDEN YEARS HOME &amp; ADULT CARE                    "</f>
        <v xml:space="preserve">GOLDEN YEARS HOME &amp; ADULT CARE                    </v>
      </c>
      <c r="E15126" t="str">
        <f>"MARKS                     "</f>
        <v xml:space="preserve">MARKS                     </v>
      </c>
      <c r="F15126" t="str">
        <f t="shared" si="383"/>
        <v>MS</v>
      </c>
    </row>
    <row r="15127" spans="1:6" x14ac:dyDescent="0.25">
      <c r="A15127" t="str">
        <f>"200001570"</f>
        <v>200001570</v>
      </c>
      <c r="B15127" t="str">
        <f>"1952034456"</f>
        <v>1952034456</v>
      </c>
      <c r="C15127" t="str">
        <f>"363L00000X"</f>
        <v>363L00000X</v>
      </c>
      <c r="D15127" t="str">
        <f>"TAYLOR                   JUSTIN                   "</f>
        <v xml:space="preserve">TAYLOR                   JUSTIN                   </v>
      </c>
      <c r="E15127" t="str">
        <f>"POPLARVILLE               "</f>
        <v xml:space="preserve">POPLARVILLE               </v>
      </c>
      <c r="F15127" t="str">
        <f t="shared" si="383"/>
        <v>MS</v>
      </c>
    </row>
    <row r="15128" spans="1:6" x14ac:dyDescent="0.25">
      <c r="A15128" t="str">
        <f>"200001572"</f>
        <v>200001572</v>
      </c>
      <c r="B15128" t="str">
        <f>"1134617335"</f>
        <v>1134617335</v>
      </c>
      <c r="C15128" t="str">
        <f>"207Q00000X"</f>
        <v>207Q00000X</v>
      </c>
      <c r="D15128" t="str">
        <f>"WILSON                   KELSEY                   "</f>
        <v xml:space="preserve">WILSON                   KELSEY                   </v>
      </c>
      <c r="E15128" t="str">
        <f>"COLUMBUS                  "</f>
        <v xml:space="preserve">COLUMBUS                  </v>
      </c>
      <c r="F15128" t="str">
        <f t="shared" si="383"/>
        <v>MS</v>
      </c>
    </row>
    <row r="15129" spans="1:6" x14ac:dyDescent="0.25">
      <c r="A15129" t="str">
        <f>"200001574"</f>
        <v>200001574</v>
      </c>
      <c r="B15129" t="str">
        <f>"1205398245"</f>
        <v>1205398245</v>
      </c>
      <c r="C15129" t="str">
        <f>"207R00000X"</f>
        <v>207R00000X</v>
      </c>
      <c r="D15129" t="str">
        <f>"REDDING                  ALISON                   "</f>
        <v xml:space="preserve">REDDING                  ALISON                   </v>
      </c>
      <c r="E15129" t="str">
        <f>"LAUREL                    "</f>
        <v xml:space="preserve">LAUREL                    </v>
      </c>
      <c r="F15129" t="str">
        <f t="shared" si="383"/>
        <v>MS</v>
      </c>
    </row>
    <row r="15130" spans="1:6" x14ac:dyDescent="0.25">
      <c r="A15130" t="str">
        <f>"200001575"</f>
        <v>200001575</v>
      </c>
      <c r="B15130" t="str">
        <f>"1265621130"</f>
        <v>1265621130</v>
      </c>
      <c r="C15130" t="str">
        <f>"207RC0000X"</f>
        <v>207RC0000X</v>
      </c>
      <c r="D15130" t="str">
        <f>"EL KHOURY ANTOUN         GEORGES      E           "</f>
        <v xml:space="preserve">EL KHOURY ANTOUN         GEORGES      E           </v>
      </c>
      <c r="E15130" t="str">
        <f>"HATTIESBURG               "</f>
        <v xml:space="preserve">HATTIESBURG               </v>
      </c>
      <c r="F15130" t="str">
        <f t="shared" si="383"/>
        <v>MS</v>
      </c>
    </row>
    <row r="15131" spans="1:6" x14ac:dyDescent="0.25">
      <c r="A15131" t="str">
        <f>"200001577"</f>
        <v>200001577</v>
      </c>
      <c r="B15131" t="str">
        <f>"1306445069"</f>
        <v>1306445069</v>
      </c>
      <c r="C15131" t="str">
        <f>"363L00000X"</f>
        <v>363L00000X</v>
      </c>
      <c r="D15131" t="str">
        <f>"BOOTY                    MARLEE                   "</f>
        <v xml:space="preserve">BOOTY                    MARLEE                   </v>
      </c>
      <c r="E15131" t="str">
        <f>"MCCOMB                    "</f>
        <v xml:space="preserve">MCCOMB                    </v>
      </c>
      <c r="F15131" t="str">
        <f t="shared" si="383"/>
        <v>MS</v>
      </c>
    </row>
    <row r="15132" spans="1:6" x14ac:dyDescent="0.25">
      <c r="A15132" t="str">
        <f>"200001582"</f>
        <v>200001582</v>
      </c>
      <c r="B15132" t="str">
        <f>"1760472021"</f>
        <v>1760472021</v>
      </c>
      <c r="C15132" t="str">
        <f>"207Q00000X"</f>
        <v>207Q00000X</v>
      </c>
      <c r="D15132" t="str">
        <f>"WEBBER                   DAVID                    "</f>
        <v xml:space="preserve">WEBBER                   DAVID                    </v>
      </c>
      <c r="E15132" t="str">
        <f>"CLARKSDALE                "</f>
        <v xml:space="preserve">CLARKSDALE                </v>
      </c>
      <c r="F15132" t="str">
        <f t="shared" si="383"/>
        <v>MS</v>
      </c>
    </row>
    <row r="15133" spans="1:6" x14ac:dyDescent="0.25">
      <c r="A15133" t="str">
        <f>"200001591"</f>
        <v>200001591</v>
      </c>
      <c r="B15133" t="str">
        <f>"1760941348"</f>
        <v>1760941348</v>
      </c>
      <c r="C15133" t="str">
        <f>"363L00000X"</f>
        <v>363L00000X</v>
      </c>
      <c r="D15133" t="str">
        <f>"WELCH                    MEGHAN                   "</f>
        <v xml:space="preserve">WELCH                    MEGHAN                   </v>
      </c>
      <c r="E15133" t="str">
        <f>"GRENADA                   "</f>
        <v xml:space="preserve">GRENADA                   </v>
      </c>
      <c r="F15133" t="str">
        <f t="shared" si="383"/>
        <v>MS</v>
      </c>
    </row>
    <row r="15134" spans="1:6" x14ac:dyDescent="0.25">
      <c r="A15134" t="str">
        <f>"200001593"</f>
        <v>200001593</v>
      </c>
      <c r="B15134" t="str">
        <f>"1154845840"</f>
        <v>1154845840</v>
      </c>
      <c r="C15134" t="str">
        <f>"261QR1300X"</f>
        <v>261QR1300X</v>
      </c>
      <c r="D15134" t="str">
        <f>"HEALTHY LIVING FAMILY MEDICAL CENTER LLC          "</f>
        <v xml:space="preserve">HEALTHY LIVING FAMILY MEDICAL CENTER LLC          </v>
      </c>
      <c r="E15134" t="str">
        <f>"GUNNISON                  "</f>
        <v xml:space="preserve">GUNNISON                  </v>
      </c>
      <c r="F15134" t="str">
        <f t="shared" si="383"/>
        <v>MS</v>
      </c>
    </row>
    <row r="15135" spans="1:6" x14ac:dyDescent="0.25">
      <c r="A15135" t="str">
        <f>"200001607"</f>
        <v>200001607</v>
      </c>
      <c r="B15135" t="str">
        <f>"1548593817"</f>
        <v>1548593817</v>
      </c>
      <c r="C15135" t="str">
        <f>"363L00000X"</f>
        <v>363L00000X</v>
      </c>
      <c r="D15135" t="str">
        <f>"MCGUIRE                  SARAH                    "</f>
        <v xml:space="preserve">MCGUIRE                  SARAH                    </v>
      </c>
      <c r="E15135" t="str">
        <f>"GULFPORT                  "</f>
        <v xml:space="preserve">GULFPORT                  </v>
      </c>
      <c r="F15135" t="str">
        <f t="shared" si="383"/>
        <v>MS</v>
      </c>
    </row>
    <row r="15136" spans="1:6" x14ac:dyDescent="0.25">
      <c r="A15136" t="str">
        <f>"200001625"</f>
        <v>200001625</v>
      </c>
      <c r="B15136" t="str">
        <f>"1649774993"</f>
        <v>1649774993</v>
      </c>
      <c r="C15136" t="str">
        <f>"207P00000X"</f>
        <v>207P00000X</v>
      </c>
      <c r="D15136" t="str">
        <f>"NEWMAN                   CHRISTOPHER              "</f>
        <v xml:space="preserve">NEWMAN                   CHRISTOPHER              </v>
      </c>
      <c r="E15136" t="str">
        <f>"BOONEVILLE                "</f>
        <v xml:space="preserve">BOONEVILLE                </v>
      </c>
      <c r="F15136" t="str">
        <f t="shared" si="383"/>
        <v>MS</v>
      </c>
    </row>
    <row r="15137" spans="1:6" x14ac:dyDescent="0.25">
      <c r="A15137" t="str">
        <f>"200001629"</f>
        <v>200001629</v>
      </c>
      <c r="B15137" t="str">
        <f>"1699473017"</f>
        <v>1699473017</v>
      </c>
      <c r="C15137" t="str">
        <f>"363L00000X"</f>
        <v>363L00000X</v>
      </c>
      <c r="D15137" t="str">
        <f>"KEANTI                   SMITH        M           "</f>
        <v xml:space="preserve">KEANTI                   SMITH        M           </v>
      </c>
      <c r="E15137" t="str">
        <f>"JACKSON                   "</f>
        <v xml:space="preserve">JACKSON                   </v>
      </c>
      <c r="F15137" t="str">
        <f t="shared" si="383"/>
        <v>MS</v>
      </c>
    </row>
    <row r="15138" spans="1:6" x14ac:dyDescent="0.25">
      <c r="A15138" t="str">
        <f>"200001630"</f>
        <v>200001630</v>
      </c>
      <c r="B15138" t="str">
        <f>"1265167415"</f>
        <v>1265167415</v>
      </c>
      <c r="C15138" t="str">
        <f>"122300000X"</f>
        <v>122300000X</v>
      </c>
      <c r="D15138" t="str">
        <f>"CLAYTON                  MATTHEW                  "</f>
        <v xml:space="preserve">CLAYTON                  MATTHEW                  </v>
      </c>
      <c r="E15138" t="str">
        <f>"OXFORD                    "</f>
        <v xml:space="preserve">OXFORD                    </v>
      </c>
      <c r="F15138" t="str">
        <f t="shared" si="383"/>
        <v>MS</v>
      </c>
    </row>
    <row r="15139" spans="1:6" x14ac:dyDescent="0.25">
      <c r="A15139" t="str">
        <f>"200001631"</f>
        <v>200001631</v>
      </c>
      <c r="B15139" t="str">
        <f>"1053088922"</f>
        <v>1053088922</v>
      </c>
      <c r="C15139" t="str">
        <f>"363LF0000X"</f>
        <v>363LF0000X</v>
      </c>
      <c r="D15139" t="str">
        <f>"BAILEY                   AUDREY                   "</f>
        <v xml:space="preserve">BAILEY                   AUDREY                   </v>
      </c>
      <c r="E15139" t="str">
        <f>"JACKSON                   "</f>
        <v xml:space="preserve">JACKSON                   </v>
      </c>
      <c r="F15139" t="str">
        <f t="shared" si="383"/>
        <v>MS</v>
      </c>
    </row>
    <row r="15140" spans="1:6" x14ac:dyDescent="0.25">
      <c r="A15140" t="str">
        <f>"200001634"</f>
        <v>200001634</v>
      </c>
      <c r="B15140" t="str">
        <f>"1912136490"</f>
        <v>1912136490</v>
      </c>
      <c r="C15140" t="str">
        <f>"208000000X"</f>
        <v>208000000X</v>
      </c>
      <c r="D15140" t="str">
        <f>"OUZTS                    CHARLES      A           "</f>
        <v xml:space="preserve">OUZTS                    CHARLES      A           </v>
      </c>
      <c r="E15140" t="str">
        <f>"FLOWOOD                   "</f>
        <v xml:space="preserve">FLOWOOD                   </v>
      </c>
      <c r="F15140" t="str">
        <f t="shared" si="383"/>
        <v>MS</v>
      </c>
    </row>
    <row r="15141" spans="1:6" x14ac:dyDescent="0.25">
      <c r="A15141" t="str">
        <f>"200001644"</f>
        <v>200001644</v>
      </c>
      <c r="B15141" t="str">
        <f>"1427154327"</f>
        <v>1427154327</v>
      </c>
      <c r="C15141" t="str">
        <f>"207RP1001X"</f>
        <v>207RP1001X</v>
      </c>
      <c r="D15141" t="str">
        <f>"TAYLOR                   JERROD                   "</f>
        <v xml:space="preserve">TAYLOR                   JERROD                   </v>
      </c>
      <c r="E15141" t="str">
        <f>"GULFPORT                  "</f>
        <v xml:space="preserve">GULFPORT                  </v>
      </c>
      <c r="F15141" t="str">
        <f t="shared" si="383"/>
        <v>MS</v>
      </c>
    </row>
    <row r="15142" spans="1:6" x14ac:dyDescent="0.25">
      <c r="A15142" t="str">
        <f>"200001656"</f>
        <v>200001656</v>
      </c>
      <c r="B15142" t="str">
        <f>"1598472102"</f>
        <v>1598472102</v>
      </c>
      <c r="C15142" t="str">
        <f>"122300000X"</f>
        <v>122300000X</v>
      </c>
      <c r="D15142" t="str">
        <f>"WARE FAMILY DENTAL OF MISSISSIPPI                 "</f>
        <v xml:space="preserve">WARE FAMILY DENTAL OF MISSISSIPPI                 </v>
      </c>
      <c r="E15142" t="str">
        <f>"LUCEDALE                  "</f>
        <v xml:space="preserve">LUCEDALE                  </v>
      </c>
      <c r="F15142" t="str">
        <f t="shared" si="383"/>
        <v>MS</v>
      </c>
    </row>
    <row r="15143" spans="1:6" x14ac:dyDescent="0.25">
      <c r="A15143" t="str">
        <f>"200001670"</f>
        <v>200001670</v>
      </c>
      <c r="B15143" t="str">
        <f>"1811954134"</f>
        <v>1811954134</v>
      </c>
      <c r="C15143" t="str">
        <f>"207P00000X"</f>
        <v>207P00000X</v>
      </c>
      <c r="D15143" t="str">
        <f>"SHAMMAS                  CARLOS       R           "</f>
        <v xml:space="preserve">SHAMMAS                  CARLOS       R           </v>
      </c>
      <c r="E15143" t="str">
        <f>"SOUTHAVEN                 "</f>
        <v xml:space="preserve">SOUTHAVEN                 </v>
      </c>
      <c r="F15143" t="str">
        <f t="shared" si="383"/>
        <v>MS</v>
      </c>
    </row>
    <row r="15144" spans="1:6" x14ac:dyDescent="0.25">
      <c r="A15144" t="str">
        <f>"200001671"</f>
        <v>200001671</v>
      </c>
      <c r="B15144" t="str">
        <f>"1295171734"</f>
        <v>1295171734</v>
      </c>
      <c r="C15144" t="str">
        <f>"2084P0800X"</f>
        <v>2084P0800X</v>
      </c>
      <c r="D15144" t="str">
        <f>"SMITH                    ANDREW                   "</f>
        <v xml:space="preserve">SMITH                    ANDREW                   </v>
      </c>
      <c r="E15144" t="str">
        <f>"SOUTHAVEN                 "</f>
        <v xml:space="preserve">SOUTHAVEN                 </v>
      </c>
      <c r="F15144" t="str">
        <f t="shared" si="383"/>
        <v>MS</v>
      </c>
    </row>
    <row r="15145" spans="1:6" x14ac:dyDescent="0.25">
      <c r="A15145" t="str">
        <f>"200001678"</f>
        <v>200001678</v>
      </c>
      <c r="B15145" t="str">
        <f>"1629227608"</f>
        <v>1629227608</v>
      </c>
      <c r="C15145" t="str">
        <f>"363L00000X"</f>
        <v>363L00000X</v>
      </c>
      <c r="D15145" t="str">
        <f>"CONAWAY                  LACEY        P           "</f>
        <v xml:space="preserve">CONAWAY                  LACEY        P           </v>
      </c>
      <c r="E15145" t="str">
        <f>"HORN LAKE                 "</f>
        <v xml:space="preserve">HORN LAKE                 </v>
      </c>
      <c r="F15145" t="str">
        <f t="shared" si="383"/>
        <v>MS</v>
      </c>
    </row>
    <row r="15146" spans="1:6" x14ac:dyDescent="0.25">
      <c r="A15146" t="str">
        <f>"200001695"</f>
        <v>200001695</v>
      </c>
      <c r="B15146" t="str">
        <f>"1164132221"</f>
        <v>1164132221</v>
      </c>
      <c r="C15146" t="str">
        <f>"367500000X"</f>
        <v>367500000X</v>
      </c>
      <c r="D15146" t="str">
        <f>"DEGHEB                   BROOKE       N           "</f>
        <v xml:space="preserve">DEGHEB                   BROOKE       N           </v>
      </c>
      <c r="E15146" t="str">
        <f>"HATTIESBURG               "</f>
        <v xml:space="preserve">HATTIESBURG               </v>
      </c>
      <c r="F15146" t="str">
        <f t="shared" si="383"/>
        <v>MS</v>
      </c>
    </row>
    <row r="15147" spans="1:6" x14ac:dyDescent="0.25">
      <c r="A15147" t="str">
        <f>"200001698"</f>
        <v>200001698</v>
      </c>
      <c r="B15147" t="str">
        <f>"1285930230"</f>
        <v>1285930230</v>
      </c>
      <c r="C15147" t="str">
        <f>"363L00000X"</f>
        <v>363L00000X</v>
      </c>
      <c r="D15147" t="str">
        <f>"SMITH                    STELLA                   "</f>
        <v xml:space="preserve">SMITH                    STELLA                   </v>
      </c>
      <c r="E15147" t="str">
        <f>"GULFPORT                  "</f>
        <v xml:space="preserve">GULFPORT                  </v>
      </c>
      <c r="F15147" t="str">
        <f t="shared" si="383"/>
        <v>MS</v>
      </c>
    </row>
    <row r="15148" spans="1:6" x14ac:dyDescent="0.25">
      <c r="A15148" t="str">
        <f>"200001701"</f>
        <v>200001701</v>
      </c>
      <c r="B15148" t="str">
        <f>"1720694029"</f>
        <v>1720694029</v>
      </c>
      <c r="C15148" t="str">
        <f>"363L00000X"</f>
        <v>363L00000X</v>
      </c>
      <c r="D15148" t="str">
        <f>"DICKERSON                MICHELLE     G           "</f>
        <v xml:space="preserve">DICKERSON                MICHELLE     G           </v>
      </c>
      <c r="E15148" t="str">
        <f>"MERIDIAN                  "</f>
        <v xml:space="preserve">MERIDIAN                  </v>
      </c>
      <c r="F15148" t="str">
        <f t="shared" si="383"/>
        <v>MS</v>
      </c>
    </row>
    <row r="15149" spans="1:6" x14ac:dyDescent="0.25">
      <c r="A15149" t="str">
        <f>"200001708"</f>
        <v>200001708</v>
      </c>
      <c r="B15149" t="str">
        <f>"1811609894"</f>
        <v>1811609894</v>
      </c>
      <c r="C15149" t="str">
        <f>"363L00000X"</f>
        <v>363L00000X</v>
      </c>
      <c r="D15149" t="str">
        <f>"VALENTINE                STORMI                   "</f>
        <v xml:space="preserve">VALENTINE                STORMI                   </v>
      </c>
      <c r="E15149" t="str">
        <f>"TUPELO                    "</f>
        <v xml:space="preserve">TUPELO                    </v>
      </c>
      <c r="F15149" t="str">
        <f t="shared" si="383"/>
        <v>MS</v>
      </c>
    </row>
    <row r="15150" spans="1:6" x14ac:dyDescent="0.25">
      <c r="A15150" t="str">
        <f>"200001711"</f>
        <v>200001711</v>
      </c>
      <c r="B15150" t="str">
        <f>"1063183275"</f>
        <v>1063183275</v>
      </c>
      <c r="C15150" t="str">
        <f>"363L00000X"</f>
        <v>363L00000X</v>
      </c>
      <c r="D15150" t="str">
        <f>"PAYNE                    ASHLIE       L           "</f>
        <v xml:space="preserve">PAYNE                    ASHLIE       L           </v>
      </c>
      <c r="E15150" t="str">
        <f>"BROOKHAVEN                "</f>
        <v xml:space="preserve">BROOKHAVEN                </v>
      </c>
      <c r="F15150" t="str">
        <f t="shared" si="383"/>
        <v>MS</v>
      </c>
    </row>
    <row r="15151" spans="1:6" x14ac:dyDescent="0.25">
      <c r="A15151" t="str">
        <f>"200001722"</f>
        <v>200001722</v>
      </c>
      <c r="B15151" t="str">
        <f>"1063179018"</f>
        <v>1063179018</v>
      </c>
      <c r="C15151" t="str">
        <f>"363L00000X"</f>
        <v>363L00000X</v>
      </c>
      <c r="D15151" t="str">
        <f>"MILAM                    SAVANNAH                 "</f>
        <v xml:space="preserve">MILAM                    SAVANNAH                 </v>
      </c>
      <c r="E15151" t="str">
        <f>"COLDWATER                 "</f>
        <v xml:space="preserve">COLDWATER                 </v>
      </c>
      <c r="F15151" t="str">
        <f t="shared" si="383"/>
        <v>MS</v>
      </c>
    </row>
    <row r="15152" spans="1:6" x14ac:dyDescent="0.25">
      <c r="A15152" t="str">
        <f>"200001727"</f>
        <v>200001727</v>
      </c>
      <c r="B15152" t="str">
        <f>"1134239171"</f>
        <v>1134239171</v>
      </c>
      <c r="C15152" t="str">
        <f>"207Y00000X"</f>
        <v>207Y00000X</v>
      </c>
      <c r="D15152" t="str">
        <f>"CASANO                   PETER        J           "</f>
        <v xml:space="preserve">CASANO                   PETER        J           </v>
      </c>
      <c r="E15152" t="str">
        <f>"BAY ST. LOUIS             "</f>
        <v xml:space="preserve">BAY ST. LOUIS             </v>
      </c>
      <c r="F15152" t="str">
        <f t="shared" si="383"/>
        <v>MS</v>
      </c>
    </row>
    <row r="15153" spans="1:6" x14ac:dyDescent="0.25">
      <c r="A15153" t="str">
        <f>"200001737"</f>
        <v>200001737</v>
      </c>
      <c r="B15153" t="str">
        <f>"1396156394"</f>
        <v>1396156394</v>
      </c>
      <c r="C15153" t="str">
        <f>"2085R0204X"</f>
        <v>2085R0204X</v>
      </c>
      <c r="D15153" t="str">
        <f>"HYATT                    MATTHEW                  "</f>
        <v xml:space="preserve">HYATT                    MATTHEW                  </v>
      </c>
      <c r="E15153" t="str">
        <f>"JACKSON                   "</f>
        <v xml:space="preserve">JACKSON                   </v>
      </c>
      <c r="F15153" t="str">
        <f t="shared" si="383"/>
        <v>MS</v>
      </c>
    </row>
    <row r="15154" spans="1:6" x14ac:dyDescent="0.25">
      <c r="A15154" t="str">
        <f>"200001742"</f>
        <v>200001742</v>
      </c>
      <c r="B15154" t="str">
        <f>"1851006720"</f>
        <v>1851006720</v>
      </c>
      <c r="C15154" t="str">
        <f>"367500000X"</f>
        <v>367500000X</v>
      </c>
      <c r="D15154" t="str">
        <f>"MCGINITY                 ANDREW                   "</f>
        <v xml:space="preserve">MCGINITY                 ANDREW                   </v>
      </c>
      <c r="E15154" t="str">
        <f>"GULFPORT                  "</f>
        <v xml:space="preserve">GULFPORT                  </v>
      </c>
      <c r="F15154" t="str">
        <f t="shared" si="383"/>
        <v>MS</v>
      </c>
    </row>
    <row r="15155" spans="1:6" x14ac:dyDescent="0.25">
      <c r="A15155" t="str">
        <f>"200001744"</f>
        <v>200001744</v>
      </c>
      <c r="B15155" t="str">
        <f>"1689301327"</f>
        <v>1689301327</v>
      </c>
      <c r="C15155" t="str">
        <f>"363L00000X"</f>
        <v>363L00000X</v>
      </c>
      <c r="D15155" t="str">
        <f>"SMITH                    ALLISON                  "</f>
        <v xml:space="preserve">SMITH                    ALLISON                  </v>
      </c>
      <c r="E15155" t="str">
        <f>"GLUCKSTADT                "</f>
        <v xml:space="preserve">GLUCKSTADT                </v>
      </c>
      <c r="F15155" t="str">
        <f t="shared" si="383"/>
        <v>MS</v>
      </c>
    </row>
    <row r="15156" spans="1:6" x14ac:dyDescent="0.25">
      <c r="A15156" t="str">
        <f>"200001750"</f>
        <v>200001750</v>
      </c>
      <c r="B15156" t="str">
        <f>"1255044269"</f>
        <v>1255044269</v>
      </c>
      <c r="C15156" t="str">
        <f>"363L00000X"</f>
        <v>363L00000X</v>
      </c>
      <c r="D15156" t="str">
        <f>"HOWARD                   MARY                     "</f>
        <v xml:space="preserve">HOWARD                   MARY                     </v>
      </c>
      <c r="E15156" t="str">
        <f>"TUPELO                    "</f>
        <v xml:space="preserve">TUPELO                    </v>
      </c>
      <c r="F15156" t="str">
        <f t="shared" si="383"/>
        <v>MS</v>
      </c>
    </row>
    <row r="15157" spans="1:6" x14ac:dyDescent="0.25">
      <c r="A15157" t="str">
        <f>"200001752"</f>
        <v>200001752</v>
      </c>
      <c r="B15157" t="str">
        <f>"1093449126"</f>
        <v>1093449126</v>
      </c>
      <c r="C15157" t="str">
        <f>"367500000X"</f>
        <v>367500000X</v>
      </c>
      <c r="D15157" t="str">
        <f>"COMER                    ROMAN                    "</f>
        <v xml:space="preserve">COMER                    ROMAN                    </v>
      </c>
      <c r="E15157" t="str">
        <f>"OXFORD                    "</f>
        <v xml:space="preserve">OXFORD                    </v>
      </c>
      <c r="F15157" t="str">
        <f t="shared" si="383"/>
        <v>MS</v>
      </c>
    </row>
    <row r="15158" spans="1:6" x14ac:dyDescent="0.25">
      <c r="A15158" t="str">
        <f>"200001753"</f>
        <v>200001753</v>
      </c>
      <c r="B15158" t="str">
        <f>"1861115131"</f>
        <v>1861115131</v>
      </c>
      <c r="C15158" t="str">
        <f>"363L00000X"</f>
        <v>363L00000X</v>
      </c>
      <c r="D15158" t="str">
        <f>"COATS                    EVERLEY                  "</f>
        <v xml:space="preserve">COATS                    EVERLEY                  </v>
      </c>
      <c r="E15158" t="str">
        <f>"CALHOUN CITY              "</f>
        <v xml:space="preserve">CALHOUN CITY              </v>
      </c>
      <c r="F15158" t="str">
        <f t="shared" si="383"/>
        <v>MS</v>
      </c>
    </row>
    <row r="15159" spans="1:6" x14ac:dyDescent="0.25">
      <c r="A15159" t="str">
        <f>"200001760"</f>
        <v>200001760</v>
      </c>
      <c r="B15159" t="str">
        <f>"1700528486"</f>
        <v>1700528486</v>
      </c>
      <c r="C15159" t="str">
        <f>"363L00000X"</f>
        <v>363L00000X</v>
      </c>
      <c r="D15159" t="str">
        <f>"MOSLEY                   DESHONNA                 "</f>
        <v xml:space="preserve">MOSLEY                   DESHONNA                 </v>
      </c>
      <c r="E15159" t="str">
        <f>"GRENADA                   "</f>
        <v xml:space="preserve">GRENADA                   </v>
      </c>
      <c r="F15159" t="str">
        <f t="shared" si="383"/>
        <v>MS</v>
      </c>
    </row>
    <row r="15160" spans="1:6" x14ac:dyDescent="0.25">
      <c r="A15160" t="str">
        <f>"200001762"</f>
        <v>200001762</v>
      </c>
      <c r="B15160" t="str">
        <f>"1801329149"</f>
        <v>1801329149</v>
      </c>
      <c r="C15160" t="str">
        <f>"2085R0202X"</f>
        <v>2085R0202X</v>
      </c>
      <c r="D15160" t="str">
        <f>"WATTS                    JUSTIN                   "</f>
        <v xml:space="preserve">WATTS                    JUSTIN                   </v>
      </c>
      <c r="E15160" t="str">
        <f>"COLUMBUS                  "</f>
        <v xml:space="preserve">COLUMBUS                  </v>
      </c>
      <c r="F15160" t="str">
        <f t="shared" si="383"/>
        <v>MS</v>
      </c>
    </row>
    <row r="15161" spans="1:6" x14ac:dyDescent="0.25">
      <c r="A15161" t="str">
        <f>"200001766"</f>
        <v>200001766</v>
      </c>
      <c r="B15161" t="str">
        <f>"1710179023"</f>
        <v>1710179023</v>
      </c>
      <c r="C15161" t="str">
        <f>"1223P0221X"</f>
        <v>1223P0221X</v>
      </c>
      <c r="D15161" t="str">
        <f>"KHATRI                   AVANI                    "</f>
        <v xml:space="preserve">KHATRI                   AVANI                    </v>
      </c>
      <c r="E15161" t="str">
        <f>"JACKSON                   "</f>
        <v xml:space="preserve">JACKSON                   </v>
      </c>
      <c r="F15161" t="str">
        <f t="shared" si="383"/>
        <v>MS</v>
      </c>
    </row>
    <row r="15162" spans="1:6" x14ac:dyDescent="0.25">
      <c r="A15162" t="str">
        <f>"200001775"</f>
        <v>200001775</v>
      </c>
      <c r="B15162" t="str">
        <f>"1619507407"</f>
        <v>1619507407</v>
      </c>
      <c r="C15162" t="str">
        <f>"363L00000X"</f>
        <v>363L00000X</v>
      </c>
      <c r="D15162" t="str">
        <f>"THOMPSON                 BRENDA                   "</f>
        <v xml:space="preserve">THOMPSON                 BRENDA                   </v>
      </c>
      <c r="E15162" t="str">
        <f>"MERIDIAN                  "</f>
        <v xml:space="preserve">MERIDIAN                  </v>
      </c>
      <c r="F15162" t="str">
        <f t="shared" si="383"/>
        <v>MS</v>
      </c>
    </row>
    <row r="15163" spans="1:6" x14ac:dyDescent="0.25">
      <c r="A15163" t="str">
        <f>"200001783"</f>
        <v>200001783</v>
      </c>
      <c r="B15163" t="str">
        <f>"1255088167"</f>
        <v>1255088167</v>
      </c>
      <c r="C15163" t="str">
        <f>"363L00000X"</f>
        <v>363L00000X</v>
      </c>
      <c r="D15163" t="str">
        <f>"JOHNSON                  DONNA        L           "</f>
        <v xml:space="preserve">JOHNSON                  DONNA        L           </v>
      </c>
      <c r="E15163" t="str">
        <f>"SANDERSVILLE              "</f>
        <v xml:space="preserve">SANDERSVILLE              </v>
      </c>
      <c r="F15163" t="str">
        <f t="shared" si="383"/>
        <v>MS</v>
      </c>
    </row>
    <row r="15164" spans="1:6" x14ac:dyDescent="0.25">
      <c r="A15164" t="str">
        <f>"200001786"</f>
        <v>200001786</v>
      </c>
      <c r="B15164" t="str">
        <f>"1518529114"</f>
        <v>1518529114</v>
      </c>
      <c r="C15164" t="str">
        <f>"207R00000X"</f>
        <v>207R00000X</v>
      </c>
      <c r="D15164" t="str">
        <f>"SAKAAN                   RAMI                     "</f>
        <v xml:space="preserve">SAKAAN                   RAMI                     </v>
      </c>
      <c r="E15164" t="str">
        <f>"OLIVE BRANCH              "</f>
        <v xml:space="preserve">OLIVE BRANCH              </v>
      </c>
      <c r="F15164" t="str">
        <f t="shared" si="383"/>
        <v>MS</v>
      </c>
    </row>
    <row r="15165" spans="1:6" x14ac:dyDescent="0.25">
      <c r="A15165" t="str">
        <f>"200001792"</f>
        <v>200001792</v>
      </c>
      <c r="B15165" t="str">
        <f>"1730835737"</f>
        <v>1730835737</v>
      </c>
      <c r="C15165" t="str">
        <f>"363A00000X"</f>
        <v>363A00000X</v>
      </c>
      <c r="D15165" t="str">
        <f>"ROBERSON                 ASHLEY                   "</f>
        <v xml:space="preserve">ROBERSON                 ASHLEY                   </v>
      </c>
      <c r="E15165" t="str">
        <f>"TUPELO                    "</f>
        <v xml:space="preserve">TUPELO                    </v>
      </c>
      <c r="F15165" t="str">
        <f t="shared" si="383"/>
        <v>MS</v>
      </c>
    </row>
    <row r="15166" spans="1:6" x14ac:dyDescent="0.25">
      <c r="A15166" t="str">
        <f>"200001799"</f>
        <v>200001799</v>
      </c>
      <c r="B15166" t="str">
        <f>"1609402304"</f>
        <v>1609402304</v>
      </c>
      <c r="C15166" t="str">
        <f>"363L00000X"</f>
        <v>363L00000X</v>
      </c>
      <c r="D15166" t="str">
        <f>"JACKSON                  VALERIE                  "</f>
        <v xml:space="preserve">JACKSON                  VALERIE                  </v>
      </c>
      <c r="E15166" t="str">
        <f>"CANTON                    "</f>
        <v xml:space="preserve">CANTON                    </v>
      </c>
      <c r="F15166" t="str">
        <f t="shared" ref="F15166:F15229" si="384">"MS"</f>
        <v>MS</v>
      </c>
    </row>
    <row r="15167" spans="1:6" x14ac:dyDescent="0.25">
      <c r="A15167" t="str">
        <f>"200001800"</f>
        <v>200001800</v>
      </c>
      <c r="B15167" t="str">
        <f>"1568074151"</f>
        <v>1568074151</v>
      </c>
      <c r="C15167" t="str">
        <f>"363L00000X"</f>
        <v>363L00000X</v>
      </c>
      <c r="D15167" t="str">
        <f>"FERGUSON                 CHANTE                   "</f>
        <v xml:space="preserve">FERGUSON                 CHANTE                   </v>
      </c>
      <c r="E15167" t="str">
        <f>"MENDENHALL                "</f>
        <v xml:space="preserve">MENDENHALL                </v>
      </c>
      <c r="F15167" t="str">
        <f t="shared" si="384"/>
        <v>MS</v>
      </c>
    </row>
    <row r="15168" spans="1:6" x14ac:dyDescent="0.25">
      <c r="A15168" t="str">
        <f>"200001803"</f>
        <v>200001803</v>
      </c>
      <c r="B15168" t="str">
        <f>"1609593763"</f>
        <v>1609593763</v>
      </c>
      <c r="C15168" t="str">
        <f>"363L00000X"</f>
        <v>363L00000X</v>
      </c>
      <c r="D15168" t="str">
        <f>"THOMAS                   KAYLA                    "</f>
        <v xml:space="preserve">THOMAS                   KAYLA                    </v>
      </c>
      <c r="E15168" t="str">
        <f>"COLUMBUS                  "</f>
        <v xml:space="preserve">COLUMBUS                  </v>
      </c>
      <c r="F15168" t="str">
        <f t="shared" si="384"/>
        <v>MS</v>
      </c>
    </row>
    <row r="15169" spans="1:6" x14ac:dyDescent="0.25">
      <c r="A15169" t="str">
        <f>"200001805"</f>
        <v>200001805</v>
      </c>
      <c r="B15169" t="str">
        <f>"1700801453"</f>
        <v>1700801453</v>
      </c>
      <c r="C15169" t="str">
        <f>"2085R0202X"</f>
        <v>2085R0202X</v>
      </c>
      <c r="D15169" t="str">
        <f>"REESE                    MARK         F           "</f>
        <v xml:space="preserve">REESE                    MARK         F           </v>
      </c>
      <c r="E15169" t="str">
        <f>"JACKSON                   "</f>
        <v xml:space="preserve">JACKSON                   </v>
      </c>
      <c r="F15169" t="str">
        <f t="shared" si="384"/>
        <v>MS</v>
      </c>
    </row>
    <row r="15170" spans="1:6" x14ac:dyDescent="0.25">
      <c r="A15170" t="str">
        <f>"200001808"</f>
        <v>200001808</v>
      </c>
      <c r="B15170" t="str">
        <f>"1790407831"</f>
        <v>1790407831</v>
      </c>
      <c r="C15170" t="str">
        <f t="shared" ref="C15170:C15176" si="385">"363L00000X"</f>
        <v>363L00000X</v>
      </c>
      <c r="D15170" t="str">
        <f>"FRAZIER                  ANASTASIA                "</f>
        <v xml:space="preserve">FRAZIER                  ANASTASIA                </v>
      </c>
      <c r="E15170" t="str">
        <f>"PASCAGOULA                "</f>
        <v xml:space="preserve">PASCAGOULA                </v>
      </c>
      <c r="F15170" t="str">
        <f t="shared" si="384"/>
        <v>MS</v>
      </c>
    </row>
    <row r="15171" spans="1:6" x14ac:dyDescent="0.25">
      <c r="A15171" t="str">
        <f>"200001812"</f>
        <v>200001812</v>
      </c>
      <c r="B15171" t="str">
        <f>"1346634888"</f>
        <v>1346634888</v>
      </c>
      <c r="C15171" t="str">
        <f t="shared" si="385"/>
        <v>363L00000X</v>
      </c>
      <c r="D15171" t="str">
        <f>"JOINER                   DAWEN        T           "</f>
        <v xml:space="preserve">JOINER                   DAWEN        T           </v>
      </c>
      <c r="E15171" t="str">
        <f>"JACKSON                   "</f>
        <v xml:space="preserve">JACKSON                   </v>
      </c>
      <c r="F15171" t="str">
        <f t="shared" si="384"/>
        <v>MS</v>
      </c>
    </row>
    <row r="15172" spans="1:6" x14ac:dyDescent="0.25">
      <c r="A15172" t="str">
        <f>"200001813"</f>
        <v>200001813</v>
      </c>
      <c r="B15172" t="str">
        <f>"1508598376"</f>
        <v>1508598376</v>
      </c>
      <c r="C15172" t="str">
        <f t="shared" si="385"/>
        <v>363L00000X</v>
      </c>
      <c r="D15172" t="str">
        <f>"CALCOTE                  LEIGH        H           "</f>
        <v xml:space="preserve">CALCOTE                  LEIGH        H           </v>
      </c>
      <c r="E15172" t="str">
        <f>"HATTIESBURG               "</f>
        <v xml:space="preserve">HATTIESBURG               </v>
      </c>
      <c r="F15172" t="str">
        <f t="shared" si="384"/>
        <v>MS</v>
      </c>
    </row>
    <row r="15173" spans="1:6" x14ac:dyDescent="0.25">
      <c r="A15173" t="str">
        <f>"200001815"</f>
        <v>200001815</v>
      </c>
      <c r="B15173" t="str">
        <f>"1851016562"</f>
        <v>1851016562</v>
      </c>
      <c r="C15173" t="str">
        <f t="shared" si="385"/>
        <v>363L00000X</v>
      </c>
      <c r="D15173" t="str">
        <f>"DYKES                    TRACILEE                 "</f>
        <v xml:space="preserve">DYKES                    TRACILEE                 </v>
      </c>
      <c r="E15173" t="str">
        <f>"SUMMIT                    "</f>
        <v xml:space="preserve">SUMMIT                    </v>
      </c>
      <c r="F15173" t="str">
        <f t="shared" si="384"/>
        <v>MS</v>
      </c>
    </row>
    <row r="15174" spans="1:6" x14ac:dyDescent="0.25">
      <c r="A15174" t="str">
        <f>"200001819"</f>
        <v>200001819</v>
      </c>
      <c r="B15174" t="str">
        <f>"1184652489"</f>
        <v>1184652489</v>
      </c>
      <c r="C15174" t="str">
        <f t="shared" si="385"/>
        <v>363L00000X</v>
      </c>
      <c r="D15174" t="str">
        <f>"GOODSON                  KRISTI                   "</f>
        <v xml:space="preserve">GOODSON                  KRISTI                   </v>
      </c>
      <c r="E15174" t="str">
        <f>"JACKSON                   "</f>
        <v xml:space="preserve">JACKSON                   </v>
      </c>
      <c r="F15174" t="str">
        <f t="shared" si="384"/>
        <v>MS</v>
      </c>
    </row>
    <row r="15175" spans="1:6" x14ac:dyDescent="0.25">
      <c r="A15175" t="str">
        <f>"200001836"</f>
        <v>200001836</v>
      </c>
      <c r="B15175" t="str">
        <f>"1538699483"</f>
        <v>1538699483</v>
      </c>
      <c r="C15175" t="str">
        <f t="shared" si="385"/>
        <v>363L00000X</v>
      </c>
      <c r="D15175" t="str">
        <f>"PAGE                     CATHERINE    L           "</f>
        <v xml:space="preserve">PAGE                     CATHERINE    L           </v>
      </c>
      <c r="E15175" t="str">
        <f>"FLOWOOD                   "</f>
        <v xml:space="preserve">FLOWOOD                   </v>
      </c>
      <c r="F15175" t="str">
        <f t="shared" si="384"/>
        <v>MS</v>
      </c>
    </row>
    <row r="15176" spans="1:6" x14ac:dyDescent="0.25">
      <c r="A15176" t="str">
        <f>"200001840"</f>
        <v>200001840</v>
      </c>
      <c r="B15176" t="str">
        <f>"1649976200"</f>
        <v>1649976200</v>
      </c>
      <c r="C15176" t="str">
        <f t="shared" si="385"/>
        <v>363L00000X</v>
      </c>
      <c r="D15176" t="str">
        <f>"RAYBORN                  BAILEE                   "</f>
        <v xml:space="preserve">RAYBORN                  BAILEE                   </v>
      </c>
      <c r="E15176" t="str">
        <f>"GULFPORT                  "</f>
        <v xml:space="preserve">GULFPORT                  </v>
      </c>
      <c r="F15176" t="str">
        <f t="shared" si="384"/>
        <v>MS</v>
      </c>
    </row>
    <row r="15177" spans="1:6" x14ac:dyDescent="0.25">
      <c r="A15177" t="str">
        <f>"200001845"</f>
        <v>200001845</v>
      </c>
      <c r="B15177" t="str">
        <f>"1104551571"</f>
        <v>1104551571</v>
      </c>
      <c r="C15177" t="str">
        <f>"152W00000X"</f>
        <v>152W00000X</v>
      </c>
      <c r="D15177" t="str">
        <f>"FLEMONS                  KELBY        W           "</f>
        <v xml:space="preserve">FLEMONS                  KELBY        W           </v>
      </c>
      <c r="E15177" t="str">
        <f>"VICKSBURG                 "</f>
        <v xml:space="preserve">VICKSBURG                 </v>
      </c>
      <c r="F15177" t="str">
        <f t="shared" si="384"/>
        <v>MS</v>
      </c>
    </row>
    <row r="15178" spans="1:6" x14ac:dyDescent="0.25">
      <c r="A15178" t="str">
        <f>"200001855"</f>
        <v>200001855</v>
      </c>
      <c r="B15178" t="str">
        <f>"1265525331"</f>
        <v>1265525331</v>
      </c>
      <c r="C15178" t="str">
        <f>"207Q00000X"</f>
        <v>207Q00000X</v>
      </c>
      <c r="D15178" t="str">
        <f>"FERGUSON                 DIANE        A           "</f>
        <v xml:space="preserve">FERGUSON                 DIANE        A           </v>
      </c>
      <c r="E15178" t="str">
        <f>"HORN LAKE                 "</f>
        <v xml:space="preserve">HORN LAKE                 </v>
      </c>
      <c r="F15178" t="str">
        <f t="shared" si="384"/>
        <v>MS</v>
      </c>
    </row>
    <row r="15179" spans="1:6" x14ac:dyDescent="0.25">
      <c r="A15179" t="str">
        <f>"200001857"</f>
        <v>200001857</v>
      </c>
      <c r="B15179" t="str">
        <f>"1851050579"</f>
        <v>1851050579</v>
      </c>
      <c r="C15179" t="str">
        <f>"261QR1300X"</f>
        <v>261QR1300X</v>
      </c>
      <c r="D15179" t="str">
        <f>"FAST PACE HEALTH                                  "</f>
        <v xml:space="preserve">FAST PACE HEALTH                                  </v>
      </c>
      <c r="E15179" t="str">
        <f>"NEWTON                    "</f>
        <v xml:space="preserve">NEWTON                    </v>
      </c>
      <c r="F15179" t="str">
        <f t="shared" si="384"/>
        <v>MS</v>
      </c>
    </row>
    <row r="15180" spans="1:6" x14ac:dyDescent="0.25">
      <c r="A15180" t="str">
        <f>"200001858"</f>
        <v>200001858</v>
      </c>
      <c r="B15180" t="str">
        <f>"1912612466"</f>
        <v>1912612466</v>
      </c>
      <c r="C15180" t="str">
        <f>"363L00000X"</f>
        <v>363L00000X</v>
      </c>
      <c r="D15180" t="str">
        <f>"DELAHOUSSAYE             KRISTIN                  "</f>
        <v xml:space="preserve">DELAHOUSSAYE             KRISTIN                  </v>
      </c>
      <c r="E15180" t="str">
        <f>"GREENVILLE                "</f>
        <v xml:space="preserve">GREENVILLE                </v>
      </c>
      <c r="F15180" t="str">
        <f t="shared" si="384"/>
        <v>MS</v>
      </c>
    </row>
    <row r="15181" spans="1:6" x14ac:dyDescent="0.25">
      <c r="A15181" t="str">
        <f>"200001863"</f>
        <v>200001863</v>
      </c>
      <c r="B15181" t="str">
        <f>"1033828827"</f>
        <v>1033828827</v>
      </c>
      <c r="C15181" t="str">
        <f>"363L00000X"</f>
        <v>363L00000X</v>
      </c>
      <c r="D15181" t="str">
        <f>"WOOD                     BRITTANY                 "</f>
        <v xml:space="preserve">WOOD                     BRITTANY                 </v>
      </c>
      <c r="E15181" t="str">
        <f>"JACKSON                   "</f>
        <v xml:space="preserve">JACKSON                   </v>
      </c>
      <c r="F15181" t="str">
        <f t="shared" si="384"/>
        <v>MS</v>
      </c>
    </row>
    <row r="15182" spans="1:6" x14ac:dyDescent="0.25">
      <c r="A15182" t="str">
        <f>"200001864"</f>
        <v>200001864</v>
      </c>
      <c r="B15182" t="str">
        <f>"1760119341"</f>
        <v>1760119341</v>
      </c>
      <c r="C15182" t="str">
        <f>"363L00000X"</f>
        <v>363L00000X</v>
      </c>
      <c r="D15182" t="str">
        <f>"BAKER                    RHONDA                   "</f>
        <v xml:space="preserve">BAKER                    RHONDA                   </v>
      </c>
      <c r="E15182" t="str">
        <f>"PONTOTOC                  "</f>
        <v xml:space="preserve">PONTOTOC                  </v>
      </c>
      <c r="F15182" t="str">
        <f t="shared" si="384"/>
        <v>MS</v>
      </c>
    </row>
    <row r="15183" spans="1:6" x14ac:dyDescent="0.25">
      <c r="A15183" t="str">
        <f>"200001868"</f>
        <v>200001868</v>
      </c>
      <c r="B15183" t="str">
        <f>"1215644414"</f>
        <v>1215644414</v>
      </c>
      <c r="C15183" t="str">
        <f>"363L00000X"</f>
        <v>363L00000X</v>
      </c>
      <c r="D15183" t="str">
        <f>"SMITH                    JOSEPH       R           "</f>
        <v xml:space="preserve">SMITH                    JOSEPH       R           </v>
      </c>
      <c r="E15183" t="str">
        <f>"BROOKHAVEN                "</f>
        <v xml:space="preserve">BROOKHAVEN                </v>
      </c>
      <c r="F15183" t="str">
        <f t="shared" si="384"/>
        <v>MS</v>
      </c>
    </row>
    <row r="15184" spans="1:6" x14ac:dyDescent="0.25">
      <c r="A15184" t="str">
        <f>"200001870"</f>
        <v>200001870</v>
      </c>
      <c r="B15184" t="str">
        <f>"1811269418"</f>
        <v>1811269418</v>
      </c>
      <c r="C15184" t="str">
        <f>"367500000X"</f>
        <v>367500000X</v>
      </c>
      <c r="D15184" t="str">
        <f>"FERRISS                  CANDI                    "</f>
        <v xml:space="preserve">FERRISS                  CANDI                    </v>
      </c>
      <c r="E15184" t="str">
        <f>"FLOWOOD                   "</f>
        <v xml:space="preserve">FLOWOOD                   </v>
      </c>
      <c r="F15184" t="str">
        <f t="shared" si="384"/>
        <v>MS</v>
      </c>
    </row>
    <row r="15185" spans="1:6" x14ac:dyDescent="0.25">
      <c r="A15185" t="str">
        <f>"200001871"</f>
        <v>200001871</v>
      </c>
      <c r="B15185" t="str">
        <f>"1407552219"</f>
        <v>1407552219</v>
      </c>
      <c r="C15185" t="str">
        <f>"152W00000X"</f>
        <v>152W00000X</v>
      </c>
      <c r="D15185" t="str">
        <f>"MIDSOUTH VISION SERVICE                           "</f>
        <v xml:space="preserve">MIDSOUTH VISION SERVICE                           </v>
      </c>
      <c r="E15185" t="str">
        <f>"IUKA                      "</f>
        <v xml:space="preserve">IUKA                      </v>
      </c>
      <c r="F15185" t="str">
        <f t="shared" si="384"/>
        <v>MS</v>
      </c>
    </row>
    <row r="15186" spans="1:6" x14ac:dyDescent="0.25">
      <c r="A15186" t="str">
        <f>"200001874"</f>
        <v>200001874</v>
      </c>
      <c r="B15186" t="str">
        <f>"1194438986"</f>
        <v>1194438986</v>
      </c>
      <c r="C15186" t="str">
        <f>"122300000X"</f>
        <v>122300000X</v>
      </c>
      <c r="D15186" t="str">
        <f>"PEDIATRIC DENTISTRY OF COLUMBUS                   "</f>
        <v xml:space="preserve">PEDIATRIC DENTISTRY OF COLUMBUS                   </v>
      </c>
      <c r="E15186" t="str">
        <f>"COLUMBUS                  "</f>
        <v xml:space="preserve">COLUMBUS                  </v>
      </c>
      <c r="F15186" t="str">
        <f t="shared" si="384"/>
        <v>MS</v>
      </c>
    </row>
    <row r="15187" spans="1:6" x14ac:dyDescent="0.25">
      <c r="A15187" t="str">
        <f>"200001876"</f>
        <v>200001876</v>
      </c>
      <c r="B15187" t="str">
        <f>"1336208305"</f>
        <v>1336208305</v>
      </c>
      <c r="C15187" t="str">
        <f>"207W00000X"</f>
        <v>207W00000X</v>
      </c>
      <c r="D15187" t="str">
        <f>"LYON                     JOHN                     "</f>
        <v xml:space="preserve">LYON                     JOHN                     </v>
      </c>
      <c r="E15187" t="str">
        <f>"MERIDIAN                  "</f>
        <v xml:space="preserve">MERIDIAN                  </v>
      </c>
      <c r="F15187" t="str">
        <f t="shared" si="384"/>
        <v>MS</v>
      </c>
    </row>
    <row r="15188" spans="1:6" x14ac:dyDescent="0.25">
      <c r="A15188" t="str">
        <f>"200001877"</f>
        <v>200001877</v>
      </c>
      <c r="B15188" t="str">
        <f>"1679913750"</f>
        <v>1679913750</v>
      </c>
      <c r="C15188" t="str">
        <f>"367500000X"</f>
        <v>367500000X</v>
      </c>
      <c r="D15188" t="str">
        <f>"DOUGLAS                  MINDY                    "</f>
        <v xml:space="preserve">DOUGLAS                  MINDY                    </v>
      </c>
      <c r="E15188" t="str">
        <f>"OXFORD                    "</f>
        <v xml:space="preserve">OXFORD                    </v>
      </c>
      <c r="F15188" t="str">
        <f t="shared" si="384"/>
        <v>MS</v>
      </c>
    </row>
    <row r="15189" spans="1:6" x14ac:dyDescent="0.25">
      <c r="A15189" t="str">
        <f>"200001886"</f>
        <v>200001886</v>
      </c>
      <c r="B15189" t="str">
        <f>"1619618105"</f>
        <v>1619618105</v>
      </c>
      <c r="C15189" t="str">
        <f>"363L00000X"</f>
        <v>363L00000X</v>
      </c>
      <c r="D15189" t="str">
        <f>"RENO                     DEREK                    "</f>
        <v xml:space="preserve">RENO                     DEREK                    </v>
      </c>
      <c r="E15189" t="str">
        <f>"GREENVILLE                "</f>
        <v xml:space="preserve">GREENVILLE                </v>
      </c>
      <c r="F15189" t="str">
        <f t="shared" si="384"/>
        <v>MS</v>
      </c>
    </row>
    <row r="15190" spans="1:6" x14ac:dyDescent="0.25">
      <c r="A15190" t="str">
        <f>"200001909"</f>
        <v>200001909</v>
      </c>
      <c r="B15190" t="str">
        <f>"1982135562"</f>
        <v>1982135562</v>
      </c>
      <c r="C15190" t="str">
        <f>"2085R0204X"</f>
        <v>2085R0204X</v>
      </c>
      <c r="D15190" t="str">
        <f>"REED                     DUSTIN       K           "</f>
        <v xml:space="preserve">REED                     DUSTIN       K           </v>
      </c>
      <c r="E15190" t="str">
        <f>"JACKSON                   "</f>
        <v xml:space="preserve">JACKSON                   </v>
      </c>
      <c r="F15190" t="str">
        <f t="shared" si="384"/>
        <v>MS</v>
      </c>
    </row>
    <row r="15191" spans="1:6" x14ac:dyDescent="0.25">
      <c r="A15191" t="str">
        <f>"200001919"</f>
        <v>200001919</v>
      </c>
      <c r="B15191" t="str">
        <f>"1063617033"</f>
        <v>1063617033</v>
      </c>
      <c r="C15191" t="str">
        <f>"2084P0800X"</f>
        <v>2084P0800X</v>
      </c>
      <c r="D15191" t="str">
        <f>"QUIGLEY                  BRIAN                    "</f>
        <v xml:space="preserve">QUIGLEY                  BRIAN                    </v>
      </c>
      <c r="E15191" t="str">
        <f>"SOUTHAVEN                 "</f>
        <v xml:space="preserve">SOUTHAVEN                 </v>
      </c>
      <c r="F15191" t="str">
        <f t="shared" si="384"/>
        <v>MS</v>
      </c>
    </row>
    <row r="15192" spans="1:6" x14ac:dyDescent="0.25">
      <c r="A15192" t="str">
        <f>"200001923"</f>
        <v>200001923</v>
      </c>
      <c r="B15192" t="str">
        <f>"1285011940"</f>
        <v>1285011940</v>
      </c>
      <c r="C15192" t="str">
        <f>"207ZP0102X"</f>
        <v>207ZP0102X</v>
      </c>
      <c r="D15192" t="str">
        <f>"GRAHAM                   TIFFANY                  "</f>
        <v xml:space="preserve">GRAHAM                   TIFFANY                  </v>
      </c>
      <c r="E15192" t="str">
        <f>"BOONEVILLE                "</f>
        <v xml:space="preserve">BOONEVILLE                </v>
      </c>
      <c r="F15192" t="str">
        <f t="shared" si="384"/>
        <v>MS</v>
      </c>
    </row>
    <row r="15193" spans="1:6" x14ac:dyDescent="0.25">
      <c r="A15193" t="str">
        <f>"200001933"</f>
        <v>200001933</v>
      </c>
      <c r="B15193" t="str">
        <f>"1306862123"</f>
        <v>1306862123</v>
      </c>
      <c r="C15193" t="str">
        <f>"363AM0700X"</f>
        <v>363AM0700X</v>
      </c>
      <c r="D15193" t="str">
        <f>"BRIDGES                  BAYLISSA     M           "</f>
        <v xml:space="preserve">BRIDGES                  BAYLISSA     M           </v>
      </c>
      <c r="E15193" t="str">
        <f>"OCEAN SPRINGS             "</f>
        <v xml:space="preserve">OCEAN SPRINGS             </v>
      </c>
      <c r="F15193" t="str">
        <f t="shared" si="384"/>
        <v>MS</v>
      </c>
    </row>
    <row r="15194" spans="1:6" x14ac:dyDescent="0.25">
      <c r="A15194" t="str">
        <f>"200001935"</f>
        <v>200001935</v>
      </c>
      <c r="B15194" t="str">
        <f>"1407235617"</f>
        <v>1407235617</v>
      </c>
      <c r="C15194" t="str">
        <f>"207RC0000X"</f>
        <v>207RC0000X</v>
      </c>
      <c r="D15194" t="str">
        <f>"BLOSSOM                  JONATHAN     A           "</f>
        <v xml:space="preserve">BLOSSOM                  JONATHAN     A           </v>
      </c>
      <c r="E15194" t="str">
        <f>"TUPELO                    "</f>
        <v xml:space="preserve">TUPELO                    </v>
      </c>
      <c r="F15194" t="str">
        <f t="shared" si="384"/>
        <v>MS</v>
      </c>
    </row>
    <row r="15195" spans="1:6" x14ac:dyDescent="0.25">
      <c r="A15195" t="str">
        <f>"200001947"</f>
        <v>200001947</v>
      </c>
      <c r="B15195" t="str">
        <f>"1851648802"</f>
        <v>1851648802</v>
      </c>
      <c r="C15195" t="str">
        <f>"363L00000X"</f>
        <v>363L00000X</v>
      </c>
      <c r="D15195" t="str">
        <f>"CARR                     SHERRA       J           "</f>
        <v xml:space="preserve">CARR                     SHERRA       J           </v>
      </c>
      <c r="E15195" t="str">
        <f>"FLOWOOD                   "</f>
        <v xml:space="preserve">FLOWOOD                   </v>
      </c>
      <c r="F15195" t="str">
        <f t="shared" si="384"/>
        <v>MS</v>
      </c>
    </row>
    <row r="15196" spans="1:6" x14ac:dyDescent="0.25">
      <c r="A15196" t="str">
        <f>"200001953"</f>
        <v>200001953</v>
      </c>
      <c r="B15196" t="str">
        <f>"1447969159"</f>
        <v>1447969159</v>
      </c>
      <c r="C15196" t="str">
        <f>"363L00000X"</f>
        <v>363L00000X</v>
      </c>
      <c r="D15196" t="str">
        <f>"BARNETT                  AMANDA                   "</f>
        <v xml:space="preserve">BARNETT                  AMANDA                   </v>
      </c>
      <c r="E15196" t="str">
        <f>"CORINTH                   "</f>
        <v xml:space="preserve">CORINTH                   </v>
      </c>
      <c r="F15196" t="str">
        <f t="shared" si="384"/>
        <v>MS</v>
      </c>
    </row>
    <row r="15197" spans="1:6" x14ac:dyDescent="0.25">
      <c r="A15197" t="str">
        <f>"200001956"</f>
        <v>200001956</v>
      </c>
      <c r="B15197" t="str">
        <f>"1053061424"</f>
        <v>1053061424</v>
      </c>
      <c r="C15197" t="str">
        <f>"363L00000X"</f>
        <v>363L00000X</v>
      </c>
      <c r="D15197" t="str">
        <f>"KIRKSEY                  TRAMAIN                  "</f>
        <v xml:space="preserve">KIRKSEY                  TRAMAIN                  </v>
      </c>
      <c r="E15197" t="str">
        <f>"LAUREL                    "</f>
        <v xml:space="preserve">LAUREL                    </v>
      </c>
      <c r="F15197" t="str">
        <f t="shared" si="384"/>
        <v>MS</v>
      </c>
    </row>
    <row r="15198" spans="1:6" x14ac:dyDescent="0.25">
      <c r="A15198" t="str">
        <f>"200001958"</f>
        <v>200001958</v>
      </c>
      <c r="B15198" t="str">
        <f>"1396469607"</f>
        <v>1396469607</v>
      </c>
      <c r="C15198" t="str">
        <f>"363L00000X"</f>
        <v>363L00000X</v>
      </c>
      <c r="D15198" t="str">
        <f>"NEWSON                   BREANNA                  "</f>
        <v xml:space="preserve">NEWSON                   BREANNA                  </v>
      </c>
      <c r="E15198" t="str">
        <f>"GULFPORT                  "</f>
        <v xml:space="preserve">GULFPORT                  </v>
      </c>
      <c r="F15198" t="str">
        <f t="shared" si="384"/>
        <v>MS</v>
      </c>
    </row>
    <row r="15199" spans="1:6" x14ac:dyDescent="0.25">
      <c r="A15199" t="str">
        <f>"200001966"</f>
        <v>200001966</v>
      </c>
      <c r="B15199" t="str">
        <f>"1851050579"</f>
        <v>1851050579</v>
      </c>
      <c r="C15199" t="str">
        <f>"261QR1300X"</f>
        <v>261QR1300X</v>
      </c>
      <c r="D15199" t="str">
        <f>"FAST PACE HEALTH                                  "</f>
        <v xml:space="preserve">FAST PACE HEALTH                                  </v>
      </c>
      <c r="E15199" t="str">
        <f>"WAYNESBORO                "</f>
        <v xml:space="preserve">WAYNESBORO                </v>
      </c>
      <c r="F15199" t="str">
        <f t="shared" si="384"/>
        <v>MS</v>
      </c>
    </row>
    <row r="15200" spans="1:6" x14ac:dyDescent="0.25">
      <c r="A15200" t="str">
        <f>"200001968"</f>
        <v>200001968</v>
      </c>
      <c r="B15200" t="str">
        <f>"1134827488"</f>
        <v>1134827488</v>
      </c>
      <c r="C15200" t="str">
        <f>"363L00000X"</f>
        <v>363L00000X</v>
      </c>
      <c r="D15200" t="str">
        <f>"WISE                     BRANDIE                  "</f>
        <v xml:space="preserve">WISE                     BRANDIE                  </v>
      </c>
      <c r="E15200" t="str">
        <f>"TUPELO                    "</f>
        <v xml:space="preserve">TUPELO                    </v>
      </c>
      <c r="F15200" t="str">
        <f t="shared" si="384"/>
        <v>MS</v>
      </c>
    </row>
    <row r="15201" spans="1:6" x14ac:dyDescent="0.25">
      <c r="A15201" t="str">
        <f>"200001976"</f>
        <v>200001976</v>
      </c>
      <c r="B15201" t="str">
        <f>"1720556319"</f>
        <v>1720556319</v>
      </c>
      <c r="C15201" t="str">
        <f>"363L00000X"</f>
        <v>363L00000X</v>
      </c>
      <c r="D15201" t="str">
        <f>"HARPER                   JULIE        S           "</f>
        <v xml:space="preserve">HARPER                   JULIE        S           </v>
      </c>
      <c r="E15201" t="str">
        <f>"JACKSON                   "</f>
        <v xml:space="preserve">JACKSON                   </v>
      </c>
      <c r="F15201" t="str">
        <f t="shared" si="384"/>
        <v>MS</v>
      </c>
    </row>
    <row r="15202" spans="1:6" x14ac:dyDescent="0.25">
      <c r="A15202" t="str">
        <f>"200001978"</f>
        <v>200001978</v>
      </c>
      <c r="B15202" t="str">
        <f>"1518683119"</f>
        <v>1518683119</v>
      </c>
      <c r="C15202" t="str">
        <f>"367500000X"</f>
        <v>367500000X</v>
      </c>
      <c r="D15202" t="str">
        <f>"MASCAGNI                 JOSHUA                   "</f>
        <v xml:space="preserve">MASCAGNI                 JOSHUA                   </v>
      </c>
      <c r="E15202" t="str">
        <f>"TUPELO                    "</f>
        <v xml:space="preserve">TUPELO                    </v>
      </c>
      <c r="F15202" t="str">
        <f t="shared" si="384"/>
        <v>MS</v>
      </c>
    </row>
    <row r="15203" spans="1:6" x14ac:dyDescent="0.25">
      <c r="A15203" t="str">
        <f>"200001985"</f>
        <v>200001985</v>
      </c>
      <c r="B15203" t="str">
        <f>"1407825037"</f>
        <v>1407825037</v>
      </c>
      <c r="C15203" t="str">
        <f>"152W00000X"</f>
        <v>152W00000X</v>
      </c>
      <c r="D15203" t="str">
        <f>"BARNES CROSSING VISION CENTER, P.A.               "</f>
        <v xml:space="preserve">BARNES CROSSING VISION CENTER, P.A.               </v>
      </c>
      <c r="E15203" t="str">
        <f>"TUPELO                    "</f>
        <v xml:space="preserve">TUPELO                    </v>
      </c>
      <c r="F15203" t="str">
        <f t="shared" si="384"/>
        <v>MS</v>
      </c>
    </row>
    <row r="15204" spans="1:6" x14ac:dyDescent="0.25">
      <c r="A15204" t="str">
        <f>"200001986"</f>
        <v>200001986</v>
      </c>
      <c r="B15204" t="str">
        <f>"1679299127"</f>
        <v>1679299127</v>
      </c>
      <c r="C15204" t="str">
        <f>"363L00000X"</f>
        <v>363L00000X</v>
      </c>
      <c r="D15204" t="str">
        <f>"KELLEY                   HEATHER      L           "</f>
        <v xml:space="preserve">KELLEY                   HEATHER      L           </v>
      </c>
      <c r="E15204" t="str">
        <f>"HATTIESBURG               "</f>
        <v xml:space="preserve">HATTIESBURG               </v>
      </c>
      <c r="F15204" t="str">
        <f t="shared" si="384"/>
        <v>MS</v>
      </c>
    </row>
    <row r="15205" spans="1:6" x14ac:dyDescent="0.25">
      <c r="A15205" t="str">
        <f>"200001989"</f>
        <v>200001989</v>
      </c>
      <c r="B15205" t="str">
        <f>"1942730684"</f>
        <v>1942730684</v>
      </c>
      <c r="C15205" t="str">
        <f>"363L00000X"</f>
        <v>363L00000X</v>
      </c>
      <c r="D15205" t="str">
        <f>"CAFFEY                   HILLARY                  "</f>
        <v xml:space="preserve">CAFFEY                   HILLARY                  </v>
      </c>
      <c r="E15205" t="str">
        <f>"COLDWATER                 "</f>
        <v xml:space="preserve">COLDWATER                 </v>
      </c>
      <c r="F15205" t="str">
        <f t="shared" si="384"/>
        <v>MS</v>
      </c>
    </row>
    <row r="15206" spans="1:6" x14ac:dyDescent="0.25">
      <c r="A15206" t="str">
        <f>"200002000"</f>
        <v>200002000</v>
      </c>
      <c r="B15206" t="str">
        <f>"1285361253"</f>
        <v>1285361253</v>
      </c>
      <c r="C15206" t="str">
        <f>"363L00000X"</f>
        <v>363L00000X</v>
      </c>
      <c r="D15206" t="str">
        <f>"LIEN                     DANA                     "</f>
        <v xml:space="preserve">LIEN                     DANA                     </v>
      </c>
      <c r="E15206" t="str">
        <f>"INDIANOLA                 "</f>
        <v xml:space="preserve">INDIANOLA                 </v>
      </c>
      <c r="F15206" t="str">
        <f t="shared" si="384"/>
        <v>MS</v>
      </c>
    </row>
    <row r="15207" spans="1:6" x14ac:dyDescent="0.25">
      <c r="A15207" t="str">
        <f>"200002009"</f>
        <v>200002009</v>
      </c>
      <c r="B15207" t="str">
        <f>"1295884617"</f>
        <v>1295884617</v>
      </c>
      <c r="C15207" t="str">
        <f>"363L00000X"</f>
        <v>363L00000X</v>
      </c>
      <c r="D15207" t="str">
        <f>"MCCALLUM                 HANNAH       E           "</f>
        <v xml:space="preserve">MCCALLUM                 HANNAH       E           </v>
      </c>
      <c r="E15207" t="str">
        <f>"HATTIESBURG               "</f>
        <v xml:space="preserve">HATTIESBURG               </v>
      </c>
      <c r="F15207" t="str">
        <f t="shared" si="384"/>
        <v>MS</v>
      </c>
    </row>
    <row r="15208" spans="1:6" x14ac:dyDescent="0.25">
      <c r="A15208" t="str">
        <f>"200002031"</f>
        <v>200002031</v>
      </c>
      <c r="B15208" t="str">
        <f>"1043974033"</f>
        <v>1043974033</v>
      </c>
      <c r="C15208" t="str">
        <f>"261QF0400X"</f>
        <v>261QF0400X</v>
      </c>
      <c r="D15208" t="str">
        <f>"G. A. CARMICHAEL FAMILY HEALTH CENTER             "</f>
        <v xml:space="preserve">G. A. CARMICHAEL FAMILY HEALTH CENTER             </v>
      </c>
      <c r="E15208" t="str">
        <f>"CARTHAGE                  "</f>
        <v xml:space="preserve">CARTHAGE                  </v>
      </c>
      <c r="F15208" t="str">
        <f t="shared" si="384"/>
        <v>MS</v>
      </c>
    </row>
    <row r="15209" spans="1:6" x14ac:dyDescent="0.25">
      <c r="A15209" t="str">
        <f>"200002032"</f>
        <v>200002032</v>
      </c>
      <c r="B15209" t="str">
        <f>"1205430964"</f>
        <v>1205430964</v>
      </c>
      <c r="C15209" t="str">
        <f>"363L00000X"</f>
        <v>363L00000X</v>
      </c>
      <c r="D15209" t="str">
        <f>"SHAW                     CRYSTAL                  "</f>
        <v xml:space="preserve">SHAW                     CRYSTAL                  </v>
      </c>
      <c r="E15209" t="str">
        <f>"GRENADA                   "</f>
        <v xml:space="preserve">GRENADA                   </v>
      </c>
      <c r="F15209" t="str">
        <f t="shared" si="384"/>
        <v>MS</v>
      </c>
    </row>
    <row r="15210" spans="1:6" x14ac:dyDescent="0.25">
      <c r="A15210" t="str">
        <f>"200002033"</f>
        <v>200002033</v>
      </c>
      <c r="B15210" t="str">
        <f>"1033824297"</f>
        <v>1033824297</v>
      </c>
      <c r="C15210" t="str">
        <f>"363L00000X"</f>
        <v>363L00000X</v>
      </c>
      <c r="D15210" t="str">
        <f>"PONDER                   SYDNEY                   "</f>
        <v xml:space="preserve">PONDER                   SYDNEY                   </v>
      </c>
      <c r="E15210" t="str">
        <f>"JACKSON                   "</f>
        <v xml:space="preserve">JACKSON                   </v>
      </c>
      <c r="F15210" t="str">
        <f t="shared" si="384"/>
        <v>MS</v>
      </c>
    </row>
    <row r="15211" spans="1:6" x14ac:dyDescent="0.25">
      <c r="A15211" t="str">
        <f>"200002041"</f>
        <v>200002041</v>
      </c>
      <c r="B15211" t="str">
        <f>"1568562742"</f>
        <v>1568562742</v>
      </c>
      <c r="C15211" t="str">
        <f>"207V00000X"</f>
        <v>207V00000X</v>
      </c>
      <c r="D15211" t="str">
        <f>"GOMBAKO WITHERSPOON      LOUISE                   "</f>
        <v xml:space="preserve">GOMBAKO WITHERSPOON      LOUISE                   </v>
      </c>
      <c r="E15211" t="str">
        <f>"CORINTH                   "</f>
        <v xml:space="preserve">CORINTH                   </v>
      </c>
      <c r="F15211" t="str">
        <f t="shared" si="384"/>
        <v>MS</v>
      </c>
    </row>
    <row r="15212" spans="1:6" x14ac:dyDescent="0.25">
      <c r="A15212" t="str">
        <f>"200002045"</f>
        <v>200002045</v>
      </c>
      <c r="B15212" t="str">
        <f>"1649971896"</f>
        <v>1649971896</v>
      </c>
      <c r="C15212" t="str">
        <f>"122300000X"</f>
        <v>122300000X</v>
      </c>
      <c r="D15212" t="str">
        <f>"BRUNI DENTAL, PLLC                                "</f>
        <v xml:space="preserve">BRUNI DENTAL, PLLC                                </v>
      </c>
      <c r="E15212" t="str">
        <f>"WAVELAND                  "</f>
        <v xml:space="preserve">WAVELAND                  </v>
      </c>
      <c r="F15212" t="str">
        <f t="shared" si="384"/>
        <v>MS</v>
      </c>
    </row>
    <row r="15213" spans="1:6" x14ac:dyDescent="0.25">
      <c r="A15213" t="str">
        <f>"200002057"</f>
        <v>200002057</v>
      </c>
      <c r="B15213" t="str">
        <f>"1861922155"</f>
        <v>1861922155</v>
      </c>
      <c r="C15213" t="str">
        <f>"207Q00000X"</f>
        <v>207Q00000X</v>
      </c>
      <c r="D15213" t="str">
        <f>"COX                      JACOB                    "</f>
        <v xml:space="preserve">COX                      JACOB                    </v>
      </c>
      <c r="E15213" t="str">
        <f>"UNION                     "</f>
        <v xml:space="preserve">UNION                     </v>
      </c>
      <c r="F15213" t="str">
        <f t="shared" si="384"/>
        <v>MS</v>
      </c>
    </row>
    <row r="15214" spans="1:6" x14ac:dyDescent="0.25">
      <c r="A15214" t="str">
        <f>"200002061"</f>
        <v>200002061</v>
      </c>
      <c r="B15214" t="str">
        <f>"1780302935"</f>
        <v>1780302935</v>
      </c>
      <c r="C15214" t="str">
        <f>"363L00000X"</f>
        <v>363L00000X</v>
      </c>
      <c r="D15214" t="str">
        <f>"SMALL                    AIRSTON                  "</f>
        <v xml:space="preserve">SMALL                    AIRSTON                  </v>
      </c>
      <c r="E15214" t="str">
        <f>"GREENVILLE                "</f>
        <v xml:space="preserve">GREENVILLE                </v>
      </c>
      <c r="F15214" t="str">
        <f t="shared" si="384"/>
        <v>MS</v>
      </c>
    </row>
    <row r="15215" spans="1:6" x14ac:dyDescent="0.25">
      <c r="A15215" t="str">
        <f>"200002062"</f>
        <v>200002062</v>
      </c>
      <c r="B15215" t="str">
        <f>"1851050579"</f>
        <v>1851050579</v>
      </c>
      <c r="C15215" t="str">
        <f>"261QR1300X"</f>
        <v>261QR1300X</v>
      </c>
      <c r="D15215" t="str">
        <f>"FAST PACE HEALTH                                  "</f>
        <v xml:space="preserve">FAST PACE HEALTH                                  </v>
      </c>
      <c r="E15215" t="str">
        <f>"YAZOO CITY                "</f>
        <v xml:space="preserve">YAZOO CITY                </v>
      </c>
      <c r="F15215" t="str">
        <f t="shared" si="384"/>
        <v>MS</v>
      </c>
    </row>
    <row r="15216" spans="1:6" x14ac:dyDescent="0.25">
      <c r="A15216" t="str">
        <f>"200002063"</f>
        <v>200002063</v>
      </c>
      <c r="B15216" t="str">
        <f>"1851050579"</f>
        <v>1851050579</v>
      </c>
      <c r="C15216" t="str">
        <f>"261QR1300X"</f>
        <v>261QR1300X</v>
      </c>
      <c r="D15216" t="str">
        <f>"FAST PACE HEALTH                                  "</f>
        <v xml:space="preserve">FAST PACE HEALTH                                  </v>
      </c>
      <c r="E15216" t="str">
        <f>"WIGGINS                   "</f>
        <v xml:space="preserve">WIGGINS                   </v>
      </c>
      <c r="F15216" t="str">
        <f t="shared" si="384"/>
        <v>MS</v>
      </c>
    </row>
    <row r="15217" spans="1:6" x14ac:dyDescent="0.25">
      <c r="A15217" t="str">
        <f>"200002069"</f>
        <v>200002069</v>
      </c>
      <c r="B15217" t="str">
        <f>"1538803325"</f>
        <v>1538803325</v>
      </c>
      <c r="C15217" t="str">
        <f>"363L00000X"</f>
        <v>363L00000X</v>
      </c>
      <c r="D15217" t="str">
        <f>"MCNEESE                  MARGARET     S           "</f>
        <v xml:space="preserve">MCNEESE                  MARGARET     S           </v>
      </c>
      <c r="E15217" t="str">
        <f>"MCCOMB                    "</f>
        <v xml:space="preserve">MCCOMB                    </v>
      </c>
      <c r="F15217" t="str">
        <f t="shared" si="384"/>
        <v>MS</v>
      </c>
    </row>
    <row r="15218" spans="1:6" x14ac:dyDescent="0.25">
      <c r="A15218" t="str">
        <f>"200002071"</f>
        <v>200002071</v>
      </c>
      <c r="B15218" t="str">
        <f>"1134589930"</f>
        <v>1134589930</v>
      </c>
      <c r="C15218" t="str">
        <f>"363L00000X"</f>
        <v>363L00000X</v>
      </c>
      <c r="D15218" t="str">
        <f>"CAUTHEN                  REBECCA                  "</f>
        <v xml:space="preserve">CAUTHEN                  REBECCA                  </v>
      </c>
      <c r="E15218" t="str">
        <f>"JACKSON                   "</f>
        <v xml:space="preserve">JACKSON                   </v>
      </c>
      <c r="F15218" t="str">
        <f t="shared" si="384"/>
        <v>MS</v>
      </c>
    </row>
    <row r="15219" spans="1:6" x14ac:dyDescent="0.25">
      <c r="A15219" t="str">
        <f>"200002074"</f>
        <v>200002074</v>
      </c>
      <c r="B15219" t="str">
        <f>"1801061486"</f>
        <v>1801061486</v>
      </c>
      <c r="C15219" t="str">
        <f>"207RE0101X"</f>
        <v>207RE0101X</v>
      </c>
      <c r="D15219" t="str">
        <f>"WILKINS                  FRANCESCA                "</f>
        <v xml:space="preserve">WILKINS                  FRANCESCA                </v>
      </c>
      <c r="E15219" t="str">
        <f>"BYHALIA                   "</f>
        <v xml:space="preserve">BYHALIA                   </v>
      </c>
      <c r="F15219" t="str">
        <f t="shared" si="384"/>
        <v>MS</v>
      </c>
    </row>
    <row r="15220" spans="1:6" x14ac:dyDescent="0.25">
      <c r="A15220" t="str">
        <f>"200002081"</f>
        <v>200002081</v>
      </c>
      <c r="B15220" t="str">
        <f>"1033198924"</f>
        <v>1033198924</v>
      </c>
      <c r="C15220" t="str">
        <f>"204D00000X"</f>
        <v>204D00000X</v>
      </c>
      <c r="D15220" t="str">
        <f>"BIERY II                 JOHN         C           "</f>
        <v xml:space="preserve">BIERY II                 JOHN         C           </v>
      </c>
      <c r="E15220" t="str">
        <f>"SOUTHAVEN                 "</f>
        <v xml:space="preserve">SOUTHAVEN                 </v>
      </c>
      <c r="F15220" t="str">
        <f t="shared" si="384"/>
        <v>MS</v>
      </c>
    </row>
    <row r="15221" spans="1:6" x14ac:dyDescent="0.25">
      <c r="A15221" t="str">
        <f>"200002082"</f>
        <v>200002082</v>
      </c>
      <c r="B15221" t="str">
        <f>"1629418074"</f>
        <v>1629418074</v>
      </c>
      <c r="C15221" t="str">
        <f>"207V00000X"</f>
        <v>207V00000X</v>
      </c>
      <c r="D15221" t="str">
        <f>"BOLTON                   SHANTELE     H           "</f>
        <v xml:space="preserve">BOLTON                   SHANTELE     H           </v>
      </c>
      <c r="E15221" t="str">
        <f>"HATTIESBURG               "</f>
        <v xml:space="preserve">HATTIESBURG               </v>
      </c>
      <c r="F15221" t="str">
        <f t="shared" si="384"/>
        <v>MS</v>
      </c>
    </row>
    <row r="15222" spans="1:6" x14ac:dyDescent="0.25">
      <c r="A15222" t="str">
        <f>"200002085"</f>
        <v>200002085</v>
      </c>
      <c r="B15222" t="str">
        <f>"1417655754"</f>
        <v>1417655754</v>
      </c>
      <c r="C15222" t="str">
        <f>"363L00000X"</f>
        <v>363L00000X</v>
      </c>
      <c r="D15222" t="str">
        <f>"GARTMAN                  TAMELA                   "</f>
        <v xml:space="preserve">GARTMAN                  TAMELA                   </v>
      </c>
      <c r="E15222" t="str">
        <f>"LONG BEACH                "</f>
        <v xml:space="preserve">LONG BEACH                </v>
      </c>
      <c r="F15222" t="str">
        <f t="shared" si="384"/>
        <v>MS</v>
      </c>
    </row>
    <row r="15223" spans="1:6" x14ac:dyDescent="0.25">
      <c r="A15223" t="str">
        <f>"200002087"</f>
        <v>200002087</v>
      </c>
      <c r="B15223" t="str">
        <f>"1093444853"</f>
        <v>1093444853</v>
      </c>
      <c r="C15223" t="str">
        <f>"122300000X"</f>
        <v>122300000X</v>
      </c>
      <c r="D15223" t="str">
        <f>"CARPENTER                JAMIE                    "</f>
        <v xml:space="preserve">CARPENTER                JAMIE                    </v>
      </c>
      <c r="E15223" t="str">
        <f>"RIDGELAND                 "</f>
        <v xml:space="preserve">RIDGELAND                 </v>
      </c>
      <c r="F15223" t="str">
        <f t="shared" si="384"/>
        <v>MS</v>
      </c>
    </row>
    <row r="15224" spans="1:6" x14ac:dyDescent="0.25">
      <c r="A15224" t="str">
        <f>"200002094"</f>
        <v>200002094</v>
      </c>
      <c r="B15224" t="str">
        <f>"1346968146"</f>
        <v>1346968146</v>
      </c>
      <c r="C15224" t="str">
        <f>"363L00000X"</f>
        <v>363L00000X</v>
      </c>
      <c r="D15224" t="str">
        <f>"LEWIS                    ANNA                     "</f>
        <v xml:space="preserve">LEWIS                    ANNA                     </v>
      </c>
      <c r="E15224" t="str">
        <f>"PHILADELPHIA              "</f>
        <v xml:space="preserve">PHILADELPHIA              </v>
      </c>
      <c r="F15224" t="str">
        <f t="shared" si="384"/>
        <v>MS</v>
      </c>
    </row>
    <row r="15225" spans="1:6" x14ac:dyDescent="0.25">
      <c r="A15225" t="str">
        <f>"200002096"</f>
        <v>200002096</v>
      </c>
      <c r="B15225" t="str">
        <f>"1366859514"</f>
        <v>1366859514</v>
      </c>
      <c r="C15225" t="str">
        <f>"207RC0000X"</f>
        <v>207RC0000X</v>
      </c>
      <c r="D15225" t="str">
        <f>"CHINNADURAI              THIRU        V           "</f>
        <v xml:space="preserve">CHINNADURAI              THIRU        V           </v>
      </c>
      <c r="E15225" t="str">
        <f>"JACKSON                   "</f>
        <v xml:space="preserve">JACKSON                   </v>
      </c>
      <c r="F15225" t="str">
        <f t="shared" si="384"/>
        <v>MS</v>
      </c>
    </row>
    <row r="15226" spans="1:6" x14ac:dyDescent="0.25">
      <c r="A15226" t="str">
        <f>"200002100"</f>
        <v>200002100</v>
      </c>
      <c r="B15226" t="str">
        <f>"1326751678"</f>
        <v>1326751678</v>
      </c>
      <c r="C15226" t="str">
        <f>"363L00000X"</f>
        <v>363L00000X</v>
      </c>
      <c r="D15226" t="str">
        <f>"NELSON                   MARGARET     D           "</f>
        <v xml:space="preserve">NELSON                   MARGARET     D           </v>
      </c>
      <c r="E15226" t="str">
        <f>"MERIDIAN                  "</f>
        <v xml:space="preserve">MERIDIAN                  </v>
      </c>
      <c r="F15226" t="str">
        <f t="shared" si="384"/>
        <v>MS</v>
      </c>
    </row>
    <row r="15227" spans="1:6" x14ac:dyDescent="0.25">
      <c r="A15227" t="str">
        <f>"200002102"</f>
        <v>200002102</v>
      </c>
      <c r="B15227" t="str">
        <f>"1649995234"</f>
        <v>1649995234</v>
      </c>
      <c r="C15227" t="str">
        <f>"363L00000X"</f>
        <v>363L00000X</v>
      </c>
      <c r="D15227" t="str">
        <f>"TINGLE                   SARAH                    "</f>
        <v xml:space="preserve">TINGLE                   SARAH                    </v>
      </c>
      <c r="E15227" t="str">
        <f>"COLUMBUS                  "</f>
        <v xml:space="preserve">COLUMBUS                  </v>
      </c>
      <c r="F15227" t="str">
        <f t="shared" si="384"/>
        <v>MS</v>
      </c>
    </row>
    <row r="15228" spans="1:6" x14ac:dyDescent="0.25">
      <c r="A15228" t="str">
        <f>"200002123"</f>
        <v>200002123</v>
      </c>
      <c r="B15228" t="str">
        <f>"1255861696"</f>
        <v>1255861696</v>
      </c>
      <c r="C15228" t="str">
        <f>"207RI0200X"</f>
        <v>207RI0200X</v>
      </c>
      <c r="D15228" t="str">
        <f>"TRIGUEROS JOVEL          JOSE         R           "</f>
        <v xml:space="preserve">TRIGUEROS JOVEL          JOSE         R           </v>
      </c>
      <c r="E15228" t="str">
        <f>"JACKSON                   "</f>
        <v xml:space="preserve">JACKSON                   </v>
      </c>
      <c r="F15228" t="str">
        <f t="shared" si="384"/>
        <v>MS</v>
      </c>
    </row>
    <row r="15229" spans="1:6" x14ac:dyDescent="0.25">
      <c r="A15229" t="str">
        <f>"200002126"</f>
        <v>200002126</v>
      </c>
      <c r="B15229" t="str">
        <f>"1326578600"</f>
        <v>1326578600</v>
      </c>
      <c r="C15229" t="str">
        <f>"363L00000X"</f>
        <v>363L00000X</v>
      </c>
      <c r="D15229" t="str">
        <f>"COPES                    CAITLIN                  "</f>
        <v xml:space="preserve">COPES                    CAITLIN                  </v>
      </c>
      <c r="E15229" t="str">
        <f>"VICKSBURG                 "</f>
        <v xml:space="preserve">VICKSBURG                 </v>
      </c>
      <c r="F15229" t="str">
        <f t="shared" si="384"/>
        <v>MS</v>
      </c>
    </row>
    <row r="15230" spans="1:6" x14ac:dyDescent="0.25">
      <c r="A15230" t="str">
        <f>"200002135"</f>
        <v>200002135</v>
      </c>
      <c r="B15230" t="str">
        <f>"1508193459"</f>
        <v>1508193459</v>
      </c>
      <c r="C15230" t="str">
        <f>"363L00000X"</f>
        <v>363L00000X</v>
      </c>
      <c r="D15230" t="str">
        <f>"SUMERFORD                DAVID        B           "</f>
        <v xml:space="preserve">SUMERFORD                DAVID        B           </v>
      </c>
      <c r="E15230" t="str">
        <f>"TUPELO                    "</f>
        <v xml:space="preserve">TUPELO                    </v>
      </c>
      <c r="F15230" t="str">
        <f t="shared" ref="F15230:F15293" si="386">"MS"</f>
        <v>MS</v>
      </c>
    </row>
    <row r="15231" spans="1:6" x14ac:dyDescent="0.25">
      <c r="A15231" t="str">
        <f>"200002139"</f>
        <v>200002139</v>
      </c>
      <c r="B15231" t="str">
        <f>"1982265344"</f>
        <v>1982265344</v>
      </c>
      <c r="C15231" t="str">
        <f>"207P00000X"</f>
        <v>207P00000X</v>
      </c>
      <c r="D15231" t="str">
        <f>"EUBANKS                  TRAVIS       A           "</f>
        <v xml:space="preserve">EUBANKS                  TRAVIS       A           </v>
      </c>
      <c r="E15231" t="str">
        <f>"NEW ALBANY                "</f>
        <v xml:space="preserve">NEW ALBANY                </v>
      </c>
      <c r="F15231" t="str">
        <f t="shared" si="386"/>
        <v>MS</v>
      </c>
    </row>
    <row r="15232" spans="1:6" x14ac:dyDescent="0.25">
      <c r="A15232" t="str">
        <f>"200002145"</f>
        <v>200002145</v>
      </c>
      <c r="B15232" t="str">
        <f>"1407508294"</f>
        <v>1407508294</v>
      </c>
      <c r="C15232" t="str">
        <f>"363L00000X"</f>
        <v>363L00000X</v>
      </c>
      <c r="D15232" t="str">
        <f>"JONES                    YOULANDA                 "</f>
        <v xml:space="preserve">JONES                    YOULANDA                 </v>
      </c>
      <c r="E15232" t="str">
        <f>"VICKSBURG                 "</f>
        <v xml:space="preserve">VICKSBURG                 </v>
      </c>
      <c r="F15232" t="str">
        <f t="shared" si="386"/>
        <v>MS</v>
      </c>
    </row>
    <row r="15233" spans="1:6" x14ac:dyDescent="0.25">
      <c r="A15233" t="str">
        <f>"200002148"</f>
        <v>200002148</v>
      </c>
      <c r="B15233" t="str">
        <f>"1801368741"</f>
        <v>1801368741</v>
      </c>
      <c r="C15233" t="str">
        <f>"363L00000X"</f>
        <v>363L00000X</v>
      </c>
      <c r="D15233" t="str">
        <f>"GROSS                    KIMBERLY                 "</f>
        <v xml:space="preserve">GROSS                    KIMBERLY                 </v>
      </c>
      <c r="E15233" t="str">
        <f>"CLINTON                   "</f>
        <v xml:space="preserve">CLINTON                   </v>
      </c>
      <c r="F15233" t="str">
        <f t="shared" si="386"/>
        <v>MS</v>
      </c>
    </row>
    <row r="15234" spans="1:6" x14ac:dyDescent="0.25">
      <c r="A15234" t="str">
        <f>"200002157"</f>
        <v>200002157</v>
      </c>
      <c r="B15234" t="str">
        <f>"1922525435"</f>
        <v>1922525435</v>
      </c>
      <c r="C15234" t="str">
        <f>"363L00000X"</f>
        <v>363L00000X</v>
      </c>
      <c r="D15234" t="str">
        <f>"GLASGOW                  ANGELA                   "</f>
        <v xml:space="preserve">GLASGOW                  ANGELA                   </v>
      </c>
      <c r="E15234" t="str">
        <f>"WEST POINT                "</f>
        <v xml:space="preserve">WEST POINT                </v>
      </c>
      <c r="F15234" t="str">
        <f t="shared" si="386"/>
        <v>MS</v>
      </c>
    </row>
    <row r="15235" spans="1:6" x14ac:dyDescent="0.25">
      <c r="A15235" t="str">
        <f>"200002162"</f>
        <v>200002162</v>
      </c>
      <c r="B15235" t="str">
        <f>"1619944287"</f>
        <v>1619944287</v>
      </c>
      <c r="C15235" t="str">
        <f>"152W00000X"</f>
        <v>152W00000X</v>
      </c>
      <c r="D15235" t="str">
        <f>"COCHRAN                  GLENN        M           "</f>
        <v xml:space="preserve">COCHRAN                  GLENN        M           </v>
      </c>
      <c r="E15235" t="str">
        <f>"QUITMAN                   "</f>
        <v xml:space="preserve">QUITMAN                   </v>
      </c>
      <c r="F15235" t="str">
        <f t="shared" si="386"/>
        <v>MS</v>
      </c>
    </row>
    <row r="15236" spans="1:6" x14ac:dyDescent="0.25">
      <c r="A15236" t="str">
        <f>"200002163"</f>
        <v>200002163</v>
      </c>
      <c r="B15236" t="str">
        <f>"1093420671"</f>
        <v>1093420671</v>
      </c>
      <c r="C15236" t="str">
        <f>"152W00000X"</f>
        <v>152W00000X</v>
      </c>
      <c r="D15236" t="str">
        <f>"MAGNOLIA EYE GROUP                                "</f>
        <v xml:space="preserve">MAGNOLIA EYE GROUP                                </v>
      </c>
      <c r="E15236" t="str">
        <f>"SENATOBIA                 "</f>
        <v xml:space="preserve">SENATOBIA                 </v>
      </c>
      <c r="F15236" t="str">
        <f t="shared" si="386"/>
        <v>MS</v>
      </c>
    </row>
    <row r="15237" spans="1:6" x14ac:dyDescent="0.25">
      <c r="A15237" t="str">
        <f>"200002168"</f>
        <v>200002168</v>
      </c>
      <c r="B15237" t="str">
        <f>"1265080584"</f>
        <v>1265080584</v>
      </c>
      <c r="C15237" t="str">
        <f>"363L00000X"</f>
        <v>363L00000X</v>
      </c>
      <c r="D15237" t="str">
        <f>"HOWARD                   CAMERON                  "</f>
        <v xml:space="preserve">HOWARD                   CAMERON                  </v>
      </c>
      <c r="E15237" t="str">
        <f>"JACKSON                   "</f>
        <v xml:space="preserve">JACKSON                   </v>
      </c>
      <c r="F15237" t="str">
        <f t="shared" si="386"/>
        <v>MS</v>
      </c>
    </row>
    <row r="15238" spans="1:6" x14ac:dyDescent="0.25">
      <c r="A15238" t="str">
        <f>"200002170"</f>
        <v>200002170</v>
      </c>
      <c r="B15238" t="str">
        <f>"1235695768"</f>
        <v>1235695768</v>
      </c>
      <c r="C15238" t="str">
        <f>"363L00000X"</f>
        <v>363L00000X</v>
      </c>
      <c r="D15238" t="str">
        <f>"SANDRIDGE                COURTNEY                 "</f>
        <v xml:space="preserve">SANDRIDGE                COURTNEY                 </v>
      </c>
      <c r="E15238" t="str">
        <f>"SOUTHAVEN                 "</f>
        <v xml:space="preserve">SOUTHAVEN                 </v>
      </c>
      <c r="F15238" t="str">
        <f t="shared" si="386"/>
        <v>MS</v>
      </c>
    </row>
    <row r="15239" spans="1:6" x14ac:dyDescent="0.25">
      <c r="A15239" t="str">
        <f>"200002172"</f>
        <v>200002172</v>
      </c>
      <c r="B15239" t="str">
        <f>"1740414861"</f>
        <v>1740414861</v>
      </c>
      <c r="C15239" t="str">
        <f>"2086S0129X"</f>
        <v>2086S0129X</v>
      </c>
      <c r="D15239" t="str">
        <f>"WILENSKY                 JOSHUA       A           "</f>
        <v xml:space="preserve">WILENSKY                 JOSHUA       A           </v>
      </c>
      <c r="E15239" t="str">
        <f>"RIDGELAND                 "</f>
        <v xml:space="preserve">RIDGELAND                 </v>
      </c>
      <c r="F15239" t="str">
        <f t="shared" si="386"/>
        <v>MS</v>
      </c>
    </row>
    <row r="15240" spans="1:6" x14ac:dyDescent="0.25">
      <c r="A15240" t="str">
        <f>"200002175"</f>
        <v>200002175</v>
      </c>
      <c r="B15240" t="str">
        <f>"1053985226"</f>
        <v>1053985226</v>
      </c>
      <c r="C15240" t="str">
        <f>"261QF0400X"</f>
        <v>261QF0400X</v>
      </c>
      <c r="D15240" t="str">
        <f>"SOUTHEAST MISSISSIPPI RURAL HEALTH INITIATIVE INC "</f>
        <v xml:space="preserve">SOUTHEAST MISSISSIPPI RURAL HEALTH INITIATIVE INC </v>
      </c>
      <c r="E15240" t="str">
        <f>"HATTIESBURG               "</f>
        <v xml:space="preserve">HATTIESBURG               </v>
      </c>
      <c r="F15240" t="str">
        <f t="shared" si="386"/>
        <v>MS</v>
      </c>
    </row>
    <row r="15241" spans="1:6" x14ac:dyDescent="0.25">
      <c r="A15241" t="str">
        <f>"200002184"</f>
        <v>200002184</v>
      </c>
      <c r="B15241" t="str">
        <f>"1255576377"</f>
        <v>1255576377</v>
      </c>
      <c r="C15241" t="str">
        <f>"207X00000X"</f>
        <v>207X00000X</v>
      </c>
      <c r="D15241" t="str">
        <f>"BARRON                   MARK         T           "</f>
        <v xml:space="preserve">BARRON                   MARK         T           </v>
      </c>
      <c r="E15241" t="str">
        <f>"HATTIESBURG               "</f>
        <v xml:space="preserve">HATTIESBURG               </v>
      </c>
      <c r="F15241" t="str">
        <f t="shared" si="386"/>
        <v>MS</v>
      </c>
    </row>
    <row r="15242" spans="1:6" x14ac:dyDescent="0.25">
      <c r="A15242" t="str">
        <f>"200002186"</f>
        <v>200002186</v>
      </c>
      <c r="B15242" t="str">
        <f>"1629517115"</f>
        <v>1629517115</v>
      </c>
      <c r="C15242" t="str">
        <f>"363L00000X"</f>
        <v>363L00000X</v>
      </c>
      <c r="D15242" t="str">
        <f>"EDGAR                    DELANA       L           "</f>
        <v xml:space="preserve">EDGAR                    DELANA       L           </v>
      </c>
      <c r="E15242" t="str">
        <f>"HATTIESBURG               "</f>
        <v xml:space="preserve">HATTIESBURG               </v>
      </c>
      <c r="F15242" t="str">
        <f t="shared" si="386"/>
        <v>MS</v>
      </c>
    </row>
    <row r="15243" spans="1:6" x14ac:dyDescent="0.25">
      <c r="A15243" t="str">
        <f>"200002190"</f>
        <v>200002190</v>
      </c>
      <c r="B15243" t="str">
        <f>"1902514680"</f>
        <v>1902514680</v>
      </c>
      <c r="C15243" t="str">
        <f>"363L00000X"</f>
        <v>363L00000X</v>
      </c>
      <c r="D15243" t="str">
        <f>"MAYO                     GAVIN                    "</f>
        <v xml:space="preserve">MAYO                     GAVIN                    </v>
      </c>
      <c r="E15243" t="str">
        <f>"CARRIERE                  "</f>
        <v xml:space="preserve">CARRIERE                  </v>
      </c>
      <c r="F15243" t="str">
        <f t="shared" si="386"/>
        <v>MS</v>
      </c>
    </row>
    <row r="15244" spans="1:6" x14ac:dyDescent="0.25">
      <c r="A15244" t="str">
        <f>"200002192"</f>
        <v>200002192</v>
      </c>
      <c r="B15244" t="str">
        <f>"1598199291"</f>
        <v>1598199291</v>
      </c>
      <c r="C15244" t="str">
        <f>"363L00000X"</f>
        <v>363L00000X</v>
      </c>
      <c r="D15244" t="str">
        <f>"BOLIVAR                  STEPHEN                  "</f>
        <v xml:space="preserve">BOLIVAR                  STEPHEN                  </v>
      </c>
      <c r="E15244" t="str">
        <f>"SOUTHAVEN                 "</f>
        <v xml:space="preserve">SOUTHAVEN                 </v>
      </c>
      <c r="F15244" t="str">
        <f t="shared" si="386"/>
        <v>MS</v>
      </c>
    </row>
    <row r="15245" spans="1:6" x14ac:dyDescent="0.25">
      <c r="A15245" t="str">
        <f>"200002195"</f>
        <v>200002195</v>
      </c>
      <c r="B15245" t="str">
        <f>"1205532538"</f>
        <v>1205532538</v>
      </c>
      <c r="C15245" t="str">
        <f>"367500000X"</f>
        <v>367500000X</v>
      </c>
      <c r="D15245" t="str">
        <f>"PATANO                   ADAM                     "</f>
        <v xml:space="preserve">PATANO                   ADAM                     </v>
      </c>
      <c r="E15245" t="str">
        <f>"PASCAGOULA                "</f>
        <v xml:space="preserve">PASCAGOULA                </v>
      </c>
      <c r="F15245" t="str">
        <f t="shared" si="386"/>
        <v>MS</v>
      </c>
    </row>
    <row r="15246" spans="1:6" x14ac:dyDescent="0.25">
      <c r="A15246" t="str">
        <f>"200002196"</f>
        <v>200002196</v>
      </c>
      <c r="B15246" t="str">
        <f>"1902260508"</f>
        <v>1902260508</v>
      </c>
      <c r="C15246" t="str">
        <f>"207X00000X"</f>
        <v>207X00000X</v>
      </c>
      <c r="D15246" t="str">
        <f>"ORLAND                   KEITH                    "</f>
        <v xml:space="preserve">ORLAND                   KEITH                    </v>
      </c>
      <c r="E15246" t="str">
        <f>"SOUTHAVEN                 "</f>
        <v xml:space="preserve">SOUTHAVEN                 </v>
      </c>
      <c r="F15246" t="str">
        <f t="shared" si="386"/>
        <v>MS</v>
      </c>
    </row>
    <row r="15247" spans="1:6" x14ac:dyDescent="0.25">
      <c r="A15247" t="str">
        <f>"200002207"</f>
        <v>200002207</v>
      </c>
      <c r="B15247" t="str">
        <f>"1609396076"</f>
        <v>1609396076</v>
      </c>
      <c r="C15247" t="str">
        <f>"363L00000X"</f>
        <v>363L00000X</v>
      </c>
      <c r="D15247" t="str">
        <f>"DAVIS                    MELISSA                  "</f>
        <v xml:space="preserve">DAVIS                    MELISSA                  </v>
      </c>
      <c r="E15247" t="str">
        <f>"BROOKHAVEN                "</f>
        <v xml:space="preserve">BROOKHAVEN                </v>
      </c>
      <c r="F15247" t="str">
        <f t="shared" si="386"/>
        <v>MS</v>
      </c>
    </row>
    <row r="15248" spans="1:6" x14ac:dyDescent="0.25">
      <c r="A15248" t="str">
        <f>"200002214"</f>
        <v>200002214</v>
      </c>
      <c r="B15248" t="str">
        <f>"1629013099"</f>
        <v>1629013099</v>
      </c>
      <c r="C15248" t="str">
        <f>"207V00000X"</f>
        <v>207V00000X</v>
      </c>
      <c r="D15248" t="str">
        <f>"EDWARDS                  HEATHER      G           "</f>
        <v xml:space="preserve">EDWARDS                  HEATHER      G           </v>
      </c>
      <c r="E15248" t="str">
        <f>"MERIDIAN                  "</f>
        <v xml:space="preserve">MERIDIAN                  </v>
      </c>
      <c r="F15248" t="str">
        <f t="shared" si="386"/>
        <v>MS</v>
      </c>
    </row>
    <row r="15249" spans="1:6" x14ac:dyDescent="0.25">
      <c r="A15249" t="str">
        <f>"200002216"</f>
        <v>200002216</v>
      </c>
      <c r="B15249" t="str">
        <f>"1003840778"</f>
        <v>1003840778</v>
      </c>
      <c r="C15249" t="str">
        <f>"207Q00000X"</f>
        <v>207Q00000X</v>
      </c>
      <c r="D15249" t="str">
        <f>"MAYS                     RUTH                     "</f>
        <v xml:space="preserve">MAYS                     RUTH                     </v>
      </c>
      <c r="E15249" t="str">
        <f>"JACKSON                   "</f>
        <v xml:space="preserve">JACKSON                   </v>
      </c>
      <c r="F15249" t="str">
        <f t="shared" si="386"/>
        <v>MS</v>
      </c>
    </row>
    <row r="15250" spans="1:6" x14ac:dyDescent="0.25">
      <c r="A15250" t="str">
        <f>"200002220"</f>
        <v>200002220</v>
      </c>
      <c r="B15250" t="str">
        <f>"1487097028"</f>
        <v>1487097028</v>
      </c>
      <c r="C15250" t="str">
        <f>"207R00000X"</f>
        <v>207R00000X</v>
      </c>
      <c r="D15250" t="str">
        <f>"CRONIN                   JULIUS                   "</f>
        <v xml:space="preserve">CRONIN                   JULIUS                   </v>
      </c>
      <c r="E15250" t="str">
        <f>"SOUTHAVEN                 "</f>
        <v xml:space="preserve">SOUTHAVEN                 </v>
      </c>
      <c r="F15250" t="str">
        <f t="shared" si="386"/>
        <v>MS</v>
      </c>
    </row>
    <row r="15251" spans="1:6" x14ac:dyDescent="0.25">
      <c r="A15251" t="str">
        <f>"200002223"</f>
        <v>200002223</v>
      </c>
      <c r="B15251" t="str">
        <f>"1497452460"</f>
        <v>1497452460</v>
      </c>
      <c r="C15251" t="str">
        <f>"363L00000X"</f>
        <v>363L00000X</v>
      </c>
      <c r="D15251" t="str">
        <f>"RAGER                    LAUREN       F           "</f>
        <v xml:space="preserve">RAGER                    LAUREN       F           </v>
      </c>
      <c r="E15251" t="str">
        <f>"HATTIESBURG               "</f>
        <v xml:space="preserve">HATTIESBURG               </v>
      </c>
      <c r="F15251" t="str">
        <f t="shared" si="386"/>
        <v>MS</v>
      </c>
    </row>
    <row r="15252" spans="1:6" x14ac:dyDescent="0.25">
      <c r="A15252" t="str">
        <f>"200002241"</f>
        <v>200002241</v>
      </c>
      <c r="B15252" t="str">
        <f>"1013484864"</f>
        <v>1013484864</v>
      </c>
      <c r="C15252" t="str">
        <f>"363L00000X"</f>
        <v>363L00000X</v>
      </c>
      <c r="D15252" t="str">
        <f>"HILLHOUSE                MEAGAN                   "</f>
        <v xml:space="preserve">HILLHOUSE                MEAGAN                   </v>
      </c>
      <c r="E15252" t="str">
        <f>"TUPELO                    "</f>
        <v xml:space="preserve">TUPELO                    </v>
      </c>
      <c r="F15252" t="str">
        <f t="shared" si="386"/>
        <v>MS</v>
      </c>
    </row>
    <row r="15253" spans="1:6" x14ac:dyDescent="0.25">
      <c r="A15253" t="str">
        <f>"200002244"</f>
        <v>200002244</v>
      </c>
      <c r="B15253" t="str">
        <f>"1407879737"</f>
        <v>1407879737</v>
      </c>
      <c r="C15253" t="str">
        <f>"207L00000X"</f>
        <v>207L00000X</v>
      </c>
      <c r="D15253" t="str">
        <f>"ARORA                    HARENDRA                 "</f>
        <v xml:space="preserve">ARORA                    HARENDRA                 </v>
      </c>
      <c r="E15253" t="str">
        <f>"JACKSON                   "</f>
        <v xml:space="preserve">JACKSON                   </v>
      </c>
      <c r="F15253" t="str">
        <f t="shared" si="386"/>
        <v>MS</v>
      </c>
    </row>
    <row r="15254" spans="1:6" x14ac:dyDescent="0.25">
      <c r="A15254" t="str">
        <f>"200002247"</f>
        <v>200002247</v>
      </c>
      <c r="B15254" t="str">
        <f>"1144727298"</f>
        <v>1144727298</v>
      </c>
      <c r="C15254" t="str">
        <f>"207W00000X"</f>
        <v>207W00000X</v>
      </c>
      <c r="D15254" t="str">
        <f>"PICKERING                ASHLEY                   "</f>
        <v xml:space="preserve">PICKERING                ASHLEY                   </v>
      </c>
      <c r="E15254" t="str">
        <f>"TUPELO                    "</f>
        <v xml:space="preserve">TUPELO                    </v>
      </c>
      <c r="F15254" t="str">
        <f t="shared" si="386"/>
        <v>MS</v>
      </c>
    </row>
    <row r="15255" spans="1:6" x14ac:dyDescent="0.25">
      <c r="A15255" t="str">
        <f>"200002252"</f>
        <v>200002252</v>
      </c>
      <c r="B15255" t="str">
        <f>"1508806308"</f>
        <v>1508806308</v>
      </c>
      <c r="C15255" t="str">
        <f>"363L00000X"</f>
        <v>363L00000X</v>
      </c>
      <c r="D15255" t="str">
        <f>"DAVIDSON                 SUEANNE                  "</f>
        <v xml:space="preserve">DAVIDSON                 SUEANNE                  </v>
      </c>
      <c r="E15255" t="str">
        <f>"COLUMBUS                  "</f>
        <v xml:space="preserve">COLUMBUS                  </v>
      </c>
      <c r="F15255" t="str">
        <f t="shared" si="386"/>
        <v>MS</v>
      </c>
    </row>
    <row r="15256" spans="1:6" x14ac:dyDescent="0.25">
      <c r="A15256" t="str">
        <f>"200002271"</f>
        <v>200002271</v>
      </c>
      <c r="B15256" t="str">
        <f>"1306430517"</f>
        <v>1306430517</v>
      </c>
      <c r="C15256" t="str">
        <f>"363L00000X"</f>
        <v>363L00000X</v>
      </c>
      <c r="D15256" t="str">
        <f>"WELCH                    JANA         L           "</f>
        <v xml:space="preserve">WELCH                    JANA         L           </v>
      </c>
      <c r="E15256" t="str">
        <f>"RIDGELAND                 "</f>
        <v xml:space="preserve">RIDGELAND                 </v>
      </c>
      <c r="F15256" t="str">
        <f t="shared" si="386"/>
        <v>MS</v>
      </c>
    </row>
    <row r="15257" spans="1:6" x14ac:dyDescent="0.25">
      <c r="A15257" t="str">
        <f>"200002280"</f>
        <v>200002280</v>
      </c>
      <c r="B15257" t="str">
        <f t="shared" ref="B15257:B15262" si="387">"1699252544"</f>
        <v>1699252544</v>
      </c>
      <c r="C15257" t="str">
        <f t="shared" ref="C15257:C15262" si="388">"122300000X"</f>
        <v>122300000X</v>
      </c>
      <c r="D15257" t="str">
        <f t="shared" ref="D15257:D15262" si="389">"GREEN STATES ANESTHESIA PLLC                      "</f>
        <v xml:space="preserve">GREEN STATES ANESTHESIA PLLC                      </v>
      </c>
      <c r="E15257" t="str">
        <f>"HATTIESBURG               "</f>
        <v xml:space="preserve">HATTIESBURG               </v>
      </c>
      <c r="F15257" t="str">
        <f t="shared" si="386"/>
        <v>MS</v>
      </c>
    </row>
    <row r="15258" spans="1:6" x14ac:dyDescent="0.25">
      <c r="A15258" t="str">
        <f>"200002281"</f>
        <v>200002281</v>
      </c>
      <c r="B15258" t="str">
        <f t="shared" si="387"/>
        <v>1699252544</v>
      </c>
      <c r="C15258" t="str">
        <f t="shared" si="388"/>
        <v>122300000X</v>
      </c>
      <c r="D15258" t="str">
        <f t="shared" si="389"/>
        <v xml:space="preserve">GREEN STATES ANESTHESIA PLLC                      </v>
      </c>
      <c r="E15258" t="str">
        <f>"PASCAGOULA                "</f>
        <v xml:space="preserve">PASCAGOULA                </v>
      </c>
      <c r="F15258" t="str">
        <f t="shared" si="386"/>
        <v>MS</v>
      </c>
    </row>
    <row r="15259" spans="1:6" x14ac:dyDescent="0.25">
      <c r="A15259" t="str">
        <f>"200002284"</f>
        <v>200002284</v>
      </c>
      <c r="B15259" t="str">
        <f t="shared" si="387"/>
        <v>1699252544</v>
      </c>
      <c r="C15259" t="str">
        <f t="shared" si="388"/>
        <v>122300000X</v>
      </c>
      <c r="D15259" t="str">
        <f t="shared" si="389"/>
        <v xml:space="preserve">GREEN STATES ANESTHESIA PLLC                      </v>
      </c>
      <c r="E15259" t="str">
        <f>"GULFPORT                  "</f>
        <v xml:space="preserve">GULFPORT                  </v>
      </c>
      <c r="F15259" t="str">
        <f t="shared" si="386"/>
        <v>MS</v>
      </c>
    </row>
    <row r="15260" spans="1:6" x14ac:dyDescent="0.25">
      <c r="A15260" t="str">
        <f>"200002286"</f>
        <v>200002286</v>
      </c>
      <c r="B15260" t="str">
        <f t="shared" si="387"/>
        <v>1699252544</v>
      </c>
      <c r="C15260" t="str">
        <f t="shared" si="388"/>
        <v>122300000X</v>
      </c>
      <c r="D15260" t="str">
        <f t="shared" si="389"/>
        <v xml:space="preserve">GREEN STATES ANESTHESIA PLLC                      </v>
      </c>
      <c r="E15260" t="str">
        <f>"TUPELO                    "</f>
        <v xml:space="preserve">TUPELO                    </v>
      </c>
      <c r="F15260" t="str">
        <f t="shared" si="386"/>
        <v>MS</v>
      </c>
    </row>
    <row r="15261" spans="1:6" x14ac:dyDescent="0.25">
      <c r="A15261" t="str">
        <f>"200002289"</f>
        <v>200002289</v>
      </c>
      <c r="B15261" t="str">
        <f t="shared" si="387"/>
        <v>1699252544</v>
      </c>
      <c r="C15261" t="str">
        <f t="shared" si="388"/>
        <v>122300000X</v>
      </c>
      <c r="D15261" t="str">
        <f t="shared" si="389"/>
        <v xml:space="preserve">GREEN STATES ANESTHESIA PLLC                      </v>
      </c>
      <c r="E15261" t="str">
        <f>"MERIDIAN                  "</f>
        <v xml:space="preserve">MERIDIAN                  </v>
      </c>
      <c r="F15261" t="str">
        <f t="shared" si="386"/>
        <v>MS</v>
      </c>
    </row>
    <row r="15262" spans="1:6" x14ac:dyDescent="0.25">
      <c r="A15262" t="str">
        <f>"200002291"</f>
        <v>200002291</v>
      </c>
      <c r="B15262" t="str">
        <f t="shared" si="387"/>
        <v>1699252544</v>
      </c>
      <c r="C15262" t="str">
        <f t="shared" si="388"/>
        <v>122300000X</v>
      </c>
      <c r="D15262" t="str">
        <f t="shared" si="389"/>
        <v xml:space="preserve">GREEN STATES ANESTHESIA PLLC                      </v>
      </c>
      <c r="E15262" t="str">
        <f>"HORN LAKE                 "</f>
        <v xml:space="preserve">HORN LAKE                 </v>
      </c>
      <c r="F15262" t="str">
        <f t="shared" si="386"/>
        <v>MS</v>
      </c>
    </row>
    <row r="15263" spans="1:6" x14ac:dyDescent="0.25">
      <c r="A15263" t="str">
        <f>"200002292"</f>
        <v>200002292</v>
      </c>
      <c r="B15263" t="str">
        <f>"1013524495"</f>
        <v>1013524495</v>
      </c>
      <c r="C15263" t="str">
        <f>"363LF0000X"</f>
        <v>363LF0000X</v>
      </c>
      <c r="D15263" t="str">
        <f>"HOLLEY                   PENNY        M           "</f>
        <v xml:space="preserve">HOLLEY                   PENNY        M           </v>
      </c>
      <c r="E15263" t="str">
        <f>"SOUTHAVEN                 "</f>
        <v xml:space="preserve">SOUTHAVEN                 </v>
      </c>
      <c r="F15263" t="str">
        <f t="shared" si="386"/>
        <v>MS</v>
      </c>
    </row>
    <row r="15264" spans="1:6" x14ac:dyDescent="0.25">
      <c r="A15264" t="str">
        <f>"200002294"</f>
        <v>200002294</v>
      </c>
      <c r="B15264" t="str">
        <f>"1740331099"</f>
        <v>1740331099</v>
      </c>
      <c r="C15264" t="str">
        <f>"207R00000X"</f>
        <v>207R00000X</v>
      </c>
      <c r="D15264" t="str">
        <f>"FRYE                     CHARLES      R           "</f>
        <v xml:space="preserve">FRYE                     CHARLES      R           </v>
      </c>
      <c r="E15264" t="str">
        <f>"STARKVILLE                "</f>
        <v xml:space="preserve">STARKVILLE                </v>
      </c>
      <c r="F15264" t="str">
        <f t="shared" si="386"/>
        <v>MS</v>
      </c>
    </row>
    <row r="15265" spans="1:6" x14ac:dyDescent="0.25">
      <c r="A15265" t="str">
        <f>"200002297"</f>
        <v>200002297</v>
      </c>
      <c r="B15265" t="str">
        <f>"1295327997"</f>
        <v>1295327997</v>
      </c>
      <c r="C15265" t="str">
        <f>"261QM3000X"</f>
        <v>261QM3000X</v>
      </c>
      <c r="D15265" t="str">
        <f>"LAFAYETTE PEDIATRIC EXTENDED CARE, LLC            "</f>
        <v xml:space="preserve">LAFAYETTE PEDIATRIC EXTENDED CARE, LLC            </v>
      </c>
      <c r="E15265" t="str">
        <f>"OXFORD                    "</f>
        <v xml:space="preserve">OXFORD                    </v>
      </c>
      <c r="F15265" t="str">
        <f t="shared" si="386"/>
        <v>MS</v>
      </c>
    </row>
    <row r="15266" spans="1:6" x14ac:dyDescent="0.25">
      <c r="A15266" t="str">
        <f>"200002298"</f>
        <v>200002298</v>
      </c>
      <c r="B15266" t="str">
        <f>"1205802584"</f>
        <v>1205802584</v>
      </c>
      <c r="C15266" t="str">
        <f>"208D00000X"</f>
        <v>208D00000X</v>
      </c>
      <c r="D15266" t="str">
        <f>"GORE                     EDWARD                   "</f>
        <v xml:space="preserve">GORE                     EDWARD                   </v>
      </c>
      <c r="E15266" t="str">
        <f>"WOODLAND                  "</f>
        <v xml:space="preserve">WOODLAND                  </v>
      </c>
      <c r="F15266" t="str">
        <f t="shared" si="386"/>
        <v>MS</v>
      </c>
    </row>
    <row r="15267" spans="1:6" x14ac:dyDescent="0.25">
      <c r="A15267" t="str">
        <f>"200002299"</f>
        <v>200002299</v>
      </c>
      <c r="B15267" t="str">
        <f>"1316058787"</f>
        <v>1316058787</v>
      </c>
      <c r="C15267" t="str">
        <f>"207Q00000X"</f>
        <v>207Q00000X</v>
      </c>
      <c r="D15267" t="str">
        <f>"COPELAND                 DEBORAH      L           "</f>
        <v xml:space="preserve">COPELAND                 DEBORAH      L           </v>
      </c>
      <c r="E15267" t="str">
        <f>"HATTIESBURG               "</f>
        <v xml:space="preserve">HATTIESBURG               </v>
      </c>
      <c r="F15267" t="str">
        <f t="shared" si="386"/>
        <v>MS</v>
      </c>
    </row>
    <row r="15268" spans="1:6" x14ac:dyDescent="0.25">
      <c r="A15268" t="str">
        <f>"200002300"</f>
        <v>200002300</v>
      </c>
      <c r="B15268" t="str">
        <f>"1821044454"</f>
        <v>1821044454</v>
      </c>
      <c r="C15268" t="str">
        <f>"363L00000X"</f>
        <v>363L00000X</v>
      </c>
      <c r="D15268" t="str">
        <f>"CAHILL                   BRIDGET                  "</f>
        <v xml:space="preserve">CAHILL                   BRIDGET                  </v>
      </c>
      <c r="E15268" t="str">
        <f>"ELLISVILLE                "</f>
        <v xml:space="preserve">ELLISVILLE                </v>
      </c>
      <c r="F15268" t="str">
        <f t="shared" si="386"/>
        <v>MS</v>
      </c>
    </row>
    <row r="15269" spans="1:6" x14ac:dyDescent="0.25">
      <c r="A15269" t="str">
        <f>"200002303"</f>
        <v>200002303</v>
      </c>
      <c r="B15269" t="str">
        <f>"1013648344"</f>
        <v>1013648344</v>
      </c>
      <c r="C15269" t="str">
        <f>"367500000X"</f>
        <v>367500000X</v>
      </c>
      <c r="D15269" t="str">
        <f>"JOHNSON                  ASHLEY       R           "</f>
        <v xml:space="preserve">JOHNSON                  ASHLEY       R           </v>
      </c>
      <c r="E15269" t="str">
        <f>"GULFPORT                  "</f>
        <v xml:space="preserve">GULFPORT                  </v>
      </c>
      <c r="F15269" t="str">
        <f t="shared" si="386"/>
        <v>MS</v>
      </c>
    </row>
    <row r="15270" spans="1:6" x14ac:dyDescent="0.25">
      <c r="A15270" t="str">
        <f>"200002317"</f>
        <v>200002317</v>
      </c>
      <c r="B15270" t="str">
        <f>"1891798542"</f>
        <v>1891798542</v>
      </c>
      <c r="C15270" t="str">
        <f>"2085R0202X"</f>
        <v>2085R0202X</v>
      </c>
      <c r="D15270" t="str">
        <f>"BOALS                    CHRISTOPHER              "</f>
        <v xml:space="preserve">BOALS                    CHRISTOPHER              </v>
      </c>
      <c r="E15270" t="str">
        <f>"OLIVE BRANCH              "</f>
        <v xml:space="preserve">OLIVE BRANCH              </v>
      </c>
      <c r="F15270" t="str">
        <f t="shared" si="386"/>
        <v>MS</v>
      </c>
    </row>
    <row r="15271" spans="1:6" x14ac:dyDescent="0.25">
      <c r="A15271" t="str">
        <f>"200002320"</f>
        <v>200002320</v>
      </c>
      <c r="B15271" t="str">
        <f>"1902253651"</f>
        <v>1902253651</v>
      </c>
      <c r="C15271" t="str">
        <f>"207R00000X"</f>
        <v>207R00000X</v>
      </c>
      <c r="D15271" t="str">
        <f>"SEELYE                   EDWIN                    "</f>
        <v xml:space="preserve">SEELYE                   EDWIN                    </v>
      </c>
      <c r="E15271" t="str">
        <f>"OCEAN SPRINGS             "</f>
        <v xml:space="preserve">OCEAN SPRINGS             </v>
      </c>
      <c r="F15271" t="str">
        <f t="shared" si="386"/>
        <v>MS</v>
      </c>
    </row>
    <row r="15272" spans="1:6" x14ac:dyDescent="0.25">
      <c r="A15272" t="str">
        <f>"200002321"</f>
        <v>200002321</v>
      </c>
      <c r="B15272" t="str">
        <f>"1679219588"</f>
        <v>1679219588</v>
      </c>
      <c r="C15272" t="str">
        <f>"363L00000X"</f>
        <v>363L00000X</v>
      </c>
      <c r="D15272" t="str">
        <f>"MORGAN MAUCELI          ANNA                      "</f>
        <v xml:space="preserve">MORGAN MAUCELI          ANNA                      </v>
      </c>
      <c r="E15272" t="str">
        <f>"GREENVILLE                "</f>
        <v xml:space="preserve">GREENVILLE                </v>
      </c>
      <c r="F15272" t="str">
        <f t="shared" si="386"/>
        <v>MS</v>
      </c>
    </row>
    <row r="15273" spans="1:6" x14ac:dyDescent="0.25">
      <c r="A15273" t="str">
        <f>"200002323"</f>
        <v>200002323</v>
      </c>
      <c r="B15273" t="str">
        <f>"1619274032"</f>
        <v>1619274032</v>
      </c>
      <c r="C15273" t="str">
        <f>"363L00000X"</f>
        <v>363L00000X</v>
      </c>
      <c r="D15273" t="str">
        <f>"DUBOSE                   SUSAN                    "</f>
        <v xml:space="preserve">DUBOSE                   SUSAN                    </v>
      </c>
      <c r="E15273" t="str">
        <f>"SUMRALL                   "</f>
        <v xml:space="preserve">SUMRALL                   </v>
      </c>
      <c r="F15273" t="str">
        <f t="shared" si="386"/>
        <v>MS</v>
      </c>
    </row>
    <row r="15274" spans="1:6" x14ac:dyDescent="0.25">
      <c r="A15274" t="str">
        <f>"200002330"</f>
        <v>200002330</v>
      </c>
      <c r="B15274" t="str">
        <f>"1366401465"</f>
        <v>1366401465</v>
      </c>
      <c r="C15274" t="str">
        <f>"207R00000X"</f>
        <v>207R00000X</v>
      </c>
      <c r="D15274" t="str">
        <f>"GLADNEY                  CHERYL                   "</f>
        <v xml:space="preserve">GLADNEY                  CHERYL                   </v>
      </c>
      <c r="E15274" t="str">
        <f>"BROOKHAVEN                "</f>
        <v xml:space="preserve">BROOKHAVEN                </v>
      </c>
      <c r="F15274" t="str">
        <f t="shared" si="386"/>
        <v>MS</v>
      </c>
    </row>
    <row r="15275" spans="1:6" x14ac:dyDescent="0.25">
      <c r="A15275" t="str">
        <f>"200002331"</f>
        <v>200002331</v>
      </c>
      <c r="B15275" t="str">
        <f>"1124748462"</f>
        <v>1124748462</v>
      </c>
      <c r="C15275" t="str">
        <f>"363LF0000X"</f>
        <v>363LF0000X</v>
      </c>
      <c r="D15275" t="str">
        <f>"ROGERS                   JENNY        L           "</f>
        <v xml:space="preserve">ROGERS                   JENNY        L           </v>
      </c>
      <c r="E15275" t="str">
        <f>"FLOWOOD                   "</f>
        <v xml:space="preserve">FLOWOOD                   </v>
      </c>
      <c r="F15275" t="str">
        <f t="shared" si="386"/>
        <v>MS</v>
      </c>
    </row>
    <row r="15276" spans="1:6" x14ac:dyDescent="0.25">
      <c r="A15276" t="str">
        <f>"200002332"</f>
        <v>200002332</v>
      </c>
      <c r="B15276" t="str">
        <f>"1306942297"</f>
        <v>1306942297</v>
      </c>
      <c r="C15276" t="str">
        <f>"207Q00000X"</f>
        <v>207Q00000X</v>
      </c>
      <c r="D15276" t="str">
        <f>"BEARD                    NAHUM        M           "</f>
        <v xml:space="preserve">BEARD                    NAHUM        M           </v>
      </c>
      <c r="E15276" t="str">
        <f>"SOUTHAVEN                 "</f>
        <v xml:space="preserve">SOUTHAVEN                 </v>
      </c>
      <c r="F15276" t="str">
        <f t="shared" si="386"/>
        <v>MS</v>
      </c>
    </row>
    <row r="15277" spans="1:6" x14ac:dyDescent="0.25">
      <c r="A15277" t="str">
        <f>"200002344"</f>
        <v>200002344</v>
      </c>
      <c r="B15277" t="str">
        <f>"1891883328"</f>
        <v>1891883328</v>
      </c>
      <c r="C15277" t="str">
        <f>"207P00000X"</f>
        <v>207P00000X</v>
      </c>
      <c r="D15277" t="str">
        <f>"SHARMA                   AJAY         K           "</f>
        <v xml:space="preserve">SHARMA                   AJAY         K           </v>
      </c>
      <c r="E15277" t="str">
        <f>"HATTIESBURG               "</f>
        <v xml:space="preserve">HATTIESBURG               </v>
      </c>
      <c r="F15277" t="str">
        <f t="shared" si="386"/>
        <v>MS</v>
      </c>
    </row>
    <row r="15278" spans="1:6" x14ac:dyDescent="0.25">
      <c r="A15278" t="str">
        <f>"200002346"</f>
        <v>200002346</v>
      </c>
      <c r="B15278" t="str">
        <f>"1831496165"</f>
        <v>1831496165</v>
      </c>
      <c r="C15278" t="str">
        <f>"2084P0804X"</f>
        <v>2084P0804X</v>
      </c>
      <c r="D15278" t="str">
        <f>"BODARYA                  KETANKUMAR   V           "</f>
        <v xml:space="preserve">BODARYA                  KETANKUMAR   V           </v>
      </c>
      <c r="E15278" t="str">
        <f>"HATTIESBURG               "</f>
        <v xml:space="preserve">HATTIESBURG               </v>
      </c>
      <c r="F15278" t="str">
        <f t="shared" si="386"/>
        <v>MS</v>
      </c>
    </row>
    <row r="15279" spans="1:6" x14ac:dyDescent="0.25">
      <c r="A15279" t="str">
        <f>"200002347"</f>
        <v>200002347</v>
      </c>
      <c r="B15279" t="str">
        <f>"1831496165"</f>
        <v>1831496165</v>
      </c>
      <c r="C15279" t="str">
        <f>"2084P0800X"</f>
        <v>2084P0800X</v>
      </c>
      <c r="D15279" t="str">
        <f>"BODARYA                  KETANKUMAR   V           "</f>
        <v xml:space="preserve">BODARYA                  KETANKUMAR   V           </v>
      </c>
      <c r="E15279" t="str">
        <f>"HATTIESBURG               "</f>
        <v xml:space="preserve">HATTIESBURG               </v>
      </c>
      <c r="F15279" t="str">
        <f t="shared" si="386"/>
        <v>MS</v>
      </c>
    </row>
    <row r="15280" spans="1:6" x14ac:dyDescent="0.25">
      <c r="A15280" t="str">
        <f>"200002352"</f>
        <v>200002352</v>
      </c>
      <c r="B15280" t="str">
        <f>"1558774174"</f>
        <v>1558774174</v>
      </c>
      <c r="C15280" t="str">
        <f>"207RG0100X"</f>
        <v>207RG0100X</v>
      </c>
      <c r="D15280" t="str">
        <f>"CHOW                     STEPHEN                  "</f>
        <v xml:space="preserve">CHOW                     STEPHEN                  </v>
      </c>
      <c r="E15280" t="str">
        <f>"JACKSON                   "</f>
        <v xml:space="preserve">JACKSON                   </v>
      </c>
      <c r="F15280" t="str">
        <f t="shared" si="386"/>
        <v>MS</v>
      </c>
    </row>
    <row r="15281" spans="1:6" x14ac:dyDescent="0.25">
      <c r="A15281" t="str">
        <f>"200002354"</f>
        <v>200002354</v>
      </c>
      <c r="B15281" t="str">
        <f>"1104548528"</f>
        <v>1104548528</v>
      </c>
      <c r="C15281" t="str">
        <f>"363L00000X"</f>
        <v>363L00000X</v>
      </c>
      <c r="D15281" t="str">
        <f>"FRANCISCO                ISHMAEL                  "</f>
        <v xml:space="preserve">FRANCISCO                ISHMAEL                  </v>
      </c>
      <c r="E15281" t="str">
        <f>"HERNANDO                  "</f>
        <v xml:space="preserve">HERNANDO                  </v>
      </c>
      <c r="F15281" t="str">
        <f t="shared" si="386"/>
        <v>MS</v>
      </c>
    </row>
    <row r="15282" spans="1:6" x14ac:dyDescent="0.25">
      <c r="A15282" t="str">
        <f>"200002371"</f>
        <v>200002371</v>
      </c>
      <c r="B15282" t="str">
        <f>"1144965898"</f>
        <v>1144965898</v>
      </c>
      <c r="C15282" t="str">
        <f>"363L00000X"</f>
        <v>363L00000X</v>
      </c>
      <c r="D15282" t="str">
        <f>"CAMPBELL                 ANGELA                   "</f>
        <v xml:space="preserve">CAMPBELL                 ANGELA                   </v>
      </c>
      <c r="E15282" t="str">
        <f>"CLEVELND                  "</f>
        <v xml:space="preserve">CLEVELND                  </v>
      </c>
      <c r="F15282" t="str">
        <f t="shared" si="386"/>
        <v>MS</v>
      </c>
    </row>
    <row r="15283" spans="1:6" x14ac:dyDescent="0.25">
      <c r="A15283" t="str">
        <f>"200002390"</f>
        <v>200002390</v>
      </c>
      <c r="B15283" t="str">
        <f>"1639250459"</f>
        <v>1639250459</v>
      </c>
      <c r="C15283" t="str">
        <f>"207V00000X"</f>
        <v>207V00000X</v>
      </c>
      <c r="D15283" t="str">
        <f>"FURNISS                  JAN          L           "</f>
        <v xml:space="preserve">FURNISS                  JAN          L           </v>
      </c>
      <c r="E15283" t="str">
        <f>"OXFORD                    "</f>
        <v xml:space="preserve">OXFORD                    </v>
      </c>
      <c r="F15283" t="str">
        <f t="shared" si="386"/>
        <v>MS</v>
      </c>
    </row>
    <row r="15284" spans="1:6" x14ac:dyDescent="0.25">
      <c r="A15284" t="str">
        <f>"200002401"</f>
        <v>200002401</v>
      </c>
      <c r="B15284" t="str">
        <f>"1497356562"</f>
        <v>1497356562</v>
      </c>
      <c r="C15284" t="str">
        <f>"363L00000X"</f>
        <v>363L00000X</v>
      </c>
      <c r="D15284" t="str">
        <f>"GIVENS                   SAMANTHA                 "</f>
        <v xml:space="preserve">GIVENS                   SAMANTHA                 </v>
      </c>
      <c r="E15284" t="str">
        <f>"BEAUMONT                  "</f>
        <v xml:space="preserve">BEAUMONT                  </v>
      </c>
      <c r="F15284" t="str">
        <f t="shared" si="386"/>
        <v>MS</v>
      </c>
    </row>
    <row r="15285" spans="1:6" x14ac:dyDescent="0.25">
      <c r="A15285" t="str">
        <f>"200002422"</f>
        <v>200002422</v>
      </c>
      <c r="B15285" t="str">
        <f>"1457909160"</f>
        <v>1457909160</v>
      </c>
      <c r="C15285" t="str">
        <f>"208G00000X"</f>
        <v>208G00000X</v>
      </c>
      <c r="D15285" t="str">
        <f>"PERUMAL                  GOPINATH                 "</f>
        <v xml:space="preserve">PERUMAL                  GOPINATH                 </v>
      </c>
      <c r="E15285" t="str">
        <f>"JACKSON                   "</f>
        <v xml:space="preserve">JACKSON                   </v>
      </c>
      <c r="F15285" t="str">
        <f t="shared" si="386"/>
        <v>MS</v>
      </c>
    </row>
    <row r="15286" spans="1:6" x14ac:dyDescent="0.25">
      <c r="A15286" t="str">
        <f>"200002427"</f>
        <v>200002427</v>
      </c>
      <c r="B15286" t="str">
        <f>"1285385021"</f>
        <v>1285385021</v>
      </c>
      <c r="C15286" t="str">
        <f>"363L00000X"</f>
        <v>363L00000X</v>
      </c>
      <c r="D15286" t="str">
        <f>"AREGHAN                  LUCKY        E           "</f>
        <v xml:space="preserve">AREGHAN                  LUCKY        E           </v>
      </c>
      <c r="E15286" t="str">
        <f>"CHOCTAW                   "</f>
        <v xml:space="preserve">CHOCTAW                   </v>
      </c>
      <c r="F15286" t="str">
        <f t="shared" si="386"/>
        <v>MS</v>
      </c>
    </row>
    <row r="15287" spans="1:6" x14ac:dyDescent="0.25">
      <c r="A15287" t="str">
        <f>"200002430"</f>
        <v>200002430</v>
      </c>
      <c r="B15287" t="str">
        <f>"1740665066"</f>
        <v>1740665066</v>
      </c>
      <c r="C15287" t="str">
        <f>"367500000X"</f>
        <v>367500000X</v>
      </c>
      <c r="D15287" t="str">
        <f>"GERLACH                  INDRE                    "</f>
        <v xml:space="preserve">GERLACH                  INDRE                    </v>
      </c>
      <c r="E15287" t="str">
        <f>"TUPELO                    "</f>
        <v xml:space="preserve">TUPELO                    </v>
      </c>
      <c r="F15287" t="str">
        <f t="shared" si="386"/>
        <v>MS</v>
      </c>
    </row>
    <row r="15288" spans="1:6" x14ac:dyDescent="0.25">
      <c r="A15288" t="str">
        <f>"200002437"</f>
        <v>200002437</v>
      </c>
      <c r="B15288" t="str">
        <f>"1336370576"</f>
        <v>1336370576</v>
      </c>
      <c r="C15288" t="str">
        <f>"208G00000X"</f>
        <v>208G00000X</v>
      </c>
      <c r="D15288" t="str">
        <f>"TSIOURIS                 ATHANASIOS               "</f>
        <v xml:space="preserve">TSIOURIS                 ATHANASIOS               </v>
      </c>
      <c r="E15288" t="str">
        <f>"JACKSON                   "</f>
        <v xml:space="preserve">JACKSON                   </v>
      </c>
      <c r="F15288" t="str">
        <f t="shared" si="386"/>
        <v>MS</v>
      </c>
    </row>
    <row r="15289" spans="1:6" x14ac:dyDescent="0.25">
      <c r="A15289" t="str">
        <f>"200002448"</f>
        <v>200002448</v>
      </c>
      <c r="B15289" t="str">
        <f>"1720739808"</f>
        <v>1720739808</v>
      </c>
      <c r="C15289" t="str">
        <f>"363L00000X"</f>
        <v>363L00000X</v>
      </c>
      <c r="D15289" t="str">
        <f>"GILBERT                  MAGAN                    "</f>
        <v xml:space="preserve">GILBERT                  MAGAN                    </v>
      </c>
      <c r="E15289" t="str">
        <f>"BAY SAINT LOUIS           "</f>
        <v xml:space="preserve">BAY SAINT LOUIS           </v>
      </c>
      <c r="F15289" t="str">
        <f t="shared" si="386"/>
        <v>MS</v>
      </c>
    </row>
    <row r="15290" spans="1:6" x14ac:dyDescent="0.25">
      <c r="A15290" t="str">
        <f>"200002453"</f>
        <v>200002453</v>
      </c>
      <c r="B15290" t="str">
        <f>"1861580557"</f>
        <v>1861580557</v>
      </c>
      <c r="C15290" t="str">
        <f>"207R00000X"</f>
        <v>207R00000X</v>
      </c>
      <c r="D15290" t="str">
        <f>"RENO                     WILLIAM                  "</f>
        <v xml:space="preserve">RENO                     WILLIAM                  </v>
      </c>
      <c r="E15290" t="str">
        <f>"HATTIESBURG               "</f>
        <v xml:space="preserve">HATTIESBURG               </v>
      </c>
      <c r="F15290" t="str">
        <f t="shared" si="386"/>
        <v>MS</v>
      </c>
    </row>
    <row r="15291" spans="1:6" x14ac:dyDescent="0.25">
      <c r="A15291" t="str">
        <f>"200002454"</f>
        <v>200002454</v>
      </c>
      <c r="B15291" t="str">
        <f>"1285332064"</f>
        <v>1285332064</v>
      </c>
      <c r="C15291" t="str">
        <f>"363L00000X"</f>
        <v>363L00000X</v>
      </c>
      <c r="D15291" t="str">
        <f>"GAMBERI                  BRITTANY     A           "</f>
        <v xml:space="preserve">GAMBERI                  BRITTANY     A           </v>
      </c>
      <c r="E15291" t="str">
        <f>"NATCHEZ                   "</f>
        <v xml:space="preserve">NATCHEZ                   </v>
      </c>
      <c r="F15291" t="str">
        <f t="shared" si="386"/>
        <v>MS</v>
      </c>
    </row>
    <row r="15292" spans="1:6" x14ac:dyDescent="0.25">
      <c r="A15292" t="str">
        <f>"200002456"</f>
        <v>200002456</v>
      </c>
      <c r="B15292" t="str">
        <f>"1851050579"</f>
        <v>1851050579</v>
      </c>
      <c r="C15292" t="str">
        <f>"261QR1300X"</f>
        <v>261QR1300X</v>
      </c>
      <c r="D15292" t="str">
        <f>"FAST PACE HEALTH                                  "</f>
        <v xml:space="preserve">FAST PACE HEALTH                                  </v>
      </c>
      <c r="E15292" t="str">
        <f>"VICKSBURG                 "</f>
        <v xml:space="preserve">VICKSBURG                 </v>
      </c>
      <c r="F15292" t="str">
        <f t="shared" si="386"/>
        <v>MS</v>
      </c>
    </row>
    <row r="15293" spans="1:6" x14ac:dyDescent="0.25">
      <c r="A15293" t="str">
        <f>"200002457"</f>
        <v>200002457</v>
      </c>
      <c r="B15293" t="str">
        <f>"1972999423"</f>
        <v>1972999423</v>
      </c>
      <c r="C15293" t="str">
        <f>"207RH0002X"</f>
        <v>207RH0002X</v>
      </c>
      <c r="D15293" t="str">
        <f>"KHAN                     SHAN                     "</f>
        <v xml:space="preserve">KHAN                     SHAN                     </v>
      </c>
      <c r="E15293" t="str">
        <f>"SOUTHAVEN                 "</f>
        <v xml:space="preserve">SOUTHAVEN                 </v>
      </c>
      <c r="F15293" t="str">
        <f t="shared" si="386"/>
        <v>MS</v>
      </c>
    </row>
    <row r="15294" spans="1:6" x14ac:dyDescent="0.25">
      <c r="A15294" t="str">
        <f>"200002488"</f>
        <v>200002488</v>
      </c>
      <c r="B15294" t="str">
        <f>"1174913859"</f>
        <v>1174913859</v>
      </c>
      <c r="C15294" t="str">
        <f>"363L00000X"</f>
        <v>363L00000X</v>
      </c>
      <c r="D15294" t="str">
        <f>"OWENS                    JILLIAN                  "</f>
        <v xml:space="preserve">OWENS                    JILLIAN                  </v>
      </c>
      <c r="E15294" t="str">
        <f>"GULFPORT                  "</f>
        <v xml:space="preserve">GULFPORT                  </v>
      </c>
      <c r="F15294" t="str">
        <f t="shared" ref="F15294:F15357" si="390">"MS"</f>
        <v>MS</v>
      </c>
    </row>
    <row r="15295" spans="1:6" x14ac:dyDescent="0.25">
      <c r="A15295" t="str">
        <f>"200002490"</f>
        <v>200002490</v>
      </c>
      <c r="B15295" t="str">
        <f>"1912367939"</f>
        <v>1912367939</v>
      </c>
      <c r="C15295" t="str">
        <f>"363L00000X"</f>
        <v>363L00000X</v>
      </c>
      <c r="D15295" t="str">
        <f>"DUNGAN                   LYDIA        J           "</f>
        <v xml:space="preserve">DUNGAN                   LYDIA        J           </v>
      </c>
      <c r="E15295" t="str">
        <f>"JACKSON                   "</f>
        <v xml:space="preserve">JACKSON                   </v>
      </c>
      <c r="F15295" t="str">
        <f t="shared" si="390"/>
        <v>MS</v>
      </c>
    </row>
    <row r="15296" spans="1:6" x14ac:dyDescent="0.25">
      <c r="A15296" t="str">
        <f>"200002497"</f>
        <v>200002497</v>
      </c>
      <c r="B15296" t="str">
        <f>"1043735806"</f>
        <v>1043735806</v>
      </c>
      <c r="C15296" t="str">
        <f>"363L00000X"</f>
        <v>363L00000X</v>
      </c>
      <c r="D15296" t="str">
        <f>"MYERS                    JANET                    "</f>
        <v xml:space="preserve">MYERS                    JANET                    </v>
      </c>
      <c r="E15296" t="str">
        <f>"COLUMBUS                  "</f>
        <v xml:space="preserve">COLUMBUS                  </v>
      </c>
      <c r="F15296" t="str">
        <f t="shared" si="390"/>
        <v>MS</v>
      </c>
    </row>
    <row r="15297" spans="1:6" x14ac:dyDescent="0.25">
      <c r="A15297" t="str">
        <f>"200002506"</f>
        <v>200002506</v>
      </c>
      <c r="B15297" t="str">
        <f>"1871299057"</f>
        <v>1871299057</v>
      </c>
      <c r="C15297" t="str">
        <f>"363L00000X"</f>
        <v>363L00000X</v>
      </c>
      <c r="D15297" t="str">
        <f>"WILSON                   SARAH        L           "</f>
        <v xml:space="preserve">WILSON                   SARAH        L           </v>
      </c>
      <c r="E15297" t="str">
        <f>"BROOKHAVEN                "</f>
        <v xml:space="preserve">BROOKHAVEN                </v>
      </c>
      <c r="F15297" t="str">
        <f t="shared" si="390"/>
        <v>MS</v>
      </c>
    </row>
    <row r="15298" spans="1:6" x14ac:dyDescent="0.25">
      <c r="A15298" t="str">
        <f>"200002514"</f>
        <v>200002514</v>
      </c>
      <c r="B15298" t="str">
        <f>"1528784915"</f>
        <v>1528784915</v>
      </c>
      <c r="C15298" t="str">
        <f>"367500000X"</f>
        <v>367500000X</v>
      </c>
      <c r="D15298" t="str">
        <f>"MICHELLETTI              TAYLOR                   "</f>
        <v xml:space="preserve">MICHELLETTI              TAYLOR                   </v>
      </c>
      <c r="E15298" t="str">
        <f>"TUPELO                    "</f>
        <v xml:space="preserve">TUPELO                    </v>
      </c>
      <c r="F15298" t="str">
        <f t="shared" si="390"/>
        <v>MS</v>
      </c>
    </row>
    <row r="15299" spans="1:6" x14ac:dyDescent="0.25">
      <c r="A15299" t="str">
        <f>"200002521"</f>
        <v>200002521</v>
      </c>
      <c r="B15299" t="str">
        <f>"1124765656"</f>
        <v>1124765656</v>
      </c>
      <c r="C15299" t="str">
        <f>"363L00000X"</f>
        <v>363L00000X</v>
      </c>
      <c r="D15299" t="str">
        <f>"GORDON                   ANNA         C           "</f>
        <v xml:space="preserve">GORDON                   ANNA         C           </v>
      </c>
      <c r="E15299" t="str">
        <f>"JACKSON                   "</f>
        <v xml:space="preserve">JACKSON                   </v>
      </c>
      <c r="F15299" t="str">
        <f t="shared" si="390"/>
        <v>MS</v>
      </c>
    </row>
    <row r="15300" spans="1:6" x14ac:dyDescent="0.25">
      <c r="A15300" t="str">
        <f>"200002524"</f>
        <v>200002524</v>
      </c>
      <c r="B15300" t="str">
        <f>"1316417249"</f>
        <v>1316417249</v>
      </c>
      <c r="C15300" t="str">
        <f>"363L00000X"</f>
        <v>363L00000X</v>
      </c>
      <c r="D15300" t="str">
        <f>"PATTON                   NARCISSA                 "</f>
        <v xml:space="preserve">PATTON                   NARCISSA                 </v>
      </c>
      <c r="E15300" t="str">
        <f>"BILOXI                    "</f>
        <v xml:space="preserve">BILOXI                    </v>
      </c>
      <c r="F15300" t="str">
        <f t="shared" si="390"/>
        <v>MS</v>
      </c>
    </row>
    <row r="15301" spans="1:6" x14ac:dyDescent="0.25">
      <c r="A15301" t="str">
        <f>"200002528"</f>
        <v>200002528</v>
      </c>
      <c r="B15301" t="str">
        <f>"1316653397"</f>
        <v>1316653397</v>
      </c>
      <c r="C15301" t="str">
        <f>"363LF0000X"</f>
        <v>363LF0000X</v>
      </c>
      <c r="D15301" t="str">
        <f>"SHACKELFORD              ALICE                    "</f>
        <v xml:space="preserve">SHACKELFORD              ALICE                    </v>
      </c>
      <c r="E15301" t="str">
        <f>"FLOWOOD                   "</f>
        <v xml:space="preserve">FLOWOOD                   </v>
      </c>
      <c r="F15301" t="str">
        <f t="shared" si="390"/>
        <v>MS</v>
      </c>
    </row>
    <row r="15302" spans="1:6" x14ac:dyDescent="0.25">
      <c r="A15302" t="str">
        <f>"200002532"</f>
        <v>200002532</v>
      </c>
      <c r="B15302" t="str">
        <f>"1992319321"</f>
        <v>1992319321</v>
      </c>
      <c r="C15302" t="str">
        <f>"363L00000X"</f>
        <v>363L00000X</v>
      </c>
      <c r="D15302" t="str">
        <f>"WALKER                   CARALINE                 "</f>
        <v xml:space="preserve">WALKER                   CARALINE                 </v>
      </c>
      <c r="E15302" t="str">
        <f>"CANTON                    "</f>
        <v xml:space="preserve">CANTON                    </v>
      </c>
      <c r="F15302" t="str">
        <f t="shared" si="390"/>
        <v>MS</v>
      </c>
    </row>
    <row r="15303" spans="1:6" x14ac:dyDescent="0.25">
      <c r="A15303" t="str">
        <f>"200002533"</f>
        <v>200002533</v>
      </c>
      <c r="B15303" t="str">
        <f>"1629625629"</f>
        <v>1629625629</v>
      </c>
      <c r="C15303" t="str">
        <f>"363L00000X"</f>
        <v>363L00000X</v>
      </c>
      <c r="D15303" t="str">
        <f>"PYRON                    ANDREA                   "</f>
        <v xml:space="preserve">PYRON                    ANDREA                   </v>
      </c>
      <c r="E15303" t="str">
        <f>"ABERDEEN                  "</f>
        <v xml:space="preserve">ABERDEEN                  </v>
      </c>
      <c r="F15303" t="str">
        <f t="shared" si="390"/>
        <v>MS</v>
      </c>
    </row>
    <row r="15304" spans="1:6" x14ac:dyDescent="0.25">
      <c r="A15304" t="str">
        <f>"200002537"</f>
        <v>200002537</v>
      </c>
      <c r="B15304" t="str">
        <f>"1073179842"</f>
        <v>1073179842</v>
      </c>
      <c r="C15304" t="str">
        <f>"207Q00000X"</f>
        <v>207Q00000X</v>
      </c>
      <c r="D15304" t="str">
        <f>"LIJOFI                   OLUWASEGUN   O           "</f>
        <v xml:space="preserve">LIJOFI                   OLUWASEGUN   O           </v>
      </c>
      <c r="E15304" t="str">
        <f>"JACKSON                   "</f>
        <v xml:space="preserve">JACKSON                   </v>
      </c>
      <c r="F15304" t="str">
        <f t="shared" si="390"/>
        <v>MS</v>
      </c>
    </row>
    <row r="15305" spans="1:6" x14ac:dyDescent="0.25">
      <c r="A15305" t="str">
        <f>"200002538"</f>
        <v>200002538</v>
      </c>
      <c r="B15305" t="str">
        <f>"1063123453"</f>
        <v>1063123453</v>
      </c>
      <c r="C15305" t="str">
        <f>"363L00000X"</f>
        <v>363L00000X</v>
      </c>
      <c r="D15305" t="str">
        <f>"COX                      KIRSTEN                  "</f>
        <v xml:space="preserve">COX                      KIRSTEN                  </v>
      </c>
      <c r="E15305" t="str">
        <f>"OXFORD                    "</f>
        <v xml:space="preserve">OXFORD                    </v>
      </c>
      <c r="F15305" t="str">
        <f t="shared" si="390"/>
        <v>MS</v>
      </c>
    </row>
    <row r="15306" spans="1:6" x14ac:dyDescent="0.25">
      <c r="A15306" t="str">
        <f>"200002541"</f>
        <v>200002541</v>
      </c>
      <c r="B15306" t="str">
        <f>"1184325797"</f>
        <v>1184325797</v>
      </c>
      <c r="C15306" t="str">
        <f>"363L00000X"</f>
        <v>363L00000X</v>
      </c>
      <c r="D15306" t="str">
        <f>"BOWEN                    JASMINI                  "</f>
        <v xml:space="preserve">BOWEN                    JASMINI                  </v>
      </c>
      <c r="E15306" t="str">
        <f>"LUCEDALE                  "</f>
        <v xml:space="preserve">LUCEDALE                  </v>
      </c>
      <c r="F15306" t="str">
        <f t="shared" si="390"/>
        <v>MS</v>
      </c>
    </row>
    <row r="15307" spans="1:6" x14ac:dyDescent="0.25">
      <c r="A15307" t="str">
        <f>"200002546"</f>
        <v>200002546</v>
      </c>
      <c r="B15307" t="str">
        <f>"1205532215"</f>
        <v>1205532215</v>
      </c>
      <c r="C15307" t="str">
        <f>"363L00000X"</f>
        <v>363L00000X</v>
      </c>
      <c r="D15307" t="str">
        <f>"NANNEY                   ASHLEY       J           "</f>
        <v xml:space="preserve">NANNEY                   ASHLEY       J           </v>
      </c>
      <c r="E15307" t="str">
        <f>"NEW ALBANY                "</f>
        <v xml:space="preserve">NEW ALBANY                </v>
      </c>
      <c r="F15307" t="str">
        <f t="shared" si="390"/>
        <v>MS</v>
      </c>
    </row>
    <row r="15308" spans="1:6" x14ac:dyDescent="0.25">
      <c r="A15308" t="str">
        <f>"200002548"</f>
        <v>200002548</v>
      </c>
      <c r="B15308" t="str">
        <f>"1710381264"</f>
        <v>1710381264</v>
      </c>
      <c r="C15308" t="str">
        <f>"363L00000X"</f>
        <v>363L00000X</v>
      </c>
      <c r="D15308" t="str">
        <f>"GOSTON                   JAKEISHA                 "</f>
        <v xml:space="preserve">GOSTON                   JAKEISHA                 </v>
      </c>
      <c r="E15308" t="str">
        <f>"SOUTHAVEN                 "</f>
        <v xml:space="preserve">SOUTHAVEN                 </v>
      </c>
      <c r="F15308" t="str">
        <f t="shared" si="390"/>
        <v>MS</v>
      </c>
    </row>
    <row r="15309" spans="1:6" x14ac:dyDescent="0.25">
      <c r="A15309" t="str">
        <f>"200002549"</f>
        <v>200002549</v>
      </c>
      <c r="B15309" t="str">
        <f>"1134889686"</f>
        <v>1134889686</v>
      </c>
      <c r="C15309" t="str">
        <f>"363A00000X"</f>
        <v>363A00000X</v>
      </c>
      <c r="D15309" t="str">
        <f>"SNELL                    BROOKLYN     P           "</f>
        <v xml:space="preserve">SNELL                    BROOKLYN     P           </v>
      </c>
      <c r="E15309" t="str">
        <f>"SOUTHAVEN                 "</f>
        <v xml:space="preserve">SOUTHAVEN                 </v>
      </c>
      <c r="F15309" t="str">
        <f t="shared" si="390"/>
        <v>MS</v>
      </c>
    </row>
    <row r="15310" spans="1:6" x14ac:dyDescent="0.25">
      <c r="A15310" t="str">
        <f>"200002552"</f>
        <v>200002552</v>
      </c>
      <c r="B15310" t="str">
        <f>"1558018598"</f>
        <v>1558018598</v>
      </c>
      <c r="C15310" t="str">
        <f>"363L00000X"</f>
        <v>363L00000X</v>
      </c>
      <c r="D15310" t="str">
        <f>"JIMMERSON                CAROLYN      J           "</f>
        <v xml:space="preserve">JIMMERSON                CAROLYN      J           </v>
      </c>
      <c r="E15310" t="str">
        <f>"FLOWOOD                   "</f>
        <v xml:space="preserve">FLOWOOD                   </v>
      </c>
      <c r="F15310" t="str">
        <f t="shared" si="390"/>
        <v>MS</v>
      </c>
    </row>
    <row r="15311" spans="1:6" x14ac:dyDescent="0.25">
      <c r="A15311" t="str">
        <f>"200002555"</f>
        <v>200002555</v>
      </c>
      <c r="B15311" t="str">
        <f>"1205220217"</f>
        <v>1205220217</v>
      </c>
      <c r="C15311" t="str">
        <f>"2086X0206X"</f>
        <v>2086X0206X</v>
      </c>
      <c r="D15311" t="str">
        <f>"CHRISTOPHER              WADE                     "</f>
        <v xml:space="preserve">CHRISTOPHER              WADE                     </v>
      </c>
      <c r="E15311" t="str">
        <f>"JACKSON                   "</f>
        <v xml:space="preserve">JACKSON                   </v>
      </c>
      <c r="F15311" t="str">
        <f t="shared" si="390"/>
        <v>MS</v>
      </c>
    </row>
    <row r="15312" spans="1:6" x14ac:dyDescent="0.25">
      <c r="A15312" t="str">
        <f>"200002557"</f>
        <v>200002557</v>
      </c>
      <c r="B15312" t="str">
        <f>"1770116030"</f>
        <v>1770116030</v>
      </c>
      <c r="C15312" t="str">
        <f>"363L00000X"</f>
        <v>363L00000X</v>
      </c>
      <c r="D15312" t="str">
        <f>"BRUNSON                  BRIANA                   "</f>
        <v xml:space="preserve">BRUNSON                  BRIANA                   </v>
      </c>
      <c r="E15312" t="str">
        <f>"VICKSBURG                 "</f>
        <v xml:space="preserve">VICKSBURG                 </v>
      </c>
      <c r="F15312" t="str">
        <f t="shared" si="390"/>
        <v>MS</v>
      </c>
    </row>
    <row r="15313" spans="1:6" x14ac:dyDescent="0.25">
      <c r="A15313" t="str">
        <f>"200002559"</f>
        <v>200002559</v>
      </c>
      <c r="B15313" t="str">
        <f>"1215063219"</f>
        <v>1215063219</v>
      </c>
      <c r="C15313" t="str">
        <f>"207R00000X"</f>
        <v>207R00000X</v>
      </c>
      <c r="D15313" t="str">
        <f>"HINES                    KENNETH                  "</f>
        <v xml:space="preserve">HINES                    KENNETH                  </v>
      </c>
      <c r="E15313" t="str">
        <f>"GREENWOOD                 "</f>
        <v xml:space="preserve">GREENWOOD                 </v>
      </c>
      <c r="F15313" t="str">
        <f t="shared" si="390"/>
        <v>MS</v>
      </c>
    </row>
    <row r="15314" spans="1:6" x14ac:dyDescent="0.25">
      <c r="A15314" t="str">
        <f>"200002574"</f>
        <v>200002574</v>
      </c>
      <c r="B15314" t="str">
        <f>"1720243421"</f>
        <v>1720243421</v>
      </c>
      <c r="C15314" t="str">
        <f>"207R00000X"</f>
        <v>207R00000X</v>
      </c>
      <c r="D15314" t="str">
        <f>"MCCOLLOUGH               KENNIETH                 "</f>
        <v xml:space="preserve">MCCOLLOUGH               KENNIETH                 </v>
      </c>
      <c r="E15314" t="str">
        <f>"MISSISSIPPI STATE         "</f>
        <v xml:space="preserve">MISSISSIPPI STATE         </v>
      </c>
      <c r="F15314" t="str">
        <f t="shared" si="390"/>
        <v>MS</v>
      </c>
    </row>
    <row r="15315" spans="1:6" x14ac:dyDescent="0.25">
      <c r="A15315" t="str">
        <f>"200002578"</f>
        <v>200002578</v>
      </c>
      <c r="B15315" t="str">
        <f>"1265455802"</f>
        <v>1265455802</v>
      </c>
      <c r="C15315" t="str">
        <f>"207Q00000X"</f>
        <v>207Q00000X</v>
      </c>
      <c r="D15315" t="str">
        <f>"YARBROUGH                BENJAMIN                 "</f>
        <v xml:space="preserve">YARBROUGH                BENJAMIN                 </v>
      </c>
      <c r="E15315" t="str">
        <f>"NATCHEZ                   "</f>
        <v xml:space="preserve">NATCHEZ                   </v>
      </c>
      <c r="F15315" t="str">
        <f t="shared" si="390"/>
        <v>MS</v>
      </c>
    </row>
    <row r="15316" spans="1:6" x14ac:dyDescent="0.25">
      <c r="A15316" t="str">
        <f>"200002592"</f>
        <v>200002592</v>
      </c>
      <c r="B15316" t="str">
        <f>"1225667249"</f>
        <v>1225667249</v>
      </c>
      <c r="C15316" t="str">
        <f>"207P00000X"</f>
        <v>207P00000X</v>
      </c>
      <c r="D15316" t="str">
        <f>"BROWNING                 MALLORY      D           "</f>
        <v xml:space="preserve">BROWNING                 MALLORY      D           </v>
      </c>
      <c r="E15316" t="str">
        <f>"LEXINGTON                 "</f>
        <v xml:space="preserve">LEXINGTON                 </v>
      </c>
      <c r="F15316" t="str">
        <f t="shared" si="390"/>
        <v>MS</v>
      </c>
    </row>
    <row r="15317" spans="1:6" x14ac:dyDescent="0.25">
      <c r="A15317" t="str">
        <f>"200002603"</f>
        <v>200002603</v>
      </c>
      <c r="B15317" t="str">
        <f>"1144940172"</f>
        <v>1144940172</v>
      </c>
      <c r="C15317" t="str">
        <f>"363L00000X"</f>
        <v>363L00000X</v>
      </c>
      <c r="D15317" t="str">
        <f>"MORRIS                   RAEGAN                   "</f>
        <v xml:space="preserve">MORRIS                   RAEGAN                   </v>
      </c>
      <c r="E15317" t="str">
        <f>"JACKSON                   "</f>
        <v xml:space="preserve">JACKSON                   </v>
      </c>
      <c r="F15317" t="str">
        <f t="shared" si="390"/>
        <v>MS</v>
      </c>
    </row>
    <row r="15318" spans="1:6" x14ac:dyDescent="0.25">
      <c r="A15318" t="str">
        <f>"200002615"</f>
        <v>200002615</v>
      </c>
      <c r="B15318" t="str">
        <f>"1457924961"</f>
        <v>1457924961</v>
      </c>
      <c r="C15318" t="str">
        <f>"363L00000X"</f>
        <v>363L00000X</v>
      </c>
      <c r="D15318" t="str">
        <f>"SAULS                    BONNIE                   "</f>
        <v xml:space="preserve">SAULS                    BONNIE                   </v>
      </c>
      <c r="E15318" t="str">
        <f>"SOUTHAVEN                 "</f>
        <v xml:space="preserve">SOUTHAVEN                 </v>
      </c>
      <c r="F15318" t="str">
        <f t="shared" si="390"/>
        <v>MS</v>
      </c>
    </row>
    <row r="15319" spans="1:6" x14ac:dyDescent="0.25">
      <c r="A15319" t="str">
        <f>"200002619"</f>
        <v>200002619</v>
      </c>
      <c r="B15319" t="str">
        <f>"1457991051"</f>
        <v>1457991051</v>
      </c>
      <c r="C15319" t="str">
        <f>"363L00000X"</f>
        <v>363L00000X</v>
      </c>
      <c r="D15319" t="str">
        <f>"DAVIS-YOUNG              SANDRA                   "</f>
        <v xml:space="preserve">DAVIS-YOUNG              SANDRA                   </v>
      </c>
      <c r="E15319" t="str">
        <f>"OLIVE BRANCH              "</f>
        <v xml:space="preserve">OLIVE BRANCH              </v>
      </c>
      <c r="F15319" t="str">
        <f t="shared" si="390"/>
        <v>MS</v>
      </c>
    </row>
    <row r="15320" spans="1:6" x14ac:dyDescent="0.25">
      <c r="A15320" t="str">
        <f>"200002640"</f>
        <v>200002640</v>
      </c>
      <c r="B15320" t="str">
        <f>"1861603003"</f>
        <v>1861603003</v>
      </c>
      <c r="C15320" t="str">
        <f>"122300000X"</f>
        <v>122300000X</v>
      </c>
      <c r="D15320" t="str">
        <f>"PACE                     JOYCE                    "</f>
        <v xml:space="preserve">PACE                     JOYCE                    </v>
      </c>
      <c r="E15320" t="str">
        <f>"LEXINGTON                 "</f>
        <v xml:space="preserve">LEXINGTON                 </v>
      </c>
      <c r="F15320" t="str">
        <f t="shared" si="390"/>
        <v>MS</v>
      </c>
    </row>
    <row r="15321" spans="1:6" x14ac:dyDescent="0.25">
      <c r="A15321" t="str">
        <f>"200002641"</f>
        <v>200002641</v>
      </c>
      <c r="B15321" t="str">
        <f>"1457849796"</f>
        <v>1457849796</v>
      </c>
      <c r="C15321" t="str">
        <f>"207P00000X"</f>
        <v>207P00000X</v>
      </c>
      <c r="D15321" t="str">
        <f>"FERREE                   DARREN                   "</f>
        <v xml:space="preserve">FERREE                   DARREN                   </v>
      </c>
      <c r="E15321" t="str">
        <f>"CORINTH                   "</f>
        <v xml:space="preserve">CORINTH                   </v>
      </c>
      <c r="F15321" t="str">
        <f t="shared" si="390"/>
        <v>MS</v>
      </c>
    </row>
    <row r="15322" spans="1:6" x14ac:dyDescent="0.25">
      <c r="A15322" t="str">
        <f>"200002651"</f>
        <v>200002651</v>
      </c>
      <c r="B15322" t="str">
        <f>"1447928148"</f>
        <v>1447928148</v>
      </c>
      <c r="C15322" t="str">
        <f>"363L00000X"</f>
        <v>363L00000X</v>
      </c>
      <c r="D15322" t="str">
        <f>"WILLIAMS                 VALINA                   "</f>
        <v xml:space="preserve">WILLIAMS                 VALINA                   </v>
      </c>
      <c r="E15322" t="str">
        <f>"GREENVILLE                "</f>
        <v xml:space="preserve">GREENVILLE                </v>
      </c>
      <c r="F15322" t="str">
        <f t="shared" si="390"/>
        <v>MS</v>
      </c>
    </row>
    <row r="15323" spans="1:6" x14ac:dyDescent="0.25">
      <c r="A15323" t="str">
        <f>"200002668"</f>
        <v>200002668</v>
      </c>
      <c r="B15323" t="str">
        <f>"1356926364"</f>
        <v>1356926364</v>
      </c>
      <c r="C15323" t="str">
        <f>"207L00000X"</f>
        <v>207L00000X</v>
      </c>
      <c r="D15323" t="str">
        <f>"FARHAT                   BASSAM                   "</f>
        <v xml:space="preserve">FARHAT                   BASSAM                   </v>
      </c>
      <c r="E15323" t="str">
        <f>"JACKSON                   "</f>
        <v xml:space="preserve">JACKSON                   </v>
      </c>
      <c r="F15323" t="str">
        <f t="shared" si="390"/>
        <v>MS</v>
      </c>
    </row>
    <row r="15324" spans="1:6" x14ac:dyDescent="0.25">
      <c r="A15324" t="str">
        <f>"200002675"</f>
        <v>200002675</v>
      </c>
      <c r="B15324" t="str">
        <f>"1518674696"</f>
        <v>1518674696</v>
      </c>
      <c r="C15324" t="str">
        <f>"363L00000X"</f>
        <v>363L00000X</v>
      </c>
      <c r="D15324" t="str">
        <f>"PHAM                     HANH                     "</f>
        <v xml:space="preserve">PHAM                     HANH                     </v>
      </c>
      <c r="E15324" t="str">
        <f>"OLIVE BRANCH              "</f>
        <v xml:space="preserve">OLIVE BRANCH              </v>
      </c>
      <c r="F15324" t="str">
        <f t="shared" si="390"/>
        <v>MS</v>
      </c>
    </row>
    <row r="15325" spans="1:6" x14ac:dyDescent="0.25">
      <c r="A15325" t="str">
        <f>"200002679"</f>
        <v>200002679</v>
      </c>
      <c r="B15325" t="str">
        <f>"1487628236"</f>
        <v>1487628236</v>
      </c>
      <c r="C15325" t="str">
        <f>"207XS0106X"</f>
        <v>207XS0106X</v>
      </c>
      <c r="D15325" t="str">
        <f>"DODSON                   MARK         A           "</f>
        <v xml:space="preserve">DODSON                   MARK         A           </v>
      </c>
      <c r="E15325" t="str">
        <f>"JACKSON                   "</f>
        <v xml:space="preserve">JACKSON                   </v>
      </c>
      <c r="F15325" t="str">
        <f t="shared" si="390"/>
        <v>MS</v>
      </c>
    </row>
    <row r="15326" spans="1:6" x14ac:dyDescent="0.25">
      <c r="A15326" t="str">
        <f>"200002687"</f>
        <v>200002687</v>
      </c>
      <c r="B15326" t="str">
        <f>"1790359966"</f>
        <v>1790359966</v>
      </c>
      <c r="C15326" t="str">
        <f>"261QF0400X"</f>
        <v>261QF0400X</v>
      </c>
      <c r="D15326" t="str">
        <f>"SOUTHEAST MISSISSIPPI RURAL HEALTH INITIATIVE INC."</f>
        <v>SOUTHEAST MISSISSIPPI RURAL HEALTH INITIATIVE INC.</v>
      </c>
      <c r="E15326" t="str">
        <f>"HATTIESBURG               "</f>
        <v xml:space="preserve">HATTIESBURG               </v>
      </c>
      <c r="F15326" t="str">
        <f t="shared" si="390"/>
        <v>MS</v>
      </c>
    </row>
    <row r="15327" spans="1:6" x14ac:dyDescent="0.25">
      <c r="A15327" t="str">
        <f>"200002688"</f>
        <v>200002688</v>
      </c>
      <c r="B15327" t="str">
        <f>"1740636729"</f>
        <v>1740636729</v>
      </c>
      <c r="C15327" t="str">
        <f>"207RI0011X"</f>
        <v>207RI0011X</v>
      </c>
      <c r="D15327" t="str">
        <f>"LATHAM                   SAMUEL                   "</f>
        <v xml:space="preserve">LATHAM                   SAMUEL                   </v>
      </c>
      <c r="E15327" t="str">
        <f>"OXFORD                    "</f>
        <v xml:space="preserve">OXFORD                    </v>
      </c>
      <c r="F15327" t="str">
        <f t="shared" si="390"/>
        <v>MS</v>
      </c>
    </row>
    <row r="15328" spans="1:6" x14ac:dyDescent="0.25">
      <c r="A15328" t="str">
        <f>"200002690"</f>
        <v>200002690</v>
      </c>
      <c r="B15328" t="str">
        <f>"1265146419"</f>
        <v>1265146419</v>
      </c>
      <c r="C15328" t="str">
        <f>"367500000X"</f>
        <v>367500000X</v>
      </c>
      <c r="D15328" t="str">
        <f>"BAILEY                   JAMES                    "</f>
        <v xml:space="preserve">BAILEY                   JAMES                    </v>
      </c>
      <c r="E15328" t="str">
        <f>"NEW ALBANY                "</f>
        <v xml:space="preserve">NEW ALBANY                </v>
      </c>
      <c r="F15328" t="str">
        <f t="shared" si="390"/>
        <v>MS</v>
      </c>
    </row>
    <row r="15329" spans="1:6" x14ac:dyDescent="0.25">
      <c r="A15329" t="str">
        <f>"200002700"</f>
        <v>200002700</v>
      </c>
      <c r="B15329" t="str">
        <f>"1215022470"</f>
        <v>1215022470</v>
      </c>
      <c r="C15329" t="str">
        <f>"207P00000X"</f>
        <v>207P00000X</v>
      </c>
      <c r="D15329" t="str">
        <f>"CANTRELL, III            JOHN         A           "</f>
        <v xml:space="preserve">CANTRELL, III            JOHN         A           </v>
      </c>
      <c r="E15329" t="str">
        <f>"STARKVILLE                "</f>
        <v xml:space="preserve">STARKVILLE                </v>
      </c>
      <c r="F15329" t="str">
        <f t="shared" si="390"/>
        <v>MS</v>
      </c>
    </row>
    <row r="15330" spans="1:6" x14ac:dyDescent="0.25">
      <c r="A15330" t="str">
        <f>"200002702"</f>
        <v>200002702</v>
      </c>
      <c r="B15330" t="str">
        <f>"1215635834"</f>
        <v>1215635834</v>
      </c>
      <c r="C15330" t="str">
        <f>"363L00000X"</f>
        <v>363L00000X</v>
      </c>
      <c r="D15330" t="str">
        <f>"WATSON                   JESSIE                   "</f>
        <v xml:space="preserve">WATSON                   JESSIE                   </v>
      </c>
      <c r="E15330" t="str">
        <f>"ELLISVILLE                "</f>
        <v xml:space="preserve">ELLISVILLE                </v>
      </c>
      <c r="F15330" t="str">
        <f t="shared" si="390"/>
        <v>MS</v>
      </c>
    </row>
    <row r="15331" spans="1:6" x14ac:dyDescent="0.25">
      <c r="A15331" t="str">
        <f>"200002709"</f>
        <v>200002709</v>
      </c>
      <c r="B15331" t="str">
        <f>"1245945492"</f>
        <v>1245945492</v>
      </c>
      <c r="C15331" t="str">
        <f>"367500000X"</f>
        <v>367500000X</v>
      </c>
      <c r="D15331" t="str">
        <f>"BEECH                    KAYLA                    "</f>
        <v xml:space="preserve">BEECH                    KAYLA                    </v>
      </c>
      <c r="E15331" t="str">
        <f>"MERIDIAN                  "</f>
        <v xml:space="preserve">MERIDIAN                  </v>
      </c>
      <c r="F15331" t="str">
        <f t="shared" si="390"/>
        <v>MS</v>
      </c>
    </row>
    <row r="15332" spans="1:6" x14ac:dyDescent="0.25">
      <c r="A15332" t="str">
        <f>"200002715"</f>
        <v>200002715</v>
      </c>
      <c r="B15332" t="str">
        <f>"1922711944"</f>
        <v>1922711944</v>
      </c>
      <c r="C15332" t="str">
        <f>"363A00000X"</f>
        <v>363A00000X</v>
      </c>
      <c r="D15332" t="str">
        <f>"IRBY                     CAROLINE                 "</f>
        <v xml:space="preserve">IRBY                     CAROLINE                 </v>
      </c>
      <c r="E15332" t="str">
        <f>"JACKSON                   "</f>
        <v xml:space="preserve">JACKSON                   </v>
      </c>
      <c r="F15332" t="str">
        <f t="shared" si="390"/>
        <v>MS</v>
      </c>
    </row>
    <row r="15333" spans="1:6" x14ac:dyDescent="0.25">
      <c r="A15333" t="str">
        <f>"200002720"</f>
        <v>200002720</v>
      </c>
      <c r="B15333" t="str">
        <f>"1528015609"</f>
        <v>1528015609</v>
      </c>
      <c r="C15333" t="str">
        <f>"207L00000X"</f>
        <v>207L00000X</v>
      </c>
      <c r="D15333" t="str">
        <f>"GENTRY                   WILLIAM                  "</f>
        <v xml:space="preserve">GENTRY                   WILLIAM                  </v>
      </c>
      <c r="E15333" t="str">
        <f>"JACKSON                   "</f>
        <v xml:space="preserve">JACKSON                   </v>
      </c>
      <c r="F15333" t="str">
        <f t="shared" si="390"/>
        <v>MS</v>
      </c>
    </row>
    <row r="15334" spans="1:6" x14ac:dyDescent="0.25">
      <c r="A15334" t="str">
        <f>"200002724"</f>
        <v>200002724</v>
      </c>
      <c r="B15334" t="str">
        <f>"1255387544"</f>
        <v>1255387544</v>
      </c>
      <c r="C15334" t="str">
        <f>"207P00000X"</f>
        <v>207P00000X</v>
      </c>
      <c r="D15334" t="str">
        <f>"MCKENZIE                 TRINITY                  "</f>
        <v xml:space="preserve">MCKENZIE                 TRINITY                  </v>
      </c>
      <c r="E15334" t="str">
        <f>"HAZLEHURST                "</f>
        <v xml:space="preserve">HAZLEHURST                </v>
      </c>
      <c r="F15334" t="str">
        <f t="shared" si="390"/>
        <v>MS</v>
      </c>
    </row>
    <row r="15335" spans="1:6" x14ac:dyDescent="0.25">
      <c r="A15335" t="str">
        <f>"200002734"</f>
        <v>200002734</v>
      </c>
      <c r="B15335" t="str">
        <f>"1710515127"</f>
        <v>1710515127</v>
      </c>
      <c r="C15335" t="str">
        <f>"207P00000X"</f>
        <v>207P00000X</v>
      </c>
      <c r="D15335" t="str">
        <f>"GARZA                    ANDREW                   "</f>
        <v xml:space="preserve">GARZA                    ANDREW                   </v>
      </c>
      <c r="E15335" t="str">
        <f>"JACKSON                   "</f>
        <v xml:space="preserve">JACKSON                   </v>
      </c>
      <c r="F15335" t="str">
        <f t="shared" si="390"/>
        <v>MS</v>
      </c>
    </row>
    <row r="15336" spans="1:6" x14ac:dyDescent="0.25">
      <c r="A15336" t="str">
        <f>"200002739"</f>
        <v>200002739</v>
      </c>
      <c r="B15336" t="str">
        <f>"1134841943"</f>
        <v>1134841943</v>
      </c>
      <c r="C15336" t="str">
        <f>"363L00000X"</f>
        <v>363L00000X</v>
      </c>
      <c r="D15336" t="str">
        <f>"CLARK                    CODY                     "</f>
        <v xml:space="preserve">CLARK                    CODY                     </v>
      </c>
      <c r="E15336" t="str">
        <f>"SOUTHAVEN                 "</f>
        <v xml:space="preserve">SOUTHAVEN                 </v>
      </c>
      <c r="F15336" t="str">
        <f t="shared" si="390"/>
        <v>MS</v>
      </c>
    </row>
    <row r="15337" spans="1:6" x14ac:dyDescent="0.25">
      <c r="A15337" t="str">
        <f>"200002740"</f>
        <v>200002740</v>
      </c>
      <c r="B15337" t="str">
        <f>"1982923942"</f>
        <v>1982923942</v>
      </c>
      <c r="C15337" t="str">
        <f>"363L00000X"</f>
        <v>363L00000X</v>
      </c>
      <c r="D15337" t="str">
        <f>"BLAKLEY                  MONICA                   "</f>
        <v xml:space="preserve">BLAKLEY                  MONICA                   </v>
      </c>
      <c r="E15337" t="str">
        <f>"MENDENHALL                "</f>
        <v xml:space="preserve">MENDENHALL                </v>
      </c>
      <c r="F15337" t="str">
        <f t="shared" si="390"/>
        <v>MS</v>
      </c>
    </row>
    <row r="15338" spans="1:6" x14ac:dyDescent="0.25">
      <c r="A15338" t="str">
        <f>"200002750"</f>
        <v>200002750</v>
      </c>
      <c r="B15338" t="str">
        <f>"1053884106"</f>
        <v>1053884106</v>
      </c>
      <c r="C15338" t="str">
        <f>"363L00000X"</f>
        <v>363L00000X</v>
      </c>
      <c r="D15338" t="str">
        <f>"PICKENS                  JENNIFER                 "</f>
        <v xml:space="preserve">PICKENS                  JENNIFER                 </v>
      </c>
      <c r="E15338" t="str">
        <f>"TUPELO                    "</f>
        <v xml:space="preserve">TUPELO                    </v>
      </c>
      <c r="F15338" t="str">
        <f t="shared" si="390"/>
        <v>MS</v>
      </c>
    </row>
    <row r="15339" spans="1:6" x14ac:dyDescent="0.25">
      <c r="A15339" t="str">
        <f>"200002761"</f>
        <v>200002761</v>
      </c>
      <c r="B15339" t="str">
        <f>"1649478264"</f>
        <v>1649478264</v>
      </c>
      <c r="C15339" t="str">
        <f>"207L00000X"</f>
        <v>207L00000X</v>
      </c>
      <c r="D15339" t="str">
        <f>"CURLEY                   ELIZABETH    D           "</f>
        <v xml:space="preserve">CURLEY                   ELIZABETH    D           </v>
      </c>
      <c r="E15339" t="str">
        <f>"JACKSON                   "</f>
        <v xml:space="preserve">JACKSON                   </v>
      </c>
      <c r="F15339" t="str">
        <f t="shared" si="390"/>
        <v>MS</v>
      </c>
    </row>
    <row r="15340" spans="1:6" x14ac:dyDescent="0.25">
      <c r="A15340" t="str">
        <f>"200002769"</f>
        <v>200002769</v>
      </c>
      <c r="B15340" t="str">
        <f>"1497328736"</f>
        <v>1497328736</v>
      </c>
      <c r="C15340" t="str">
        <f>"152W00000X"</f>
        <v>152W00000X</v>
      </c>
      <c r="D15340" t="str">
        <f>"HIMALI                   PATEL                    "</f>
        <v xml:space="preserve">HIMALI                   PATEL                    </v>
      </c>
      <c r="E15340" t="str">
        <f>"LAUREL                    "</f>
        <v xml:space="preserve">LAUREL                    </v>
      </c>
      <c r="F15340" t="str">
        <f t="shared" si="390"/>
        <v>MS</v>
      </c>
    </row>
    <row r="15341" spans="1:6" x14ac:dyDescent="0.25">
      <c r="A15341" t="str">
        <f>"200002779"</f>
        <v>200002779</v>
      </c>
      <c r="B15341" t="str">
        <f>"1508470865"</f>
        <v>1508470865</v>
      </c>
      <c r="C15341" t="str">
        <f>"363L00000X"</f>
        <v>363L00000X</v>
      </c>
      <c r="D15341" t="str">
        <f>"MCNEAL                   AMBER                    "</f>
        <v xml:space="preserve">MCNEAL                   AMBER                    </v>
      </c>
      <c r="E15341" t="str">
        <f>"CLARKSDALE                "</f>
        <v xml:space="preserve">CLARKSDALE                </v>
      </c>
      <c r="F15341" t="str">
        <f t="shared" si="390"/>
        <v>MS</v>
      </c>
    </row>
    <row r="15342" spans="1:6" x14ac:dyDescent="0.25">
      <c r="A15342" t="str">
        <f>"200002780"</f>
        <v>200002780</v>
      </c>
      <c r="B15342" t="str">
        <f>"1851029409"</f>
        <v>1851029409</v>
      </c>
      <c r="C15342" t="str">
        <f>"363L00000X"</f>
        <v>363L00000X</v>
      </c>
      <c r="D15342" t="str">
        <f>"JONES                    KATHERINE                "</f>
        <v xml:space="preserve">JONES                    KATHERINE                </v>
      </c>
      <c r="E15342" t="str">
        <f>"MANTACHIE                 "</f>
        <v xml:space="preserve">MANTACHIE                 </v>
      </c>
      <c r="F15342" t="str">
        <f t="shared" si="390"/>
        <v>MS</v>
      </c>
    </row>
    <row r="15343" spans="1:6" x14ac:dyDescent="0.25">
      <c r="A15343" t="str">
        <f>"200002781"</f>
        <v>200002781</v>
      </c>
      <c r="B15343" t="str">
        <f>"1508278912"</f>
        <v>1508278912</v>
      </c>
      <c r="C15343" t="str">
        <f>"207RH0003X"</f>
        <v>207RH0003X</v>
      </c>
      <c r="D15343" t="str">
        <f>"SHAHIN                   GEORGE                   "</f>
        <v xml:space="preserve">SHAHIN                   GEORGE                   </v>
      </c>
      <c r="E15343" t="str">
        <f>"PASCAGOULA                "</f>
        <v xml:space="preserve">PASCAGOULA                </v>
      </c>
      <c r="F15343" t="str">
        <f t="shared" si="390"/>
        <v>MS</v>
      </c>
    </row>
    <row r="15344" spans="1:6" x14ac:dyDescent="0.25">
      <c r="A15344" t="str">
        <f>"200002787"</f>
        <v>200002787</v>
      </c>
      <c r="B15344" t="str">
        <f>"1205548229"</f>
        <v>1205548229</v>
      </c>
      <c r="C15344" t="str">
        <f>"363L00000X"</f>
        <v>363L00000X</v>
      </c>
      <c r="D15344" t="str">
        <f>"LANG                     TONJIA                   "</f>
        <v xml:space="preserve">LANG                     TONJIA                   </v>
      </c>
      <c r="E15344" t="str">
        <f>"BROOKHAVEN                "</f>
        <v xml:space="preserve">BROOKHAVEN                </v>
      </c>
      <c r="F15344" t="str">
        <f t="shared" si="390"/>
        <v>MS</v>
      </c>
    </row>
    <row r="15345" spans="1:6" x14ac:dyDescent="0.25">
      <c r="A15345" t="str">
        <f>"200002800"</f>
        <v>200002800</v>
      </c>
      <c r="B15345" t="str">
        <f>"1598414765"</f>
        <v>1598414765</v>
      </c>
      <c r="C15345" t="str">
        <f>"363L00000X"</f>
        <v>363L00000X</v>
      </c>
      <c r="D15345" t="str">
        <f>"MIZE                     LAUREN                   "</f>
        <v xml:space="preserve">MIZE                     LAUREN                   </v>
      </c>
      <c r="E15345" t="str">
        <f>"FLOWOOD                   "</f>
        <v xml:space="preserve">FLOWOOD                   </v>
      </c>
      <c r="F15345" t="str">
        <f t="shared" si="390"/>
        <v>MS</v>
      </c>
    </row>
    <row r="15346" spans="1:6" x14ac:dyDescent="0.25">
      <c r="A15346" t="str">
        <f>"200002804"</f>
        <v>200002804</v>
      </c>
      <c r="B15346" t="str">
        <f>"1114680923"</f>
        <v>1114680923</v>
      </c>
      <c r="C15346" t="str">
        <f>"261QR1300X"</f>
        <v>261QR1300X</v>
      </c>
      <c r="D15346" t="str">
        <f>"MRH MEDICAL GROUP, RICE FAMILY MEDICAL CLINIC     "</f>
        <v xml:space="preserve">MRH MEDICAL GROUP, RICE FAMILY MEDICAL CLINIC     </v>
      </c>
      <c r="E15346" t="str">
        <f>"CALHOUN CITY              "</f>
        <v xml:space="preserve">CALHOUN CITY              </v>
      </c>
      <c r="F15346" t="str">
        <f t="shared" si="390"/>
        <v>MS</v>
      </c>
    </row>
    <row r="15347" spans="1:6" x14ac:dyDescent="0.25">
      <c r="A15347" t="str">
        <f>"200002807"</f>
        <v>200002807</v>
      </c>
      <c r="B15347" t="str">
        <f>"1104559806"</f>
        <v>1104559806</v>
      </c>
      <c r="C15347" t="str">
        <f>"261QR1300X"</f>
        <v>261QR1300X</v>
      </c>
      <c r="D15347" t="str">
        <f>"URGENT TEAM                                       "</f>
        <v xml:space="preserve">URGENT TEAM                                       </v>
      </c>
      <c r="E15347" t="str">
        <f>"WEST POINT                "</f>
        <v xml:space="preserve">WEST POINT                </v>
      </c>
      <c r="F15347" t="str">
        <f t="shared" si="390"/>
        <v>MS</v>
      </c>
    </row>
    <row r="15348" spans="1:6" x14ac:dyDescent="0.25">
      <c r="A15348" t="str">
        <f>"200002808"</f>
        <v>200002808</v>
      </c>
      <c r="B15348" t="str">
        <f>"1255991899"</f>
        <v>1255991899</v>
      </c>
      <c r="C15348" t="str">
        <f>"207Q00000X"</f>
        <v>207Q00000X</v>
      </c>
      <c r="D15348" t="str">
        <f>"HILLHOUSE                MARIBETH                 "</f>
        <v xml:space="preserve">HILLHOUSE                MARIBETH                 </v>
      </c>
      <c r="E15348" t="str">
        <f>"LOUISVILLE                "</f>
        <v xml:space="preserve">LOUISVILLE                </v>
      </c>
      <c r="F15348" t="str">
        <f t="shared" si="390"/>
        <v>MS</v>
      </c>
    </row>
    <row r="15349" spans="1:6" x14ac:dyDescent="0.25">
      <c r="A15349" t="str">
        <f>"200002811"</f>
        <v>200002811</v>
      </c>
      <c r="B15349" t="str">
        <f>"1316557986"</f>
        <v>1316557986</v>
      </c>
      <c r="C15349" t="str">
        <f>"261QR1300X"</f>
        <v>261QR1300X</v>
      </c>
      <c r="D15349" t="str">
        <f>"149 PEDIATRIC AND FAMILY CLINIC                   "</f>
        <v xml:space="preserve">149 PEDIATRIC AND FAMILY CLINIC                   </v>
      </c>
      <c r="E15349" t="str">
        <f>"MAGEE                     "</f>
        <v xml:space="preserve">MAGEE                     </v>
      </c>
      <c r="F15349" t="str">
        <f t="shared" si="390"/>
        <v>MS</v>
      </c>
    </row>
    <row r="15350" spans="1:6" x14ac:dyDescent="0.25">
      <c r="A15350" t="str">
        <f>"200002812"</f>
        <v>200002812</v>
      </c>
      <c r="B15350" t="str">
        <f>"1073246773"</f>
        <v>1073246773</v>
      </c>
      <c r="C15350" t="str">
        <f>"261QR1300X"</f>
        <v>261QR1300X</v>
      </c>
      <c r="D15350" t="str">
        <f>"URGENT TEAM                                       "</f>
        <v xml:space="preserve">URGENT TEAM                                       </v>
      </c>
      <c r="E15350" t="str">
        <f>"BATESVILLE                "</f>
        <v xml:space="preserve">BATESVILLE                </v>
      </c>
      <c r="F15350" t="str">
        <f t="shared" si="390"/>
        <v>MS</v>
      </c>
    </row>
    <row r="15351" spans="1:6" x14ac:dyDescent="0.25">
      <c r="A15351" t="str">
        <f>"200002813"</f>
        <v>200002813</v>
      </c>
      <c r="B15351" t="str">
        <f>"1356915516"</f>
        <v>1356915516</v>
      </c>
      <c r="C15351" t="str">
        <f>"261QF0400X"</f>
        <v>261QF0400X</v>
      </c>
      <c r="D15351" t="str">
        <f>"SOUTHEAST MISSISSIPPI RURAL HEALTH INITIATIVE INC "</f>
        <v xml:space="preserve">SOUTHEAST MISSISSIPPI RURAL HEALTH INITIATIVE INC </v>
      </c>
      <c r="E15351" t="str">
        <f>"LUMBERTON                 "</f>
        <v xml:space="preserve">LUMBERTON                 </v>
      </c>
      <c r="F15351" t="str">
        <f t="shared" si="390"/>
        <v>MS</v>
      </c>
    </row>
    <row r="15352" spans="1:6" x14ac:dyDescent="0.25">
      <c r="A15352" t="str">
        <f>"200002814"</f>
        <v>200002814</v>
      </c>
      <c r="B15352" t="str">
        <f>"1538836846"</f>
        <v>1538836846</v>
      </c>
      <c r="C15352" t="str">
        <f>"367500000X"</f>
        <v>367500000X</v>
      </c>
      <c r="D15352" t="str">
        <f>"COSTILOW                 CAROLYN      C           "</f>
        <v xml:space="preserve">COSTILOW                 CAROLYN      C           </v>
      </c>
      <c r="E15352" t="str">
        <f>"OXFORD                    "</f>
        <v xml:space="preserve">OXFORD                    </v>
      </c>
      <c r="F15352" t="str">
        <f t="shared" si="390"/>
        <v>MS</v>
      </c>
    </row>
    <row r="15353" spans="1:6" x14ac:dyDescent="0.25">
      <c r="A15353" t="str">
        <f>"200002826"</f>
        <v>200002826</v>
      </c>
      <c r="B15353" t="str">
        <f>"1235843897"</f>
        <v>1235843897</v>
      </c>
      <c r="C15353" t="str">
        <f>"367500000X"</f>
        <v>367500000X</v>
      </c>
      <c r="D15353" t="str">
        <f>"SELF                     MORGAN       E           "</f>
        <v xml:space="preserve">SELF                     MORGAN       E           </v>
      </c>
      <c r="E15353" t="str">
        <f>"JACKSON                   "</f>
        <v xml:space="preserve">JACKSON                   </v>
      </c>
      <c r="F15353" t="str">
        <f t="shared" si="390"/>
        <v>MS</v>
      </c>
    </row>
    <row r="15354" spans="1:6" x14ac:dyDescent="0.25">
      <c r="A15354" t="str">
        <f>"200002831"</f>
        <v>200002831</v>
      </c>
      <c r="B15354" t="str">
        <f>"1407573843"</f>
        <v>1407573843</v>
      </c>
      <c r="C15354" t="str">
        <f>"363L00000X"</f>
        <v>363L00000X</v>
      </c>
      <c r="D15354" t="str">
        <f>"SHELTON                  IVEY                     "</f>
        <v xml:space="preserve">SHELTON                  IVEY                     </v>
      </c>
      <c r="E15354" t="str">
        <f>"MADISON                   "</f>
        <v xml:space="preserve">MADISON                   </v>
      </c>
      <c r="F15354" t="str">
        <f t="shared" si="390"/>
        <v>MS</v>
      </c>
    </row>
    <row r="15355" spans="1:6" x14ac:dyDescent="0.25">
      <c r="A15355" t="str">
        <f>"200002833"</f>
        <v>200002833</v>
      </c>
      <c r="B15355" t="str">
        <f>"1841927373"</f>
        <v>1841927373</v>
      </c>
      <c r="C15355" t="str">
        <f>"363L00000X"</f>
        <v>363L00000X</v>
      </c>
      <c r="D15355" t="str">
        <f>"LAMPKIN                  SANDRA                   "</f>
        <v xml:space="preserve">LAMPKIN                  SANDRA                   </v>
      </c>
      <c r="E15355" t="str">
        <f>"JACKSON                   "</f>
        <v xml:space="preserve">JACKSON                   </v>
      </c>
      <c r="F15355" t="str">
        <f t="shared" si="390"/>
        <v>MS</v>
      </c>
    </row>
    <row r="15356" spans="1:6" x14ac:dyDescent="0.25">
      <c r="A15356" t="str">
        <f>"200002835"</f>
        <v>200002835</v>
      </c>
      <c r="B15356" t="str">
        <f>"1386303964"</f>
        <v>1386303964</v>
      </c>
      <c r="C15356" t="str">
        <f>"363L00000X"</f>
        <v>363L00000X</v>
      </c>
      <c r="D15356" t="str">
        <f>"GRAYSON                  NACARA                   "</f>
        <v xml:space="preserve">GRAYSON                  NACARA                   </v>
      </c>
      <c r="E15356" t="str">
        <f>"MERIDIAN                  "</f>
        <v xml:space="preserve">MERIDIAN                  </v>
      </c>
      <c r="F15356" t="str">
        <f t="shared" si="390"/>
        <v>MS</v>
      </c>
    </row>
    <row r="15357" spans="1:6" x14ac:dyDescent="0.25">
      <c r="A15357" t="str">
        <f>"200002836"</f>
        <v>200002836</v>
      </c>
      <c r="B15357" t="str">
        <f>"1720211675"</f>
        <v>1720211675</v>
      </c>
      <c r="C15357" t="str">
        <f>"207R00000X"</f>
        <v>207R00000X</v>
      </c>
      <c r="D15357" t="str">
        <f>"AL-FAKHOURI              AHMAD                    "</f>
        <v xml:space="preserve">AL-FAKHOURI              AHMAD                    </v>
      </c>
      <c r="E15357" t="str">
        <f>"HATTIESBURG               "</f>
        <v xml:space="preserve">HATTIESBURG               </v>
      </c>
      <c r="F15357" t="str">
        <f t="shared" si="390"/>
        <v>MS</v>
      </c>
    </row>
    <row r="15358" spans="1:6" x14ac:dyDescent="0.25">
      <c r="A15358" t="str">
        <f>"200002841"</f>
        <v>200002841</v>
      </c>
      <c r="B15358" t="str">
        <f>"1962076133"</f>
        <v>1962076133</v>
      </c>
      <c r="C15358" t="str">
        <f>"261QF0400X"</f>
        <v>261QF0400X</v>
      </c>
      <c r="D15358" t="str">
        <f>"SOUTHEAST MISSISSIPPI RURAL HEALTH INITIATIVE INC "</f>
        <v xml:space="preserve">SOUTHEAST MISSISSIPPI RURAL HEALTH INITIATIVE INC </v>
      </c>
      <c r="E15358" t="str">
        <f>"HATTIESBURG               "</f>
        <v xml:space="preserve">HATTIESBURG               </v>
      </c>
      <c r="F15358" t="str">
        <f t="shared" ref="F15358:F15421" si="391">"MS"</f>
        <v>MS</v>
      </c>
    </row>
    <row r="15359" spans="1:6" x14ac:dyDescent="0.25">
      <c r="A15359" t="str">
        <f>"200002845"</f>
        <v>200002845</v>
      </c>
      <c r="B15359" t="str">
        <f>"1942810569"</f>
        <v>1942810569</v>
      </c>
      <c r="C15359" t="str">
        <f>"363L00000X"</f>
        <v>363L00000X</v>
      </c>
      <c r="D15359" t="str">
        <f>"WILLIAMS                 ERICKA       M           "</f>
        <v xml:space="preserve">WILLIAMS                 ERICKA       M           </v>
      </c>
      <c r="E15359" t="str">
        <f>"BALDWYN                   "</f>
        <v xml:space="preserve">BALDWYN                   </v>
      </c>
      <c r="F15359" t="str">
        <f t="shared" si="391"/>
        <v>MS</v>
      </c>
    </row>
    <row r="15360" spans="1:6" x14ac:dyDescent="0.25">
      <c r="A15360" t="str">
        <f>"200002850"</f>
        <v>200002850</v>
      </c>
      <c r="B15360" t="str">
        <f>"1114421021"</f>
        <v>1114421021</v>
      </c>
      <c r="C15360" t="str">
        <f>"261QM1300X"</f>
        <v>261QM1300X</v>
      </c>
      <c r="D15360" t="str">
        <f>"MAGNOLIA MEDICAL FOUNDATION                       "</f>
        <v xml:space="preserve">MAGNOLIA MEDICAL FOUNDATION                       </v>
      </c>
      <c r="E15360" t="str">
        <f>"JACKSON                   "</f>
        <v xml:space="preserve">JACKSON                   </v>
      </c>
      <c r="F15360" t="str">
        <f t="shared" si="391"/>
        <v>MS</v>
      </c>
    </row>
    <row r="15361" spans="1:6" x14ac:dyDescent="0.25">
      <c r="A15361" t="str">
        <f>"200002852"</f>
        <v>200002852</v>
      </c>
      <c r="B15361" t="str">
        <f>"1467177683"</f>
        <v>1467177683</v>
      </c>
      <c r="C15361" t="str">
        <f>"261QR1300X"</f>
        <v>261QR1300X</v>
      </c>
      <c r="D15361" t="str">
        <f>"ALTHEACARE LLC                                    "</f>
        <v xml:space="preserve">ALTHEACARE LLC                                    </v>
      </c>
      <c r="E15361" t="str">
        <f>"VARDAMAN                  "</f>
        <v xml:space="preserve">VARDAMAN                  </v>
      </c>
      <c r="F15361" t="str">
        <f t="shared" si="391"/>
        <v>MS</v>
      </c>
    </row>
    <row r="15362" spans="1:6" x14ac:dyDescent="0.25">
      <c r="A15362" t="str">
        <f>"200002855"</f>
        <v>200002855</v>
      </c>
      <c r="B15362" t="str">
        <f>"1013640713"</f>
        <v>1013640713</v>
      </c>
      <c r="C15362" t="str">
        <f>"261QR1300X"</f>
        <v>261QR1300X</v>
      </c>
      <c r="D15362" t="str">
        <f>"GOLDEN TRIANGLE URGENT TEAM, LLC                  "</f>
        <v xml:space="preserve">GOLDEN TRIANGLE URGENT TEAM, LLC                  </v>
      </c>
      <c r="E15362" t="str">
        <f>"SALTILLO                  "</f>
        <v xml:space="preserve">SALTILLO                  </v>
      </c>
      <c r="F15362" t="str">
        <f t="shared" si="391"/>
        <v>MS</v>
      </c>
    </row>
    <row r="15363" spans="1:6" x14ac:dyDescent="0.25">
      <c r="A15363" t="str">
        <f>"200002858"</f>
        <v>200002858</v>
      </c>
      <c r="B15363" t="str">
        <f>"1003480278"</f>
        <v>1003480278</v>
      </c>
      <c r="C15363" t="str">
        <f>"261QF0400X"</f>
        <v>261QF0400X</v>
      </c>
      <c r="D15363" t="str">
        <f>"SOUTHEAST MISSISSIPPI RURAL HEALTH INITIATIVE INC "</f>
        <v xml:space="preserve">SOUTHEAST MISSISSIPPI RURAL HEALTH INITIATIVE INC </v>
      </c>
      <c r="E15363" t="str">
        <f>"SUMRALL                   "</f>
        <v xml:space="preserve">SUMRALL                   </v>
      </c>
      <c r="F15363" t="str">
        <f t="shared" si="391"/>
        <v>MS</v>
      </c>
    </row>
    <row r="15364" spans="1:6" x14ac:dyDescent="0.25">
      <c r="A15364" t="str">
        <f>"200002862"</f>
        <v>200002862</v>
      </c>
      <c r="B15364" t="str">
        <f>"1578290557"</f>
        <v>1578290557</v>
      </c>
      <c r="C15364" t="str">
        <f>"363L00000X"</f>
        <v>363L00000X</v>
      </c>
      <c r="D15364" t="str">
        <f>"MALONEY                  JACOB                    "</f>
        <v xml:space="preserve">MALONEY                  JACOB                    </v>
      </c>
      <c r="E15364" t="str">
        <f>"FLOWOOD                   "</f>
        <v xml:space="preserve">FLOWOOD                   </v>
      </c>
      <c r="F15364" t="str">
        <f t="shared" si="391"/>
        <v>MS</v>
      </c>
    </row>
    <row r="15365" spans="1:6" x14ac:dyDescent="0.25">
      <c r="A15365" t="str">
        <f>"200002866"</f>
        <v>200002866</v>
      </c>
      <c r="B15365" t="str">
        <f>"1588393276"</f>
        <v>1588393276</v>
      </c>
      <c r="C15365" t="str">
        <f>"363L00000X"</f>
        <v>363L00000X</v>
      </c>
      <c r="D15365" t="str">
        <f>"CARTER                   JERIKIA                  "</f>
        <v xml:space="preserve">CARTER                   JERIKIA                  </v>
      </c>
      <c r="E15365" t="str">
        <f>"MCCOMB                    "</f>
        <v xml:space="preserve">MCCOMB                    </v>
      </c>
      <c r="F15365" t="str">
        <f t="shared" si="391"/>
        <v>MS</v>
      </c>
    </row>
    <row r="15366" spans="1:6" x14ac:dyDescent="0.25">
      <c r="A15366" t="str">
        <f>"200002870"</f>
        <v>200002870</v>
      </c>
      <c r="B15366" t="str">
        <f>"1285815589"</f>
        <v>1285815589</v>
      </c>
      <c r="C15366" t="str">
        <f>"122300000X"</f>
        <v>122300000X</v>
      </c>
      <c r="D15366" t="str">
        <f>"KEELER                   GARY                     "</f>
        <v xml:space="preserve">KEELER                   GARY                     </v>
      </c>
      <c r="E15366" t="str">
        <f>"JACKSON                   "</f>
        <v xml:space="preserve">JACKSON                   </v>
      </c>
      <c r="F15366" t="str">
        <f t="shared" si="391"/>
        <v>MS</v>
      </c>
    </row>
    <row r="15367" spans="1:6" x14ac:dyDescent="0.25">
      <c r="A15367" t="str">
        <f>"200002875"</f>
        <v>200002875</v>
      </c>
      <c r="B15367" t="str">
        <f>"1437374667"</f>
        <v>1437374667</v>
      </c>
      <c r="C15367" t="str">
        <f>"2085R0202X"</f>
        <v>2085R0202X</v>
      </c>
      <c r="D15367" t="str">
        <f>"DYER                     ANDREW                   "</f>
        <v xml:space="preserve">DYER                     ANDREW                   </v>
      </c>
      <c r="E15367" t="str">
        <f>"OLIVE BRANCH              "</f>
        <v xml:space="preserve">OLIVE BRANCH              </v>
      </c>
      <c r="F15367" t="str">
        <f t="shared" si="391"/>
        <v>MS</v>
      </c>
    </row>
    <row r="15368" spans="1:6" x14ac:dyDescent="0.25">
      <c r="A15368" t="str">
        <f>"200002884"</f>
        <v>200002884</v>
      </c>
      <c r="B15368" t="str">
        <f>"1932460508"</f>
        <v>1932460508</v>
      </c>
      <c r="C15368" t="str">
        <f>"208000000X"</f>
        <v>208000000X</v>
      </c>
      <c r="D15368" t="str">
        <f>"KEELING                  LISA         M           "</f>
        <v xml:space="preserve">KEELING                  LISA         M           </v>
      </c>
      <c r="E15368" t="str">
        <f>"FLOWOOD                   "</f>
        <v xml:space="preserve">FLOWOOD                   </v>
      </c>
      <c r="F15368" t="str">
        <f t="shared" si="391"/>
        <v>MS</v>
      </c>
    </row>
    <row r="15369" spans="1:6" x14ac:dyDescent="0.25">
      <c r="A15369" t="str">
        <f>"200002885"</f>
        <v>200002885</v>
      </c>
      <c r="B15369" t="str">
        <f>"1932460508"</f>
        <v>1932460508</v>
      </c>
      <c r="C15369" t="str">
        <f>"207R00000X"</f>
        <v>207R00000X</v>
      </c>
      <c r="D15369" t="str">
        <f>"KEELING                  LISA         M           "</f>
        <v xml:space="preserve">KEELING                  LISA         M           </v>
      </c>
      <c r="E15369" t="str">
        <f>"FLOWOOD                   "</f>
        <v xml:space="preserve">FLOWOOD                   </v>
      </c>
      <c r="F15369" t="str">
        <f t="shared" si="391"/>
        <v>MS</v>
      </c>
    </row>
    <row r="15370" spans="1:6" x14ac:dyDescent="0.25">
      <c r="A15370" t="str">
        <f>"200002904"</f>
        <v>200002904</v>
      </c>
      <c r="B15370" t="str">
        <f>"1437864303"</f>
        <v>1437864303</v>
      </c>
      <c r="C15370" t="str">
        <f>"367500000X"</f>
        <v>367500000X</v>
      </c>
      <c r="D15370" t="str">
        <f>"CALLOWAY                 DELOREAN                 "</f>
        <v xml:space="preserve">CALLOWAY                 DELOREAN                 </v>
      </c>
      <c r="E15370" t="str">
        <f>"GULFPORT                  "</f>
        <v xml:space="preserve">GULFPORT                  </v>
      </c>
      <c r="F15370" t="str">
        <f t="shared" si="391"/>
        <v>MS</v>
      </c>
    </row>
    <row r="15371" spans="1:6" x14ac:dyDescent="0.25">
      <c r="A15371" t="str">
        <f>"200002908"</f>
        <v>200002908</v>
      </c>
      <c r="B15371" t="str">
        <f>"1578557906"</f>
        <v>1578557906</v>
      </c>
      <c r="C15371" t="str">
        <f>"363L00000X"</f>
        <v>363L00000X</v>
      </c>
      <c r="D15371" t="str">
        <f>"JONES                    ARLAND                   "</f>
        <v xml:space="preserve">JONES                    ARLAND                   </v>
      </c>
      <c r="E15371" t="str">
        <f>"TUPELO                    "</f>
        <v xml:space="preserve">TUPELO                    </v>
      </c>
      <c r="F15371" t="str">
        <f t="shared" si="391"/>
        <v>MS</v>
      </c>
    </row>
    <row r="15372" spans="1:6" x14ac:dyDescent="0.25">
      <c r="A15372" t="str">
        <f>"200002910"</f>
        <v>200002910</v>
      </c>
      <c r="B15372" t="str">
        <f>"1144882473"</f>
        <v>1144882473</v>
      </c>
      <c r="C15372" t="str">
        <f>"207T00000X"</f>
        <v>207T00000X</v>
      </c>
      <c r="D15372" t="str">
        <f>"AMRANI                   YANIS                    "</f>
        <v xml:space="preserve">AMRANI                   YANIS                    </v>
      </c>
      <c r="E15372" t="str">
        <f>"CANTON                    "</f>
        <v xml:space="preserve">CANTON                    </v>
      </c>
      <c r="F15372" t="str">
        <f t="shared" si="391"/>
        <v>MS</v>
      </c>
    </row>
    <row r="15373" spans="1:6" x14ac:dyDescent="0.25">
      <c r="A15373" t="str">
        <f>"200002911"</f>
        <v>200002911</v>
      </c>
      <c r="B15373" t="str">
        <f>"1003515578"</f>
        <v>1003515578</v>
      </c>
      <c r="C15373" t="str">
        <f>"363L00000X"</f>
        <v>363L00000X</v>
      </c>
      <c r="D15373" t="str">
        <f>"STONE                    MICHAELA                 "</f>
        <v xml:space="preserve">STONE                    MICHAELA                 </v>
      </c>
      <c r="E15373" t="str">
        <f>"RULEVILLE                 "</f>
        <v xml:space="preserve">RULEVILLE                 </v>
      </c>
      <c r="F15373" t="str">
        <f t="shared" si="391"/>
        <v>MS</v>
      </c>
    </row>
    <row r="15374" spans="1:6" x14ac:dyDescent="0.25">
      <c r="A15374" t="str">
        <f>"200002918"</f>
        <v>200002918</v>
      </c>
      <c r="B15374" t="str">
        <f>"1154581452"</f>
        <v>1154581452</v>
      </c>
      <c r="C15374" t="str">
        <f>"363L00000X"</f>
        <v>363L00000X</v>
      </c>
      <c r="D15374" t="str">
        <f>"LAYMON                   JOHN                     "</f>
        <v xml:space="preserve">LAYMON                   JOHN                     </v>
      </c>
      <c r="E15374" t="str">
        <f>"RICHLAND                  "</f>
        <v xml:space="preserve">RICHLAND                  </v>
      </c>
      <c r="F15374" t="str">
        <f t="shared" si="391"/>
        <v>MS</v>
      </c>
    </row>
    <row r="15375" spans="1:6" x14ac:dyDescent="0.25">
      <c r="A15375" t="str">
        <f>"200002932"</f>
        <v>200002932</v>
      </c>
      <c r="B15375" t="str">
        <f>"1295187789"</f>
        <v>1295187789</v>
      </c>
      <c r="C15375" t="str">
        <f>"363L00000X"</f>
        <v>363L00000X</v>
      </c>
      <c r="D15375" t="str">
        <f>"WHALEY                   THITIPORN                "</f>
        <v xml:space="preserve">WHALEY                   THITIPORN                </v>
      </c>
      <c r="E15375" t="str">
        <f>"SOUTHAVEN                 "</f>
        <v xml:space="preserve">SOUTHAVEN                 </v>
      </c>
      <c r="F15375" t="str">
        <f t="shared" si="391"/>
        <v>MS</v>
      </c>
    </row>
    <row r="15376" spans="1:6" x14ac:dyDescent="0.25">
      <c r="A15376" t="str">
        <f>"200002938"</f>
        <v>200002938</v>
      </c>
      <c r="B15376" t="str">
        <f>"1912571977"</f>
        <v>1912571977</v>
      </c>
      <c r="C15376" t="str">
        <f>"363L00000X"</f>
        <v>363L00000X</v>
      </c>
      <c r="D15376" t="str">
        <f>"ROBINSON                 TAMMY                    "</f>
        <v xml:space="preserve">ROBINSON                 TAMMY                    </v>
      </c>
      <c r="E15376" t="str">
        <f>"BYRAM                     "</f>
        <v xml:space="preserve">BYRAM                     </v>
      </c>
      <c r="F15376" t="str">
        <f t="shared" si="391"/>
        <v>MS</v>
      </c>
    </row>
    <row r="15377" spans="1:6" x14ac:dyDescent="0.25">
      <c r="A15377" t="str">
        <f>"200002940"</f>
        <v>200002940</v>
      </c>
      <c r="B15377" t="str">
        <f>"1811079544"</f>
        <v>1811079544</v>
      </c>
      <c r="C15377" t="str">
        <f>"363L00000X"</f>
        <v>363L00000X</v>
      </c>
      <c r="D15377" t="str">
        <f>"BAXTER                   DEBRA                    "</f>
        <v xml:space="preserve">BAXTER                   DEBRA                    </v>
      </c>
      <c r="E15377" t="str">
        <f>"FLOWOOD                   "</f>
        <v xml:space="preserve">FLOWOOD                   </v>
      </c>
      <c r="F15377" t="str">
        <f t="shared" si="391"/>
        <v>MS</v>
      </c>
    </row>
    <row r="15378" spans="1:6" x14ac:dyDescent="0.25">
      <c r="A15378" t="str">
        <f>"200002943"</f>
        <v>200002943</v>
      </c>
      <c r="B15378" t="str">
        <f>"1760197958"</f>
        <v>1760197958</v>
      </c>
      <c r="C15378" t="str">
        <f>"363A00000X"</f>
        <v>363A00000X</v>
      </c>
      <c r="D15378" t="str">
        <f>"MANER                    EDWARD                   "</f>
        <v xml:space="preserve">MANER                    EDWARD                   </v>
      </c>
      <c r="E15378" t="str">
        <f>"FOREST                    "</f>
        <v xml:space="preserve">FOREST                    </v>
      </c>
      <c r="F15378" t="str">
        <f t="shared" si="391"/>
        <v>MS</v>
      </c>
    </row>
    <row r="15379" spans="1:6" x14ac:dyDescent="0.25">
      <c r="A15379" t="str">
        <f>"200002944"</f>
        <v>200002944</v>
      </c>
      <c r="B15379" t="str">
        <f>"1205212560"</f>
        <v>1205212560</v>
      </c>
      <c r="C15379" t="str">
        <f>"367500000X"</f>
        <v>367500000X</v>
      </c>
      <c r="D15379" t="str">
        <f>"BAILEY                   BRADLEY                  "</f>
        <v xml:space="preserve">BAILEY                   BRADLEY                  </v>
      </c>
      <c r="E15379" t="str">
        <f>"TUPELO                    "</f>
        <v xml:space="preserve">TUPELO                    </v>
      </c>
      <c r="F15379" t="str">
        <f t="shared" si="391"/>
        <v>MS</v>
      </c>
    </row>
    <row r="15380" spans="1:6" x14ac:dyDescent="0.25">
      <c r="A15380" t="str">
        <f>"200002951"</f>
        <v>200002951</v>
      </c>
      <c r="B15380" t="str">
        <f>"1730892159"</f>
        <v>1730892159</v>
      </c>
      <c r="C15380" t="str">
        <f>"367500000X"</f>
        <v>367500000X</v>
      </c>
      <c r="D15380" t="str">
        <f>"SCHOPP                   KATIE                    "</f>
        <v xml:space="preserve">SCHOPP                   KATIE                    </v>
      </c>
      <c r="E15380" t="str">
        <f>"FLOWOOD                   "</f>
        <v xml:space="preserve">FLOWOOD                   </v>
      </c>
      <c r="F15380" t="str">
        <f t="shared" si="391"/>
        <v>MS</v>
      </c>
    </row>
    <row r="15381" spans="1:6" x14ac:dyDescent="0.25">
      <c r="A15381" t="str">
        <f>"200002980"</f>
        <v>200002980</v>
      </c>
      <c r="B15381" t="str">
        <f>"1508451055"</f>
        <v>1508451055</v>
      </c>
      <c r="C15381" t="str">
        <f>"363LF0000X"</f>
        <v>363LF0000X</v>
      </c>
      <c r="D15381" t="str">
        <f>"BELL                     TAMARA                   "</f>
        <v xml:space="preserve">BELL                     TAMARA                   </v>
      </c>
      <c r="E15381" t="str">
        <f>"MERIDIAN                  "</f>
        <v xml:space="preserve">MERIDIAN                  </v>
      </c>
      <c r="F15381" t="str">
        <f t="shared" si="391"/>
        <v>MS</v>
      </c>
    </row>
    <row r="15382" spans="1:6" x14ac:dyDescent="0.25">
      <c r="A15382" t="str">
        <f>"200002983"</f>
        <v>200002983</v>
      </c>
      <c r="B15382" t="str">
        <f>"1831681345"</f>
        <v>1831681345</v>
      </c>
      <c r="C15382" t="str">
        <f>"363L00000X"</f>
        <v>363L00000X</v>
      </c>
      <c r="D15382" t="str">
        <f>"THOMPSON                 KIMBERLY                 "</f>
        <v xml:space="preserve">THOMPSON                 KIMBERLY                 </v>
      </c>
      <c r="E15382" t="str">
        <f>"JACKSON                   "</f>
        <v xml:space="preserve">JACKSON                   </v>
      </c>
      <c r="F15382" t="str">
        <f t="shared" si="391"/>
        <v>MS</v>
      </c>
    </row>
    <row r="15383" spans="1:6" x14ac:dyDescent="0.25">
      <c r="A15383" t="str">
        <f>"200003008"</f>
        <v>200003008</v>
      </c>
      <c r="B15383" t="str">
        <f>"1154686541"</f>
        <v>1154686541</v>
      </c>
      <c r="C15383" t="str">
        <f>"2084P0800X"</f>
        <v>2084P0800X</v>
      </c>
      <c r="D15383" t="str">
        <f>"TAYLOR                   JARED        K           "</f>
        <v xml:space="preserve">TAYLOR                   JARED        K           </v>
      </c>
      <c r="E15383" t="str">
        <f>"JACKSON                   "</f>
        <v xml:space="preserve">JACKSON                   </v>
      </c>
      <c r="F15383" t="str">
        <f t="shared" si="391"/>
        <v>MS</v>
      </c>
    </row>
    <row r="15384" spans="1:6" x14ac:dyDescent="0.25">
      <c r="A15384" t="str">
        <f>"200003009"</f>
        <v>200003009</v>
      </c>
      <c r="B15384" t="str">
        <f>"1689202251"</f>
        <v>1689202251</v>
      </c>
      <c r="C15384" t="str">
        <f>"207P00000X"</f>
        <v>207P00000X</v>
      </c>
      <c r="D15384" t="str">
        <f>"DESMEDT                  CLEO                     "</f>
        <v xml:space="preserve">DESMEDT                  CLEO                     </v>
      </c>
      <c r="E15384" t="str">
        <f>"BROOKHAVEN                "</f>
        <v xml:space="preserve">BROOKHAVEN                </v>
      </c>
      <c r="F15384" t="str">
        <f t="shared" si="391"/>
        <v>MS</v>
      </c>
    </row>
    <row r="15385" spans="1:6" x14ac:dyDescent="0.25">
      <c r="A15385" t="str">
        <f>"200003018"</f>
        <v>200003018</v>
      </c>
      <c r="B15385" t="str">
        <f>"1013614064"</f>
        <v>1013614064</v>
      </c>
      <c r="C15385" t="str">
        <f>"363L00000X"</f>
        <v>363L00000X</v>
      </c>
      <c r="D15385" t="str">
        <f>"RICOTTA                  DONNA                    "</f>
        <v xml:space="preserve">RICOTTA                  DONNA                    </v>
      </c>
      <c r="E15385" t="str">
        <f>"FLOWOOD                   "</f>
        <v xml:space="preserve">FLOWOOD                   </v>
      </c>
      <c r="F15385" t="str">
        <f t="shared" si="391"/>
        <v>MS</v>
      </c>
    </row>
    <row r="15386" spans="1:6" x14ac:dyDescent="0.25">
      <c r="A15386" t="str">
        <f>"200003019"</f>
        <v>200003019</v>
      </c>
      <c r="B15386" t="str">
        <f>"1790485159"</f>
        <v>1790485159</v>
      </c>
      <c r="C15386" t="str">
        <f>"363L00000X"</f>
        <v>363L00000X</v>
      </c>
      <c r="D15386" t="str">
        <f>"DOWELL                   AMANDA       D           "</f>
        <v xml:space="preserve">DOWELL                   AMANDA       D           </v>
      </c>
      <c r="E15386" t="str">
        <f>"VICKSBURG                 "</f>
        <v xml:space="preserve">VICKSBURG                 </v>
      </c>
      <c r="F15386" t="str">
        <f t="shared" si="391"/>
        <v>MS</v>
      </c>
    </row>
    <row r="15387" spans="1:6" x14ac:dyDescent="0.25">
      <c r="A15387" t="str">
        <f>"200003023"</f>
        <v>200003023</v>
      </c>
      <c r="B15387" t="str">
        <f>"1386303964"</f>
        <v>1386303964</v>
      </c>
      <c r="C15387" t="str">
        <f>"363LF0000X"</f>
        <v>363LF0000X</v>
      </c>
      <c r="D15387" t="str">
        <f>"GRAYSON                  NACARA                   "</f>
        <v xml:space="preserve">GRAYSON                  NACARA                   </v>
      </c>
      <c r="E15387" t="str">
        <f>"MERIDIAN                  "</f>
        <v xml:space="preserve">MERIDIAN                  </v>
      </c>
      <c r="F15387" t="str">
        <f t="shared" si="391"/>
        <v>MS</v>
      </c>
    </row>
    <row r="15388" spans="1:6" x14ac:dyDescent="0.25">
      <c r="A15388" t="str">
        <f>"200003031"</f>
        <v>200003031</v>
      </c>
      <c r="B15388" t="str">
        <f>"1568160844"</f>
        <v>1568160844</v>
      </c>
      <c r="C15388" t="str">
        <f>"363L00000X"</f>
        <v>363L00000X</v>
      </c>
      <c r="D15388" t="str">
        <f>"SHUMPERT                 KAMELIA                  "</f>
        <v xml:space="preserve">SHUMPERT                 KAMELIA                  </v>
      </c>
      <c r="E15388" t="str">
        <f>"OXFORD                    "</f>
        <v xml:space="preserve">OXFORD                    </v>
      </c>
      <c r="F15388" t="str">
        <f t="shared" si="391"/>
        <v>MS</v>
      </c>
    </row>
    <row r="15389" spans="1:6" x14ac:dyDescent="0.25">
      <c r="A15389" t="str">
        <f>"200003037"</f>
        <v>200003037</v>
      </c>
      <c r="B15389" t="str">
        <f>"1972232734"</f>
        <v>1972232734</v>
      </c>
      <c r="C15389" t="str">
        <f>"363L00000X"</f>
        <v>363L00000X</v>
      </c>
      <c r="D15389" t="str">
        <f>"EURE                     CHELSEY                  "</f>
        <v xml:space="preserve">EURE                     CHELSEY                  </v>
      </c>
      <c r="E15389" t="str">
        <f>"OCEAN SPRINGS             "</f>
        <v xml:space="preserve">OCEAN SPRINGS             </v>
      </c>
      <c r="F15389" t="str">
        <f t="shared" si="391"/>
        <v>MS</v>
      </c>
    </row>
    <row r="15390" spans="1:6" x14ac:dyDescent="0.25">
      <c r="A15390" t="str">
        <f>"200003038"</f>
        <v>200003038</v>
      </c>
      <c r="B15390" t="str">
        <f>"1336636067"</f>
        <v>1336636067</v>
      </c>
      <c r="C15390" t="str">
        <f>"2085R0202X"</f>
        <v>2085R0202X</v>
      </c>
      <c r="D15390" t="str">
        <f>"ROGERS                   AERYN        E           "</f>
        <v xml:space="preserve">ROGERS                   AERYN        E           </v>
      </c>
      <c r="E15390" t="str">
        <f>"JACKSON                   "</f>
        <v xml:space="preserve">JACKSON                   </v>
      </c>
      <c r="F15390" t="str">
        <f t="shared" si="391"/>
        <v>MS</v>
      </c>
    </row>
    <row r="15391" spans="1:6" x14ac:dyDescent="0.25">
      <c r="A15391" t="str">
        <f>"200003041"</f>
        <v>200003041</v>
      </c>
      <c r="B15391" t="str">
        <f>"1841317294"</f>
        <v>1841317294</v>
      </c>
      <c r="C15391" t="str">
        <f>"1223X0400X"</f>
        <v>1223X0400X</v>
      </c>
      <c r="D15391" t="str">
        <f>"ZWEIHORN                 CHANINAH     L           "</f>
        <v xml:space="preserve">ZWEIHORN                 CHANINAH     L           </v>
      </c>
      <c r="E15391" t="str">
        <f>"TUPELO                    "</f>
        <v xml:space="preserve">TUPELO                    </v>
      </c>
      <c r="F15391" t="str">
        <f t="shared" si="391"/>
        <v>MS</v>
      </c>
    </row>
    <row r="15392" spans="1:6" x14ac:dyDescent="0.25">
      <c r="A15392" t="str">
        <f>"200003047"</f>
        <v>200003047</v>
      </c>
      <c r="B15392" t="str">
        <f>"1972859627"</f>
        <v>1972859627</v>
      </c>
      <c r="C15392" t="str">
        <f>"1223P0221X"</f>
        <v>1223P0221X</v>
      </c>
      <c r="D15392" t="str">
        <f>"WILKES                   FREDDIE      E           "</f>
        <v xml:space="preserve">WILKES                   FREDDIE      E           </v>
      </c>
      <c r="E15392" t="str">
        <f>"SOUTHAVEN                 "</f>
        <v xml:space="preserve">SOUTHAVEN                 </v>
      </c>
      <c r="F15392" t="str">
        <f t="shared" si="391"/>
        <v>MS</v>
      </c>
    </row>
    <row r="15393" spans="1:6" x14ac:dyDescent="0.25">
      <c r="A15393" t="str">
        <f>"200003050"</f>
        <v>200003050</v>
      </c>
      <c r="B15393" t="str">
        <f>"1083071237"</f>
        <v>1083071237</v>
      </c>
      <c r="C15393" t="str">
        <f>"363L00000X"</f>
        <v>363L00000X</v>
      </c>
      <c r="D15393" t="str">
        <f>"BROWN                    WANDA        L           "</f>
        <v xml:space="preserve">BROWN                    WANDA        L           </v>
      </c>
      <c r="E15393" t="str">
        <f>"OLIVE BRANCH              "</f>
        <v xml:space="preserve">OLIVE BRANCH              </v>
      </c>
      <c r="F15393" t="str">
        <f t="shared" si="391"/>
        <v>MS</v>
      </c>
    </row>
    <row r="15394" spans="1:6" x14ac:dyDescent="0.25">
      <c r="A15394" t="str">
        <f>"200003055"</f>
        <v>200003055</v>
      </c>
      <c r="B15394" t="str">
        <f>"1437680899"</f>
        <v>1437680899</v>
      </c>
      <c r="C15394" t="str">
        <f>"2085R0202X"</f>
        <v>2085R0202X</v>
      </c>
      <c r="D15394" t="str">
        <f>"FORTIN                   ANTHONY                  "</f>
        <v xml:space="preserve">FORTIN                   ANTHONY                  </v>
      </c>
      <c r="E15394" t="str">
        <f>"TYLERTOWN                 "</f>
        <v xml:space="preserve">TYLERTOWN                 </v>
      </c>
      <c r="F15394" t="str">
        <f t="shared" si="391"/>
        <v>MS</v>
      </c>
    </row>
    <row r="15395" spans="1:6" x14ac:dyDescent="0.25">
      <c r="A15395" t="str">
        <f>"200003074"</f>
        <v>200003074</v>
      </c>
      <c r="B15395" t="str">
        <f>"1295460780"</f>
        <v>1295460780</v>
      </c>
      <c r="C15395" t="str">
        <f>"261QR1300X"</f>
        <v>261QR1300X</v>
      </c>
      <c r="D15395" t="str">
        <f>"GOLDEN TRIANGLE URGENT CARE, LLC                  "</f>
        <v xml:space="preserve">GOLDEN TRIANGLE URGENT CARE, LLC                  </v>
      </c>
      <c r="E15395" t="str">
        <f>"STARKVILLE                "</f>
        <v xml:space="preserve">STARKVILLE                </v>
      </c>
      <c r="F15395" t="str">
        <f t="shared" si="391"/>
        <v>MS</v>
      </c>
    </row>
    <row r="15396" spans="1:6" x14ac:dyDescent="0.25">
      <c r="A15396" t="str">
        <f>"200003075"</f>
        <v>200003075</v>
      </c>
      <c r="B15396" t="str">
        <f>"1316578438"</f>
        <v>1316578438</v>
      </c>
      <c r="C15396" t="str">
        <f>"363L00000X"</f>
        <v>363L00000X</v>
      </c>
      <c r="D15396" t="str">
        <f>"SPINKS                   JAMILA                   "</f>
        <v xml:space="preserve">SPINKS                   JAMILA                   </v>
      </c>
      <c r="E15396" t="str">
        <f>"MERIDIAN                  "</f>
        <v xml:space="preserve">MERIDIAN                  </v>
      </c>
      <c r="F15396" t="str">
        <f t="shared" si="391"/>
        <v>MS</v>
      </c>
    </row>
    <row r="15397" spans="1:6" x14ac:dyDescent="0.25">
      <c r="A15397" t="str">
        <f>"200003078"</f>
        <v>200003078</v>
      </c>
      <c r="B15397" t="str">
        <f>"1730292798"</f>
        <v>1730292798</v>
      </c>
      <c r="C15397" t="str">
        <f>"2085R0001X"</f>
        <v>2085R0001X</v>
      </c>
      <c r="D15397" t="str">
        <f>"HANSON MD PLLC           BURNETT                  "</f>
        <v xml:space="preserve">HANSON MD PLLC           BURNETT                  </v>
      </c>
      <c r="E15397" t="str">
        <f>"MCCOMB                    "</f>
        <v xml:space="preserve">MCCOMB                    </v>
      </c>
      <c r="F15397" t="str">
        <f t="shared" si="391"/>
        <v>MS</v>
      </c>
    </row>
    <row r="15398" spans="1:6" x14ac:dyDescent="0.25">
      <c r="A15398" t="str">
        <f>"200003079"</f>
        <v>200003079</v>
      </c>
      <c r="B15398" t="str">
        <f>"1912461328"</f>
        <v>1912461328</v>
      </c>
      <c r="C15398" t="str">
        <f>"363L00000X"</f>
        <v>363L00000X</v>
      </c>
      <c r="D15398" t="str">
        <f>"GRAY                     TALMADGE                 "</f>
        <v xml:space="preserve">GRAY                     TALMADGE                 </v>
      </c>
      <c r="E15398" t="str">
        <f>"MERIDIAN                  "</f>
        <v xml:space="preserve">MERIDIAN                  </v>
      </c>
      <c r="F15398" t="str">
        <f t="shared" si="391"/>
        <v>MS</v>
      </c>
    </row>
    <row r="15399" spans="1:6" x14ac:dyDescent="0.25">
      <c r="A15399" t="str">
        <f>"200003090"</f>
        <v>200003090</v>
      </c>
      <c r="B15399" t="str">
        <f>"1407502396"</f>
        <v>1407502396</v>
      </c>
      <c r="C15399" t="str">
        <f>"363L00000X"</f>
        <v>363L00000X</v>
      </c>
      <c r="D15399" t="str">
        <f>"SMITH                    LAURA        J           "</f>
        <v xml:space="preserve">SMITH                    LAURA        J           </v>
      </c>
      <c r="E15399" t="str">
        <f>"SOUTHAVEN                 "</f>
        <v xml:space="preserve">SOUTHAVEN                 </v>
      </c>
      <c r="F15399" t="str">
        <f t="shared" si="391"/>
        <v>MS</v>
      </c>
    </row>
    <row r="15400" spans="1:6" x14ac:dyDescent="0.25">
      <c r="A15400" t="str">
        <f>"200003118"</f>
        <v>200003118</v>
      </c>
      <c r="B15400" t="str">
        <f>"1063122612"</f>
        <v>1063122612</v>
      </c>
      <c r="C15400" t="str">
        <f>"363L00000X"</f>
        <v>363L00000X</v>
      </c>
      <c r="D15400" t="str">
        <f>"FOUNTAIN                 SARAH                    "</f>
        <v xml:space="preserve">FOUNTAIN                 SARAH                    </v>
      </c>
      <c r="E15400" t="str">
        <f>"JACKSON                   "</f>
        <v xml:space="preserve">JACKSON                   </v>
      </c>
      <c r="F15400" t="str">
        <f t="shared" si="391"/>
        <v>MS</v>
      </c>
    </row>
    <row r="15401" spans="1:6" x14ac:dyDescent="0.25">
      <c r="A15401" t="str">
        <f>"200003121"</f>
        <v>200003121</v>
      </c>
      <c r="B15401" t="str">
        <f>"1649336934"</f>
        <v>1649336934</v>
      </c>
      <c r="C15401" t="str">
        <f>"2085R0202X"</f>
        <v>2085R0202X</v>
      </c>
      <c r="D15401" t="str">
        <f>"HORNE                    KRISTOPHER               "</f>
        <v xml:space="preserve">HORNE                    KRISTOPHER               </v>
      </c>
      <c r="E15401" t="str">
        <f>"OLIVE BRANCH              "</f>
        <v xml:space="preserve">OLIVE BRANCH              </v>
      </c>
      <c r="F15401" t="str">
        <f t="shared" si="391"/>
        <v>MS</v>
      </c>
    </row>
    <row r="15402" spans="1:6" x14ac:dyDescent="0.25">
      <c r="A15402" t="str">
        <f>"200003123"</f>
        <v>200003123</v>
      </c>
      <c r="B15402" t="str">
        <f>"1740500958"</f>
        <v>1740500958</v>
      </c>
      <c r="C15402" t="str">
        <f>"208100000X"</f>
        <v>208100000X</v>
      </c>
      <c r="D15402" t="str">
        <f>"TUCKER                   JOSHUA       E           "</f>
        <v xml:space="preserve">TUCKER                   JOSHUA       E           </v>
      </c>
      <c r="E15402" t="str">
        <f>"GULFPORT                  "</f>
        <v xml:space="preserve">GULFPORT                  </v>
      </c>
      <c r="F15402" t="str">
        <f t="shared" si="391"/>
        <v>MS</v>
      </c>
    </row>
    <row r="15403" spans="1:6" x14ac:dyDescent="0.25">
      <c r="A15403" t="str">
        <f>"200003130"</f>
        <v>200003130</v>
      </c>
      <c r="B15403" t="str">
        <f>"1982326120"</f>
        <v>1982326120</v>
      </c>
      <c r="C15403" t="str">
        <f>"363L00000X"</f>
        <v>363L00000X</v>
      </c>
      <c r="D15403" t="str">
        <f>"CARPENTER                ERIN                     "</f>
        <v xml:space="preserve">CARPENTER                ERIN                     </v>
      </c>
      <c r="E15403" t="str">
        <f>"OCEAN SPRINGS             "</f>
        <v xml:space="preserve">OCEAN SPRINGS             </v>
      </c>
      <c r="F15403" t="str">
        <f t="shared" si="391"/>
        <v>MS</v>
      </c>
    </row>
    <row r="15404" spans="1:6" x14ac:dyDescent="0.25">
      <c r="A15404" t="str">
        <f>"200003131"</f>
        <v>200003131</v>
      </c>
      <c r="B15404" t="str">
        <f>"1124789508"</f>
        <v>1124789508</v>
      </c>
      <c r="C15404" t="str">
        <f>"363L00000X"</f>
        <v>363L00000X</v>
      </c>
      <c r="D15404" t="str">
        <f>"WILLIAMS                 JENNIFER                 "</f>
        <v xml:space="preserve">WILLIAMS                 JENNIFER                 </v>
      </c>
      <c r="E15404" t="str">
        <f>"PEARL                     "</f>
        <v xml:space="preserve">PEARL                     </v>
      </c>
      <c r="F15404" t="str">
        <f t="shared" si="391"/>
        <v>MS</v>
      </c>
    </row>
    <row r="15405" spans="1:6" x14ac:dyDescent="0.25">
      <c r="A15405" t="str">
        <f>"200003133"</f>
        <v>200003133</v>
      </c>
      <c r="B15405" t="str">
        <f>"1801051925"</f>
        <v>1801051925</v>
      </c>
      <c r="C15405" t="str">
        <f>"363L00000X"</f>
        <v>363L00000X</v>
      </c>
      <c r="D15405" t="str">
        <f>"BLANKS                   ADAM                     "</f>
        <v xml:space="preserve">BLANKS                   ADAM                     </v>
      </c>
      <c r="E15405" t="str">
        <f>"JACKSON                   "</f>
        <v xml:space="preserve">JACKSON                   </v>
      </c>
      <c r="F15405" t="str">
        <f t="shared" si="391"/>
        <v>MS</v>
      </c>
    </row>
    <row r="15406" spans="1:6" x14ac:dyDescent="0.25">
      <c r="A15406" t="str">
        <f>"200003136"</f>
        <v>200003136</v>
      </c>
      <c r="B15406" t="str">
        <f>"1134609720"</f>
        <v>1134609720</v>
      </c>
      <c r="C15406" t="str">
        <f>"363L00000X"</f>
        <v>363L00000X</v>
      </c>
      <c r="D15406" t="str">
        <f>"SELLERS                  MARLEE                   "</f>
        <v xml:space="preserve">SELLERS                  MARLEE                   </v>
      </c>
      <c r="E15406" t="str">
        <f>"PHILADELPHIA              "</f>
        <v xml:space="preserve">PHILADELPHIA              </v>
      </c>
      <c r="F15406" t="str">
        <f t="shared" si="391"/>
        <v>MS</v>
      </c>
    </row>
    <row r="15407" spans="1:6" x14ac:dyDescent="0.25">
      <c r="A15407" t="str">
        <f>"200003142"</f>
        <v>200003142</v>
      </c>
      <c r="B15407" t="str">
        <f>"1710410436"</f>
        <v>1710410436</v>
      </c>
      <c r="C15407" t="str">
        <f>"207RG0100X"</f>
        <v>207RG0100X</v>
      </c>
      <c r="D15407" t="str">
        <f>"HARRIS                   PATRICK      S           "</f>
        <v xml:space="preserve">HARRIS                   PATRICK      S           </v>
      </c>
      <c r="E15407" t="str">
        <f>"TUPELO                    "</f>
        <v xml:space="preserve">TUPELO                    </v>
      </c>
      <c r="F15407" t="str">
        <f t="shared" si="391"/>
        <v>MS</v>
      </c>
    </row>
    <row r="15408" spans="1:6" x14ac:dyDescent="0.25">
      <c r="A15408" t="str">
        <f>"200003157"</f>
        <v>200003157</v>
      </c>
      <c r="B15408" t="str">
        <f>"1578753943"</f>
        <v>1578753943</v>
      </c>
      <c r="C15408" t="str">
        <f>"207RC0001X"</f>
        <v>207RC0001X</v>
      </c>
      <c r="D15408" t="str">
        <f>"OWEN                     JOSEPH       S           "</f>
        <v xml:space="preserve">OWEN                     JOSEPH       S           </v>
      </c>
      <c r="E15408" t="str">
        <f>"JACKSON                   "</f>
        <v xml:space="preserve">JACKSON                   </v>
      </c>
      <c r="F15408" t="str">
        <f t="shared" si="391"/>
        <v>MS</v>
      </c>
    </row>
    <row r="15409" spans="1:6" x14ac:dyDescent="0.25">
      <c r="A15409" t="str">
        <f>"200003161"</f>
        <v>200003161</v>
      </c>
      <c r="B15409" t="str">
        <f>"1952834350"</f>
        <v>1952834350</v>
      </c>
      <c r="C15409" t="str">
        <f>"207RP1001X"</f>
        <v>207RP1001X</v>
      </c>
      <c r="D15409" t="str">
        <f>"KINLOCH                  KEVIN        J           "</f>
        <v xml:space="preserve">KINLOCH                  KEVIN        J           </v>
      </c>
      <c r="E15409" t="str">
        <f>"HATTIESBURG               "</f>
        <v xml:space="preserve">HATTIESBURG               </v>
      </c>
      <c r="F15409" t="str">
        <f t="shared" si="391"/>
        <v>MS</v>
      </c>
    </row>
    <row r="15410" spans="1:6" x14ac:dyDescent="0.25">
      <c r="A15410" t="str">
        <f>"200003164"</f>
        <v>200003164</v>
      </c>
      <c r="B15410" t="str">
        <f>"1609808450"</f>
        <v>1609808450</v>
      </c>
      <c r="C15410" t="str">
        <f>"207P00000X"</f>
        <v>207P00000X</v>
      </c>
      <c r="D15410" t="str">
        <f>"HOOKER                   DAVID                    "</f>
        <v xml:space="preserve">HOOKER                   DAVID                    </v>
      </c>
      <c r="E15410" t="str">
        <f>"HATTIESBURG               "</f>
        <v xml:space="preserve">HATTIESBURG               </v>
      </c>
      <c r="F15410" t="str">
        <f t="shared" si="391"/>
        <v>MS</v>
      </c>
    </row>
    <row r="15411" spans="1:6" x14ac:dyDescent="0.25">
      <c r="A15411" t="str">
        <f>"200003170"</f>
        <v>200003170</v>
      </c>
      <c r="B15411" t="str">
        <f>"1033595830"</f>
        <v>1033595830</v>
      </c>
      <c r="C15411" t="str">
        <f>"207R00000X"</f>
        <v>207R00000X</v>
      </c>
      <c r="D15411" t="str">
        <f>"JAFRI                    SHAHERYAR                "</f>
        <v xml:space="preserve">JAFRI                    SHAHERYAR                </v>
      </c>
      <c r="E15411" t="str">
        <f>"TUPELO                    "</f>
        <v xml:space="preserve">TUPELO                    </v>
      </c>
      <c r="F15411" t="str">
        <f t="shared" si="391"/>
        <v>MS</v>
      </c>
    </row>
    <row r="15412" spans="1:6" x14ac:dyDescent="0.25">
      <c r="A15412" t="str">
        <f>"200003175"</f>
        <v>200003175</v>
      </c>
      <c r="B15412" t="str">
        <f>"1720213788"</f>
        <v>1720213788</v>
      </c>
      <c r="C15412" t="str">
        <f>"122300000X"</f>
        <v>122300000X</v>
      </c>
      <c r="D15412" t="str">
        <f>"AVALON SMILES LLC                                 "</f>
        <v xml:space="preserve">AVALON SMILES LLC                                 </v>
      </c>
      <c r="E15412" t="str">
        <f>"BRANDON                   "</f>
        <v xml:space="preserve">BRANDON                   </v>
      </c>
      <c r="F15412" t="str">
        <f t="shared" si="391"/>
        <v>MS</v>
      </c>
    </row>
    <row r="15413" spans="1:6" x14ac:dyDescent="0.25">
      <c r="A15413" t="str">
        <f>"200003177"</f>
        <v>200003177</v>
      </c>
      <c r="B15413" t="str">
        <f>"1487283214"</f>
        <v>1487283214</v>
      </c>
      <c r="C15413" t="str">
        <f>"207R00000X"</f>
        <v>207R00000X</v>
      </c>
      <c r="D15413" t="str">
        <f>"BELL                     PRESTON      L           "</f>
        <v xml:space="preserve">BELL                     PRESTON      L           </v>
      </c>
      <c r="E15413" t="str">
        <f>"JACKSON                   "</f>
        <v xml:space="preserve">JACKSON                   </v>
      </c>
      <c r="F15413" t="str">
        <f t="shared" si="391"/>
        <v>MS</v>
      </c>
    </row>
    <row r="15414" spans="1:6" x14ac:dyDescent="0.25">
      <c r="A15414" t="str">
        <f>"200003180"</f>
        <v>200003180</v>
      </c>
      <c r="B15414" t="str">
        <f>"1275103038"</f>
        <v>1275103038</v>
      </c>
      <c r="C15414" t="str">
        <f>"367500000X"</f>
        <v>367500000X</v>
      </c>
      <c r="D15414" t="str">
        <f>"ALLEN                    ERIC         M           "</f>
        <v xml:space="preserve">ALLEN                    ERIC         M           </v>
      </c>
      <c r="E15414" t="str">
        <f>"JACKSON                   "</f>
        <v xml:space="preserve">JACKSON                   </v>
      </c>
      <c r="F15414" t="str">
        <f t="shared" si="391"/>
        <v>MS</v>
      </c>
    </row>
    <row r="15415" spans="1:6" x14ac:dyDescent="0.25">
      <c r="A15415" t="str">
        <f>"200003183"</f>
        <v>200003183</v>
      </c>
      <c r="B15415" t="str">
        <f>"1700594322"</f>
        <v>1700594322</v>
      </c>
      <c r="C15415" t="str">
        <f>"363L00000X"</f>
        <v>363L00000X</v>
      </c>
      <c r="D15415" t="str">
        <f>"GILES                    CHRISTINA                "</f>
        <v xml:space="preserve">GILES                    CHRISTINA                </v>
      </c>
      <c r="E15415" t="str">
        <f>"FOREST                    "</f>
        <v xml:space="preserve">FOREST                    </v>
      </c>
      <c r="F15415" t="str">
        <f t="shared" si="391"/>
        <v>MS</v>
      </c>
    </row>
    <row r="15416" spans="1:6" x14ac:dyDescent="0.25">
      <c r="A15416" t="str">
        <f>"200003197"</f>
        <v>200003197</v>
      </c>
      <c r="B15416" t="str">
        <f>"1144665670"</f>
        <v>1144665670</v>
      </c>
      <c r="C15416" t="str">
        <f>"261QM1300X"</f>
        <v>261QM1300X</v>
      </c>
      <c r="D15416" t="str">
        <f>"NESHOBA MEDICAL ARTS CLINIC                       "</f>
        <v xml:space="preserve">NESHOBA MEDICAL ARTS CLINIC                       </v>
      </c>
      <c r="E15416" t="str">
        <f>"PHILADELPHIA              "</f>
        <v xml:space="preserve">PHILADELPHIA              </v>
      </c>
      <c r="F15416" t="str">
        <f t="shared" si="391"/>
        <v>MS</v>
      </c>
    </row>
    <row r="15417" spans="1:6" x14ac:dyDescent="0.25">
      <c r="A15417" t="str">
        <f>"200003198"</f>
        <v>200003198</v>
      </c>
      <c r="B15417" t="str">
        <f>"1902401425"</f>
        <v>1902401425</v>
      </c>
      <c r="C15417" t="str">
        <f>"261QR1300X"</f>
        <v>261QR1300X</v>
      </c>
      <c r="D15417" t="str">
        <f>"SHARKEY ISSAQUENA MEDICAL CLINIC                  "</f>
        <v xml:space="preserve">SHARKEY ISSAQUENA MEDICAL CLINIC                  </v>
      </c>
      <c r="E15417" t="str">
        <f>"ROLLING FORK              "</f>
        <v xml:space="preserve">ROLLING FORK              </v>
      </c>
      <c r="F15417" t="str">
        <f t="shared" si="391"/>
        <v>MS</v>
      </c>
    </row>
    <row r="15418" spans="1:6" x14ac:dyDescent="0.25">
      <c r="A15418" t="str">
        <f>"200003219"</f>
        <v>200003219</v>
      </c>
      <c r="B15418" t="str">
        <f>"1730882291"</f>
        <v>1730882291</v>
      </c>
      <c r="C15418" t="str">
        <f>"1223S0112X"</f>
        <v>1223S0112X</v>
      </c>
      <c r="D15418" t="str">
        <f>"VENEGAS                  OSCAR                    "</f>
        <v xml:space="preserve">VENEGAS                  OSCAR                    </v>
      </c>
      <c r="E15418" t="str">
        <f>"JACKSON                   "</f>
        <v xml:space="preserve">JACKSON                   </v>
      </c>
      <c r="F15418" t="str">
        <f t="shared" si="391"/>
        <v>MS</v>
      </c>
    </row>
    <row r="15419" spans="1:6" x14ac:dyDescent="0.25">
      <c r="A15419" t="str">
        <f>"200003223"</f>
        <v>200003223</v>
      </c>
      <c r="B15419" t="str">
        <f>"1497465066"</f>
        <v>1497465066</v>
      </c>
      <c r="C15419" t="str">
        <f>"363L00000X"</f>
        <v>363L00000X</v>
      </c>
      <c r="D15419" t="str">
        <f>"ROBBINS                  ASHLEE                   "</f>
        <v xml:space="preserve">ROBBINS                  ASHLEE                   </v>
      </c>
      <c r="E15419" t="str">
        <f>"COLUMBUS                  "</f>
        <v xml:space="preserve">COLUMBUS                  </v>
      </c>
      <c r="F15419" t="str">
        <f t="shared" si="391"/>
        <v>MS</v>
      </c>
    </row>
    <row r="15420" spans="1:6" x14ac:dyDescent="0.25">
      <c r="A15420" t="str">
        <f>"200003233"</f>
        <v>200003233</v>
      </c>
      <c r="B15420" t="str">
        <f>"1598330805"</f>
        <v>1598330805</v>
      </c>
      <c r="C15420" t="str">
        <f>"1223X0400X"</f>
        <v>1223X0400X</v>
      </c>
      <c r="D15420" t="str">
        <f>"MICHAELIS                JOHN         W           "</f>
        <v xml:space="preserve">MICHAELIS                JOHN         W           </v>
      </c>
      <c r="E15420" t="str">
        <f>"BAY SAINT LOUIS           "</f>
        <v xml:space="preserve">BAY SAINT LOUIS           </v>
      </c>
      <c r="F15420" t="str">
        <f t="shared" si="391"/>
        <v>MS</v>
      </c>
    </row>
    <row r="15421" spans="1:6" x14ac:dyDescent="0.25">
      <c r="A15421" t="str">
        <f>"200003239"</f>
        <v>200003239</v>
      </c>
      <c r="B15421" t="str">
        <f>"1720702376"</f>
        <v>1720702376</v>
      </c>
      <c r="C15421" t="str">
        <f>"363L00000X"</f>
        <v>363L00000X</v>
      </c>
      <c r="D15421" t="str">
        <f>"DOZIER                   NAKITA                   "</f>
        <v xml:space="preserve">DOZIER                   NAKITA                   </v>
      </c>
      <c r="E15421" t="str">
        <f>"CANTON                    "</f>
        <v xml:space="preserve">CANTON                    </v>
      </c>
      <c r="F15421" t="str">
        <f t="shared" si="391"/>
        <v>MS</v>
      </c>
    </row>
    <row r="15422" spans="1:6" x14ac:dyDescent="0.25">
      <c r="A15422" t="str">
        <f>"200003249"</f>
        <v>200003249</v>
      </c>
      <c r="B15422" t="str">
        <f>"1407099971"</f>
        <v>1407099971</v>
      </c>
      <c r="C15422" t="str">
        <f>"207V00000X"</f>
        <v>207V00000X</v>
      </c>
      <c r="D15422" t="str">
        <f>"MONTGOMERY               BRANDON      S           "</f>
        <v xml:space="preserve">MONTGOMERY               BRANDON      S           </v>
      </c>
      <c r="E15422" t="str">
        <f>"TUPELO                    "</f>
        <v xml:space="preserve">TUPELO                    </v>
      </c>
      <c r="F15422" t="str">
        <f t="shared" ref="F15422:F15485" si="392">"MS"</f>
        <v>MS</v>
      </c>
    </row>
    <row r="15423" spans="1:6" x14ac:dyDescent="0.25">
      <c r="A15423" t="str">
        <f>"200003252"</f>
        <v>200003252</v>
      </c>
      <c r="B15423" t="str">
        <f>"1154345486"</f>
        <v>1154345486</v>
      </c>
      <c r="C15423" t="str">
        <f>"152W00000X"</f>
        <v>152W00000X</v>
      </c>
      <c r="D15423" t="str">
        <f>"JOHNSON II               ERIC         J           "</f>
        <v xml:space="preserve">JOHNSON II               ERIC         J           </v>
      </c>
      <c r="E15423" t="str">
        <f>"MERIDIAN                  "</f>
        <v xml:space="preserve">MERIDIAN                  </v>
      </c>
      <c r="F15423" t="str">
        <f t="shared" si="392"/>
        <v>MS</v>
      </c>
    </row>
    <row r="15424" spans="1:6" x14ac:dyDescent="0.25">
      <c r="A15424" t="str">
        <f>"200003254"</f>
        <v>200003254</v>
      </c>
      <c r="B15424" t="str">
        <f>"1528038296"</f>
        <v>1528038296</v>
      </c>
      <c r="C15424" t="str">
        <f>"152W00000X"</f>
        <v>152W00000X</v>
      </c>
      <c r="D15424" t="str">
        <f>"COSBY                    JOHNNY                   "</f>
        <v xml:space="preserve">COSBY                    JOHNNY                   </v>
      </c>
      <c r="E15424" t="str">
        <f>"MERIDIAN                  "</f>
        <v xml:space="preserve">MERIDIAN                  </v>
      </c>
      <c r="F15424" t="str">
        <f t="shared" si="392"/>
        <v>MS</v>
      </c>
    </row>
    <row r="15425" spans="1:6" x14ac:dyDescent="0.25">
      <c r="A15425" t="str">
        <f>"200003258"</f>
        <v>200003258</v>
      </c>
      <c r="B15425" t="str">
        <f>"1376277269"</f>
        <v>1376277269</v>
      </c>
      <c r="C15425" t="str">
        <f>"152W00000X"</f>
        <v>152W00000X</v>
      </c>
      <c r="D15425" t="str">
        <f>"EGUIA                    MORGAN       E           "</f>
        <v xml:space="preserve">EGUIA                    MORGAN       E           </v>
      </c>
      <c r="E15425" t="str">
        <f>"HATTIESBURG               "</f>
        <v xml:space="preserve">HATTIESBURG               </v>
      </c>
      <c r="F15425" t="str">
        <f t="shared" si="392"/>
        <v>MS</v>
      </c>
    </row>
    <row r="15426" spans="1:6" x14ac:dyDescent="0.25">
      <c r="A15426" t="str">
        <f>"200003264"</f>
        <v>200003264</v>
      </c>
      <c r="B15426" t="str">
        <f>"1346958725"</f>
        <v>1346958725</v>
      </c>
      <c r="C15426" t="str">
        <f>"363LP0808X"</f>
        <v>363LP0808X</v>
      </c>
      <c r="D15426" t="str">
        <f>"ROBINSON                 KERRY        S           "</f>
        <v xml:space="preserve">ROBINSON                 KERRY        S           </v>
      </c>
      <c r="E15426" t="str">
        <f>"FLOWOOD                   "</f>
        <v xml:space="preserve">FLOWOOD                   </v>
      </c>
      <c r="F15426" t="str">
        <f t="shared" si="392"/>
        <v>MS</v>
      </c>
    </row>
    <row r="15427" spans="1:6" x14ac:dyDescent="0.25">
      <c r="A15427" t="str">
        <f>"200003269"</f>
        <v>200003269</v>
      </c>
      <c r="B15427" t="str">
        <f>"1821019829"</f>
        <v>1821019829</v>
      </c>
      <c r="C15427" t="str">
        <f>"363L00000X"</f>
        <v>363L00000X</v>
      </c>
      <c r="D15427" t="str">
        <f>"TOMLINSON                MICHELLE     L           "</f>
        <v xml:space="preserve">TOMLINSON                MICHELLE     L           </v>
      </c>
      <c r="E15427" t="str">
        <f>"FLOWOOD                   "</f>
        <v xml:space="preserve">FLOWOOD                   </v>
      </c>
      <c r="F15427" t="str">
        <f t="shared" si="392"/>
        <v>MS</v>
      </c>
    </row>
    <row r="15428" spans="1:6" x14ac:dyDescent="0.25">
      <c r="A15428" t="str">
        <f>"200003286"</f>
        <v>200003286</v>
      </c>
      <c r="B15428" t="str">
        <f>"1447965108"</f>
        <v>1447965108</v>
      </c>
      <c r="C15428" t="str">
        <f>"363A00000X"</f>
        <v>363A00000X</v>
      </c>
      <c r="D15428" t="str">
        <f>"MCCOY                    MATTHEW                  "</f>
        <v xml:space="preserve">MCCOY                    MATTHEW                  </v>
      </c>
      <c r="E15428" t="str">
        <f>"JACKSON                   "</f>
        <v xml:space="preserve">JACKSON                   </v>
      </c>
      <c r="F15428" t="str">
        <f t="shared" si="392"/>
        <v>MS</v>
      </c>
    </row>
    <row r="15429" spans="1:6" x14ac:dyDescent="0.25">
      <c r="A15429" t="str">
        <f>"200003293"</f>
        <v>200003293</v>
      </c>
      <c r="B15429" t="str">
        <f>"1760182950"</f>
        <v>1760182950</v>
      </c>
      <c r="C15429" t="str">
        <f>"363L00000X"</f>
        <v>363L00000X</v>
      </c>
      <c r="D15429" t="str">
        <f>"STOKES                   HAILEY                   "</f>
        <v xml:space="preserve">STOKES                   HAILEY                   </v>
      </c>
      <c r="E15429" t="str">
        <f>"MERIDIAN                  "</f>
        <v xml:space="preserve">MERIDIAN                  </v>
      </c>
      <c r="F15429" t="str">
        <f t="shared" si="392"/>
        <v>MS</v>
      </c>
    </row>
    <row r="15430" spans="1:6" x14ac:dyDescent="0.25">
      <c r="A15430" t="str">
        <f>"200003305"</f>
        <v>200003305</v>
      </c>
      <c r="B15430" t="str">
        <f>"1518499102"</f>
        <v>1518499102</v>
      </c>
      <c r="C15430" t="str">
        <f>"207R00000X"</f>
        <v>207R00000X</v>
      </c>
      <c r="D15430" t="str">
        <f>"CHOUDHARY                ANITA                    "</f>
        <v xml:space="preserve">CHOUDHARY                ANITA                    </v>
      </c>
      <c r="E15430" t="str">
        <f>"MERIDIAN                  "</f>
        <v xml:space="preserve">MERIDIAN                  </v>
      </c>
      <c r="F15430" t="str">
        <f t="shared" si="392"/>
        <v>MS</v>
      </c>
    </row>
    <row r="15431" spans="1:6" x14ac:dyDescent="0.25">
      <c r="A15431" t="str">
        <f>"200003307"</f>
        <v>200003307</v>
      </c>
      <c r="B15431" t="str">
        <f>"1538872932"</f>
        <v>1538872932</v>
      </c>
      <c r="C15431" t="str">
        <f>"363L00000X"</f>
        <v>363L00000X</v>
      </c>
      <c r="D15431" t="str">
        <f>"ROBINSON                 CARRIE                   "</f>
        <v xml:space="preserve">ROBINSON                 CARRIE                   </v>
      </c>
      <c r="E15431" t="str">
        <f>"LAUREL                    "</f>
        <v xml:space="preserve">LAUREL                    </v>
      </c>
      <c r="F15431" t="str">
        <f t="shared" si="392"/>
        <v>MS</v>
      </c>
    </row>
    <row r="15432" spans="1:6" x14ac:dyDescent="0.25">
      <c r="A15432" t="str">
        <f>"200003315"</f>
        <v>200003315</v>
      </c>
      <c r="B15432" t="str">
        <f>"1295267680"</f>
        <v>1295267680</v>
      </c>
      <c r="C15432" t="str">
        <f>"207RP1001X"</f>
        <v>207RP1001X</v>
      </c>
      <c r="D15432" t="str">
        <f>"ROSS                     RANDOLPH     J           "</f>
        <v xml:space="preserve">ROSS                     RANDOLPH     J           </v>
      </c>
      <c r="E15432" t="str">
        <f>"HATTIESBURG               "</f>
        <v xml:space="preserve">HATTIESBURG               </v>
      </c>
      <c r="F15432" t="str">
        <f t="shared" si="392"/>
        <v>MS</v>
      </c>
    </row>
    <row r="15433" spans="1:6" x14ac:dyDescent="0.25">
      <c r="A15433" t="str">
        <f>"200003318"</f>
        <v>200003318</v>
      </c>
      <c r="B15433" t="str">
        <f>"1386179232"</f>
        <v>1386179232</v>
      </c>
      <c r="C15433" t="str">
        <f>"208800000X"</f>
        <v>208800000X</v>
      </c>
      <c r="D15433" t="str">
        <f>"ARCHER                   JEREMY                   "</f>
        <v xml:space="preserve">ARCHER                   JEREMY                   </v>
      </c>
      <c r="E15433" t="str">
        <f>"TUPELO                    "</f>
        <v xml:space="preserve">TUPELO                    </v>
      </c>
      <c r="F15433" t="str">
        <f t="shared" si="392"/>
        <v>MS</v>
      </c>
    </row>
    <row r="15434" spans="1:6" x14ac:dyDescent="0.25">
      <c r="A15434" t="str">
        <f>"200003324"</f>
        <v>200003324</v>
      </c>
      <c r="B15434" t="str">
        <f>"1588715965"</f>
        <v>1588715965</v>
      </c>
      <c r="C15434" t="str">
        <f>"122300000X"</f>
        <v>122300000X</v>
      </c>
      <c r="D15434" t="str">
        <f>"WHITE-GAMBRELL           ROSALYN                  "</f>
        <v xml:space="preserve">WHITE-GAMBRELL           ROSALYN                  </v>
      </c>
      <c r="E15434" t="str">
        <f>"DE KALB                   "</f>
        <v xml:space="preserve">DE KALB                   </v>
      </c>
      <c r="F15434" t="str">
        <f t="shared" si="392"/>
        <v>MS</v>
      </c>
    </row>
    <row r="15435" spans="1:6" x14ac:dyDescent="0.25">
      <c r="A15435" t="str">
        <f>"200003325"</f>
        <v>200003325</v>
      </c>
      <c r="B15435" t="str">
        <f>"1821725169"</f>
        <v>1821725169</v>
      </c>
      <c r="C15435" t="str">
        <f>"363L00000X"</f>
        <v>363L00000X</v>
      </c>
      <c r="D15435" t="str">
        <f>"THOMPSON                 ASHLEY                   "</f>
        <v xml:space="preserve">THOMPSON                 ASHLEY                   </v>
      </c>
      <c r="E15435" t="str">
        <f>"BILOXI                    "</f>
        <v xml:space="preserve">BILOXI                    </v>
      </c>
      <c r="F15435" t="str">
        <f t="shared" si="392"/>
        <v>MS</v>
      </c>
    </row>
    <row r="15436" spans="1:6" x14ac:dyDescent="0.25">
      <c r="A15436" t="str">
        <f>"200003328"</f>
        <v>200003328</v>
      </c>
      <c r="B15436" t="str">
        <f>"1881268068"</f>
        <v>1881268068</v>
      </c>
      <c r="C15436" t="str">
        <f>"261QF0400X"</f>
        <v>261QF0400X</v>
      </c>
      <c r="D15436" t="str">
        <f>"SOUTHEAST MISSISSIPPI RURAL HEALTH INITIATIVE INC "</f>
        <v xml:space="preserve">SOUTHEAST MISSISSIPPI RURAL HEALTH INITIATIVE INC </v>
      </c>
      <c r="E15436" t="str">
        <f>"PURVIS                    "</f>
        <v xml:space="preserve">PURVIS                    </v>
      </c>
      <c r="F15436" t="str">
        <f t="shared" si="392"/>
        <v>MS</v>
      </c>
    </row>
    <row r="15437" spans="1:6" x14ac:dyDescent="0.25">
      <c r="A15437" t="str">
        <f>"200003342"</f>
        <v>200003342</v>
      </c>
      <c r="B15437" t="str">
        <f>"1770969453"</f>
        <v>1770969453</v>
      </c>
      <c r="C15437" t="str">
        <f>"207RP1001X"</f>
        <v>207RP1001X</v>
      </c>
      <c r="D15437" t="str">
        <f>"MALIK                    ERUM                     "</f>
        <v xml:space="preserve">MALIK                    ERUM                     </v>
      </c>
      <c r="E15437" t="str">
        <f>"OCEAN SPRINGS             "</f>
        <v xml:space="preserve">OCEAN SPRINGS             </v>
      </c>
      <c r="F15437" t="str">
        <f t="shared" si="392"/>
        <v>MS</v>
      </c>
    </row>
    <row r="15438" spans="1:6" x14ac:dyDescent="0.25">
      <c r="A15438" t="str">
        <f>"200003350"</f>
        <v>200003350</v>
      </c>
      <c r="B15438" t="str">
        <f>"1407155666"</f>
        <v>1407155666</v>
      </c>
      <c r="C15438" t="str">
        <f>"207R00000X"</f>
        <v>207R00000X</v>
      </c>
      <c r="D15438" t="str">
        <f>"FISCHBACH                KEELY                    "</f>
        <v xml:space="preserve">FISCHBACH                KEELY                    </v>
      </c>
      <c r="E15438" t="str">
        <f>"NATCHEZ                   "</f>
        <v xml:space="preserve">NATCHEZ                   </v>
      </c>
      <c r="F15438" t="str">
        <f t="shared" si="392"/>
        <v>MS</v>
      </c>
    </row>
    <row r="15439" spans="1:6" x14ac:dyDescent="0.25">
      <c r="A15439" t="str">
        <f>"200003355"</f>
        <v>200003355</v>
      </c>
      <c r="B15439" t="str">
        <f>"1356049126"</f>
        <v>1356049126</v>
      </c>
      <c r="C15439" t="str">
        <f>"122300000X"</f>
        <v>122300000X</v>
      </c>
      <c r="D15439" t="str">
        <f>"SARDIS FAMILY DENTAL CARE LLC                     "</f>
        <v xml:space="preserve">SARDIS FAMILY DENTAL CARE LLC                     </v>
      </c>
      <c r="E15439" t="str">
        <f>"SARDIS                    "</f>
        <v xml:space="preserve">SARDIS                    </v>
      </c>
      <c r="F15439" t="str">
        <f t="shared" si="392"/>
        <v>MS</v>
      </c>
    </row>
    <row r="15440" spans="1:6" x14ac:dyDescent="0.25">
      <c r="A15440" t="str">
        <f>"200003356"</f>
        <v>200003356</v>
      </c>
      <c r="B15440" t="str">
        <f>"1164122818"</f>
        <v>1164122818</v>
      </c>
      <c r="C15440" t="str">
        <f>"363L00000X"</f>
        <v>363L00000X</v>
      </c>
      <c r="D15440" t="str">
        <f>"BIFFLE                   CRYSTAL                  "</f>
        <v xml:space="preserve">BIFFLE                   CRYSTAL                  </v>
      </c>
      <c r="E15440" t="str">
        <f>"TUPELO                    "</f>
        <v xml:space="preserve">TUPELO                    </v>
      </c>
      <c r="F15440" t="str">
        <f t="shared" si="392"/>
        <v>MS</v>
      </c>
    </row>
    <row r="15441" spans="1:6" x14ac:dyDescent="0.25">
      <c r="A15441" t="str">
        <f>"200003357"</f>
        <v>200003357</v>
      </c>
      <c r="B15441" t="str">
        <f>"1669196705"</f>
        <v>1669196705</v>
      </c>
      <c r="C15441" t="str">
        <f>"363LP0200X"</f>
        <v>363LP0200X</v>
      </c>
      <c r="D15441" t="str">
        <f>"LOHMAN                   CAROLYN                  "</f>
        <v xml:space="preserve">LOHMAN                   CAROLYN                  </v>
      </c>
      <c r="E15441" t="str">
        <f>"JACKSON                   "</f>
        <v xml:space="preserve">JACKSON                   </v>
      </c>
      <c r="F15441" t="str">
        <f t="shared" si="392"/>
        <v>MS</v>
      </c>
    </row>
    <row r="15442" spans="1:6" x14ac:dyDescent="0.25">
      <c r="A15442" t="str">
        <f>"200003361"</f>
        <v>200003361</v>
      </c>
      <c r="B15442" t="str">
        <f>"1922045475"</f>
        <v>1922045475</v>
      </c>
      <c r="C15442" t="str">
        <f>"207Q00000X"</f>
        <v>207Q00000X</v>
      </c>
      <c r="D15442" t="str">
        <f>"SWEET                    SELIKA                   "</f>
        <v xml:space="preserve">SWEET                    SELIKA                   </v>
      </c>
      <c r="E15442" t="str">
        <f>"JACKSON                   "</f>
        <v xml:space="preserve">JACKSON                   </v>
      </c>
      <c r="F15442" t="str">
        <f t="shared" si="392"/>
        <v>MS</v>
      </c>
    </row>
    <row r="15443" spans="1:6" x14ac:dyDescent="0.25">
      <c r="A15443" t="str">
        <f>"200003410"</f>
        <v>200003410</v>
      </c>
      <c r="B15443" t="str">
        <f>"1407174188"</f>
        <v>1407174188</v>
      </c>
      <c r="C15443" t="str">
        <f>"207P00000X"</f>
        <v>207P00000X</v>
      </c>
      <c r="D15443" t="str">
        <f>"NIX                      EMILY                    "</f>
        <v xml:space="preserve">NIX                      EMILY                    </v>
      </c>
      <c r="E15443" t="str">
        <f>"HATTIESBURG               "</f>
        <v xml:space="preserve">HATTIESBURG               </v>
      </c>
      <c r="F15443" t="str">
        <f t="shared" si="392"/>
        <v>MS</v>
      </c>
    </row>
    <row r="15444" spans="1:6" x14ac:dyDescent="0.25">
      <c r="A15444" t="str">
        <f>"200003413"</f>
        <v>200003413</v>
      </c>
      <c r="B15444" t="str">
        <f>"1285352864"</f>
        <v>1285352864</v>
      </c>
      <c r="C15444" t="str">
        <f>"363L00000X"</f>
        <v>363L00000X</v>
      </c>
      <c r="D15444" t="str">
        <f>"REYNOLDS                 JESSICA      H           "</f>
        <v xml:space="preserve">REYNOLDS                 JESSICA      H           </v>
      </c>
      <c r="E15444" t="str">
        <f>"MERIDIAN                  "</f>
        <v xml:space="preserve">MERIDIAN                  </v>
      </c>
      <c r="F15444" t="str">
        <f t="shared" si="392"/>
        <v>MS</v>
      </c>
    </row>
    <row r="15445" spans="1:6" x14ac:dyDescent="0.25">
      <c r="A15445" t="str">
        <f>"200003430"</f>
        <v>200003430</v>
      </c>
      <c r="B15445" t="str">
        <f>"1356072565"</f>
        <v>1356072565</v>
      </c>
      <c r="C15445" t="str">
        <f>"363L00000X"</f>
        <v>363L00000X</v>
      </c>
      <c r="D15445" t="str">
        <f>"LUMAS                    SHAKEVA                  "</f>
        <v xml:space="preserve">LUMAS                    SHAKEVA                  </v>
      </c>
      <c r="E15445" t="str">
        <f>"GRENADA                   "</f>
        <v xml:space="preserve">GRENADA                   </v>
      </c>
      <c r="F15445" t="str">
        <f t="shared" si="392"/>
        <v>MS</v>
      </c>
    </row>
    <row r="15446" spans="1:6" x14ac:dyDescent="0.25">
      <c r="A15446" t="str">
        <f>"200003432"</f>
        <v>200003432</v>
      </c>
      <c r="B15446" t="str">
        <f>"1194399360"</f>
        <v>1194399360</v>
      </c>
      <c r="C15446" t="str">
        <f>"261QF0400X"</f>
        <v>261QF0400X</v>
      </c>
      <c r="D15446" t="str">
        <f>"SOUTHEAST MISSISSIPPI RURAL HEALTH INITIATIVE INC "</f>
        <v xml:space="preserve">SOUTHEAST MISSISSIPPI RURAL HEALTH INITIATIVE INC </v>
      </c>
      <c r="E15446" t="str">
        <f>"SUMRALL                   "</f>
        <v xml:space="preserve">SUMRALL                   </v>
      </c>
      <c r="F15446" t="str">
        <f t="shared" si="392"/>
        <v>MS</v>
      </c>
    </row>
    <row r="15447" spans="1:6" x14ac:dyDescent="0.25">
      <c r="A15447" t="str">
        <f>"200003435"</f>
        <v>200003435</v>
      </c>
      <c r="B15447" t="str">
        <f>"1518668201"</f>
        <v>1518668201</v>
      </c>
      <c r="C15447" t="str">
        <f>"363L00000X"</f>
        <v>363L00000X</v>
      </c>
      <c r="D15447" t="str">
        <f>"BRIAN                    ASHLEY       D           "</f>
        <v xml:space="preserve">BRIAN                    ASHLEY       D           </v>
      </c>
      <c r="E15447" t="str">
        <f>"RICHLAND                  "</f>
        <v xml:space="preserve">RICHLAND                  </v>
      </c>
      <c r="F15447" t="str">
        <f t="shared" si="392"/>
        <v>MS</v>
      </c>
    </row>
    <row r="15448" spans="1:6" x14ac:dyDescent="0.25">
      <c r="A15448" t="str">
        <f>"200003436"</f>
        <v>200003436</v>
      </c>
      <c r="B15448" t="str">
        <f>"1124627690"</f>
        <v>1124627690</v>
      </c>
      <c r="C15448" t="str">
        <f>"363L00000X"</f>
        <v>363L00000X</v>
      </c>
      <c r="D15448" t="str">
        <f>"PERRYMAN                 ALISON                   "</f>
        <v xml:space="preserve">PERRYMAN                 ALISON                   </v>
      </c>
      <c r="E15448" t="str">
        <f>"SOUTHAVEN                 "</f>
        <v xml:space="preserve">SOUTHAVEN                 </v>
      </c>
      <c r="F15448" t="str">
        <f t="shared" si="392"/>
        <v>MS</v>
      </c>
    </row>
    <row r="15449" spans="1:6" x14ac:dyDescent="0.25">
      <c r="A15449" t="str">
        <f>"200003437"</f>
        <v>200003437</v>
      </c>
      <c r="B15449" t="str">
        <f>"1578507133"</f>
        <v>1578507133</v>
      </c>
      <c r="C15449" t="str">
        <f>"208D00000X"</f>
        <v>208D00000X</v>
      </c>
      <c r="D15449" t="str">
        <f>"ROSS                     JEFFREY                  "</f>
        <v xml:space="preserve">ROSS                     JEFFREY                  </v>
      </c>
      <c r="E15449" t="str">
        <f>"BROOKHAVEN                "</f>
        <v xml:space="preserve">BROOKHAVEN                </v>
      </c>
      <c r="F15449" t="str">
        <f t="shared" si="392"/>
        <v>MS</v>
      </c>
    </row>
    <row r="15450" spans="1:6" x14ac:dyDescent="0.25">
      <c r="A15450" t="str">
        <f>"200003445"</f>
        <v>200003445</v>
      </c>
      <c r="B15450" t="str">
        <f>"1386258408"</f>
        <v>1386258408</v>
      </c>
      <c r="C15450" t="str">
        <f>"363L00000X"</f>
        <v>363L00000X</v>
      </c>
      <c r="D15450" t="str">
        <f>"HOHM-WHALEY              CHARITY                  "</f>
        <v xml:space="preserve">HOHM-WHALEY              CHARITY                  </v>
      </c>
      <c r="E15450" t="str">
        <f>"MAGEE                     "</f>
        <v xml:space="preserve">MAGEE                     </v>
      </c>
      <c r="F15450" t="str">
        <f t="shared" si="392"/>
        <v>MS</v>
      </c>
    </row>
    <row r="15451" spans="1:6" x14ac:dyDescent="0.25">
      <c r="A15451" t="str">
        <f>"200003476"</f>
        <v>200003476</v>
      </c>
      <c r="B15451" t="str">
        <f>"1750395489"</f>
        <v>1750395489</v>
      </c>
      <c r="C15451" t="str">
        <f>"207N00000X"</f>
        <v>207N00000X</v>
      </c>
      <c r="D15451" t="str">
        <f>"BURROW                   WILLIAM                  "</f>
        <v xml:space="preserve">BURROW                   WILLIAM                  </v>
      </c>
      <c r="E15451" t="str">
        <f>"FLOWOOD                   "</f>
        <v xml:space="preserve">FLOWOOD                   </v>
      </c>
      <c r="F15451" t="str">
        <f t="shared" si="392"/>
        <v>MS</v>
      </c>
    </row>
    <row r="15452" spans="1:6" x14ac:dyDescent="0.25">
      <c r="A15452" t="str">
        <f>"200003477"</f>
        <v>200003477</v>
      </c>
      <c r="B15452" t="str">
        <f>"1700507951"</f>
        <v>1700507951</v>
      </c>
      <c r="C15452" t="str">
        <f>"122300000X"</f>
        <v>122300000X</v>
      </c>
      <c r="D15452" t="str">
        <f>"ALLEN                    SAMANTHA     L           "</f>
        <v xml:space="preserve">ALLEN                    SAMANTHA     L           </v>
      </c>
      <c r="E15452" t="str">
        <f>"SARTIS                    "</f>
        <v xml:space="preserve">SARTIS                    </v>
      </c>
      <c r="F15452" t="str">
        <f t="shared" si="392"/>
        <v>MS</v>
      </c>
    </row>
    <row r="15453" spans="1:6" x14ac:dyDescent="0.25">
      <c r="A15453" t="str">
        <f>"200003479"</f>
        <v>200003479</v>
      </c>
      <c r="B15453" t="str">
        <f>"1902300023"</f>
        <v>1902300023</v>
      </c>
      <c r="C15453" t="str">
        <f>"207R00000X"</f>
        <v>207R00000X</v>
      </c>
      <c r="D15453" t="str">
        <f>"PHILYAW                  LANCE                    "</f>
        <v xml:space="preserve">PHILYAW                  LANCE                    </v>
      </c>
      <c r="E15453" t="str">
        <f>"OCEAN SPRINGS             "</f>
        <v xml:space="preserve">OCEAN SPRINGS             </v>
      </c>
      <c r="F15453" t="str">
        <f t="shared" si="392"/>
        <v>MS</v>
      </c>
    </row>
    <row r="15454" spans="1:6" x14ac:dyDescent="0.25">
      <c r="A15454" t="str">
        <f>"200003480"</f>
        <v>200003480</v>
      </c>
      <c r="B15454" t="str">
        <f>"1487373254"</f>
        <v>1487373254</v>
      </c>
      <c r="C15454" t="str">
        <f t="shared" ref="C15454:C15460" si="393">"363L00000X"</f>
        <v>363L00000X</v>
      </c>
      <c r="D15454" t="str">
        <f>"CASEY                    HESTER       L           "</f>
        <v xml:space="preserve">CASEY                    HESTER       L           </v>
      </c>
      <c r="E15454" t="str">
        <f>"OXFORD                    "</f>
        <v xml:space="preserve">OXFORD                    </v>
      </c>
      <c r="F15454" t="str">
        <f t="shared" si="392"/>
        <v>MS</v>
      </c>
    </row>
    <row r="15455" spans="1:6" x14ac:dyDescent="0.25">
      <c r="A15455" t="str">
        <f>"200003497"</f>
        <v>200003497</v>
      </c>
      <c r="B15455" t="str">
        <f>"1225752488"</f>
        <v>1225752488</v>
      </c>
      <c r="C15455" t="str">
        <f t="shared" si="393"/>
        <v>363L00000X</v>
      </c>
      <c r="D15455" t="str">
        <f>"CERRA                    BAILEE                   "</f>
        <v xml:space="preserve">CERRA                    BAILEE                   </v>
      </c>
      <c r="E15455" t="str">
        <f>"ELLISVILLE                "</f>
        <v xml:space="preserve">ELLISVILLE                </v>
      </c>
      <c r="F15455" t="str">
        <f t="shared" si="392"/>
        <v>MS</v>
      </c>
    </row>
    <row r="15456" spans="1:6" x14ac:dyDescent="0.25">
      <c r="A15456" t="str">
        <f>"200003503"</f>
        <v>200003503</v>
      </c>
      <c r="B15456" t="str">
        <f>"1407569379"</f>
        <v>1407569379</v>
      </c>
      <c r="C15456" t="str">
        <f t="shared" si="393"/>
        <v>363L00000X</v>
      </c>
      <c r="D15456" t="str">
        <f>"TOMAJIAN                 ALINE        A           "</f>
        <v xml:space="preserve">TOMAJIAN                 ALINE        A           </v>
      </c>
      <c r="E15456" t="str">
        <f>"GULFPORT                  "</f>
        <v xml:space="preserve">GULFPORT                  </v>
      </c>
      <c r="F15456" t="str">
        <f t="shared" si="392"/>
        <v>MS</v>
      </c>
    </row>
    <row r="15457" spans="1:6" x14ac:dyDescent="0.25">
      <c r="A15457" t="str">
        <f>"200003528"</f>
        <v>200003528</v>
      </c>
      <c r="B15457" t="str">
        <f>"1417467168"</f>
        <v>1417467168</v>
      </c>
      <c r="C15457" t="str">
        <f t="shared" si="393"/>
        <v>363L00000X</v>
      </c>
      <c r="D15457" t="str">
        <f>"BUTLER                   JASON        M           "</f>
        <v xml:space="preserve">BUTLER                   JASON        M           </v>
      </c>
      <c r="E15457" t="str">
        <f>"FLOWOOD                   "</f>
        <v xml:space="preserve">FLOWOOD                   </v>
      </c>
      <c r="F15457" t="str">
        <f t="shared" si="392"/>
        <v>MS</v>
      </c>
    </row>
    <row r="15458" spans="1:6" x14ac:dyDescent="0.25">
      <c r="A15458" t="str">
        <f>"200003530"</f>
        <v>200003530</v>
      </c>
      <c r="B15458" t="str">
        <f>"1124764279"</f>
        <v>1124764279</v>
      </c>
      <c r="C15458" t="str">
        <f t="shared" si="393"/>
        <v>363L00000X</v>
      </c>
      <c r="D15458" t="str">
        <f>"BRANDON                  BRENDA                   "</f>
        <v xml:space="preserve">BRANDON                  BRENDA                   </v>
      </c>
      <c r="E15458" t="str">
        <f>"PLANTERSVILLE             "</f>
        <v xml:space="preserve">PLANTERSVILLE             </v>
      </c>
      <c r="F15458" t="str">
        <f t="shared" si="392"/>
        <v>MS</v>
      </c>
    </row>
    <row r="15459" spans="1:6" x14ac:dyDescent="0.25">
      <c r="A15459" t="str">
        <f>"200003552"</f>
        <v>200003552</v>
      </c>
      <c r="B15459" t="str">
        <f>"1033744065"</f>
        <v>1033744065</v>
      </c>
      <c r="C15459" t="str">
        <f t="shared" si="393"/>
        <v>363L00000X</v>
      </c>
      <c r="D15459" t="str">
        <f>"RAYMOND                  TAWANA       C           "</f>
        <v xml:space="preserve">RAYMOND                  TAWANA       C           </v>
      </c>
      <c r="E15459" t="str">
        <f>"JACKSON                   "</f>
        <v xml:space="preserve">JACKSON                   </v>
      </c>
      <c r="F15459" t="str">
        <f t="shared" si="392"/>
        <v>MS</v>
      </c>
    </row>
    <row r="15460" spans="1:6" x14ac:dyDescent="0.25">
      <c r="A15460" t="str">
        <f>"200003562"</f>
        <v>200003562</v>
      </c>
      <c r="B15460" t="str">
        <f>"1215630413"</f>
        <v>1215630413</v>
      </c>
      <c r="C15460" t="str">
        <f t="shared" si="393"/>
        <v>363L00000X</v>
      </c>
      <c r="D15460" t="str">
        <f>"HUTTO                    YVONNE                   "</f>
        <v xml:space="preserve">HUTTO                    YVONNE                   </v>
      </c>
      <c r="E15460" t="str">
        <f>"HATTIESBURG               "</f>
        <v xml:space="preserve">HATTIESBURG               </v>
      </c>
      <c r="F15460" t="str">
        <f t="shared" si="392"/>
        <v>MS</v>
      </c>
    </row>
    <row r="15461" spans="1:6" x14ac:dyDescent="0.25">
      <c r="A15461" t="str">
        <f>"200003569"</f>
        <v>200003569</v>
      </c>
      <c r="B15461" t="str">
        <f>"1528273125"</f>
        <v>1528273125</v>
      </c>
      <c r="C15461" t="str">
        <f>"367500000X"</f>
        <v>367500000X</v>
      </c>
      <c r="D15461" t="str">
        <f>"NOBLES                   CHARLES                  "</f>
        <v xml:space="preserve">NOBLES                   CHARLES                  </v>
      </c>
      <c r="E15461" t="str">
        <f>"JACKSON                   "</f>
        <v xml:space="preserve">JACKSON                   </v>
      </c>
      <c r="F15461" t="str">
        <f t="shared" si="392"/>
        <v>MS</v>
      </c>
    </row>
    <row r="15462" spans="1:6" x14ac:dyDescent="0.25">
      <c r="A15462" t="str">
        <f>"200003575"</f>
        <v>200003575</v>
      </c>
      <c r="B15462" t="str">
        <f>"1396474144"</f>
        <v>1396474144</v>
      </c>
      <c r="C15462" t="str">
        <f>"152W00000X"</f>
        <v>152W00000X</v>
      </c>
      <c r="D15462" t="str">
        <f>"EYE CLINIC OF QUITMAN PLLC                        "</f>
        <v xml:space="preserve">EYE CLINIC OF QUITMAN PLLC                        </v>
      </c>
      <c r="E15462" t="str">
        <f>"QUITMAN                   "</f>
        <v xml:space="preserve">QUITMAN                   </v>
      </c>
      <c r="F15462" t="str">
        <f t="shared" si="392"/>
        <v>MS</v>
      </c>
    </row>
    <row r="15463" spans="1:6" x14ac:dyDescent="0.25">
      <c r="A15463" t="str">
        <f>"200003577"</f>
        <v>200003577</v>
      </c>
      <c r="B15463" t="str">
        <f>"1952009805"</f>
        <v>1952009805</v>
      </c>
      <c r="C15463" t="str">
        <f>"363L00000X"</f>
        <v>363L00000X</v>
      </c>
      <c r="D15463" t="str">
        <f>"BALEY                    SMITH                    "</f>
        <v xml:space="preserve">BALEY                    SMITH                    </v>
      </c>
      <c r="E15463" t="str">
        <f>"BAY SPRINGS               "</f>
        <v xml:space="preserve">BAY SPRINGS               </v>
      </c>
      <c r="F15463" t="str">
        <f t="shared" si="392"/>
        <v>MS</v>
      </c>
    </row>
    <row r="15464" spans="1:6" x14ac:dyDescent="0.25">
      <c r="A15464" t="str">
        <f>"200003588"</f>
        <v>200003588</v>
      </c>
      <c r="B15464" t="str">
        <f>"1568832483"</f>
        <v>1568832483</v>
      </c>
      <c r="C15464" t="str">
        <f>"152W00000X"</f>
        <v>152W00000X</v>
      </c>
      <c r="D15464" t="str">
        <f>"DOOLEY                   JENNIFER                 "</f>
        <v xml:space="preserve">DOOLEY                   JENNIFER                 </v>
      </c>
      <c r="E15464" t="str">
        <f>"MERIDIAN                  "</f>
        <v xml:space="preserve">MERIDIAN                  </v>
      </c>
      <c r="F15464" t="str">
        <f t="shared" si="392"/>
        <v>MS</v>
      </c>
    </row>
    <row r="15465" spans="1:6" x14ac:dyDescent="0.25">
      <c r="A15465" t="str">
        <f>"200003593"</f>
        <v>200003593</v>
      </c>
      <c r="B15465" t="str">
        <f>"1558503698"</f>
        <v>1558503698</v>
      </c>
      <c r="C15465" t="str">
        <f>"363L00000X"</f>
        <v>363L00000X</v>
      </c>
      <c r="D15465" t="str">
        <f>"CHAMBERS                 MARTHA       M           "</f>
        <v xml:space="preserve">CHAMBERS                 MARTHA       M           </v>
      </c>
      <c r="E15465" t="str">
        <f>"FLOWOOD                   "</f>
        <v xml:space="preserve">FLOWOOD                   </v>
      </c>
      <c r="F15465" t="str">
        <f t="shared" si="392"/>
        <v>MS</v>
      </c>
    </row>
    <row r="15466" spans="1:6" x14ac:dyDescent="0.25">
      <c r="A15466" t="str">
        <f>"200003600"</f>
        <v>200003600</v>
      </c>
      <c r="B15466" t="str">
        <f>"1104563089"</f>
        <v>1104563089</v>
      </c>
      <c r="C15466" t="str">
        <f>"363LP0808X"</f>
        <v>363LP0808X</v>
      </c>
      <c r="D15466" t="str">
        <f>"MCDONALD                 MONICA                   "</f>
        <v xml:space="preserve">MCDONALD                 MONICA                   </v>
      </c>
      <c r="E15466" t="str">
        <f>"GULFPORT                  "</f>
        <v xml:space="preserve">GULFPORT                  </v>
      </c>
      <c r="F15466" t="str">
        <f t="shared" si="392"/>
        <v>MS</v>
      </c>
    </row>
    <row r="15467" spans="1:6" x14ac:dyDescent="0.25">
      <c r="A15467" t="str">
        <f>"200003606"</f>
        <v>200003606</v>
      </c>
      <c r="B15467" t="str">
        <f>"1780859652"</f>
        <v>1780859652</v>
      </c>
      <c r="C15467" t="str">
        <f>"207P00000X"</f>
        <v>207P00000X</v>
      </c>
      <c r="D15467" t="str">
        <f>"PATEL                    SIMAL                    "</f>
        <v xml:space="preserve">PATEL                    SIMAL                    </v>
      </c>
      <c r="E15467" t="str">
        <f>"GULFPORT                  "</f>
        <v xml:space="preserve">GULFPORT                  </v>
      </c>
      <c r="F15467" t="str">
        <f t="shared" si="392"/>
        <v>MS</v>
      </c>
    </row>
    <row r="15468" spans="1:6" x14ac:dyDescent="0.25">
      <c r="A15468" t="str">
        <f>"200003607"</f>
        <v>200003607</v>
      </c>
      <c r="B15468" t="str">
        <f>"1245249184"</f>
        <v>1245249184</v>
      </c>
      <c r="C15468" t="str">
        <f>"2084P0800X"</f>
        <v>2084P0800X</v>
      </c>
      <c r="D15468" t="str">
        <f>"TOUCHSTONE               WILLIAM      J           "</f>
        <v xml:space="preserve">TOUCHSTONE               WILLIAM      J           </v>
      </c>
      <c r="E15468" t="str">
        <f>"COLUMBUS                  "</f>
        <v xml:space="preserve">COLUMBUS                  </v>
      </c>
      <c r="F15468" t="str">
        <f t="shared" si="392"/>
        <v>MS</v>
      </c>
    </row>
    <row r="15469" spans="1:6" x14ac:dyDescent="0.25">
      <c r="A15469" t="str">
        <f>"200003609"</f>
        <v>200003609</v>
      </c>
      <c r="B15469" t="str">
        <f>"1295352649"</f>
        <v>1295352649</v>
      </c>
      <c r="C15469" t="str">
        <f>"207P00000X"</f>
        <v>207P00000X</v>
      </c>
      <c r="D15469" t="str">
        <f>"THOMAS                   JORDAN                   "</f>
        <v xml:space="preserve">THOMAS                   JORDAN                   </v>
      </c>
      <c r="E15469" t="str">
        <f>"HAZLEHURST                "</f>
        <v xml:space="preserve">HAZLEHURST                </v>
      </c>
      <c r="F15469" t="str">
        <f t="shared" si="392"/>
        <v>MS</v>
      </c>
    </row>
    <row r="15470" spans="1:6" x14ac:dyDescent="0.25">
      <c r="A15470" t="str">
        <f>"200003611"</f>
        <v>200003611</v>
      </c>
      <c r="B15470" t="str">
        <f>"1316529241"</f>
        <v>1316529241</v>
      </c>
      <c r="C15470" t="str">
        <f>"363L00000X"</f>
        <v>363L00000X</v>
      </c>
      <c r="D15470" t="str">
        <f>"JACKSON                  LAUREN       H           "</f>
        <v xml:space="preserve">JACKSON                  LAUREN       H           </v>
      </c>
      <c r="E15470" t="str">
        <f>"JACKSON                   "</f>
        <v xml:space="preserve">JACKSON                   </v>
      </c>
      <c r="F15470" t="str">
        <f t="shared" si="392"/>
        <v>MS</v>
      </c>
    </row>
    <row r="15471" spans="1:6" x14ac:dyDescent="0.25">
      <c r="A15471" t="str">
        <f>"200003612"</f>
        <v>200003612</v>
      </c>
      <c r="B15471" t="str">
        <f>"1932641255"</f>
        <v>1932641255</v>
      </c>
      <c r="C15471" t="str">
        <f>"363L00000X"</f>
        <v>363L00000X</v>
      </c>
      <c r="D15471" t="str">
        <f>"MORRIS                   JORDAN                   "</f>
        <v xml:space="preserve">MORRIS                   JORDAN                   </v>
      </c>
      <c r="E15471" t="str">
        <f>"FLOWOOD                   "</f>
        <v xml:space="preserve">FLOWOOD                   </v>
      </c>
      <c r="F15471" t="str">
        <f t="shared" si="392"/>
        <v>MS</v>
      </c>
    </row>
    <row r="15472" spans="1:6" x14ac:dyDescent="0.25">
      <c r="A15472" t="str">
        <f>"200003613"</f>
        <v>200003613</v>
      </c>
      <c r="B15472" t="str">
        <f>"1265540603"</f>
        <v>1265540603</v>
      </c>
      <c r="C15472" t="str">
        <f>"207Q00000X"</f>
        <v>207Q00000X</v>
      </c>
      <c r="D15472" t="str">
        <f>"PARTRIGE                 ROBERT       K           "</f>
        <v xml:space="preserve">PARTRIGE                 ROBERT       K           </v>
      </c>
      <c r="E15472" t="str">
        <f>"WIGGINS                   "</f>
        <v xml:space="preserve">WIGGINS                   </v>
      </c>
      <c r="F15472" t="str">
        <f t="shared" si="392"/>
        <v>MS</v>
      </c>
    </row>
    <row r="15473" spans="1:6" x14ac:dyDescent="0.25">
      <c r="A15473" t="str">
        <f>"200003615"</f>
        <v>200003615</v>
      </c>
      <c r="B15473" t="str">
        <f>"1699296079"</f>
        <v>1699296079</v>
      </c>
      <c r="C15473" t="str">
        <f>"2080N0001X"</f>
        <v>2080N0001X</v>
      </c>
      <c r="D15473" t="str">
        <f>"ADELEKE                  OMOLORO      N           "</f>
        <v xml:space="preserve">ADELEKE                  OMOLORO      N           </v>
      </c>
      <c r="E15473" t="str">
        <f>"TUPELO                    "</f>
        <v xml:space="preserve">TUPELO                    </v>
      </c>
      <c r="F15473" t="str">
        <f t="shared" si="392"/>
        <v>MS</v>
      </c>
    </row>
    <row r="15474" spans="1:6" x14ac:dyDescent="0.25">
      <c r="A15474" t="str">
        <f>"200003634"</f>
        <v>200003634</v>
      </c>
      <c r="B15474" t="str">
        <f>"1538825252"</f>
        <v>1538825252</v>
      </c>
      <c r="C15474" t="str">
        <f>"363L00000X"</f>
        <v>363L00000X</v>
      </c>
      <c r="D15474" t="str">
        <f>"PEARSON                  GRACE                    "</f>
        <v xml:space="preserve">PEARSON                  GRACE                    </v>
      </c>
      <c r="E15474" t="str">
        <f>"GULFPORT                  "</f>
        <v xml:space="preserve">GULFPORT                  </v>
      </c>
      <c r="F15474" t="str">
        <f t="shared" si="392"/>
        <v>MS</v>
      </c>
    </row>
    <row r="15475" spans="1:6" x14ac:dyDescent="0.25">
      <c r="A15475" t="str">
        <f>"200003637"</f>
        <v>200003637</v>
      </c>
      <c r="B15475" t="str">
        <f>"1407482953"</f>
        <v>1407482953</v>
      </c>
      <c r="C15475" t="str">
        <f>"363L00000X"</f>
        <v>363L00000X</v>
      </c>
      <c r="D15475" t="str">
        <f>"DAY                      NIA          T           "</f>
        <v xml:space="preserve">DAY                      NIA          T           </v>
      </c>
      <c r="E15475" t="str">
        <f>"FLOWOOD                   "</f>
        <v xml:space="preserve">FLOWOOD                   </v>
      </c>
      <c r="F15475" t="str">
        <f t="shared" si="392"/>
        <v>MS</v>
      </c>
    </row>
    <row r="15476" spans="1:6" x14ac:dyDescent="0.25">
      <c r="A15476" t="str">
        <f>"200003642"</f>
        <v>200003642</v>
      </c>
      <c r="B15476" t="str">
        <f>"1730883661"</f>
        <v>1730883661</v>
      </c>
      <c r="C15476" t="str">
        <f>"363L00000X"</f>
        <v>363L00000X</v>
      </c>
      <c r="D15476" t="str">
        <f>"SMITH                    MICHELLE                 "</f>
        <v xml:space="preserve">SMITH                    MICHELLE                 </v>
      </c>
      <c r="E15476" t="str">
        <f>"JACKSON                   "</f>
        <v xml:space="preserve">JACKSON                   </v>
      </c>
      <c r="F15476" t="str">
        <f t="shared" si="392"/>
        <v>MS</v>
      </c>
    </row>
    <row r="15477" spans="1:6" x14ac:dyDescent="0.25">
      <c r="A15477" t="str">
        <f>"200003643"</f>
        <v>200003643</v>
      </c>
      <c r="B15477" t="str">
        <f>"1245975499"</f>
        <v>1245975499</v>
      </c>
      <c r="C15477" t="str">
        <f>"261QM1300X"</f>
        <v>261QM1300X</v>
      </c>
      <c r="D15477" t="str">
        <f>"RESTORATION ESSENCE OF A LADY ACUTE PHP           "</f>
        <v xml:space="preserve">RESTORATION ESSENCE OF A LADY ACUTE PHP           </v>
      </c>
      <c r="E15477" t="str">
        <f>"BELZONI                   "</f>
        <v xml:space="preserve">BELZONI                   </v>
      </c>
      <c r="F15477" t="str">
        <f t="shared" si="392"/>
        <v>MS</v>
      </c>
    </row>
    <row r="15478" spans="1:6" x14ac:dyDescent="0.25">
      <c r="A15478" t="str">
        <f>"200003651"</f>
        <v>200003651</v>
      </c>
      <c r="B15478" t="str">
        <f>"1730772617"</f>
        <v>1730772617</v>
      </c>
      <c r="C15478" t="str">
        <f>"363L00000X"</f>
        <v>363L00000X</v>
      </c>
      <c r="D15478" t="str">
        <f>"HESSION                  HEATHER                  "</f>
        <v xml:space="preserve">HESSION                  HEATHER                  </v>
      </c>
      <c r="E15478" t="str">
        <f>"MCCOMB                    "</f>
        <v xml:space="preserve">MCCOMB                    </v>
      </c>
      <c r="F15478" t="str">
        <f t="shared" si="392"/>
        <v>MS</v>
      </c>
    </row>
    <row r="15479" spans="1:6" x14ac:dyDescent="0.25">
      <c r="A15479" t="str">
        <f>"200003658"</f>
        <v>200003658</v>
      </c>
      <c r="B15479" t="str">
        <f>"1487089546"</f>
        <v>1487089546</v>
      </c>
      <c r="C15479" t="str">
        <f>"363L00000X"</f>
        <v>363L00000X</v>
      </c>
      <c r="D15479" t="str">
        <f>"BOURNES                  DORETHA      B           "</f>
        <v xml:space="preserve">BOURNES                  DORETHA      B           </v>
      </c>
      <c r="E15479" t="str">
        <f>"FLOWOOD                   "</f>
        <v xml:space="preserve">FLOWOOD                   </v>
      </c>
      <c r="F15479" t="str">
        <f t="shared" si="392"/>
        <v>MS</v>
      </c>
    </row>
    <row r="15480" spans="1:6" x14ac:dyDescent="0.25">
      <c r="A15480" t="str">
        <f>"200003665"</f>
        <v>200003665</v>
      </c>
      <c r="B15480" t="str">
        <f>"1942914833"</f>
        <v>1942914833</v>
      </c>
      <c r="C15480" t="str">
        <f>"367500000X"</f>
        <v>367500000X</v>
      </c>
      <c r="D15480" t="str">
        <f>"LEBLANC                  LUKE                     "</f>
        <v xml:space="preserve">LEBLANC                  LUKE                     </v>
      </c>
      <c r="E15480" t="str">
        <f>"FLOWOOD                   "</f>
        <v xml:space="preserve">FLOWOOD                   </v>
      </c>
      <c r="F15480" t="str">
        <f t="shared" si="392"/>
        <v>MS</v>
      </c>
    </row>
    <row r="15481" spans="1:6" x14ac:dyDescent="0.25">
      <c r="A15481" t="str">
        <f>"200003669"</f>
        <v>200003669</v>
      </c>
      <c r="B15481" t="str">
        <f>"1326434564"</f>
        <v>1326434564</v>
      </c>
      <c r="C15481" t="str">
        <f>"363L00000X"</f>
        <v>363L00000X</v>
      </c>
      <c r="D15481" t="str">
        <f>"HILL                     ELIZABETH    B           "</f>
        <v xml:space="preserve">HILL                     ELIZABETH    B           </v>
      </c>
      <c r="E15481" t="str">
        <f>"FLOWOOD                   "</f>
        <v xml:space="preserve">FLOWOOD                   </v>
      </c>
      <c r="F15481" t="str">
        <f t="shared" si="392"/>
        <v>MS</v>
      </c>
    </row>
    <row r="15482" spans="1:6" x14ac:dyDescent="0.25">
      <c r="A15482" t="str">
        <f>"200003670"</f>
        <v>200003670</v>
      </c>
      <c r="B15482" t="str">
        <f>"1780278739"</f>
        <v>1780278739</v>
      </c>
      <c r="C15482" t="str">
        <f>"363L00000X"</f>
        <v>363L00000X</v>
      </c>
      <c r="D15482" t="str">
        <f>"BOWMAN                   HANNAH                   "</f>
        <v xml:space="preserve">BOWMAN                   HANNAH                   </v>
      </c>
      <c r="E15482" t="str">
        <f>"ACKERMAN                  "</f>
        <v xml:space="preserve">ACKERMAN                  </v>
      </c>
      <c r="F15482" t="str">
        <f t="shared" si="392"/>
        <v>MS</v>
      </c>
    </row>
    <row r="15483" spans="1:6" x14ac:dyDescent="0.25">
      <c r="A15483" t="str">
        <f>"200003679"</f>
        <v>200003679</v>
      </c>
      <c r="B15483" t="str">
        <f>"1518420827"</f>
        <v>1518420827</v>
      </c>
      <c r="C15483" t="str">
        <f>"207N00000X"</f>
        <v>207N00000X</v>
      </c>
      <c r="D15483" t="str">
        <f>"ORTEGO                   JOSHUA       R           "</f>
        <v xml:space="preserve">ORTEGO                   JOSHUA       R           </v>
      </c>
      <c r="E15483" t="str">
        <f>"GAUTIER                   "</f>
        <v xml:space="preserve">GAUTIER                   </v>
      </c>
      <c r="F15483" t="str">
        <f t="shared" si="392"/>
        <v>MS</v>
      </c>
    </row>
    <row r="15484" spans="1:6" x14ac:dyDescent="0.25">
      <c r="A15484" t="str">
        <f>"200003682"</f>
        <v>200003682</v>
      </c>
      <c r="B15484" t="str">
        <f>"1962122762"</f>
        <v>1962122762</v>
      </c>
      <c r="C15484" t="str">
        <f>"363L00000X"</f>
        <v>363L00000X</v>
      </c>
      <c r="D15484" t="str">
        <f>"JOHNSON                  KINSEY                   "</f>
        <v xml:space="preserve">JOHNSON                  KINSEY                   </v>
      </c>
      <c r="E15484" t="str">
        <f>"SOUTHAVEN                 "</f>
        <v xml:space="preserve">SOUTHAVEN                 </v>
      </c>
      <c r="F15484" t="str">
        <f t="shared" si="392"/>
        <v>MS</v>
      </c>
    </row>
    <row r="15485" spans="1:6" x14ac:dyDescent="0.25">
      <c r="A15485" t="str">
        <f>"200003691"</f>
        <v>200003691</v>
      </c>
      <c r="B15485" t="str">
        <f>"1871161026"</f>
        <v>1871161026</v>
      </c>
      <c r="C15485" t="str">
        <f>"367500000X"</f>
        <v>367500000X</v>
      </c>
      <c r="D15485" t="str">
        <f>"HUSSER                   TRAVIS                   "</f>
        <v xml:space="preserve">HUSSER                   TRAVIS                   </v>
      </c>
      <c r="E15485" t="str">
        <f>"JACKSON                   "</f>
        <v xml:space="preserve">JACKSON                   </v>
      </c>
      <c r="F15485" t="str">
        <f t="shared" si="392"/>
        <v>MS</v>
      </c>
    </row>
    <row r="15486" spans="1:6" x14ac:dyDescent="0.25">
      <c r="A15486" t="str">
        <f>"200003692"</f>
        <v>200003692</v>
      </c>
      <c r="B15486" t="str">
        <f>"1932836756"</f>
        <v>1932836756</v>
      </c>
      <c r="C15486" t="str">
        <f>"363L00000X"</f>
        <v>363L00000X</v>
      </c>
      <c r="D15486" t="str">
        <f>"DEW                      GWEN                     "</f>
        <v xml:space="preserve">DEW                      GWEN                     </v>
      </c>
      <c r="E15486" t="str">
        <f>"JACKSON                   "</f>
        <v xml:space="preserve">JACKSON                   </v>
      </c>
      <c r="F15486" t="str">
        <f t="shared" ref="F15486:F15549" si="394">"MS"</f>
        <v>MS</v>
      </c>
    </row>
    <row r="15487" spans="1:6" x14ac:dyDescent="0.25">
      <c r="A15487" t="str">
        <f>"200003693"</f>
        <v>200003693</v>
      </c>
      <c r="B15487" t="str">
        <f>"1831819820"</f>
        <v>1831819820</v>
      </c>
      <c r="C15487" t="str">
        <f>"261QM1300X"</f>
        <v>261QM1300X</v>
      </c>
      <c r="D15487" t="str">
        <f>"MED360 PLLC                                       "</f>
        <v xml:space="preserve">MED360 PLLC                                       </v>
      </c>
      <c r="E15487" t="str">
        <f>"COLUMBIA                  "</f>
        <v xml:space="preserve">COLUMBIA                  </v>
      </c>
      <c r="F15487" t="str">
        <f t="shared" si="394"/>
        <v>MS</v>
      </c>
    </row>
    <row r="15488" spans="1:6" x14ac:dyDescent="0.25">
      <c r="A15488" t="str">
        <f>"200003697"</f>
        <v>200003697</v>
      </c>
      <c r="B15488" t="str">
        <f>"1073262911"</f>
        <v>1073262911</v>
      </c>
      <c r="C15488" t="str">
        <f>"363L00000X"</f>
        <v>363L00000X</v>
      </c>
      <c r="D15488" t="str">
        <f>"KAY                      JACOB                    "</f>
        <v xml:space="preserve">KAY                      JACOB                    </v>
      </c>
      <c r="E15488" t="str">
        <f>"HATTIESBURG               "</f>
        <v xml:space="preserve">HATTIESBURG               </v>
      </c>
      <c r="F15488" t="str">
        <f t="shared" si="394"/>
        <v>MS</v>
      </c>
    </row>
    <row r="15489" spans="1:6" x14ac:dyDescent="0.25">
      <c r="A15489" t="str">
        <f>"200003716"</f>
        <v>200003716</v>
      </c>
      <c r="B15489" t="str">
        <f>"1700034451"</f>
        <v>1700034451</v>
      </c>
      <c r="C15489" t="str">
        <f>"207ZP0102X"</f>
        <v>207ZP0102X</v>
      </c>
      <c r="D15489" t="str">
        <f>"YOUNG GAYLOR             LAFARRA                  "</f>
        <v xml:space="preserve">YOUNG GAYLOR             LAFARRA                  </v>
      </c>
      <c r="E15489" t="str">
        <f>"BROOKHAVEN                "</f>
        <v xml:space="preserve">BROOKHAVEN                </v>
      </c>
      <c r="F15489" t="str">
        <f t="shared" si="394"/>
        <v>MS</v>
      </c>
    </row>
    <row r="15490" spans="1:6" x14ac:dyDescent="0.25">
      <c r="A15490" t="str">
        <f>"200003725"</f>
        <v>200003725</v>
      </c>
      <c r="B15490" t="str">
        <f>"1982001632"</f>
        <v>1982001632</v>
      </c>
      <c r="C15490" t="str">
        <f>"363L00000X"</f>
        <v>363L00000X</v>
      </c>
      <c r="D15490" t="str">
        <f>"BUTLER                   CATINA       S           "</f>
        <v xml:space="preserve">BUTLER                   CATINA       S           </v>
      </c>
      <c r="E15490" t="str">
        <f>"FLOWOOD                   "</f>
        <v xml:space="preserve">FLOWOOD                   </v>
      </c>
      <c r="F15490" t="str">
        <f t="shared" si="394"/>
        <v>MS</v>
      </c>
    </row>
    <row r="15491" spans="1:6" x14ac:dyDescent="0.25">
      <c r="A15491" t="str">
        <f>"200003726"</f>
        <v>200003726</v>
      </c>
      <c r="B15491" t="str">
        <f>"1124038286"</f>
        <v>1124038286</v>
      </c>
      <c r="C15491" t="str">
        <f>"122300000X"</f>
        <v>122300000X</v>
      </c>
      <c r="D15491" t="str">
        <f>"SMITH                    RICHARD                  "</f>
        <v xml:space="preserve">SMITH                    RICHARD                  </v>
      </c>
      <c r="E15491" t="str">
        <f>"JACKSON                   "</f>
        <v xml:space="preserve">JACKSON                   </v>
      </c>
      <c r="F15491" t="str">
        <f t="shared" si="394"/>
        <v>MS</v>
      </c>
    </row>
    <row r="15492" spans="1:6" x14ac:dyDescent="0.25">
      <c r="A15492" t="str">
        <f>"200003737"</f>
        <v>200003737</v>
      </c>
      <c r="B15492" t="str">
        <f>"1831895911"</f>
        <v>1831895911</v>
      </c>
      <c r="C15492" t="str">
        <f>"261QM1300X"</f>
        <v>261QM1300X</v>
      </c>
      <c r="D15492" t="str">
        <f>"COVINGTON PLACE: THERAPY &amp; COUNSELING             "</f>
        <v xml:space="preserve">COVINGTON PLACE: THERAPY &amp; COUNSELING             </v>
      </c>
      <c r="E15492" t="str">
        <f>"COLLINS                   "</f>
        <v xml:space="preserve">COLLINS                   </v>
      </c>
      <c r="F15492" t="str">
        <f t="shared" si="394"/>
        <v>MS</v>
      </c>
    </row>
    <row r="15493" spans="1:6" x14ac:dyDescent="0.25">
      <c r="A15493" t="str">
        <f>"200003751"</f>
        <v>200003751</v>
      </c>
      <c r="B15493" t="str">
        <f>"1639884968"</f>
        <v>1639884968</v>
      </c>
      <c r="C15493" t="str">
        <f>"363L00000X"</f>
        <v>363L00000X</v>
      </c>
      <c r="D15493" t="str">
        <f>"MCCOY                    RACHEL                   "</f>
        <v xml:space="preserve">MCCOY                    RACHEL                   </v>
      </c>
      <c r="E15493" t="str">
        <f>"BATESVILLE                "</f>
        <v xml:space="preserve">BATESVILLE                </v>
      </c>
      <c r="F15493" t="str">
        <f t="shared" si="394"/>
        <v>MS</v>
      </c>
    </row>
    <row r="15494" spans="1:6" x14ac:dyDescent="0.25">
      <c r="A15494" t="str">
        <f>"200003757"</f>
        <v>200003757</v>
      </c>
      <c r="B15494" t="str">
        <f>"1497217608"</f>
        <v>1497217608</v>
      </c>
      <c r="C15494" t="str">
        <f>"207P00000X"</f>
        <v>207P00000X</v>
      </c>
      <c r="D15494" t="str">
        <f>"BROUSSARD                HEATH                    "</f>
        <v xml:space="preserve">BROUSSARD                HEATH                    </v>
      </c>
      <c r="E15494" t="str">
        <f>"FOREST                    "</f>
        <v xml:space="preserve">FOREST                    </v>
      </c>
      <c r="F15494" t="str">
        <f t="shared" si="394"/>
        <v>MS</v>
      </c>
    </row>
    <row r="15495" spans="1:6" x14ac:dyDescent="0.25">
      <c r="A15495" t="str">
        <f>"200003762"</f>
        <v>200003762</v>
      </c>
      <c r="B15495" t="str">
        <f>"1770938979"</f>
        <v>1770938979</v>
      </c>
      <c r="C15495" t="str">
        <f>"261QR1300X"</f>
        <v>261QR1300X</v>
      </c>
      <c r="D15495" t="str">
        <f>"TISHOMINGO HEALTH SERVICES, INC.                  "</f>
        <v xml:space="preserve">TISHOMINGO HEALTH SERVICES, INC.                  </v>
      </c>
      <c r="E15495" t="str">
        <f>"BURNSVILLE                "</f>
        <v xml:space="preserve">BURNSVILLE                </v>
      </c>
      <c r="F15495" t="str">
        <f t="shared" si="394"/>
        <v>MS</v>
      </c>
    </row>
    <row r="15496" spans="1:6" x14ac:dyDescent="0.25">
      <c r="A15496" t="str">
        <f>"200003763"</f>
        <v>200003763</v>
      </c>
      <c r="B15496" t="str">
        <f>"1689391815"</f>
        <v>1689391815</v>
      </c>
      <c r="C15496" t="str">
        <f>"261QF0400X"</f>
        <v>261QF0400X</v>
      </c>
      <c r="D15496" t="str">
        <f>"SOUTHEAST MISSISSIPPI RURAL HEALTH INITIATIVE INC "</f>
        <v xml:space="preserve">SOUTHEAST MISSISSIPPI RURAL HEALTH INITIATIVE INC </v>
      </c>
      <c r="E15496" t="str">
        <f>"HATTIESBURG               "</f>
        <v xml:space="preserve">HATTIESBURG               </v>
      </c>
      <c r="F15496" t="str">
        <f t="shared" si="394"/>
        <v>MS</v>
      </c>
    </row>
    <row r="15497" spans="1:6" x14ac:dyDescent="0.25">
      <c r="A15497" t="str">
        <f>"200003773"</f>
        <v>200003773</v>
      </c>
      <c r="B15497" t="str">
        <f t="shared" ref="B15497:B15502" si="395">"1851050579"</f>
        <v>1851050579</v>
      </c>
      <c r="C15497" t="str">
        <f t="shared" ref="C15497:C15502" si="396">"261QR1300X"</f>
        <v>261QR1300X</v>
      </c>
      <c r="D15497" t="str">
        <f t="shared" ref="D15497:D15502" si="397">"FAST PACE HEALTH                                  "</f>
        <v xml:space="preserve">FAST PACE HEALTH                                  </v>
      </c>
      <c r="E15497" t="str">
        <f>"GREENWOOD                 "</f>
        <v xml:space="preserve">GREENWOOD                 </v>
      </c>
      <c r="F15497" t="str">
        <f t="shared" si="394"/>
        <v>MS</v>
      </c>
    </row>
    <row r="15498" spans="1:6" x14ac:dyDescent="0.25">
      <c r="A15498" t="str">
        <f>"200003778"</f>
        <v>200003778</v>
      </c>
      <c r="B15498" t="str">
        <f t="shared" si="395"/>
        <v>1851050579</v>
      </c>
      <c r="C15498" t="str">
        <f t="shared" si="396"/>
        <v>261QR1300X</v>
      </c>
      <c r="D15498" t="str">
        <f t="shared" si="397"/>
        <v xml:space="preserve">FAST PACE HEALTH                                  </v>
      </c>
      <c r="E15498" t="str">
        <f>"GRENADA                   "</f>
        <v xml:space="preserve">GRENADA                   </v>
      </c>
      <c r="F15498" t="str">
        <f t="shared" si="394"/>
        <v>MS</v>
      </c>
    </row>
    <row r="15499" spans="1:6" x14ac:dyDescent="0.25">
      <c r="A15499" t="str">
        <f>"200003779"</f>
        <v>200003779</v>
      </c>
      <c r="B15499" t="str">
        <f t="shared" si="395"/>
        <v>1851050579</v>
      </c>
      <c r="C15499" t="str">
        <f t="shared" si="396"/>
        <v>261QR1300X</v>
      </c>
      <c r="D15499" t="str">
        <f t="shared" si="397"/>
        <v xml:space="preserve">FAST PACE HEALTH                                  </v>
      </c>
      <c r="E15499" t="str">
        <f>"HOLLY SPRINGS             "</f>
        <v xml:space="preserve">HOLLY SPRINGS             </v>
      </c>
      <c r="F15499" t="str">
        <f t="shared" si="394"/>
        <v>MS</v>
      </c>
    </row>
    <row r="15500" spans="1:6" x14ac:dyDescent="0.25">
      <c r="A15500" t="str">
        <f>"200003781"</f>
        <v>200003781</v>
      </c>
      <c r="B15500" t="str">
        <f t="shared" si="395"/>
        <v>1851050579</v>
      </c>
      <c r="C15500" t="str">
        <f t="shared" si="396"/>
        <v>261QR1300X</v>
      </c>
      <c r="D15500" t="str">
        <f t="shared" si="397"/>
        <v xml:space="preserve">FAST PACE HEALTH                                  </v>
      </c>
      <c r="E15500" t="str">
        <f>"BROOKHAVEN                "</f>
        <v xml:space="preserve">BROOKHAVEN                </v>
      </c>
      <c r="F15500" t="str">
        <f t="shared" si="394"/>
        <v>MS</v>
      </c>
    </row>
    <row r="15501" spans="1:6" x14ac:dyDescent="0.25">
      <c r="A15501" t="str">
        <f>"200003782"</f>
        <v>200003782</v>
      </c>
      <c r="B15501" t="str">
        <f t="shared" si="395"/>
        <v>1851050579</v>
      </c>
      <c r="C15501" t="str">
        <f t="shared" si="396"/>
        <v>261QR1300X</v>
      </c>
      <c r="D15501" t="str">
        <f t="shared" si="397"/>
        <v xml:space="preserve">FAST PACE HEALTH                                  </v>
      </c>
      <c r="E15501" t="str">
        <f>"FOREST                    "</f>
        <v xml:space="preserve">FOREST                    </v>
      </c>
      <c r="F15501" t="str">
        <f t="shared" si="394"/>
        <v>MS</v>
      </c>
    </row>
    <row r="15502" spans="1:6" x14ac:dyDescent="0.25">
      <c r="A15502" t="str">
        <f>"200003787"</f>
        <v>200003787</v>
      </c>
      <c r="B15502" t="str">
        <f t="shared" si="395"/>
        <v>1851050579</v>
      </c>
      <c r="C15502" t="str">
        <f t="shared" si="396"/>
        <v>261QR1300X</v>
      </c>
      <c r="D15502" t="str">
        <f t="shared" si="397"/>
        <v xml:space="preserve">FAST PACE HEALTH                                  </v>
      </c>
      <c r="E15502" t="str">
        <f>"RIPLEY                    "</f>
        <v xml:space="preserve">RIPLEY                    </v>
      </c>
      <c r="F15502" t="str">
        <f t="shared" si="394"/>
        <v>MS</v>
      </c>
    </row>
    <row r="15503" spans="1:6" x14ac:dyDescent="0.25">
      <c r="A15503" t="str">
        <f>"200003788"</f>
        <v>200003788</v>
      </c>
      <c r="B15503" t="str">
        <f>"1427759513"</f>
        <v>1427759513</v>
      </c>
      <c r="C15503" t="str">
        <f>"363A00000X"</f>
        <v>363A00000X</v>
      </c>
      <c r="D15503" t="str">
        <f>"DEES                     MEGANN       P           "</f>
        <v xml:space="preserve">DEES                     MEGANN       P           </v>
      </c>
      <c r="E15503" t="str">
        <f>"VICKSBURG                 "</f>
        <v xml:space="preserve">VICKSBURG                 </v>
      </c>
      <c r="F15503" t="str">
        <f t="shared" si="394"/>
        <v>MS</v>
      </c>
    </row>
    <row r="15504" spans="1:6" x14ac:dyDescent="0.25">
      <c r="A15504" t="str">
        <f>"200003810"</f>
        <v>200003810</v>
      </c>
      <c r="B15504" t="str">
        <f>"1912297557"</f>
        <v>1912297557</v>
      </c>
      <c r="C15504" t="str">
        <f>"2086S0129X"</f>
        <v>2086S0129X</v>
      </c>
      <c r="D15504" t="str">
        <f>"SHUKLA                   MRINAL                   "</f>
        <v xml:space="preserve">SHUKLA                   MRINAL                   </v>
      </c>
      <c r="E15504" t="str">
        <f>"JACKSON                   "</f>
        <v xml:space="preserve">JACKSON                   </v>
      </c>
      <c r="F15504" t="str">
        <f t="shared" si="394"/>
        <v>MS</v>
      </c>
    </row>
    <row r="15505" spans="1:6" x14ac:dyDescent="0.25">
      <c r="A15505" t="str">
        <f>"200003818"</f>
        <v>200003818</v>
      </c>
      <c r="B15505" t="str">
        <f>"1851050579"</f>
        <v>1851050579</v>
      </c>
      <c r="C15505" t="str">
        <f>"261QR1300X"</f>
        <v>261QR1300X</v>
      </c>
      <c r="D15505" t="str">
        <f>"FAST PACE HEALTH                                  "</f>
        <v xml:space="preserve">FAST PACE HEALTH                                  </v>
      </c>
      <c r="E15505" t="str">
        <f>"NATCHEZ                   "</f>
        <v xml:space="preserve">NATCHEZ                   </v>
      </c>
      <c r="F15505" t="str">
        <f t="shared" si="394"/>
        <v>MS</v>
      </c>
    </row>
    <row r="15506" spans="1:6" x14ac:dyDescent="0.25">
      <c r="A15506" t="str">
        <f>"200003833"</f>
        <v>200003833</v>
      </c>
      <c r="B15506" t="str">
        <f>"1316518731"</f>
        <v>1316518731</v>
      </c>
      <c r="C15506" t="str">
        <f>"363L00000X"</f>
        <v>363L00000X</v>
      </c>
      <c r="D15506" t="str">
        <f>"NALL                     LYCEL        P           "</f>
        <v xml:space="preserve">NALL                     LYCEL        P           </v>
      </c>
      <c r="E15506" t="str">
        <f>"FLOWOOD                   "</f>
        <v xml:space="preserve">FLOWOOD                   </v>
      </c>
      <c r="F15506" t="str">
        <f t="shared" si="394"/>
        <v>MS</v>
      </c>
    </row>
    <row r="15507" spans="1:6" x14ac:dyDescent="0.25">
      <c r="A15507" t="str">
        <f>"200003846"</f>
        <v>200003846</v>
      </c>
      <c r="B15507" t="str">
        <f>"1831152081"</f>
        <v>1831152081</v>
      </c>
      <c r="C15507" t="str">
        <f>"207Q00000X"</f>
        <v>207Q00000X</v>
      </c>
      <c r="D15507" t="str">
        <f>"PASTRELL                 KATHRYN      J           "</f>
        <v xml:space="preserve">PASTRELL                 KATHRYN      J           </v>
      </c>
      <c r="E15507" t="str">
        <f>"OXFORD                    "</f>
        <v xml:space="preserve">OXFORD                    </v>
      </c>
      <c r="F15507" t="str">
        <f t="shared" si="394"/>
        <v>MS</v>
      </c>
    </row>
    <row r="15508" spans="1:6" x14ac:dyDescent="0.25">
      <c r="A15508" t="str">
        <f>"200003860"</f>
        <v>200003860</v>
      </c>
      <c r="B15508" t="str">
        <f>"1144973975"</f>
        <v>1144973975</v>
      </c>
      <c r="C15508" t="str">
        <f>"363L00000X"</f>
        <v>363L00000X</v>
      </c>
      <c r="D15508" t="str">
        <f>"ALLEN                    AMY          A           "</f>
        <v xml:space="preserve">ALLEN                    AMY          A           </v>
      </c>
      <c r="E15508" t="str">
        <f>"BILOXI                    "</f>
        <v xml:space="preserve">BILOXI                    </v>
      </c>
      <c r="F15508" t="str">
        <f t="shared" si="394"/>
        <v>MS</v>
      </c>
    </row>
    <row r="15509" spans="1:6" x14ac:dyDescent="0.25">
      <c r="A15509" t="str">
        <f>"200003869"</f>
        <v>200003869</v>
      </c>
      <c r="B15509" t="str">
        <f>"1174246425"</f>
        <v>1174246425</v>
      </c>
      <c r="C15509" t="str">
        <f>"1223X0400X"</f>
        <v>1223X0400X</v>
      </c>
      <c r="D15509" t="str">
        <f>"RADFORD                  SHANE        M           "</f>
        <v xml:space="preserve">RADFORD                  SHANE        M           </v>
      </c>
      <c r="E15509" t="str">
        <f>"OXFORD                    "</f>
        <v xml:space="preserve">OXFORD                    </v>
      </c>
      <c r="F15509" t="str">
        <f t="shared" si="394"/>
        <v>MS</v>
      </c>
    </row>
    <row r="15510" spans="1:6" x14ac:dyDescent="0.25">
      <c r="A15510" t="str">
        <f>"200003872"</f>
        <v>200003872</v>
      </c>
      <c r="B15510" t="str">
        <f>"1598491821"</f>
        <v>1598491821</v>
      </c>
      <c r="C15510" t="str">
        <f>"363L00000X"</f>
        <v>363L00000X</v>
      </c>
      <c r="D15510" t="str">
        <f>"BROWN                    EMILY                    "</f>
        <v xml:space="preserve">BROWN                    EMILY                    </v>
      </c>
      <c r="E15510" t="str">
        <f>"WEST POINT                "</f>
        <v xml:space="preserve">WEST POINT                </v>
      </c>
      <c r="F15510" t="str">
        <f t="shared" si="394"/>
        <v>MS</v>
      </c>
    </row>
    <row r="15511" spans="1:6" x14ac:dyDescent="0.25">
      <c r="A15511" t="str">
        <f>"200003874"</f>
        <v>200003874</v>
      </c>
      <c r="B15511" t="str">
        <f>"1801524293"</f>
        <v>1801524293</v>
      </c>
      <c r="C15511" t="str">
        <f>"363L00000X"</f>
        <v>363L00000X</v>
      </c>
      <c r="D15511" t="str">
        <f>"WARD                     AMANDA                   "</f>
        <v xml:space="preserve">WARD                     AMANDA                   </v>
      </c>
      <c r="E15511" t="str">
        <f>"JACKSON                   "</f>
        <v xml:space="preserve">JACKSON                   </v>
      </c>
      <c r="F15511" t="str">
        <f t="shared" si="394"/>
        <v>MS</v>
      </c>
    </row>
    <row r="15512" spans="1:6" x14ac:dyDescent="0.25">
      <c r="A15512" t="str">
        <f>"200003881"</f>
        <v>200003881</v>
      </c>
      <c r="B15512" t="str">
        <f>"1891148011"</f>
        <v>1891148011</v>
      </c>
      <c r="C15512" t="str">
        <f>"363L00000X"</f>
        <v>363L00000X</v>
      </c>
      <c r="D15512" t="str">
        <f>"SINCLAIR                 JESSICA                  "</f>
        <v xml:space="preserve">SINCLAIR                 JESSICA                  </v>
      </c>
      <c r="E15512" t="str">
        <f>"GLUCKSTADT                "</f>
        <v xml:space="preserve">GLUCKSTADT                </v>
      </c>
      <c r="F15512" t="str">
        <f t="shared" si="394"/>
        <v>MS</v>
      </c>
    </row>
    <row r="15513" spans="1:6" x14ac:dyDescent="0.25">
      <c r="A15513" t="str">
        <f>"200003882"</f>
        <v>200003882</v>
      </c>
      <c r="B15513" t="str">
        <f>"1396176459"</f>
        <v>1396176459</v>
      </c>
      <c r="C15513" t="str">
        <f>"363L00000X"</f>
        <v>363L00000X</v>
      </c>
      <c r="D15513" t="str">
        <f>"HOLCOMBE                 STEPHANIE                "</f>
        <v xml:space="preserve">HOLCOMBE                 STEPHANIE                </v>
      </c>
      <c r="E15513" t="str">
        <f>"WEST POINT                "</f>
        <v xml:space="preserve">WEST POINT                </v>
      </c>
      <c r="F15513" t="str">
        <f t="shared" si="394"/>
        <v>MS</v>
      </c>
    </row>
    <row r="15514" spans="1:6" x14ac:dyDescent="0.25">
      <c r="A15514" t="str">
        <f>"200003890"</f>
        <v>200003890</v>
      </c>
      <c r="B15514" t="str">
        <f>"1083187256"</f>
        <v>1083187256</v>
      </c>
      <c r="C15514" t="str">
        <f>"363L00000X"</f>
        <v>363L00000X</v>
      </c>
      <c r="D15514" t="str">
        <f>"VESS                     WINDY                    "</f>
        <v xml:space="preserve">VESS                     WINDY                    </v>
      </c>
      <c r="E15514" t="str">
        <f>"CORINTH                   "</f>
        <v xml:space="preserve">CORINTH                   </v>
      </c>
      <c r="F15514" t="str">
        <f t="shared" si="394"/>
        <v>MS</v>
      </c>
    </row>
    <row r="15515" spans="1:6" x14ac:dyDescent="0.25">
      <c r="A15515" t="str">
        <f>"200003893"</f>
        <v>200003893</v>
      </c>
      <c r="B15515" t="str">
        <f>"1689766958"</f>
        <v>1689766958</v>
      </c>
      <c r="C15515" t="str">
        <f>"363LP0808X"</f>
        <v>363LP0808X</v>
      </c>
      <c r="D15515" t="str">
        <f>"MILAN                    STUART                   "</f>
        <v xml:space="preserve">MILAN                    STUART                   </v>
      </c>
      <c r="E15515" t="str">
        <f>"LAUREL                    "</f>
        <v xml:space="preserve">LAUREL                    </v>
      </c>
      <c r="F15515" t="str">
        <f t="shared" si="394"/>
        <v>MS</v>
      </c>
    </row>
    <row r="15516" spans="1:6" x14ac:dyDescent="0.25">
      <c r="A15516" t="str">
        <f>"200003896"</f>
        <v>200003896</v>
      </c>
      <c r="B15516" t="str">
        <f>"1184111908"</f>
        <v>1184111908</v>
      </c>
      <c r="C15516" t="str">
        <f>"207P00000X"</f>
        <v>207P00000X</v>
      </c>
      <c r="D15516" t="str">
        <f>"SABRI HAMID              YUSEF                    "</f>
        <v xml:space="preserve">SABRI HAMID              YUSEF                    </v>
      </c>
      <c r="E15516" t="str">
        <f>"TUPELO                    "</f>
        <v xml:space="preserve">TUPELO                    </v>
      </c>
      <c r="F15516" t="str">
        <f t="shared" si="394"/>
        <v>MS</v>
      </c>
    </row>
    <row r="15517" spans="1:6" x14ac:dyDescent="0.25">
      <c r="A15517" t="str">
        <f>"200003901"</f>
        <v>200003901</v>
      </c>
      <c r="B15517" t="str">
        <f>"1396279550"</f>
        <v>1396279550</v>
      </c>
      <c r="C15517" t="str">
        <f>"207X00000X"</f>
        <v>207X00000X</v>
      </c>
      <c r="D15517" t="str">
        <f>"MULLANE                  AARON                    "</f>
        <v xml:space="preserve">MULLANE                  AARON                    </v>
      </c>
      <c r="E15517" t="str">
        <f>"COLUMBUS                  "</f>
        <v xml:space="preserve">COLUMBUS                  </v>
      </c>
      <c r="F15517" t="str">
        <f t="shared" si="394"/>
        <v>MS</v>
      </c>
    </row>
    <row r="15518" spans="1:6" x14ac:dyDescent="0.25">
      <c r="A15518" t="str">
        <f>"200003902"</f>
        <v>200003902</v>
      </c>
      <c r="B15518" t="str">
        <f>"1053027581"</f>
        <v>1053027581</v>
      </c>
      <c r="C15518" t="str">
        <f>"363L00000X"</f>
        <v>363L00000X</v>
      </c>
      <c r="D15518" t="str">
        <f>"HENDERSON                REANNA                   "</f>
        <v xml:space="preserve">HENDERSON                REANNA                   </v>
      </c>
      <c r="E15518" t="str">
        <f>"HATTIESBURG               "</f>
        <v xml:space="preserve">HATTIESBURG               </v>
      </c>
      <c r="F15518" t="str">
        <f t="shared" si="394"/>
        <v>MS</v>
      </c>
    </row>
    <row r="15519" spans="1:6" x14ac:dyDescent="0.25">
      <c r="A15519" t="str">
        <f>"200003903"</f>
        <v>200003903</v>
      </c>
      <c r="B15519" t="str">
        <f>"1780300376"</f>
        <v>1780300376</v>
      </c>
      <c r="C15519" t="str">
        <f>"363L00000X"</f>
        <v>363L00000X</v>
      </c>
      <c r="D15519" t="str">
        <f>"TEMPLETON                JESSICA                  "</f>
        <v xml:space="preserve">TEMPLETON                JESSICA                  </v>
      </c>
      <c r="E15519" t="str">
        <f>"JACKSON                   "</f>
        <v xml:space="preserve">JACKSON                   </v>
      </c>
      <c r="F15519" t="str">
        <f t="shared" si="394"/>
        <v>MS</v>
      </c>
    </row>
    <row r="15520" spans="1:6" x14ac:dyDescent="0.25">
      <c r="A15520" t="str">
        <f>"200003910"</f>
        <v>200003910</v>
      </c>
      <c r="B15520" t="str">
        <f>"1629667340"</f>
        <v>1629667340</v>
      </c>
      <c r="C15520" t="str">
        <f>"363L00000X"</f>
        <v>363L00000X</v>
      </c>
      <c r="D15520" t="str">
        <f>"ROE                      STEPHANIE                "</f>
        <v xml:space="preserve">ROE                      STEPHANIE                </v>
      </c>
      <c r="E15520" t="str">
        <f>"VICKSBURG                 "</f>
        <v xml:space="preserve">VICKSBURG                 </v>
      </c>
      <c r="F15520" t="str">
        <f t="shared" si="394"/>
        <v>MS</v>
      </c>
    </row>
    <row r="15521" spans="1:6" x14ac:dyDescent="0.25">
      <c r="A15521" t="str">
        <f>"200003916"</f>
        <v>200003916</v>
      </c>
      <c r="B15521" t="str">
        <f>"1932604022"</f>
        <v>1932604022</v>
      </c>
      <c r="C15521" t="str">
        <f>"2084N0400X"</f>
        <v>2084N0400X</v>
      </c>
      <c r="D15521" t="str">
        <f>"CAREY                    CHRISTOPHER              "</f>
        <v xml:space="preserve">CAREY                    CHRISTOPHER              </v>
      </c>
      <c r="E15521" t="str">
        <f>"OCEAN SPRINGS             "</f>
        <v xml:space="preserve">OCEAN SPRINGS             </v>
      </c>
      <c r="F15521" t="str">
        <f t="shared" si="394"/>
        <v>MS</v>
      </c>
    </row>
    <row r="15522" spans="1:6" x14ac:dyDescent="0.25">
      <c r="A15522" t="str">
        <f>"200003919"</f>
        <v>200003919</v>
      </c>
      <c r="B15522" t="str">
        <f>"1598486755"</f>
        <v>1598486755</v>
      </c>
      <c r="C15522" t="str">
        <f>"261QM1300X"</f>
        <v>261QM1300X</v>
      </c>
      <c r="D15522" t="str">
        <f>"HOMETOWN URGENT CARE                              "</f>
        <v xml:space="preserve">HOMETOWN URGENT CARE                              </v>
      </c>
      <c r="E15522" t="str">
        <f>"UNION                     "</f>
        <v xml:space="preserve">UNION                     </v>
      </c>
      <c r="F15522" t="str">
        <f t="shared" si="394"/>
        <v>MS</v>
      </c>
    </row>
    <row r="15523" spans="1:6" x14ac:dyDescent="0.25">
      <c r="A15523" t="str">
        <f>"200003920"</f>
        <v>200003920</v>
      </c>
      <c r="B15523" t="str">
        <f>"1649970252"</f>
        <v>1649970252</v>
      </c>
      <c r="C15523" t="str">
        <f>"363A00000X"</f>
        <v>363A00000X</v>
      </c>
      <c r="D15523" t="str">
        <f>"MCLEOD                   LAUREN                   "</f>
        <v xml:space="preserve">MCLEOD                   LAUREN                   </v>
      </c>
      <c r="E15523" t="str">
        <f>"JACKSON                   "</f>
        <v xml:space="preserve">JACKSON                   </v>
      </c>
      <c r="F15523" t="str">
        <f t="shared" si="394"/>
        <v>MS</v>
      </c>
    </row>
    <row r="15524" spans="1:6" x14ac:dyDescent="0.25">
      <c r="A15524" t="str">
        <f>"200003926"</f>
        <v>200003926</v>
      </c>
      <c r="B15524" t="str">
        <f>"1861102196"</f>
        <v>1861102196</v>
      </c>
      <c r="C15524" t="str">
        <f>"363L00000X"</f>
        <v>363L00000X</v>
      </c>
      <c r="D15524" t="str">
        <f>"TRIMBLE                  HOLLEY                   "</f>
        <v xml:space="preserve">TRIMBLE                  HOLLEY                   </v>
      </c>
      <c r="E15524" t="str">
        <f>"CORINTH                   "</f>
        <v xml:space="preserve">CORINTH                   </v>
      </c>
      <c r="F15524" t="str">
        <f t="shared" si="394"/>
        <v>MS</v>
      </c>
    </row>
    <row r="15525" spans="1:6" x14ac:dyDescent="0.25">
      <c r="A15525" t="str">
        <f>"200003931"</f>
        <v>200003931</v>
      </c>
      <c r="B15525" t="str">
        <f>"1336172428"</f>
        <v>1336172428</v>
      </c>
      <c r="C15525" t="str">
        <f>"152W00000X"</f>
        <v>152W00000X</v>
      </c>
      <c r="D15525" t="str">
        <f>"EDRINGTON                MAX                      "</f>
        <v xml:space="preserve">EDRINGTON                MAX                      </v>
      </c>
      <c r="E15525" t="str">
        <f>"WIGGINS                   "</f>
        <v xml:space="preserve">WIGGINS                   </v>
      </c>
      <c r="F15525" t="str">
        <f t="shared" si="394"/>
        <v>MS</v>
      </c>
    </row>
    <row r="15526" spans="1:6" x14ac:dyDescent="0.25">
      <c r="A15526" t="str">
        <f>"200003933"</f>
        <v>200003933</v>
      </c>
      <c r="B15526" t="str">
        <f>"1770880445"</f>
        <v>1770880445</v>
      </c>
      <c r="C15526" t="str">
        <f>"207V00000X"</f>
        <v>207V00000X</v>
      </c>
      <c r="D15526" t="str">
        <f>"WALKER                   LATOYA                   "</f>
        <v xml:space="preserve">WALKER                   LATOYA                   </v>
      </c>
      <c r="E15526" t="str">
        <f>"JACKSON                   "</f>
        <v xml:space="preserve">JACKSON                   </v>
      </c>
      <c r="F15526" t="str">
        <f t="shared" si="394"/>
        <v>MS</v>
      </c>
    </row>
    <row r="15527" spans="1:6" x14ac:dyDescent="0.25">
      <c r="A15527" t="str">
        <f>"200003941"</f>
        <v>200003941</v>
      </c>
      <c r="B15527" t="str">
        <f>"1376030916"</f>
        <v>1376030916</v>
      </c>
      <c r="C15527" t="str">
        <f>"207L00000X"</f>
        <v>207L00000X</v>
      </c>
      <c r="D15527" t="str">
        <f>"ROATEN                   SUSAN                    "</f>
        <v xml:space="preserve">ROATEN                   SUSAN                    </v>
      </c>
      <c r="E15527" t="str">
        <f>"TUPELO                    "</f>
        <v xml:space="preserve">TUPELO                    </v>
      </c>
      <c r="F15527" t="str">
        <f t="shared" si="394"/>
        <v>MS</v>
      </c>
    </row>
    <row r="15528" spans="1:6" x14ac:dyDescent="0.25">
      <c r="A15528" t="str">
        <f>"200003945"</f>
        <v>200003945</v>
      </c>
      <c r="B15528" t="str">
        <f>"1356566459"</f>
        <v>1356566459</v>
      </c>
      <c r="C15528" t="str">
        <f>"207Q00000X"</f>
        <v>207Q00000X</v>
      </c>
      <c r="D15528" t="str">
        <f>"HO                       MAI          H           "</f>
        <v xml:space="preserve">HO                       MAI          H           </v>
      </c>
      <c r="E15528" t="str">
        <f>"CHOCTAW                   "</f>
        <v xml:space="preserve">CHOCTAW                   </v>
      </c>
      <c r="F15528" t="str">
        <f t="shared" si="394"/>
        <v>MS</v>
      </c>
    </row>
    <row r="15529" spans="1:6" x14ac:dyDescent="0.25">
      <c r="A15529" t="str">
        <f>"200003956"</f>
        <v>200003956</v>
      </c>
      <c r="B15529" t="str">
        <f>"1427761543"</f>
        <v>1427761543</v>
      </c>
      <c r="C15529" t="str">
        <f>"363L00000X"</f>
        <v>363L00000X</v>
      </c>
      <c r="D15529" t="str">
        <f>"THIGPEN                  KAILEY                   "</f>
        <v xml:space="preserve">THIGPEN                  KAILEY                   </v>
      </c>
      <c r="E15529" t="str">
        <f>"JACKSON                   "</f>
        <v xml:space="preserve">JACKSON                   </v>
      </c>
      <c r="F15529" t="str">
        <f t="shared" si="394"/>
        <v>MS</v>
      </c>
    </row>
    <row r="15530" spans="1:6" x14ac:dyDescent="0.25">
      <c r="A15530" t="str">
        <f>"200003958"</f>
        <v>200003958</v>
      </c>
      <c r="B15530" t="str">
        <f>"1811492309"</f>
        <v>1811492309</v>
      </c>
      <c r="C15530" t="str">
        <f>"208D00000X"</f>
        <v>208D00000X</v>
      </c>
      <c r="D15530" t="str">
        <f>"BOULLARD                 NICHOLAS                 "</f>
        <v xml:space="preserve">BOULLARD                 NICHOLAS                 </v>
      </c>
      <c r="E15530" t="str">
        <f>"JACKSON                   "</f>
        <v xml:space="preserve">JACKSON                   </v>
      </c>
      <c r="F15530" t="str">
        <f t="shared" si="394"/>
        <v>MS</v>
      </c>
    </row>
    <row r="15531" spans="1:6" x14ac:dyDescent="0.25">
      <c r="A15531" t="str">
        <f>"200003978"</f>
        <v>200003978</v>
      </c>
      <c r="B15531" t="str">
        <f>"1114215456"</f>
        <v>1114215456</v>
      </c>
      <c r="C15531" t="str">
        <f>"363L00000X"</f>
        <v>363L00000X</v>
      </c>
      <c r="D15531" t="str">
        <f>"SHEGOG                   MIRANDA      M           "</f>
        <v xml:space="preserve">SHEGOG                   MIRANDA      M           </v>
      </c>
      <c r="E15531" t="str">
        <f>"FLOWOOD                   "</f>
        <v xml:space="preserve">FLOWOOD                   </v>
      </c>
      <c r="F15531" t="str">
        <f t="shared" si="394"/>
        <v>MS</v>
      </c>
    </row>
    <row r="15532" spans="1:6" x14ac:dyDescent="0.25">
      <c r="A15532" t="str">
        <f>"200003982"</f>
        <v>200003982</v>
      </c>
      <c r="B15532" t="str">
        <f>"1467490243"</f>
        <v>1467490243</v>
      </c>
      <c r="C15532" t="str">
        <f>"207P00000X"</f>
        <v>207P00000X</v>
      </c>
      <c r="D15532" t="str">
        <f>"HUNT                     ALEX                     "</f>
        <v xml:space="preserve">HUNT                     ALEX                     </v>
      </c>
      <c r="E15532" t="str">
        <f>"GREENWOOD                 "</f>
        <v xml:space="preserve">GREENWOOD                 </v>
      </c>
      <c r="F15532" t="str">
        <f t="shared" si="394"/>
        <v>MS</v>
      </c>
    </row>
    <row r="15533" spans="1:6" x14ac:dyDescent="0.25">
      <c r="A15533" t="str">
        <f>"200003990"</f>
        <v>200003990</v>
      </c>
      <c r="B15533" t="str">
        <f>"1982265344"</f>
        <v>1982265344</v>
      </c>
      <c r="C15533" t="str">
        <f>"207Q00000X"</f>
        <v>207Q00000X</v>
      </c>
      <c r="D15533" t="str">
        <f>"EUBANKS                  TRAVIS       A           "</f>
        <v xml:space="preserve">EUBANKS                  TRAVIS       A           </v>
      </c>
      <c r="E15533" t="str">
        <f>"PONTOTOC                  "</f>
        <v xml:space="preserve">PONTOTOC                  </v>
      </c>
      <c r="F15533" t="str">
        <f t="shared" si="394"/>
        <v>MS</v>
      </c>
    </row>
    <row r="15534" spans="1:6" x14ac:dyDescent="0.25">
      <c r="A15534" t="str">
        <f>"200004004"</f>
        <v>200004004</v>
      </c>
      <c r="B15534" t="str">
        <f>"1346949047"</f>
        <v>1346949047</v>
      </c>
      <c r="C15534" t="str">
        <f>"363L00000X"</f>
        <v>363L00000X</v>
      </c>
      <c r="D15534" t="str">
        <f>"MULLINS                  WHITNEY                  "</f>
        <v xml:space="preserve">MULLINS                  WHITNEY                  </v>
      </c>
      <c r="E15534" t="str">
        <f>"FLOWOOD                   "</f>
        <v xml:space="preserve">FLOWOOD                   </v>
      </c>
      <c r="F15534" t="str">
        <f t="shared" si="394"/>
        <v>MS</v>
      </c>
    </row>
    <row r="15535" spans="1:6" x14ac:dyDescent="0.25">
      <c r="A15535" t="str">
        <f>"200004009"</f>
        <v>200004009</v>
      </c>
      <c r="B15535" t="str">
        <f>"1881077717"</f>
        <v>1881077717</v>
      </c>
      <c r="C15535" t="str">
        <f>"363L00000X"</f>
        <v>363L00000X</v>
      </c>
      <c r="D15535" t="str">
        <f>"EDINGTON                 WALTER       B           "</f>
        <v xml:space="preserve">EDINGTON                 WALTER       B           </v>
      </c>
      <c r="E15535" t="str">
        <f>"CALHOUN CITY              "</f>
        <v xml:space="preserve">CALHOUN CITY              </v>
      </c>
      <c r="F15535" t="str">
        <f t="shared" si="394"/>
        <v>MS</v>
      </c>
    </row>
    <row r="15536" spans="1:6" x14ac:dyDescent="0.25">
      <c r="A15536" t="str">
        <f>"200004047"</f>
        <v>200004047</v>
      </c>
      <c r="B15536" t="str">
        <f>"1659971380"</f>
        <v>1659971380</v>
      </c>
      <c r="C15536" t="str">
        <f>"363L00000X"</f>
        <v>363L00000X</v>
      </c>
      <c r="D15536" t="str">
        <f>"BARNES                   LUCY                     "</f>
        <v xml:space="preserve">BARNES                   LUCY                     </v>
      </c>
      <c r="E15536" t="str">
        <f>"MERIDIAN                  "</f>
        <v xml:space="preserve">MERIDIAN                  </v>
      </c>
      <c r="F15536" t="str">
        <f t="shared" si="394"/>
        <v>MS</v>
      </c>
    </row>
    <row r="15537" spans="1:6" x14ac:dyDescent="0.25">
      <c r="A15537" t="str">
        <f>"200004048"</f>
        <v>200004048</v>
      </c>
      <c r="B15537" t="str">
        <f>"1629772892"</f>
        <v>1629772892</v>
      </c>
      <c r="C15537" t="str">
        <f>"363L00000X"</f>
        <v>363L00000X</v>
      </c>
      <c r="D15537" t="str">
        <f>"BRUMFIELD                BRITTNEY     M           "</f>
        <v xml:space="preserve">BRUMFIELD                BRITTNEY     M           </v>
      </c>
      <c r="E15537" t="str">
        <f>"BRANDON                   "</f>
        <v xml:space="preserve">BRANDON                   </v>
      </c>
      <c r="F15537" t="str">
        <f t="shared" si="394"/>
        <v>MS</v>
      </c>
    </row>
    <row r="15538" spans="1:6" x14ac:dyDescent="0.25">
      <c r="A15538" t="str">
        <f>"200004051"</f>
        <v>200004051</v>
      </c>
      <c r="B15538" t="str">
        <f>"1811922172"</f>
        <v>1811922172</v>
      </c>
      <c r="C15538" t="str">
        <f>"207P00000X"</f>
        <v>207P00000X</v>
      </c>
      <c r="D15538" t="str">
        <f>"THOMPSON                 JAMES        R           "</f>
        <v xml:space="preserve">THOMPSON                 JAMES        R           </v>
      </c>
      <c r="E15538" t="str">
        <f>"JACKSON                   "</f>
        <v xml:space="preserve">JACKSON                   </v>
      </c>
      <c r="F15538" t="str">
        <f t="shared" si="394"/>
        <v>MS</v>
      </c>
    </row>
    <row r="15539" spans="1:6" x14ac:dyDescent="0.25">
      <c r="A15539" t="str">
        <f>"200004052"</f>
        <v>200004052</v>
      </c>
      <c r="B15539" t="str">
        <f>"1851098362"</f>
        <v>1851098362</v>
      </c>
      <c r="C15539" t="str">
        <f>"363L00000X"</f>
        <v>363L00000X</v>
      </c>
      <c r="D15539" t="str">
        <f>"WHITE                    MARISSA                  "</f>
        <v xml:space="preserve">WHITE                    MARISSA                  </v>
      </c>
      <c r="E15539" t="str">
        <f>"RICHLAND                  "</f>
        <v xml:space="preserve">RICHLAND                  </v>
      </c>
      <c r="F15539" t="str">
        <f t="shared" si="394"/>
        <v>MS</v>
      </c>
    </row>
    <row r="15540" spans="1:6" x14ac:dyDescent="0.25">
      <c r="A15540" t="str">
        <f>"200004070"</f>
        <v>200004070</v>
      </c>
      <c r="B15540" t="str">
        <f>"1023495777"</f>
        <v>1023495777</v>
      </c>
      <c r="C15540" t="str">
        <f>"208800000X"</f>
        <v>208800000X</v>
      </c>
      <c r="D15540" t="str">
        <f>"CRIVELLI                 JOSEPH                   "</f>
        <v xml:space="preserve">CRIVELLI                 JOSEPH                   </v>
      </c>
      <c r="E15540" t="str">
        <f>"MERIDIAN                  "</f>
        <v xml:space="preserve">MERIDIAN                  </v>
      </c>
      <c r="F15540" t="str">
        <f t="shared" si="394"/>
        <v>MS</v>
      </c>
    </row>
    <row r="15541" spans="1:6" x14ac:dyDescent="0.25">
      <c r="A15541" t="str">
        <f>"200004072"</f>
        <v>200004072</v>
      </c>
      <c r="B15541" t="str">
        <f>"1649992447"</f>
        <v>1649992447</v>
      </c>
      <c r="C15541" t="str">
        <f>"363L00000X"</f>
        <v>363L00000X</v>
      </c>
      <c r="D15541" t="str">
        <f>"ADAMS                    CARLA        J           "</f>
        <v xml:space="preserve">ADAMS                    CARLA        J           </v>
      </c>
      <c r="E15541" t="str">
        <f>"UNION                     "</f>
        <v xml:space="preserve">UNION                     </v>
      </c>
      <c r="F15541" t="str">
        <f t="shared" si="394"/>
        <v>MS</v>
      </c>
    </row>
    <row r="15542" spans="1:6" x14ac:dyDescent="0.25">
      <c r="A15542" t="str">
        <f>"200004076"</f>
        <v>200004076</v>
      </c>
      <c r="B15542" t="str">
        <f>"1275256521"</f>
        <v>1275256521</v>
      </c>
      <c r="C15542" t="str">
        <f>"363L00000X"</f>
        <v>363L00000X</v>
      </c>
      <c r="D15542" t="str">
        <f>"HENRY                    JENNIFER                 "</f>
        <v xml:space="preserve">HENRY                    JENNIFER                 </v>
      </c>
      <c r="E15542" t="str">
        <f>"PASCAGOULA                "</f>
        <v xml:space="preserve">PASCAGOULA                </v>
      </c>
      <c r="F15542" t="str">
        <f t="shared" si="394"/>
        <v>MS</v>
      </c>
    </row>
    <row r="15543" spans="1:6" x14ac:dyDescent="0.25">
      <c r="A15543" t="str">
        <f>"200004079"</f>
        <v>200004079</v>
      </c>
      <c r="B15543" t="str">
        <f>"1871905331"</f>
        <v>1871905331</v>
      </c>
      <c r="C15543" t="str">
        <f>"208600000X"</f>
        <v>208600000X</v>
      </c>
      <c r="D15543" t="str">
        <f>"WENTZEL                  JENNIFER     L           "</f>
        <v xml:space="preserve">WENTZEL                  JENNIFER     L           </v>
      </c>
      <c r="E15543" t="str">
        <f>"LUCEDALE                  "</f>
        <v xml:space="preserve">LUCEDALE                  </v>
      </c>
      <c r="F15543" t="str">
        <f t="shared" si="394"/>
        <v>MS</v>
      </c>
    </row>
    <row r="15544" spans="1:6" x14ac:dyDescent="0.25">
      <c r="A15544" t="str">
        <f>"200004084"</f>
        <v>200004084</v>
      </c>
      <c r="B15544" t="str">
        <f>"1053595298"</f>
        <v>1053595298</v>
      </c>
      <c r="C15544" t="str">
        <f>"122300000X"</f>
        <v>122300000X</v>
      </c>
      <c r="D15544" t="str">
        <f>"A SMILE 4 U, LLC                                  "</f>
        <v xml:space="preserve">A SMILE 4 U, LLC                                  </v>
      </c>
      <c r="E15544" t="str">
        <f>"OXFORD                    "</f>
        <v xml:space="preserve">OXFORD                    </v>
      </c>
      <c r="F15544" t="str">
        <f t="shared" si="394"/>
        <v>MS</v>
      </c>
    </row>
    <row r="15545" spans="1:6" x14ac:dyDescent="0.25">
      <c r="A15545" t="str">
        <f>"200004090"</f>
        <v>200004090</v>
      </c>
      <c r="B15545" t="str">
        <f>"1205528833"</f>
        <v>1205528833</v>
      </c>
      <c r="C15545" t="str">
        <f>"363L00000X"</f>
        <v>363L00000X</v>
      </c>
      <c r="D15545" t="str">
        <f>"GOSS                     KATHRYN                  "</f>
        <v xml:space="preserve">GOSS                     KATHRYN                  </v>
      </c>
      <c r="E15545" t="str">
        <f>"SOUTHAVEN                 "</f>
        <v xml:space="preserve">SOUTHAVEN                 </v>
      </c>
      <c r="F15545" t="str">
        <f t="shared" si="394"/>
        <v>MS</v>
      </c>
    </row>
    <row r="15546" spans="1:6" x14ac:dyDescent="0.25">
      <c r="A15546" t="str">
        <f>"200004091"</f>
        <v>200004091</v>
      </c>
      <c r="B15546" t="str">
        <f>"1891972410"</f>
        <v>1891972410</v>
      </c>
      <c r="C15546" t="str">
        <f>"207V00000X"</f>
        <v>207V00000X</v>
      </c>
      <c r="D15546" t="str">
        <f>"NARCISSE                 ADELA        M           "</f>
        <v xml:space="preserve">NARCISSE                 ADELA        M           </v>
      </c>
      <c r="E15546" t="str">
        <f>"GULFPORT                  "</f>
        <v xml:space="preserve">GULFPORT                  </v>
      </c>
      <c r="F15546" t="str">
        <f t="shared" si="394"/>
        <v>MS</v>
      </c>
    </row>
    <row r="15547" spans="1:6" x14ac:dyDescent="0.25">
      <c r="A15547" t="str">
        <f>"200004092"</f>
        <v>200004092</v>
      </c>
      <c r="B15547" t="str">
        <f>"1780117879"</f>
        <v>1780117879</v>
      </c>
      <c r="C15547" t="str">
        <f>"207X00000X"</f>
        <v>207X00000X</v>
      </c>
      <c r="D15547" t="str">
        <f>"VALENTINE                MATTHEW      T           "</f>
        <v xml:space="preserve">VALENTINE                MATTHEW      T           </v>
      </c>
      <c r="E15547" t="str">
        <f>"HATTIESBURG               "</f>
        <v xml:space="preserve">HATTIESBURG               </v>
      </c>
      <c r="F15547" t="str">
        <f t="shared" si="394"/>
        <v>MS</v>
      </c>
    </row>
    <row r="15548" spans="1:6" x14ac:dyDescent="0.25">
      <c r="A15548" t="str">
        <f>"200004108"</f>
        <v>200004108</v>
      </c>
      <c r="B15548" t="str">
        <f>"1457883100"</f>
        <v>1457883100</v>
      </c>
      <c r="C15548" t="str">
        <f>"207R00000X"</f>
        <v>207R00000X</v>
      </c>
      <c r="D15548" t="str">
        <f>"NOEL                     ANNECIE                  "</f>
        <v xml:space="preserve">NOEL                     ANNECIE                  </v>
      </c>
      <c r="E15548" t="str">
        <f>"WAYNESBORO                "</f>
        <v xml:space="preserve">WAYNESBORO                </v>
      </c>
      <c r="F15548" t="str">
        <f t="shared" si="394"/>
        <v>MS</v>
      </c>
    </row>
    <row r="15549" spans="1:6" x14ac:dyDescent="0.25">
      <c r="A15549" t="str">
        <f>"200004111"</f>
        <v>200004111</v>
      </c>
      <c r="B15549" t="str">
        <f>"1811552045"</f>
        <v>1811552045</v>
      </c>
      <c r="C15549" t="str">
        <f>"207W00000X"</f>
        <v>207W00000X</v>
      </c>
      <c r="D15549" t="str">
        <f>"GILLETTE                 WESLEY                   "</f>
        <v xml:space="preserve">GILLETTE                 WESLEY                   </v>
      </c>
      <c r="E15549" t="str">
        <f>"OLIVE BRANCH              "</f>
        <v xml:space="preserve">OLIVE BRANCH              </v>
      </c>
      <c r="F15549" t="str">
        <f t="shared" si="394"/>
        <v>MS</v>
      </c>
    </row>
    <row r="15550" spans="1:6" x14ac:dyDescent="0.25">
      <c r="A15550" t="str">
        <f>"200004117"</f>
        <v>200004117</v>
      </c>
      <c r="B15550" t="str">
        <f>"1255794871"</f>
        <v>1255794871</v>
      </c>
      <c r="C15550" t="str">
        <f>"207Q00000X"</f>
        <v>207Q00000X</v>
      </c>
      <c r="D15550" t="str">
        <f>"AMENDOLA                 MAURO        N           "</f>
        <v xml:space="preserve">AMENDOLA                 MAURO        N           </v>
      </c>
      <c r="E15550" t="str">
        <f>"SOUTHAVEN                 "</f>
        <v xml:space="preserve">SOUTHAVEN                 </v>
      </c>
      <c r="F15550" t="str">
        <f t="shared" ref="F15550:F15613" si="398">"MS"</f>
        <v>MS</v>
      </c>
    </row>
    <row r="15551" spans="1:6" x14ac:dyDescent="0.25">
      <c r="A15551" t="str">
        <f>"200004119"</f>
        <v>200004119</v>
      </c>
      <c r="B15551" t="str">
        <f>"1851050579"</f>
        <v>1851050579</v>
      </c>
      <c r="C15551" t="str">
        <f>"261QR1300X"</f>
        <v>261QR1300X</v>
      </c>
      <c r="D15551" t="str">
        <f>"FAST PACE HEALTH                                  "</f>
        <v xml:space="preserve">FAST PACE HEALTH                                  </v>
      </c>
      <c r="E15551" t="str">
        <f>"PHILADELPHIA              "</f>
        <v xml:space="preserve">PHILADELPHIA              </v>
      </c>
      <c r="F15551" t="str">
        <f t="shared" si="398"/>
        <v>MS</v>
      </c>
    </row>
    <row r="15552" spans="1:6" x14ac:dyDescent="0.25">
      <c r="A15552" t="str">
        <f>"200004122"</f>
        <v>200004122</v>
      </c>
      <c r="B15552" t="str">
        <f>"1679147847"</f>
        <v>1679147847</v>
      </c>
      <c r="C15552" t="str">
        <f>"261QF0400X"</f>
        <v>261QF0400X</v>
      </c>
      <c r="D15552" t="str">
        <f>"SOUTHEAST MISSISSIPPI RURAL HEALTH INITIATIVE INC "</f>
        <v xml:space="preserve">SOUTHEAST MISSISSIPPI RURAL HEALTH INITIATIVE INC </v>
      </c>
      <c r="E15552" t="str">
        <f>"PURVIS                    "</f>
        <v xml:space="preserve">PURVIS                    </v>
      </c>
      <c r="F15552" t="str">
        <f t="shared" si="398"/>
        <v>MS</v>
      </c>
    </row>
    <row r="15553" spans="1:6" x14ac:dyDescent="0.25">
      <c r="A15553" t="str">
        <f>"200004124"</f>
        <v>200004124</v>
      </c>
      <c r="B15553" t="str">
        <f>"1417662925"</f>
        <v>1417662925</v>
      </c>
      <c r="C15553" t="str">
        <f>"363L00000X"</f>
        <v>363L00000X</v>
      </c>
      <c r="D15553" t="str">
        <f>"FARRIS                   JENNY                    "</f>
        <v xml:space="preserve">FARRIS                   JENNY                    </v>
      </c>
      <c r="E15553" t="str">
        <f>"TISHOMINGO                "</f>
        <v xml:space="preserve">TISHOMINGO                </v>
      </c>
      <c r="F15553" t="str">
        <f t="shared" si="398"/>
        <v>MS</v>
      </c>
    </row>
    <row r="15554" spans="1:6" x14ac:dyDescent="0.25">
      <c r="A15554" t="str">
        <f>"200004133"</f>
        <v>200004133</v>
      </c>
      <c r="B15554" t="str">
        <f>"1437872041"</f>
        <v>1437872041</v>
      </c>
      <c r="C15554" t="str">
        <f>"363L00000X"</f>
        <v>363L00000X</v>
      </c>
      <c r="D15554" t="str">
        <f>"CRAFTON                  CHARLIE      J           "</f>
        <v xml:space="preserve">CRAFTON                  CHARLIE      J           </v>
      </c>
      <c r="E15554" t="str">
        <f>"COLLINS                   "</f>
        <v xml:space="preserve">COLLINS                   </v>
      </c>
      <c r="F15554" t="str">
        <f t="shared" si="398"/>
        <v>MS</v>
      </c>
    </row>
    <row r="15555" spans="1:6" x14ac:dyDescent="0.25">
      <c r="A15555" t="str">
        <f>"200004140"</f>
        <v>200004140</v>
      </c>
      <c r="B15555" t="str">
        <f>"1992315212"</f>
        <v>1992315212</v>
      </c>
      <c r="C15555" t="str">
        <f>"363L00000X"</f>
        <v>363L00000X</v>
      </c>
      <c r="D15555" t="str">
        <f>"CAMPBELL                 PATRECIA                 "</f>
        <v xml:space="preserve">CAMPBELL                 PATRECIA                 </v>
      </c>
      <c r="E15555" t="str">
        <f>"JACKSON                   "</f>
        <v xml:space="preserve">JACKSON                   </v>
      </c>
      <c r="F15555" t="str">
        <f t="shared" si="398"/>
        <v>MS</v>
      </c>
    </row>
    <row r="15556" spans="1:6" x14ac:dyDescent="0.25">
      <c r="A15556" t="str">
        <f>"200004141"</f>
        <v>200004141</v>
      </c>
      <c r="B15556" t="str">
        <f>"1073536132"</f>
        <v>1073536132</v>
      </c>
      <c r="C15556" t="str">
        <f>"207Q00000X"</f>
        <v>207Q00000X</v>
      </c>
      <c r="D15556" t="str">
        <f>"LEWIS                    JOHN         W           "</f>
        <v xml:space="preserve">LEWIS                    JOHN         W           </v>
      </c>
      <c r="E15556" t="str">
        <f>"CLEVELAND                 "</f>
        <v xml:space="preserve">CLEVELAND                 </v>
      </c>
      <c r="F15556" t="str">
        <f t="shared" si="398"/>
        <v>MS</v>
      </c>
    </row>
    <row r="15557" spans="1:6" x14ac:dyDescent="0.25">
      <c r="A15557" t="str">
        <f>"200004142"</f>
        <v>200004142</v>
      </c>
      <c r="B15557" t="str">
        <f>"1326741315"</f>
        <v>1326741315</v>
      </c>
      <c r="C15557" t="str">
        <f>"207W00000X"</f>
        <v>207W00000X</v>
      </c>
      <c r="D15557" t="str">
        <f>"BURKS                    ANDREW                   "</f>
        <v xml:space="preserve">BURKS                    ANDREW                   </v>
      </c>
      <c r="E15557" t="str">
        <f>"JACKSON                   "</f>
        <v xml:space="preserve">JACKSON                   </v>
      </c>
      <c r="F15557" t="str">
        <f t="shared" si="398"/>
        <v>MS</v>
      </c>
    </row>
    <row r="15558" spans="1:6" x14ac:dyDescent="0.25">
      <c r="A15558" t="str">
        <f>"200004144"</f>
        <v>200004144</v>
      </c>
      <c r="B15558" t="str">
        <f>"1457986564"</f>
        <v>1457986564</v>
      </c>
      <c r="C15558" t="str">
        <f>"363L00000X"</f>
        <v>363L00000X</v>
      </c>
      <c r="D15558" t="str">
        <f>"STEPHENS                 ALISA        M           "</f>
        <v xml:space="preserve">STEPHENS                 ALISA        M           </v>
      </c>
      <c r="E15558" t="str">
        <f>"PICAYUNE                  "</f>
        <v xml:space="preserve">PICAYUNE                  </v>
      </c>
      <c r="F15558" t="str">
        <f t="shared" si="398"/>
        <v>MS</v>
      </c>
    </row>
    <row r="15559" spans="1:6" x14ac:dyDescent="0.25">
      <c r="A15559" t="str">
        <f>"200004158"</f>
        <v>200004158</v>
      </c>
      <c r="B15559" t="str">
        <f>"1184197584"</f>
        <v>1184197584</v>
      </c>
      <c r="C15559" t="str">
        <f>"367500000X"</f>
        <v>367500000X</v>
      </c>
      <c r="D15559" t="str">
        <f>"MANLEY                   JAMES                    "</f>
        <v xml:space="preserve">MANLEY                   JAMES                    </v>
      </c>
      <c r="E15559" t="str">
        <f>"TUPELO                    "</f>
        <v xml:space="preserve">TUPELO                    </v>
      </c>
      <c r="F15559" t="str">
        <f t="shared" si="398"/>
        <v>MS</v>
      </c>
    </row>
    <row r="15560" spans="1:6" x14ac:dyDescent="0.25">
      <c r="A15560" t="str">
        <f>"200004163"</f>
        <v>200004163</v>
      </c>
      <c r="B15560" t="str">
        <f>"1790377018"</f>
        <v>1790377018</v>
      </c>
      <c r="C15560" t="str">
        <f>"363L00000X"</f>
        <v>363L00000X</v>
      </c>
      <c r="D15560" t="str">
        <f>"DICKERSON                MARY         N           "</f>
        <v xml:space="preserve">DICKERSON                MARY         N           </v>
      </c>
      <c r="E15560" t="str">
        <f>"HATTIESBURG               "</f>
        <v xml:space="preserve">HATTIESBURG               </v>
      </c>
      <c r="F15560" t="str">
        <f t="shared" si="398"/>
        <v>MS</v>
      </c>
    </row>
    <row r="15561" spans="1:6" x14ac:dyDescent="0.25">
      <c r="A15561" t="str">
        <f>"200004174"</f>
        <v>200004174</v>
      </c>
      <c r="B15561" t="str">
        <f>"1770287401"</f>
        <v>1770287401</v>
      </c>
      <c r="C15561" t="str">
        <f>"363L00000X"</f>
        <v>363L00000X</v>
      </c>
      <c r="D15561" t="str">
        <f>"PATEL                    JIGNA        K           "</f>
        <v xml:space="preserve">PATEL                    JIGNA        K           </v>
      </c>
      <c r="E15561" t="str">
        <f>"OXFORD                    "</f>
        <v xml:space="preserve">OXFORD                    </v>
      </c>
      <c r="F15561" t="str">
        <f t="shared" si="398"/>
        <v>MS</v>
      </c>
    </row>
    <row r="15562" spans="1:6" x14ac:dyDescent="0.25">
      <c r="A15562" t="str">
        <f>"200004176"</f>
        <v>200004176</v>
      </c>
      <c r="B15562" t="str">
        <f>"1083300594"</f>
        <v>1083300594</v>
      </c>
      <c r="C15562" t="str">
        <f>"261QM1300X"</f>
        <v>261QM1300X</v>
      </c>
      <c r="D15562" t="str">
        <f>"CARING HANDS BEHAVIORAL HEALTH AND WELLNESS, LLC  "</f>
        <v xml:space="preserve">CARING HANDS BEHAVIORAL HEALTH AND WELLNESS, LLC  </v>
      </c>
      <c r="E15562" t="str">
        <f>"MONTICELLO                "</f>
        <v xml:space="preserve">MONTICELLO                </v>
      </c>
      <c r="F15562" t="str">
        <f t="shared" si="398"/>
        <v>MS</v>
      </c>
    </row>
    <row r="15563" spans="1:6" x14ac:dyDescent="0.25">
      <c r="A15563" t="str">
        <f>"200004183"</f>
        <v>200004183</v>
      </c>
      <c r="B15563" t="str">
        <f>"1124721436"</f>
        <v>1124721436</v>
      </c>
      <c r="C15563" t="str">
        <f>"207P00000X"</f>
        <v>207P00000X</v>
      </c>
      <c r="D15563" t="str">
        <f>"NASON                    LORA         B           "</f>
        <v xml:space="preserve">NASON                    LORA         B           </v>
      </c>
      <c r="E15563" t="str">
        <f>"JACKSON                   "</f>
        <v xml:space="preserve">JACKSON                   </v>
      </c>
      <c r="F15563" t="str">
        <f t="shared" si="398"/>
        <v>MS</v>
      </c>
    </row>
    <row r="15564" spans="1:6" x14ac:dyDescent="0.25">
      <c r="A15564" t="str">
        <f>"200004186"</f>
        <v>200004186</v>
      </c>
      <c r="B15564" t="str">
        <f>"1770292559"</f>
        <v>1770292559</v>
      </c>
      <c r="C15564" t="str">
        <f>"363LN0000X"</f>
        <v>363LN0000X</v>
      </c>
      <c r="D15564" t="str">
        <f>"CRAWFORD-VARNER          KATHRYN      E           "</f>
        <v xml:space="preserve">CRAWFORD-VARNER          KATHRYN      E           </v>
      </c>
      <c r="E15564" t="str">
        <f>"JACKSON                   "</f>
        <v xml:space="preserve">JACKSON                   </v>
      </c>
      <c r="F15564" t="str">
        <f t="shared" si="398"/>
        <v>MS</v>
      </c>
    </row>
    <row r="15565" spans="1:6" x14ac:dyDescent="0.25">
      <c r="A15565" t="str">
        <f>"200004188"</f>
        <v>200004188</v>
      </c>
      <c r="B15565" t="str">
        <f>"1508553512"</f>
        <v>1508553512</v>
      </c>
      <c r="C15565" t="str">
        <f>"363L00000X"</f>
        <v>363L00000X</v>
      </c>
      <c r="D15565" t="str">
        <f>"FLOYD                    JENNIFER                 "</f>
        <v xml:space="preserve">FLOYD                    JENNIFER                 </v>
      </c>
      <c r="E15565" t="str">
        <f>"TUPELO                    "</f>
        <v xml:space="preserve">TUPELO                    </v>
      </c>
      <c r="F15565" t="str">
        <f t="shared" si="398"/>
        <v>MS</v>
      </c>
    </row>
    <row r="15566" spans="1:6" x14ac:dyDescent="0.25">
      <c r="A15566" t="str">
        <f>"200004198"</f>
        <v>200004198</v>
      </c>
      <c r="B15566" t="str">
        <f>"1437611217"</f>
        <v>1437611217</v>
      </c>
      <c r="C15566" t="str">
        <f>"2085R0202X"</f>
        <v>2085R0202X</v>
      </c>
      <c r="D15566" t="str">
        <f>"KOVALSKY                 CHRISTOPHER              "</f>
        <v xml:space="preserve">KOVALSKY                 CHRISTOPHER              </v>
      </c>
      <c r="E15566" t="str">
        <f>"NEW ALBANY                "</f>
        <v xml:space="preserve">NEW ALBANY                </v>
      </c>
      <c r="F15566" t="str">
        <f t="shared" si="398"/>
        <v>MS</v>
      </c>
    </row>
    <row r="15567" spans="1:6" x14ac:dyDescent="0.25">
      <c r="A15567" t="str">
        <f>"200004205"</f>
        <v>200004205</v>
      </c>
      <c r="B15567" t="str">
        <f>"1487357133"</f>
        <v>1487357133</v>
      </c>
      <c r="C15567" t="str">
        <f>"152W00000X"</f>
        <v>152W00000X</v>
      </c>
      <c r="D15567" t="str">
        <f>"PHYFER EYE CARE PC                                "</f>
        <v xml:space="preserve">PHYFER EYE CARE PC                                </v>
      </c>
      <c r="E15567" t="str">
        <f>"COLUMBUS                  "</f>
        <v xml:space="preserve">COLUMBUS                  </v>
      </c>
      <c r="F15567" t="str">
        <f t="shared" si="398"/>
        <v>MS</v>
      </c>
    </row>
    <row r="15568" spans="1:6" x14ac:dyDescent="0.25">
      <c r="A15568" t="str">
        <f>"200004212"</f>
        <v>200004212</v>
      </c>
      <c r="B15568" t="str">
        <f>"1588236913"</f>
        <v>1588236913</v>
      </c>
      <c r="C15568" t="str">
        <f>"363L00000X"</f>
        <v>363L00000X</v>
      </c>
      <c r="D15568" t="str">
        <f>"BROWN                    CHANDRY                  "</f>
        <v xml:space="preserve">BROWN                    CHANDRY                  </v>
      </c>
      <c r="E15568" t="str">
        <f>"JACKSON                   "</f>
        <v xml:space="preserve">JACKSON                   </v>
      </c>
      <c r="F15568" t="str">
        <f t="shared" si="398"/>
        <v>MS</v>
      </c>
    </row>
    <row r="15569" spans="1:6" x14ac:dyDescent="0.25">
      <c r="A15569" t="str">
        <f>"200004215"</f>
        <v>200004215</v>
      </c>
      <c r="B15569" t="str">
        <f>"1023686458"</f>
        <v>1023686458</v>
      </c>
      <c r="C15569" t="str">
        <f>"363L00000X"</f>
        <v>363L00000X</v>
      </c>
      <c r="D15569" t="str">
        <f>"MAYERS SHERMAN           TONYA                    "</f>
        <v xml:space="preserve">MAYERS SHERMAN           TONYA                    </v>
      </c>
      <c r="E15569" t="str">
        <f>"RIDGELAND                 "</f>
        <v xml:space="preserve">RIDGELAND                 </v>
      </c>
      <c r="F15569" t="str">
        <f t="shared" si="398"/>
        <v>MS</v>
      </c>
    </row>
    <row r="15570" spans="1:6" x14ac:dyDescent="0.25">
      <c r="A15570" t="str">
        <f>"200004226"</f>
        <v>200004226</v>
      </c>
      <c r="B15570" t="str">
        <f>"1578614640"</f>
        <v>1578614640</v>
      </c>
      <c r="C15570" t="str">
        <f>"1223S0112X"</f>
        <v>1223S0112X</v>
      </c>
      <c r="D15570" t="str">
        <f>"KEEN                     KEVIN        K           "</f>
        <v xml:space="preserve">KEEN                     KEVIN        K           </v>
      </c>
      <c r="E15570" t="str">
        <f>"MADISON                   "</f>
        <v xml:space="preserve">MADISON                   </v>
      </c>
      <c r="F15570" t="str">
        <f t="shared" si="398"/>
        <v>MS</v>
      </c>
    </row>
    <row r="15571" spans="1:6" x14ac:dyDescent="0.25">
      <c r="A15571" t="str">
        <f>"200004236"</f>
        <v>200004236</v>
      </c>
      <c r="B15571" t="str">
        <f>"1023723624"</f>
        <v>1023723624</v>
      </c>
      <c r="C15571" t="str">
        <f>"1223X0400X"</f>
        <v>1223X0400X</v>
      </c>
      <c r="D15571" t="str">
        <f>"ENGEL                    ALEXANDRA                "</f>
        <v xml:space="preserve">ENGEL                    ALEXANDRA                </v>
      </c>
      <c r="E15571" t="str">
        <f>"GREENVILLE                "</f>
        <v xml:space="preserve">GREENVILLE                </v>
      </c>
      <c r="F15571" t="str">
        <f t="shared" si="398"/>
        <v>MS</v>
      </c>
    </row>
    <row r="15572" spans="1:6" x14ac:dyDescent="0.25">
      <c r="A15572" t="str">
        <f>"200004255"</f>
        <v>200004255</v>
      </c>
      <c r="B15572" t="str">
        <f>"1578213252"</f>
        <v>1578213252</v>
      </c>
      <c r="C15572" t="str">
        <f>"1223G0001X"</f>
        <v>1223G0001X</v>
      </c>
      <c r="D15572" t="str">
        <f>"ALLEN                    CLARKE       M           "</f>
        <v xml:space="preserve">ALLEN                    CLARKE       M           </v>
      </c>
      <c r="E15572" t="str">
        <f>"GULFPORT                  "</f>
        <v xml:space="preserve">GULFPORT                  </v>
      </c>
      <c r="F15572" t="str">
        <f t="shared" si="398"/>
        <v>MS</v>
      </c>
    </row>
    <row r="15573" spans="1:6" x14ac:dyDescent="0.25">
      <c r="A15573" t="str">
        <f>"200004257"</f>
        <v>200004257</v>
      </c>
      <c r="B15573" t="str">
        <f>"1841818010"</f>
        <v>1841818010</v>
      </c>
      <c r="C15573" t="str">
        <f>"363L00000X"</f>
        <v>363L00000X</v>
      </c>
      <c r="D15573" t="str">
        <f>"SINIARD                  DANA                     "</f>
        <v xml:space="preserve">SINIARD                  DANA                     </v>
      </c>
      <c r="E15573" t="str">
        <f>"RIPLEY                    "</f>
        <v xml:space="preserve">RIPLEY                    </v>
      </c>
      <c r="F15573" t="str">
        <f t="shared" si="398"/>
        <v>MS</v>
      </c>
    </row>
    <row r="15574" spans="1:6" x14ac:dyDescent="0.25">
      <c r="A15574" t="str">
        <f>"200004259"</f>
        <v>200004259</v>
      </c>
      <c r="B15574" t="str">
        <f>"1205802667"</f>
        <v>1205802667</v>
      </c>
      <c r="C15574" t="str">
        <f>"207R00000X"</f>
        <v>207R00000X</v>
      </c>
      <c r="D15574" t="str">
        <f>"GAINES                   MATTHEW                  "</f>
        <v xml:space="preserve">GAINES                   MATTHEW                  </v>
      </c>
      <c r="E15574" t="str">
        <f>"BROOKHAVEN                "</f>
        <v xml:space="preserve">BROOKHAVEN                </v>
      </c>
      <c r="F15574" t="str">
        <f t="shared" si="398"/>
        <v>MS</v>
      </c>
    </row>
    <row r="15575" spans="1:6" x14ac:dyDescent="0.25">
      <c r="A15575" t="str">
        <f>"200004260"</f>
        <v>200004260</v>
      </c>
      <c r="B15575" t="str">
        <f>"1417946864"</f>
        <v>1417946864</v>
      </c>
      <c r="C15575" t="str">
        <f>"363L00000X"</f>
        <v>363L00000X</v>
      </c>
      <c r="D15575" t="str">
        <f>"HELWIG                   CYNTHIA                  "</f>
        <v xml:space="preserve">HELWIG                   CYNTHIA                  </v>
      </c>
      <c r="E15575" t="str">
        <f>"PASS CHRISTIAN            "</f>
        <v xml:space="preserve">PASS CHRISTIAN            </v>
      </c>
      <c r="F15575" t="str">
        <f t="shared" si="398"/>
        <v>MS</v>
      </c>
    </row>
    <row r="15576" spans="1:6" x14ac:dyDescent="0.25">
      <c r="A15576" t="str">
        <f>"200004264"</f>
        <v>200004264</v>
      </c>
      <c r="B15576" t="str">
        <f>"1851824270"</f>
        <v>1851824270</v>
      </c>
      <c r="C15576" t="str">
        <f>"207RC0000X"</f>
        <v>207RC0000X</v>
      </c>
      <c r="D15576" t="str">
        <f>"GARY                     MICHAEL                  "</f>
        <v xml:space="preserve">GARY                     MICHAEL                  </v>
      </c>
      <c r="E15576" t="str">
        <f>"JACKSON                   "</f>
        <v xml:space="preserve">JACKSON                   </v>
      </c>
      <c r="F15576" t="str">
        <f t="shared" si="398"/>
        <v>MS</v>
      </c>
    </row>
    <row r="15577" spans="1:6" x14ac:dyDescent="0.25">
      <c r="A15577" t="str">
        <f>"200004283"</f>
        <v>200004283</v>
      </c>
      <c r="B15577" t="str">
        <f>"1922713270"</f>
        <v>1922713270</v>
      </c>
      <c r="C15577" t="str">
        <f>"363A00000X"</f>
        <v>363A00000X</v>
      </c>
      <c r="D15577" t="str">
        <f>"VAUGHN                   REAGAN                   "</f>
        <v xml:space="preserve">VAUGHN                   REAGAN                   </v>
      </c>
      <c r="E15577" t="str">
        <f>"JACKSON                   "</f>
        <v xml:space="preserve">JACKSON                   </v>
      </c>
      <c r="F15577" t="str">
        <f t="shared" si="398"/>
        <v>MS</v>
      </c>
    </row>
    <row r="15578" spans="1:6" x14ac:dyDescent="0.25">
      <c r="A15578" t="str">
        <f>"200004284"</f>
        <v>200004284</v>
      </c>
      <c r="B15578" t="str">
        <f>"1881392199"</f>
        <v>1881392199</v>
      </c>
      <c r="C15578" t="str">
        <f>"363A00000X"</f>
        <v>363A00000X</v>
      </c>
      <c r="D15578" t="str">
        <f>"RICHARDSON               BAYLEE                   "</f>
        <v xml:space="preserve">RICHARDSON               BAYLEE                   </v>
      </c>
      <c r="E15578" t="str">
        <f>"BELZONI                   "</f>
        <v xml:space="preserve">BELZONI                   </v>
      </c>
      <c r="F15578" t="str">
        <f t="shared" si="398"/>
        <v>MS</v>
      </c>
    </row>
    <row r="15579" spans="1:6" x14ac:dyDescent="0.25">
      <c r="A15579" t="str">
        <f>"200004288"</f>
        <v>200004288</v>
      </c>
      <c r="B15579" t="str">
        <f>"1467178327"</f>
        <v>1467178327</v>
      </c>
      <c r="C15579" t="str">
        <f>"363L00000X"</f>
        <v>363L00000X</v>
      </c>
      <c r="D15579" t="str">
        <f>"TODD                     SHANTAY                  "</f>
        <v xml:space="preserve">TODD                     SHANTAY                  </v>
      </c>
      <c r="E15579" t="str">
        <f>"WALLS                     "</f>
        <v xml:space="preserve">WALLS                     </v>
      </c>
      <c r="F15579" t="str">
        <f t="shared" si="398"/>
        <v>MS</v>
      </c>
    </row>
    <row r="15580" spans="1:6" x14ac:dyDescent="0.25">
      <c r="A15580" t="str">
        <f>"200004289"</f>
        <v>200004289</v>
      </c>
      <c r="B15580" t="str">
        <f>"1669164935"</f>
        <v>1669164935</v>
      </c>
      <c r="C15580" t="str">
        <f>"363L00000X"</f>
        <v>363L00000X</v>
      </c>
      <c r="D15580" t="str">
        <f>"GRAY                     TANIKA                   "</f>
        <v xml:space="preserve">GRAY                     TANIKA                   </v>
      </c>
      <c r="E15580" t="str">
        <f>"STARKILLE                 "</f>
        <v xml:space="preserve">STARKILLE                 </v>
      </c>
      <c r="F15580" t="str">
        <f t="shared" si="398"/>
        <v>MS</v>
      </c>
    </row>
    <row r="15581" spans="1:6" x14ac:dyDescent="0.25">
      <c r="A15581" t="str">
        <f>"200004290"</f>
        <v>200004290</v>
      </c>
      <c r="B15581" t="str">
        <f>"1851824015"</f>
        <v>1851824015</v>
      </c>
      <c r="C15581" t="str">
        <f>"2084P0800X"</f>
        <v>2084P0800X</v>
      </c>
      <c r="D15581" t="str">
        <f>"ROGERS                   JEFFERSON    L           "</f>
        <v xml:space="preserve">ROGERS                   JEFFERSON    L           </v>
      </c>
      <c r="E15581" t="str">
        <f>"HATTIESBURG               "</f>
        <v xml:space="preserve">HATTIESBURG               </v>
      </c>
      <c r="F15581" t="str">
        <f t="shared" si="398"/>
        <v>MS</v>
      </c>
    </row>
    <row r="15582" spans="1:6" x14ac:dyDescent="0.25">
      <c r="A15582" t="str">
        <f>"200004298"</f>
        <v>200004298</v>
      </c>
      <c r="B15582" t="str">
        <f>"1972110153"</f>
        <v>1972110153</v>
      </c>
      <c r="C15582" t="str">
        <f>"122300000X"</f>
        <v>122300000X</v>
      </c>
      <c r="D15582" t="str">
        <f>"WEST                     STEFAN       S           "</f>
        <v xml:space="preserve">WEST                     STEFAN       S           </v>
      </c>
      <c r="E15582" t="str">
        <f>"NATCHEZ                   "</f>
        <v xml:space="preserve">NATCHEZ                   </v>
      </c>
      <c r="F15582" t="str">
        <f t="shared" si="398"/>
        <v>MS</v>
      </c>
    </row>
    <row r="15583" spans="1:6" x14ac:dyDescent="0.25">
      <c r="A15583" t="str">
        <f>"200004302"</f>
        <v>200004302</v>
      </c>
      <c r="B15583" t="str">
        <f>"1740984319"</f>
        <v>1740984319</v>
      </c>
      <c r="C15583" t="str">
        <f>"363L00000X"</f>
        <v>363L00000X</v>
      </c>
      <c r="D15583" t="str">
        <f>"LANDRY                   ROSEMARIE    E           "</f>
        <v xml:space="preserve">LANDRY                   ROSEMARIE    E           </v>
      </c>
      <c r="E15583" t="str">
        <f>"VANCLEAVE                 "</f>
        <v xml:space="preserve">VANCLEAVE                 </v>
      </c>
      <c r="F15583" t="str">
        <f t="shared" si="398"/>
        <v>MS</v>
      </c>
    </row>
    <row r="15584" spans="1:6" x14ac:dyDescent="0.25">
      <c r="A15584" t="str">
        <f>"200004305"</f>
        <v>200004305</v>
      </c>
      <c r="B15584" t="str">
        <f>"1235754839"</f>
        <v>1235754839</v>
      </c>
      <c r="C15584" t="str">
        <f>"122300000X"</f>
        <v>122300000X</v>
      </c>
      <c r="D15584" t="str">
        <f>"WOMACK                   ANNA                     "</f>
        <v xml:space="preserve">WOMACK                   ANNA                     </v>
      </c>
      <c r="E15584" t="str">
        <f>"NATCHEZ                   "</f>
        <v xml:space="preserve">NATCHEZ                   </v>
      </c>
      <c r="F15584" t="str">
        <f t="shared" si="398"/>
        <v>MS</v>
      </c>
    </row>
    <row r="15585" spans="1:6" x14ac:dyDescent="0.25">
      <c r="A15585" t="str">
        <f>"200004310"</f>
        <v>200004310</v>
      </c>
      <c r="B15585" t="str">
        <f>"1528270733"</f>
        <v>1528270733</v>
      </c>
      <c r="C15585" t="str">
        <f>"122300000X"</f>
        <v>122300000X</v>
      </c>
      <c r="D15585" t="str">
        <f>"SMILEBUILDERS AT BATESVILLE                       "</f>
        <v xml:space="preserve">SMILEBUILDERS AT BATESVILLE                       </v>
      </c>
      <c r="E15585" t="str">
        <f>"BATESVILLE                "</f>
        <v xml:space="preserve">BATESVILLE                </v>
      </c>
      <c r="F15585" t="str">
        <f t="shared" si="398"/>
        <v>MS</v>
      </c>
    </row>
    <row r="15586" spans="1:6" x14ac:dyDescent="0.25">
      <c r="A15586" t="str">
        <f>"200004314"</f>
        <v>200004314</v>
      </c>
      <c r="B15586" t="str">
        <f>"1063157873"</f>
        <v>1063157873</v>
      </c>
      <c r="C15586" t="str">
        <f>"122300000X"</f>
        <v>122300000X</v>
      </c>
      <c r="D15586" t="str">
        <f>"SAWAYA                   MILES                    "</f>
        <v xml:space="preserve">SAWAYA                   MILES                    </v>
      </c>
      <c r="E15586" t="str">
        <f>"JACKSON                   "</f>
        <v xml:space="preserve">JACKSON                   </v>
      </c>
      <c r="F15586" t="str">
        <f t="shared" si="398"/>
        <v>MS</v>
      </c>
    </row>
    <row r="15587" spans="1:6" x14ac:dyDescent="0.25">
      <c r="A15587" t="str">
        <f>"200004316"</f>
        <v>200004316</v>
      </c>
      <c r="B15587" t="str">
        <f>"1477568749"</f>
        <v>1477568749</v>
      </c>
      <c r="C15587" t="str">
        <f>"2086S0122X"</f>
        <v>2086S0122X</v>
      </c>
      <c r="D15587" t="str">
        <f>"WELLS                    FORREST                  "</f>
        <v xml:space="preserve">WELLS                    FORREST                  </v>
      </c>
      <c r="E15587" t="str">
        <f>"OCEAN SPRINGS             "</f>
        <v xml:space="preserve">OCEAN SPRINGS             </v>
      </c>
      <c r="F15587" t="str">
        <f t="shared" si="398"/>
        <v>MS</v>
      </c>
    </row>
    <row r="15588" spans="1:6" x14ac:dyDescent="0.25">
      <c r="A15588" t="str">
        <f>"200004328"</f>
        <v>200004328</v>
      </c>
      <c r="B15588" t="str">
        <f>"1073040580"</f>
        <v>1073040580</v>
      </c>
      <c r="C15588" t="str">
        <f>"207W00000X"</f>
        <v>207W00000X</v>
      </c>
      <c r="D15588" t="str">
        <f>"SCHONBACH                ETIENNE                  "</f>
        <v xml:space="preserve">SCHONBACH                ETIENNE                  </v>
      </c>
      <c r="E15588" t="str">
        <f>"TUPELO                    "</f>
        <v xml:space="preserve">TUPELO                    </v>
      </c>
      <c r="F15588" t="str">
        <f t="shared" si="398"/>
        <v>MS</v>
      </c>
    </row>
    <row r="15589" spans="1:6" x14ac:dyDescent="0.25">
      <c r="A15589" t="str">
        <f>"200004331"</f>
        <v>200004331</v>
      </c>
      <c r="B15589" t="str">
        <f>"1396436143"</f>
        <v>1396436143</v>
      </c>
      <c r="C15589" t="str">
        <f>"367A00000X"</f>
        <v>367A00000X</v>
      </c>
      <c r="D15589" t="str">
        <f>"GIVENS                   TERA                     "</f>
        <v xml:space="preserve">GIVENS                   TERA                     </v>
      </c>
      <c r="E15589" t="str">
        <f>"MCCOMB                    "</f>
        <v xml:space="preserve">MCCOMB                    </v>
      </c>
      <c r="F15589" t="str">
        <f t="shared" si="398"/>
        <v>MS</v>
      </c>
    </row>
    <row r="15590" spans="1:6" x14ac:dyDescent="0.25">
      <c r="A15590" t="str">
        <f>"200004334"</f>
        <v>200004334</v>
      </c>
      <c r="B15590" t="str">
        <f>"1780378893"</f>
        <v>1780378893</v>
      </c>
      <c r="C15590" t="str">
        <f>"363L00000X"</f>
        <v>363L00000X</v>
      </c>
      <c r="D15590" t="str">
        <f>"MORRIS                   DAVID                    "</f>
        <v xml:space="preserve">MORRIS                   DAVID                    </v>
      </c>
      <c r="E15590" t="str">
        <f>"GULFPORT                  "</f>
        <v xml:space="preserve">GULFPORT                  </v>
      </c>
      <c r="F15590" t="str">
        <f t="shared" si="398"/>
        <v>MS</v>
      </c>
    </row>
    <row r="15591" spans="1:6" x14ac:dyDescent="0.25">
      <c r="A15591" t="str">
        <f>"200004339"</f>
        <v>200004339</v>
      </c>
      <c r="B15591" t="str">
        <f>"1932802139"</f>
        <v>1932802139</v>
      </c>
      <c r="C15591" t="str">
        <f>"2084P0800X"</f>
        <v>2084P0800X</v>
      </c>
      <c r="D15591" t="str">
        <f>"NOSAVILLE                ROSS         A           "</f>
        <v xml:space="preserve">NOSAVILLE                ROSS         A           </v>
      </c>
      <c r="E15591" t="str">
        <f>"JACKSON                   "</f>
        <v xml:space="preserve">JACKSON                   </v>
      </c>
      <c r="F15591" t="str">
        <f t="shared" si="398"/>
        <v>MS</v>
      </c>
    </row>
    <row r="15592" spans="1:6" x14ac:dyDescent="0.25">
      <c r="A15592" t="str">
        <f>"200004340"</f>
        <v>200004340</v>
      </c>
      <c r="B15592" t="str">
        <f>"1730258831"</f>
        <v>1730258831</v>
      </c>
      <c r="C15592" t="str">
        <f>"2085R0202X"</f>
        <v>2085R0202X</v>
      </c>
      <c r="D15592" t="str">
        <f>"OLIVER                   ROBERT                   "</f>
        <v xml:space="preserve">OLIVER                   ROBERT                   </v>
      </c>
      <c r="E15592" t="str">
        <f>"GREENVILLE                "</f>
        <v xml:space="preserve">GREENVILLE                </v>
      </c>
      <c r="F15592" t="str">
        <f t="shared" si="398"/>
        <v>MS</v>
      </c>
    </row>
    <row r="15593" spans="1:6" x14ac:dyDescent="0.25">
      <c r="A15593" t="str">
        <f>"200004345"</f>
        <v>200004345</v>
      </c>
      <c r="B15593" t="str">
        <f>"1194731240"</f>
        <v>1194731240</v>
      </c>
      <c r="C15593" t="str">
        <f>"207T00000X"</f>
        <v>207T00000X</v>
      </c>
      <c r="D15593" t="str">
        <f>"NATHAN                   DAVID        J           "</f>
        <v xml:space="preserve">NATHAN                   DAVID        J           </v>
      </c>
      <c r="E15593" t="str">
        <f>"HATTIESBURG               "</f>
        <v xml:space="preserve">HATTIESBURG               </v>
      </c>
      <c r="F15593" t="str">
        <f t="shared" si="398"/>
        <v>MS</v>
      </c>
    </row>
    <row r="15594" spans="1:6" x14ac:dyDescent="0.25">
      <c r="A15594" t="str">
        <f>"200004347"</f>
        <v>200004347</v>
      </c>
      <c r="B15594" t="str">
        <f>"1942924006"</f>
        <v>1942924006</v>
      </c>
      <c r="C15594" t="str">
        <f>"363L00000X"</f>
        <v>363L00000X</v>
      </c>
      <c r="D15594" t="str">
        <f>"MIKELL                   JESSICA                  "</f>
        <v xml:space="preserve">MIKELL                   JESSICA                  </v>
      </c>
      <c r="E15594" t="str">
        <f>"JACKSON                   "</f>
        <v xml:space="preserve">JACKSON                   </v>
      </c>
      <c r="F15594" t="str">
        <f t="shared" si="398"/>
        <v>MS</v>
      </c>
    </row>
    <row r="15595" spans="1:6" x14ac:dyDescent="0.25">
      <c r="A15595" t="str">
        <f>"200004350"</f>
        <v>200004350</v>
      </c>
      <c r="B15595" t="str">
        <f>"1730231671"</f>
        <v>1730231671</v>
      </c>
      <c r="C15595" t="str">
        <f>"122300000X"</f>
        <v>122300000X</v>
      </c>
      <c r="D15595" t="str">
        <f>"TINGLE                   EMILY                    "</f>
        <v xml:space="preserve">TINGLE                   EMILY                    </v>
      </c>
      <c r="E15595" t="str">
        <f>"BRANDON                   "</f>
        <v xml:space="preserve">BRANDON                   </v>
      </c>
      <c r="F15595" t="str">
        <f t="shared" si="398"/>
        <v>MS</v>
      </c>
    </row>
    <row r="15596" spans="1:6" x14ac:dyDescent="0.25">
      <c r="A15596" t="str">
        <f>"200004362"</f>
        <v>200004362</v>
      </c>
      <c r="B15596" t="str">
        <f>"1295997211"</f>
        <v>1295997211</v>
      </c>
      <c r="C15596" t="str">
        <f>"207R00000X"</f>
        <v>207R00000X</v>
      </c>
      <c r="D15596" t="str">
        <f>"WONG MCKINSTRY           EDNA                     "</f>
        <v xml:space="preserve">WONG MCKINSTRY           EDNA                     </v>
      </c>
      <c r="E15596" t="str">
        <f>"JACKSON                   "</f>
        <v xml:space="preserve">JACKSON                   </v>
      </c>
      <c r="F15596" t="str">
        <f t="shared" si="398"/>
        <v>MS</v>
      </c>
    </row>
    <row r="15597" spans="1:6" x14ac:dyDescent="0.25">
      <c r="A15597" t="str">
        <f>"200004366"</f>
        <v>200004366</v>
      </c>
      <c r="B15597" t="str">
        <f>"1912591181"</f>
        <v>1912591181</v>
      </c>
      <c r="C15597" t="str">
        <f>"367A00000X"</f>
        <v>367A00000X</v>
      </c>
      <c r="D15597" t="str">
        <f>"RICKARD                  KIMBERLY     S           "</f>
        <v xml:space="preserve">RICKARD                  KIMBERLY     S           </v>
      </c>
      <c r="E15597" t="str">
        <f>"FLOWOOD                   "</f>
        <v xml:space="preserve">FLOWOOD                   </v>
      </c>
      <c r="F15597" t="str">
        <f t="shared" si="398"/>
        <v>MS</v>
      </c>
    </row>
    <row r="15598" spans="1:6" x14ac:dyDescent="0.25">
      <c r="A15598" t="str">
        <f>"200004367"</f>
        <v>200004367</v>
      </c>
      <c r="B15598" t="str">
        <f>"1881388684"</f>
        <v>1881388684</v>
      </c>
      <c r="C15598" t="str">
        <f>"363L00000X"</f>
        <v>363L00000X</v>
      </c>
      <c r="D15598" t="str">
        <f>"MONROE                   TERESA       S           "</f>
        <v xml:space="preserve">MONROE                   TERESA       S           </v>
      </c>
      <c r="E15598" t="str">
        <f>"HATTIESBURG               "</f>
        <v xml:space="preserve">HATTIESBURG               </v>
      </c>
      <c r="F15598" t="str">
        <f t="shared" si="398"/>
        <v>MS</v>
      </c>
    </row>
    <row r="15599" spans="1:6" x14ac:dyDescent="0.25">
      <c r="A15599" t="str">
        <f>"200004369"</f>
        <v>200004369</v>
      </c>
      <c r="B15599" t="str">
        <f>"1407143829"</f>
        <v>1407143829</v>
      </c>
      <c r="C15599" t="str">
        <f>"363A00000X"</f>
        <v>363A00000X</v>
      </c>
      <c r="D15599" t="str">
        <f>"SAMUEL                   LAURA                    "</f>
        <v xml:space="preserve">SAMUEL                   LAURA                    </v>
      </c>
      <c r="E15599" t="str">
        <f>"TUPELO                    "</f>
        <v xml:space="preserve">TUPELO                    </v>
      </c>
      <c r="F15599" t="str">
        <f t="shared" si="398"/>
        <v>MS</v>
      </c>
    </row>
    <row r="15600" spans="1:6" x14ac:dyDescent="0.25">
      <c r="A15600" t="str">
        <f>"200004370"</f>
        <v>200004370</v>
      </c>
      <c r="B15600" t="str">
        <f>"1912922949"</f>
        <v>1912922949</v>
      </c>
      <c r="C15600" t="str">
        <f>"207P00000X"</f>
        <v>207P00000X</v>
      </c>
      <c r="D15600" t="str">
        <f>"FORD                     TERRY                    "</f>
        <v xml:space="preserve">FORD                     TERRY                    </v>
      </c>
      <c r="E15600" t="str">
        <f>"HAZLEHURST                "</f>
        <v xml:space="preserve">HAZLEHURST                </v>
      </c>
      <c r="F15600" t="str">
        <f t="shared" si="398"/>
        <v>MS</v>
      </c>
    </row>
    <row r="15601" spans="1:6" x14ac:dyDescent="0.25">
      <c r="A15601" t="str">
        <f>"200004372"</f>
        <v>200004372</v>
      </c>
      <c r="B15601" t="str">
        <f>"1891312948"</f>
        <v>1891312948</v>
      </c>
      <c r="C15601" t="str">
        <f>"363L00000X"</f>
        <v>363L00000X</v>
      </c>
      <c r="D15601" t="str">
        <f>"GORDON                   COURTNEY                 "</f>
        <v xml:space="preserve">GORDON                   COURTNEY                 </v>
      </c>
      <c r="E15601" t="str">
        <f>"RIDGELAND                 "</f>
        <v xml:space="preserve">RIDGELAND                 </v>
      </c>
      <c r="F15601" t="str">
        <f t="shared" si="398"/>
        <v>MS</v>
      </c>
    </row>
    <row r="15602" spans="1:6" x14ac:dyDescent="0.25">
      <c r="A15602" t="str">
        <f>"200004378"</f>
        <v>200004378</v>
      </c>
      <c r="B15602" t="str">
        <f>"1275043127"</f>
        <v>1275043127</v>
      </c>
      <c r="C15602" t="str">
        <f>"363L00000X"</f>
        <v>363L00000X</v>
      </c>
      <c r="D15602" t="str">
        <f>"RAWLS                    SHAKITA                  "</f>
        <v xml:space="preserve">RAWLS                    SHAKITA                  </v>
      </c>
      <c r="E15602" t="str">
        <f>"TYLERTOWN                 "</f>
        <v xml:space="preserve">TYLERTOWN                 </v>
      </c>
      <c r="F15602" t="str">
        <f t="shared" si="398"/>
        <v>MS</v>
      </c>
    </row>
    <row r="15603" spans="1:6" x14ac:dyDescent="0.25">
      <c r="A15603" t="str">
        <f>"200004385"</f>
        <v>200004385</v>
      </c>
      <c r="B15603" t="str">
        <f>"1407979107"</f>
        <v>1407979107</v>
      </c>
      <c r="C15603" t="str">
        <f>"122300000X"</f>
        <v>122300000X</v>
      </c>
      <c r="D15603" t="str">
        <f>"COLLIER                  EVELYN                   "</f>
        <v xml:space="preserve">COLLIER                  EVELYN                   </v>
      </c>
      <c r="E15603" t="str">
        <f>"JACKSON                   "</f>
        <v xml:space="preserve">JACKSON                   </v>
      </c>
      <c r="F15603" t="str">
        <f t="shared" si="398"/>
        <v>MS</v>
      </c>
    </row>
    <row r="15604" spans="1:6" x14ac:dyDescent="0.25">
      <c r="A15604" t="str">
        <f>"200004388"</f>
        <v>200004388</v>
      </c>
      <c r="B15604" t="str">
        <f>"1134868672"</f>
        <v>1134868672</v>
      </c>
      <c r="C15604" t="str">
        <f>"261QF0400X"</f>
        <v>261QF0400X</v>
      </c>
      <c r="D15604" t="str">
        <f>"AARON E HENRY COMMUNITY HEALTH CENTER INC         "</f>
        <v xml:space="preserve">AARON E HENRY COMMUNITY HEALTH CENTER INC         </v>
      </c>
      <c r="E15604" t="str">
        <f>"CLARKSDALE                "</f>
        <v xml:space="preserve">CLARKSDALE                </v>
      </c>
      <c r="F15604" t="str">
        <f t="shared" si="398"/>
        <v>MS</v>
      </c>
    </row>
    <row r="15605" spans="1:6" x14ac:dyDescent="0.25">
      <c r="A15605" t="str">
        <f>"200004390"</f>
        <v>200004390</v>
      </c>
      <c r="B15605" t="str">
        <f>"1649407917"</f>
        <v>1649407917</v>
      </c>
      <c r="C15605" t="str">
        <f>"2084P0800X"</f>
        <v>2084P0800X</v>
      </c>
      <c r="D15605" t="str">
        <f>"IWUEKE                   CHIKA                    "</f>
        <v xml:space="preserve">IWUEKE                   CHIKA                    </v>
      </c>
      <c r="E15605" t="str">
        <f>"TUPELO                    "</f>
        <v xml:space="preserve">TUPELO                    </v>
      </c>
      <c r="F15605" t="str">
        <f t="shared" si="398"/>
        <v>MS</v>
      </c>
    </row>
    <row r="15606" spans="1:6" x14ac:dyDescent="0.25">
      <c r="A15606" t="str">
        <f>"200004397"</f>
        <v>200004397</v>
      </c>
      <c r="B15606" t="str">
        <f>"1568825677"</f>
        <v>1568825677</v>
      </c>
      <c r="C15606" t="str">
        <f>"207RC0000X"</f>
        <v>207RC0000X</v>
      </c>
      <c r="D15606" t="str">
        <f>"BROWN                    ANDREW                   "</f>
        <v xml:space="preserve">BROWN                    ANDREW                   </v>
      </c>
      <c r="E15606" t="str">
        <f>"JACKSON                   "</f>
        <v xml:space="preserve">JACKSON                   </v>
      </c>
      <c r="F15606" t="str">
        <f t="shared" si="398"/>
        <v>MS</v>
      </c>
    </row>
    <row r="15607" spans="1:6" x14ac:dyDescent="0.25">
      <c r="A15607" t="str">
        <f>"200004407"</f>
        <v>200004407</v>
      </c>
      <c r="B15607" t="str">
        <f>"1770278426"</f>
        <v>1770278426</v>
      </c>
      <c r="C15607" t="str">
        <f>"207R00000X"</f>
        <v>207R00000X</v>
      </c>
      <c r="D15607" t="str">
        <f>"FENG                     KATEY                    "</f>
        <v xml:space="preserve">FENG                     KATEY                    </v>
      </c>
      <c r="E15607" t="str">
        <f>"TUPELO                    "</f>
        <v xml:space="preserve">TUPELO                    </v>
      </c>
      <c r="F15607" t="str">
        <f t="shared" si="398"/>
        <v>MS</v>
      </c>
    </row>
    <row r="15608" spans="1:6" x14ac:dyDescent="0.25">
      <c r="A15608" t="str">
        <f>"200004408"</f>
        <v>200004408</v>
      </c>
      <c r="B15608" t="str">
        <f>"1972177152"</f>
        <v>1972177152</v>
      </c>
      <c r="C15608" t="str">
        <f>"261QF0400X"</f>
        <v>261QF0400X</v>
      </c>
      <c r="D15608" t="str">
        <f>"SOUTHEAST MISSISSIPPI RURAL HEALTH INITIATIVE INC "</f>
        <v xml:space="preserve">SOUTHEAST MISSISSIPPI RURAL HEALTH INITIATIVE INC </v>
      </c>
      <c r="E15608" t="str">
        <f>"PURVIS                    "</f>
        <v xml:space="preserve">PURVIS                    </v>
      </c>
      <c r="F15608" t="str">
        <f t="shared" si="398"/>
        <v>MS</v>
      </c>
    </row>
    <row r="15609" spans="1:6" x14ac:dyDescent="0.25">
      <c r="A15609" t="str">
        <f>"200004422"</f>
        <v>200004422</v>
      </c>
      <c r="B15609" t="str">
        <f>"1538733795"</f>
        <v>1538733795</v>
      </c>
      <c r="C15609" t="str">
        <f>"261QF0400X"</f>
        <v>261QF0400X</v>
      </c>
      <c r="D15609" t="str">
        <f>"SOUTHEAST MISSISSIPPI RURAL HEALTH INITIATIVE INC1"</f>
        <v>SOUTHEAST MISSISSIPPI RURAL HEALTH INITIATIVE INC1</v>
      </c>
      <c r="E15609" t="str">
        <f>"LUMBERTON                 "</f>
        <v xml:space="preserve">LUMBERTON                 </v>
      </c>
      <c r="F15609" t="str">
        <f t="shared" si="398"/>
        <v>MS</v>
      </c>
    </row>
    <row r="15610" spans="1:6" x14ac:dyDescent="0.25">
      <c r="A15610" t="str">
        <f>"200004440"</f>
        <v>200004440</v>
      </c>
      <c r="B15610" t="str">
        <f>"1235391046"</f>
        <v>1235391046</v>
      </c>
      <c r="C15610" t="str">
        <f>"2084N0400X"</f>
        <v>2084N0400X</v>
      </c>
      <c r="D15610" t="str">
        <f>"SINCLAIR                 DAVID                    "</f>
        <v xml:space="preserve">SINCLAIR                 DAVID                    </v>
      </c>
      <c r="E15610" t="str">
        <f>"JACKSON                   "</f>
        <v xml:space="preserve">JACKSON                   </v>
      </c>
      <c r="F15610" t="str">
        <f t="shared" si="398"/>
        <v>MS</v>
      </c>
    </row>
    <row r="15611" spans="1:6" x14ac:dyDescent="0.25">
      <c r="A15611" t="str">
        <f>"200004447"</f>
        <v>200004447</v>
      </c>
      <c r="B15611" t="str">
        <f>"1588763197"</f>
        <v>1588763197</v>
      </c>
      <c r="C15611" t="str">
        <f>"207Y00000X"</f>
        <v>207Y00000X</v>
      </c>
      <c r="D15611" t="str">
        <f>"HOUSE III                JAMES        R           "</f>
        <v xml:space="preserve">HOUSE III                JAMES        R           </v>
      </c>
      <c r="E15611" t="str">
        <f>"FLOWOOD                   "</f>
        <v xml:space="preserve">FLOWOOD                   </v>
      </c>
      <c r="F15611" t="str">
        <f t="shared" si="398"/>
        <v>MS</v>
      </c>
    </row>
    <row r="15612" spans="1:6" x14ac:dyDescent="0.25">
      <c r="A15612" t="str">
        <f>"200004449"</f>
        <v>200004449</v>
      </c>
      <c r="B15612" t="str">
        <f>"1285677310"</f>
        <v>1285677310</v>
      </c>
      <c r="C15612" t="str">
        <f>"207V00000X"</f>
        <v>207V00000X</v>
      </c>
      <c r="D15612" t="str">
        <f>"WILLIAMS                 DAVID                    "</f>
        <v xml:space="preserve">WILLIAMS                 DAVID                    </v>
      </c>
      <c r="E15612" t="str">
        <f>"CORINTH                   "</f>
        <v xml:space="preserve">CORINTH                   </v>
      </c>
      <c r="F15612" t="str">
        <f t="shared" si="398"/>
        <v>MS</v>
      </c>
    </row>
    <row r="15613" spans="1:6" x14ac:dyDescent="0.25">
      <c r="A15613" t="str">
        <f>"200004453"</f>
        <v>200004453</v>
      </c>
      <c r="B15613" t="str">
        <f>"1851095574"</f>
        <v>1851095574</v>
      </c>
      <c r="C15613" t="str">
        <f>"208600000X"</f>
        <v>208600000X</v>
      </c>
      <c r="D15613" t="str">
        <f>"ALMAND                   MARIEGENE                "</f>
        <v xml:space="preserve">ALMAND                   MARIEGENE                </v>
      </c>
      <c r="E15613" t="str">
        <f>"JACKSON                   "</f>
        <v xml:space="preserve">JACKSON                   </v>
      </c>
      <c r="F15613" t="str">
        <f t="shared" si="398"/>
        <v>MS</v>
      </c>
    </row>
    <row r="15614" spans="1:6" x14ac:dyDescent="0.25">
      <c r="A15614" t="str">
        <f>"200004462"</f>
        <v>200004462</v>
      </c>
      <c r="B15614" t="str">
        <f>"1548999394"</f>
        <v>1548999394</v>
      </c>
      <c r="C15614" t="str">
        <f>"122300000X"</f>
        <v>122300000X</v>
      </c>
      <c r="D15614" t="str">
        <f>"AMANN                    MATTHEW                  "</f>
        <v xml:space="preserve">AMANN                    MATTHEW                  </v>
      </c>
      <c r="E15614" t="str">
        <f>"BATESVILLE                "</f>
        <v xml:space="preserve">BATESVILLE                </v>
      </c>
      <c r="F15614" t="str">
        <f t="shared" ref="F15614:F15677" si="399">"MS"</f>
        <v>MS</v>
      </c>
    </row>
    <row r="15615" spans="1:6" x14ac:dyDescent="0.25">
      <c r="A15615" t="str">
        <f>"200004468"</f>
        <v>200004468</v>
      </c>
      <c r="B15615" t="str">
        <f>"1750874145"</f>
        <v>1750874145</v>
      </c>
      <c r="C15615" t="str">
        <f>"207Y00000X"</f>
        <v>207Y00000X</v>
      </c>
      <c r="D15615" t="str">
        <f>"DE GRUY                  JOSEPH                   "</f>
        <v xml:space="preserve">DE GRUY                  JOSEPH                   </v>
      </c>
      <c r="E15615" t="str">
        <f>"FLOWOOD                   "</f>
        <v xml:space="preserve">FLOWOOD                   </v>
      </c>
      <c r="F15615" t="str">
        <f t="shared" si="399"/>
        <v>MS</v>
      </c>
    </row>
    <row r="15616" spans="1:6" x14ac:dyDescent="0.25">
      <c r="A15616" t="str">
        <f>"200004473"</f>
        <v>200004473</v>
      </c>
      <c r="B15616" t="str">
        <f>"1457849721"</f>
        <v>1457849721</v>
      </c>
      <c r="C15616" t="str">
        <f>"207R00000X"</f>
        <v>207R00000X</v>
      </c>
      <c r="D15616" t="str">
        <f>"CHOW                     KAITLYN                  "</f>
        <v xml:space="preserve">CHOW                     KAITLYN                  </v>
      </c>
      <c r="E15616" t="str">
        <f>"MADISON                   "</f>
        <v xml:space="preserve">MADISON                   </v>
      </c>
      <c r="F15616" t="str">
        <f t="shared" si="399"/>
        <v>MS</v>
      </c>
    </row>
    <row r="15617" spans="1:6" x14ac:dyDescent="0.25">
      <c r="A15617" t="str">
        <f>"200004474"</f>
        <v>200004474</v>
      </c>
      <c r="B15617" t="str">
        <f>"1619669231"</f>
        <v>1619669231</v>
      </c>
      <c r="C15617" t="str">
        <f>"363L00000X"</f>
        <v>363L00000X</v>
      </c>
      <c r="D15617" t="str">
        <f>"THURMON                  SARAH                    "</f>
        <v xml:space="preserve">THURMON                  SARAH                    </v>
      </c>
      <c r="E15617" t="str">
        <f>"YAZOO CITY                "</f>
        <v xml:space="preserve">YAZOO CITY                </v>
      </c>
      <c r="F15617" t="str">
        <f t="shared" si="399"/>
        <v>MS</v>
      </c>
    </row>
    <row r="15618" spans="1:6" x14ac:dyDescent="0.25">
      <c r="A15618" t="str">
        <f>"200004475"</f>
        <v>200004475</v>
      </c>
      <c r="B15618" t="str">
        <f>"1588219083"</f>
        <v>1588219083</v>
      </c>
      <c r="C15618" t="str">
        <f>"363L00000X"</f>
        <v>363L00000X</v>
      </c>
      <c r="D15618" t="str">
        <f>"ALVAREZ                  JOHANNA                  "</f>
        <v xml:space="preserve">ALVAREZ                  JOHANNA                  </v>
      </c>
      <c r="E15618" t="str">
        <f>"HATTIESBURG               "</f>
        <v xml:space="preserve">HATTIESBURG               </v>
      </c>
      <c r="F15618" t="str">
        <f t="shared" si="399"/>
        <v>MS</v>
      </c>
    </row>
    <row r="15619" spans="1:6" x14ac:dyDescent="0.25">
      <c r="A15619" t="str">
        <f>"200004479"</f>
        <v>200004479</v>
      </c>
      <c r="B15619" t="str">
        <f>"1487340741"</f>
        <v>1487340741</v>
      </c>
      <c r="C15619" t="str">
        <f>"207Q00000X"</f>
        <v>207Q00000X</v>
      </c>
      <c r="D15619" t="str">
        <f>"ALEF                     JOSEPH       R           "</f>
        <v xml:space="preserve">ALEF                     JOSEPH       R           </v>
      </c>
      <c r="E15619" t="str">
        <f>"TUPELO                    "</f>
        <v xml:space="preserve">TUPELO                    </v>
      </c>
      <c r="F15619" t="str">
        <f t="shared" si="399"/>
        <v>MS</v>
      </c>
    </row>
    <row r="15620" spans="1:6" x14ac:dyDescent="0.25">
      <c r="A15620" t="str">
        <f>"200004482"</f>
        <v>200004482</v>
      </c>
      <c r="B15620" t="str">
        <f>"1073209656"</f>
        <v>1073209656</v>
      </c>
      <c r="C15620" t="str">
        <f>"207Q00000X"</f>
        <v>207Q00000X</v>
      </c>
      <c r="D15620" t="str">
        <f>"FURLAN                   CHARLES                  "</f>
        <v xml:space="preserve">FURLAN                   CHARLES                  </v>
      </c>
      <c r="E15620" t="str">
        <f>"GULFPORT                  "</f>
        <v xml:space="preserve">GULFPORT                  </v>
      </c>
      <c r="F15620" t="str">
        <f t="shared" si="399"/>
        <v>MS</v>
      </c>
    </row>
    <row r="15621" spans="1:6" x14ac:dyDescent="0.25">
      <c r="A15621" t="str">
        <f>"200004483"</f>
        <v>200004483</v>
      </c>
      <c r="B15621" t="str">
        <f>"1528754900"</f>
        <v>1528754900</v>
      </c>
      <c r="C15621" t="str">
        <f>"207Q00000X"</f>
        <v>207Q00000X</v>
      </c>
      <c r="D15621" t="str">
        <f>"ANNALYN                  PENKALA                  "</f>
        <v xml:space="preserve">ANNALYN                  PENKALA                  </v>
      </c>
      <c r="E15621" t="str">
        <f>"TUPELO                    "</f>
        <v xml:space="preserve">TUPELO                    </v>
      </c>
      <c r="F15621" t="str">
        <f t="shared" si="399"/>
        <v>MS</v>
      </c>
    </row>
    <row r="15622" spans="1:6" x14ac:dyDescent="0.25">
      <c r="A15622" t="str">
        <f>"200004488"</f>
        <v>200004488</v>
      </c>
      <c r="B15622" t="str">
        <f>"1780810614"</f>
        <v>1780810614</v>
      </c>
      <c r="C15622" t="str">
        <f>"207V00000X"</f>
        <v>207V00000X</v>
      </c>
      <c r="D15622" t="str">
        <f>"VADDADI                  PRETHI                   "</f>
        <v xml:space="preserve">VADDADI                  PRETHI                   </v>
      </c>
      <c r="E15622" t="str">
        <f>"NEW ALBANY                "</f>
        <v xml:space="preserve">NEW ALBANY                </v>
      </c>
      <c r="F15622" t="str">
        <f t="shared" si="399"/>
        <v>MS</v>
      </c>
    </row>
    <row r="15623" spans="1:6" x14ac:dyDescent="0.25">
      <c r="A15623" t="str">
        <f>"200004489"</f>
        <v>200004489</v>
      </c>
      <c r="B15623" t="str">
        <f>"1376555045"</f>
        <v>1376555045</v>
      </c>
      <c r="C15623" t="str">
        <f>"363L00000X"</f>
        <v>363L00000X</v>
      </c>
      <c r="D15623" t="str">
        <f>"HUNTER                   LINDA                    "</f>
        <v xml:space="preserve">HUNTER                   LINDA                    </v>
      </c>
      <c r="E15623" t="str">
        <f>"RICHLAND                  "</f>
        <v xml:space="preserve">RICHLAND                  </v>
      </c>
      <c r="F15623" t="str">
        <f t="shared" si="399"/>
        <v>MS</v>
      </c>
    </row>
    <row r="15624" spans="1:6" x14ac:dyDescent="0.25">
      <c r="A15624" t="str">
        <f>"200004490"</f>
        <v>200004490</v>
      </c>
      <c r="B15624" t="str">
        <f>"1417397837"</f>
        <v>1417397837</v>
      </c>
      <c r="C15624" t="str">
        <f>"207RC0000X"</f>
        <v>207RC0000X</v>
      </c>
      <c r="D15624" t="str">
        <f>"THOMPSON                 JULIA                    "</f>
        <v xml:space="preserve">THOMPSON                 JULIA                    </v>
      </c>
      <c r="E15624" t="str">
        <f>"FLOWOOD                   "</f>
        <v xml:space="preserve">FLOWOOD                   </v>
      </c>
      <c r="F15624" t="str">
        <f t="shared" si="399"/>
        <v>MS</v>
      </c>
    </row>
    <row r="15625" spans="1:6" x14ac:dyDescent="0.25">
      <c r="A15625" t="str">
        <f>"200004517"</f>
        <v>200004517</v>
      </c>
      <c r="B15625" t="str">
        <f>"1467095869"</f>
        <v>1467095869</v>
      </c>
      <c r="C15625" t="str">
        <f>"363L00000X"</f>
        <v>363L00000X</v>
      </c>
      <c r="D15625" t="str">
        <f>"CHILDS                   JESSICA                  "</f>
        <v xml:space="preserve">CHILDS                   JESSICA                  </v>
      </c>
      <c r="E15625" t="str">
        <f>"TUPELO                    "</f>
        <v xml:space="preserve">TUPELO                    </v>
      </c>
      <c r="F15625" t="str">
        <f t="shared" si="399"/>
        <v>MS</v>
      </c>
    </row>
    <row r="15626" spans="1:6" x14ac:dyDescent="0.25">
      <c r="A15626" t="str">
        <f>"200004518"</f>
        <v>200004518</v>
      </c>
      <c r="B15626" t="str">
        <f>"1528754553"</f>
        <v>1528754553</v>
      </c>
      <c r="C15626" t="str">
        <f>"207Q00000X"</f>
        <v>207Q00000X</v>
      </c>
      <c r="D15626" t="str">
        <f>"HUBBARD                  BENJAMIN                 "</f>
        <v xml:space="preserve">HUBBARD                  BENJAMIN                 </v>
      </c>
      <c r="E15626" t="str">
        <f>"TUPELO                    "</f>
        <v xml:space="preserve">TUPELO                    </v>
      </c>
      <c r="F15626" t="str">
        <f t="shared" si="399"/>
        <v>MS</v>
      </c>
    </row>
    <row r="15627" spans="1:6" x14ac:dyDescent="0.25">
      <c r="A15627" t="str">
        <f>"200004521"</f>
        <v>200004521</v>
      </c>
      <c r="B15627" t="str">
        <f>"1215696745"</f>
        <v>1215696745</v>
      </c>
      <c r="C15627" t="str">
        <f>"261QE0700X"</f>
        <v>261QE0700X</v>
      </c>
      <c r="D15627" t="str">
        <f>"FRESENIUS KIDNEY CARE BROOKHAVEN                  "</f>
        <v xml:space="preserve">FRESENIUS KIDNEY CARE BROOKHAVEN                  </v>
      </c>
      <c r="E15627" t="str">
        <f>"BROOKHAVEN                "</f>
        <v xml:space="preserve">BROOKHAVEN                </v>
      </c>
      <c r="F15627" t="str">
        <f t="shared" si="399"/>
        <v>MS</v>
      </c>
    </row>
    <row r="15628" spans="1:6" x14ac:dyDescent="0.25">
      <c r="A15628" t="str">
        <f>"200004522"</f>
        <v>200004522</v>
      </c>
      <c r="B15628" t="str">
        <f>"1063115244"</f>
        <v>1063115244</v>
      </c>
      <c r="C15628" t="str">
        <f>"207T00000X"</f>
        <v>207T00000X</v>
      </c>
      <c r="D15628" t="str">
        <f>"BHANDARI                 POOJA                    "</f>
        <v xml:space="preserve">BHANDARI                 POOJA                    </v>
      </c>
      <c r="E15628" t="str">
        <f>"JACKSON                   "</f>
        <v xml:space="preserve">JACKSON                   </v>
      </c>
      <c r="F15628" t="str">
        <f t="shared" si="399"/>
        <v>MS</v>
      </c>
    </row>
    <row r="15629" spans="1:6" x14ac:dyDescent="0.25">
      <c r="A15629" t="str">
        <f>"200004528"</f>
        <v>200004528</v>
      </c>
      <c r="B15629" t="str">
        <f>"1619406527"</f>
        <v>1619406527</v>
      </c>
      <c r="C15629" t="str">
        <f>"207RP1001X"</f>
        <v>207RP1001X</v>
      </c>
      <c r="D15629" t="str">
        <f>"SARDA                    YASH         B           "</f>
        <v xml:space="preserve">SARDA                    YASH         B           </v>
      </c>
      <c r="E15629" t="str">
        <f>"COLUMBUS                  "</f>
        <v xml:space="preserve">COLUMBUS                  </v>
      </c>
      <c r="F15629" t="str">
        <f t="shared" si="399"/>
        <v>MS</v>
      </c>
    </row>
    <row r="15630" spans="1:6" x14ac:dyDescent="0.25">
      <c r="A15630" t="str">
        <f>"200004537"</f>
        <v>200004537</v>
      </c>
      <c r="B15630" t="str">
        <f>"1255034252"</f>
        <v>1255034252</v>
      </c>
      <c r="C15630" t="str">
        <f>"207R00000X"</f>
        <v>207R00000X</v>
      </c>
      <c r="D15630" t="str">
        <f>"PIGOTT                   MARILYN      B           "</f>
        <v xml:space="preserve">PIGOTT                   MARILYN      B           </v>
      </c>
      <c r="E15630" t="str">
        <f>"JACKSON                   "</f>
        <v xml:space="preserve">JACKSON                   </v>
      </c>
      <c r="F15630" t="str">
        <f t="shared" si="399"/>
        <v>MS</v>
      </c>
    </row>
    <row r="15631" spans="1:6" x14ac:dyDescent="0.25">
      <c r="A15631" t="str">
        <f>"200004549"</f>
        <v>200004549</v>
      </c>
      <c r="B15631" t="str">
        <f>"1013954494"</f>
        <v>1013954494</v>
      </c>
      <c r="C15631" t="str">
        <f>"207P00000X"</f>
        <v>207P00000X</v>
      </c>
      <c r="D15631" t="str">
        <f>"MARSHALL                 BRANDI                   "</f>
        <v xml:space="preserve">MARSHALL                 BRANDI                   </v>
      </c>
      <c r="E15631" t="str">
        <f>"HATTIESBURG               "</f>
        <v xml:space="preserve">HATTIESBURG               </v>
      </c>
      <c r="F15631" t="str">
        <f t="shared" si="399"/>
        <v>MS</v>
      </c>
    </row>
    <row r="15632" spans="1:6" x14ac:dyDescent="0.25">
      <c r="A15632" t="str">
        <f>"200004552"</f>
        <v>200004552</v>
      </c>
      <c r="B15632" t="str">
        <f>"1891353082"</f>
        <v>1891353082</v>
      </c>
      <c r="C15632" t="str">
        <f>"207Q00000X"</f>
        <v>207Q00000X</v>
      </c>
      <c r="D15632" t="str">
        <f>"FRIGER                   OSVALDO                  "</f>
        <v xml:space="preserve">FRIGER                   OSVALDO                  </v>
      </c>
      <c r="E15632" t="str">
        <f>"TUPELO                    "</f>
        <v xml:space="preserve">TUPELO                    </v>
      </c>
      <c r="F15632" t="str">
        <f t="shared" si="399"/>
        <v>MS</v>
      </c>
    </row>
    <row r="15633" spans="1:6" x14ac:dyDescent="0.25">
      <c r="A15633" t="str">
        <f>"200004553"</f>
        <v>200004553</v>
      </c>
      <c r="B15633" t="str">
        <f>"1811954324"</f>
        <v>1811954324</v>
      </c>
      <c r="C15633" t="str">
        <f>"207T00000X"</f>
        <v>207T00000X</v>
      </c>
      <c r="D15633" t="str">
        <f>"WHITE                    ELBERT                   "</f>
        <v xml:space="preserve">WHITE                    ELBERT                   </v>
      </c>
      <c r="E15633" t="str">
        <f>"TUPELO                    "</f>
        <v xml:space="preserve">TUPELO                    </v>
      </c>
      <c r="F15633" t="str">
        <f t="shared" si="399"/>
        <v>MS</v>
      </c>
    </row>
    <row r="15634" spans="1:6" x14ac:dyDescent="0.25">
      <c r="A15634" t="str">
        <f>"200004557"</f>
        <v>200004557</v>
      </c>
      <c r="B15634" t="str">
        <f>"1891400578"</f>
        <v>1891400578</v>
      </c>
      <c r="C15634" t="str">
        <f>"363A00000X"</f>
        <v>363A00000X</v>
      </c>
      <c r="D15634" t="str">
        <f>"BERKEY                   JEANNA                   "</f>
        <v xml:space="preserve">BERKEY                   JEANNA                   </v>
      </c>
      <c r="E15634" t="str">
        <f>"LAUREL                    "</f>
        <v xml:space="preserve">LAUREL                    </v>
      </c>
      <c r="F15634" t="str">
        <f t="shared" si="399"/>
        <v>MS</v>
      </c>
    </row>
    <row r="15635" spans="1:6" x14ac:dyDescent="0.25">
      <c r="A15635" t="str">
        <f>"200004560"</f>
        <v>200004560</v>
      </c>
      <c r="B15635" t="str">
        <f>"1972237022"</f>
        <v>1972237022</v>
      </c>
      <c r="C15635" t="str">
        <f>"363L00000X"</f>
        <v>363L00000X</v>
      </c>
      <c r="D15635" t="str">
        <f>"KELLY                    SHELDON                  "</f>
        <v xml:space="preserve">KELLY                    SHELDON                  </v>
      </c>
      <c r="E15635" t="str">
        <f>"NEW ALBANY                "</f>
        <v xml:space="preserve">NEW ALBANY                </v>
      </c>
      <c r="F15635" t="str">
        <f t="shared" si="399"/>
        <v>MS</v>
      </c>
    </row>
    <row r="15636" spans="1:6" x14ac:dyDescent="0.25">
      <c r="A15636" t="str">
        <f>"200004563"</f>
        <v>200004563</v>
      </c>
      <c r="B15636" t="str">
        <f>"1538737762"</f>
        <v>1538737762</v>
      </c>
      <c r="C15636" t="str">
        <f>"363L00000X"</f>
        <v>363L00000X</v>
      </c>
      <c r="D15636" t="str">
        <f>"KNUDSEN                  ELIZA                    "</f>
        <v xml:space="preserve">KNUDSEN                  ELIZA                    </v>
      </c>
      <c r="E15636" t="str">
        <f>"BILOXI                    "</f>
        <v xml:space="preserve">BILOXI                    </v>
      </c>
      <c r="F15636" t="str">
        <f t="shared" si="399"/>
        <v>MS</v>
      </c>
    </row>
    <row r="15637" spans="1:6" x14ac:dyDescent="0.25">
      <c r="A15637" t="str">
        <f>"200004565"</f>
        <v>200004565</v>
      </c>
      <c r="B15637" t="str">
        <f>"1720624430"</f>
        <v>1720624430</v>
      </c>
      <c r="C15637" t="str">
        <f>"363L00000X"</f>
        <v>363L00000X</v>
      </c>
      <c r="D15637" t="str">
        <f>"ASHMORE                  MAGHAN                   "</f>
        <v xml:space="preserve">ASHMORE                  MAGHAN                   </v>
      </c>
      <c r="E15637" t="str">
        <f>"CLEVELAND                 "</f>
        <v xml:space="preserve">CLEVELAND                 </v>
      </c>
      <c r="F15637" t="str">
        <f t="shared" si="399"/>
        <v>MS</v>
      </c>
    </row>
    <row r="15638" spans="1:6" x14ac:dyDescent="0.25">
      <c r="A15638" t="str">
        <f>"200004566"</f>
        <v>200004566</v>
      </c>
      <c r="B15638" t="str">
        <f>"1205540804"</f>
        <v>1205540804</v>
      </c>
      <c r="C15638" t="str">
        <f>"363L00000X"</f>
        <v>363L00000X</v>
      </c>
      <c r="D15638" t="str">
        <f>"POLK                     SAKETA       M           "</f>
        <v xml:space="preserve">POLK                     SAKETA       M           </v>
      </c>
      <c r="E15638" t="str">
        <f>"VICKSBURG                 "</f>
        <v xml:space="preserve">VICKSBURG                 </v>
      </c>
      <c r="F15638" t="str">
        <f t="shared" si="399"/>
        <v>MS</v>
      </c>
    </row>
    <row r="15639" spans="1:6" x14ac:dyDescent="0.25">
      <c r="A15639" t="str">
        <f>"200004570"</f>
        <v>200004570</v>
      </c>
      <c r="B15639" t="str">
        <f>"1588398671"</f>
        <v>1588398671</v>
      </c>
      <c r="C15639" t="str">
        <f>"363L00000X"</f>
        <v>363L00000X</v>
      </c>
      <c r="D15639" t="str">
        <f>"FARMER                   CHRISTINA                "</f>
        <v xml:space="preserve">FARMER                   CHRISTINA                </v>
      </c>
      <c r="E15639" t="str">
        <f>"RIDGELAND                 "</f>
        <v xml:space="preserve">RIDGELAND                 </v>
      </c>
      <c r="F15639" t="str">
        <f t="shared" si="399"/>
        <v>MS</v>
      </c>
    </row>
    <row r="15640" spans="1:6" x14ac:dyDescent="0.25">
      <c r="A15640" t="str">
        <f>"200004581"</f>
        <v>200004581</v>
      </c>
      <c r="B15640" t="str">
        <f>"1295074730"</f>
        <v>1295074730</v>
      </c>
      <c r="C15640" t="str">
        <f>"207R00000X"</f>
        <v>207R00000X</v>
      </c>
      <c r="D15640" t="str">
        <f>"MASHRIQI                 ZOOHRA                   "</f>
        <v xml:space="preserve">MASHRIQI                 ZOOHRA                   </v>
      </c>
      <c r="E15640" t="str">
        <f>"JACKSON                   "</f>
        <v xml:space="preserve">JACKSON                   </v>
      </c>
      <c r="F15640" t="str">
        <f t="shared" si="399"/>
        <v>MS</v>
      </c>
    </row>
    <row r="15641" spans="1:6" x14ac:dyDescent="0.25">
      <c r="A15641" t="str">
        <f>"200004588"</f>
        <v>200004588</v>
      </c>
      <c r="B15641" t="str">
        <f>"1245967918"</f>
        <v>1245967918</v>
      </c>
      <c r="C15641" t="str">
        <f>"363L00000X"</f>
        <v>363L00000X</v>
      </c>
      <c r="D15641" t="str">
        <f>"RILEY                    JAMIE                    "</f>
        <v xml:space="preserve">RILEY                    JAMIE                    </v>
      </c>
      <c r="E15641" t="str">
        <f>"OCEAN SPRINGS             "</f>
        <v xml:space="preserve">OCEAN SPRINGS             </v>
      </c>
      <c r="F15641" t="str">
        <f t="shared" si="399"/>
        <v>MS</v>
      </c>
    </row>
    <row r="15642" spans="1:6" x14ac:dyDescent="0.25">
      <c r="A15642" t="str">
        <f>"200004590"</f>
        <v>200004590</v>
      </c>
      <c r="B15642" t="str">
        <f>"1235857236"</f>
        <v>1235857236</v>
      </c>
      <c r="C15642" t="str">
        <f>"363L00000X"</f>
        <v>363L00000X</v>
      </c>
      <c r="D15642" t="str">
        <f>"BAHADUR                  DEVINNA      G           "</f>
        <v xml:space="preserve">BAHADUR                  DEVINNA      G           </v>
      </c>
      <c r="E15642" t="str">
        <f>"VICKSBURG                 "</f>
        <v xml:space="preserve">VICKSBURG                 </v>
      </c>
      <c r="F15642" t="str">
        <f t="shared" si="399"/>
        <v>MS</v>
      </c>
    </row>
    <row r="15643" spans="1:6" x14ac:dyDescent="0.25">
      <c r="A15643" t="str">
        <f>"200004592"</f>
        <v>200004592</v>
      </c>
      <c r="B15643" t="str">
        <f>"1790451979"</f>
        <v>1790451979</v>
      </c>
      <c r="C15643" t="str">
        <f>"363A00000X"</f>
        <v>363A00000X</v>
      </c>
      <c r="D15643" t="str">
        <f>"SEALE                    KALYN                    "</f>
        <v xml:space="preserve">SEALE                    KALYN                    </v>
      </c>
      <c r="E15643" t="str">
        <f>"HERNANDO                  "</f>
        <v xml:space="preserve">HERNANDO                  </v>
      </c>
      <c r="F15643" t="str">
        <f t="shared" si="399"/>
        <v>MS</v>
      </c>
    </row>
    <row r="15644" spans="1:6" x14ac:dyDescent="0.25">
      <c r="A15644" t="str">
        <f>"200004597"</f>
        <v>200004597</v>
      </c>
      <c r="B15644" t="str">
        <f>"1548423114"</f>
        <v>1548423114</v>
      </c>
      <c r="C15644" t="str">
        <f>"207RC0000X"</f>
        <v>207RC0000X</v>
      </c>
      <c r="D15644" t="str">
        <f>"BADERO                   OLUROTIMI                "</f>
        <v xml:space="preserve">BADERO                   OLUROTIMI                </v>
      </c>
      <c r="E15644" t="str">
        <f>"JACKSON                   "</f>
        <v xml:space="preserve">JACKSON                   </v>
      </c>
      <c r="F15644" t="str">
        <f t="shared" si="399"/>
        <v>MS</v>
      </c>
    </row>
    <row r="15645" spans="1:6" x14ac:dyDescent="0.25">
      <c r="A15645" t="str">
        <f>"200004632"</f>
        <v>200004632</v>
      </c>
      <c r="B15645" t="str">
        <f>"1780387142"</f>
        <v>1780387142</v>
      </c>
      <c r="C15645" t="str">
        <f>"207P00000X"</f>
        <v>207P00000X</v>
      </c>
      <c r="D15645" t="str">
        <f>"BOEHNKE                  RYLAND       J           "</f>
        <v xml:space="preserve">BOEHNKE                  RYLAND       J           </v>
      </c>
      <c r="E15645" t="str">
        <f>"JACKSON                   "</f>
        <v xml:space="preserve">JACKSON                   </v>
      </c>
      <c r="F15645" t="str">
        <f t="shared" si="399"/>
        <v>MS</v>
      </c>
    </row>
    <row r="15646" spans="1:6" x14ac:dyDescent="0.25">
      <c r="A15646" t="str">
        <f>"200004639"</f>
        <v>200004639</v>
      </c>
      <c r="B15646" t="str">
        <f>"1346829835"</f>
        <v>1346829835</v>
      </c>
      <c r="C15646" t="str">
        <f>"1223P0221X"</f>
        <v>1223P0221X</v>
      </c>
      <c r="D15646" t="str">
        <f>"THOMPSON                 EMILY                    "</f>
        <v xml:space="preserve">THOMPSON                 EMILY                    </v>
      </c>
      <c r="E15646" t="str">
        <f>"JACKSON                   "</f>
        <v xml:space="preserve">JACKSON                   </v>
      </c>
      <c r="F15646" t="str">
        <f t="shared" si="399"/>
        <v>MS</v>
      </c>
    </row>
    <row r="15647" spans="1:6" x14ac:dyDescent="0.25">
      <c r="A15647" t="str">
        <f>"200004640"</f>
        <v>200004640</v>
      </c>
      <c r="B15647" t="str">
        <f>"1932180635"</f>
        <v>1932180635</v>
      </c>
      <c r="C15647" t="str">
        <f>"207LP2900X"</f>
        <v>207LP2900X</v>
      </c>
      <c r="D15647" t="str">
        <f>"ARMSTRONG                ANTHONY                  "</f>
        <v xml:space="preserve">ARMSTRONG                ANTHONY                  </v>
      </c>
      <c r="E15647" t="str">
        <f>"CORINTH                   "</f>
        <v xml:space="preserve">CORINTH                   </v>
      </c>
      <c r="F15647" t="str">
        <f t="shared" si="399"/>
        <v>MS</v>
      </c>
    </row>
    <row r="15648" spans="1:6" x14ac:dyDescent="0.25">
      <c r="A15648" t="str">
        <f>"200004643"</f>
        <v>200004643</v>
      </c>
      <c r="B15648" t="str">
        <f>"1831659416"</f>
        <v>1831659416</v>
      </c>
      <c r="C15648" t="str">
        <f>"207R00000X"</f>
        <v>207R00000X</v>
      </c>
      <c r="D15648" t="str">
        <f>"CASE                     ANNA         E           "</f>
        <v xml:space="preserve">CASE                     ANNA         E           </v>
      </c>
      <c r="E15648" t="str">
        <f>"COLLINS                   "</f>
        <v xml:space="preserve">COLLINS                   </v>
      </c>
      <c r="F15648" t="str">
        <f t="shared" si="399"/>
        <v>MS</v>
      </c>
    </row>
    <row r="15649" spans="1:6" x14ac:dyDescent="0.25">
      <c r="A15649" t="str">
        <f>"200004644"</f>
        <v>200004644</v>
      </c>
      <c r="B15649" t="str">
        <f>"1831659416"</f>
        <v>1831659416</v>
      </c>
      <c r="C15649" t="str">
        <f>"208000000X"</f>
        <v>208000000X</v>
      </c>
      <c r="D15649" t="str">
        <f>"CASE                     ANNA         E           "</f>
        <v xml:space="preserve">CASE                     ANNA         E           </v>
      </c>
      <c r="E15649" t="str">
        <f>"COLLINS                   "</f>
        <v xml:space="preserve">COLLINS                   </v>
      </c>
      <c r="F15649" t="str">
        <f t="shared" si="399"/>
        <v>MS</v>
      </c>
    </row>
    <row r="15650" spans="1:6" x14ac:dyDescent="0.25">
      <c r="A15650" t="str">
        <f>"200004649"</f>
        <v>200004649</v>
      </c>
      <c r="B15650" t="str">
        <f>"1083318497"</f>
        <v>1083318497</v>
      </c>
      <c r="C15650" t="str">
        <f>"207V00000X"</f>
        <v>207V00000X</v>
      </c>
      <c r="D15650" t="str">
        <f>"PRACHT                   MURIEL       M           "</f>
        <v xml:space="preserve">PRACHT                   MURIEL       M           </v>
      </c>
      <c r="E15650" t="str">
        <f>"JACKSON                   "</f>
        <v xml:space="preserve">JACKSON                   </v>
      </c>
      <c r="F15650" t="str">
        <f t="shared" si="399"/>
        <v>MS</v>
      </c>
    </row>
    <row r="15651" spans="1:6" x14ac:dyDescent="0.25">
      <c r="A15651" t="str">
        <f>"200004651"</f>
        <v>200004651</v>
      </c>
      <c r="B15651" t="str">
        <f>"1295449601"</f>
        <v>1295449601</v>
      </c>
      <c r="C15651" t="str">
        <f>"363L00000X"</f>
        <v>363L00000X</v>
      </c>
      <c r="D15651" t="str">
        <f>"KRIVANEC                 KARA                     "</f>
        <v xml:space="preserve">KRIVANEC                 KARA                     </v>
      </c>
      <c r="E15651" t="str">
        <f>"GREENVILLE                "</f>
        <v xml:space="preserve">GREENVILLE                </v>
      </c>
      <c r="F15651" t="str">
        <f t="shared" si="399"/>
        <v>MS</v>
      </c>
    </row>
    <row r="15652" spans="1:6" x14ac:dyDescent="0.25">
      <c r="A15652" t="str">
        <f>"200004652"</f>
        <v>200004652</v>
      </c>
      <c r="B15652" t="str">
        <f>"1659804987"</f>
        <v>1659804987</v>
      </c>
      <c r="C15652" t="str">
        <f>"207R00000X"</f>
        <v>207R00000X</v>
      </c>
      <c r="D15652" t="str">
        <f>"OBAFEMI                  OLUSHOLA     B           "</f>
        <v xml:space="preserve">OBAFEMI                  OLUSHOLA     B           </v>
      </c>
      <c r="E15652" t="str">
        <f>"JACKSON                   "</f>
        <v xml:space="preserve">JACKSON                   </v>
      </c>
      <c r="F15652" t="str">
        <f t="shared" si="399"/>
        <v>MS</v>
      </c>
    </row>
    <row r="15653" spans="1:6" x14ac:dyDescent="0.25">
      <c r="A15653" t="str">
        <f>"200004653"</f>
        <v>200004653</v>
      </c>
      <c r="B15653" t="str">
        <f>"1316467277"</f>
        <v>1316467277</v>
      </c>
      <c r="C15653" t="str">
        <f>"207X00000X"</f>
        <v>207X00000X</v>
      </c>
      <c r="D15653" t="str">
        <f>"ELLIS                    ROBERT                   "</f>
        <v xml:space="preserve">ELLIS                    ROBERT                   </v>
      </c>
      <c r="E15653" t="str">
        <f>"OXFORD                    "</f>
        <v xml:space="preserve">OXFORD                    </v>
      </c>
      <c r="F15653" t="str">
        <f t="shared" si="399"/>
        <v>MS</v>
      </c>
    </row>
    <row r="15654" spans="1:6" x14ac:dyDescent="0.25">
      <c r="A15654" t="str">
        <f>"200004655"</f>
        <v>200004655</v>
      </c>
      <c r="B15654" t="str">
        <f>"1700588662"</f>
        <v>1700588662</v>
      </c>
      <c r="C15654" t="str">
        <f>"207R00000X"</f>
        <v>207R00000X</v>
      </c>
      <c r="D15654" t="str">
        <f>"BERGERON                 WILLIAM      B           "</f>
        <v xml:space="preserve">BERGERON                 WILLIAM      B           </v>
      </c>
      <c r="E15654" t="str">
        <f>"JACKSON                   "</f>
        <v xml:space="preserve">JACKSON                   </v>
      </c>
      <c r="F15654" t="str">
        <f t="shared" si="399"/>
        <v>MS</v>
      </c>
    </row>
    <row r="15655" spans="1:6" x14ac:dyDescent="0.25">
      <c r="A15655" t="str">
        <f>"200004657"</f>
        <v>200004657</v>
      </c>
      <c r="B15655" t="str">
        <f>"1699385237"</f>
        <v>1699385237</v>
      </c>
      <c r="C15655" t="str">
        <f>"367500000X"</f>
        <v>367500000X</v>
      </c>
      <c r="D15655" t="str">
        <f>"BEASLEY                  DAYNA        K           "</f>
        <v xml:space="preserve">BEASLEY                  DAYNA        K           </v>
      </c>
      <c r="E15655" t="str">
        <f>"GULFPORT                  "</f>
        <v xml:space="preserve">GULFPORT                  </v>
      </c>
      <c r="F15655" t="str">
        <f t="shared" si="399"/>
        <v>MS</v>
      </c>
    </row>
    <row r="15656" spans="1:6" x14ac:dyDescent="0.25">
      <c r="A15656" t="str">
        <f>"200004662"</f>
        <v>200004662</v>
      </c>
      <c r="B15656" t="str">
        <f>"1235521923"</f>
        <v>1235521923</v>
      </c>
      <c r="C15656" t="str">
        <f>"207Q00000X"</f>
        <v>207Q00000X</v>
      </c>
      <c r="D15656" t="str">
        <f>"FORTENBERRY              WILLIAM      P           "</f>
        <v xml:space="preserve">FORTENBERRY              WILLIAM      P           </v>
      </c>
      <c r="E15656" t="str">
        <f>"PETAL                     "</f>
        <v xml:space="preserve">PETAL                     </v>
      </c>
      <c r="F15656" t="str">
        <f t="shared" si="399"/>
        <v>MS</v>
      </c>
    </row>
    <row r="15657" spans="1:6" x14ac:dyDescent="0.25">
      <c r="A15657" t="str">
        <f>"200004663"</f>
        <v>200004663</v>
      </c>
      <c r="B15657" t="str">
        <f>"1053809566"</f>
        <v>1053809566</v>
      </c>
      <c r="C15657" t="str">
        <f>"207W00000X"</f>
        <v>207W00000X</v>
      </c>
      <c r="D15657" t="str">
        <f>"BROWNING                 ROBERT       E           "</f>
        <v xml:space="preserve">BROWNING                 ROBERT       E           </v>
      </c>
      <c r="E15657" t="str">
        <f>"JACKSON                   "</f>
        <v xml:space="preserve">JACKSON                   </v>
      </c>
      <c r="F15657" t="str">
        <f t="shared" si="399"/>
        <v>MS</v>
      </c>
    </row>
    <row r="15658" spans="1:6" x14ac:dyDescent="0.25">
      <c r="A15658" t="str">
        <f>"200004671"</f>
        <v>200004671</v>
      </c>
      <c r="B15658" t="str">
        <f>"1578192019"</f>
        <v>1578192019</v>
      </c>
      <c r="C15658" t="str">
        <f>"207R00000X"</f>
        <v>207R00000X</v>
      </c>
      <c r="D15658" t="str">
        <f>"BULMASH                  REESE        G           "</f>
        <v xml:space="preserve">BULMASH                  REESE        G           </v>
      </c>
      <c r="E15658" t="str">
        <f>"FLOWOOD                   "</f>
        <v xml:space="preserve">FLOWOOD                   </v>
      </c>
      <c r="F15658" t="str">
        <f t="shared" si="399"/>
        <v>MS</v>
      </c>
    </row>
    <row r="15659" spans="1:6" x14ac:dyDescent="0.25">
      <c r="A15659" t="str">
        <f>"200004673"</f>
        <v>200004673</v>
      </c>
      <c r="B15659" t="str">
        <f>"1922744788"</f>
        <v>1922744788</v>
      </c>
      <c r="C15659" t="str">
        <f>"207R00000X"</f>
        <v>207R00000X</v>
      </c>
      <c r="D15659" t="str">
        <f>"WINTER                   ANNA                     "</f>
        <v xml:space="preserve">WINTER                   ANNA                     </v>
      </c>
      <c r="E15659" t="str">
        <f>"JACKSON                   "</f>
        <v xml:space="preserve">JACKSON                   </v>
      </c>
      <c r="F15659" t="str">
        <f t="shared" si="399"/>
        <v>MS</v>
      </c>
    </row>
    <row r="15660" spans="1:6" x14ac:dyDescent="0.25">
      <c r="A15660" t="str">
        <f>"200004677"</f>
        <v>200004677</v>
      </c>
      <c r="B15660" t="str">
        <f>"1265137699"</f>
        <v>1265137699</v>
      </c>
      <c r="C15660" t="str">
        <f>"207Y00000X"</f>
        <v>207Y00000X</v>
      </c>
      <c r="D15660" t="str">
        <f>"ROCKWELL                 MICHAEL      D           "</f>
        <v xml:space="preserve">ROCKWELL                 MICHAEL      D           </v>
      </c>
      <c r="E15660" t="str">
        <f>"JACKSON                   "</f>
        <v xml:space="preserve">JACKSON                   </v>
      </c>
      <c r="F15660" t="str">
        <f t="shared" si="399"/>
        <v>MS</v>
      </c>
    </row>
    <row r="15661" spans="1:6" x14ac:dyDescent="0.25">
      <c r="A15661" t="str">
        <f>"200004679"</f>
        <v>200004679</v>
      </c>
      <c r="B15661" t="str">
        <f>"1972216240"</f>
        <v>1972216240</v>
      </c>
      <c r="C15661" t="str">
        <f>"363L00000X"</f>
        <v>363L00000X</v>
      </c>
      <c r="D15661" t="str">
        <f>"GARDNER                  BRELAN                   "</f>
        <v xml:space="preserve">GARDNER                  BRELAN                   </v>
      </c>
      <c r="E15661" t="str">
        <f>"KOSCIUSKO                 "</f>
        <v xml:space="preserve">KOSCIUSKO                 </v>
      </c>
      <c r="F15661" t="str">
        <f t="shared" si="399"/>
        <v>MS</v>
      </c>
    </row>
    <row r="15662" spans="1:6" x14ac:dyDescent="0.25">
      <c r="A15662" t="str">
        <f>"200004680"</f>
        <v>200004680</v>
      </c>
      <c r="B15662" t="str">
        <f>"1073000394"</f>
        <v>1073000394</v>
      </c>
      <c r="C15662" t="str">
        <f>"207RR0500X"</f>
        <v>207RR0500X</v>
      </c>
      <c r="D15662" t="str">
        <f>"MAGNUSON                 MARTHA       E           "</f>
        <v xml:space="preserve">MAGNUSON                 MARTHA       E           </v>
      </c>
      <c r="E15662" t="str">
        <f>"JACKSON                   "</f>
        <v xml:space="preserve">JACKSON                   </v>
      </c>
      <c r="F15662" t="str">
        <f t="shared" si="399"/>
        <v>MS</v>
      </c>
    </row>
    <row r="15663" spans="1:6" x14ac:dyDescent="0.25">
      <c r="A15663" t="str">
        <f>"200004700"</f>
        <v>200004700</v>
      </c>
      <c r="B15663" t="str">
        <f>"1023090685"</f>
        <v>1023090685</v>
      </c>
      <c r="C15663" t="str">
        <f>"207Q00000X"</f>
        <v>207Q00000X</v>
      </c>
      <c r="D15663" t="str">
        <f>"CHOBY                    BETH                     "</f>
        <v xml:space="preserve">CHOBY                    BETH                     </v>
      </c>
      <c r="E15663" t="str">
        <f>"SOUTHAVEN                 "</f>
        <v xml:space="preserve">SOUTHAVEN                 </v>
      </c>
      <c r="F15663" t="str">
        <f t="shared" si="399"/>
        <v>MS</v>
      </c>
    </row>
    <row r="15664" spans="1:6" x14ac:dyDescent="0.25">
      <c r="A15664" t="str">
        <f>"200004701"</f>
        <v>200004701</v>
      </c>
      <c r="B15664" t="str">
        <f>"1629752605"</f>
        <v>1629752605</v>
      </c>
      <c r="C15664" t="str">
        <f>"363L00000X"</f>
        <v>363L00000X</v>
      </c>
      <c r="D15664" t="str">
        <f>"KELLY                    JOBY         G           "</f>
        <v xml:space="preserve">KELLY                    JOBY         G           </v>
      </c>
      <c r="E15664" t="str">
        <f>"FLOWOOD                   "</f>
        <v xml:space="preserve">FLOWOOD                   </v>
      </c>
      <c r="F15664" t="str">
        <f t="shared" si="399"/>
        <v>MS</v>
      </c>
    </row>
    <row r="15665" spans="1:6" x14ac:dyDescent="0.25">
      <c r="A15665" t="str">
        <f>"200004702"</f>
        <v>200004702</v>
      </c>
      <c r="B15665" t="str">
        <f>"1386164119"</f>
        <v>1386164119</v>
      </c>
      <c r="C15665" t="str">
        <f>"122300000X"</f>
        <v>122300000X</v>
      </c>
      <c r="D15665" t="str">
        <f>"NGUYEN                   BARRY        T           "</f>
        <v xml:space="preserve">NGUYEN                   BARRY        T           </v>
      </c>
      <c r="E15665" t="str">
        <f>"GULFPORT                  "</f>
        <v xml:space="preserve">GULFPORT                  </v>
      </c>
      <c r="F15665" t="str">
        <f t="shared" si="399"/>
        <v>MS</v>
      </c>
    </row>
    <row r="15666" spans="1:6" x14ac:dyDescent="0.25">
      <c r="A15666" t="str">
        <f>"200004704"</f>
        <v>200004704</v>
      </c>
      <c r="B15666" t="str">
        <f>"1447954714"</f>
        <v>1447954714</v>
      </c>
      <c r="C15666" t="str">
        <f>"207Y00000X"</f>
        <v>207Y00000X</v>
      </c>
      <c r="D15666" t="str">
        <f>"PATEL                    KUSH         S           "</f>
        <v xml:space="preserve">PATEL                    KUSH         S           </v>
      </c>
      <c r="E15666" t="str">
        <f>"JACKSON                   "</f>
        <v xml:space="preserve">JACKSON                   </v>
      </c>
      <c r="F15666" t="str">
        <f t="shared" si="399"/>
        <v>MS</v>
      </c>
    </row>
    <row r="15667" spans="1:6" x14ac:dyDescent="0.25">
      <c r="A15667" t="str">
        <f>"200004705"</f>
        <v>200004705</v>
      </c>
      <c r="B15667" t="str">
        <f>"1134815541"</f>
        <v>1134815541</v>
      </c>
      <c r="C15667" t="str">
        <f>"207Q00000X"</f>
        <v>207Q00000X</v>
      </c>
      <c r="D15667" t="str">
        <f>"FRANKS                   KATY                     "</f>
        <v xml:space="preserve">FRANKS                   KATY                     </v>
      </c>
      <c r="E15667" t="str">
        <f>"TUPELO                    "</f>
        <v xml:space="preserve">TUPELO                    </v>
      </c>
      <c r="F15667" t="str">
        <f t="shared" si="399"/>
        <v>MS</v>
      </c>
    </row>
    <row r="15668" spans="1:6" x14ac:dyDescent="0.25">
      <c r="A15668" t="str">
        <f>"200004706"</f>
        <v>200004706</v>
      </c>
      <c r="B15668" t="str">
        <f>"1306330634"</f>
        <v>1306330634</v>
      </c>
      <c r="C15668" t="str">
        <f>"207Q00000X"</f>
        <v>207Q00000X</v>
      </c>
      <c r="D15668" t="str">
        <f>"COVINGTON                TYLER                    "</f>
        <v xml:space="preserve">COVINGTON                TYLER                    </v>
      </c>
      <c r="E15668" t="str">
        <f>"SENATOBIA                 "</f>
        <v xml:space="preserve">SENATOBIA                 </v>
      </c>
      <c r="F15668" t="str">
        <f t="shared" si="399"/>
        <v>MS</v>
      </c>
    </row>
    <row r="15669" spans="1:6" x14ac:dyDescent="0.25">
      <c r="A15669" t="str">
        <f>"200004712"</f>
        <v>200004712</v>
      </c>
      <c r="B15669" t="str">
        <f>"1740925346"</f>
        <v>1740925346</v>
      </c>
      <c r="C15669" t="str">
        <f>"363LP0808X"</f>
        <v>363LP0808X</v>
      </c>
      <c r="D15669" t="str">
        <f>"GILBERT                  TREVA                    "</f>
        <v xml:space="preserve">GILBERT                  TREVA                    </v>
      </c>
      <c r="E15669" t="str">
        <f>"MERIDIAN                  "</f>
        <v xml:space="preserve">MERIDIAN                  </v>
      </c>
      <c r="F15669" t="str">
        <f t="shared" si="399"/>
        <v>MS</v>
      </c>
    </row>
    <row r="15670" spans="1:6" x14ac:dyDescent="0.25">
      <c r="A15670" t="str">
        <f>"200004717"</f>
        <v>200004717</v>
      </c>
      <c r="B15670" t="str">
        <f>"1255520458"</f>
        <v>1255520458</v>
      </c>
      <c r="C15670" t="str">
        <f>"207V00000X"</f>
        <v>207V00000X</v>
      </c>
      <c r="D15670" t="str">
        <f>"SANFORD                  KIMBERLY                 "</f>
        <v xml:space="preserve">SANFORD                  KIMBERLY                 </v>
      </c>
      <c r="E15670" t="str">
        <f>"TUPELO                    "</f>
        <v xml:space="preserve">TUPELO                    </v>
      </c>
      <c r="F15670" t="str">
        <f t="shared" si="399"/>
        <v>MS</v>
      </c>
    </row>
    <row r="15671" spans="1:6" x14ac:dyDescent="0.25">
      <c r="A15671" t="str">
        <f>"200004721"</f>
        <v>200004721</v>
      </c>
      <c r="B15671" t="str">
        <f>"1609576529"</f>
        <v>1609576529</v>
      </c>
      <c r="C15671" t="str">
        <f>"363L00000X"</f>
        <v>363L00000X</v>
      </c>
      <c r="D15671" t="str">
        <f>"GONZALEZ                 SANJUANA                 "</f>
        <v xml:space="preserve">GONZALEZ                 SANJUANA                 </v>
      </c>
      <c r="E15671" t="str">
        <f>"TUPELO                    "</f>
        <v xml:space="preserve">TUPELO                    </v>
      </c>
      <c r="F15671" t="str">
        <f t="shared" si="399"/>
        <v>MS</v>
      </c>
    </row>
    <row r="15672" spans="1:6" x14ac:dyDescent="0.25">
      <c r="A15672" t="str">
        <f>"200004725"</f>
        <v>200004725</v>
      </c>
      <c r="B15672" t="str">
        <f>"1487346136"</f>
        <v>1487346136</v>
      </c>
      <c r="C15672" t="str">
        <f>"363L00000X"</f>
        <v>363L00000X</v>
      </c>
      <c r="D15672" t="str">
        <f>"YORK                     SARAH        L           "</f>
        <v xml:space="preserve">YORK                     SARAH        L           </v>
      </c>
      <c r="E15672" t="str">
        <f>"VICKSBURG                 "</f>
        <v xml:space="preserve">VICKSBURG                 </v>
      </c>
      <c r="F15672" t="str">
        <f t="shared" si="399"/>
        <v>MS</v>
      </c>
    </row>
    <row r="15673" spans="1:6" x14ac:dyDescent="0.25">
      <c r="A15673" t="str">
        <f>"200004727"</f>
        <v>200004727</v>
      </c>
      <c r="B15673" t="str">
        <f>"1700521325"</f>
        <v>1700521325</v>
      </c>
      <c r="C15673" t="str">
        <f>"363L00000X"</f>
        <v>363L00000X</v>
      </c>
      <c r="D15673" t="str">
        <f>"CARLISLE-BOND            KAREN        V           "</f>
        <v xml:space="preserve">CARLISLE-BOND            KAREN        V           </v>
      </c>
      <c r="E15673" t="str">
        <f>"VANCLEAVE                 "</f>
        <v xml:space="preserve">VANCLEAVE                 </v>
      </c>
      <c r="F15673" t="str">
        <f t="shared" si="399"/>
        <v>MS</v>
      </c>
    </row>
    <row r="15674" spans="1:6" x14ac:dyDescent="0.25">
      <c r="A15674" t="str">
        <f>"200004736"</f>
        <v>200004736</v>
      </c>
      <c r="B15674" t="str">
        <f>"1265189971"</f>
        <v>1265189971</v>
      </c>
      <c r="C15674" t="str">
        <f>"363L00000X"</f>
        <v>363L00000X</v>
      </c>
      <c r="D15674" t="str">
        <f>"PARKER                   BRANDLYNNE               "</f>
        <v xml:space="preserve">PARKER                   BRANDLYNNE               </v>
      </c>
      <c r="E15674" t="str">
        <f>"YAZOO CITY                "</f>
        <v xml:space="preserve">YAZOO CITY                </v>
      </c>
      <c r="F15674" t="str">
        <f t="shared" si="399"/>
        <v>MS</v>
      </c>
    </row>
    <row r="15675" spans="1:6" x14ac:dyDescent="0.25">
      <c r="A15675" t="str">
        <f>"200004737"</f>
        <v>200004737</v>
      </c>
      <c r="B15675" t="str">
        <f>"1033813761"</f>
        <v>1033813761</v>
      </c>
      <c r="C15675" t="str">
        <f>"208000000X"</f>
        <v>208000000X</v>
      </c>
      <c r="D15675" t="str">
        <f>"ROBERSON                 EMILEE       A           "</f>
        <v xml:space="preserve">ROBERSON                 EMILEE       A           </v>
      </c>
      <c r="E15675" t="str">
        <f>"JACKSON                   "</f>
        <v xml:space="preserve">JACKSON                   </v>
      </c>
      <c r="F15675" t="str">
        <f t="shared" si="399"/>
        <v>MS</v>
      </c>
    </row>
    <row r="15676" spans="1:6" x14ac:dyDescent="0.25">
      <c r="A15676" t="str">
        <f>"200004742"</f>
        <v>200004742</v>
      </c>
      <c r="B15676" t="str">
        <f>"1396364519"</f>
        <v>1396364519</v>
      </c>
      <c r="C15676" t="str">
        <f>"207R00000X"</f>
        <v>207R00000X</v>
      </c>
      <c r="D15676" t="str">
        <f>"MERCIER                  DAMIAN                   "</f>
        <v xml:space="preserve">MERCIER                  DAMIAN                   </v>
      </c>
      <c r="E15676" t="str">
        <f>"OXFORD                    "</f>
        <v xml:space="preserve">OXFORD                    </v>
      </c>
      <c r="F15676" t="str">
        <f t="shared" si="399"/>
        <v>MS</v>
      </c>
    </row>
    <row r="15677" spans="1:6" x14ac:dyDescent="0.25">
      <c r="A15677" t="str">
        <f>"200004750"</f>
        <v>200004750</v>
      </c>
      <c r="B15677" t="str">
        <f>"1992975056"</f>
        <v>1992975056</v>
      </c>
      <c r="C15677" t="str">
        <f>"363L00000X"</f>
        <v>363L00000X</v>
      </c>
      <c r="D15677" t="str">
        <f>"KITTRELL                 KERRI        M           "</f>
        <v xml:space="preserve">KITTRELL                 KERRI        M           </v>
      </c>
      <c r="E15677" t="str">
        <f>"GULFPORT                  "</f>
        <v xml:space="preserve">GULFPORT                  </v>
      </c>
      <c r="F15677" t="str">
        <f t="shared" si="399"/>
        <v>MS</v>
      </c>
    </row>
    <row r="15678" spans="1:6" x14ac:dyDescent="0.25">
      <c r="A15678" t="str">
        <f>"200004756"</f>
        <v>200004756</v>
      </c>
      <c r="B15678" t="str">
        <f>"1639166820"</f>
        <v>1639166820</v>
      </c>
      <c r="C15678" t="str">
        <f>"208800000X"</f>
        <v>208800000X</v>
      </c>
      <c r="D15678" t="str">
        <f>"GOLD                     ROBERT       G           "</f>
        <v xml:space="preserve">GOLD                     ROBERT       G           </v>
      </c>
      <c r="E15678" t="str">
        <f>"GULFPORT                  "</f>
        <v xml:space="preserve">GULFPORT                  </v>
      </c>
      <c r="F15678" t="str">
        <f t="shared" ref="F15678:F15741" si="400">"MS"</f>
        <v>MS</v>
      </c>
    </row>
    <row r="15679" spans="1:6" x14ac:dyDescent="0.25">
      <c r="A15679" t="str">
        <f>"200004758"</f>
        <v>200004758</v>
      </c>
      <c r="B15679" t="str">
        <f>"1194410449"</f>
        <v>1194410449</v>
      </c>
      <c r="C15679" t="str">
        <f>"207Q00000X"</f>
        <v>207Q00000X</v>
      </c>
      <c r="D15679" t="str">
        <f>"ROBBINS                  LAUREN       D           "</f>
        <v xml:space="preserve">ROBBINS                  LAUREN       D           </v>
      </c>
      <c r="E15679" t="str">
        <f>"TUPELO                    "</f>
        <v xml:space="preserve">TUPELO                    </v>
      </c>
      <c r="F15679" t="str">
        <f t="shared" si="400"/>
        <v>MS</v>
      </c>
    </row>
    <row r="15680" spans="1:6" x14ac:dyDescent="0.25">
      <c r="A15680" t="str">
        <f>"200004761"</f>
        <v>200004761</v>
      </c>
      <c r="B15680" t="str">
        <f>"1467138222"</f>
        <v>1467138222</v>
      </c>
      <c r="C15680" t="str">
        <f>"363A00000X"</f>
        <v>363A00000X</v>
      </c>
      <c r="D15680" t="str">
        <f>"REESE                    MADISON                  "</f>
        <v xml:space="preserve">REESE                    MADISON                  </v>
      </c>
      <c r="E15680" t="str">
        <f>"OCEAN SPRINGS             "</f>
        <v xml:space="preserve">OCEAN SPRINGS             </v>
      </c>
      <c r="F15680" t="str">
        <f t="shared" si="400"/>
        <v>MS</v>
      </c>
    </row>
    <row r="15681" spans="1:6" x14ac:dyDescent="0.25">
      <c r="A15681" t="str">
        <f>"200004765"</f>
        <v>200004765</v>
      </c>
      <c r="B15681" t="str">
        <f>"1144915281"</f>
        <v>1144915281</v>
      </c>
      <c r="C15681" t="str">
        <f>"363L00000X"</f>
        <v>363L00000X</v>
      </c>
      <c r="D15681" t="str">
        <f>"COPELAND                 MATTHEW                  "</f>
        <v xml:space="preserve">COPELAND                 MATTHEW                  </v>
      </c>
      <c r="E15681" t="str">
        <f>"MERIDIAN                  "</f>
        <v xml:space="preserve">MERIDIAN                  </v>
      </c>
      <c r="F15681" t="str">
        <f t="shared" si="400"/>
        <v>MS</v>
      </c>
    </row>
    <row r="15682" spans="1:6" x14ac:dyDescent="0.25">
      <c r="A15682" t="str">
        <f>"200004783"</f>
        <v>200004783</v>
      </c>
      <c r="B15682" t="str">
        <f>"1831879592"</f>
        <v>1831879592</v>
      </c>
      <c r="C15682" t="str">
        <f>"152W00000X"</f>
        <v>152W00000X</v>
      </c>
      <c r="D15682" t="str">
        <f>"GARBER                   MARY         B           "</f>
        <v xml:space="preserve">GARBER                   MARY         B           </v>
      </c>
      <c r="E15682" t="str">
        <f>"CLINTON                   "</f>
        <v xml:space="preserve">CLINTON                   </v>
      </c>
      <c r="F15682" t="str">
        <f t="shared" si="400"/>
        <v>MS</v>
      </c>
    </row>
    <row r="15683" spans="1:6" x14ac:dyDescent="0.25">
      <c r="A15683" t="str">
        <f>"200004787"</f>
        <v>200004787</v>
      </c>
      <c r="B15683" t="str">
        <f>"1528270733"</f>
        <v>1528270733</v>
      </c>
      <c r="C15683" t="str">
        <f>"122300000X"</f>
        <v>122300000X</v>
      </c>
      <c r="D15683" t="str">
        <f>"SMILEBUILDERS AT BYRAM                            "</f>
        <v xml:space="preserve">SMILEBUILDERS AT BYRAM                            </v>
      </c>
      <c r="E15683" t="str">
        <f>"BYRAM                     "</f>
        <v xml:space="preserve">BYRAM                     </v>
      </c>
      <c r="F15683" t="str">
        <f t="shared" si="400"/>
        <v>MS</v>
      </c>
    </row>
    <row r="15684" spans="1:6" x14ac:dyDescent="0.25">
      <c r="A15684" t="str">
        <f>"200004792"</f>
        <v>200004792</v>
      </c>
      <c r="B15684" t="str">
        <f>"1396001913"</f>
        <v>1396001913</v>
      </c>
      <c r="C15684" t="str">
        <f>"207L00000X"</f>
        <v>207L00000X</v>
      </c>
      <c r="D15684" t="str">
        <f>"CATALANI                 BLAS                     "</f>
        <v xml:space="preserve">CATALANI                 BLAS                     </v>
      </c>
      <c r="E15684" t="str">
        <f>"TUPELO                    "</f>
        <v xml:space="preserve">TUPELO                    </v>
      </c>
      <c r="F15684" t="str">
        <f t="shared" si="400"/>
        <v>MS</v>
      </c>
    </row>
    <row r="15685" spans="1:6" x14ac:dyDescent="0.25">
      <c r="A15685" t="str">
        <f>"200004796"</f>
        <v>200004796</v>
      </c>
      <c r="B15685" t="str">
        <f>"1962693184"</f>
        <v>1962693184</v>
      </c>
      <c r="C15685" t="str">
        <f>"2084N0402X"</f>
        <v>2084N0402X</v>
      </c>
      <c r="D15685" t="str">
        <f>"CONRAVEY                 ALLISON                  "</f>
        <v xml:space="preserve">CONRAVEY                 ALLISON                  </v>
      </c>
      <c r="E15685" t="str">
        <f>"DIAMONDHEAD               "</f>
        <v xml:space="preserve">DIAMONDHEAD               </v>
      </c>
      <c r="F15685" t="str">
        <f t="shared" si="400"/>
        <v>MS</v>
      </c>
    </row>
    <row r="15686" spans="1:6" x14ac:dyDescent="0.25">
      <c r="A15686" t="str">
        <f>"200004798"</f>
        <v>200004798</v>
      </c>
      <c r="B15686" t="str">
        <f>"1720600638"</f>
        <v>1720600638</v>
      </c>
      <c r="C15686" t="str">
        <f>"207Q00000X"</f>
        <v>207Q00000X</v>
      </c>
      <c r="D15686" t="str">
        <f>"BRADLEY                  JOHN         F           "</f>
        <v xml:space="preserve">BRADLEY                  JOHN         F           </v>
      </c>
      <c r="E15686" t="str">
        <f>"CALHOUN CITY              "</f>
        <v xml:space="preserve">CALHOUN CITY              </v>
      </c>
      <c r="F15686" t="str">
        <f t="shared" si="400"/>
        <v>MS</v>
      </c>
    </row>
    <row r="15687" spans="1:6" x14ac:dyDescent="0.25">
      <c r="A15687" t="str">
        <f>"200004803"</f>
        <v>200004803</v>
      </c>
      <c r="B15687" t="str">
        <f>"1720006489"</f>
        <v>1720006489</v>
      </c>
      <c r="C15687" t="str">
        <f>"2085R0202X"</f>
        <v>2085R0202X</v>
      </c>
      <c r="D15687" t="str">
        <f>"LOHMEIER                 JUSTIN       R           "</f>
        <v xml:space="preserve">LOHMEIER                 JUSTIN       R           </v>
      </c>
      <c r="E15687" t="str">
        <f>"COLUMBUS                  "</f>
        <v xml:space="preserve">COLUMBUS                  </v>
      </c>
      <c r="F15687" t="str">
        <f t="shared" si="400"/>
        <v>MS</v>
      </c>
    </row>
    <row r="15688" spans="1:6" x14ac:dyDescent="0.25">
      <c r="A15688" t="str">
        <f>"200004804"</f>
        <v>200004804</v>
      </c>
      <c r="B15688" t="str">
        <f>"1053006312"</f>
        <v>1053006312</v>
      </c>
      <c r="C15688" t="str">
        <f>"208000000X"</f>
        <v>208000000X</v>
      </c>
      <c r="D15688" t="str">
        <f>"PHILLIPS                 ASHLEY       G           "</f>
        <v xml:space="preserve">PHILLIPS                 ASHLEY       G           </v>
      </c>
      <c r="E15688" t="str">
        <f>"JACKSON                   "</f>
        <v xml:space="preserve">JACKSON                   </v>
      </c>
      <c r="F15688" t="str">
        <f t="shared" si="400"/>
        <v>MS</v>
      </c>
    </row>
    <row r="15689" spans="1:6" x14ac:dyDescent="0.25">
      <c r="A15689" t="str">
        <f>"200004810"</f>
        <v>200004810</v>
      </c>
      <c r="B15689" t="str">
        <f>"1003510389"</f>
        <v>1003510389</v>
      </c>
      <c r="C15689" t="str">
        <f>"2084P0800X"</f>
        <v>2084P0800X</v>
      </c>
      <c r="D15689" t="str">
        <f>"REZAIAN-YAZDI            LEILA                    "</f>
        <v xml:space="preserve">REZAIAN-YAZDI            LEILA                    </v>
      </c>
      <c r="E15689" t="str">
        <f>"JACKSON                   "</f>
        <v xml:space="preserve">JACKSON                   </v>
      </c>
      <c r="F15689" t="str">
        <f t="shared" si="400"/>
        <v>MS</v>
      </c>
    </row>
    <row r="15690" spans="1:6" x14ac:dyDescent="0.25">
      <c r="A15690" t="str">
        <f>"200004812"</f>
        <v>200004812</v>
      </c>
      <c r="B15690" t="str">
        <f>"1598341570"</f>
        <v>1598341570</v>
      </c>
      <c r="C15690" t="str">
        <f>"363L00000X"</f>
        <v>363L00000X</v>
      </c>
      <c r="D15690" t="str">
        <f>"TENNYSON                 CAITLYN      F           "</f>
        <v xml:space="preserve">TENNYSON                 CAITLYN      F           </v>
      </c>
      <c r="E15690" t="str">
        <f>"BATESVILLE                "</f>
        <v xml:space="preserve">BATESVILLE                </v>
      </c>
      <c r="F15690" t="str">
        <f t="shared" si="400"/>
        <v>MS</v>
      </c>
    </row>
    <row r="15691" spans="1:6" x14ac:dyDescent="0.25">
      <c r="A15691" t="str">
        <f>"200004813"</f>
        <v>200004813</v>
      </c>
      <c r="B15691" t="str">
        <f>"1083175251"</f>
        <v>1083175251</v>
      </c>
      <c r="C15691" t="str">
        <f>"207V00000X"</f>
        <v>207V00000X</v>
      </c>
      <c r="D15691" t="str">
        <f>"JONES                    JONATHAN     D           "</f>
        <v xml:space="preserve">JONES                    JONATHAN     D           </v>
      </c>
      <c r="E15691" t="str">
        <f>"GULFPORT                  "</f>
        <v xml:space="preserve">GULFPORT                  </v>
      </c>
      <c r="F15691" t="str">
        <f t="shared" si="400"/>
        <v>MS</v>
      </c>
    </row>
    <row r="15692" spans="1:6" x14ac:dyDescent="0.25">
      <c r="A15692" t="str">
        <f>"200004814"</f>
        <v>200004814</v>
      </c>
      <c r="B15692" t="str">
        <f>"1164153979"</f>
        <v>1164153979</v>
      </c>
      <c r="C15692" t="str">
        <f>"363L00000X"</f>
        <v>363L00000X</v>
      </c>
      <c r="D15692" t="str">
        <f>"CHANDLER                 TINA                     "</f>
        <v xml:space="preserve">CHANDLER                 TINA                     </v>
      </c>
      <c r="E15692" t="str">
        <f>"RIDGELAND                 "</f>
        <v xml:space="preserve">RIDGELAND                 </v>
      </c>
      <c r="F15692" t="str">
        <f t="shared" si="400"/>
        <v>MS</v>
      </c>
    </row>
    <row r="15693" spans="1:6" x14ac:dyDescent="0.25">
      <c r="A15693" t="str">
        <f>"200004819"</f>
        <v>200004819</v>
      </c>
      <c r="B15693" t="str">
        <f>"1093409153"</f>
        <v>1093409153</v>
      </c>
      <c r="C15693" t="str">
        <f>"122300000X"</f>
        <v>122300000X</v>
      </c>
      <c r="D15693" t="str">
        <f>"ROSS                     JASON                    "</f>
        <v xml:space="preserve">ROSS                     JASON                    </v>
      </c>
      <c r="E15693" t="str">
        <f>"PEARL                     "</f>
        <v xml:space="preserve">PEARL                     </v>
      </c>
      <c r="F15693" t="str">
        <f t="shared" si="400"/>
        <v>MS</v>
      </c>
    </row>
    <row r="15694" spans="1:6" x14ac:dyDescent="0.25">
      <c r="A15694" t="str">
        <f>"200004820"</f>
        <v>200004820</v>
      </c>
      <c r="B15694" t="str">
        <f>"1801019690"</f>
        <v>1801019690</v>
      </c>
      <c r="C15694" t="str">
        <f>"367500000X"</f>
        <v>367500000X</v>
      </c>
      <c r="D15694" t="str">
        <f>"COON                     MARY                     "</f>
        <v xml:space="preserve">COON                     MARY                     </v>
      </c>
      <c r="E15694" t="str">
        <f>"GULFPORT                  "</f>
        <v xml:space="preserve">GULFPORT                  </v>
      </c>
      <c r="F15694" t="str">
        <f t="shared" si="400"/>
        <v>MS</v>
      </c>
    </row>
    <row r="15695" spans="1:6" x14ac:dyDescent="0.25">
      <c r="A15695" t="str">
        <f>"200004832"</f>
        <v>200004832</v>
      </c>
      <c r="B15695" t="str">
        <f>"1538798038"</f>
        <v>1538798038</v>
      </c>
      <c r="C15695" t="str">
        <f>"207R00000X"</f>
        <v>207R00000X</v>
      </c>
      <c r="D15695" t="str">
        <f>"BILLINGSLEY              ROBERT       S           "</f>
        <v xml:space="preserve">BILLINGSLEY              ROBERT       S           </v>
      </c>
      <c r="E15695" t="str">
        <f>"JACKSON                   "</f>
        <v xml:space="preserve">JACKSON                   </v>
      </c>
      <c r="F15695" t="str">
        <f t="shared" si="400"/>
        <v>MS</v>
      </c>
    </row>
    <row r="15696" spans="1:6" x14ac:dyDescent="0.25">
      <c r="A15696" t="str">
        <f>"200004835"</f>
        <v>200004835</v>
      </c>
      <c r="B15696" t="str">
        <f>"1427752799"</f>
        <v>1427752799</v>
      </c>
      <c r="C15696" t="str">
        <f>"207L00000X"</f>
        <v>207L00000X</v>
      </c>
      <c r="D15696" t="str">
        <f>"SHAH                     KRISHNA      N           "</f>
        <v xml:space="preserve">SHAH                     KRISHNA      N           </v>
      </c>
      <c r="E15696" t="str">
        <f>"JACKSON                   "</f>
        <v xml:space="preserve">JACKSON                   </v>
      </c>
      <c r="F15696" t="str">
        <f t="shared" si="400"/>
        <v>MS</v>
      </c>
    </row>
    <row r="15697" spans="1:6" x14ac:dyDescent="0.25">
      <c r="A15697" t="str">
        <f>"200004846"</f>
        <v>200004846</v>
      </c>
      <c r="B15697" t="str">
        <f>"1184164998"</f>
        <v>1184164998</v>
      </c>
      <c r="C15697" t="str">
        <f>"208600000X"</f>
        <v>208600000X</v>
      </c>
      <c r="D15697" t="str">
        <f>"ROSADO                   RACHEL       K           "</f>
        <v xml:space="preserve">ROSADO                   RACHEL       K           </v>
      </c>
      <c r="E15697" t="str">
        <f>"HATTIESBURG               "</f>
        <v xml:space="preserve">HATTIESBURG               </v>
      </c>
      <c r="F15697" t="str">
        <f t="shared" si="400"/>
        <v>MS</v>
      </c>
    </row>
    <row r="15698" spans="1:6" x14ac:dyDescent="0.25">
      <c r="A15698" t="str">
        <f>"200004852"</f>
        <v>200004852</v>
      </c>
      <c r="B15698" t="str">
        <f>"1982080602"</f>
        <v>1982080602</v>
      </c>
      <c r="C15698" t="str">
        <f>"363L00000X"</f>
        <v>363L00000X</v>
      </c>
      <c r="D15698" t="str">
        <f>"WILKES                   ALISHA                   "</f>
        <v xml:space="preserve">WILKES                   ALISHA                   </v>
      </c>
      <c r="E15698" t="str">
        <f>"RIDGELAND                 "</f>
        <v xml:space="preserve">RIDGELAND                 </v>
      </c>
      <c r="F15698" t="str">
        <f t="shared" si="400"/>
        <v>MS</v>
      </c>
    </row>
    <row r="15699" spans="1:6" x14ac:dyDescent="0.25">
      <c r="A15699" t="str">
        <f>"200004861"</f>
        <v>200004861</v>
      </c>
      <c r="B15699" t="str">
        <f>"1043907348"</f>
        <v>1043907348</v>
      </c>
      <c r="C15699" t="str">
        <f>"207Q00000X"</f>
        <v>207Q00000X</v>
      </c>
      <c r="D15699" t="str">
        <f>"HICKMAN                  CHADWICK     S           "</f>
        <v xml:space="preserve">HICKMAN                  CHADWICK     S           </v>
      </c>
      <c r="E15699" t="str">
        <f>"TUPELO                    "</f>
        <v xml:space="preserve">TUPELO                    </v>
      </c>
      <c r="F15699" t="str">
        <f t="shared" si="400"/>
        <v>MS</v>
      </c>
    </row>
    <row r="15700" spans="1:6" x14ac:dyDescent="0.25">
      <c r="A15700" t="str">
        <f>"200004868"</f>
        <v>200004868</v>
      </c>
      <c r="B15700" t="str">
        <f>"1558422576"</f>
        <v>1558422576</v>
      </c>
      <c r="C15700" t="str">
        <f>"2085R0001X"</f>
        <v>2085R0001X</v>
      </c>
      <c r="D15700" t="str">
        <f>"GIVENS                   RODERICK     C           "</f>
        <v xml:space="preserve">GIVENS                   RODERICK     C           </v>
      </c>
      <c r="E15700" t="str">
        <f>"JACKSON                   "</f>
        <v xml:space="preserve">JACKSON                   </v>
      </c>
      <c r="F15700" t="str">
        <f t="shared" si="400"/>
        <v>MS</v>
      </c>
    </row>
    <row r="15701" spans="1:6" x14ac:dyDescent="0.25">
      <c r="A15701" t="str">
        <f>"200004873"</f>
        <v>200004873</v>
      </c>
      <c r="B15701" t="str">
        <f>"1780876649"</f>
        <v>1780876649</v>
      </c>
      <c r="C15701" t="str">
        <f>"2085R0202X"</f>
        <v>2085R0202X</v>
      </c>
      <c r="D15701" t="str">
        <f>"O'REAR                   JEFFREY      R           "</f>
        <v xml:space="preserve">O'REAR                   JEFFREY      R           </v>
      </c>
      <c r="E15701" t="str">
        <f>"COLUMBUS                  "</f>
        <v xml:space="preserve">COLUMBUS                  </v>
      </c>
      <c r="F15701" t="str">
        <f t="shared" si="400"/>
        <v>MS</v>
      </c>
    </row>
    <row r="15702" spans="1:6" x14ac:dyDescent="0.25">
      <c r="A15702" t="str">
        <f>"200004882"</f>
        <v>200004882</v>
      </c>
      <c r="B15702" t="str">
        <f>"1396958872"</f>
        <v>1396958872</v>
      </c>
      <c r="C15702" t="str">
        <f>"2085R0202X"</f>
        <v>2085R0202X</v>
      </c>
      <c r="D15702" t="str">
        <f>"NEIDERMAN                BRET                     "</f>
        <v xml:space="preserve">NEIDERMAN                BRET                     </v>
      </c>
      <c r="E15702" t="str">
        <f>"GULFPORT                  "</f>
        <v xml:space="preserve">GULFPORT                  </v>
      </c>
      <c r="F15702" t="str">
        <f t="shared" si="400"/>
        <v>MS</v>
      </c>
    </row>
    <row r="15703" spans="1:6" x14ac:dyDescent="0.25">
      <c r="A15703" t="str">
        <f>"200004905"</f>
        <v>200004905</v>
      </c>
      <c r="B15703" t="str">
        <f>"1801383021"</f>
        <v>1801383021</v>
      </c>
      <c r="C15703" t="str">
        <f>"207P00000X"</f>
        <v>207P00000X</v>
      </c>
      <c r="D15703" t="str">
        <f>"PIAZZA                   MATTHEW                  "</f>
        <v xml:space="preserve">PIAZZA                   MATTHEW                  </v>
      </c>
      <c r="E15703" t="str">
        <f>"PICAYUNE                  "</f>
        <v xml:space="preserve">PICAYUNE                  </v>
      </c>
      <c r="F15703" t="str">
        <f t="shared" si="400"/>
        <v>MS</v>
      </c>
    </row>
    <row r="15704" spans="1:6" x14ac:dyDescent="0.25">
      <c r="A15704" t="str">
        <f>"200004911"</f>
        <v>200004911</v>
      </c>
      <c r="B15704" t="str">
        <f>"1679277263"</f>
        <v>1679277263</v>
      </c>
      <c r="C15704" t="str">
        <f>"207R00000X"</f>
        <v>207R00000X</v>
      </c>
      <c r="D15704" t="str">
        <f>"SINGH                    MANJOT                   "</f>
        <v xml:space="preserve">SINGH                    MANJOT                   </v>
      </c>
      <c r="E15704" t="str">
        <f>"JACKSON                   "</f>
        <v xml:space="preserve">JACKSON                   </v>
      </c>
      <c r="F15704" t="str">
        <f t="shared" si="400"/>
        <v>MS</v>
      </c>
    </row>
    <row r="15705" spans="1:6" x14ac:dyDescent="0.25">
      <c r="A15705" t="str">
        <f>"200004922"</f>
        <v>200004922</v>
      </c>
      <c r="B15705" t="str">
        <f>"1548889355"</f>
        <v>1548889355</v>
      </c>
      <c r="C15705" t="str">
        <f>"208000000X"</f>
        <v>208000000X</v>
      </c>
      <c r="D15705" t="str">
        <f>"THORNTON                 RACHAEL      K           "</f>
        <v xml:space="preserve">THORNTON                 RACHAEL      K           </v>
      </c>
      <c r="E15705" t="str">
        <f>"HATTIESBURG               "</f>
        <v xml:space="preserve">HATTIESBURG               </v>
      </c>
      <c r="F15705" t="str">
        <f t="shared" si="400"/>
        <v>MS</v>
      </c>
    </row>
    <row r="15706" spans="1:6" x14ac:dyDescent="0.25">
      <c r="A15706" t="str">
        <f>"200004931"</f>
        <v>200004931</v>
      </c>
      <c r="B15706" t="str">
        <f>"1376003483"</f>
        <v>1376003483</v>
      </c>
      <c r="C15706" t="str">
        <f>"207V00000X"</f>
        <v>207V00000X</v>
      </c>
      <c r="D15706" t="str">
        <f>"BREWERTON                CHARLES      H           "</f>
        <v xml:space="preserve">BREWERTON                CHARLES      H           </v>
      </c>
      <c r="E15706" t="str">
        <f>"JACKSON                   "</f>
        <v xml:space="preserve">JACKSON                   </v>
      </c>
      <c r="F15706" t="str">
        <f t="shared" si="400"/>
        <v>MS</v>
      </c>
    </row>
    <row r="15707" spans="1:6" x14ac:dyDescent="0.25">
      <c r="A15707" t="str">
        <f>"200004932"</f>
        <v>200004932</v>
      </c>
      <c r="B15707" t="str">
        <f>"1720432107"</f>
        <v>1720432107</v>
      </c>
      <c r="C15707" t="str">
        <f>"207R00000X"</f>
        <v>207R00000X</v>
      </c>
      <c r="D15707" t="str">
        <f>"CHAMPAGNE                CHERIE                   "</f>
        <v xml:space="preserve">CHAMPAGNE                CHERIE                   </v>
      </c>
      <c r="E15707" t="str">
        <f>"GULFPORT                  "</f>
        <v xml:space="preserve">GULFPORT                  </v>
      </c>
      <c r="F15707" t="str">
        <f t="shared" si="400"/>
        <v>MS</v>
      </c>
    </row>
    <row r="15708" spans="1:6" x14ac:dyDescent="0.25">
      <c r="A15708" t="str">
        <f>"200004938"</f>
        <v>200004938</v>
      </c>
      <c r="B15708" t="str">
        <f>"1902502453"</f>
        <v>1902502453</v>
      </c>
      <c r="C15708" t="str">
        <f>"261QF0400X"</f>
        <v>261QF0400X</v>
      </c>
      <c r="D15708" t="str">
        <f>"SOUTHEAST MISSISSIPPI RURAL HEALTH INITIATIVE INC "</f>
        <v xml:space="preserve">SOUTHEAST MISSISSIPPI RURAL HEALTH INITIATIVE INC </v>
      </c>
      <c r="E15708" t="str">
        <f>"HATTIESBURG               "</f>
        <v xml:space="preserve">HATTIESBURG               </v>
      </c>
      <c r="F15708" t="str">
        <f t="shared" si="400"/>
        <v>MS</v>
      </c>
    </row>
    <row r="15709" spans="1:6" x14ac:dyDescent="0.25">
      <c r="A15709" t="str">
        <f>"200004945"</f>
        <v>200004945</v>
      </c>
      <c r="B15709" t="str">
        <f>"1699478149"</f>
        <v>1699478149</v>
      </c>
      <c r="C15709" t="str">
        <f>"363L00000X"</f>
        <v>363L00000X</v>
      </c>
      <c r="D15709" t="str">
        <f>"STEWART                  MARION                   "</f>
        <v xml:space="preserve">STEWART                  MARION                   </v>
      </c>
      <c r="E15709" t="str">
        <f>"COLUMBUS                  "</f>
        <v xml:space="preserve">COLUMBUS                  </v>
      </c>
      <c r="F15709" t="str">
        <f t="shared" si="400"/>
        <v>MS</v>
      </c>
    </row>
    <row r="15710" spans="1:6" x14ac:dyDescent="0.25">
      <c r="A15710" t="str">
        <f>"200004948"</f>
        <v>200004948</v>
      </c>
      <c r="B15710" t="str">
        <f>"1851095772"</f>
        <v>1851095772</v>
      </c>
      <c r="C15710" t="str">
        <f>"207L00000X"</f>
        <v>207L00000X</v>
      </c>
      <c r="D15710" t="str">
        <f>"RISHER                   JACOB        L           "</f>
        <v xml:space="preserve">RISHER                   JACOB        L           </v>
      </c>
      <c r="E15710" t="str">
        <f>"JACKSON                   "</f>
        <v xml:space="preserve">JACKSON                   </v>
      </c>
      <c r="F15710" t="str">
        <f t="shared" si="400"/>
        <v>MS</v>
      </c>
    </row>
    <row r="15711" spans="1:6" x14ac:dyDescent="0.25">
      <c r="A15711" t="str">
        <f>"200004959"</f>
        <v>200004959</v>
      </c>
      <c r="B15711" t="str">
        <f>"1730703158"</f>
        <v>1730703158</v>
      </c>
      <c r="C15711" t="str">
        <f>"207Q00000X"</f>
        <v>207Q00000X</v>
      </c>
      <c r="D15711" t="str">
        <f>"PRATT                    JOSEPH       B           "</f>
        <v xml:space="preserve">PRATT                    JOSEPH       B           </v>
      </c>
      <c r="E15711" t="str">
        <f>"CORINTH                   "</f>
        <v xml:space="preserve">CORINTH                   </v>
      </c>
      <c r="F15711" t="str">
        <f t="shared" si="400"/>
        <v>MS</v>
      </c>
    </row>
    <row r="15712" spans="1:6" x14ac:dyDescent="0.25">
      <c r="A15712" t="str">
        <f>"200004975"</f>
        <v>200004975</v>
      </c>
      <c r="B15712" t="str">
        <f>"1760977714"</f>
        <v>1760977714</v>
      </c>
      <c r="C15712" t="str">
        <f>"2086S0102X"</f>
        <v>2086S0102X</v>
      </c>
      <c r="D15712" t="str">
        <f>"SAMS                     HANNA        L           "</f>
        <v xml:space="preserve">SAMS                     HANNA        L           </v>
      </c>
      <c r="E15712" t="str">
        <f>"JACKSON                   "</f>
        <v xml:space="preserve">JACKSON                   </v>
      </c>
      <c r="F15712" t="str">
        <f t="shared" si="400"/>
        <v>MS</v>
      </c>
    </row>
    <row r="15713" spans="1:6" x14ac:dyDescent="0.25">
      <c r="A15713" t="str">
        <f>"200004984"</f>
        <v>200004984</v>
      </c>
      <c r="B15713" t="str">
        <f>"1184157125"</f>
        <v>1184157125</v>
      </c>
      <c r="C15713" t="str">
        <f>"207X00000X"</f>
        <v>207X00000X</v>
      </c>
      <c r="D15713" t="str">
        <f>"MURPHY                   AUSTIN                   "</f>
        <v xml:space="preserve">MURPHY                   AUSTIN                   </v>
      </c>
      <c r="E15713" t="str">
        <f>"SOUTHAVEN                 "</f>
        <v xml:space="preserve">SOUTHAVEN                 </v>
      </c>
      <c r="F15713" t="str">
        <f t="shared" si="400"/>
        <v>MS</v>
      </c>
    </row>
    <row r="15714" spans="1:6" x14ac:dyDescent="0.25">
      <c r="A15714" t="str">
        <f>"200005002"</f>
        <v>200005002</v>
      </c>
      <c r="B15714" t="str">
        <f>"1205290525"</f>
        <v>1205290525</v>
      </c>
      <c r="C15714" t="str">
        <f>"2084N0400X"</f>
        <v>2084N0400X</v>
      </c>
      <c r="D15714" t="str">
        <f>"ALVARADO ARIAS           ALEXIS       J           "</f>
        <v xml:space="preserve">ALVARADO ARIAS           ALEXIS       J           </v>
      </c>
      <c r="E15714" t="str">
        <f>"JACKSON                   "</f>
        <v xml:space="preserve">JACKSON                   </v>
      </c>
      <c r="F15714" t="str">
        <f t="shared" si="400"/>
        <v>MS</v>
      </c>
    </row>
    <row r="15715" spans="1:6" x14ac:dyDescent="0.25">
      <c r="A15715" t="str">
        <f>"200005010"</f>
        <v>200005010</v>
      </c>
      <c r="B15715" t="str">
        <f>"1851800353"</f>
        <v>1851800353</v>
      </c>
      <c r="C15715" t="str">
        <f>"363A00000X"</f>
        <v>363A00000X</v>
      </c>
      <c r="D15715" t="str">
        <f>"VONDER HAAR              MARY LELA    V           "</f>
        <v xml:space="preserve">VONDER HAAR              MARY LELA    V           </v>
      </c>
      <c r="E15715" t="str">
        <f>"OXFORD                    "</f>
        <v xml:space="preserve">OXFORD                    </v>
      </c>
      <c r="F15715" t="str">
        <f t="shared" si="400"/>
        <v>MS</v>
      </c>
    </row>
    <row r="15716" spans="1:6" x14ac:dyDescent="0.25">
      <c r="A15716" t="str">
        <f>"200005011"</f>
        <v>200005011</v>
      </c>
      <c r="B15716" t="str">
        <f>"1629321096"</f>
        <v>1629321096</v>
      </c>
      <c r="C15716" t="str">
        <f>"207Q00000X"</f>
        <v>207Q00000X</v>
      </c>
      <c r="D15716" t="str">
        <f>"SABB                     RACHEL       L           "</f>
        <v xml:space="preserve">SABB                     RACHEL       L           </v>
      </c>
      <c r="E15716" t="str">
        <f>"JACKSON                   "</f>
        <v xml:space="preserve">JACKSON                   </v>
      </c>
      <c r="F15716" t="str">
        <f t="shared" si="400"/>
        <v>MS</v>
      </c>
    </row>
    <row r="15717" spans="1:6" x14ac:dyDescent="0.25">
      <c r="A15717" t="str">
        <f>"200005015"</f>
        <v>200005015</v>
      </c>
      <c r="B15717" t="str">
        <f>"1841724408"</f>
        <v>1841724408</v>
      </c>
      <c r="C15717" t="str">
        <f>"207X00000X"</f>
        <v>207X00000X</v>
      </c>
      <c r="D15717" t="str">
        <f>"ROSS                     DANIEL       J           "</f>
        <v xml:space="preserve">ROSS                     DANIEL       J           </v>
      </c>
      <c r="E15717" t="str">
        <f>"FLOWOOD                   "</f>
        <v xml:space="preserve">FLOWOOD                   </v>
      </c>
      <c r="F15717" t="str">
        <f t="shared" si="400"/>
        <v>MS</v>
      </c>
    </row>
    <row r="15718" spans="1:6" x14ac:dyDescent="0.25">
      <c r="A15718" t="str">
        <f>"200005018"</f>
        <v>200005018</v>
      </c>
      <c r="B15718" t="str">
        <f>"1962479964"</f>
        <v>1962479964</v>
      </c>
      <c r="C15718" t="str">
        <f>"2085R0202X"</f>
        <v>2085R0202X</v>
      </c>
      <c r="D15718" t="str">
        <f>"ANTAKI                   GEORGE                   "</f>
        <v xml:space="preserve">ANTAKI                   GEORGE                   </v>
      </c>
      <c r="E15718" t="str">
        <f>"GULFPORT                  "</f>
        <v xml:space="preserve">GULFPORT                  </v>
      </c>
      <c r="F15718" t="str">
        <f t="shared" si="400"/>
        <v>MS</v>
      </c>
    </row>
    <row r="15719" spans="1:6" x14ac:dyDescent="0.25">
      <c r="A15719" t="str">
        <f>"200005022"</f>
        <v>200005022</v>
      </c>
      <c r="B15719" t="str">
        <f>"1376529826"</f>
        <v>1376529826</v>
      </c>
      <c r="C15719" t="str">
        <f>"208G00000X"</f>
        <v>208G00000X</v>
      </c>
      <c r="D15719" t="str">
        <f>"LYN                      IAN          T           "</f>
        <v xml:space="preserve">LYN                      IAN          T           </v>
      </c>
      <c r="E15719" t="str">
        <f>"OXFORD                    "</f>
        <v xml:space="preserve">OXFORD                    </v>
      </c>
      <c r="F15719" t="str">
        <f t="shared" si="400"/>
        <v>MS</v>
      </c>
    </row>
    <row r="15720" spans="1:6" x14ac:dyDescent="0.25">
      <c r="A15720" t="str">
        <f>"200005023"</f>
        <v>200005023</v>
      </c>
      <c r="B15720" t="str">
        <f>"1851553879"</f>
        <v>1851553879</v>
      </c>
      <c r="C15720" t="str">
        <f>"2084N0400X"</f>
        <v>2084N0400X</v>
      </c>
      <c r="D15720" t="str">
        <f>"VALENTA                  DOUGLAS                  "</f>
        <v xml:space="preserve">VALENTA                  DOUGLAS                  </v>
      </c>
      <c r="E15720" t="str">
        <f>"SOUTHAVEN                 "</f>
        <v xml:space="preserve">SOUTHAVEN                 </v>
      </c>
      <c r="F15720" t="str">
        <f t="shared" si="400"/>
        <v>MS</v>
      </c>
    </row>
    <row r="15721" spans="1:6" x14ac:dyDescent="0.25">
      <c r="A15721" t="str">
        <f>"200005024"</f>
        <v>200005024</v>
      </c>
      <c r="B15721" t="str">
        <f>"1295997377"</f>
        <v>1295997377</v>
      </c>
      <c r="C15721" t="str">
        <f>"2084N0400X"</f>
        <v>2084N0400X</v>
      </c>
      <c r="D15721" t="str">
        <f>"AGGARWAL                 PUJA                     "</f>
        <v xml:space="preserve">AGGARWAL                 PUJA                     </v>
      </c>
      <c r="E15721" t="str">
        <f>"BRANDON                   "</f>
        <v xml:space="preserve">BRANDON                   </v>
      </c>
      <c r="F15721" t="str">
        <f t="shared" si="400"/>
        <v>MS</v>
      </c>
    </row>
    <row r="15722" spans="1:6" x14ac:dyDescent="0.25">
      <c r="A15722" t="str">
        <f>"200005030"</f>
        <v>200005030</v>
      </c>
      <c r="B15722" t="str">
        <f>"1487637617"</f>
        <v>1487637617</v>
      </c>
      <c r="C15722" t="str">
        <f>"207V00000X"</f>
        <v>207V00000X</v>
      </c>
      <c r="D15722" t="str">
        <f>"WAXMAN                   ERNA         A           "</f>
        <v xml:space="preserve">WAXMAN                   ERNA         A           </v>
      </c>
      <c r="E15722" t="str">
        <f>"JACKSON                   "</f>
        <v xml:space="preserve">JACKSON                   </v>
      </c>
      <c r="F15722" t="str">
        <f t="shared" si="400"/>
        <v>MS</v>
      </c>
    </row>
    <row r="15723" spans="1:6" x14ac:dyDescent="0.25">
      <c r="A15723" t="str">
        <f>"200005031"</f>
        <v>200005031</v>
      </c>
      <c r="B15723" t="str">
        <f>"1740776988"</f>
        <v>1740776988</v>
      </c>
      <c r="C15723" t="str">
        <f>"2080N0001X"</f>
        <v>2080N0001X</v>
      </c>
      <c r="D15723" t="str">
        <f>"AJOUR                    MAHER                    "</f>
        <v xml:space="preserve">AJOUR                    MAHER                    </v>
      </c>
      <c r="E15723" t="str">
        <f>"JACKSON                   "</f>
        <v xml:space="preserve">JACKSON                   </v>
      </c>
      <c r="F15723" t="str">
        <f t="shared" si="400"/>
        <v>MS</v>
      </c>
    </row>
    <row r="15724" spans="1:6" x14ac:dyDescent="0.25">
      <c r="A15724" t="str">
        <f>"200005032"</f>
        <v>200005032</v>
      </c>
      <c r="B15724" t="str">
        <f>"1902506355"</f>
        <v>1902506355</v>
      </c>
      <c r="C15724" t="str">
        <f>"363L00000X"</f>
        <v>363L00000X</v>
      </c>
      <c r="D15724" t="str">
        <f>"COCKERHAM                CHASITY                  "</f>
        <v xml:space="preserve">COCKERHAM                CHASITY                  </v>
      </c>
      <c r="E15724" t="str">
        <f>"MERIDIAN                  "</f>
        <v xml:space="preserve">MERIDIAN                  </v>
      </c>
      <c r="F15724" t="str">
        <f t="shared" si="400"/>
        <v>MS</v>
      </c>
    </row>
    <row r="15725" spans="1:6" x14ac:dyDescent="0.25">
      <c r="A15725" t="str">
        <f>"200005033"</f>
        <v>200005033</v>
      </c>
      <c r="B15725" t="str">
        <f>"1225535529"</f>
        <v>1225535529</v>
      </c>
      <c r="C15725" t="str">
        <f>"207W00000X"</f>
        <v>207W00000X</v>
      </c>
      <c r="D15725" t="str">
        <f>"FAVRE                    HAYLEY                   "</f>
        <v xml:space="preserve">FAVRE                    HAYLEY                   </v>
      </c>
      <c r="E15725" t="str">
        <f>"BILOXI                    "</f>
        <v xml:space="preserve">BILOXI                    </v>
      </c>
      <c r="F15725" t="str">
        <f t="shared" si="400"/>
        <v>MS</v>
      </c>
    </row>
    <row r="15726" spans="1:6" x14ac:dyDescent="0.25">
      <c r="A15726" t="str">
        <f>"200005045"</f>
        <v>200005045</v>
      </c>
      <c r="B15726" t="str">
        <f>"1912317744"</f>
        <v>1912317744</v>
      </c>
      <c r="C15726" t="str">
        <f>"363L00000X"</f>
        <v>363L00000X</v>
      </c>
      <c r="D15726" t="str">
        <f>"SNYDER                   KATHERINE                "</f>
        <v xml:space="preserve">SNYDER                   KATHERINE                </v>
      </c>
      <c r="E15726" t="str">
        <f>"JACKSON                   "</f>
        <v xml:space="preserve">JACKSON                   </v>
      </c>
      <c r="F15726" t="str">
        <f t="shared" si="400"/>
        <v>MS</v>
      </c>
    </row>
    <row r="15727" spans="1:6" x14ac:dyDescent="0.25">
      <c r="A15727" t="str">
        <f>"200005047"</f>
        <v>200005047</v>
      </c>
      <c r="B15727" t="str">
        <f>"1487356317"</f>
        <v>1487356317</v>
      </c>
      <c r="C15727" t="str">
        <f>"207R00000X"</f>
        <v>207R00000X</v>
      </c>
      <c r="D15727" t="str">
        <f>"SMITH                    TRISTON      E           "</f>
        <v xml:space="preserve">SMITH                    TRISTON      E           </v>
      </c>
      <c r="E15727" t="str">
        <f>"JACKSON                   "</f>
        <v xml:space="preserve">JACKSON                   </v>
      </c>
      <c r="F15727" t="str">
        <f t="shared" si="400"/>
        <v>MS</v>
      </c>
    </row>
    <row r="15728" spans="1:6" x14ac:dyDescent="0.25">
      <c r="A15728" t="str">
        <f>"200005052"</f>
        <v>200005052</v>
      </c>
      <c r="B15728" t="str">
        <f>"1598385767"</f>
        <v>1598385767</v>
      </c>
      <c r="C15728" t="str">
        <f>"207Q00000X"</f>
        <v>207Q00000X</v>
      </c>
      <c r="D15728" t="str">
        <f>"GIUFFRIA                 BENJAMIN                 "</f>
        <v xml:space="preserve">GIUFFRIA                 BENJAMIN                 </v>
      </c>
      <c r="E15728" t="str">
        <f>"LUCEDALE                  "</f>
        <v xml:space="preserve">LUCEDALE                  </v>
      </c>
      <c r="F15728" t="str">
        <f t="shared" si="400"/>
        <v>MS</v>
      </c>
    </row>
    <row r="15729" spans="1:6" x14ac:dyDescent="0.25">
      <c r="A15729" t="str">
        <f>"200005055"</f>
        <v>200005055</v>
      </c>
      <c r="B15729" t="str">
        <f>"1912686296"</f>
        <v>1912686296</v>
      </c>
      <c r="C15729" t="str">
        <f>"363L00000X"</f>
        <v>363L00000X</v>
      </c>
      <c r="D15729" t="str">
        <f>"WOODS                    ANNA                     "</f>
        <v xml:space="preserve">WOODS                    ANNA                     </v>
      </c>
      <c r="E15729" t="str">
        <f>"PHILADELPHIA              "</f>
        <v xml:space="preserve">PHILADELPHIA              </v>
      </c>
      <c r="F15729" t="str">
        <f t="shared" si="400"/>
        <v>MS</v>
      </c>
    </row>
    <row r="15730" spans="1:6" x14ac:dyDescent="0.25">
      <c r="A15730" t="str">
        <f>"200005056"</f>
        <v>200005056</v>
      </c>
      <c r="B15730" t="str">
        <f>"1568168383"</f>
        <v>1568168383</v>
      </c>
      <c r="C15730" t="str">
        <f>"122300000X"</f>
        <v>122300000X</v>
      </c>
      <c r="D15730" t="str">
        <f>"MCMURPHY PEDIATRIC DENTISTRY                      "</f>
        <v xml:space="preserve">MCMURPHY PEDIATRIC DENTISTRY                      </v>
      </c>
      <c r="E15730" t="str">
        <f>"OCEAN SPRINGS             "</f>
        <v xml:space="preserve">OCEAN SPRINGS             </v>
      </c>
      <c r="F15730" t="str">
        <f t="shared" si="400"/>
        <v>MS</v>
      </c>
    </row>
    <row r="15731" spans="1:6" x14ac:dyDescent="0.25">
      <c r="A15731" t="str">
        <f>"200005059"</f>
        <v>200005059</v>
      </c>
      <c r="B15731" t="str">
        <f>"1023646403"</f>
        <v>1023646403</v>
      </c>
      <c r="C15731" t="str">
        <f>"207R00000X"</f>
        <v>207R00000X</v>
      </c>
      <c r="D15731" t="str">
        <f>"BEAR                     MATTHEW                  "</f>
        <v xml:space="preserve">BEAR                     MATTHEW                  </v>
      </c>
      <c r="E15731" t="str">
        <f>"CLEVELAND                 "</f>
        <v xml:space="preserve">CLEVELAND                 </v>
      </c>
      <c r="F15731" t="str">
        <f t="shared" si="400"/>
        <v>MS</v>
      </c>
    </row>
    <row r="15732" spans="1:6" x14ac:dyDescent="0.25">
      <c r="A15732" t="str">
        <f>"200005060"</f>
        <v>200005060</v>
      </c>
      <c r="B15732" t="str">
        <f>"1316625379"</f>
        <v>1316625379</v>
      </c>
      <c r="C15732" t="str">
        <f>"152W00000X"</f>
        <v>152W00000X</v>
      </c>
      <c r="D15732" t="str">
        <f>"NGO                      NHA                      "</f>
        <v xml:space="preserve">NGO                      NHA                      </v>
      </c>
      <c r="E15732" t="str">
        <f>"GULFPORT                  "</f>
        <v xml:space="preserve">GULFPORT                  </v>
      </c>
      <c r="F15732" t="str">
        <f t="shared" si="400"/>
        <v>MS</v>
      </c>
    </row>
    <row r="15733" spans="1:6" x14ac:dyDescent="0.25">
      <c r="A15733" t="str">
        <f>"200005061"</f>
        <v>200005061</v>
      </c>
      <c r="B15733" t="str">
        <f>"1720713050"</f>
        <v>1720713050</v>
      </c>
      <c r="C15733" t="str">
        <f>"363L00000X"</f>
        <v>363L00000X</v>
      </c>
      <c r="D15733" t="str">
        <f>"NICHOLS                  MEGHAN                   "</f>
        <v xml:space="preserve">NICHOLS                  MEGHAN                   </v>
      </c>
      <c r="E15733" t="str">
        <f>"JACKSON                   "</f>
        <v xml:space="preserve">JACKSON                   </v>
      </c>
      <c r="F15733" t="str">
        <f t="shared" si="400"/>
        <v>MS</v>
      </c>
    </row>
    <row r="15734" spans="1:6" x14ac:dyDescent="0.25">
      <c r="A15734" t="str">
        <f>"200005064"</f>
        <v>200005064</v>
      </c>
      <c r="B15734" t="str">
        <f>"1386378396"</f>
        <v>1386378396</v>
      </c>
      <c r="C15734" t="str">
        <f>"363L00000X"</f>
        <v>363L00000X</v>
      </c>
      <c r="D15734" t="str">
        <f>"WILKERSON                CAMERON                  "</f>
        <v xml:space="preserve">WILKERSON                CAMERON                  </v>
      </c>
      <c r="E15734" t="str">
        <f>"CORINTH                   "</f>
        <v xml:space="preserve">CORINTH                   </v>
      </c>
      <c r="F15734" t="str">
        <f t="shared" si="400"/>
        <v>MS</v>
      </c>
    </row>
    <row r="15735" spans="1:6" x14ac:dyDescent="0.25">
      <c r="A15735" t="str">
        <f>"200005066"</f>
        <v>200005066</v>
      </c>
      <c r="B15735" t="str">
        <f>"1962074021"</f>
        <v>1962074021</v>
      </c>
      <c r="C15735" t="str">
        <f>"363L00000X"</f>
        <v>363L00000X</v>
      </c>
      <c r="D15735" t="str">
        <f>"ROBINSON                 YVONNE                   "</f>
        <v xml:space="preserve">ROBINSON                 YVONNE                   </v>
      </c>
      <c r="E15735" t="str">
        <f>"COLUMBUS                  "</f>
        <v xml:space="preserve">COLUMBUS                  </v>
      </c>
      <c r="F15735" t="str">
        <f t="shared" si="400"/>
        <v>MS</v>
      </c>
    </row>
    <row r="15736" spans="1:6" x14ac:dyDescent="0.25">
      <c r="A15736" t="str">
        <f>"200005076"</f>
        <v>200005076</v>
      </c>
      <c r="B15736" t="str">
        <f>"1003594938"</f>
        <v>1003594938</v>
      </c>
      <c r="C15736" t="str">
        <f>"1223X0400X"</f>
        <v>1223X0400X</v>
      </c>
      <c r="D15736" t="str">
        <f>"OLIVOS BAZAES            BARBARA                  "</f>
        <v xml:space="preserve">OLIVOS BAZAES            BARBARA                  </v>
      </c>
      <c r="E15736" t="str">
        <f>"JACKSON                   "</f>
        <v xml:space="preserve">JACKSON                   </v>
      </c>
      <c r="F15736" t="str">
        <f t="shared" si="400"/>
        <v>MS</v>
      </c>
    </row>
    <row r="15737" spans="1:6" x14ac:dyDescent="0.25">
      <c r="A15737" t="str">
        <f>"200005079"</f>
        <v>200005079</v>
      </c>
      <c r="B15737" t="str">
        <f>"1366066698"</f>
        <v>1366066698</v>
      </c>
      <c r="C15737" t="str">
        <f>"207Q00000X"</f>
        <v>207Q00000X</v>
      </c>
      <c r="D15737" t="str">
        <f>"GHOSAL                   RAAJ                     "</f>
        <v xml:space="preserve">GHOSAL                   RAAJ                     </v>
      </c>
      <c r="E15737" t="str">
        <f>"TUPELO                    "</f>
        <v xml:space="preserve">TUPELO                    </v>
      </c>
      <c r="F15737" t="str">
        <f t="shared" si="400"/>
        <v>MS</v>
      </c>
    </row>
    <row r="15738" spans="1:6" x14ac:dyDescent="0.25">
      <c r="A15738" t="str">
        <f>"200005088"</f>
        <v>200005088</v>
      </c>
      <c r="B15738" t="str">
        <f>"1164918058"</f>
        <v>1164918058</v>
      </c>
      <c r="C15738" t="str">
        <f>"207R00000X"</f>
        <v>207R00000X</v>
      </c>
      <c r="D15738" t="str">
        <f>"SOHAL                    RAMAN        J           "</f>
        <v xml:space="preserve">SOHAL                    RAMAN        J           </v>
      </c>
      <c r="E15738" t="str">
        <f>"VICKSBURG                 "</f>
        <v xml:space="preserve">VICKSBURG                 </v>
      </c>
      <c r="F15738" t="str">
        <f t="shared" si="400"/>
        <v>MS</v>
      </c>
    </row>
    <row r="15739" spans="1:6" x14ac:dyDescent="0.25">
      <c r="A15739" t="str">
        <f>"200005093"</f>
        <v>200005093</v>
      </c>
      <c r="B15739" t="str">
        <f>"1669175717"</f>
        <v>1669175717</v>
      </c>
      <c r="C15739" t="str">
        <f>"207Q00000X"</f>
        <v>207Q00000X</v>
      </c>
      <c r="D15739" t="str">
        <f>"GABLE                    GRACE                    "</f>
        <v xml:space="preserve">GABLE                    GRACE                    </v>
      </c>
      <c r="E15739" t="str">
        <f>"HATTIESBURG               "</f>
        <v xml:space="preserve">HATTIESBURG               </v>
      </c>
      <c r="F15739" t="str">
        <f t="shared" si="400"/>
        <v>MS</v>
      </c>
    </row>
    <row r="15740" spans="1:6" x14ac:dyDescent="0.25">
      <c r="A15740" t="str">
        <f>"200005103"</f>
        <v>200005103</v>
      </c>
      <c r="B15740" t="str">
        <f>"1609428614"</f>
        <v>1609428614</v>
      </c>
      <c r="C15740" t="str">
        <f>"122300000X"</f>
        <v>122300000X</v>
      </c>
      <c r="D15740" t="str">
        <f>"HOANG                    MI           T           "</f>
        <v xml:space="preserve">HOANG                    MI           T           </v>
      </c>
      <c r="E15740" t="str">
        <f>"HATTIESBURG               "</f>
        <v xml:space="preserve">HATTIESBURG               </v>
      </c>
      <c r="F15740" t="str">
        <f t="shared" si="400"/>
        <v>MS</v>
      </c>
    </row>
    <row r="15741" spans="1:6" x14ac:dyDescent="0.25">
      <c r="A15741" t="str">
        <f>"200005110"</f>
        <v>200005110</v>
      </c>
      <c r="B15741" t="str">
        <f>"1760911598"</f>
        <v>1760911598</v>
      </c>
      <c r="C15741" t="str">
        <f>"207RG0100X"</f>
        <v>207RG0100X</v>
      </c>
      <c r="D15741" t="str">
        <f>"ELLISON                  PARKER                   "</f>
        <v xml:space="preserve">ELLISON                  PARKER                   </v>
      </c>
      <c r="E15741" t="str">
        <f>"FLOWOOD                   "</f>
        <v xml:space="preserve">FLOWOOD                   </v>
      </c>
      <c r="F15741" t="str">
        <f t="shared" si="400"/>
        <v>MS</v>
      </c>
    </row>
    <row r="15742" spans="1:6" x14ac:dyDescent="0.25">
      <c r="A15742" t="str">
        <f>"200005115"</f>
        <v>200005115</v>
      </c>
      <c r="B15742" t="str">
        <f>"1912520370"</f>
        <v>1912520370</v>
      </c>
      <c r="C15742" t="str">
        <f>"207P00000X"</f>
        <v>207P00000X</v>
      </c>
      <c r="D15742" t="str">
        <f>"WILLIAMS                 JANNA        L           "</f>
        <v xml:space="preserve">WILLIAMS                 JANNA        L           </v>
      </c>
      <c r="E15742" t="str">
        <f>"JACKSON                   "</f>
        <v xml:space="preserve">JACKSON                   </v>
      </c>
      <c r="F15742" t="str">
        <f t="shared" ref="F15742:F15805" si="401">"MS"</f>
        <v>MS</v>
      </c>
    </row>
    <row r="15743" spans="1:6" x14ac:dyDescent="0.25">
      <c r="A15743" t="str">
        <f>"200005125"</f>
        <v>200005125</v>
      </c>
      <c r="B15743" t="str">
        <f>"1104350925"</f>
        <v>1104350925</v>
      </c>
      <c r="C15743" t="str">
        <f>"207RX0202X"</f>
        <v>207RX0202X</v>
      </c>
      <c r="D15743" t="str">
        <f>"JAIN                     AMIT                     "</f>
        <v xml:space="preserve">JAIN                     AMIT                     </v>
      </c>
      <c r="E15743" t="str">
        <f>"TUPELO                    "</f>
        <v xml:space="preserve">TUPELO                    </v>
      </c>
      <c r="F15743" t="str">
        <f t="shared" si="401"/>
        <v>MS</v>
      </c>
    </row>
    <row r="15744" spans="1:6" x14ac:dyDescent="0.25">
      <c r="A15744" t="str">
        <f>"200005126"</f>
        <v>200005126</v>
      </c>
      <c r="B15744" t="str">
        <f>"1720602295"</f>
        <v>1720602295</v>
      </c>
      <c r="C15744" t="str">
        <f>"207Q00000X"</f>
        <v>207Q00000X</v>
      </c>
      <c r="D15744" t="str">
        <f>"SPARKS                   NATHANIEL                "</f>
        <v xml:space="preserve">SPARKS                   NATHANIEL                </v>
      </c>
      <c r="E15744" t="str">
        <f>"BELMONT                   "</f>
        <v xml:space="preserve">BELMONT                   </v>
      </c>
      <c r="F15744" t="str">
        <f t="shared" si="401"/>
        <v>MS</v>
      </c>
    </row>
    <row r="15745" spans="1:6" x14ac:dyDescent="0.25">
      <c r="A15745" t="str">
        <f>"200005127"</f>
        <v>200005127</v>
      </c>
      <c r="B15745" t="str">
        <f>"1598389702"</f>
        <v>1598389702</v>
      </c>
      <c r="C15745" t="str">
        <f>"207Q00000X"</f>
        <v>207Q00000X</v>
      </c>
      <c r="D15745" t="str">
        <f>"COLLIER                  ETHAN                    "</f>
        <v xml:space="preserve">COLLIER                  ETHAN                    </v>
      </c>
      <c r="E15745" t="str">
        <f>"AMORY                     "</f>
        <v xml:space="preserve">AMORY                     </v>
      </c>
      <c r="F15745" t="str">
        <f t="shared" si="401"/>
        <v>MS</v>
      </c>
    </row>
    <row r="15746" spans="1:6" x14ac:dyDescent="0.25">
      <c r="A15746" t="str">
        <f>"200005128"</f>
        <v>200005128</v>
      </c>
      <c r="B15746" t="str">
        <f>"1487109260"</f>
        <v>1487109260</v>
      </c>
      <c r="C15746" t="str">
        <f>"207RP1001X"</f>
        <v>207RP1001X</v>
      </c>
      <c r="D15746" t="str">
        <f>"HENAO CORREA             JOSE                     "</f>
        <v xml:space="preserve">HENAO CORREA             JOSE                     </v>
      </c>
      <c r="E15746" t="str">
        <f>"TUPELO                    "</f>
        <v xml:space="preserve">TUPELO                    </v>
      </c>
      <c r="F15746" t="str">
        <f t="shared" si="401"/>
        <v>MS</v>
      </c>
    </row>
    <row r="15747" spans="1:6" x14ac:dyDescent="0.25">
      <c r="A15747" t="str">
        <f>"200005131"</f>
        <v>200005131</v>
      </c>
      <c r="B15747" t="str">
        <f>"1538841762"</f>
        <v>1538841762</v>
      </c>
      <c r="C15747" t="str">
        <f>"363L00000X"</f>
        <v>363L00000X</v>
      </c>
      <c r="D15747" t="str">
        <f>"BURTON                   ERIN         E           "</f>
        <v xml:space="preserve">BURTON                   ERIN         E           </v>
      </c>
      <c r="E15747" t="str">
        <f>"JACKSON                   "</f>
        <v xml:space="preserve">JACKSON                   </v>
      </c>
      <c r="F15747" t="str">
        <f t="shared" si="401"/>
        <v>MS</v>
      </c>
    </row>
    <row r="15748" spans="1:6" x14ac:dyDescent="0.25">
      <c r="A15748" t="str">
        <f>"200005142"</f>
        <v>200005142</v>
      </c>
      <c r="B15748" t="str">
        <f>"1780363580"</f>
        <v>1780363580</v>
      </c>
      <c r="C15748" t="str">
        <f>"152W00000X"</f>
        <v>152W00000X</v>
      </c>
      <c r="D15748" t="str">
        <f>"THROWER                  SARAH                    "</f>
        <v xml:space="preserve">THROWER                  SARAH                    </v>
      </c>
      <c r="E15748" t="str">
        <f>"HOLLY SPRINGS             "</f>
        <v xml:space="preserve">HOLLY SPRINGS             </v>
      </c>
      <c r="F15748" t="str">
        <f t="shared" si="401"/>
        <v>MS</v>
      </c>
    </row>
    <row r="15749" spans="1:6" x14ac:dyDescent="0.25">
      <c r="A15749" t="str">
        <f>"200005143"</f>
        <v>200005143</v>
      </c>
      <c r="B15749" t="str">
        <f>"1578819835"</f>
        <v>1578819835</v>
      </c>
      <c r="C15749" t="str">
        <f>"152W00000X"</f>
        <v>152W00000X</v>
      </c>
      <c r="D15749" t="str">
        <f>"THOMPSON                 COURTNEY                 "</f>
        <v xml:space="preserve">THOMPSON                 COURTNEY                 </v>
      </c>
      <c r="E15749" t="str">
        <f>"MAGEE                     "</f>
        <v xml:space="preserve">MAGEE                     </v>
      </c>
      <c r="F15749" t="str">
        <f t="shared" si="401"/>
        <v>MS</v>
      </c>
    </row>
    <row r="15750" spans="1:6" x14ac:dyDescent="0.25">
      <c r="A15750" t="str">
        <f>"200005148"</f>
        <v>200005148</v>
      </c>
      <c r="B15750" t="str">
        <f>"1245874981"</f>
        <v>1245874981</v>
      </c>
      <c r="C15750" t="str">
        <f>"363L00000X"</f>
        <v>363L00000X</v>
      </c>
      <c r="D15750" t="str">
        <f>"JONES                    KIM                      "</f>
        <v xml:space="preserve">JONES                    KIM                      </v>
      </c>
      <c r="E15750" t="str">
        <f>"GULFPORT                  "</f>
        <v xml:space="preserve">GULFPORT                  </v>
      </c>
      <c r="F15750" t="str">
        <f t="shared" si="401"/>
        <v>MS</v>
      </c>
    </row>
    <row r="15751" spans="1:6" x14ac:dyDescent="0.25">
      <c r="A15751" t="str">
        <f>"200005153"</f>
        <v>200005153</v>
      </c>
      <c r="B15751" t="str">
        <f>"1952004996"</f>
        <v>1952004996</v>
      </c>
      <c r="C15751" t="str">
        <f>"207R00000X"</f>
        <v>207R00000X</v>
      </c>
      <c r="D15751" t="str">
        <f>"OSTRANDER                MITCHELL     M           "</f>
        <v xml:space="preserve">OSTRANDER                MITCHELL     M           </v>
      </c>
      <c r="E15751" t="str">
        <f>"JACKSON                   "</f>
        <v xml:space="preserve">JACKSON                   </v>
      </c>
      <c r="F15751" t="str">
        <f t="shared" si="401"/>
        <v>MS</v>
      </c>
    </row>
    <row r="15752" spans="1:6" x14ac:dyDescent="0.25">
      <c r="A15752" t="str">
        <f>"200005159"</f>
        <v>200005159</v>
      </c>
      <c r="B15752" t="str">
        <f>"1629344882"</f>
        <v>1629344882</v>
      </c>
      <c r="C15752" t="str">
        <f>"2084N0400X"</f>
        <v>2084N0400X</v>
      </c>
      <c r="D15752" t="str">
        <f>"KLEINHOLZ-OWENS          PATRICIA                 "</f>
        <v xml:space="preserve">KLEINHOLZ-OWENS          PATRICIA                 </v>
      </c>
      <c r="E15752" t="str">
        <f>"TUPELO                    "</f>
        <v xml:space="preserve">TUPELO                    </v>
      </c>
      <c r="F15752" t="str">
        <f t="shared" si="401"/>
        <v>MS</v>
      </c>
    </row>
    <row r="15753" spans="1:6" x14ac:dyDescent="0.25">
      <c r="A15753" t="str">
        <f>"200005176"</f>
        <v>200005176</v>
      </c>
      <c r="B15753" t="str">
        <f>"1902537970"</f>
        <v>1902537970</v>
      </c>
      <c r="C15753" t="str">
        <f>"122300000X"</f>
        <v>122300000X</v>
      </c>
      <c r="D15753" t="str">
        <f>"SAULSBERRY               ASHLEY                   "</f>
        <v xml:space="preserve">SAULSBERRY               ASHLEY                   </v>
      </c>
      <c r="E15753" t="str">
        <f>"LEXINGTON                 "</f>
        <v xml:space="preserve">LEXINGTON                 </v>
      </c>
      <c r="F15753" t="str">
        <f t="shared" si="401"/>
        <v>MS</v>
      </c>
    </row>
    <row r="15754" spans="1:6" x14ac:dyDescent="0.25">
      <c r="A15754" t="str">
        <f>"200005192"</f>
        <v>200005192</v>
      </c>
      <c r="B15754" t="str">
        <f>"1730131210"</f>
        <v>1730131210</v>
      </c>
      <c r="C15754" t="str">
        <f>"207VX0201X"</f>
        <v>207VX0201X</v>
      </c>
      <c r="D15754" t="str">
        <f>"ROCCONI                  RODNEY       P           "</f>
        <v xml:space="preserve">ROCCONI                  RODNEY       P           </v>
      </c>
      <c r="E15754" t="str">
        <f>"JACKSON                   "</f>
        <v xml:space="preserve">JACKSON                   </v>
      </c>
      <c r="F15754" t="str">
        <f t="shared" si="401"/>
        <v>MS</v>
      </c>
    </row>
    <row r="15755" spans="1:6" x14ac:dyDescent="0.25">
      <c r="A15755" t="str">
        <f>"200005193"</f>
        <v>200005193</v>
      </c>
      <c r="B15755" t="str">
        <f>"1740634195"</f>
        <v>1740634195</v>
      </c>
      <c r="C15755" t="str">
        <f>"207VE0102X"</f>
        <v>207VE0102X</v>
      </c>
      <c r="D15755" t="str">
        <f>"THOMAS                   MARTHA       C           "</f>
        <v xml:space="preserve">THOMAS                   MARTHA       C           </v>
      </c>
      <c r="E15755" t="str">
        <f>"JACKSON                   "</f>
        <v xml:space="preserve">JACKSON                   </v>
      </c>
      <c r="F15755" t="str">
        <f t="shared" si="401"/>
        <v>MS</v>
      </c>
    </row>
    <row r="15756" spans="1:6" x14ac:dyDescent="0.25">
      <c r="A15756" t="str">
        <f>"200005194"</f>
        <v>200005194</v>
      </c>
      <c r="B15756" t="str">
        <f>"1124409339"</f>
        <v>1124409339</v>
      </c>
      <c r="C15756" t="str">
        <f>"367500000X"</f>
        <v>367500000X</v>
      </c>
      <c r="D15756" t="str">
        <f>"SUMRALL                  CHRISTOPHER  A           "</f>
        <v xml:space="preserve">SUMRALL                  CHRISTOPHER  A           </v>
      </c>
      <c r="E15756" t="str">
        <f>"HATTIESBURG               "</f>
        <v xml:space="preserve">HATTIESBURG               </v>
      </c>
      <c r="F15756" t="str">
        <f t="shared" si="401"/>
        <v>MS</v>
      </c>
    </row>
    <row r="15757" spans="1:6" x14ac:dyDescent="0.25">
      <c r="A15757" t="str">
        <f>"200005196"</f>
        <v>200005196</v>
      </c>
      <c r="B15757" t="str">
        <f>"1174186662"</f>
        <v>1174186662</v>
      </c>
      <c r="C15757" t="str">
        <f>"2084N0400X"</f>
        <v>2084N0400X</v>
      </c>
      <c r="D15757" t="str">
        <f>"ALGHAZO                  EMAD                     "</f>
        <v xml:space="preserve">ALGHAZO                  EMAD                     </v>
      </c>
      <c r="E15757" t="str">
        <f>"TUPELO                    "</f>
        <v xml:space="preserve">TUPELO                    </v>
      </c>
      <c r="F15757" t="str">
        <f t="shared" si="401"/>
        <v>MS</v>
      </c>
    </row>
    <row r="15758" spans="1:6" x14ac:dyDescent="0.25">
      <c r="A15758" t="str">
        <f>"200005198"</f>
        <v>200005198</v>
      </c>
      <c r="B15758" t="str">
        <f>"1265137541"</f>
        <v>1265137541</v>
      </c>
      <c r="C15758" t="str">
        <f>"363LP0808X"</f>
        <v>363LP0808X</v>
      </c>
      <c r="D15758" t="str">
        <f>"SMITH                    MAGGIE                   "</f>
        <v xml:space="preserve">SMITH                    MAGGIE                   </v>
      </c>
      <c r="E15758" t="str">
        <f>"SALTILLO                  "</f>
        <v xml:space="preserve">SALTILLO                  </v>
      </c>
      <c r="F15758" t="str">
        <f t="shared" si="401"/>
        <v>MS</v>
      </c>
    </row>
    <row r="15759" spans="1:6" x14ac:dyDescent="0.25">
      <c r="A15759" t="str">
        <f>"200005199"</f>
        <v>200005199</v>
      </c>
      <c r="B15759" t="str">
        <f>"1619694387"</f>
        <v>1619694387</v>
      </c>
      <c r="C15759" t="str">
        <f>"122300000X"</f>
        <v>122300000X</v>
      </c>
      <c r="D15759" t="str">
        <f>"HOMETOWN FAMILY DENTAL                            "</f>
        <v xml:space="preserve">HOMETOWN FAMILY DENTAL                            </v>
      </c>
      <c r="E15759" t="str">
        <f>"WESSON                    "</f>
        <v xml:space="preserve">WESSON                    </v>
      </c>
      <c r="F15759" t="str">
        <f t="shared" si="401"/>
        <v>MS</v>
      </c>
    </row>
    <row r="15760" spans="1:6" x14ac:dyDescent="0.25">
      <c r="A15760" t="str">
        <f>"200005209"</f>
        <v>200005209</v>
      </c>
      <c r="B15760" t="str">
        <f>"1114545464"</f>
        <v>1114545464</v>
      </c>
      <c r="C15760" t="str">
        <f>"363L00000X"</f>
        <v>363L00000X</v>
      </c>
      <c r="D15760" t="str">
        <f>"HARRIS                   KAYLA                    "</f>
        <v xml:space="preserve">HARRIS                   KAYLA                    </v>
      </c>
      <c r="E15760" t="str">
        <f>"VICKSBURG                 "</f>
        <v xml:space="preserve">VICKSBURG                 </v>
      </c>
      <c r="F15760" t="str">
        <f t="shared" si="401"/>
        <v>MS</v>
      </c>
    </row>
    <row r="15761" spans="1:6" x14ac:dyDescent="0.25">
      <c r="A15761" t="str">
        <f>"200005222"</f>
        <v>200005222</v>
      </c>
      <c r="B15761" t="str">
        <f>"1013695097"</f>
        <v>1013695097</v>
      </c>
      <c r="C15761" t="str">
        <f>"363L00000X"</f>
        <v>363L00000X</v>
      </c>
      <c r="D15761" t="str">
        <f>"WOODALL                  MILTON                   "</f>
        <v xml:space="preserve">WOODALL                  MILTON                   </v>
      </c>
      <c r="E15761" t="str">
        <f>"LAUREL                    "</f>
        <v xml:space="preserve">LAUREL                    </v>
      </c>
      <c r="F15761" t="str">
        <f t="shared" si="401"/>
        <v>MS</v>
      </c>
    </row>
    <row r="15762" spans="1:6" x14ac:dyDescent="0.25">
      <c r="A15762" t="str">
        <f>"200005223"</f>
        <v>200005223</v>
      </c>
      <c r="B15762" t="str">
        <f>"1922531136"</f>
        <v>1922531136</v>
      </c>
      <c r="C15762" t="str">
        <f>"207RP1001X"</f>
        <v>207RP1001X</v>
      </c>
      <c r="D15762" t="str">
        <f>"MBAE                     JUNE         W           "</f>
        <v xml:space="preserve">MBAE                     JUNE         W           </v>
      </c>
      <c r="E15762" t="str">
        <f>"MERIDIAN                  "</f>
        <v xml:space="preserve">MERIDIAN                  </v>
      </c>
      <c r="F15762" t="str">
        <f t="shared" si="401"/>
        <v>MS</v>
      </c>
    </row>
    <row r="15763" spans="1:6" x14ac:dyDescent="0.25">
      <c r="A15763" t="str">
        <f>"200005247"</f>
        <v>200005247</v>
      </c>
      <c r="B15763" t="str">
        <f>"1972662427"</f>
        <v>1972662427</v>
      </c>
      <c r="C15763" t="str">
        <f>"363L00000X"</f>
        <v>363L00000X</v>
      </c>
      <c r="D15763" t="str">
        <f>"MATHIS                   MARLA        V           "</f>
        <v xml:space="preserve">MATHIS                   MARLA        V           </v>
      </c>
      <c r="E15763" t="str">
        <f>"HATTIESBURG               "</f>
        <v xml:space="preserve">HATTIESBURG               </v>
      </c>
      <c r="F15763" t="str">
        <f t="shared" si="401"/>
        <v>MS</v>
      </c>
    </row>
    <row r="15764" spans="1:6" x14ac:dyDescent="0.25">
      <c r="A15764" t="str">
        <f>"200005259"</f>
        <v>200005259</v>
      </c>
      <c r="B15764" t="str">
        <f>"1902326846"</f>
        <v>1902326846</v>
      </c>
      <c r="C15764" t="str">
        <f>"208600000X"</f>
        <v>208600000X</v>
      </c>
      <c r="D15764" t="str">
        <f>"ROSADO                   MARCOS       G           "</f>
        <v xml:space="preserve">ROSADO                   MARCOS       G           </v>
      </c>
      <c r="E15764" t="str">
        <f>"HATTIESBURG               "</f>
        <v xml:space="preserve">HATTIESBURG               </v>
      </c>
      <c r="F15764" t="str">
        <f t="shared" si="401"/>
        <v>MS</v>
      </c>
    </row>
    <row r="15765" spans="1:6" x14ac:dyDescent="0.25">
      <c r="A15765" t="str">
        <f>"200005276"</f>
        <v>200005276</v>
      </c>
      <c r="B15765" t="str">
        <f>"1801357074"</f>
        <v>1801357074</v>
      </c>
      <c r="C15765" t="str">
        <f>"207V00000X"</f>
        <v>207V00000X</v>
      </c>
      <c r="D15765" t="str">
        <f>"MURPHY                   AUDREY       M           "</f>
        <v xml:space="preserve">MURPHY                   AUDREY       M           </v>
      </c>
      <c r="E15765" t="str">
        <f>"OCEAN SPRINGS             "</f>
        <v xml:space="preserve">OCEAN SPRINGS             </v>
      </c>
      <c r="F15765" t="str">
        <f t="shared" si="401"/>
        <v>MS</v>
      </c>
    </row>
    <row r="15766" spans="1:6" x14ac:dyDescent="0.25">
      <c r="A15766" t="str">
        <f>"200005277"</f>
        <v>200005277</v>
      </c>
      <c r="B15766" t="str">
        <f>"1851918213"</f>
        <v>1851918213</v>
      </c>
      <c r="C15766" t="str">
        <f>"207P00000X"</f>
        <v>207P00000X</v>
      </c>
      <c r="D15766" t="str">
        <f>"RICH                     COURTNEY     K           "</f>
        <v xml:space="preserve">RICH                     COURTNEY     K           </v>
      </c>
      <c r="E15766" t="str">
        <f>"CORINTH                   "</f>
        <v xml:space="preserve">CORINTH                   </v>
      </c>
      <c r="F15766" t="str">
        <f t="shared" si="401"/>
        <v>MS</v>
      </c>
    </row>
    <row r="15767" spans="1:6" x14ac:dyDescent="0.25">
      <c r="A15767" t="str">
        <f>"200005283"</f>
        <v>200005283</v>
      </c>
      <c r="B15767" t="str">
        <f>"1831553700"</f>
        <v>1831553700</v>
      </c>
      <c r="C15767" t="str">
        <f>"207RC0000X"</f>
        <v>207RC0000X</v>
      </c>
      <c r="D15767" t="str">
        <f>"FRYOUX                   JORDAN                   "</f>
        <v xml:space="preserve">FRYOUX                   JORDAN                   </v>
      </c>
      <c r="E15767" t="str">
        <f>"JACKSON                   "</f>
        <v xml:space="preserve">JACKSON                   </v>
      </c>
      <c r="F15767" t="str">
        <f t="shared" si="401"/>
        <v>MS</v>
      </c>
    </row>
    <row r="15768" spans="1:6" x14ac:dyDescent="0.25">
      <c r="A15768" t="str">
        <f>"200005294"</f>
        <v>200005294</v>
      </c>
      <c r="B15768" t="str">
        <f>"1871221390"</f>
        <v>1871221390</v>
      </c>
      <c r="C15768" t="str">
        <f>"152W00000X"</f>
        <v>152W00000X</v>
      </c>
      <c r="D15768" t="str">
        <f>"COLE                     AALIYAH      D           "</f>
        <v xml:space="preserve">COLE                     AALIYAH      D           </v>
      </c>
      <c r="E15768" t="str">
        <f>"HATTIESBURG               "</f>
        <v xml:space="preserve">HATTIESBURG               </v>
      </c>
      <c r="F15768" t="str">
        <f t="shared" si="401"/>
        <v>MS</v>
      </c>
    </row>
    <row r="15769" spans="1:6" x14ac:dyDescent="0.25">
      <c r="A15769" t="str">
        <f>"200005302"</f>
        <v>200005302</v>
      </c>
      <c r="B15769" t="str">
        <f>"1891434627"</f>
        <v>1891434627</v>
      </c>
      <c r="C15769" t="str">
        <f>"367500000X"</f>
        <v>367500000X</v>
      </c>
      <c r="D15769" t="str">
        <f>"TERRELL                  AUSTIN       L           "</f>
        <v xml:space="preserve">TERRELL                  AUSTIN       L           </v>
      </c>
      <c r="E15769" t="str">
        <f>"SOUTHAVEN                 "</f>
        <v xml:space="preserve">SOUTHAVEN                 </v>
      </c>
      <c r="F15769" t="str">
        <f t="shared" si="401"/>
        <v>MS</v>
      </c>
    </row>
    <row r="15770" spans="1:6" x14ac:dyDescent="0.25">
      <c r="A15770" t="str">
        <f>"200005306"</f>
        <v>200005306</v>
      </c>
      <c r="B15770" t="str">
        <f>"1033844204"</f>
        <v>1033844204</v>
      </c>
      <c r="C15770" t="str">
        <f>"363L00000X"</f>
        <v>363L00000X</v>
      </c>
      <c r="D15770" t="str">
        <f>"HUMPHERY                 EBONY                    "</f>
        <v xml:space="preserve">HUMPHERY                 EBONY                    </v>
      </c>
      <c r="E15770" t="str">
        <f>"JACKSON                   "</f>
        <v xml:space="preserve">JACKSON                   </v>
      </c>
      <c r="F15770" t="str">
        <f t="shared" si="401"/>
        <v>MS</v>
      </c>
    </row>
    <row r="15771" spans="1:6" x14ac:dyDescent="0.25">
      <c r="A15771" t="str">
        <f>"200005314"</f>
        <v>200005314</v>
      </c>
      <c r="B15771" t="str">
        <f>"1679508097"</f>
        <v>1679508097</v>
      </c>
      <c r="C15771" t="str">
        <f>"207P00000X"</f>
        <v>207P00000X</v>
      </c>
      <c r="D15771" t="str">
        <f>"VALLEY                   VERENA                   "</f>
        <v xml:space="preserve">VALLEY                   VERENA                   </v>
      </c>
      <c r="E15771" t="str">
        <f>"FOREST                    "</f>
        <v xml:space="preserve">FOREST                    </v>
      </c>
      <c r="F15771" t="str">
        <f t="shared" si="401"/>
        <v>MS</v>
      </c>
    </row>
    <row r="15772" spans="1:6" x14ac:dyDescent="0.25">
      <c r="A15772" t="str">
        <f>"200005318"</f>
        <v>200005318</v>
      </c>
      <c r="B15772" t="str">
        <f>"1861033300"</f>
        <v>1861033300</v>
      </c>
      <c r="C15772" t="str">
        <f>"363L00000X"</f>
        <v>363L00000X</v>
      </c>
      <c r="D15772" t="str">
        <f>"LYLE                     CHELSEA                  "</f>
        <v xml:space="preserve">LYLE                     CHELSEA                  </v>
      </c>
      <c r="E15772" t="str">
        <f>"TUPELO                    "</f>
        <v xml:space="preserve">TUPELO                    </v>
      </c>
      <c r="F15772" t="str">
        <f t="shared" si="401"/>
        <v>MS</v>
      </c>
    </row>
    <row r="15773" spans="1:6" x14ac:dyDescent="0.25">
      <c r="A15773" t="str">
        <f>"200005320"</f>
        <v>200005320</v>
      </c>
      <c r="B15773" t="str">
        <f>"1821551714"</f>
        <v>1821551714</v>
      </c>
      <c r="C15773" t="str">
        <f>"207W00000X"</f>
        <v>207W00000X</v>
      </c>
      <c r="D15773" t="str">
        <f>"GLAZE                    JONATHAN                 "</f>
        <v xml:space="preserve">GLAZE                    JONATHAN                 </v>
      </c>
      <c r="E15773" t="str">
        <f>"HATTIESBURG               "</f>
        <v xml:space="preserve">HATTIESBURG               </v>
      </c>
      <c r="F15773" t="str">
        <f t="shared" si="401"/>
        <v>MS</v>
      </c>
    </row>
    <row r="15774" spans="1:6" x14ac:dyDescent="0.25">
      <c r="A15774" t="str">
        <f>"200005326"</f>
        <v>200005326</v>
      </c>
      <c r="B15774" t="str">
        <f>"1659374767"</f>
        <v>1659374767</v>
      </c>
      <c r="C15774" t="str">
        <f>"207X00000X"</f>
        <v>207X00000X</v>
      </c>
      <c r="D15774" t="str">
        <f>"AUSTIN                   SUSAN                    "</f>
        <v xml:space="preserve">AUSTIN                   SUSAN                    </v>
      </c>
      <c r="E15774" t="str">
        <f>"CLEVELAND                 "</f>
        <v xml:space="preserve">CLEVELAND                 </v>
      </c>
      <c r="F15774" t="str">
        <f t="shared" si="401"/>
        <v>MS</v>
      </c>
    </row>
    <row r="15775" spans="1:6" x14ac:dyDescent="0.25">
      <c r="A15775" t="str">
        <f>"200005328"</f>
        <v>200005328</v>
      </c>
      <c r="B15775" t="str">
        <f>"1558859884"</f>
        <v>1558859884</v>
      </c>
      <c r="C15775" t="str">
        <f>"207R00000X"</f>
        <v>207R00000X</v>
      </c>
      <c r="D15775" t="str">
        <f>"LOTT                     DAVID        E           "</f>
        <v xml:space="preserve">LOTT                     DAVID        E           </v>
      </c>
      <c r="E15775" t="str">
        <f>"MERIDIAN                  "</f>
        <v xml:space="preserve">MERIDIAN                  </v>
      </c>
      <c r="F15775" t="str">
        <f t="shared" si="401"/>
        <v>MS</v>
      </c>
    </row>
    <row r="15776" spans="1:6" x14ac:dyDescent="0.25">
      <c r="A15776" t="str">
        <f>"200005330"</f>
        <v>200005330</v>
      </c>
      <c r="B15776" t="str">
        <f>"1265155121"</f>
        <v>1265155121</v>
      </c>
      <c r="C15776" t="str">
        <f>"363L00000X"</f>
        <v>363L00000X</v>
      </c>
      <c r="D15776" t="str">
        <f>"HANNAH                   TASHA                    "</f>
        <v xml:space="preserve">HANNAH                   TASHA                    </v>
      </c>
      <c r="E15776" t="str">
        <f>"LOUISVILLE                "</f>
        <v xml:space="preserve">LOUISVILLE                </v>
      </c>
      <c r="F15776" t="str">
        <f t="shared" si="401"/>
        <v>MS</v>
      </c>
    </row>
    <row r="15777" spans="1:6" x14ac:dyDescent="0.25">
      <c r="A15777" t="str">
        <f>"200005339"</f>
        <v>200005339</v>
      </c>
      <c r="B15777" t="str">
        <f>"1437737053"</f>
        <v>1437737053</v>
      </c>
      <c r="C15777" t="str">
        <f>"1223P0221X"</f>
        <v>1223P0221X</v>
      </c>
      <c r="D15777" t="str">
        <f>"TRIEU GASKILL            SANDY        T           "</f>
        <v xml:space="preserve">TRIEU GASKILL            SANDY        T           </v>
      </c>
      <c r="E15777" t="str">
        <f>"OCEAN SPRINGS             "</f>
        <v xml:space="preserve">OCEAN SPRINGS             </v>
      </c>
      <c r="F15777" t="str">
        <f t="shared" si="401"/>
        <v>MS</v>
      </c>
    </row>
    <row r="15778" spans="1:6" x14ac:dyDescent="0.25">
      <c r="A15778" t="str">
        <f>"200005345"</f>
        <v>200005345</v>
      </c>
      <c r="B15778" t="str">
        <f>"1356044846"</f>
        <v>1356044846</v>
      </c>
      <c r="C15778" t="str">
        <f>"207Q00000X"</f>
        <v>207Q00000X</v>
      </c>
      <c r="D15778" t="str">
        <f>"SIT                      ANNA                     "</f>
        <v xml:space="preserve">SIT                      ANNA                     </v>
      </c>
      <c r="E15778" t="str">
        <f>"HATTIESBURG               "</f>
        <v xml:space="preserve">HATTIESBURG               </v>
      </c>
      <c r="F15778" t="str">
        <f t="shared" si="401"/>
        <v>MS</v>
      </c>
    </row>
    <row r="15779" spans="1:6" x14ac:dyDescent="0.25">
      <c r="A15779" t="str">
        <f>"200005357"</f>
        <v>200005357</v>
      </c>
      <c r="B15779" t="str">
        <f>"1659626448"</f>
        <v>1659626448</v>
      </c>
      <c r="C15779" t="str">
        <f>"122300000X"</f>
        <v>122300000X</v>
      </c>
      <c r="D15779" t="str">
        <f>"GARY KEELER DDS ORAL MAXILLOFACIAL SURGERY        "</f>
        <v xml:space="preserve">GARY KEELER DDS ORAL MAXILLOFACIAL SURGERY        </v>
      </c>
      <c r="E15779" t="str">
        <f>"FLOWOOD                   "</f>
        <v xml:space="preserve">FLOWOOD                   </v>
      </c>
      <c r="F15779" t="str">
        <f t="shared" si="401"/>
        <v>MS</v>
      </c>
    </row>
    <row r="15780" spans="1:6" x14ac:dyDescent="0.25">
      <c r="A15780" t="str">
        <f>"200005360"</f>
        <v>200005360</v>
      </c>
      <c r="B15780" t="str">
        <f>"1629768825"</f>
        <v>1629768825</v>
      </c>
      <c r="C15780" t="str">
        <f>"367500000X"</f>
        <v>367500000X</v>
      </c>
      <c r="D15780" t="str">
        <f>"HARVISON                 JULEKA                   "</f>
        <v xml:space="preserve">HARVISON                 JULEKA                   </v>
      </c>
      <c r="E15780" t="str">
        <f>"JACKSON                   "</f>
        <v xml:space="preserve">JACKSON                   </v>
      </c>
      <c r="F15780" t="str">
        <f t="shared" si="401"/>
        <v>MS</v>
      </c>
    </row>
    <row r="15781" spans="1:6" x14ac:dyDescent="0.25">
      <c r="A15781" t="str">
        <f>"200005361"</f>
        <v>200005361</v>
      </c>
      <c r="B15781" t="str">
        <f>"1427157551"</f>
        <v>1427157551</v>
      </c>
      <c r="C15781" t="str">
        <f>"367500000X"</f>
        <v>367500000X</v>
      </c>
      <c r="D15781" t="str">
        <f>"BLAYLOCK                 LORI         L           "</f>
        <v xml:space="preserve">BLAYLOCK                 LORI         L           </v>
      </c>
      <c r="E15781" t="str">
        <f>"OXFORD                    "</f>
        <v xml:space="preserve">OXFORD                    </v>
      </c>
      <c r="F15781" t="str">
        <f t="shared" si="401"/>
        <v>MS</v>
      </c>
    </row>
    <row r="15782" spans="1:6" x14ac:dyDescent="0.25">
      <c r="A15782" t="str">
        <f>"200005369"</f>
        <v>200005369</v>
      </c>
      <c r="B15782" t="str">
        <f>"1235821216"</f>
        <v>1235821216</v>
      </c>
      <c r="C15782" t="str">
        <f>"152W00000X"</f>
        <v>152W00000X</v>
      </c>
      <c r="D15782" t="str">
        <f>"MAGNOLIA EYE GROUP                                "</f>
        <v xml:space="preserve">MAGNOLIA EYE GROUP                                </v>
      </c>
      <c r="E15782" t="str">
        <f>"WATER VALLEY              "</f>
        <v xml:space="preserve">WATER VALLEY              </v>
      </c>
      <c r="F15782" t="str">
        <f t="shared" si="401"/>
        <v>MS</v>
      </c>
    </row>
    <row r="15783" spans="1:6" x14ac:dyDescent="0.25">
      <c r="A15783" t="str">
        <f>"200005379"</f>
        <v>200005379</v>
      </c>
      <c r="B15783" t="str">
        <f>"1366986549"</f>
        <v>1366986549</v>
      </c>
      <c r="C15783" t="str">
        <f>"363L00000X"</f>
        <v>363L00000X</v>
      </c>
      <c r="D15783" t="str">
        <f>"HAYNES                   CYNTHIA                  "</f>
        <v xml:space="preserve">HAYNES                   CYNTHIA                  </v>
      </c>
      <c r="E15783" t="str">
        <f>"JACKSON                   "</f>
        <v xml:space="preserve">JACKSON                   </v>
      </c>
      <c r="F15783" t="str">
        <f t="shared" si="401"/>
        <v>MS</v>
      </c>
    </row>
    <row r="15784" spans="1:6" x14ac:dyDescent="0.25">
      <c r="A15784" t="str">
        <f>"200005382"</f>
        <v>200005382</v>
      </c>
      <c r="B15784" t="str">
        <f>"1942988431"</f>
        <v>1942988431</v>
      </c>
      <c r="C15784" t="str">
        <f>"363L00000X"</f>
        <v>363L00000X</v>
      </c>
      <c r="D15784" t="str">
        <f>"RAWSON                   ERIN                     "</f>
        <v xml:space="preserve">RAWSON                   ERIN                     </v>
      </c>
      <c r="E15784" t="str">
        <f>"JACKSON                   "</f>
        <v xml:space="preserve">JACKSON                   </v>
      </c>
      <c r="F15784" t="str">
        <f t="shared" si="401"/>
        <v>MS</v>
      </c>
    </row>
    <row r="15785" spans="1:6" x14ac:dyDescent="0.25">
      <c r="A15785" t="str">
        <f>"200005383"</f>
        <v>200005383</v>
      </c>
      <c r="B15785" t="str">
        <f>"1215391354"</f>
        <v>1215391354</v>
      </c>
      <c r="C15785" t="str">
        <f>"207RG0100X"</f>
        <v>207RG0100X</v>
      </c>
      <c r="D15785" t="str">
        <f>"BROWN                    RODERICK                 "</f>
        <v xml:space="preserve">BROWN                    RODERICK                 </v>
      </c>
      <c r="E15785" t="str">
        <f>"MCCOMB                    "</f>
        <v xml:space="preserve">MCCOMB                    </v>
      </c>
      <c r="F15785" t="str">
        <f t="shared" si="401"/>
        <v>MS</v>
      </c>
    </row>
    <row r="15786" spans="1:6" x14ac:dyDescent="0.25">
      <c r="A15786" t="str">
        <f>"200005384"</f>
        <v>200005384</v>
      </c>
      <c r="B15786" t="str">
        <f>"1518990266"</f>
        <v>1518990266</v>
      </c>
      <c r="C15786" t="str">
        <f>"207L00000X"</f>
        <v>207L00000X</v>
      </c>
      <c r="D15786" t="str">
        <f>"SCHWARTZ                 ROBIN        H           "</f>
        <v xml:space="preserve">SCHWARTZ                 ROBIN        H           </v>
      </c>
      <c r="E15786" t="str">
        <f>"BAY SAINT LOUIS           "</f>
        <v xml:space="preserve">BAY SAINT LOUIS           </v>
      </c>
      <c r="F15786" t="str">
        <f t="shared" si="401"/>
        <v>MS</v>
      </c>
    </row>
    <row r="15787" spans="1:6" x14ac:dyDescent="0.25">
      <c r="A15787" t="str">
        <f>"200005394"</f>
        <v>200005394</v>
      </c>
      <c r="B15787" t="str">
        <f>"1952568826"</f>
        <v>1952568826</v>
      </c>
      <c r="C15787" t="str">
        <f>"363L00000X"</f>
        <v>363L00000X</v>
      </c>
      <c r="D15787" t="str">
        <f>"TOMLINSON                COURTNEY     W           "</f>
        <v xml:space="preserve">TOMLINSON                COURTNEY     W           </v>
      </c>
      <c r="E15787" t="str">
        <f>"HATTIESBURG               "</f>
        <v xml:space="preserve">HATTIESBURG               </v>
      </c>
      <c r="F15787" t="str">
        <f t="shared" si="401"/>
        <v>MS</v>
      </c>
    </row>
    <row r="15788" spans="1:6" x14ac:dyDescent="0.25">
      <c r="A15788" t="str">
        <f>"200005396"</f>
        <v>200005396</v>
      </c>
      <c r="B15788" t="str">
        <f>"1871544205"</f>
        <v>1871544205</v>
      </c>
      <c r="C15788" t="str">
        <f>"207Q00000X"</f>
        <v>207Q00000X</v>
      </c>
      <c r="D15788" t="str">
        <f>"STEPHENS                 MELISSA      R           "</f>
        <v xml:space="preserve">STEPHENS                 MELISSA      R           </v>
      </c>
      <c r="E15788" t="str">
        <f>"MERIDIAN                  "</f>
        <v xml:space="preserve">MERIDIAN                  </v>
      </c>
      <c r="F15788" t="str">
        <f t="shared" si="401"/>
        <v>MS</v>
      </c>
    </row>
    <row r="15789" spans="1:6" x14ac:dyDescent="0.25">
      <c r="A15789" t="str">
        <f>"200005407"</f>
        <v>200005407</v>
      </c>
      <c r="B15789" t="str">
        <f>"1003559113"</f>
        <v>1003559113</v>
      </c>
      <c r="C15789" t="str">
        <f>"208800000X"</f>
        <v>208800000X</v>
      </c>
      <c r="D15789" t="str">
        <f>"SMARDO                   CRAIG        L           "</f>
        <v xml:space="preserve">SMARDO                   CRAIG        L           </v>
      </c>
      <c r="E15789" t="str">
        <f>"JACKSON                   "</f>
        <v xml:space="preserve">JACKSON                   </v>
      </c>
      <c r="F15789" t="str">
        <f t="shared" si="401"/>
        <v>MS</v>
      </c>
    </row>
    <row r="15790" spans="1:6" x14ac:dyDescent="0.25">
      <c r="A15790" t="str">
        <f>"200005411"</f>
        <v>200005411</v>
      </c>
      <c r="B15790" t="str">
        <f>"1346235082"</f>
        <v>1346235082</v>
      </c>
      <c r="C15790" t="str">
        <f>"207L00000X"</f>
        <v>207L00000X</v>
      </c>
      <c r="D15790" t="str">
        <f>"LAFLEUR                  CHRISTOPHER              "</f>
        <v xml:space="preserve">LAFLEUR                  CHRISTOPHER              </v>
      </c>
      <c r="E15790" t="str">
        <f>"TUPELO                    "</f>
        <v xml:space="preserve">TUPELO                    </v>
      </c>
      <c r="F15790" t="str">
        <f t="shared" si="401"/>
        <v>MS</v>
      </c>
    </row>
    <row r="15791" spans="1:6" x14ac:dyDescent="0.25">
      <c r="A15791" t="str">
        <f>"200005416"</f>
        <v>200005416</v>
      </c>
      <c r="B15791" t="str">
        <f>"1467132290"</f>
        <v>1467132290</v>
      </c>
      <c r="C15791" t="str">
        <f>"152W00000X"</f>
        <v>152W00000X</v>
      </c>
      <c r="D15791" t="str">
        <f>"RENFROW                  AARON        T           "</f>
        <v xml:space="preserve">RENFROW                  AARON        T           </v>
      </c>
      <c r="E15791" t="str">
        <f>"BRANDON                   "</f>
        <v xml:space="preserve">BRANDON                   </v>
      </c>
      <c r="F15791" t="str">
        <f t="shared" si="401"/>
        <v>MS</v>
      </c>
    </row>
    <row r="15792" spans="1:6" x14ac:dyDescent="0.25">
      <c r="A15792" t="str">
        <f>"200005421"</f>
        <v>200005421</v>
      </c>
      <c r="B15792" t="str">
        <f>"1194187245"</f>
        <v>1194187245</v>
      </c>
      <c r="C15792" t="str">
        <f>"207Q00000X"</f>
        <v>207Q00000X</v>
      </c>
      <c r="D15792" t="str">
        <f>"AMROLLAHIE               BABAK                    "</f>
        <v xml:space="preserve">AMROLLAHIE               BABAK                    </v>
      </c>
      <c r="E15792" t="str">
        <f>"BILOXI                    "</f>
        <v xml:space="preserve">BILOXI                    </v>
      </c>
      <c r="F15792" t="str">
        <f t="shared" si="401"/>
        <v>MS</v>
      </c>
    </row>
    <row r="15793" spans="1:6" x14ac:dyDescent="0.25">
      <c r="A15793" t="str">
        <f>"200005436"</f>
        <v>200005436</v>
      </c>
      <c r="B15793" t="str">
        <f>"1013986702"</f>
        <v>1013986702</v>
      </c>
      <c r="C15793" t="str">
        <f>"207L00000X"</f>
        <v>207L00000X</v>
      </c>
      <c r="D15793" t="str">
        <f>"JONES                    JERRY                    "</f>
        <v xml:space="preserve">JONES                    JERRY                    </v>
      </c>
      <c r="E15793" t="str">
        <f>"TUPELO                    "</f>
        <v xml:space="preserve">TUPELO                    </v>
      </c>
      <c r="F15793" t="str">
        <f t="shared" si="401"/>
        <v>MS</v>
      </c>
    </row>
    <row r="15794" spans="1:6" x14ac:dyDescent="0.25">
      <c r="A15794" t="str">
        <f>"200005437"</f>
        <v>200005437</v>
      </c>
      <c r="B15794" t="str">
        <f>"1841993748"</f>
        <v>1841993748</v>
      </c>
      <c r="C15794" t="str">
        <f>"207R00000X"</f>
        <v>207R00000X</v>
      </c>
      <c r="D15794" t="str">
        <f>"BALL                     CONNER       S           "</f>
        <v xml:space="preserve">BALL                     CONNER       S           </v>
      </c>
      <c r="E15794" t="str">
        <f>"JACKSON                   "</f>
        <v xml:space="preserve">JACKSON                   </v>
      </c>
      <c r="F15794" t="str">
        <f t="shared" si="401"/>
        <v>MS</v>
      </c>
    </row>
    <row r="15795" spans="1:6" x14ac:dyDescent="0.25">
      <c r="A15795" t="str">
        <f>"200005457"</f>
        <v>200005457</v>
      </c>
      <c r="B15795" t="str">
        <f>"1215469556"</f>
        <v>1215469556</v>
      </c>
      <c r="C15795" t="str">
        <f>"207X00000X"</f>
        <v>207X00000X</v>
      </c>
      <c r="D15795" t="str">
        <f>"HOLLAND                  CHRISTOPHER  T           "</f>
        <v xml:space="preserve">HOLLAND                  CHRISTOPHER  T           </v>
      </c>
      <c r="E15795" t="str">
        <f>"SOUTHAVEN                 "</f>
        <v xml:space="preserve">SOUTHAVEN                 </v>
      </c>
      <c r="F15795" t="str">
        <f t="shared" si="401"/>
        <v>MS</v>
      </c>
    </row>
    <row r="15796" spans="1:6" x14ac:dyDescent="0.25">
      <c r="A15796" t="str">
        <f>"200005472"</f>
        <v>200005472</v>
      </c>
      <c r="B15796" t="str">
        <f>"1841920865"</f>
        <v>1841920865</v>
      </c>
      <c r="C15796" t="str">
        <f>"261QE0700X"</f>
        <v>261QE0700X</v>
      </c>
      <c r="D15796" t="str">
        <f>"RCG SENATOBIA LLC                                 "</f>
        <v xml:space="preserve">RCG SENATOBIA LLC                                 </v>
      </c>
      <c r="E15796" t="str">
        <f>"SENATOBIA                 "</f>
        <v xml:space="preserve">SENATOBIA                 </v>
      </c>
      <c r="F15796" t="str">
        <f t="shared" si="401"/>
        <v>MS</v>
      </c>
    </row>
    <row r="15797" spans="1:6" x14ac:dyDescent="0.25">
      <c r="A15797" t="str">
        <f>"200005474"</f>
        <v>200005474</v>
      </c>
      <c r="B15797" t="str">
        <f>"1588238760"</f>
        <v>1588238760</v>
      </c>
      <c r="C15797" t="str">
        <f>"261QF0400X"</f>
        <v>261QF0400X</v>
      </c>
      <c r="D15797" t="str">
        <f>"SOUTHEAST MISSISSIPPI RURAL HEALTH INITIATIVE INC "</f>
        <v xml:space="preserve">SOUTHEAST MISSISSIPPI RURAL HEALTH INITIATIVE INC </v>
      </c>
      <c r="E15797" t="str">
        <f>"HATTIESBURG               "</f>
        <v xml:space="preserve">HATTIESBURG               </v>
      </c>
      <c r="F15797" t="str">
        <f t="shared" si="401"/>
        <v>MS</v>
      </c>
    </row>
    <row r="15798" spans="1:6" x14ac:dyDescent="0.25">
      <c r="A15798" t="str">
        <f>"200005475"</f>
        <v>200005475</v>
      </c>
      <c r="B15798" t="str">
        <f>"1265068290"</f>
        <v>1265068290</v>
      </c>
      <c r="C15798" t="str">
        <f>"207Q00000X"</f>
        <v>207Q00000X</v>
      </c>
      <c r="D15798" t="str">
        <f>"HEARD-PINHO              BREANNA                  "</f>
        <v xml:space="preserve">HEARD-PINHO              BREANNA                  </v>
      </c>
      <c r="E15798" t="str">
        <f>"VICKSBURG                 "</f>
        <v xml:space="preserve">VICKSBURG                 </v>
      </c>
      <c r="F15798" t="str">
        <f t="shared" si="401"/>
        <v>MS</v>
      </c>
    </row>
    <row r="15799" spans="1:6" x14ac:dyDescent="0.25">
      <c r="A15799" t="str">
        <f>"200005476"</f>
        <v>200005476</v>
      </c>
      <c r="B15799" t="str">
        <f>"1679157028"</f>
        <v>1679157028</v>
      </c>
      <c r="C15799" t="str">
        <f>"261QF0400X"</f>
        <v>261QF0400X</v>
      </c>
      <c r="D15799" t="str">
        <f>"SOUTHEAST MISSISSIPPI RURAL HEALTH INITIATIVE INC "</f>
        <v xml:space="preserve">SOUTHEAST MISSISSIPPI RURAL HEALTH INITIATIVE INC </v>
      </c>
      <c r="E15799" t="str">
        <f>"LUMBERTON                 "</f>
        <v xml:space="preserve">LUMBERTON                 </v>
      </c>
      <c r="F15799" t="str">
        <f t="shared" si="401"/>
        <v>MS</v>
      </c>
    </row>
    <row r="15800" spans="1:6" x14ac:dyDescent="0.25">
      <c r="A15800" t="str">
        <f>"200005478"</f>
        <v>200005478</v>
      </c>
      <c r="B15800" t="str">
        <f>"1396319570"</f>
        <v>1396319570</v>
      </c>
      <c r="C15800" t="str">
        <f>"261QF0400X"</f>
        <v>261QF0400X</v>
      </c>
      <c r="D15800" t="str">
        <f>"SOUTHEAST MISSISSIPPI RURAL HEALTH INITIATIVE INC "</f>
        <v xml:space="preserve">SOUTHEAST MISSISSIPPI RURAL HEALTH INITIATIVE INC </v>
      </c>
      <c r="E15800" t="str">
        <f>"PURVIS                    "</f>
        <v xml:space="preserve">PURVIS                    </v>
      </c>
      <c r="F15800" t="str">
        <f t="shared" si="401"/>
        <v>MS</v>
      </c>
    </row>
    <row r="15801" spans="1:6" x14ac:dyDescent="0.25">
      <c r="A15801" t="str">
        <f>"200005479"</f>
        <v>200005479</v>
      </c>
      <c r="B15801" t="str">
        <f>"1790361509"</f>
        <v>1790361509</v>
      </c>
      <c r="C15801" t="str">
        <f>"261QR1300X"</f>
        <v>261QR1300X</v>
      </c>
      <c r="D15801" t="str">
        <f>"HIGHLAND FAMILY MEDICINE CLINIC                   "</f>
        <v xml:space="preserve">HIGHLAND FAMILY MEDICINE CLINIC                   </v>
      </c>
      <c r="E15801" t="str">
        <f>"PICAYUNE                  "</f>
        <v xml:space="preserve">PICAYUNE                  </v>
      </c>
      <c r="F15801" t="str">
        <f t="shared" si="401"/>
        <v>MS</v>
      </c>
    </row>
    <row r="15802" spans="1:6" x14ac:dyDescent="0.25">
      <c r="A15802" t="str">
        <f>"200005480"</f>
        <v>200005480</v>
      </c>
      <c r="B15802" t="str">
        <f>"1265918445"</f>
        <v>1265918445</v>
      </c>
      <c r="C15802" t="str">
        <f>"363L00000X"</f>
        <v>363L00000X</v>
      </c>
      <c r="D15802" t="str">
        <f>"DILLON                   SHEKINA                  "</f>
        <v xml:space="preserve">DILLON                   SHEKINA                  </v>
      </c>
      <c r="E15802" t="str">
        <f>"DIBERVILLE                "</f>
        <v xml:space="preserve">DIBERVILLE                </v>
      </c>
      <c r="F15802" t="str">
        <f t="shared" si="401"/>
        <v>MS</v>
      </c>
    </row>
    <row r="15803" spans="1:6" x14ac:dyDescent="0.25">
      <c r="A15803" t="str">
        <f>"200005483"</f>
        <v>200005483</v>
      </c>
      <c r="B15803" t="str">
        <f>"1710674155"</f>
        <v>1710674155</v>
      </c>
      <c r="C15803" t="str">
        <f>"363L00000X"</f>
        <v>363L00000X</v>
      </c>
      <c r="D15803" t="str">
        <f>"RAYBORN                  REBECCA                  "</f>
        <v xml:space="preserve">RAYBORN                  REBECCA                  </v>
      </c>
      <c r="E15803" t="str">
        <f>"SUMMIT                    "</f>
        <v xml:space="preserve">SUMMIT                    </v>
      </c>
      <c r="F15803" t="str">
        <f t="shared" si="401"/>
        <v>MS</v>
      </c>
    </row>
    <row r="15804" spans="1:6" x14ac:dyDescent="0.25">
      <c r="A15804" t="str">
        <f>"200005484"</f>
        <v>200005484</v>
      </c>
      <c r="B15804" t="str">
        <f>"1861195463"</f>
        <v>1861195463</v>
      </c>
      <c r="C15804" t="str">
        <f>"207Q00000X"</f>
        <v>207Q00000X</v>
      </c>
      <c r="D15804" t="str">
        <f>"BLOOMINGBURG             HENRY                    "</f>
        <v xml:space="preserve">BLOOMINGBURG             HENRY                    </v>
      </c>
      <c r="E15804" t="str">
        <f>"HATTIESBURG               "</f>
        <v xml:space="preserve">HATTIESBURG               </v>
      </c>
      <c r="F15804" t="str">
        <f t="shared" si="401"/>
        <v>MS</v>
      </c>
    </row>
    <row r="15805" spans="1:6" x14ac:dyDescent="0.25">
      <c r="A15805" t="str">
        <f>"200005488"</f>
        <v>200005488</v>
      </c>
      <c r="B15805" t="str">
        <f>"1114611209"</f>
        <v>1114611209</v>
      </c>
      <c r="C15805" t="str">
        <f>"363L00000X"</f>
        <v>363L00000X</v>
      </c>
      <c r="D15805" t="str">
        <f>"SPEARMAN                 MARECIA                  "</f>
        <v xml:space="preserve">SPEARMAN                 MARECIA                  </v>
      </c>
      <c r="E15805" t="str">
        <f>"OXFORD                    "</f>
        <v xml:space="preserve">OXFORD                    </v>
      </c>
      <c r="F15805" t="str">
        <f t="shared" si="401"/>
        <v>MS</v>
      </c>
    </row>
    <row r="15806" spans="1:6" x14ac:dyDescent="0.25">
      <c r="A15806" t="str">
        <f>"200005489"</f>
        <v>200005489</v>
      </c>
      <c r="B15806" t="str">
        <f>"1003377003"</f>
        <v>1003377003</v>
      </c>
      <c r="C15806" t="str">
        <f>"207R00000X"</f>
        <v>207R00000X</v>
      </c>
      <c r="D15806" t="str">
        <f>"METCALF                  SAMUEL       G           "</f>
        <v xml:space="preserve">METCALF                  SAMUEL       G           </v>
      </c>
      <c r="E15806" t="str">
        <f>"NEW ALBANY                "</f>
        <v xml:space="preserve">NEW ALBANY                </v>
      </c>
      <c r="F15806" t="str">
        <f t="shared" ref="F15806:F15869" si="402">"MS"</f>
        <v>MS</v>
      </c>
    </row>
    <row r="15807" spans="1:6" x14ac:dyDescent="0.25">
      <c r="A15807" t="str">
        <f>"200005501"</f>
        <v>200005501</v>
      </c>
      <c r="B15807" t="str">
        <f>"1316387863"</f>
        <v>1316387863</v>
      </c>
      <c r="C15807" t="str">
        <f>"367A00000X"</f>
        <v>367A00000X</v>
      </c>
      <c r="D15807" t="str">
        <f>"SABATIER                 KATHERINE                "</f>
        <v xml:space="preserve">SABATIER                 KATHERINE                </v>
      </c>
      <c r="E15807" t="str">
        <f>"OXFORD                    "</f>
        <v xml:space="preserve">OXFORD                    </v>
      </c>
      <c r="F15807" t="str">
        <f t="shared" si="402"/>
        <v>MS</v>
      </c>
    </row>
    <row r="15808" spans="1:6" x14ac:dyDescent="0.25">
      <c r="A15808" t="str">
        <f>"200005504"</f>
        <v>200005504</v>
      </c>
      <c r="B15808" t="str">
        <f>"1164031373"</f>
        <v>1164031373</v>
      </c>
      <c r="C15808" t="str">
        <f>"207Q00000X"</f>
        <v>207Q00000X</v>
      </c>
      <c r="D15808" t="str">
        <f>"REDDY                    ROHITH       V           "</f>
        <v xml:space="preserve">REDDY                    ROHITH       V           </v>
      </c>
      <c r="E15808" t="str">
        <f>"RULEVILLE                 "</f>
        <v xml:space="preserve">RULEVILLE                 </v>
      </c>
      <c r="F15808" t="str">
        <f t="shared" si="402"/>
        <v>MS</v>
      </c>
    </row>
    <row r="15809" spans="1:6" x14ac:dyDescent="0.25">
      <c r="A15809" t="str">
        <f>"200005505"</f>
        <v>200005505</v>
      </c>
      <c r="B15809" t="str">
        <f>"1295427417"</f>
        <v>1295427417</v>
      </c>
      <c r="C15809" t="str">
        <f>"363L00000X"</f>
        <v>363L00000X</v>
      </c>
      <c r="D15809" t="str">
        <f>"SAGELY                   ROSANNA                  "</f>
        <v xml:space="preserve">SAGELY                   ROSANNA                  </v>
      </c>
      <c r="E15809" t="str">
        <f>"SOUTHAVEN                 "</f>
        <v xml:space="preserve">SOUTHAVEN                 </v>
      </c>
      <c r="F15809" t="str">
        <f t="shared" si="402"/>
        <v>MS</v>
      </c>
    </row>
    <row r="15810" spans="1:6" x14ac:dyDescent="0.25">
      <c r="A15810" t="str">
        <f>"200005513"</f>
        <v>200005513</v>
      </c>
      <c r="B15810" t="str">
        <f>"1801277363"</f>
        <v>1801277363</v>
      </c>
      <c r="C15810" t="str">
        <f>"207P00000X"</f>
        <v>207P00000X</v>
      </c>
      <c r="D15810" t="str">
        <f>"O'BANNER                 JEFFREY                  "</f>
        <v xml:space="preserve">O'BANNER                 JEFFREY                  </v>
      </c>
      <c r="E15810" t="str">
        <f>"YAZOO CITY                "</f>
        <v xml:space="preserve">YAZOO CITY                </v>
      </c>
      <c r="F15810" t="str">
        <f t="shared" si="402"/>
        <v>MS</v>
      </c>
    </row>
    <row r="15811" spans="1:6" x14ac:dyDescent="0.25">
      <c r="A15811" t="str">
        <f>"200005514"</f>
        <v>200005514</v>
      </c>
      <c r="B15811" t="str">
        <f>"1619682895"</f>
        <v>1619682895</v>
      </c>
      <c r="C15811" t="str">
        <f>"363L00000X"</f>
        <v>363L00000X</v>
      </c>
      <c r="D15811" t="str">
        <f>"WILLIAMS                 JIMWESLEY                "</f>
        <v xml:space="preserve">WILLIAMS                 JIMWESLEY                </v>
      </c>
      <c r="E15811" t="str">
        <f>"JACKSON                   "</f>
        <v xml:space="preserve">JACKSON                   </v>
      </c>
      <c r="F15811" t="str">
        <f t="shared" si="402"/>
        <v>MS</v>
      </c>
    </row>
    <row r="15812" spans="1:6" x14ac:dyDescent="0.25">
      <c r="A15812" t="str">
        <f>"200005515"</f>
        <v>200005515</v>
      </c>
      <c r="B15812" t="str">
        <f>"1316574585"</f>
        <v>1316574585</v>
      </c>
      <c r="C15812" t="str">
        <f>"207P00000X"</f>
        <v>207P00000X</v>
      </c>
      <c r="D15812" t="str">
        <f>"LAMBERT                  JOELLA                   "</f>
        <v xml:space="preserve">LAMBERT                  JOELLA                   </v>
      </c>
      <c r="E15812" t="str">
        <f>"OXFORD                    "</f>
        <v xml:space="preserve">OXFORD                    </v>
      </c>
      <c r="F15812" t="str">
        <f t="shared" si="402"/>
        <v>MS</v>
      </c>
    </row>
    <row r="15813" spans="1:6" x14ac:dyDescent="0.25">
      <c r="A15813" t="str">
        <f>"200005522"</f>
        <v>200005522</v>
      </c>
      <c r="B15813" t="str">
        <f>"1700886090"</f>
        <v>1700886090</v>
      </c>
      <c r="C15813" t="str">
        <f>"208000000X"</f>
        <v>208000000X</v>
      </c>
      <c r="D15813" t="str">
        <f>"BAUCH                    STEPHEN      T           "</f>
        <v xml:space="preserve">BAUCH                    STEPHEN      T           </v>
      </c>
      <c r="E15813" t="str">
        <f>"SOUTHAVEN                 "</f>
        <v xml:space="preserve">SOUTHAVEN                 </v>
      </c>
      <c r="F15813" t="str">
        <f t="shared" si="402"/>
        <v>MS</v>
      </c>
    </row>
    <row r="15814" spans="1:6" x14ac:dyDescent="0.25">
      <c r="A15814" t="str">
        <f>"200005556"</f>
        <v>200005556</v>
      </c>
      <c r="B15814" t="str">
        <f>"1649836826"</f>
        <v>1649836826</v>
      </c>
      <c r="C15814" t="str">
        <f>"367500000X"</f>
        <v>367500000X</v>
      </c>
      <c r="D15814" t="str">
        <f>"HENDON                   RACHEL       N           "</f>
        <v xml:space="preserve">HENDON                   RACHEL       N           </v>
      </c>
      <c r="E15814" t="str">
        <f>"JACKSON                   "</f>
        <v xml:space="preserve">JACKSON                   </v>
      </c>
      <c r="F15814" t="str">
        <f t="shared" si="402"/>
        <v>MS</v>
      </c>
    </row>
    <row r="15815" spans="1:6" x14ac:dyDescent="0.25">
      <c r="A15815" t="str">
        <f>"200005561"</f>
        <v>200005561</v>
      </c>
      <c r="B15815" t="str">
        <f>"1831194471"</f>
        <v>1831194471</v>
      </c>
      <c r="C15815" t="str">
        <f>"207Q00000X"</f>
        <v>207Q00000X</v>
      </c>
      <c r="D15815" t="str">
        <f>"JENSEN                   PETER        J           "</f>
        <v xml:space="preserve">JENSEN                   PETER        J           </v>
      </c>
      <c r="E15815" t="str">
        <f>"HATTIESBURG               "</f>
        <v xml:space="preserve">HATTIESBURG               </v>
      </c>
      <c r="F15815" t="str">
        <f t="shared" si="402"/>
        <v>MS</v>
      </c>
    </row>
    <row r="15816" spans="1:6" x14ac:dyDescent="0.25">
      <c r="A15816" t="str">
        <f>"200005565"</f>
        <v>200005565</v>
      </c>
      <c r="B15816" t="str">
        <f>"1306475876"</f>
        <v>1306475876</v>
      </c>
      <c r="C15816" t="str">
        <f>"207N00000X"</f>
        <v>207N00000X</v>
      </c>
      <c r="D15816" t="str">
        <f>"POWERS                   COLLEEN                  "</f>
        <v xml:space="preserve">POWERS                   COLLEEN                  </v>
      </c>
      <c r="E15816" t="str">
        <f>"JACKSON                   "</f>
        <v xml:space="preserve">JACKSON                   </v>
      </c>
      <c r="F15816" t="str">
        <f t="shared" si="402"/>
        <v>MS</v>
      </c>
    </row>
    <row r="15817" spans="1:6" x14ac:dyDescent="0.25">
      <c r="A15817" t="str">
        <f>"200005568"</f>
        <v>200005568</v>
      </c>
      <c r="B15817" t="str">
        <f>"1255874368"</f>
        <v>1255874368</v>
      </c>
      <c r="C15817" t="str">
        <f>"152W00000X"</f>
        <v>152W00000X</v>
      </c>
      <c r="D15817" t="str">
        <f>"WILSON                   JOSHUA       H           "</f>
        <v xml:space="preserve">WILSON                   JOSHUA       H           </v>
      </c>
      <c r="E15817" t="str">
        <f>"TUPELO                    "</f>
        <v xml:space="preserve">TUPELO                    </v>
      </c>
      <c r="F15817" t="str">
        <f t="shared" si="402"/>
        <v>MS</v>
      </c>
    </row>
    <row r="15818" spans="1:6" x14ac:dyDescent="0.25">
      <c r="A15818" t="str">
        <f>"200005604"</f>
        <v>200005604</v>
      </c>
      <c r="B15818" t="str">
        <f>"1417503350"</f>
        <v>1417503350</v>
      </c>
      <c r="C15818" t="str">
        <f>"363A00000X"</f>
        <v>363A00000X</v>
      </c>
      <c r="D15818" t="str">
        <f>"WILSON                   ALAINA       E           "</f>
        <v xml:space="preserve">WILSON                   ALAINA       E           </v>
      </c>
      <c r="E15818" t="str">
        <f>"JACKSON                   "</f>
        <v xml:space="preserve">JACKSON                   </v>
      </c>
      <c r="F15818" t="str">
        <f t="shared" si="402"/>
        <v>MS</v>
      </c>
    </row>
    <row r="15819" spans="1:6" x14ac:dyDescent="0.25">
      <c r="A15819" t="str">
        <f>"200005629"</f>
        <v>200005629</v>
      </c>
      <c r="B15819" t="str">
        <f>"1922102219"</f>
        <v>1922102219</v>
      </c>
      <c r="C15819" t="str">
        <f>"207RC0000X"</f>
        <v>207RC0000X</v>
      </c>
      <c r="D15819" t="str">
        <f>"SANGANI                  BHARAT       H           "</f>
        <v xml:space="preserve">SANGANI                  BHARAT       H           </v>
      </c>
      <c r="E15819" t="str">
        <f>"GULFPORT                  "</f>
        <v xml:space="preserve">GULFPORT                  </v>
      </c>
      <c r="F15819" t="str">
        <f t="shared" si="402"/>
        <v>MS</v>
      </c>
    </row>
    <row r="15820" spans="1:6" x14ac:dyDescent="0.25">
      <c r="A15820" t="str">
        <f>"200005642"</f>
        <v>200005642</v>
      </c>
      <c r="B15820" t="str">
        <f>"1174511794"</f>
        <v>1174511794</v>
      </c>
      <c r="C15820" t="str">
        <f>"207Q00000X"</f>
        <v>207Q00000X</v>
      </c>
      <c r="D15820" t="str">
        <f>"ABRAHAM                  MATTHEW                  "</f>
        <v xml:space="preserve">ABRAHAM                  MATTHEW                  </v>
      </c>
      <c r="E15820" t="str">
        <f>"GULFPORT                  "</f>
        <v xml:space="preserve">GULFPORT                  </v>
      </c>
      <c r="F15820" t="str">
        <f t="shared" si="402"/>
        <v>MS</v>
      </c>
    </row>
    <row r="15821" spans="1:6" x14ac:dyDescent="0.25">
      <c r="A15821" t="str">
        <f>"200005666"</f>
        <v>200005666</v>
      </c>
      <c r="B15821" t="str">
        <f>"1588293385"</f>
        <v>1588293385</v>
      </c>
      <c r="C15821" t="str">
        <f>"207R00000X"</f>
        <v>207R00000X</v>
      </c>
      <c r="D15821" t="str">
        <f>"MCCAIN                   MICHAEL                  "</f>
        <v xml:space="preserve">MCCAIN                   MICHAEL                  </v>
      </c>
      <c r="E15821" t="str">
        <f>"LAUREL                    "</f>
        <v xml:space="preserve">LAUREL                    </v>
      </c>
      <c r="F15821" t="str">
        <f t="shared" si="402"/>
        <v>MS</v>
      </c>
    </row>
    <row r="15822" spans="1:6" x14ac:dyDescent="0.25">
      <c r="A15822" t="str">
        <f>"200005670"</f>
        <v>200005670</v>
      </c>
      <c r="B15822" t="str">
        <f>"1427673532"</f>
        <v>1427673532</v>
      </c>
      <c r="C15822" t="str">
        <f>"207Q00000X"</f>
        <v>207Q00000X</v>
      </c>
      <c r="D15822" t="str">
        <f>"FRATESI                  GARRETT      A           "</f>
        <v xml:space="preserve">FRATESI                  GARRETT      A           </v>
      </c>
      <c r="E15822" t="str">
        <f>"DIAMONDHEAD               "</f>
        <v xml:space="preserve">DIAMONDHEAD               </v>
      </c>
      <c r="F15822" t="str">
        <f t="shared" si="402"/>
        <v>MS</v>
      </c>
    </row>
    <row r="15823" spans="1:6" x14ac:dyDescent="0.25">
      <c r="A15823" t="str">
        <f>"200005677"</f>
        <v>200005677</v>
      </c>
      <c r="B15823" t="str">
        <f>"1184961054"</f>
        <v>1184961054</v>
      </c>
      <c r="C15823" t="str">
        <f>"363L00000X"</f>
        <v>363L00000X</v>
      </c>
      <c r="D15823" t="str">
        <f>"PARNELL                  NORMAN                   "</f>
        <v xml:space="preserve">PARNELL                  NORMAN                   </v>
      </c>
      <c r="E15823" t="str">
        <f>"LUCEDALE                  "</f>
        <v xml:space="preserve">LUCEDALE                  </v>
      </c>
      <c r="F15823" t="str">
        <f t="shared" si="402"/>
        <v>MS</v>
      </c>
    </row>
    <row r="15824" spans="1:6" x14ac:dyDescent="0.25">
      <c r="A15824" t="str">
        <f>"200005689"</f>
        <v>200005689</v>
      </c>
      <c r="B15824" t="str">
        <f>"1861920423"</f>
        <v>1861920423</v>
      </c>
      <c r="C15824" t="str">
        <f>"207X00000X"</f>
        <v>207X00000X</v>
      </c>
      <c r="D15824" t="str">
        <f>"LENSING                  GABRIEL                  "</f>
        <v xml:space="preserve">LENSING                  GABRIEL                  </v>
      </c>
      <c r="E15824" t="str">
        <f>"TUPELO                    "</f>
        <v xml:space="preserve">TUPELO                    </v>
      </c>
      <c r="F15824" t="str">
        <f t="shared" si="402"/>
        <v>MS</v>
      </c>
    </row>
    <row r="15825" spans="1:6" x14ac:dyDescent="0.25">
      <c r="A15825" t="str">
        <f>"200005691"</f>
        <v>200005691</v>
      </c>
      <c r="B15825" t="str">
        <f>"1780145771"</f>
        <v>1780145771</v>
      </c>
      <c r="C15825" t="str">
        <f>"207R00000X"</f>
        <v>207R00000X</v>
      </c>
      <c r="D15825" t="str">
        <f>"SIRAJ                    TALHA                    "</f>
        <v xml:space="preserve">SIRAJ                    TALHA                    </v>
      </c>
      <c r="E15825" t="str">
        <f>"CORINTH                   "</f>
        <v xml:space="preserve">CORINTH                   </v>
      </c>
      <c r="F15825" t="str">
        <f t="shared" si="402"/>
        <v>MS</v>
      </c>
    </row>
    <row r="15826" spans="1:6" x14ac:dyDescent="0.25">
      <c r="A15826" t="str">
        <f>"200005697"</f>
        <v>200005697</v>
      </c>
      <c r="B15826" t="str">
        <f>"1790437895"</f>
        <v>1790437895</v>
      </c>
      <c r="C15826" t="str">
        <f>"363L00000X"</f>
        <v>363L00000X</v>
      </c>
      <c r="D15826" t="str">
        <f>"DOWNS                    LENORA                   "</f>
        <v xml:space="preserve">DOWNS                    LENORA                   </v>
      </c>
      <c r="E15826" t="str">
        <f>"FLOWOOD                   "</f>
        <v xml:space="preserve">FLOWOOD                   </v>
      </c>
      <c r="F15826" t="str">
        <f t="shared" si="402"/>
        <v>MS</v>
      </c>
    </row>
    <row r="15827" spans="1:6" x14ac:dyDescent="0.25">
      <c r="A15827" t="str">
        <f>"200005716"</f>
        <v>200005716</v>
      </c>
      <c r="B15827" t="str">
        <f>"1912428590"</f>
        <v>1912428590</v>
      </c>
      <c r="C15827" t="str">
        <f>"2080P0006X"</f>
        <v>2080P0006X</v>
      </c>
      <c r="D15827" t="str">
        <f>"STAUFERT-GUTIERREZ       DENISSE                  "</f>
        <v xml:space="preserve">STAUFERT-GUTIERREZ       DENISSE                  </v>
      </c>
      <c r="E15827" t="str">
        <f>"JACKSON                   "</f>
        <v xml:space="preserve">JACKSON                   </v>
      </c>
      <c r="F15827" t="str">
        <f t="shared" si="402"/>
        <v>MS</v>
      </c>
    </row>
    <row r="15828" spans="1:6" x14ac:dyDescent="0.25">
      <c r="A15828" t="str">
        <f>"200005721"</f>
        <v>200005721</v>
      </c>
      <c r="B15828" t="str">
        <f>"1861926461"</f>
        <v>1861926461</v>
      </c>
      <c r="C15828" t="str">
        <f>"207Q00000X"</f>
        <v>207Q00000X</v>
      </c>
      <c r="D15828" t="str">
        <f>"PRINCE                   BENJAMIN                 "</f>
        <v xml:space="preserve">PRINCE                   BENJAMIN                 </v>
      </c>
      <c r="E15828" t="str">
        <f>"OCEAN SPRINGS             "</f>
        <v xml:space="preserve">OCEAN SPRINGS             </v>
      </c>
      <c r="F15828" t="str">
        <f t="shared" si="402"/>
        <v>MS</v>
      </c>
    </row>
    <row r="15829" spans="1:6" x14ac:dyDescent="0.25">
      <c r="A15829" t="str">
        <f>"200005727"</f>
        <v>200005727</v>
      </c>
      <c r="B15829" t="str">
        <f>"1477245538"</f>
        <v>1477245538</v>
      </c>
      <c r="C15829" t="str">
        <f>"261QF0400X"</f>
        <v>261QF0400X</v>
      </c>
      <c r="D15829" t="str">
        <f>"ARCARE                                            "</f>
        <v xml:space="preserve">ARCARE                                            </v>
      </c>
      <c r="E15829" t="str">
        <f>"TUPELO                    "</f>
        <v xml:space="preserve">TUPELO                    </v>
      </c>
      <c r="F15829" t="str">
        <f t="shared" si="402"/>
        <v>MS</v>
      </c>
    </row>
    <row r="15830" spans="1:6" x14ac:dyDescent="0.25">
      <c r="A15830" t="str">
        <f>"200005739"</f>
        <v>200005739</v>
      </c>
      <c r="B15830" t="str">
        <f>"1841859998"</f>
        <v>1841859998</v>
      </c>
      <c r="C15830" t="str">
        <f>"207V00000X"</f>
        <v>207V00000X</v>
      </c>
      <c r="D15830" t="str">
        <f>"MCCOOL                   HALEY        W           "</f>
        <v xml:space="preserve">MCCOOL                   HALEY        W           </v>
      </c>
      <c r="E15830" t="str">
        <f>"BILOXI                    "</f>
        <v xml:space="preserve">BILOXI                    </v>
      </c>
      <c r="F15830" t="str">
        <f t="shared" si="402"/>
        <v>MS</v>
      </c>
    </row>
    <row r="15831" spans="1:6" x14ac:dyDescent="0.25">
      <c r="A15831" t="str">
        <f>"200005744"</f>
        <v>200005744</v>
      </c>
      <c r="B15831" t="str">
        <f>"1831165158"</f>
        <v>1831165158</v>
      </c>
      <c r="C15831" t="str">
        <f>"207R00000X"</f>
        <v>207R00000X</v>
      </c>
      <c r="D15831" t="str">
        <f>"SNOW                     STEVEN                   "</f>
        <v xml:space="preserve">SNOW                     STEVEN                   </v>
      </c>
      <c r="E15831" t="str">
        <f>"CORINTH                   "</f>
        <v xml:space="preserve">CORINTH                   </v>
      </c>
      <c r="F15831" t="str">
        <f t="shared" si="402"/>
        <v>MS</v>
      </c>
    </row>
    <row r="15832" spans="1:6" x14ac:dyDescent="0.25">
      <c r="A15832" t="str">
        <f>"200005750"</f>
        <v>200005750</v>
      </c>
      <c r="B15832" t="str">
        <f>"1548202385"</f>
        <v>1548202385</v>
      </c>
      <c r="C15832" t="str">
        <f>"2085R0202X"</f>
        <v>2085R0202X</v>
      </c>
      <c r="D15832" t="str">
        <f>"BARROW III               VERNON       W           "</f>
        <v xml:space="preserve">BARROW III               VERNON       W           </v>
      </c>
      <c r="E15832" t="str">
        <f>"CALHOUN CITY              "</f>
        <v xml:space="preserve">CALHOUN CITY              </v>
      </c>
      <c r="F15832" t="str">
        <f t="shared" si="402"/>
        <v>MS</v>
      </c>
    </row>
    <row r="15833" spans="1:6" x14ac:dyDescent="0.25">
      <c r="A15833" t="str">
        <f>"200005755"</f>
        <v>200005755</v>
      </c>
      <c r="B15833" t="str">
        <f>"1619661410"</f>
        <v>1619661410</v>
      </c>
      <c r="C15833" t="str">
        <f>"363L00000X"</f>
        <v>363L00000X</v>
      </c>
      <c r="D15833" t="str">
        <f>"LEWIS                    CHRISTY      D           "</f>
        <v xml:space="preserve">LEWIS                    CHRISTY      D           </v>
      </c>
      <c r="E15833" t="str">
        <f>"FLOWOOD                   "</f>
        <v xml:space="preserve">FLOWOOD                   </v>
      </c>
      <c r="F15833" t="str">
        <f t="shared" si="402"/>
        <v>MS</v>
      </c>
    </row>
    <row r="15834" spans="1:6" x14ac:dyDescent="0.25">
      <c r="A15834" t="str">
        <f>"200005756"</f>
        <v>200005756</v>
      </c>
      <c r="B15834" t="str">
        <f>"1114472115"</f>
        <v>1114472115</v>
      </c>
      <c r="C15834" t="str">
        <f>"2080P0203X"</f>
        <v>2080P0203X</v>
      </c>
      <c r="D15834" t="str">
        <f>"HAMED                    AHMAD                    "</f>
        <v xml:space="preserve">HAMED                    AHMAD                    </v>
      </c>
      <c r="E15834" t="str">
        <f>"JACKSON                   "</f>
        <v xml:space="preserve">JACKSON                   </v>
      </c>
      <c r="F15834" t="str">
        <f t="shared" si="402"/>
        <v>MS</v>
      </c>
    </row>
    <row r="15835" spans="1:6" x14ac:dyDescent="0.25">
      <c r="A15835" t="str">
        <f>"200005757"</f>
        <v>200005757</v>
      </c>
      <c r="B15835" t="str">
        <f>"1386772283"</f>
        <v>1386772283</v>
      </c>
      <c r="C15835" t="str">
        <f>"363L00000X"</f>
        <v>363L00000X</v>
      </c>
      <c r="D15835" t="str">
        <f>"PURVIS                   CHERRYL      D           "</f>
        <v xml:space="preserve">PURVIS                   CHERRYL      D           </v>
      </c>
      <c r="E15835" t="str">
        <f>"GULFPORT                  "</f>
        <v xml:space="preserve">GULFPORT                  </v>
      </c>
      <c r="F15835" t="str">
        <f t="shared" si="402"/>
        <v>MS</v>
      </c>
    </row>
    <row r="15836" spans="1:6" x14ac:dyDescent="0.25">
      <c r="A15836" t="str">
        <f>"200005762"</f>
        <v>200005762</v>
      </c>
      <c r="B15836" t="str">
        <f>"1174594675"</f>
        <v>1174594675</v>
      </c>
      <c r="C15836" t="str">
        <f>"207WX0107X"</f>
        <v>207WX0107X</v>
      </c>
      <c r="D15836" t="str">
        <f>"PROPES                   BRYAN                    "</f>
        <v xml:space="preserve">PROPES                   BRYAN                    </v>
      </c>
      <c r="E15836" t="str">
        <f>"JACKSON                   "</f>
        <v xml:space="preserve">JACKSON                   </v>
      </c>
      <c r="F15836" t="str">
        <f t="shared" si="402"/>
        <v>MS</v>
      </c>
    </row>
    <row r="15837" spans="1:6" x14ac:dyDescent="0.25">
      <c r="A15837" t="str">
        <f>"200005767"</f>
        <v>200005767</v>
      </c>
      <c r="B15837" t="str">
        <f>"1679673917"</f>
        <v>1679673917</v>
      </c>
      <c r="C15837" t="str">
        <f>"261QF0400X"</f>
        <v>261QF0400X</v>
      </c>
      <c r="D15837" t="str">
        <f>"INDIANOLA CLINIC LLC, DBA LELAND MEDICAL CLINIC   "</f>
        <v xml:space="preserve">INDIANOLA CLINIC LLC, DBA LELAND MEDICAL CLINIC   </v>
      </c>
      <c r="E15837" t="str">
        <f>"LELAND                    "</f>
        <v xml:space="preserve">LELAND                    </v>
      </c>
      <c r="F15837" t="str">
        <f t="shared" si="402"/>
        <v>MS</v>
      </c>
    </row>
    <row r="15838" spans="1:6" x14ac:dyDescent="0.25">
      <c r="A15838" t="str">
        <f>"200005772"</f>
        <v>200005772</v>
      </c>
      <c r="B15838" t="str">
        <f>"1700918729"</f>
        <v>1700918729</v>
      </c>
      <c r="C15838" t="str">
        <f>"152W00000X"</f>
        <v>152W00000X</v>
      </c>
      <c r="D15838" t="str">
        <f>"BROWN                    CHRISTINA                "</f>
        <v xml:space="preserve">BROWN                    CHRISTINA                </v>
      </c>
      <c r="E15838" t="str">
        <f>"BYHALIA                   "</f>
        <v xml:space="preserve">BYHALIA                   </v>
      </c>
      <c r="F15838" t="str">
        <f t="shared" si="402"/>
        <v>MS</v>
      </c>
    </row>
    <row r="15839" spans="1:6" x14ac:dyDescent="0.25">
      <c r="A15839" t="str">
        <f>"200005775"</f>
        <v>200005775</v>
      </c>
      <c r="B15839" t="str">
        <f>"1295419257"</f>
        <v>1295419257</v>
      </c>
      <c r="C15839" t="str">
        <f>"363L00000X"</f>
        <v>363L00000X</v>
      </c>
      <c r="D15839" t="str">
        <f>"MILLER                   ALICIA                   "</f>
        <v xml:space="preserve">MILLER                   ALICIA                   </v>
      </c>
      <c r="E15839" t="str">
        <f>"PONTOTOC                  "</f>
        <v xml:space="preserve">PONTOTOC                  </v>
      </c>
      <c r="F15839" t="str">
        <f t="shared" si="402"/>
        <v>MS</v>
      </c>
    </row>
    <row r="15840" spans="1:6" x14ac:dyDescent="0.25">
      <c r="A15840" t="str">
        <f>"200005783"</f>
        <v>200005783</v>
      </c>
      <c r="B15840" t="str">
        <f>"1033829486"</f>
        <v>1033829486</v>
      </c>
      <c r="C15840" t="str">
        <f>"363L00000X"</f>
        <v>363L00000X</v>
      </c>
      <c r="D15840" t="str">
        <f>"EMRICK                   CHARLES      H           "</f>
        <v xml:space="preserve">EMRICK                   CHARLES      H           </v>
      </c>
      <c r="E15840" t="str">
        <f>"WEST POINT                "</f>
        <v xml:space="preserve">WEST POINT                </v>
      </c>
      <c r="F15840" t="str">
        <f t="shared" si="402"/>
        <v>MS</v>
      </c>
    </row>
    <row r="15841" spans="1:6" x14ac:dyDescent="0.25">
      <c r="A15841" t="str">
        <f>"200005789"</f>
        <v>200005789</v>
      </c>
      <c r="B15841" t="str">
        <f>"1821037177"</f>
        <v>1821037177</v>
      </c>
      <c r="C15841" t="str">
        <f>"2085R0202X"</f>
        <v>2085R0202X</v>
      </c>
      <c r="D15841" t="str">
        <f>"HOWARD                   JEFFREY      C           "</f>
        <v xml:space="preserve">HOWARD                   JEFFREY      C           </v>
      </c>
      <c r="E15841" t="str">
        <f>"CALHOUN CITY              "</f>
        <v xml:space="preserve">CALHOUN CITY              </v>
      </c>
      <c r="F15841" t="str">
        <f t="shared" si="402"/>
        <v>MS</v>
      </c>
    </row>
    <row r="15842" spans="1:6" x14ac:dyDescent="0.25">
      <c r="A15842" t="str">
        <f>"200005790"</f>
        <v>200005790</v>
      </c>
      <c r="B15842" t="str">
        <f>"1508224775"</f>
        <v>1508224775</v>
      </c>
      <c r="C15842" t="str">
        <f>"363A00000X"</f>
        <v>363A00000X</v>
      </c>
      <c r="D15842" t="str">
        <f>"YOUNG                    JORDAN                   "</f>
        <v xml:space="preserve">YOUNG                    JORDAN                   </v>
      </c>
      <c r="E15842" t="str">
        <f>"TUPELO                    "</f>
        <v xml:space="preserve">TUPELO                    </v>
      </c>
      <c r="F15842" t="str">
        <f t="shared" si="402"/>
        <v>MS</v>
      </c>
    </row>
    <row r="15843" spans="1:6" x14ac:dyDescent="0.25">
      <c r="A15843" t="str">
        <f>"200005791"</f>
        <v>200005791</v>
      </c>
      <c r="B15843" t="str">
        <f>"1851076541"</f>
        <v>1851076541</v>
      </c>
      <c r="C15843" t="str">
        <f>"207RN0300X"</f>
        <v>207RN0300X</v>
      </c>
      <c r="D15843" t="str">
        <f>"RAUT                     ANURADHA                 "</f>
        <v xml:space="preserve">RAUT                     ANURADHA                 </v>
      </c>
      <c r="E15843" t="str">
        <f>"JACKSON                   "</f>
        <v xml:space="preserve">JACKSON                   </v>
      </c>
      <c r="F15843" t="str">
        <f t="shared" si="402"/>
        <v>MS</v>
      </c>
    </row>
    <row r="15844" spans="1:6" x14ac:dyDescent="0.25">
      <c r="A15844" t="str">
        <f>"200005799"</f>
        <v>200005799</v>
      </c>
      <c r="B15844" t="str">
        <f>"1982389052"</f>
        <v>1982389052</v>
      </c>
      <c r="C15844" t="str">
        <f>"363L00000X"</f>
        <v>363L00000X</v>
      </c>
      <c r="D15844" t="str">
        <f>"CHISOLM                  KELSIE                   "</f>
        <v xml:space="preserve">CHISOLM                  KELSIE                   </v>
      </c>
      <c r="E15844" t="str">
        <f>"MERIDIAN                  "</f>
        <v xml:space="preserve">MERIDIAN                  </v>
      </c>
      <c r="F15844" t="str">
        <f t="shared" si="402"/>
        <v>MS</v>
      </c>
    </row>
    <row r="15845" spans="1:6" x14ac:dyDescent="0.25">
      <c r="A15845" t="str">
        <f>"200005804"</f>
        <v>200005804</v>
      </c>
      <c r="B15845" t="str">
        <f>"1912571183"</f>
        <v>1912571183</v>
      </c>
      <c r="C15845" t="str">
        <f>"261QF0400X"</f>
        <v>261QF0400X</v>
      </c>
      <c r="D15845" t="str">
        <f>"SOUTHEAST MISSISSIPPI RURAL HEALTH INITIATIVE INC "</f>
        <v xml:space="preserve">SOUTHEAST MISSISSIPPI RURAL HEALTH INITIATIVE INC </v>
      </c>
      <c r="E15845" t="str">
        <f>"SUMRALL                   "</f>
        <v xml:space="preserve">SUMRALL                   </v>
      </c>
      <c r="F15845" t="str">
        <f t="shared" si="402"/>
        <v>MS</v>
      </c>
    </row>
    <row r="15846" spans="1:6" x14ac:dyDescent="0.25">
      <c r="A15846" t="str">
        <f>"200005805"</f>
        <v>200005805</v>
      </c>
      <c r="B15846" t="str">
        <f>"1952982399"</f>
        <v>1952982399</v>
      </c>
      <c r="C15846" t="str">
        <f>"261QF0400X"</f>
        <v>261QF0400X</v>
      </c>
      <c r="D15846" t="str">
        <f>"SOUTHEAST MISSISSIPPI RURAL HEALTH INITIATIVE INC "</f>
        <v xml:space="preserve">SOUTHEAST MISSISSIPPI RURAL HEALTH INITIATIVE INC </v>
      </c>
      <c r="E15846" t="str">
        <f>"PURVIS                    "</f>
        <v xml:space="preserve">PURVIS                    </v>
      </c>
      <c r="F15846" t="str">
        <f t="shared" si="402"/>
        <v>MS</v>
      </c>
    </row>
    <row r="15847" spans="1:6" x14ac:dyDescent="0.25">
      <c r="A15847" t="str">
        <f>"200005808"</f>
        <v>200005808</v>
      </c>
      <c r="B15847" t="str">
        <f>"1497448781"</f>
        <v>1497448781</v>
      </c>
      <c r="C15847" t="str">
        <f>"122300000X"</f>
        <v>122300000X</v>
      </c>
      <c r="D15847" t="str">
        <f>"HORTON                   HUNTER       A           "</f>
        <v xml:space="preserve">HORTON                   HUNTER       A           </v>
      </c>
      <c r="E15847" t="str">
        <f>"JACKSON                   "</f>
        <v xml:space="preserve">JACKSON                   </v>
      </c>
      <c r="F15847" t="str">
        <f t="shared" si="402"/>
        <v>MS</v>
      </c>
    </row>
    <row r="15848" spans="1:6" x14ac:dyDescent="0.25">
      <c r="A15848" t="str">
        <f>"200005810"</f>
        <v>200005810</v>
      </c>
      <c r="B15848" t="str">
        <f>"1992467898"</f>
        <v>1992467898</v>
      </c>
      <c r="C15848" t="str">
        <f>"363L00000X"</f>
        <v>363L00000X</v>
      </c>
      <c r="D15848" t="str">
        <f>"HOLLOWAY                 MARCIA                   "</f>
        <v xml:space="preserve">HOLLOWAY                 MARCIA                   </v>
      </c>
      <c r="E15848" t="str">
        <f>"RICHTON                   "</f>
        <v xml:space="preserve">RICHTON                   </v>
      </c>
      <c r="F15848" t="str">
        <f t="shared" si="402"/>
        <v>MS</v>
      </c>
    </row>
    <row r="15849" spans="1:6" x14ac:dyDescent="0.25">
      <c r="A15849" t="str">
        <f>"200005814"</f>
        <v>200005814</v>
      </c>
      <c r="B15849" t="str">
        <f>"1982646725"</f>
        <v>1982646725</v>
      </c>
      <c r="C15849" t="str">
        <f>"2085R0202X"</f>
        <v>2085R0202X</v>
      </c>
      <c r="D15849" t="str">
        <f>"COLE                     RICHARD      K           "</f>
        <v xml:space="preserve">COLE                     RICHARD      K           </v>
      </c>
      <c r="E15849" t="str">
        <f>"CALHOUN CITY              "</f>
        <v xml:space="preserve">CALHOUN CITY              </v>
      </c>
      <c r="F15849" t="str">
        <f t="shared" si="402"/>
        <v>MS</v>
      </c>
    </row>
    <row r="15850" spans="1:6" x14ac:dyDescent="0.25">
      <c r="A15850" t="str">
        <f>"200005816"</f>
        <v>200005816</v>
      </c>
      <c r="B15850" t="str">
        <f>"1568168383"</f>
        <v>1568168383</v>
      </c>
      <c r="C15850" t="str">
        <f>"122300000X"</f>
        <v>122300000X</v>
      </c>
      <c r="D15850" t="str">
        <f>"MCMURPHY PEDIATRIC DENTISTRY                      "</f>
        <v xml:space="preserve">MCMURPHY PEDIATRIC DENTISTRY                      </v>
      </c>
      <c r="E15850" t="str">
        <f>"BILOXI                    "</f>
        <v xml:space="preserve">BILOXI                    </v>
      </c>
      <c r="F15850" t="str">
        <f t="shared" si="402"/>
        <v>MS</v>
      </c>
    </row>
    <row r="15851" spans="1:6" x14ac:dyDescent="0.25">
      <c r="A15851" t="str">
        <f>"200005820"</f>
        <v>200005820</v>
      </c>
      <c r="B15851" t="str">
        <f>"1144358722"</f>
        <v>1144358722</v>
      </c>
      <c r="C15851" t="str">
        <f>"207Q00000X"</f>
        <v>207Q00000X</v>
      </c>
      <c r="D15851" t="str">
        <f>"ROBINSON                 JANA                     "</f>
        <v xml:space="preserve">ROBINSON                 JANA                     </v>
      </c>
      <c r="E15851" t="str">
        <f>"JACKSON                   "</f>
        <v xml:space="preserve">JACKSON                   </v>
      </c>
      <c r="F15851" t="str">
        <f t="shared" si="402"/>
        <v>MS</v>
      </c>
    </row>
    <row r="15852" spans="1:6" x14ac:dyDescent="0.25">
      <c r="A15852" t="str">
        <f>"200005822"</f>
        <v>200005822</v>
      </c>
      <c r="B15852" t="str">
        <f>"1922726512"</f>
        <v>1922726512</v>
      </c>
      <c r="C15852" t="str">
        <f>"363L00000X"</f>
        <v>363L00000X</v>
      </c>
      <c r="D15852" t="str">
        <f>"VELASQUEZ                KELLY        L           "</f>
        <v xml:space="preserve">VELASQUEZ                KELLY        L           </v>
      </c>
      <c r="E15852" t="str">
        <f>"SOUTHAVEN                 "</f>
        <v xml:space="preserve">SOUTHAVEN                 </v>
      </c>
      <c r="F15852" t="str">
        <f t="shared" si="402"/>
        <v>MS</v>
      </c>
    </row>
    <row r="15853" spans="1:6" x14ac:dyDescent="0.25">
      <c r="A15853" t="str">
        <f>"200005829"</f>
        <v>200005829</v>
      </c>
      <c r="B15853" t="str">
        <f>"1538802038"</f>
        <v>1538802038</v>
      </c>
      <c r="C15853" t="str">
        <f>"363A00000X"</f>
        <v>363A00000X</v>
      </c>
      <c r="D15853" t="str">
        <f>"REYNOLDS                 ASHLEY       D           "</f>
        <v xml:space="preserve">REYNOLDS                 ASHLEY       D           </v>
      </c>
      <c r="E15853" t="str">
        <f>"HATTIESBURG               "</f>
        <v xml:space="preserve">HATTIESBURG               </v>
      </c>
      <c r="F15853" t="str">
        <f t="shared" si="402"/>
        <v>MS</v>
      </c>
    </row>
    <row r="15854" spans="1:6" x14ac:dyDescent="0.25">
      <c r="A15854" t="str">
        <f>"200005831"</f>
        <v>200005831</v>
      </c>
      <c r="B15854" t="str">
        <f>"1245600923"</f>
        <v>1245600923</v>
      </c>
      <c r="C15854" t="str">
        <f>"207RC0000X"</f>
        <v>207RC0000X</v>
      </c>
      <c r="D15854" t="str">
        <f>"ABDELRAHIM               ELSHEIKH                 "</f>
        <v xml:space="preserve">ABDELRAHIM               ELSHEIKH                 </v>
      </c>
      <c r="E15854" t="str">
        <f>"TUPELO                    "</f>
        <v xml:space="preserve">TUPELO                    </v>
      </c>
      <c r="F15854" t="str">
        <f t="shared" si="402"/>
        <v>MS</v>
      </c>
    </row>
    <row r="15855" spans="1:6" x14ac:dyDescent="0.25">
      <c r="A15855" t="str">
        <f>"200005832"</f>
        <v>200005832</v>
      </c>
      <c r="B15855" t="str">
        <f>"1245600923"</f>
        <v>1245600923</v>
      </c>
      <c r="C15855" t="str">
        <f>"207R00000X"</f>
        <v>207R00000X</v>
      </c>
      <c r="D15855" t="str">
        <f>"ABDELRAHIM               ELSHEIKH                 "</f>
        <v xml:space="preserve">ABDELRAHIM               ELSHEIKH                 </v>
      </c>
      <c r="E15855" t="str">
        <f>"TUPELO                    "</f>
        <v xml:space="preserve">TUPELO                    </v>
      </c>
      <c r="F15855" t="str">
        <f t="shared" si="402"/>
        <v>MS</v>
      </c>
    </row>
    <row r="15856" spans="1:6" x14ac:dyDescent="0.25">
      <c r="A15856" t="str">
        <f>"200005837"</f>
        <v>200005837</v>
      </c>
      <c r="B15856" t="str">
        <f>"1265425763"</f>
        <v>1265425763</v>
      </c>
      <c r="C15856" t="str">
        <f>"207RX0202X"</f>
        <v>207RX0202X</v>
      </c>
      <c r="D15856" t="str">
        <f>"CODY                     REBECCA                  "</f>
        <v xml:space="preserve">CODY                     REBECCA                  </v>
      </c>
      <c r="E15856" t="str">
        <f>"TUPELO                    "</f>
        <v xml:space="preserve">TUPELO                    </v>
      </c>
      <c r="F15856" t="str">
        <f t="shared" si="402"/>
        <v>MS</v>
      </c>
    </row>
    <row r="15857" spans="1:6" x14ac:dyDescent="0.25">
      <c r="A15857" t="str">
        <f>"200005847"</f>
        <v>200005847</v>
      </c>
      <c r="B15857" t="str">
        <f>"1962434878"</f>
        <v>1962434878</v>
      </c>
      <c r="C15857" t="str">
        <f>"207Q00000X"</f>
        <v>207Q00000X</v>
      </c>
      <c r="D15857" t="str">
        <f>"SMITH                    PHILLIP      K           "</f>
        <v xml:space="preserve">SMITH                    PHILLIP      K           </v>
      </c>
      <c r="E15857" t="str">
        <f>"OLIVE BRANCH              "</f>
        <v xml:space="preserve">OLIVE BRANCH              </v>
      </c>
      <c r="F15857" t="str">
        <f t="shared" si="402"/>
        <v>MS</v>
      </c>
    </row>
    <row r="15858" spans="1:6" x14ac:dyDescent="0.25">
      <c r="A15858" t="str">
        <f>"200005853"</f>
        <v>200005853</v>
      </c>
      <c r="B15858" t="str">
        <f>"1083140040"</f>
        <v>1083140040</v>
      </c>
      <c r="C15858" t="str">
        <f>"2085R0202X"</f>
        <v>2085R0202X</v>
      </c>
      <c r="D15858" t="str">
        <f>"LAYMAN                   DOUGLAS                  "</f>
        <v xml:space="preserve">LAYMAN                   DOUGLAS                  </v>
      </c>
      <c r="E15858" t="str">
        <f>"OLIVE BRANCH              "</f>
        <v xml:space="preserve">OLIVE BRANCH              </v>
      </c>
      <c r="F15858" t="str">
        <f t="shared" si="402"/>
        <v>MS</v>
      </c>
    </row>
    <row r="15859" spans="1:6" x14ac:dyDescent="0.25">
      <c r="A15859" t="str">
        <f>"200005857"</f>
        <v>200005857</v>
      </c>
      <c r="B15859" t="str">
        <f>"1861887309"</f>
        <v>1861887309</v>
      </c>
      <c r="C15859" t="str">
        <f>"363L00000X"</f>
        <v>363L00000X</v>
      </c>
      <c r="D15859" t="str">
        <f>"TERRY                    KRISTI       M           "</f>
        <v xml:space="preserve">TERRY                    KRISTI       M           </v>
      </c>
      <c r="E15859" t="str">
        <f>"RIDGELAND                 "</f>
        <v xml:space="preserve">RIDGELAND                 </v>
      </c>
      <c r="F15859" t="str">
        <f t="shared" si="402"/>
        <v>MS</v>
      </c>
    </row>
    <row r="15860" spans="1:6" x14ac:dyDescent="0.25">
      <c r="A15860" t="str">
        <f>"200005858"</f>
        <v>200005858</v>
      </c>
      <c r="B15860" t="str">
        <f>"1104434307"</f>
        <v>1104434307</v>
      </c>
      <c r="C15860" t="str">
        <f>"207Q00000X"</f>
        <v>207Q00000X</v>
      </c>
      <c r="D15860" t="str">
        <f>"PEDDAPANGA               CHRISTINE                "</f>
        <v xml:space="preserve">PEDDAPANGA               CHRISTINE                </v>
      </c>
      <c r="E15860" t="str">
        <f>"MORTON                    "</f>
        <v xml:space="preserve">MORTON                    </v>
      </c>
      <c r="F15860" t="str">
        <f t="shared" si="402"/>
        <v>MS</v>
      </c>
    </row>
    <row r="15861" spans="1:6" x14ac:dyDescent="0.25">
      <c r="A15861" t="str">
        <f>"200005861"</f>
        <v>200005861</v>
      </c>
      <c r="B15861" t="str">
        <f>"1912304585"</f>
        <v>1912304585</v>
      </c>
      <c r="C15861" t="str">
        <f>"207R00000X"</f>
        <v>207R00000X</v>
      </c>
      <c r="D15861" t="str">
        <f>"METAI                    RAVI         K           "</f>
        <v xml:space="preserve">METAI                    RAVI         K           </v>
      </c>
      <c r="E15861" t="str">
        <f>"TUPELO                    "</f>
        <v xml:space="preserve">TUPELO                    </v>
      </c>
      <c r="F15861" t="str">
        <f t="shared" si="402"/>
        <v>MS</v>
      </c>
    </row>
    <row r="15862" spans="1:6" x14ac:dyDescent="0.25">
      <c r="A15862" t="str">
        <f>"200005862"</f>
        <v>200005862</v>
      </c>
      <c r="B15862" t="str">
        <f>"1730530064"</f>
        <v>1730530064</v>
      </c>
      <c r="C15862" t="str">
        <f>"207X00000X"</f>
        <v>207X00000X</v>
      </c>
      <c r="D15862" t="str">
        <f>"SCHNEIDER                JONATHAN                 "</f>
        <v xml:space="preserve">SCHNEIDER                JONATHAN                 </v>
      </c>
      <c r="E15862" t="str">
        <f>"TUPELO                    "</f>
        <v xml:space="preserve">TUPELO                    </v>
      </c>
      <c r="F15862" t="str">
        <f t="shared" si="402"/>
        <v>MS</v>
      </c>
    </row>
    <row r="15863" spans="1:6" x14ac:dyDescent="0.25">
      <c r="A15863" t="str">
        <f>"200005868"</f>
        <v>200005868</v>
      </c>
      <c r="B15863" t="str">
        <f>"1326335886"</f>
        <v>1326335886</v>
      </c>
      <c r="C15863" t="str">
        <f>"2085R0202X"</f>
        <v>2085R0202X</v>
      </c>
      <c r="D15863" t="str">
        <f>"RUSSELL                  KEITH        P           "</f>
        <v xml:space="preserve">RUSSELL                  KEITH        P           </v>
      </c>
      <c r="E15863" t="str">
        <f>"CALHOUN CITY              "</f>
        <v xml:space="preserve">CALHOUN CITY              </v>
      </c>
      <c r="F15863" t="str">
        <f t="shared" si="402"/>
        <v>MS</v>
      </c>
    </row>
    <row r="15864" spans="1:6" x14ac:dyDescent="0.25">
      <c r="A15864" t="str">
        <f>"200005893"</f>
        <v>200005893</v>
      </c>
      <c r="B15864" t="str">
        <f>"1518342799"</f>
        <v>1518342799</v>
      </c>
      <c r="C15864" t="str">
        <f>"207R00000X"</f>
        <v>207R00000X</v>
      </c>
      <c r="D15864" t="str">
        <f>"TIANGCO                  ROSE         K           "</f>
        <v xml:space="preserve">TIANGCO                  ROSE         K           </v>
      </c>
      <c r="E15864" t="str">
        <f>"JACKSON                   "</f>
        <v xml:space="preserve">JACKSON                   </v>
      </c>
      <c r="F15864" t="str">
        <f t="shared" si="402"/>
        <v>MS</v>
      </c>
    </row>
    <row r="15865" spans="1:6" x14ac:dyDescent="0.25">
      <c r="A15865" t="str">
        <f>"200005894"</f>
        <v>200005894</v>
      </c>
      <c r="B15865" t="str">
        <f>"1255960829"</f>
        <v>1255960829</v>
      </c>
      <c r="C15865" t="str">
        <f>"207R00000X"</f>
        <v>207R00000X</v>
      </c>
      <c r="D15865" t="str">
        <f>"WEST                     SYDNEY                   "</f>
        <v xml:space="preserve">WEST                     SYDNEY                   </v>
      </c>
      <c r="E15865" t="str">
        <f>"JACKSON                   "</f>
        <v xml:space="preserve">JACKSON                   </v>
      </c>
      <c r="F15865" t="str">
        <f t="shared" si="402"/>
        <v>MS</v>
      </c>
    </row>
    <row r="15866" spans="1:6" x14ac:dyDescent="0.25">
      <c r="A15866" t="str">
        <f>"200005899"</f>
        <v>200005899</v>
      </c>
      <c r="B15866" t="str">
        <f>"1790077113"</f>
        <v>1790077113</v>
      </c>
      <c r="C15866" t="str">
        <f>"2085R0202X"</f>
        <v>2085R0202X</v>
      </c>
      <c r="D15866" t="str">
        <f>"DERANEY                  SARAH        M           "</f>
        <v xml:space="preserve">DERANEY                  SARAH        M           </v>
      </c>
      <c r="E15866" t="str">
        <f>"CALHOUN CITY              "</f>
        <v xml:space="preserve">CALHOUN CITY              </v>
      </c>
      <c r="F15866" t="str">
        <f t="shared" si="402"/>
        <v>MS</v>
      </c>
    </row>
    <row r="15867" spans="1:6" x14ac:dyDescent="0.25">
      <c r="A15867" t="str">
        <f>"200005902"</f>
        <v>200005902</v>
      </c>
      <c r="B15867" t="str">
        <f>"1275039968"</f>
        <v>1275039968</v>
      </c>
      <c r="C15867" t="str">
        <f>"207Y00000X"</f>
        <v>207Y00000X</v>
      </c>
      <c r="D15867" t="str">
        <f>"WINESKI                  ROBERT       E           "</f>
        <v xml:space="preserve">WINESKI                  ROBERT       E           </v>
      </c>
      <c r="E15867" t="str">
        <f>"BILOXI                    "</f>
        <v xml:space="preserve">BILOXI                    </v>
      </c>
      <c r="F15867" t="str">
        <f t="shared" si="402"/>
        <v>MS</v>
      </c>
    </row>
    <row r="15868" spans="1:6" x14ac:dyDescent="0.25">
      <c r="A15868" t="str">
        <f>"200005907"</f>
        <v>200005907</v>
      </c>
      <c r="B15868" t="str">
        <f>"1447934336"</f>
        <v>1447934336</v>
      </c>
      <c r="C15868" t="str">
        <f>"122300000X"</f>
        <v>122300000X</v>
      </c>
      <c r="D15868" t="str">
        <f>"ALFORD                   KYLE         T           "</f>
        <v xml:space="preserve">ALFORD                   KYLE         T           </v>
      </c>
      <c r="E15868" t="str">
        <f>"ACKERMAN                  "</f>
        <v xml:space="preserve">ACKERMAN                  </v>
      </c>
      <c r="F15868" t="str">
        <f t="shared" si="402"/>
        <v>MS</v>
      </c>
    </row>
    <row r="15869" spans="1:6" x14ac:dyDescent="0.25">
      <c r="A15869" t="str">
        <f>"200005919"</f>
        <v>200005919</v>
      </c>
      <c r="B15869" t="str">
        <f>"1417480831"</f>
        <v>1417480831</v>
      </c>
      <c r="C15869" t="str">
        <f>"207RC0000X"</f>
        <v>207RC0000X</v>
      </c>
      <c r="D15869" t="str">
        <f>"KELLY                    DANIEL       H           "</f>
        <v xml:space="preserve">KELLY                    DANIEL       H           </v>
      </c>
      <c r="E15869" t="str">
        <f>"JACKSON                   "</f>
        <v xml:space="preserve">JACKSON                   </v>
      </c>
      <c r="F15869" t="str">
        <f t="shared" si="402"/>
        <v>MS</v>
      </c>
    </row>
    <row r="15870" spans="1:6" x14ac:dyDescent="0.25">
      <c r="A15870" t="str">
        <f>"200005921"</f>
        <v>200005921</v>
      </c>
      <c r="B15870" t="str">
        <f>"1275021636"</f>
        <v>1275021636</v>
      </c>
      <c r="C15870" t="str">
        <f>"208800000X"</f>
        <v>208800000X</v>
      </c>
      <c r="D15870" t="str">
        <f>"HUGHES                   WILLIAM      M           "</f>
        <v xml:space="preserve">HUGHES                   WILLIAM      M           </v>
      </c>
      <c r="E15870" t="str">
        <f>"OCEAN SPRINGS             "</f>
        <v xml:space="preserve">OCEAN SPRINGS             </v>
      </c>
      <c r="F15870" t="str">
        <f t="shared" ref="F15870:F15933" si="403">"MS"</f>
        <v>MS</v>
      </c>
    </row>
    <row r="15871" spans="1:6" x14ac:dyDescent="0.25">
      <c r="A15871" t="str">
        <f>"200005939"</f>
        <v>200005939</v>
      </c>
      <c r="B15871" t="str">
        <f>"1881045748"</f>
        <v>1881045748</v>
      </c>
      <c r="C15871" t="str">
        <f>"207X00000X"</f>
        <v>207X00000X</v>
      </c>
      <c r="D15871" t="str">
        <f>"MITTWEDE                 PETER                    "</f>
        <v xml:space="preserve">MITTWEDE                 PETER                    </v>
      </c>
      <c r="E15871" t="str">
        <f>"JACKSON                   "</f>
        <v xml:space="preserve">JACKSON                   </v>
      </c>
      <c r="F15871" t="str">
        <f t="shared" si="403"/>
        <v>MS</v>
      </c>
    </row>
    <row r="15872" spans="1:6" x14ac:dyDescent="0.25">
      <c r="A15872" t="str">
        <f>"200005952"</f>
        <v>200005952</v>
      </c>
      <c r="B15872" t="str">
        <f>"1932859105"</f>
        <v>1932859105</v>
      </c>
      <c r="C15872" t="str">
        <f>"122300000X"</f>
        <v>122300000X</v>
      </c>
      <c r="D15872" t="str">
        <f>"MACK                     JASMINE                  "</f>
        <v xml:space="preserve">MACK                     JASMINE                  </v>
      </c>
      <c r="E15872" t="str">
        <f>"BYHALIA                   "</f>
        <v xml:space="preserve">BYHALIA                   </v>
      </c>
      <c r="F15872" t="str">
        <f t="shared" si="403"/>
        <v>MS</v>
      </c>
    </row>
    <row r="15873" spans="1:6" x14ac:dyDescent="0.25">
      <c r="A15873" t="str">
        <f>"200005954"</f>
        <v>200005954</v>
      </c>
      <c r="B15873" t="str">
        <f>"1821783168"</f>
        <v>1821783168</v>
      </c>
      <c r="C15873" t="str">
        <f>"261QM1300X"</f>
        <v>261QM1300X</v>
      </c>
      <c r="D15873" t="str">
        <f>"HEALING HEARTS CENTER LLC                         "</f>
        <v xml:space="preserve">HEALING HEARTS CENTER LLC                         </v>
      </c>
      <c r="E15873" t="str">
        <f>"GREENVILLE                "</f>
        <v xml:space="preserve">GREENVILLE                </v>
      </c>
      <c r="F15873" t="str">
        <f t="shared" si="403"/>
        <v>MS</v>
      </c>
    </row>
    <row r="15874" spans="1:6" x14ac:dyDescent="0.25">
      <c r="A15874" t="str">
        <f>"200005957"</f>
        <v>200005957</v>
      </c>
      <c r="B15874" t="str">
        <f>"1497089197"</f>
        <v>1497089197</v>
      </c>
      <c r="C15874" t="str">
        <f>"122300000X"</f>
        <v>122300000X</v>
      </c>
      <c r="D15874" t="str">
        <f>"WIGGINS                  SHENEKIA                 "</f>
        <v xml:space="preserve">WIGGINS                  SHENEKIA                 </v>
      </c>
      <c r="E15874" t="str">
        <f>"CANTON                    "</f>
        <v xml:space="preserve">CANTON                    </v>
      </c>
      <c r="F15874" t="str">
        <f t="shared" si="403"/>
        <v>MS</v>
      </c>
    </row>
    <row r="15875" spans="1:6" x14ac:dyDescent="0.25">
      <c r="A15875" t="str">
        <f>"200005963"</f>
        <v>200005963</v>
      </c>
      <c r="B15875" t="str">
        <f>"1194388454"</f>
        <v>1194388454</v>
      </c>
      <c r="C15875" t="str">
        <f>"207Q00000X"</f>
        <v>207Q00000X</v>
      </c>
      <c r="D15875" t="str">
        <f>"ROSS                     WILLIAM      M           "</f>
        <v xml:space="preserve">ROSS                     WILLIAM      M           </v>
      </c>
      <c r="E15875" t="str">
        <f>"HATTIESBURG               "</f>
        <v xml:space="preserve">HATTIESBURG               </v>
      </c>
      <c r="F15875" t="str">
        <f t="shared" si="403"/>
        <v>MS</v>
      </c>
    </row>
    <row r="15876" spans="1:6" x14ac:dyDescent="0.25">
      <c r="A15876" t="str">
        <f>"200005964"</f>
        <v>200005964</v>
      </c>
      <c r="B15876" t="str">
        <f>"1881643088"</f>
        <v>1881643088</v>
      </c>
      <c r="C15876" t="str">
        <f>"207RG0100X"</f>
        <v>207RG0100X</v>
      </c>
      <c r="D15876" t="str">
        <f>"YOUSEF                   SHUJA                    "</f>
        <v xml:space="preserve">YOUSEF                   SHUJA                    </v>
      </c>
      <c r="E15876" t="str">
        <f>"FLOWOOD                   "</f>
        <v xml:space="preserve">FLOWOOD                   </v>
      </c>
      <c r="F15876" t="str">
        <f t="shared" si="403"/>
        <v>MS</v>
      </c>
    </row>
    <row r="15877" spans="1:6" x14ac:dyDescent="0.25">
      <c r="A15877" t="str">
        <f>"200005966"</f>
        <v>200005966</v>
      </c>
      <c r="B15877" t="str">
        <f>"1518263888"</f>
        <v>1518263888</v>
      </c>
      <c r="C15877" t="str">
        <f>"363L00000X"</f>
        <v>363L00000X</v>
      </c>
      <c r="D15877" t="str">
        <f>"SHOWS                    BOBBY                    "</f>
        <v xml:space="preserve">SHOWS                    BOBBY                    </v>
      </c>
      <c r="E15877" t="str">
        <f>"VANCLEAVE                 "</f>
        <v xml:space="preserve">VANCLEAVE                 </v>
      </c>
      <c r="F15877" t="str">
        <f t="shared" si="403"/>
        <v>MS</v>
      </c>
    </row>
    <row r="15878" spans="1:6" x14ac:dyDescent="0.25">
      <c r="A15878" t="str">
        <f>"200005967"</f>
        <v>200005967</v>
      </c>
      <c r="B15878" t="str">
        <f>"1033816392"</f>
        <v>1033816392</v>
      </c>
      <c r="C15878" t="str">
        <f>"363L00000X"</f>
        <v>363L00000X</v>
      </c>
      <c r="D15878" t="str">
        <f>"DANIELS                  LAQUANA                  "</f>
        <v xml:space="preserve">DANIELS                  LAQUANA                  </v>
      </c>
      <c r="E15878" t="str">
        <f>"FLOWOOD                   "</f>
        <v xml:space="preserve">FLOWOOD                   </v>
      </c>
      <c r="F15878" t="str">
        <f t="shared" si="403"/>
        <v>MS</v>
      </c>
    </row>
    <row r="15879" spans="1:6" x14ac:dyDescent="0.25">
      <c r="A15879" t="str">
        <f>"200005972"</f>
        <v>200005972</v>
      </c>
      <c r="B15879" t="str">
        <f>"1770275661"</f>
        <v>1770275661</v>
      </c>
      <c r="C15879" t="str">
        <f>"152W00000X"</f>
        <v>152W00000X</v>
      </c>
      <c r="D15879" t="str">
        <f>"20-20 EYECARE OF WINONA LLC                       "</f>
        <v xml:space="preserve">20-20 EYECARE OF WINONA LLC                       </v>
      </c>
      <c r="E15879" t="str">
        <f>"WINONA                    "</f>
        <v xml:space="preserve">WINONA                    </v>
      </c>
      <c r="F15879" t="str">
        <f t="shared" si="403"/>
        <v>MS</v>
      </c>
    </row>
    <row r="15880" spans="1:6" x14ac:dyDescent="0.25">
      <c r="A15880" t="str">
        <f>"200005973"</f>
        <v>200005973</v>
      </c>
      <c r="B15880" t="str">
        <f>"1639689656"</f>
        <v>1639689656</v>
      </c>
      <c r="C15880" t="str">
        <f>"363L00000X"</f>
        <v>363L00000X</v>
      </c>
      <c r="D15880" t="str">
        <f>"GLIDEWELL                JESSICA      C           "</f>
        <v xml:space="preserve">GLIDEWELL                JESSICA      C           </v>
      </c>
      <c r="E15880" t="str">
        <f>"NEW ALBANY                "</f>
        <v xml:space="preserve">NEW ALBANY                </v>
      </c>
      <c r="F15880" t="str">
        <f t="shared" si="403"/>
        <v>MS</v>
      </c>
    </row>
    <row r="15881" spans="1:6" x14ac:dyDescent="0.25">
      <c r="A15881" t="str">
        <f>"200005980"</f>
        <v>200005980</v>
      </c>
      <c r="B15881" t="str">
        <f>"1346878360"</f>
        <v>1346878360</v>
      </c>
      <c r="C15881" t="str">
        <f>"207Q00000X"</f>
        <v>207Q00000X</v>
      </c>
      <c r="D15881" t="str">
        <f>"JONES                    ELIZABETH    C           "</f>
        <v xml:space="preserve">JONES                    ELIZABETH    C           </v>
      </c>
      <c r="E15881" t="str">
        <f>"POPLARVILLE               "</f>
        <v xml:space="preserve">POPLARVILLE               </v>
      </c>
      <c r="F15881" t="str">
        <f t="shared" si="403"/>
        <v>MS</v>
      </c>
    </row>
    <row r="15882" spans="1:6" x14ac:dyDescent="0.25">
      <c r="A15882" t="str">
        <f>"200005984"</f>
        <v>200005984</v>
      </c>
      <c r="B15882" t="str">
        <f>"1245751809"</f>
        <v>1245751809</v>
      </c>
      <c r="C15882" t="str">
        <f>"2080N0001X"</f>
        <v>2080N0001X</v>
      </c>
      <c r="D15882" t="str">
        <f>"VELASQUEZ LOPEZ          JUAN         H           "</f>
        <v xml:space="preserve">VELASQUEZ LOPEZ          JUAN         H           </v>
      </c>
      <c r="E15882" t="str">
        <f>"JACKSON                   "</f>
        <v xml:space="preserve">JACKSON                   </v>
      </c>
      <c r="F15882" t="str">
        <f t="shared" si="403"/>
        <v>MS</v>
      </c>
    </row>
    <row r="15883" spans="1:6" x14ac:dyDescent="0.25">
      <c r="A15883" t="str">
        <f>"200005986"</f>
        <v>200005986</v>
      </c>
      <c r="B15883" t="str">
        <f>"1336778745"</f>
        <v>1336778745</v>
      </c>
      <c r="C15883" t="str">
        <f>"207R00000X"</f>
        <v>207R00000X</v>
      </c>
      <c r="D15883" t="str">
        <f>"FEARN                    DONALD       A           "</f>
        <v xml:space="preserve">FEARN                    DONALD       A           </v>
      </c>
      <c r="E15883" t="str">
        <f>"COLUMBUS                  "</f>
        <v xml:space="preserve">COLUMBUS                  </v>
      </c>
      <c r="F15883" t="str">
        <f t="shared" si="403"/>
        <v>MS</v>
      </c>
    </row>
    <row r="15884" spans="1:6" x14ac:dyDescent="0.25">
      <c r="A15884" t="str">
        <f>"200006015"</f>
        <v>200006015</v>
      </c>
      <c r="B15884" t="str">
        <f>"1376225185"</f>
        <v>1376225185</v>
      </c>
      <c r="C15884" t="str">
        <f>"363L00000X"</f>
        <v>363L00000X</v>
      </c>
      <c r="D15884" t="str">
        <f>"COOK                     JAMIE        L           "</f>
        <v xml:space="preserve">COOK                     JAMIE        L           </v>
      </c>
      <c r="E15884" t="str">
        <f>"BILOXI                    "</f>
        <v xml:space="preserve">BILOXI                    </v>
      </c>
      <c r="F15884" t="str">
        <f t="shared" si="403"/>
        <v>MS</v>
      </c>
    </row>
    <row r="15885" spans="1:6" x14ac:dyDescent="0.25">
      <c r="A15885" t="str">
        <f>"200006049"</f>
        <v>200006049</v>
      </c>
      <c r="B15885" t="str">
        <f>"1053095885"</f>
        <v>1053095885</v>
      </c>
      <c r="C15885" t="str">
        <f>"363L00000X"</f>
        <v>363L00000X</v>
      </c>
      <c r="D15885" t="str">
        <f>"MURTAGH                  COURTNEY                 "</f>
        <v xml:space="preserve">MURTAGH                  COURTNEY                 </v>
      </c>
      <c r="E15885" t="str">
        <f>"JACKSON                   "</f>
        <v xml:space="preserve">JACKSON                   </v>
      </c>
      <c r="F15885" t="str">
        <f t="shared" si="403"/>
        <v>MS</v>
      </c>
    </row>
    <row r="15886" spans="1:6" x14ac:dyDescent="0.25">
      <c r="A15886" t="str">
        <f>"200006059"</f>
        <v>200006059</v>
      </c>
      <c r="B15886" t="str">
        <f>"1649286600"</f>
        <v>1649286600</v>
      </c>
      <c r="C15886" t="str">
        <f>"2085R0202X"</f>
        <v>2085R0202X</v>
      </c>
      <c r="D15886" t="str">
        <f>"MOSS                     MARY         L           "</f>
        <v xml:space="preserve">MOSS                     MARY         L           </v>
      </c>
      <c r="E15886" t="str">
        <f>"CALHOUN CITY              "</f>
        <v xml:space="preserve">CALHOUN CITY              </v>
      </c>
      <c r="F15886" t="str">
        <f t="shared" si="403"/>
        <v>MS</v>
      </c>
    </row>
    <row r="15887" spans="1:6" x14ac:dyDescent="0.25">
      <c r="A15887" t="str">
        <f>"200006062"</f>
        <v>200006062</v>
      </c>
      <c r="B15887" t="str">
        <f>"1669459186"</f>
        <v>1669459186</v>
      </c>
      <c r="C15887" t="str">
        <f>"207R00000X"</f>
        <v>207R00000X</v>
      </c>
      <c r="D15887" t="str">
        <f>"RAMSAK                   AMY                      "</f>
        <v xml:space="preserve">RAMSAK                   AMY                      </v>
      </c>
      <c r="E15887" t="str">
        <f>"HATTIESBURG               "</f>
        <v xml:space="preserve">HATTIESBURG               </v>
      </c>
      <c r="F15887" t="str">
        <f t="shared" si="403"/>
        <v>MS</v>
      </c>
    </row>
    <row r="15888" spans="1:6" x14ac:dyDescent="0.25">
      <c r="A15888" t="str">
        <f>"200006064"</f>
        <v>200006064</v>
      </c>
      <c r="B15888" t="str">
        <f>"1871275024"</f>
        <v>1871275024</v>
      </c>
      <c r="C15888" t="str">
        <f>"363L00000X"</f>
        <v>363L00000X</v>
      </c>
      <c r="D15888" t="str">
        <f>"BRADSHAW                 NATALIE                  "</f>
        <v xml:space="preserve">BRADSHAW                 NATALIE                  </v>
      </c>
      <c r="E15888" t="str">
        <f>"FLORENCE                  "</f>
        <v xml:space="preserve">FLORENCE                  </v>
      </c>
      <c r="F15888" t="str">
        <f t="shared" si="403"/>
        <v>MS</v>
      </c>
    </row>
    <row r="15889" spans="1:6" x14ac:dyDescent="0.25">
      <c r="A15889" t="str">
        <f>"200006071"</f>
        <v>200006071</v>
      </c>
      <c r="B15889" t="str">
        <f>"1578346086"</f>
        <v>1578346086</v>
      </c>
      <c r="C15889" t="str">
        <f>"363L00000X"</f>
        <v>363L00000X</v>
      </c>
      <c r="D15889" t="str">
        <f>"ARCENEAUX                LINDSEY                  "</f>
        <v xml:space="preserve">ARCENEAUX                LINDSEY                  </v>
      </c>
      <c r="E15889" t="str">
        <f>"VICKSBURG                 "</f>
        <v xml:space="preserve">VICKSBURG                 </v>
      </c>
      <c r="F15889" t="str">
        <f t="shared" si="403"/>
        <v>MS</v>
      </c>
    </row>
    <row r="15890" spans="1:6" x14ac:dyDescent="0.25">
      <c r="A15890" t="str">
        <f>"200006075"</f>
        <v>200006075</v>
      </c>
      <c r="B15890" t="str">
        <f>"1003376369"</f>
        <v>1003376369</v>
      </c>
      <c r="C15890" t="str">
        <f>"207R00000X"</f>
        <v>207R00000X</v>
      </c>
      <c r="D15890" t="str">
        <f>"BAIG                     JEWELIAN                 "</f>
        <v xml:space="preserve">BAIG                     JEWELIAN                 </v>
      </c>
      <c r="E15890" t="str">
        <f>"JACKSON                   "</f>
        <v xml:space="preserve">JACKSON                   </v>
      </c>
      <c r="F15890" t="str">
        <f t="shared" si="403"/>
        <v>MS</v>
      </c>
    </row>
    <row r="15891" spans="1:6" x14ac:dyDescent="0.25">
      <c r="A15891" t="str">
        <f>"200006076"</f>
        <v>200006076</v>
      </c>
      <c r="B15891" t="str">
        <f>"1073905923"</f>
        <v>1073905923</v>
      </c>
      <c r="C15891" t="str">
        <f>"363LF0000X"</f>
        <v>363LF0000X</v>
      </c>
      <c r="D15891" t="str">
        <f>"SHAW                     BRITTANY                 "</f>
        <v xml:space="preserve">SHAW                     BRITTANY                 </v>
      </c>
      <c r="E15891" t="str">
        <f>"FLOWOOD                   "</f>
        <v xml:space="preserve">FLOWOOD                   </v>
      </c>
      <c r="F15891" t="str">
        <f t="shared" si="403"/>
        <v>MS</v>
      </c>
    </row>
    <row r="15892" spans="1:6" x14ac:dyDescent="0.25">
      <c r="A15892" t="str">
        <f>"200006086"</f>
        <v>200006086</v>
      </c>
      <c r="B15892" t="str">
        <f>"1437198454"</f>
        <v>1437198454</v>
      </c>
      <c r="C15892" t="str">
        <f>"2085R0202X"</f>
        <v>2085R0202X</v>
      </c>
      <c r="D15892" t="str">
        <f>"HENSON                   WILLIAM      C           "</f>
        <v xml:space="preserve">HENSON                   WILLIAM      C           </v>
      </c>
      <c r="E15892" t="str">
        <f>"CALHOUN CITY              "</f>
        <v xml:space="preserve">CALHOUN CITY              </v>
      </c>
      <c r="F15892" t="str">
        <f t="shared" si="403"/>
        <v>MS</v>
      </c>
    </row>
    <row r="15893" spans="1:6" x14ac:dyDescent="0.25">
      <c r="A15893" t="str">
        <f>"200006094"</f>
        <v>200006094</v>
      </c>
      <c r="B15893" t="str">
        <f>"1952920688"</f>
        <v>1952920688</v>
      </c>
      <c r="C15893" t="str">
        <f>"208000000X"</f>
        <v>208000000X</v>
      </c>
      <c r="D15893" t="str">
        <f>"KRAUSE                   SAVANNAH     J           "</f>
        <v xml:space="preserve">KRAUSE                   SAVANNAH     J           </v>
      </c>
      <c r="E15893" t="str">
        <f>"SOUTHAVEN                 "</f>
        <v xml:space="preserve">SOUTHAVEN                 </v>
      </c>
      <c r="F15893" t="str">
        <f t="shared" si="403"/>
        <v>MS</v>
      </c>
    </row>
    <row r="15894" spans="1:6" x14ac:dyDescent="0.25">
      <c r="A15894" t="str">
        <f>"200006099"</f>
        <v>200006099</v>
      </c>
      <c r="B15894" t="str">
        <f>"1104487487"</f>
        <v>1104487487</v>
      </c>
      <c r="C15894" t="str">
        <f>"122300000X"</f>
        <v>122300000X</v>
      </c>
      <c r="D15894" t="str">
        <f>"LYNCH                    DANNA        N           "</f>
        <v xml:space="preserve">LYNCH                    DANNA        N           </v>
      </c>
      <c r="E15894" t="str">
        <f>"OXFORD                    "</f>
        <v xml:space="preserve">OXFORD                    </v>
      </c>
      <c r="F15894" t="str">
        <f t="shared" si="403"/>
        <v>MS</v>
      </c>
    </row>
    <row r="15895" spans="1:6" x14ac:dyDescent="0.25">
      <c r="A15895" t="str">
        <f>"200006123"</f>
        <v>200006123</v>
      </c>
      <c r="B15895" t="str">
        <f>"1558018598"</f>
        <v>1558018598</v>
      </c>
      <c r="C15895" t="str">
        <f>"363L00000X"</f>
        <v>363L00000X</v>
      </c>
      <c r="D15895" t="str">
        <f>"JIMMERSON                CAROLYN      J           "</f>
        <v xml:space="preserve">JIMMERSON                CAROLYN      J           </v>
      </c>
      <c r="E15895" t="str">
        <f>"FLOWOOD                   "</f>
        <v xml:space="preserve">FLOWOOD                   </v>
      </c>
      <c r="F15895" t="str">
        <f t="shared" si="403"/>
        <v>MS</v>
      </c>
    </row>
    <row r="15896" spans="1:6" x14ac:dyDescent="0.25">
      <c r="A15896" t="str">
        <f>"200006124"</f>
        <v>200006124</v>
      </c>
      <c r="B15896" t="str">
        <f>"1740064781"</f>
        <v>1740064781</v>
      </c>
      <c r="C15896" t="str">
        <f>"363L00000X"</f>
        <v>363L00000X</v>
      </c>
      <c r="D15896" t="str">
        <f>"HARRINGTON               AMBER                    "</f>
        <v xml:space="preserve">HARRINGTON               AMBER                    </v>
      </c>
      <c r="E15896" t="str">
        <f>"PICAYUNE                  "</f>
        <v xml:space="preserve">PICAYUNE                  </v>
      </c>
      <c r="F15896" t="str">
        <f t="shared" si="403"/>
        <v>MS</v>
      </c>
    </row>
    <row r="15897" spans="1:6" x14ac:dyDescent="0.25">
      <c r="A15897" t="str">
        <f>"200006136"</f>
        <v>200006136</v>
      </c>
      <c r="B15897" t="str">
        <f>"1760944284"</f>
        <v>1760944284</v>
      </c>
      <c r="C15897" t="str">
        <f>"208D00000X"</f>
        <v>208D00000X</v>
      </c>
      <c r="D15897" t="str">
        <f>"WALLACE                  CHRISTINA    B           "</f>
        <v xml:space="preserve">WALLACE                  CHRISTINA    B           </v>
      </c>
      <c r="E15897" t="str">
        <f>"CHOCTAW                   "</f>
        <v xml:space="preserve">CHOCTAW                   </v>
      </c>
      <c r="F15897" t="str">
        <f t="shared" si="403"/>
        <v>MS</v>
      </c>
    </row>
    <row r="15898" spans="1:6" x14ac:dyDescent="0.25">
      <c r="A15898" t="str">
        <f>"200006147"</f>
        <v>200006147</v>
      </c>
      <c r="B15898" t="str">
        <f>"1962406959"</f>
        <v>1962406959</v>
      </c>
      <c r="C15898" t="str">
        <f>"207Q00000X"</f>
        <v>207Q00000X</v>
      </c>
      <c r="D15898" t="str">
        <f>"CASELLI                  SUSAN                    "</f>
        <v xml:space="preserve">CASELLI                  SUSAN                    </v>
      </c>
      <c r="E15898" t="str">
        <f>"ROLLING FORK              "</f>
        <v xml:space="preserve">ROLLING FORK              </v>
      </c>
      <c r="F15898" t="str">
        <f t="shared" si="403"/>
        <v>MS</v>
      </c>
    </row>
    <row r="15899" spans="1:6" x14ac:dyDescent="0.25">
      <c r="A15899" t="str">
        <f>"200006149"</f>
        <v>200006149</v>
      </c>
      <c r="B15899" t="str">
        <f>"1568841088"</f>
        <v>1568841088</v>
      </c>
      <c r="C15899" t="str">
        <f>"363L00000X"</f>
        <v>363L00000X</v>
      </c>
      <c r="D15899" t="str">
        <f>"DUNN                     COLTON                   "</f>
        <v xml:space="preserve">DUNN                     COLTON                   </v>
      </c>
      <c r="E15899" t="str">
        <f>"OLIVE BRANCH              "</f>
        <v xml:space="preserve">OLIVE BRANCH              </v>
      </c>
      <c r="F15899" t="str">
        <f t="shared" si="403"/>
        <v>MS</v>
      </c>
    </row>
    <row r="15900" spans="1:6" x14ac:dyDescent="0.25">
      <c r="A15900" t="str">
        <f>"200006155"</f>
        <v>200006155</v>
      </c>
      <c r="B15900" t="str">
        <f>"1376004549"</f>
        <v>1376004549</v>
      </c>
      <c r="C15900" t="str">
        <f>"207R00000X"</f>
        <v>207R00000X</v>
      </c>
      <c r="D15900" t="str">
        <f>"STOVALL                  PATRICK      T           "</f>
        <v xml:space="preserve">STOVALL                  PATRICK      T           </v>
      </c>
      <c r="E15900" t="str">
        <f>"GULFPORT                  "</f>
        <v xml:space="preserve">GULFPORT                  </v>
      </c>
      <c r="F15900" t="str">
        <f t="shared" si="403"/>
        <v>MS</v>
      </c>
    </row>
    <row r="15901" spans="1:6" x14ac:dyDescent="0.25">
      <c r="A15901" t="str">
        <f>"200006170"</f>
        <v>200006170</v>
      </c>
      <c r="B15901" t="str">
        <f>"1669154225"</f>
        <v>1669154225</v>
      </c>
      <c r="C15901" t="str">
        <f>"363L00000X"</f>
        <v>363L00000X</v>
      </c>
      <c r="D15901" t="str">
        <f>"IRBY                     ALEXIS                   "</f>
        <v xml:space="preserve">IRBY                     ALEXIS                   </v>
      </c>
      <c r="E15901" t="str">
        <f>"RIDGELAND                 "</f>
        <v xml:space="preserve">RIDGELAND                 </v>
      </c>
      <c r="F15901" t="str">
        <f t="shared" si="403"/>
        <v>MS</v>
      </c>
    </row>
    <row r="15902" spans="1:6" x14ac:dyDescent="0.25">
      <c r="A15902" t="str">
        <f>"200006173"</f>
        <v>200006173</v>
      </c>
      <c r="B15902" t="str">
        <f>"1134819014"</f>
        <v>1134819014</v>
      </c>
      <c r="C15902" t="str">
        <f>"2084P0800X"</f>
        <v>2084P0800X</v>
      </c>
      <c r="D15902" t="str">
        <f>"ALI                      ZAHRAH                   "</f>
        <v xml:space="preserve">ALI                      ZAHRAH                   </v>
      </c>
      <c r="E15902" t="str">
        <f>"JACKSON                   "</f>
        <v xml:space="preserve">JACKSON                   </v>
      </c>
      <c r="F15902" t="str">
        <f t="shared" si="403"/>
        <v>MS</v>
      </c>
    </row>
    <row r="15903" spans="1:6" x14ac:dyDescent="0.25">
      <c r="A15903" t="str">
        <f>"200006184"</f>
        <v>200006184</v>
      </c>
      <c r="B15903" t="str">
        <f>"1104597947"</f>
        <v>1104597947</v>
      </c>
      <c r="C15903" t="str">
        <f>"363L00000X"</f>
        <v>363L00000X</v>
      </c>
      <c r="D15903" t="str">
        <f>"PEDEN                    ASHLEY       E           "</f>
        <v xml:space="preserve">PEDEN                    ASHLEY       E           </v>
      </c>
      <c r="E15903" t="str">
        <f>"MADISON                   "</f>
        <v xml:space="preserve">MADISON                   </v>
      </c>
      <c r="F15903" t="str">
        <f t="shared" si="403"/>
        <v>MS</v>
      </c>
    </row>
    <row r="15904" spans="1:6" x14ac:dyDescent="0.25">
      <c r="A15904" t="str">
        <f>"200006185"</f>
        <v>200006185</v>
      </c>
      <c r="B15904" t="str">
        <f>"1467491043"</f>
        <v>1467491043</v>
      </c>
      <c r="C15904" t="str">
        <f>"207P00000X"</f>
        <v>207P00000X</v>
      </c>
      <c r="D15904" t="str">
        <f>"CONTARINO                JOSEPH                   "</f>
        <v xml:space="preserve">CONTARINO                JOSEPH                   </v>
      </c>
      <c r="E15904" t="str">
        <f>"CARTHAGE                  "</f>
        <v xml:space="preserve">CARTHAGE                  </v>
      </c>
      <c r="F15904" t="str">
        <f t="shared" si="403"/>
        <v>MS</v>
      </c>
    </row>
    <row r="15905" spans="1:6" x14ac:dyDescent="0.25">
      <c r="A15905" t="str">
        <f>"200006187"</f>
        <v>200006187</v>
      </c>
      <c r="B15905" t="str">
        <f>"1760186787"</f>
        <v>1760186787</v>
      </c>
      <c r="C15905" t="str">
        <f>"208000000X"</f>
        <v>208000000X</v>
      </c>
      <c r="D15905" t="str">
        <f>"BRYANT                   DANIELLE                 "</f>
        <v xml:space="preserve">BRYANT                   DANIELLE                 </v>
      </c>
      <c r="E15905" t="str">
        <f>"JACKSON                   "</f>
        <v xml:space="preserve">JACKSON                   </v>
      </c>
      <c r="F15905" t="str">
        <f t="shared" si="403"/>
        <v>MS</v>
      </c>
    </row>
    <row r="15906" spans="1:6" x14ac:dyDescent="0.25">
      <c r="A15906" t="str">
        <f>"200006190"</f>
        <v>200006190</v>
      </c>
      <c r="B15906" t="str">
        <f>"1407384068"</f>
        <v>1407384068</v>
      </c>
      <c r="C15906" t="str">
        <f>"363L00000X"</f>
        <v>363L00000X</v>
      </c>
      <c r="D15906" t="str">
        <f>"GATES                    TREVOR                   "</f>
        <v xml:space="preserve">GATES                    TREVOR                   </v>
      </c>
      <c r="E15906" t="str">
        <f>"GULFPORT                  "</f>
        <v xml:space="preserve">GULFPORT                  </v>
      </c>
      <c r="F15906" t="str">
        <f t="shared" si="403"/>
        <v>MS</v>
      </c>
    </row>
    <row r="15907" spans="1:6" x14ac:dyDescent="0.25">
      <c r="A15907" t="str">
        <f>"200006208"</f>
        <v>200006208</v>
      </c>
      <c r="B15907" t="str">
        <f>"1043296957"</f>
        <v>1043296957</v>
      </c>
      <c r="C15907" t="str">
        <f>"207L00000X"</f>
        <v>207L00000X</v>
      </c>
      <c r="D15907" t="str">
        <f>"THOMPSON                 GREGORY                  "</f>
        <v xml:space="preserve">THOMPSON                 GREGORY                  </v>
      </c>
      <c r="E15907" t="str">
        <f>"OXFORD                    "</f>
        <v xml:space="preserve">OXFORD                    </v>
      </c>
      <c r="F15907" t="str">
        <f t="shared" si="403"/>
        <v>MS</v>
      </c>
    </row>
    <row r="15908" spans="1:6" x14ac:dyDescent="0.25">
      <c r="A15908" t="str">
        <f>"200006211"</f>
        <v>200006211</v>
      </c>
      <c r="B15908" t="str">
        <f>"1659586352"</f>
        <v>1659586352</v>
      </c>
      <c r="C15908" t="str">
        <f>"207SG0201X"</f>
        <v>207SG0201X</v>
      </c>
      <c r="D15908" t="str">
        <f>"POMIANOWSKI              PAWEL        T           "</f>
        <v xml:space="preserve">POMIANOWSKI              PAWEL        T           </v>
      </c>
      <c r="E15908" t="str">
        <f>"JACKSON                   "</f>
        <v xml:space="preserve">JACKSON                   </v>
      </c>
      <c r="F15908" t="str">
        <f t="shared" si="403"/>
        <v>MS</v>
      </c>
    </row>
    <row r="15909" spans="1:6" x14ac:dyDescent="0.25">
      <c r="A15909" t="str">
        <f>"200006214"</f>
        <v>200006214</v>
      </c>
      <c r="B15909" t="str">
        <f>"1770827867"</f>
        <v>1770827867</v>
      </c>
      <c r="C15909" t="str">
        <f>"367500000X"</f>
        <v>367500000X</v>
      </c>
      <c r="D15909" t="str">
        <f>"DAVIS                    DANA         N           "</f>
        <v xml:space="preserve">DAVIS                    DANA         N           </v>
      </c>
      <c r="E15909" t="str">
        <f>"OCEAN SPRINGS             "</f>
        <v xml:space="preserve">OCEAN SPRINGS             </v>
      </c>
      <c r="F15909" t="str">
        <f t="shared" si="403"/>
        <v>MS</v>
      </c>
    </row>
    <row r="15910" spans="1:6" x14ac:dyDescent="0.25">
      <c r="A15910" t="str">
        <f>"200006220"</f>
        <v>200006220</v>
      </c>
      <c r="B15910" t="str">
        <f>"1639111479"</f>
        <v>1639111479</v>
      </c>
      <c r="C15910" t="str">
        <f>"2085R0202X"</f>
        <v>2085R0202X</v>
      </c>
      <c r="D15910" t="str">
        <f>"ARRIOLA                  RICHARD      M           "</f>
        <v xml:space="preserve">ARRIOLA                  RICHARD      M           </v>
      </c>
      <c r="E15910" t="str">
        <f>"TUPELO                    "</f>
        <v xml:space="preserve">TUPELO                    </v>
      </c>
      <c r="F15910" t="str">
        <f t="shared" si="403"/>
        <v>MS</v>
      </c>
    </row>
    <row r="15911" spans="1:6" x14ac:dyDescent="0.25">
      <c r="A15911" t="str">
        <f>"200006222"</f>
        <v>200006222</v>
      </c>
      <c r="B15911" t="str">
        <f>"1770122657"</f>
        <v>1770122657</v>
      </c>
      <c r="C15911" t="str">
        <f>"363L00000X"</f>
        <v>363L00000X</v>
      </c>
      <c r="D15911" t="str">
        <f>"PALMER                   KRYSTAL                  "</f>
        <v xml:space="preserve">PALMER                   KRYSTAL                  </v>
      </c>
      <c r="E15911" t="str">
        <f>"MERIDIAN                  "</f>
        <v xml:space="preserve">MERIDIAN                  </v>
      </c>
      <c r="F15911" t="str">
        <f t="shared" si="403"/>
        <v>MS</v>
      </c>
    </row>
    <row r="15912" spans="1:6" x14ac:dyDescent="0.25">
      <c r="A15912" t="str">
        <f>"200006223"</f>
        <v>200006223</v>
      </c>
      <c r="B15912" t="str">
        <f>"1972118701"</f>
        <v>1972118701</v>
      </c>
      <c r="C15912" t="str">
        <f>"363L00000X"</f>
        <v>363L00000X</v>
      </c>
      <c r="D15912" t="str">
        <f>"MORROW                   SARAH        C           "</f>
        <v xml:space="preserve">MORROW                   SARAH        C           </v>
      </c>
      <c r="E15912" t="str">
        <f>"OXFORD                    "</f>
        <v xml:space="preserve">OXFORD                    </v>
      </c>
      <c r="F15912" t="str">
        <f t="shared" si="403"/>
        <v>MS</v>
      </c>
    </row>
    <row r="15913" spans="1:6" x14ac:dyDescent="0.25">
      <c r="A15913" t="str">
        <f>"200006228"</f>
        <v>200006228</v>
      </c>
      <c r="B15913" t="str">
        <f>"1700566213"</f>
        <v>1700566213</v>
      </c>
      <c r="C15913" t="str">
        <f>"363L00000X"</f>
        <v>363L00000X</v>
      </c>
      <c r="D15913" t="str">
        <f>"KIMES                    ANNE         W           "</f>
        <v xml:space="preserve">KIMES                    ANNE         W           </v>
      </c>
      <c r="E15913" t="str">
        <f>"FOREST                    "</f>
        <v xml:space="preserve">FOREST                    </v>
      </c>
      <c r="F15913" t="str">
        <f t="shared" si="403"/>
        <v>MS</v>
      </c>
    </row>
    <row r="15914" spans="1:6" x14ac:dyDescent="0.25">
      <c r="A15914" t="str">
        <f>"200006229"</f>
        <v>200006229</v>
      </c>
      <c r="B15914" t="str">
        <f>"1285257824"</f>
        <v>1285257824</v>
      </c>
      <c r="C15914" t="str">
        <f>"204D00000X"</f>
        <v>204D00000X</v>
      </c>
      <c r="D15914" t="str">
        <f>"ROBINSON                 AMANDA                   "</f>
        <v xml:space="preserve">ROBINSON                 AMANDA                   </v>
      </c>
      <c r="E15914" t="str">
        <f>"SOUTHAVEN                 "</f>
        <v xml:space="preserve">SOUTHAVEN                 </v>
      </c>
      <c r="F15914" t="str">
        <f t="shared" si="403"/>
        <v>MS</v>
      </c>
    </row>
    <row r="15915" spans="1:6" x14ac:dyDescent="0.25">
      <c r="A15915" t="str">
        <f>"200006232"</f>
        <v>200006232</v>
      </c>
      <c r="B15915" t="str">
        <f>"1003500216"</f>
        <v>1003500216</v>
      </c>
      <c r="C15915" t="str">
        <f>"363L00000X"</f>
        <v>363L00000X</v>
      </c>
      <c r="D15915" t="str">
        <f>"NGUYEN                   STEPHANIE                "</f>
        <v xml:space="preserve">NGUYEN                   STEPHANIE                </v>
      </c>
      <c r="E15915" t="str">
        <f>"OCEAN SPRINGS             "</f>
        <v xml:space="preserve">OCEAN SPRINGS             </v>
      </c>
      <c r="F15915" t="str">
        <f t="shared" si="403"/>
        <v>MS</v>
      </c>
    </row>
    <row r="15916" spans="1:6" x14ac:dyDescent="0.25">
      <c r="A15916" t="str">
        <f>"200006238"</f>
        <v>200006238</v>
      </c>
      <c r="B15916" t="str">
        <f>"1740228253"</f>
        <v>1740228253</v>
      </c>
      <c r="C15916" t="str">
        <f>"207P00000X"</f>
        <v>207P00000X</v>
      </c>
      <c r="D15916" t="str">
        <f>"LAROCHELLE               MICHAEL                  "</f>
        <v xml:space="preserve">LAROCHELLE               MICHAEL                  </v>
      </c>
      <c r="E15916" t="str">
        <f>"GULFPORT                  "</f>
        <v xml:space="preserve">GULFPORT                  </v>
      </c>
      <c r="F15916" t="str">
        <f t="shared" si="403"/>
        <v>MS</v>
      </c>
    </row>
    <row r="15917" spans="1:6" x14ac:dyDescent="0.25">
      <c r="A15917" t="str">
        <f>"200006243"</f>
        <v>200006243</v>
      </c>
      <c r="B15917" t="str">
        <f>"1215618806"</f>
        <v>1215618806</v>
      </c>
      <c r="C15917" t="str">
        <f>"363L00000X"</f>
        <v>363L00000X</v>
      </c>
      <c r="D15917" t="str">
        <f>"SHARP                    ANNA         C           "</f>
        <v xml:space="preserve">SHARP                    ANNA         C           </v>
      </c>
      <c r="E15917" t="str">
        <f>"BROOKHAVEN                "</f>
        <v xml:space="preserve">BROOKHAVEN                </v>
      </c>
      <c r="F15917" t="str">
        <f t="shared" si="403"/>
        <v>MS</v>
      </c>
    </row>
    <row r="15918" spans="1:6" x14ac:dyDescent="0.25">
      <c r="A15918" t="str">
        <f>"200006245"</f>
        <v>200006245</v>
      </c>
      <c r="B15918" t="str">
        <f>"1962717546"</f>
        <v>1962717546</v>
      </c>
      <c r="C15918" t="str">
        <f>"207Q00000X"</f>
        <v>207Q00000X</v>
      </c>
      <c r="D15918" t="str">
        <f>"FRISELLA                 PATRICK                  "</f>
        <v xml:space="preserve">FRISELLA                 PATRICK                  </v>
      </c>
      <c r="E15918" t="str">
        <f>"MADISON                   "</f>
        <v xml:space="preserve">MADISON                   </v>
      </c>
      <c r="F15918" t="str">
        <f t="shared" si="403"/>
        <v>MS</v>
      </c>
    </row>
    <row r="15919" spans="1:6" x14ac:dyDescent="0.25">
      <c r="A15919" t="str">
        <f>"200006252"</f>
        <v>200006252</v>
      </c>
      <c r="B15919" t="str">
        <f>"1326748740"</f>
        <v>1326748740</v>
      </c>
      <c r="C15919" t="str">
        <f>"363LP0808X"</f>
        <v>363LP0808X</v>
      </c>
      <c r="D15919" t="str">
        <f>"TAGGART                  PENNY                    "</f>
        <v xml:space="preserve">TAGGART                  PENNY                    </v>
      </c>
      <c r="E15919" t="str">
        <f>"BAY ST LOUIS              "</f>
        <v xml:space="preserve">BAY ST LOUIS              </v>
      </c>
      <c r="F15919" t="str">
        <f t="shared" si="403"/>
        <v>MS</v>
      </c>
    </row>
    <row r="15920" spans="1:6" x14ac:dyDescent="0.25">
      <c r="A15920" t="str">
        <f>"200006253"</f>
        <v>200006253</v>
      </c>
      <c r="B15920" t="str">
        <f>"1104385921"</f>
        <v>1104385921</v>
      </c>
      <c r="C15920" t="str">
        <f>"207R00000X"</f>
        <v>207R00000X</v>
      </c>
      <c r="D15920" t="str">
        <f>"COOMBS                   ADAM         C           "</f>
        <v xml:space="preserve">COOMBS                   ADAM         C           </v>
      </c>
      <c r="E15920" t="str">
        <f>"NEW ALBANY                "</f>
        <v xml:space="preserve">NEW ALBANY                </v>
      </c>
      <c r="F15920" t="str">
        <f t="shared" si="403"/>
        <v>MS</v>
      </c>
    </row>
    <row r="15921" spans="1:6" x14ac:dyDescent="0.25">
      <c r="A15921" t="str">
        <f>"200006265"</f>
        <v>200006265</v>
      </c>
      <c r="B15921" t="str">
        <f>"1235691312"</f>
        <v>1235691312</v>
      </c>
      <c r="C15921" t="str">
        <f>"207P00000X"</f>
        <v>207P00000X</v>
      </c>
      <c r="D15921" t="str">
        <f>"DAVIS                    JOHNATHAN                "</f>
        <v xml:space="preserve">DAVIS                    JOHNATHAN                </v>
      </c>
      <c r="E15921" t="str">
        <f>"PASCAGOULA                "</f>
        <v xml:space="preserve">PASCAGOULA                </v>
      </c>
      <c r="F15921" t="str">
        <f t="shared" si="403"/>
        <v>MS</v>
      </c>
    </row>
    <row r="15922" spans="1:6" x14ac:dyDescent="0.25">
      <c r="A15922" t="str">
        <f>"200006269"</f>
        <v>200006269</v>
      </c>
      <c r="B15922" t="str">
        <f>"1558718908"</f>
        <v>1558718908</v>
      </c>
      <c r="C15922" t="str">
        <f>"207Q00000X"</f>
        <v>207Q00000X</v>
      </c>
      <c r="D15922" t="str">
        <f>"LINDEN                   MATTHEW                  "</f>
        <v xml:space="preserve">LINDEN                   MATTHEW                  </v>
      </c>
      <c r="E15922" t="str">
        <f>"MADISON                   "</f>
        <v xml:space="preserve">MADISON                   </v>
      </c>
      <c r="F15922" t="str">
        <f t="shared" si="403"/>
        <v>MS</v>
      </c>
    </row>
    <row r="15923" spans="1:6" x14ac:dyDescent="0.25">
      <c r="A15923" t="str">
        <f>"200006275"</f>
        <v>200006275</v>
      </c>
      <c r="B15923" t="str">
        <f>"1255950416"</f>
        <v>1255950416</v>
      </c>
      <c r="C15923" t="str">
        <f>"207Q00000X"</f>
        <v>207Q00000X</v>
      </c>
      <c r="D15923" t="str">
        <f>"HAIRSTON                 TAYLOR       N           "</f>
        <v xml:space="preserve">HAIRSTON                 TAYLOR       N           </v>
      </c>
      <c r="E15923" t="str">
        <f>"BILOXI                    "</f>
        <v xml:space="preserve">BILOXI                    </v>
      </c>
      <c r="F15923" t="str">
        <f t="shared" si="403"/>
        <v>MS</v>
      </c>
    </row>
    <row r="15924" spans="1:6" x14ac:dyDescent="0.25">
      <c r="A15924" t="str">
        <f>"200006276"</f>
        <v>200006276</v>
      </c>
      <c r="B15924" t="str">
        <f>"1780469569"</f>
        <v>1780469569</v>
      </c>
      <c r="C15924" t="str">
        <f>"363L00000X"</f>
        <v>363L00000X</v>
      </c>
      <c r="D15924" t="str">
        <f>"RICHARDSON               AMY                      "</f>
        <v xml:space="preserve">RICHARDSON               AMY                      </v>
      </c>
      <c r="E15924" t="str">
        <f>"RIPLEY                    "</f>
        <v xml:space="preserve">RIPLEY                    </v>
      </c>
      <c r="F15924" t="str">
        <f t="shared" si="403"/>
        <v>MS</v>
      </c>
    </row>
    <row r="15925" spans="1:6" x14ac:dyDescent="0.25">
      <c r="A15925" t="str">
        <f>"200006284"</f>
        <v>200006284</v>
      </c>
      <c r="B15925" t="str">
        <f>"1932792207"</f>
        <v>1932792207</v>
      </c>
      <c r="C15925" t="str">
        <f>"363L00000X"</f>
        <v>363L00000X</v>
      </c>
      <c r="D15925" t="str">
        <f>"WESTMORELAND             PAIGE                    "</f>
        <v xml:space="preserve">WESTMORELAND             PAIGE                    </v>
      </c>
      <c r="E15925" t="str">
        <f>"FULTON                    "</f>
        <v xml:space="preserve">FULTON                    </v>
      </c>
      <c r="F15925" t="str">
        <f t="shared" si="403"/>
        <v>MS</v>
      </c>
    </row>
    <row r="15926" spans="1:6" x14ac:dyDescent="0.25">
      <c r="A15926" t="str">
        <f>"200006296"</f>
        <v>200006296</v>
      </c>
      <c r="B15926" t="str">
        <f>"1326025388"</f>
        <v>1326025388</v>
      </c>
      <c r="C15926" t="str">
        <f>"207Q00000X"</f>
        <v>207Q00000X</v>
      </c>
      <c r="D15926" t="str">
        <f>"CLAYCOMB                 LLOYD                    "</f>
        <v xml:space="preserve">CLAYCOMB                 LLOYD                    </v>
      </c>
      <c r="E15926" t="str">
        <f>"MADISON                   "</f>
        <v xml:space="preserve">MADISON                   </v>
      </c>
      <c r="F15926" t="str">
        <f t="shared" si="403"/>
        <v>MS</v>
      </c>
    </row>
    <row r="15927" spans="1:6" x14ac:dyDescent="0.25">
      <c r="A15927" t="str">
        <f>"200006309"</f>
        <v>200006309</v>
      </c>
      <c r="B15927" t="str">
        <f>"1811516388"</f>
        <v>1811516388</v>
      </c>
      <c r="C15927" t="str">
        <f>"207Q00000X"</f>
        <v>207Q00000X</v>
      </c>
      <c r="D15927" t="str">
        <f>"JONES                    SHAWNTIAH                "</f>
        <v xml:space="preserve">JONES                    SHAWNTIAH                </v>
      </c>
      <c r="E15927" t="str">
        <f>"FLOWOOD                   "</f>
        <v xml:space="preserve">FLOWOOD                   </v>
      </c>
      <c r="F15927" t="str">
        <f t="shared" si="403"/>
        <v>MS</v>
      </c>
    </row>
    <row r="15928" spans="1:6" x14ac:dyDescent="0.25">
      <c r="A15928" t="str">
        <f>"200006310"</f>
        <v>200006310</v>
      </c>
      <c r="B15928" t="str">
        <f>"1154797991"</f>
        <v>1154797991</v>
      </c>
      <c r="C15928" t="str">
        <f>"207RC0000X"</f>
        <v>207RC0000X</v>
      </c>
      <c r="D15928" t="str">
        <f>"SUBEDI                   ROGIN                    "</f>
        <v xml:space="preserve">SUBEDI                   ROGIN                    </v>
      </c>
      <c r="E15928" t="str">
        <f>"OCEAN SPRINGS             "</f>
        <v xml:space="preserve">OCEAN SPRINGS             </v>
      </c>
      <c r="F15928" t="str">
        <f t="shared" si="403"/>
        <v>MS</v>
      </c>
    </row>
    <row r="15929" spans="1:6" x14ac:dyDescent="0.25">
      <c r="A15929" t="str">
        <f>"200006323"</f>
        <v>200006323</v>
      </c>
      <c r="B15929" t="str">
        <f>"1811197023"</f>
        <v>1811197023</v>
      </c>
      <c r="C15929" t="str">
        <f>"367500000X"</f>
        <v>367500000X</v>
      </c>
      <c r="D15929" t="str">
        <f>"TOLBIRD                  TROY                     "</f>
        <v xml:space="preserve">TOLBIRD                  TROY                     </v>
      </c>
      <c r="E15929" t="str">
        <f>"HATTIESBURG               "</f>
        <v xml:space="preserve">HATTIESBURG               </v>
      </c>
      <c r="F15929" t="str">
        <f t="shared" si="403"/>
        <v>MS</v>
      </c>
    </row>
    <row r="15930" spans="1:6" x14ac:dyDescent="0.25">
      <c r="A15930" t="str">
        <f>"200006324"</f>
        <v>200006324</v>
      </c>
      <c r="B15930" t="str">
        <f>"1477167468"</f>
        <v>1477167468</v>
      </c>
      <c r="C15930" t="str">
        <f>"363A00000X"</f>
        <v>363A00000X</v>
      </c>
      <c r="D15930" t="str">
        <f>"THELEN                   KRISTEN                  "</f>
        <v xml:space="preserve">THELEN                   KRISTEN                  </v>
      </c>
      <c r="E15930" t="str">
        <f>"OXFORD                    "</f>
        <v xml:space="preserve">OXFORD                    </v>
      </c>
      <c r="F15930" t="str">
        <f t="shared" si="403"/>
        <v>MS</v>
      </c>
    </row>
    <row r="15931" spans="1:6" x14ac:dyDescent="0.25">
      <c r="A15931" t="str">
        <f>"200006327"</f>
        <v>200006327</v>
      </c>
      <c r="B15931" t="str">
        <f>"1699776518"</f>
        <v>1699776518</v>
      </c>
      <c r="C15931" t="str">
        <f>"207RX0202X"</f>
        <v>207RX0202X</v>
      </c>
      <c r="D15931" t="str">
        <f>"SPIERS                   KATHLEEN     D           "</f>
        <v xml:space="preserve">SPIERS                   KATHLEEN     D           </v>
      </c>
      <c r="E15931" t="str">
        <f>"NEW ALBANY                "</f>
        <v xml:space="preserve">NEW ALBANY                </v>
      </c>
      <c r="F15931" t="str">
        <f t="shared" si="403"/>
        <v>MS</v>
      </c>
    </row>
    <row r="15932" spans="1:6" x14ac:dyDescent="0.25">
      <c r="A15932" t="str">
        <f>"200006330"</f>
        <v>200006330</v>
      </c>
      <c r="B15932" t="str">
        <f>"1518992833"</f>
        <v>1518992833</v>
      </c>
      <c r="C15932" t="str">
        <f>"363A00000X"</f>
        <v>363A00000X</v>
      </c>
      <c r="D15932" t="str">
        <f>"ELLER                    RONALD                   "</f>
        <v xml:space="preserve">ELLER                    RONALD                   </v>
      </c>
      <c r="E15932" t="str">
        <f>"JACKSON                   "</f>
        <v xml:space="preserve">JACKSON                   </v>
      </c>
      <c r="F15932" t="str">
        <f t="shared" si="403"/>
        <v>MS</v>
      </c>
    </row>
    <row r="15933" spans="1:6" x14ac:dyDescent="0.25">
      <c r="A15933" t="str">
        <f>"200006332"</f>
        <v>200006332</v>
      </c>
      <c r="B15933" t="str">
        <f>"1770218315"</f>
        <v>1770218315</v>
      </c>
      <c r="C15933" t="str">
        <f>"363LA2100X"</f>
        <v>363LA2100X</v>
      </c>
      <c r="D15933" t="str">
        <f>"BELL                     JENNIFER                 "</f>
        <v xml:space="preserve">BELL                     JENNIFER                 </v>
      </c>
      <c r="E15933" t="str">
        <f>"TUPELO                    "</f>
        <v xml:space="preserve">TUPELO                    </v>
      </c>
      <c r="F15933" t="str">
        <f t="shared" si="403"/>
        <v>MS</v>
      </c>
    </row>
    <row r="15934" spans="1:6" x14ac:dyDescent="0.25">
      <c r="A15934" t="str">
        <f>"200006333"</f>
        <v>200006333</v>
      </c>
      <c r="B15934" t="str">
        <f>"1073132783"</f>
        <v>1073132783</v>
      </c>
      <c r="C15934" t="str">
        <f>"208000000X"</f>
        <v>208000000X</v>
      </c>
      <c r="D15934" t="str">
        <f>"ALLEN                    JOSHUA                   "</f>
        <v xml:space="preserve">ALLEN                    JOSHUA                   </v>
      </c>
      <c r="E15934" t="str">
        <f>"HATTIESBURG               "</f>
        <v xml:space="preserve">HATTIESBURG               </v>
      </c>
      <c r="F15934" t="str">
        <f t="shared" ref="F15934:F15997" si="404">"MS"</f>
        <v>MS</v>
      </c>
    </row>
    <row r="15935" spans="1:6" x14ac:dyDescent="0.25">
      <c r="A15935" t="str">
        <f>"200006335"</f>
        <v>200006335</v>
      </c>
      <c r="B15935" t="str">
        <f>"1316391055"</f>
        <v>1316391055</v>
      </c>
      <c r="C15935" t="str">
        <f>"363L00000X"</f>
        <v>363L00000X</v>
      </c>
      <c r="D15935" t="str">
        <f>"WALLACE SHELTON          JESSICA                  "</f>
        <v xml:space="preserve">WALLACE SHELTON          JESSICA                  </v>
      </c>
      <c r="E15935" t="str">
        <f>"TUPELO                    "</f>
        <v xml:space="preserve">TUPELO                    </v>
      </c>
      <c r="F15935" t="str">
        <f t="shared" si="404"/>
        <v>MS</v>
      </c>
    </row>
    <row r="15936" spans="1:6" x14ac:dyDescent="0.25">
      <c r="A15936" t="str">
        <f>"200006337"</f>
        <v>200006337</v>
      </c>
      <c r="B15936" t="str">
        <f>"1720036890"</f>
        <v>1720036890</v>
      </c>
      <c r="C15936" t="str">
        <f>"363L00000X"</f>
        <v>363L00000X</v>
      </c>
      <c r="D15936" t="str">
        <f>"WHITE                    SHELBY       T           "</f>
        <v xml:space="preserve">WHITE                    SHELBY       T           </v>
      </c>
      <c r="E15936" t="str">
        <f>"SUMMIT                    "</f>
        <v xml:space="preserve">SUMMIT                    </v>
      </c>
      <c r="F15936" t="str">
        <f t="shared" si="404"/>
        <v>MS</v>
      </c>
    </row>
    <row r="15937" spans="1:6" x14ac:dyDescent="0.25">
      <c r="A15937" t="str">
        <f>"200006343"</f>
        <v>200006343</v>
      </c>
      <c r="B15937" t="str">
        <f>"1629601679"</f>
        <v>1629601679</v>
      </c>
      <c r="C15937" t="str">
        <f>"122300000X"</f>
        <v>122300000X</v>
      </c>
      <c r="D15937" t="str">
        <f>"JOHNSON                  ROBERT                   "</f>
        <v xml:space="preserve">JOHNSON                  ROBERT                   </v>
      </c>
      <c r="E15937" t="str">
        <f>"BILOXI                    "</f>
        <v xml:space="preserve">BILOXI                    </v>
      </c>
      <c r="F15937" t="str">
        <f t="shared" si="404"/>
        <v>MS</v>
      </c>
    </row>
    <row r="15938" spans="1:6" x14ac:dyDescent="0.25">
      <c r="A15938" t="str">
        <f>"200006351"</f>
        <v>200006351</v>
      </c>
      <c r="B15938" t="str">
        <f>"1679292916"</f>
        <v>1679292916</v>
      </c>
      <c r="C15938" t="str">
        <f>"363L00000X"</f>
        <v>363L00000X</v>
      </c>
      <c r="D15938" t="str">
        <f>"ARMSTRONG                JERRY        R           "</f>
        <v xml:space="preserve">ARMSTRONG                JERRY        R           </v>
      </c>
      <c r="E15938" t="str">
        <f>"TYLERTOWN                 "</f>
        <v xml:space="preserve">TYLERTOWN                 </v>
      </c>
      <c r="F15938" t="str">
        <f t="shared" si="404"/>
        <v>MS</v>
      </c>
    </row>
    <row r="15939" spans="1:6" x14ac:dyDescent="0.25">
      <c r="A15939" t="str">
        <f>"200006352"</f>
        <v>200006352</v>
      </c>
      <c r="B15939" t="str">
        <f>"1942991963"</f>
        <v>1942991963</v>
      </c>
      <c r="C15939" t="str">
        <f>"363LF0000X"</f>
        <v>363LF0000X</v>
      </c>
      <c r="D15939" t="str">
        <f>"TOWLES                   ANNE         M           "</f>
        <v xml:space="preserve">TOWLES                   ANNE         M           </v>
      </c>
      <c r="E15939" t="str">
        <f>"MOUND BAYOU               "</f>
        <v xml:space="preserve">MOUND BAYOU               </v>
      </c>
      <c r="F15939" t="str">
        <f t="shared" si="404"/>
        <v>MS</v>
      </c>
    </row>
    <row r="15940" spans="1:6" x14ac:dyDescent="0.25">
      <c r="A15940" t="str">
        <f>"200006357"</f>
        <v>200006357</v>
      </c>
      <c r="B15940" t="str">
        <f>"1861912586"</f>
        <v>1861912586</v>
      </c>
      <c r="C15940" t="str">
        <f>"207ZP0102X"</f>
        <v>207ZP0102X</v>
      </c>
      <c r="D15940" t="str">
        <f>"VELAGAPUDI               RAMYA        K           "</f>
        <v xml:space="preserve">VELAGAPUDI               RAMYA        K           </v>
      </c>
      <c r="E15940" t="str">
        <f>"JACKSON                   "</f>
        <v xml:space="preserve">JACKSON                   </v>
      </c>
      <c r="F15940" t="str">
        <f t="shared" si="404"/>
        <v>MS</v>
      </c>
    </row>
    <row r="15941" spans="1:6" x14ac:dyDescent="0.25">
      <c r="A15941" t="str">
        <f>"200006359"</f>
        <v>200006359</v>
      </c>
      <c r="B15941" t="str">
        <f>"1033157672"</f>
        <v>1033157672</v>
      </c>
      <c r="C15941" t="str">
        <f>"2085R0202X"</f>
        <v>2085R0202X</v>
      </c>
      <c r="D15941" t="str">
        <f>"BECKER                   ROBERT       C           "</f>
        <v xml:space="preserve">BECKER                   ROBERT       C           </v>
      </c>
      <c r="E15941" t="str">
        <f>"CALHOUN CITY              "</f>
        <v xml:space="preserve">CALHOUN CITY              </v>
      </c>
      <c r="F15941" t="str">
        <f t="shared" si="404"/>
        <v>MS</v>
      </c>
    </row>
    <row r="15942" spans="1:6" x14ac:dyDescent="0.25">
      <c r="A15942" t="str">
        <f>"200006361"</f>
        <v>200006361</v>
      </c>
      <c r="B15942" t="str">
        <f>"1336820562"</f>
        <v>1336820562</v>
      </c>
      <c r="C15942" t="str">
        <f>"367500000X"</f>
        <v>367500000X</v>
      </c>
      <c r="D15942" t="str">
        <f>"GRIFFIN                  BROOKELYN                "</f>
        <v xml:space="preserve">GRIFFIN                  BROOKELYN                </v>
      </c>
      <c r="E15942" t="str">
        <f>"NEW ALBANY                "</f>
        <v xml:space="preserve">NEW ALBANY                </v>
      </c>
      <c r="F15942" t="str">
        <f t="shared" si="404"/>
        <v>MS</v>
      </c>
    </row>
    <row r="15943" spans="1:6" x14ac:dyDescent="0.25">
      <c r="A15943" t="str">
        <f>"200006363"</f>
        <v>200006363</v>
      </c>
      <c r="B15943" t="str">
        <f>"1043672074"</f>
        <v>1043672074</v>
      </c>
      <c r="C15943" t="str">
        <f>"2086S0129X"</f>
        <v>2086S0129X</v>
      </c>
      <c r="D15943" t="str">
        <f>"MOE-AIKEN                MICHELLE                 "</f>
        <v xml:space="preserve">MOE-AIKEN                MICHELLE                 </v>
      </c>
      <c r="E15943" t="str">
        <f>"FLOWOOD                   "</f>
        <v xml:space="preserve">FLOWOOD                   </v>
      </c>
      <c r="F15943" t="str">
        <f t="shared" si="404"/>
        <v>MS</v>
      </c>
    </row>
    <row r="15944" spans="1:6" x14ac:dyDescent="0.25">
      <c r="A15944" t="str">
        <f>"200006364"</f>
        <v>200006364</v>
      </c>
      <c r="B15944" t="str">
        <f>"1598791535"</f>
        <v>1598791535</v>
      </c>
      <c r="C15944" t="str">
        <f>"2085R0202X"</f>
        <v>2085R0202X</v>
      </c>
      <c r="D15944" t="str">
        <f>"ELLIS                    MARK                     "</f>
        <v xml:space="preserve">ELLIS                    MARK                     </v>
      </c>
      <c r="E15944" t="str">
        <f>"CALHOUN CITY              "</f>
        <v xml:space="preserve">CALHOUN CITY              </v>
      </c>
      <c r="F15944" t="str">
        <f t="shared" si="404"/>
        <v>MS</v>
      </c>
    </row>
    <row r="15945" spans="1:6" x14ac:dyDescent="0.25">
      <c r="A15945" t="str">
        <f>"200006367"</f>
        <v>200006367</v>
      </c>
      <c r="B15945" t="str">
        <f>"1982278677"</f>
        <v>1982278677</v>
      </c>
      <c r="C15945" t="str">
        <f>"122300000X"</f>
        <v>122300000X</v>
      </c>
      <c r="D15945" t="str">
        <f>"WYROSDICK                MORGAN                   "</f>
        <v xml:space="preserve">WYROSDICK                MORGAN                   </v>
      </c>
      <c r="E15945" t="str">
        <f>"OCEAN SPRINGS             "</f>
        <v xml:space="preserve">OCEAN SPRINGS             </v>
      </c>
      <c r="F15945" t="str">
        <f t="shared" si="404"/>
        <v>MS</v>
      </c>
    </row>
    <row r="15946" spans="1:6" x14ac:dyDescent="0.25">
      <c r="A15946" t="str">
        <f>"200006368"</f>
        <v>200006368</v>
      </c>
      <c r="B15946" t="str">
        <f>"1568197788"</f>
        <v>1568197788</v>
      </c>
      <c r="C15946" t="str">
        <f>"363A00000X"</f>
        <v>363A00000X</v>
      </c>
      <c r="D15946" t="str">
        <f>"ELLIS                    JORDAN                   "</f>
        <v xml:space="preserve">ELLIS                    JORDAN                   </v>
      </c>
      <c r="E15946" t="str">
        <f>"TUPELO                    "</f>
        <v xml:space="preserve">TUPELO                    </v>
      </c>
      <c r="F15946" t="str">
        <f t="shared" si="404"/>
        <v>MS</v>
      </c>
    </row>
    <row r="15947" spans="1:6" x14ac:dyDescent="0.25">
      <c r="A15947" t="str">
        <f>"200006369"</f>
        <v>200006369</v>
      </c>
      <c r="B15947" t="str">
        <f>"1245910298"</f>
        <v>1245910298</v>
      </c>
      <c r="C15947" t="str">
        <f>"363L00000X"</f>
        <v>363L00000X</v>
      </c>
      <c r="D15947" t="str">
        <f>"BOREN                    SAMANTHA     G           "</f>
        <v xml:space="preserve">BOREN                    SAMANTHA     G           </v>
      </c>
      <c r="E15947" t="str">
        <f>"CORINTH                   "</f>
        <v xml:space="preserve">CORINTH                   </v>
      </c>
      <c r="F15947" t="str">
        <f t="shared" si="404"/>
        <v>MS</v>
      </c>
    </row>
    <row r="15948" spans="1:6" x14ac:dyDescent="0.25">
      <c r="A15948" t="str">
        <f>"200006372"</f>
        <v>200006372</v>
      </c>
      <c r="B15948" t="str">
        <f>"1760035695"</f>
        <v>1760035695</v>
      </c>
      <c r="C15948" t="str">
        <f>"363L00000X"</f>
        <v>363L00000X</v>
      </c>
      <c r="D15948" t="str">
        <f>"HERNDON                  CARLEY                   "</f>
        <v xml:space="preserve">HERNDON                  CARLEY                   </v>
      </c>
      <c r="E15948" t="str">
        <f>"TUPELO                    "</f>
        <v xml:space="preserve">TUPELO                    </v>
      </c>
      <c r="F15948" t="str">
        <f t="shared" si="404"/>
        <v>MS</v>
      </c>
    </row>
    <row r="15949" spans="1:6" x14ac:dyDescent="0.25">
      <c r="A15949" t="str">
        <f>"200006373"</f>
        <v>200006373</v>
      </c>
      <c r="B15949" t="str">
        <f>"1336326560"</f>
        <v>1336326560</v>
      </c>
      <c r="C15949" t="str">
        <f>"363LF0000X"</f>
        <v>363LF0000X</v>
      </c>
      <c r="D15949" t="str">
        <f>"WILLIAMSON               JOHN         M           "</f>
        <v xml:space="preserve">WILLIAMSON               JOHN         M           </v>
      </c>
      <c r="E15949" t="str">
        <f>"SALTILLO                  "</f>
        <v xml:space="preserve">SALTILLO                  </v>
      </c>
      <c r="F15949" t="str">
        <f t="shared" si="404"/>
        <v>MS</v>
      </c>
    </row>
    <row r="15950" spans="1:6" x14ac:dyDescent="0.25">
      <c r="A15950" t="str">
        <f>"200006376"</f>
        <v>200006376</v>
      </c>
      <c r="B15950" t="str">
        <f>"1134808488"</f>
        <v>1134808488</v>
      </c>
      <c r="C15950" t="str">
        <f>"122300000X"</f>
        <v>122300000X</v>
      </c>
      <c r="D15950" t="str">
        <f>"VAN                      JADEN                    "</f>
        <v xml:space="preserve">VAN                      JADEN                    </v>
      </c>
      <c r="E15950" t="str">
        <f>"BYRAM                     "</f>
        <v xml:space="preserve">BYRAM                     </v>
      </c>
      <c r="F15950" t="str">
        <f t="shared" si="404"/>
        <v>MS</v>
      </c>
    </row>
    <row r="15951" spans="1:6" x14ac:dyDescent="0.25">
      <c r="A15951" t="str">
        <f>"200006378"</f>
        <v>200006378</v>
      </c>
      <c r="B15951" t="str">
        <f>"1497164446"</f>
        <v>1497164446</v>
      </c>
      <c r="C15951" t="str">
        <f>"363L00000X"</f>
        <v>363L00000X</v>
      </c>
      <c r="D15951" t="str">
        <f>"VAUGHN                   MARY                     "</f>
        <v xml:space="preserve">VAUGHN                   MARY                     </v>
      </c>
      <c r="E15951" t="str">
        <f>"NORTH CARROLLTON          "</f>
        <v xml:space="preserve">NORTH CARROLLTON          </v>
      </c>
      <c r="F15951" t="str">
        <f t="shared" si="404"/>
        <v>MS</v>
      </c>
    </row>
    <row r="15952" spans="1:6" x14ac:dyDescent="0.25">
      <c r="A15952" t="str">
        <f>"200006381"</f>
        <v>200006381</v>
      </c>
      <c r="B15952" t="str">
        <f>"1861277964"</f>
        <v>1861277964</v>
      </c>
      <c r="C15952" t="str">
        <f>"363L00000X"</f>
        <v>363L00000X</v>
      </c>
      <c r="D15952" t="str">
        <f>"QUINN                    WILLIAM                  "</f>
        <v xml:space="preserve">QUINN                    WILLIAM                  </v>
      </c>
      <c r="E15952" t="str">
        <f>"CORINTH                   "</f>
        <v xml:space="preserve">CORINTH                   </v>
      </c>
      <c r="F15952" t="str">
        <f t="shared" si="404"/>
        <v>MS</v>
      </c>
    </row>
    <row r="15953" spans="1:6" x14ac:dyDescent="0.25">
      <c r="A15953" t="str">
        <f>"200006383"</f>
        <v>200006383</v>
      </c>
      <c r="B15953" t="str">
        <f>"1386272987"</f>
        <v>1386272987</v>
      </c>
      <c r="C15953" t="str">
        <f>"208000000X"</f>
        <v>208000000X</v>
      </c>
      <c r="D15953" t="str">
        <f>"MOBLEY                   TAYLOR       L           "</f>
        <v xml:space="preserve">MOBLEY                   TAYLOR       L           </v>
      </c>
      <c r="E15953" t="str">
        <f>"SOUTHAVEN                 "</f>
        <v xml:space="preserve">SOUTHAVEN                 </v>
      </c>
      <c r="F15953" t="str">
        <f t="shared" si="404"/>
        <v>MS</v>
      </c>
    </row>
    <row r="15954" spans="1:6" x14ac:dyDescent="0.25">
      <c r="A15954" t="str">
        <f>"200006385"</f>
        <v>200006385</v>
      </c>
      <c r="B15954" t="str">
        <f>"1285317339"</f>
        <v>1285317339</v>
      </c>
      <c r="C15954" t="str">
        <f>"363L00000X"</f>
        <v>363L00000X</v>
      </c>
      <c r="D15954" t="str">
        <f>"TOPPING                  KIMBERLY     A           "</f>
        <v xml:space="preserve">TOPPING                  KIMBERLY     A           </v>
      </c>
      <c r="E15954" t="str">
        <f>"MERIDIAN                  "</f>
        <v xml:space="preserve">MERIDIAN                  </v>
      </c>
      <c r="F15954" t="str">
        <f t="shared" si="404"/>
        <v>MS</v>
      </c>
    </row>
    <row r="15955" spans="1:6" x14ac:dyDescent="0.25">
      <c r="A15955" t="str">
        <f>"200006386"</f>
        <v>200006386</v>
      </c>
      <c r="B15955" t="str">
        <f>"1629384581"</f>
        <v>1629384581</v>
      </c>
      <c r="C15955" t="str">
        <f>"207Q00000X"</f>
        <v>207Q00000X</v>
      </c>
      <c r="D15955" t="str">
        <f>"GIUFFREDA                LEONARD                  "</f>
        <v xml:space="preserve">GIUFFREDA                LEONARD                  </v>
      </c>
      <c r="E15955" t="str">
        <f>"MADISON                   "</f>
        <v xml:space="preserve">MADISON                   </v>
      </c>
      <c r="F15955" t="str">
        <f t="shared" si="404"/>
        <v>MS</v>
      </c>
    </row>
    <row r="15956" spans="1:6" x14ac:dyDescent="0.25">
      <c r="A15956" t="str">
        <f>"200006387"</f>
        <v>200006387</v>
      </c>
      <c r="B15956" t="str">
        <f>"1952556094"</f>
        <v>1952556094</v>
      </c>
      <c r="C15956" t="str">
        <f>"207RA0401X"</f>
        <v>207RA0401X</v>
      </c>
      <c r="D15956" t="str">
        <f>"TROSCLAIR                CHAD         W           "</f>
        <v xml:space="preserve">TROSCLAIR                CHAD         W           </v>
      </c>
      <c r="E15956" t="str">
        <f>"BILOXI                    "</f>
        <v xml:space="preserve">BILOXI                    </v>
      </c>
      <c r="F15956" t="str">
        <f t="shared" si="404"/>
        <v>MS</v>
      </c>
    </row>
    <row r="15957" spans="1:6" x14ac:dyDescent="0.25">
      <c r="A15957" t="str">
        <f>"200006389"</f>
        <v>200006389</v>
      </c>
      <c r="B15957" t="str">
        <f>"1972815165"</f>
        <v>1972815165</v>
      </c>
      <c r="C15957" t="str">
        <f>"207RG0300X"</f>
        <v>207RG0300X</v>
      </c>
      <c r="D15957" t="str">
        <f>"JABER                    RANDA                    "</f>
        <v xml:space="preserve">JABER                    RANDA                    </v>
      </c>
      <c r="E15957" t="str">
        <f>"MADISON                   "</f>
        <v xml:space="preserve">MADISON                   </v>
      </c>
      <c r="F15957" t="str">
        <f t="shared" si="404"/>
        <v>MS</v>
      </c>
    </row>
    <row r="15958" spans="1:6" x14ac:dyDescent="0.25">
      <c r="A15958" t="str">
        <f>"200006391"</f>
        <v>200006391</v>
      </c>
      <c r="B15958" t="str">
        <f>"1629765177"</f>
        <v>1629765177</v>
      </c>
      <c r="C15958" t="str">
        <f>"363L00000X"</f>
        <v>363L00000X</v>
      </c>
      <c r="D15958" t="str">
        <f>"BAILEY                   MARIAN                   "</f>
        <v xml:space="preserve">BAILEY                   MARIAN                   </v>
      </c>
      <c r="E15958" t="str">
        <f>"GULFPORT                  "</f>
        <v xml:space="preserve">GULFPORT                  </v>
      </c>
      <c r="F15958" t="str">
        <f t="shared" si="404"/>
        <v>MS</v>
      </c>
    </row>
    <row r="15959" spans="1:6" x14ac:dyDescent="0.25">
      <c r="A15959" t="str">
        <f>"200006393"</f>
        <v>200006393</v>
      </c>
      <c r="B15959" t="str">
        <f>"1760977714"</f>
        <v>1760977714</v>
      </c>
      <c r="C15959" t="str">
        <f>"2086S0127X"</f>
        <v>2086S0127X</v>
      </c>
      <c r="D15959" t="str">
        <f>"SAMS                     HANNA        L           "</f>
        <v xml:space="preserve">SAMS                     HANNA        L           </v>
      </c>
      <c r="E15959" t="str">
        <f>"JACKSON                   "</f>
        <v xml:space="preserve">JACKSON                   </v>
      </c>
      <c r="F15959" t="str">
        <f t="shared" si="404"/>
        <v>MS</v>
      </c>
    </row>
    <row r="15960" spans="1:6" x14ac:dyDescent="0.25">
      <c r="A15960" t="str">
        <f>"200006394"</f>
        <v>200006394</v>
      </c>
      <c r="B15960" t="str">
        <f>"1679521587"</f>
        <v>1679521587</v>
      </c>
      <c r="C15960" t="str">
        <f>"207Q00000X"</f>
        <v>207Q00000X</v>
      </c>
      <c r="D15960" t="str">
        <f>"HAWROT                   JOHN                     "</f>
        <v xml:space="preserve">HAWROT                   JOHN                     </v>
      </c>
      <c r="E15960" t="str">
        <f>"MADISON                   "</f>
        <v xml:space="preserve">MADISON                   </v>
      </c>
      <c r="F15960" t="str">
        <f t="shared" si="404"/>
        <v>MS</v>
      </c>
    </row>
    <row r="15961" spans="1:6" x14ac:dyDescent="0.25">
      <c r="A15961" t="str">
        <f>"200006397"</f>
        <v>200006397</v>
      </c>
      <c r="B15961" t="str">
        <f>"1952308389"</f>
        <v>1952308389</v>
      </c>
      <c r="C15961" t="str">
        <f>"207V00000X"</f>
        <v>207V00000X</v>
      </c>
      <c r="D15961" t="str">
        <f>"MESTEMACHER              CHRISTINE                "</f>
        <v xml:space="preserve">MESTEMACHER              CHRISTINE                </v>
      </c>
      <c r="E15961" t="str">
        <f>"SOUTHAVEN                 "</f>
        <v xml:space="preserve">SOUTHAVEN                 </v>
      </c>
      <c r="F15961" t="str">
        <f t="shared" si="404"/>
        <v>MS</v>
      </c>
    </row>
    <row r="15962" spans="1:6" x14ac:dyDescent="0.25">
      <c r="A15962" t="str">
        <f>"200006401"</f>
        <v>200006401</v>
      </c>
      <c r="B15962" t="str">
        <f>"1124465265"</f>
        <v>1124465265</v>
      </c>
      <c r="C15962" t="str">
        <f>"204E00000X"</f>
        <v>204E00000X</v>
      </c>
      <c r="D15962" t="str">
        <f>"EICHLER                  ADAM                     "</f>
        <v xml:space="preserve">EICHLER                  ADAM                     </v>
      </c>
      <c r="E15962" t="str">
        <f>"HATTIESBURG               "</f>
        <v xml:space="preserve">HATTIESBURG               </v>
      </c>
      <c r="F15962" t="str">
        <f t="shared" si="404"/>
        <v>MS</v>
      </c>
    </row>
    <row r="15963" spans="1:6" x14ac:dyDescent="0.25">
      <c r="A15963" t="str">
        <f>"200006404"</f>
        <v>200006404</v>
      </c>
      <c r="B15963" t="str">
        <f>"1558688416"</f>
        <v>1558688416</v>
      </c>
      <c r="C15963" t="str">
        <f>"207Q00000X"</f>
        <v>207Q00000X</v>
      </c>
      <c r="D15963" t="str">
        <f>"GRIFFIN                  LEPERCIVAL               "</f>
        <v xml:space="preserve">GRIFFIN                  LEPERCIVAL               </v>
      </c>
      <c r="E15963" t="str">
        <f>"JACKSON                   "</f>
        <v xml:space="preserve">JACKSON                   </v>
      </c>
      <c r="F15963" t="str">
        <f t="shared" si="404"/>
        <v>MS</v>
      </c>
    </row>
    <row r="15964" spans="1:6" x14ac:dyDescent="0.25">
      <c r="A15964" t="str">
        <f>"200006413"</f>
        <v>200006413</v>
      </c>
      <c r="B15964" t="str">
        <f>"1780987032"</f>
        <v>1780987032</v>
      </c>
      <c r="C15964" t="str">
        <f>"363L00000X"</f>
        <v>363L00000X</v>
      </c>
      <c r="D15964" t="str">
        <f>"ELLISON                  MERRI                    "</f>
        <v xml:space="preserve">ELLISON                  MERRI                    </v>
      </c>
      <c r="E15964" t="str">
        <f>"JACKSON                   "</f>
        <v xml:space="preserve">JACKSON                   </v>
      </c>
      <c r="F15964" t="str">
        <f t="shared" si="404"/>
        <v>MS</v>
      </c>
    </row>
    <row r="15965" spans="1:6" x14ac:dyDescent="0.25">
      <c r="A15965" t="str">
        <f>"200006420"</f>
        <v>200006420</v>
      </c>
      <c r="B15965" t="str">
        <f>"1124345673"</f>
        <v>1124345673</v>
      </c>
      <c r="C15965" t="str">
        <f>"207Q00000X"</f>
        <v>207Q00000X</v>
      </c>
      <c r="D15965" t="str">
        <f>"GUMUKA                   MICHAEL                  "</f>
        <v xml:space="preserve">GUMUKA                   MICHAEL                  </v>
      </c>
      <c r="E15965" t="str">
        <f>"MADISON                   "</f>
        <v xml:space="preserve">MADISON                   </v>
      </c>
      <c r="F15965" t="str">
        <f t="shared" si="404"/>
        <v>MS</v>
      </c>
    </row>
    <row r="15966" spans="1:6" x14ac:dyDescent="0.25">
      <c r="A15966" t="str">
        <f>"200006422"</f>
        <v>200006422</v>
      </c>
      <c r="B15966" t="str">
        <f>"1013952050"</f>
        <v>1013952050</v>
      </c>
      <c r="C15966" t="str">
        <f>"207Q00000X"</f>
        <v>207Q00000X</v>
      </c>
      <c r="D15966" t="str">
        <f>"CHAPMAN                  MICHAEL                  "</f>
        <v xml:space="preserve">CHAPMAN                  MICHAEL                  </v>
      </c>
      <c r="E15966" t="str">
        <f>"MADISON                   "</f>
        <v xml:space="preserve">MADISON                   </v>
      </c>
      <c r="F15966" t="str">
        <f t="shared" si="404"/>
        <v>MS</v>
      </c>
    </row>
    <row r="15967" spans="1:6" x14ac:dyDescent="0.25">
      <c r="A15967" t="str">
        <f>"200006430"</f>
        <v>200006430</v>
      </c>
      <c r="B15967" t="str">
        <f>"1346754793"</f>
        <v>1346754793</v>
      </c>
      <c r="C15967" t="str">
        <f>"363L00000X"</f>
        <v>363L00000X</v>
      </c>
      <c r="D15967" t="str">
        <f>"POLAND                   HOLLY                    "</f>
        <v xml:space="preserve">POLAND                   HOLLY                    </v>
      </c>
      <c r="E15967" t="str">
        <f>"TUPELO                    "</f>
        <v xml:space="preserve">TUPELO                    </v>
      </c>
      <c r="F15967" t="str">
        <f t="shared" si="404"/>
        <v>MS</v>
      </c>
    </row>
    <row r="15968" spans="1:6" x14ac:dyDescent="0.25">
      <c r="A15968" t="str">
        <f>"200006432"</f>
        <v>200006432</v>
      </c>
      <c r="B15968" t="str">
        <f>"1952187494"</f>
        <v>1952187494</v>
      </c>
      <c r="C15968" t="str">
        <f>"363L00000X"</f>
        <v>363L00000X</v>
      </c>
      <c r="D15968" t="str">
        <f>"JOHNSTON                 LEVI                     "</f>
        <v xml:space="preserve">JOHNSTON                 LEVI                     </v>
      </c>
      <c r="E15968" t="str">
        <f>"TUPELO                    "</f>
        <v xml:space="preserve">TUPELO                    </v>
      </c>
      <c r="F15968" t="str">
        <f t="shared" si="404"/>
        <v>MS</v>
      </c>
    </row>
    <row r="15969" spans="1:6" x14ac:dyDescent="0.25">
      <c r="A15969" t="str">
        <f>"200006437"</f>
        <v>200006437</v>
      </c>
      <c r="B15969" t="str">
        <f>"1306434527"</f>
        <v>1306434527</v>
      </c>
      <c r="C15969" t="str">
        <f>"363L00000X"</f>
        <v>363L00000X</v>
      </c>
      <c r="D15969" t="str">
        <f>"DAVIS                    CHASITY                  "</f>
        <v xml:space="preserve">DAVIS                    CHASITY                  </v>
      </c>
      <c r="E15969" t="str">
        <f>"GREENWOOD                 "</f>
        <v xml:space="preserve">GREENWOOD                 </v>
      </c>
      <c r="F15969" t="str">
        <f t="shared" si="404"/>
        <v>MS</v>
      </c>
    </row>
    <row r="15970" spans="1:6" x14ac:dyDescent="0.25">
      <c r="A15970" t="str">
        <f>"200006438"</f>
        <v>200006438</v>
      </c>
      <c r="B15970" t="str">
        <f>"1700062080"</f>
        <v>1700062080</v>
      </c>
      <c r="C15970" t="str">
        <f>"367500000X"</f>
        <v>367500000X</v>
      </c>
      <c r="D15970" t="str">
        <f>"PRESCOTT                 LORI                     "</f>
        <v xml:space="preserve">PRESCOTT                 LORI                     </v>
      </c>
      <c r="E15970" t="str">
        <f>"OXFORD                    "</f>
        <v xml:space="preserve">OXFORD                    </v>
      </c>
      <c r="F15970" t="str">
        <f t="shared" si="404"/>
        <v>MS</v>
      </c>
    </row>
    <row r="15971" spans="1:6" x14ac:dyDescent="0.25">
      <c r="A15971" t="str">
        <f>"200006439"</f>
        <v>200006439</v>
      </c>
      <c r="B15971" t="str">
        <f>"1114969011"</f>
        <v>1114969011</v>
      </c>
      <c r="C15971" t="str">
        <f>"208G00000X"</f>
        <v>208G00000X</v>
      </c>
      <c r="D15971" t="str">
        <f>"ADAMS                    CRAIG        V           "</f>
        <v xml:space="preserve">ADAMS                    CRAIG        V           </v>
      </c>
      <c r="E15971" t="str">
        <f>"GULFPORT                  "</f>
        <v xml:space="preserve">GULFPORT                  </v>
      </c>
      <c r="F15971" t="str">
        <f t="shared" si="404"/>
        <v>MS</v>
      </c>
    </row>
    <row r="15972" spans="1:6" x14ac:dyDescent="0.25">
      <c r="A15972" t="str">
        <f>"200006442"</f>
        <v>200006442</v>
      </c>
      <c r="B15972" t="str">
        <f>"1912906082"</f>
        <v>1912906082</v>
      </c>
      <c r="C15972" t="str">
        <f>"207P00000X"</f>
        <v>207P00000X</v>
      </c>
      <c r="D15972" t="str">
        <f>"KLUGH                    JIMMY                    "</f>
        <v xml:space="preserve">KLUGH                    JIMMY                    </v>
      </c>
      <c r="E15972" t="str">
        <f>"MADISON                   "</f>
        <v xml:space="preserve">MADISON                   </v>
      </c>
      <c r="F15972" t="str">
        <f t="shared" si="404"/>
        <v>MS</v>
      </c>
    </row>
    <row r="15973" spans="1:6" x14ac:dyDescent="0.25">
      <c r="A15973" t="str">
        <f>"200006444"</f>
        <v>200006444</v>
      </c>
      <c r="B15973" t="str">
        <f>"1679962765"</f>
        <v>1679962765</v>
      </c>
      <c r="C15973" t="str">
        <f>"363L00000X"</f>
        <v>363L00000X</v>
      </c>
      <c r="D15973" t="str">
        <f>"CAMPBELL                 BRIANNA                  "</f>
        <v xml:space="preserve">CAMPBELL                 BRIANNA                  </v>
      </c>
      <c r="E15973" t="str">
        <f>"OCEAN SPRINGS             "</f>
        <v xml:space="preserve">OCEAN SPRINGS             </v>
      </c>
      <c r="F15973" t="str">
        <f t="shared" si="404"/>
        <v>MS</v>
      </c>
    </row>
    <row r="15974" spans="1:6" x14ac:dyDescent="0.25">
      <c r="A15974" t="str">
        <f>"200006447"</f>
        <v>200006447</v>
      </c>
      <c r="B15974" t="str">
        <f>"1851894265"</f>
        <v>1851894265</v>
      </c>
      <c r="C15974" t="str">
        <f>"207X00000X"</f>
        <v>207X00000X</v>
      </c>
      <c r="D15974" t="str">
        <f>"SMITH                    THOMAS       P           "</f>
        <v xml:space="preserve">SMITH                    THOMAS       P           </v>
      </c>
      <c r="E15974" t="str">
        <f>"GULFPORT                  "</f>
        <v xml:space="preserve">GULFPORT                  </v>
      </c>
      <c r="F15974" t="str">
        <f t="shared" si="404"/>
        <v>MS</v>
      </c>
    </row>
    <row r="15975" spans="1:6" x14ac:dyDescent="0.25">
      <c r="A15975" t="str">
        <f>"200006448"</f>
        <v>200006448</v>
      </c>
      <c r="B15975" t="str">
        <f>"1710997135"</f>
        <v>1710997135</v>
      </c>
      <c r="C15975" t="str">
        <f>"207T00000X"</f>
        <v>207T00000X</v>
      </c>
      <c r="D15975" t="str">
        <f>"CULLOM III               EDWARD       T           "</f>
        <v xml:space="preserve">CULLOM III               EDWARD       T           </v>
      </c>
      <c r="E15975" t="str">
        <f>"JACKSON                   "</f>
        <v xml:space="preserve">JACKSON                   </v>
      </c>
      <c r="F15975" t="str">
        <f t="shared" si="404"/>
        <v>MS</v>
      </c>
    </row>
    <row r="15976" spans="1:6" x14ac:dyDescent="0.25">
      <c r="A15976" t="str">
        <f>"200006460"</f>
        <v>200006460</v>
      </c>
      <c r="B15976" t="str">
        <f>"1366742090"</f>
        <v>1366742090</v>
      </c>
      <c r="C15976" t="str">
        <f>"207Q00000X"</f>
        <v>207Q00000X</v>
      </c>
      <c r="D15976" t="str">
        <f>"BEATTY                   LATONYA                  "</f>
        <v xml:space="preserve">BEATTY                   LATONYA                  </v>
      </c>
      <c r="E15976" t="str">
        <f>"MADISON                   "</f>
        <v xml:space="preserve">MADISON                   </v>
      </c>
      <c r="F15976" t="str">
        <f t="shared" si="404"/>
        <v>MS</v>
      </c>
    </row>
    <row r="15977" spans="1:6" x14ac:dyDescent="0.25">
      <c r="A15977" t="str">
        <f>"200006471"</f>
        <v>200006471</v>
      </c>
      <c r="B15977" t="str">
        <f>"1972002806"</f>
        <v>1972002806</v>
      </c>
      <c r="C15977" t="str">
        <f>"363A00000X"</f>
        <v>363A00000X</v>
      </c>
      <c r="D15977" t="str">
        <f>"HOUCHIN                  DESTINY                  "</f>
        <v xml:space="preserve">HOUCHIN                  DESTINY                  </v>
      </c>
      <c r="E15977" t="str">
        <f>"PASCAGOULA                "</f>
        <v xml:space="preserve">PASCAGOULA                </v>
      </c>
      <c r="F15977" t="str">
        <f t="shared" si="404"/>
        <v>MS</v>
      </c>
    </row>
    <row r="15978" spans="1:6" x14ac:dyDescent="0.25">
      <c r="A15978" t="str">
        <f>"200006474"</f>
        <v>200006474</v>
      </c>
      <c r="B15978" t="str">
        <f>"1710579057"</f>
        <v>1710579057</v>
      </c>
      <c r="C15978" t="str">
        <f>"363L00000X"</f>
        <v>363L00000X</v>
      </c>
      <c r="D15978" t="str">
        <f>"RAY                      PATRICIA                 "</f>
        <v xml:space="preserve">RAY                      PATRICIA                 </v>
      </c>
      <c r="E15978" t="str">
        <f>"HOLLY SPRINGS             "</f>
        <v xml:space="preserve">HOLLY SPRINGS             </v>
      </c>
      <c r="F15978" t="str">
        <f t="shared" si="404"/>
        <v>MS</v>
      </c>
    </row>
    <row r="15979" spans="1:6" x14ac:dyDescent="0.25">
      <c r="A15979" t="str">
        <f>"200006483"</f>
        <v>200006483</v>
      </c>
      <c r="B15979" t="str">
        <f>"1982232880"</f>
        <v>1982232880</v>
      </c>
      <c r="C15979" t="str">
        <f>"207R00000X"</f>
        <v>207R00000X</v>
      </c>
      <c r="D15979" t="str">
        <f>"BARBARA                  BRIAN        M           "</f>
        <v xml:space="preserve">BARBARA                  BRIAN        M           </v>
      </c>
      <c r="E15979" t="str">
        <f>"BILOXI                    "</f>
        <v xml:space="preserve">BILOXI                    </v>
      </c>
      <c r="F15979" t="str">
        <f t="shared" si="404"/>
        <v>MS</v>
      </c>
    </row>
    <row r="15980" spans="1:6" x14ac:dyDescent="0.25">
      <c r="A15980" t="str">
        <f>"200006484"</f>
        <v>200006484</v>
      </c>
      <c r="B15980" t="str">
        <f>"1629853544"</f>
        <v>1629853544</v>
      </c>
      <c r="C15980" t="str">
        <f>"363L00000X"</f>
        <v>363L00000X</v>
      </c>
      <c r="D15980" t="str">
        <f>"COREY                    CONTESTA                 "</f>
        <v xml:space="preserve">COREY                    CONTESTA                 </v>
      </c>
      <c r="E15980" t="str">
        <f>"TUPELO                    "</f>
        <v xml:space="preserve">TUPELO                    </v>
      </c>
      <c r="F15980" t="str">
        <f t="shared" si="404"/>
        <v>MS</v>
      </c>
    </row>
    <row r="15981" spans="1:6" x14ac:dyDescent="0.25">
      <c r="A15981" t="str">
        <f>"200006486"</f>
        <v>200006486</v>
      </c>
      <c r="B15981" t="str">
        <f>"1093316952"</f>
        <v>1093316952</v>
      </c>
      <c r="C15981" t="str">
        <f>"363LF0000X"</f>
        <v>363LF0000X</v>
      </c>
      <c r="D15981" t="str">
        <f>"COOK                     JENNIFER                 "</f>
        <v xml:space="preserve">COOK                     JENNIFER                 </v>
      </c>
      <c r="E15981" t="str">
        <f>"MADISON                   "</f>
        <v xml:space="preserve">MADISON                   </v>
      </c>
      <c r="F15981" t="str">
        <f t="shared" si="404"/>
        <v>MS</v>
      </c>
    </row>
    <row r="15982" spans="1:6" x14ac:dyDescent="0.25">
      <c r="A15982" t="str">
        <f>"200006490"</f>
        <v>200006490</v>
      </c>
      <c r="B15982" t="str">
        <f>"1457973075"</f>
        <v>1457973075</v>
      </c>
      <c r="C15982" t="str">
        <f>"207P00000X"</f>
        <v>207P00000X</v>
      </c>
      <c r="D15982" t="str">
        <f>"CORTOPASSI               JOSEPH                   "</f>
        <v xml:space="preserve">CORTOPASSI               JOSEPH                   </v>
      </c>
      <c r="E15982" t="str">
        <f>"GULFPORT                  "</f>
        <v xml:space="preserve">GULFPORT                  </v>
      </c>
      <c r="F15982" t="str">
        <f t="shared" si="404"/>
        <v>MS</v>
      </c>
    </row>
    <row r="15983" spans="1:6" x14ac:dyDescent="0.25">
      <c r="A15983" t="str">
        <f>"200006507"</f>
        <v>200006507</v>
      </c>
      <c r="B15983" t="str">
        <f>"1285243022"</f>
        <v>1285243022</v>
      </c>
      <c r="C15983" t="str">
        <f>"363L00000X"</f>
        <v>363L00000X</v>
      </c>
      <c r="D15983" t="str">
        <f>"WARD                     KATHERINE    C           "</f>
        <v xml:space="preserve">WARD                     KATHERINE    C           </v>
      </c>
      <c r="E15983" t="str">
        <f>"JACKSON                   "</f>
        <v xml:space="preserve">JACKSON                   </v>
      </c>
      <c r="F15983" t="str">
        <f t="shared" si="404"/>
        <v>MS</v>
      </c>
    </row>
    <row r="15984" spans="1:6" x14ac:dyDescent="0.25">
      <c r="A15984" t="str">
        <f>"200006514"</f>
        <v>200006514</v>
      </c>
      <c r="B15984" t="str">
        <f>"1073142915"</f>
        <v>1073142915</v>
      </c>
      <c r="C15984" t="str">
        <f>"207P00000X"</f>
        <v>207P00000X</v>
      </c>
      <c r="D15984" t="str">
        <f>"GOODMAN                  HALEY        H           "</f>
        <v xml:space="preserve">GOODMAN                  HALEY        H           </v>
      </c>
      <c r="E15984" t="str">
        <f>"GULFPORT                  "</f>
        <v xml:space="preserve">GULFPORT                  </v>
      </c>
      <c r="F15984" t="str">
        <f t="shared" si="404"/>
        <v>MS</v>
      </c>
    </row>
    <row r="15985" spans="1:6" x14ac:dyDescent="0.25">
      <c r="A15985" t="str">
        <f>"200006515"</f>
        <v>200006515</v>
      </c>
      <c r="B15985" t="str">
        <f>"1629854112"</f>
        <v>1629854112</v>
      </c>
      <c r="C15985" t="str">
        <f t="shared" ref="C15985:C15991" si="405">"363L00000X"</f>
        <v>363L00000X</v>
      </c>
      <c r="D15985" t="str">
        <f>"FULTON                   SARAH        G           "</f>
        <v xml:space="preserve">FULTON                   SARAH        G           </v>
      </c>
      <c r="E15985" t="str">
        <f>"AMORY                     "</f>
        <v xml:space="preserve">AMORY                     </v>
      </c>
      <c r="F15985" t="str">
        <f t="shared" si="404"/>
        <v>MS</v>
      </c>
    </row>
    <row r="15986" spans="1:6" x14ac:dyDescent="0.25">
      <c r="A15986" t="str">
        <f>"200006524"</f>
        <v>200006524</v>
      </c>
      <c r="B15986" t="str">
        <f>"1992480859"</f>
        <v>1992480859</v>
      </c>
      <c r="C15986" t="str">
        <f t="shared" si="405"/>
        <v>363L00000X</v>
      </c>
      <c r="D15986" t="str">
        <f>"LUCKETT                  KEIANNA                  "</f>
        <v xml:space="preserve">LUCKETT                  KEIANNA                  </v>
      </c>
      <c r="E15986" t="str">
        <f>"JACKSON                   "</f>
        <v xml:space="preserve">JACKSON                   </v>
      </c>
      <c r="F15986" t="str">
        <f t="shared" si="404"/>
        <v>MS</v>
      </c>
    </row>
    <row r="15987" spans="1:6" x14ac:dyDescent="0.25">
      <c r="A15987" t="str">
        <f>"200006531"</f>
        <v>200006531</v>
      </c>
      <c r="B15987" t="str">
        <f>"1750064689"</f>
        <v>1750064689</v>
      </c>
      <c r="C15987" t="str">
        <f t="shared" si="405"/>
        <v>363L00000X</v>
      </c>
      <c r="D15987" t="str">
        <f>"MILLS                    ERIN         L           "</f>
        <v xml:space="preserve">MILLS                    ERIN         L           </v>
      </c>
      <c r="E15987" t="str">
        <f>"HATTIESBURG               "</f>
        <v xml:space="preserve">HATTIESBURG               </v>
      </c>
      <c r="F15987" t="str">
        <f t="shared" si="404"/>
        <v>MS</v>
      </c>
    </row>
    <row r="15988" spans="1:6" x14ac:dyDescent="0.25">
      <c r="A15988" t="str">
        <f>"200006573"</f>
        <v>200006573</v>
      </c>
      <c r="B15988" t="str">
        <f>"1770275380"</f>
        <v>1770275380</v>
      </c>
      <c r="C15988" t="str">
        <f t="shared" si="405"/>
        <v>363L00000X</v>
      </c>
      <c r="D15988" t="str">
        <f>"JONES                    SARAH                    "</f>
        <v xml:space="preserve">JONES                    SARAH                    </v>
      </c>
      <c r="E15988" t="str">
        <f>"MERIDIAN                  "</f>
        <v xml:space="preserve">MERIDIAN                  </v>
      </c>
      <c r="F15988" t="str">
        <f t="shared" si="404"/>
        <v>MS</v>
      </c>
    </row>
    <row r="15989" spans="1:6" x14ac:dyDescent="0.25">
      <c r="A15989" t="str">
        <f>"200006579"</f>
        <v>200006579</v>
      </c>
      <c r="B15989" t="str">
        <f>"1013699057"</f>
        <v>1013699057</v>
      </c>
      <c r="C15989" t="str">
        <f t="shared" si="405"/>
        <v>363L00000X</v>
      </c>
      <c r="D15989" t="str">
        <f>"SEAWOOD                  JOCELYN                  "</f>
        <v xml:space="preserve">SEAWOOD                  JOCELYN                  </v>
      </c>
      <c r="E15989" t="str">
        <f>"LEXINGTON                 "</f>
        <v xml:space="preserve">LEXINGTON                 </v>
      </c>
      <c r="F15989" t="str">
        <f t="shared" si="404"/>
        <v>MS</v>
      </c>
    </row>
    <row r="15990" spans="1:6" x14ac:dyDescent="0.25">
      <c r="A15990" t="str">
        <f>"200006580"</f>
        <v>200006580</v>
      </c>
      <c r="B15990" t="str">
        <f>"1376243196"</f>
        <v>1376243196</v>
      </c>
      <c r="C15990" t="str">
        <f t="shared" si="405"/>
        <v>363L00000X</v>
      </c>
      <c r="D15990" t="str">
        <f>"YOUNG                    WHITNEY                  "</f>
        <v xml:space="preserve">YOUNG                    WHITNEY                  </v>
      </c>
      <c r="E15990" t="str">
        <f>"CLARKSDALE                "</f>
        <v xml:space="preserve">CLARKSDALE                </v>
      </c>
      <c r="F15990" t="str">
        <f t="shared" si="404"/>
        <v>MS</v>
      </c>
    </row>
    <row r="15991" spans="1:6" x14ac:dyDescent="0.25">
      <c r="A15991" t="str">
        <f>"200006591"</f>
        <v>200006591</v>
      </c>
      <c r="B15991" t="str">
        <f>"1346943958"</f>
        <v>1346943958</v>
      </c>
      <c r="C15991" t="str">
        <f t="shared" si="405"/>
        <v>363L00000X</v>
      </c>
      <c r="D15991" t="str">
        <f>"SMITH                    CHASE                    "</f>
        <v xml:space="preserve">SMITH                    CHASE                    </v>
      </c>
      <c r="E15991" t="str">
        <f>"GULFPORT                  "</f>
        <v xml:space="preserve">GULFPORT                  </v>
      </c>
      <c r="F15991" t="str">
        <f t="shared" si="404"/>
        <v>MS</v>
      </c>
    </row>
    <row r="15992" spans="1:6" x14ac:dyDescent="0.25">
      <c r="A15992" t="str">
        <f>"200006604"</f>
        <v>200006604</v>
      </c>
      <c r="B15992" t="str">
        <f>"1386830230"</f>
        <v>1386830230</v>
      </c>
      <c r="C15992" t="str">
        <f>"207Q00000X"</f>
        <v>207Q00000X</v>
      </c>
      <c r="D15992" t="str">
        <f>"SHAHID                   AAMINA                   "</f>
        <v xml:space="preserve">SHAHID                   AAMINA                   </v>
      </c>
      <c r="E15992" t="str">
        <f>"SOUTHAVEN                 "</f>
        <v xml:space="preserve">SOUTHAVEN                 </v>
      </c>
      <c r="F15992" t="str">
        <f t="shared" si="404"/>
        <v>MS</v>
      </c>
    </row>
    <row r="15993" spans="1:6" x14ac:dyDescent="0.25">
      <c r="A15993" t="str">
        <f>"200006606"</f>
        <v>200006606</v>
      </c>
      <c r="B15993" t="str">
        <f>"1467147850"</f>
        <v>1467147850</v>
      </c>
      <c r="C15993" t="str">
        <f>"207Q00000X"</f>
        <v>207Q00000X</v>
      </c>
      <c r="D15993" t="str">
        <f>"GOMEZ                    OLIVER       D           "</f>
        <v xml:space="preserve">GOMEZ                    OLIVER       D           </v>
      </c>
      <c r="E15993" t="str">
        <f>"JACKSON                   "</f>
        <v xml:space="preserve">JACKSON                   </v>
      </c>
      <c r="F15993" t="str">
        <f t="shared" si="404"/>
        <v>MS</v>
      </c>
    </row>
    <row r="15994" spans="1:6" x14ac:dyDescent="0.25">
      <c r="A15994" t="str">
        <f>"200006610"</f>
        <v>200006610</v>
      </c>
      <c r="B15994" t="str">
        <f>"1609570449"</f>
        <v>1609570449</v>
      </c>
      <c r="C15994" t="str">
        <f>"207R00000X"</f>
        <v>207R00000X</v>
      </c>
      <c r="D15994" t="str">
        <f>"DISMUKES                 JONATHAN     E           "</f>
        <v xml:space="preserve">DISMUKES                 JONATHAN     E           </v>
      </c>
      <c r="E15994" t="str">
        <f>"JACKSON                   "</f>
        <v xml:space="preserve">JACKSON                   </v>
      </c>
      <c r="F15994" t="str">
        <f t="shared" si="404"/>
        <v>MS</v>
      </c>
    </row>
    <row r="15995" spans="1:6" x14ac:dyDescent="0.25">
      <c r="A15995" t="str">
        <f>"200006621"</f>
        <v>200006621</v>
      </c>
      <c r="B15995" t="str">
        <f>"1104894880"</f>
        <v>1104894880</v>
      </c>
      <c r="C15995" t="str">
        <f>"207R00000X"</f>
        <v>207R00000X</v>
      </c>
      <c r="D15995" t="str">
        <f>"BARAKAT                  RUBA                     "</f>
        <v xml:space="preserve">BARAKAT                  RUBA                     </v>
      </c>
      <c r="E15995" t="str">
        <f>"GRENADA                   "</f>
        <v xml:space="preserve">GRENADA                   </v>
      </c>
      <c r="F15995" t="str">
        <f t="shared" si="404"/>
        <v>MS</v>
      </c>
    </row>
    <row r="15996" spans="1:6" x14ac:dyDescent="0.25">
      <c r="A15996" t="str">
        <f>"200006622"</f>
        <v>200006622</v>
      </c>
      <c r="B15996" t="str">
        <f>"1285276618"</f>
        <v>1285276618</v>
      </c>
      <c r="C15996" t="str">
        <f>"363L00000X"</f>
        <v>363L00000X</v>
      </c>
      <c r="D15996" t="str">
        <f>"CHATMAN                  RENATA       D           "</f>
        <v xml:space="preserve">CHATMAN                  RENATA       D           </v>
      </c>
      <c r="E15996" t="str">
        <f>"RIDGELAND                 "</f>
        <v xml:space="preserve">RIDGELAND                 </v>
      </c>
      <c r="F15996" t="str">
        <f t="shared" si="404"/>
        <v>MS</v>
      </c>
    </row>
    <row r="15997" spans="1:6" x14ac:dyDescent="0.25">
      <c r="A15997" t="str">
        <f>"200006625"</f>
        <v>200006625</v>
      </c>
      <c r="B15997" t="str">
        <f>"1922701119"</f>
        <v>1922701119</v>
      </c>
      <c r="C15997" t="str">
        <f>"2084P0800X"</f>
        <v>2084P0800X</v>
      </c>
      <c r="D15997" t="str">
        <f>"DUTERTE                  PRINCESS     C           "</f>
        <v xml:space="preserve">DUTERTE                  PRINCESS     C           </v>
      </c>
      <c r="E15997" t="str">
        <f>"JACKSON                   "</f>
        <v xml:space="preserve">JACKSON                   </v>
      </c>
      <c r="F15997" t="str">
        <f t="shared" si="404"/>
        <v>MS</v>
      </c>
    </row>
    <row r="15998" spans="1:6" x14ac:dyDescent="0.25">
      <c r="A15998" t="str">
        <f>"200006627"</f>
        <v>200006627</v>
      </c>
      <c r="B15998" t="str">
        <f>"1851480453"</f>
        <v>1851480453</v>
      </c>
      <c r="C15998" t="str">
        <f>"208800000X"</f>
        <v>208800000X</v>
      </c>
      <c r="D15998" t="str">
        <f>"CABALLERO                RAMON        L           "</f>
        <v xml:space="preserve">CABALLERO                RAMON        L           </v>
      </c>
      <c r="E15998" t="str">
        <f>"VICKSBURG                 "</f>
        <v xml:space="preserve">VICKSBURG                 </v>
      </c>
      <c r="F15998" t="str">
        <f t="shared" ref="F15998:F16061" si="406">"MS"</f>
        <v>MS</v>
      </c>
    </row>
    <row r="15999" spans="1:6" x14ac:dyDescent="0.25">
      <c r="A15999" t="str">
        <f>"200006629"</f>
        <v>200006629</v>
      </c>
      <c r="B15999" t="str">
        <f>"1881478584"</f>
        <v>1881478584</v>
      </c>
      <c r="C15999" t="str">
        <f>"363L00000X"</f>
        <v>363L00000X</v>
      </c>
      <c r="D15999" t="str">
        <f>"KEATON                   EKEISTA                  "</f>
        <v xml:space="preserve">KEATON                   EKEISTA                  </v>
      </c>
      <c r="E15999" t="str">
        <f>"HATTIESBURG               "</f>
        <v xml:space="preserve">HATTIESBURG               </v>
      </c>
      <c r="F15999" t="str">
        <f t="shared" si="406"/>
        <v>MS</v>
      </c>
    </row>
    <row r="16000" spans="1:6" x14ac:dyDescent="0.25">
      <c r="A16000" t="str">
        <f>"200006650"</f>
        <v>200006650</v>
      </c>
      <c r="B16000" t="str">
        <f>"1285939322"</f>
        <v>1285939322</v>
      </c>
      <c r="C16000" t="str">
        <f>"122300000X"</f>
        <v>122300000X</v>
      </c>
      <c r="D16000" t="str">
        <f>"GRANGER                  LEKEBA       T           "</f>
        <v xml:space="preserve">GRANGER                  LEKEBA       T           </v>
      </c>
      <c r="E16000" t="str">
        <f>"FAYETTE                   "</f>
        <v xml:space="preserve">FAYETTE                   </v>
      </c>
      <c r="F16000" t="str">
        <f t="shared" si="406"/>
        <v>MS</v>
      </c>
    </row>
    <row r="16001" spans="1:6" x14ac:dyDescent="0.25">
      <c r="A16001" t="str">
        <f>"200006660"</f>
        <v>200006660</v>
      </c>
      <c r="B16001" t="str">
        <f>"1417110990"</f>
        <v>1417110990</v>
      </c>
      <c r="C16001" t="str">
        <f>"2085R0202X"</f>
        <v>2085R0202X</v>
      </c>
      <c r="D16001" t="str">
        <f>"ROBERTS                  JOHN         V           "</f>
        <v xml:space="preserve">ROBERTS                  JOHN         V           </v>
      </c>
      <c r="E16001" t="str">
        <f>"CALHOUN CITY              "</f>
        <v xml:space="preserve">CALHOUN CITY              </v>
      </c>
      <c r="F16001" t="str">
        <f t="shared" si="406"/>
        <v>MS</v>
      </c>
    </row>
    <row r="16002" spans="1:6" x14ac:dyDescent="0.25">
      <c r="A16002" t="str">
        <f>"200006669"</f>
        <v>200006669</v>
      </c>
      <c r="B16002" t="str">
        <f>"1891727640"</f>
        <v>1891727640</v>
      </c>
      <c r="C16002" t="str">
        <f>"207R00000X"</f>
        <v>207R00000X</v>
      </c>
      <c r="D16002" t="str">
        <f>"FARMER                   JOHN         C           "</f>
        <v xml:space="preserve">FARMER                   JOHN         C           </v>
      </c>
      <c r="E16002" t="str">
        <f>"CANTON                    "</f>
        <v xml:space="preserve">CANTON                    </v>
      </c>
      <c r="F16002" t="str">
        <f t="shared" si="406"/>
        <v>MS</v>
      </c>
    </row>
    <row r="16003" spans="1:6" x14ac:dyDescent="0.25">
      <c r="A16003" t="str">
        <f>"200006671"</f>
        <v>200006671</v>
      </c>
      <c r="B16003" t="str">
        <f>"1992491203"</f>
        <v>1992491203</v>
      </c>
      <c r="C16003" t="str">
        <f>"363L00000X"</f>
        <v>363L00000X</v>
      </c>
      <c r="D16003" t="str">
        <f>"MORGAN                   JAMES        B           "</f>
        <v xml:space="preserve">MORGAN                   JAMES        B           </v>
      </c>
      <c r="E16003" t="str">
        <f>"NEW ALBANY                "</f>
        <v xml:space="preserve">NEW ALBANY                </v>
      </c>
      <c r="F16003" t="str">
        <f t="shared" si="406"/>
        <v>MS</v>
      </c>
    </row>
    <row r="16004" spans="1:6" x14ac:dyDescent="0.25">
      <c r="A16004" t="str">
        <f>"200006673"</f>
        <v>200006673</v>
      </c>
      <c r="B16004" t="str">
        <f>"1720779846"</f>
        <v>1720779846</v>
      </c>
      <c r="C16004" t="str">
        <f>"363L00000X"</f>
        <v>363L00000X</v>
      </c>
      <c r="D16004" t="str">
        <f>"FOX                      ELSA                     "</f>
        <v xml:space="preserve">FOX                      ELSA                     </v>
      </c>
      <c r="E16004" t="str">
        <f>"JACKSON                   "</f>
        <v xml:space="preserve">JACKSON                   </v>
      </c>
      <c r="F16004" t="str">
        <f t="shared" si="406"/>
        <v>MS</v>
      </c>
    </row>
    <row r="16005" spans="1:6" x14ac:dyDescent="0.25">
      <c r="A16005" t="str">
        <f>"200006681"</f>
        <v>200006681</v>
      </c>
      <c r="B16005" t="str">
        <f>"1306439112"</f>
        <v>1306439112</v>
      </c>
      <c r="C16005" t="str">
        <f>"363L00000X"</f>
        <v>363L00000X</v>
      </c>
      <c r="D16005" t="str">
        <f>"JAMES                    MADISON      L           "</f>
        <v xml:space="preserve">JAMES                    MADISON      L           </v>
      </c>
      <c r="E16005" t="str">
        <f>"IUKA                      "</f>
        <v xml:space="preserve">IUKA                      </v>
      </c>
      <c r="F16005" t="str">
        <f t="shared" si="406"/>
        <v>MS</v>
      </c>
    </row>
    <row r="16006" spans="1:6" x14ac:dyDescent="0.25">
      <c r="A16006" t="str">
        <f>"200006682"</f>
        <v>200006682</v>
      </c>
      <c r="B16006" t="str">
        <f>"1598469066"</f>
        <v>1598469066</v>
      </c>
      <c r="C16006" t="str">
        <f>"363L00000X"</f>
        <v>363L00000X</v>
      </c>
      <c r="D16006" t="str">
        <f>"MIMS                     DIANA                    "</f>
        <v xml:space="preserve">MIMS                     DIANA                    </v>
      </c>
      <c r="E16006" t="str">
        <f>"GREENWOOD                 "</f>
        <v xml:space="preserve">GREENWOOD                 </v>
      </c>
      <c r="F16006" t="str">
        <f t="shared" si="406"/>
        <v>MS</v>
      </c>
    </row>
    <row r="16007" spans="1:6" x14ac:dyDescent="0.25">
      <c r="A16007" t="str">
        <f>"200006683"</f>
        <v>200006683</v>
      </c>
      <c r="B16007" t="str">
        <f>"1548941669"</f>
        <v>1548941669</v>
      </c>
      <c r="C16007" t="str">
        <f>"363L00000X"</f>
        <v>363L00000X</v>
      </c>
      <c r="D16007" t="str">
        <f>"BURNSIDE                 GWENDOLYN    D           "</f>
        <v xml:space="preserve">BURNSIDE                 GWENDOLYN    D           </v>
      </c>
      <c r="E16007" t="str">
        <f>"CANTON                    "</f>
        <v xml:space="preserve">CANTON                    </v>
      </c>
      <c r="F16007" t="str">
        <f t="shared" si="406"/>
        <v>MS</v>
      </c>
    </row>
    <row r="16008" spans="1:6" x14ac:dyDescent="0.25">
      <c r="A16008" t="str">
        <f>"200006698"</f>
        <v>200006698</v>
      </c>
      <c r="B16008" t="str">
        <f>"1003471699"</f>
        <v>1003471699</v>
      </c>
      <c r="C16008" t="str">
        <f>"207R00000X"</f>
        <v>207R00000X</v>
      </c>
      <c r="D16008" t="str">
        <f>"MITCHELL                 KATELYN                  "</f>
        <v xml:space="preserve">MITCHELL                 KATELYN                  </v>
      </c>
      <c r="E16008" t="str">
        <f>"TUPELO                    "</f>
        <v xml:space="preserve">TUPELO                    </v>
      </c>
      <c r="F16008" t="str">
        <f t="shared" si="406"/>
        <v>MS</v>
      </c>
    </row>
    <row r="16009" spans="1:6" x14ac:dyDescent="0.25">
      <c r="A16009" t="str">
        <f>"200006702"</f>
        <v>200006702</v>
      </c>
      <c r="B16009" t="str">
        <f>"1124736038"</f>
        <v>1124736038</v>
      </c>
      <c r="C16009" t="str">
        <f>"363L00000X"</f>
        <v>363L00000X</v>
      </c>
      <c r="D16009" t="str">
        <f>"HAYS                     TABITHA                  "</f>
        <v xml:space="preserve">HAYS                     TABITHA                  </v>
      </c>
      <c r="E16009" t="str">
        <f>"GULFPORT                  "</f>
        <v xml:space="preserve">GULFPORT                  </v>
      </c>
      <c r="F16009" t="str">
        <f t="shared" si="406"/>
        <v>MS</v>
      </c>
    </row>
    <row r="16010" spans="1:6" x14ac:dyDescent="0.25">
      <c r="A16010" t="str">
        <f>"200006707"</f>
        <v>200006707</v>
      </c>
      <c r="B16010" t="str">
        <f>"1114600764"</f>
        <v>1114600764</v>
      </c>
      <c r="C16010" t="str">
        <f>"363L00000X"</f>
        <v>363L00000X</v>
      </c>
      <c r="D16010" t="str">
        <f>"PRATHER                  NASHELLA                 "</f>
        <v xml:space="preserve">PRATHER                  NASHELLA                 </v>
      </c>
      <c r="E16010" t="str">
        <f>"RIPLEY                    "</f>
        <v xml:space="preserve">RIPLEY                    </v>
      </c>
      <c r="F16010" t="str">
        <f t="shared" si="406"/>
        <v>MS</v>
      </c>
    </row>
    <row r="16011" spans="1:6" x14ac:dyDescent="0.25">
      <c r="A16011" t="str">
        <f>"200006717"</f>
        <v>200006717</v>
      </c>
      <c r="B16011" t="str">
        <f>"1689088403"</f>
        <v>1689088403</v>
      </c>
      <c r="C16011" t="str">
        <f>"207R00000X"</f>
        <v>207R00000X</v>
      </c>
      <c r="D16011" t="str">
        <f>"DWAL                     ASHRAF                   "</f>
        <v xml:space="preserve">DWAL                     ASHRAF                   </v>
      </c>
      <c r="E16011" t="str">
        <f>"GULFPORT                  "</f>
        <v xml:space="preserve">GULFPORT                  </v>
      </c>
      <c r="F16011" t="str">
        <f t="shared" si="406"/>
        <v>MS</v>
      </c>
    </row>
    <row r="16012" spans="1:6" x14ac:dyDescent="0.25">
      <c r="A16012" t="str">
        <f>"200006721"</f>
        <v>200006721</v>
      </c>
      <c r="B16012" t="str">
        <f>"1891020079"</f>
        <v>1891020079</v>
      </c>
      <c r="C16012" t="str">
        <f>"207RC0000X"</f>
        <v>207RC0000X</v>
      </c>
      <c r="D16012" t="str">
        <f>"HEART                    RAMI                     "</f>
        <v xml:space="preserve">HEART                    RAMI                     </v>
      </c>
      <c r="E16012" t="str">
        <f>"HATTIESBURG               "</f>
        <v xml:space="preserve">HATTIESBURG               </v>
      </c>
      <c r="F16012" t="str">
        <f t="shared" si="406"/>
        <v>MS</v>
      </c>
    </row>
    <row r="16013" spans="1:6" x14ac:dyDescent="0.25">
      <c r="A16013" t="str">
        <f>"200006724"</f>
        <v>200006724</v>
      </c>
      <c r="B16013" t="str">
        <f>"1629509781"</f>
        <v>1629509781</v>
      </c>
      <c r="C16013" t="str">
        <f>"208M00000X"</f>
        <v>208M00000X</v>
      </c>
      <c r="D16013" t="str">
        <f>"NATHANI                  KARISHMA                 "</f>
        <v xml:space="preserve">NATHANI                  KARISHMA                 </v>
      </c>
      <c r="E16013" t="str">
        <f>"SOUTHAVEN                 "</f>
        <v xml:space="preserve">SOUTHAVEN                 </v>
      </c>
      <c r="F16013" t="str">
        <f t="shared" si="406"/>
        <v>MS</v>
      </c>
    </row>
    <row r="16014" spans="1:6" x14ac:dyDescent="0.25">
      <c r="A16014" t="str">
        <f>"200006734"</f>
        <v>200006734</v>
      </c>
      <c r="B16014" t="str">
        <f>"1689014920"</f>
        <v>1689014920</v>
      </c>
      <c r="C16014" t="str">
        <f>"207P00000X"</f>
        <v>207P00000X</v>
      </c>
      <c r="D16014" t="str">
        <f>"BERRIOS                  MATTHEW                  "</f>
        <v xml:space="preserve">BERRIOS                  MATTHEW                  </v>
      </c>
      <c r="E16014" t="str">
        <f>"MADISON                   "</f>
        <v xml:space="preserve">MADISON                   </v>
      </c>
      <c r="F16014" t="str">
        <f t="shared" si="406"/>
        <v>MS</v>
      </c>
    </row>
    <row r="16015" spans="1:6" x14ac:dyDescent="0.25">
      <c r="A16015" t="str">
        <f>"200006753"</f>
        <v>200006753</v>
      </c>
      <c r="B16015" t="str">
        <f>"1982337085"</f>
        <v>1982337085</v>
      </c>
      <c r="C16015" t="str">
        <f>"152W00000X"</f>
        <v>152W00000X</v>
      </c>
      <c r="D16015" t="str">
        <f>"STEELE                   RACHEL                   "</f>
        <v xml:space="preserve">STEELE                   RACHEL                   </v>
      </c>
      <c r="E16015" t="str">
        <f>"OXFORD                    "</f>
        <v xml:space="preserve">OXFORD                    </v>
      </c>
      <c r="F16015" t="str">
        <f t="shared" si="406"/>
        <v>MS</v>
      </c>
    </row>
    <row r="16016" spans="1:6" x14ac:dyDescent="0.25">
      <c r="A16016" t="str">
        <f>"200006781"</f>
        <v>200006781</v>
      </c>
      <c r="B16016" t="str">
        <f>"1770847154"</f>
        <v>1770847154</v>
      </c>
      <c r="C16016" t="str">
        <f>"208VP0014X"</f>
        <v>208VP0014X</v>
      </c>
      <c r="D16016" t="str">
        <f>"MCGAUGHEY                RYAN                     "</f>
        <v xml:space="preserve">MCGAUGHEY                RYAN                     </v>
      </c>
      <c r="E16016" t="str">
        <f>"JACKSON                   "</f>
        <v xml:space="preserve">JACKSON                   </v>
      </c>
      <c r="F16016" t="str">
        <f t="shared" si="406"/>
        <v>MS</v>
      </c>
    </row>
    <row r="16017" spans="1:6" x14ac:dyDescent="0.25">
      <c r="A16017" t="str">
        <f>"200006783"</f>
        <v>200006783</v>
      </c>
      <c r="B16017" t="str">
        <f>"1770847154"</f>
        <v>1770847154</v>
      </c>
      <c r="C16017" t="str">
        <f>"207LP2900X"</f>
        <v>207LP2900X</v>
      </c>
      <c r="D16017" t="str">
        <f>"MCGAUGHEY                RYAN                     "</f>
        <v xml:space="preserve">MCGAUGHEY                RYAN                     </v>
      </c>
      <c r="E16017" t="str">
        <f>"GREENVILLE                "</f>
        <v xml:space="preserve">GREENVILLE                </v>
      </c>
      <c r="F16017" t="str">
        <f t="shared" si="406"/>
        <v>MS</v>
      </c>
    </row>
    <row r="16018" spans="1:6" x14ac:dyDescent="0.25">
      <c r="A16018" t="str">
        <f>"200006788"</f>
        <v>200006788</v>
      </c>
      <c r="B16018" t="str">
        <f>"1134876972"</f>
        <v>1134876972</v>
      </c>
      <c r="C16018" t="str">
        <f>"363L00000X"</f>
        <v>363L00000X</v>
      </c>
      <c r="D16018" t="str">
        <f>"FOSTER                   KRISTEN      D           "</f>
        <v xml:space="preserve">FOSTER                   KRISTEN      D           </v>
      </c>
      <c r="E16018" t="str">
        <f>"JACKSON                   "</f>
        <v xml:space="preserve">JACKSON                   </v>
      </c>
      <c r="F16018" t="str">
        <f t="shared" si="406"/>
        <v>MS</v>
      </c>
    </row>
    <row r="16019" spans="1:6" x14ac:dyDescent="0.25">
      <c r="A16019" t="str">
        <f>"200006804"</f>
        <v>200006804</v>
      </c>
      <c r="B16019" t="str">
        <f>"1497864169"</f>
        <v>1497864169</v>
      </c>
      <c r="C16019" t="str">
        <f>"207V00000X"</f>
        <v>207V00000X</v>
      </c>
      <c r="D16019" t="str">
        <f>"ATTIPOE                  NOBEL                    "</f>
        <v xml:space="preserve">ATTIPOE                  NOBEL                    </v>
      </c>
      <c r="E16019" t="str">
        <f>"JACKSON                   "</f>
        <v xml:space="preserve">JACKSON                   </v>
      </c>
      <c r="F16019" t="str">
        <f t="shared" si="406"/>
        <v>MS</v>
      </c>
    </row>
    <row r="16020" spans="1:6" x14ac:dyDescent="0.25">
      <c r="A16020" t="str">
        <f>"200006828"</f>
        <v>200006828</v>
      </c>
      <c r="B16020" t="str">
        <f>"1548482482"</f>
        <v>1548482482</v>
      </c>
      <c r="C16020" t="str">
        <f>"207N00000X"</f>
        <v>207N00000X</v>
      </c>
      <c r="D16020" t="str">
        <f>"WALTERS                  ROBERT       W           "</f>
        <v xml:space="preserve">WALTERS                  ROBERT       W           </v>
      </c>
      <c r="E16020" t="str">
        <f>"LAUREL                    "</f>
        <v xml:space="preserve">LAUREL                    </v>
      </c>
      <c r="F16020" t="str">
        <f t="shared" si="406"/>
        <v>MS</v>
      </c>
    </row>
    <row r="16021" spans="1:6" x14ac:dyDescent="0.25">
      <c r="A16021" t="str">
        <f>"200006832"</f>
        <v>200006832</v>
      </c>
      <c r="B16021" t="str">
        <f>"1699030825"</f>
        <v>1699030825</v>
      </c>
      <c r="C16021" t="str">
        <f>"207RN0300X"</f>
        <v>207RN0300X</v>
      </c>
      <c r="D16021" t="str">
        <f>"GUMMADI                  ASHISH                   "</f>
        <v xml:space="preserve">GUMMADI                  ASHISH                   </v>
      </c>
      <c r="E16021" t="str">
        <f>"JACKSON                   "</f>
        <v xml:space="preserve">JACKSON                   </v>
      </c>
      <c r="F16021" t="str">
        <f t="shared" si="406"/>
        <v>MS</v>
      </c>
    </row>
    <row r="16022" spans="1:6" x14ac:dyDescent="0.25">
      <c r="A16022" t="str">
        <f>"200006836"</f>
        <v>200006836</v>
      </c>
      <c r="B16022" t="str">
        <f>"1679596613"</f>
        <v>1679596613</v>
      </c>
      <c r="C16022" t="str">
        <f>"207Q00000X"</f>
        <v>207Q00000X</v>
      </c>
      <c r="D16022" t="str">
        <f>"BISHOP                   KELLEY       M           "</f>
        <v xml:space="preserve">BISHOP                   KELLEY       M           </v>
      </c>
      <c r="E16022" t="str">
        <f>"CLINTON                   "</f>
        <v xml:space="preserve">CLINTON                   </v>
      </c>
      <c r="F16022" t="str">
        <f t="shared" si="406"/>
        <v>MS</v>
      </c>
    </row>
    <row r="16023" spans="1:6" x14ac:dyDescent="0.25">
      <c r="A16023" t="str">
        <f>"200006845"</f>
        <v>200006845</v>
      </c>
      <c r="B16023" t="str">
        <f>"1760185847"</f>
        <v>1760185847</v>
      </c>
      <c r="C16023" t="str">
        <f>"2084N0400X"</f>
        <v>2084N0400X</v>
      </c>
      <c r="D16023" t="str">
        <f>"GORDON                   CAMERON      J           "</f>
        <v xml:space="preserve">GORDON                   CAMERON      J           </v>
      </c>
      <c r="E16023" t="str">
        <f>"JACKSON                   "</f>
        <v xml:space="preserve">JACKSON                   </v>
      </c>
      <c r="F16023" t="str">
        <f t="shared" si="406"/>
        <v>MS</v>
      </c>
    </row>
    <row r="16024" spans="1:6" x14ac:dyDescent="0.25">
      <c r="A16024" t="str">
        <f>"200006846"</f>
        <v>200006846</v>
      </c>
      <c r="B16024" t="str">
        <f>"1295439172"</f>
        <v>1295439172</v>
      </c>
      <c r="C16024" t="str">
        <f>"207Y00000X"</f>
        <v>207Y00000X</v>
      </c>
      <c r="D16024" t="str">
        <f>"FOWLER                   BROOKE       C           "</f>
        <v xml:space="preserve">FOWLER                   BROOKE       C           </v>
      </c>
      <c r="E16024" t="str">
        <f>"JACKSON                   "</f>
        <v xml:space="preserve">JACKSON                   </v>
      </c>
      <c r="F16024" t="str">
        <f t="shared" si="406"/>
        <v>MS</v>
      </c>
    </row>
    <row r="16025" spans="1:6" x14ac:dyDescent="0.25">
      <c r="A16025" t="str">
        <f>"200006853"</f>
        <v>200006853</v>
      </c>
      <c r="B16025" t="str">
        <f>"1538872379"</f>
        <v>1538872379</v>
      </c>
      <c r="C16025" t="str">
        <f>"363L00000X"</f>
        <v>363L00000X</v>
      </c>
      <c r="D16025" t="str">
        <f>"NIGHTENGALE              SHARON                   "</f>
        <v xml:space="preserve">NIGHTENGALE              SHARON                   </v>
      </c>
      <c r="E16025" t="str">
        <f>"HATTIESBURG               "</f>
        <v xml:space="preserve">HATTIESBURG               </v>
      </c>
      <c r="F16025" t="str">
        <f t="shared" si="406"/>
        <v>MS</v>
      </c>
    </row>
    <row r="16026" spans="1:6" x14ac:dyDescent="0.25">
      <c r="A16026" t="str">
        <f>"200006868"</f>
        <v>200006868</v>
      </c>
      <c r="B16026" t="str">
        <f>"1598385130"</f>
        <v>1598385130</v>
      </c>
      <c r="C16026" t="str">
        <f>"363L00000X"</f>
        <v>363L00000X</v>
      </c>
      <c r="D16026" t="str">
        <f>"LEE                      CHRISTY                  "</f>
        <v xml:space="preserve">LEE                      CHRISTY                  </v>
      </c>
      <c r="E16026" t="str">
        <f>"FLOWOOD                   "</f>
        <v xml:space="preserve">FLOWOOD                   </v>
      </c>
      <c r="F16026" t="str">
        <f t="shared" si="406"/>
        <v>MS</v>
      </c>
    </row>
    <row r="16027" spans="1:6" x14ac:dyDescent="0.25">
      <c r="A16027" t="str">
        <f>"200006876"</f>
        <v>200006876</v>
      </c>
      <c r="B16027" t="str">
        <f>"1407631492"</f>
        <v>1407631492</v>
      </c>
      <c r="C16027" t="str">
        <f>"152W00000X"</f>
        <v>152W00000X</v>
      </c>
      <c r="D16027" t="str">
        <f>"GATES                    MCKENZIE     L           "</f>
        <v xml:space="preserve">GATES                    MCKENZIE     L           </v>
      </c>
      <c r="E16027" t="str">
        <f>"PONTOTOC                  "</f>
        <v xml:space="preserve">PONTOTOC                  </v>
      </c>
      <c r="F16027" t="str">
        <f t="shared" si="406"/>
        <v>MS</v>
      </c>
    </row>
    <row r="16028" spans="1:6" x14ac:dyDescent="0.25">
      <c r="A16028" t="str">
        <f>"200006880"</f>
        <v>200006880</v>
      </c>
      <c r="B16028" t="str">
        <f>"1841209194"</f>
        <v>1841209194</v>
      </c>
      <c r="C16028" t="str">
        <f>"207RI0200X"</f>
        <v>207RI0200X</v>
      </c>
      <c r="D16028" t="str">
        <f>"NGUYEN                   MARIA                    "</f>
        <v xml:space="preserve">NGUYEN                   MARIA                    </v>
      </c>
      <c r="E16028" t="str">
        <f>"CORINTH                   "</f>
        <v xml:space="preserve">CORINTH                   </v>
      </c>
      <c r="F16028" t="str">
        <f t="shared" si="406"/>
        <v>MS</v>
      </c>
    </row>
    <row r="16029" spans="1:6" x14ac:dyDescent="0.25">
      <c r="A16029" t="str">
        <f>"200006885"</f>
        <v>200006885</v>
      </c>
      <c r="B16029" t="str">
        <f>"1255009114"</f>
        <v>1255009114</v>
      </c>
      <c r="C16029" t="str">
        <f>"363L00000X"</f>
        <v>363L00000X</v>
      </c>
      <c r="D16029" t="str">
        <f>"HARRIS                   JOHN                     "</f>
        <v xml:space="preserve">HARRIS                   JOHN                     </v>
      </c>
      <c r="E16029" t="str">
        <f>"LAUREL                    "</f>
        <v xml:space="preserve">LAUREL                    </v>
      </c>
      <c r="F16029" t="str">
        <f t="shared" si="406"/>
        <v>MS</v>
      </c>
    </row>
    <row r="16030" spans="1:6" x14ac:dyDescent="0.25">
      <c r="A16030" t="str">
        <f>"200006888"</f>
        <v>200006888</v>
      </c>
      <c r="B16030" t="str">
        <f>"1457034803"</f>
        <v>1457034803</v>
      </c>
      <c r="C16030" t="str">
        <f>"363L00000X"</f>
        <v>363L00000X</v>
      </c>
      <c r="D16030" t="str">
        <f>"JOHNSON                  VERNICE                  "</f>
        <v xml:space="preserve">JOHNSON                  VERNICE                  </v>
      </c>
      <c r="E16030" t="str">
        <f>"BATESVILLE                "</f>
        <v xml:space="preserve">BATESVILLE                </v>
      </c>
      <c r="F16030" t="str">
        <f t="shared" si="406"/>
        <v>MS</v>
      </c>
    </row>
    <row r="16031" spans="1:6" x14ac:dyDescent="0.25">
      <c r="A16031" t="str">
        <f>"200006890"</f>
        <v>200006890</v>
      </c>
      <c r="B16031" t="str">
        <f>"1962197707"</f>
        <v>1962197707</v>
      </c>
      <c r="C16031" t="str">
        <f>"208600000X"</f>
        <v>208600000X</v>
      </c>
      <c r="D16031" t="str">
        <f>"GREENE                   DALLAS       A           "</f>
        <v xml:space="preserve">GREENE                   DALLAS       A           </v>
      </c>
      <c r="E16031" t="str">
        <f>"JACKSON                   "</f>
        <v xml:space="preserve">JACKSON                   </v>
      </c>
      <c r="F16031" t="str">
        <f t="shared" si="406"/>
        <v>MS</v>
      </c>
    </row>
    <row r="16032" spans="1:6" x14ac:dyDescent="0.25">
      <c r="A16032" t="str">
        <f>"200006898"</f>
        <v>200006898</v>
      </c>
      <c r="B16032" t="str">
        <f>"1376948075"</f>
        <v>1376948075</v>
      </c>
      <c r="C16032" t="str">
        <f>"363L00000X"</f>
        <v>363L00000X</v>
      </c>
      <c r="D16032" t="str">
        <f>"SHAW                     SHAQUITA     D           "</f>
        <v xml:space="preserve">SHAW                     SHAQUITA     D           </v>
      </c>
      <c r="E16032" t="str">
        <f>"FLOWOOD                   "</f>
        <v xml:space="preserve">FLOWOOD                   </v>
      </c>
      <c r="F16032" t="str">
        <f t="shared" si="406"/>
        <v>MS</v>
      </c>
    </row>
    <row r="16033" spans="1:6" x14ac:dyDescent="0.25">
      <c r="A16033" t="str">
        <f>"200006900"</f>
        <v>200006900</v>
      </c>
      <c r="B16033" t="str">
        <f>"1124703251"</f>
        <v>1124703251</v>
      </c>
      <c r="C16033" t="str">
        <f>"363L00000X"</f>
        <v>363L00000X</v>
      </c>
      <c r="D16033" t="str">
        <f>"CATCHINGS                LAQUWANDA    D           "</f>
        <v xml:space="preserve">CATCHINGS                LAQUWANDA    D           </v>
      </c>
      <c r="E16033" t="str">
        <f>"FLOWOOD                   "</f>
        <v xml:space="preserve">FLOWOOD                   </v>
      </c>
      <c r="F16033" t="str">
        <f t="shared" si="406"/>
        <v>MS</v>
      </c>
    </row>
    <row r="16034" spans="1:6" x14ac:dyDescent="0.25">
      <c r="A16034" t="str">
        <f>"200006910"</f>
        <v>200006910</v>
      </c>
      <c r="B16034" t="str">
        <f>"1912612441"</f>
        <v>1912612441</v>
      </c>
      <c r="C16034" t="str">
        <f>"363L00000X"</f>
        <v>363L00000X</v>
      </c>
      <c r="D16034" t="str">
        <f>"WEBB                     DAWN                     "</f>
        <v xml:space="preserve">WEBB                     DAWN                     </v>
      </c>
      <c r="E16034" t="str">
        <f>"SOUTHAVEN                 "</f>
        <v xml:space="preserve">SOUTHAVEN                 </v>
      </c>
      <c r="F16034" t="str">
        <f t="shared" si="406"/>
        <v>MS</v>
      </c>
    </row>
    <row r="16035" spans="1:6" x14ac:dyDescent="0.25">
      <c r="A16035" t="str">
        <f>"200006911"</f>
        <v>200006911</v>
      </c>
      <c r="B16035" t="str">
        <f>"1275601015"</f>
        <v>1275601015</v>
      </c>
      <c r="C16035" t="str">
        <f>"2086S0129X"</f>
        <v>2086S0129X</v>
      </c>
      <c r="D16035" t="str">
        <f>"NETHERLAND               DONALD       E           "</f>
        <v xml:space="preserve">NETHERLAND               DONALD       E           </v>
      </c>
      <c r="E16035" t="str">
        <f>"BROOKHAVEN                "</f>
        <v xml:space="preserve">BROOKHAVEN                </v>
      </c>
      <c r="F16035" t="str">
        <f t="shared" si="406"/>
        <v>MS</v>
      </c>
    </row>
    <row r="16036" spans="1:6" x14ac:dyDescent="0.25">
      <c r="A16036" t="str">
        <f>"200006916"</f>
        <v>200006916</v>
      </c>
      <c r="B16036" t="str">
        <f>"1700198132"</f>
        <v>1700198132</v>
      </c>
      <c r="C16036" t="str">
        <f t="shared" ref="C16036:C16042" si="407">"363L00000X"</f>
        <v>363L00000X</v>
      </c>
      <c r="D16036" t="str">
        <f>"KAPIOTIS                 ALYCIA                   "</f>
        <v xml:space="preserve">KAPIOTIS                 ALYCIA                   </v>
      </c>
      <c r="E16036" t="str">
        <f>"GAUTIER                   "</f>
        <v xml:space="preserve">GAUTIER                   </v>
      </c>
      <c r="F16036" t="str">
        <f t="shared" si="406"/>
        <v>MS</v>
      </c>
    </row>
    <row r="16037" spans="1:6" x14ac:dyDescent="0.25">
      <c r="A16037" t="str">
        <f>"200006920"</f>
        <v>200006920</v>
      </c>
      <c r="B16037" t="str">
        <f>"1255063996"</f>
        <v>1255063996</v>
      </c>
      <c r="C16037" t="str">
        <f t="shared" si="407"/>
        <v>363L00000X</v>
      </c>
      <c r="D16037" t="str">
        <f>"RILEY                    ERIN                     "</f>
        <v xml:space="preserve">RILEY                    ERIN                     </v>
      </c>
      <c r="E16037" t="str">
        <f>"TYLERTOWN                 "</f>
        <v xml:space="preserve">TYLERTOWN                 </v>
      </c>
      <c r="F16037" t="str">
        <f t="shared" si="406"/>
        <v>MS</v>
      </c>
    </row>
    <row r="16038" spans="1:6" x14ac:dyDescent="0.25">
      <c r="A16038" t="str">
        <f>"200006927"</f>
        <v>200006927</v>
      </c>
      <c r="B16038" t="str">
        <f>"1215309133"</f>
        <v>1215309133</v>
      </c>
      <c r="C16038" t="str">
        <f t="shared" si="407"/>
        <v>363L00000X</v>
      </c>
      <c r="D16038" t="str">
        <f>"WHITACRE                 AMANDA                   "</f>
        <v xml:space="preserve">WHITACRE                 AMANDA                   </v>
      </c>
      <c r="E16038" t="str">
        <f>"FLOWOOD                   "</f>
        <v xml:space="preserve">FLOWOOD                   </v>
      </c>
      <c r="F16038" t="str">
        <f t="shared" si="406"/>
        <v>MS</v>
      </c>
    </row>
    <row r="16039" spans="1:6" x14ac:dyDescent="0.25">
      <c r="A16039" t="str">
        <f>"200006928"</f>
        <v>200006928</v>
      </c>
      <c r="B16039" t="str">
        <f>"1700586948"</f>
        <v>1700586948</v>
      </c>
      <c r="C16039" t="str">
        <f t="shared" si="407"/>
        <v>363L00000X</v>
      </c>
      <c r="D16039" t="str">
        <f>"GARNER                   PATRICIA                 "</f>
        <v xml:space="preserve">GARNER                   PATRICIA                 </v>
      </c>
      <c r="E16039" t="str">
        <f>"HATTIESBURG               "</f>
        <v xml:space="preserve">HATTIESBURG               </v>
      </c>
      <c r="F16039" t="str">
        <f t="shared" si="406"/>
        <v>MS</v>
      </c>
    </row>
    <row r="16040" spans="1:6" x14ac:dyDescent="0.25">
      <c r="A16040" t="str">
        <f>"200006929"</f>
        <v>200006929</v>
      </c>
      <c r="B16040" t="str">
        <f>"1083924252"</f>
        <v>1083924252</v>
      </c>
      <c r="C16040" t="str">
        <f t="shared" si="407"/>
        <v>363L00000X</v>
      </c>
      <c r="D16040" t="str">
        <f>"CATLEDGE                 SHARON                   "</f>
        <v xml:space="preserve">CATLEDGE                 SHARON                   </v>
      </c>
      <c r="E16040" t="str">
        <f>"SOUTHAVEN                 "</f>
        <v xml:space="preserve">SOUTHAVEN                 </v>
      </c>
      <c r="F16040" t="str">
        <f t="shared" si="406"/>
        <v>MS</v>
      </c>
    </row>
    <row r="16041" spans="1:6" x14ac:dyDescent="0.25">
      <c r="A16041" t="str">
        <f>"200006932"</f>
        <v>200006932</v>
      </c>
      <c r="B16041" t="str">
        <f>"1841953080"</f>
        <v>1841953080</v>
      </c>
      <c r="C16041" t="str">
        <f t="shared" si="407"/>
        <v>363L00000X</v>
      </c>
      <c r="D16041" t="str">
        <f>"WATKINS                  ERIN                     "</f>
        <v xml:space="preserve">WATKINS                  ERIN                     </v>
      </c>
      <c r="E16041" t="str">
        <f>"WALLS                     "</f>
        <v xml:space="preserve">WALLS                     </v>
      </c>
      <c r="F16041" t="str">
        <f t="shared" si="406"/>
        <v>MS</v>
      </c>
    </row>
    <row r="16042" spans="1:6" x14ac:dyDescent="0.25">
      <c r="A16042" t="str">
        <f>"200006941"</f>
        <v>200006941</v>
      </c>
      <c r="B16042" t="str">
        <f>"1013698513"</f>
        <v>1013698513</v>
      </c>
      <c r="C16042" t="str">
        <f t="shared" si="407"/>
        <v>363L00000X</v>
      </c>
      <c r="D16042" t="str">
        <f>"ILION-MCLAURIN           JEQUETTA                 "</f>
        <v xml:space="preserve">ILION-MCLAURIN           JEQUETTA                 </v>
      </c>
      <c r="E16042" t="str">
        <f>"JACKSON                   "</f>
        <v xml:space="preserve">JACKSON                   </v>
      </c>
      <c r="F16042" t="str">
        <f t="shared" si="406"/>
        <v>MS</v>
      </c>
    </row>
    <row r="16043" spans="1:6" x14ac:dyDescent="0.25">
      <c r="A16043" t="str">
        <f>"200006960"</f>
        <v>200006960</v>
      </c>
      <c r="B16043" t="str">
        <f>"1265798656"</f>
        <v>1265798656</v>
      </c>
      <c r="C16043" t="str">
        <f>"207R00000X"</f>
        <v>207R00000X</v>
      </c>
      <c r="D16043" t="str">
        <f>"SMITH                    CHARLES                  "</f>
        <v xml:space="preserve">SMITH                    CHARLES                  </v>
      </c>
      <c r="E16043" t="str">
        <f>"MADISON                   "</f>
        <v xml:space="preserve">MADISON                   </v>
      </c>
      <c r="F16043" t="str">
        <f t="shared" si="406"/>
        <v>MS</v>
      </c>
    </row>
    <row r="16044" spans="1:6" x14ac:dyDescent="0.25">
      <c r="A16044" t="str">
        <f>"200006975"</f>
        <v>200006975</v>
      </c>
      <c r="B16044" t="str">
        <f>"1306531413"</f>
        <v>1306531413</v>
      </c>
      <c r="C16044" t="str">
        <f>"363L00000X"</f>
        <v>363L00000X</v>
      </c>
      <c r="D16044" t="str">
        <f>"BRAUN                    SARAYA                   "</f>
        <v xml:space="preserve">BRAUN                    SARAYA                   </v>
      </c>
      <c r="E16044" t="str">
        <f>"OCEAN SPRINGS             "</f>
        <v xml:space="preserve">OCEAN SPRINGS             </v>
      </c>
      <c r="F16044" t="str">
        <f t="shared" si="406"/>
        <v>MS</v>
      </c>
    </row>
    <row r="16045" spans="1:6" x14ac:dyDescent="0.25">
      <c r="A16045" t="str">
        <f>"200006987"</f>
        <v>200006987</v>
      </c>
      <c r="B16045" t="str">
        <f>"1487438495"</f>
        <v>1487438495</v>
      </c>
      <c r="C16045" t="str">
        <f>"363LP0808X"</f>
        <v>363LP0808X</v>
      </c>
      <c r="D16045" t="str">
        <f>"THURMOND                 MIRANDA                  "</f>
        <v xml:space="preserve">THURMOND                 MIRANDA                  </v>
      </c>
      <c r="E16045" t="str">
        <f>"JACKSON                   "</f>
        <v xml:space="preserve">JACKSON                   </v>
      </c>
      <c r="F16045" t="str">
        <f t="shared" si="406"/>
        <v>MS</v>
      </c>
    </row>
    <row r="16046" spans="1:6" x14ac:dyDescent="0.25">
      <c r="A16046" t="str">
        <f>"200006990"</f>
        <v>200006990</v>
      </c>
      <c r="B16046" t="str">
        <f>"1902073216"</f>
        <v>1902073216</v>
      </c>
      <c r="C16046" t="str">
        <f>"2084P0800X"</f>
        <v>2084P0800X</v>
      </c>
      <c r="D16046" t="str">
        <f>"GELLER                   FELIX                    "</f>
        <v xml:space="preserve">GELLER                   FELIX                    </v>
      </c>
      <c r="E16046" t="str">
        <f>"PASCAGOULA                "</f>
        <v xml:space="preserve">PASCAGOULA                </v>
      </c>
      <c r="F16046" t="str">
        <f t="shared" si="406"/>
        <v>MS</v>
      </c>
    </row>
    <row r="16047" spans="1:6" x14ac:dyDescent="0.25">
      <c r="A16047" t="str">
        <f>"200006996"</f>
        <v>200006996</v>
      </c>
      <c r="B16047" t="str">
        <f>"1932585551"</f>
        <v>1932585551</v>
      </c>
      <c r="C16047" t="str">
        <f>"207RP1001X"</f>
        <v>207RP1001X</v>
      </c>
      <c r="D16047" t="str">
        <f>"KHAN                     ASAD                     "</f>
        <v xml:space="preserve">KHAN                     ASAD                     </v>
      </c>
      <c r="E16047" t="str">
        <f>"MERIDIAN                  "</f>
        <v xml:space="preserve">MERIDIAN                  </v>
      </c>
      <c r="F16047" t="str">
        <f t="shared" si="406"/>
        <v>MS</v>
      </c>
    </row>
    <row r="16048" spans="1:6" x14ac:dyDescent="0.25">
      <c r="A16048" t="str">
        <f>"200006997"</f>
        <v>200006997</v>
      </c>
      <c r="B16048" t="str">
        <f>"1932585551"</f>
        <v>1932585551</v>
      </c>
      <c r="C16048" t="str">
        <f>"207RC0200X"</f>
        <v>207RC0200X</v>
      </c>
      <c r="D16048" t="str">
        <f>"KHAN                     ASAD                     "</f>
        <v xml:space="preserve">KHAN                     ASAD                     </v>
      </c>
      <c r="E16048" t="str">
        <f>"MERIDIAN                  "</f>
        <v xml:space="preserve">MERIDIAN                  </v>
      </c>
      <c r="F16048" t="str">
        <f t="shared" si="406"/>
        <v>MS</v>
      </c>
    </row>
    <row r="16049" spans="1:6" x14ac:dyDescent="0.25">
      <c r="A16049" t="str">
        <f>"200007009"</f>
        <v>200007009</v>
      </c>
      <c r="B16049" t="str">
        <f>"1124796669"</f>
        <v>1124796669</v>
      </c>
      <c r="C16049" t="str">
        <f>"363L00000X"</f>
        <v>363L00000X</v>
      </c>
      <c r="D16049" t="str">
        <f>"LOWREY                   STACI                    "</f>
        <v xml:space="preserve">LOWREY                   STACI                    </v>
      </c>
      <c r="E16049" t="str">
        <f>"WALNUT                    "</f>
        <v xml:space="preserve">WALNUT                    </v>
      </c>
      <c r="F16049" t="str">
        <f t="shared" si="406"/>
        <v>MS</v>
      </c>
    </row>
    <row r="16050" spans="1:6" x14ac:dyDescent="0.25">
      <c r="A16050" t="str">
        <f>"200007021"</f>
        <v>200007021</v>
      </c>
      <c r="B16050" t="str">
        <f>"1639842644"</f>
        <v>1639842644</v>
      </c>
      <c r="C16050" t="str">
        <f>"363L00000X"</f>
        <v>363L00000X</v>
      </c>
      <c r="D16050" t="str">
        <f>"BAYLARK                  INGRAM                   "</f>
        <v xml:space="preserve">BAYLARK                  INGRAM                   </v>
      </c>
      <c r="E16050" t="str">
        <f>"FLOWOOD                   "</f>
        <v xml:space="preserve">FLOWOOD                   </v>
      </c>
      <c r="F16050" t="str">
        <f t="shared" si="406"/>
        <v>MS</v>
      </c>
    </row>
    <row r="16051" spans="1:6" x14ac:dyDescent="0.25">
      <c r="A16051" t="str">
        <f>"200007031"</f>
        <v>200007031</v>
      </c>
      <c r="B16051" t="str">
        <f>"1942902770"</f>
        <v>1942902770</v>
      </c>
      <c r="C16051" t="str">
        <f>"363L00000X"</f>
        <v>363L00000X</v>
      </c>
      <c r="D16051" t="str">
        <f>"TRAN                     VIVIAN                   "</f>
        <v xml:space="preserve">TRAN                     VIVIAN                   </v>
      </c>
      <c r="E16051" t="str">
        <f>"OCEAN SPRINGS             "</f>
        <v xml:space="preserve">OCEAN SPRINGS             </v>
      </c>
      <c r="F16051" t="str">
        <f t="shared" si="406"/>
        <v>MS</v>
      </c>
    </row>
    <row r="16052" spans="1:6" x14ac:dyDescent="0.25">
      <c r="A16052" t="str">
        <f>"200007036"</f>
        <v>200007036</v>
      </c>
      <c r="B16052" t="str">
        <f>"1962923862"</f>
        <v>1962923862</v>
      </c>
      <c r="C16052" t="str">
        <f>"208000000X"</f>
        <v>208000000X</v>
      </c>
      <c r="D16052" t="str">
        <f>"BORJAS MENDOZA           PAULO        A           "</f>
        <v xml:space="preserve">BORJAS MENDOZA           PAULO        A           </v>
      </c>
      <c r="E16052" t="str">
        <f>"JACKSON                   "</f>
        <v xml:space="preserve">JACKSON                   </v>
      </c>
      <c r="F16052" t="str">
        <f t="shared" si="406"/>
        <v>MS</v>
      </c>
    </row>
    <row r="16053" spans="1:6" x14ac:dyDescent="0.25">
      <c r="A16053" t="str">
        <f>"200007038"</f>
        <v>200007038</v>
      </c>
      <c r="B16053" t="str">
        <f>"1477248755"</f>
        <v>1477248755</v>
      </c>
      <c r="C16053" t="str">
        <f>"363L00000X"</f>
        <v>363L00000X</v>
      </c>
      <c r="D16053" t="str">
        <f>"MORGAN                   MEGAN                    "</f>
        <v xml:space="preserve">MORGAN                   MEGAN                    </v>
      </c>
      <c r="E16053" t="str">
        <f>"JACKSON                   "</f>
        <v xml:space="preserve">JACKSON                   </v>
      </c>
      <c r="F16053" t="str">
        <f t="shared" si="406"/>
        <v>MS</v>
      </c>
    </row>
    <row r="16054" spans="1:6" x14ac:dyDescent="0.25">
      <c r="A16054" t="str">
        <f>"200007039"</f>
        <v>200007039</v>
      </c>
      <c r="B16054" t="str">
        <f>"1437829777"</f>
        <v>1437829777</v>
      </c>
      <c r="C16054" t="str">
        <f>"261QF0400X"</f>
        <v>261QF0400X</v>
      </c>
      <c r="D16054" t="str">
        <f>"JACKSON-HINDS MEDICAL MOBILE UNIT 4               "</f>
        <v xml:space="preserve">JACKSON-HINDS MEDICAL MOBILE UNIT 4               </v>
      </c>
      <c r="E16054" t="str">
        <f>"JACKSON                   "</f>
        <v xml:space="preserve">JACKSON                   </v>
      </c>
      <c r="F16054" t="str">
        <f t="shared" si="406"/>
        <v>MS</v>
      </c>
    </row>
    <row r="16055" spans="1:6" x14ac:dyDescent="0.25">
      <c r="A16055" t="str">
        <f>"200007045"</f>
        <v>200007045</v>
      </c>
      <c r="B16055" t="str">
        <f>"1780209957"</f>
        <v>1780209957</v>
      </c>
      <c r="C16055" t="str">
        <f>"367500000X"</f>
        <v>367500000X</v>
      </c>
      <c r="D16055" t="str">
        <f>"O'DONNELL                STACEY                   "</f>
        <v xml:space="preserve">O'DONNELL                STACEY                   </v>
      </c>
      <c r="E16055" t="str">
        <f>"GULFPORT                  "</f>
        <v xml:space="preserve">GULFPORT                  </v>
      </c>
      <c r="F16055" t="str">
        <f t="shared" si="406"/>
        <v>MS</v>
      </c>
    </row>
    <row r="16056" spans="1:6" x14ac:dyDescent="0.25">
      <c r="A16056" t="str">
        <f>"200007062"</f>
        <v>200007062</v>
      </c>
      <c r="B16056" t="str">
        <f>"1629235759"</f>
        <v>1629235759</v>
      </c>
      <c r="C16056" t="str">
        <f>"207R00000X"</f>
        <v>207R00000X</v>
      </c>
      <c r="D16056" t="str">
        <f>"HEBOU                    ANNICK                   "</f>
        <v xml:space="preserve">HEBOU                    ANNICK                   </v>
      </c>
      <c r="E16056" t="str">
        <f>"MADISON                   "</f>
        <v xml:space="preserve">MADISON                   </v>
      </c>
      <c r="F16056" t="str">
        <f t="shared" si="406"/>
        <v>MS</v>
      </c>
    </row>
    <row r="16057" spans="1:6" x14ac:dyDescent="0.25">
      <c r="A16057" t="str">
        <f>"200007069"</f>
        <v>200007069</v>
      </c>
      <c r="B16057" t="str">
        <f>"1548963572"</f>
        <v>1548963572</v>
      </c>
      <c r="C16057" t="str">
        <f>"207V00000X"</f>
        <v>207V00000X</v>
      </c>
      <c r="D16057" t="str">
        <f>"WILLIAMS                 LINDLEY                  "</f>
        <v xml:space="preserve">WILLIAMS                 LINDLEY                  </v>
      </c>
      <c r="E16057" t="str">
        <f>"JACKSON                   "</f>
        <v xml:space="preserve">JACKSON                   </v>
      </c>
      <c r="F16057" t="str">
        <f t="shared" si="406"/>
        <v>MS</v>
      </c>
    </row>
    <row r="16058" spans="1:6" x14ac:dyDescent="0.25">
      <c r="A16058" t="str">
        <f>"200007071"</f>
        <v>200007071</v>
      </c>
      <c r="B16058" t="str">
        <f>"1114281680"</f>
        <v>1114281680</v>
      </c>
      <c r="C16058" t="str">
        <f>"208000000X"</f>
        <v>208000000X</v>
      </c>
      <c r="D16058" t="str">
        <f>"POOLE                    MEGHAN       P           "</f>
        <v xml:space="preserve">POOLE                    MEGHAN       P           </v>
      </c>
      <c r="E16058" t="str">
        <f>"GLUCKSTADT                "</f>
        <v xml:space="preserve">GLUCKSTADT                </v>
      </c>
      <c r="F16058" t="str">
        <f t="shared" si="406"/>
        <v>MS</v>
      </c>
    </row>
    <row r="16059" spans="1:6" x14ac:dyDescent="0.25">
      <c r="A16059" t="str">
        <f>"200007073"</f>
        <v>200007073</v>
      </c>
      <c r="B16059" t="str">
        <f>"1932668068"</f>
        <v>1932668068</v>
      </c>
      <c r="C16059" t="str">
        <f>"207R00000X"</f>
        <v>207R00000X</v>
      </c>
      <c r="D16059" t="str">
        <f>"PADGETT                  JASMINE                  "</f>
        <v xml:space="preserve">PADGETT                  JASMINE                  </v>
      </c>
      <c r="E16059" t="str">
        <f>"OCEAN SPRINGS             "</f>
        <v xml:space="preserve">OCEAN SPRINGS             </v>
      </c>
      <c r="F16059" t="str">
        <f t="shared" si="406"/>
        <v>MS</v>
      </c>
    </row>
    <row r="16060" spans="1:6" x14ac:dyDescent="0.25">
      <c r="A16060" t="str">
        <f>"200007075"</f>
        <v>200007075</v>
      </c>
      <c r="B16060" t="str">
        <f>"1295166148"</f>
        <v>1295166148</v>
      </c>
      <c r="C16060" t="str">
        <f>"367500000X"</f>
        <v>367500000X</v>
      </c>
      <c r="D16060" t="str">
        <f>"GAUTREAUX                STEVEN                   "</f>
        <v xml:space="preserve">GAUTREAUX                STEVEN                   </v>
      </c>
      <c r="E16060" t="str">
        <f>"BILOXI                    "</f>
        <v xml:space="preserve">BILOXI                    </v>
      </c>
      <c r="F16060" t="str">
        <f t="shared" si="406"/>
        <v>MS</v>
      </c>
    </row>
    <row r="16061" spans="1:6" x14ac:dyDescent="0.25">
      <c r="A16061" t="str">
        <f>"200007076"</f>
        <v>200007076</v>
      </c>
      <c r="B16061" t="str">
        <f>"1124465265"</f>
        <v>1124465265</v>
      </c>
      <c r="C16061" t="str">
        <f>"122300000X"</f>
        <v>122300000X</v>
      </c>
      <c r="D16061" t="str">
        <f>"EICHLER                  ADAM                     "</f>
        <v xml:space="preserve">EICHLER                  ADAM                     </v>
      </c>
      <c r="E16061" t="str">
        <f>"GULFPORT                  "</f>
        <v xml:space="preserve">GULFPORT                  </v>
      </c>
      <c r="F16061" t="str">
        <f t="shared" si="406"/>
        <v>MS</v>
      </c>
    </row>
    <row r="16062" spans="1:6" x14ac:dyDescent="0.25">
      <c r="A16062" t="str">
        <f>"200007081"</f>
        <v>200007081</v>
      </c>
      <c r="B16062" t="str">
        <f>"1174227318"</f>
        <v>1174227318</v>
      </c>
      <c r="C16062" t="str">
        <f>"208800000X"</f>
        <v>208800000X</v>
      </c>
      <c r="D16062" t="str">
        <f>"MONETTE                  KRISTOPHER               "</f>
        <v xml:space="preserve">MONETTE                  KRISTOPHER               </v>
      </c>
      <c r="E16062" t="str">
        <f>"JACKSON                   "</f>
        <v xml:space="preserve">JACKSON                   </v>
      </c>
      <c r="F16062" t="str">
        <f t="shared" ref="F16062:F16125" si="408">"MS"</f>
        <v>MS</v>
      </c>
    </row>
    <row r="16063" spans="1:6" x14ac:dyDescent="0.25">
      <c r="A16063" t="str">
        <f>"200007085"</f>
        <v>200007085</v>
      </c>
      <c r="B16063" t="str">
        <f>"1023591682"</f>
        <v>1023591682</v>
      </c>
      <c r="C16063" t="str">
        <f>"207RR0500X"</f>
        <v>207RR0500X</v>
      </c>
      <c r="D16063" t="str">
        <f>"IBRAHIM                  HANAN                    "</f>
        <v xml:space="preserve">IBRAHIM                  HANAN                    </v>
      </c>
      <c r="E16063" t="str">
        <f>"JACKSON                   "</f>
        <v xml:space="preserve">JACKSON                   </v>
      </c>
      <c r="F16063" t="str">
        <f t="shared" si="408"/>
        <v>MS</v>
      </c>
    </row>
    <row r="16064" spans="1:6" x14ac:dyDescent="0.25">
      <c r="A16064" t="str">
        <f>"200007090"</f>
        <v>200007090</v>
      </c>
      <c r="B16064" t="str">
        <f>"1649973629"</f>
        <v>1649973629</v>
      </c>
      <c r="C16064" t="str">
        <f>"207V00000X"</f>
        <v>207V00000X</v>
      </c>
      <c r="D16064" t="str">
        <f>"WHITNEY                  DARBY                    "</f>
        <v xml:space="preserve">WHITNEY                  DARBY                    </v>
      </c>
      <c r="E16064" t="str">
        <f>"JACKSON                   "</f>
        <v xml:space="preserve">JACKSON                   </v>
      </c>
      <c r="F16064" t="str">
        <f t="shared" si="408"/>
        <v>MS</v>
      </c>
    </row>
    <row r="16065" spans="1:6" x14ac:dyDescent="0.25">
      <c r="A16065" t="str">
        <f>"200007109"</f>
        <v>200007109</v>
      </c>
      <c r="B16065" t="str">
        <f>"1215615992"</f>
        <v>1215615992</v>
      </c>
      <c r="C16065" t="str">
        <f>"363L00000X"</f>
        <v>363L00000X</v>
      </c>
      <c r="D16065" t="str">
        <f>"STANLEY                  NATHAN       P           "</f>
        <v xml:space="preserve">STANLEY                  NATHAN       P           </v>
      </c>
      <c r="E16065" t="str">
        <f>"OCEAN SPRINGS             "</f>
        <v xml:space="preserve">OCEAN SPRINGS             </v>
      </c>
      <c r="F16065" t="str">
        <f t="shared" si="408"/>
        <v>MS</v>
      </c>
    </row>
    <row r="16066" spans="1:6" x14ac:dyDescent="0.25">
      <c r="A16066" t="str">
        <f>"200007110"</f>
        <v>200007110</v>
      </c>
      <c r="B16066" t="str">
        <f>"1679665640"</f>
        <v>1679665640</v>
      </c>
      <c r="C16066" t="str">
        <f>"207RC0001X"</f>
        <v>207RC0001X</v>
      </c>
      <c r="D16066" t="str">
        <f>"COLLEY                   BYRON        J           "</f>
        <v xml:space="preserve">COLLEY                   BYRON        J           </v>
      </c>
      <c r="E16066" t="str">
        <f>"GULFPORT                  "</f>
        <v xml:space="preserve">GULFPORT                  </v>
      </c>
      <c r="F16066" t="str">
        <f t="shared" si="408"/>
        <v>MS</v>
      </c>
    </row>
    <row r="16067" spans="1:6" x14ac:dyDescent="0.25">
      <c r="A16067" t="str">
        <f>"200007111"</f>
        <v>200007111</v>
      </c>
      <c r="B16067" t="str">
        <f>"1710969951"</f>
        <v>1710969951</v>
      </c>
      <c r="C16067" t="str">
        <f>"207Q00000X"</f>
        <v>207Q00000X</v>
      </c>
      <c r="D16067" t="str">
        <f>"NEUMAN                   HEATHER                  "</f>
        <v xml:space="preserve">NEUMAN                   HEATHER                  </v>
      </c>
      <c r="E16067" t="str">
        <f>"MADISON                   "</f>
        <v xml:space="preserve">MADISON                   </v>
      </c>
      <c r="F16067" t="str">
        <f t="shared" si="408"/>
        <v>MS</v>
      </c>
    </row>
    <row r="16068" spans="1:6" x14ac:dyDescent="0.25">
      <c r="A16068" t="str">
        <f>"200007113"</f>
        <v>200007113</v>
      </c>
      <c r="B16068" t="str">
        <f>"1881472371"</f>
        <v>1881472371</v>
      </c>
      <c r="C16068" t="str">
        <f>"363LF0000X"</f>
        <v>363LF0000X</v>
      </c>
      <c r="D16068" t="str">
        <f>"BLAKE                    LARA                     "</f>
        <v xml:space="preserve">BLAKE                    LARA                     </v>
      </c>
      <c r="E16068" t="str">
        <f>"TUPELO                    "</f>
        <v xml:space="preserve">TUPELO                    </v>
      </c>
      <c r="F16068" t="str">
        <f t="shared" si="408"/>
        <v>MS</v>
      </c>
    </row>
    <row r="16069" spans="1:6" x14ac:dyDescent="0.25">
      <c r="A16069" t="str">
        <f>"200007118"</f>
        <v>200007118</v>
      </c>
      <c r="B16069" t="str">
        <f>"1780117192"</f>
        <v>1780117192</v>
      </c>
      <c r="C16069" t="str">
        <f>"207RH0002X"</f>
        <v>207RH0002X</v>
      </c>
      <c r="D16069" t="str">
        <f>"SARDAR                   TARYN                    "</f>
        <v xml:space="preserve">SARDAR                   TARYN                    </v>
      </c>
      <c r="E16069" t="str">
        <f>"JACKSON                   "</f>
        <v xml:space="preserve">JACKSON                   </v>
      </c>
      <c r="F16069" t="str">
        <f t="shared" si="408"/>
        <v>MS</v>
      </c>
    </row>
    <row r="16070" spans="1:6" x14ac:dyDescent="0.25">
      <c r="A16070" t="str">
        <f>"200007119"</f>
        <v>200007119</v>
      </c>
      <c r="B16070" t="str">
        <f>"1841076403"</f>
        <v>1841076403</v>
      </c>
      <c r="C16070" t="str">
        <f>"363L00000X"</f>
        <v>363L00000X</v>
      </c>
      <c r="D16070" t="str">
        <f>"O'CONNER                 CAROLYN                  "</f>
        <v xml:space="preserve">O'CONNER                 CAROLYN                  </v>
      </c>
      <c r="E16070" t="str">
        <f>"CLARKSDALE                "</f>
        <v xml:space="preserve">CLARKSDALE                </v>
      </c>
      <c r="F16070" t="str">
        <f t="shared" si="408"/>
        <v>MS</v>
      </c>
    </row>
    <row r="16071" spans="1:6" x14ac:dyDescent="0.25">
      <c r="A16071" t="str">
        <f>"200007126"</f>
        <v>200007126</v>
      </c>
      <c r="B16071" t="str">
        <f>"1710461389"</f>
        <v>1710461389</v>
      </c>
      <c r="C16071" t="str">
        <f>"363L00000X"</f>
        <v>363L00000X</v>
      </c>
      <c r="D16071" t="str">
        <f>"FLINT                    MEGAN                    "</f>
        <v xml:space="preserve">FLINT                    MEGAN                    </v>
      </c>
      <c r="E16071" t="str">
        <f>"JACKSON                   "</f>
        <v xml:space="preserve">JACKSON                   </v>
      </c>
      <c r="F16071" t="str">
        <f t="shared" si="408"/>
        <v>MS</v>
      </c>
    </row>
    <row r="16072" spans="1:6" x14ac:dyDescent="0.25">
      <c r="A16072" t="str">
        <f>"200007128"</f>
        <v>200007128</v>
      </c>
      <c r="B16072" t="str">
        <f>"1437624566"</f>
        <v>1437624566</v>
      </c>
      <c r="C16072" t="str">
        <f>"363L00000X"</f>
        <v>363L00000X</v>
      </c>
      <c r="D16072" t="str">
        <f>"FERGUSON                 KAYLA                    "</f>
        <v xml:space="preserve">FERGUSON                 KAYLA                    </v>
      </c>
      <c r="E16072" t="str">
        <f>"KOSCIUSKO                 "</f>
        <v xml:space="preserve">KOSCIUSKO                 </v>
      </c>
      <c r="F16072" t="str">
        <f t="shared" si="408"/>
        <v>MS</v>
      </c>
    </row>
    <row r="16073" spans="1:6" x14ac:dyDescent="0.25">
      <c r="A16073" t="str">
        <f>"200007129"</f>
        <v>200007129</v>
      </c>
      <c r="B16073" t="str">
        <f>"1629645304"</f>
        <v>1629645304</v>
      </c>
      <c r="C16073" t="str">
        <f>"122300000X"</f>
        <v>122300000X</v>
      </c>
      <c r="D16073" t="str">
        <f>"HUNT                     MEGAN        G           "</f>
        <v xml:space="preserve">HUNT                     MEGAN        G           </v>
      </c>
      <c r="E16073" t="str">
        <f>"STARKVILLE                "</f>
        <v xml:space="preserve">STARKVILLE                </v>
      </c>
      <c r="F16073" t="str">
        <f t="shared" si="408"/>
        <v>MS</v>
      </c>
    </row>
    <row r="16074" spans="1:6" x14ac:dyDescent="0.25">
      <c r="A16074" t="str">
        <f>"200007132"</f>
        <v>200007132</v>
      </c>
      <c r="B16074" t="str">
        <f>"1518451129"</f>
        <v>1518451129</v>
      </c>
      <c r="C16074" t="str">
        <f>"207Q00000X"</f>
        <v>207Q00000X</v>
      </c>
      <c r="D16074" t="str">
        <f>"MURRAY                   BRADLEY                  "</f>
        <v xml:space="preserve">MURRAY                   BRADLEY                  </v>
      </c>
      <c r="E16074" t="str">
        <f>"IUKA                      "</f>
        <v xml:space="preserve">IUKA                      </v>
      </c>
      <c r="F16074" t="str">
        <f t="shared" si="408"/>
        <v>MS</v>
      </c>
    </row>
    <row r="16075" spans="1:6" x14ac:dyDescent="0.25">
      <c r="A16075" t="str">
        <f>"200007133"</f>
        <v>200007133</v>
      </c>
      <c r="B16075" t="str">
        <f>"1902394174"</f>
        <v>1902394174</v>
      </c>
      <c r="C16075" t="str">
        <f>"207R00000X"</f>
        <v>207R00000X</v>
      </c>
      <c r="D16075" t="str">
        <f>"HALL                     TALYR                    "</f>
        <v xml:space="preserve">HALL                     TALYR                    </v>
      </c>
      <c r="E16075" t="str">
        <f>"HATTIESBURG               "</f>
        <v xml:space="preserve">HATTIESBURG               </v>
      </c>
      <c r="F16075" t="str">
        <f t="shared" si="408"/>
        <v>MS</v>
      </c>
    </row>
    <row r="16076" spans="1:6" x14ac:dyDescent="0.25">
      <c r="A16076" t="str">
        <f>"200007134"</f>
        <v>200007134</v>
      </c>
      <c r="B16076" t="str">
        <f>"1487218806"</f>
        <v>1487218806</v>
      </c>
      <c r="C16076" t="str">
        <f>"207Q00000X"</f>
        <v>207Q00000X</v>
      </c>
      <c r="D16076" t="str">
        <f>"PATEL                    KARISHMA                 "</f>
        <v xml:space="preserve">PATEL                    KARISHMA                 </v>
      </c>
      <c r="E16076" t="str">
        <f>"HAZELHURST                "</f>
        <v xml:space="preserve">HAZELHURST                </v>
      </c>
      <c r="F16076" t="str">
        <f t="shared" si="408"/>
        <v>MS</v>
      </c>
    </row>
    <row r="16077" spans="1:6" x14ac:dyDescent="0.25">
      <c r="A16077" t="str">
        <f>"200007141"</f>
        <v>200007141</v>
      </c>
      <c r="B16077" t="str">
        <f>"1265521710"</f>
        <v>1265521710</v>
      </c>
      <c r="C16077" t="str">
        <f>"208G00000X"</f>
        <v>208G00000X</v>
      </c>
      <c r="D16077" t="str">
        <f>"SENDRA                   FIDEL                    "</f>
        <v xml:space="preserve">SENDRA                   FIDEL                    </v>
      </c>
      <c r="E16077" t="str">
        <f>"JACKSON                   "</f>
        <v xml:space="preserve">JACKSON                   </v>
      </c>
      <c r="F16077" t="str">
        <f t="shared" si="408"/>
        <v>MS</v>
      </c>
    </row>
    <row r="16078" spans="1:6" x14ac:dyDescent="0.25">
      <c r="A16078" t="str">
        <f>"200007142"</f>
        <v>200007142</v>
      </c>
      <c r="B16078" t="str">
        <f>"1235783127"</f>
        <v>1235783127</v>
      </c>
      <c r="C16078" t="str">
        <f>"363L00000X"</f>
        <v>363L00000X</v>
      </c>
      <c r="D16078" t="str">
        <f>"PONDER                   ELAINA                   "</f>
        <v xml:space="preserve">PONDER                   ELAINA                   </v>
      </c>
      <c r="E16078" t="str">
        <f>"AMORY                     "</f>
        <v xml:space="preserve">AMORY                     </v>
      </c>
      <c r="F16078" t="str">
        <f t="shared" si="408"/>
        <v>MS</v>
      </c>
    </row>
    <row r="16079" spans="1:6" x14ac:dyDescent="0.25">
      <c r="A16079" t="str">
        <f>"200007151"</f>
        <v>200007151</v>
      </c>
      <c r="B16079" t="str">
        <f>"1265720791"</f>
        <v>1265720791</v>
      </c>
      <c r="C16079" t="str">
        <f>"207LP2900X"</f>
        <v>207LP2900X</v>
      </c>
      <c r="D16079" t="str">
        <f>"NUTT                     JOEL         D           "</f>
        <v xml:space="preserve">NUTT                     JOEL         D           </v>
      </c>
      <c r="E16079" t="str">
        <f>"JACKSON                   "</f>
        <v xml:space="preserve">JACKSON                   </v>
      </c>
      <c r="F16079" t="str">
        <f t="shared" si="408"/>
        <v>MS</v>
      </c>
    </row>
    <row r="16080" spans="1:6" x14ac:dyDescent="0.25">
      <c r="A16080" t="str">
        <f>"200007155"</f>
        <v>200007155</v>
      </c>
      <c r="B16080" t="str">
        <f>"1174971006"</f>
        <v>1174971006</v>
      </c>
      <c r="C16080" t="str">
        <f>"207RN0300X"</f>
        <v>207RN0300X</v>
      </c>
      <c r="D16080" t="str">
        <f>"PATEL                    RAVI                     "</f>
        <v xml:space="preserve">PATEL                    RAVI                     </v>
      </c>
      <c r="E16080" t="str">
        <f>"CLEVELAND                 "</f>
        <v xml:space="preserve">CLEVELAND                 </v>
      </c>
      <c r="F16080" t="str">
        <f t="shared" si="408"/>
        <v>MS</v>
      </c>
    </row>
    <row r="16081" spans="1:6" x14ac:dyDescent="0.25">
      <c r="A16081" t="str">
        <f>"200007157"</f>
        <v>200007157</v>
      </c>
      <c r="B16081" t="str">
        <f>"1174971006"</f>
        <v>1174971006</v>
      </c>
      <c r="C16081" t="str">
        <f>"2085R0204X"</f>
        <v>2085R0204X</v>
      </c>
      <c r="D16081" t="str">
        <f>"PATEL                    RAVI                     "</f>
        <v xml:space="preserve">PATEL                    RAVI                     </v>
      </c>
      <c r="E16081" t="str">
        <f>"CLEVELAND                 "</f>
        <v xml:space="preserve">CLEVELAND                 </v>
      </c>
      <c r="F16081" t="str">
        <f t="shared" si="408"/>
        <v>MS</v>
      </c>
    </row>
    <row r="16082" spans="1:6" x14ac:dyDescent="0.25">
      <c r="A16082" t="str">
        <f>"200007159"</f>
        <v>200007159</v>
      </c>
      <c r="B16082" t="str">
        <f>"1790179299"</f>
        <v>1790179299</v>
      </c>
      <c r="C16082" t="str">
        <f>"207P00000X"</f>
        <v>207P00000X</v>
      </c>
      <c r="D16082" t="str">
        <f>"PAPATHOMAS               KONSTANTINA              "</f>
        <v xml:space="preserve">PAPATHOMAS               KONSTANTINA              </v>
      </c>
      <c r="E16082" t="str">
        <f>"MADISON                   "</f>
        <v xml:space="preserve">MADISON                   </v>
      </c>
      <c r="F16082" t="str">
        <f t="shared" si="408"/>
        <v>MS</v>
      </c>
    </row>
    <row r="16083" spans="1:6" x14ac:dyDescent="0.25">
      <c r="A16083" t="str">
        <f>"200007179"</f>
        <v>200007179</v>
      </c>
      <c r="B16083" t="str">
        <f>"1619258019"</f>
        <v>1619258019</v>
      </c>
      <c r="C16083" t="str">
        <f>"207R00000X"</f>
        <v>207R00000X</v>
      </c>
      <c r="D16083" t="str">
        <f>"DELGADILLO               JAMES                    "</f>
        <v xml:space="preserve">DELGADILLO               JAMES                    </v>
      </c>
      <c r="E16083" t="str">
        <f>"BOONEVILLE                "</f>
        <v xml:space="preserve">BOONEVILLE                </v>
      </c>
      <c r="F16083" t="str">
        <f t="shared" si="408"/>
        <v>MS</v>
      </c>
    </row>
    <row r="16084" spans="1:6" x14ac:dyDescent="0.25">
      <c r="A16084" t="str">
        <f>"200007181"</f>
        <v>200007181</v>
      </c>
      <c r="B16084" t="str">
        <f>"1114345949"</f>
        <v>1114345949</v>
      </c>
      <c r="C16084" t="str">
        <f>"207LP2900X"</f>
        <v>207LP2900X</v>
      </c>
      <c r="D16084" t="str">
        <f>"SCARBROUGH               MICHAEL      C           "</f>
        <v xml:space="preserve">SCARBROUGH               MICHAEL      C           </v>
      </c>
      <c r="E16084" t="str">
        <f>"CORINTH                   "</f>
        <v xml:space="preserve">CORINTH                   </v>
      </c>
      <c r="F16084" t="str">
        <f t="shared" si="408"/>
        <v>MS</v>
      </c>
    </row>
    <row r="16085" spans="1:6" x14ac:dyDescent="0.25">
      <c r="A16085" t="str">
        <f>"200007184"</f>
        <v>200007184</v>
      </c>
      <c r="B16085" t="str">
        <f>"1942083548"</f>
        <v>1942083548</v>
      </c>
      <c r="C16085" t="str">
        <f>"363L00000X"</f>
        <v>363L00000X</v>
      </c>
      <c r="D16085" t="str">
        <f>"SELBY                    ANNE                     "</f>
        <v xml:space="preserve">SELBY                    ANNE                     </v>
      </c>
      <c r="E16085" t="str">
        <f>"SENATOBIA                 "</f>
        <v xml:space="preserve">SENATOBIA                 </v>
      </c>
      <c r="F16085" t="str">
        <f t="shared" si="408"/>
        <v>MS</v>
      </c>
    </row>
    <row r="16086" spans="1:6" x14ac:dyDescent="0.25">
      <c r="A16086" t="str">
        <f>"200007193"</f>
        <v>200007193</v>
      </c>
      <c r="B16086" t="str">
        <f>"1760892830"</f>
        <v>1760892830</v>
      </c>
      <c r="C16086" t="str">
        <f>"2084P0800X"</f>
        <v>2084P0800X</v>
      </c>
      <c r="D16086" t="str">
        <f>"THOMPSON                 WILLIE                   "</f>
        <v xml:space="preserve">THOMPSON                 WILLIE                   </v>
      </c>
      <c r="E16086" t="str">
        <f>"JACKSON                   "</f>
        <v xml:space="preserve">JACKSON                   </v>
      </c>
      <c r="F16086" t="str">
        <f t="shared" si="408"/>
        <v>MS</v>
      </c>
    </row>
    <row r="16087" spans="1:6" x14ac:dyDescent="0.25">
      <c r="A16087" t="str">
        <f>"200007208"</f>
        <v>200007208</v>
      </c>
      <c r="B16087" t="str">
        <f>"1851789598"</f>
        <v>1851789598</v>
      </c>
      <c r="C16087" t="str">
        <f>"363L00000X"</f>
        <v>363L00000X</v>
      </c>
      <c r="D16087" t="str">
        <f>"ROACH                    THERESIA                 "</f>
        <v xml:space="preserve">ROACH                    THERESIA                 </v>
      </c>
      <c r="E16087" t="str">
        <f>"CORINTH                   "</f>
        <v xml:space="preserve">CORINTH                   </v>
      </c>
      <c r="F16087" t="str">
        <f t="shared" si="408"/>
        <v>MS</v>
      </c>
    </row>
    <row r="16088" spans="1:6" x14ac:dyDescent="0.25">
      <c r="A16088" t="str">
        <f>"200007209"</f>
        <v>200007209</v>
      </c>
      <c r="B16088" t="str">
        <f>"1396362737"</f>
        <v>1396362737</v>
      </c>
      <c r="C16088" t="str">
        <f>"207Q00000X"</f>
        <v>207Q00000X</v>
      </c>
      <c r="D16088" t="str">
        <f>"CARTER                   ANTHONY                  "</f>
        <v xml:space="preserve">CARTER                   ANTHONY                  </v>
      </c>
      <c r="E16088" t="str">
        <f>"GREENVILLE                "</f>
        <v xml:space="preserve">GREENVILLE                </v>
      </c>
      <c r="F16088" t="str">
        <f t="shared" si="408"/>
        <v>MS</v>
      </c>
    </row>
    <row r="16089" spans="1:6" x14ac:dyDescent="0.25">
      <c r="A16089" t="str">
        <f>"200007215"</f>
        <v>200007215</v>
      </c>
      <c r="B16089" t="str">
        <f>"1356023675"</f>
        <v>1356023675</v>
      </c>
      <c r="C16089" t="str">
        <f>"363L00000X"</f>
        <v>363L00000X</v>
      </c>
      <c r="D16089" t="str">
        <f>"HOWARD                   AMANDA                   "</f>
        <v xml:space="preserve">HOWARD                   AMANDA                   </v>
      </c>
      <c r="E16089" t="str">
        <f>"FLOWOOD                   "</f>
        <v xml:space="preserve">FLOWOOD                   </v>
      </c>
      <c r="F16089" t="str">
        <f t="shared" si="408"/>
        <v>MS</v>
      </c>
    </row>
    <row r="16090" spans="1:6" x14ac:dyDescent="0.25">
      <c r="A16090" t="str">
        <f>"200007219"</f>
        <v>200007219</v>
      </c>
      <c r="B16090" t="str">
        <f>"1376228171"</f>
        <v>1376228171</v>
      </c>
      <c r="C16090" t="str">
        <f>"122300000X"</f>
        <v>122300000X</v>
      </c>
      <c r="D16090" t="str">
        <f>"THAMES                   LAUREN                   "</f>
        <v xml:space="preserve">THAMES                   LAUREN                   </v>
      </c>
      <c r="E16090" t="str">
        <f>"FLOWOOD                   "</f>
        <v xml:space="preserve">FLOWOOD                   </v>
      </c>
      <c r="F16090" t="str">
        <f t="shared" si="408"/>
        <v>MS</v>
      </c>
    </row>
    <row r="16091" spans="1:6" x14ac:dyDescent="0.25">
      <c r="A16091" t="str">
        <f>"200007227"</f>
        <v>200007227</v>
      </c>
      <c r="B16091" t="str">
        <f>"1457131930"</f>
        <v>1457131930</v>
      </c>
      <c r="C16091" t="str">
        <f>"363L00000X"</f>
        <v>363L00000X</v>
      </c>
      <c r="D16091" t="str">
        <f>"HOSKINS                  KELLY                    "</f>
        <v xml:space="preserve">HOSKINS                  KELLY                    </v>
      </c>
      <c r="E16091" t="str">
        <f>"MONTICELLO                "</f>
        <v xml:space="preserve">MONTICELLO                </v>
      </c>
      <c r="F16091" t="str">
        <f t="shared" si="408"/>
        <v>MS</v>
      </c>
    </row>
    <row r="16092" spans="1:6" x14ac:dyDescent="0.25">
      <c r="A16092" t="str">
        <f>"200007231"</f>
        <v>200007231</v>
      </c>
      <c r="B16092" t="str">
        <f>"1669760021"</f>
        <v>1669760021</v>
      </c>
      <c r="C16092" t="str">
        <f>"207RC0001X"</f>
        <v>207RC0001X</v>
      </c>
      <c r="D16092" t="str">
        <f>"ALCIVAR FRANCO           DIEGO        F           "</f>
        <v xml:space="preserve">ALCIVAR FRANCO           DIEGO        F           </v>
      </c>
      <c r="E16092" t="str">
        <f>"HATTIESBURG               "</f>
        <v xml:space="preserve">HATTIESBURG               </v>
      </c>
      <c r="F16092" t="str">
        <f t="shared" si="408"/>
        <v>MS</v>
      </c>
    </row>
    <row r="16093" spans="1:6" x14ac:dyDescent="0.25">
      <c r="A16093" t="str">
        <f>"200007233"</f>
        <v>200007233</v>
      </c>
      <c r="B16093" t="str">
        <f>"1912625393"</f>
        <v>1912625393</v>
      </c>
      <c r="C16093" t="str">
        <f>"363L00000X"</f>
        <v>363L00000X</v>
      </c>
      <c r="D16093" t="str">
        <f>"GOZA                     MIRANDA                  "</f>
        <v xml:space="preserve">GOZA                     MIRANDA                  </v>
      </c>
      <c r="E16093" t="str">
        <f>"JACKSON                   "</f>
        <v xml:space="preserve">JACKSON                   </v>
      </c>
      <c r="F16093" t="str">
        <f t="shared" si="408"/>
        <v>MS</v>
      </c>
    </row>
    <row r="16094" spans="1:6" x14ac:dyDescent="0.25">
      <c r="A16094" t="str">
        <f>"200007235"</f>
        <v>200007235</v>
      </c>
      <c r="B16094" t="str">
        <f>"1710258751"</f>
        <v>1710258751</v>
      </c>
      <c r="C16094" t="str">
        <f>"367500000X"</f>
        <v>367500000X</v>
      </c>
      <c r="D16094" t="str">
        <f>"GRIFFIN                  GRACE        L           "</f>
        <v xml:space="preserve">GRIFFIN                  GRACE        L           </v>
      </c>
      <c r="E16094" t="str">
        <f>"OXFORD                    "</f>
        <v xml:space="preserve">OXFORD                    </v>
      </c>
      <c r="F16094" t="str">
        <f t="shared" si="408"/>
        <v>MS</v>
      </c>
    </row>
    <row r="16095" spans="1:6" x14ac:dyDescent="0.25">
      <c r="A16095" t="str">
        <f>"200007247"</f>
        <v>200007247</v>
      </c>
      <c r="B16095" t="str">
        <f>"1629759410"</f>
        <v>1629759410</v>
      </c>
      <c r="C16095" t="str">
        <f>"363L00000X"</f>
        <v>363L00000X</v>
      </c>
      <c r="D16095" t="str">
        <f>"HATCHER                  STEPHANIE                "</f>
        <v xml:space="preserve">HATCHER                  STEPHANIE                </v>
      </c>
      <c r="E16095" t="str">
        <f>"MERIDIAN                  "</f>
        <v xml:space="preserve">MERIDIAN                  </v>
      </c>
      <c r="F16095" t="str">
        <f t="shared" si="408"/>
        <v>MS</v>
      </c>
    </row>
    <row r="16096" spans="1:6" x14ac:dyDescent="0.25">
      <c r="A16096" t="str">
        <f>"200007254"</f>
        <v>200007254</v>
      </c>
      <c r="B16096" t="str">
        <f>"1982484242"</f>
        <v>1982484242</v>
      </c>
      <c r="C16096" t="str">
        <f>"363L00000X"</f>
        <v>363L00000X</v>
      </c>
      <c r="D16096" t="str">
        <f>"YAUL                     LINDA                    "</f>
        <v xml:space="preserve">YAUL                     LINDA                    </v>
      </c>
      <c r="E16096" t="str">
        <f>"JACKSON                   "</f>
        <v xml:space="preserve">JACKSON                   </v>
      </c>
      <c r="F16096" t="str">
        <f t="shared" si="408"/>
        <v>MS</v>
      </c>
    </row>
    <row r="16097" spans="1:6" x14ac:dyDescent="0.25">
      <c r="A16097" t="str">
        <f>"200007256"</f>
        <v>200007256</v>
      </c>
      <c r="B16097" t="str">
        <f>"1689454571"</f>
        <v>1689454571</v>
      </c>
      <c r="C16097" t="str">
        <f>"363L00000X"</f>
        <v>363L00000X</v>
      </c>
      <c r="D16097" t="str">
        <f>"ATKINS                   DEIRDRE                  "</f>
        <v xml:space="preserve">ATKINS                   DEIRDRE                  </v>
      </c>
      <c r="E16097" t="str">
        <f>"MAGEE                     "</f>
        <v xml:space="preserve">MAGEE                     </v>
      </c>
      <c r="F16097" t="str">
        <f t="shared" si="408"/>
        <v>MS</v>
      </c>
    </row>
    <row r="16098" spans="1:6" x14ac:dyDescent="0.25">
      <c r="A16098" t="str">
        <f>"200007261"</f>
        <v>200007261</v>
      </c>
      <c r="B16098" t="str">
        <f>"1720775265"</f>
        <v>1720775265</v>
      </c>
      <c r="C16098" t="str">
        <f>"261QR1300X"</f>
        <v>261QR1300X</v>
      </c>
      <c r="D16098" t="str">
        <f>"CHILDREN'S INTERNATIONAL MEDICAL GROUP            "</f>
        <v xml:space="preserve">CHILDREN'S INTERNATIONAL MEDICAL GROUP            </v>
      </c>
      <c r="E16098" t="str">
        <f>"GAUTIER                   "</f>
        <v xml:space="preserve">GAUTIER                   </v>
      </c>
      <c r="F16098" t="str">
        <f t="shared" si="408"/>
        <v>MS</v>
      </c>
    </row>
    <row r="16099" spans="1:6" x14ac:dyDescent="0.25">
      <c r="A16099" t="str">
        <f>"200007265"</f>
        <v>200007265</v>
      </c>
      <c r="B16099" t="str">
        <f>"1760268106"</f>
        <v>1760268106</v>
      </c>
      <c r="C16099" t="str">
        <f>"363A00000X"</f>
        <v>363A00000X</v>
      </c>
      <c r="D16099" t="str">
        <f>"RAWLS                    TAYLOR       M           "</f>
        <v xml:space="preserve">RAWLS                    TAYLOR       M           </v>
      </c>
      <c r="E16099" t="str">
        <f>"HATTIESBURG               "</f>
        <v xml:space="preserve">HATTIESBURG               </v>
      </c>
      <c r="F16099" t="str">
        <f t="shared" si="408"/>
        <v>MS</v>
      </c>
    </row>
    <row r="16100" spans="1:6" x14ac:dyDescent="0.25">
      <c r="A16100" t="str">
        <f>"200007288"</f>
        <v>200007288</v>
      </c>
      <c r="B16100" t="str">
        <f>"1962102764"</f>
        <v>1962102764</v>
      </c>
      <c r="C16100" t="str">
        <f>"122300000X"</f>
        <v>122300000X</v>
      </c>
      <c r="D16100" t="str">
        <f>"HIGGINS                  RYAN                     "</f>
        <v xml:space="preserve">HIGGINS                  RYAN                     </v>
      </c>
      <c r="E16100" t="str">
        <f>"TUPELO                    "</f>
        <v xml:space="preserve">TUPELO                    </v>
      </c>
      <c r="F16100" t="str">
        <f t="shared" si="408"/>
        <v>MS</v>
      </c>
    </row>
    <row r="16101" spans="1:6" x14ac:dyDescent="0.25">
      <c r="A16101" t="str">
        <f>"200007300"</f>
        <v>200007300</v>
      </c>
      <c r="B16101" t="str">
        <f>"1811194772"</f>
        <v>1811194772</v>
      </c>
      <c r="C16101" t="str">
        <f>"207R00000X"</f>
        <v>207R00000X</v>
      </c>
      <c r="D16101" t="str">
        <f>"BELL                     JERICHO      L           "</f>
        <v xml:space="preserve">BELL                     JERICHO      L           </v>
      </c>
      <c r="E16101" t="str">
        <f>"GLUCKSTADT                "</f>
        <v xml:space="preserve">GLUCKSTADT                </v>
      </c>
      <c r="F16101" t="str">
        <f t="shared" si="408"/>
        <v>MS</v>
      </c>
    </row>
    <row r="16102" spans="1:6" x14ac:dyDescent="0.25">
      <c r="A16102" t="str">
        <f>"200007303"</f>
        <v>200007303</v>
      </c>
      <c r="B16102" t="str">
        <f>"1114544590"</f>
        <v>1114544590</v>
      </c>
      <c r="C16102" t="str">
        <f>"207R00000X"</f>
        <v>207R00000X</v>
      </c>
      <c r="D16102" t="str">
        <f>"TABASH                   ABDALAZIZ                "</f>
        <v xml:space="preserve">TABASH                   ABDALAZIZ                </v>
      </c>
      <c r="E16102" t="str">
        <f>"CORINTH                   "</f>
        <v xml:space="preserve">CORINTH                   </v>
      </c>
      <c r="F16102" t="str">
        <f t="shared" si="408"/>
        <v>MS</v>
      </c>
    </row>
    <row r="16103" spans="1:6" x14ac:dyDescent="0.25">
      <c r="A16103" t="str">
        <f>"200007312"</f>
        <v>200007312</v>
      </c>
      <c r="B16103" t="str">
        <f>"1073212833"</f>
        <v>1073212833</v>
      </c>
      <c r="C16103" t="str">
        <f>"363L00000X"</f>
        <v>363L00000X</v>
      </c>
      <c r="D16103" t="str">
        <f>"BUCHANAN                 MARISSA                  "</f>
        <v xml:space="preserve">BUCHANAN                 MARISSA                  </v>
      </c>
      <c r="E16103" t="str">
        <f>"MERIDIAN                  "</f>
        <v xml:space="preserve">MERIDIAN                  </v>
      </c>
      <c r="F16103" t="str">
        <f t="shared" si="408"/>
        <v>MS</v>
      </c>
    </row>
    <row r="16104" spans="1:6" x14ac:dyDescent="0.25">
      <c r="A16104" t="str">
        <f>"200007319"</f>
        <v>200007319</v>
      </c>
      <c r="B16104" t="str">
        <f>"1558007773"</f>
        <v>1558007773</v>
      </c>
      <c r="C16104" t="str">
        <f>"261QA1903X"</f>
        <v>261QA1903X</v>
      </c>
      <c r="D16104" t="str">
        <f>"HS SURGERY, PLLC                                  "</f>
        <v xml:space="preserve">HS SURGERY, PLLC                                  </v>
      </c>
      <c r="E16104" t="str">
        <f>"MADISON                   "</f>
        <v xml:space="preserve">MADISON                   </v>
      </c>
      <c r="F16104" t="str">
        <f t="shared" si="408"/>
        <v>MS</v>
      </c>
    </row>
    <row r="16105" spans="1:6" x14ac:dyDescent="0.25">
      <c r="A16105" t="str">
        <f>"200007324"</f>
        <v>200007324</v>
      </c>
      <c r="B16105" t="str">
        <f>"1073548350"</f>
        <v>1073548350</v>
      </c>
      <c r="C16105" t="str">
        <f>"363L00000X"</f>
        <v>363L00000X</v>
      </c>
      <c r="D16105" t="str">
        <f>"MILLER                   KIMBERLY     W           "</f>
        <v xml:space="preserve">MILLER                   KIMBERLY     W           </v>
      </c>
      <c r="E16105" t="str">
        <f>"RICHLAND                  "</f>
        <v xml:space="preserve">RICHLAND                  </v>
      </c>
      <c r="F16105" t="str">
        <f t="shared" si="408"/>
        <v>MS</v>
      </c>
    </row>
    <row r="16106" spans="1:6" x14ac:dyDescent="0.25">
      <c r="A16106" t="str">
        <f>"200007326"</f>
        <v>200007326</v>
      </c>
      <c r="B16106" t="str">
        <f>"1053902791"</f>
        <v>1053902791</v>
      </c>
      <c r="C16106" t="str">
        <f>"363L00000X"</f>
        <v>363L00000X</v>
      </c>
      <c r="D16106" t="str">
        <f>"CHANDLER                 ERIN                     "</f>
        <v xml:space="preserve">CHANDLER                 ERIN                     </v>
      </c>
      <c r="E16106" t="str">
        <f>"MATHISTON                 "</f>
        <v xml:space="preserve">MATHISTON                 </v>
      </c>
      <c r="F16106" t="str">
        <f t="shared" si="408"/>
        <v>MS</v>
      </c>
    </row>
    <row r="16107" spans="1:6" x14ac:dyDescent="0.25">
      <c r="A16107" t="str">
        <f>"200007334"</f>
        <v>200007334</v>
      </c>
      <c r="B16107" t="str">
        <f>"1659699726"</f>
        <v>1659699726</v>
      </c>
      <c r="C16107" t="str">
        <f>"207K00000X"</f>
        <v>207K00000X</v>
      </c>
      <c r="D16107" t="str">
        <f>"OLIVIER                  JENNIFER     P           "</f>
        <v xml:space="preserve">OLIVIER                  JENNIFER     P           </v>
      </c>
      <c r="E16107" t="str">
        <f>"PICAYUNE                  "</f>
        <v xml:space="preserve">PICAYUNE                  </v>
      </c>
      <c r="F16107" t="str">
        <f t="shared" si="408"/>
        <v>MS</v>
      </c>
    </row>
    <row r="16108" spans="1:6" x14ac:dyDescent="0.25">
      <c r="A16108" t="str">
        <f>"200007337"</f>
        <v>200007337</v>
      </c>
      <c r="B16108" t="str">
        <f>"1619572294"</f>
        <v>1619572294</v>
      </c>
      <c r="C16108" t="str">
        <f>"367500000X"</f>
        <v>367500000X</v>
      </c>
      <c r="D16108" t="str">
        <f>"WELCH                    VIRIGINA                 "</f>
        <v xml:space="preserve">WELCH                    VIRIGINA                 </v>
      </c>
      <c r="E16108" t="str">
        <f>"OXFORD                    "</f>
        <v xml:space="preserve">OXFORD                    </v>
      </c>
      <c r="F16108" t="str">
        <f t="shared" si="408"/>
        <v>MS</v>
      </c>
    </row>
    <row r="16109" spans="1:6" x14ac:dyDescent="0.25">
      <c r="A16109" t="str">
        <f>"200007341"</f>
        <v>200007341</v>
      </c>
      <c r="B16109" t="str">
        <f>"1043096308"</f>
        <v>1043096308</v>
      </c>
      <c r="C16109" t="str">
        <f>"363L00000X"</f>
        <v>363L00000X</v>
      </c>
      <c r="D16109" t="str">
        <f>"BOWEN                    BRITTANY                 "</f>
        <v xml:space="preserve">BOWEN                    BRITTANY                 </v>
      </c>
      <c r="E16109" t="str">
        <f>"COLUMBUS                  "</f>
        <v xml:space="preserve">COLUMBUS                  </v>
      </c>
      <c r="F16109" t="str">
        <f t="shared" si="408"/>
        <v>MS</v>
      </c>
    </row>
    <row r="16110" spans="1:6" x14ac:dyDescent="0.25">
      <c r="A16110" t="str">
        <f>"200007350"</f>
        <v>200007350</v>
      </c>
      <c r="B16110" t="str">
        <f>"1063909158"</f>
        <v>1063909158</v>
      </c>
      <c r="C16110" t="str">
        <f>"207W00000X"</f>
        <v>207W00000X</v>
      </c>
      <c r="D16110" t="str">
        <f>"APPELO                   BENJAMIN                 "</f>
        <v xml:space="preserve">APPELO                   BENJAMIN                 </v>
      </c>
      <c r="E16110" t="str">
        <f>"OCEAN SPRINGS             "</f>
        <v xml:space="preserve">OCEAN SPRINGS             </v>
      </c>
      <c r="F16110" t="str">
        <f t="shared" si="408"/>
        <v>MS</v>
      </c>
    </row>
    <row r="16111" spans="1:6" x14ac:dyDescent="0.25">
      <c r="A16111" t="str">
        <f>"200007356"</f>
        <v>200007356</v>
      </c>
      <c r="B16111" t="str">
        <f>"1023234416"</f>
        <v>1023234416</v>
      </c>
      <c r="C16111" t="str">
        <f>"207X00000X"</f>
        <v>207X00000X</v>
      </c>
      <c r="D16111" t="str">
        <f>"GIEL III                 THOMAS                   "</f>
        <v xml:space="preserve">GIEL III                 THOMAS                   </v>
      </c>
      <c r="E16111" t="str">
        <f>"SOUTHAVEN                 "</f>
        <v xml:space="preserve">SOUTHAVEN                 </v>
      </c>
      <c r="F16111" t="str">
        <f t="shared" si="408"/>
        <v>MS</v>
      </c>
    </row>
    <row r="16112" spans="1:6" x14ac:dyDescent="0.25">
      <c r="A16112" t="str">
        <f>"200007359"</f>
        <v>200007359</v>
      </c>
      <c r="B16112" t="str">
        <f>"1912927526"</f>
        <v>1912927526</v>
      </c>
      <c r="C16112" t="str">
        <f>"363L00000X"</f>
        <v>363L00000X</v>
      </c>
      <c r="D16112" t="str">
        <f>"ARNOLD-BRITT             JEANETTE     L           "</f>
        <v xml:space="preserve">ARNOLD-BRITT             JEANETTE     L           </v>
      </c>
      <c r="E16112" t="str">
        <f>"BRANDON                   "</f>
        <v xml:space="preserve">BRANDON                   </v>
      </c>
      <c r="F16112" t="str">
        <f t="shared" si="408"/>
        <v>MS</v>
      </c>
    </row>
    <row r="16113" spans="1:6" x14ac:dyDescent="0.25">
      <c r="A16113" t="str">
        <f>"200007363"</f>
        <v>200007363</v>
      </c>
      <c r="B16113" t="str">
        <f>"1750373882"</f>
        <v>1750373882</v>
      </c>
      <c r="C16113" t="str">
        <f>"2084N0400X"</f>
        <v>2084N0400X</v>
      </c>
      <c r="D16113" t="str">
        <f>"KANABAR                  SUDHIN                   "</f>
        <v xml:space="preserve">KANABAR                  SUDHIN                   </v>
      </c>
      <c r="E16113" t="str">
        <f>"TUPELO                    "</f>
        <v xml:space="preserve">TUPELO                    </v>
      </c>
      <c r="F16113" t="str">
        <f t="shared" si="408"/>
        <v>MS</v>
      </c>
    </row>
    <row r="16114" spans="1:6" x14ac:dyDescent="0.25">
      <c r="A16114" t="str">
        <f>"200007380"</f>
        <v>200007380</v>
      </c>
      <c r="B16114" t="str">
        <f>"1134844004"</f>
        <v>1134844004</v>
      </c>
      <c r="C16114" t="str">
        <f>"363LP0808X"</f>
        <v>363LP0808X</v>
      </c>
      <c r="D16114" t="str">
        <f>"PETERS                   DANIEL                   "</f>
        <v xml:space="preserve">PETERS                   DANIEL                   </v>
      </c>
      <c r="E16114" t="str">
        <f>"LONG BEACH                "</f>
        <v xml:space="preserve">LONG BEACH                </v>
      </c>
      <c r="F16114" t="str">
        <f t="shared" si="408"/>
        <v>MS</v>
      </c>
    </row>
    <row r="16115" spans="1:6" x14ac:dyDescent="0.25">
      <c r="A16115" t="str">
        <f>"200007383"</f>
        <v>200007383</v>
      </c>
      <c r="B16115" t="str">
        <f>"1609371624"</f>
        <v>1609371624</v>
      </c>
      <c r="C16115" t="str">
        <f>"207P00000X"</f>
        <v>207P00000X</v>
      </c>
      <c r="D16115" t="str">
        <f>"WATSON                   ANNE         K           "</f>
        <v xml:space="preserve">WATSON                   ANNE         K           </v>
      </c>
      <c r="E16115" t="str">
        <f>"OCEAN SPRINGS             "</f>
        <v xml:space="preserve">OCEAN SPRINGS             </v>
      </c>
      <c r="F16115" t="str">
        <f t="shared" si="408"/>
        <v>MS</v>
      </c>
    </row>
    <row r="16116" spans="1:6" x14ac:dyDescent="0.25">
      <c r="A16116" t="str">
        <f>"200007389"</f>
        <v>200007389</v>
      </c>
      <c r="B16116" t="str">
        <f>"1023798725"</f>
        <v>1023798725</v>
      </c>
      <c r="C16116" t="str">
        <f>"152W00000X"</f>
        <v>152W00000X</v>
      </c>
      <c r="D16116" t="str">
        <f>"WARREN                   JOSEPH       C           "</f>
        <v xml:space="preserve">WARREN                   JOSEPH       C           </v>
      </c>
      <c r="E16116" t="str">
        <f>"PONTOTOC                  "</f>
        <v xml:space="preserve">PONTOTOC                  </v>
      </c>
      <c r="F16116" t="str">
        <f t="shared" si="408"/>
        <v>MS</v>
      </c>
    </row>
    <row r="16117" spans="1:6" x14ac:dyDescent="0.25">
      <c r="A16117" t="str">
        <f>"200007394"</f>
        <v>200007394</v>
      </c>
      <c r="B16117" t="str">
        <f>"1720026255"</f>
        <v>1720026255</v>
      </c>
      <c r="C16117" t="str">
        <f>"2085R0202X"</f>
        <v>2085R0202X</v>
      </c>
      <c r="D16117" t="str">
        <f>"EDMONDSON                MARSHALL     G           "</f>
        <v xml:space="preserve">EDMONDSON                MARSHALL     G           </v>
      </c>
      <c r="E16117" t="str">
        <f>"CALHOUN CITY              "</f>
        <v xml:space="preserve">CALHOUN CITY              </v>
      </c>
      <c r="F16117" t="str">
        <f t="shared" si="408"/>
        <v>MS</v>
      </c>
    </row>
    <row r="16118" spans="1:6" x14ac:dyDescent="0.25">
      <c r="A16118" t="str">
        <f>"200007399"</f>
        <v>200007399</v>
      </c>
      <c r="B16118" t="str">
        <f>"1033710140"</f>
        <v>1033710140</v>
      </c>
      <c r="C16118" t="str">
        <f>"363L00000X"</f>
        <v>363L00000X</v>
      </c>
      <c r="D16118" t="str">
        <f>"STIGER                   ASHLEY                   "</f>
        <v xml:space="preserve">STIGER                   ASHLEY                   </v>
      </c>
      <c r="E16118" t="str">
        <f>"GULFPORT                  "</f>
        <v xml:space="preserve">GULFPORT                  </v>
      </c>
      <c r="F16118" t="str">
        <f t="shared" si="408"/>
        <v>MS</v>
      </c>
    </row>
    <row r="16119" spans="1:6" x14ac:dyDescent="0.25">
      <c r="A16119" t="str">
        <f>"200007407"</f>
        <v>200007407</v>
      </c>
      <c r="B16119" t="str">
        <f>"1275216467"</f>
        <v>1275216467</v>
      </c>
      <c r="C16119" t="str">
        <f>"363L00000X"</f>
        <v>363L00000X</v>
      </c>
      <c r="D16119" t="str">
        <f>"FIELDS                   AMANDA                   "</f>
        <v xml:space="preserve">FIELDS                   AMANDA                   </v>
      </c>
      <c r="E16119" t="str">
        <f>"GREENWOOD                 "</f>
        <v xml:space="preserve">GREENWOOD                 </v>
      </c>
      <c r="F16119" t="str">
        <f t="shared" si="408"/>
        <v>MS</v>
      </c>
    </row>
    <row r="16120" spans="1:6" x14ac:dyDescent="0.25">
      <c r="A16120" t="str">
        <f>"200007408"</f>
        <v>200007408</v>
      </c>
      <c r="B16120" t="str">
        <f>"1538723887"</f>
        <v>1538723887</v>
      </c>
      <c r="C16120" t="str">
        <f>"207P00000X"</f>
        <v>207P00000X</v>
      </c>
      <c r="D16120" t="str">
        <f>"LENOIR III               THOMAS       W           "</f>
        <v xml:space="preserve">LENOIR III               THOMAS       W           </v>
      </c>
      <c r="E16120" t="str">
        <f>"GULFPORT                  "</f>
        <v xml:space="preserve">GULFPORT                  </v>
      </c>
      <c r="F16120" t="str">
        <f t="shared" si="408"/>
        <v>MS</v>
      </c>
    </row>
    <row r="16121" spans="1:6" x14ac:dyDescent="0.25">
      <c r="A16121" t="str">
        <f>"200007419"</f>
        <v>200007419</v>
      </c>
      <c r="B16121" t="str">
        <f>"1124804760"</f>
        <v>1124804760</v>
      </c>
      <c r="C16121" t="str">
        <f>"261QM1300X"</f>
        <v>261QM1300X</v>
      </c>
      <c r="D16121" t="str">
        <f>"TINA J SULLIVAN COUNSELING SERVICES LLC           "</f>
        <v xml:space="preserve">TINA J SULLIVAN COUNSELING SERVICES LLC           </v>
      </c>
      <c r="E16121" t="str">
        <f>"OCEAN SPRINGS             "</f>
        <v xml:space="preserve">OCEAN SPRINGS             </v>
      </c>
      <c r="F16121" t="str">
        <f t="shared" si="408"/>
        <v>MS</v>
      </c>
    </row>
    <row r="16122" spans="1:6" x14ac:dyDescent="0.25">
      <c r="A16122" t="str">
        <f>"200007420"</f>
        <v>200007420</v>
      </c>
      <c r="B16122" t="str">
        <f>"1558080739"</f>
        <v>1558080739</v>
      </c>
      <c r="C16122" t="str">
        <f>"363L00000X"</f>
        <v>363L00000X</v>
      </c>
      <c r="D16122" t="str">
        <f>"BASS                     JESSICA      G           "</f>
        <v xml:space="preserve">BASS                     JESSICA      G           </v>
      </c>
      <c r="E16122" t="str">
        <f>"HATTIESBURG               "</f>
        <v xml:space="preserve">HATTIESBURG               </v>
      </c>
      <c r="F16122" t="str">
        <f t="shared" si="408"/>
        <v>MS</v>
      </c>
    </row>
    <row r="16123" spans="1:6" x14ac:dyDescent="0.25">
      <c r="A16123" t="str">
        <f>"200007423"</f>
        <v>200007423</v>
      </c>
      <c r="B16123" t="str">
        <f>"1487433454"</f>
        <v>1487433454</v>
      </c>
      <c r="C16123" t="str">
        <f>"363LF0000X"</f>
        <v>363LF0000X</v>
      </c>
      <c r="D16123" t="str">
        <f>"BOSTIC                   STEPHANIE                "</f>
        <v xml:space="preserve">BOSTIC                   STEPHANIE                </v>
      </c>
      <c r="E16123" t="str">
        <f>"FLOWOOD                   "</f>
        <v xml:space="preserve">FLOWOOD                   </v>
      </c>
      <c r="F16123" t="str">
        <f t="shared" si="408"/>
        <v>MS</v>
      </c>
    </row>
    <row r="16124" spans="1:6" x14ac:dyDescent="0.25">
      <c r="A16124" t="str">
        <f>"200007428"</f>
        <v>200007428</v>
      </c>
      <c r="B16124" t="str">
        <f>"1295511376"</f>
        <v>1295511376</v>
      </c>
      <c r="C16124" t="str">
        <f>"363A00000X"</f>
        <v>363A00000X</v>
      </c>
      <c r="D16124" t="str">
        <f>"DRAKES                   ELIZABETH                "</f>
        <v xml:space="preserve">DRAKES                   ELIZABETH                </v>
      </c>
      <c r="E16124" t="str">
        <f>"JACKSON                   "</f>
        <v xml:space="preserve">JACKSON                   </v>
      </c>
      <c r="F16124" t="str">
        <f t="shared" si="408"/>
        <v>MS</v>
      </c>
    </row>
    <row r="16125" spans="1:6" x14ac:dyDescent="0.25">
      <c r="A16125" t="str">
        <f>"200007436"</f>
        <v>200007436</v>
      </c>
      <c r="B16125" t="str">
        <f>"1437380961"</f>
        <v>1437380961</v>
      </c>
      <c r="C16125" t="str">
        <f>"363L00000X"</f>
        <v>363L00000X</v>
      </c>
      <c r="D16125" t="str">
        <f>"SMITH                    SARA         T           "</f>
        <v xml:space="preserve">SMITH                    SARA         T           </v>
      </c>
      <c r="E16125" t="str">
        <f>"BRANDON                   "</f>
        <v xml:space="preserve">BRANDON                   </v>
      </c>
      <c r="F16125" t="str">
        <f t="shared" si="408"/>
        <v>MS</v>
      </c>
    </row>
    <row r="16126" spans="1:6" x14ac:dyDescent="0.25">
      <c r="A16126" t="str">
        <f>"200007440"</f>
        <v>200007440</v>
      </c>
      <c r="B16126" t="str">
        <f>"1831131671"</f>
        <v>1831131671</v>
      </c>
      <c r="C16126" t="str">
        <f>"2085R0202X"</f>
        <v>2085R0202X</v>
      </c>
      <c r="D16126" t="str">
        <f>"GIAROLI                  EDWARD       L           "</f>
        <v xml:space="preserve">GIAROLI                  EDWARD       L           </v>
      </c>
      <c r="E16126" t="str">
        <f>"CALHOUN CITY              "</f>
        <v xml:space="preserve">CALHOUN CITY              </v>
      </c>
      <c r="F16126" t="str">
        <f t="shared" ref="F16126:F16189" si="409">"MS"</f>
        <v>MS</v>
      </c>
    </row>
    <row r="16127" spans="1:6" x14ac:dyDescent="0.25">
      <c r="A16127" t="str">
        <f>"200007443"</f>
        <v>200007443</v>
      </c>
      <c r="B16127" t="str">
        <f>"1215130612"</f>
        <v>1215130612</v>
      </c>
      <c r="C16127" t="str">
        <f>"208000000X"</f>
        <v>208000000X</v>
      </c>
      <c r="D16127" t="str">
        <f>"MCLENDON                 JOHN         P           "</f>
        <v xml:space="preserve">MCLENDON                 JOHN         P           </v>
      </c>
      <c r="E16127" t="str">
        <f>"OXFORD                    "</f>
        <v xml:space="preserve">OXFORD                    </v>
      </c>
      <c r="F16127" t="str">
        <f t="shared" si="409"/>
        <v>MS</v>
      </c>
    </row>
    <row r="16128" spans="1:6" x14ac:dyDescent="0.25">
      <c r="A16128" t="str">
        <f>"200007458"</f>
        <v>200007458</v>
      </c>
      <c r="B16128" t="str">
        <f>"1174863427"</f>
        <v>1174863427</v>
      </c>
      <c r="C16128" t="str">
        <f>"363L00000X"</f>
        <v>363L00000X</v>
      </c>
      <c r="D16128" t="str">
        <f>"LADNER                   ANGELLE                  "</f>
        <v xml:space="preserve">LADNER                   ANGELLE                  </v>
      </c>
      <c r="E16128" t="str">
        <f>"RIDGELAND                 "</f>
        <v xml:space="preserve">RIDGELAND                 </v>
      </c>
      <c r="F16128" t="str">
        <f t="shared" si="409"/>
        <v>MS</v>
      </c>
    </row>
    <row r="16129" spans="1:6" x14ac:dyDescent="0.25">
      <c r="A16129" t="str">
        <f>"200007462"</f>
        <v>200007462</v>
      </c>
      <c r="B16129" t="str">
        <f>"1124709126"</f>
        <v>1124709126</v>
      </c>
      <c r="C16129" t="str">
        <f>"363L00000X"</f>
        <v>363L00000X</v>
      </c>
      <c r="D16129" t="str">
        <f>"GENNARELLI               OLIVIA                   "</f>
        <v xml:space="preserve">GENNARELLI               OLIVIA                   </v>
      </c>
      <c r="E16129" t="str">
        <f>"GULFPORT                  "</f>
        <v xml:space="preserve">GULFPORT                  </v>
      </c>
      <c r="F16129" t="str">
        <f t="shared" si="409"/>
        <v>MS</v>
      </c>
    </row>
    <row r="16130" spans="1:6" x14ac:dyDescent="0.25">
      <c r="A16130" t="str">
        <f>"200007463"</f>
        <v>200007463</v>
      </c>
      <c r="B16130" t="str">
        <f>"1366082778"</f>
        <v>1366082778</v>
      </c>
      <c r="C16130" t="str">
        <f>"363L00000X"</f>
        <v>363L00000X</v>
      </c>
      <c r="D16130" t="str">
        <f>"DONALD                   MALINDA                  "</f>
        <v xml:space="preserve">DONALD                   MALINDA                  </v>
      </c>
      <c r="E16130" t="str">
        <f>"BROOKHAVEN                "</f>
        <v xml:space="preserve">BROOKHAVEN                </v>
      </c>
      <c r="F16130" t="str">
        <f t="shared" si="409"/>
        <v>MS</v>
      </c>
    </row>
    <row r="16131" spans="1:6" x14ac:dyDescent="0.25">
      <c r="A16131" t="str">
        <f>"200007465"</f>
        <v>200007465</v>
      </c>
      <c r="B16131" t="str">
        <f>"1538689468"</f>
        <v>1538689468</v>
      </c>
      <c r="C16131" t="str">
        <f>"2084N0400X"</f>
        <v>2084N0400X</v>
      </c>
      <c r="D16131" t="str">
        <f>"MAHADEEN                 AHMAD                    "</f>
        <v xml:space="preserve">MAHADEEN                 AHMAD                    </v>
      </c>
      <c r="E16131" t="str">
        <f>"CANTON                    "</f>
        <v xml:space="preserve">CANTON                    </v>
      </c>
      <c r="F16131" t="str">
        <f t="shared" si="409"/>
        <v>MS</v>
      </c>
    </row>
    <row r="16132" spans="1:6" x14ac:dyDescent="0.25">
      <c r="A16132" t="str">
        <f>"200007468"</f>
        <v>200007468</v>
      </c>
      <c r="B16132" t="str">
        <f>"1528623212"</f>
        <v>1528623212</v>
      </c>
      <c r="C16132" t="str">
        <f>"207R00000X"</f>
        <v>207R00000X</v>
      </c>
      <c r="D16132" t="str">
        <f>"JAGDEV                   NAVKIRAN                 "</f>
        <v xml:space="preserve">JAGDEV                   NAVKIRAN                 </v>
      </c>
      <c r="E16132" t="str">
        <f>"JACKSON                   "</f>
        <v xml:space="preserve">JACKSON                   </v>
      </c>
      <c r="F16132" t="str">
        <f t="shared" si="409"/>
        <v>MS</v>
      </c>
    </row>
    <row r="16133" spans="1:6" x14ac:dyDescent="0.25">
      <c r="A16133" t="str">
        <f>"200007475"</f>
        <v>200007475</v>
      </c>
      <c r="B16133" t="str">
        <f>"1073394516"</f>
        <v>1073394516</v>
      </c>
      <c r="C16133" t="str">
        <f>"363L00000X"</f>
        <v>363L00000X</v>
      </c>
      <c r="D16133" t="str">
        <f>"SHEFFIELD                MEREDITH                 "</f>
        <v xml:space="preserve">SHEFFIELD                MEREDITH                 </v>
      </c>
      <c r="E16133" t="str">
        <f>"PEARL                     "</f>
        <v xml:space="preserve">PEARL                     </v>
      </c>
      <c r="F16133" t="str">
        <f t="shared" si="409"/>
        <v>MS</v>
      </c>
    </row>
    <row r="16134" spans="1:6" x14ac:dyDescent="0.25">
      <c r="A16134" t="str">
        <f>"200007494"</f>
        <v>200007494</v>
      </c>
      <c r="B16134" t="str">
        <f>"1487693024"</f>
        <v>1487693024</v>
      </c>
      <c r="C16134" t="str">
        <f>"363L00000X"</f>
        <v>363L00000X</v>
      </c>
      <c r="D16134" t="str">
        <f>"YOUNG                    CHERLY       K           "</f>
        <v xml:space="preserve">YOUNG                    CHERLY       K           </v>
      </c>
      <c r="E16134" t="str">
        <f>"TUPELO                    "</f>
        <v xml:space="preserve">TUPELO                    </v>
      </c>
      <c r="F16134" t="str">
        <f t="shared" si="409"/>
        <v>MS</v>
      </c>
    </row>
    <row r="16135" spans="1:6" x14ac:dyDescent="0.25">
      <c r="A16135" t="str">
        <f>"200007508"</f>
        <v>200007508</v>
      </c>
      <c r="B16135" t="str">
        <f>"1164470720"</f>
        <v>1164470720</v>
      </c>
      <c r="C16135" t="str">
        <f>"207P00000X"</f>
        <v>207P00000X</v>
      </c>
      <c r="D16135" t="str">
        <f>"BELL                     WILLIAM                  "</f>
        <v xml:space="preserve">BELL                     WILLIAM                  </v>
      </c>
      <c r="E16135" t="str">
        <f>"TYLERTOWN                 "</f>
        <v xml:space="preserve">TYLERTOWN                 </v>
      </c>
      <c r="F16135" t="str">
        <f t="shared" si="409"/>
        <v>MS</v>
      </c>
    </row>
    <row r="16136" spans="1:6" x14ac:dyDescent="0.25">
      <c r="A16136" t="str">
        <f>"200007509"</f>
        <v>200007509</v>
      </c>
      <c r="B16136" t="str">
        <f>"1245976935"</f>
        <v>1245976935</v>
      </c>
      <c r="C16136" t="str">
        <f>"152W00000X"</f>
        <v>152W00000X</v>
      </c>
      <c r="D16136" t="str">
        <f>"LADINER                  JORDAN                   "</f>
        <v xml:space="preserve">LADINER                  JORDAN                   </v>
      </c>
      <c r="E16136" t="str">
        <f>"FLOWOOD                   "</f>
        <v xml:space="preserve">FLOWOOD                   </v>
      </c>
      <c r="F16136" t="str">
        <f t="shared" si="409"/>
        <v>MS</v>
      </c>
    </row>
    <row r="16137" spans="1:6" x14ac:dyDescent="0.25">
      <c r="A16137" t="str">
        <f>"200007510"</f>
        <v>200007510</v>
      </c>
      <c r="B16137" t="str">
        <f>"1518965128"</f>
        <v>1518965128</v>
      </c>
      <c r="C16137" t="str">
        <f>"207Q00000X"</f>
        <v>207Q00000X</v>
      </c>
      <c r="D16137" t="str">
        <f>"THOMAS                   SHEILA       M           "</f>
        <v xml:space="preserve">THOMAS                   SHEILA       M           </v>
      </c>
      <c r="E16137" t="str">
        <f>"SOUTHAVEN                 "</f>
        <v xml:space="preserve">SOUTHAVEN                 </v>
      </c>
      <c r="F16137" t="str">
        <f t="shared" si="409"/>
        <v>MS</v>
      </c>
    </row>
    <row r="16138" spans="1:6" x14ac:dyDescent="0.25">
      <c r="A16138" t="str">
        <f>"200007518"</f>
        <v>200007518</v>
      </c>
      <c r="B16138" t="str">
        <f>"1689393407"</f>
        <v>1689393407</v>
      </c>
      <c r="C16138" t="str">
        <f t="shared" ref="C16138:C16143" si="410">"363L00000X"</f>
        <v>363L00000X</v>
      </c>
      <c r="D16138" t="str">
        <f>"MC DYESS                 TINA                     "</f>
        <v xml:space="preserve">MC DYESS                 TINA                     </v>
      </c>
      <c r="E16138" t="str">
        <f>"ELLISVILLE                "</f>
        <v xml:space="preserve">ELLISVILLE                </v>
      </c>
      <c r="F16138" t="str">
        <f t="shared" si="409"/>
        <v>MS</v>
      </c>
    </row>
    <row r="16139" spans="1:6" x14ac:dyDescent="0.25">
      <c r="A16139" t="str">
        <f>"200007522"</f>
        <v>200007522</v>
      </c>
      <c r="B16139" t="str">
        <f>"1447988167"</f>
        <v>1447988167</v>
      </c>
      <c r="C16139" t="str">
        <f t="shared" si="410"/>
        <v>363L00000X</v>
      </c>
      <c r="D16139" t="str">
        <f>"JONES                    REBEKAH                  "</f>
        <v xml:space="preserve">JONES                    REBEKAH                  </v>
      </c>
      <c r="E16139" t="str">
        <f>"GULFPORT                  "</f>
        <v xml:space="preserve">GULFPORT                  </v>
      </c>
      <c r="F16139" t="str">
        <f t="shared" si="409"/>
        <v>MS</v>
      </c>
    </row>
    <row r="16140" spans="1:6" x14ac:dyDescent="0.25">
      <c r="A16140" t="str">
        <f>"200007524"</f>
        <v>200007524</v>
      </c>
      <c r="B16140" t="str">
        <f>"1295704989"</f>
        <v>1295704989</v>
      </c>
      <c r="C16140" t="str">
        <f t="shared" si="410"/>
        <v>363L00000X</v>
      </c>
      <c r="D16140" t="str">
        <f>"FRENCH                   ROBERT       S           "</f>
        <v xml:space="preserve">FRENCH                   ROBERT       S           </v>
      </c>
      <c r="E16140" t="str">
        <f>"RICHLAND                  "</f>
        <v xml:space="preserve">RICHLAND                  </v>
      </c>
      <c r="F16140" t="str">
        <f t="shared" si="409"/>
        <v>MS</v>
      </c>
    </row>
    <row r="16141" spans="1:6" x14ac:dyDescent="0.25">
      <c r="A16141" t="str">
        <f>"200007528"</f>
        <v>200007528</v>
      </c>
      <c r="B16141" t="str">
        <f>"1528551579"</f>
        <v>1528551579</v>
      </c>
      <c r="C16141" t="str">
        <f t="shared" si="410"/>
        <v>363L00000X</v>
      </c>
      <c r="D16141" t="str">
        <f>"LANGFORD                 ALLISON      S           "</f>
        <v xml:space="preserve">LANGFORD                 ALLISON      S           </v>
      </c>
      <c r="E16141" t="str">
        <f>"KOSCIUSKO                 "</f>
        <v xml:space="preserve">KOSCIUSKO                 </v>
      </c>
      <c r="F16141" t="str">
        <f t="shared" si="409"/>
        <v>MS</v>
      </c>
    </row>
    <row r="16142" spans="1:6" x14ac:dyDescent="0.25">
      <c r="A16142" t="str">
        <f>"200007532"</f>
        <v>200007532</v>
      </c>
      <c r="B16142" t="str">
        <f>"1912682048"</f>
        <v>1912682048</v>
      </c>
      <c r="C16142" t="str">
        <f t="shared" si="410"/>
        <v>363L00000X</v>
      </c>
      <c r="D16142" t="str">
        <f>"MURPHY                   CHARMIE                  "</f>
        <v xml:space="preserve">MURPHY                   CHARMIE                  </v>
      </c>
      <c r="E16142" t="str">
        <f>"GREENVILLE                "</f>
        <v xml:space="preserve">GREENVILLE                </v>
      </c>
      <c r="F16142" t="str">
        <f t="shared" si="409"/>
        <v>MS</v>
      </c>
    </row>
    <row r="16143" spans="1:6" x14ac:dyDescent="0.25">
      <c r="A16143" t="str">
        <f>"200007533"</f>
        <v>200007533</v>
      </c>
      <c r="B16143" t="str">
        <f>"1922374057"</f>
        <v>1922374057</v>
      </c>
      <c r="C16143" t="str">
        <f t="shared" si="410"/>
        <v>363L00000X</v>
      </c>
      <c r="D16143" t="str">
        <f>"LADNER                   TONI                     "</f>
        <v xml:space="preserve">LADNER                   TONI                     </v>
      </c>
      <c r="E16143" t="str">
        <f>"LEAKESVILLE               "</f>
        <v xml:space="preserve">LEAKESVILLE               </v>
      </c>
      <c r="F16143" t="str">
        <f t="shared" si="409"/>
        <v>MS</v>
      </c>
    </row>
    <row r="16144" spans="1:6" x14ac:dyDescent="0.25">
      <c r="A16144" t="str">
        <f>"200007534"</f>
        <v>200007534</v>
      </c>
      <c r="B16144" t="str">
        <f>"1396240040"</f>
        <v>1396240040</v>
      </c>
      <c r="C16144" t="str">
        <f>"207R00000X"</f>
        <v>207R00000X</v>
      </c>
      <c r="D16144" t="str">
        <f>"ROSS                     NICHOLAS                 "</f>
        <v xml:space="preserve">ROSS                     NICHOLAS                 </v>
      </c>
      <c r="E16144" t="str">
        <f>"TUPELO                    "</f>
        <v xml:space="preserve">TUPELO                    </v>
      </c>
      <c r="F16144" t="str">
        <f t="shared" si="409"/>
        <v>MS</v>
      </c>
    </row>
    <row r="16145" spans="1:6" x14ac:dyDescent="0.25">
      <c r="A16145" t="str">
        <f>"200007536"</f>
        <v>200007536</v>
      </c>
      <c r="B16145" t="str">
        <f>"1235768581"</f>
        <v>1235768581</v>
      </c>
      <c r="C16145" t="str">
        <f>"207P00000X"</f>
        <v>207P00000X</v>
      </c>
      <c r="D16145" t="str">
        <f>"ARMSTRONG                NATHAN                   "</f>
        <v xml:space="preserve">ARMSTRONG                NATHAN                   </v>
      </c>
      <c r="E16145" t="str">
        <f>"JACKSON                   "</f>
        <v xml:space="preserve">JACKSON                   </v>
      </c>
      <c r="F16145" t="str">
        <f t="shared" si="409"/>
        <v>MS</v>
      </c>
    </row>
    <row r="16146" spans="1:6" x14ac:dyDescent="0.25">
      <c r="A16146" t="str">
        <f>"200007538"</f>
        <v>200007538</v>
      </c>
      <c r="B16146" t="str">
        <f>"1720418726"</f>
        <v>1720418726</v>
      </c>
      <c r="C16146" t="str">
        <f t="shared" ref="C16146:C16153" si="411">"363L00000X"</f>
        <v>363L00000X</v>
      </c>
      <c r="D16146" t="str">
        <f>"OWENS                    OLGA                     "</f>
        <v xml:space="preserve">OWENS                    OLGA                     </v>
      </c>
      <c r="E16146" t="str">
        <f>"PASCAGOULA                "</f>
        <v xml:space="preserve">PASCAGOULA                </v>
      </c>
      <c r="F16146" t="str">
        <f t="shared" si="409"/>
        <v>MS</v>
      </c>
    </row>
    <row r="16147" spans="1:6" x14ac:dyDescent="0.25">
      <c r="A16147" t="str">
        <f>"200007539"</f>
        <v>200007539</v>
      </c>
      <c r="B16147" t="str">
        <f>"1609555846"</f>
        <v>1609555846</v>
      </c>
      <c r="C16147" t="str">
        <f t="shared" si="411"/>
        <v>363L00000X</v>
      </c>
      <c r="D16147" t="str">
        <f>"EVANS                    BREANNA      N           "</f>
        <v xml:space="preserve">EVANS                    BREANNA      N           </v>
      </c>
      <c r="E16147" t="str">
        <f>"RIPLEY                    "</f>
        <v xml:space="preserve">RIPLEY                    </v>
      </c>
      <c r="F16147" t="str">
        <f t="shared" si="409"/>
        <v>MS</v>
      </c>
    </row>
    <row r="16148" spans="1:6" x14ac:dyDescent="0.25">
      <c r="A16148" t="str">
        <f>"200007555"</f>
        <v>200007555</v>
      </c>
      <c r="B16148" t="str">
        <f>"1538622089"</f>
        <v>1538622089</v>
      </c>
      <c r="C16148" t="str">
        <f t="shared" si="411"/>
        <v>363L00000X</v>
      </c>
      <c r="D16148" t="str">
        <f>"BORUM                    JENNIFER                 "</f>
        <v xml:space="preserve">BORUM                    JENNIFER                 </v>
      </c>
      <c r="E16148" t="str">
        <f>"FLOWOOD                   "</f>
        <v xml:space="preserve">FLOWOOD                   </v>
      </c>
      <c r="F16148" t="str">
        <f t="shared" si="409"/>
        <v>MS</v>
      </c>
    </row>
    <row r="16149" spans="1:6" x14ac:dyDescent="0.25">
      <c r="A16149" t="str">
        <f>"200007577"</f>
        <v>200007577</v>
      </c>
      <c r="B16149" t="str">
        <f>"1952083370"</f>
        <v>1952083370</v>
      </c>
      <c r="C16149" t="str">
        <f t="shared" si="411"/>
        <v>363L00000X</v>
      </c>
      <c r="D16149" t="str">
        <f>"RUSHING JR.              WILLIAM                  "</f>
        <v xml:space="preserve">RUSHING JR.              WILLIAM                  </v>
      </c>
      <c r="E16149" t="str">
        <f>"BRANDON                   "</f>
        <v xml:space="preserve">BRANDON                   </v>
      </c>
      <c r="F16149" t="str">
        <f t="shared" si="409"/>
        <v>MS</v>
      </c>
    </row>
    <row r="16150" spans="1:6" x14ac:dyDescent="0.25">
      <c r="A16150" t="str">
        <f>"200007582"</f>
        <v>200007582</v>
      </c>
      <c r="B16150" t="str">
        <f>"1982382784"</f>
        <v>1982382784</v>
      </c>
      <c r="C16150" t="str">
        <f t="shared" si="411"/>
        <v>363L00000X</v>
      </c>
      <c r="D16150" t="str">
        <f>"BARBER                   DANIELLE                 "</f>
        <v xml:space="preserve">BARBER                   DANIELLE                 </v>
      </c>
      <c r="E16150" t="str">
        <f>"LONG BEACH                "</f>
        <v xml:space="preserve">LONG BEACH                </v>
      </c>
      <c r="F16150" t="str">
        <f t="shared" si="409"/>
        <v>MS</v>
      </c>
    </row>
    <row r="16151" spans="1:6" x14ac:dyDescent="0.25">
      <c r="A16151" t="str">
        <f>"200007592"</f>
        <v>200007592</v>
      </c>
      <c r="B16151" t="str">
        <f>"1568745966"</f>
        <v>1568745966</v>
      </c>
      <c r="C16151" t="str">
        <f t="shared" si="411"/>
        <v>363L00000X</v>
      </c>
      <c r="D16151" t="str">
        <f>"BLALOCK PERKINS          NORALYN                  "</f>
        <v xml:space="preserve">BLALOCK PERKINS          NORALYN                  </v>
      </c>
      <c r="E16151" t="str">
        <f>"FLOWOOD                   "</f>
        <v xml:space="preserve">FLOWOOD                   </v>
      </c>
      <c r="F16151" t="str">
        <f t="shared" si="409"/>
        <v>MS</v>
      </c>
    </row>
    <row r="16152" spans="1:6" x14ac:dyDescent="0.25">
      <c r="A16152" t="str">
        <f>"200007596"</f>
        <v>200007596</v>
      </c>
      <c r="B16152" t="str">
        <f>"1669664876"</f>
        <v>1669664876</v>
      </c>
      <c r="C16152" t="str">
        <f t="shared" si="411"/>
        <v>363L00000X</v>
      </c>
      <c r="D16152" t="str">
        <f>"YOUNG                    ROCHELLE                 "</f>
        <v xml:space="preserve">YOUNG                    ROCHELLE                 </v>
      </c>
      <c r="E16152" t="str">
        <f>"FLOWOOD                   "</f>
        <v xml:space="preserve">FLOWOOD                   </v>
      </c>
      <c r="F16152" t="str">
        <f t="shared" si="409"/>
        <v>MS</v>
      </c>
    </row>
    <row r="16153" spans="1:6" x14ac:dyDescent="0.25">
      <c r="A16153" t="str">
        <f>"200007601"</f>
        <v>200007601</v>
      </c>
      <c r="B16153" t="str">
        <f>"1578341459"</f>
        <v>1578341459</v>
      </c>
      <c r="C16153" t="str">
        <f t="shared" si="411"/>
        <v>363L00000X</v>
      </c>
      <c r="D16153" t="str">
        <f>"NEWMAN                   ASHTON       K           "</f>
        <v xml:space="preserve">NEWMAN                   ASHTON       K           </v>
      </c>
      <c r="E16153" t="str">
        <f>"BROOKHAVEN                "</f>
        <v xml:space="preserve">BROOKHAVEN                </v>
      </c>
      <c r="F16153" t="str">
        <f t="shared" si="409"/>
        <v>MS</v>
      </c>
    </row>
    <row r="16154" spans="1:6" x14ac:dyDescent="0.25">
      <c r="A16154" t="str">
        <f>"200007620"</f>
        <v>200007620</v>
      </c>
      <c r="B16154" t="str">
        <f>"1831870054"</f>
        <v>1831870054</v>
      </c>
      <c r="C16154" t="str">
        <f>"367500000X"</f>
        <v>367500000X</v>
      </c>
      <c r="D16154" t="str">
        <f>"CLEVELAND                SARAH                    "</f>
        <v xml:space="preserve">CLEVELAND                SARAH                    </v>
      </c>
      <c r="E16154" t="str">
        <f>"TUPELO                    "</f>
        <v xml:space="preserve">TUPELO                    </v>
      </c>
      <c r="F16154" t="str">
        <f t="shared" si="409"/>
        <v>MS</v>
      </c>
    </row>
    <row r="16155" spans="1:6" x14ac:dyDescent="0.25">
      <c r="A16155" t="str">
        <f>"200007624"</f>
        <v>200007624</v>
      </c>
      <c r="B16155" t="str">
        <f>"1730674722"</f>
        <v>1730674722</v>
      </c>
      <c r="C16155" t="str">
        <f>"207L00000X"</f>
        <v>207L00000X</v>
      </c>
      <c r="D16155" t="str">
        <f>"DA COSTA LIMA FILHO      LUIZ MOREIRA             "</f>
        <v xml:space="preserve">DA COSTA LIMA FILHO      LUIZ MOREIRA             </v>
      </c>
      <c r="E16155" t="str">
        <f>"JACKSON                   "</f>
        <v xml:space="preserve">JACKSON                   </v>
      </c>
      <c r="F16155" t="str">
        <f t="shared" si="409"/>
        <v>MS</v>
      </c>
    </row>
    <row r="16156" spans="1:6" x14ac:dyDescent="0.25">
      <c r="A16156" t="str">
        <f>"200007627"</f>
        <v>200007627</v>
      </c>
      <c r="B16156" t="str">
        <f>"1851172316"</f>
        <v>1851172316</v>
      </c>
      <c r="C16156" t="str">
        <f>"363L00000X"</f>
        <v>363L00000X</v>
      </c>
      <c r="D16156" t="str">
        <f>"MALONE                   AMBER                    "</f>
        <v xml:space="preserve">MALONE                   AMBER                    </v>
      </c>
      <c r="E16156" t="str">
        <f>"NATCHEZ                   "</f>
        <v xml:space="preserve">NATCHEZ                   </v>
      </c>
      <c r="F16156" t="str">
        <f t="shared" si="409"/>
        <v>MS</v>
      </c>
    </row>
    <row r="16157" spans="1:6" x14ac:dyDescent="0.25">
      <c r="A16157" t="str">
        <f>"200007636"</f>
        <v>200007636</v>
      </c>
      <c r="B16157" t="str">
        <f>"1871274084"</f>
        <v>1871274084</v>
      </c>
      <c r="C16157" t="str">
        <f>"367500000X"</f>
        <v>367500000X</v>
      </c>
      <c r="D16157" t="str">
        <f>"KENNEDY                  ELIZABETH                "</f>
        <v xml:space="preserve">KENNEDY                  ELIZABETH                </v>
      </c>
      <c r="E16157" t="str">
        <f>"TUPELO                    "</f>
        <v xml:space="preserve">TUPELO                    </v>
      </c>
      <c r="F16157" t="str">
        <f t="shared" si="409"/>
        <v>MS</v>
      </c>
    </row>
    <row r="16158" spans="1:6" x14ac:dyDescent="0.25">
      <c r="A16158" t="str">
        <f>"200007647"</f>
        <v>200007647</v>
      </c>
      <c r="B16158" t="str">
        <f>"1700557915"</f>
        <v>1700557915</v>
      </c>
      <c r="C16158" t="str">
        <f>"363L00000X"</f>
        <v>363L00000X</v>
      </c>
      <c r="D16158" t="str">
        <f>"WHITE                    MAGARET                  "</f>
        <v xml:space="preserve">WHITE                    MAGARET                  </v>
      </c>
      <c r="E16158" t="str">
        <f>"STARKVILLE                "</f>
        <v xml:space="preserve">STARKVILLE                </v>
      </c>
      <c r="F16158" t="str">
        <f t="shared" si="409"/>
        <v>MS</v>
      </c>
    </row>
    <row r="16159" spans="1:6" x14ac:dyDescent="0.25">
      <c r="A16159" t="str">
        <f>"200007648"</f>
        <v>200007648</v>
      </c>
      <c r="B16159" t="str">
        <f>"1255024881"</f>
        <v>1255024881</v>
      </c>
      <c r="C16159" t="str">
        <f>"363A00000X"</f>
        <v>363A00000X</v>
      </c>
      <c r="D16159" t="str">
        <f>"LEWIS                    PATRICIA     A           "</f>
        <v xml:space="preserve">LEWIS                    PATRICIA     A           </v>
      </c>
      <c r="E16159" t="str">
        <f>"VICKSBURG                 "</f>
        <v xml:space="preserve">VICKSBURG                 </v>
      </c>
      <c r="F16159" t="str">
        <f t="shared" si="409"/>
        <v>MS</v>
      </c>
    </row>
    <row r="16160" spans="1:6" x14ac:dyDescent="0.25">
      <c r="A16160" t="str">
        <f>"200007649"</f>
        <v>200007649</v>
      </c>
      <c r="B16160" t="str">
        <f>"1750074415"</f>
        <v>1750074415</v>
      </c>
      <c r="C16160" t="str">
        <f>"261QM3000X"</f>
        <v>261QM3000X</v>
      </c>
      <c r="D16160" t="str">
        <f>"PEDIATRIC PLACE                                   "</f>
        <v xml:space="preserve">PEDIATRIC PLACE                                   </v>
      </c>
      <c r="E16160" t="str">
        <f>"RIDGELAND                 "</f>
        <v xml:space="preserve">RIDGELAND                 </v>
      </c>
      <c r="F16160" t="str">
        <f t="shared" si="409"/>
        <v>MS</v>
      </c>
    </row>
    <row r="16161" spans="1:6" x14ac:dyDescent="0.25">
      <c r="A16161" t="str">
        <f>"200007651"</f>
        <v>200007651</v>
      </c>
      <c r="B16161" t="str">
        <f>"1437838430"</f>
        <v>1437838430</v>
      </c>
      <c r="C16161" t="str">
        <f>"207Q00000X"</f>
        <v>207Q00000X</v>
      </c>
      <c r="D16161" t="str">
        <f>"PARKER                   KAIMAN                   "</f>
        <v xml:space="preserve">PARKER                   KAIMAN                   </v>
      </c>
      <c r="E16161" t="str">
        <f>"WAYNESBORO                "</f>
        <v xml:space="preserve">WAYNESBORO                </v>
      </c>
      <c r="F16161" t="str">
        <f t="shared" si="409"/>
        <v>MS</v>
      </c>
    </row>
    <row r="16162" spans="1:6" x14ac:dyDescent="0.25">
      <c r="A16162" t="str">
        <f>"200007654"</f>
        <v>200007654</v>
      </c>
      <c r="B16162" t="str">
        <f>"1154584811"</f>
        <v>1154584811</v>
      </c>
      <c r="C16162" t="str">
        <f>"208000000X"</f>
        <v>208000000X</v>
      </c>
      <c r="D16162" t="str">
        <f>"SANDHU                   JASMINE      S           "</f>
        <v xml:space="preserve">SANDHU                   JASMINE      S           </v>
      </c>
      <c r="E16162" t="str">
        <f>"JACKSON                   "</f>
        <v xml:space="preserve">JACKSON                   </v>
      </c>
      <c r="F16162" t="str">
        <f t="shared" si="409"/>
        <v>MS</v>
      </c>
    </row>
    <row r="16163" spans="1:6" x14ac:dyDescent="0.25">
      <c r="A16163" t="str">
        <f>"200007660"</f>
        <v>200007660</v>
      </c>
      <c r="B16163" t="str">
        <f>"1497164446"</f>
        <v>1497164446</v>
      </c>
      <c r="C16163" t="str">
        <f>"363LP0808X"</f>
        <v>363LP0808X</v>
      </c>
      <c r="D16163" t="str">
        <f>"VAUGHN                   MARY                     "</f>
        <v xml:space="preserve">VAUGHN                   MARY                     </v>
      </c>
      <c r="E16163" t="str">
        <f>"WINONA                    "</f>
        <v xml:space="preserve">WINONA                    </v>
      </c>
      <c r="F16163" t="str">
        <f t="shared" si="409"/>
        <v>MS</v>
      </c>
    </row>
    <row r="16164" spans="1:6" x14ac:dyDescent="0.25">
      <c r="A16164" t="str">
        <f>"200007665"</f>
        <v>200007665</v>
      </c>
      <c r="B16164" t="str">
        <f>"1144668963"</f>
        <v>1144668963</v>
      </c>
      <c r="C16164" t="str">
        <f>"207P00000X"</f>
        <v>207P00000X</v>
      </c>
      <c r="D16164" t="str">
        <f>"AKSUT                    JAREN                    "</f>
        <v xml:space="preserve">AKSUT                    JAREN                    </v>
      </c>
      <c r="E16164" t="str">
        <f>"CALHOUN CITY              "</f>
        <v xml:space="preserve">CALHOUN CITY              </v>
      </c>
      <c r="F16164" t="str">
        <f t="shared" si="409"/>
        <v>MS</v>
      </c>
    </row>
    <row r="16165" spans="1:6" x14ac:dyDescent="0.25">
      <c r="A16165" t="str">
        <f>"200007669"</f>
        <v>200007669</v>
      </c>
      <c r="B16165" t="str">
        <f>"1235653742"</f>
        <v>1235653742</v>
      </c>
      <c r="C16165" t="str">
        <f>"363L00000X"</f>
        <v>363L00000X</v>
      </c>
      <c r="D16165" t="str">
        <f>"GATES                    JESSICA      D           "</f>
        <v xml:space="preserve">GATES                    JESSICA      D           </v>
      </c>
      <c r="E16165" t="str">
        <f>"LUCEDALE                  "</f>
        <v xml:space="preserve">LUCEDALE                  </v>
      </c>
      <c r="F16165" t="str">
        <f t="shared" si="409"/>
        <v>MS</v>
      </c>
    </row>
    <row r="16166" spans="1:6" x14ac:dyDescent="0.25">
      <c r="A16166" t="str">
        <f>"200007689"</f>
        <v>200007689</v>
      </c>
      <c r="B16166" t="str">
        <f>"1821871385"</f>
        <v>1821871385</v>
      </c>
      <c r="C16166" t="str">
        <f>"363L00000X"</f>
        <v>363L00000X</v>
      </c>
      <c r="D16166" t="str">
        <f>"RENFRO                   KAITLIN                  "</f>
        <v xml:space="preserve">RENFRO                   KAITLIN                  </v>
      </c>
      <c r="E16166" t="str">
        <f>"CALHOUN CITY              "</f>
        <v xml:space="preserve">CALHOUN CITY              </v>
      </c>
      <c r="F16166" t="str">
        <f t="shared" si="409"/>
        <v>MS</v>
      </c>
    </row>
    <row r="16167" spans="1:6" x14ac:dyDescent="0.25">
      <c r="A16167" t="str">
        <f>"200007690"</f>
        <v>200007690</v>
      </c>
      <c r="B16167" t="str">
        <f>"1760813265"</f>
        <v>1760813265</v>
      </c>
      <c r="C16167" t="str">
        <f>"363L00000X"</f>
        <v>363L00000X</v>
      </c>
      <c r="D16167" t="str">
        <f>"PURSWELL                 SARAH        M           "</f>
        <v xml:space="preserve">PURSWELL                 SARAH        M           </v>
      </c>
      <c r="E16167" t="str">
        <f>"VICKSBURG                 "</f>
        <v xml:space="preserve">VICKSBURG                 </v>
      </c>
      <c r="F16167" t="str">
        <f t="shared" si="409"/>
        <v>MS</v>
      </c>
    </row>
    <row r="16168" spans="1:6" x14ac:dyDescent="0.25">
      <c r="A16168" t="str">
        <f>"200007694"</f>
        <v>200007694</v>
      </c>
      <c r="B16168" t="str">
        <f>"1225310006"</f>
        <v>1225310006</v>
      </c>
      <c r="C16168" t="str">
        <f>"207P00000X"</f>
        <v>207P00000X</v>
      </c>
      <c r="D16168" t="str">
        <f>"WEST                     KERRI                    "</f>
        <v xml:space="preserve">WEST                     KERRI                    </v>
      </c>
      <c r="E16168" t="str">
        <f>"YAZOO CITY                "</f>
        <v xml:space="preserve">YAZOO CITY                </v>
      </c>
      <c r="F16168" t="str">
        <f t="shared" si="409"/>
        <v>MS</v>
      </c>
    </row>
    <row r="16169" spans="1:6" x14ac:dyDescent="0.25">
      <c r="A16169" t="str">
        <f>"200007699"</f>
        <v>200007699</v>
      </c>
      <c r="B16169" t="str">
        <f>"1679348924"</f>
        <v>1679348924</v>
      </c>
      <c r="C16169" t="str">
        <f>"152W00000X"</f>
        <v>152W00000X</v>
      </c>
      <c r="D16169" t="str">
        <f>"DESOTO FAMILY VISION, PLLC                        "</f>
        <v xml:space="preserve">DESOTO FAMILY VISION, PLLC                        </v>
      </c>
      <c r="E16169" t="str">
        <f>"SOUTHAVEN                 "</f>
        <v xml:space="preserve">SOUTHAVEN                 </v>
      </c>
      <c r="F16169" t="str">
        <f t="shared" si="409"/>
        <v>MS</v>
      </c>
    </row>
    <row r="16170" spans="1:6" x14ac:dyDescent="0.25">
      <c r="A16170" t="str">
        <f>"200007705"</f>
        <v>200007705</v>
      </c>
      <c r="B16170" t="str">
        <f>"1235628785"</f>
        <v>1235628785</v>
      </c>
      <c r="C16170" t="str">
        <f>"367500000X"</f>
        <v>367500000X</v>
      </c>
      <c r="D16170" t="str">
        <f>"SMITH                    JILLIAN                  "</f>
        <v xml:space="preserve">SMITH                    JILLIAN                  </v>
      </c>
      <c r="E16170" t="str">
        <f>"OLIVE BRANCH              "</f>
        <v xml:space="preserve">OLIVE BRANCH              </v>
      </c>
      <c r="F16170" t="str">
        <f t="shared" si="409"/>
        <v>MS</v>
      </c>
    </row>
    <row r="16171" spans="1:6" x14ac:dyDescent="0.25">
      <c r="A16171" t="str">
        <f>"200007707"</f>
        <v>200007707</v>
      </c>
      <c r="B16171" t="str">
        <f>"1407391055"</f>
        <v>1407391055</v>
      </c>
      <c r="C16171" t="str">
        <f>"363A00000X"</f>
        <v>363A00000X</v>
      </c>
      <c r="D16171" t="str">
        <f>"BRADSHAW                 JESSICA                  "</f>
        <v xml:space="preserve">BRADSHAW                 JESSICA                  </v>
      </c>
      <c r="E16171" t="str">
        <f>"SOUTHAVEN                 "</f>
        <v xml:space="preserve">SOUTHAVEN                 </v>
      </c>
      <c r="F16171" t="str">
        <f t="shared" si="409"/>
        <v>MS</v>
      </c>
    </row>
    <row r="16172" spans="1:6" x14ac:dyDescent="0.25">
      <c r="A16172" t="str">
        <f>"200007708"</f>
        <v>200007708</v>
      </c>
      <c r="B16172" t="str">
        <f>"1033150263"</f>
        <v>1033150263</v>
      </c>
      <c r="C16172" t="str">
        <f>"207R00000X"</f>
        <v>207R00000X</v>
      </c>
      <c r="D16172" t="str">
        <f>"HUTCHINS                 BOB                      "</f>
        <v xml:space="preserve">HUTCHINS                 BOB                      </v>
      </c>
      <c r="E16172" t="str">
        <f>"JACKSON                   "</f>
        <v xml:space="preserve">JACKSON                   </v>
      </c>
      <c r="F16172" t="str">
        <f t="shared" si="409"/>
        <v>MS</v>
      </c>
    </row>
    <row r="16173" spans="1:6" x14ac:dyDescent="0.25">
      <c r="A16173" t="str">
        <f>"200007715"</f>
        <v>200007715</v>
      </c>
      <c r="B16173" t="str">
        <f>"1578022307"</f>
        <v>1578022307</v>
      </c>
      <c r="C16173" t="str">
        <f>"207Q00000X"</f>
        <v>207Q00000X</v>
      </c>
      <c r="D16173" t="str">
        <f>"RAMSEY                   LOGAN                    "</f>
        <v xml:space="preserve">RAMSEY                   LOGAN                    </v>
      </c>
      <c r="E16173" t="str">
        <f>"HATTIESBURG               "</f>
        <v xml:space="preserve">HATTIESBURG               </v>
      </c>
      <c r="F16173" t="str">
        <f t="shared" si="409"/>
        <v>MS</v>
      </c>
    </row>
    <row r="16174" spans="1:6" x14ac:dyDescent="0.25">
      <c r="A16174" t="str">
        <f>"200007717"</f>
        <v>200007717</v>
      </c>
      <c r="B16174" t="str">
        <f>"1669086096"</f>
        <v>1669086096</v>
      </c>
      <c r="C16174" t="str">
        <f>"363L00000X"</f>
        <v>363L00000X</v>
      </c>
      <c r="D16174" t="str">
        <f>"COCKERHAM                AIMEE        R           "</f>
        <v xml:space="preserve">COCKERHAM                AIMEE        R           </v>
      </c>
      <c r="E16174" t="str">
        <f>"JACKSON                   "</f>
        <v xml:space="preserve">JACKSON                   </v>
      </c>
      <c r="F16174" t="str">
        <f t="shared" si="409"/>
        <v>MS</v>
      </c>
    </row>
    <row r="16175" spans="1:6" x14ac:dyDescent="0.25">
      <c r="A16175" t="str">
        <f>"200007723"</f>
        <v>200007723</v>
      </c>
      <c r="B16175" t="str">
        <f>"1164906186"</f>
        <v>1164906186</v>
      </c>
      <c r="C16175" t="str">
        <f>"363L00000X"</f>
        <v>363L00000X</v>
      </c>
      <c r="D16175" t="str">
        <f>"DOZIER                   CARRIE                   "</f>
        <v xml:space="preserve">DOZIER                   CARRIE                   </v>
      </c>
      <c r="E16175" t="str">
        <f>"COLUMBUS                  "</f>
        <v xml:space="preserve">COLUMBUS                  </v>
      </c>
      <c r="F16175" t="str">
        <f t="shared" si="409"/>
        <v>MS</v>
      </c>
    </row>
    <row r="16176" spans="1:6" x14ac:dyDescent="0.25">
      <c r="A16176" t="str">
        <f>"200007735"</f>
        <v>200007735</v>
      </c>
      <c r="B16176" t="str">
        <f>"1720769151"</f>
        <v>1720769151</v>
      </c>
      <c r="C16176" t="str">
        <f>"363L00000X"</f>
        <v>363L00000X</v>
      </c>
      <c r="D16176" t="str">
        <f>"BLACKBURN                LAUREN                   "</f>
        <v xml:space="preserve">BLACKBURN                LAUREN                   </v>
      </c>
      <c r="E16176" t="str">
        <f>"OXFORD                    "</f>
        <v xml:space="preserve">OXFORD                    </v>
      </c>
      <c r="F16176" t="str">
        <f t="shared" si="409"/>
        <v>MS</v>
      </c>
    </row>
    <row r="16177" spans="1:6" x14ac:dyDescent="0.25">
      <c r="A16177" t="str">
        <f>"200007741"</f>
        <v>200007741</v>
      </c>
      <c r="B16177" t="str">
        <f>"1609439207"</f>
        <v>1609439207</v>
      </c>
      <c r="C16177" t="str">
        <f>"208000000X"</f>
        <v>208000000X</v>
      </c>
      <c r="D16177" t="str">
        <f>"JORDAN                   MEREDITH     P           "</f>
        <v xml:space="preserve">JORDAN                   MEREDITH     P           </v>
      </c>
      <c r="E16177" t="str">
        <f>"OXFORD                    "</f>
        <v xml:space="preserve">OXFORD                    </v>
      </c>
      <c r="F16177" t="str">
        <f t="shared" si="409"/>
        <v>MS</v>
      </c>
    </row>
    <row r="16178" spans="1:6" x14ac:dyDescent="0.25">
      <c r="A16178" t="str">
        <f>"200007748"</f>
        <v>200007748</v>
      </c>
      <c r="B16178" t="str">
        <f>"1649220120"</f>
        <v>1649220120</v>
      </c>
      <c r="C16178" t="str">
        <f>"2085R0202X"</f>
        <v>2085R0202X</v>
      </c>
      <c r="D16178" t="str">
        <f>"DUKE                     ROBERT       A           "</f>
        <v xml:space="preserve">DUKE                     ROBERT       A           </v>
      </c>
      <c r="E16178" t="str">
        <f>"CALHOUN CITY              "</f>
        <v xml:space="preserve">CALHOUN CITY              </v>
      </c>
      <c r="F16178" t="str">
        <f t="shared" si="409"/>
        <v>MS</v>
      </c>
    </row>
    <row r="16179" spans="1:6" x14ac:dyDescent="0.25">
      <c r="A16179" t="str">
        <f>"200007750"</f>
        <v>200007750</v>
      </c>
      <c r="B16179" t="str">
        <f>"1790207702"</f>
        <v>1790207702</v>
      </c>
      <c r="C16179" t="str">
        <f>"367A00000X"</f>
        <v>367A00000X</v>
      </c>
      <c r="D16179" t="str">
        <f>"CREIGHTON                SHELLEY                  "</f>
        <v xml:space="preserve">CREIGHTON                SHELLEY                  </v>
      </c>
      <c r="E16179" t="str">
        <f>"MERIDIAN                  "</f>
        <v xml:space="preserve">MERIDIAN                  </v>
      </c>
      <c r="F16179" t="str">
        <f t="shared" si="409"/>
        <v>MS</v>
      </c>
    </row>
    <row r="16180" spans="1:6" x14ac:dyDescent="0.25">
      <c r="A16180" t="str">
        <f>"200007755"</f>
        <v>200007755</v>
      </c>
      <c r="B16180" t="str">
        <f>"1851702807"</f>
        <v>1851702807</v>
      </c>
      <c r="C16180" t="str">
        <f>"207X00000X"</f>
        <v>207X00000X</v>
      </c>
      <c r="D16180" t="str">
        <f>"TAORMINA                 DAVID                    "</f>
        <v xml:space="preserve">TAORMINA                 DAVID                    </v>
      </c>
      <c r="E16180" t="str">
        <f>"VANCLEAVE                 "</f>
        <v xml:space="preserve">VANCLEAVE                 </v>
      </c>
      <c r="F16180" t="str">
        <f t="shared" si="409"/>
        <v>MS</v>
      </c>
    </row>
    <row r="16181" spans="1:6" x14ac:dyDescent="0.25">
      <c r="A16181" t="str">
        <f>"200007758"</f>
        <v>200007758</v>
      </c>
      <c r="B16181" t="str">
        <f>"1114975554"</f>
        <v>1114975554</v>
      </c>
      <c r="C16181" t="str">
        <f>"2084N0400X"</f>
        <v>2084N0400X</v>
      </c>
      <c r="D16181" t="str">
        <f>"NGUYEN                   BENJAMIN     B           "</f>
        <v xml:space="preserve">NGUYEN                   BENJAMIN     B           </v>
      </c>
      <c r="E16181" t="str">
        <f>"JACKSON                   "</f>
        <v xml:space="preserve">JACKSON                   </v>
      </c>
      <c r="F16181" t="str">
        <f t="shared" si="409"/>
        <v>MS</v>
      </c>
    </row>
    <row r="16182" spans="1:6" x14ac:dyDescent="0.25">
      <c r="A16182" t="str">
        <f>"200007782"</f>
        <v>200007782</v>
      </c>
      <c r="B16182" t="str">
        <f>"1013498435"</f>
        <v>1013498435</v>
      </c>
      <c r="C16182" t="str">
        <f>"363L00000X"</f>
        <v>363L00000X</v>
      </c>
      <c r="D16182" t="str">
        <f>"CLINGAN                  CATHERINE    E           "</f>
        <v xml:space="preserve">CLINGAN                  CATHERINE    E           </v>
      </c>
      <c r="E16182" t="str">
        <f>"MADISON                   "</f>
        <v xml:space="preserve">MADISON                   </v>
      </c>
      <c r="F16182" t="str">
        <f t="shared" si="409"/>
        <v>MS</v>
      </c>
    </row>
    <row r="16183" spans="1:6" x14ac:dyDescent="0.25">
      <c r="A16183" t="str">
        <f>"200007785"</f>
        <v>200007785</v>
      </c>
      <c r="B16183" t="str">
        <f>"1124068952"</f>
        <v>1124068952</v>
      </c>
      <c r="C16183" t="str">
        <f>"363L00000X"</f>
        <v>363L00000X</v>
      </c>
      <c r="D16183" t="str">
        <f>"DRYER                    KATRINA      M           "</f>
        <v xml:space="preserve">DRYER                    KATRINA      M           </v>
      </c>
      <c r="E16183" t="str">
        <f>"FLOWOOD                   "</f>
        <v xml:space="preserve">FLOWOOD                   </v>
      </c>
      <c r="F16183" t="str">
        <f t="shared" si="409"/>
        <v>MS</v>
      </c>
    </row>
    <row r="16184" spans="1:6" x14ac:dyDescent="0.25">
      <c r="A16184" t="str">
        <f>"200007797"</f>
        <v>200007797</v>
      </c>
      <c r="B16184" t="str">
        <f>"1508642273"</f>
        <v>1508642273</v>
      </c>
      <c r="C16184" t="str">
        <f>"363L00000X"</f>
        <v>363L00000X</v>
      </c>
      <c r="D16184" t="str">
        <f>"ALLEN                    MORGAN                   "</f>
        <v xml:space="preserve">ALLEN                    MORGAN                   </v>
      </c>
      <c r="E16184" t="str">
        <f>"ABERDEEN                  "</f>
        <v xml:space="preserve">ABERDEEN                  </v>
      </c>
      <c r="F16184" t="str">
        <f t="shared" si="409"/>
        <v>MS</v>
      </c>
    </row>
    <row r="16185" spans="1:6" x14ac:dyDescent="0.25">
      <c r="A16185" t="str">
        <f>"200007801"</f>
        <v>200007801</v>
      </c>
      <c r="B16185" t="str">
        <f>"1588211916"</f>
        <v>1588211916</v>
      </c>
      <c r="C16185" t="str">
        <f>"363L00000X"</f>
        <v>363L00000X</v>
      </c>
      <c r="D16185" t="str">
        <f>"DORRIS                   PATTY        M           "</f>
        <v xml:space="preserve">DORRIS                   PATTY        M           </v>
      </c>
      <c r="E16185" t="str">
        <f>"FLOWOOD                   "</f>
        <v xml:space="preserve">FLOWOOD                   </v>
      </c>
      <c r="F16185" t="str">
        <f t="shared" si="409"/>
        <v>MS</v>
      </c>
    </row>
    <row r="16186" spans="1:6" x14ac:dyDescent="0.25">
      <c r="A16186" t="str">
        <f>"200007803"</f>
        <v>200007803</v>
      </c>
      <c r="B16186" t="str">
        <f>"1841824232"</f>
        <v>1841824232</v>
      </c>
      <c r="C16186" t="str">
        <f>"363L00000X"</f>
        <v>363L00000X</v>
      </c>
      <c r="D16186" t="str">
        <f>"SMITH                    ERICA                    "</f>
        <v xml:space="preserve">SMITH                    ERICA                    </v>
      </c>
      <c r="E16186" t="str">
        <f>"MERIDIAN                  "</f>
        <v xml:space="preserve">MERIDIAN                  </v>
      </c>
      <c r="F16186" t="str">
        <f t="shared" si="409"/>
        <v>MS</v>
      </c>
    </row>
    <row r="16187" spans="1:6" x14ac:dyDescent="0.25">
      <c r="A16187" t="str">
        <f>"200007810"</f>
        <v>200007810</v>
      </c>
      <c r="B16187" t="str">
        <f>"1760010045"</f>
        <v>1760010045</v>
      </c>
      <c r="C16187" t="str">
        <f>"207Q00000X"</f>
        <v>207Q00000X</v>
      </c>
      <c r="D16187" t="str">
        <f>"TSAI                     KANG- LIN                "</f>
        <v xml:space="preserve">TSAI                     KANG- LIN                </v>
      </c>
      <c r="E16187" t="str">
        <f>"BAY ST. LOUIS             "</f>
        <v xml:space="preserve">BAY ST. LOUIS             </v>
      </c>
      <c r="F16187" t="str">
        <f t="shared" si="409"/>
        <v>MS</v>
      </c>
    </row>
    <row r="16188" spans="1:6" x14ac:dyDescent="0.25">
      <c r="A16188" t="str">
        <f>"200007845"</f>
        <v>200007845</v>
      </c>
      <c r="B16188" t="str">
        <f>"1376162438"</f>
        <v>1376162438</v>
      </c>
      <c r="C16188" t="str">
        <f>"207Q00000X"</f>
        <v>207Q00000X</v>
      </c>
      <c r="D16188" t="str">
        <f>"MCLARTY                  MICHAEL      A           "</f>
        <v xml:space="preserve">MCLARTY                  MICHAEL      A           </v>
      </c>
      <c r="E16188" t="str">
        <f>"GULFPORT                  "</f>
        <v xml:space="preserve">GULFPORT                  </v>
      </c>
      <c r="F16188" t="str">
        <f t="shared" si="409"/>
        <v>MS</v>
      </c>
    </row>
    <row r="16189" spans="1:6" x14ac:dyDescent="0.25">
      <c r="A16189" t="str">
        <f>"200007855"</f>
        <v>200007855</v>
      </c>
      <c r="B16189" t="str">
        <f>"1063401594"</f>
        <v>1063401594</v>
      </c>
      <c r="C16189" t="str">
        <f>"208000000X"</f>
        <v>208000000X</v>
      </c>
      <c r="D16189" t="str">
        <f>"HOOPINGARNER             BRADLEY                  "</f>
        <v xml:space="preserve">HOOPINGARNER             BRADLEY                  </v>
      </c>
      <c r="E16189" t="str">
        <f>"MADISON                   "</f>
        <v xml:space="preserve">MADISON                   </v>
      </c>
      <c r="F16189" t="str">
        <f t="shared" si="409"/>
        <v>MS</v>
      </c>
    </row>
    <row r="16190" spans="1:6" x14ac:dyDescent="0.25">
      <c r="A16190" t="str">
        <f>"200007865"</f>
        <v>200007865</v>
      </c>
      <c r="B16190" t="str">
        <f>"1811642176"</f>
        <v>1811642176</v>
      </c>
      <c r="C16190" t="str">
        <f>"363L00000X"</f>
        <v>363L00000X</v>
      </c>
      <c r="D16190" t="str">
        <f>"MORALES                  JAMIE                    "</f>
        <v xml:space="preserve">MORALES                  JAMIE                    </v>
      </c>
      <c r="E16190" t="str">
        <f>"TUPELO                    "</f>
        <v xml:space="preserve">TUPELO                    </v>
      </c>
      <c r="F16190" t="str">
        <f t="shared" ref="F16190:F16253" si="412">"MS"</f>
        <v>MS</v>
      </c>
    </row>
    <row r="16191" spans="1:6" x14ac:dyDescent="0.25">
      <c r="A16191" t="str">
        <f>"200007881"</f>
        <v>200007881</v>
      </c>
      <c r="B16191" t="str">
        <f>"1063174605"</f>
        <v>1063174605</v>
      </c>
      <c r="C16191" t="str">
        <f>"363L00000X"</f>
        <v>363L00000X</v>
      </c>
      <c r="D16191" t="str">
        <f>"HOLLEY                   ALEXANDRA                "</f>
        <v xml:space="preserve">HOLLEY                   ALEXANDRA                </v>
      </c>
      <c r="E16191" t="str">
        <f>"STARKVILLE                "</f>
        <v xml:space="preserve">STARKVILLE                </v>
      </c>
      <c r="F16191" t="str">
        <f t="shared" si="412"/>
        <v>MS</v>
      </c>
    </row>
    <row r="16192" spans="1:6" x14ac:dyDescent="0.25">
      <c r="A16192" t="str">
        <f>"200007894"</f>
        <v>200007894</v>
      </c>
      <c r="B16192" t="str">
        <f>"1679298939"</f>
        <v>1679298939</v>
      </c>
      <c r="C16192" t="str">
        <f>"261QF0400X"</f>
        <v>261QF0400X</v>
      </c>
      <c r="D16192" t="str">
        <f>"G. A. CARMICHAEL FAMILY HEALTH CENTER             "</f>
        <v xml:space="preserve">G. A. CARMICHAEL FAMILY HEALTH CENTER             </v>
      </c>
      <c r="E16192" t="str">
        <f>"GREENWOOD                 "</f>
        <v xml:space="preserve">GREENWOOD                 </v>
      </c>
      <c r="F16192" t="str">
        <f t="shared" si="412"/>
        <v>MS</v>
      </c>
    </row>
    <row r="16193" spans="1:6" x14ac:dyDescent="0.25">
      <c r="A16193" t="str">
        <f>"200007895"</f>
        <v>200007895</v>
      </c>
      <c r="B16193" t="str">
        <f>"1548492945"</f>
        <v>1548492945</v>
      </c>
      <c r="C16193" t="str">
        <f>"363L00000X"</f>
        <v>363L00000X</v>
      </c>
      <c r="D16193" t="str">
        <f>"MOSS                     ERICA        C           "</f>
        <v xml:space="preserve">MOSS                     ERICA        C           </v>
      </c>
      <c r="E16193" t="str">
        <f>"RICHLAND                  "</f>
        <v xml:space="preserve">RICHLAND                  </v>
      </c>
      <c r="F16193" t="str">
        <f t="shared" si="412"/>
        <v>MS</v>
      </c>
    </row>
    <row r="16194" spans="1:6" x14ac:dyDescent="0.25">
      <c r="A16194" t="str">
        <f>"200007906"</f>
        <v>200007906</v>
      </c>
      <c r="B16194" t="str">
        <f>"1497042030"</f>
        <v>1497042030</v>
      </c>
      <c r="C16194" t="str">
        <f>"208000000X"</f>
        <v>208000000X</v>
      </c>
      <c r="D16194" t="str">
        <f>"BESINGER                 ROBERT                   "</f>
        <v xml:space="preserve">BESINGER                 ROBERT                   </v>
      </c>
      <c r="E16194" t="str">
        <f>"FLOWOOD                   "</f>
        <v xml:space="preserve">FLOWOOD                   </v>
      </c>
      <c r="F16194" t="str">
        <f t="shared" si="412"/>
        <v>MS</v>
      </c>
    </row>
    <row r="16195" spans="1:6" x14ac:dyDescent="0.25">
      <c r="A16195" t="str">
        <f>"200007907"</f>
        <v>200007907</v>
      </c>
      <c r="B16195" t="str">
        <f>"1134903321"</f>
        <v>1134903321</v>
      </c>
      <c r="C16195" t="str">
        <f>"363L00000X"</f>
        <v>363L00000X</v>
      </c>
      <c r="D16195" t="str">
        <f>"WOODS                    ASHLEY                   "</f>
        <v xml:space="preserve">WOODS                    ASHLEY                   </v>
      </c>
      <c r="E16195" t="str">
        <f>"GRENADA                   "</f>
        <v xml:space="preserve">GRENADA                   </v>
      </c>
      <c r="F16195" t="str">
        <f t="shared" si="412"/>
        <v>MS</v>
      </c>
    </row>
    <row r="16196" spans="1:6" x14ac:dyDescent="0.25">
      <c r="A16196" t="str">
        <f>"200007909"</f>
        <v>200007909</v>
      </c>
      <c r="B16196" t="str">
        <f>"1285233452"</f>
        <v>1285233452</v>
      </c>
      <c r="C16196" t="str">
        <f>"363L00000X"</f>
        <v>363L00000X</v>
      </c>
      <c r="D16196" t="str">
        <f>"JOHNSON                  DARLENE                  "</f>
        <v xml:space="preserve">JOHNSON                  DARLENE                  </v>
      </c>
      <c r="E16196" t="str">
        <f>"BYHALIA                   "</f>
        <v xml:space="preserve">BYHALIA                   </v>
      </c>
      <c r="F16196" t="str">
        <f t="shared" si="412"/>
        <v>MS</v>
      </c>
    </row>
    <row r="16197" spans="1:6" x14ac:dyDescent="0.25">
      <c r="A16197" t="str">
        <f>"200007916"</f>
        <v>200007916</v>
      </c>
      <c r="B16197" t="str">
        <f>"1649597345"</f>
        <v>1649597345</v>
      </c>
      <c r="C16197" t="str">
        <f>"363L00000X"</f>
        <v>363L00000X</v>
      </c>
      <c r="D16197" t="str">
        <f>"WARD                     APRIL                    "</f>
        <v xml:space="preserve">WARD                     APRIL                    </v>
      </c>
      <c r="E16197" t="str">
        <f>"YAZOO CITY                "</f>
        <v xml:space="preserve">YAZOO CITY                </v>
      </c>
      <c r="F16197" t="str">
        <f t="shared" si="412"/>
        <v>MS</v>
      </c>
    </row>
    <row r="16198" spans="1:6" x14ac:dyDescent="0.25">
      <c r="A16198" t="str">
        <f>"200007918"</f>
        <v>200007918</v>
      </c>
      <c r="B16198" t="str">
        <f>"1912480328"</f>
        <v>1912480328</v>
      </c>
      <c r="C16198" t="str">
        <f>"363L00000X"</f>
        <v>363L00000X</v>
      </c>
      <c r="D16198" t="str">
        <f>"REED                     CLIFTON                  "</f>
        <v xml:space="preserve">REED                     CLIFTON                  </v>
      </c>
      <c r="E16198" t="str">
        <f>"RULEVILLE                 "</f>
        <v xml:space="preserve">RULEVILLE                 </v>
      </c>
      <c r="F16198" t="str">
        <f t="shared" si="412"/>
        <v>MS</v>
      </c>
    </row>
    <row r="16199" spans="1:6" x14ac:dyDescent="0.25">
      <c r="A16199" t="str">
        <f>"200007923"</f>
        <v>200007923</v>
      </c>
      <c r="B16199" t="str">
        <f>"1669050928"</f>
        <v>1669050928</v>
      </c>
      <c r="C16199" t="str">
        <f>"207P00000X"</f>
        <v>207P00000X</v>
      </c>
      <c r="D16199" t="str">
        <f>"CUMMINS                  ADAM                     "</f>
        <v xml:space="preserve">CUMMINS                  ADAM                     </v>
      </c>
      <c r="E16199" t="str">
        <f>"BROOKHAVEN                "</f>
        <v xml:space="preserve">BROOKHAVEN                </v>
      </c>
      <c r="F16199" t="str">
        <f t="shared" si="412"/>
        <v>MS</v>
      </c>
    </row>
    <row r="16200" spans="1:6" x14ac:dyDescent="0.25">
      <c r="A16200" t="str">
        <f>"200007927"</f>
        <v>200007927</v>
      </c>
      <c r="B16200" t="str">
        <f>"1699421719"</f>
        <v>1699421719</v>
      </c>
      <c r="C16200" t="str">
        <f>"363L00000X"</f>
        <v>363L00000X</v>
      </c>
      <c r="D16200" t="str">
        <f>"IVEY                     HANNAH                   "</f>
        <v xml:space="preserve">IVEY                     HANNAH                   </v>
      </c>
      <c r="E16200" t="str">
        <f>"PONTOTOC                  "</f>
        <v xml:space="preserve">PONTOTOC                  </v>
      </c>
      <c r="F16200" t="str">
        <f t="shared" si="412"/>
        <v>MS</v>
      </c>
    </row>
    <row r="16201" spans="1:6" x14ac:dyDescent="0.25">
      <c r="A16201" t="str">
        <f>"200007942"</f>
        <v>200007942</v>
      </c>
      <c r="B16201" t="str">
        <f>"1477017754"</f>
        <v>1477017754</v>
      </c>
      <c r="C16201" t="str">
        <f>"363LP0808X"</f>
        <v>363LP0808X</v>
      </c>
      <c r="D16201" t="str">
        <f>"CHANDLER                 TERES                    "</f>
        <v xml:space="preserve">CHANDLER                 TERES                    </v>
      </c>
      <c r="E16201" t="str">
        <f>"MABEN                     "</f>
        <v xml:space="preserve">MABEN                     </v>
      </c>
      <c r="F16201" t="str">
        <f t="shared" si="412"/>
        <v>MS</v>
      </c>
    </row>
    <row r="16202" spans="1:6" x14ac:dyDescent="0.25">
      <c r="A16202" t="str">
        <f>"200007947"</f>
        <v>200007947</v>
      </c>
      <c r="B16202" t="str">
        <f>"1902086549"</f>
        <v>1902086549</v>
      </c>
      <c r="C16202" t="str">
        <f>"2085R0202X"</f>
        <v>2085R0202X</v>
      </c>
      <c r="D16202" t="str">
        <f>"MANN                     JAMES        C           "</f>
        <v xml:space="preserve">MANN                     JAMES        C           </v>
      </c>
      <c r="E16202" t="str">
        <f>"OXFORD                    "</f>
        <v xml:space="preserve">OXFORD                    </v>
      </c>
      <c r="F16202" t="str">
        <f t="shared" si="412"/>
        <v>MS</v>
      </c>
    </row>
    <row r="16203" spans="1:6" x14ac:dyDescent="0.25">
      <c r="A16203" t="str">
        <f>"200007955"</f>
        <v>200007955</v>
      </c>
      <c r="B16203" t="str">
        <f>"1922287408"</f>
        <v>1922287408</v>
      </c>
      <c r="C16203" t="str">
        <f>"207Q00000X"</f>
        <v>207Q00000X</v>
      </c>
      <c r="D16203" t="str">
        <f>"RUIZ                     MARK                     "</f>
        <v xml:space="preserve">RUIZ                     MARK                     </v>
      </c>
      <c r="E16203" t="str">
        <f>"MADISON                   "</f>
        <v xml:space="preserve">MADISON                   </v>
      </c>
      <c r="F16203" t="str">
        <f t="shared" si="412"/>
        <v>MS</v>
      </c>
    </row>
    <row r="16204" spans="1:6" x14ac:dyDescent="0.25">
      <c r="A16204" t="str">
        <f>"200007959"</f>
        <v>200007959</v>
      </c>
      <c r="B16204" t="str">
        <f>"1578346755"</f>
        <v>1578346755</v>
      </c>
      <c r="C16204" t="str">
        <f>"363L00000X"</f>
        <v>363L00000X</v>
      </c>
      <c r="D16204" t="str">
        <f>"PONDER                   BROOK                    "</f>
        <v xml:space="preserve">PONDER                   BROOK                    </v>
      </c>
      <c r="E16204" t="str">
        <f>"VICKSBURG                 "</f>
        <v xml:space="preserve">VICKSBURG                 </v>
      </c>
      <c r="F16204" t="str">
        <f t="shared" si="412"/>
        <v>MS</v>
      </c>
    </row>
    <row r="16205" spans="1:6" x14ac:dyDescent="0.25">
      <c r="A16205" t="str">
        <f>"200007966"</f>
        <v>200007966</v>
      </c>
      <c r="B16205" t="str">
        <f>"1144929076"</f>
        <v>1144929076</v>
      </c>
      <c r="C16205" t="str">
        <f>"363A00000X"</f>
        <v>363A00000X</v>
      </c>
      <c r="D16205" t="str">
        <f>"PATEL                    JANU                     "</f>
        <v xml:space="preserve">PATEL                    JANU                     </v>
      </c>
      <c r="E16205" t="str">
        <f>"RIDGELAND                 "</f>
        <v xml:space="preserve">RIDGELAND                 </v>
      </c>
      <c r="F16205" t="str">
        <f t="shared" si="412"/>
        <v>MS</v>
      </c>
    </row>
    <row r="16206" spans="1:6" x14ac:dyDescent="0.25">
      <c r="A16206" t="str">
        <f>"200007967"</f>
        <v>200007967</v>
      </c>
      <c r="B16206" t="str">
        <f>"1184222374"</f>
        <v>1184222374</v>
      </c>
      <c r="C16206" t="str">
        <f>"363L00000X"</f>
        <v>363L00000X</v>
      </c>
      <c r="D16206" t="str">
        <f>"JACKSON                  KIMYUANA                 "</f>
        <v xml:space="preserve">JACKSON                  KIMYUANA                 </v>
      </c>
      <c r="E16206" t="str">
        <f>"FLOWOOD                   "</f>
        <v xml:space="preserve">FLOWOOD                   </v>
      </c>
      <c r="F16206" t="str">
        <f t="shared" si="412"/>
        <v>MS</v>
      </c>
    </row>
    <row r="16207" spans="1:6" x14ac:dyDescent="0.25">
      <c r="A16207" t="str">
        <f>"200007975"</f>
        <v>200007975</v>
      </c>
      <c r="B16207" t="str">
        <f>"1235380593"</f>
        <v>1235380593</v>
      </c>
      <c r="C16207" t="str">
        <f>"208000000X"</f>
        <v>208000000X</v>
      </c>
      <c r="D16207" t="str">
        <f>"SIDDIQUE                 AFSHEEN                  "</f>
        <v xml:space="preserve">SIDDIQUE                 AFSHEEN                  </v>
      </c>
      <c r="E16207" t="str">
        <f>"MADISON                   "</f>
        <v xml:space="preserve">MADISON                   </v>
      </c>
      <c r="F16207" t="str">
        <f t="shared" si="412"/>
        <v>MS</v>
      </c>
    </row>
    <row r="16208" spans="1:6" x14ac:dyDescent="0.25">
      <c r="A16208" t="str">
        <f>"200007979"</f>
        <v>200007979</v>
      </c>
      <c r="B16208" t="str">
        <f>"1225227762"</f>
        <v>1225227762</v>
      </c>
      <c r="C16208" t="str">
        <f>"363A00000X"</f>
        <v>363A00000X</v>
      </c>
      <c r="D16208" t="str">
        <f>"RODENMAYER               WADE                     "</f>
        <v xml:space="preserve">RODENMAYER               WADE                     </v>
      </c>
      <c r="E16208" t="str">
        <f>"PASCAGOULA                "</f>
        <v xml:space="preserve">PASCAGOULA                </v>
      </c>
      <c r="F16208" t="str">
        <f t="shared" si="412"/>
        <v>MS</v>
      </c>
    </row>
    <row r="16209" spans="1:6" x14ac:dyDescent="0.25">
      <c r="A16209" t="str">
        <f>"200007980"</f>
        <v>200007980</v>
      </c>
      <c r="B16209" t="str">
        <f>"1346530284"</f>
        <v>1346530284</v>
      </c>
      <c r="C16209" t="str">
        <f>"2085R0202X"</f>
        <v>2085R0202X</v>
      </c>
      <c r="D16209" t="str">
        <f>"FAIRBROTHER              SAMUEL                   "</f>
        <v xml:space="preserve">FAIRBROTHER              SAMUEL                   </v>
      </c>
      <c r="E16209" t="str">
        <f>"GULFPORT                  "</f>
        <v xml:space="preserve">GULFPORT                  </v>
      </c>
      <c r="F16209" t="str">
        <f t="shared" si="412"/>
        <v>MS</v>
      </c>
    </row>
    <row r="16210" spans="1:6" x14ac:dyDescent="0.25">
      <c r="A16210" t="str">
        <f>"200007986"</f>
        <v>200007986</v>
      </c>
      <c r="B16210" t="str">
        <f>"1548798218"</f>
        <v>1548798218</v>
      </c>
      <c r="C16210" t="str">
        <f>"363LP0808X"</f>
        <v>363LP0808X</v>
      </c>
      <c r="D16210" t="str">
        <f>"JACKSON                  AVERY                    "</f>
        <v xml:space="preserve">JACKSON                  AVERY                    </v>
      </c>
      <c r="E16210" t="str">
        <f>"GULFPORT                  "</f>
        <v xml:space="preserve">GULFPORT                  </v>
      </c>
      <c r="F16210" t="str">
        <f t="shared" si="412"/>
        <v>MS</v>
      </c>
    </row>
    <row r="16211" spans="1:6" x14ac:dyDescent="0.25">
      <c r="A16211" t="str">
        <f>"200007987"</f>
        <v>200007987</v>
      </c>
      <c r="B16211" t="str">
        <f>"1306612775"</f>
        <v>1306612775</v>
      </c>
      <c r="C16211" t="str">
        <f>"363L00000X"</f>
        <v>363L00000X</v>
      </c>
      <c r="D16211" t="str">
        <f>"BURTON                   ERIN         C           "</f>
        <v xml:space="preserve">BURTON                   ERIN         C           </v>
      </c>
      <c r="E16211" t="str">
        <f>"LOUISVILLE                "</f>
        <v xml:space="preserve">LOUISVILLE                </v>
      </c>
      <c r="F16211" t="str">
        <f t="shared" si="412"/>
        <v>MS</v>
      </c>
    </row>
    <row r="16212" spans="1:6" x14ac:dyDescent="0.25">
      <c r="A16212" t="str">
        <f>"200007997"</f>
        <v>200007997</v>
      </c>
      <c r="B16212" t="str">
        <f>"1154103901"</f>
        <v>1154103901</v>
      </c>
      <c r="C16212" t="str">
        <f>"367500000X"</f>
        <v>367500000X</v>
      </c>
      <c r="D16212" t="str">
        <f>"SMITH                    KALEB        A           "</f>
        <v xml:space="preserve">SMITH                    KALEB        A           </v>
      </c>
      <c r="E16212" t="str">
        <f>"GRENADA                   "</f>
        <v xml:space="preserve">GRENADA                   </v>
      </c>
      <c r="F16212" t="str">
        <f t="shared" si="412"/>
        <v>MS</v>
      </c>
    </row>
    <row r="16213" spans="1:6" x14ac:dyDescent="0.25">
      <c r="A16213" t="str">
        <f>"200008005"</f>
        <v>200008005</v>
      </c>
      <c r="B16213" t="str">
        <f>"1740222587"</f>
        <v>1740222587</v>
      </c>
      <c r="C16213" t="str">
        <f>"2085R0202X"</f>
        <v>2085R0202X</v>
      </c>
      <c r="D16213" t="str">
        <f>"JOHNSON                  MARK         V           "</f>
        <v xml:space="preserve">JOHNSON                  MARK         V           </v>
      </c>
      <c r="E16213" t="str">
        <f>"CALHOUN CITY              "</f>
        <v xml:space="preserve">CALHOUN CITY              </v>
      </c>
      <c r="F16213" t="str">
        <f t="shared" si="412"/>
        <v>MS</v>
      </c>
    </row>
    <row r="16214" spans="1:6" x14ac:dyDescent="0.25">
      <c r="A16214" t="str">
        <f>"200008006"</f>
        <v>200008006</v>
      </c>
      <c r="B16214" t="str">
        <f>"1801839808"</f>
        <v>1801839808</v>
      </c>
      <c r="C16214" t="str">
        <f>"207V00000X"</f>
        <v>207V00000X</v>
      </c>
      <c r="D16214" t="str">
        <f>"SANFORD                  DANIEL       K           "</f>
        <v xml:space="preserve">SANFORD                  DANIEL       K           </v>
      </c>
      <c r="E16214" t="str">
        <f>"BROOKHAVEN                "</f>
        <v xml:space="preserve">BROOKHAVEN                </v>
      </c>
      <c r="F16214" t="str">
        <f t="shared" si="412"/>
        <v>MS</v>
      </c>
    </row>
    <row r="16215" spans="1:6" x14ac:dyDescent="0.25">
      <c r="A16215" t="str">
        <f>"200008014"</f>
        <v>200008014</v>
      </c>
      <c r="B16215" t="str">
        <f>"1700661915"</f>
        <v>1700661915</v>
      </c>
      <c r="C16215" t="str">
        <f>"363L00000X"</f>
        <v>363L00000X</v>
      </c>
      <c r="D16215" t="str">
        <f>"HALL                     NICOLE                   "</f>
        <v xml:space="preserve">HALL                     NICOLE                   </v>
      </c>
      <c r="E16215" t="str">
        <f>"MAGEE                     "</f>
        <v xml:space="preserve">MAGEE                     </v>
      </c>
      <c r="F16215" t="str">
        <f t="shared" si="412"/>
        <v>MS</v>
      </c>
    </row>
    <row r="16216" spans="1:6" x14ac:dyDescent="0.25">
      <c r="A16216" t="str">
        <f>"200008019"</f>
        <v>200008019</v>
      </c>
      <c r="B16216" t="str">
        <f>"1194503284"</f>
        <v>1194503284</v>
      </c>
      <c r="C16216" t="str">
        <f>"363L00000X"</f>
        <v>363L00000X</v>
      </c>
      <c r="D16216" t="str">
        <f>"MCAVOY                   ALISON                   "</f>
        <v xml:space="preserve">MCAVOY                   ALISON                   </v>
      </c>
      <c r="E16216" t="str">
        <f>"OXFORD                    "</f>
        <v xml:space="preserve">OXFORD                    </v>
      </c>
      <c r="F16216" t="str">
        <f t="shared" si="412"/>
        <v>MS</v>
      </c>
    </row>
    <row r="16217" spans="1:6" x14ac:dyDescent="0.25">
      <c r="A16217" t="str">
        <f>"200008022"</f>
        <v>200008022</v>
      </c>
      <c r="B16217" t="str">
        <f>"1629857867"</f>
        <v>1629857867</v>
      </c>
      <c r="C16217" t="str">
        <f>"363L00000X"</f>
        <v>363L00000X</v>
      </c>
      <c r="D16217" t="str">
        <f>"SHARP                    VICTORIA                 "</f>
        <v xml:space="preserve">SHARP                    VICTORIA                 </v>
      </c>
      <c r="E16217" t="str">
        <f>"COLUMBUS                  "</f>
        <v xml:space="preserve">COLUMBUS                  </v>
      </c>
      <c r="F16217" t="str">
        <f t="shared" si="412"/>
        <v>MS</v>
      </c>
    </row>
    <row r="16218" spans="1:6" x14ac:dyDescent="0.25">
      <c r="A16218" t="str">
        <f>"200008029"</f>
        <v>200008029</v>
      </c>
      <c r="B16218" t="str">
        <f>"1710655576"</f>
        <v>1710655576</v>
      </c>
      <c r="C16218" t="str">
        <f>"363L00000X"</f>
        <v>363L00000X</v>
      </c>
      <c r="D16218" t="str">
        <f>"HODGES                   WILLIAM      L           "</f>
        <v xml:space="preserve">HODGES                   WILLIAM      L           </v>
      </c>
      <c r="E16218" t="str">
        <f>"COLUMBUS                  "</f>
        <v xml:space="preserve">COLUMBUS                  </v>
      </c>
      <c r="F16218" t="str">
        <f t="shared" si="412"/>
        <v>MS</v>
      </c>
    </row>
    <row r="16219" spans="1:6" x14ac:dyDescent="0.25">
      <c r="A16219" t="str">
        <f>"200008048"</f>
        <v>200008048</v>
      </c>
      <c r="B16219" t="str">
        <f>"1932804820"</f>
        <v>1932804820</v>
      </c>
      <c r="C16219" t="str">
        <f>"208600000X"</f>
        <v>208600000X</v>
      </c>
      <c r="D16219" t="str">
        <f>"HOLM                     TYLER                    "</f>
        <v xml:space="preserve">HOLM                     TYLER                    </v>
      </c>
      <c r="E16219" t="str">
        <f>"JACKSON                   "</f>
        <v xml:space="preserve">JACKSON                   </v>
      </c>
      <c r="F16219" t="str">
        <f t="shared" si="412"/>
        <v>MS</v>
      </c>
    </row>
    <row r="16220" spans="1:6" x14ac:dyDescent="0.25">
      <c r="A16220" t="str">
        <f>"200008061"</f>
        <v>200008061</v>
      </c>
      <c r="B16220" t="str">
        <f>"1215392972"</f>
        <v>1215392972</v>
      </c>
      <c r="C16220" t="str">
        <f>"367500000X"</f>
        <v>367500000X</v>
      </c>
      <c r="D16220" t="str">
        <f>"JENKINS                  LACY                     "</f>
        <v xml:space="preserve">JENKINS                  LACY                     </v>
      </c>
      <c r="E16220" t="str">
        <f>"OLIVE BRANCH              "</f>
        <v xml:space="preserve">OLIVE BRANCH              </v>
      </c>
      <c r="F16220" t="str">
        <f t="shared" si="412"/>
        <v>MS</v>
      </c>
    </row>
    <row r="16221" spans="1:6" x14ac:dyDescent="0.25">
      <c r="A16221" t="str">
        <f>"200008062"</f>
        <v>200008062</v>
      </c>
      <c r="B16221" t="str">
        <f>"1801902200"</f>
        <v>1801902200</v>
      </c>
      <c r="C16221" t="str">
        <f>"2084N0400X"</f>
        <v>2084N0400X</v>
      </c>
      <c r="D16221" t="str">
        <f>"BATRA                    NANDINI                  "</f>
        <v xml:space="preserve">BATRA                    NANDINI                  </v>
      </c>
      <c r="E16221" t="str">
        <f>"JACKSON                   "</f>
        <v xml:space="preserve">JACKSON                   </v>
      </c>
      <c r="F16221" t="str">
        <f t="shared" si="412"/>
        <v>MS</v>
      </c>
    </row>
    <row r="16222" spans="1:6" x14ac:dyDescent="0.25">
      <c r="A16222" t="str">
        <f>"200008070"</f>
        <v>200008070</v>
      </c>
      <c r="B16222" t="str">
        <f>"1447022645"</f>
        <v>1447022645</v>
      </c>
      <c r="C16222" t="str">
        <f>"363L00000X"</f>
        <v>363L00000X</v>
      </c>
      <c r="D16222" t="str">
        <f>"STEVENSON                LAKISHA      J           "</f>
        <v xml:space="preserve">STEVENSON                LAKISHA      J           </v>
      </c>
      <c r="E16222" t="str">
        <f>"STARKVILLE                "</f>
        <v xml:space="preserve">STARKVILLE                </v>
      </c>
      <c r="F16222" t="str">
        <f t="shared" si="412"/>
        <v>MS</v>
      </c>
    </row>
    <row r="16223" spans="1:6" x14ac:dyDescent="0.25">
      <c r="A16223" t="str">
        <f>"200008075"</f>
        <v>200008075</v>
      </c>
      <c r="B16223" t="str">
        <f>"1205092525"</f>
        <v>1205092525</v>
      </c>
      <c r="C16223" t="str">
        <f>"207Q00000X"</f>
        <v>207Q00000X</v>
      </c>
      <c r="D16223" t="str">
        <f>"RAGAN                    FREDERICK                "</f>
        <v xml:space="preserve">RAGAN                    FREDERICK                </v>
      </c>
      <c r="E16223" t="str">
        <f>"VICKSBURG                 "</f>
        <v xml:space="preserve">VICKSBURG                 </v>
      </c>
      <c r="F16223" t="str">
        <f t="shared" si="412"/>
        <v>MS</v>
      </c>
    </row>
    <row r="16224" spans="1:6" x14ac:dyDescent="0.25">
      <c r="A16224" t="str">
        <f>"200008076"</f>
        <v>200008076</v>
      </c>
      <c r="B16224" t="str">
        <f>"1174302830"</f>
        <v>1174302830</v>
      </c>
      <c r="C16224" t="str">
        <f>"363LP0808X"</f>
        <v>363LP0808X</v>
      </c>
      <c r="D16224" t="str">
        <f>"COOPER                   CHERYL                   "</f>
        <v xml:space="preserve">COOPER                   CHERYL                   </v>
      </c>
      <c r="E16224" t="str">
        <f>"COLUMBUS                  "</f>
        <v xml:space="preserve">COLUMBUS                  </v>
      </c>
      <c r="F16224" t="str">
        <f t="shared" si="412"/>
        <v>MS</v>
      </c>
    </row>
    <row r="16225" spans="1:6" x14ac:dyDescent="0.25">
      <c r="A16225" t="str">
        <f>"200008082"</f>
        <v>200008082</v>
      </c>
      <c r="B16225" t="str">
        <f>"1982311122"</f>
        <v>1982311122</v>
      </c>
      <c r="C16225" t="str">
        <f>"363L00000X"</f>
        <v>363L00000X</v>
      </c>
      <c r="D16225" t="str">
        <f>"SMITH                    GRACE                    "</f>
        <v xml:space="preserve">SMITH                    GRACE                    </v>
      </c>
      <c r="E16225" t="str">
        <f>"MADISON                   "</f>
        <v xml:space="preserve">MADISON                   </v>
      </c>
      <c r="F16225" t="str">
        <f t="shared" si="412"/>
        <v>MS</v>
      </c>
    </row>
    <row r="16226" spans="1:6" x14ac:dyDescent="0.25">
      <c r="A16226" t="str">
        <f>"200008104"</f>
        <v>200008104</v>
      </c>
      <c r="B16226" t="str">
        <f>"1114701570"</f>
        <v>1114701570</v>
      </c>
      <c r="C16226" t="str">
        <f>"363L00000X"</f>
        <v>363L00000X</v>
      </c>
      <c r="D16226" t="str">
        <f>"JERNIGAN                 KARLA                    "</f>
        <v xml:space="preserve">JERNIGAN                 KARLA                    </v>
      </c>
      <c r="E16226" t="str">
        <f>"BROOKSVILLE               "</f>
        <v xml:space="preserve">BROOKSVILLE               </v>
      </c>
      <c r="F16226" t="str">
        <f t="shared" si="412"/>
        <v>MS</v>
      </c>
    </row>
    <row r="16227" spans="1:6" x14ac:dyDescent="0.25">
      <c r="A16227" t="str">
        <f>"200008107"</f>
        <v>200008107</v>
      </c>
      <c r="B16227" t="str">
        <f>"1710681283"</f>
        <v>1710681283</v>
      </c>
      <c r="C16227" t="str">
        <f>"208600000X"</f>
        <v>208600000X</v>
      </c>
      <c r="D16227" t="str">
        <f>"BAGGETT                  KALLYE                   "</f>
        <v xml:space="preserve">BAGGETT                  KALLYE                   </v>
      </c>
      <c r="E16227" t="str">
        <f>"JACKSON                   "</f>
        <v xml:space="preserve">JACKSON                   </v>
      </c>
      <c r="F16227" t="str">
        <f t="shared" si="412"/>
        <v>MS</v>
      </c>
    </row>
    <row r="16228" spans="1:6" x14ac:dyDescent="0.25">
      <c r="A16228" t="str">
        <f>"200008108"</f>
        <v>200008108</v>
      </c>
      <c r="B16228" t="str">
        <f>"1023108206"</f>
        <v>1023108206</v>
      </c>
      <c r="C16228" t="str">
        <f>"1223E0200X"</f>
        <v>1223E0200X</v>
      </c>
      <c r="D16228" t="str">
        <f>"LYNN                     LENEISE                  "</f>
        <v xml:space="preserve">LYNN                     LENEISE                  </v>
      </c>
      <c r="E16228" t="str">
        <f>"JACKSON                   "</f>
        <v xml:space="preserve">JACKSON                   </v>
      </c>
      <c r="F16228" t="str">
        <f t="shared" si="412"/>
        <v>MS</v>
      </c>
    </row>
    <row r="16229" spans="1:6" x14ac:dyDescent="0.25">
      <c r="A16229" t="str">
        <f>"200008112"</f>
        <v>200008112</v>
      </c>
      <c r="B16229" t="str">
        <f>"1902132764"</f>
        <v>1902132764</v>
      </c>
      <c r="C16229" t="str">
        <f>"363L00000X"</f>
        <v>363L00000X</v>
      </c>
      <c r="D16229" t="str">
        <f>"SHSURDEN                 KRISTI                   "</f>
        <v xml:space="preserve">SHSURDEN                 KRISTI                   </v>
      </c>
      <c r="E16229" t="str">
        <f>"FLOWOOD                   "</f>
        <v xml:space="preserve">FLOWOOD                   </v>
      </c>
      <c r="F16229" t="str">
        <f t="shared" si="412"/>
        <v>MS</v>
      </c>
    </row>
    <row r="16230" spans="1:6" x14ac:dyDescent="0.25">
      <c r="A16230" t="str">
        <f>"200008117"</f>
        <v>200008117</v>
      </c>
      <c r="B16230" t="str">
        <f>"1508994104"</f>
        <v>1508994104</v>
      </c>
      <c r="C16230" t="str">
        <f>"363A00000X"</f>
        <v>363A00000X</v>
      </c>
      <c r="D16230" t="str">
        <f>"LOGAN                    MARK         J           "</f>
        <v xml:space="preserve">LOGAN                    MARK         J           </v>
      </c>
      <c r="E16230" t="str">
        <f>"GULFPORT                  "</f>
        <v xml:space="preserve">GULFPORT                  </v>
      </c>
      <c r="F16230" t="str">
        <f t="shared" si="412"/>
        <v>MS</v>
      </c>
    </row>
    <row r="16231" spans="1:6" x14ac:dyDescent="0.25">
      <c r="A16231" t="str">
        <f>"200008131"</f>
        <v>200008131</v>
      </c>
      <c r="B16231" t="str">
        <f>"1073207817"</f>
        <v>1073207817</v>
      </c>
      <c r="C16231" t="str">
        <f>"363L00000X"</f>
        <v>363L00000X</v>
      </c>
      <c r="D16231" t="str">
        <f>"BALIUS                   CHRISTINE                "</f>
        <v xml:space="preserve">BALIUS                   CHRISTINE                </v>
      </c>
      <c r="E16231" t="str">
        <f>"PASCAGOULA                "</f>
        <v xml:space="preserve">PASCAGOULA                </v>
      </c>
      <c r="F16231" t="str">
        <f t="shared" si="412"/>
        <v>MS</v>
      </c>
    </row>
    <row r="16232" spans="1:6" x14ac:dyDescent="0.25">
      <c r="A16232" t="str">
        <f>"200008134"</f>
        <v>200008134</v>
      </c>
      <c r="B16232" t="str">
        <f>"1841753084"</f>
        <v>1841753084</v>
      </c>
      <c r="C16232" t="str">
        <f>"207R00000X"</f>
        <v>207R00000X</v>
      </c>
      <c r="D16232" t="str">
        <f>"FARES                    SERAG        B           "</f>
        <v xml:space="preserve">FARES                    SERAG        B           </v>
      </c>
      <c r="E16232" t="str">
        <f>"HATTIESBURG               "</f>
        <v xml:space="preserve">HATTIESBURG               </v>
      </c>
      <c r="F16232" t="str">
        <f t="shared" si="412"/>
        <v>MS</v>
      </c>
    </row>
    <row r="16233" spans="1:6" x14ac:dyDescent="0.25">
      <c r="A16233" t="str">
        <f>"200008138"</f>
        <v>200008138</v>
      </c>
      <c r="B16233" t="str">
        <f>"1437935251"</f>
        <v>1437935251</v>
      </c>
      <c r="C16233" t="str">
        <f>"363L00000X"</f>
        <v>363L00000X</v>
      </c>
      <c r="D16233" t="str">
        <f>"ELLIS                    MONICA                   "</f>
        <v xml:space="preserve">ELLIS                    MONICA                   </v>
      </c>
      <c r="E16233" t="str">
        <f>"JACKSON                   "</f>
        <v xml:space="preserve">JACKSON                   </v>
      </c>
      <c r="F16233" t="str">
        <f t="shared" si="412"/>
        <v>MS</v>
      </c>
    </row>
    <row r="16234" spans="1:6" x14ac:dyDescent="0.25">
      <c r="A16234" t="str">
        <f>"200008155"</f>
        <v>200008155</v>
      </c>
      <c r="B16234" t="str">
        <f>"1063638104"</f>
        <v>1063638104</v>
      </c>
      <c r="C16234" t="str">
        <f>"207X00000X"</f>
        <v>207X00000X</v>
      </c>
      <c r="D16234" t="str">
        <f>"FLETCHER                 DANIEL       T           "</f>
        <v xml:space="preserve">FLETCHER                 DANIEL       T           </v>
      </c>
      <c r="E16234" t="str">
        <f>"SOUTHAVEN                 "</f>
        <v xml:space="preserve">SOUTHAVEN                 </v>
      </c>
      <c r="F16234" t="str">
        <f t="shared" si="412"/>
        <v>MS</v>
      </c>
    </row>
    <row r="16235" spans="1:6" x14ac:dyDescent="0.25">
      <c r="A16235" t="str">
        <f>"200008167"</f>
        <v>200008167</v>
      </c>
      <c r="B16235" t="str">
        <f>"1952696742"</f>
        <v>1952696742</v>
      </c>
      <c r="C16235" t="str">
        <f>"207Q00000X"</f>
        <v>207Q00000X</v>
      </c>
      <c r="D16235" t="str">
        <f>"STOKES-JENKINS           JENNA        C           "</f>
        <v xml:space="preserve">STOKES-JENKINS           JENNA        C           </v>
      </c>
      <c r="E16235" t="str">
        <f>"MADISON                   "</f>
        <v xml:space="preserve">MADISON                   </v>
      </c>
      <c r="F16235" t="str">
        <f t="shared" si="412"/>
        <v>MS</v>
      </c>
    </row>
    <row r="16236" spans="1:6" x14ac:dyDescent="0.25">
      <c r="A16236" t="str">
        <f>"200008194"</f>
        <v>200008194</v>
      </c>
      <c r="B16236" t="str">
        <f>"1386106276"</f>
        <v>1386106276</v>
      </c>
      <c r="C16236" t="str">
        <f>"207VG0400X"</f>
        <v>207VG0400X</v>
      </c>
      <c r="D16236" t="str">
        <f>"HANKINS                  MIRIAM                   "</f>
        <v xml:space="preserve">HANKINS                  MIRIAM                   </v>
      </c>
      <c r="E16236" t="str">
        <f>"JACKSON                   "</f>
        <v xml:space="preserve">JACKSON                   </v>
      </c>
      <c r="F16236" t="str">
        <f t="shared" si="412"/>
        <v>MS</v>
      </c>
    </row>
    <row r="16237" spans="1:6" x14ac:dyDescent="0.25">
      <c r="A16237" t="str">
        <f>"200008200"</f>
        <v>200008200</v>
      </c>
      <c r="B16237" t="str">
        <f>"1588618474"</f>
        <v>1588618474</v>
      </c>
      <c r="C16237" t="str">
        <f>"207L00000X"</f>
        <v>207L00000X</v>
      </c>
      <c r="D16237" t="str">
        <f>"INGRAM                   CHARLES                  "</f>
        <v xml:space="preserve">INGRAM                   CHARLES                  </v>
      </c>
      <c r="E16237" t="str">
        <f>"SOUTHAVEN                 "</f>
        <v xml:space="preserve">SOUTHAVEN                 </v>
      </c>
      <c r="F16237" t="str">
        <f t="shared" si="412"/>
        <v>MS</v>
      </c>
    </row>
    <row r="16238" spans="1:6" x14ac:dyDescent="0.25">
      <c r="A16238" t="str">
        <f>"200008217"</f>
        <v>200008217</v>
      </c>
      <c r="B16238" t="str">
        <f>"1235484866"</f>
        <v>1235484866</v>
      </c>
      <c r="C16238" t="str">
        <f>"207R00000X"</f>
        <v>207R00000X</v>
      </c>
      <c r="D16238" t="str">
        <f>"NOLASCO MORALES          CARLOS                   "</f>
        <v xml:space="preserve">NOLASCO MORALES          CARLOS                   </v>
      </c>
      <c r="E16238" t="str">
        <f>"MADISON                   "</f>
        <v xml:space="preserve">MADISON                   </v>
      </c>
      <c r="F16238" t="str">
        <f t="shared" si="412"/>
        <v>MS</v>
      </c>
    </row>
    <row r="16239" spans="1:6" x14ac:dyDescent="0.25">
      <c r="A16239" t="str">
        <f>"200008218"</f>
        <v>200008218</v>
      </c>
      <c r="B16239" t="str">
        <f>"1447697750"</f>
        <v>1447697750</v>
      </c>
      <c r="C16239" t="str">
        <f>"207Q00000X"</f>
        <v>207Q00000X</v>
      </c>
      <c r="D16239" t="str">
        <f>"PENMASTA                 NAVEEN                   "</f>
        <v xml:space="preserve">PENMASTA                 NAVEEN                   </v>
      </c>
      <c r="E16239" t="str">
        <f>"MADISON                   "</f>
        <v xml:space="preserve">MADISON                   </v>
      </c>
      <c r="F16239" t="str">
        <f t="shared" si="412"/>
        <v>MS</v>
      </c>
    </row>
    <row r="16240" spans="1:6" x14ac:dyDescent="0.25">
      <c r="A16240" t="str">
        <f>"200008220"</f>
        <v>200008220</v>
      </c>
      <c r="B16240" t="str">
        <f>"1316941859"</f>
        <v>1316941859</v>
      </c>
      <c r="C16240" t="str">
        <f>"2085R0202X"</f>
        <v>2085R0202X</v>
      </c>
      <c r="D16240" t="str">
        <f>"FAROOKI                  AAMER                    "</f>
        <v xml:space="preserve">FAROOKI                  AAMER                    </v>
      </c>
      <c r="E16240" t="str">
        <f>"OXFORD                    "</f>
        <v xml:space="preserve">OXFORD                    </v>
      </c>
      <c r="F16240" t="str">
        <f t="shared" si="412"/>
        <v>MS</v>
      </c>
    </row>
    <row r="16241" spans="1:6" x14ac:dyDescent="0.25">
      <c r="A16241" t="str">
        <f>"200008225"</f>
        <v>200008225</v>
      </c>
      <c r="B16241" t="str">
        <f>"1447690755"</f>
        <v>1447690755</v>
      </c>
      <c r="C16241" t="str">
        <f>"207Q00000X"</f>
        <v>207Q00000X</v>
      </c>
      <c r="D16241" t="str">
        <f>"MILLER                   JOHN                     "</f>
        <v xml:space="preserve">MILLER                   JOHN                     </v>
      </c>
      <c r="E16241" t="str">
        <f>"PHILADELPHIA              "</f>
        <v xml:space="preserve">PHILADELPHIA              </v>
      </c>
      <c r="F16241" t="str">
        <f t="shared" si="412"/>
        <v>MS</v>
      </c>
    </row>
    <row r="16242" spans="1:6" x14ac:dyDescent="0.25">
      <c r="A16242" t="str">
        <f>"200008226"</f>
        <v>200008226</v>
      </c>
      <c r="B16242" t="str">
        <f>"1023522737"</f>
        <v>1023522737</v>
      </c>
      <c r="C16242" t="str">
        <f>"363L00000X"</f>
        <v>363L00000X</v>
      </c>
      <c r="D16242" t="str">
        <f>"HAGAN                    ALISON                   "</f>
        <v xml:space="preserve">HAGAN                    ALISON                   </v>
      </c>
      <c r="E16242" t="str">
        <f>"WEST POINT                "</f>
        <v xml:space="preserve">WEST POINT                </v>
      </c>
      <c r="F16242" t="str">
        <f t="shared" si="412"/>
        <v>MS</v>
      </c>
    </row>
    <row r="16243" spans="1:6" x14ac:dyDescent="0.25">
      <c r="A16243" t="str">
        <f>"200008227"</f>
        <v>200008227</v>
      </c>
      <c r="B16243" t="str">
        <f>"1992766943"</f>
        <v>1992766943</v>
      </c>
      <c r="C16243" t="str">
        <f>"207W00000X"</f>
        <v>207W00000X</v>
      </c>
      <c r="D16243" t="str">
        <f>"SIMMONS                  EUGENE                   "</f>
        <v xml:space="preserve">SIMMONS                  EUGENE                   </v>
      </c>
      <c r="E16243" t="str">
        <f>"BROOKHAVEN                "</f>
        <v xml:space="preserve">BROOKHAVEN                </v>
      </c>
      <c r="F16243" t="str">
        <f t="shared" si="412"/>
        <v>MS</v>
      </c>
    </row>
    <row r="16244" spans="1:6" x14ac:dyDescent="0.25">
      <c r="A16244" t="str">
        <f>"200008231"</f>
        <v>200008231</v>
      </c>
      <c r="B16244" t="str">
        <f>"1306614870"</f>
        <v>1306614870</v>
      </c>
      <c r="C16244" t="str">
        <f>"152W00000X"</f>
        <v>152W00000X</v>
      </c>
      <c r="D16244" t="str">
        <f>"REFLECTIONS VISION CENTER COLUMBIA, LLC           "</f>
        <v xml:space="preserve">REFLECTIONS VISION CENTER COLUMBIA, LLC           </v>
      </c>
      <c r="E16244" t="str">
        <f>"COLUMBIA                  "</f>
        <v xml:space="preserve">COLUMBIA                  </v>
      </c>
      <c r="F16244" t="str">
        <f t="shared" si="412"/>
        <v>MS</v>
      </c>
    </row>
    <row r="16245" spans="1:6" x14ac:dyDescent="0.25">
      <c r="A16245" t="str">
        <f>"200008238"</f>
        <v>200008238</v>
      </c>
      <c r="B16245" t="str">
        <f>"1952680316"</f>
        <v>1952680316</v>
      </c>
      <c r="C16245" t="str">
        <f>"367500000X"</f>
        <v>367500000X</v>
      </c>
      <c r="D16245" t="str">
        <f>"DAVIS                    DAVID        R           "</f>
        <v xml:space="preserve">DAVIS                    DAVID        R           </v>
      </c>
      <c r="E16245" t="str">
        <f>"OCEAN SPRINGS             "</f>
        <v xml:space="preserve">OCEAN SPRINGS             </v>
      </c>
      <c r="F16245" t="str">
        <f t="shared" si="412"/>
        <v>MS</v>
      </c>
    </row>
    <row r="16246" spans="1:6" x14ac:dyDescent="0.25">
      <c r="A16246" t="str">
        <f>"200008239"</f>
        <v>200008239</v>
      </c>
      <c r="B16246" t="str">
        <f>"1720390578"</f>
        <v>1720390578</v>
      </c>
      <c r="C16246" t="str">
        <f>"207RC0000X"</f>
        <v>207RC0000X</v>
      </c>
      <c r="D16246" t="str">
        <f>"BOMB                     RITIN                    "</f>
        <v xml:space="preserve">BOMB                     RITIN                    </v>
      </c>
      <c r="E16246" t="str">
        <f>"SENATOBIA                 "</f>
        <v xml:space="preserve">SENATOBIA                 </v>
      </c>
      <c r="F16246" t="str">
        <f t="shared" si="412"/>
        <v>MS</v>
      </c>
    </row>
    <row r="16247" spans="1:6" x14ac:dyDescent="0.25">
      <c r="A16247" t="str">
        <f>"200008243"</f>
        <v>200008243</v>
      </c>
      <c r="B16247" t="str">
        <f>"1346537404"</f>
        <v>1346537404</v>
      </c>
      <c r="C16247" t="str">
        <f>"2085R0202X"</f>
        <v>2085R0202X</v>
      </c>
      <c r="D16247" t="str">
        <f>"ORLOWSKI                 HILARY       L           "</f>
        <v xml:space="preserve">ORLOWSKI                 HILARY       L           </v>
      </c>
      <c r="E16247" t="str">
        <f>"HATTIESBURG               "</f>
        <v xml:space="preserve">HATTIESBURG               </v>
      </c>
      <c r="F16247" t="str">
        <f t="shared" si="412"/>
        <v>MS</v>
      </c>
    </row>
    <row r="16248" spans="1:6" x14ac:dyDescent="0.25">
      <c r="A16248" t="str">
        <f>"200008251"</f>
        <v>200008251</v>
      </c>
      <c r="B16248" t="str">
        <f>"1588169296"</f>
        <v>1588169296</v>
      </c>
      <c r="C16248" t="str">
        <f>"208VP0014X"</f>
        <v>208VP0014X</v>
      </c>
      <c r="D16248" t="str">
        <f>"CRAIG                    MADELYN                  "</f>
        <v xml:space="preserve">CRAIG                    MADELYN                  </v>
      </c>
      <c r="E16248" t="str">
        <f>"MADISON                   "</f>
        <v xml:space="preserve">MADISON                   </v>
      </c>
      <c r="F16248" t="str">
        <f t="shared" si="412"/>
        <v>MS</v>
      </c>
    </row>
    <row r="16249" spans="1:6" x14ac:dyDescent="0.25">
      <c r="A16249" t="str">
        <f>"200008253"</f>
        <v>200008253</v>
      </c>
      <c r="B16249" t="str">
        <f>"1013305895"</f>
        <v>1013305895</v>
      </c>
      <c r="C16249" t="str">
        <f>"363A00000X"</f>
        <v>363A00000X</v>
      </c>
      <c r="D16249" t="str">
        <f>"GOODMAN                  AMBER                    "</f>
        <v xml:space="preserve">GOODMAN                  AMBER                    </v>
      </c>
      <c r="E16249" t="str">
        <f>"JACKSON                   "</f>
        <v xml:space="preserve">JACKSON                   </v>
      </c>
      <c r="F16249" t="str">
        <f t="shared" si="412"/>
        <v>MS</v>
      </c>
    </row>
    <row r="16250" spans="1:6" x14ac:dyDescent="0.25">
      <c r="A16250" t="str">
        <f>"200008255"</f>
        <v>200008255</v>
      </c>
      <c r="B16250" t="str">
        <f>"1558362970"</f>
        <v>1558362970</v>
      </c>
      <c r="C16250" t="str">
        <f>"2086S0129X"</f>
        <v>2086S0129X</v>
      </c>
      <c r="D16250" t="str">
        <f>"WINKLER                  GABOR                    "</f>
        <v xml:space="preserve">WINKLER                  GABOR                    </v>
      </c>
      <c r="E16250" t="str">
        <f>"SENATOBIA                 "</f>
        <v xml:space="preserve">SENATOBIA                 </v>
      </c>
      <c r="F16250" t="str">
        <f t="shared" si="412"/>
        <v>MS</v>
      </c>
    </row>
    <row r="16251" spans="1:6" x14ac:dyDescent="0.25">
      <c r="A16251" t="str">
        <f>"200008258"</f>
        <v>200008258</v>
      </c>
      <c r="B16251" t="str">
        <f>"1801671425"</f>
        <v>1801671425</v>
      </c>
      <c r="C16251" t="str">
        <f>"363L00000X"</f>
        <v>363L00000X</v>
      </c>
      <c r="D16251" t="str">
        <f>"MCBRYDE                  MALLORI                  "</f>
        <v xml:space="preserve">MCBRYDE                  MALLORI                  </v>
      </c>
      <c r="E16251" t="str">
        <f>"TUPELO                    "</f>
        <v xml:space="preserve">TUPELO                    </v>
      </c>
      <c r="F16251" t="str">
        <f t="shared" si="412"/>
        <v>MS</v>
      </c>
    </row>
    <row r="16252" spans="1:6" x14ac:dyDescent="0.25">
      <c r="A16252" t="str">
        <f>"200008263"</f>
        <v>200008263</v>
      </c>
      <c r="B16252" t="str">
        <f>"1871122580"</f>
        <v>1871122580</v>
      </c>
      <c r="C16252" t="str">
        <f>"207R00000X"</f>
        <v>207R00000X</v>
      </c>
      <c r="D16252" t="str">
        <f>"YOUNG                    MARIETTA     G           "</f>
        <v xml:space="preserve">YOUNG                    MARIETTA     G           </v>
      </c>
      <c r="E16252" t="str">
        <f>"JACKSON                   "</f>
        <v xml:space="preserve">JACKSON                   </v>
      </c>
      <c r="F16252" t="str">
        <f t="shared" si="412"/>
        <v>MS</v>
      </c>
    </row>
    <row r="16253" spans="1:6" x14ac:dyDescent="0.25">
      <c r="A16253" t="str">
        <f>"200008271"</f>
        <v>200008271</v>
      </c>
      <c r="B16253" t="str">
        <f>"1760269419"</f>
        <v>1760269419</v>
      </c>
      <c r="C16253" t="str">
        <f>"367500000X"</f>
        <v>367500000X</v>
      </c>
      <c r="D16253" t="str">
        <f>"CADE                     KELSEY       M           "</f>
        <v xml:space="preserve">CADE                     KELSEY       M           </v>
      </c>
      <c r="E16253" t="str">
        <f>"JACKSON                   "</f>
        <v xml:space="preserve">JACKSON                   </v>
      </c>
      <c r="F16253" t="str">
        <f t="shared" si="412"/>
        <v>MS</v>
      </c>
    </row>
    <row r="16254" spans="1:6" x14ac:dyDescent="0.25">
      <c r="A16254" t="str">
        <f>"200008283"</f>
        <v>200008283</v>
      </c>
      <c r="B16254" t="str">
        <f>"1528830536"</f>
        <v>1528830536</v>
      </c>
      <c r="C16254" t="str">
        <f>"363L00000X"</f>
        <v>363L00000X</v>
      </c>
      <c r="D16254" t="str">
        <f>"CHASE                    DANIEL                   "</f>
        <v xml:space="preserve">CHASE                    DANIEL                   </v>
      </c>
      <c r="E16254" t="str">
        <f>"TUPELO                    "</f>
        <v xml:space="preserve">TUPELO                    </v>
      </c>
      <c r="F16254" t="str">
        <f t="shared" ref="F16254:F16317" si="413">"MS"</f>
        <v>MS</v>
      </c>
    </row>
    <row r="16255" spans="1:6" x14ac:dyDescent="0.25">
      <c r="A16255" t="str">
        <f>"200008303"</f>
        <v>200008303</v>
      </c>
      <c r="B16255" t="str">
        <f>"1609598242"</f>
        <v>1609598242</v>
      </c>
      <c r="C16255" t="str">
        <f>"363LF0000X"</f>
        <v>363LF0000X</v>
      </c>
      <c r="D16255" t="str">
        <f>"PEEPLES                  SELENA                   "</f>
        <v xml:space="preserve">PEEPLES                  SELENA                   </v>
      </c>
      <c r="E16255" t="str">
        <f>"GREENVILLE                "</f>
        <v xml:space="preserve">GREENVILLE                </v>
      </c>
      <c r="F16255" t="str">
        <f t="shared" si="413"/>
        <v>MS</v>
      </c>
    </row>
    <row r="16256" spans="1:6" x14ac:dyDescent="0.25">
      <c r="A16256" t="str">
        <f>"200008304"</f>
        <v>200008304</v>
      </c>
      <c r="B16256" t="str">
        <f>"1952032393"</f>
        <v>1952032393</v>
      </c>
      <c r="C16256" t="str">
        <f>"363L00000X"</f>
        <v>363L00000X</v>
      </c>
      <c r="D16256" t="str">
        <f>"BYNO                     LACUTLASS                "</f>
        <v xml:space="preserve">BYNO                     LACUTLASS                </v>
      </c>
      <c r="E16256" t="str">
        <f>"BYHALIA                   "</f>
        <v xml:space="preserve">BYHALIA                   </v>
      </c>
      <c r="F16256" t="str">
        <f t="shared" si="413"/>
        <v>MS</v>
      </c>
    </row>
    <row r="16257" spans="1:6" x14ac:dyDescent="0.25">
      <c r="A16257" t="str">
        <f>"200008305"</f>
        <v>200008305</v>
      </c>
      <c r="B16257" t="str">
        <f>"1134239940"</f>
        <v>1134239940</v>
      </c>
      <c r="C16257" t="str">
        <f>"208000000X"</f>
        <v>208000000X</v>
      </c>
      <c r="D16257" t="str">
        <f>"WILLIAMS                 JEFFREY                  "</f>
        <v xml:space="preserve">WILLIAMS                 JEFFREY                  </v>
      </c>
      <c r="E16257" t="str">
        <f>"SUMRALL                   "</f>
        <v xml:space="preserve">SUMRALL                   </v>
      </c>
      <c r="F16257" t="str">
        <f t="shared" si="413"/>
        <v>MS</v>
      </c>
    </row>
    <row r="16258" spans="1:6" x14ac:dyDescent="0.25">
      <c r="A16258" t="str">
        <f>"200008310"</f>
        <v>200008310</v>
      </c>
      <c r="B16258" t="str">
        <f>"1720864796"</f>
        <v>1720864796</v>
      </c>
      <c r="C16258" t="str">
        <f>"261QM0801X"</f>
        <v>261QM0801X</v>
      </c>
      <c r="D16258" t="str">
        <f>"WELLNESS OASIS INC                                "</f>
        <v xml:space="preserve">WELLNESS OASIS INC                                </v>
      </c>
      <c r="E16258" t="str">
        <f>"GREENVILLE                "</f>
        <v xml:space="preserve">GREENVILLE                </v>
      </c>
      <c r="F16258" t="str">
        <f t="shared" si="413"/>
        <v>MS</v>
      </c>
    </row>
    <row r="16259" spans="1:6" x14ac:dyDescent="0.25">
      <c r="A16259" t="str">
        <f>"200008319"</f>
        <v>200008319</v>
      </c>
      <c r="B16259" t="str">
        <f>"1144894916"</f>
        <v>1144894916</v>
      </c>
      <c r="C16259" t="str">
        <f>"367500000X"</f>
        <v>367500000X</v>
      </c>
      <c r="D16259" t="str">
        <f>"CLEMENTS                 JESSE                    "</f>
        <v xml:space="preserve">CLEMENTS                 JESSE                    </v>
      </c>
      <c r="E16259" t="str">
        <f>"SOUTHAVEN                 "</f>
        <v xml:space="preserve">SOUTHAVEN                 </v>
      </c>
      <c r="F16259" t="str">
        <f t="shared" si="413"/>
        <v>MS</v>
      </c>
    </row>
    <row r="16260" spans="1:6" x14ac:dyDescent="0.25">
      <c r="A16260" t="str">
        <f>"200008325"</f>
        <v>200008325</v>
      </c>
      <c r="B16260" t="str">
        <f>"1669784815"</f>
        <v>1669784815</v>
      </c>
      <c r="C16260" t="str">
        <f>"207V00000X"</f>
        <v>207V00000X</v>
      </c>
      <c r="D16260" t="str">
        <f>"BARRY                    LAUREN       E           "</f>
        <v xml:space="preserve">BARRY                    LAUREN       E           </v>
      </c>
      <c r="E16260" t="str">
        <f>"HATTIESBURG               "</f>
        <v xml:space="preserve">HATTIESBURG               </v>
      </c>
      <c r="F16260" t="str">
        <f t="shared" si="413"/>
        <v>MS</v>
      </c>
    </row>
    <row r="16261" spans="1:6" x14ac:dyDescent="0.25">
      <c r="A16261" t="str">
        <f>"200008326"</f>
        <v>200008326</v>
      </c>
      <c r="B16261" t="str">
        <f>"1760682090"</f>
        <v>1760682090</v>
      </c>
      <c r="C16261" t="str">
        <f>"208600000X"</f>
        <v>208600000X</v>
      </c>
      <c r="D16261" t="str">
        <f>"BRASHIER                 MATTHEW                  "</f>
        <v xml:space="preserve">BRASHIER                 MATTHEW                  </v>
      </c>
      <c r="E16261" t="str">
        <f>"BILOXI                    "</f>
        <v xml:space="preserve">BILOXI                    </v>
      </c>
      <c r="F16261" t="str">
        <f t="shared" si="413"/>
        <v>MS</v>
      </c>
    </row>
    <row r="16262" spans="1:6" x14ac:dyDescent="0.25">
      <c r="A16262" t="str">
        <f>"200008335"</f>
        <v>200008335</v>
      </c>
      <c r="B16262" t="str">
        <f>"1073521399"</f>
        <v>1073521399</v>
      </c>
      <c r="C16262" t="str">
        <f>"207P00000X"</f>
        <v>207P00000X</v>
      </c>
      <c r="D16262" t="str">
        <f>"ROSE                     DEAN                     "</f>
        <v xml:space="preserve">ROSE                     DEAN                     </v>
      </c>
      <c r="E16262" t="str">
        <f>"SOUTHAVEN                 "</f>
        <v xml:space="preserve">SOUTHAVEN                 </v>
      </c>
      <c r="F16262" t="str">
        <f t="shared" si="413"/>
        <v>MS</v>
      </c>
    </row>
    <row r="16263" spans="1:6" x14ac:dyDescent="0.25">
      <c r="A16263" t="str">
        <f>"200008336"</f>
        <v>200008336</v>
      </c>
      <c r="B16263" t="str">
        <f>"1205382017"</f>
        <v>1205382017</v>
      </c>
      <c r="C16263" t="str">
        <f>"152W00000X"</f>
        <v>152W00000X</v>
      </c>
      <c r="D16263" t="str">
        <f>"MANNING                  FORREST      W           "</f>
        <v xml:space="preserve">MANNING                  FORREST      W           </v>
      </c>
      <c r="E16263" t="str">
        <f>"YAZOO CITY                "</f>
        <v xml:space="preserve">YAZOO CITY                </v>
      </c>
      <c r="F16263" t="str">
        <f t="shared" si="413"/>
        <v>MS</v>
      </c>
    </row>
    <row r="16264" spans="1:6" x14ac:dyDescent="0.25">
      <c r="A16264" t="str">
        <f>"200008351"</f>
        <v>200008351</v>
      </c>
      <c r="B16264" t="str">
        <f>"1265622674"</f>
        <v>1265622674</v>
      </c>
      <c r="C16264" t="str">
        <f>"2080N0001X"</f>
        <v>2080N0001X</v>
      </c>
      <c r="D16264" t="str">
        <f>"PABBATHI                 MADHUSUDHAN              "</f>
        <v xml:space="preserve">PABBATHI                 MADHUSUDHAN              </v>
      </c>
      <c r="E16264" t="str">
        <f>"GREENVILLE                "</f>
        <v xml:space="preserve">GREENVILLE                </v>
      </c>
      <c r="F16264" t="str">
        <f t="shared" si="413"/>
        <v>MS</v>
      </c>
    </row>
    <row r="16265" spans="1:6" x14ac:dyDescent="0.25">
      <c r="A16265" t="str">
        <f>"200008360"</f>
        <v>200008360</v>
      </c>
      <c r="B16265" t="str">
        <f>"1043988496"</f>
        <v>1043988496</v>
      </c>
      <c r="C16265" t="str">
        <f>"363L00000X"</f>
        <v>363L00000X</v>
      </c>
      <c r="D16265" t="str">
        <f>"KELLY                    KRISTAN                  "</f>
        <v xml:space="preserve">KELLY                    KRISTAN                  </v>
      </c>
      <c r="E16265" t="str">
        <f>"MERIDIAN                  "</f>
        <v xml:space="preserve">MERIDIAN                  </v>
      </c>
      <c r="F16265" t="str">
        <f t="shared" si="413"/>
        <v>MS</v>
      </c>
    </row>
    <row r="16266" spans="1:6" x14ac:dyDescent="0.25">
      <c r="A16266" t="str">
        <f>"200008372"</f>
        <v>200008372</v>
      </c>
      <c r="B16266" t="str">
        <f>"1104441146"</f>
        <v>1104441146</v>
      </c>
      <c r="C16266" t="str">
        <f>"207R00000X"</f>
        <v>207R00000X</v>
      </c>
      <c r="D16266" t="str">
        <f>"MALIK                    ZESHAN                   "</f>
        <v xml:space="preserve">MALIK                    ZESHAN                   </v>
      </c>
      <c r="E16266" t="str">
        <f>"JACKSON                   "</f>
        <v xml:space="preserve">JACKSON                   </v>
      </c>
      <c r="F16266" t="str">
        <f t="shared" si="413"/>
        <v>MS</v>
      </c>
    </row>
    <row r="16267" spans="1:6" x14ac:dyDescent="0.25">
      <c r="A16267" t="str">
        <f>"200008374"</f>
        <v>200008374</v>
      </c>
      <c r="B16267" t="str">
        <f>"1891498135"</f>
        <v>1891498135</v>
      </c>
      <c r="C16267" t="str">
        <f>"207R00000X"</f>
        <v>207R00000X</v>
      </c>
      <c r="D16267" t="str">
        <f>"THOMPSON                 BENJAMIN                 "</f>
        <v xml:space="preserve">THOMPSON                 BENJAMIN                 </v>
      </c>
      <c r="E16267" t="str">
        <f>"JACKSON                   "</f>
        <v xml:space="preserve">JACKSON                   </v>
      </c>
      <c r="F16267" t="str">
        <f t="shared" si="413"/>
        <v>MS</v>
      </c>
    </row>
    <row r="16268" spans="1:6" x14ac:dyDescent="0.25">
      <c r="A16268" t="str">
        <f>"200008377"</f>
        <v>200008377</v>
      </c>
      <c r="B16268" t="str">
        <f>"1780464560"</f>
        <v>1780464560</v>
      </c>
      <c r="C16268" t="str">
        <f>"363L00000X"</f>
        <v>363L00000X</v>
      </c>
      <c r="D16268" t="str">
        <f>"WILLIAMS                 SHENETTA                 "</f>
        <v xml:space="preserve">WILLIAMS                 SHENETTA                 </v>
      </c>
      <c r="E16268" t="str">
        <f>"GREENWOOD                 "</f>
        <v xml:space="preserve">GREENWOOD                 </v>
      </c>
      <c r="F16268" t="str">
        <f t="shared" si="413"/>
        <v>MS</v>
      </c>
    </row>
    <row r="16269" spans="1:6" x14ac:dyDescent="0.25">
      <c r="A16269" t="str">
        <f>"200008378"</f>
        <v>200008378</v>
      </c>
      <c r="B16269" t="str">
        <f>"1841665494"</f>
        <v>1841665494</v>
      </c>
      <c r="C16269" t="str">
        <f>"363LF0000X"</f>
        <v>363LF0000X</v>
      </c>
      <c r="D16269" t="str">
        <f>"HARTHCOCK                CONSTANCE    M           "</f>
        <v xml:space="preserve">HARTHCOCK                CONSTANCE    M           </v>
      </c>
      <c r="E16269" t="str">
        <f>"BRANDON                   "</f>
        <v xml:space="preserve">BRANDON                   </v>
      </c>
      <c r="F16269" t="str">
        <f t="shared" si="413"/>
        <v>MS</v>
      </c>
    </row>
    <row r="16270" spans="1:6" x14ac:dyDescent="0.25">
      <c r="A16270" t="str">
        <f>"200008382"</f>
        <v>200008382</v>
      </c>
      <c r="B16270" t="str">
        <f>"1922623560"</f>
        <v>1922623560</v>
      </c>
      <c r="C16270" t="str">
        <f>"363L00000X"</f>
        <v>363L00000X</v>
      </c>
      <c r="D16270" t="str">
        <f>"SHELTON                  SHANEIKA                 "</f>
        <v xml:space="preserve">SHELTON                  SHANEIKA                 </v>
      </c>
      <c r="E16270" t="str">
        <f>"COLUMBUS                  "</f>
        <v xml:space="preserve">COLUMBUS                  </v>
      </c>
      <c r="F16270" t="str">
        <f t="shared" si="413"/>
        <v>MS</v>
      </c>
    </row>
    <row r="16271" spans="1:6" x14ac:dyDescent="0.25">
      <c r="A16271" t="str">
        <f>"200008384"</f>
        <v>200008384</v>
      </c>
      <c r="B16271" t="str">
        <f>"1336197649"</f>
        <v>1336197649</v>
      </c>
      <c r="C16271" t="str">
        <f>"207RG0100X"</f>
        <v>207RG0100X</v>
      </c>
      <c r="D16271" t="str">
        <f>"ZEVALLOS                 MABEL                    "</f>
        <v xml:space="preserve">ZEVALLOS                 MABEL                    </v>
      </c>
      <c r="E16271" t="str">
        <f>"JACKSON                   "</f>
        <v xml:space="preserve">JACKSON                   </v>
      </c>
      <c r="F16271" t="str">
        <f t="shared" si="413"/>
        <v>MS</v>
      </c>
    </row>
    <row r="16272" spans="1:6" x14ac:dyDescent="0.25">
      <c r="A16272" t="str">
        <f>"200008391"</f>
        <v>200008391</v>
      </c>
      <c r="B16272" t="str">
        <f>"1164944039"</f>
        <v>1164944039</v>
      </c>
      <c r="C16272" t="str">
        <f>"363L00000X"</f>
        <v>363L00000X</v>
      </c>
      <c r="D16272" t="str">
        <f>"JONES JAMBARD            GERRIE                   "</f>
        <v xml:space="preserve">JONES JAMBARD            GERRIE                   </v>
      </c>
      <c r="E16272" t="str">
        <f>"SOUTHAVEN                 "</f>
        <v xml:space="preserve">SOUTHAVEN                 </v>
      </c>
      <c r="F16272" t="str">
        <f t="shared" si="413"/>
        <v>MS</v>
      </c>
    </row>
    <row r="16273" spans="1:6" x14ac:dyDescent="0.25">
      <c r="A16273" t="str">
        <f>"200008392"</f>
        <v>200008392</v>
      </c>
      <c r="B16273" t="str">
        <f>"1356791982"</f>
        <v>1356791982</v>
      </c>
      <c r="C16273" t="str">
        <f>"363L00000X"</f>
        <v>363L00000X</v>
      </c>
      <c r="D16273" t="str">
        <f>"HUGHES                   TRENTON                  "</f>
        <v xml:space="preserve">HUGHES                   TRENTON                  </v>
      </c>
      <c r="E16273" t="str">
        <f>"MERIDIAN                  "</f>
        <v xml:space="preserve">MERIDIAN                  </v>
      </c>
      <c r="F16273" t="str">
        <f t="shared" si="413"/>
        <v>MS</v>
      </c>
    </row>
    <row r="16274" spans="1:6" x14ac:dyDescent="0.25">
      <c r="A16274" t="str">
        <f>"200008404"</f>
        <v>200008404</v>
      </c>
      <c r="B16274" t="str">
        <f>"1831965268"</f>
        <v>1831965268</v>
      </c>
      <c r="C16274" t="str">
        <f>"363L00000X"</f>
        <v>363L00000X</v>
      </c>
      <c r="D16274" t="str">
        <f>"HERNANDEZ                OBED         R           "</f>
        <v xml:space="preserve">HERNANDEZ                OBED         R           </v>
      </c>
      <c r="E16274" t="str">
        <f>"JACKSON                   "</f>
        <v xml:space="preserve">JACKSON                   </v>
      </c>
      <c r="F16274" t="str">
        <f t="shared" si="413"/>
        <v>MS</v>
      </c>
    </row>
    <row r="16275" spans="1:6" x14ac:dyDescent="0.25">
      <c r="A16275" t="str">
        <f>"200008408"</f>
        <v>200008408</v>
      </c>
      <c r="B16275" t="str">
        <f>"1912785221"</f>
        <v>1912785221</v>
      </c>
      <c r="C16275" t="str">
        <f>"363L00000X"</f>
        <v>363L00000X</v>
      </c>
      <c r="D16275" t="str">
        <f>"CHANCELLOR               AMBER        L           "</f>
        <v xml:space="preserve">CHANCELLOR               AMBER        L           </v>
      </c>
      <c r="E16275" t="str">
        <f>"STARKVILLE                "</f>
        <v xml:space="preserve">STARKVILLE                </v>
      </c>
      <c r="F16275" t="str">
        <f t="shared" si="413"/>
        <v>MS</v>
      </c>
    </row>
    <row r="16276" spans="1:6" x14ac:dyDescent="0.25">
      <c r="A16276" t="str">
        <f>"200008409"</f>
        <v>200008409</v>
      </c>
      <c r="B16276" t="str">
        <f>"1750068193"</f>
        <v>1750068193</v>
      </c>
      <c r="C16276" t="str">
        <f>"207R00000X"</f>
        <v>207R00000X</v>
      </c>
      <c r="D16276" t="str">
        <f>"PAPADOPOULOS             ALEXANDRE                "</f>
        <v xml:space="preserve">PAPADOPOULOS             ALEXANDRE                </v>
      </c>
      <c r="E16276" t="str">
        <f>"COLUMBUS                  "</f>
        <v xml:space="preserve">COLUMBUS                  </v>
      </c>
      <c r="F16276" t="str">
        <f t="shared" si="413"/>
        <v>MS</v>
      </c>
    </row>
    <row r="16277" spans="1:6" x14ac:dyDescent="0.25">
      <c r="A16277" t="str">
        <f>"200008411"</f>
        <v>200008411</v>
      </c>
      <c r="B16277" t="str">
        <f>"1841300175"</f>
        <v>1841300175</v>
      </c>
      <c r="C16277" t="str">
        <f>"207N00000X"</f>
        <v>207N00000X</v>
      </c>
      <c r="D16277" t="str">
        <f>"TORP                     ERIC         C           "</f>
        <v xml:space="preserve">TORP                     ERIC         C           </v>
      </c>
      <c r="E16277" t="str">
        <f>"OCEAN SPRINGS             "</f>
        <v xml:space="preserve">OCEAN SPRINGS             </v>
      </c>
      <c r="F16277" t="str">
        <f t="shared" si="413"/>
        <v>MS</v>
      </c>
    </row>
    <row r="16278" spans="1:6" x14ac:dyDescent="0.25">
      <c r="A16278" t="str">
        <f>"200008412"</f>
        <v>200008412</v>
      </c>
      <c r="B16278" t="str">
        <f>"1699451245"</f>
        <v>1699451245</v>
      </c>
      <c r="C16278" t="str">
        <f>"207R00000X"</f>
        <v>207R00000X</v>
      </c>
      <c r="D16278" t="str">
        <f>"CAMBRIDGE                CRIAG                    "</f>
        <v xml:space="preserve">CAMBRIDGE                CRIAG                    </v>
      </c>
      <c r="E16278" t="str">
        <f>"COLUMBUS                  "</f>
        <v xml:space="preserve">COLUMBUS                  </v>
      </c>
      <c r="F16278" t="str">
        <f t="shared" si="413"/>
        <v>MS</v>
      </c>
    </row>
    <row r="16279" spans="1:6" x14ac:dyDescent="0.25">
      <c r="A16279" t="str">
        <f>"200008414"</f>
        <v>200008414</v>
      </c>
      <c r="B16279" t="str">
        <f>"1083056386"</f>
        <v>1083056386</v>
      </c>
      <c r="C16279" t="str">
        <f>"363L00000X"</f>
        <v>363L00000X</v>
      </c>
      <c r="D16279" t="str">
        <f>"ODOR                     LANISSA                  "</f>
        <v xml:space="preserve">ODOR                     LANISSA                  </v>
      </c>
      <c r="E16279" t="str">
        <f>"HOLLY SPRINGS             "</f>
        <v xml:space="preserve">HOLLY SPRINGS             </v>
      </c>
      <c r="F16279" t="str">
        <f t="shared" si="413"/>
        <v>MS</v>
      </c>
    </row>
    <row r="16280" spans="1:6" x14ac:dyDescent="0.25">
      <c r="A16280" t="str">
        <f>"200008416"</f>
        <v>200008416</v>
      </c>
      <c r="B16280" t="str">
        <f>"1295332302"</f>
        <v>1295332302</v>
      </c>
      <c r="C16280" t="str">
        <f>"363L00000X"</f>
        <v>363L00000X</v>
      </c>
      <c r="D16280" t="str">
        <f>"BINION-MINOR             TAKINYA      R           "</f>
        <v xml:space="preserve">BINION-MINOR             TAKINYA      R           </v>
      </c>
      <c r="E16280" t="str">
        <f>"GLUCKSTADT                "</f>
        <v xml:space="preserve">GLUCKSTADT                </v>
      </c>
      <c r="F16280" t="str">
        <f t="shared" si="413"/>
        <v>MS</v>
      </c>
    </row>
    <row r="16281" spans="1:6" x14ac:dyDescent="0.25">
      <c r="A16281" t="str">
        <f>"200008432"</f>
        <v>200008432</v>
      </c>
      <c r="B16281" t="str">
        <f>"1942089917"</f>
        <v>1942089917</v>
      </c>
      <c r="C16281" t="str">
        <f>"363L00000X"</f>
        <v>363L00000X</v>
      </c>
      <c r="D16281" t="str">
        <f>"BROOM                    RIKKI        S           "</f>
        <v xml:space="preserve">BROOM                    RIKKI        S           </v>
      </c>
      <c r="E16281" t="str">
        <f>"SUMRALL                   "</f>
        <v xml:space="preserve">SUMRALL                   </v>
      </c>
      <c r="F16281" t="str">
        <f t="shared" si="413"/>
        <v>MS</v>
      </c>
    </row>
    <row r="16282" spans="1:6" x14ac:dyDescent="0.25">
      <c r="A16282" t="str">
        <f>"200008433"</f>
        <v>200008433</v>
      </c>
      <c r="B16282" t="str">
        <f>"1487247235"</f>
        <v>1487247235</v>
      </c>
      <c r="C16282" t="str">
        <f>"363L00000X"</f>
        <v>363L00000X</v>
      </c>
      <c r="D16282" t="str">
        <f>"CARD                     CHARLOTTE                "</f>
        <v xml:space="preserve">CARD                     CHARLOTTE                </v>
      </c>
      <c r="E16282" t="str">
        <f>"STARKVILLE                "</f>
        <v xml:space="preserve">STARKVILLE                </v>
      </c>
      <c r="F16282" t="str">
        <f t="shared" si="413"/>
        <v>MS</v>
      </c>
    </row>
    <row r="16283" spans="1:6" x14ac:dyDescent="0.25">
      <c r="A16283" t="str">
        <f>"200008442"</f>
        <v>200008442</v>
      </c>
      <c r="B16283" t="str">
        <f>"1720040389"</f>
        <v>1720040389</v>
      </c>
      <c r="C16283" t="str">
        <f>"2085R0202X"</f>
        <v>2085R0202X</v>
      </c>
      <c r="D16283" t="str">
        <f>"BETZ                     WILLIAM                  "</f>
        <v xml:space="preserve">BETZ                     WILLIAM                  </v>
      </c>
      <c r="E16283" t="str">
        <f>"OXFORD                    "</f>
        <v xml:space="preserve">OXFORD                    </v>
      </c>
      <c r="F16283" t="str">
        <f t="shared" si="413"/>
        <v>MS</v>
      </c>
    </row>
    <row r="16284" spans="1:6" x14ac:dyDescent="0.25">
      <c r="A16284" t="str">
        <f>"200008445"</f>
        <v>200008445</v>
      </c>
      <c r="B16284" t="str">
        <f>"1568090959"</f>
        <v>1568090959</v>
      </c>
      <c r="C16284" t="str">
        <f>"207Q00000X"</f>
        <v>207Q00000X</v>
      </c>
      <c r="D16284" t="str">
        <f>"CESARSKI                 KAYLIN                   "</f>
        <v xml:space="preserve">CESARSKI                 KAYLIN                   </v>
      </c>
      <c r="E16284" t="str">
        <f>"GREENVILLE                "</f>
        <v xml:space="preserve">GREENVILLE                </v>
      </c>
      <c r="F16284" t="str">
        <f t="shared" si="413"/>
        <v>MS</v>
      </c>
    </row>
    <row r="16285" spans="1:6" x14ac:dyDescent="0.25">
      <c r="A16285" t="str">
        <f>"200008452"</f>
        <v>200008452</v>
      </c>
      <c r="B16285" t="str">
        <f>"1417921321"</f>
        <v>1417921321</v>
      </c>
      <c r="C16285" t="str">
        <f>"2084N0400X"</f>
        <v>2084N0400X</v>
      </c>
      <c r="D16285" t="str">
        <f>"VILLAR                   CARLOS                   "</f>
        <v xml:space="preserve">VILLAR                   CARLOS                   </v>
      </c>
      <c r="E16285" t="str">
        <f>"TUPELO                    "</f>
        <v xml:space="preserve">TUPELO                    </v>
      </c>
      <c r="F16285" t="str">
        <f t="shared" si="413"/>
        <v>MS</v>
      </c>
    </row>
    <row r="16286" spans="1:6" x14ac:dyDescent="0.25">
      <c r="A16286" t="str">
        <f>"200008463"</f>
        <v>200008463</v>
      </c>
      <c r="B16286" t="str">
        <f>"1558134130"</f>
        <v>1558134130</v>
      </c>
      <c r="C16286" t="str">
        <f>"363L00000X"</f>
        <v>363L00000X</v>
      </c>
      <c r="D16286" t="str">
        <f>"BARKSDALE                RACHEL                   "</f>
        <v xml:space="preserve">BARKSDALE                RACHEL                   </v>
      </c>
      <c r="E16286" t="str">
        <f>"JACKSON                   "</f>
        <v xml:space="preserve">JACKSON                   </v>
      </c>
      <c r="F16286" t="str">
        <f t="shared" si="413"/>
        <v>MS</v>
      </c>
    </row>
    <row r="16287" spans="1:6" x14ac:dyDescent="0.25">
      <c r="A16287" t="str">
        <f>"200008465"</f>
        <v>200008465</v>
      </c>
      <c r="B16287" t="str">
        <f>"1093487514"</f>
        <v>1093487514</v>
      </c>
      <c r="C16287" t="str">
        <f>"363L00000X"</f>
        <v>363L00000X</v>
      </c>
      <c r="D16287" t="str">
        <f>"SHEMPER                  SUSAN                    "</f>
        <v xml:space="preserve">SHEMPER                  SUSAN                    </v>
      </c>
      <c r="E16287" t="str">
        <f>"ELLISVILLE                "</f>
        <v xml:space="preserve">ELLISVILLE                </v>
      </c>
      <c r="F16287" t="str">
        <f t="shared" si="413"/>
        <v>MS</v>
      </c>
    </row>
    <row r="16288" spans="1:6" x14ac:dyDescent="0.25">
      <c r="A16288" t="str">
        <f>"200008467"</f>
        <v>200008467</v>
      </c>
      <c r="B16288" t="str">
        <f>"1548268592"</f>
        <v>1548268592</v>
      </c>
      <c r="C16288" t="str">
        <f>"207RX0202X"</f>
        <v>207RX0202X</v>
      </c>
      <c r="D16288" t="str">
        <f>"OBAJI                    SUHAIL       M           "</f>
        <v xml:space="preserve">OBAJI                    SUHAIL       M           </v>
      </c>
      <c r="E16288" t="str">
        <f>"NEW ALBANY                "</f>
        <v xml:space="preserve">NEW ALBANY                </v>
      </c>
      <c r="F16288" t="str">
        <f t="shared" si="413"/>
        <v>MS</v>
      </c>
    </row>
    <row r="16289" spans="1:6" x14ac:dyDescent="0.25">
      <c r="A16289" t="str">
        <f>"200008473"</f>
        <v>200008473</v>
      </c>
      <c r="B16289" t="str">
        <f>"1548875917"</f>
        <v>1548875917</v>
      </c>
      <c r="C16289" t="str">
        <f>"363L00000X"</f>
        <v>363L00000X</v>
      </c>
      <c r="D16289" t="str">
        <f>"SHELEY                   ELIZABETH    G           "</f>
        <v xml:space="preserve">SHELEY                   ELIZABETH    G           </v>
      </c>
      <c r="E16289" t="str">
        <f>"OXFORD                    "</f>
        <v xml:space="preserve">OXFORD                    </v>
      </c>
      <c r="F16289" t="str">
        <f t="shared" si="413"/>
        <v>MS</v>
      </c>
    </row>
    <row r="16290" spans="1:6" x14ac:dyDescent="0.25">
      <c r="A16290" t="str">
        <f>"200008480"</f>
        <v>200008480</v>
      </c>
      <c r="B16290" t="str">
        <f>"1356454334"</f>
        <v>1356454334</v>
      </c>
      <c r="C16290" t="str">
        <f>"2085R0202X"</f>
        <v>2085R0202X</v>
      </c>
      <c r="D16290" t="str">
        <f>"PRINGLE JR               CHARLES      K           "</f>
        <v xml:space="preserve">PRINGLE JR               CHARLES      K           </v>
      </c>
      <c r="E16290" t="str">
        <f>"SOUTHAVEN                 "</f>
        <v xml:space="preserve">SOUTHAVEN                 </v>
      </c>
      <c r="F16290" t="str">
        <f t="shared" si="413"/>
        <v>MS</v>
      </c>
    </row>
    <row r="16291" spans="1:6" x14ac:dyDescent="0.25">
      <c r="A16291" t="str">
        <f>"200008481"</f>
        <v>200008481</v>
      </c>
      <c r="B16291" t="str">
        <f>"1487420105"</f>
        <v>1487420105</v>
      </c>
      <c r="C16291" t="str">
        <f>"367500000X"</f>
        <v>367500000X</v>
      </c>
      <c r="D16291" t="str">
        <f>"COLBURN                  ROLAND       C           "</f>
        <v xml:space="preserve">COLBURN                  ROLAND       C           </v>
      </c>
      <c r="E16291" t="str">
        <f>"HATTIESBURG               "</f>
        <v xml:space="preserve">HATTIESBURG               </v>
      </c>
      <c r="F16291" t="str">
        <f t="shared" si="413"/>
        <v>MS</v>
      </c>
    </row>
    <row r="16292" spans="1:6" x14ac:dyDescent="0.25">
      <c r="A16292" t="str">
        <f>"200008482"</f>
        <v>200008482</v>
      </c>
      <c r="B16292" t="str">
        <f>"1992843742"</f>
        <v>1992843742</v>
      </c>
      <c r="C16292" t="str">
        <f>"2084P0800X"</f>
        <v>2084P0800X</v>
      </c>
      <c r="D16292" t="str">
        <f>"WEBB                     MARK         C           "</f>
        <v xml:space="preserve">WEBB                     MARK         C           </v>
      </c>
      <c r="E16292" t="str">
        <f>"RIDGELAND                 "</f>
        <v xml:space="preserve">RIDGELAND                 </v>
      </c>
      <c r="F16292" t="str">
        <f t="shared" si="413"/>
        <v>MS</v>
      </c>
    </row>
    <row r="16293" spans="1:6" x14ac:dyDescent="0.25">
      <c r="A16293" t="str">
        <f>"200008484"</f>
        <v>200008484</v>
      </c>
      <c r="B16293" t="str">
        <f>"1033195375"</f>
        <v>1033195375</v>
      </c>
      <c r="C16293" t="str">
        <f>"207V00000X"</f>
        <v>207V00000X</v>
      </c>
      <c r="D16293" t="str">
        <f>"GOODRIDGE                CHRISTINA    L           "</f>
        <v xml:space="preserve">GOODRIDGE                CHRISTINA    L           </v>
      </c>
      <c r="E16293" t="str">
        <f>"HATTIESBURG               "</f>
        <v xml:space="preserve">HATTIESBURG               </v>
      </c>
      <c r="F16293" t="str">
        <f t="shared" si="413"/>
        <v>MS</v>
      </c>
    </row>
    <row r="16294" spans="1:6" x14ac:dyDescent="0.25">
      <c r="A16294" t="str">
        <f>"200008499"</f>
        <v>200008499</v>
      </c>
      <c r="B16294" t="str">
        <f>"1083039911"</f>
        <v>1083039911</v>
      </c>
      <c r="C16294" t="str">
        <f>"207R00000X"</f>
        <v>207R00000X</v>
      </c>
      <c r="D16294" t="str">
        <f>"AMIN                     NIMESH                   "</f>
        <v xml:space="preserve">AMIN                     NIMESH                   </v>
      </c>
      <c r="E16294" t="str">
        <f>"MADISON                   "</f>
        <v xml:space="preserve">MADISON                   </v>
      </c>
      <c r="F16294" t="str">
        <f t="shared" si="413"/>
        <v>MS</v>
      </c>
    </row>
    <row r="16295" spans="1:6" x14ac:dyDescent="0.25">
      <c r="A16295" t="str">
        <f>"200008505"</f>
        <v>200008505</v>
      </c>
      <c r="B16295" t="str">
        <f>"1295292498"</f>
        <v>1295292498</v>
      </c>
      <c r="C16295" t="str">
        <f>"363L00000X"</f>
        <v>363L00000X</v>
      </c>
      <c r="D16295" t="str">
        <f>"MURPHY                   EMILY        S           "</f>
        <v xml:space="preserve">MURPHY                   EMILY        S           </v>
      </c>
      <c r="E16295" t="str">
        <f>"JACKSON                   "</f>
        <v xml:space="preserve">JACKSON                   </v>
      </c>
      <c r="F16295" t="str">
        <f t="shared" si="413"/>
        <v>MS</v>
      </c>
    </row>
    <row r="16296" spans="1:6" x14ac:dyDescent="0.25">
      <c r="A16296" t="str">
        <f>"200008512"</f>
        <v>200008512</v>
      </c>
      <c r="B16296" t="str">
        <f>"1235902859"</f>
        <v>1235902859</v>
      </c>
      <c r="C16296" t="str">
        <f>"363L00000X"</f>
        <v>363L00000X</v>
      </c>
      <c r="D16296" t="str">
        <f>"BREWER                   MARION                   "</f>
        <v xml:space="preserve">BREWER                   MARION                   </v>
      </c>
      <c r="E16296" t="str">
        <f>"BAY ST LOUIS              "</f>
        <v xml:space="preserve">BAY ST LOUIS              </v>
      </c>
      <c r="F16296" t="str">
        <f t="shared" si="413"/>
        <v>MS</v>
      </c>
    </row>
    <row r="16297" spans="1:6" x14ac:dyDescent="0.25">
      <c r="A16297" t="str">
        <f>"200008513"</f>
        <v>200008513</v>
      </c>
      <c r="B16297" t="str">
        <f>"1558097444"</f>
        <v>1558097444</v>
      </c>
      <c r="C16297" t="str">
        <f>"363LF0000X"</f>
        <v>363LF0000X</v>
      </c>
      <c r="D16297" t="str">
        <f>"GILL                     VIRGINIA     C           "</f>
        <v xml:space="preserve">GILL                     VIRGINIA     C           </v>
      </c>
      <c r="E16297" t="str">
        <f>"JACKSON                   "</f>
        <v xml:space="preserve">JACKSON                   </v>
      </c>
      <c r="F16297" t="str">
        <f t="shared" si="413"/>
        <v>MS</v>
      </c>
    </row>
    <row r="16298" spans="1:6" x14ac:dyDescent="0.25">
      <c r="A16298" t="str">
        <f>"200008520"</f>
        <v>200008520</v>
      </c>
      <c r="B16298" t="str">
        <f>"1669170262"</f>
        <v>1669170262</v>
      </c>
      <c r="C16298" t="str">
        <f>"363L00000X"</f>
        <v>363L00000X</v>
      </c>
      <c r="D16298" t="str">
        <f>"SPARKS                   PAIGE                    "</f>
        <v xml:space="preserve">SPARKS                   PAIGE                    </v>
      </c>
      <c r="E16298" t="str">
        <f>"PONTOTOC                  "</f>
        <v xml:space="preserve">PONTOTOC                  </v>
      </c>
      <c r="F16298" t="str">
        <f t="shared" si="413"/>
        <v>MS</v>
      </c>
    </row>
    <row r="16299" spans="1:6" x14ac:dyDescent="0.25">
      <c r="A16299" t="str">
        <f>"200008526"</f>
        <v>200008526</v>
      </c>
      <c r="B16299" t="str">
        <f>"1679186407"</f>
        <v>1679186407</v>
      </c>
      <c r="C16299" t="str">
        <f>"363L00000X"</f>
        <v>363L00000X</v>
      </c>
      <c r="D16299" t="str">
        <f>"HENRIKSON                SHARON       D           "</f>
        <v xml:space="preserve">HENRIKSON                SHARON       D           </v>
      </c>
      <c r="E16299" t="str">
        <f>"FLOWOOD                   "</f>
        <v xml:space="preserve">FLOWOOD                   </v>
      </c>
      <c r="F16299" t="str">
        <f t="shared" si="413"/>
        <v>MS</v>
      </c>
    </row>
    <row r="16300" spans="1:6" x14ac:dyDescent="0.25">
      <c r="A16300" t="str">
        <f>"200008529"</f>
        <v>200008529</v>
      </c>
      <c r="B16300" t="str">
        <f>"1114954849"</f>
        <v>1114954849</v>
      </c>
      <c r="C16300" t="str">
        <f>"207L00000X"</f>
        <v>207L00000X</v>
      </c>
      <c r="D16300" t="str">
        <f>"DANG                     SON          M           "</f>
        <v xml:space="preserve">DANG                     SON          M           </v>
      </c>
      <c r="E16300" t="str">
        <f>"BAY ST. LOUIS             "</f>
        <v xml:space="preserve">BAY ST. LOUIS             </v>
      </c>
      <c r="F16300" t="str">
        <f t="shared" si="413"/>
        <v>MS</v>
      </c>
    </row>
    <row r="16301" spans="1:6" x14ac:dyDescent="0.25">
      <c r="A16301" t="str">
        <f>"200008530"</f>
        <v>200008530</v>
      </c>
      <c r="B16301" t="str">
        <f>"1821355421"</f>
        <v>1821355421</v>
      </c>
      <c r="C16301" t="str">
        <f>"207V00000X"</f>
        <v>207V00000X</v>
      </c>
      <c r="D16301" t="str">
        <f>"SHAW                     ARIE         C           "</f>
        <v xml:space="preserve">SHAW                     ARIE         C           </v>
      </c>
      <c r="E16301" t="str">
        <f>"VICKSBURG                 "</f>
        <v xml:space="preserve">VICKSBURG                 </v>
      </c>
      <c r="F16301" t="str">
        <f t="shared" si="413"/>
        <v>MS</v>
      </c>
    </row>
    <row r="16302" spans="1:6" x14ac:dyDescent="0.25">
      <c r="A16302" t="str">
        <f>"200008549"</f>
        <v>200008549</v>
      </c>
      <c r="B16302" t="str">
        <f>"1275769796"</f>
        <v>1275769796</v>
      </c>
      <c r="C16302" t="str">
        <f>"363L00000X"</f>
        <v>363L00000X</v>
      </c>
      <c r="D16302" t="str">
        <f>"JONES                    KOBI                     "</f>
        <v xml:space="preserve">JONES                    KOBI                     </v>
      </c>
      <c r="E16302" t="str">
        <f>"FLORA                     "</f>
        <v xml:space="preserve">FLORA                     </v>
      </c>
      <c r="F16302" t="str">
        <f t="shared" si="413"/>
        <v>MS</v>
      </c>
    </row>
    <row r="16303" spans="1:6" x14ac:dyDescent="0.25">
      <c r="A16303" t="str">
        <f>"200008553"</f>
        <v>200008553</v>
      </c>
      <c r="B16303" t="str">
        <f>"1346743192"</f>
        <v>1346743192</v>
      </c>
      <c r="C16303" t="str">
        <f>"207R00000X"</f>
        <v>207R00000X</v>
      </c>
      <c r="D16303" t="str">
        <f>"CRAIG                    EMMA         C           "</f>
        <v xml:space="preserve">CRAIG                    EMMA         C           </v>
      </c>
      <c r="E16303" t="str">
        <f>"GULFPORT                  "</f>
        <v xml:space="preserve">GULFPORT                  </v>
      </c>
      <c r="F16303" t="str">
        <f t="shared" si="413"/>
        <v>MS</v>
      </c>
    </row>
    <row r="16304" spans="1:6" x14ac:dyDescent="0.25">
      <c r="A16304" t="str">
        <f>"200008597"</f>
        <v>200008597</v>
      </c>
      <c r="B16304" t="str">
        <f>"1962822692"</f>
        <v>1962822692</v>
      </c>
      <c r="C16304" t="str">
        <f>"208600000X"</f>
        <v>208600000X</v>
      </c>
      <c r="D16304" t="str">
        <f>"DESHAZO                  CATHERINE                "</f>
        <v xml:space="preserve">DESHAZO                  CATHERINE                </v>
      </c>
      <c r="E16304" t="str">
        <f>"OLIVE BRANCH              "</f>
        <v xml:space="preserve">OLIVE BRANCH              </v>
      </c>
      <c r="F16304" t="str">
        <f t="shared" si="413"/>
        <v>MS</v>
      </c>
    </row>
    <row r="16305" spans="1:6" x14ac:dyDescent="0.25">
      <c r="A16305" t="str">
        <f>"200008609"</f>
        <v>200008609</v>
      </c>
      <c r="B16305" t="str">
        <f>"1306221122"</f>
        <v>1306221122</v>
      </c>
      <c r="C16305" t="str">
        <f>"207Q00000X"</f>
        <v>207Q00000X</v>
      </c>
      <c r="D16305" t="str">
        <f>"CRASTO                   RHYS                     "</f>
        <v xml:space="preserve">CRASTO                   RHYS                     </v>
      </c>
      <c r="E16305" t="str">
        <f>"VICKSBURG                 "</f>
        <v xml:space="preserve">VICKSBURG                 </v>
      </c>
      <c r="F16305" t="str">
        <f t="shared" si="413"/>
        <v>MS</v>
      </c>
    </row>
    <row r="16306" spans="1:6" x14ac:dyDescent="0.25">
      <c r="A16306" t="str">
        <f>"200008628"</f>
        <v>200008628</v>
      </c>
      <c r="B16306" t="str">
        <f>"1194598763"</f>
        <v>1194598763</v>
      </c>
      <c r="C16306" t="str">
        <f>"363L00000X"</f>
        <v>363L00000X</v>
      </c>
      <c r="D16306" t="str">
        <f>"HICKS                    LAURYN                   "</f>
        <v xml:space="preserve">HICKS                    LAURYN                   </v>
      </c>
      <c r="E16306" t="str">
        <f>"MOSELLE                   "</f>
        <v xml:space="preserve">MOSELLE                   </v>
      </c>
      <c r="F16306" t="str">
        <f t="shared" si="413"/>
        <v>MS</v>
      </c>
    </row>
    <row r="16307" spans="1:6" x14ac:dyDescent="0.25">
      <c r="A16307" t="str">
        <f>"200008631"</f>
        <v>200008631</v>
      </c>
      <c r="B16307" t="str">
        <f>"1659059798"</f>
        <v>1659059798</v>
      </c>
      <c r="C16307" t="str">
        <f>"363L00000X"</f>
        <v>363L00000X</v>
      </c>
      <c r="D16307" t="str">
        <f>"MCALLISTER               CARELENE                 "</f>
        <v xml:space="preserve">MCALLISTER               CARELENE                 </v>
      </c>
      <c r="E16307" t="str">
        <f>"SOUTHAVEN                 "</f>
        <v xml:space="preserve">SOUTHAVEN                 </v>
      </c>
      <c r="F16307" t="str">
        <f t="shared" si="413"/>
        <v>MS</v>
      </c>
    </row>
    <row r="16308" spans="1:6" x14ac:dyDescent="0.25">
      <c r="A16308" t="str">
        <f>"200008635"</f>
        <v>200008635</v>
      </c>
      <c r="B16308" t="str">
        <f>"1427821313"</f>
        <v>1427821313</v>
      </c>
      <c r="C16308" t="str">
        <f>"152W00000X"</f>
        <v>152W00000X</v>
      </c>
      <c r="D16308" t="str">
        <f>"HOMETOWN EYECARE                                  "</f>
        <v xml:space="preserve">HOMETOWN EYECARE                                  </v>
      </c>
      <c r="E16308" t="str">
        <f>"CLARKSDALE                "</f>
        <v xml:space="preserve">CLARKSDALE                </v>
      </c>
      <c r="F16308" t="str">
        <f t="shared" si="413"/>
        <v>MS</v>
      </c>
    </row>
    <row r="16309" spans="1:6" x14ac:dyDescent="0.25">
      <c r="A16309" t="str">
        <f>"200008640"</f>
        <v>200008640</v>
      </c>
      <c r="B16309" t="str">
        <f>"1801170287"</f>
        <v>1801170287</v>
      </c>
      <c r="C16309" t="str">
        <f>"152W00000X"</f>
        <v>152W00000X</v>
      </c>
      <c r="D16309" t="str">
        <f>"BELLIPANNI EYE CLINIC PLLC                        "</f>
        <v xml:space="preserve">BELLIPANNI EYE CLINIC PLLC                        </v>
      </c>
      <c r="E16309" t="str">
        <f>"YAZOO CITY                "</f>
        <v xml:space="preserve">YAZOO CITY                </v>
      </c>
      <c r="F16309" t="str">
        <f t="shared" si="413"/>
        <v>MS</v>
      </c>
    </row>
    <row r="16310" spans="1:6" x14ac:dyDescent="0.25">
      <c r="A16310" t="str">
        <f>"200008643"</f>
        <v>200008643</v>
      </c>
      <c r="B16310" t="str">
        <f>"1972794014"</f>
        <v>1972794014</v>
      </c>
      <c r="C16310" t="str">
        <f>"2084N0400X"</f>
        <v>2084N0400X</v>
      </c>
      <c r="D16310" t="str">
        <f>"TURK                     ZULFIQAR                 "</f>
        <v xml:space="preserve">TURK                     ZULFIQAR                 </v>
      </c>
      <c r="E16310" t="str">
        <f>"BRANDON                   "</f>
        <v xml:space="preserve">BRANDON                   </v>
      </c>
      <c r="F16310" t="str">
        <f t="shared" si="413"/>
        <v>MS</v>
      </c>
    </row>
    <row r="16311" spans="1:6" x14ac:dyDescent="0.25">
      <c r="A16311" t="str">
        <f>"200008655"</f>
        <v>200008655</v>
      </c>
      <c r="B16311" t="str">
        <f>"1659363067"</f>
        <v>1659363067</v>
      </c>
      <c r="C16311" t="str">
        <f>"2085R0001X"</f>
        <v>2085R0001X</v>
      </c>
      <c r="D16311" t="str">
        <f>"COTTER                   GREGORY                  "</f>
        <v xml:space="preserve">COTTER                   GREGORY                  </v>
      </c>
      <c r="E16311" t="str">
        <f>"NATCHEZ                   "</f>
        <v xml:space="preserve">NATCHEZ                   </v>
      </c>
      <c r="F16311" t="str">
        <f t="shared" si="413"/>
        <v>MS</v>
      </c>
    </row>
    <row r="16312" spans="1:6" x14ac:dyDescent="0.25">
      <c r="A16312" t="str">
        <f>"200008657"</f>
        <v>200008657</v>
      </c>
      <c r="B16312" t="str">
        <f>"1841610961"</f>
        <v>1841610961</v>
      </c>
      <c r="C16312" t="str">
        <f>"207V00000X"</f>
        <v>207V00000X</v>
      </c>
      <c r="D16312" t="str">
        <f>"HASE                     NAOMASA                  "</f>
        <v xml:space="preserve">HASE                     NAOMASA                  </v>
      </c>
      <c r="E16312" t="str">
        <f>"GRENADA                   "</f>
        <v xml:space="preserve">GRENADA                   </v>
      </c>
      <c r="F16312" t="str">
        <f t="shared" si="413"/>
        <v>MS</v>
      </c>
    </row>
    <row r="16313" spans="1:6" x14ac:dyDescent="0.25">
      <c r="A16313" t="str">
        <f>"200008661"</f>
        <v>200008661</v>
      </c>
      <c r="B16313" t="str">
        <f>"1962280263"</f>
        <v>1962280263</v>
      </c>
      <c r="C16313" t="str">
        <f>"363L00000X"</f>
        <v>363L00000X</v>
      </c>
      <c r="D16313" t="str">
        <f>"LANDRUM                  KATRINA      M           "</f>
        <v xml:space="preserve">LANDRUM                  KATRINA      M           </v>
      </c>
      <c r="E16313" t="str">
        <f>"MERIDIAN                  "</f>
        <v xml:space="preserve">MERIDIAN                  </v>
      </c>
      <c r="F16313" t="str">
        <f t="shared" si="413"/>
        <v>MS</v>
      </c>
    </row>
    <row r="16314" spans="1:6" x14ac:dyDescent="0.25">
      <c r="A16314" t="str">
        <f>"200008665"</f>
        <v>200008665</v>
      </c>
      <c r="B16314" t="str">
        <f>"1770977829"</f>
        <v>1770977829</v>
      </c>
      <c r="C16314" t="str">
        <f>"207R00000X"</f>
        <v>207R00000X</v>
      </c>
      <c r="D16314" t="str">
        <f>"MOHIUDDIN                ARIANNA                  "</f>
        <v xml:space="preserve">MOHIUDDIN                ARIANNA                  </v>
      </c>
      <c r="E16314" t="str">
        <f>"OCEAN SPRINGS             "</f>
        <v xml:space="preserve">OCEAN SPRINGS             </v>
      </c>
      <c r="F16314" t="str">
        <f t="shared" si="413"/>
        <v>MS</v>
      </c>
    </row>
    <row r="16315" spans="1:6" x14ac:dyDescent="0.25">
      <c r="A16315" t="str">
        <f>"200008668"</f>
        <v>200008668</v>
      </c>
      <c r="B16315" t="str">
        <f>"1114016144"</f>
        <v>1114016144</v>
      </c>
      <c r="C16315" t="str">
        <f>"207V00000X"</f>
        <v>207V00000X</v>
      </c>
      <c r="D16315" t="str">
        <f>"BATEN                    JOHN                     "</f>
        <v xml:space="preserve">BATEN                    JOHN                     </v>
      </c>
      <c r="E16315" t="str">
        <f>"FLOWOOD                   "</f>
        <v xml:space="preserve">FLOWOOD                   </v>
      </c>
      <c r="F16315" t="str">
        <f t="shared" si="413"/>
        <v>MS</v>
      </c>
    </row>
    <row r="16316" spans="1:6" x14ac:dyDescent="0.25">
      <c r="A16316" t="str">
        <f>"200008692"</f>
        <v>200008692</v>
      </c>
      <c r="B16316" t="str">
        <f>"1124896980"</f>
        <v>1124896980</v>
      </c>
      <c r="C16316" t="str">
        <f>"363L00000X"</f>
        <v>363L00000X</v>
      </c>
      <c r="D16316" t="str">
        <f>"HALL SELF                CALLIE       F           "</f>
        <v xml:space="preserve">HALL SELF                CALLIE       F           </v>
      </c>
      <c r="E16316" t="str">
        <f>"FLOWOOD                   "</f>
        <v xml:space="preserve">FLOWOOD                   </v>
      </c>
      <c r="F16316" t="str">
        <f t="shared" si="413"/>
        <v>MS</v>
      </c>
    </row>
    <row r="16317" spans="1:6" x14ac:dyDescent="0.25">
      <c r="A16317" t="str">
        <f>"200008697"</f>
        <v>200008697</v>
      </c>
      <c r="B16317" t="str">
        <f>"1083231229"</f>
        <v>1083231229</v>
      </c>
      <c r="C16317" t="str">
        <f>"207Q00000X"</f>
        <v>207Q00000X</v>
      </c>
      <c r="D16317" t="str">
        <f>"JENKINS                  JESSICA                  "</f>
        <v xml:space="preserve">JENKINS                  JESSICA                  </v>
      </c>
      <c r="E16317" t="str">
        <f>"RIDGELAND                 "</f>
        <v xml:space="preserve">RIDGELAND                 </v>
      </c>
      <c r="F16317" t="str">
        <f t="shared" si="413"/>
        <v>MS</v>
      </c>
    </row>
    <row r="16318" spans="1:6" x14ac:dyDescent="0.25">
      <c r="A16318" t="str">
        <f>"200008706"</f>
        <v>200008706</v>
      </c>
      <c r="B16318" t="str">
        <f>"1578337465"</f>
        <v>1578337465</v>
      </c>
      <c r="C16318" t="str">
        <f>"363L00000X"</f>
        <v>363L00000X</v>
      </c>
      <c r="D16318" t="str">
        <f>"GOGGINS                  ALANTA                   "</f>
        <v xml:space="preserve">GOGGINS                  ALANTA                   </v>
      </c>
      <c r="E16318" t="str">
        <f>"PONTOTOC                  "</f>
        <v xml:space="preserve">PONTOTOC                  </v>
      </c>
      <c r="F16318" t="str">
        <f t="shared" ref="F16318:F16381" si="414">"MS"</f>
        <v>MS</v>
      </c>
    </row>
    <row r="16319" spans="1:6" x14ac:dyDescent="0.25">
      <c r="A16319" t="str">
        <f>"200008713"</f>
        <v>200008713</v>
      </c>
      <c r="B16319" t="str">
        <f>"1528531985"</f>
        <v>1528531985</v>
      </c>
      <c r="C16319" t="str">
        <f>"363LP0808X"</f>
        <v>363LP0808X</v>
      </c>
      <c r="D16319" t="str">
        <f>"DOTY                     RYANE                    "</f>
        <v xml:space="preserve">DOTY                     RYANE                    </v>
      </c>
      <c r="E16319" t="str">
        <f>"COLUMBUS                  "</f>
        <v xml:space="preserve">COLUMBUS                  </v>
      </c>
      <c r="F16319" t="str">
        <f t="shared" si="414"/>
        <v>MS</v>
      </c>
    </row>
    <row r="16320" spans="1:6" x14ac:dyDescent="0.25">
      <c r="A16320" t="str">
        <f>"200008716"</f>
        <v>200008716</v>
      </c>
      <c r="B16320" t="str">
        <f>"1215615943"</f>
        <v>1215615943</v>
      </c>
      <c r="C16320" t="str">
        <f>"363L00000X"</f>
        <v>363L00000X</v>
      </c>
      <c r="D16320" t="str">
        <f>"MCWILLIAMS               LATIAH                   "</f>
        <v xml:space="preserve">MCWILLIAMS               LATIAH                   </v>
      </c>
      <c r="E16320" t="str">
        <f>"RIDGELAND                 "</f>
        <v xml:space="preserve">RIDGELAND                 </v>
      </c>
      <c r="F16320" t="str">
        <f t="shared" si="414"/>
        <v>MS</v>
      </c>
    </row>
    <row r="16321" spans="1:6" x14ac:dyDescent="0.25">
      <c r="A16321" t="str">
        <f>"200008721"</f>
        <v>200008721</v>
      </c>
      <c r="B16321" t="str">
        <f>"1497775522"</f>
        <v>1497775522</v>
      </c>
      <c r="C16321" t="str">
        <f>"2084N0400X"</f>
        <v>2084N0400X</v>
      </c>
      <c r="D16321" t="str">
        <f>"BAKER                    GREGORY                  "</f>
        <v xml:space="preserve">BAKER                    GREGORY                  </v>
      </c>
      <c r="E16321" t="str">
        <f>"CANTON                    "</f>
        <v xml:space="preserve">CANTON                    </v>
      </c>
      <c r="F16321" t="str">
        <f t="shared" si="414"/>
        <v>MS</v>
      </c>
    </row>
    <row r="16322" spans="1:6" x14ac:dyDescent="0.25">
      <c r="A16322" t="str">
        <f>"200008742"</f>
        <v>200008742</v>
      </c>
      <c r="B16322" t="str">
        <f>"1093762908"</f>
        <v>1093762908</v>
      </c>
      <c r="C16322" t="str">
        <f>"208600000X"</f>
        <v>208600000X</v>
      </c>
      <c r="D16322" t="str">
        <f>"ELLIS                    CLYDE                    "</f>
        <v xml:space="preserve">ELLIS                    CLYDE                    </v>
      </c>
      <c r="E16322" t="str">
        <f>"VICKSBURG                 "</f>
        <v xml:space="preserve">VICKSBURG                 </v>
      </c>
      <c r="F16322" t="str">
        <f t="shared" si="414"/>
        <v>MS</v>
      </c>
    </row>
    <row r="16323" spans="1:6" x14ac:dyDescent="0.25">
      <c r="A16323" t="str">
        <f>"200008750"</f>
        <v>200008750</v>
      </c>
      <c r="B16323" t="str">
        <f>"1386361871"</f>
        <v>1386361871</v>
      </c>
      <c r="C16323" t="str">
        <f>"363L00000X"</f>
        <v>363L00000X</v>
      </c>
      <c r="D16323" t="str">
        <f>"COPPOLA                  MARY                     "</f>
        <v xml:space="preserve">COPPOLA                  MARY                     </v>
      </c>
      <c r="E16323" t="str">
        <f>"FLOWOOD                   "</f>
        <v xml:space="preserve">FLOWOOD                   </v>
      </c>
      <c r="F16323" t="str">
        <f t="shared" si="414"/>
        <v>MS</v>
      </c>
    </row>
    <row r="16324" spans="1:6" x14ac:dyDescent="0.25">
      <c r="A16324" t="str">
        <f>"200008758"</f>
        <v>200008758</v>
      </c>
      <c r="B16324" t="str">
        <f>"1639857055"</f>
        <v>1639857055</v>
      </c>
      <c r="C16324" t="str">
        <f>"152W00000X"</f>
        <v>152W00000X</v>
      </c>
      <c r="D16324" t="str">
        <f>"MATHIS                   MORGAN                   "</f>
        <v xml:space="preserve">MATHIS                   MORGAN                   </v>
      </c>
      <c r="E16324" t="str">
        <f>"CORINTH                   "</f>
        <v xml:space="preserve">CORINTH                   </v>
      </c>
      <c r="F16324" t="str">
        <f t="shared" si="414"/>
        <v>MS</v>
      </c>
    </row>
    <row r="16325" spans="1:6" x14ac:dyDescent="0.25">
      <c r="A16325" t="str">
        <f>"200008759"</f>
        <v>200008759</v>
      </c>
      <c r="B16325" t="str">
        <f>"1518746577"</f>
        <v>1518746577</v>
      </c>
      <c r="C16325" t="str">
        <f>"363L00000X"</f>
        <v>363L00000X</v>
      </c>
      <c r="D16325" t="str">
        <f>"HOLLIS                   HEATHER      D           "</f>
        <v xml:space="preserve">HOLLIS                   HEATHER      D           </v>
      </c>
      <c r="E16325" t="str">
        <f>"STARKVILLE                "</f>
        <v xml:space="preserve">STARKVILLE                </v>
      </c>
      <c r="F16325" t="str">
        <f t="shared" si="414"/>
        <v>MS</v>
      </c>
    </row>
    <row r="16326" spans="1:6" x14ac:dyDescent="0.25">
      <c r="A16326" t="str">
        <f>"200008764"</f>
        <v>200008764</v>
      </c>
      <c r="B16326" t="str">
        <f>"1942930102"</f>
        <v>1942930102</v>
      </c>
      <c r="C16326" t="str">
        <f>"363L00000X"</f>
        <v>363L00000X</v>
      </c>
      <c r="D16326" t="str">
        <f>"VOYLES                   AMANDA                   "</f>
        <v xml:space="preserve">VOYLES                   AMANDA                   </v>
      </c>
      <c r="E16326" t="str">
        <f>"VICKSBURG                 "</f>
        <v xml:space="preserve">VICKSBURG                 </v>
      </c>
      <c r="F16326" t="str">
        <f t="shared" si="414"/>
        <v>MS</v>
      </c>
    </row>
    <row r="16327" spans="1:6" x14ac:dyDescent="0.25">
      <c r="A16327" t="str">
        <f>"200008781"</f>
        <v>200008781</v>
      </c>
      <c r="B16327" t="str">
        <f>"1164126132"</f>
        <v>1164126132</v>
      </c>
      <c r="C16327" t="str">
        <f>"261QR1300X"</f>
        <v>261QR1300X</v>
      </c>
      <c r="D16327" t="str">
        <f>"CHILDREN'S INTERNATIONAL MEDICAL GROUP            "</f>
        <v xml:space="preserve">CHILDREN'S INTERNATIONAL MEDICAL GROUP            </v>
      </c>
      <c r="E16327" t="str">
        <f>"COLUMBIA                  "</f>
        <v xml:space="preserve">COLUMBIA                  </v>
      </c>
      <c r="F16327" t="str">
        <f t="shared" si="414"/>
        <v>MS</v>
      </c>
    </row>
    <row r="16328" spans="1:6" x14ac:dyDescent="0.25">
      <c r="A16328" t="str">
        <f>"200008783"</f>
        <v>200008783</v>
      </c>
      <c r="B16328" t="str">
        <f>"1558049767"</f>
        <v>1558049767</v>
      </c>
      <c r="C16328" t="str">
        <f>"363L00000X"</f>
        <v>363L00000X</v>
      </c>
      <c r="D16328" t="str">
        <f>"LOWERY                   AMBER        D           "</f>
        <v xml:space="preserve">LOWERY                   AMBER        D           </v>
      </c>
      <c r="E16328" t="str">
        <f>"MERIDIAN                  "</f>
        <v xml:space="preserve">MERIDIAN                  </v>
      </c>
      <c r="F16328" t="str">
        <f t="shared" si="414"/>
        <v>MS</v>
      </c>
    </row>
    <row r="16329" spans="1:6" x14ac:dyDescent="0.25">
      <c r="A16329" t="str">
        <f>"200008784"</f>
        <v>200008784</v>
      </c>
      <c r="B16329" t="str">
        <f>"1689354417"</f>
        <v>1689354417</v>
      </c>
      <c r="C16329" t="str">
        <f>"152W00000X"</f>
        <v>152W00000X</v>
      </c>
      <c r="D16329" t="str">
        <f>"O'DANIEL                 TAYLOR       E           "</f>
        <v xml:space="preserve">O'DANIEL                 TAYLOR       E           </v>
      </c>
      <c r="E16329" t="str">
        <f>"HOUSTON                   "</f>
        <v xml:space="preserve">HOUSTON                   </v>
      </c>
      <c r="F16329" t="str">
        <f t="shared" si="414"/>
        <v>MS</v>
      </c>
    </row>
    <row r="16330" spans="1:6" x14ac:dyDescent="0.25">
      <c r="A16330" t="str">
        <f>"200008789"</f>
        <v>200008789</v>
      </c>
      <c r="B16330" t="str">
        <f>"1881151793"</f>
        <v>1881151793</v>
      </c>
      <c r="C16330" t="str">
        <f>"367500000X"</f>
        <v>367500000X</v>
      </c>
      <c r="D16330" t="str">
        <f>"MORRIS                   MARISSA                  "</f>
        <v xml:space="preserve">MORRIS                   MARISSA                  </v>
      </c>
      <c r="E16330" t="str">
        <f>"OLIVE BRANCH              "</f>
        <v xml:space="preserve">OLIVE BRANCH              </v>
      </c>
      <c r="F16330" t="str">
        <f t="shared" si="414"/>
        <v>MS</v>
      </c>
    </row>
    <row r="16331" spans="1:6" x14ac:dyDescent="0.25">
      <c r="A16331" t="str">
        <f>"200008800"</f>
        <v>200008800</v>
      </c>
      <c r="B16331" t="str">
        <f>"1942987664"</f>
        <v>1942987664</v>
      </c>
      <c r="C16331" t="str">
        <f>"363L00000X"</f>
        <v>363L00000X</v>
      </c>
      <c r="D16331" t="str">
        <f>"KELLY                    DUSTIN                   "</f>
        <v xml:space="preserve">KELLY                    DUSTIN                   </v>
      </c>
      <c r="E16331" t="str">
        <f>"GRENADA                   "</f>
        <v xml:space="preserve">GRENADA                   </v>
      </c>
      <c r="F16331" t="str">
        <f t="shared" si="414"/>
        <v>MS</v>
      </c>
    </row>
    <row r="16332" spans="1:6" x14ac:dyDescent="0.25">
      <c r="A16332" t="str">
        <f>"200008801"</f>
        <v>200008801</v>
      </c>
      <c r="B16332" t="str">
        <f>"1851692420"</f>
        <v>1851692420</v>
      </c>
      <c r="C16332" t="str">
        <f>"207R00000X"</f>
        <v>207R00000X</v>
      </c>
      <c r="D16332" t="str">
        <f>"NDZENGUE                 ALBERT                   "</f>
        <v xml:space="preserve">NDZENGUE                 ALBERT                   </v>
      </c>
      <c r="E16332" t="str">
        <f>"GREENWOOD                 "</f>
        <v xml:space="preserve">GREENWOOD                 </v>
      </c>
      <c r="F16332" t="str">
        <f t="shared" si="414"/>
        <v>MS</v>
      </c>
    </row>
    <row r="16333" spans="1:6" x14ac:dyDescent="0.25">
      <c r="A16333" t="str">
        <f>"200008803"</f>
        <v>200008803</v>
      </c>
      <c r="B16333" t="str">
        <f>"1760669808"</f>
        <v>1760669808</v>
      </c>
      <c r="C16333" t="str">
        <f>"2088P0231X"</f>
        <v>2088P0231X</v>
      </c>
      <c r="D16333" t="str">
        <f>"GLEASON                  JOSEPH       M           "</f>
        <v xml:space="preserve">GLEASON                  JOSEPH       M           </v>
      </c>
      <c r="E16333" t="str">
        <f>"SOUTHAVEN                 "</f>
        <v xml:space="preserve">SOUTHAVEN                 </v>
      </c>
      <c r="F16333" t="str">
        <f t="shared" si="414"/>
        <v>MS</v>
      </c>
    </row>
    <row r="16334" spans="1:6" x14ac:dyDescent="0.25">
      <c r="A16334" t="str">
        <f>"200008807"</f>
        <v>200008807</v>
      </c>
      <c r="B16334" t="str">
        <f>"1609809243"</f>
        <v>1609809243</v>
      </c>
      <c r="C16334" t="str">
        <f>"363L00000X"</f>
        <v>363L00000X</v>
      </c>
      <c r="D16334" t="str">
        <f>"STEWARD                  LAURIE                   "</f>
        <v xml:space="preserve">STEWARD                  LAURIE                   </v>
      </c>
      <c r="E16334" t="str">
        <f>"FLOWOOD                   "</f>
        <v xml:space="preserve">FLOWOOD                   </v>
      </c>
      <c r="F16334" t="str">
        <f t="shared" si="414"/>
        <v>MS</v>
      </c>
    </row>
    <row r="16335" spans="1:6" x14ac:dyDescent="0.25">
      <c r="A16335" t="str">
        <f>"200008817"</f>
        <v>200008817</v>
      </c>
      <c r="B16335" t="str">
        <f>"1578248928"</f>
        <v>1578248928</v>
      </c>
      <c r="C16335" t="str">
        <f>"363LP0808X"</f>
        <v>363LP0808X</v>
      </c>
      <c r="D16335" t="str">
        <f>"BINNS                    TABIA                    "</f>
        <v xml:space="preserve">BINNS                    TABIA                    </v>
      </c>
      <c r="E16335" t="str">
        <f>"OCEAN SPRINGS             "</f>
        <v xml:space="preserve">OCEAN SPRINGS             </v>
      </c>
      <c r="F16335" t="str">
        <f t="shared" si="414"/>
        <v>MS</v>
      </c>
    </row>
    <row r="16336" spans="1:6" x14ac:dyDescent="0.25">
      <c r="A16336" t="str">
        <f>"200008819"</f>
        <v>200008819</v>
      </c>
      <c r="B16336" t="str">
        <f>"1831439595"</f>
        <v>1831439595</v>
      </c>
      <c r="C16336" t="str">
        <f>"207Q00000X"</f>
        <v>207Q00000X</v>
      </c>
      <c r="D16336" t="str">
        <f>"GUNTURI                  RATIKA                   "</f>
        <v xml:space="preserve">GUNTURI                  RATIKA                   </v>
      </c>
      <c r="E16336" t="str">
        <f>"SOUTHAVEN                 "</f>
        <v xml:space="preserve">SOUTHAVEN                 </v>
      </c>
      <c r="F16336" t="str">
        <f t="shared" si="414"/>
        <v>MS</v>
      </c>
    </row>
    <row r="16337" spans="1:6" x14ac:dyDescent="0.25">
      <c r="A16337" t="str">
        <f>"200008823"</f>
        <v>200008823</v>
      </c>
      <c r="B16337" t="str">
        <f>"1609647494"</f>
        <v>1609647494</v>
      </c>
      <c r="C16337" t="str">
        <f>"363L00000X"</f>
        <v>363L00000X</v>
      </c>
      <c r="D16337" t="str">
        <f>"PITTMAN                  HANNAH                   "</f>
        <v xml:space="preserve">PITTMAN                  HANNAH                   </v>
      </c>
      <c r="E16337" t="str">
        <f>"OXFORD                    "</f>
        <v xml:space="preserve">OXFORD                    </v>
      </c>
      <c r="F16337" t="str">
        <f t="shared" si="414"/>
        <v>MS</v>
      </c>
    </row>
    <row r="16338" spans="1:6" x14ac:dyDescent="0.25">
      <c r="A16338" t="str">
        <f>"200008828"</f>
        <v>200008828</v>
      </c>
      <c r="B16338" t="str">
        <f>"1952698532"</f>
        <v>1952698532</v>
      </c>
      <c r="C16338" t="str">
        <f>"207RG0100X"</f>
        <v>207RG0100X</v>
      </c>
      <c r="D16338" t="str">
        <f>"JEX                      KELLEN       T           "</f>
        <v xml:space="preserve">JEX                      KELLEN       T           </v>
      </c>
      <c r="E16338" t="str">
        <f>"HATTIESBURG               "</f>
        <v xml:space="preserve">HATTIESBURG               </v>
      </c>
      <c r="F16338" t="str">
        <f t="shared" si="414"/>
        <v>MS</v>
      </c>
    </row>
    <row r="16339" spans="1:6" x14ac:dyDescent="0.25">
      <c r="A16339" t="str">
        <f>"200008833"</f>
        <v>200008833</v>
      </c>
      <c r="B16339" t="str">
        <f>"1215604301"</f>
        <v>1215604301</v>
      </c>
      <c r="C16339" t="str">
        <f>"122300000X"</f>
        <v>122300000X</v>
      </c>
      <c r="D16339" t="str">
        <f>"CAMPBELL                 TAYLOR                   "</f>
        <v xml:space="preserve">CAMPBELL                 TAYLOR                   </v>
      </c>
      <c r="E16339" t="str">
        <f>"HAZLEHURST                "</f>
        <v xml:space="preserve">HAZLEHURST                </v>
      </c>
      <c r="F16339" t="str">
        <f t="shared" si="414"/>
        <v>MS</v>
      </c>
    </row>
    <row r="16340" spans="1:6" x14ac:dyDescent="0.25">
      <c r="A16340" t="str">
        <f>"200008839"</f>
        <v>200008839</v>
      </c>
      <c r="B16340" t="str">
        <f>"1093415770"</f>
        <v>1093415770</v>
      </c>
      <c r="C16340" t="str">
        <f>"261QM1300X"</f>
        <v>261QM1300X</v>
      </c>
      <c r="D16340" t="str">
        <f>"CONVERGE INC                                      "</f>
        <v xml:space="preserve">CONVERGE INC                                      </v>
      </c>
      <c r="E16340" t="str">
        <f>"RIDGELAND                 "</f>
        <v xml:space="preserve">RIDGELAND                 </v>
      </c>
      <c r="F16340" t="str">
        <f t="shared" si="414"/>
        <v>MS</v>
      </c>
    </row>
    <row r="16341" spans="1:6" x14ac:dyDescent="0.25">
      <c r="A16341" t="str">
        <f>"200008840"</f>
        <v>200008840</v>
      </c>
      <c r="B16341" t="str">
        <f>"1063280923"</f>
        <v>1063280923</v>
      </c>
      <c r="C16341" t="str">
        <f>"363L00000X"</f>
        <v>363L00000X</v>
      </c>
      <c r="D16341" t="str">
        <f>"GRONER                   REGINA                   "</f>
        <v xml:space="preserve">GRONER                   REGINA                   </v>
      </c>
      <c r="E16341" t="str">
        <f>"CLARKSDALE                "</f>
        <v xml:space="preserve">CLARKSDALE                </v>
      </c>
      <c r="F16341" t="str">
        <f t="shared" si="414"/>
        <v>MS</v>
      </c>
    </row>
    <row r="16342" spans="1:6" x14ac:dyDescent="0.25">
      <c r="A16342" t="str">
        <f>"200008842"</f>
        <v>200008842</v>
      </c>
      <c r="B16342" t="str">
        <f>"1104235951"</f>
        <v>1104235951</v>
      </c>
      <c r="C16342" t="str">
        <f>"261QM0801X"</f>
        <v>261QM0801X</v>
      </c>
      <c r="D16342" t="str">
        <f>"YEATES CONSULTING LLC                             "</f>
        <v xml:space="preserve">YEATES CONSULTING LLC                             </v>
      </c>
      <c r="E16342" t="str">
        <f>"COLUMBUS                  "</f>
        <v xml:space="preserve">COLUMBUS                  </v>
      </c>
      <c r="F16342" t="str">
        <f t="shared" si="414"/>
        <v>MS</v>
      </c>
    </row>
    <row r="16343" spans="1:6" x14ac:dyDescent="0.25">
      <c r="A16343" t="str">
        <f>"200008857"</f>
        <v>200008857</v>
      </c>
      <c r="B16343" t="str">
        <f>"1538383021"</f>
        <v>1538383021</v>
      </c>
      <c r="C16343" t="str">
        <f>"208000000X"</f>
        <v>208000000X</v>
      </c>
      <c r="D16343" t="str">
        <f>"BROWN LOBBINS            MONICA                   "</f>
        <v xml:space="preserve">BROWN LOBBINS            MONICA                   </v>
      </c>
      <c r="E16343" t="str">
        <f>"JACKSON                   "</f>
        <v xml:space="preserve">JACKSON                   </v>
      </c>
      <c r="F16343" t="str">
        <f t="shared" si="414"/>
        <v>MS</v>
      </c>
    </row>
    <row r="16344" spans="1:6" x14ac:dyDescent="0.25">
      <c r="A16344" t="str">
        <f>"200008858"</f>
        <v>200008858</v>
      </c>
      <c r="B16344" t="str">
        <f>"1740855774"</f>
        <v>1740855774</v>
      </c>
      <c r="C16344" t="str">
        <f>"363L00000X"</f>
        <v>363L00000X</v>
      </c>
      <c r="D16344" t="str">
        <f>"COX                      CAMERON                  "</f>
        <v xml:space="preserve">COX                      CAMERON                  </v>
      </c>
      <c r="E16344" t="str">
        <f>"JACKSON                   "</f>
        <v xml:space="preserve">JACKSON                   </v>
      </c>
      <c r="F16344" t="str">
        <f t="shared" si="414"/>
        <v>MS</v>
      </c>
    </row>
    <row r="16345" spans="1:6" x14ac:dyDescent="0.25">
      <c r="A16345" t="str">
        <f>"200008863"</f>
        <v>200008863</v>
      </c>
      <c r="B16345" t="str">
        <f>"1942207014"</f>
        <v>1942207014</v>
      </c>
      <c r="C16345" t="str">
        <f>"207RN0300X"</f>
        <v>207RN0300X</v>
      </c>
      <c r="D16345" t="str">
        <f>"PITTMAN                  TRACY                    "</f>
        <v xml:space="preserve">PITTMAN                  TRACY                    </v>
      </c>
      <c r="E16345" t="str">
        <f>"PASCAGOULA                "</f>
        <v xml:space="preserve">PASCAGOULA                </v>
      </c>
      <c r="F16345" t="str">
        <f t="shared" si="414"/>
        <v>MS</v>
      </c>
    </row>
    <row r="16346" spans="1:6" x14ac:dyDescent="0.25">
      <c r="A16346" t="str">
        <f>"200008865"</f>
        <v>200008865</v>
      </c>
      <c r="B16346" t="str">
        <f>"1689672156"</f>
        <v>1689672156</v>
      </c>
      <c r="C16346" t="str">
        <f>"207RN0300X"</f>
        <v>207RN0300X</v>
      </c>
      <c r="D16346" t="str">
        <f>"BRUNT                    JOEL                     "</f>
        <v xml:space="preserve">BRUNT                    JOEL                     </v>
      </c>
      <c r="E16346" t="str">
        <f>"OCEAN SPRINGS             "</f>
        <v xml:space="preserve">OCEAN SPRINGS             </v>
      </c>
      <c r="F16346" t="str">
        <f t="shared" si="414"/>
        <v>MS</v>
      </c>
    </row>
    <row r="16347" spans="1:6" x14ac:dyDescent="0.25">
      <c r="A16347" t="str">
        <f>"200008866"</f>
        <v>200008866</v>
      </c>
      <c r="B16347" t="str">
        <f>"1689672156"</f>
        <v>1689672156</v>
      </c>
      <c r="C16347" t="str">
        <f>"207RN0300X"</f>
        <v>207RN0300X</v>
      </c>
      <c r="D16347" t="str">
        <f>"BRUNT                    JOEL                     "</f>
        <v xml:space="preserve">BRUNT                    JOEL                     </v>
      </c>
      <c r="E16347" t="str">
        <f>"PASCAGOULA                "</f>
        <v xml:space="preserve">PASCAGOULA                </v>
      </c>
      <c r="F16347" t="str">
        <f t="shared" si="414"/>
        <v>MS</v>
      </c>
    </row>
    <row r="16348" spans="1:6" x14ac:dyDescent="0.25">
      <c r="A16348" t="str">
        <f>"200008882"</f>
        <v>200008882</v>
      </c>
      <c r="B16348" t="str">
        <f>"1235991852"</f>
        <v>1235991852</v>
      </c>
      <c r="C16348" t="str">
        <f>"367500000X"</f>
        <v>367500000X</v>
      </c>
      <c r="D16348" t="str">
        <f>"HANDSHAW                 ANESHA       T           "</f>
        <v xml:space="preserve">HANDSHAW                 ANESHA       T           </v>
      </c>
      <c r="E16348" t="str">
        <f>"MCCOMB                    "</f>
        <v xml:space="preserve">MCCOMB                    </v>
      </c>
      <c r="F16348" t="str">
        <f t="shared" si="414"/>
        <v>MS</v>
      </c>
    </row>
    <row r="16349" spans="1:6" x14ac:dyDescent="0.25">
      <c r="A16349" t="str">
        <f>"200008883"</f>
        <v>200008883</v>
      </c>
      <c r="B16349" t="str">
        <f>"1245639939"</f>
        <v>1245639939</v>
      </c>
      <c r="C16349" t="str">
        <f>"207RN0300X"</f>
        <v>207RN0300X</v>
      </c>
      <c r="D16349" t="str">
        <f>"SHIVAROV                 HRISTO                   "</f>
        <v xml:space="preserve">SHIVAROV                 HRISTO                   </v>
      </c>
      <c r="E16349" t="str">
        <f>"PASCAGOULA                "</f>
        <v xml:space="preserve">PASCAGOULA                </v>
      </c>
      <c r="F16349" t="str">
        <f t="shared" si="414"/>
        <v>MS</v>
      </c>
    </row>
    <row r="16350" spans="1:6" x14ac:dyDescent="0.25">
      <c r="A16350" t="str">
        <f>"200008884"</f>
        <v>200008884</v>
      </c>
      <c r="B16350" t="str">
        <f>"1629778147"</f>
        <v>1629778147</v>
      </c>
      <c r="C16350" t="str">
        <f>"261QR1300X"</f>
        <v>261QR1300X</v>
      </c>
      <c r="D16350" t="str">
        <f>"CHILDREN'S INTERNATIONAL MEDICAL GROUP            "</f>
        <v xml:space="preserve">CHILDREN'S INTERNATIONAL MEDICAL GROUP            </v>
      </c>
      <c r="E16350" t="str">
        <f>"POPLARVILLE               "</f>
        <v xml:space="preserve">POPLARVILLE               </v>
      </c>
      <c r="F16350" t="str">
        <f t="shared" si="414"/>
        <v>MS</v>
      </c>
    </row>
    <row r="16351" spans="1:6" x14ac:dyDescent="0.25">
      <c r="A16351" t="str">
        <f>"200008885"</f>
        <v>200008885</v>
      </c>
      <c r="B16351" t="str">
        <f>"1588605463"</f>
        <v>1588605463</v>
      </c>
      <c r="C16351" t="str">
        <f>"2084P0800X"</f>
        <v>2084P0800X</v>
      </c>
      <c r="D16351" t="str">
        <f>"RACK                     SARAH                    "</f>
        <v xml:space="preserve">RACK                     SARAH                    </v>
      </c>
      <c r="E16351" t="str">
        <f>"LELAND                    "</f>
        <v xml:space="preserve">LELAND                    </v>
      </c>
      <c r="F16351" t="str">
        <f t="shared" si="414"/>
        <v>MS</v>
      </c>
    </row>
    <row r="16352" spans="1:6" x14ac:dyDescent="0.25">
      <c r="A16352" t="str">
        <f>"200008886"</f>
        <v>200008886</v>
      </c>
      <c r="B16352" t="str">
        <f>"1669682134"</f>
        <v>1669682134</v>
      </c>
      <c r="C16352" t="str">
        <f>"207RH0003X"</f>
        <v>207RH0003X</v>
      </c>
      <c r="D16352" t="str">
        <f>"VARNER                   LOUIS        M           "</f>
        <v xml:space="preserve">VARNER                   LOUIS        M           </v>
      </c>
      <c r="E16352" t="str">
        <f>"HATTIESBURG               "</f>
        <v xml:space="preserve">HATTIESBURG               </v>
      </c>
      <c r="F16352" t="str">
        <f t="shared" si="414"/>
        <v>MS</v>
      </c>
    </row>
    <row r="16353" spans="1:6" x14ac:dyDescent="0.25">
      <c r="A16353" t="str">
        <f>"200008901"</f>
        <v>200008901</v>
      </c>
      <c r="B16353" t="str">
        <f>"1649058207"</f>
        <v>1649058207</v>
      </c>
      <c r="C16353" t="str">
        <f>"363L00000X"</f>
        <v>363L00000X</v>
      </c>
      <c r="D16353" t="str">
        <f>"EZELL                    BARBARA                  "</f>
        <v xml:space="preserve">EZELL                    BARBARA                  </v>
      </c>
      <c r="E16353" t="str">
        <f>"LOUISVILLE                "</f>
        <v xml:space="preserve">LOUISVILLE                </v>
      </c>
      <c r="F16353" t="str">
        <f t="shared" si="414"/>
        <v>MS</v>
      </c>
    </row>
    <row r="16354" spans="1:6" x14ac:dyDescent="0.25">
      <c r="A16354" t="str">
        <f>"200008902"</f>
        <v>200008902</v>
      </c>
      <c r="B16354" t="str">
        <f>"1093581712"</f>
        <v>1093581712</v>
      </c>
      <c r="C16354" t="str">
        <f>"367500000X"</f>
        <v>367500000X</v>
      </c>
      <c r="D16354" t="str">
        <f>"ATTAWAY                  DANIEL                   "</f>
        <v xml:space="preserve">ATTAWAY                  DANIEL                   </v>
      </c>
      <c r="E16354" t="str">
        <f>"HATTIESBURG               "</f>
        <v xml:space="preserve">HATTIESBURG               </v>
      </c>
      <c r="F16354" t="str">
        <f t="shared" si="414"/>
        <v>MS</v>
      </c>
    </row>
    <row r="16355" spans="1:6" x14ac:dyDescent="0.25">
      <c r="A16355" t="str">
        <f>"200008911"</f>
        <v>200008911</v>
      </c>
      <c r="B16355" t="str">
        <f>"1588431217"</f>
        <v>1588431217</v>
      </c>
      <c r="C16355" t="str">
        <f>"363A00000X"</f>
        <v>363A00000X</v>
      </c>
      <c r="D16355" t="str">
        <f>"MOSS-POWE                T'KYLIA      S           "</f>
        <v xml:space="preserve">MOSS-POWE                T'KYLIA      S           </v>
      </c>
      <c r="E16355" t="str">
        <f>"HATTIESBURG               "</f>
        <v xml:space="preserve">HATTIESBURG               </v>
      </c>
      <c r="F16355" t="str">
        <f t="shared" si="414"/>
        <v>MS</v>
      </c>
    </row>
    <row r="16356" spans="1:6" x14ac:dyDescent="0.25">
      <c r="A16356" t="str">
        <f>"200008923"</f>
        <v>200008923</v>
      </c>
      <c r="B16356" t="str">
        <f>"1013922814"</f>
        <v>1013922814</v>
      </c>
      <c r="C16356" t="str">
        <f>"207R00000X"</f>
        <v>207R00000X</v>
      </c>
      <c r="D16356" t="str">
        <f>"ACQUAH                   JOHN         E           "</f>
        <v xml:space="preserve">ACQUAH                   JOHN         E           </v>
      </c>
      <c r="E16356" t="str">
        <f>"GULFPORT                  "</f>
        <v xml:space="preserve">GULFPORT                  </v>
      </c>
      <c r="F16356" t="str">
        <f t="shared" si="414"/>
        <v>MS</v>
      </c>
    </row>
    <row r="16357" spans="1:6" x14ac:dyDescent="0.25">
      <c r="A16357" t="str">
        <f>"200008924"</f>
        <v>200008924</v>
      </c>
      <c r="B16357" t="str">
        <f>"1477595643"</f>
        <v>1477595643</v>
      </c>
      <c r="C16357" t="str">
        <f>"207RH0003X"</f>
        <v>207RH0003X</v>
      </c>
      <c r="D16357" t="str">
        <f>"MORRIS                   DAVID        G           "</f>
        <v xml:space="preserve">MORRIS                   DAVID        G           </v>
      </c>
      <c r="E16357" t="str">
        <f>"HATTIESBURG               "</f>
        <v xml:space="preserve">HATTIESBURG               </v>
      </c>
      <c r="F16357" t="str">
        <f t="shared" si="414"/>
        <v>MS</v>
      </c>
    </row>
    <row r="16358" spans="1:6" x14ac:dyDescent="0.25">
      <c r="A16358" t="str">
        <f>"200008925"</f>
        <v>200008925</v>
      </c>
      <c r="B16358" t="str">
        <f>"1265208557"</f>
        <v>1265208557</v>
      </c>
      <c r="C16358" t="str">
        <f>"363L00000X"</f>
        <v>363L00000X</v>
      </c>
      <c r="D16358" t="str">
        <f>"READ                     JOSEPH                   "</f>
        <v xml:space="preserve">READ                     JOSEPH                   </v>
      </c>
      <c r="E16358" t="str">
        <f>"TUPELO                    "</f>
        <v xml:space="preserve">TUPELO                    </v>
      </c>
      <c r="F16358" t="str">
        <f t="shared" si="414"/>
        <v>MS</v>
      </c>
    </row>
    <row r="16359" spans="1:6" x14ac:dyDescent="0.25">
      <c r="A16359" t="str">
        <f>"200008928"</f>
        <v>200008928</v>
      </c>
      <c r="B16359" t="str">
        <f>"1922541093"</f>
        <v>1922541093</v>
      </c>
      <c r="C16359" t="str">
        <f>"363A00000X"</f>
        <v>363A00000X</v>
      </c>
      <c r="D16359" t="str">
        <f>"CARPENTER                JACOB                    "</f>
        <v xml:space="preserve">CARPENTER                JACOB                    </v>
      </c>
      <c r="E16359" t="str">
        <f>"LEXINGTON                 "</f>
        <v xml:space="preserve">LEXINGTON                 </v>
      </c>
      <c r="F16359" t="str">
        <f t="shared" si="414"/>
        <v>MS</v>
      </c>
    </row>
    <row r="16360" spans="1:6" x14ac:dyDescent="0.25">
      <c r="A16360" t="str">
        <f>"200008932"</f>
        <v>200008932</v>
      </c>
      <c r="B16360" t="str">
        <f>"1902808645"</f>
        <v>1902808645</v>
      </c>
      <c r="C16360" t="str">
        <f>"207R00000X"</f>
        <v>207R00000X</v>
      </c>
      <c r="D16360" t="str">
        <f>"HENAO                    JUSTINE                  "</f>
        <v xml:space="preserve">HENAO                    JUSTINE                  </v>
      </c>
      <c r="E16360" t="str">
        <f>"GRENADA                   "</f>
        <v xml:space="preserve">GRENADA                   </v>
      </c>
      <c r="F16360" t="str">
        <f t="shared" si="414"/>
        <v>MS</v>
      </c>
    </row>
    <row r="16361" spans="1:6" x14ac:dyDescent="0.25">
      <c r="A16361" t="str">
        <f>"200008934"</f>
        <v>200008934</v>
      </c>
      <c r="B16361" t="str">
        <f>"1437938321"</f>
        <v>1437938321</v>
      </c>
      <c r="C16361" t="str">
        <f>"363L00000X"</f>
        <v>363L00000X</v>
      </c>
      <c r="D16361" t="str">
        <f>"REYES                    BRITTANY                 "</f>
        <v xml:space="preserve">REYES                    BRITTANY                 </v>
      </c>
      <c r="E16361" t="str">
        <f>"LAUREL                    "</f>
        <v xml:space="preserve">LAUREL                    </v>
      </c>
      <c r="F16361" t="str">
        <f t="shared" si="414"/>
        <v>MS</v>
      </c>
    </row>
    <row r="16362" spans="1:6" x14ac:dyDescent="0.25">
      <c r="A16362" t="str">
        <f>"200008935"</f>
        <v>200008935</v>
      </c>
      <c r="B16362" t="str">
        <f>"1538760897"</f>
        <v>1538760897</v>
      </c>
      <c r="C16362" t="str">
        <f>"363L00000X"</f>
        <v>363L00000X</v>
      </c>
      <c r="D16362" t="str">
        <f>"BELL                     SHELBY       L           "</f>
        <v xml:space="preserve">BELL                     SHELBY       L           </v>
      </c>
      <c r="E16362" t="str">
        <f>"CARTHAGE                  "</f>
        <v xml:space="preserve">CARTHAGE                  </v>
      </c>
      <c r="F16362" t="str">
        <f t="shared" si="414"/>
        <v>MS</v>
      </c>
    </row>
    <row r="16363" spans="1:6" x14ac:dyDescent="0.25">
      <c r="A16363" t="str">
        <f>"200008950"</f>
        <v>200008950</v>
      </c>
      <c r="B16363" t="str">
        <f>"1720781040"</f>
        <v>1720781040</v>
      </c>
      <c r="C16363" t="str">
        <f>"207R00000X"</f>
        <v>207R00000X</v>
      </c>
      <c r="D16363" t="str">
        <f>"WALKER                   ANDREW       S           "</f>
        <v xml:space="preserve">WALKER                   ANDREW       S           </v>
      </c>
      <c r="E16363" t="str">
        <f>"JACKSON                   "</f>
        <v xml:space="preserve">JACKSON                   </v>
      </c>
      <c r="F16363" t="str">
        <f t="shared" si="414"/>
        <v>MS</v>
      </c>
    </row>
    <row r="16364" spans="1:6" x14ac:dyDescent="0.25">
      <c r="A16364" t="str">
        <f>"200008953"</f>
        <v>200008953</v>
      </c>
      <c r="B16364" t="str">
        <f>"1811689961"</f>
        <v>1811689961</v>
      </c>
      <c r="C16364" t="str">
        <f>"152W00000X"</f>
        <v>152W00000X</v>
      </c>
      <c r="D16364" t="str">
        <f>"20-20 EYECARE OF BATESVILLE LLC                   "</f>
        <v xml:space="preserve">20-20 EYECARE OF BATESVILLE LLC                   </v>
      </c>
      <c r="E16364" t="str">
        <f>"BATESVILLE                "</f>
        <v xml:space="preserve">BATESVILLE                </v>
      </c>
      <c r="F16364" t="str">
        <f t="shared" si="414"/>
        <v>MS</v>
      </c>
    </row>
    <row r="16365" spans="1:6" x14ac:dyDescent="0.25">
      <c r="A16365" t="str">
        <f>"200008971"</f>
        <v>200008971</v>
      </c>
      <c r="B16365" t="str">
        <f>"1427656230"</f>
        <v>1427656230</v>
      </c>
      <c r="C16365" t="str">
        <f>"363L00000X"</f>
        <v>363L00000X</v>
      </c>
      <c r="D16365" t="str">
        <f>"MYER                     KIMBERLY                 "</f>
        <v xml:space="preserve">MYER                     KIMBERLY                 </v>
      </c>
      <c r="E16365" t="str">
        <f>"FLOWOOD                   "</f>
        <v xml:space="preserve">FLOWOOD                   </v>
      </c>
      <c r="F16365" t="str">
        <f t="shared" si="414"/>
        <v>MS</v>
      </c>
    </row>
    <row r="16366" spans="1:6" x14ac:dyDescent="0.25">
      <c r="A16366" t="str">
        <f>"200008975"</f>
        <v>200008975</v>
      </c>
      <c r="B16366" t="str">
        <f>"1083681589"</f>
        <v>1083681589</v>
      </c>
      <c r="C16366" t="str">
        <f>"207Q00000X"</f>
        <v>207Q00000X</v>
      </c>
      <c r="D16366" t="str">
        <f>"GOVIL                    SANDEEP                  "</f>
        <v xml:space="preserve">GOVIL                    SANDEEP                  </v>
      </c>
      <c r="E16366" t="str">
        <f>"CARTHAGE                  "</f>
        <v xml:space="preserve">CARTHAGE                  </v>
      </c>
      <c r="F16366" t="str">
        <f t="shared" si="414"/>
        <v>MS</v>
      </c>
    </row>
    <row r="16367" spans="1:6" x14ac:dyDescent="0.25">
      <c r="A16367" t="str">
        <f>"200008978"</f>
        <v>200008978</v>
      </c>
      <c r="B16367" t="str">
        <f>"1568933877"</f>
        <v>1568933877</v>
      </c>
      <c r="C16367" t="str">
        <f>"363A00000X"</f>
        <v>363A00000X</v>
      </c>
      <c r="D16367" t="str">
        <f>"RIDENHOUR                APRIL        M           "</f>
        <v xml:space="preserve">RIDENHOUR                APRIL        M           </v>
      </c>
      <c r="E16367" t="str">
        <f>"BILOXI                    "</f>
        <v xml:space="preserve">BILOXI                    </v>
      </c>
      <c r="F16367" t="str">
        <f t="shared" si="414"/>
        <v>MS</v>
      </c>
    </row>
    <row r="16368" spans="1:6" x14ac:dyDescent="0.25">
      <c r="A16368" t="str">
        <f>"200008985"</f>
        <v>200008985</v>
      </c>
      <c r="B16368" t="str">
        <f>"1821873746"</f>
        <v>1821873746</v>
      </c>
      <c r="C16368" t="str">
        <f>"363L00000X"</f>
        <v>363L00000X</v>
      </c>
      <c r="D16368" t="str">
        <f>"MYERS                    ROBERT                   "</f>
        <v xml:space="preserve">MYERS                    ROBERT                   </v>
      </c>
      <c r="E16368" t="str">
        <f>"MATHISTON                 "</f>
        <v xml:space="preserve">MATHISTON                 </v>
      </c>
      <c r="F16368" t="str">
        <f t="shared" si="414"/>
        <v>MS</v>
      </c>
    </row>
    <row r="16369" spans="1:6" x14ac:dyDescent="0.25">
      <c r="A16369" t="str">
        <f>"200008991"</f>
        <v>200008991</v>
      </c>
      <c r="B16369" t="str">
        <f>"1548968738"</f>
        <v>1548968738</v>
      </c>
      <c r="C16369" t="str">
        <f>"363L00000X"</f>
        <v>363L00000X</v>
      </c>
      <c r="D16369" t="str">
        <f>"WHITTY                   CHRISTINA                "</f>
        <v xml:space="preserve">WHITTY                   CHRISTINA                </v>
      </c>
      <c r="E16369" t="str">
        <f>"JACKSON                   "</f>
        <v xml:space="preserve">JACKSON                   </v>
      </c>
      <c r="F16369" t="str">
        <f t="shared" si="414"/>
        <v>MS</v>
      </c>
    </row>
    <row r="16370" spans="1:6" x14ac:dyDescent="0.25">
      <c r="A16370" t="str">
        <f>"200009000"</f>
        <v>200009000</v>
      </c>
      <c r="B16370" t="str">
        <f>"1811767452"</f>
        <v>1811767452</v>
      </c>
      <c r="C16370" t="str">
        <f>"367500000X"</f>
        <v>367500000X</v>
      </c>
      <c r="D16370" t="str">
        <f>"PARSONS                  JESSICA      A           "</f>
        <v xml:space="preserve">PARSONS                  JESSICA      A           </v>
      </c>
      <c r="E16370" t="str">
        <f>"HATTIESBURG               "</f>
        <v xml:space="preserve">HATTIESBURG               </v>
      </c>
      <c r="F16370" t="str">
        <f t="shared" si="414"/>
        <v>MS</v>
      </c>
    </row>
    <row r="16371" spans="1:6" x14ac:dyDescent="0.25">
      <c r="A16371" t="str">
        <f>"200009017"</f>
        <v>200009017</v>
      </c>
      <c r="B16371" t="str">
        <f>"1770345019"</f>
        <v>1770345019</v>
      </c>
      <c r="C16371" t="str">
        <f>"367500000X"</f>
        <v>367500000X</v>
      </c>
      <c r="D16371" t="str">
        <f>"SCARBOROUGH              LAURA        B           "</f>
        <v xml:space="preserve">SCARBOROUGH              LAURA        B           </v>
      </c>
      <c r="E16371" t="str">
        <f>"FLOWOOD                   "</f>
        <v xml:space="preserve">FLOWOOD                   </v>
      </c>
      <c r="F16371" t="str">
        <f t="shared" si="414"/>
        <v>MS</v>
      </c>
    </row>
    <row r="16372" spans="1:6" x14ac:dyDescent="0.25">
      <c r="A16372" t="str">
        <f>"200009019"</f>
        <v>200009019</v>
      </c>
      <c r="B16372" t="str">
        <f>"1760243737"</f>
        <v>1760243737</v>
      </c>
      <c r="C16372" t="str">
        <f>"367500000X"</f>
        <v>367500000X</v>
      </c>
      <c r="D16372" t="str">
        <f>"FORTENBERRY              HANNAH                   "</f>
        <v xml:space="preserve">FORTENBERRY              HANNAH                   </v>
      </c>
      <c r="E16372" t="str">
        <f>"FLOWOOD                   "</f>
        <v xml:space="preserve">FLOWOOD                   </v>
      </c>
      <c r="F16372" t="str">
        <f t="shared" si="414"/>
        <v>MS</v>
      </c>
    </row>
    <row r="16373" spans="1:6" x14ac:dyDescent="0.25">
      <c r="A16373" t="str">
        <f>"200009022"</f>
        <v>200009022</v>
      </c>
      <c r="B16373" t="str">
        <f>"1679565428"</f>
        <v>1679565428</v>
      </c>
      <c r="C16373" t="str">
        <f>"208800000X"</f>
        <v>208800000X</v>
      </c>
      <c r="D16373" t="str">
        <f>"PADDOCK                  RICHARD      J           "</f>
        <v xml:space="preserve">PADDOCK                  RICHARD      J           </v>
      </c>
      <c r="E16373" t="str">
        <f>"GULFPORT                  "</f>
        <v xml:space="preserve">GULFPORT                  </v>
      </c>
      <c r="F16373" t="str">
        <f t="shared" si="414"/>
        <v>MS</v>
      </c>
    </row>
    <row r="16374" spans="1:6" x14ac:dyDescent="0.25">
      <c r="A16374" t="str">
        <f>"200009027"</f>
        <v>200009027</v>
      </c>
      <c r="B16374" t="str">
        <f>"1467758573"</f>
        <v>1467758573</v>
      </c>
      <c r="C16374" t="str">
        <f>"363L00000X"</f>
        <v>363L00000X</v>
      </c>
      <c r="D16374" t="str">
        <f>"DOWNARD                  AMANDA                   "</f>
        <v xml:space="preserve">DOWNARD                  AMANDA                   </v>
      </c>
      <c r="E16374" t="str">
        <f>"JACKSON                   "</f>
        <v xml:space="preserve">JACKSON                   </v>
      </c>
      <c r="F16374" t="str">
        <f t="shared" si="414"/>
        <v>MS</v>
      </c>
    </row>
    <row r="16375" spans="1:6" x14ac:dyDescent="0.25">
      <c r="A16375" t="str">
        <f>"200009036"</f>
        <v>200009036</v>
      </c>
      <c r="B16375" t="str">
        <f>"1831682269"</f>
        <v>1831682269</v>
      </c>
      <c r="C16375" t="str">
        <f>"207R00000X"</f>
        <v>207R00000X</v>
      </c>
      <c r="D16375" t="str">
        <f>"MOGULLA                  SWATHI                   "</f>
        <v xml:space="preserve">MOGULLA                  SWATHI                   </v>
      </c>
      <c r="E16375" t="str">
        <f>"JACKSON                   "</f>
        <v xml:space="preserve">JACKSON                   </v>
      </c>
      <c r="F16375" t="str">
        <f t="shared" si="414"/>
        <v>MS</v>
      </c>
    </row>
    <row r="16376" spans="1:6" x14ac:dyDescent="0.25">
      <c r="A16376" t="str">
        <f>"200009041"</f>
        <v>200009041</v>
      </c>
      <c r="B16376" t="str">
        <f>"1699336628"</f>
        <v>1699336628</v>
      </c>
      <c r="C16376" t="str">
        <f>"363L00000X"</f>
        <v>363L00000X</v>
      </c>
      <c r="D16376" t="str">
        <f>"RANDLE                   APRIL        D           "</f>
        <v xml:space="preserve">RANDLE                   APRIL        D           </v>
      </c>
      <c r="E16376" t="str">
        <f>"JACKSON                   "</f>
        <v xml:space="preserve">JACKSON                   </v>
      </c>
      <c r="F16376" t="str">
        <f t="shared" si="414"/>
        <v>MS</v>
      </c>
    </row>
    <row r="16377" spans="1:6" x14ac:dyDescent="0.25">
      <c r="A16377" t="str">
        <f>"200009046"</f>
        <v>200009046</v>
      </c>
      <c r="B16377" t="str">
        <f>"1477810885"</f>
        <v>1477810885</v>
      </c>
      <c r="C16377" t="str">
        <f>"208100000X"</f>
        <v>208100000X</v>
      </c>
      <c r="D16377" t="str">
        <f>"CRIDER                   NATHANIEL                "</f>
        <v xml:space="preserve">CRIDER                   NATHANIEL                </v>
      </c>
      <c r="E16377" t="str">
        <f>"JACKSON                   "</f>
        <v xml:space="preserve">JACKSON                   </v>
      </c>
      <c r="F16377" t="str">
        <f t="shared" si="414"/>
        <v>MS</v>
      </c>
    </row>
    <row r="16378" spans="1:6" x14ac:dyDescent="0.25">
      <c r="A16378" t="str">
        <f>"200009047"</f>
        <v>200009047</v>
      </c>
      <c r="B16378" t="str">
        <f>"1669253324"</f>
        <v>1669253324</v>
      </c>
      <c r="C16378" t="str">
        <f>"363L00000X"</f>
        <v>363L00000X</v>
      </c>
      <c r="D16378" t="str">
        <f>"LITTLE                   ALORA                    "</f>
        <v xml:space="preserve">LITTLE                   ALORA                    </v>
      </c>
      <c r="E16378" t="str">
        <f>"SOUTHAVEN                 "</f>
        <v xml:space="preserve">SOUTHAVEN                 </v>
      </c>
      <c r="F16378" t="str">
        <f t="shared" si="414"/>
        <v>MS</v>
      </c>
    </row>
    <row r="16379" spans="1:6" x14ac:dyDescent="0.25">
      <c r="A16379" t="str">
        <f>"200009081"</f>
        <v>200009081</v>
      </c>
      <c r="B16379" t="str">
        <f>"1942062948"</f>
        <v>1942062948</v>
      </c>
      <c r="C16379" t="str">
        <f>"367500000X"</f>
        <v>367500000X</v>
      </c>
      <c r="D16379" t="str">
        <f>"MAYERHOFF                CINDEL       L           "</f>
        <v xml:space="preserve">MAYERHOFF                CINDEL       L           </v>
      </c>
      <c r="E16379" t="str">
        <f>"JACKSON                   "</f>
        <v xml:space="preserve">JACKSON                   </v>
      </c>
      <c r="F16379" t="str">
        <f t="shared" si="414"/>
        <v>MS</v>
      </c>
    </row>
    <row r="16380" spans="1:6" x14ac:dyDescent="0.25">
      <c r="A16380" t="str">
        <f>"200009094"</f>
        <v>200009094</v>
      </c>
      <c r="B16380" t="str">
        <f>"1275395469"</f>
        <v>1275395469</v>
      </c>
      <c r="C16380" t="str">
        <f>"367500000X"</f>
        <v>367500000X</v>
      </c>
      <c r="D16380" t="str">
        <f>"HOGAN                    ALEXA        A           "</f>
        <v xml:space="preserve">HOGAN                    ALEXA        A           </v>
      </c>
      <c r="E16380" t="str">
        <f>"JACKSON                   "</f>
        <v xml:space="preserve">JACKSON                   </v>
      </c>
      <c r="F16380" t="str">
        <f t="shared" si="414"/>
        <v>MS</v>
      </c>
    </row>
    <row r="16381" spans="1:6" x14ac:dyDescent="0.25">
      <c r="A16381" t="str">
        <f>"200009098"</f>
        <v>200009098</v>
      </c>
      <c r="B16381" t="str">
        <f>"1366438244"</f>
        <v>1366438244</v>
      </c>
      <c r="C16381" t="str">
        <f>"207V00000X"</f>
        <v>207V00000X</v>
      </c>
      <c r="D16381" t="str">
        <f>"SIJIN                    ODALIS                   "</f>
        <v xml:space="preserve">SIJIN                    ODALIS                   </v>
      </c>
      <c r="E16381" t="str">
        <f>"GRENADA                   "</f>
        <v xml:space="preserve">GRENADA                   </v>
      </c>
      <c r="F16381" t="str">
        <f t="shared" si="414"/>
        <v>MS</v>
      </c>
    </row>
    <row r="16382" spans="1:6" x14ac:dyDescent="0.25">
      <c r="A16382" t="str">
        <f>"200009099"</f>
        <v>200009099</v>
      </c>
      <c r="B16382" t="str">
        <f>"1215031729"</f>
        <v>1215031729</v>
      </c>
      <c r="C16382" t="str">
        <f>"208000000X"</f>
        <v>208000000X</v>
      </c>
      <c r="D16382" t="str">
        <f>"BRENNER                  ANNETTE                  "</f>
        <v xml:space="preserve">BRENNER                  ANNETTE                  </v>
      </c>
      <c r="E16382" t="str">
        <f>"JACKSON                   "</f>
        <v xml:space="preserve">JACKSON                   </v>
      </c>
      <c r="F16382" t="str">
        <f t="shared" ref="F16382:F16445" si="415">"MS"</f>
        <v>MS</v>
      </c>
    </row>
    <row r="16383" spans="1:6" x14ac:dyDescent="0.25">
      <c r="A16383" t="str">
        <f>"200009104"</f>
        <v>200009104</v>
      </c>
      <c r="B16383" t="str">
        <f>"1053173377"</f>
        <v>1053173377</v>
      </c>
      <c r="C16383" t="str">
        <f>"363L00000X"</f>
        <v>363L00000X</v>
      </c>
      <c r="D16383" t="str">
        <f>"PLAUCHE                  VIRGINIA     M           "</f>
        <v xml:space="preserve">PLAUCHE                  VIRGINIA     M           </v>
      </c>
      <c r="E16383" t="str">
        <f>"GULFPORT                  "</f>
        <v xml:space="preserve">GULFPORT                  </v>
      </c>
      <c r="F16383" t="str">
        <f t="shared" si="415"/>
        <v>MS</v>
      </c>
    </row>
    <row r="16384" spans="1:6" x14ac:dyDescent="0.25">
      <c r="A16384" t="str">
        <f>"200009108"</f>
        <v>200009108</v>
      </c>
      <c r="B16384" t="str">
        <f>"1225578396"</f>
        <v>1225578396</v>
      </c>
      <c r="C16384" t="str">
        <f>"363L00000X"</f>
        <v>363L00000X</v>
      </c>
      <c r="D16384" t="str">
        <f>"JARANCIK                 MEGAN                    "</f>
        <v xml:space="preserve">JARANCIK                 MEGAN                    </v>
      </c>
      <c r="E16384" t="str">
        <f>"BROOKHAVEN                "</f>
        <v xml:space="preserve">BROOKHAVEN                </v>
      </c>
      <c r="F16384" t="str">
        <f t="shared" si="415"/>
        <v>MS</v>
      </c>
    </row>
    <row r="16385" spans="1:6" x14ac:dyDescent="0.25">
      <c r="A16385" t="str">
        <f>"200009113"</f>
        <v>200009113</v>
      </c>
      <c r="B16385" t="str">
        <f>"1154501096"</f>
        <v>1154501096</v>
      </c>
      <c r="C16385" t="str">
        <f>"363LF0000X"</f>
        <v>363LF0000X</v>
      </c>
      <c r="D16385" t="str">
        <f>"OSWALT-SIMMONS           LISA                     "</f>
        <v xml:space="preserve">OSWALT-SIMMONS           LISA                     </v>
      </c>
      <c r="E16385" t="str">
        <f>"JACKSON                   "</f>
        <v xml:space="preserve">JACKSON                   </v>
      </c>
      <c r="F16385" t="str">
        <f t="shared" si="415"/>
        <v>MS</v>
      </c>
    </row>
    <row r="16386" spans="1:6" x14ac:dyDescent="0.25">
      <c r="A16386" t="str">
        <f>"200009118"</f>
        <v>200009118</v>
      </c>
      <c r="B16386" t="str">
        <f>"1790487718"</f>
        <v>1790487718</v>
      </c>
      <c r="C16386" t="str">
        <f>"363L00000X"</f>
        <v>363L00000X</v>
      </c>
      <c r="D16386" t="str">
        <f>"QUEBEDEAU                JENNIFER                 "</f>
        <v xml:space="preserve">QUEBEDEAU                JENNIFER                 </v>
      </c>
      <c r="E16386" t="str">
        <f>"FLOWOOD                   "</f>
        <v xml:space="preserve">FLOWOOD                   </v>
      </c>
      <c r="F16386" t="str">
        <f t="shared" si="415"/>
        <v>MS</v>
      </c>
    </row>
    <row r="16387" spans="1:6" x14ac:dyDescent="0.25">
      <c r="A16387" t="str">
        <f>"200009132"</f>
        <v>200009132</v>
      </c>
      <c r="B16387" t="str">
        <f>"1710203971"</f>
        <v>1710203971</v>
      </c>
      <c r="C16387" t="str">
        <f>"2085R0204X"</f>
        <v>2085R0204X</v>
      </c>
      <c r="D16387" t="str">
        <f>"LINER                    ZACHARY      J           "</f>
        <v xml:space="preserve">LINER                    ZACHARY      J           </v>
      </c>
      <c r="E16387" t="str">
        <f>"GULFPORT                  "</f>
        <v xml:space="preserve">GULFPORT                  </v>
      </c>
      <c r="F16387" t="str">
        <f t="shared" si="415"/>
        <v>MS</v>
      </c>
    </row>
    <row r="16388" spans="1:6" x14ac:dyDescent="0.25">
      <c r="A16388" t="str">
        <f>"200009145"</f>
        <v>200009145</v>
      </c>
      <c r="B16388" t="str">
        <f>"1831960574"</f>
        <v>1831960574</v>
      </c>
      <c r="C16388" t="str">
        <f>"363LF0000X"</f>
        <v>363LF0000X</v>
      </c>
      <c r="D16388" t="str">
        <f>"BOREN                    HANNAH       G           "</f>
        <v xml:space="preserve">BOREN                    HANNAH       G           </v>
      </c>
      <c r="E16388" t="str">
        <f>"TUPELO                    "</f>
        <v xml:space="preserve">TUPELO                    </v>
      </c>
      <c r="F16388" t="str">
        <f t="shared" si="415"/>
        <v>MS</v>
      </c>
    </row>
    <row r="16389" spans="1:6" x14ac:dyDescent="0.25">
      <c r="A16389" t="str">
        <f>"200009147"</f>
        <v>200009147</v>
      </c>
      <c r="B16389" t="str">
        <f>"1154108470"</f>
        <v>1154108470</v>
      </c>
      <c r="C16389" t="str">
        <f>"363L00000X"</f>
        <v>363L00000X</v>
      </c>
      <c r="D16389" t="str">
        <f>"CARRELL                  MADISON                  "</f>
        <v xml:space="preserve">CARRELL                  MADISON                  </v>
      </c>
      <c r="E16389" t="str">
        <f>"MANTACHIE                 "</f>
        <v xml:space="preserve">MANTACHIE                 </v>
      </c>
      <c r="F16389" t="str">
        <f t="shared" si="415"/>
        <v>MS</v>
      </c>
    </row>
    <row r="16390" spans="1:6" x14ac:dyDescent="0.25">
      <c r="A16390" t="str">
        <f>"200009149"</f>
        <v>200009149</v>
      </c>
      <c r="B16390" t="str">
        <f>"1164719597"</f>
        <v>1164719597</v>
      </c>
      <c r="C16390" t="str">
        <f>"2080P0207X"</f>
        <v>2080P0207X</v>
      </c>
      <c r="D16390" t="str">
        <f>"STROBEL                  AMANDA       L           "</f>
        <v xml:space="preserve">STROBEL                  AMANDA       L           </v>
      </c>
      <c r="E16390" t="str">
        <f>"JACKSON                   "</f>
        <v xml:space="preserve">JACKSON                   </v>
      </c>
      <c r="F16390" t="str">
        <f t="shared" si="415"/>
        <v>MS</v>
      </c>
    </row>
    <row r="16391" spans="1:6" x14ac:dyDescent="0.25">
      <c r="A16391" t="str">
        <f>"200009212"</f>
        <v>200009212</v>
      </c>
      <c r="B16391" t="str">
        <f>"1124009220"</f>
        <v>1124009220</v>
      </c>
      <c r="C16391" t="str">
        <f>"207RC0000X"</f>
        <v>207RC0000X</v>
      </c>
      <c r="D16391" t="str">
        <f>"KANAGALA                 RAVI                     "</f>
        <v xml:space="preserve">KANAGALA                 RAVI                     </v>
      </c>
      <c r="E16391" t="str">
        <f>"PICAYUNE                  "</f>
        <v xml:space="preserve">PICAYUNE                  </v>
      </c>
      <c r="F16391" t="str">
        <f t="shared" si="415"/>
        <v>MS</v>
      </c>
    </row>
    <row r="16392" spans="1:6" x14ac:dyDescent="0.25">
      <c r="A16392" t="str">
        <f>"200009213"</f>
        <v>200009213</v>
      </c>
      <c r="B16392" t="str">
        <f>"1376557892"</f>
        <v>1376557892</v>
      </c>
      <c r="C16392" t="str">
        <f>"207X00000X"</f>
        <v>207X00000X</v>
      </c>
      <c r="D16392" t="str">
        <f>"PHILLIPS                 EARL         L           "</f>
        <v xml:space="preserve">PHILLIPS                 EARL         L           </v>
      </c>
      <c r="E16392" t="str">
        <f>"SOUTHAVEN                 "</f>
        <v xml:space="preserve">SOUTHAVEN                 </v>
      </c>
      <c r="F16392" t="str">
        <f t="shared" si="415"/>
        <v>MS</v>
      </c>
    </row>
    <row r="16393" spans="1:6" x14ac:dyDescent="0.25">
      <c r="A16393" t="str">
        <f>"200009220"</f>
        <v>200009220</v>
      </c>
      <c r="B16393" t="str">
        <f>"1326319088"</f>
        <v>1326319088</v>
      </c>
      <c r="C16393" t="str">
        <f>"207Q00000X"</f>
        <v>207Q00000X</v>
      </c>
      <c r="D16393" t="str">
        <f>"NYIRENDA                 NDEKE                    "</f>
        <v xml:space="preserve">NYIRENDA                 NDEKE                    </v>
      </c>
      <c r="E16393" t="str">
        <f>"MCCOMB                    "</f>
        <v xml:space="preserve">MCCOMB                    </v>
      </c>
      <c r="F16393" t="str">
        <f t="shared" si="415"/>
        <v>MS</v>
      </c>
    </row>
    <row r="16394" spans="1:6" x14ac:dyDescent="0.25">
      <c r="A16394" t="str">
        <f>"200009238"</f>
        <v>200009238</v>
      </c>
      <c r="B16394" t="str">
        <f>"1467155481"</f>
        <v>1467155481</v>
      </c>
      <c r="C16394" t="str">
        <f>"208800000X"</f>
        <v>208800000X</v>
      </c>
      <c r="D16394" t="str">
        <f>"GANDHI                   DEEP                     "</f>
        <v xml:space="preserve">GANDHI                   DEEP                     </v>
      </c>
      <c r="E16394" t="str">
        <f>"JACKSON                   "</f>
        <v xml:space="preserve">JACKSON                   </v>
      </c>
      <c r="F16394" t="str">
        <f t="shared" si="415"/>
        <v>MS</v>
      </c>
    </row>
    <row r="16395" spans="1:6" x14ac:dyDescent="0.25">
      <c r="A16395" t="str">
        <f>"200009241"</f>
        <v>200009241</v>
      </c>
      <c r="B16395" t="str">
        <f>"1124691191"</f>
        <v>1124691191</v>
      </c>
      <c r="C16395" t="str">
        <f>"363L00000X"</f>
        <v>363L00000X</v>
      </c>
      <c r="D16395" t="str">
        <f>"MERCHANT                 KIARA                    "</f>
        <v xml:space="preserve">MERCHANT                 KIARA                    </v>
      </c>
      <c r="E16395" t="str">
        <f>"NATCHEZ                   "</f>
        <v xml:space="preserve">NATCHEZ                   </v>
      </c>
      <c r="F16395" t="str">
        <f t="shared" si="415"/>
        <v>MS</v>
      </c>
    </row>
    <row r="16396" spans="1:6" x14ac:dyDescent="0.25">
      <c r="A16396" t="str">
        <f>"200009248"</f>
        <v>200009248</v>
      </c>
      <c r="B16396" t="str">
        <f>"1801664222"</f>
        <v>1801664222</v>
      </c>
      <c r="C16396" t="str">
        <f>"363L00000X"</f>
        <v>363L00000X</v>
      </c>
      <c r="D16396" t="str">
        <f>"STUCKEY                  MADISON                  "</f>
        <v xml:space="preserve">STUCKEY                  MADISON                  </v>
      </c>
      <c r="E16396" t="str">
        <f>"GRENADA                   "</f>
        <v xml:space="preserve">GRENADA                   </v>
      </c>
      <c r="F16396" t="str">
        <f t="shared" si="415"/>
        <v>MS</v>
      </c>
    </row>
    <row r="16397" spans="1:6" x14ac:dyDescent="0.25">
      <c r="A16397" t="str">
        <f>"200009250"</f>
        <v>200009250</v>
      </c>
      <c r="B16397" t="str">
        <f>"1992383939"</f>
        <v>1992383939</v>
      </c>
      <c r="C16397" t="str">
        <f>"207P00000X"</f>
        <v>207P00000X</v>
      </c>
      <c r="D16397" t="str">
        <f>"MEYER                    ALEXANDER                "</f>
        <v xml:space="preserve">MEYER                    ALEXANDER                </v>
      </c>
      <c r="E16397" t="str">
        <f>"LEXINGTON                 "</f>
        <v xml:space="preserve">LEXINGTON                 </v>
      </c>
      <c r="F16397" t="str">
        <f t="shared" si="415"/>
        <v>MS</v>
      </c>
    </row>
    <row r="16398" spans="1:6" x14ac:dyDescent="0.25">
      <c r="A16398" t="str">
        <f>"200009252"</f>
        <v>200009252</v>
      </c>
      <c r="B16398" t="str">
        <f>"1932786373"</f>
        <v>1932786373</v>
      </c>
      <c r="C16398" t="str">
        <f>"207P00000X"</f>
        <v>207P00000X</v>
      </c>
      <c r="D16398" t="str">
        <f>"REHMAN                   SABIH                    "</f>
        <v xml:space="preserve">REHMAN                   SABIH                    </v>
      </c>
      <c r="E16398" t="str">
        <f>"FOREST                    "</f>
        <v xml:space="preserve">FOREST                    </v>
      </c>
      <c r="F16398" t="str">
        <f t="shared" si="415"/>
        <v>MS</v>
      </c>
    </row>
    <row r="16399" spans="1:6" x14ac:dyDescent="0.25">
      <c r="A16399" t="str">
        <f>"200009253"</f>
        <v>200009253</v>
      </c>
      <c r="B16399" t="str">
        <f>"1073188017"</f>
        <v>1073188017</v>
      </c>
      <c r="C16399" t="str">
        <f>"122300000X"</f>
        <v>122300000X</v>
      </c>
      <c r="D16399" t="str">
        <f>"SERENE ORAL SURGERY                               "</f>
        <v xml:space="preserve">SERENE ORAL SURGERY                               </v>
      </c>
      <c r="E16399" t="str">
        <f>"HATTIESBURG               "</f>
        <v xml:space="preserve">HATTIESBURG               </v>
      </c>
      <c r="F16399" t="str">
        <f t="shared" si="415"/>
        <v>MS</v>
      </c>
    </row>
    <row r="16400" spans="1:6" x14ac:dyDescent="0.25">
      <c r="A16400" t="str">
        <f>"200009254"</f>
        <v>200009254</v>
      </c>
      <c r="B16400" t="str">
        <f>"1568224673"</f>
        <v>1568224673</v>
      </c>
      <c r="C16400" t="str">
        <f>"363L00000X"</f>
        <v>363L00000X</v>
      </c>
      <c r="D16400" t="str">
        <f>"SMITH                    ANGELA       M           "</f>
        <v xml:space="preserve">SMITH                    ANGELA       M           </v>
      </c>
      <c r="E16400" t="str">
        <f>"HATTIESBURG               "</f>
        <v xml:space="preserve">HATTIESBURG               </v>
      </c>
      <c r="F16400" t="str">
        <f t="shared" si="415"/>
        <v>MS</v>
      </c>
    </row>
    <row r="16401" spans="1:6" x14ac:dyDescent="0.25">
      <c r="A16401" t="str">
        <f>"200009256"</f>
        <v>200009256</v>
      </c>
      <c r="B16401" t="str">
        <f>"1629341649"</f>
        <v>1629341649</v>
      </c>
      <c r="C16401" t="str">
        <f>"363L00000X"</f>
        <v>363L00000X</v>
      </c>
      <c r="D16401" t="str">
        <f>"HARRINGTON               AMY                      "</f>
        <v xml:space="preserve">HARRINGTON               AMY                      </v>
      </c>
      <c r="E16401" t="str">
        <f>"ELLISVILLE                "</f>
        <v xml:space="preserve">ELLISVILLE                </v>
      </c>
      <c r="F16401" t="str">
        <f t="shared" si="415"/>
        <v>MS</v>
      </c>
    </row>
    <row r="16402" spans="1:6" x14ac:dyDescent="0.25">
      <c r="A16402" t="str">
        <f>"200009268"</f>
        <v>200009268</v>
      </c>
      <c r="B16402" t="str">
        <f>"1720767726"</f>
        <v>1720767726</v>
      </c>
      <c r="C16402" t="str">
        <f>"363L00000X"</f>
        <v>363L00000X</v>
      </c>
      <c r="D16402" t="str">
        <f>"WILSON                   TABITHA      R           "</f>
        <v xml:space="preserve">WILSON                   TABITHA      R           </v>
      </c>
      <c r="E16402" t="str">
        <f>"FLOWOOD                   "</f>
        <v xml:space="preserve">FLOWOOD                   </v>
      </c>
      <c r="F16402" t="str">
        <f t="shared" si="415"/>
        <v>MS</v>
      </c>
    </row>
    <row r="16403" spans="1:6" x14ac:dyDescent="0.25">
      <c r="A16403" t="str">
        <f>"200009273"</f>
        <v>200009273</v>
      </c>
      <c r="B16403" t="str">
        <f>"1841601556"</f>
        <v>1841601556</v>
      </c>
      <c r="C16403" t="str">
        <f>"1223S0112X"</f>
        <v>1223S0112X</v>
      </c>
      <c r="D16403" t="str">
        <f>"JACKSON                  JAMES        B           "</f>
        <v xml:space="preserve">JACKSON                  JAMES        B           </v>
      </c>
      <c r="E16403" t="str">
        <f>"HATTIESBURG               "</f>
        <v xml:space="preserve">HATTIESBURG               </v>
      </c>
      <c r="F16403" t="str">
        <f t="shared" si="415"/>
        <v>MS</v>
      </c>
    </row>
    <row r="16404" spans="1:6" x14ac:dyDescent="0.25">
      <c r="A16404" t="str">
        <f>"200009275"</f>
        <v>200009275</v>
      </c>
      <c r="B16404" t="str">
        <f>"1053506683"</f>
        <v>1053506683</v>
      </c>
      <c r="C16404" t="str">
        <f>"152W00000X"</f>
        <v>152W00000X</v>
      </c>
      <c r="D16404" t="str">
        <f>"WEEDEN EYE CLINIC                                 "</f>
        <v xml:space="preserve">WEEDEN EYE CLINIC                                 </v>
      </c>
      <c r="E16404" t="str">
        <f>"NEW ALBANY                "</f>
        <v xml:space="preserve">NEW ALBANY                </v>
      </c>
      <c r="F16404" t="str">
        <f t="shared" si="415"/>
        <v>MS</v>
      </c>
    </row>
    <row r="16405" spans="1:6" x14ac:dyDescent="0.25">
      <c r="A16405" t="str">
        <f>"200009285"</f>
        <v>200009285</v>
      </c>
      <c r="B16405" t="str">
        <f>"1972219947"</f>
        <v>1972219947</v>
      </c>
      <c r="C16405" t="str">
        <f>"363L00000X"</f>
        <v>363L00000X</v>
      </c>
      <c r="D16405" t="str">
        <f>"BARRETT                  MADISON                  "</f>
        <v xml:space="preserve">BARRETT                  MADISON                  </v>
      </c>
      <c r="E16405" t="str">
        <f>"JACKSON                   "</f>
        <v xml:space="preserve">JACKSON                   </v>
      </c>
      <c r="F16405" t="str">
        <f t="shared" si="415"/>
        <v>MS</v>
      </c>
    </row>
    <row r="16406" spans="1:6" x14ac:dyDescent="0.25">
      <c r="A16406" t="str">
        <f>"200009296"</f>
        <v>200009296</v>
      </c>
      <c r="B16406" t="str">
        <f>"1639177447"</f>
        <v>1639177447</v>
      </c>
      <c r="C16406" t="str">
        <f>"208800000X"</f>
        <v>208800000X</v>
      </c>
      <c r="D16406" t="str">
        <f>"COTTONE                  JOSEPH                   "</f>
        <v xml:space="preserve">COTTONE                  JOSEPH                   </v>
      </c>
      <c r="E16406" t="str">
        <f>"OCEAN SPRINGS             "</f>
        <v xml:space="preserve">OCEAN SPRINGS             </v>
      </c>
      <c r="F16406" t="str">
        <f t="shared" si="415"/>
        <v>MS</v>
      </c>
    </row>
    <row r="16407" spans="1:6" x14ac:dyDescent="0.25">
      <c r="A16407" t="str">
        <f>"200009298"</f>
        <v>200009298</v>
      </c>
      <c r="B16407" t="str">
        <f>"1851154033"</f>
        <v>1851154033</v>
      </c>
      <c r="C16407" t="str">
        <f>"363L00000X"</f>
        <v>363L00000X</v>
      </c>
      <c r="D16407" t="str">
        <f>"LANDRY                   ROSALIE                  "</f>
        <v xml:space="preserve">LANDRY                   ROSALIE                  </v>
      </c>
      <c r="E16407" t="str">
        <f>"PASCAGOULA                "</f>
        <v xml:space="preserve">PASCAGOULA                </v>
      </c>
      <c r="F16407" t="str">
        <f t="shared" si="415"/>
        <v>MS</v>
      </c>
    </row>
    <row r="16408" spans="1:6" x14ac:dyDescent="0.25">
      <c r="A16408" t="str">
        <f>"200009304"</f>
        <v>200009304</v>
      </c>
      <c r="B16408" t="str">
        <f>"1912602004"</f>
        <v>1912602004</v>
      </c>
      <c r="C16408" t="str">
        <f>"363L00000X"</f>
        <v>363L00000X</v>
      </c>
      <c r="D16408" t="str">
        <f>"WILLIAMSON               ASHLEY       R           "</f>
        <v xml:space="preserve">WILLIAMSON               ASHLEY       R           </v>
      </c>
      <c r="E16408" t="str">
        <f>"HATTIESBURG               "</f>
        <v xml:space="preserve">HATTIESBURG               </v>
      </c>
      <c r="F16408" t="str">
        <f t="shared" si="415"/>
        <v>MS</v>
      </c>
    </row>
    <row r="16409" spans="1:6" x14ac:dyDescent="0.25">
      <c r="A16409" t="str">
        <f>"200009307"</f>
        <v>200009307</v>
      </c>
      <c r="B16409" t="str">
        <f>"1811933948"</f>
        <v>1811933948</v>
      </c>
      <c r="C16409" t="str">
        <f>"207P00000X"</f>
        <v>207P00000X</v>
      </c>
      <c r="D16409" t="str">
        <f>"HORN                     FLOYD                    "</f>
        <v xml:space="preserve">HORN                     FLOYD                    </v>
      </c>
      <c r="E16409" t="str">
        <f>"ABERDEEN                  "</f>
        <v xml:space="preserve">ABERDEEN                  </v>
      </c>
      <c r="F16409" t="str">
        <f t="shared" si="415"/>
        <v>MS</v>
      </c>
    </row>
    <row r="16410" spans="1:6" x14ac:dyDescent="0.25">
      <c r="A16410" t="str">
        <f>"200009318"</f>
        <v>200009318</v>
      </c>
      <c r="B16410" t="str">
        <f>"1851324784"</f>
        <v>1851324784</v>
      </c>
      <c r="C16410" t="str">
        <f>"207X00000X"</f>
        <v>207X00000X</v>
      </c>
      <c r="D16410" t="str">
        <f>"DIPAOLO                  DANECA                   "</f>
        <v xml:space="preserve">DIPAOLO                  DANECA                   </v>
      </c>
      <c r="E16410" t="str">
        <f>"SOUTHAVEN                 "</f>
        <v xml:space="preserve">SOUTHAVEN                 </v>
      </c>
      <c r="F16410" t="str">
        <f t="shared" si="415"/>
        <v>MS</v>
      </c>
    </row>
    <row r="16411" spans="1:6" x14ac:dyDescent="0.25">
      <c r="A16411" t="str">
        <f>"200009326"</f>
        <v>200009326</v>
      </c>
      <c r="B16411" t="str">
        <f>"1740042589"</f>
        <v>1740042589</v>
      </c>
      <c r="C16411" t="str">
        <f>"367500000X"</f>
        <v>367500000X</v>
      </c>
      <c r="D16411" t="str">
        <f>"SISTRUNK                 TONY                     "</f>
        <v xml:space="preserve">SISTRUNK                 TONY                     </v>
      </c>
      <c r="E16411" t="str">
        <f>"JACKSON                   "</f>
        <v xml:space="preserve">JACKSON                   </v>
      </c>
      <c r="F16411" t="str">
        <f t="shared" si="415"/>
        <v>MS</v>
      </c>
    </row>
    <row r="16412" spans="1:6" x14ac:dyDescent="0.25">
      <c r="A16412" t="str">
        <f>"200009334"</f>
        <v>200009334</v>
      </c>
      <c r="B16412" t="str">
        <f>"1174393946"</f>
        <v>1174393946</v>
      </c>
      <c r="C16412" t="str">
        <f>"363L00000X"</f>
        <v>363L00000X</v>
      </c>
      <c r="D16412" t="str">
        <f>"BELL                     HEATHER      F           "</f>
        <v xml:space="preserve">BELL                     HEATHER      F           </v>
      </c>
      <c r="E16412" t="str">
        <f>"JACKSON                   "</f>
        <v xml:space="preserve">JACKSON                   </v>
      </c>
      <c r="F16412" t="str">
        <f t="shared" si="415"/>
        <v>MS</v>
      </c>
    </row>
    <row r="16413" spans="1:6" x14ac:dyDescent="0.25">
      <c r="A16413" t="str">
        <f>"200009343"</f>
        <v>200009343</v>
      </c>
      <c r="B16413" t="str">
        <f>"1922632173"</f>
        <v>1922632173</v>
      </c>
      <c r="C16413" t="str">
        <f>"207P00000X"</f>
        <v>207P00000X</v>
      </c>
      <c r="D16413" t="str">
        <f>"WALDRUP                  MAX                      "</f>
        <v xml:space="preserve">WALDRUP                  MAX                      </v>
      </c>
      <c r="E16413" t="str">
        <f>"GULFPORT                  "</f>
        <v xml:space="preserve">GULFPORT                  </v>
      </c>
      <c r="F16413" t="str">
        <f t="shared" si="415"/>
        <v>MS</v>
      </c>
    </row>
    <row r="16414" spans="1:6" x14ac:dyDescent="0.25">
      <c r="A16414" t="str">
        <f>"200009356"</f>
        <v>200009356</v>
      </c>
      <c r="B16414" t="str">
        <f>"1265483432"</f>
        <v>1265483432</v>
      </c>
      <c r="C16414" t="str">
        <f>"207L00000X"</f>
        <v>207L00000X</v>
      </c>
      <c r="D16414" t="str">
        <f>"BOYSEN                   PHILIP                   "</f>
        <v xml:space="preserve">BOYSEN                   PHILIP                   </v>
      </c>
      <c r="E16414" t="str">
        <f>"BILOXI                    "</f>
        <v xml:space="preserve">BILOXI                    </v>
      </c>
      <c r="F16414" t="str">
        <f t="shared" si="415"/>
        <v>MS</v>
      </c>
    </row>
    <row r="16415" spans="1:6" x14ac:dyDescent="0.25">
      <c r="A16415" t="str">
        <f>"200009358"</f>
        <v>200009358</v>
      </c>
      <c r="B16415" t="str">
        <f>"1396439899"</f>
        <v>1396439899</v>
      </c>
      <c r="C16415" t="str">
        <f>"261QF0400X"</f>
        <v>261QF0400X</v>
      </c>
      <c r="D16415" t="str">
        <f>"ARCARE                                            "</f>
        <v xml:space="preserve">ARCARE                                            </v>
      </c>
      <c r="E16415" t="str">
        <f>"NEW ALBANY                "</f>
        <v xml:space="preserve">NEW ALBANY                </v>
      </c>
      <c r="F16415" t="str">
        <f t="shared" si="415"/>
        <v>MS</v>
      </c>
    </row>
    <row r="16416" spans="1:6" x14ac:dyDescent="0.25">
      <c r="A16416" t="str">
        <f>"200009364"</f>
        <v>200009364</v>
      </c>
      <c r="B16416" t="str">
        <f>"1548031339"</f>
        <v>1548031339</v>
      </c>
      <c r="C16416" t="str">
        <f>"367500000X"</f>
        <v>367500000X</v>
      </c>
      <c r="D16416" t="str">
        <f>"RAHAIM                   SHIAR        T           "</f>
        <v xml:space="preserve">RAHAIM                   SHIAR        T           </v>
      </c>
      <c r="E16416" t="str">
        <f>"JACKSON                   "</f>
        <v xml:space="preserve">JACKSON                   </v>
      </c>
      <c r="F16416" t="str">
        <f t="shared" si="415"/>
        <v>MS</v>
      </c>
    </row>
    <row r="16417" spans="1:6" x14ac:dyDescent="0.25">
      <c r="A16417" t="str">
        <f>"200009365"</f>
        <v>200009365</v>
      </c>
      <c r="B16417" t="str">
        <f>"1316694359"</f>
        <v>1316694359</v>
      </c>
      <c r="C16417" t="str">
        <f>"363A00000X"</f>
        <v>363A00000X</v>
      </c>
      <c r="D16417" t="str">
        <f>"WINESKI                  ALLISON                  "</f>
        <v xml:space="preserve">WINESKI                  ALLISON                  </v>
      </c>
      <c r="E16417" t="str">
        <f>"OCEAN SPRINGS             "</f>
        <v xml:space="preserve">OCEAN SPRINGS             </v>
      </c>
      <c r="F16417" t="str">
        <f t="shared" si="415"/>
        <v>MS</v>
      </c>
    </row>
    <row r="16418" spans="1:6" x14ac:dyDescent="0.25">
      <c r="A16418" t="str">
        <f>"200009378"</f>
        <v>200009378</v>
      </c>
      <c r="B16418" t="str">
        <f>"1083483085"</f>
        <v>1083483085</v>
      </c>
      <c r="C16418" t="str">
        <f>"363LA2100X"</f>
        <v>363LA2100X</v>
      </c>
      <c r="D16418" t="str">
        <f>"STEGALL                  AMANDA       K           "</f>
        <v xml:space="preserve">STEGALL                  AMANDA       K           </v>
      </c>
      <c r="E16418" t="str">
        <f>"JACKSON                   "</f>
        <v xml:space="preserve">JACKSON                   </v>
      </c>
      <c r="F16418" t="str">
        <f t="shared" si="415"/>
        <v>MS</v>
      </c>
    </row>
    <row r="16419" spans="1:6" x14ac:dyDescent="0.25">
      <c r="A16419" t="str">
        <f>"200009388"</f>
        <v>200009388</v>
      </c>
      <c r="B16419" t="str">
        <f>"1083390967"</f>
        <v>1083390967</v>
      </c>
      <c r="C16419" t="str">
        <f>"363L00000X"</f>
        <v>363L00000X</v>
      </c>
      <c r="D16419" t="str">
        <f>"HUNTER                   ANGELIQUE                "</f>
        <v xml:space="preserve">HUNTER                   ANGELIQUE                </v>
      </c>
      <c r="E16419" t="str">
        <f>"FLOWOOD                   "</f>
        <v xml:space="preserve">FLOWOOD                   </v>
      </c>
      <c r="F16419" t="str">
        <f t="shared" si="415"/>
        <v>MS</v>
      </c>
    </row>
    <row r="16420" spans="1:6" x14ac:dyDescent="0.25">
      <c r="A16420" t="str">
        <f>"200009402"</f>
        <v>200009402</v>
      </c>
      <c r="B16420" t="str">
        <f>"1144904657"</f>
        <v>1144904657</v>
      </c>
      <c r="C16420" t="str">
        <f>"122300000X"</f>
        <v>122300000X</v>
      </c>
      <c r="D16420" t="str">
        <f>"VALENTINE                SARA                     "</f>
        <v xml:space="preserve">VALENTINE                SARA                     </v>
      </c>
      <c r="E16420" t="str">
        <f>"WINONA                    "</f>
        <v xml:space="preserve">WINONA                    </v>
      </c>
      <c r="F16420" t="str">
        <f t="shared" si="415"/>
        <v>MS</v>
      </c>
    </row>
    <row r="16421" spans="1:6" x14ac:dyDescent="0.25">
      <c r="A16421" t="str">
        <f>"200009403"</f>
        <v>200009403</v>
      </c>
      <c r="B16421" t="str">
        <f>"1639953409"</f>
        <v>1639953409</v>
      </c>
      <c r="C16421" t="str">
        <f>"363LF0000X"</f>
        <v>363LF0000X</v>
      </c>
      <c r="D16421" t="str">
        <f>"FLOYD                    COURTNEY                 "</f>
        <v xml:space="preserve">FLOYD                    COURTNEY                 </v>
      </c>
      <c r="E16421" t="str">
        <f>"NEW ALBANY                "</f>
        <v xml:space="preserve">NEW ALBANY                </v>
      </c>
      <c r="F16421" t="str">
        <f t="shared" si="415"/>
        <v>MS</v>
      </c>
    </row>
    <row r="16422" spans="1:6" x14ac:dyDescent="0.25">
      <c r="A16422" t="str">
        <f>"200009413"</f>
        <v>200009413</v>
      </c>
      <c r="B16422" t="str">
        <f>"1922875228"</f>
        <v>1922875228</v>
      </c>
      <c r="C16422" t="str">
        <f>"363LF0000X"</f>
        <v>363LF0000X</v>
      </c>
      <c r="D16422" t="str">
        <f>"WILLIAMS                 BARBARA                  "</f>
        <v xml:space="preserve">WILLIAMS                 BARBARA                  </v>
      </c>
      <c r="E16422" t="str">
        <f>"MOUND BAYOU               "</f>
        <v xml:space="preserve">MOUND BAYOU               </v>
      </c>
      <c r="F16422" t="str">
        <f t="shared" si="415"/>
        <v>MS</v>
      </c>
    </row>
    <row r="16423" spans="1:6" x14ac:dyDescent="0.25">
      <c r="A16423" t="str">
        <f>"200009422"</f>
        <v>200009422</v>
      </c>
      <c r="B16423" t="str">
        <f>"1003850009"</f>
        <v>1003850009</v>
      </c>
      <c r="C16423" t="str">
        <f>"207P00000X"</f>
        <v>207P00000X</v>
      </c>
      <c r="D16423" t="str">
        <f>"VUK                      STANKO                   "</f>
        <v xml:space="preserve">VUK                      STANKO                   </v>
      </c>
      <c r="E16423" t="str">
        <f>"ABERDEEN                  "</f>
        <v xml:space="preserve">ABERDEEN                  </v>
      </c>
      <c r="F16423" t="str">
        <f t="shared" si="415"/>
        <v>MS</v>
      </c>
    </row>
    <row r="16424" spans="1:6" x14ac:dyDescent="0.25">
      <c r="A16424" t="str">
        <f>"200009435"</f>
        <v>200009435</v>
      </c>
      <c r="B16424" t="str">
        <f>"1699401760"</f>
        <v>1699401760</v>
      </c>
      <c r="C16424" t="str">
        <f>"363L00000X"</f>
        <v>363L00000X</v>
      </c>
      <c r="D16424" t="str">
        <f>"HERRING                  BARBARA                  "</f>
        <v xml:space="preserve">HERRING                  BARBARA                  </v>
      </c>
      <c r="E16424" t="str">
        <f>"JACKSON                   "</f>
        <v xml:space="preserve">JACKSON                   </v>
      </c>
      <c r="F16424" t="str">
        <f t="shared" si="415"/>
        <v>MS</v>
      </c>
    </row>
    <row r="16425" spans="1:6" x14ac:dyDescent="0.25">
      <c r="A16425" t="str">
        <f>"200009449"</f>
        <v>200009449</v>
      </c>
      <c r="B16425" t="str">
        <f>"1063284933"</f>
        <v>1063284933</v>
      </c>
      <c r="C16425" t="str">
        <f>"363L00000X"</f>
        <v>363L00000X</v>
      </c>
      <c r="D16425" t="str">
        <f>"MYERS                    JENNIFER                 "</f>
        <v xml:space="preserve">MYERS                    JENNIFER                 </v>
      </c>
      <c r="E16425" t="str">
        <f>"BILOXI                    "</f>
        <v xml:space="preserve">BILOXI                    </v>
      </c>
      <c r="F16425" t="str">
        <f t="shared" si="415"/>
        <v>MS</v>
      </c>
    </row>
    <row r="16426" spans="1:6" x14ac:dyDescent="0.25">
      <c r="A16426" t="str">
        <f>"200009467"</f>
        <v>200009467</v>
      </c>
      <c r="B16426" t="str">
        <f>"1407504772"</f>
        <v>1407504772</v>
      </c>
      <c r="C16426" t="str">
        <f>"363L00000X"</f>
        <v>363L00000X</v>
      </c>
      <c r="D16426" t="str">
        <f>"SMITH                    MICHAELA                 "</f>
        <v xml:space="preserve">SMITH                    MICHAELA                 </v>
      </c>
      <c r="E16426" t="str">
        <f>"RIDGELAND                 "</f>
        <v xml:space="preserve">RIDGELAND                 </v>
      </c>
      <c r="F16426" t="str">
        <f t="shared" si="415"/>
        <v>MS</v>
      </c>
    </row>
    <row r="16427" spans="1:6" x14ac:dyDescent="0.25">
      <c r="A16427" t="str">
        <f>"200009468"</f>
        <v>200009468</v>
      </c>
      <c r="B16427" t="str">
        <f>"1558343392"</f>
        <v>1558343392</v>
      </c>
      <c r="C16427" t="str">
        <f>"207Q00000X"</f>
        <v>207Q00000X</v>
      </c>
      <c r="D16427" t="str">
        <f>"SENTER                   STEPHEN      K           "</f>
        <v xml:space="preserve">SENTER                   STEPHEN      K           </v>
      </c>
      <c r="E16427" t="str">
        <f>"BELMONT                   "</f>
        <v xml:space="preserve">BELMONT                   </v>
      </c>
      <c r="F16427" t="str">
        <f t="shared" si="415"/>
        <v>MS</v>
      </c>
    </row>
    <row r="16428" spans="1:6" x14ac:dyDescent="0.25">
      <c r="A16428" t="str">
        <f>"200009478"</f>
        <v>200009478</v>
      </c>
      <c r="B16428" t="str">
        <f>"1841060837"</f>
        <v>1841060837</v>
      </c>
      <c r="C16428" t="str">
        <f>"363L00000X"</f>
        <v>363L00000X</v>
      </c>
      <c r="D16428" t="str">
        <f>"RYALS                    ANALEE       B           "</f>
        <v xml:space="preserve">RYALS                    ANALEE       B           </v>
      </c>
      <c r="E16428" t="str">
        <f>"LELAND                    "</f>
        <v xml:space="preserve">LELAND                    </v>
      </c>
      <c r="F16428" t="str">
        <f t="shared" si="415"/>
        <v>MS</v>
      </c>
    </row>
    <row r="16429" spans="1:6" x14ac:dyDescent="0.25">
      <c r="A16429" t="str">
        <f>"200009481"</f>
        <v>200009481</v>
      </c>
      <c r="B16429" t="str">
        <f>"1528046315"</f>
        <v>1528046315</v>
      </c>
      <c r="C16429" t="str">
        <f>"207R00000X"</f>
        <v>207R00000X</v>
      </c>
      <c r="D16429" t="str">
        <f>"AUSEF                    AMIR                     "</f>
        <v xml:space="preserve">AUSEF                    AMIR                     </v>
      </c>
      <c r="E16429" t="str">
        <f>"NATCHEZ                   "</f>
        <v xml:space="preserve">NATCHEZ                   </v>
      </c>
      <c r="F16429" t="str">
        <f t="shared" si="415"/>
        <v>MS</v>
      </c>
    </row>
    <row r="16430" spans="1:6" x14ac:dyDescent="0.25">
      <c r="A16430" t="str">
        <f>"200009492"</f>
        <v>200009492</v>
      </c>
      <c r="B16430" t="str">
        <f>"1376306480"</f>
        <v>1376306480</v>
      </c>
      <c r="C16430" t="str">
        <f>"367500000X"</f>
        <v>367500000X</v>
      </c>
      <c r="D16430" t="str">
        <f>"PENICK                   JAKE         M           "</f>
        <v xml:space="preserve">PENICK                   JAKE         M           </v>
      </c>
      <c r="E16430" t="str">
        <f>"JACKSON                   "</f>
        <v xml:space="preserve">JACKSON                   </v>
      </c>
      <c r="F16430" t="str">
        <f t="shared" si="415"/>
        <v>MS</v>
      </c>
    </row>
    <row r="16431" spans="1:6" x14ac:dyDescent="0.25">
      <c r="A16431" t="str">
        <f>"200009494"</f>
        <v>200009494</v>
      </c>
      <c r="B16431" t="str">
        <f>"1568247658"</f>
        <v>1568247658</v>
      </c>
      <c r="C16431" t="str">
        <f>"363L00000X"</f>
        <v>363L00000X</v>
      </c>
      <c r="D16431" t="str">
        <f>"GLADNEY                  TINEKA       O           "</f>
        <v xml:space="preserve">GLADNEY                  TINEKA       O           </v>
      </c>
      <c r="E16431" t="str">
        <f>"FLOWOOD                   "</f>
        <v xml:space="preserve">FLOWOOD                   </v>
      </c>
      <c r="F16431" t="str">
        <f t="shared" si="415"/>
        <v>MS</v>
      </c>
    </row>
    <row r="16432" spans="1:6" x14ac:dyDescent="0.25">
      <c r="A16432" t="str">
        <f>"200009496"</f>
        <v>200009496</v>
      </c>
      <c r="B16432" t="str">
        <f>"1275397507"</f>
        <v>1275397507</v>
      </c>
      <c r="C16432" t="str">
        <f>"363L00000X"</f>
        <v>363L00000X</v>
      </c>
      <c r="D16432" t="str">
        <f>"HUGHES                   MELANIE                  "</f>
        <v xml:space="preserve">HUGHES                   MELANIE                  </v>
      </c>
      <c r="E16432" t="str">
        <f>"WIGGINS                   "</f>
        <v xml:space="preserve">WIGGINS                   </v>
      </c>
      <c r="F16432" t="str">
        <f t="shared" si="415"/>
        <v>MS</v>
      </c>
    </row>
    <row r="16433" spans="1:6" x14ac:dyDescent="0.25">
      <c r="A16433" t="str">
        <f>"200009512"</f>
        <v>200009512</v>
      </c>
      <c r="B16433" t="str">
        <f>"1730675612"</f>
        <v>1730675612</v>
      </c>
      <c r="C16433" t="str">
        <f>"363L00000X"</f>
        <v>363L00000X</v>
      </c>
      <c r="D16433" t="str">
        <f>"RONEY                    REGAN        M           "</f>
        <v xml:space="preserve">RONEY                    REGAN        M           </v>
      </c>
      <c r="E16433" t="str">
        <f>"LAUREL                    "</f>
        <v xml:space="preserve">LAUREL                    </v>
      </c>
      <c r="F16433" t="str">
        <f t="shared" si="415"/>
        <v>MS</v>
      </c>
    </row>
    <row r="16434" spans="1:6" x14ac:dyDescent="0.25">
      <c r="A16434" t="str">
        <f>"200009515"</f>
        <v>200009515</v>
      </c>
      <c r="B16434" t="str">
        <f>"1790476737"</f>
        <v>1790476737</v>
      </c>
      <c r="C16434" t="str">
        <f>"261QM1300X"</f>
        <v>261QM1300X</v>
      </c>
      <c r="D16434" t="str">
        <f>"THE BRAIN GROUP LLC                               "</f>
        <v xml:space="preserve">THE BRAIN GROUP LLC                               </v>
      </c>
      <c r="E16434" t="str">
        <f>"MCCOMB                    "</f>
        <v xml:space="preserve">MCCOMB                    </v>
      </c>
      <c r="F16434" t="str">
        <f t="shared" si="415"/>
        <v>MS</v>
      </c>
    </row>
    <row r="16435" spans="1:6" x14ac:dyDescent="0.25">
      <c r="A16435" t="str">
        <f>"200009518"</f>
        <v>200009518</v>
      </c>
      <c r="B16435" t="str">
        <f>"1588373716"</f>
        <v>1588373716</v>
      </c>
      <c r="C16435" t="str">
        <f>"363A00000X"</f>
        <v>363A00000X</v>
      </c>
      <c r="D16435" t="str">
        <f>"LONG JACKSON             KODI                     "</f>
        <v xml:space="preserve">LONG JACKSON             KODI                     </v>
      </c>
      <c r="E16435" t="str">
        <f>"JACKSON                   "</f>
        <v xml:space="preserve">JACKSON                   </v>
      </c>
      <c r="F16435" t="str">
        <f t="shared" si="415"/>
        <v>MS</v>
      </c>
    </row>
    <row r="16436" spans="1:6" x14ac:dyDescent="0.25">
      <c r="A16436" t="str">
        <f>"200009521"</f>
        <v>200009521</v>
      </c>
      <c r="B16436" t="str">
        <f>"1861263402"</f>
        <v>1861263402</v>
      </c>
      <c r="C16436" t="str">
        <f>"367500000X"</f>
        <v>367500000X</v>
      </c>
      <c r="D16436" t="str">
        <f>"MARCHANT                 KEVIN        P           "</f>
        <v xml:space="preserve">MARCHANT                 KEVIN        P           </v>
      </c>
      <c r="E16436" t="str">
        <f>"JACKSON                   "</f>
        <v xml:space="preserve">JACKSON                   </v>
      </c>
      <c r="F16436" t="str">
        <f t="shared" si="415"/>
        <v>MS</v>
      </c>
    </row>
    <row r="16437" spans="1:6" x14ac:dyDescent="0.25">
      <c r="A16437" t="str">
        <f>"200009539"</f>
        <v>200009539</v>
      </c>
      <c r="B16437" t="str">
        <f>"1205698008"</f>
        <v>1205698008</v>
      </c>
      <c r="C16437" t="str">
        <f>"363L00000X"</f>
        <v>363L00000X</v>
      </c>
      <c r="D16437" t="str">
        <f>"WITHERSPOON              JODY                     "</f>
        <v xml:space="preserve">WITHERSPOON              JODY                     </v>
      </c>
      <c r="E16437" t="str">
        <f>"TUPELO                    "</f>
        <v xml:space="preserve">TUPELO                    </v>
      </c>
      <c r="F16437" t="str">
        <f t="shared" si="415"/>
        <v>MS</v>
      </c>
    </row>
    <row r="16438" spans="1:6" x14ac:dyDescent="0.25">
      <c r="A16438" t="str">
        <f>"200009540"</f>
        <v>200009540</v>
      </c>
      <c r="B16438" t="str">
        <f>"1396205076"</f>
        <v>1396205076</v>
      </c>
      <c r="C16438" t="str">
        <f>"207P00000X"</f>
        <v>207P00000X</v>
      </c>
      <c r="D16438" t="str">
        <f>"SCOTT                    IAN                      "</f>
        <v xml:space="preserve">SCOTT                    IAN                      </v>
      </c>
      <c r="E16438" t="str">
        <f>"BRANDON                   "</f>
        <v xml:space="preserve">BRANDON                   </v>
      </c>
      <c r="F16438" t="str">
        <f t="shared" si="415"/>
        <v>MS</v>
      </c>
    </row>
    <row r="16439" spans="1:6" x14ac:dyDescent="0.25">
      <c r="A16439" t="str">
        <f>"200009544"</f>
        <v>200009544</v>
      </c>
      <c r="B16439" t="str">
        <f>"1710555115"</f>
        <v>1710555115</v>
      </c>
      <c r="C16439" t="str">
        <f>"122300000X"</f>
        <v>122300000X</v>
      </c>
      <c r="D16439" t="str">
        <f>"MOORE                    ETHAN                    "</f>
        <v xml:space="preserve">MOORE                    ETHAN                    </v>
      </c>
      <c r="E16439" t="str">
        <f>"COLUMBIA                  "</f>
        <v xml:space="preserve">COLUMBIA                  </v>
      </c>
      <c r="F16439" t="str">
        <f t="shared" si="415"/>
        <v>MS</v>
      </c>
    </row>
    <row r="16440" spans="1:6" x14ac:dyDescent="0.25">
      <c r="A16440" t="str">
        <f>"200009555"</f>
        <v>200009555</v>
      </c>
      <c r="B16440" t="str">
        <f>"1447028741"</f>
        <v>1447028741</v>
      </c>
      <c r="C16440" t="str">
        <f>"363L00000X"</f>
        <v>363L00000X</v>
      </c>
      <c r="D16440" t="str">
        <f>"MARTIN                   APRIL                    "</f>
        <v xml:space="preserve">MARTIN                   APRIL                    </v>
      </c>
      <c r="E16440" t="str">
        <f>"SENATOBIA                 "</f>
        <v xml:space="preserve">SENATOBIA                 </v>
      </c>
      <c r="F16440" t="str">
        <f t="shared" si="415"/>
        <v>MS</v>
      </c>
    </row>
    <row r="16441" spans="1:6" x14ac:dyDescent="0.25">
      <c r="A16441" t="str">
        <f>"200009562"</f>
        <v>200009562</v>
      </c>
      <c r="B16441" t="str">
        <f>"1225371164"</f>
        <v>1225371164</v>
      </c>
      <c r="C16441" t="str">
        <f>"207R00000X"</f>
        <v>207R00000X</v>
      </c>
      <c r="D16441" t="str">
        <f>"TAPRYAL                  SAMEER                   "</f>
        <v xml:space="preserve">TAPRYAL                  SAMEER                   </v>
      </c>
      <c r="E16441" t="str">
        <f>"CORINTH                   "</f>
        <v xml:space="preserve">CORINTH                   </v>
      </c>
      <c r="F16441" t="str">
        <f t="shared" si="415"/>
        <v>MS</v>
      </c>
    </row>
    <row r="16442" spans="1:6" x14ac:dyDescent="0.25">
      <c r="A16442" t="str">
        <f>"200009564"</f>
        <v>200009564</v>
      </c>
      <c r="B16442" t="str">
        <f>"1730159369"</f>
        <v>1730159369</v>
      </c>
      <c r="C16442" t="str">
        <f>"207Q00000X"</f>
        <v>207Q00000X</v>
      </c>
      <c r="D16442" t="str">
        <f>"SACKS                    HERMAN                   "</f>
        <v xml:space="preserve">SACKS                    HERMAN                   </v>
      </c>
      <c r="E16442" t="str">
        <f>"LAUREL                    "</f>
        <v xml:space="preserve">LAUREL                    </v>
      </c>
      <c r="F16442" t="str">
        <f t="shared" si="415"/>
        <v>MS</v>
      </c>
    </row>
    <row r="16443" spans="1:6" x14ac:dyDescent="0.25">
      <c r="A16443" t="str">
        <f>"200009577"</f>
        <v>200009577</v>
      </c>
      <c r="B16443" t="str">
        <f>"1760117022"</f>
        <v>1760117022</v>
      </c>
      <c r="C16443" t="str">
        <f t="shared" ref="C16443:C16449" si="416">"363L00000X"</f>
        <v>363L00000X</v>
      </c>
      <c r="D16443" t="str">
        <f>"MALONE                   VIRGINIA                 "</f>
        <v xml:space="preserve">MALONE                   VIRGINIA                 </v>
      </c>
      <c r="E16443" t="str">
        <f>"JACKSON                   "</f>
        <v xml:space="preserve">JACKSON                   </v>
      </c>
      <c r="F16443" t="str">
        <f t="shared" si="415"/>
        <v>MS</v>
      </c>
    </row>
    <row r="16444" spans="1:6" x14ac:dyDescent="0.25">
      <c r="A16444" t="str">
        <f>"200009594"</f>
        <v>200009594</v>
      </c>
      <c r="B16444" t="str">
        <f>"1881227759"</f>
        <v>1881227759</v>
      </c>
      <c r="C16444" t="str">
        <f t="shared" si="416"/>
        <v>363L00000X</v>
      </c>
      <c r="D16444" t="str">
        <f>"SIMS                     COURTNEY     J           "</f>
        <v xml:space="preserve">SIMS                     COURTNEY     J           </v>
      </c>
      <c r="E16444" t="str">
        <f>"LAUREL                    "</f>
        <v xml:space="preserve">LAUREL                    </v>
      </c>
      <c r="F16444" t="str">
        <f t="shared" si="415"/>
        <v>MS</v>
      </c>
    </row>
    <row r="16445" spans="1:6" x14ac:dyDescent="0.25">
      <c r="A16445" t="str">
        <f>"200009600"</f>
        <v>200009600</v>
      </c>
      <c r="B16445" t="str">
        <f>"1669009007"</f>
        <v>1669009007</v>
      </c>
      <c r="C16445" t="str">
        <f t="shared" si="416"/>
        <v>363L00000X</v>
      </c>
      <c r="D16445" t="str">
        <f>"LOGAN                    EMILY                    "</f>
        <v xml:space="preserve">LOGAN                    EMILY                    </v>
      </c>
      <c r="E16445" t="str">
        <f>"SOUTHAVEN                 "</f>
        <v xml:space="preserve">SOUTHAVEN                 </v>
      </c>
      <c r="F16445" t="str">
        <f t="shared" si="415"/>
        <v>MS</v>
      </c>
    </row>
    <row r="16446" spans="1:6" x14ac:dyDescent="0.25">
      <c r="A16446" t="str">
        <f>"200009602"</f>
        <v>200009602</v>
      </c>
      <c r="B16446" t="str">
        <f>"1497516983"</f>
        <v>1497516983</v>
      </c>
      <c r="C16446" t="str">
        <f t="shared" si="416"/>
        <v>363L00000X</v>
      </c>
      <c r="D16446" t="str">
        <f>"KELTON                   BRITTNEY                 "</f>
        <v xml:space="preserve">KELTON                   BRITTNEY                 </v>
      </c>
      <c r="E16446" t="str">
        <f>"TUPELO                    "</f>
        <v xml:space="preserve">TUPELO                    </v>
      </c>
      <c r="F16446" t="str">
        <f t="shared" ref="F16446:F16509" si="417">"MS"</f>
        <v>MS</v>
      </c>
    </row>
    <row r="16447" spans="1:6" x14ac:dyDescent="0.25">
      <c r="A16447" t="str">
        <f>"200009640"</f>
        <v>200009640</v>
      </c>
      <c r="B16447" t="str">
        <f>"1902685530"</f>
        <v>1902685530</v>
      </c>
      <c r="C16447" t="str">
        <f t="shared" si="416"/>
        <v>363L00000X</v>
      </c>
      <c r="D16447" t="str">
        <f>"SULLIVAN                 LAUREN                   "</f>
        <v xml:space="preserve">SULLIVAN                 LAUREN                   </v>
      </c>
      <c r="E16447" t="str">
        <f>"COLUMBUS                  "</f>
        <v xml:space="preserve">COLUMBUS                  </v>
      </c>
      <c r="F16447" t="str">
        <f t="shared" si="417"/>
        <v>MS</v>
      </c>
    </row>
    <row r="16448" spans="1:6" x14ac:dyDescent="0.25">
      <c r="A16448" t="str">
        <f>"200009644"</f>
        <v>200009644</v>
      </c>
      <c r="B16448" t="str">
        <f>"1194232660"</f>
        <v>1194232660</v>
      </c>
      <c r="C16448" t="str">
        <f t="shared" si="416"/>
        <v>363L00000X</v>
      </c>
      <c r="D16448" t="str">
        <f>"WATKINS                  KELLIE                   "</f>
        <v xml:space="preserve">WATKINS                  KELLIE                   </v>
      </c>
      <c r="E16448" t="str">
        <f>"JACKSON                   "</f>
        <v xml:space="preserve">JACKSON                   </v>
      </c>
      <c r="F16448" t="str">
        <f t="shared" si="417"/>
        <v>MS</v>
      </c>
    </row>
    <row r="16449" spans="1:6" x14ac:dyDescent="0.25">
      <c r="A16449" t="str">
        <f>"200009654"</f>
        <v>200009654</v>
      </c>
      <c r="B16449" t="str">
        <f>"1447037965"</f>
        <v>1447037965</v>
      </c>
      <c r="C16449" t="str">
        <f t="shared" si="416"/>
        <v>363L00000X</v>
      </c>
      <c r="D16449" t="str">
        <f>"BURNETT                  CLARE        F           "</f>
        <v xml:space="preserve">BURNETT                  CLARE        F           </v>
      </c>
      <c r="E16449" t="str">
        <f>"PORT GIBSON               "</f>
        <v xml:space="preserve">PORT GIBSON               </v>
      </c>
      <c r="F16449" t="str">
        <f t="shared" si="417"/>
        <v>MS</v>
      </c>
    </row>
    <row r="16450" spans="1:6" x14ac:dyDescent="0.25">
      <c r="A16450" t="str">
        <f>"200009657"</f>
        <v>200009657</v>
      </c>
      <c r="B16450" t="str">
        <f>"1174581623"</f>
        <v>1174581623</v>
      </c>
      <c r="C16450" t="str">
        <f>"208600000X"</f>
        <v>208600000X</v>
      </c>
      <c r="D16450" t="str">
        <f>"ELLIS                    RICHARD                  "</f>
        <v xml:space="preserve">ELLIS                    RICHARD                  </v>
      </c>
      <c r="E16450" t="str">
        <f>"OXFORD                    "</f>
        <v xml:space="preserve">OXFORD                    </v>
      </c>
      <c r="F16450" t="str">
        <f t="shared" si="417"/>
        <v>MS</v>
      </c>
    </row>
    <row r="16451" spans="1:6" x14ac:dyDescent="0.25">
      <c r="A16451" t="str">
        <f>"200009664"</f>
        <v>200009664</v>
      </c>
      <c r="B16451" t="str">
        <f>"1376179655"</f>
        <v>1376179655</v>
      </c>
      <c r="C16451" t="str">
        <f>"207R00000X"</f>
        <v>207R00000X</v>
      </c>
      <c r="D16451" t="str">
        <f>"SPRINGER                 HAYDEN       A           "</f>
        <v xml:space="preserve">SPRINGER                 HAYDEN       A           </v>
      </c>
      <c r="E16451" t="str">
        <f>"GULFPORT                  "</f>
        <v xml:space="preserve">GULFPORT                  </v>
      </c>
      <c r="F16451" t="str">
        <f t="shared" si="417"/>
        <v>MS</v>
      </c>
    </row>
    <row r="16452" spans="1:6" x14ac:dyDescent="0.25">
      <c r="A16452" t="str">
        <f>"200009665"</f>
        <v>200009665</v>
      </c>
      <c r="B16452" t="str">
        <f>"1619578176"</f>
        <v>1619578176</v>
      </c>
      <c r="C16452" t="str">
        <f>"363L00000X"</f>
        <v>363L00000X</v>
      </c>
      <c r="D16452" t="str">
        <f>"KUHN                     BRIAN        R           "</f>
        <v xml:space="preserve">KUHN                     BRIAN        R           </v>
      </c>
      <c r="E16452" t="str">
        <f>"VICKSBURG                 "</f>
        <v xml:space="preserve">VICKSBURG                 </v>
      </c>
      <c r="F16452" t="str">
        <f t="shared" si="417"/>
        <v>MS</v>
      </c>
    </row>
    <row r="16453" spans="1:6" x14ac:dyDescent="0.25">
      <c r="A16453" t="str">
        <f>"200009668"</f>
        <v>200009668</v>
      </c>
      <c r="B16453" t="str">
        <f>"1114505666"</f>
        <v>1114505666</v>
      </c>
      <c r="C16453" t="str">
        <f>"207Q00000X"</f>
        <v>207Q00000X</v>
      </c>
      <c r="D16453" t="str">
        <f>"BERGMAN                  SARAH                    "</f>
        <v xml:space="preserve">BERGMAN                  SARAH                    </v>
      </c>
      <c r="E16453" t="str">
        <f>"ABERDEEN                  "</f>
        <v xml:space="preserve">ABERDEEN                  </v>
      </c>
      <c r="F16453" t="str">
        <f t="shared" si="417"/>
        <v>MS</v>
      </c>
    </row>
    <row r="16454" spans="1:6" x14ac:dyDescent="0.25">
      <c r="A16454" t="str">
        <f>"200009675"</f>
        <v>200009675</v>
      </c>
      <c r="B16454" t="str">
        <f>"1417731548"</f>
        <v>1417731548</v>
      </c>
      <c r="C16454" t="str">
        <f>"363L00000X"</f>
        <v>363L00000X</v>
      </c>
      <c r="D16454" t="str">
        <f>"KRYSTAL                  TRUSSELL                 "</f>
        <v xml:space="preserve">KRYSTAL                  TRUSSELL                 </v>
      </c>
      <c r="E16454" t="str">
        <f>"MERIDIAN                  "</f>
        <v xml:space="preserve">MERIDIAN                  </v>
      </c>
      <c r="F16454" t="str">
        <f t="shared" si="417"/>
        <v>MS</v>
      </c>
    </row>
    <row r="16455" spans="1:6" x14ac:dyDescent="0.25">
      <c r="A16455" t="str">
        <f>"200009676"</f>
        <v>200009676</v>
      </c>
      <c r="B16455" t="str">
        <f>"1285409318"</f>
        <v>1285409318</v>
      </c>
      <c r="C16455" t="str">
        <f>"363L00000X"</f>
        <v>363L00000X</v>
      </c>
      <c r="D16455" t="str">
        <f>"MITCHELL                 MEGAN                    "</f>
        <v xml:space="preserve">MITCHELL                 MEGAN                    </v>
      </c>
      <c r="E16455" t="str">
        <f>"PICAYUNE                  "</f>
        <v xml:space="preserve">PICAYUNE                  </v>
      </c>
      <c r="F16455" t="str">
        <f t="shared" si="417"/>
        <v>MS</v>
      </c>
    </row>
    <row r="16456" spans="1:6" x14ac:dyDescent="0.25">
      <c r="A16456" t="str">
        <f>"200009677"</f>
        <v>200009677</v>
      </c>
      <c r="B16456" t="str">
        <f>"1548830987"</f>
        <v>1548830987</v>
      </c>
      <c r="C16456" t="str">
        <f>"122300000X"</f>
        <v>122300000X</v>
      </c>
      <c r="D16456" t="str">
        <f>"ADAMS                    JOHN         C           "</f>
        <v xml:space="preserve">ADAMS                    JOHN         C           </v>
      </c>
      <c r="E16456" t="str">
        <f>"MAGEE                     "</f>
        <v xml:space="preserve">MAGEE                     </v>
      </c>
      <c r="F16456" t="str">
        <f t="shared" si="417"/>
        <v>MS</v>
      </c>
    </row>
    <row r="16457" spans="1:6" x14ac:dyDescent="0.25">
      <c r="A16457" t="str">
        <f>"200009679"</f>
        <v>200009679</v>
      </c>
      <c r="B16457" t="str">
        <f>"1861123739"</f>
        <v>1861123739</v>
      </c>
      <c r="C16457" t="str">
        <f>"363L00000X"</f>
        <v>363L00000X</v>
      </c>
      <c r="D16457" t="str">
        <f>"THRASH                   JAMIE        M           "</f>
        <v xml:space="preserve">THRASH                   JAMIE        M           </v>
      </c>
      <c r="E16457" t="str">
        <f>"MERIDIAN                  "</f>
        <v xml:space="preserve">MERIDIAN                  </v>
      </c>
      <c r="F16457" t="str">
        <f t="shared" si="417"/>
        <v>MS</v>
      </c>
    </row>
    <row r="16458" spans="1:6" x14ac:dyDescent="0.25">
      <c r="A16458" t="str">
        <f>"200009681"</f>
        <v>200009681</v>
      </c>
      <c r="B16458" t="str">
        <f>"1629612288"</f>
        <v>1629612288</v>
      </c>
      <c r="C16458" t="str">
        <f>"363L00000X"</f>
        <v>363L00000X</v>
      </c>
      <c r="D16458" t="str">
        <f>"BIRCHFIELD               CHAQUINAIS               "</f>
        <v xml:space="preserve">BIRCHFIELD               CHAQUINAIS               </v>
      </c>
      <c r="E16458" t="str">
        <f>"BAY SAINT LOUIS           "</f>
        <v xml:space="preserve">BAY SAINT LOUIS           </v>
      </c>
      <c r="F16458" t="str">
        <f t="shared" si="417"/>
        <v>MS</v>
      </c>
    </row>
    <row r="16459" spans="1:6" x14ac:dyDescent="0.25">
      <c r="A16459" t="str">
        <f>"200009688"</f>
        <v>200009688</v>
      </c>
      <c r="B16459" t="str">
        <f>"1144083866"</f>
        <v>1144083866</v>
      </c>
      <c r="C16459" t="str">
        <f>"363L00000X"</f>
        <v>363L00000X</v>
      </c>
      <c r="D16459" t="str">
        <f>"LADNER                   ANGEL                    "</f>
        <v xml:space="preserve">LADNER                   ANGEL                    </v>
      </c>
      <c r="E16459" t="str">
        <f>"BAY SAINT LOUIS           "</f>
        <v xml:space="preserve">BAY SAINT LOUIS           </v>
      </c>
      <c r="F16459" t="str">
        <f t="shared" si="417"/>
        <v>MS</v>
      </c>
    </row>
    <row r="16460" spans="1:6" x14ac:dyDescent="0.25">
      <c r="A16460" t="str">
        <f>"200009693"</f>
        <v>200009693</v>
      </c>
      <c r="B16460" t="str">
        <f>"1174855647"</f>
        <v>1174855647</v>
      </c>
      <c r="C16460" t="str">
        <f>"363L00000X"</f>
        <v>363L00000X</v>
      </c>
      <c r="D16460" t="str">
        <f>"STEWART                  LISA                     "</f>
        <v xml:space="preserve">STEWART                  LISA                     </v>
      </c>
      <c r="E16460" t="str">
        <f>"JACKSON                   "</f>
        <v xml:space="preserve">JACKSON                   </v>
      </c>
      <c r="F16460" t="str">
        <f t="shared" si="417"/>
        <v>MS</v>
      </c>
    </row>
    <row r="16461" spans="1:6" x14ac:dyDescent="0.25">
      <c r="A16461" t="str">
        <f>"200009702"</f>
        <v>200009702</v>
      </c>
      <c r="B16461" t="str">
        <f>"1720437817"</f>
        <v>1720437817</v>
      </c>
      <c r="C16461" t="str">
        <f>"363L00000X"</f>
        <v>363L00000X</v>
      </c>
      <c r="D16461" t="str">
        <f>"ROBINSON                 ASHLIE                   "</f>
        <v xml:space="preserve">ROBINSON                 ASHLIE                   </v>
      </c>
      <c r="E16461" t="str">
        <f>"VICKSBURG                 "</f>
        <v xml:space="preserve">VICKSBURG                 </v>
      </c>
      <c r="F16461" t="str">
        <f t="shared" si="417"/>
        <v>MS</v>
      </c>
    </row>
    <row r="16462" spans="1:6" x14ac:dyDescent="0.25">
      <c r="A16462" t="str">
        <f>"200009707"</f>
        <v>200009707</v>
      </c>
      <c r="B16462" t="str">
        <f>"1477593663"</f>
        <v>1477593663</v>
      </c>
      <c r="C16462" t="str">
        <f>"207RC0000X"</f>
        <v>207RC0000X</v>
      </c>
      <c r="D16462" t="str">
        <f>"COCHRAN                  GLENN                    "</f>
        <v xml:space="preserve">COCHRAN                  GLENN                    </v>
      </c>
      <c r="E16462" t="str">
        <f>"LUCEDALE                  "</f>
        <v xml:space="preserve">LUCEDALE                  </v>
      </c>
      <c r="F16462" t="str">
        <f t="shared" si="417"/>
        <v>MS</v>
      </c>
    </row>
    <row r="16463" spans="1:6" x14ac:dyDescent="0.25">
      <c r="A16463" t="str">
        <f>"200009710"</f>
        <v>200009710</v>
      </c>
      <c r="B16463" t="str">
        <f>"1396500088"</f>
        <v>1396500088</v>
      </c>
      <c r="C16463" t="str">
        <f>"363L00000X"</f>
        <v>363L00000X</v>
      </c>
      <c r="D16463" t="str">
        <f>"CATCHOT                  MIKA                     "</f>
        <v xml:space="preserve">CATCHOT                  MIKA                     </v>
      </c>
      <c r="E16463" t="str">
        <f>"PASCAGOULA                "</f>
        <v xml:space="preserve">PASCAGOULA                </v>
      </c>
      <c r="F16463" t="str">
        <f t="shared" si="417"/>
        <v>MS</v>
      </c>
    </row>
    <row r="16464" spans="1:6" x14ac:dyDescent="0.25">
      <c r="A16464" t="str">
        <f>"200009741"</f>
        <v>200009741</v>
      </c>
      <c r="B16464" t="str">
        <f>"1689453524"</f>
        <v>1689453524</v>
      </c>
      <c r="C16464" t="str">
        <f>"363LF0000X"</f>
        <v>363LF0000X</v>
      </c>
      <c r="D16464" t="str">
        <f>"EZELL                    PHILLIP                  "</f>
        <v xml:space="preserve">EZELL                    PHILLIP                  </v>
      </c>
      <c r="E16464" t="str">
        <f>"RICHLAND                  "</f>
        <v xml:space="preserve">RICHLAND                  </v>
      </c>
      <c r="F16464" t="str">
        <f t="shared" si="417"/>
        <v>MS</v>
      </c>
    </row>
    <row r="16465" spans="1:6" x14ac:dyDescent="0.25">
      <c r="A16465" t="str">
        <f>"200009762"</f>
        <v>200009762</v>
      </c>
      <c r="B16465" t="str">
        <f>"1215707195"</f>
        <v>1215707195</v>
      </c>
      <c r="C16465" t="str">
        <f>"367500000X"</f>
        <v>367500000X</v>
      </c>
      <c r="D16465" t="str">
        <f>"DYE                      SHELBY                   "</f>
        <v xml:space="preserve">DYE                      SHELBY                   </v>
      </c>
      <c r="E16465" t="str">
        <f>"FLOWOOD                   "</f>
        <v xml:space="preserve">FLOWOOD                   </v>
      </c>
      <c r="F16465" t="str">
        <f t="shared" si="417"/>
        <v>MS</v>
      </c>
    </row>
    <row r="16466" spans="1:6" x14ac:dyDescent="0.25">
      <c r="A16466" t="str">
        <f>"200009765"</f>
        <v>200009765</v>
      </c>
      <c r="B16466" t="str">
        <f>"1003415266"</f>
        <v>1003415266</v>
      </c>
      <c r="C16466" t="str">
        <f>"363LF0000X"</f>
        <v>363LF0000X</v>
      </c>
      <c r="D16466" t="str">
        <f>"FORTENBERRY              CHRISTIAN                "</f>
        <v xml:space="preserve">FORTENBERRY              CHRISTIAN                </v>
      </c>
      <c r="E16466" t="str">
        <f>"JACKSON                   "</f>
        <v xml:space="preserve">JACKSON                   </v>
      </c>
      <c r="F16466" t="str">
        <f t="shared" si="417"/>
        <v>MS</v>
      </c>
    </row>
    <row r="16467" spans="1:6" x14ac:dyDescent="0.25">
      <c r="A16467" t="str">
        <f>"200009775"</f>
        <v>200009775</v>
      </c>
      <c r="B16467" t="str">
        <f>"1144252834"</f>
        <v>1144252834</v>
      </c>
      <c r="C16467" t="str">
        <f>"207Q00000X"</f>
        <v>207Q00000X</v>
      </c>
      <c r="D16467" t="str">
        <f>"SPEED                    JULIUS       K           "</f>
        <v xml:space="preserve">SPEED                    JULIUS       K           </v>
      </c>
      <c r="E16467" t="str">
        <f>"MCCOMB                    "</f>
        <v xml:space="preserve">MCCOMB                    </v>
      </c>
      <c r="F16467" t="str">
        <f t="shared" si="417"/>
        <v>MS</v>
      </c>
    </row>
    <row r="16468" spans="1:6" x14ac:dyDescent="0.25">
      <c r="A16468" t="str">
        <f>"200009780"</f>
        <v>200009780</v>
      </c>
      <c r="B16468" t="str">
        <f>"1366074403"</f>
        <v>1366074403</v>
      </c>
      <c r="C16468" t="str">
        <f>"363L00000X"</f>
        <v>363L00000X</v>
      </c>
      <c r="D16468" t="str">
        <f>"NORMAN                   ELIZABETH                "</f>
        <v xml:space="preserve">NORMAN                   ELIZABETH                </v>
      </c>
      <c r="E16468" t="str">
        <f>"BROOKHAVEN                "</f>
        <v xml:space="preserve">BROOKHAVEN                </v>
      </c>
      <c r="F16468" t="str">
        <f t="shared" si="417"/>
        <v>MS</v>
      </c>
    </row>
    <row r="16469" spans="1:6" x14ac:dyDescent="0.25">
      <c r="A16469" t="str">
        <f>"200009786"</f>
        <v>200009786</v>
      </c>
      <c r="B16469" t="str">
        <f>"1912693854"</f>
        <v>1912693854</v>
      </c>
      <c r="C16469" t="str">
        <f>"152W00000X"</f>
        <v>152W00000X</v>
      </c>
      <c r="D16469" t="str">
        <f>"MISSISSIPPI EYE CARE CARTHAGE                     "</f>
        <v xml:space="preserve">MISSISSIPPI EYE CARE CARTHAGE                     </v>
      </c>
      <c r="E16469" t="str">
        <f>"CARTHAGE                  "</f>
        <v xml:space="preserve">CARTHAGE                  </v>
      </c>
      <c r="F16469" t="str">
        <f t="shared" si="417"/>
        <v>MS</v>
      </c>
    </row>
    <row r="16470" spans="1:6" x14ac:dyDescent="0.25">
      <c r="A16470" t="str">
        <f>"200009792"</f>
        <v>200009792</v>
      </c>
      <c r="B16470" t="str">
        <f>"1053601526"</f>
        <v>1053601526</v>
      </c>
      <c r="C16470" t="str">
        <f>"207V00000X"</f>
        <v>207V00000X</v>
      </c>
      <c r="D16470" t="str">
        <f>"FAIRBROTHER              ERIN                     "</f>
        <v xml:space="preserve">FAIRBROTHER              ERIN                     </v>
      </c>
      <c r="E16470" t="str">
        <f>"GULFPORT                  "</f>
        <v xml:space="preserve">GULFPORT                  </v>
      </c>
      <c r="F16470" t="str">
        <f t="shared" si="417"/>
        <v>MS</v>
      </c>
    </row>
    <row r="16471" spans="1:6" x14ac:dyDescent="0.25">
      <c r="A16471" t="str">
        <f>"200009793"</f>
        <v>200009793</v>
      </c>
      <c r="B16471" t="str">
        <f>"1487815387"</f>
        <v>1487815387</v>
      </c>
      <c r="C16471" t="str">
        <f>"207Q00000X"</f>
        <v>207Q00000X</v>
      </c>
      <c r="D16471" t="str">
        <f>"ITALIA                   HIRENKUMAR               "</f>
        <v xml:space="preserve">ITALIA                   HIRENKUMAR               </v>
      </c>
      <c r="E16471" t="str">
        <f>"GRENADA                   "</f>
        <v xml:space="preserve">GRENADA                   </v>
      </c>
      <c r="F16471" t="str">
        <f t="shared" si="417"/>
        <v>MS</v>
      </c>
    </row>
    <row r="16472" spans="1:6" x14ac:dyDescent="0.25">
      <c r="A16472" t="str">
        <f>"200009794"</f>
        <v>200009794</v>
      </c>
      <c r="B16472" t="str">
        <f>"1821755737"</f>
        <v>1821755737</v>
      </c>
      <c r="C16472" t="str">
        <f>"363L00000X"</f>
        <v>363L00000X</v>
      </c>
      <c r="D16472" t="str">
        <f>"PIKE                     ANDREA                   "</f>
        <v xml:space="preserve">PIKE                     ANDREA                   </v>
      </c>
      <c r="E16472" t="str">
        <f>"OXFORD                    "</f>
        <v xml:space="preserve">OXFORD                    </v>
      </c>
      <c r="F16472" t="str">
        <f t="shared" si="417"/>
        <v>MS</v>
      </c>
    </row>
    <row r="16473" spans="1:6" x14ac:dyDescent="0.25">
      <c r="A16473" t="str">
        <f>"200009802"</f>
        <v>200009802</v>
      </c>
      <c r="B16473" t="str">
        <f>"1265745459"</f>
        <v>1265745459</v>
      </c>
      <c r="C16473" t="str">
        <f>"207R00000X"</f>
        <v>207R00000X</v>
      </c>
      <c r="D16473" t="str">
        <f>"PAMARTHY                 AMALESWARI               "</f>
        <v xml:space="preserve">PAMARTHY                 AMALESWARI               </v>
      </c>
      <c r="E16473" t="str">
        <f>"JACKSON                   "</f>
        <v xml:space="preserve">JACKSON                   </v>
      </c>
      <c r="F16473" t="str">
        <f t="shared" si="417"/>
        <v>MS</v>
      </c>
    </row>
    <row r="16474" spans="1:6" x14ac:dyDescent="0.25">
      <c r="A16474" t="str">
        <f>"200009808"</f>
        <v>200009808</v>
      </c>
      <c r="B16474" t="str">
        <f>"1568853844"</f>
        <v>1568853844</v>
      </c>
      <c r="C16474" t="str">
        <f>"207Q00000X"</f>
        <v>207Q00000X</v>
      </c>
      <c r="D16474" t="str">
        <f>"SHAHEEN                  IFFAT                    "</f>
        <v xml:space="preserve">SHAHEEN                  IFFAT                    </v>
      </c>
      <c r="E16474" t="str">
        <f>"VICKSBURG                 "</f>
        <v xml:space="preserve">VICKSBURG                 </v>
      </c>
      <c r="F16474" t="str">
        <f t="shared" si="417"/>
        <v>MS</v>
      </c>
    </row>
    <row r="16475" spans="1:6" x14ac:dyDescent="0.25">
      <c r="A16475" t="str">
        <f>"200009814"</f>
        <v>200009814</v>
      </c>
      <c r="B16475" t="str">
        <f>"1912299496"</f>
        <v>1912299496</v>
      </c>
      <c r="C16475" t="str">
        <f>"363L00000X"</f>
        <v>363L00000X</v>
      </c>
      <c r="D16475" t="str">
        <f>"BRADY                    SHARON       M           "</f>
        <v xml:space="preserve">BRADY                    SHARON       M           </v>
      </c>
      <c r="E16475" t="str">
        <f>"FLOWOOD                   "</f>
        <v xml:space="preserve">FLOWOOD                   </v>
      </c>
      <c r="F16475" t="str">
        <f t="shared" si="417"/>
        <v>MS</v>
      </c>
    </row>
    <row r="16476" spans="1:6" x14ac:dyDescent="0.25">
      <c r="A16476" t="str">
        <f>"200009839"</f>
        <v>200009839</v>
      </c>
      <c r="B16476" t="str">
        <f>"1346654415"</f>
        <v>1346654415</v>
      </c>
      <c r="C16476" t="str">
        <f>"363L00000X"</f>
        <v>363L00000X</v>
      </c>
      <c r="D16476" t="str">
        <f>"DOZIER                   NATALIE                  "</f>
        <v xml:space="preserve">DOZIER                   NATALIE                  </v>
      </c>
      <c r="E16476" t="str">
        <f>"CLEVELAND                 "</f>
        <v xml:space="preserve">CLEVELAND                 </v>
      </c>
      <c r="F16476" t="str">
        <f t="shared" si="417"/>
        <v>MS</v>
      </c>
    </row>
    <row r="16477" spans="1:6" x14ac:dyDescent="0.25">
      <c r="A16477" t="str">
        <f>"200009842"</f>
        <v>200009842</v>
      </c>
      <c r="B16477" t="str">
        <f>"1396107751"</f>
        <v>1396107751</v>
      </c>
      <c r="C16477" t="str">
        <f>"207R00000X"</f>
        <v>207R00000X</v>
      </c>
      <c r="D16477" t="str">
        <f>"COSTELLO                 RYAN                     "</f>
        <v xml:space="preserve">COSTELLO                 RYAN                     </v>
      </c>
      <c r="E16477" t="str">
        <f>"SOUTHAVEN                 "</f>
        <v xml:space="preserve">SOUTHAVEN                 </v>
      </c>
      <c r="F16477" t="str">
        <f t="shared" si="417"/>
        <v>MS</v>
      </c>
    </row>
    <row r="16478" spans="1:6" x14ac:dyDescent="0.25">
      <c r="A16478" t="str">
        <f>"200009849"</f>
        <v>200009849</v>
      </c>
      <c r="B16478" t="str">
        <f>"1164629515"</f>
        <v>1164629515</v>
      </c>
      <c r="C16478" t="str">
        <f>"207R00000X"</f>
        <v>207R00000X</v>
      </c>
      <c r="D16478" t="str">
        <f>"HERPICH                  BYRON                    "</f>
        <v xml:space="preserve">HERPICH                  BYRON                    </v>
      </c>
      <c r="E16478" t="str">
        <f>"GRENADA                   "</f>
        <v xml:space="preserve">GRENADA                   </v>
      </c>
      <c r="F16478" t="str">
        <f t="shared" si="417"/>
        <v>MS</v>
      </c>
    </row>
    <row r="16479" spans="1:6" x14ac:dyDescent="0.25">
      <c r="A16479" t="str">
        <f>"200009870"</f>
        <v>200009870</v>
      </c>
      <c r="B16479" t="str">
        <f>"1891219457"</f>
        <v>1891219457</v>
      </c>
      <c r="C16479" t="str">
        <f>"207RP1001X"</f>
        <v>207RP1001X</v>
      </c>
      <c r="D16479" t="str">
        <f>"RAILWAH                  CHRISTOPHER              "</f>
        <v xml:space="preserve">RAILWAH                  CHRISTOPHER              </v>
      </c>
      <c r="E16479" t="str">
        <f>"COLUMBUS                  "</f>
        <v xml:space="preserve">COLUMBUS                  </v>
      </c>
      <c r="F16479" t="str">
        <f t="shared" si="417"/>
        <v>MS</v>
      </c>
    </row>
    <row r="16480" spans="1:6" x14ac:dyDescent="0.25">
      <c r="A16480" t="str">
        <f>"200009884"</f>
        <v>200009884</v>
      </c>
      <c r="B16480" t="str">
        <f>"1255617973"</f>
        <v>1255617973</v>
      </c>
      <c r="C16480" t="str">
        <f>"363L00000X"</f>
        <v>363L00000X</v>
      </c>
      <c r="D16480" t="str">
        <f>"TICE                     SHELIA                   "</f>
        <v xml:space="preserve">TICE                     SHELIA                   </v>
      </c>
      <c r="E16480" t="str">
        <f>"TUPELO                    "</f>
        <v xml:space="preserve">TUPELO                    </v>
      </c>
      <c r="F16480" t="str">
        <f t="shared" si="417"/>
        <v>MS</v>
      </c>
    </row>
    <row r="16481" spans="1:6" x14ac:dyDescent="0.25">
      <c r="A16481" t="str">
        <f>"200009895"</f>
        <v>200009895</v>
      </c>
      <c r="B16481" t="str">
        <f>"1003378506"</f>
        <v>1003378506</v>
      </c>
      <c r="C16481" t="str">
        <f>"207R00000X"</f>
        <v>207R00000X</v>
      </c>
      <c r="D16481" t="str">
        <f>"MISSEL                   MIHAELA                  "</f>
        <v xml:space="preserve">MISSEL                   MIHAELA                  </v>
      </c>
      <c r="E16481" t="str">
        <f>"HATTIESBURG               "</f>
        <v xml:space="preserve">HATTIESBURG               </v>
      </c>
      <c r="F16481" t="str">
        <f t="shared" si="417"/>
        <v>MS</v>
      </c>
    </row>
    <row r="16482" spans="1:6" x14ac:dyDescent="0.25">
      <c r="A16482" t="str">
        <f>"200009897"</f>
        <v>200009897</v>
      </c>
      <c r="B16482" t="str">
        <f>"1437694320"</f>
        <v>1437694320</v>
      </c>
      <c r="C16482" t="str">
        <f>"363LF0000X"</f>
        <v>363LF0000X</v>
      </c>
      <c r="D16482" t="str">
        <f>"DEGELMAN                 KRISTEN                  "</f>
        <v xml:space="preserve">DEGELMAN                 KRISTEN                  </v>
      </c>
      <c r="E16482" t="str">
        <f>"JACKSON                   "</f>
        <v xml:space="preserve">JACKSON                   </v>
      </c>
      <c r="F16482" t="str">
        <f t="shared" si="417"/>
        <v>MS</v>
      </c>
    </row>
    <row r="16483" spans="1:6" x14ac:dyDescent="0.25">
      <c r="A16483" t="str">
        <f>"200009900"</f>
        <v>200009900</v>
      </c>
      <c r="B16483" t="str">
        <f>"1043993678"</f>
        <v>1043993678</v>
      </c>
      <c r="C16483" t="str">
        <f>"152W00000X"</f>
        <v>152W00000X</v>
      </c>
      <c r="D16483" t="str">
        <f>"MISSISSIPPI EYE CARE TAYLOR                       "</f>
        <v xml:space="preserve">MISSISSIPPI EYE CARE TAYLOR                       </v>
      </c>
      <c r="E16483" t="str">
        <f>"TAYLOR                    "</f>
        <v xml:space="preserve">TAYLOR                    </v>
      </c>
      <c r="F16483" t="str">
        <f t="shared" si="417"/>
        <v>MS</v>
      </c>
    </row>
    <row r="16484" spans="1:6" x14ac:dyDescent="0.25">
      <c r="A16484" t="str">
        <f>"200009902"</f>
        <v>200009902</v>
      </c>
      <c r="B16484" t="str">
        <f>"1265533038"</f>
        <v>1265533038</v>
      </c>
      <c r="C16484" t="str">
        <f>"2084P0800X"</f>
        <v>2084P0800X</v>
      </c>
      <c r="D16484" t="str">
        <f>"MILLER                   AMY          C           "</f>
        <v xml:space="preserve">MILLER                   AMY          C           </v>
      </c>
      <c r="E16484" t="str">
        <f>"HATTIESBURG               "</f>
        <v xml:space="preserve">HATTIESBURG               </v>
      </c>
      <c r="F16484" t="str">
        <f t="shared" si="417"/>
        <v>MS</v>
      </c>
    </row>
    <row r="16485" spans="1:6" x14ac:dyDescent="0.25">
      <c r="A16485" t="str">
        <f>"200009909"</f>
        <v>200009909</v>
      </c>
      <c r="B16485" t="str">
        <f>"1417734062"</f>
        <v>1417734062</v>
      </c>
      <c r="C16485" t="str">
        <f>"152W00000X"</f>
        <v>152W00000X</v>
      </c>
      <c r="D16485" t="str">
        <f>"STARKVILLE VISION CENTER                          "</f>
        <v xml:space="preserve">STARKVILLE VISION CENTER                          </v>
      </c>
      <c r="E16485" t="str">
        <f>"STARKVILLE                "</f>
        <v xml:space="preserve">STARKVILLE                </v>
      </c>
      <c r="F16485" t="str">
        <f t="shared" si="417"/>
        <v>MS</v>
      </c>
    </row>
    <row r="16486" spans="1:6" x14ac:dyDescent="0.25">
      <c r="A16486" t="str">
        <f>"200009910"</f>
        <v>200009910</v>
      </c>
      <c r="B16486" t="str">
        <f>"1326489972"</f>
        <v>1326489972</v>
      </c>
      <c r="C16486" t="str">
        <f>"207RP1001X"</f>
        <v>207RP1001X</v>
      </c>
      <c r="D16486" t="str">
        <f>"SAMAR                    ARASH                    "</f>
        <v xml:space="preserve">SAMAR                    ARASH                    </v>
      </c>
      <c r="E16486" t="str">
        <f>"JACKSON                   "</f>
        <v xml:space="preserve">JACKSON                   </v>
      </c>
      <c r="F16486" t="str">
        <f t="shared" si="417"/>
        <v>MS</v>
      </c>
    </row>
    <row r="16487" spans="1:6" x14ac:dyDescent="0.25">
      <c r="A16487" t="str">
        <f>"200009911"</f>
        <v>200009911</v>
      </c>
      <c r="B16487" t="str">
        <f>"1922874668"</f>
        <v>1922874668</v>
      </c>
      <c r="C16487" t="str">
        <f>"363L00000X"</f>
        <v>363L00000X</v>
      </c>
      <c r="D16487" t="str">
        <f>"MARISCO                  VICTORIA                 "</f>
        <v xml:space="preserve">MARISCO                  VICTORIA                 </v>
      </c>
      <c r="E16487" t="str">
        <f>"TUPELO                    "</f>
        <v xml:space="preserve">TUPELO                    </v>
      </c>
      <c r="F16487" t="str">
        <f t="shared" si="417"/>
        <v>MS</v>
      </c>
    </row>
    <row r="16488" spans="1:6" x14ac:dyDescent="0.25">
      <c r="A16488" t="str">
        <f>"200009937"</f>
        <v>200009937</v>
      </c>
      <c r="B16488" t="str">
        <f>"1033973359"</f>
        <v>1033973359</v>
      </c>
      <c r="C16488" t="str">
        <f>"363L00000X"</f>
        <v>363L00000X</v>
      </c>
      <c r="D16488" t="str">
        <f>"MCMULLAN                 RICHARD                  "</f>
        <v xml:space="preserve">MCMULLAN                 RICHARD                  </v>
      </c>
      <c r="E16488" t="str">
        <f>"GULFPORT                  "</f>
        <v xml:space="preserve">GULFPORT                  </v>
      </c>
      <c r="F16488" t="str">
        <f t="shared" si="417"/>
        <v>MS</v>
      </c>
    </row>
    <row r="16489" spans="1:6" x14ac:dyDescent="0.25">
      <c r="A16489" t="str">
        <f>"200009949"</f>
        <v>200009949</v>
      </c>
      <c r="B16489" t="str">
        <f>"1558774463"</f>
        <v>1558774463</v>
      </c>
      <c r="C16489" t="str">
        <f>"207P00000X"</f>
        <v>207P00000X</v>
      </c>
      <c r="D16489" t="str">
        <f>"SAWYER                   ROBERT                   "</f>
        <v xml:space="preserve">SAWYER                   ROBERT                   </v>
      </c>
      <c r="E16489" t="str">
        <f>"SOUTHAVEN                 "</f>
        <v xml:space="preserve">SOUTHAVEN                 </v>
      </c>
      <c r="F16489" t="str">
        <f t="shared" si="417"/>
        <v>MS</v>
      </c>
    </row>
    <row r="16490" spans="1:6" x14ac:dyDescent="0.25">
      <c r="A16490" t="str">
        <f>"200009965"</f>
        <v>200009965</v>
      </c>
      <c r="B16490" t="str">
        <f>"1063898286"</f>
        <v>1063898286</v>
      </c>
      <c r="C16490" t="str">
        <f>"363LF0000X"</f>
        <v>363LF0000X</v>
      </c>
      <c r="D16490" t="str">
        <f>"PARKER                   LISA                     "</f>
        <v xml:space="preserve">PARKER                   LISA                     </v>
      </c>
      <c r="E16490" t="str">
        <f>"JACKSON                   "</f>
        <v xml:space="preserve">JACKSON                   </v>
      </c>
      <c r="F16490" t="str">
        <f t="shared" si="417"/>
        <v>MS</v>
      </c>
    </row>
    <row r="16491" spans="1:6" x14ac:dyDescent="0.25">
      <c r="A16491" t="str">
        <f>"200009966"</f>
        <v>200009966</v>
      </c>
      <c r="B16491" t="str">
        <f>"1063943884"</f>
        <v>1063943884</v>
      </c>
      <c r="C16491" t="str">
        <f>"208600000X"</f>
        <v>208600000X</v>
      </c>
      <c r="D16491" t="str">
        <f>"LOTT                     COLTON       A           "</f>
        <v xml:space="preserve">LOTT                     COLTON       A           </v>
      </c>
      <c r="E16491" t="str">
        <f>"HATTIESBURG               "</f>
        <v xml:space="preserve">HATTIESBURG               </v>
      </c>
      <c r="F16491" t="str">
        <f t="shared" si="417"/>
        <v>MS</v>
      </c>
    </row>
    <row r="16492" spans="1:6" x14ac:dyDescent="0.25">
      <c r="A16492" t="str">
        <f>"200009967"</f>
        <v>200009967</v>
      </c>
      <c r="B16492" t="str">
        <f>"1346652849"</f>
        <v>1346652849</v>
      </c>
      <c r="C16492" t="str">
        <f>"207X00000X"</f>
        <v>207X00000X</v>
      </c>
      <c r="D16492" t="str">
        <f>"GLOEKLER                 DANIEL                   "</f>
        <v xml:space="preserve">GLOEKLER                 DANIEL                   </v>
      </c>
      <c r="E16492" t="str">
        <f>"HATTIESBURG               "</f>
        <v xml:space="preserve">HATTIESBURG               </v>
      </c>
      <c r="F16492" t="str">
        <f t="shared" si="417"/>
        <v>MS</v>
      </c>
    </row>
    <row r="16493" spans="1:6" x14ac:dyDescent="0.25">
      <c r="A16493" t="str">
        <f>"200009982"</f>
        <v>200009982</v>
      </c>
      <c r="B16493" t="str">
        <f>"1508590373"</f>
        <v>1508590373</v>
      </c>
      <c r="C16493" t="str">
        <f>"363A00000X"</f>
        <v>363A00000X</v>
      </c>
      <c r="D16493" t="str">
        <f>"FISSCHER                 OLIVIA       K           "</f>
        <v xml:space="preserve">FISSCHER                 OLIVIA       K           </v>
      </c>
      <c r="E16493" t="str">
        <f>"JACKSON                   "</f>
        <v xml:space="preserve">JACKSON                   </v>
      </c>
      <c r="F16493" t="str">
        <f t="shared" si="417"/>
        <v>MS</v>
      </c>
    </row>
    <row r="16494" spans="1:6" x14ac:dyDescent="0.25">
      <c r="A16494" t="str">
        <f>"200009994"</f>
        <v>200009994</v>
      </c>
      <c r="B16494" t="str">
        <f>"1447628011"</f>
        <v>1447628011</v>
      </c>
      <c r="C16494" t="str">
        <f>"363L00000X"</f>
        <v>363L00000X</v>
      </c>
      <c r="D16494" t="str">
        <f>"POLITE                   CANDACE                  "</f>
        <v xml:space="preserve">POLITE                   CANDACE                  </v>
      </c>
      <c r="E16494" t="str">
        <f>"ABERDEEN                  "</f>
        <v xml:space="preserve">ABERDEEN                  </v>
      </c>
      <c r="F16494" t="str">
        <f t="shared" si="417"/>
        <v>MS</v>
      </c>
    </row>
    <row r="16495" spans="1:6" x14ac:dyDescent="0.25">
      <c r="A16495" t="str">
        <f>"200009995"</f>
        <v>200009995</v>
      </c>
      <c r="B16495" t="str">
        <f>"1417534983"</f>
        <v>1417534983</v>
      </c>
      <c r="C16495" t="str">
        <f>"207P00000X"</f>
        <v>207P00000X</v>
      </c>
      <c r="D16495" t="str">
        <f>"REDD                     FRANK        H           "</f>
        <v xml:space="preserve">REDD                     FRANK        H           </v>
      </c>
      <c r="E16495" t="str">
        <f>"LEXINGTON                 "</f>
        <v xml:space="preserve">LEXINGTON                 </v>
      </c>
      <c r="F16495" t="str">
        <f t="shared" si="417"/>
        <v>MS</v>
      </c>
    </row>
    <row r="16496" spans="1:6" x14ac:dyDescent="0.25">
      <c r="A16496" t="str">
        <f>"200009996"</f>
        <v>200009996</v>
      </c>
      <c r="B16496" t="str">
        <f>"1194104265"</f>
        <v>1194104265</v>
      </c>
      <c r="C16496" t="str">
        <f>"207RI0011X"</f>
        <v>207RI0011X</v>
      </c>
      <c r="D16496" t="str">
        <f>"LOWE                     CATHERINE    E           "</f>
        <v xml:space="preserve">LOWE                     CATHERINE    E           </v>
      </c>
      <c r="E16496" t="str">
        <f>"JACKSON                   "</f>
        <v xml:space="preserve">JACKSON                   </v>
      </c>
      <c r="F16496" t="str">
        <f t="shared" si="417"/>
        <v>MS</v>
      </c>
    </row>
    <row r="16497" spans="1:6" x14ac:dyDescent="0.25">
      <c r="A16497" t="str">
        <f>"200009998"</f>
        <v>200009998</v>
      </c>
      <c r="B16497" t="str">
        <f>"1225894264"</f>
        <v>1225894264</v>
      </c>
      <c r="C16497" t="str">
        <f>"363L00000X"</f>
        <v>363L00000X</v>
      </c>
      <c r="D16497" t="str">
        <f>"ADCOCK                   WILLIAM      A           "</f>
        <v xml:space="preserve">ADCOCK                   WILLIAM      A           </v>
      </c>
      <c r="E16497" t="str">
        <f>"HATTIESBURG               "</f>
        <v xml:space="preserve">HATTIESBURG               </v>
      </c>
      <c r="F16497" t="str">
        <f t="shared" si="417"/>
        <v>MS</v>
      </c>
    </row>
    <row r="16498" spans="1:6" x14ac:dyDescent="0.25">
      <c r="A16498" t="str">
        <f>"200010004"</f>
        <v>200010004</v>
      </c>
      <c r="B16498" t="str">
        <f>"1336793751"</f>
        <v>1336793751</v>
      </c>
      <c r="C16498" t="str">
        <f>"363L00000X"</f>
        <v>363L00000X</v>
      </c>
      <c r="D16498" t="str">
        <f>"MANN                     JESSICA                  "</f>
        <v xml:space="preserve">MANN                     JESSICA                  </v>
      </c>
      <c r="E16498" t="str">
        <f>"COLDWATER                 "</f>
        <v xml:space="preserve">COLDWATER                 </v>
      </c>
      <c r="F16498" t="str">
        <f t="shared" si="417"/>
        <v>MS</v>
      </c>
    </row>
    <row r="16499" spans="1:6" x14ac:dyDescent="0.25">
      <c r="A16499" t="str">
        <f>"200010014"</f>
        <v>200010014</v>
      </c>
      <c r="B16499" t="str">
        <f>"1568401396"</f>
        <v>1568401396</v>
      </c>
      <c r="C16499" t="str">
        <f>"207P00000X"</f>
        <v>207P00000X</v>
      </c>
      <c r="D16499" t="str">
        <f>"LEVY                     ARTHUR                   "</f>
        <v xml:space="preserve">LEVY                     ARTHUR                   </v>
      </c>
      <c r="E16499" t="str">
        <f>"AMORY                     "</f>
        <v xml:space="preserve">AMORY                     </v>
      </c>
      <c r="F16499" t="str">
        <f t="shared" si="417"/>
        <v>MS</v>
      </c>
    </row>
    <row r="16500" spans="1:6" x14ac:dyDescent="0.25">
      <c r="A16500" t="str">
        <f>"200010018"</f>
        <v>200010018</v>
      </c>
      <c r="B16500" t="str">
        <f>"1538553607"</f>
        <v>1538553607</v>
      </c>
      <c r="C16500" t="str">
        <f>"207R00000X"</f>
        <v>207R00000X</v>
      </c>
      <c r="D16500" t="str">
        <f>"CARPENTER                MEAGAN                   "</f>
        <v xml:space="preserve">CARPENTER                MEAGAN                   </v>
      </c>
      <c r="E16500" t="str">
        <f>"WAYNESBORO                "</f>
        <v xml:space="preserve">WAYNESBORO                </v>
      </c>
      <c r="F16500" t="str">
        <f t="shared" si="417"/>
        <v>MS</v>
      </c>
    </row>
    <row r="16501" spans="1:6" x14ac:dyDescent="0.25">
      <c r="A16501" t="str">
        <f>"200010023"</f>
        <v>200010023</v>
      </c>
      <c r="B16501" t="str">
        <f>"1831144039"</f>
        <v>1831144039</v>
      </c>
      <c r="C16501" t="str">
        <f>"2084N0400X"</f>
        <v>2084N0400X</v>
      </c>
      <c r="D16501" t="str">
        <f>"BISWAS                   DEBASHIS                 "</f>
        <v xml:space="preserve">BISWAS                   DEBASHIS                 </v>
      </c>
      <c r="E16501" t="str">
        <f>"JACKSON                   "</f>
        <v xml:space="preserve">JACKSON                   </v>
      </c>
      <c r="F16501" t="str">
        <f t="shared" si="417"/>
        <v>MS</v>
      </c>
    </row>
    <row r="16502" spans="1:6" x14ac:dyDescent="0.25">
      <c r="A16502" t="str">
        <f>"200010029"</f>
        <v>200010029</v>
      </c>
      <c r="B16502" t="str">
        <f>"1912394545"</f>
        <v>1912394545</v>
      </c>
      <c r="C16502" t="str">
        <f>"207P00000X"</f>
        <v>207P00000X</v>
      </c>
      <c r="D16502" t="str">
        <f>"DUCHAMP                  NICOLAS                  "</f>
        <v xml:space="preserve">DUCHAMP                  NICOLAS                  </v>
      </c>
      <c r="E16502" t="str">
        <f>"BAY SAINT LOUIS           "</f>
        <v xml:space="preserve">BAY SAINT LOUIS           </v>
      </c>
      <c r="F16502" t="str">
        <f t="shared" si="417"/>
        <v>MS</v>
      </c>
    </row>
    <row r="16503" spans="1:6" x14ac:dyDescent="0.25">
      <c r="A16503" t="str">
        <f>"200010031"</f>
        <v>200010031</v>
      </c>
      <c r="B16503" t="str">
        <f>"1003906579"</f>
        <v>1003906579</v>
      </c>
      <c r="C16503" t="str">
        <f>"207L00000X"</f>
        <v>207L00000X</v>
      </c>
      <c r="D16503" t="str">
        <f>"KUMAR                    PRIYA        A           "</f>
        <v xml:space="preserve">KUMAR                    PRIYA        A           </v>
      </c>
      <c r="E16503" t="str">
        <f>"JACKSON                   "</f>
        <v xml:space="preserve">JACKSON                   </v>
      </c>
      <c r="F16503" t="str">
        <f t="shared" si="417"/>
        <v>MS</v>
      </c>
    </row>
    <row r="16504" spans="1:6" x14ac:dyDescent="0.25">
      <c r="A16504" t="str">
        <f>"200010043"</f>
        <v>200010043</v>
      </c>
      <c r="B16504" t="str">
        <f>"1447013727"</f>
        <v>1447013727</v>
      </c>
      <c r="C16504" t="str">
        <f>"363A00000X"</f>
        <v>363A00000X</v>
      </c>
      <c r="D16504" t="str">
        <f>"ROGERS                   SETH                     "</f>
        <v xml:space="preserve">ROGERS                   SETH                     </v>
      </c>
      <c r="E16504" t="str">
        <f>"JACKSON                   "</f>
        <v xml:space="preserve">JACKSON                   </v>
      </c>
      <c r="F16504" t="str">
        <f t="shared" si="417"/>
        <v>MS</v>
      </c>
    </row>
    <row r="16505" spans="1:6" x14ac:dyDescent="0.25">
      <c r="A16505" t="str">
        <f>"200010045"</f>
        <v>200010045</v>
      </c>
      <c r="B16505" t="str">
        <f>"1912762451"</f>
        <v>1912762451</v>
      </c>
      <c r="C16505" t="str">
        <f>"363A00000X"</f>
        <v>363A00000X</v>
      </c>
      <c r="D16505" t="str">
        <f>"MCKINNEY                 CASSIDY                  "</f>
        <v xml:space="preserve">MCKINNEY                 CASSIDY                  </v>
      </c>
      <c r="E16505" t="str">
        <f>"JACKSON                   "</f>
        <v xml:space="preserve">JACKSON                   </v>
      </c>
      <c r="F16505" t="str">
        <f t="shared" si="417"/>
        <v>MS</v>
      </c>
    </row>
    <row r="16506" spans="1:6" x14ac:dyDescent="0.25">
      <c r="A16506" t="str">
        <f>"200010051"</f>
        <v>200010051</v>
      </c>
      <c r="B16506" t="str">
        <f>"1275896334"</f>
        <v>1275896334</v>
      </c>
      <c r="C16506" t="str">
        <f>"152W00000X"</f>
        <v>152W00000X</v>
      </c>
      <c r="D16506" t="str">
        <f>"KEYS                     TAYLOR                   "</f>
        <v xml:space="preserve">KEYS                     TAYLOR                   </v>
      </c>
      <c r="E16506" t="str">
        <f>"SOUTHAVEN                 "</f>
        <v xml:space="preserve">SOUTHAVEN                 </v>
      </c>
      <c r="F16506" t="str">
        <f t="shared" si="417"/>
        <v>MS</v>
      </c>
    </row>
    <row r="16507" spans="1:6" x14ac:dyDescent="0.25">
      <c r="A16507" t="str">
        <f>"200010054"</f>
        <v>200010054</v>
      </c>
      <c r="B16507" t="str">
        <f>"1386733301"</f>
        <v>1386733301</v>
      </c>
      <c r="C16507" t="str">
        <f>"152W00000X"</f>
        <v>152W00000X</v>
      </c>
      <c r="D16507" t="str">
        <f>"JOHNSON                  WILLIAM      L           "</f>
        <v xml:space="preserve">JOHNSON                  WILLIAM      L           </v>
      </c>
      <c r="E16507" t="str">
        <f>"PHILADELPHIA              "</f>
        <v xml:space="preserve">PHILADELPHIA              </v>
      </c>
      <c r="F16507" t="str">
        <f t="shared" si="417"/>
        <v>MS</v>
      </c>
    </row>
    <row r="16508" spans="1:6" x14ac:dyDescent="0.25">
      <c r="A16508" t="str">
        <f>"200010055"</f>
        <v>200010055</v>
      </c>
      <c r="B16508" t="str">
        <f>"1568020675"</f>
        <v>1568020675</v>
      </c>
      <c r="C16508" t="str">
        <f>"363LF0000X"</f>
        <v>363LF0000X</v>
      </c>
      <c r="D16508" t="str">
        <f>"HARBARGER                EMILY                    "</f>
        <v xml:space="preserve">HARBARGER                EMILY                    </v>
      </c>
      <c r="E16508" t="str">
        <f>"BRANDON                   "</f>
        <v xml:space="preserve">BRANDON                   </v>
      </c>
      <c r="F16508" t="str">
        <f t="shared" si="417"/>
        <v>MS</v>
      </c>
    </row>
    <row r="16509" spans="1:6" x14ac:dyDescent="0.25">
      <c r="A16509" t="str">
        <f>"200010059"</f>
        <v>200010059</v>
      </c>
      <c r="B16509" t="str">
        <f>"1619514437"</f>
        <v>1619514437</v>
      </c>
      <c r="C16509" t="str">
        <f>"363L00000X"</f>
        <v>363L00000X</v>
      </c>
      <c r="D16509" t="str">
        <f>"SCOTT                    APRIL                    "</f>
        <v xml:space="preserve">SCOTT                    APRIL                    </v>
      </c>
      <c r="E16509" t="str">
        <f>"JACKSON                   "</f>
        <v xml:space="preserve">JACKSON                   </v>
      </c>
      <c r="F16509" t="str">
        <f t="shared" si="417"/>
        <v>MS</v>
      </c>
    </row>
    <row r="16510" spans="1:6" x14ac:dyDescent="0.25">
      <c r="A16510" t="str">
        <f>"200010075"</f>
        <v>200010075</v>
      </c>
      <c r="B16510" t="str">
        <f>"1871366476"</f>
        <v>1871366476</v>
      </c>
      <c r="C16510" t="str">
        <f>"363L00000X"</f>
        <v>363L00000X</v>
      </c>
      <c r="D16510" t="str">
        <f>"STOUT                    RACHAEL                  "</f>
        <v xml:space="preserve">STOUT                    RACHAEL                  </v>
      </c>
      <c r="E16510" t="str">
        <f>"JACKSON                   "</f>
        <v xml:space="preserve">JACKSON                   </v>
      </c>
      <c r="F16510" t="str">
        <f t="shared" ref="F16510:F16573" si="418">"MS"</f>
        <v>MS</v>
      </c>
    </row>
    <row r="16511" spans="1:6" x14ac:dyDescent="0.25">
      <c r="A16511" t="str">
        <f>"200010077"</f>
        <v>200010077</v>
      </c>
      <c r="B16511" t="str">
        <f>"1194234575"</f>
        <v>1194234575</v>
      </c>
      <c r="C16511" t="str">
        <f>"363L00000X"</f>
        <v>363L00000X</v>
      </c>
      <c r="D16511" t="str">
        <f>"COTTER                   JESSICA      D           "</f>
        <v xml:space="preserve">COTTER                   JESSICA      D           </v>
      </c>
      <c r="E16511" t="str">
        <f>"FLOWOOD                   "</f>
        <v xml:space="preserve">FLOWOOD                   </v>
      </c>
      <c r="F16511" t="str">
        <f t="shared" si="418"/>
        <v>MS</v>
      </c>
    </row>
    <row r="16512" spans="1:6" x14ac:dyDescent="0.25">
      <c r="A16512" t="str">
        <f>"200010084"</f>
        <v>200010084</v>
      </c>
      <c r="B16512" t="str">
        <f>"1770824476"</f>
        <v>1770824476</v>
      </c>
      <c r="C16512" t="str">
        <f>"363LF0000X"</f>
        <v>363LF0000X</v>
      </c>
      <c r="D16512" t="str">
        <f>"BYERS                    ALYSIA                   "</f>
        <v xml:space="preserve">BYERS                    ALYSIA                   </v>
      </c>
      <c r="E16512" t="str">
        <f>"JACKSON                   "</f>
        <v xml:space="preserve">JACKSON                   </v>
      </c>
      <c r="F16512" t="str">
        <f t="shared" si="418"/>
        <v>MS</v>
      </c>
    </row>
    <row r="16513" spans="1:6" x14ac:dyDescent="0.25">
      <c r="A16513" t="str">
        <f>"200010099"</f>
        <v>200010099</v>
      </c>
      <c r="B16513" t="str">
        <f>"1154184372"</f>
        <v>1154184372</v>
      </c>
      <c r="C16513" t="str">
        <f>"363L00000X"</f>
        <v>363L00000X</v>
      </c>
      <c r="D16513" t="str">
        <f>"SAYLOR                   CAROLINE                 "</f>
        <v xml:space="preserve">SAYLOR                   CAROLINE                 </v>
      </c>
      <c r="E16513" t="str">
        <f>"JACKSON                   "</f>
        <v xml:space="preserve">JACKSON                   </v>
      </c>
      <c r="F16513" t="str">
        <f t="shared" si="418"/>
        <v>MS</v>
      </c>
    </row>
    <row r="16514" spans="1:6" x14ac:dyDescent="0.25">
      <c r="A16514" t="str">
        <f>"200010101"</f>
        <v>200010101</v>
      </c>
      <c r="B16514" t="str">
        <f>"1902803166"</f>
        <v>1902803166</v>
      </c>
      <c r="C16514" t="str">
        <f>"207R00000X"</f>
        <v>207R00000X</v>
      </c>
      <c r="D16514" t="str">
        <f>"KATZ                     BARUCH                   "</f>
        <v xml:space="preserve">KATZ                     BARUCH                   </v>
      </c>
      <c r="E16514" t="str">
        <f>"MADISON                   "</f>
        <v xml:space="preserve">MADISON                   </v>
      </c>
      <c r="F16514" t="str">
        <f t="shared" si="418"/>
        <v>MS</v>
      </c>
    </row>
    <row r="16515" spans="1:6" x14ac:dyDescent="0.25">
      <c r="A16515" t="str">
        <f>"200010108"</f>
        <v>200010108</v>
      </c>
      <c r="B16515" t="str">
        <f>"1912763616"</f>
        <v>1912763616</v>
      </c>
      <c r="C16515" t="str">
        <f>"363L00000X"</f>
        <v>363L00000X</v>
      </c>
      <c r="D16515" t="str">
        <f>"TIMOTHY                  TRAMMELL                 "</f>
        <v xml:space="preserve">TIMOTHY                  TRAMMELL                 </v>
      </c>
      <c r="E16515" t="str">
        <f>"JACKSON                   "</f>
        <v xml:space="preserve">JACKSON                   </v>
      </c>
      <c r="F16515" t="str">
        <f t="shared" si="418"/>
        <v>MS</v>
      </c>
    </row>
    <row r="16516" spans="1:6" x14ac:dyDescent="0.25">
      <c r="A16516" t="str">
        <f>"200010109"</f>
        <v>200010109</v>
      </c>
      <c r="B16516" t="str">
        <f>"1144087743"</f>
        <v>1144087743</v>
      </c>
      <c r="C16516" t="str">
        <f>"363L00000X"</f>
        <v>363L00000X</v>
      </c>
      <c r="D16516" t="str">
        <f>"HOLIFIELD                DAVA                     "</f>
        <v xml:space="preserve">HOLIFIELD                DAVA                     </v>
      </c>
      <c r="E16516" t="str">
        <f>"WAYNESBORO                "</f>
        <v xml:space="preserve">WAYNESBORO                </v>
      </c>
      <c r="F16516" t="str">
        <f t="shared" si="418"/>
        <v>MS</v>
      </c>
    </row>
    <row r="16517" spans="1:6" x14ac:dyDescent="0.25">
      <c r="A16517" t="str">
        <f>"200010110"</f>
        <v>200010110</v>
      </c>
      <c r="B16517" t="str">
        <f>"1477580819"</f>
        <v>1477580819</v>
      </c>
      <c r="C16517" t="str">
        <f>"363L00000X"</f>
        <v>363L00000X</v>
      </c>
      <c r="D16517" t="str">
        <f>"SNOWDY                   TABITHA                  "</f>
        <v xml:space="preserve">SNOWDY                   TABITHA                  </v>
      </c>
      <c r="E16517" t="str">
        <f>"JACKSON                   "</f>
        <v xml:space="preserve">JACKSON                   </v>
      </c>
      <c r="F16517" t="str">
        <f t="shared" si="418"/>
        <v>MS</v>
      </c>
    </row>
    <row r="16518" spans="1:6" x14ac:dyDescent="0.25">
      <c r="A16518" t="str">
        <f>"200010119"</f>
        <v>200010119</v>
      </c>
      <c r="B16518" t="str">
        <f>"1326307463"</f>
        <v>1326307463</v>
      </c>
      <c r="C16518" t="str">
        <f>"363L00000X"</f>
        <v>363L00000X</v>
      </c>
      <c r="D16518" t="str">
        <f>"OWENS                    ANGELA                   "</f>
        <v xml:space="preserve">OWENS                    ANGELA                   </v>
      </c>
      <c r="E16518" t="str">
        <f>"STARKVILLE                "</f>
        <v xml:space="preserve">STARKVILLE                </v>
      </c>
      <c r="F16518" t="str">
        <f t="shared" si="418"/>
        <v>MS</v>
      </c>
    </row>
    <row r="16519" spans="1:6" x14ac:dyDescent="0.25">
      <c r="A16519" t="str">
        <f>"200010124"</f>
        <v>200010124</v>
      </c>
      <c r="B16519" t="str">
        <f>"1396792057"</f>
        <v>1396792057</v>
      </c>
      <c r="C16519" t="str">
        <f>"207P00000X"</f>
        <v>207P00000X</v>
      </c>
      <c r="D16519" t="str">
        <f>"WOMBACK-RICE             KIMBERLY                 "</f>
        <v xml:space="preserve">WOMBACK-RICE             KIMBERLY                 </v>
      </c>
      <c r="E16519" t="str">
        <f>"OLIVE BRANCH              "</f>
        <v xml:space="preserve">OLIVE BRANCH              </v>
      </c>
      <c r="F16519" t="str">
        <f t="shared" si="418"/>
        <v>MS</v>
      </c>
    </row>
    <row r="16520" spans="1:6" x14ac:dyDescent="0.25">
      <c r="A16520" t="str">
        <f>"200010128"</f>
        <v>200010128</v>
      </c>
      <c r="B16520" t="str">
        <f>"1285619775"</f>
        <v>1285619775</v>
      </c>
      <c r="C16520" t="str">
        <f>"207R00000X"</f>
        <v>207R00000X</v>
      </c>
      <c r="D16520" t="str">
        <f>"OLIVO-CRESPO             NESTOR       L           "</f>
        <v xml:space="preserve">OLIVO-CRESPO             NESTOR       L           </v>
      </c>
      <c r="E16520" t="str">
        <f>"CHOCTAW                   "</f>
        <v xml:space="preserve">CHOCTAW                   </v>
      </c>
      <c r="F16520" t="str">
        <f t="shared" si="418"/>
        <v>MS</v>
      </c>
    </row>
    <row r="16521" spans="1:6" x14ac:dyDescent="0.25">
      <c r="A16521" t="str">
        <f>"200010133"</f>
        <v>200010133</v>
      </c>
      <c r="B16521" t="str">
        <f>"1700648227"</f>
        <v>1700648227</v>
      </c>
      <c r="C16521" t="str">
        <f>"363L00000X"</f>
        <v>363L00000X</v>
      </c>
      <c r="D16521" t="str">
        <f>"SEYMOUR                  HEATHER                  "</f>
        <v xml:space="preserve">SEYMOUR                  HEATHER                  </v>
      </c>
      <c r="E16521" t="str">
        <f>"GULFPORT                  "</f>
        <v xml:space="preserve">GULFPORT                  </v>
      </c>
      <c r="F16521" t="str">
        <f t="shared" si="418"/>
        <v>MS</v>
      </c>
    </row>
    <row r="16522" spans="1:6" x14ac:dyDescent="0.25">
      <c r="A16522" t="str">
        <f>"200010146"</f>
        <v>200010146</v>
      </c>
      <c r="B16522" t="str">
        <f>"1609862002"</f>
        <v>1609862002</v>
      </c>
      <c r="C16522" t="str">
        <f>"207P00000X"</f>
        <v>207P00000X</v>
      </c>
      <c r="D16522" t="str">
        <f>"DEAKTER                  DANIEL                   "</f>
        <v xml:space="preserve">DEAKTER                  DANIEL                   </v>
      </c>
      <c r="E16522" t="str">
        <f>"MADISON                   "</f>
        <v xml:space="preserve">MADISON                   </v>
      </c>
      <c r="F16522" t="str">
        <f t="shared" si="418"/>
        <v>MS</v>
      </c>
    </row>
    <row r="16523" spans="1:6" x14ac:dyDescent="0.25">
      <c r="A16523" t="str">
        <f>"200010158"</f>
        <v>200010158</v>
      </c>
      <c r="B16523" t="str">
        <f>"1265608038"</f>
        <v>1265608038</v>
      </c>
      <c r="C16523" t="str">
        <f>"207P00000X"</f>
        <v>207P00000X</v>
      </c>
      <c r="D16523" t="str">
        <f>"MAHMOUD                  NEVINE                   "</f>
        <v xml:space="preserve">MAHMOUD                  NEVINE                   </v>
      </c>
      <c r="E16523" t="str">
        <f>"WEST POINT                "</f>
        <v xml:space="preserve">WEST POINT                </v>
      </c>
      <c r="F16523" t="str">
        <f t="shared" si="418"/>
        <v>MS</v>
      </c>
    </row>
    <row r="16524" spans="1:6" x14ac:dyDescent="0.25">
      <c r="A16524" t="str">
        <f>"200010175"</f>
        <v>200010175</v>
      </c>
      <c r="B16524" t="str">
        <f>"1598103350"</f>
        <v>1598103350</v>
      </c>
      <c r="C16524" t="str">
        <f>"207P00000X"</f>
        <v>207P00000X</v>
      </c>
      <c r="D16524" t="str">
        <f>"BENSON                   RICHARD                  "</f>
        <v xml:space="preserve">BENSON                   RICHARD                  </v>
      </c>
      <c r="E16524" t="str">
        <f>"OLIVE BRANCH              "</f>
        <v xml:space="preserve">OLIVE BRANCH              </v>
      </c>
      <c r="F16524" t="str">
        <f t="shared" si="418"/>
        <v>MS</v>
      </c>
    </row>
    <row r="16525" spans="1:6" x14ac:dyDescent="0.25">
      <c r="A16525" t="str">
        <f>"200010178"</f>
        <v>200010178</v>
      </c>
      <c r="B16525" t="str">
        <f>"1285286898"</f>
        <v>1285286898</v>
      </c>
      <c r="C16525" t="str">
        <f>"207R00000X"</f>
        <v>207R00000X</v>
      </c>
      <c r="D16525" t="str">
        <f>"HARRY                    CHANTELLE                "</f>
        <v xml:space="preserve">HARRY                    CHANTELLE                </v>
      </c>
      <c r="E16525" t="str">
        <f>"TUPELO                    "</f>
        <v xml:space="preserve">TUPELO                    </v>
      </c>
      <c r="F16525" t="str">
        <f t="shared" si="418"/>
        <v>MS</v>
      </c>
    </row>
    <row r="16526" spans="1:6" x14ac:dyDescent="0.25">
      <c r="A16526" t="str">
        <f>"200010182"</f>
        <v>200010182</v>
      </c>
      <c r="B16526" t="str">
        <f>"1982719811"</f>
        <v>1982719811</v>
      </c>
      <c r="C16526" t="str">
        <f>"207R00000X"</f>
        <v>207R00000X</v>
      </c>
      <c r="D16526" t="str">
        <f>"DAHO HABEEB              AMANDA                   "</f>
        <v xml:space="preserve">DAHO HABEEB              AMANDA                   </v>
      </c>
      <c r="E16526" t="str">
        <f>"MERIDIAN                  "</f>
        <v xml:space="preserve">MERIDIAN                  </v>
      </c>
      <c r="F16526" t="str">
        <f t="shared" si="418"/>
        <v>MS</v>
      </c>
    </row>
    <row r="16527" spans="1:6" x14ac:dyDescent="0.25">
      <c r="A16527" t="str">
        <f>"200010183"</f>
        <v>200010183</v>
      </c>
      <c r="B16527" t="str">
        <f>"1245017052"</f>
        <v>1245017052</v>
      </c>
      <c r="C16527" t="str">
        <f>"363L00000X"</f>
        <v>363L00000X</v>
      </c>
      <c r="D16527" t="str">
        <f>"BLACK                    AUSTIN                   "</f>
        <v xml:space="preserve">BLACK                    AUSTIN                   </v>
      </c>
      <c r="E16527" t="str">
        <f>"MANTACHIE                 "</f>
        <v xml:space="preserve">MANTACHIE                 </v>
      </c>
      <c r="F16527" t="str">
        <f t="shared" si="418"/>
        <v>MS</v>
      </c>
    </row>
    <row r="16528" spans="1:6" x14ac:dyDescent="0.25">
      <c r="A16528" t="str">
        <f>"200010198"</f>
        <v>200010198</v>
      </c>
      <c r="B16528" t="str">
        <f>"1154819415"</f>
        <v>1154819415</v>
      </c>
      <c r="C16528" t="str">
        <f>"207K00000X"</f>
        <v>207K00000X</v>
      </c>
      <c r="D16528" t="str">
        <f>"MABRY                    TAYLOR       J           "</f>
        <v xml:space="preserve">MABRY                    TAYLOR       J           </v>
      </c>
      <c r="E16528" t="str">
        <f>"FLOWOOD                   "</f>
        <v xml:space="preserve">FLOWOOD                   </v>
      </c>
      <c r="F16528" t="str">
        <f t="shared" si="418"/>
        <v>MS</v>
      </c>
    </row>
    <row r="16529" spans="1:6" x14ac:dyDescent="0.25">
      <c r="A16529" t="str">
        <f>"200010204"</f>
        <v>200010204</v>
      </c>
      <c r="B16529" t="str">
        <f>"1801822317"</f>
        <v>1801822317</v>
      </c>
      <c r="C16529" t="str">
        <f>"2084N0400X"</f>
        <v>2084N0400X</v>
      </c>
      <c r="D16529" t="str">
        <f>"REDMANN                  GREG                     "</f>
        <v xml:space="preserve">REDMANN                  GREG                     </v>
      </c>
      <c r="E16529" t="str">
        <f>"JACKSON                   "</f>
        <v xml:space="preserve">JACKSON                   </v>
      </c>
      <c r="F16529" t="str">
        <f t="shared" si="418"/>
        <v>MS</v>
      </c>
    </row>
    <row r="16530" spans="1:6" x14ac:dyDescent="0.25">
      <c r="A16530" t="str">
        <f>"200010212"</f>
        <v>200010212</v>
      </c>
      <c r="B16530" t="str">
        <f>"1679194948"</f>
        <v>1679194948</v>
      </c>
      <c r="C16530" t="str">
        <f>"363L00000X"</f>
        <v>363L00000X</v>
      </c>
      <c r="D16530" t="str">
        <f>"JENNINGS                 AMANDA                   "</f>
        <v xml:space="preserve">JENNINGS                 AMANDA                   </v>
      </c>
      <c r="E16530" t="str">
        <f>"JACKSON                   "</f>
        <v xml:space="preserve">JACKSON                   </v>
      </c>
      <c r="F16530" t="str">
        <f t="shared" si="418"/>
        <v>MS</v>
      </c>
    </row>
    <row r="16531" spans="1:6" x14ac:dyDescent="0.25">
      <c r="A16531" t="str">
        <f>"200010214"</f>
        <v>200010214</v>
      </c>
      <c r="B16531" t="str">
        <f>"1487383170"</f>
        <v>1487383170</v>
      </c>
      <c r="C16531" t="str">
        <f>"122300000X"</f>
        <v>122300000X</v>
      </c>
      <c r="D16531" t="str">
        <f>"NGUYEN                   THIEN-TRIEU              "</f>
        <v xml:space="preserve">NGUYEN                   THIEN-TRIEU              </v>
      </c>
      <c r="E16531" t="str">
        <f>"OCEAN SPRINGS             "</f>
        <v xml:space="preserve">OCEAN SPRINGS             </v>
      </c>
      <c r="F16531" t="str">
        <f t="shared" si="418"/>
        <v>MS</v>
      </c>
    </row>
    <row r="16532" spans="1:6" x14ac:dyDescent="0.25">
      <c r="A16532" t="str">
        <f>"200010218"</f>
        <v>200010218</v>
      </c>
      <c r="B16532" t="str">
        <f>"1952166753"</f>
        <v>1952166753</v>
      </c>
      <c r="C16532" t="str">
        <f>"363L00000X"</f>
        <v>363L00000X</v>
      </c>
      <c r="D16532" t="str">
        <f>"HULTZ                    TAYLOR                   "</f>
        <v xml:space="preserve">HULTZ                    TAYLOR                   </v>
      </c>
      <c r="E16532" t="str">
        <f>"LUCEDALE                  "</f>
        <v xml:space="preserve">LUCEDALE                  </v>
      </c>
      <c r="F16532" t="str">
        <f t="shared" si="418"/>
        <v>MS</v>
      </c>
    </row>
    <row r="16533" spans="1:6" x14ac:dyDescent="0.25">
      <c r="A16533" t="str">
        <f>"200010220"</f>
        <v>200010220</v>
      </c>
      <c r="B16533" t="str">
        <f>"1275973273"</f>
        <v>1275973273</v>
      </c>
      <c r="C16533" t="str">
        <f>"363LF0000X"</f>
        <v>363LF0000X</v>
      </c>
      <c r="D16533" t="str">
        <f>"LEPINE                   MELISSA                  "</f>
        <v xml:space="preserve">LEPINE                   MELISSA                  </v>
      </c>
      <c r="E16533" t="str">
        <f>"CLINTON                   "</f>
        <v xml:space="preserve">CLINTON                   </v>
      </c>
      <c r="F16533" t="str">
        <f t="shared" si="418"/>
        <v>MS</v>
      </c>
    </row>
    <row r="16534" spans="1:6" x14ac:dyDescent="0.25">
      <c r="A16534" t="str">
        <f>"200010222"</f>
        <v>200010222</v>
      </c>
      <c r="B16534" t="str">
        <f>"1811770696"</f>
        <v>1811770696</v>
      </c>
      <c r="C16534" t="str">
        <f>"152W00000X"</f>
        <v>152W00000X</v>
      </c>
      <c r="D16534" t="str">
        <f>"BROWN EYED GIRLS PLLC                             "</f>
        <v xml:space="preserve">BROWN EYED GIRLS PLLC                             </v>
      </c>
      <c r="E16534" t="str">
        <f>"OCEAN SPRINGS             "</f>
        <v xml:space="preserve">OCEAN SPRINGS             </v>
      </c>
      <c r="F16534" t="str">
        <f t="shared" si="418"/>
        <v>MS</v>
      </c>
    </row>
    <row r="16535" spans="1:6" x14ac:dyDescent="0.25">
      <c r="A16535" t="str">
        <f>"200010240"</f>
        <v>200010240</v>
      </c>
      <c r="B16535" t="str">
        <f>"1265458970"</f>
        <v>1265458970</v>
      </c>
      <c r="C16535" t="str">
        <f>"363L00000X"</f>
        <v>363L00000X</v>
      </c>
      <c r="D16535" t="str">
        <f>"LOVE                     VONDA                    "</f>
        <v xml:space="preserve">LOVE                     VONDA                    </v>
      </c>
      <c r="E16535" t="str">
        <f>"RIDGELAND                 "</f>
        <v xml:space="preserve">RIDGELAND                 </v>
      </c>
      <c r="F16535" t="str">
        <f t="shared" si="418"/>
        <v>MS</v>
      </c>
    </row>
    <row r="16536" spans="1:6" x14ac:dyDescent="0.25">
      <c r="A16536" t="str">
        <f>"200010244"</f>
        <v>200010244</v>
      </c>
      <c r="B16536" t="str">
        <f>"1881011526"</f>
        <v>1881011526</v>
      </c>
      <c r="C16536" t="str">
        <f>"152W00000X"</f>
        <v>152W00000X</v>
      </c>
      <c r="D16536" t="str">
        <f>"MERIDIAN EYE CARE                                 "</f>
        <v xml:space="preserve">MERIDIAN EYE CARE                                 </v>
      </c>
      <c r="E16536" t="str">
        <f>"MERIDIAN                  "</f>
        <v xml:space="preserve">MERIDIAN                  </v>
      </c>
      <c r="F16536" t="str">
        <f t="shared" si="418"/>
        <v>MS</v>
      </c>
    </row>
    <row r="16537" spans="1:6" x14ac:dyDescent="0.25">
      <c r="A16537" t="str">
        <f>"200010246"</f>
        <v>200010246</v>
      </c>
      <c r="B16537" t="str">
        <f>"1205900958"</f>
        <v>1205900958</v>
      </c>
      <c r="C16537" t="str">
        <f>"261QM1300X"</f>
        <v>261QM1300X</v>
      </c>
      <c r="D16537" t="str">
        <f>"ADVANCED MEDICAL LLC                              "</f>
        <v xml:space="preserve">ADVANCED MEDICAL LLC                              </v>
      </c>
      <c r="E16537" t="str">
        <f>"RIDGELAND                 "</f>
        <v xml:space="preserve">RIDGELAND                 </v>
      </c>
      <c r="F16537" t="str">
        <f t="shared" si="418"/>
        <v>MS</v>
      </c>
    </row>
    <row r="16538" spans="1:6" x14ac:dyDescent="0.25">
      <c r="A16538" t="str">
        <f>"200010251"</f>
        <v>200010251</v>
      </c>
      <c r="B16538" t="str">
        <f>"1427814458"</f>
        <v>1427814458</v>
      </c>
      <c r="C16538" t="str">
        <f>"152W00000X"</f>
        <v>152W00000X</v>
      </c>
      <c r="D16538" t="str">
        <f>"MISSISSIPPI EYE CARE ACKERMAN                     "</f>
        <v xml:space="preserve">MISSISSIPPI EYE CARE ACKERMAN                     </v>
      </c>
      <c r="E16538" t="str">
        <f>"ACKERMAN                  "</f>
        <v xml:space="preserve">ACKERMAN                  </v>
      </c>
      <c r="F16538" t="str">
        <f t="shared" si="418"/>
        <v>MS</v>
      </c>
    </row>
    <row r="16539" spans="1:6" x14ac:dyDescent="0.25">
      <c r="A16539" t="str">
        <f>"200010253"</f>
        <v>200010253</v>
      </c>
      <c r="B16539" t="str">
        <f>"1427262450"</f>
        <v>1427262450</v>
      </c>
      <c r="C16539" t="str">
        <f>"152W00000X"</f>
        <v>152W00000X</v>
      </c>
      <c r="D16539" t="str">
        <f>"MISSISSIPPI EYE CARE STARKVILLE                   "</f>
        <v xml:space="preserve">MISSISSIPPI EYE CARE STARKVILLE                   </v>
      </c>
      <c r="E16539" t="str">
        <f>"STARKVILLE                "</f>
        <v xml:space="preserve">STARKVILLE                </v>
      </c>
      <c r="F16539" t="str">
        <f t="shared" si="418"/>
        <v>MS</v>
      </c>
    </row>
    <row r="16540" spans="1:6" x14ac:dyDescent="0.25">
      <c r="A16540" t="str">
        <f>"200010257"</f>
        <v>200010257</v>
      </c>
      <c r="B16540" t="str">
        <f>"1831970144"</f>
        <v>1831970144</v>
      </c>
      <c r="C16540" t="str">
        <f>"261QF0400X"</f>
        <v>261QF0400X</v>
      </c>
      <c r="D16540" t="str">
        <f>"COASTAL FAMILY HEALTH CENTER, INC.                "</f>
        <v xml:space="preserve">COASTAL FAMILY HEALTH CENTER, INC.                </v>
      </c>
      <c r="E16540" t="str">
        <f>"KILN                      "</f>
        <v xml:space="preserve">KILN                      </v>
      </c>
      <c r="F16540" t="str">
        <f t="shared" si="418"/>
        <v>MS</v>
      </c>
    </row>
    <row r="16541" spans="1:6" x14ac:dyDescent="0.25">
      <c r="A16541" t="str">
        <f>"200010259"</f>
        <v>200010259</v>
      </c>
      <c r="B16541" t="str">
        <f>"1497523153"</f>
        <v>1497523153</v>
      </c>
      <c r="C16541" t="str">
        <f>"261QF0400X"</f>
        <v>261QF0400X</v>
      </c>
      <c r="D16541" t="str">
        <f>"BLACKBURN MIDDLE SCHOOL                           "</f>
        <v xml:space="preserve">BLACKBURN MIDDLE SCHOOL                           </v>
      </c>
      <c r="E16541" t="str">
        <f>"JACKSON                   "</f>
        <v xml:space="preserve">JACKSON                   </v>
      </c>
      <c r="F16541" t="str">
        <f t="shared" si="418"/>
        <v>MS</v>
      </c>
    </row>
    <row r="16542" spans="1:6" x14ac:dyDescent="0.25">
      <c r="A16542" t="str">
        <f>"200010260"</f>
        <v>200010260</v>
      </c>
      <c r="B16542" t="str">
        <f>"1386080638"</f>
        <v>1386080638</v>
      </c>
      <c r="C16542" t="str">
        <f>"207L00000X"</f>
        <v>207L00000X</v>
      </c>
      <c r="D16542" t="str">
        <f>"MENON                    AKSHAY                   "</f>
        <v xml:space="preserve">MENON                    AKSHAY                   </v>
      </c>
      <c r="E16542" t="str">
        <f>"SOUTHAVEN                 "</f>
        <v xml:space="preserve">SOUTHAVEN                 </v>
      </c>
      <c r="F16542" t="str">
        <f t="shared" si="418"/>
        <v>MS</v>
      </c>
    </row>
    <row r="16543" spans="1:6" x14ac:dyDescent="0.25">
      <c r="A16543" t="str">
        <f>"200010262"</f>
        <v>200010262</v>
      </c>
      <c r="B16543" t="str">
        <f>"1053556597"</f>
        <v>1053556597</v>
      </c>
      <c r="C16543" t="str">
        <f>"152W00000X"</f>
        <v>152W00000X</v>
      </c>
      <c r="D16543" t="str">
        <f>"MISSISSIPPI EYE CARE UNION                        "</f>
        <v xml:space="preserve">MISSISSIPPI EYE CARE UNION                        </v>
      </c>
      <c r="E16543" t="str">
        <f>"UNION                     "</f>
        <v xml:space="preserve">UNION                     </v>
      </c>
      <c r="F16543" t="str">
        <f t="shared" si="418"/>
        <v>MS</v>
      </c>
    </row>
    <row r="16544" spans="1:6" x14ac:dyDescent="0.25">
      <c r="A16544" t="str">
        <f>"200010270"</f>
        <v>200010270</v>
      </c>
      <c r="B16544" t="str">
        <f>"1932735727"</f>
        <v>1932735727</v>
      </c>
      <c r="C16544" t="str">
        <f>"363L00000X"</f>
        <v>363L00000X</v>
      </c>
      <c r="D16544" t="str">
        <f>"HICKMAN                  TYRAH                    "</f>
        <v xml:space="preserve">HICKMAN                  TYRAH                    </v>
      </c>
      <c r="E16544" t="str">
        <f>"IUKA                      "</f>
        <v xml:space="preserve">IUKA                      </v>
      </c>
      <c r="F16544" t="str">
        <f t="shared" si="418"/>
        <v>MS</v>
      </c>
    </row>
    <row r="16545" spans="1:6" x14ac:dyDescent="0.25">
      <c r="A16545" t="str">
        <f>"200010279"</f>
        <v>200010279</v>
      </c>
      <c r="B16545" t="str">
        <f>"1659758084"</f>
        <v>1659758084</v>
      </c>
      <c r="C16545" t="str">
        <f>"207RP1001X"</f>
        <v>207RP1001X</v>
      </c>
      <c r="D16545" t="str">
        <f>"CHEEMA                   HASSAN       A           "</f>
        <v xml:space="preserve">CHEEMA                   HASSAN       A           </v>
      </c>
      <c r="E16545" t="str">
        <f>"JACKSON                   "</f>
        <v xml:space="preserve">JACKSON                   </v>
      </c>
      <c r="F16545" t="str">
        <f t="shared" si="418"/>
        <v>MS</v>
      </c>
    </row>
    <row r="16546" spans="1:6" x14ac:dyDescent="0.25">
      <c r="A16546" t="str">
        <f>"200010292"</f>
        <v>200010292</v>
      </c>
      <c r="B16546" t="str">
        <f>"1851050579"</f>
        <v>1851050579</v>
      </c>
      <c r="C16546" t="str">
        <f>"261QR1300X"</f>
        <v>261QR1300X</v>
      </c>
      <c r="D16546" t="str">
        <f>"FAST PACE MISSISSIPPI, PLLC                       "</f>
        <v xml:space="preserve">FAST PACE MISSISSIPPI, PLLC                       </v>
      </c>
      <c r="E16546" t="str">
        <f>"COLUMBUS                  "</f>
        <v xml:space="preserve">COLUMBUS                  </v>
      </c>
      <c r="F16546" t="str">
        <f t="shared" si="418"/>
        <v>MS</v>
      </c>
    </row>
    <row r="16547" spans="1:6" x14ac:dyDescent="0.25">
      <c r="A16547" t="str">
        <f>"200010296"</f>
        <v>200010296</v>
      </c>
      <c r="B16547" t="str">
        <f>"1104869353"</f>
        <v>1104869353</v>
      </c>
      <c r="C16547" t="str">
        <f>"207P00000X"</f>
        <v>207P00000X</v>
      </c>
      <c r="D16547" t="str">
        <f>"DANIELSON                DIRK                     "</f>
        <v xml:space="preserve">DANIELSON                DIRK                     </v>
      </c>
      <c r="E16547" t="str">
        <f>"VICKSBURG                 "</f>
        <v xml:space="preserve">VICKSBURG                 </v>
      </c>
      <c r="F16547" t="str">
        <f t="shared" si="418"/>
        <v>MS</v>
      </c>
    </row>
    <row r="16548" spans="1:6" x14ac:dyDescent="0.25">
      <c r="A16548" t="str">
        <f>"200010298"</f>
        <v>200010298</v>
      </c>
      <c r="B16548" t="str">
        <f>"1639519895"</f>
        <v>1639519895</v>
      </c>
      <c r="C16548" t="str">
        <f>"122300000X"</f>
        <v>122300000X</v>
      </c>
      <c r="D16548" t="str">
        <f>"HARBARGER                DAVID        A           "</f>
        <v xml:space="preserve">HARBARGER                DAVID        A           </v>
      </c>
      <c r="E16548" t="str">
        <f>"FLOWOOD                   "</f>
        <v xml:space="preserve">FLOWOOD                   </v>
      </c>
      <c r="F16548" t="str">
        <f t="shared" si="418"/>
        <v>MS</v>
      </c>
    </row>
    <row r="16549" spans="1:6" x14ac:dyDescent="0.25">
      <c r="A16549" t="str">
        <f>"200010305"</f>
        <v>200010305</v>
      </c>
      <c r="B16549" t="str">
        <f>"1336927797"</f>
        <v>1336927797</v>
      </c>
      <c r="C16549" t="str">
        <f>"363L00000X"</f>
        <v>363L00000X</v>
      </c>
      <c r="D16549" t="str">
        <f>"CLARKE                   JULIANNA                 "</f>
        <v xml:space="preserve">CLARKE                   JULIANNA                 </v>
      </c>
      <c r="E16549" t="str">
        <f>"SOUTHAVEN                 "</f>
        <v xml:space="preserve">SOUTHAVEN                 </v>
      </c>
      <c r="F16549" t="str">
        <f t="shared" si="418"/>
        <v>MS</v>
      </c>
    </row>
    <row r="16550" spans="1:6" x14ac:dyDescent="0.25">
      <c r="A16550" t="str">
        <f>"200010313"</f>
        <v>200010313</v>
      </c>
      <c r="B16550" t="str">
        <f>"1134740798"</f>
        <v>1134740798</v>
      </c>
      <c r="C16550" t="str">
        <f>"363L00000X"</f>
        <v>363L00000X</v>
      </c>
      <c r="D16550" t="str">
        <f>"BROUSSARD                SHANA                    "</f>
        <v xml:space="preserve">BROUSSARD                SHANA                    </v>
      </c>
      <c r="E16550" t="str">
        <f>"SAUCIER                   "</f>
        <v xml:space="preserve">SAUCIER                   </v>
      </c>
      <c r="F16550" t="str">
        <f t="shared" si="418"/>
        <v>MS</v>
      </c>
    </row>
    <row r="16551" spans="1:6" x14ac:dyDescent="0.25">
      <c r="A16551" t="str">
        <f>"200010331"</f>
        <v>200010331</v>
      </c>
      <c r="B16551" t="str">
        <f>"1730804147"</f>
        <v>1730804147</v>
      </c>
      <c r="C16551" t="str">
        <f>"363LA2100X"</f>
        <v>363LA2100X</v>
      </c>
      <c r="D16551" t="str">
        <f>"MCCRAW                   JENNIFER                 "</f>
        <v xml:space="preserve">MCCRAW                   JENNIFER                 </v>
      </c>
      <c r="E16551" t="str">
        <f>"JACKSON                   "</f>
        <v xml:space="preserve">JACKSON                   </v>
      </c>
      <c r="F16551" t="str">
        <f t="shared" si="418"/>
        <v>MS</v>
      </c>
    </row>
    <row r="16552" spans="1:6" x14ac:dyDescent="0.25">
      <c r="A16552" t="str">
        <f>"200010343"</f>
        <v>200010343</v>
      </c>
      <c r="B16552" t="str">
        <f>"1609651199"</f>
        <v>1609651199</v>
      </c>
      <c r="C16552" t="str">
        <f>"363L00000X"</f>
        <v>363L00000X</v>
      </c>
      <c r="D16552" t="str">
        <f>"DENLEY                   DEVIN                    "</f>
        <v xml:space="preserve">DENLEY                   DEVIN                    </v>
      </c>
      <c r="E16552" t="str">
        <f>"MATHISTON                 "</f>
        <v xml:space="preserve">MATHISTON                 </v>
      </c>
      <c r="F16552" t="str">
        <f t="shared" si="418"/>
        <v>MS</v>
      </c>
    </row>
    <row r="16553" spans="1:6" x14ac:dyDescent="0.25">
      <c r="A16553" t="str">
        <f>"200010355"</f>
        <v>200010355</v>
      </c>
      <c r="B16553" t="str">
        <f>"1629264544"</f>
        <v>1629264544</v>
      </c>
      <c r="C16553" t="str">
        <f>"208D00000X"</f>
        <v>208D00000X</v>
      </c>
      <c r="D16553" t="str">
        <f>"COLE                     ALAN                     "</f>
        <v xml:space="preserve">COLE                     ALAN                     </v>
      </c>
      <c r="E16553" t="str">
        <f>"HATTIESBURG               "</f>
        <v xml:space="preserve">HATTIESBURG               </v>
      </c>
      <c r="F16553" t="str">
        <f t="shared" si="418"/>
        <v>MS</v>
      </c>
    </row>
    <row r="16554" spans="1:6" x14ac:dyDescent="0.25">
      <c r="A16554" t="str">
        <f>"200010356"</f>
        <v>200010356</v>
      </c>
      <c r="B16554" t="str">
        <f>"1871596882"</f>
        <v>1871596882</v>
      </c>
      <c r="C16554" t="str">
        <f>"207X00000X"</f>
        <v>207X00000X</v>
      </c>
      <c r="D16554" t="str">
        <f>"DENEKA                   DAVID        A           "</f>
        <v xml:space="preserve">DENEKA                   DAVID        A           </v>
      </c>
      <c r="E16554" t="str">
        <f>"SOUTHAVEN                 "</f>
        <v xml:space="preserve">SOUTHAVEN                 </v>
      </c>
      <c r="F16554" t="str">
        <f t="shared" si="418"/>
        <v>MS</v>
      </c>
    </row>
    <row r="16555" spans="1:6" x14ac:dyDescent="0.25">
      <c r="A16555" t="str">
        <f>"200010361"</f>
        <v>200010361</v>
      </c>
      <c r="B16555" t="str">
        <f>"1871576215"</f>
        <v>1871576215</v>
      </c>
      <c r="C16555" t="str">
        <f>"207RC0000X"</f>
        <v>207RC0000X</v>
      </c>
      <c r="D16555" t="str">
        <f>"MORALES                  ANTHONY                  "</f>
        <v xml:space="preserve">MORALES                  ANTHONY                  </v>
      </c>
      <c r="E16555" t="str">
        <f>"PICAYUNE                  "</f>
        <v xml:space="preserve">PICAYUNE                  </v>
      </c>
      <c r="F16555" t="str">
        <f t="shared" si="418"/>
        <v>MS</v>
      </c>
    </row>
    <row r="16556" spans="1:6" x14ac:dyDescent="0.25">
      <c r="A16556" t="str">
        <f>"200010384"</f>
        <v>200010384</v>
      </c>
      <c r="B16556" t="str">
        <f>"1679341333"</f>
        <v>1679341333</v>
      </c>
      <c r="C16556" t="str">
        <f>"261QF0400X"</f>
        <v>261QF0400X</v>
      </c>
      <c r="D16556" t="str">
        <f>"CARDOZA MIDDLE SCHOOL                             "</f>
        <v xml:space="preserve">CARDOZA MIDDLE SCHOOL                             </v>
      </c>
      <c r="E16556" t="str">
        <f>"JACKSON                   "</f>
        <v xml:space="preserve">JACKSON                   </v>
      </c>
      <c r="F16556" t="str">
        <f t="shared" si="418"/>
        <v>MS</v>
      </c>
    </row>
    <row r="16557" spans="1:6" x14ac:dyDescent="0.25">
      <c r="A16557" t="str">
        <f>"200010389"</f>
        <v>200010389</v>
      </c>
      <c r="B16557" t="str">
        <f>"1215707146"</f>
        <v>1215707146</v>
      </c>
      <c r="C16557" t="str">
        <f>"363L00000X"</f>
        <v>363L00000X</v>
      </c>
      <c r="D16557" t="str">
        <f>"TAYLOR                   CAITLIN                  "</f>
        <v xml:space="preserve">TAYLOR                   CAITLIN                  </v>
      </c>
      <c r="E16557" t="str">
        <f>"JACKSON                   "</f>
        <v xml:space="preserve">JACKSON                   </v>
      </c>
      <c r="F16557" t="str">
        <f t="shared" si="418"/>
        <v>MS</v>
      </c>
    </row>
    <row r="16558" spans="1:6" x14ac:dyDescent="0.25">
      <c r="A16558" t="str">
        <f>"200010406"</f>
        <v>200010406</v>
      </c>
      <c r="B16558" t="str">
        <f>"1447017736"</f>
        <v>1447017736</v>
      </c>
      <c r="C16558" t="str">
        <f>"363L00000X"</f>
        <v>363L00000X</v>
      </c>
      <c r="D16558" t="str">
        <f>"RIDINGER                 ANNA KATHRYN             "</f>
        <v xml:space="preserve">RIDINGER                 ANNA KATHRYN             </v>
      </c>
      <c r="E16558" t="str">
        <f>"FLOWOOD                   "</f>
        <v xml:space="preserve">FLOWOOD                   </v>
      </c>
      <c r="F16558" t="str">
        <f t="shared" si="418"/>
        <v>MS</v>
      </c>
    </row>
    <row r="16559" spans="1:6" x14ac:dyDescent="0.25">
      <c r="A16559" t="str">
        <f>"200010409"</f>
        <v>200010409</v>
      </c>
      <c r="B16559" t="str">
        <f>"1760248926"</f>
        <v>1760248926</v>
      </c>
      <c r="C16559" t="str">
        <f>"363LF0000X"</f>
        <v>363LF0000X</v>
      </c>
      <c r="D16559" t="str">
        <f>"MCPHAIL                  EMILY                    "</f>
        <v xml:space="preserve">MCPHAIL                  EMILY                    </v>
      </c>
      <c r="E16559" t="str">
        <f>"JACKSON                   "</f>
        <v xml:space="preserve">JACKSON                   </v>
      </c>
      <c r="F16559" t="str">
        <f t="shared" si="418"/>
        <v>MS</v>
      </c>
    </row>
    <row r="16560" spans="1:6" x14ac:dyDescent="0.25">
      <c r="A16560" t="str">
        <f>"200010414"</f>
        <v>200010414</v>
      </c>
      <c r="B16560" t="str">
        <f>"1609163880"</f>
        <v>1609163880</v>
      </c>
      <c r="C16560" t="str">
        <f>"208VP0014X"</f>
        <v>208VP0014X</v>
      </c>
      <c r="D16560" t="str">
        <f>"SEELY III                WILLIAM                  "</f>
        <v xml:space="preserve">SEELY III                WILLIAM                  </v>
      </c>
      <c r="E16560" t="str">
        <f>"TUPELO                    "</f>
        <v xml:space="preserve">TUPELO                    </v>
      </c>
      <c r="F16560" t="str">
        <f t="shared" si="418"/>
        <v>MS</v>
      </c>
    </row>
    <row r="16561" spans="1:6" x14ac:dyDescent="0.25">
      <c r="A16561" t="str">
        <f>"200010415"</f>
        <v>200010415</v>
      </c>
      <c r="B16561" t="str">
        <f>"1659733798"</f>
        <v>1659733798</v>
      </c>
      <c r="C16561" t="str">
        <f>"2084P0800X"</f>
        <v>2084P0800X</v>
      </c>
      <c r="D16561" t="str">
        <f>"KAMENS                   WILLIAM                  "</f>
        <v xml:space="preserve">KAMENS                   WILLIAM                  </v>
      </c>
      <c r="E16561" t="str">
        <f>"SOUTHAVEN                 "</f>
        <v xml:space="preserve">SOUTHAVEN                 </v>
      </c>
      <c r="F16561" t="str">
        <f t="shared" si="418"/>
        <v>MS</v>
      </c>
    </row>
    <row r="16562" spans="1:6" x14ac:dyDescent="0.25">
      <c r="A16562" t="str">
        <f>"200010416"</f>
        <v>200010416</v>
      </c>
      <c r="B16562" t="str">
        <f>"1205935269"</f>
        <v>1205935269</v>
      </c>
      <c r="C16562" t="str">
        <f>"208C00000X"</f>
        <v>208C00000X</v>
      </c>
      <c r="D16562" t="str">
        <f>"DOTSON                   RENIA                    "</f>
        <v xml:space="preserve">DOTSON                   RENIA                    </v>
      </c>
      <c r="E16562" t="str">
        <f>"JACKSON                   "</f>
        <v xml:space="preserve">JACKSON                   </v>
      </c>
      <c r="F16562" t="str">
        <f t="shared" si="418"/>
        <v>MS</v>
      </c>
    </row>
    <row r="16563" spans="1:6" x14ac:dyDescent="0.25">
      <c r="A16563" t="str">
        <f>"200010427"</f>
        <v>200010427</v>
      </c>
      <c r="B16563" t="str">
        <f>"1720025968"</f>
        <v>1720025968</v>
      </c>
      <c r="C16563" t="str">
        <f>"207V00000X"</f>
        <v>207V00000X</v>
      </c>
      <c r="D16563" t="str">
        <f>"HANNA                    SHAHIRA                  "</f>
        <v xml:space="preserve">HANNA                    SHAHIRA                  </v>
      </c>
      <c r="E16563" t="str">
        <f>"BILOXI                    "</f>
        <v xml:space="preserve">BILOXI                    </v>
      </c>
      <c r="F16563" t="str">
        <f t="shared" si="418"/>
        <v>MS</v>
      </c>
    </row>
    <row r="16564" spans="1:6" x14ac:dyDescent="0.25">
      <c r="A16564" t="str">
        <f>"200010433"</f>
        <v>200010433</v>
      </c>
      <c r="B16564" t="str">
        <f>"1649739814"</f>
        <v>1649739814</v>
      </c>
      <c r="C16564" t="str">
        <f>"207Q00000X"</f>
        <v>207Q00000X</v>
      </c>
      <c r="D16564" t="str">
        <f>"WHEELER                  MICHELLE                 "</f>
        <v xml:space="preserve">WHEELER                  MICHELLE                 </v>
      </c>
      <c r="E16564" t="str">
        <f>"WAYNESBORO                "</f>
        <v xml:space="preserve">WAYNESBORO                </v>
      </c>
      <c r="F16564" t="str">
        <f t="shared" si="418"/>
        <v>MS</v>
      </c>
    </row>
    <row r="16565" spans="1:6" x14ac:dyDescent="0.25">
      <c r="A16565" t="str">
        <f>"200010439"</f>
        <v>200010439</v>
      </c>
      <c r="B16565" t="str">
        <f>"1770354474"</f>
        <v>1770354474</v>
      </c>
      <c r="C16565" t="str">
        <f>"363L00000X"</f>
        <v>363L00000X</v>
      </c>
      <c r="D16565" t="str">
        <f>"WARREN                   KRISTEN                  "</f>
        <v xml:space="preserve">WARREN                   KRISTEN                  </v>
      </c>
      <c r="E16565" t="str">
        <f>"GULFPORT                  "</f>
        <v xml:space="preserve">GULFPORT                  </v>
      </c>
      <c r="F16565" t="str">
        <f t="shared" si="418"/>
        <v>MS</v>
      </c>
    </row>
    <row r="16566" spans="1:6" x14ac:dyDescent="0.25">
      <c r="A16566" t="str">
        <f>"200010442"</f>
        <v>200010442</v>
      </c>
      <c r="B16566" t="str">
        <f>"1902656564"</f>
        <v>1902656564</v>
      </c>
      <c r="C16566" t="str">
        <f>"363L00000X"</f>
        <v>363L00000X</v>
      </c>
      <c r="D16566" t="str">
        <f>"BROWN                    JACKIE                   "</f>
        <v xml:space="preserve">BROWN                    JACKIE                   </v>
      </c>
      <c r="E16566" t="str">
        <f>"HOLLY SPRINGS             "</f>
        <v xml:space="preserve">HOLLY SPRINGS             </v>
      </c>
      <c r="F16566" t="str">
        <f t="shared" si="418"/>
        <v>MS</v>
      </c>
    </row>
    <row r="16567" spans="1:6" x14ac:dyDescent="0.25">
      <c r="A16567" t="str">
        <f>"200010447"</f>
        <v>200010447</v>
      </c>
      <c r="B16567" t="str">
        <f>"1629240999"</f>
        <v>1629240999</v>
      </c>
      <c r="C16567" t="str">
        <f>"207Q00000X"</f>
        <v>207Q00000X</v>
      </c>
      <c r="D16567" t="str">
        <f>"HILL                     HEATHER                  "</f>
        <v xml:space="preserve">HILL                     HEATHER                  </v>
      </c>
      <c r="E16567" t="str">
        <f>"AMORY                     "</f>
        <v xml:space="preserve">AMORY                     </v>
      </c>
      <c r="F16567" t="str">
        <f t="shared" si="418"/>
        <v>MS</v>
      </c>
    </row>
    <row r="16568" spans="1:6" x14ac:dyDescent="0.25">
      <c r="A16568" t="str">
        <f>"200010449"</f>
        <v>200010449</v>
      </c>
      <c r="B16568" t="str">
        <f>"1215334800"</f>
        <v>1215334800</v>
      </c>
      <c r="C16568" t="str">
        <f>"363A00000X"</f>
        <v>363A00000X</v>
      </c>
      <c r="D16568" t="str">
        <f>"PERNICIARO               VANESSA                  "</f>
        <v xml:space="preserve">PERNICIARO               VANESSA                  </v>
      </c>
      <c r="E16568" t="str">
        <f>"VICKSBURG                 "</f>
        <v xml:space="preserve">VICKSBURG                 </v>
      </c>
      <c r="F16568" t="str">
        <f t="shared" si="418"/>
        <v>MS</v>
      </c>
    </row>
    <row r="16569" spans="1:6" x14ac:dyDescent="0.25">
      <c r="A16569" t="str">
        <f>"200010455"</f>
        <v>200010455</v>
      </c>
      <c r="B16569" t="str">
        <f>"1265825962"</f>
        <v>1265825962</v>
      </c>
      <c r="C16569" t="str">
        <f>"363L00000X"</f>
        <v>363L00000X</v>
      </c>
      <c r="D16569" t="str">
        <f>"MCGEHEE                  LEAH                     "</f>
        <v xml:space="preserve">MCGEHEE                  LEAH                     </v>
      </c>
      <c r="E16569" t="str">
        <f>"RIDGELAND                 "</f>
        <v xml:space="preserve">RIDGELAND                 </v>
      </c>
      <c r="F16569" t="str">
        <f t="shared" si="418"/>
        <v>MS</v>
      </c>
    </row>
    <row r="16570" spans="1:6" x14ac:dyDescent="0.25">
      <c r="A16570" t="str">
        <f>"200010469"</f>
        <v>200010469</v>
      </c>
      <c r="B16570" t="str">
        <f>"1659051621"</f>
        <v>1659051621</v>
      </c>
      <c r="C16570" t="str">
        <f>"363L00000X"</f>
        <v>363L00000X</v>
      </c>
      <c r="D16570" t="str">
        <f>"SHENK                    BREANNA                  "</f>
        <v xml:space="preserve">SHENK                    BREANNA                  </v>
      </c>
      <c r="E16570" t="str">
        <f>"BILOXI                    "</f>
        <v xml:space="preserve">BILOXI                    </v>
      </c>
      <c r="F16570" t="str">
        <f t="shared" si="418"/>
        <v>MS</v>
      </c>
    </row>
    <row r="16571" spans="1:6" x14ac:dyDescent="0.25">
      <c r="A16571" t="str">
        <f>"200010472"</f>
        <v>200010472</v>
      </c>
      <c r="B16571" t="str">
        <f>"1376300566"</f>
        <v>1376300566</v>
      </c>
      <c r="C16571" t="str">
        <f>"363L00000X"</f>
        <v>363L00000X</v>
      </c>
      <c r="D16571" t="str">
        <f>"BRUTON                   GENEVIEVE    A           "</f>
        <v xml:space="preserve">BRUTON                   GENEVIEVE    A           </v>
      </c>
      <c r="E16571" t="str">
        <f>"OCEAN SPRINGS             "</f>
        <v xml:space="preserve">OCEAN SPRINGS             </v>
      </c>
      <c r="F16571" t="str">
        <f t="shared" si="418"/>
        <v>MS</v>
      </c>
    </row>
    <row r="16572" spans="1:6" x14ac:dyDescent="0.25">
      <c r="A16572" t="str">
        <f>"200010494"</f>
        <v>200010494</v>
      </c>
      <c r="B16572" t="str">
        <f>"1558893933"</f>
        <v>1558893933</v>
      </c>
      <c r="C16572" t="str">
        <f>"207RG0100X"</f>
        <v>207RG0100X</v>
      </c>
      <c r="D16572" t="str">
        <f>"BROWNING                 REBECCA      E           "</f>
        <v xml:space="preserve">BROWNING                 REBECCA      E           </v>
      </c>
      <c r="E16572" t="str">
        <f>"HATTIESBURG               "</f>
        <v xml:space="preserve">HATTIESBURG               </v>
      </c>
      <c r="F16572" t="str">
        <f t="shared" si="418"/>
        <v>MS</v>
      </c>
    </row>
    <row r="16573" spans="1:6" x14ac:dyDescent="0.25">
      <c r="A16573" t="str">
        <f>"200010501"</f>
        <v>200010501</v>
      </c>
      <c r="B16573" t="str">
        <f>"1710759105"</f>
        <v>1710759105</v>
      </c>
      <c r="C16573" t="str">
        <f>"363L00000X"</f>
        <v>363L00000X</v>
      </c>
      <c r="D16573" t="str">
        <f>"CARR                     CECELIA                  "</f>
        <v xml:space="preserve">CARR                     CECELIA                  </v>
      </c>
      <c r="E16573" t="str">
        <f>"CORINTH                   "</f>
        <v xml:space="preserve">CORINTH                   </v>
      </c>
      <c r="F16573" t="str">
        <f t="shared" si="418"/>
        <v>MS</v>
      </c>
    </row>
    <row r="16574" spans="1:6" x14ac:dyDescent="0.25">
      <c r="A16574" t="str">
        <f>"200010506"</f>
        <v>200010506</v>
      </c>
      <c r="B16574" t="str">
        <f>"1780917443"</f>
        <v>1780917443</v>
      </c>
      <c r="C16574" t="str">
        <f>"363L00000X"</f>
        <v>363L00000X</v>
      </c>
      <c r="D16574" t="str">
        <f>"MAYS                     TRACEY       L           "</f>
        <v xml:space="preserve">MAYS                     TRACEY       L           </v>
      </c>
      <c r="E16574" t="str">
        <f>"SOUTHAVEN                 "</f>
        <v xml:space="preserve">SOUTHAVEN                 </v>
      </c>
      <c r="F16574" t="str">
        <f t="shared" ref="F16574:F16637" si="419">"MS"</f>
        <v>MS</v>
      </c>
    </row>
    <row r="16575" spans="1:6" x14ac:dyDescent="0.25">
      <c r="A16575" t="str">
        <f>"200010516"</f>
        <v>200010516</v>
      </c>
      <c r="B16575" t="str">
        <f>"1184737017"</f>
        <v>1184737017</v>
      </c>
      <c r="C16575" t="str">
        <f>"152W00000X"</f>
        <v>152W00000X</v>
      </c>
      <c r="D16575" t="str">
        <f>"MISSISSIPPI EYE CARE MACON                        "</f>
        <v xml:space="preserve">MISSISSIPPI EYE CARE MACON                        </v>
      </c>
      <c r="E16575" t="str">
        <f>"MACON                     "</f>
        <v xml:space="preserve">MACON                     </v>
      </c>
      <c r="F16575" t="str">
        <f t="shared" si="419"/>
        <v>MS</v>
      </c>
    </row>
    <row r="16576" spans="1:6" x14ac:dyDescent="0.25">
      <c r="A16576" t="str">
        <f>"200010523"</f>
        <v>200010523</v>
      </c>
      <c r="B16576" t="str">
        <f>"1386656924"</f>
        <v>1386656924</v>
      </c>
      <c r="C16576" t="str">
        <f>"152W00000X"</f>
        <v>152W00000X</v>
      </c>
      <c r="D16576" t="str">
        <f>"MISSISSIPPI EYE CARE CARE LOUISVILLE              "</f>
        <v xml:space="preserve">MISSISSIPPI EYE CARE CARE LOUISVILLE              </v>
      </c>
      <c r="E16576" t="str">
        <f>"LOUISVILLE                "</f>
        <v xml:space="preserve">LOUISVILLE                </v>
      </c>
      <c r="F16576" t="str">
        <f t="shared" si="419"/>
        <v>MS</v>
      </c>
    </row>
    <row r="16577" spans="1:6" x14ac:dyDescent="0.25">
      <c r="A16577" t="str">
        <f>"200010526"</f>
        <v>200010526</v>
      </c>
      <c r="B16577" t="str">
        <f>"1396194122"</f>
        <v>1396194122</v>
      </c>
      <c r="C16577" t="str">
        <f>"363A00000X"</f>
        <v>363A00000X</v>
      </c>
      <c r="D16577" t="str">
        <f>"FRAZIER                  LESLIE                   "</f>
        <v xml:space="preserve">FRAZIER                  LESLIE                   </v>
      </c>
      <c r="E16577" t="str">
        <f>"OXFORD                    "</f>
        <v xml:space="preserve">OXFORD                    </v>
      </c>
      <c r="F16577" t="str">
        <f t="shared" si="419"/>
        <v>MS</v>
      </c>
    </row>
    <row r="16578" spans="1:6" x14ac:dyDescent="0.25">
      <c r="A16578" t="str">
        <f>"200010528"</f>
        <v>200010528</v>
      </c>
      <c r="B16578" t="str">
        <f>"1497818579"</f>
        <v>1497818579</v>
      </c>
      <c r="C16578" t="str">
        <f>"208000000X"</f>
        <v>208000000X</v>
      </c>
      <c r="D16578" t="str">
        <f>"FAIN                     GEORGE                   "</f>
        <v xml:space="preserve">FAIN                     GEORGE                   </v>
      </c>
      <c r="E16578" t="str">
        <f>"OCEAN SPRINGS             "</f>
        <v xml:space="preserve">OCEAN SPRINGS             </v>
      </c>
      <c r="F16578" t="str">
        <f t="shared" si="419"/>
        <v>MS</v>
      </c>
    </row>
    <row r="16579" spans="1:6" x14ac:dyDescent="0.25">
      <c r="A16579" t="str">
        <f>"200010535"</f>
        <v>200010535</v>
      </c>
      <c r="B16579" t="str">
        <f>"1053974949"</f>
        <v>1053974949</v>
      </c>
      <c r="C16579" t="str">
        <f>"2084N0400X"</f>
        <v>2084N0400X</v>
      </c>
      <c r="D16579" t="str">
        <f>"BROCKENSHIRE             CAITLIN                  "</f>
        <v xml:space="preserve">BROCKENSHIRE             CAITLIN                  </v>
      </c>
      <c r="E16579" t="str">
        <f>"SOUTHAVEN                 "</f>
        <v xml:space="preserve">SOUTHAVEN                 </v>
      </c>
      <c r="F16579" t="str">
        <f t="shared" si="419"/>
        <v>MS</v>
      </c>
    </row>
    <row r="16580" spans="1:6" x14ac:dyDescent="0.25">
      <c r="A16580" t="str">
        <f>"200010537"</f>
        <v>200010537</v>
      </c>
      <c r="B16580" t="str">
        <f>"1144793191"</f>
        <v>1144793191</v>
      </c>
      <c r="C16580" t="str">
        <f>"367500000X"</f>
        <v>367500000X</v>
      </c>
      <c r="D16580" t="str">
        <f>"ADAMS                    KYLE         H           "</f>
        <v xml:space="preserve">ADAMS                    KYLE         H           </v>
      </c>
      <c r="E16580" t="str">
        <f>"JACKSON                   "</f>
        <v xml:space="preserve">JACKSON                   </v>
      </c>
      <c r="F16580" t="str">
        <f t="shared" si="419"/>
        <v>MS</v>
      </c>
    </row>
    <row r="16581" spans="1:6" x14ac:dyDescent="0.25">
      <c r="A16581" t="str">
        <f>"200010545"</f>
        <v>200010545</v>
      </c>
      <c r="B16581" t="str">
        <f>"1023796349"</f>
        <v>1023796349</v>
      </c>
      <c r="C16581" t="str">
        <f>"363L00000X"</f>
        <v>363L00000X</v>
      </c>
      <c r="D16581" t="str">
        <f>"WALKER                   LINDSEY                  "</f>
        <v xml:space="preserve">WALKER                   LINDSEY                  </v>
      </c>
      <c r="E16581" t="str">
        <f>"MERIDIAN                  "</f>
        <v xml:space="preserve">MERIDIAN                  </v>
      </c>
      <c r="F16581" t="str">
        <f t="shared" si="419"/>
        <v>MS</v>
      </c>
    </row>
    <row r="16582" spans="1:6" x14ac:dyDescent="0.25">
      <c r="A16582" t="str">
        <f>"200010546"</f>
        <v>200010546</v>
      </c>
      <c r="B16582" t="str">
        <f>"1649562570"</f>
        <v>1649562570</v>
      </c>
      <c r="C16582" t="str">
        <f>"207P00000X"</f>
        <v>207P00000X</v>
      </c>
      <c r="D16582" t="str">
        <f>"LEBLOND                  LAWRENCE                 "</f>
        <v xml:space="preserve">LEBLOND                  LAWRENCE                 </v>
      </c>
      <c r="E16582" t="str">
        <f>"OLIVE BRANCH              "</f>
        <v xml:space="preserve">OLIVE BRANCH              </v>
      </c>
      <c r="F16582" t="str">
        <f t="shared" si="419"/>
        <v>MS</v>
      </c>
    </row>
    <row r="16583" spans="1:6" x14ac:dyDescent="0.25">
      <c r="A16583" t="str">
        <f>"200010547"</f>
        <v>200010547</v>
      </c>
      <c r="B16583" t="str">
        <f>"1134992431"</f>
        <v>1134992431</v>
      </c>
      <c r="C16583" t="str">
        <f>"363A00000X"</f>
        <v>363A00000X</v>
      </c>
      <c r="D16583" t="str">
        <f>"NEWSOME                  COURTNEY     E           "</f>
        <v xml:space="preserve">NEWSOME                  COURTNEY     E           </v>
      </c>
      <c r="E16583" t="str">
        <f>"MADISON                   "</f>
        <v xml:space="preserve">MADISON                   </v>
      </c>
      <c r="F16583" t="str">
        <f t="shared" si="419"/>
        <v>MS</v>
      </c>
    </row>
    <row r="16584" spans="1:6" x14ac:dyDescent="0.25">
      <c r="A16584" t="str">
        <f>"200010555"</f>
        <v>200010555</v>
      </c>
      <c r="B16584" t="str">
        <f>"1629011150"</f>
        <v>1629011150</v>
      </c>
      <c r="C16584" t="str">
        <f>"207L00000X"</f>
        <v>207L00000X</v>
      </c>
      <c r="D16584" t="str">
        <f>"HONTZAS                  JOHN         T           "</f>
        <v xml:space="preserve">HONTZAS                  JOHN         T           </v>
      </c>
      <c r="E16584" t="str">
        <f>"JACKSON                   "</f>
        <v xml:space="preserve">JACKSON                   </v>
      </c>
      <c r="F16584" t="str">
        <f t="shared" si="419"/>
        <v>MS</v>
      </c>
    </row>
    <row r="16585" spans="1:6" x14ac:dyDescent="0.25">
      <c r="A16585" t="str">
        <f>"200010557"</f>
        <v>200010557</v>
      </c>
      <c r="B16585" t="str">
        <f>"1447225099"</f>
        <v>1447225099</v>
      </c>
      <c r="C16585" t="str">
        <f>"207R00000X"</f>
        <v>207R00000X</v>
      </c>
      <c r="D16585" t="str">
        <f>"WEINRAUB                 BRUCE                    "</f>
        <v xml:space="preserve">WEINRAUB                 BRUCE                    </v>
      </c>
      <c r="E16585" t="str">
        <f>"CLARKSDALE                "</f>
        <v xml:space="preserve">CLARKSDALE                </v>
      </c>
      <c r="F16585" t="str">
        <f t="shared" si="419"/>
        <v>MS</v>
      </c>
    </row>
    <row r="16586" spans="1:6" x14ac:dyDescent="0.25">
      <c r="A16586" t="str">
        <f>"200010561"</f>
        <v>200010561</v>
      </c>
      <c r="B16586" t="str">
        <f>"1801654520"</f>
        <v>1801654520</v>
      </c>
      <c r="C16586" t="str">
        <f>"363L00000X"</f>
        <v>363L00000X</v>
      </c>
      <c r="D16586" t="str">
        <f>"BROCK                    CATHERINE                "</f>
        <v xml:space="preserve">BROCK                    CATHERINE                </v>
      </c>
      <c r="E16586" t="str">
        <f>"SUMRALL                   "</f>
        <v xml:space="preserve">SUMRALL                   </v>
      </c>
      <c r="F16586" t="str">
        <f t="shared" si="419"/>
        <v>MS</v>
      </c>
    </row>
    <row r="16587" spans="1:6" x14ac:dyDescent="0.25">
      <c r="A16587" t="str">
        <f>"200010574"</f>
        <v>200010574</v>
      </c>
      <c r="B16587" t="str">
        <f>"1780176677"</f>
        <v>1780176677</v>
      </c>
      <c r="C16587" t="str">
        <f>"122300000X"</f>
        <v>122300000X</v>
      </c>
      <c r="D16587" t="str">
        <f>"JOHNSON                  SAMUEL                   "</f>
        <v xml:space="preserve">JOHNSON                  SAMUEL                   </v>
      </c>
      <c r="E16587" t="str">
        <f>"HATTIESBURG               "</f>
        <v xml:space="preserve">HATTIESBURG               </v>
      </c>
      <c r="F16587" t="str">
        <f t="shared" si="419"/>
        <v>MS</v>
      </c>
    </row>
    <row r="16588" spans="1:6" x14ac:dyDescent="0.25">
      <c r="A16588" t="str">
        <f>"200010588"</f>
        <v>200010588</v>
      </c>
      <c r="B16588" t="str">
        <f>"1093570996"</f>
        <v>1093570996</v>
      </c>
      <c r="C16588" t="str">
        <f>"363L00000X"</f>
        <v>363L00000X</v>
      </c>
      <c r="D16588" t="str">
        <f>"JONES                    KATILYN                  "</f>
        <v xml:space="preserve">JONES                    KATILYN                  </v>
      </c>
      <c r="E16588" t="str">
        <f>"BILOXI                    "</f>
        <v xml:space="preserve">BILOXI                    </v>
      </c>
      <c r="F16588" t="str">
        <f t="shared" si="419"/>
        <v>MS</v>
      </c>
    </row>
    <row r="16589" spans="1:6" x14ac:dyDescent="0.25">
      <c r="A16589" t="str">
        <f>"200010590"</f>
        <v>200010590</v>
      </c>
      <c r="B16589" t="str">
        <f>"1568098507"</f>
        <v>1568098507</v>
      </c>
      <c r="C16589" t="str">
        <f>"207R00000X"</f>
        <v>207R00000X</v>
      </c>
      <c r="D16589" t="str">
        <f>"AKBAR                    ZAINALABDEEN             "</f>
        <v xml:space="preserve">AKBAR                    ZAINALABDEEN             </v>
      </c>
      <c r="E16589" t="str">
        <f>"CORINTH                   "</f>
        <v xml:space="preserve">CORINTH                   </v>
      </c>
      <c r="F16589" t="str">
        <f t="shared" si="419"/>
        <v>MS</v>
      </c>
    </row>
    <row r="16590" spans="1:6" x14ac:dyDescent="0.25">
      <c r="A16590" t="str">
        <f>"200010591"</f>
        <v>200010591</v>
      </c>
      <c r="B16590" t="str">
        <f>"1154803005"</f>
        <v>1154803005</v>
      </c>
      <c r="C16590" t="str">
        <f>"363L00000X"</f>
        <v>363L00000X</v>
      </c>
      <c r="D16590" t="str">
        <f>"HARRIS                   ARETHA       R           "</f>
        <v xml:space="preserve">HARRIS                   ARETHA       R           </v>
      </c>
      <c r="E16590" t="str">
        <f>"HOUSTON                   "</f>
        <v xml:space="preserve">HOUSTON                   </v>
      </c>
      <c r="F16590" t="str">
        <f t="shared" si="419"/>
        <v>MS</v>
      </c>
    </row>
    <row r="16591" spans="1:6" x14ac:dyDescent="0.25">
      <c r="A16591" t="str">
        <f>"200010597"</f>
        <v>200010597</v>
      </c>
      <c r="B16591" t="str">
        <f>"1477013456"</f>
        <v>1477013456</v>
      </c>
      <c r="C16591" t="str">
        <f>"363A00000X"</f>
        <v>363A00000X</v>
      </c>
      <c r="D16591" t="str">
        <f>"SMITH                    ERICA        K           "</f>
        <v xml:space="preserve">SMITH                    ERICA        K           </v>
      </c>
      <c r="E16591" t="str">
        <f>"VICKSBURG                 "</f>
        <v xml:space="preserve">VICKSBURG                 </v>
      </c>
      <c r="F16591" t="str">
        <f t="shared" si="419"/>
        <v>MS</v>
      </c>
    </row>
    <row r="16592" spans="1:6" x14ac:dyDescent="0.25">
      <c r="A16592" t="str">
        <f>"200010598"</f>
        <v>200010598</v>
      </c>
      <c r="B16592" t="str">
        <f>"1811006901"</f>
        <v>1811006901</v>
      </c>
      <c r="C16592" t="str">
        <f>"208000000X"</f>
        <v>208000000X</v>
      </c>
      <c r="D16592" t="str">
        <f>"MANI                     CHITRA                   "</f>
        <v xml:space="preserve">MANI                     CHITRA                   </v>
      </c>
      <c r="E16592" t="str">
        <f>"CLARKSDALE                "</f>
        <v xml:space="preserve">CLARKSDALE                </v>
      </c>
      <c r="F16592" t="str">
        <f t="shared" si="419"/>
        <v>MS</v>
      </c>
    </row>
    <row r="16593" spans="1:6" x14ac:dyDescent="0.25">
      <c r="A16593" t="str">
        <f>"200010600"</f>
        <v>200010600</v>
      </c>
      <c r="B16593" t="str">
        <f>"1154181295"</f>
        <v>1154181295</v>
      </c>
      <c r="C16593" t="str">
        <f>"363L00000X"</f>
        <v>363L00000X</v>
      </c>
      <c r="D16593" t="str">
        <f>"JEFFERSON                BRANDI                   "</f>
        <v xml:space="preserve">JEFFERSON                BRANDI                   </v>
      </c>
      <c r="E16593" t="str">
        <f>"LAUREL                    "</f>
        <v xml:space="preserve">LAUREL                    </v>
      </c>
      <c r="F16593" t="str">
        <f t="shared" si="419"/>
        <v>MS</v>
      </c>
    </row>
    <row r="16594" spans="1:6" x14ac:dyDescent="0.25">
      <c r="A16594" t="str">
        <f>"200010608"</f>
        <v>200010608</v>
      </c>
      <c r="B16594" t="str">
        <f>"1477005122"</f>
        <v>1477005122</v>
      </c>
      <c r="C16594" t="str">
        <f>"363L00000X"</f>
        <v>363L00000X</v>
      </c>
      <c r="D16594" t="str">
        <f>"MATHIS                   COURTNEY     R           "</f>
        <v xml:space="preserve">MATHIS                   COURTNEY     R           </v>
      </c>
      <c r="E16594" t="str">
        <f>"FLOWOOD                   "</f>
        <v xml:space="preserve">FLOWOOD                   </v>
      </c>
      <c r="F16594" t="str">
        <f t="shared" si="419"/>
        <v>MS</v>
      </c>
    </row>
    <row r="16595" spans="1:6" x14ac:dyDescent="0.25">
      <c r="A16595" t="str">
        <f>"200010610"</f>
        <v>200010610</v>
      </c>
      <c r="B16595" t="str">
        <f>"1780624304"</f>
        <v>1780624304</v>
      </c>
      <c r="C16595" t="str">
        <f>"208800000X"</f>
        <v>208800000X</v>
      </c>
      <c r="D16595" t="str">
        <f>"OWENS                    DAVID                    "</f>
        <v xml:space="preserve">OWENS                    DAVID                    </v>
      </c>
      <c r="E16595" t="str">
        <f>"OCEAN SPRINGS             "</f>
        <v xml:space="preserve">OCEAN SPRINGS             </v>
      </c>
      <c r="F16595" t="str">
        <f t="shared" si="419"/>
        <v>MS</v>
      </c>
    </row>
    <row r="16596" spans="1:6" x14ac:dyDescent="0.25">
      <c r="A16596" t="str">
        <f>"200010617"</f>
        <v>200010617</v>
      </c>
      <c r="B16596" t="str">
        <f>"1346334554"</f>
        <v>1346334554</v>
      </c>
      <c r="C16596" t="str">
        <f>"152W00000X"</f>
        <v>152W00000X</v>
      </c>
      <c r="D16596" t="str">
        <f>"MISSISSIPPI EYE CARE PHILADELPHIA                 "</f>
        <v xml:space="preserve">MISSISSIPPI EYE CARE PHILADELPHIA                 </v>
      </c>
      <c r="E16596" t="str">
        <f>"PHILADELPHIA              "</f>
        <v xml:space="preserve">PHILADELPHIA              </v>
      </c>
      <c r="F16596" t="str">
        <f t="shared" si="419"/>
        <v>MS</v>
      </c>
    </row>
    <row r="16597" spans="1:6" x14ac:dyDescent="0.25">
      <c r="A16597" t="str">
        <f>"200010623"</f>
        <v>200010623</v>
      </c>
      <c r="B16597" t="str">
        <f>"1366763435"</f>
        <v>1366763435</v>
      </c>
      <c r="C16597" t="str">
        <f>"207Q00000X"</f>
        <v>207Q00000X</v>
      </c>
      <c r="D16597" t="str">
        <f>"MUSE                     KATOSHA                  "</f>
        <v xml:space="preserve">MUSE                     KATOSHA                  </v>
      </c>
      <c r="E16597" t="str">
        <f>"OLIVE BRANCH              "</f>
        <v xml:space="preserve">OLIVE BRANCH              </v>
      </c>
      <c r="F16597" t="str">
        <f t="shared" si="419"/>
        <v>MS</v>
      </c>
    </row>
    <row r="16598" spans="1:6" x14ac:dyDescent="0.25">
      <c r="A16598" t="str">
        <f>"200010641"</f>
        <v>200010641</v>
      </c>
      <c r="B16598" t="str">
        <f>"1467809962"</f>
        <v>1467809962</v>
      </c>
      <c r="C16598" t="str">
        <f>"363L00000X"</f>
        <v>363L00000X</v>
      </c>
      <c r="D16598" t="str">
        <f>"EVERETT                  AMANDA                   "</f>
        <v xml:space="preserve">EVERETT                  AMANDA                   </v>
      </c>
      <c r="E16598" t="str">
        <f>"COLUMBUS                  "</f>
        <v xml:space="preserve">COLUMBUS                  </v>
      </c>
      <c r="F16598" t="str">
        <f t="shared" si="419"/>
        <v>MS</v>
      </c>
    </row>
    <row r="16599" spans="1:6" x14ac:dyDescent="0.25">
      <c r="A16599" t="str">
        <f>"200010656"</f>
        <v>200010656</v>
      </c>
      <c r="B16599" t="str">
        <f>"1205864634"</f>
        <v>1205864634</v>
      </c>
      <c r="C16599" t="str">
        <f>"367500000X"</f>
        <v>367500000X</v>
      </c>
      <c r="D16599" t="str">
        <f>"GAY                      DAVID                    "</f>
        <v xml:space="preserve">GAY                      DAVID                    </v>
      </c>
      <c r="E16599" t="str">
        <f>"OXFORD                    "</f>
        <v xml:space="preserve">OXFORD                    </v>
      </c>
      <c r="F16599" t="str">
        <f t="shared" si="419"/>
        <v>MS</v>
      </c>
    </row>
    <row r="16600" spans="1:6" x14ac:dyDescent="0.25">
      <c r="A16600" t="str">
        <f>"200010663"</f>
        <v>200010663</v>
      </c>
      <c r="B16600" t="str">
        <f>"1780241729"</f>
        <v>1780241729</v>
      </c>
      <c r="C16600" t="str">
        <f>"261QM1300X"</f>
        <v>261QM1300X</v>
      </c>
      <c r="D16600" t="str">
        <f>"SOUTHEAST REGIONAL MEDICAL SOLUTIONS PLLC         "</f>
        <v xml:space="preserve">SOUTHEAST REGIONAL MEDICAL SOLUTIONS PLLC         </v>
      </c>
      <c r="E16600" t="str">
        <f>"FLOWOOD                   "</f>
        <v xml:space="preserve">FLOWOOD                   </v>
      </c>
      <c r="F16600" t="str">
        <f t="shared" si="419"/>
        <v>MS</v>
      </c>
    </row>
    <row r="16601" spans="1:6" x14ac:dyDescent="0.25">
      <c r="A16601" t="str">
        <f>"200010665"</f>
        <v>200010665</v>
      </c>
      <c r="B16601" t="str">
        <f>"1376892794"</f>
        <v>1376892794</v>
      </c>
      <c r="C16601" t="str">
        <f>"152W00000X"</f>
        <v>152W00000X</v>
      </c>
      <c r="D16601" t="str">
        <f>"NORWOOD FAMILY EYE CARE                           "</f>
        <v xml:space="preserve">NORWOOD FAMILY EYE CARE                           </v>
      </c>
      <c r="E16601" t="str">
        <f>"GREENVILLE                "</f>
        <v xml:space="preserve">GREENVILLE                </v>
      </c>
      <c r="F16601" t="str">
        <f t="shared" si="419"/>
        <v>MS</v>
      </c>
    </row>
    <row r="16602" spans="1:6" x14ac:dyDescent="0.25">
      <c r="A16602" t="str">
        <f>"200010666"</f>
        <v>200010666</v>
      </c>
      <c r="B16602" t="str">
        <f>"1972281756"</f>
        <v>1972281756</v>
      </c>
      <c r="C16602" t="str">
        <f>"363LP0808X"</f>
        <v>363LP0808X</v>
      </c>
      <c r="D16602" t="str">
        <f>"LOVELACE                 BRIANA       N           "</f>
        <v xml:space="preserve">LOVELACE                 BRIANA       N           </v>
      </c>
      <c r="E16602" t="str">
        <f>"JACKSON                   "</f>
        <v xml:space="preserve">JACKSON                   </v>
      </c>
      <c r="F16602" t="str">
        <f t="shared" si="419"/>
        <v>MS</v>
      </c>
    </row>
    <row r="16603" spans="1:6" x14ac:dyDescent="0.25">
      <c r="A16603" t="str">
        <f>"200010669"</f>
        <v>200010669</v>
      </c>
      <c r="B16603" t="str">
        <f>"1093262974"</f>
        <v>1093262974</v>
      </c>
      <c r="C16603" t="str">
        <f>"122300000X"</f>
        <v>122300000X</v>
      </c>
      <c r="D16603" t="str">
        <f>"COASTKIDS PEDIATRIC DENTISTRY, PLLC               "</f>
        <v xml:space="preserve">COASTKIDS PEDIATRIC DENTISTRY, PLLC               </v>
      </c>
      <c r="E16603" t="str">
        <f>"OCEAN SPRINGS             "</f>
        <v xml:space="preserve">OCEAN SPRINGS             </v>
      </c>
      <c r="F16603" t="str">
        <f t="shared" si="419"/>
        <v>MS</v>
      </c>
    </row>
    <row r="16604" spans="1:6" x14ac:dyDescent="0.25">
      <c r="A16604" t="str">
        <f>"200010674"</f>
        <v>200010674</v>
      </c>
      <c r="B16604" t="str">
        <f>"1982717997"</f>
        <v>1982717997</v>
      </c>
      <c r="C16604" t="str">
        <f>"2084P0800X"</f>
        <v>2084P0800X</v>
      </c>
      <c r="D16604" t="str">
        <f>"GROSS                    DEBORAH                  "</f>
        <v xml:space="preserve">GROSS                    DEBORAH                  </v>
      </c>
      <c r="E16604" t="str">
        <f>"FLOWOOD                   "</f>
        <v xml:space="preserve">FLOWOOD                   </v>
      </c>
      <c r="F16604" t="str">
        <f t="shared" si="419"/>
        <v>MS</v>
      </c>
    </row>
    <row r="16605" spans="1:6" x14ac:dyDescent="0.25">
      <c r="A16605" t="str">
        <f>"200010678"</f>
        <v>200010678</v>
      </c>
      <c r="B16605" t="str">
        <f>"1528258464"</f>
        <v>1528258464</v>
      </c>
      <c r="C16605" t="str">
        <f>"122300000X"</f>
        <v>122300000X</v>
      </c>
      <c r="D16605" t="str">
        <f>"SUNNYBROOK DENTISTRY                              "</f>
        <v xml:space="preserve">SUNNYBROOK DENTISTRY                              </v>
      </c>
      <c r="E16605" t="str">
        <f>"TUPELO                    "</f>
        <v xml:space="preserve">TUPELO                    </v>
      </c>
      <c r="F16605" t="str">
        <f t="shared" si="419"/>
        <v>MS</v>
      </c>
    </row>
    <row r="16606" spans="1:6" x14ac:dyDescent="0.25">
      <c r="A16606" t="str">
        <f>"200010683"</f>
        <v>200010683</v>
      </c>
      <c r="B16606" t="str">
        <f>"1962151308"</f>
        <v>1962151308</v>
      </c>
      <c r="C16606" t="str">
        <f>"363L00000X"</f>
        <v>363L00000X</v>
      </c>
      <c r="D16606" t="str">
        <f>"OVERSTREET               AMBER                    "</f>
        <v xml:space="preserve">OVERSTREET               AMBER                    </v>
      </c>
      <c r="E16606" t="str">
        <f>"VICKSBURG                 "</f>
        <v xml:space="preserve">VICKSBURG                 </v>
      </c>
      <c r="F16606" t="str">
        <f t="shared" si="419"/>
        <v>MS</v>
      </c>
    </row>
    <row r="16607" spans="1:6" x14ac:dyDescent="0.25">
      <c r="A16607" t="str">
        <f>"200010689"</f>
        <v>200010689</v>
      </c>
      <c r="B16607" t="str">
        <f>"1831471499"</f>
        <v>1831471499</v>
      </c>
      <c r="C16607" t="str">
        <f>"207R00000X"</f>
        <v>207R00000X</v>
      </c>
      <c r="D16607" t="str">
        <f>"MADANIEH                 RAEF                     "</f>
        <v xml:space="preserve">MADANIEH                 RAEF                     </v>
      </c>
      <c r="E16607" t="str">
        <f>"AMORY                     "</f>
        <v xml:space="preserve">AMORY                     </v>
      </c>
      <c r="F16607" t="str">
        <f t="shared" si="419"/>
        <v>MS</v>
      </c>
    </row>
    <row r="16608" spans="1:6" x14ac:dyDescent="0.25">
      <c r="A16608" t="str">
        <f>"200010697"</f>
        <v>200010697</v>
      </c>
      <c r="B16608" t="str">
        <f>"1982683421"</f>
        <v>1982683421</v>
      </c>
      <c r="C16608" t="str">
        <f>"207R00000X"</f>
        <v>207R00000X</v>
      </c>
      <c r="D16608" t="str">
        <f>"SARKISSIAN               HAGOP                    "</f>
        <v xml:space="preserve">SARKISSIAN               HAGOP                    </v>
      </c>
      <c r="E16608" t="str">
        <f>"JACKSON                   "</f>
        <v xml:space="preserve">JACKSON                   </v>
      </c>
      <c r="F16608" t="str">
        <f t="shared" si="419"/>
        <v>MS</v>
      </c>
    </row>
    <row r="16609" spans="1:6" x14ac:dyDescent="0.25">
      <c r="A16609" t="str">
        <f>"200010699"</f>
        <v>200010699</v>
      </c>
      <c r="B16609" t="str">
        <f>"1578208880"</f>
        <v>1578208880</v>
      </c>
      <c r="C16609" t="str">
        <f>"207P00000X"</f>
        <v>207P00000X</v>
      </c>
      <c r="D16609" t="str">
        <f>"MA                       PETER                    "</f>
        <v xml:space="preserve">MA                       PETER                    </v>
      </c>
      <c r="E16609" t="str">
        <f>"WINONA                    "</f>
        <v xml:space="preserve">WINONA                    </v>
      </c>
      <c r="F16609" t="str">
        <f t="shared" si="419"/>
        <v>MS</v>
      </c>
    </row>
    <row r="16610" spans="1:6" x14ac:dyDescent="0.25">
      <c r="A16610" t="str">
        <f>"200010709"</f>
        <v>200010709</v>
      </c>
      <c r="B16610" t="str">
        <f>"1114017159"</f>
        <v>1114017159</v>
      </c>
      <c r="C16610" t="str">
        <f>"367500000X"</f>
        <v>367500000X</v>
      </c>
      <c r="D16610" t="str">
        <f>"WHITWER                  KAREN        L           "</f>
        <v xml:space="preserve">WHITWER                  KAREN        L           </v>
      </c>
      <c r="E16610" t="str">
        <f>"JACKSON                   "</f>
        <v xml:space="preserve">JACKSON                   </v>
      </c>
      <c r="F16610" t="str">
        <f t="shared" si="419"/>
        <v>MS</v>
      </c>
    </row>
    <row r="16611" spans="1:6" x14ac:dyDescent="0.25">
      <c r="A16611" t="str">
        <f>"200010714"</f>
        <v>200010714</v>
      </c>
      <c r="B16611" t="str">
        <f>"1346286788"</f>
        <v>1346286788</v>
      </c>
      <c r="C16611" t="str">
        <f>"207R00000X"</f>
        <v>207R00000X</v>
      </c>
      <c r="D16611" t="str">
        <f>"JOHNS                    MARTIN       C           "</f>
        <v xml:space="preserve">JOHNS                    MARTIN       C           </v>
      </c>
      <c r="E16611" t="str">
        <f>"WEST POINT                "</f>
        <v xml:space="preserve">WEST POINT                </v>
      </c>
      <c r="F16611" t="str">
        <f t="shared" si="419"/>
        <v>MS</v>
      </c>
    </row>
    <row r="16612" spans="1:6" x14ac:dyDescent="0.25">
      <c r="A16612" t="str">
        <f>"200010720"</f>
        <v>200010720</v>
      </c>
      <c r="B16612" t="str">
        <f>"1306108386"</f>
        <v>1306108386</v>
      </c>
      <c r="C16612" t="str">
        <f>"2085R0202X"</f>
        <v>2085R0202X</v>
      </c>
      <c r="D16612" t="str">
        <f>"HOLE                     STEVEN                   "</f>
        <v xml:space="preserve">HOLE                     STEVEN                   </v>
      </c>
      <c r="E16612" t="str">
        <f>"TUPELO                    "</f>
        <v xml:space="preserve">TUPELO                    </v>
      </c>
      <c r="F16612" t="str">
        <f t="shared" si="419"/>
        <v>MS</v>
      </c>
    </row>
    <row r="16613" spans="1:6" x14ac:dyDescent="0.25">
      <c r="A16613" t="str">
        <f>"200010727"</f>
        <v>200010727</v>
      </c>
      <c r="B16613" t="str">
        <f>"1851770622"</f>
        <v>1851770622</v>
      </c>
      <c r="C16613" t="str">
        <f>"2085R0202X"</f>
        <v>2085R0202X</v>
      </c>
      <c r="D16613" t="str">
        <f>"BRANCH                   CODY                     "</f>
        <v xml:space="preserve">BRANCH                   CODY                     </v>
      </c>
      <c r="E16613" t="str">
        <f>"JACKSON                   "</f>
        <v xml:space="preserve">JACKSON                   </v>
      </c>
      <c r="F16613" t="str">
        <f t="shared" si="419"/>
        <v>MS</v>
      </c>
    </row>
    <row r="16614" spans="1:6" x14ac:dyDescent="0.25">
      <c r="A16614" t="str">
        <f>"200010729"</f>
        <v>200010729</v>
      </c>
      <c r="B16614" t="str">
        <f>"1679341630"</f>
        <v>1679341630</v>
      </c>
      <c r="C16614" t="str">
        <f>"363L00000X"</f>
        <v>363L00000X</v>
      </c>
      <c r="D16614" t="str">
        <f>"FONDREN                  BLAISE                   "</f>
        <v xml:space="preserve">FONDREN                  BLAISE                   </v>
      </c>
      <c r="E16614" t="str">
        <f>"WATER VALLEY              "</f>
        <v xml:space="preserve">WATER VALLEY              </v>
      </c>
      <c r="F16614" t="str">
        <f t="shared" si="419"/>
        <v>MS</v>
      </c>
    </row>
    <row r="16615" spans="1:6" x14ac:dyDescent="0.25">
      <c r="A16615" t="str">
        <f>"200010735"</f>
        <v>200010735</v>
      </c>
      <c r="B16615" t="str">
        <f>"1316960867"</f>
        <v>1316960867</v>
      </c>
      <c r="C16615" t="str">
        <f>"207R00000X"</f>
        <v>207R00000X</v>
      </c>
      <c r="D16615" t="str">
        <f>"LOPEZ-SANTINI            ROBERTO      H           "</f>
        <v xml:space="preserve">LOPEZ-SANTINI            ROBERTO      H           </v>
      </c>
      <c r="E16615" t="str">
        <f>"PICAYUNE                  "</f>
        <v xml:space="preserve">PICAYUNE                  </v>
      </c>
      <c r="F16615" t="str">
        <f t="shared" si="419"/>
        <v>MS</v>
      </c>
    </row>
    <row r="16616" spans="1:6" x14ac:dyDescent="0.25">
      <c r="A16616" t="str">
        <f>"200010740"</f>
        <v>200010740</v>
      </c>
      <c r="B16616" t="str">
        <f>"1558828566"</f>
        <v>1558828566</v>
      </c>
      <c r="C16616" t="str">
        <f>"363L00000X"</f>
        <v>363L00000X</v>
      </c>
      <c r="D16616" t="str">
        <f>"STOCKSTILL               KATHERINE                "</f>
        <v xml:space="preserve">STOCKSTILL               KATHERINE                </v>
      </c>
      <c r="E16616" t="str">
        <f>"BAY SAINT LOUIS           "</f>
        <v xml:space="preserve">BAY SAINT LOUIS           </v>
      </c>
      <c r="F16616" t="str">
        <f t="shared" si="419"/>
        <v>MS</v>
      </c>
    </row>
    <row r="16617" spans="1:6" x14ac:dyDescent="0.25">
      <c r="A16617" t="str">
        <f>"200010747"</f>
        <v>200010747</v>
      </c>
      <c r="B16617" t="str">
        <f>"1134328800"</f>
        <v>1134328800</v>
      </c>
      <c r="C16617" t="str">
        <f>"207V00000X"</f>
        <v>207V00000X</v>
      </c>
      <c r="D16617" t="str">
        <f>"BEDESTANI                AHMET                    "</f>
        <v xml:space="preserve">BEDESTANI                AHMET                    </v>
      </c>
      <c r="E16617" t="str">
        <f>"FLOWOOD                   "</f>
        <v xml:space="preserve">FLOWOOD                   </v>
      </c>
      <c r="F16617" t="str">
        <f t="shared" si="419"/>
        <v>MS</v>
      </c>
    </row>
    <row r="16618" spans="1:6" x14ac:dyDescent="0.25">
      <c r="A16618" t="str">
        <f>"200010748"</f>
        <v>200010748</v>
      </c>
      <c r="B16618" t="str">
        <f>"1144934936"</f>
        <v>1144934936</v>
      </c>
      <c r="C16618" t="str">
        <f>"363L00000X"</f>
        <v>363L00000X</v>
      </c>
      <c r="D16618" t="str">
        <f>"BILLINGSLEY              RUSSELL                  "</f>
        <v xml:space="preserve">BILLINGSLEY              RUSSELL                  </v>
      </c>
      <c r="E16618" t="str">
        <f>"OXFORD                    "</f>
        <v xml:space="preserve">OXFORD                    </v>
      </c>
      <c r="F16618" t="str">
        <f t="shared" si="419"/>
        <v>MS</v>
      </c>
    </row>
    <row r="16619" spans="1:6" x14ac:dyDescent="0.25">
      <c r="A16619" t="str">
        <f>"200010753"</f>
        <v>200010753</v>
      </c>
      <c r="B16619" t="str">
        <f>"1124654942"</f>
        <v>1124654942</v>
      </c>
      <c r="C16619" t="str">
        <f>"207P00000X"</f>
        <v>207P00000X</v>
      </c>
      <c r="D16619" t="str">
        <f>"SIMPSON                  RAYCHEL                  "</f>
        <v xml:space="preserve">SIMPSON                  RAYCHEL                  </v>
      </c>
      <c r="E16619" t="str">
        <f>"GULFPORT                  "</f>
        <v xml:space="preserve">GULFPORT                  </v>
      </c>
      <c r="F16619" t="str">
        <f t="shared" si="419"/>
        <v>MS</v>
      </c>
    </row>
    <row r="16620" spans="1:6" x14ac:dyDescent="0.25">
      <c r="A16620" t="str">
        <f>"200010766"</f>
        <v>200010766</v>
      </c>
      <c r="B16620" t="str">
        <f>"1447232863"</f>
        <v>1447232863</v>
      </c>
      <c r="C16620" t="str">
        <f>"207Q00000X"</f>
        <v>207Q00000X</v>
      </c>
      <c r="D16620" t="str">
        <f>"NANCE                    RICHARD                  "</f>
        <v xml:space="preserve">NANCE                    RICHARD                  </v>
      </c>
      <c r="E16620" t="str">
        <f>"MERIDIAN                  "</f>
        <v xml:space="preserve">MERIDIAN                  </v>
      </c>
      <c r="F16620" t="str">
        <f t="shared" si="419"/>
        <v>MS</v>
      </c>
    </row>
    <row r="16621" spans="1:6" x14ac:dyDescent="0.25">
      <c r="A16621" t="str">
        <f>"200010771"</f>
        <v>200010771</v>
      </c>
      <c r="B16621" t="str">
        <f>"1194352377"</f>
        <v>1194352377</v>
      </c>
      <c r="C16621" t="str">
        <f>"207R00000X"</f>
        <v>207R00000X</v>
      </c>
      <c r="D16621" t="str">
        <f>"MOHIUDDIN                SAFIA                    "</f>
        <v xml:space="preserve">MOHIUDDIN                SAFIA                    </v>
      </c>
      <c r="E16621" t="str">
        <f>"GULFPORT                  "</f>
        <v xml:space="preserve">GULFPORT                  </v>
      </c>
      <c r="F16621" t="str">
        <f t="shared" si="419"/>
        <v>MS</v>
      </c>
    </row>
    <row r="16622" spans="1:6" x14ac:dyDescent="0.25">
      <c r="A16622" t="str">
        <f>"200010777"</f>
        <v>200010777</v>
      </c>
      <c r="B16622" t="str">
        <f>"1437641883"</f>
        <v>1437641883</v>
      </c>
      <c r="C16622" t="str">
        <f>"207Q00000X"</f>
        <v>207Q00000X</v>
      </c>
      <c r="D16622" t="str">
        <f>"OLOYE                    ISRAEL                   "</f>
        <v xml:space="preserve">OLOYE                    ISRAEL                   </v>
      </c>
      <c r="E16622" t="str">
        <f>"WEST POINT                "</f>
        <v xml:space="preserve">WEST POINT                </v>
      </c>
      <c r="F16622" t="str">
        <f t="shared" si="419"/>
        <v>MS</v>
      </c>
    </row>
    <row r="16623" spans="1:6" x14ac:dyDescent="0.25">
      <c r="A16623" t="str">
        <f>"200010781"</f>
        <v>200010781</v>
      </c>
      <c r="B16623" t="str">
        <f>"1285837377"</f>
        <v>1285837377</v>
      </c>
      <c r="C16623" t="str">
        <f>"207P00000X"</f>
        <v>207P00000X</v>
      </c>
      <c r="D16623" t="str">
        <f>"DAILY                    JOSIAH                   "</f>
        <v xml:space="preserve">DAILY                    JOSIAH                   </v>
      </c>
      <c r="E16623" t="str">
        <f>"WEST POINT                "</f>
        <v xml:space="preserve">WEST POINT                </v>
      </c>
      <c r="F16623" t="str">
        <f t="shared" si="419"/>
        <v>MS</v>
      </c>
    </row>
    <row r="16624" spans="1:6" x14ac:dyDescent="0.25">
      <c r="A16624" t="str">
        <f>"200010790"</f>
        <v>200010790</v>
      </c>
      <c r="B16624" t="str">
        <f>"1528849841"</f>
        <v>1528849841</v>
      </c>
      <c r="C16624" t="str">
        <f>"261QF0400X"</f>
        <v>261QF0400X</v>
      </c>
      <c r="D16624" t="str">
        <f>"COASTAL FAMILY HEALTH CENTER, INC.                "</f>
        <v xml:space="preserve">COASTAL FAMILY HEALTH CENTER, INC.                </v>
      </c>
      <c r="E16624" t="str">
        <f>"BAY SAINT LOUIS           "</f>
        <v xml:space="preserve">BAY SAINT LOUIS           </v>
      </c>
      <c r="F16624" t="str">
        <f t="shared" si="419"/>
        <v>MS</v>
      </c>
    </row>
    <row r="16625" spans="1:6" x14ac:dyDescent="0.25">
      <c r="A16625" t="str">
        <f>"200010793"</f>
        <v>200010793</v>
      </c>
      <c r="B16625" t="str">
        <f>"1740904846"</f>
        <v>1740904846</v>
      </c>
      <c r="C16625" t="str">
        <f>"363L00000X"</f>
        <v>363L00000X</v>
      </c>
      <c r="D16625" t="str">
        <f>"MANGUM                   DAMETRA                  "</f>
        <v xml:space="preserve">MANGUM                   DAMETRA                  </v>
      </c>
      <c r="E16625" t="str">
        <f>"BROOKHAVEN                "</f>
        <v xml:space="preserve">BROOKHAVEN                </v>
      </c>
      <c r="F16625" t="str">
        <f t="shared" si="419"/>
        <v>MS</v>
      </c>
    </row>
    <row r="16626" spans="1:6" x14ac:dyDescent="0.25">
      <c r="A16626" t="str">
        <f>"200010794"</f>
        <v>200010794</v>
      </c>
      <c r="B16626" t="str">
        <f>"1831954221"</f>
        <v>1831954221</v>
      </c>
      <c r="C16626" t="str">
        <f>"363A00000X"</f>
        <v>363A00000X</v>
      </c>
      <c r="D16626" t="str">
        <f>"JONES                    LANE                     "</f>
        <v xml:space="preserve">JONES                    LANE                     </v>
      </c>
      <c r="E16626" t="str">
        <f>"GLUCKSTADT                "</f>
        <v xml:space="preserve">GLUCKSTADT                </v>
      </c>
      <c r="F16626" t="str">
        <f t="shared" si="419"/>
        <v>MS</v>
      </c>
    </row>
    <row r="16627" spans="1:6" x14ac:dyDescent="0.25">
      <c r="A16627" t="str">
        <f>"200010795"</f>
        <v>200010795</v>
      </c>
      <c r="B16627" t="str">
        <f>"1154827079"</f>
        <v>1154827079</v>
      </c>
      <c r="C16627" t="str">
        <f>"207RE0101X"</f>
        <v>207RE0101X</v>
      </c>
      <c r="D16627" t="str">
        <f>"BATCH                    JENNIFER     T           "</f>
        <v xml:space="preserve">BATCH                    JENNIFER     T           </v>
      </c>
      <c r="E16627" t="str">
        <f>"AMORY                     "</f>
        <v xml:space="preserve">AMORY                     </v>
      </c>
      <c r="F16627" t="str">
        <f t="shared" si="419"/>
        <v>MS</v>
      </c>
    </row>
    <row r="16628" spans="1:6" x14ac:dyDescent="0.25">
      <c r="A16628" t="str">
        <f>"200010796"</f>
        <v>200010796</v>
      </c>
      <c r="B16628" t="str">
        <f>"1255425922"</f>
        <v>1255425922</v>
      </c>
      <c r="C16628" t="str">
        <f>"363L00000X"</f>
        <v>363L00000X</v>
      </c>
      <c r="D16628" t="str">
        <f>"CHURCHILL-COY            SHAWN                    "</f>
        <v xml:space="preserve">CHURCHILL-COY            SHAWN                    </v>
      </c>
      <c r="E16628" t="str">
        <f>"CORINTH                   "</f>
        <v xml:space="preserve">CORINTH                   </v>
      </c>
      <c r="F16628" t="str">
        <f t="shared" si="419"/>
        <v>MS</v>
      </c>
    </row>
    <row r="16629" spans="1:6" x14ac:dyDescent="0.25">
      <c r="A16629" t="str">
        <f>"200010797"</f>
        <v>200010797</v>
      </c>
      <c r="B16629" t="str">
        <f>"1710233721"</f>
        <v>1710233721</v>
      </c>
      <c r="C16629" t="str">
        <f>"363L00000X"</f>
        <v>363L00000X</v>
      </c>
      <c r="D16629" t="str">
        <f>"CEHAJIC                  ELVIRA                   "</f>
        <v xml:space="preserve">CEHAJIC                  ELVIRA                   </v>
      </c>
      <c r="E16629" t="str">
        <f>"HATTIESBURG               "</f>
        <v xml:space="preserve">HATTIESBURG               </v>
      </c>
      <c r="F16629" t="str">
        <f t="shared" si="419"/>
        <v>MS</v>
      </c>
    </row>
    <row r="16630" spans="1:6" x14ac:dyDescent="0.25">
      <c r="A16630" t="str">
        <f>"200010808"</f>
        <v>200010808</v>
      </c>
      <c r="B16630" t="str">
        <f>"1396299368"</f>
        <v>1396299368</v>
      </c>
      <c r="C16630" t="str">
        <f>"363L00000X"</f>
        <v>363L00000X</v>
      </c>
      <c r="D16630" t="str">
        <f>"MASO                     LENA                     "</f>
        <v xml:space="preserve">MASO                     LENA                     </v>
      </c>
      <c r="E16630" t="str">
        <f>"BILOXI                    "</f>
        <v xml:space="preserve">BILOXI                    </v>
      </c>
      <c r="F16630" t="str">
        <f t="shared" si="419"/>
        <v>MS</v>
      </c>
    </row>
    <row r="16631" spans="1:6" x14ac:dyDescent="0.25">
      <c r="A16631" t="str">
        <f>"200010831"</f>
        <v>200010831</v>
      </c>
      <c r="B16631" t="str">
        <f>"1982461794"</f>
        <v>1982461794</v>
      </c>
      <c r="C16631" t="str">
        <f>"363A00000X"</f>
        <v>363A00000X</v>
      </c>
      <c r="D16631" t="str">
        <f>"GONZALEZ                 YESENIA                  "</f>
        <v xml:space="preserve">GONZALEZ                 YESENIA                  </v>
      </c>
      <c r="E16631" t="str">
        <f>"TUPELO                    "</f>
        <v xml:space="preserve">TUPELO                    </v>
      </c>
      <c r="F16631" t="str">
        <f t="shared" si="419"/>
        <v>MS</v>
      </c>
    </row>
    <row r="16632" spans="1:6" x14ac:dyDescent="0.25">
      <c r="A16632" t="str">
        <f>"200010835"</f>
        <v>200010835</v>
      </c>
      <c r="B16632" t="str">
        <f>"1972203404"</f>
        <v>1972203404</v>
      </c>
      <c r="C16632" t="str">
        <f>"363L00000X"</f>
        <v>363L00000X</v>
      </c>
      <c r="D16632" t="str">
        <f>"MACIAS                   MAGGIE       A           "</f>
        <v xml:space="preserve">MACIAS                   MAGGIE       A           </v>
      </c>
      <c r="E16632" t="str">
        <f>"CORINTH                   "</f>
        <v xml:space="preserve">CORINTH                   </v>
      </c>
      <c r="F16632" t="str">
        <f t="shared" si="419"/>
        <v>MS</v>
      </c>
    </row>
    <row r="16633" spans="1:6" x14ac:dyDescent="0.25">
      <c r="A16633" t="str">
        <f>"200010859"</f>
        <v>200010859</v>
      </c>
      <c r="B16633" t="str">
        <f>"1962286344"</f>
        <v>1962286344</v>
      </c>
      <c r="C16633" t="str">
        <f>"363L00000X"</f>
        <v>363L00000X</v>
      </c>
      <c r="D16633" t="str">
        <f>"FORE                     DEBORAH                  "</f>
        <v xml:space="preserve">FORE                     DEBORAH                  </v>
      </c>
      <c r="E16633" t="str">
        <f>"OCEAN SPRINGS             "</f>
        <v xml:space="preserve">OCEAN SPRINGS             </v>
      </c>
      <c r="F16633" t="str">
        <f t="shared" si="419"/>
        <v>MS</v>
      </c>
    </row>
    <row r="16634" spans="1:6" x14ac:dyDescent="0.25">
      <c r="A16634" t="str">
        <f>"200010862"</f>
        <v>200010862</v>
      </c>
      <c r="B16634" t="str">
        <f>"1376723148"</f>
        <v>1376723148</v>
      </c>
      <c r="C16634" t="str">
        <f>"363L00000X"</f>
        <v>363L00000X</v>
      </c>
      <c r="D16634" t="str">
        <f>"ESPEY                    ELON                     "</f>
        <v xml:space="preserve">ESPEY                    ELON                     </v>
      </c>
      <c r="E16634" t="str">
        <f>"MERIDIAN                  "</f>
        <v xml:space="preserve">MERIDIAN                  </v>
      </c>
      <c r="F16634" t="str">
        <f t="shared" si="419"/>
        <v>MS</v>
      </c>
    </row>
    <row r="16635" spans="1:6" x14ac:dyDescent="0.25">
      <c r="A16635" t="str">
        <f>"200010875"</f>
        <v>200010875</v>
      </c>
      <c r="B16635" t="str">
        <f>"1861195422"</f>
        <v>1861195422</v>
      </c>
      <c r="C16635" t="str">
        <f>"363L00000X"</f>
        <v>363L00000X</v>
      </c>
      <c r="D16635" t="str">
        <f>"FEDUCCIA                 KELSI                    "</f>
        <v xml:space="preserve">FEDUCCIA                 KELSI                    </v>
      </c>
      <c r="E16635" t="str">
        <f>"JACKSON                   "</f>
        <v xml:space="preserve">JACKSON                   </v>
      </c>
      <c r="F16635" t="str">
        <f t="shared" si="419"/>
        <v>MS</v>
      </c>
    </row>
    <row r="16636" spans="1:6" x14ac:dyDescent="0.25">
      <c r="A16636" t="str">
        <f>"200010878"</f>
        <v>200010878</v>
      </c>
      <c r="B16636" t="str">
        <f>"1588213094"</f>
        <v>1588213094</v>
      </c>
      <c r="C16636" t="str">
        <f>"207R00000X"</f>
        <v>207R00000X</v>
      </c>
      <c r="D16636" t="str">
        <f>"MOHAMED                  MAHMOUD                  "</f>
        <v xml:space="preserve">MOHAMED                  MAHMOUD                  </v>
      </c>
      <c r="E16636" t="str">
        <f>"AMORY                     "</f>
        <v xml:space="preserve">AMORY                     </v>
      </c>
      <c r="F16636" t="str">
        <f t="shared" si="419"/>
        <v>MS</v>
      </c>
    </row>
    <row r="16637" spans="1:6" x14ac:dyDescent="0.25">
      <c r="A16637" t="str">
        <f>"200010881"</f>
        <v>200010881</v>
      </c>
      <c r="B16637" t="str">
        <f>"1386410439"</f>
        <v>1386410439</v>
      </c>
      <c r="C16637" t="str">
        <f>"363L00000X"</f>
        <v>363L00000X</v>
      </c>
      <c r="D16637" t="str">
        <f>"SISSON                   ADRIENNE     N           "</f>
        <v xml:space="preserve">SISSON                   ADRIENNE     N           </v>
      </c>
      <c r="E16637" t="str">
        <f>"CHOCTAW                   "</f>
        <v xml:space="preserve">CHOCTAW                   </v>
      </c>
      <c r="F16637" t="str">
        <f t="shared" si="419"/>
        <v>MS</v>
      </c>
    </row>
    <row r="16638" spans="1:6" x14ac:dyDescent="0.25">
      <c r="A16638" t="str">
        <f>"200010886"</f>
        <v>200010886</v>
      </c>
      <c r="B16638" t="str">
        <f>"1881374288"</f>
        <v>1881374288</v>
      </c>
      <c r="C16638" t="str">
        <f>"363L00000X"</f>
        <v>363L00000X</v>
      </c>
      <c r="D16638" t="str">
        <f>"BROWN                    BEVERLY      M           "</f>
        <v xml:space="preserve">BROWN                    BEVERLY      M           </v>
      </c>
      <c r="E16638" t="str">
        <f>"WATER VALLEY              "</f>
        <v xml:space="preserve">WATER VALLEY              </v>
      </c>
      <c r="F16638" t="str">
        <f t="shared" ref="F16638:F16701" si="420">"MS"</f>
        <v>MS</v>
      </c>
    </row>
    <row r="16639" spans="1:6" x14ac:dyDescent="0.25">
      <c r="A16639" t="str">
        <f>"200010888"</f>
        <v>200010888</v>
      </c>
      <c r="B16639" t="str">
        <f>"1295219632"</f>
        <v>1295219632</v>
      </c>
      <c r="C16639" t="str">
        <f>"363L00000X"</f>
        <v>363L00000X</v>
      </c>
      <c r="D16639" t="str">
        <f>"MORGAN                   CRYSTAL                  "</f>
        <v xml:space="preserve">MORGAN                   CRYSTAL                  </v>
      </c>
      <c r="E16639" t="str">
        <f>"PASCAGOULA                "</f>
        <v xml:space="preserve">PASCAGOULA                </v>
      </c>
      <c r="F16639" t="str">
        <f t="shared" si="420"/>
        <v>MS</v>
      </c>
    </row>
    <row r="16640" spans="1:6" x14ac:dyDescent="0.25">
      <c r="A16640" t="str">
        <f>"200010890"</f>
        <v>200010890</v>
      </c>
      <c r="B16640" t="str">
        <f>"1487169678"</f>
        <v>1487169678</v>
      </c>
      <c r="C16640" t="str">
        <f>"363L00000X"</f>
        <v>363L00000X</v>
      </c>
      <c r="D16640" t="str">
        <f>"PENN                     CHANCELYN                "</f>
        <v xml:space="preserve">PENN                     CHANCELYN                </v>
      </c>
      <c r="E16640" t="str">
        <f>"GULFPORT                  "</f>
        <v xml:space="preserve">GULFPORT                  </v>
      </c>
      <c r="F16640" t="str">
        <f t="shared" si="420"/>
        <v>MS</v>
      </c>
    </row>
    <row r="16641" spans="1:6" x14ac:dyDescent="0.25">
      <c r="A16641" t="str">
        <f>"200010893"</f>
        <v>200010893</v>
      </c>
      <c r="B16641" t="str">
        <f>"1043741705"</f>
        <v>1043741705</v>
      </c>
      <c r="C16641" t="str">
        <f>"208VP0014X"</f>
        <v>208VP0014X</v>
      </c>
      <c r="D16641" t="str">
        <f>"BLANCHARD                MATTHEW      A           "</f>
        <v xml:space="preserve">BLANCHARD                MATTHEW      A           </v>
      </c>
      <c r="E16641" t="str">
        <f>"GULFPORT                  "</f>
        <v xml:space="preserve">GULFPORT                  </v>
      </c>
      <c r="F16641" t="str">
        <f t="shared" si="420"/>
        <v>MS</v>
      </c>
    </row>
    <row r="16642" spans="1:6" x14ac:dyDescent="0.25">
      <c r="A16642" t="str">
        <f>"200010894"</f>
        <v>200010894</v>
      </c>
      <c r="B16642" t="str">
        <f>"1871217976"</f>
        <v>1871217976</v>
      </c>
      <c r="C16642" t="str">
        <f>"363L00000X"</f>
        <v>363L00000X</v>
      </c>
      <c r="D16642" t="str">
        <f>"JONES                    TIA                      "</f>
        <v xml:space="preserve">JONES                    TIA                      </v>
      </c>
      <c r="E16642" t="str">
        <f>"RICHTON                   "</f>
        <v xml:space="preserve">RICHTON                   </v>
      </c>
      <c r="F16642" t="str">
        <f t="shared" si="420"/>
        <v>MS</v>
      </c>
    </row>
    <row r="16643" spans="1:6" x14ac:dyDescent="0.25">
      <c r="A16643" t="str">
        <f>"200010901"</f>
        <v>200010901</v>
      </c>
      <c r="B16643" t="str">
        <f>"1588130041"</f>
        <v>1588130041</v>
      </c>
      <c r="C16643" t="str">
        <f>"363L00000X"</f>
        <v>363L00000X</v>
      </c>
      <c r="D16643" t="str">
        <f>"LOSAPIO                  HANNAH                   "</f>
        <v xml:space="preserve">LOSAPIO                  HANNAH                   </v>
      </c>
      <c r="E16643" t="str">
        <f>"BYHALIA                   "</f>
        <v xml:space="preserve">BYHALIA                   </v>
      </c>
      <c r="F16643" t="str">
        <f t="shared" si="420"/>
        <v>MS</v>
      </c>
    </row>
    <row r="16644" spans="1:6" x14ac:dyDescent="0.25">
      <c r="A16644" t="str">
        <f>"200010908"</f>
        <v>200010908</v>
      </c>
      <c r="B16644" t="str">
        <f>"1558352559"</f>
        <v>1558352559</v>
      </c>
      <c r="C16644" t="str">
        <f>"207P00000X"</f>
        <v>207P00000X</v>
      </c>
      <c r="D16644" t="str">
        <f>"EIDENBERG                MARSHALL                 "</f>
        <v xml:space="preserve">EIDENBERG                MARSHALL                 </v>
      </c>
      <c r="E16644" t="str">
        <f>"HATTIESBURG               "</f>
        <v xml:space="preserve">HATTIESBURG               </v>
      </c>
      <c r="F16644" t="str">
        <f t="shared" si="420"/>
        <v>MS</v>
      </c>
    </row>
    <row r="16645" spans="1:6" x14ac:dyDescent="0.25">
      <c r="A16645" t="str">
        <f>"200010912"</f>
        <v>200010912</v>
      </c>
      <c r="B16645" t="str">
        <f>"1295263788"</f>
        <v>1295263788</v>
      </c>
      <c r="C16645" t="str">
        <f>"207T00000X"</f>
        <v>207T00000X</v>
      </c>
      <c r="D16645" t="str">
        <f>"JONES                    EARL         D           "</f>
        <v xml:space="preserve">JONES                    EARL         D           </v>
      </c>
      <c r="E16645" t="str">
        <f>"SOUTHAVEN                 "</f>
        <v xml:space="preserve">SOUTHAVEN                 </v>
      </c>
      <c r="F16645" t="str">
        <f t="shared" si="420"/>
        <v>MS</v>
      </c>
    </row>
    <row r="16646" spans="1:6" x14ac:dyDescent="0.25">
      <c r="A16646" t="str">
        <f>"200010915"</f>
        <v>200010915</v>
      </c>
      <c r="B16646" t="str">
        <f>"1093262974"</f>
        <v>1093262974</v>
      </c>
      <c r="C16646" t="str">
        <f>"122300000X"</f>
        <v>122300000X</v>
      </c>
      <c r="D16646" t="str">
        <f>"COASTKIDS PEDIATRIC DENTISTRY, PLLC               "</f>
        <v xml:space="preserve">COASTKIDS PEDIATRIC DENTISTRY, PLLC               </v>
      </c>
      <c r="E16646" t="str">
        <f>"GULFPORT                  "</f>
        <v xml:space="preserve">GULFPORT                  </v>
      </c>
      <c r="F16646" t="str">
        <f t="shared" si="420"/>
        <v>MS</v>
      </c>
    </row>
    <row r="16647" spans="1:6" x14ac:dyDescent="0.25">
      <c r="A16647" t="str">
        <f>"200010922"</f>
        <v>200010922</v>
      </c>
      <c r="B16647" t="str">
        <f>"1689262727"</f>
        <v>1689262727</v>
      </c>
      <c r="C16647" t="str">
        <f>"367500000X"</f>
        <v>367500000X</v>
      </c>
      <c r="D16647" t="str">
        <f>"BLAIR                    SHELBY       E           "</f>
        <v xml:space="preserve">BLAIR                    SHELBY       E           </v>
      </c>
      <c r="E16647" t="str">
        <f>"PASCAGOULA                "</f>
        <v xml:space="preserve">PASCAGOULA                </v>
      </c>
      <c r="F16647" t="str">
        <f t="shared" si="420"/>
        <v>MS</v>
      </c>
    </row>
    <row r="16648" spans="1:6" x14ac:dyDescent="0.25">
      <c r="A16648" t="str">
        <f>"200010928"</f>
        <v>200010928</v>
      </c>
      <c r="B16648" t="str">
        <f>"1407423809"</f>
        <v>1407423809</v>
      </c>
      <c r="C16648" t="str">
        <f>"207P00000X"</f>
        <v>207P00000X</v>
      </c>
      <c r="D16648" t="str">
        <f>"JEFFERSON JR.            BILLY                    "</f>
        <v xml:space="preserve">JEFFERSON JR.            BILLY                    </v>
      </c>
      <c r="E16648" t="str">
        <f>"COLUMBIA                  "</f>
        <v xml:space="preserve">COLUMBIA                  </v>
      </c>
      <c r="F16648" t="str">
        <f t="shared" si="420"/>
        <v>MS</v>
      </c>
    </row>
    <row r="16649" spans="1:6" x14ac:dyDescent="0.25">
      <c r="A16649" t="str">
        <f>"200010931"</f>
        <v>200010931</v>
      </c>
      <c r="B16649" t="str">
        <f>"1679756084"</f>
        <v>1679756084</v>
      </c>
      <c r="C16649" t="str">
        <f>"207P00000X"</f>
        <v>207P00000X</v>
      </c>
      <c r="D16649" t="str">
        <f>"KIRKLAND                 PATRICK                  "</f>
        <v xml:space="preserve">KIRKLAND                 PATRICK                  </v>
      </c>
      <c r="E16649" t="str">
        <f>"MERIDIAN                  "</f>
        <v xml:space="preserve">MERIDIAN                  </v>
      </c>
      <c r="F16649" t="str">
        <f t="shared" si="420"/>
        <v>MS</v>
      </c>
    </row>
    <row r="16650" spans="1:6" x14ac:dyDescent="0.25">
      <c r="A16650" t="str">
        <f>"200010934"</f>
        <v>200010934</v>
      </c>
      <c r="B16650" t="str">
        <f>"1174021901"</f>
        <v>1174021901</v>
      </c>
      <c r="C16650" t="str">
        <f>"367500000X"</f>
        <v>367500000X</v>
      </c>
      <c r="D16650" t="str">
        <f>"MILEY                    JESSICA      R           "</f>
        <v xml:space="preserve">MILEY                    JESSICA      R           </v>
      </c>
      <c r="E16650" t="str">
        <f>"JACKSON                   "</f>
        <v xml:space="preserve">JACKSON                   </v>
      </c>
      <c r="F16650" t="str">
        <f t="shared" si="420"/>
        <v>MS</v>
      </c>
    </row>
    <row r="16651" spans="1:6" x14ac:dyDescent="0.25">
      <c r="A16651" t="str">
        <f>"200010935"</f>
        <v>200010935</v>
      </c>
      <c r="B16651" t="str">
        <f>"1972603389"</f>
        <v>1972603389</v>
      </c>
      <c r="C16651" t="str">
        <f>"208800000X"</f>
        <v>208800000X</v>
      </c>
      <c r="D16651" t="str">
        <f>"HOVEY                    REGINA                   "</f>
        <v xml:space="preserve">HOVEY                    REGINA                   </v>
      </c>
      <c r="E16651" t="str">
        <f>"TUPELO                    "</f>
        <v xml:space="preserve">TUPELO                    </v>
      </c>
      <c r="F16651" t="str">
        <f t="shared" si="420"/>
        <v>MS</v>
      </c>
    </row>
    <row r="16652" spans="1:6" x14ac:dyDescent="0.25">
      <c r="A16652" t="str">
        <f>"200010936"</f>
        <v>200010936</v>
      </c>
      <c r="B16652" t="str">
        <f>"1003177593"</f>
        <v>1003177593</v>
      </c>
      <c r="C16652" t="str">
        <f>"207R00000X"</f>
        <v>207R00000X</v>
      </c>
      <c r="D16652" t="str">
        <f>"BERSABE                  DANIELLE                 "</f>
        <v xml:space="preserve">BERSABE                  DANIELLE                 </v>
      </c>
      <c r="E16652" t="str">
        <f>"OCEAN SPRINGS             "</f>
        <v xml:space="preserve">OCEAN SPRINGS             </v>
      </c>
      <c r="F16652" t="str">
        <f t="shared" si="420"/>
        <v>MS</v>
      </c>
    </row>
    <row r="16653" spans="1:6" x14ac:dyDescent="0.25">
      <c r="A16653" t="str">
        <f>"200010937"</f>
        <v>200010937</v>
      </c>
      <c r="B16653" t="str">
        <f>"1457116907"</f>
        <v>1457116907</v>
      </c>
      <c r="C16653" t="str">
        <f>"363L00000X"</f>
        <v>363L00000X</v>
      </c>
      <c r="D16653" t="str">
        <f>"DICKERSON                SHELBY                   "</f>
        <v xml:space="preserve">DICKERSON                SHELBY                   </v>
      </c>
      <c r="E16653" t="str">
        <f>"COLLINS                   "</f>
        <v xml:space="preserve">COLLINS                   </v>
      </c>
      <c r="F16653" t="str">
        <f t="shared" si="420"/>
        <v>MS</v>
      </c>
    </row>
    <row r="16654" spans="1:6" x14ac:dyDescent="0.25">
      <c r="A16654" t="str">
        <f>"200010946"</f>
        <v>200010946</v>
      </c>
      <c r="B16654" t="str">
        <f>"1144846767"</f>
        <v>1144846767</v>
      </c>
      <c r="C16654" t="str">
        <f>"363L00000X"</f>
        <v>363L00000X</v>
      </c>
      <c r="D16654" t="str">
        <f>"CROSS-BROWN              AVANTI                   "</f>
        <v xml:space="preserve">CROSS-BROWN              AVANTI                   </v>
      </c>
      <c r="E16654" t="str">
        <f>"OLIVE BRANCH              "</f>
        <v xml:space="preserve">OLIVE BRANCH              </v>
      </c>
      <c r="F16654" t="str">
        <f t="shared" si="420"/>
        <v>MS</v>
      </c>
    </row>
    <row r="16655" spans="1:6" x14ac:dyDescent="0.25">
      <c r="A16655" t="str">
        <f>"200010947"</f>
        <v>200010947</v>
      </c>
      <c r="B16655" t="str">
        <f>"1164289807"</f>
        <v>1164289807</v>
      </c>
      <c r="C16655" t="str">
        <f>"363L00000X"</f>
        <v>363L00000X</v>
      </c>
      <c r="D16655" t="str">
        <f>"WHITE                    PAMELA       H           "</f>
        <v xml:space="preserve">WHITE                    PAMELA       H           </v>
      </c>
      <c r="E16655" t="str">
        <f>"WEST POINT                "</f>
        <v xml:space="preserve">WEST POINT                </v>
      </c>
      <c r="F16655" t="str">
        <f t="shared" si="420"/>
        <v>MS</v>
      </c>
    </row>
    <row r="16656" spans="1:6" x14ac:dyDescent="0.25">
      <c r="A16656" t="str">
        <f>"200010954"</f>
        <v>200010954</v>
      </c>
      <c r="B16656" t="str">
        <f>"1326521048"</f>
        <v>1326521048</v>
      </c>
      <c r="C16656" t="str">
        <f>"363L00000X"</f>
        <v>363L00000X</v>
      </c>
      <c r="D16656" t="str">
        <f>"BECKWITH                 HAILEY       P           "</f>
        <v xml:space="preserve">BECKWITH                 HAILEY       P           </v>
      </c>
      <c r="E16656" t="str">
        <f>"VICKSBURG                 "</f>
        <v xml:space="preserve">VICKSBURG                 </v>
      </c>
      <c r="F16656" t="str">
        <f t="shared" si="420"/>
        <v>MS</v>
      </c>
    </row>
    <row r="16657" spans="1:6" x14ac:dyDescent="0.25">
      <c r="A16657" t="str">
        <f>"200010960"</f>
        <v>200010960</v>
      </c>
      <c r="B16657" t="str">
        <f>"1538827860"</f>
        <v>1538827860</v>
      </c>
      <c r="C16657" t="str">
        <f>"363L00000X"</f>
        <v>363L00000X</v>
      </c>
      <c r="D16657" t="str">
        <f>"ELLIS                    AMANDA                   "</f>
        <v xml:space="preserve">ELLIS                    AMANDA                   </v>
      </c>
      <c r="E16657" t="str">
        <f>"BAY ST LOUIS              "</f>
        <v xml:space="preserve">BAY ST LOUIS              </v>
      </c>
      <c r="F16657" t="str">
        <f t="shared" si="420"/>
        <v>MS</v>
      </c>
    </row>
    <row r="16658" spans="1:6" x14ac:dyDescent="0.25">
      <c r="A16658" t="str">
        <f>"200010970"</f>
        <v>200010970</v>
      </c>
      <c r="B16658" t="str">
        <f>"1326802786"</f>
        <v>1326802786</v>
      </c>
      <c r="C16658" t="str">
        <f>"367A00000X"</f>
        <v>367A00000X</v>
      </c>
      <c r="D16658" t="str">
        <f>"DICKERSON                LAURA                    "</f>
        <v xml:space="preserve">DICKERSON                LAURA                    </v>
      </c>
      <c r="E16658" t="str">
        <f>"JACKSON                   "</f>
        <v xml:space="preserve">JACKSON                   </v>
      </c>
      <c r="F16658" t="str">
        <f t="shared" si="420"/>
        <v>MS</v>
      </c>
    </row>
    <row r="16659" spans="1:6" x14ac:dyDescent="0.25">
      <c r="A16659" t="str">
        <f>"200010971"</f>
        <v>200010971</v>
      </c>
      <c r="B16659" t="str">
        <f>"1902278369"</f>
        <v>1902278369</v>
      </c>
      <c r="C16659" t="str">
        <f>"363L00000X"</f>
        <v>363L00000X</v>
      </c>
      <c r="D16659" t="str">
        <f>"BROWN                    KIMBERLY                 "</f>
        <v xml:space="preserve">BROWN                    KIMBERLY                 </v>
      </c>
      <c r="E16659" t="str">
        <f>"MERIDIAN                  "</f>
        <v xml:space="preserve">MERIDIAN                  </v>
      </c>
      <c r="F16659" t="str">
        <f t="shared" si="420"/>
        <v>MS</v>
      </c>
    </row>
    <row r="16660" spans="1:6" x14ac:dyDescent="0.25">
      <c r="A16660" t="str">
        <f>"200010974"</f>
        <v>200010974</v>
      </c>
      <c r="B16660" t="str">
        <f>"1811931553"</f>
        <v>1811931553</v>
      </c>
      <c r="C16660" t="str">
        <f>"363L00000X"</f>
        <v>363L00000X</v>
      </c>
      <c r="D16660" t="str">
        <f>"HEITMAN                  ELIZABETH    D           "</f>
        <v xml:space="preserve">HEITMAN                  ELIZABETH    D           </v>
      </c>
      <c r="E16660" t="str">
        <f>"SOUTHAVEN                 "</f>
        <v xml:space="preserve">SOUTHAVEN                 </v>
      </c>
      <c r="F16660" t="str">
        <f t="shared" si="420"/>
        <v>MS</v>
      </c>
    </row>
    <row r="16661" spans="1:6" x14ac:dyDescent="0.25">
      <c r="A16661" t="str">
        <f>"200010979"</f>
        <v>200010979</v>
      </c>
      <c r="B16661" t="str">
        <f>"1598528606"</f>
        <v>1598528606</v>
      </c>
      <c r="C16661" t="str">
        <f>"363L00000X"</f>
        <v>363L00000X</v>
      </c>
      <c r="D16661" t="str">
        <f>"ADELL                    AMBER                    "</f>
        <v xml:space="preserve">ADELL                    AMBER                    </v>
      </c>
      <c r="E16661" t="str">
        <f>"OLIVE BRANCH              "</f>
        <v xml:space="preserve">OLIVE BRANCH              </v>
      </c>
      <c r="F16661" t="str">
        <f t="shared" si="420"/>
        <v>MS</v>
      </c>
    </row>
    <row r="16662" spans="1:6" x14ac:dyDescent="0.25">
      <c r="A16662" t="str">
        <f>"200010981"</f>
        <v>200010981</v>
      </c>
      <c r="B16662" t="str">
        <f>"1659544385"</f>
        <v>1659544385</v>
      </c>
      <c r="C16662" t="str">
        <f>"208800000X"</f>
        <v>208800000X</v>
      </c>
      <c r="D16662" t="str">
        <f>"STEWART                  ADAM                     "</f>
        <v xml:space="preserve">STEWART                  ADAM                     </v>
      </c>
      <c r="E16662" t="str">
        <f>"TUPELO                    "</f>
        <v xml:space="preserve">TUPELO                    </v>
      </c>
      <c r="F16662" t="str">
        <f t="shared" si="420"/>
        <v>MS</v>
      </c>
    </row>
    <row r="16663" spans="1:6" x14ac:dyDescent="0.25">
      <c r="A16663" t="str">
        <f>"200010996"</f>
        <v>200010996</v>
      </c>
      <c r="B16663" t="str">
        <f>"1689439945"</f>
        <v>1689439945</v>
      </c>
      <c r="C16663" t="str">
        <f>"363LP0808X"</f>
        <v>363LP0808X</v>
      </c>
      <c r="D16663" t="str">
        <f>"AEGER ROSS               CHARLOTTE    M           "</f>
        <v xml:space="preserve">AEGER ROSS               CHARLOTTE    M           </v>
      </c>
      <c r="E16663" t="str">
        <f>"LUCEDALE                  "</f>
        <v xml:space="preserve">LUCEDALE                  </v>
      </c>
      <c r="F16663" t="str">
        <f t="shared" si="420"/>
        <v>MS</v>
      </c>
    </row>
    <row r="16664" spans="1:6" x14ac:dyDescent="0.25">
      <c r="A16664" t="str">
        <f>"200010998"</f>
        <v>200010998</v>
      </c>
      <c r="B16664" t="str">
        <f>"1457835399"</f>
        <v>1457835399</v>
      </c>
      <c r="C16664" t="str">
        <f>"363L00000X"</f>
        <v>363L00000X</v>
      </c>
      <c r="D16664" t="str">
        <f>"TOLLFREE                 ASHLEY                   "</f>
        <v xml:space="preserve">TOLLFREE                 ASHLEY                   </v>
      </c>
      <c r="E16664" t="str">
        <f>"GREENVILLE                "</f>
        <v xml:space="preserve">GREENVILLE                </v>
      </c>
      <c r="F16664" t="str">
        <f t="shared" si="420"/>
        <v>MS</v>
      </c>
    </row>
    <row r="16665" spans="1:6" x14ac:dyDescent="0.25">
      <c r="A16665" t="str">
        <f>"200011003"</f>
        <v>200011003</v>
      </c>
      <c r="B16665" t="str">
        <f>"1275125387"</f>
        <v>1275125387</v>
      </c>
      <c r="C16665" t="str">
        <f>"363L00000X"</f>
        <v>363L00000X</v>
      </c>
      <c r="D16665" t="str">
        <f>"LUNN                     TAYLOR                   "</f>
        <v xml:space="preserve">LUNN                     TAYLOR                   </v>
      </c>
      <c r="E16665" t="str">
        <f>"COLUMBUS                  "</f>
        <v xml:space="preserve">COLUMBUS                  </v>
      </c>
      <c r="F16665" t="str">
        <f t="shared" si="420"/>
        <v>MS</v>
      </c>
    </row>
    <row r="16666" spans="1:6" x14ac:dyDescent="0.25">
      <c r="A16666" t="str">
        <f>"200011017"</f>
        <v>200011017</v>
      </c>
      <c r="B16666" t="str">
        <f>"1811568298"</f>
        <v>1811568298</v>
      </c>
      <c r="C16666" t="str">
        <f>"152W00000X"</f>
        <v>152W00000X</v>
      </c>
      <c r="D16666" t="str">
        <f>"NUNEZ                    SHANTEL      N           "</f>
        <v xml:space="preserve">NUNEZ                    SHANTEL      N           </v>
      </c>
      <c r="E16666" t="str">
        <f>"OCEAN SPRINGS             "</f>
        <v xml:space="preserve">OCEAN SPRINGS             </v>
      </c>
      <c r="F16666" t="str">
        <f t="shared" si="420"/>
        <v>MS</v>
      </c>
    </row>
    <row r="16667" spans="1:6" x14ac:dyDescent="0.25">
      <c r="A16667" t="str">
        <f>"200011019"</f>
        <v>200011019</v>
      </c>
      <c r="B16667" t="str">
        <f>"1366003105"</f>
        <v>1366003105</v>
      </c>
      <c r="C16667" t="str">
        <f>"207P00000X"</f>
        <v>207P00000X</v>
      </c>
      <c r="D16667" t="str">
        <f>"WALDRUP                  REBECCA                  "</f>
        <v xml:space="preserve">WALDRUP                  REBECCA                  </v>
      </c>
      <c r="E16667" t="str">
        <f>"GULFPORT                  "</f>
        <v xml:space="preserve">GULFPORT                  </v>
      </c>
      <c r="F16667" t="str">
        <f t="shared" si="420"/>
        <v>MS</v>
      </c>
    </row>
    <row r="16668" spans="1:6" x14ac:dyDescent="0.25">
      <c r="A16668" t="str">
        <f>"200011027"</f>
        <v>200011027</v>
      </c>
      <c r="B16668" t="str">
        <f>"1316728512"</f>
        <v>1316728512</v>
      </c>
      <c r="C16668" t="str">
        <f>"363L00000X"</f>
        <v>363L00000X</v>
      </c>
      <c r="D16668" t="str">
        <f>"HARRIS                   ELLEN                    "</f>
        <v xml:space="preserve">HARRIS                   ELLEN                    </v>
      </c>
      <c r="E16668" t="str">
        <f>"OSYKA                     "</f>
        <v xml:space="preserve">OSYKA                     </v>
      </c>
      <c r="F16668" t="str">
        <f t="shared" si="420"/>
        <v>MS</v>
      </c>
    </row>
    <row r="16669" spans="1:6" x14ac:dyDescent="0.25">
      <c r="A16669" t="str">
        <f>"200011034"</f>
        <v>200011034</v>
      </c>
      <c r="B16669" t="str">
        <f>"1144885195"</f>
        <v>1144885195</v>
      </c>
      <c r="C16669" t="str">
        <f>"363L00000X"</f>
        <v>363L00000X</v>
      </c>
      <c r="D16669" t="str">
        <f>"HOSKINS                  WHITNEY                  "</f>
        <v xml:space="preserve">HOSKINS                  WHITNEY                  </v>
      </c>
      <c r="E16669" t="str">
        <f>"MERIDIAN                  "</f>
        <v xml:space="preserve">MERIDIAN                  </v>
      </c>
      <c r="F16669" t="str">
        <f t="shared" si="420"/>
        <v>MS</v>
      </c>
    </row>
    <row r="16670" spans="1:6" x14ac:dyDescent="0.25">
      <c r="A16670" t="str">
        <f>"200011035"</f>
        <v>200011035</v>
      </c>
      <c r="B16670" t="str">
        <f>"1104343318"</f>
        <v>1104343318</v>
      </c>
      <c r="C16670" t="str">
        <f>"363L00000X"</f>
        <v>363L00000X</v>
      </c>
      <c r="D16670" t="str">
        <f>"WOOLFOLK                 CENTERIA G               "</f>
        <v xml:space="preserve">WOOLFOLK                 CENTERIA G               </v>
      </c>
      <c r="E16670" t="str">
        <f>"YAZOO CITY                "</f>
        <v xml:space="preserve">YAZOO CITY                </v>
      </c>
      <c r="F16670" t="str">
        <f t="shared" si="420"/>
        <v>MS</v>
      </c>
    </row>
    <row r="16671" spans="1:6" x14ac:dyDescent="0.25">
      <c r="A16671" t="str">
        <f>"200011043"</f>
        <v>200011043</v>
      </c>
      <c r="B16671" t="str">
        <f>"1356339782"</f>
        <v>1356339782</v>
      </c>
      <c r="C16671" t="str">
        <f>"207RG0100X"</f>
        <v>207RG0100X</v>
      </c>
      <c r="D16671" t="str">
        <f>"MILNER                   PAUL                     "</f>
        <v xml:space="preserve">MILNER                   PAUL                     </v>
      </c>
      <c r="E16671" t="str">
        <f>"JACKSON                   "</f>
        <v xml:space="preserve">JACKSON                   </v>
      </c>
      <c r="F16671" t="str">
        <f t="shared" si="420"/>
        <v>MS</v>
      </c>
    </row>
    <row r="16672" spans="1:6" x14ac:dyDescent="0.25">
      <c r="A16672" t="str">
        <f>"200011044"</f>
        <v>200011044</v>
      </c>
      <c r="B16672" t="str">
        <f>"1326672510"</f>
        <v>1326672510</v>
      </c>
      <c r="C16672" t="str">
        <f>"363L00000X"</f>
        <v>363L00000X</v>
      </c>
      <c r="D16672" t="str">
        <f>"HOPPER                   JENNIFER                 "</f>
        <v xml:space="preserve">HOPPER                   JENNIFER                 </v>
      </c>
      <c r="E16672" t="str">
        <f>"BOONEVILLE                "</f>
        <v xml:space="preserve">BOONEVILLE                </v>
      </c>
      <c r="F16672" t="str">
        <f t="shared" si="420"/>
        <v>MS</v>
      </c>
    </row>
    <row r="16673" spans="1:6" x14ac:dyDescent="0.25">
      <c r="A16673" t="str">
        <f>"200011057"</f>
        <v>200011057</v>
      </c>
      <c r="B16673" t="str">
        <f>"1407625338"</f>
        <v>1407625338</v>
      </c>
      <c r="C16673" t="str">
        <f>"363L00000X"</f>
        <v>363L00000X</v>
      </c>
      <c r="D16673" t="str">
        <f>"GUGERT                   PAULA        R           "</f>
        <v xml:space="preserve">GUGERT                   PAULA        R           </v>
      </c>
      <c r="E16673" t="str">
        <f>"SOUTHAVEN                 "</f>
        <v xml:space="preserve">SOUTHAVEN                 </v>
      </c>
      <c r="F16673" t="str">
        <f t="shared" si="420"/>
        <v>MS</v>
      </c>
    </row>
    <row r="16674" spans="1:6" x14ac:dyDescent="0.25">
      <c r="A16674" t="str">
        <f>"200011067"</f>
        <v>200011067</v>
      </c>
      <c r="B16674" t="str">
        <f>"1295295681"</f>
        <v>1295295681</v>
      </c>
      <c r="C16674" t="str">
        <f>"2084N0400X"</f>
        <v>2084N0400X</v>
      </c>
      <c r="D16674" t="str">
        <f>"UPPAL                    HARDEEP                  "</f>
        <v xml:space="preserve">UPPAL                    HARDEEP                  </v>
      </c>
      <c r="E16674" t="str">
        <f>"JACKSON                   "</f>
        <v xml:space="preserve">JACKSON                   </v>
      </c>
      <c r="F16674" t="str">
        <f t="shared" si="420"/>
        <v>MS</v>
      </c>
    </row>
    <row r="16675" spans="1:6" x14ac:dyDescent="0.25">
      <c r="A16675" t="str">
        <f>"200011068"</f>
        <v>200011068</v>
      </c>
      <c r="B16675" t="str">
        <f>"1568149557"</f>
        <v>1568149557</v>
      </c>
      <c r="C16675" t="str">
        <f>"363L00000X"</f>
        <v>363L00000X</v>
      </c>
      <c r="D16675" t="str">
        <f>"POWELL                   QWANA                    "</f>
        <v xml:space="preserve">POWELL                   QWANA                    </v>
      </c>
      <c r="E16675" t="str">
        <f>"LELAND                    "</f>
        <v xml:space="preserve">LELAND                    </v>
      </c>
      <c r="F16675" t="str">
        <f t="shared" si="420"/>
        <v>MS</v>
      </c>
    </row>
    <row r="16676" spans="1:6" x14ac:dyDescent="0.25">
      <c r="A16676" t="str">
        <f>"200011073"</f>
        <v>200011073</v>
      </c>
      <c r="B16676" t="str">
        <f>"1295300085"</f>
        <v>1295300085</v>
      </c>
      <c r="C16676" t="str">
        <f>"207Q00000X"</f>
        <v>207Q00000X</v>
      </c>
      <c r="D16676" t="str">
        <f>"FULKS                    TAYLOR       D           "</f>
        <v xml:space="preserve">FULKS                    TAYLOR       D           </v>
      </c>
      <c r="E16676" t="str">
        <f>"HATTIESBURG               "</f>
        <v xml:space="preserve">HATTIESBURG               </v>
      </c>
      <c r="F16676" t="str">
        <f t="shared" si="420"/>
        <v>MS</v>
      </c>
    </row>
    <row r="16677" spans="1:6" x14ac:dyDescent="0.25">
      <c r="A16677" t="str">
        <f>"200011082"</f>
        <v>200011082</v>
      </c>
      <c r="B16677" t="str">
        <f>"1235484296"</f>
        <v>1235484296</v>
      </c>
      <c r="C16677" t="str">
        <f>"207P00000X"</f>
        <v>207P00000X</v>
      </c>
      <c r="D16677" t="str">
        <f>"SMITH                    THOMAS                   "</f>
        <v xml:space="preserve">SMITH                    THOMAS                   </v>
      </c>
      <c r="E16677" t="str">
        <f>"OXFORD                    "</f>
        <v xml:space="preserve">OXFORD                    </v>
      </c>
      <c r="F16677" t="str">
        <f t="shared" si="420"/>
        <v>MS</v>
      </c>
    </row>
    <row r="16678" spans="1:6" x14ac:dyDescent="0.25">
      <c r="A16678" t="str">
        <f>"200011083"</f>
        <v>200011083</v>
      </c>
      <c r="B16678" t="str">
        <f>"1225502412"</f>
        <v>1225502412</v>
      </c>
      <c r="C16678" t="str">
        <f>"363L00000X"</f>
        <v>363L00000X</v>
      </c>
      <c r="D16678" t="str">
        <f>"WALLACE                  SHERITA                  "</f>
        <v xml:space="preserve">WALLACE                  SHERITA                  </v>
      </c>
      <c r="E16678" t="str">
        <f>"MERIDIAN                  "</f>
        <v xml:space="preserve">MERIDIAN                  </v>
      </c>
      <c r="F16678" t="str">
        <f t="shared" si="420"/>
        <v>MS</v>
      </c>
    </row>
    <row r="16679" spans="1:6" x14ac:dyDescent="0.25">
      <c r="A16679" t="str">
        <f>"200011093"</f>
        <v>200011093</v>
      </c>
      <c r="B16679" t="str">
        <f>"1356122667"</f>
        <v>1356122667</v>
      </c>
      <c r="C16679" t="str">
        <f>"261QF0400X"</f>
        <v>261QF0400X</v>
      </c>
      <c r="D16679" t="str">
        <f>"COASTAL FAMILY HEALTH CENTER, INC.                "</f>
        <v xml:space="preserve">COASTAL FAMILY HEALTH CENTER, INC.                </v>
      </c>
      <c r="E16679" t="str">
        <f>"KILN                      "</f>
        <v xml:space="preserve">KILN                      </v>
      </c>
      <c r="F16679" t="str">
        <f t="shared" si="420"/>
        <v>MS</v>
      </c>
    </row>
    <row r="16680" spans="1:6" x14ac:dyDescent="0.25">
      <c r="A16680" t="str">
        <f>"200011100"</f>
        <v>200011100</v>
      </c>
      <c r="B16680" t="str">
        <f>"1720661887"</f>
        <v>1720661887</v>
      </c>
      <c r="C16680" t="str">
        <f>"363L00000X"</f>
        <v>363L00000X</v>
      </c>
      <c r="D16680" t="str">
        <f>"HART                     MARGARET                 "</f>
        <v xml:space="preserve">HART                     MARGARET                 </v>
      </c>
      <c r="E16680" t="str">
        <f>"MCCOMB                    "</f>
        <v xml:space="preserve">MCCOMB                    </v>
      </c>
      <c r="F16680" t="str">
        <f t="shared" si="420"/>
        <v>MS</v>
      </c>
    </row>
    <row r="16681" spans="1:6" x14ac:dyDescent="0.25">
      <c r="A16681" t="str">
        <f>"200011104"</f>
        <v>200011104</v>
      </c>
      <c r="B16681" t="str">
        <f>"1356123301"</f>
        <v>1356123301</v>
      </c>
      <c r="C16681" t="str">
        <f>"363L00000X"</f>
        <v>363L00000X</v>
      </c>
      <c r="D16681" t="str">
        <f>"WILLIAMS                 MONICA                   "</f>
        <v xml:space="preserve">WILLIAMS                 MONICA                   </v>
      </c>
      <c r="E16681" t="str">
        <f>"WAYNESBORO                "</f>
        <v xml:space="preserve">WAYNESBORO                </v>
      </c>
      <c r="F16681" t="str">
        <f t="shared" si="420"/>
        <v>MS</v>
      </c>
    </row>
    <row r="16682" spans="1:6" x14ac:dyDescent="0.25">
      <c r="A16682" t="str">
        <f>"200011106"</f>
        <v>200011106</v>
      </c>
      <c r="B16682" t="str">
        <f>"1457117889"</f>
        <v>1457117889</v>
      </c>
      <c r="C16682" t="str">
        <f>"363L00000X"</f>
        <v>363L00000X</v>
      </c>
      <c r="D16682" t="str">
        <f>"CIALONE                  EMILY                    "</f>
        <v xml:space="preserve">CIALONE                  EMILY                    </v>
      </c>
      <c r="E16682" t="str">
        <f>"JACKSON                   "</f>
        <v xml:space="preserve">JACKSON                   </v>
      </c>
      <c r="F16682" t="str">
        <f t="shared" si="420"/>
        <v>MS</v>
      </c>
    </row>
    <row r="16683" spans="1:6" x14ac:dyDescent="0.25">
      <c r="A16683" t="str">
        <f>"200011110"</f>
        <v>200011110</v>
      </c>
      <c r="B16683" t="str">
        <f>"1780299875"</f>
        <v>1780299875</v>
      </c>
      <c r="C16683" t="str">
        <f>"363L00000X"</f>
        <v>363L00000X</v>
      </c>
      <c r="D16683" t="str">
        <f>"WILSON                   CATHERINE    L           "</f>
        <v xml:space="preserve">WILSON                   CATHERINE    L           </v>
      </c>
      <c r="E16683" t="str">
        <f>"FLOWOOD                   "</f>
        <v xml:space="preserve">FLOWOOD                   </v>
      </c>
      <c r="F16683" t="str">
        <f t="shared" si="420"/>
        <v>MS</v>
      </c>
    </row>
    <row r="16684" spans="1:6" x14ac:dyDescent="0.25">
      <c r="A16684" t="str">
        <f>"200011111"</f>
        <v>200011111</v>
      </c>
      <c r="B16684" t="str">
        <f>"1356978977"</f>
        <v>1356978977</v>
      </c>
      <c r="C16684" t="str">
        <f>"207W00000X"</f>
        <v>207W00000X</v>
      </c>
      <c r="D16684" t="str">
        <f>"VINSON                   KYLE                     "</f>
        <v xml:space="preserve">VINSON                   KYLE                     </v>
      </c>
      <c r="E16684" t="str">
        <f>"OXFORD                    "</f>
        <v xml:space="preserve">OXFORD                    </v>
      </c>
      <c r="F16684" t="str">
        <f t="shared" si="420"/>
        <v>MS</v>
      </c>
    </row>
    <row r="16685" spans="1:6" x14ac:dyDescent="0.25">
      <c r="A16685" t="str">
        <f>"200011126"</f>
        <v>200011126</v>
      </c>
      <c r="B16685" t="str">
        <f>"1427815059"</f>
        <v>1427815059</v>
      </c>
      <c r="C16685" t="str">
        <f>"363L00000X"</f>
        <v>363L00000X</v>
      </c>
      <c r="D16685" t="str">
        <f>"MERANTO                  BLAKE                    "</f>
        <v xml:space="preserve">MERANTO                  BLAKE                    </v>
      </c>
      <c r="E16685" t="str">
        <f>"LAUREL                    "</f>
        <v xml:space="preserve">LAUREL                    </v>
      </c>
      <c r="F16685" t="str">
        <f t="shared" si="420"/>
        <v>MS</v>
      </c>
    </row>
    <row r="16686" spans="1:6" x14ac:dyDescent="0.25">
      <c r="A16686" t="str">
        <f>"200011129"</f>
        <v>200011129</v>
      </c>
      <c r="B16686" t="str">
        <f>"1942051024"</f>
        <v>1942051024</v>
      </c>
      <c r="C16686" t="str">
        <f>"363L00000X"</f>
        <v>363L00000X</v>
      </c>
      <c r="D16686" t="str">
        <f>"CARTER                   DONIELLE                 "</f>
        <v xml:space="preserve">CARTER                   DONIELLE                 </v>
      </c>
      <c r="E16686" t="str">
        <f>"HOLLY SPRINGS             "</f>
        <v xml:space="preserve">HOLLY SPRINGS             </v>
      </c>
      <c r="F16686" t="str">
        <f t="shared" si="420"/>
        <v>MS</v>
      </c>
    </row>
    <row r="16687" spans="1:6" x14ac:dyDescent="0.25">
      <c r="A16687" t="str">
        <f>"200011130"</f>
        <v>200011130</v>
      </c>
      <c r="B16687" t="str">
        <f>"1609639558"</f>
        <v>1609639558</v>
      </c>
      <c r="C16687" t="str">
        <f>"363A00000X"</f>
        <v>363A00000X</v>
      </c>
      <c r="D16687" t="str">
        <f>"BOYER                    LOGAN                    "</f>
        <v xml:space="preserve">BOYER                    LOGAN                    </v>
      </c>
      <c r="E16687" t="str">
        <f>"JACKSON                   "</f>
        <v xml:space="preserve">JACKSON                   </v>
      </c>
      <c r="F16687" t="str">
        <f t="shared" si="420"/>
        <v>MS</v>
      </c>
    </row>
    <row r="16688" spans="1:6" x14ac:dyDescent="0.25">
      <c r="A16688" t="str">
        <f>"200011131"</f>
        <v>200011131</v>
      </c>
      <c r="B16688" t="str">
        <f>"1821038407"</f>
        <v>1821038407</v>
      </c>
      <c r="C16688" t="str">
        <f>"207R00000X"</f>
        <v>207R00000X</v>
      </c>
      <c r="D16688" t="str">
        <f>"LEWIS                    JAMES                    "</f>
        <v xml:space="preserve">LEWIS                    JAMES                    </v>
      </c>
      <c r="E16688" t="str">
        <f>"AMORY                     "</f>
        <v xml:space="preserve">AMORY                     </v>
      </c>
      <c r="F16688" t="str">
        <f t="shared" si="420"/>
        <v>MS</v>
      </c>
    </row>
    <row r="16689" spans="1:6" x14ac:dyDescent="0.25">
      <c r="A16689" t="str">
        <f>"200011161"</f>
        <v>200011161</v>
      </c>
      <c r="B16689" t="str">
        <f>"1477575355"</f>
        <v>1477575355</v>
      </c>
      <c r="C16689" t="str">
        <f>"207R00000X"</f>
        <v>207R00000X</v>
      </c>
      <c r="D16689" t="str">
        <f>"KOLOKOLO                 DENNIS                   "</f>
        <v xml:space="preserve">KOLOKOLO                 DENNIS                   </v>
      </c>
      <c r="E16689" t="str">
        <f>"VICKSBURG                 "</f>
        <v xml:space="preserve">VICKSBURG                 </v>
      </c>
      <c r="F16689" t="str">
        <f t="shared" si="420"/>
        <v>MS</v>
      </c>
    </row>
    <row r="16690" spans="1:6" x14ac:dyDescent="0.25">
      <c r="A16690" t="str">
        <f>"200011164"</f>
        <v>200011164</v>
      </c>
      <c r="B16690" t="str">
        <f>"1225891765"</f>
        <v>1225891765</v>
      </c>
      <c r="C16690" t="str">
        <f>"363L00000X"</f>
        <v>363L00000X</v>
      </c>
      <c r="D16690" t="str">
        <f>"WALTERS                  APRIL        K           "</f>
        <v xml:space="preserve">WALTERS                  APRIL        K           </v>
      </c>
      <c r="E16690" t="str">
        <f>"MERIDIAN                  "</f>
        <v xml:space="preserve">MERIDIAN                  </v>
      </c>
      <c r="F16690" t="str">
        <f t="shared" si="420"/>
        <v>MS</v>
      </c>
    </row>
    <row r="16691" spans="1:6" x14ac:dyDescent="0.25">
      <c r="A16691" t="str">
        <f>"200011170"</f>
        <v>200011170</v>
      </c>
      <c r="B16691" t="str">
        <f>"1396279451"</f>
        <v>1396279451</v>
      </c>
      <c r="C16691" t="str">
        <f>"207RC0000X"</f>
        <v>207RC0000X</v>
      </c>
      <c r="D16691" t="str">
        <f>"DOUGLAS                  ANALISE                  "</f>
        <v xml:space="preserve">DOUGLAS                  ANALISE                  </v>
      </c>
      <c r="E16691" t="str">
        <f>"JACKSON                   "</f>
        <v xml:space="preserve">JACKSON                   </v>
      </c>
      <c r="F16691" t="str">
        <f t="shared" si="420"/>
        <v>MS</v>
      </c>
    </row>
    <row r="16692" spans="1:6" x14ac:dyDescent="0.25">
      <c r="A16692" t="str">
        <f>"200011198"</f>
        <v>200011198</v>
      </c>
      <c r="B16692" t="str">
        <f>"1730129735"</f>
        <v>1730129735</v>
      </c>
      <c r="C16692" t="str">
        <f>"207P00000X"</f>
        <v>207P00000X</v>
      </c>
      <c r="D16692" t="str">
        <f>"WINDER                   JAMES                    "</f>
        <v xml:space="preserve">WINDER                   JAMES                    </v>
      </c>
      <c r="E16692" t="str">
        <f>"HAZLEHURST                "</f>
        <v xml:space="preserve">HAZLEHURST                </v>
      </c>
      <c r="F16692" t="str">
        <f t="shared" si="420"/>
        <v>MS</v>
      </c>
    </row>
    <row r="16693" spans="1:6" x14ac:dyDescent="0.25">
      <c r="A16693" t="str">
        <f>"200011199"</f>
        <v>200011199</v>
      </c>
      <c r="B16693" t="str">
        <f>"1962256628"</f>
        <v>1962256628</v>
      </c>
      <c r="C16693" t="str">
        <f>"363L00000X"</f>
        <v>363L00000X</v>
      </c>
      <c r="D16693" t="str">
        <f>"NOBLES                   BRITNEY                  "</f>
        <v xml:space="preserve">NOBLES                   BRITNEY                  </v>
      </c>
      <c r="E16693" t="str">
        <f>"LAUREL                    "</f>
        <v xml:space="preserve">LAUREL                    </v>
      </c>
      <c r="F16693" t="str">
        <f t="shared" si="420"/>
        <v>MS</v>
      </c>
    </row>
    <row r="16694" spans="1:6" x14ac:dyDescent="0.25">
      <c r="A16694" t="str">
        <f>"200011202"</f>
        <v>200011202</v>
      </c>
      <c r="B16694" t="str">
        <f>"1265812630"</f>
        <v>1265812630</v>
      </c>
      <c r="C16694" t="str">
        <f>"207Q00000X"</f>
        <v>207Q00000X</v>
      </c>
      <c r="D16694" t="str">
        <f>"CAIN                     CHARNELL                 "</f>
        <v xml:space="preserve">CAIN                     CHARNELL                 </v>
      </c>
      <c r="E16694" t="str">
        <f>"LAUREL                    "</f>
        <v xml:space="preserve">LAUREL                    </v>
      </c>
      <c r="F16694" t="str">
        <f t="shared" si="420"/>
        <v>MS</v>
      </c>
    </row>
    <row r="16695" spans="1:6" x14ac:dyDescent="0.25">
      <c r="A16695" t="str">
        <f>"200011207"</f>
        <v>200011207</v>
      </c>
      <c r="B16695" t="str">
        <f>"1386367092"</f>
        <v>1386367092</v>
      </c>
      <c r="C16695" t="str">
        <f>"363L00000X"</f>
        <v>363L00000X</v>
      </c>
      <c r="D16695" t="str">
        <f>"PICKENS                  DUSHARME                 "</f>
        <v xml:space="preserve">PICKENS                  DUSHARME                 </v>
      </c>
      <c r="E16695" t="str">
        <f>"JACKSON                   "</f>
        <v xml:space="preserve">JACKSON                   </v>
      </c>
      <c r="F16695" t="str">
        <f t="shared" si="420"/>
        <v>MS</v>
      </c>
    </row>
    <row r="16696" spans="1:6" x14ac:dyDescent="0.25">
      <c r="A16696" t="str">
        <f>"200011209"</f>
        <v>200011209</v>
      </c>
      <c r="B16696" t="str">
        <f>"1013967835"</f>
        <v>1013967835</v>
      </c>
      <c r="C16696" t="str">
        <f>"207R00000X"</f>
        <v>207R00000X</v>
      </c>
      <c r="D16696" t="str">
        <f>"DALATI                   FAKHRI                   "</f>
        <v xml:space="preserve">DALATI                   FAKHRI                   </v>
      </c>
      <c r="E16696" t="str">
        <f>"WEST POINT                "</f>
        <v xml:space="preserve">WEST POINT                </v>
      </c>
      <c r="F16696" t="str">
        <f t="shared" si="420"/>
        <v>MS</v>
      </c>
    </row>
    <row r="16697" spans="1:6" x14ac:dyDescent="0.25">
      <c r="A16697" t="str">
        <f>"200011234"</f>
        <v>200011234</v>
      </c>
      <c r="B16697" t="str">
        <f>"1366644056"</f>
        <v>1366644056</v>
      </c>
      <c r="C16697" t="str">
        <f>"1223X0400X"</f>
        <v>1223X0400X</v>
      </c>
      <c r="D16697" t="str">
        <f>"WOODSON                  JAMES        R           "</f>
        <v xml:space="preserve">WOODSON                  JAMES        R           </v>
      </c>
      <c r="E16697" t="str">
        <f>"ROLLING FORK              "</f>
        <v xml:space="preserve">ROLLING FORK              </v>
      </c>
      <c r="F16697" t="str">
        <f t="shared" si="420"/>
        <v>MS</v>
      </c>
    </row>
    <row r="16698" spans="1:6" x14ac:dyDescent="0.25">
      <c r="A16698" t="str">
        <f>"200011242"</f>
        <v>200011242</v>
      </c>
      <c r="B16698" t="str">
        <f>"1871369017"</f>
        <v>1871369017</v>
      </c>
      <c r="C16698" t="str">
        <f>"363L00000X"</f>
        <v>363L00000X</v>
      </c>
      <c r="D16698" t="str">
        <f>"LEWIS                    MARSHAY                  "</f>
        <v xml:space="preserve">LEWIS                    MARSHAY                  </v>
      </c>
      <c r="E16698" t="str">
        <f>"CANTON                    "</f>
        <v xml:space="preserve">CANTON                    </v>
      </c>
      <c r="F16698" t="str">
        <f t="shared" si="420"/>
        <v>MS</v>
      </c>
    </row>
    <row r="16699" spans="1:6" x14ac:dyDescent="0.25">
      <c r="A16699" t="str">
        <f>"200011256"</f>
        <v>200011256</v>
      </c>
      <c r="B16699" t="str">
        <f>"1154728483"</f>
        <v>1154728483</v>
      </c>
      <c r="C16699" t="str">
        <f>"363L00000X"</f>
        <v>363L00000X</v>
      </c>
      <c r="D16699" t="str">
        <f>"BLAPPERT                 ASHLEY                   "</f>
        <v xml:space="preserve">BLAPPERT                 ASHLEY                   </v>
      </c>
      <c r="E16699" t="str">
        <f>"GULFPORT                  "</f>
        <v xml:space="preserve">GULFPORT                  </v>
      </c>
      <c r="F16699" t="str">
        <f t="shared" si="420"/>
        <v>MS</v>
      </c>
    </row>
    <row r="16700" spans="1:6" x14ac:dyDescent="0.25">
      <c r="A16700" t="str">
        <f>"200011278"</f>
        <v>200011278</v>
      </c>
      <c r="B16700" t="str">
        <f>"1457828428"</f>
        <v>1457828428</v>
      </c>
      <c r="C16700" t="str">
        <f>"363L00000X"</f>
        <v>363L00000X</v>
      </c>
      <c r="D16700" t="str">
        <f>"WASHINGTON               SHENIKA                  "</f>
        <v xml:space="preserve">WASHINGTON               SHENIKA                  </v>
      </c>
      <c r="E16700" t="str">
        <f>"VICKSBURG                 "</f>
        <v xml:space="preserve">VICKSBURG                 </v>
      </c>
      <c r="F16700" t="str">
        <f t="shared" si="420"/>
        <v>MS</v>
      </c>
    </row>
    <row r="16701" spans="1:6" x14ac:dyDescent="0.25">
      <c r="A16701" t="str">
        <f>"200011280"</f>
        <v>200011280</v>
      </c>
      <c r="B16701" t="str">
        <f>"1154362606"</f>
        <v>1154362606</v>
      </c>
      <c r="C16701" t="str">
        <f>"207P00000X"</f>
        <v>207P00000X</v>
      </c>
      <c r="D16701" t="str">
        <f>"HUDSON                   BRIAN        D           "</f>
        <v xml:space="preserve">HUDSON                   BRIAN        D           </v>
      </c>
      <c r="E16701" t="str">
        <f>"PORT GIBSON               "</f>
        <v xml:space="preserve">PORT GIBSON               </v>
      </c>
      <c r="F16701" t="str">
        <f t="shared" si="420"/>
        <v>MS</v>
      </c>
    </row>
    <row r="16702" spans="1:6" x14ac:dyDescent="0.25">
      <c r="A16702" t="str">
        <f>"200011284"</f>
        <v>200011284</v>
      </c>
      <c r="B16702" t="str">
        <f>"1366008211"</f>
        <v>1366008211</v>
      </c>
      <c r="C16702" t="str">
        <f>"363L00000X"</f>
        <v>363L00000X</v>
      </c>
      <c r="D16702" t="str">
        <f>"GRAY                     MILINDA      K           "</f>
        <v xml:space="preserve">GRAY                     MILINDA      K           </v>
      </c>
      <c r="E16702" t="str">
        <f>"BRANDON                   "</f>
        <v xml:space="preserve">BRANDON                   </v>
      </c>
      <c r="F16702" t="str">
        <f t="shared" ref="F16702:F16765" si="421">"MS"</f>
        <v>MS</v>
      </c>
    </row>
    <row r="16703" spans="1:6" x14ac:dyDescent="0.25">
      <c r="A16703" t="str">
        <f>"200011285"</f>
        <v>200011285</v>
      </c>
      <c r="B16703" t="str">
        <f>"1750900395"</f>
        <v>1750900395</v>
      </c>
      <c r="C16703" t="str">
        <f>"207P00000X"</f>
        <v>207P00000X</v>
      </c>
      <c r="D16703" t="str">
        <f>"BAKER                    THOMAS                   "</f>
        <v xml:space="preserve">BAKER                    THOMAS                   </v>
      </c>
      <c r="E16703" t="str">
        <f>"BAY SAINT LOUIS           "</f>
        <v xml:space="preserve">BAY SAINT LOUIS           </v>
      </c>
      <c r="F16703" t="str">
        <f t="shared" si="421"/>
        <v>MS</v>
      </c>
    </row>
    <row r="16704" spans="1:6" x14ac:dyDescent="0.25">
      <c r="A16704" t="str">
        <f>"200011286"</f>
        <v>200011286</v>
      </c>
      <c r="B16704" t="str">
        <f>"1891553210"</f>
        <v>1891553210</v>
      </c>
      <c r="C16704" t="str">
        <f>"363L00000X"</f>
        <v>363L00000X</v>
      </c>
      <c r="D16704" t="str">
        <f>"LUCKETT                  TOMEKIA                  "</f>
        <v xml:space="preserve">LUCKETT                  TOMEKIA                  </v>
      </c>
      <c r="E16704" t="str">
        <f>"MONTICELLO                "</f>
        <v xml:space="preserve">MONTICELLO                </v>
      </c>
      <c r="F16704" t="str">
        <f t="shared" si="421"/>
        <v>MS</v>
      </c>
    </row>
    <row r="16705" spans="1:6" x14ac:dyDescent="0.25">
      <c r="A16705" t="str">
        <f>"200011293"</f>
        <v>200011293</v>
      </c>
      <c r="B16705" t="str">
        <f>"1609071265"</f>
        <v>1609071265</v>
      </c>
      <c r="C16705" t="str">
        <f>"363L00000X"</f>
        <v>363L00000X</v>
      </c>
      <c r="D16705" t="str">
        <f>"THORNTON                 LAURIE                   "</f>
        <v xml:space="preserve">THORNTON                 LAURIE                   </v>
      </c>
      <c r="E16705" t="str">
        <f>"BRANDON                   "</f>
        <v xml:space="preserve">BRANDON                   </v>
      </c>
      <c r="F16705" t="str">
        <f t="shared" si="421"/>
        <v>MS</v>
      </c>
    </row>
    <row r="16706" spans="1:6" x14ac:dyDescent="0.25">
      <c r="A16706" t="str">
        <f>"200011299"</f>
        <v>200011299</v>
      </c>
      <c r="B16706" t="str">
        <f>"1639581739"</f>
        <v>1639581739</v>
      </c>
      <c r="C16706" t="str">
        <f>"207Q00000X"</f>
        <v>207Q00000X</v>
      </c>
      <c r="D16706" t="str">
        <f>"MCNEIL                   MEGAN                    "</f>
        <v xml:space="preserve">MCNEIL                   MEGAN                    </v>
      </c>
      <c r="E16706" t="str">
        <f>"AMORY                     "</f>
        <v xml:space="preserve">AMORY                     </v>
      </c>
      <c r="F16706" t="str">
        <f t="shared" si="421"/>
        <v>MS</v>
      </c>
    </row>
    <row r="16707" spans="1:6" x14ac:dyDescent="0.25">
      <c r="A16707" t="str">
        <f>"200011306"</f>
        <v>200011306</v>
      </c>
      <c r="B16707" t="str">
        <f>"1700413507"</f>
        <v>1700413507</v>
      </c>
      <c r="C16707" t="str">
        <f>"208100000X"</f>
        <v>208100000X</v>
      </c>
      <c r="D16707" t="str">
        <f>"ROBBINS                  MICHAEL                  "</f>
        <v xml:space="preserve">ROBBINS                  MICHAEL                  </v>
      </c>
      <c r="E16707" t="str">
        <f>"HATTIESBURG               "</f>
        <v xml:space="preserve">HATTIESBURG               </v>
      </c>
      <c r="F16707" t="str">
        <f t="shared" si="421"/>
        <v>MS</v>
      </c>
    </row>
    <row r="16708" spans="1:6" x14ac:dyDescent="0.25">
      <c r="A16708" t="str">
        <f>"200011307"</f>
        <v>200011307</v>
      </c>
      <c r="B16708" t="str">
        <f>"1356793327"</f>
        <v>1356793327</v>
      </c>
      <c r="C16708" t="str">
        <f>"363L00000X"</f>
        <v>363L00000X</v>
      </c>
      <c r="D16708" t="str">
        <f>"RONE                     MEREDITH                 "</f>
        <v xml:space="preserve">RONE                     MEREDITH                 </v>
      </c>
      <c r="E16708" t="str">
        <f>"FLOWOOD                   "</f>
        <v xml:space="preserve">FLOWOOD                   </v>
      </c>
      <c r="F16708" t="str">
        <f t="shared" si="421"/>
        <v>MS</v>
      </c>
    </row>
    <row r="16709" spans="1:6" x14ac:dyDescent="0.25">
      <c r="A16709" t="str">
        <f>"200011316"</f>
        <v>200011316</v>
      </c>
      <c r="B16709" t="str">
        <f>"1497068118"</f>
        <v>1497068118</v>
      </c>
      <c r="C16709" t="str">
        <f>"1223P0221X"</f>
        <v>1223P0221X</v>
      </c>
      <c r="D16709" t="str">
        <f>"CARTER                   STACEY       R           "</f>
        <v xml:space="preserve">CARTER                   STACEY       R           </v>
      </c>
      <c r="E16709" t="str">
        <f>"OCEAN SPRINGS             "</f>
        <v xml:space="preserve">OCEAN SPRINGS             </v>
      </c>
      <c r="F16709" t="str">
        <f t="shared" si="421"/>
        <v>MS</v>
      </c>
    </row>
    <row r="16710" spans="1:6" x14ac:dyDescent="0.25">
      <c r="A16710" t="str">
        <f>"200011318"</f>
        <v>200011318</v>
      </c>
      <c r="B16710" t="str">
        <f>"1477572543"</f>
        <v>1477572543</v>
      </c>
      <c r="C16710" t="str">
        <f>"208000000X"</f>
        <v>208000000X</v>
      </c>
      <c r="D16710" t="str">
        <f>"JEANSONNE                CORNEL                   "</f>
        <v xml:space="preserve">JEANSONNE                CORNEL                   </v>
      </c>
      <c r="E16710" t="str">
        <f>"PICAYUNE                  "</f>
        <v xml:space="preserve">PICAYUNE                  </v>
      </c>
      <c r="F16710" t="str">
        <f t="shared" si="421"/>
        <v>MS</v>
      </c>
    </row>
    <row r="16711" spans="1:6" x14ac:dyDescent="0.25">
      <c r="A16711" t="str">
        <f>"200011323"</f>
        <v>200011323</v>
      </c>
      <c r="B16711" t="str">
        <f>"1336429703"</f>
        <v>1336429703</v>
      </c>
      <c r="C16711" t="str">
        <f>"363L00000X"</f>
        <v>363L00000X</v>
      </c>
      <c r="D16711" t="str">
        <f>"SKINNER                  JEAN                     "</f>
        <v xml:space="preserve">SKINNER                  JEAN                     </v>
      </c>
      <c r="E16711" t="str">
        <f>"FLOWOOD                   "</f>
        <v xml:space="preserve">FLOWOOD                   </v>
      </c>
      <c r="F16711" t="str">
        <f t="shared" si="421"/>
        <v>MS</v>
      </c>
    </row>
    <row r="16712" spans="1:6" x14ac:dyDescent="0.25">
      <c r="A16712" t="str">
        <f>"200011333"</f>
        <v>200011333</v>
      </c>
      <c r="B16712" t="str">
        <f>"1114655883"</f>
        <v>1114655883</v>
      </c>
      <c r="C16712" t="str">
        <f>"363L00000X"</f>
        <v>363L00000X</v>
      </c>
      <c r="D16712" t="str">
        <f>"WHITE                    LAUSHA                   "</f>
        <v xml:space="preserve">WHITE                    LAUSHA                   </v>
      </c>
      <c r="E16712" t="str">
        <f>"NATCHEZ                   "</f>
        <v xml:space="preserve">NATCHEZ                   </v>
      </c>
      <c r="F16712" t="str">
        <f t="shared" si="421"/>
        <v>MS</v>
      </c>
    </row>
    <row r="16713" spans="1:6" x14ac:dyDescent="0.25">
      <c r="A16713" t="str">
        <f>"200011336"</f>
        <v>200011336</v>
      </c>
      <c r="B16713" t="str">
        <f>"1659755676"</f>
        <v>1659755676</v>
      </c>
      <c r="C16713" t="str">
        <f>"363L00000X"</f>
        <v>363L00000X</v>
      </c>
      <c r="D16713" t="str">
        <f>"MCCALLUM                 ANGELA                   "</f>
        <v xml:space="preserve">MCCALLUM                 ANGELA                   </v>
      </c>
      <c r="E16713" t="str">
        <f>"MENDENHALL                "</f>
        <v xml:space="preserve">MENDENHALL                </v>
      </c>
      <c r="F16713" t="str">
        <f t="shared" si="421"/>
        <v>MS</v>
      </c>
    </row>
    <row r="16714" spans="1:6" x14ac:dyDescent="0.25">
      <c r="A16714" t="str">
        <f>"200011343"</f>
        <v>200011343</v>
      </c>
      <c r="B16714" t="str">
        <f>"1598708745"</f>
        <v>1598708745</v>
      </c>
      <c r="C16714" t="str">
        <f>"208100000X"</f>
        <v>208100000X</v>
      </c>
      <c r="D16714" t="str">
        <f>"LEWIS                    STEPHEN      B           "</f>
        <v xml:space="preserve">LEWIS                    STEPHEN      B           </v>
      </c>
      <c r="E16714" t="str">
        <f>"OXFORD                    "</f>
        <v xml:space="preserve">OXFORD                    </v>
      </c>
      <c r="F16714" t="str">
        <f t="shared" si="421"/>
        <v>MS</v>
      </c>
    </row>
    <row r="16715" spans="1:6" x14ac:dyDescent="0.25">
      <c r="A16715" t="str">
        <f>"200011346"</f>
        <v>200011346</v>
      </c>
      <c r="B16715" t="str">
        <f>"1962100347"</f>
        <v>1962100347</v>
      </c>
      <c r="C16715" t="str">
        <f>"363L00000X"</f>
        <v>363L00000X</v>
      </c>
      <c r="D16715" t="str">
        <f>"MCKISSICK                THERESA      D           "</f>
        <v xml:space="preserve">MCKISSICK                THERESA      D           </v>
      </c>
      <c r="E16715" t="str">
        <f>"PICAYUNE                  "</f>
        <v xml:space="preserve">PICAYUNE                  </v>
      </c>
      <c r="F16715" t="str">
        <f t="shared" si="421"/>
        <v>MS</v>
      </c>
    </row>
    <row r="16716" spans="1:6" x14ac:dyDescent="0.25">
      <c r="A16716" t="str">
        <f>"200011364"</f>
        <v>200011364</v>
      </c>
      <c r="B16716" t="str">
        <f>"1033704457"</f>
        <v>1033704457</v>
      </c>
      <c r="C16716" t="str">
        <f>"363L00000X"</f>
        <v>363L00000X</v>
      </c>
      <c r="D16716" t="str">
        <f>"GARLOTTE                 KRISTINA                 "</f>
        <v xml:space="preserve">GARLOTTE                 KRISTINA                 </v>
      </c>
      <c r="E16716" t="str">
        <f>"VANCLEAVE                 "</f>
        <v xml:space="preserve">VANCLEAVE                 </v>
      </c>
      <c r="F16716" t="str">
        <f t="shared" si="421"/>
        <v>MS</v>
      </c>
    </row>
    <row r="16717" spans="1:6" x14ac:dyDescent="0.25">
      <c r="A16717" t="str">
        <f>"200011373"</f>
        <v>200011373</v>
      </c>
      <c r="B16717" t="str">
        <f>"1104681378"</f>
        <v>1104681378</v>
      </c>
      <c r="C16717" t="str">
        <f>"363L00000X"</f>
        <v>363L00000X</v>
      </c>
      <c r="D16717" t="str">
        <f>"FREEMAN                  WESLEY                   "</f>
        <v xml:space="preserve">FREEMAN                  WESLEY                   </v>
      </c>
      <c r="E16717" t="str">
        <f>"LUCEDALE                  "</f>
        <v xml:space="preserve">LUCEDALE                  </v>
      </c>
      <c r="F16717" t="str">
        <f t="shared" si="421"/>
        <v>MS</v>
      </c>
    </row>
    <row r="16718" spans="1:6" x14ac:dyDescent="0.25">
      <c r="A16718" t="str">
        <f>"200011374"</f>
        <v>200011374</v>
      </c>
      <c r="B16718" t="str">
        <f>"1093782575"</f>
        <v>1093782575</v>
      </c>
      <c r="C16718" t="str">
        <f>"2084N0400X"</f>
        <v>2084N0400X</v>
      </c>
      <c r="D16718" t="str">
        <f>"JATI                     ANUBHA                   "</f>
        <v xml:space="preserve">JATI                     ANUBHA                   </v>
      </c>
      <c r="E16718" t="str">
        <f>"TUPELO                    "</f>
        <v xml:space="preserve">TUPELO                    </v>
      </c>
      <c r="F16718" t="str">
        <f t="shared" si="421"/>
        <v>MS</v>
      </c>
    </row>
    <row r="16719" spans="1:6" x14ac:dyDescent="0.25">
      <c r="A16719" t="str">
        <f>"200011382"</f>
        <v>200011382</v>
      </c>
      <c r="B16719" t="str">
        <f>"1104673276"</f>
        <v>1104673276</v>
      </c>
      <c r="C16719" t="str">
        <f>"363L00000X"</f>
        <v>363L00000X</v>
      </c>
      <c r="D16719" t="str">
        <f>"GOETSCH                  KAITLYN                  "</f>
        <v xml:space="preserve">GOETSCH                  KAITLYN                  </v>
      </c>
      <c r="E16719" t="str">
        <f>"JACKSON                   "</f>
        <v xml:space="preserve">JACKSON                   </v>
      </c>
      <c r="F16719" t="str">
        <f t="shared" si="421"/>
        <v>MS</v>
      </c>
    </row>
    <row r="16720" spans="1:6" x14ac:dyDescent="0.25">
      <c r="A16720" t="str">
        <f>"200011383"</f>
        <v>200011383</v>
      </c>
      <c r="B16720" t="str">
        <f>"1205151776"</f>
        <v>1205151776</v>
      </c>
      <c r="C16720" t="str">
        <f>"207L00000X"</f>
        <v>207L00000X</v>
      </c>
      <c r="D16720" t="str">
        <f>"MORGAN                   KYLE                     "</f>
        <v xml:space="preserve">MORGAN                   KYLE                     </v>
      </c>
      <c r="E16720" t="str">
        <f>"TUPELO                    "</f>
        <v xml:space="preserve">TUPELO                    </v>
      </c>
      <c r="F16720" t="str">
        <f t="shared" si="421"/>
        <v>MS</v>
      </c>
    </row>
    <row r="16721" spans="1:6" x14ac:dyDescent="0.25">
      <c r="A16721" t="str">
        <f>"200011393"</f>
        <v>200011393</v>
      </c>
      <c r="B16721" t="str">
        <f>"1609622240"</f>
        <v>1609622240</v>
      </c>
      <c r="C16721" t="str">
        <f>"363L00000X"</f>
        <v>363L00000X</v>
      </c>
      <c r="D16721" t="str">
        <f>"ESGUERRA                 ADRIANA      E           "</f>
        <v xml:space="preserve">ESGUERRA                 ADRIANA      E           </v>
      </c>
      <c r="E16721" t="str">
        <f>"FOREST                    "</f>
        <v xml:space="preserve">FOREST                    </v>
      </c>
      <c r="F16721" t="str">
        <f t="shared" si="421"/>
        <v>MS</v>
      </c>
    </row>
    <row r="16722" spans="1:6" x14ac:dyDescent="0.25">
      <c r="A16722" t="str">
        <f>"200011399"</f>
        <v>200011399</v>
      </c>
      <c r="B16722" t="str">
        <f>"1376284539"</f>
        <v>1376284539</v>
      </c>
      <c r="C16722" t="str">
        <f>"207P00000X"</f>
        <v>207P00000X</v>
      </c>
      <c r="D16722" t="str">
        <f>"FLEMING                  DAVID                    "</f>
        <v xml:space="preserve">FLEMING                  DAVID                    </v>
      </c>
      <c r="E16722" t="str">
        <f>"BROOKHAVEN                "</f>
        <v xml:space="preserve">BROOKHAVEN                </v>
      </c>
      <c r="F16722" t="str">
        <f t="shared" si="421"/>
        <v>MS</v>
      </c>
    </row>
    <row r="16723" spans="1:6" x14ac:dyDescent="0.25">
      <c r="A16723" t="str">
        <f>"200011406"</f>
        <v>200011406</v>
      </c>
      <c r="B16723" t="str">
        <f>"1891233342"</f>
        <v>1891233342</v>
      </c>
      <c r="C16723" t="str">
        <f>"363L00000X"</f>
        <v>363L00000X</v>
      </c>
      <c r="D16723" t="str">
        <f>"WOODSON                  TINA         F           "</f>
        <v xml:space="preserve">WOODSON                  TINA         F           </v>
      </c>
      <c r="E16723" t="str">
        <f>"BYHALIA                   "</f>
        <v xml:space="preserve">BYHALIA                   </v>
      </c>
      <c r="F16723" t="str">
        <f t="shared" si="421"/>
        <v>MS</v>
      </c>
    </row>
    <row r="16724" spans="1:6" x14ac:dyDescent="0.25">
      <c r="A16724" t="str">
        <f>"200011409"</f>
        <v>200011409</v>
      </c>
      <c r="B16724" t="str">
        <f>"1720846249"</f>
        <v>1720846249</v>
      </c>
      <c r="C16724" t="str">
        <f>"363L00000X"</f>
        <v>363L00000X</v>
      </c>
      <c r="D16724" t="str">
        <f>"LEWIS                    JAMIE        T           "</f>
        <v xml:space="preserve">LEWIS                    JAMIE        T           </v>
      </c>
      <c r="E16724" t="str">
        <f>"MERIDIAN                  "</f>
        <v xml:space="preserve">MERIDIAN                  </v>
      </c>
      <c r="F16724" t="str">
        <f t="shared" si="421"/>
        <v>MS</v>
      </c>
    </row>
    <row r="16725" spans="1:6" x14ac:dyDescent="0.25">
      <c r="A16725" t="str">
        <f>"200011410"</f>
        <v>200011410</v>
      </c>
      <c r="B16725" t="str">
        <f>"1205241130"</f>
        <v>1205241130</v>
      </c>
      <c r="C16725" t="str">
        <f>"2084P0800X"</f>
        <v>2084P0800X</v>
      </c>
      <c r="D16725" t="str">
        <f>"SARIHAN                  PRIYANKA                 "</f>
        <v xml:space="preserve">SARIHAN                  PRIYANKA                 </v>
      </c>
      <c r="E16725" t="str">
        <f>"MADISON                   "</f>
        <v xml:space="preserve">MADISON                   </v>
      </c>
      <c r="F16725" t="str">
        <f t="shared" si="421"/>
        <v>MS</v>
      </c>
    </row>
    <row r="16726" spans="1:6" x14ac:dyDescent="0.25">
      <c r="A16726" t="str">
        <f>"200011416"</f>
        <v>200011416</v>
      </c>
      <c r="B16726" t="str">
        <f>"1114921806"</f>
        <v>1114921806</v>
      </c>
      <c r="C16726" t="str">
        <f>"207RP1001X"</f>
        <v>207RP1001X</v>
      </c>
      <c r="D16726" t="str">
        <f>"MOHAN                    GOWDHAMI                 "</f>
        <v xml:space="preserve">MOHAN                    GOWDHAMI                 </v>
      </c>
      <c r="E16726" t="str">
        <f>"CLARKSDALE                "</f>
        <v xml:space="preserve">CLARKSDALE                </v>
      </c>
      <c r="F16726" t="str">
        <f t="shared" si="421"/>
        <v>MS</v>
      </c>
    </row>
    <row r="16727" spans="1:6" x14ac:dyDescent="0.25">
      <c r="A16727" t="str">
        <f>"200011431"</f>
        <v>200011431</v>
      </c>
      <c r="B16727" t="str">
        <f>"1447869870"</f>
        <v>1447869870</v>
      </c>
      <c r="C16727" t="str">
        <f>"122300000X"</f>
        <v>122300000X</v>
      </c>
      <c r="D16727" t="str">
        <f>"ASTERS                   MATTHEW                  "</f>
        <v xml:space="preserve">ASTERS                   MATTHEW                  </v>
      </c>
      <c r="E16727" t="str">
        <f>"RIPLEY                    "</f>
        <v xml:space="preserve">RIPLEY                    </v>
      </c>
      <c r="F16727" t="str">
        <f t="shared" si="421"/>
        <v>MS</v>
      </c>
    </row>
    <row r="16728" spans="1:6" x14ac:dyDescent="0.25">
      <c r="A16728" t="str">
        <f>"200011432"</f>
        <v>200011432</v>
      </c>
      <c r="B16728" t="str">
        <f>"1245428788"</f>
        <v>1245428788</v>
      </c>
      <c r="C16728" t="str">
        <f>"367500000X"</f>
        <v>367500000X</v>
      </c>
      <c r="D16728" t="str">
        <f>"WALDROP                  MELANIE      J           "</f>
        <v xml:space="preserve">WALDROP                  MELANIE      J           </v>
      </c>
      <c r="E16728" t="str">
        <f>"JACKSON                   "</f>
        <v xml:space="preserve">JACKSON                   </v>
      </c>
      <c r="F16728" t="str">
        <f t="shared" si="421"/>
        <v>MS</v>
      </c>
    </row>
    <row r="16729" spans="1:6" x14ac:dyDescent="0.25">
      <c r="A16729" t="str">
        <f>"200011441"</f>
        <v>200011441</v>
      </c>
      <c r="B16729" t="str">
        <f>"1962579573"</f>
        <v>1962579573</v>
      </c>
      <c r="C16729" t="str">
        <f>"207L00000X"</f>
        <v>207L00000X</v>
      </c>
      <c r="D16729" t="str">
        <f>"SCURRIA                  ANTHONY                  "</f>
        <v xml:space="preserve">SCURRIA                  ANTHONY                  </v>
      </c>
      <c r="E16729" t="str">
        <f>"BAY SAINT LOUIS           "</f>
        <v xml:space="preserve">BAY SAINT LOUIS           </v>
      </c>
      <c r="F16729" t="str">
        <f t="shared" si="421"/>
        <v>MS</v>
      </c>
    </row>
    <row r="16730" spans="1:6" x14ac:dyDescent="0.25">
      <c r="A16730" t="str">
        <f>"200011442"</f>
        <v>200011442</v>
      </c>
      <c r="B16730" t="str">
        <f>"1154984664"</f>
        <v>1154984664</v>
      </c>
      <c r="C16730" t="str">
        <f>"363L00000X"</f>
        <v>363L00000X</v>
      </c>
      <c r="D16730" t="str">
        <f>"WHITE                    ANN                      "</f>
        <v xml:space="preserve">WHITE                    ANN                      </v>
      </c>
      <c r="E16730" t="str">
        <f>"FLOWOOD                   "</f>
        <v xml:space="preserve">FLOWOOD                   </v>
      </c>
      <c r="F16730" t="str">
        <f t="shared" si="421"/>
        <v>MS</v>
      </c>
    </row>
    <row r="16731" spans="1:6" x14ac:dyDescent="0.25">
      <c r="A16731" t="str">
        <f>"200011453"</f>
        <v>200011453</v>
      </c>
      <c r="B16731" t="str">
        <f>"1528688819"</f>
        <v>1528688819</v>
      </c>
      <c r="C16731" t="str">
        <f>"363L00000X"</f>
        <v>363L00000X</v>
      </c>
      <c r="D16731" t="str">
        <f>"BALLARD-SAYONH           CARLEIGH                 "</f>
        <v xml:space="preserve">BALLARD-SAYONH           CARLEIGH                 </v>
      </c>
      <c r="E16731" t="str">
        <f>"OKOLONA                   "</f>
        <v xml:space="preserve">OKOLONA                   </v>
      </c>
      <c r="F16731" t="str">
        <f t="shared" si="421"/>
        <v>MS</v>
      </c>
    </row>
    <row r="16732" spans="1:6" x14ac:dyDescent="0.25">
      <c r="A16732" t="str">
        <f>"200011460"</f>
        <v>200011460</v>
      </c>
      <c r="B16732" t="str">
        <f>"1427785849"</f>
        <v>1427785849</v>
      </c>
      <c r="C16732" t="str">
        <f>"363L00000X"</f>
        <v>363L00000X</v>
      </c>
      <c r="D16732" t="str">
        <f>"JOHNSON                  TRINITY                  "</f>
        <v xml:space="preserve">JOHNSON                  TRINITY                  </v>
      </c>
      <c r="E16732" t="str">
        <f>"ABERDEEN                  "</f>
        <v xml:space="preserve">ABERDEEN                  </v>
      </c>
      <c r="F16732" t="str">
        <f t="shared" si="421"/>
        <v>MS</v>
      </c>
    </row>
    <row r="16733" spans="1:6" x14ac:dyDescent="0.25">
      <c r="A16733" t="str">
        <f>"200011472"</f>
        <v>200011472</v>
      </c>
      <c r="B16733" t="str">
        <f>"1336451624"</f>
        <v>1336451624</v>
      </c>
      <c r="C16733" t="str">
        <f>"207Q00000X"</f>
        <v>207Q00000X</v>
      </c>
      <c r="D16733" t="str">
        <f>"VANDERLOO                JOHN                     "</f>
        <v xml:space="preserve">VANDERLOO                JOHN                     </v>
      </c>
      <c r="E16733" t="str">
        <f>"MADISON                   "</f>
        <v xml:space="preserve">MADISON                   </v>
      </c>
      <c r="F16733" t="str">
        <f t="shared" si="421"/>
        <v>MS</v>
      </c>
    </row>
    <row r="16734" spans="1:6" x14ac:dyDescent="0.25">
      <c r="A16734" t="str">
        <f>"200011475"</f>
        <v>200011475</v>
      </c>
      <c r="B16734" t="str">
        <f>"1104555093"</f>
        <v>1104555093</v>
      </c>
      <c r="C16734" t="str">
        <f>"122300000X"</f>
        <v>122300000X</v>
      </c>
      <c r="D16734" t="str">
        <f>"SEO                      JOANNA                   "</f>
        <v xml:space="preserve">SEO                      JOANNA                   </v>
      </c>
      <c r="E16734" t="str">
        <f>"JACKSON                   "</f>
        <v xml:space="preserve">JACKSON                   </v>
      </c>
      <c r="F16734" t="str">
        <f t="shared" si="421"/>
        <v>MS</v>
      </c>
    </row>
    <row r="16735" spans="1:6" x14ac:dyDescent="0.25">
      <c r="A16735" t="str">
        <f>"200011484"</f>
        <v>200011484</v>
      </c>
      <c r="B16735" t="str">
        <f>"1801371679"</f>
        <v>1801371679</v>
      </c>
      <c r="C16735" t="str">
        <f>"363L00000X"</f>
        <v>363L00000X</v>
      </c>
      <c r="D16735" t="str">
        <f>"SLOAN                    MARGARET                 "</f>
        <v xml:space="preserve">SLOAN                    MARGARET                 </v>
      </c>
      <c r="E16735" t="str">
        <f>"CALHOUN CITY              "</f>
        <v xml:space="preserve">CALHOUN CITY              </v>
      </c>
      <c r="F16735" t="str">
        <f t="shared" si="421"/>
        <v>MS</v>
      </c>
    </row>
    <row r="16736" spans="1:6" x14ac:dyDescent="0.25">
      <c r="A16736" t="str">
        <f>"200011494"</f>
        <v>200011494</v>
      </c>
      <c r="B16736" t="str">
        <f>"1679863633"</f>
        <v>1679863633</v>
      </c>
      <c r="C16736" t="str">
        <f>"207L00000X"</f>
        <v>207L00000X</v>
      </c>
      <c r="D16736" t="str">
        <f>"STOUT                    MICHAEL      T           "</f>
        <v xml:space="preserve">STOUT                    MICHAEL      T           </v>
      </c>
      <c r="E16736" t="str">
        <f>"JACKSON                   "</f>
        <v xml:space="preserve">JACKSON                   </v>
      </c>
      <c r="F16736" t="str">
        <f t="shared" si="421"/>
        <v>MS</v>
      </c>
    </row>
    <row r="16737" spans="1:6" x14ac:dyDescent="0.25">
      <c r="A16737" t="str">
        <f>"200011495"</f>
        <v>200011495</v>
      </c>
      <c r="B16737" t="str">
        <f>"1700403144"</f>
        <v>1700403144</v>
      </c>
      <c r="C16737" t="str">
        <f>"363L00000X"</f>
        <v>363L00000X</v>
      </c>
      <c r="D16737" t="str">
        <f>"SMITH                    TWILA                    "</f>
        <v xml:space="preserve">SMITH                    TWILA                    </v>
      </c>
      <c r="E16737" t="str">
        <f>"TUPELO                    "</f>
        <v xml:space="preserve">TUPELO                    </v>
      </c>
      <c r="F16737" t="str">
        <f t="shared" si="421"/>
        <v>MS</v>
      </c>
    </row>
    <row r="16738" spans="1:6" x14ac:dyDescent="0.25">
      <c r="A16738" t="str">
        <f>"200011496"</f>
        <v>200011496</v>
      </c>
      <c r="B16738" t="str">
        <f>"1356734081"</f>
        <v>1356734081</v>
      </c>
      <c r="C16738" t="str">
        <f>"363L00000X"</f>
        <v>363L00000X</v>
      </c>
      <c r="D16738" t="str">
        <f>"GASPAR                   MELISSA                  "</f>
        <v xml:space="preserve">GASPAR                   MELISSA                  </v>
      </c>
      <c r="E16738" t="str">
        <f>"BEAUMONT                  "</f>
        <v xml:space="preserve">BEAUMONT                  </v>
      </c>
      <c r="F16738" t="str">
        <f t="shared" si="421"/>
        <v>MS</v>
      </c>
    </row>
    <row r="16739" spans="1:6" x14ac:dyDescent="0.25">
      <c r="A16739" t="str">
        <f>"200011499"</f>
        <v>200011499</v>
      </c>
      <c r="B16739" t="str">
        <f>"1811069164"</f>
        <v>1811069164</v>
      </c>
      <c r="C16739" t="str">
        <f>"122300000X"</f>
        <v>122300000X</v>
      </c>
      <c r="D16739" t="str">
        <f>"MCCABE DENTAL CLINIC                              "</f>
        <v xml:space="preserve">MCCABE DENTAL CLINIC                              </v>
      </c>
      <c r="E16739" t="str">
        <f>"GULFPORT                  "</f>
        <v xml:space="preserve">GULFPORT                  </v>
      </c>
      <c r="F16739" t="str">
        <f t="shared" si="421"/>
        <v>MS</v>
      </c>
    </row>
    <row r="16740" spans="1:6" x14ac:dyDescent="0.25">
      <c r="A16740" t="str">
        <f>"200011509"</f>
        <v>200011509</v>
      </c>
      <c r="B16740" t="str">
        <f>"1790044147"</f>
        <v>1790044147</v>
      </c>
      <c r="C16740" t="str">
        <f>"2085R0202X"</f>
        <v>2085R0202X</v>
      </c>
      <c r="D16740" t="str">
        <f>"TAYLOR                   CASEY                    "</f>
        <v xml:space="preserve">TAYLOR                   CASEY                    </v>
      </c>
      <c r="E16740" t="str">
        <f>"COLUMBUS                  "</f>
        <v xml:space="preserve">COLUMBUS                  </v>
      </c>
      <c r="F16740" t="str">
        <f t="shared" si="421"/>
        <v>MS</v>
      </c>
    </row>
    <row r="16741" spans="1:6" x14ac:dyDescent="0.25">
      <c r="A16741" t="str">
        <f>"200011513"</f>
        <v>200011513</v>
      </c>
      <c r="B16741" t="str">
        <f>"1730155227"</f>
        <v>1730155227</v>
      </c>
      <c r="C16741" t="str">
        <f>"207Q00000X"</f>
        <v>207Q00000X</v>
      </c>
      <c r="D16741" t="str">
        <f>"FRILOUX                  BRIAN                    "</f>
        <v xml:space="preserve">FRILOUX                  BRIAN                    </v>
      </c>
      <c r="E16741" t="str">
        <f>"TUPELO                    "</f>
        <v xml:space="preserve">TUPELO                    </v>
      </c>
      <c r="F16741" t="str">
        <f t="shared" si="421"/>
        <v>MS</v>
      </c>
    </row>
    <row r="16742" spans="1:6" x14ac:dyDescent="0.25">
      <c r="A16742" t="str">
        <f>"200011516"</f>
        <v>200011516</v>
      </c>
      <c r="B16742" t="str">
        <f>"1417717604"</f>
        <v>1417717604</v>
      </c>
      <c r="C16742" t="str">
        <f>"363L00000X"</f>
        <v>363L00000X</v>
      </c>
      <c r="D16742" t="str">
        <f>"PARKS                    PRECIOUS                 "</f>
        <v xml:space="preserve">PARKS                    PRECIOUS                 </v>
      </c>
      <c r="E16742" t="str">
        <f>"FLOWOOD                   "</f>
        <v xml:space="preserve">FLOWOOD                   </v>
      </c>
      <c r="F16742" t="str">
        <f t="shared" si="421"/>
        <v>MS</v>
      </c>
    </row>
    <row r="16743" spans="1:6" x14ac:dyDescent="0.25">
      <c r="A16743" t="str">
        <f>"200011527"</f>
        <v>200011527</v>
      </c>
      <c r="B16743" t="str">
        <f>"1831841725"</f>
        <v>1831841725</v>
      </c>
      <c r="C16743" t="str">
        <f>"363L00000X"</f>
        <v>363L00000X</v>
      </c>
      <c r="D16743" t="str">
        <f>"BOGGS                    KRISTEN                  "</f>
        <v xml:space="preserve">BOGGS                    KRISTEN                  </v>
      </c>
      <c r="E16743" t="str">
        <f>"JACKSON                   "</f>
        <v xml:space="preserve">JACKSON                   </v>
      </c>
      <c r="F16743" t="str">
        <f t="shared" si="421"/>
        <v>MS</v>
      </c>
    </row>
    <row r="16744" spans="1:6" x14ac:dyDescent="0.25">
      <c r="A16744" t="str">
        <f>"200011538"</f>
        <v>200011538</v>
      </c>
      <c r="B16744" t="str">
        <f>"1386425106"</f>
        <v>1386425106</v>
      </c>
      <c r="C16744" t="str">
        <f>"363L00000X"</f>
        <v>363L00000X</v>
      </c>
      <c r="D16744" t="str">
        <f>"HURST                    LAUREN       E           "</f>
        <v xml:space="preserve">HURST                    LAUREN       E           </v>
      </c>
      <c r="E16744" t="str">
        <f>"COLUMBIA                  "</f>
        <v xml:space="preserve">COLUMBIA                  </v>
      </c>
      <c r="F16744" t="str">
        <f t="shared" si="421"/>
        <v>MS</v>
      </c>
    </row>
    <row r="16745" spans="1:6" x14ac:dyDescent="0.25">
      <c r="A16745" t="str">
        <f>"200011550"</f>
        <v>200011550</v>
      </c>
      <c r="B16745" t="str">
        <f>"1184752867"</f>
        <v>1184752867</v>
      </c>
      <c r="C16745" t="str">
        <f>"152W00000X"</f>
        <v>152W00000X</v>
      </c>
      <c r="D16745" t="str">
        <f>"JACOBS                   JANICE                   "</f>
        <v xml:space="preserve">JACOBS                   JANICE                   </v>
      </c>
      <c r="E16745" t="str">
        <f>"OCEAN SPRINGS             "</f>
        <v xml:space="preserve">OCEAN SPRINGS             </v>
      </c>
      <c r="F16745" t="str">
        <f t="shared" si="421"/>
        <v>MS</v>
      </c>
    </row>
    <row r="16746" spans="1:6" x14ac:dyDescent="0.25">
      <c r="A16746" t="str">
        <f>"200011564"</f>
        <v>200011564</v>
      </c>
      <c r="B16746" t="str">
        <f>"1063028512"</f>
        <v>1063028512</v>
      </c>
      <c r="C16746" t="str">
        <f>"363L00000X"</f>
        <v>363L00000X</v>
      </c>
      <c r="D16746" t="str">
        <f>"BECK                     BOBBI        J           "</f>
        <v xml:space="preserve">BECK                     BOBBI        J           </v>
      </c>
      <c r="E16746" t="str">
        <f>"GREENWOOD                 "</f>
        <v xml:space="preserve">GREENWOOD                 </v>
      </c>
      <c r="F16746" t="str">
        <f t="shared" si="421"/>
        <v>MS</v>
      </c>
    </row>
    <row r="16747" spans="1:6" x14ac:dyDescent="0.25">
      <c r="A16747" t="str">
        <f>"200011572"</f>
        <v>200011572</v>
      </c>
      <c r="B16747" t="str">
        <f>"1669412052"</f>
        <v>1669412052</v>
      </c>
      <c r="C16747" t="str">
        <f>"363L00000X"</f>
        <v>363L00000X</v>
      </c>
      <c r="D16747" t="str">
        <f>"HARTER                   MARY                     "</f>
        <v xml:space="preserve">HARTER                   MARY                     </v>
      </c>
      <c r="E16747" t="str">
        <f>"MOSS POINT                "</f>
        <v xml:space="preserve">MOSS POINT                </v>
      </c>
      <c r="F16747" t="str">
        <f t="shared" si="421"/>
        <v>MS</v>
      </c>
    </row>
    <row r="16748" spans="1:6" x14ac:dyDescent="0.25">
      <c r="A16748" t="str">
        <f>"200011574"</f>
        <v>200011574</v>
      </c>
      <c r="B16748" t="str">
        <f>"1922873843"</f>
        <v>1922873843</v>
      </c>
      <c r="C16748" t="str">
        <f>"363LF0000X"</f>
        <v>363LF0000X</v>
      </c>
      <c r="D16748" t="str">
        <f>"MILLS                    TANYANISHA               "</f>
        <v xml:space="preserve">MILLS                    TANYANISHA               </v>
      </c>
      <c r="E16748" t="str">
        <f>"WAVELAND                  "</f>
        <v xml:space="preserve">WAVELAND                  </v>
      </c>
      <c r="F16748" t="str">
        <f t="shared" si="421"/>
        <v>MS</v>
      </c>
    </row>
    <row r="16749" spans="1:6" x14ac:dyDescent="0.25">
      <c r="A16749" t="str">
        <f>"200011576"</f>
        <v>200011576</v>
      </c>
      <c r="B16749" t="str">
        <f>"1831672021"</f>
        <v>1831672021</v>
      </c>
      <c r="C16749" t="str">
        <f>"363L00000X"</f>
        <v>363L00000X</v>
      </c>
      <c r="D16749" t="str">
        <f>"JONES-ASHFORD            KASHANA                  "</f>
        <v xml:space="preserve">JONES-ASHFORD            KASHANA                  </v>
      </c>
      <c r="E16749" t="str">
        <f>"FLOWOOD                   "</f>
        <v xml:space="preserve">FLOWOOD                   </v>
      </c>
      <c r="F16749" t="str">
        <f t="shared" si="421"/>
        <v>MS</v>
      </c>
    </row>
    <row r="16750" spans="1:6" x14ac:dyDescent="0.25">
      <c r="A16750" t="str">
        <f>"200011582"</f>
        <v>200011582</v>
      </c>
      <c r="B16750" t="str">
        <f>"1851390876"</f>
        <v>1851390876</v>
      </c>
      <c r="C16750" t="str">
        <f>"367500000X"</f>
        <v>367500000X</v>
      </c>
      <c r="D16750" t="str">
        <f>"WARD                     TAMARA                   "</f>
        <v xml:space="preserve">WARD                     TAMARA                   </v>
      </c>
      <c r="E16750" t="str">
        <f>"KOSCIUSKO                 "</f>
        <v xml:space="preserve">KOSCIUSKO                 </v>
      </c>
      <c r="F16750" t="str">
        <f t="shared" si="421"/>
        <v>MS</v>
      </c>
    </row>
    <row r="16751" spans="1:6" x14ac:dyDescent="0.25">
      <c r="A16751" t="str">
        <f>"200011583"</f>
        <v>200011583</v>
      </c>
      <c r="B16751" t="str">
        <f>"1114622388"</f>
        <v>1114622388</v>
      </c>
      <c r="C16751" t="str">
        <f>"1223G0001X"</f>
        <v>1223G0001X</v>
      </c>
      <c r="D16751" t="str">
        <f>"JAMES                    ERICKA                   "</f>
        <v xml:space="preserve">JAMES                    ERICKA                   </v>
      </c>
      <c r="E16751" t="str">
        <f>"MERIDIAN                  "</f>
        <v xml:space="preserve">MERIDIAN                  </v>
      </c>
      <c r="F16751" t="str">
        <f t="shared" si="421"/>
        <v>MS</v>
      </c>
    </row>
    <row r="16752" spans="1:6" x14ac:dyDescent="0.25">
      <c r="A16752" t="str">
        <f>"200011585"</f>
        <v>200011585</v>
      </c>
      <c r="B16752" t="str">
        <f>"1598225450"</f>
        <v>1598225450</v>
      </c>
      <c r="C16752" t="str">
        <f>"207X00000X"</f>
        <v>207X00000X</v>
      </c>
      <c r="D16752" t="str">
        <f>"STEWARD                  WILLIAM                  "</f>
        <v xml:space="preserve">STEWARD                  WILLIAM                  </v>
      </c>
      <c r="E16752" t="str">
        <f>"JACKSON                   "</f>
        <v xml:space="preserve">JACKSON                   </v>
      </c>
      <c r="F16752" t="str">
        <f t="shared" si="421"/>
        <v>MS</v>
      </c>
    </row>
    <row r="16753" spans="1:6" x14ac:dyDescent="0.25">
      <c r="A16753" t="str">
        <f>"200011588"</f>
        <v>200011588</v>
      </c>
      <c r="B16753" t="str">
        <f>"1003370230"</f>
        <v>1003370230</v>
      </c>
      <c r="C16753" t="str">
        <f>"363A00000X"</f>
        <v>363A00000X</v>
      </c>
      <c r="D16753" t="str">
        <f>"COOK                     KIMBERLY     A           "</f>
        <v xml:space="preserve">COOK                     KIMBERLY     A           </v>
      </c>
      <c r="E16753" t="str">
        <f>"JACKSON                   "</f>
        <v xml:space="preserve">JACKSON                   </v>
      </c>
      <c r="F16753" t="str">
        <f t="shared" si="421"/>
        <v>MS</v>
      </c>
    </row>
    <row r="16754" spans="1:6" x14ac:dyDescent="0.25">
      <c r="A16754" t="str">
        <f>"200011595"</f>
        <v>200011595</v>
      </c>
      <c r="B16754" t="str">
        <f>"1598061921"</f>
        <v>1598061921</v>
      </c>
      <c r="C16754" t="str">
        <f>"363L00000X"</f>
        <v>363L00000X</v>
      </c>
      <c r="D16754" t="str">
        <f>"SEALS                    SHANNON                  "</f>
        <v xml:space="preserve">SEALS                    SHANNON                  </v>
      </c>
      <c r="E16754" t="str">
        <f>"FLOWOOD                   "</f>
        <v xml:space="preserve">FLOWOOD                   </v>
      </c>
      <c r="F16754" t="str">
        <f t="shared" si="421"/>
        <v>MS</v>
      </c>
    </row>
    <row r="16755" spans="1:6" x14ac:dyDescent="0.25">
      <c r="A16755" t="str">
        <f>"200011598"</f>
        <v>200011598</v>
      </c>
      <c r="B16755" t="str">
        <f>"1457107393"</f>
        <v>1457107393</v>
      </c>
      <c r="C16755" t="str">
        <f>"1223G0001X"</f>
        <v>1223G0001X</v>
      </c>
      <c r="D16755" t="str">
        <f>"HOWELL                   ANNE         B           "</f>
        <v xml:space="preserve">HOWELL                   ANNE         B           </v>
      </c>
      <c r="E16755" t="str">
        <f>"JACKSON                   "</f>
        <v xml:space="preserve">JACKSON                   </v>
      </c>
      <c r="F16755" t="str">
        <f t="shared" si="421"/>
        <v>MS</v>
      </c>
    </row>
    <row r="16756" spans="1:6" x14ac:dyDescent="0.25">
      <c r="A16756" t="str">
        <f>"200011600"</f>
        <v>200011600</v>
      </c>
      <c r="B16756" t="str">
        <f>"1396195848"</f>
        <v>1396195848</v>
      </c>
      <c r="C16756" t="str">
        <f>"363L00000X"</f>
        <v>363L00000X</v>
      </c>
      <c r="D16756" t="str">
        <f>"CLARDY                   KLAYE        C           "</f>
        <v xml:space="preserve">CLARDY                   KLAYE        C           </v>
      </c>
      <c r="E16756" t="str">
        <f>"FLOWOOD                   "</f>
        <v xml:space="preserve">FLOWOOD                   </v>
      </c>
      <c r="F16756" t="str">
        <f t="shared" si="421"/>
        <v>MS</v>
      </c>
    </row>
    <row r="16757" spans="1:6" x14ac:dyDescent="0.25">
      <c r="A16757" t="str">
        <f>"200011616"</f>
        <v>200011616</v>
      </c>
      <c r="B16757" t="str">
        <f>"1043097249"</f>
        <v>1043097249</v>
      </c>
      <c r="C16757" t="str">
        <f>"1223G0001X"</f>
        <v>1223G0001X</v>
      </c>
      <c r="D16757" t="str">
        <f>"RHODEN                   GUNNER                   "</f>
        <v xml:space="preserve">RHODEN                   GUNNER                   </v>
      </c>
      <c r="E16757" t="str">
        <f>"GULFPORT                  "</f>
        <v xml:space="preserve">GULFPORT                  </v>
      </c>
      <c r="F16757" t="str">
        <f t="shared" si="421"/>
        <v>MS</v>
      </c>
    </row>
    <row r="16758" spans="1:6" x14ac:dyDescent="0.25">
      <c r="A16758" t="str">
        <f>"200011621"</f>
        <v>200011621</v>
      </c>
      <c r="B16758" t="str">
        <f>"1053871913"</f>
        <v>1053871913</v>
      </c>
      <c r="C16758" t="str">
        <f>"207X00000X"</f>
        <v>207X00000X</v>
      </c>
      <c r="D16758" t="str">
        <f>"SMITHEY                  JACOB                    "</f>
        <v xml:space="preserve">SMITHEY                  JACOB                    </v>
      </c>
      <c r="E16758" t="str">
        <f>"JACKSON                   "</f>
        <v xml:space="preserve">JACKSON                   </v>
      </c>
      <c r="F16758" t="str">
        <f t="shared" si="421"/>
        <v>MS</v>
      </c>
    </row>
    <row r="16759" spans="1:6" x14ac:dyDescent="0.25">
      <c r="A16759" t="str">
        <f>"200011628"</f>
        <v>200011628</v>
      </c>
      <c r="B16759" t="str">
        <f>"1356735450"</f>
        <v>1356735450</v>
      </c>
      <c r="C16759" t="str">
        <f>"2086S0129X"</f>
        <v>2086S0129X</v>
      </c>
      <c r="D16759" t="str">
        <f>"PLANT                    JOSHUA                   "</f>
        <v xml:space="preserve">PLANT                    JOSHUA                   </v>
      </c>
      <c r="E16759" t="str">
        <f>"JACKSON                   "</f>
        <v xml:space="preserve">JACKSON                   </v>
      </c>
      <c r="F16759" t="str">
        <f t="shared" si="421"/>
        <v>MS</v>
      </c>
    </row>
    <row r="16760" spans="1:6" x14ac:dyDescent="0.25">
      <c r="A16760" t="str">
        <f>"200011644"</f>
        <v>200011644</v>
      </c>
      <c r="B16760" t="str">
        <f>"1982180386"</f>
        <v>1982180386</v>
      </c>
      <c r="C16760" t="str">
        <f>"363L00000X"</f>
        <v>363L00000X</v>
      </c>
      <c r="D16760" t="str">
        <f>"DAMITIO                  DANIEL                   "</f>
        <v xml:space="preserve">DAMITIO                  DANIEL                   </v>
      </c>
      <c r="E16760" t="str">
        <f>"PASS CHRISTIAN            "</f>
        <v xml:space="preserve">PASS CHRISTIAN            </v>
      </c>
      <c r="F16760" t="str">
        <f t="shared" si="421"/>
        <v>MS</v>
      </c>
    </row>
    <row r="16761" spans="1:6" x14ac:dyDescent="0.25">
      <c r="A16761" t="str">
        <f>"200011646"</f>
        <v>200011646</v>
      </c>
      <c r="B16761" t="str">
        <f>"1245891068"</f>
        <v>1245891068</v>
      </c>
      <c r="C16761" t="str">
        <f>"207X00000X"</f>
        <v>207X00000X</v>
      </c>
      <c r="D16761" t="str">
        <f>"BAILEY                   JAMES                    "</f>
        <v xml:space="preserve">BAILEY                   JAMES                    </v>
      </c>
      <c r="E16761" t="str">
        <f>"JACKSON                   "</f>
        <v xml:space="preserve">JACKSON                   </v>
      </c>
      <c r="F16761" t="str">
        <f t="shared" si="421"/>
        <v>MS</v>
      </c>
    </row>
    <row r="16762" spans="1:6" x14ac:dyDescent="0.25">
      <c r="A16762" t="str">
        <f>"200011653"</f>
        <v>200011653</v>
      </c>
      <c r="B16762" t="str">
        <f>"1366294175"</f>
        <v>1366294175</v>
      </c>
      <c r="C16762" t="str">
        <f>"363A00000X"</f>
        <v>363A00000X</v>
      </c>
      <c r="D16762" t="str">
        <f>"LOVERTICH                MARY                     "</f>
        <v xml:space="preserve">LOVERTICH                MARY                     </v>
      </c>
      <c r="E16762" t="str">
        <f>"JACKSON                   "</f>
        <v xml:space="preserve">JACKSON                   </v>
      </c>
      <c r="F16762" t="str">
        <f t="shared" si="421"/>
        <v>MS</v>
      </c>
    </row>
    <row r="16763" spans="1:6" x14ac:dyDescent="0.25">
      <c r="A16763" t="str">
        <f>"200011654"</f>
        <v>200011654</v>
      </c>
      <c r="B16763" t="str">
        <f>"1780449389"</f>
        <v>1780449389</v>
      </c>
      <c r="C16763" t="str">
        <f>"261QM1300X"</f>
        <v>261QM1300X</v>
      </c>
      <c r="D16763" t="str">
        <f>"MAG MEDICAL &amp; MEDISPA                             "</f>
        <v xml:space="preserve">MAG MEDICAL &amp; MEDISPA                             </v>
      </c>
      <c r="E16763" t="str">
        <f>"RIPLEY                    "</f>
        <v xml:space="preserve">RIPLEY                    </v>
      </c>
      <c r="F16763" t="str">
        <f t="shared" si="421"/>
        <v>MS</v>
      </c>
    </row>
    <row r="16764" spans="1:6" x14ac:dyDescent="0.25">
      <c r="A16764" t="str">
        <f>"200011656"</f>
        <v>200011656</v>
      </c>
      <c r="B16764" t="str">
        <f>"1245014042"</f>
        <v>1245014042</v>
      </c>
      <c r="C16764" t="str">
        <f>"363L00000X"</f>
        <v>363L00000X</v>
      </c>
      <c r="D16764" t="str">
        <f>"MACK                     GERRI                    "</f>
        <v xml:space="preserve">MACK                     GERRI                    </v>
      </c>
      <c r="E16764" t="str">
        <f>"WAVELAND                  "</f>
        <v xml:space="preserve">WAVELAND                  </v>
      </c>
      <c r="F16764" t="str">
        <f t="shared" si="421"/>
        <v>MS</v>
      </c>
    </row>
    <row r="16765" spans="1:6" x14ac:dyDescent="0.25">
      <c r="A16765" t="str">
        <f>"200011662"</f>
        <v>200011662</v>
      </c>
      <c r="B16765" t="str">
        <f>"1912771486"</f>
        <v>1912771486</v>
      </c>
      <c r="C16765" t="str">
        <f>"363L00000X"</f>
        <v>363L00000X</v>
      </c>
      <c r="D16765" t="str">
        <f>"GRISHAM                  DONNA        K           "</f>
        <v xml:space="preserve">GRISHAM                  DONNA        K           </v>
      </c>
      <c r="E16765" t="str">
        <f>"TUPELO                    "</f>
        <v xml:space="preserve">TUPELO                    </v>
      </c>
      <c r="F16765" t="str">
        <f t="shared" si="421"/>
        <v>MS</v>
      </c>
    </row>
    <row r="16766" spans="1:6" x14ac:dyDescent="0.25">
      <c r="A16766" t="str">
        <f>"200011665"</f>
        <v>200011665</v>
      </c>
      <c r="B16766" t="str">
        <f>"1326363086"</f>
        <v>1326363086</v>
      </c>
      <c r="C16766" t="str">
        <f>"207W00000X"</f>
        <v>207W00000X</v>
      </c>
      <c r="D16766" t="str">
        <f>"FINGERHUT                DAVID        E           "</f>
        <v xml:space="preserve">FINGERHUT                DAVID        E           </v>
      </c>
      <c r="E16766" t="str">
        <f>"OXFORD                    "</f>
        <v xml:space="preserve">OXFORD                    </v>
      </c>
      <c r="F16766" t="str">
        <f t="shared" ref="F16766:F16829" si="422">"MS"</f>
        <v>MS</v>
      </c>
    </row>
    <row r="16767" spans="1:6" x14ac:dyDescent="0.25">
      <c r="A16767" t="str">
        <f>"200011669"</f>
        <v>200011669</v>
      </c>
      <c r="B16767" t="str">
        <f>"1295582401"</f>
        <v>1295582401</v>
      </c>
      <c r="C16767" t="str">
        <f>"363LF0000X"</f>
        <v>363LF0000X</v>
      </c>
      <c r="D16767" t="str">
        <f>"BENNETT                  TINA                     "</f>
        <v xml:space="preserve">BENNETT                  TINA                     </v>
      </c>
      <c r="E16767" t="str">
        <f>"JACKSON                   "</f>
        <v xml:space="preserve">JACKSON                   </v>
      </c>
      <c r="F16767" t="str">
        <f t="shared" si="422"/>
        <v>MS</v>
      </c>
    </row>
    <row r="16768" spans="1:6" x14ac:dyDescent="0.25">
      <c r="A16768" t="str">
        <f>"200011672"</f>
        <v>200011672</v>
      </c>
      <c r="B16768" t="str">
        <f>"1518455476"</f>
        <v>1518455476</v>
      </c>
      <c r="C16768" t="str">
        <f>"2085R0202X"</f>
        <v>2085R0202X</v>
      </c>
      <c r="D16768" t="str">
        <f>"BLAIR                    EVAN                     "</f>
        <v xml:space="preserve">BLAIR                    EVAN                     </v>
      </c>
      <c r="E16768" t="str">
        <f>"CALHOUN CITY              "</f>
        <v xml:space="preserve">CALHOUN CITY              </v>
      </c>
      <c r="F16768" t="str">
        <f t="shared" si="422"/>
        <v>MS</v>
      </c>
    </row>
    <row r="16769" spans="1:6" x14ac:dyDescent="0.25">
      <c r="A16769" t="str">
        <f>"200011678"</f>
        <v>200011678</v>
      </c>
      <c r="B16769" t="str">
        <f>"1346080645"</f>
        <v>1346080645</v>
      </c>
      <c r="C16769" t="str">
        <f>"363L00000X"</f>
        <v>363L00000X</v>
      </c>
      <c r="D16769" t="str">
        <f>"TAYLOR                   SHEILA                   "</f>
        <v xml:space="preserve">TAYLOR                   SHEILA                   </v>
      </c>
      <c r="E16769" t="str">
        <f>"OLIVE BRANCH              "</f>
        <v xml:space="preserve">OLIVE BRANCH              </v>
      </c>
      <c r="F16769" t="str">
        <f t="shared" si="422"/>
        <v>MS</v>
      </c>
    </row>
    <row r="16770" spans="1:6" x14ac:dyDescent="0.25">
      <c r="A16770" t="str">
        <f>"200011679"</f>
        <v>200011679</v>
      </c>
      <c r="B16770" t="str">
        <f>"1255893954"</f>
        <v>1255893954</v>
      </c>
      <c r="C16770" t="str">
        <f>"207X00000X"</f>
        <v>207X00000X</v>
      </c>
      <c r="D16770" t="str">
        <f>"NORTON                   COLTON                   "</f>
        <v xml:space="preserve">NORTON                   COLTON                   </v>
      </c>
      <c r="E16770" t="str">
        <f>"JACKSON                   "</f>
        <v xml:space="preserve">JACKSON                   </v>
      </c>
      <c r="F16770" t="str">
        <f t="shared" si="422"/>
        <v>MS</v>
      </c>
    </row>
    <row r="16771" spans="1:6" x14ac:dyDescent="0.25">
      <c r="A16771" t="str">
        <f>"200011683"</f>
        <v>200011683</v>
      </c>
      <c r="B16771" t="str">
        <f>"1851599211"</f>
        <v>1851599211</v>
      </c>
      <c r="C16771" t="str">
        <f>"207P00000X"</f>
        <v>207P00000X</v>
      </c>
      <c r="D16771" t="str">
        <f>"GRAHAM                   JEREMY                   "</f>
        <v xml:space="preserve">GRAHAM                   JEREMY                   </v>
      </c>
      <c r="E16771" t="str">
        <f>"CORINTH                   "</f>
        <v xml:space="preserve">CORINTH                   </v>
      </c>
      <c r="F16771" t="str">
        <f t="shared" si="422"/>
        <v>MS</v>
      </c>
    </row>
    <row r="16772" spans="1:6" x14ac:dyDescent="0.25">
      <c r="A16772" t="str">
        <f>"200011705"</f>
        <v>200011705</v>
      </c>
      <c r="B16772" t="str">
        <f>"1992575344"</f>
        <v>1992575344</v>
      </c>
      <c r="C16772" t="str">
        <f>"363L00000X"</f>
        <v>363L00000X</v>
      </c>
      <c r="D16772" t="str">
        <f>"THOMAS                   ALICE                    "</f>
        <v xml:space="preserve">THOMAS                   ALICE                    </v>
      </c>
      <c r="E16772" t="str">
        <f>"HOLLY SPRINGS             "</f>
        <v xml:space="preserve">HOLLY SPRINGS             </v>
      </c>
      <c r="F16772" t="str">
        <f t="shared" si="422"/>
        <v>MS</v>
      </c>
    </row>
    <row r="16773" spans="1:6" x14ac:dyDescent="0.25">
      <c r="A16773" t="str">
        <f>"200011714"</f>
        <v>200011714</v>
      </c>
      <c r="B16773" t="str">
        <f>"1982913729"</f>
        <v>1982913729</v>
      </c>
      <c r="C16773" t="str">
        <f>"363L00000X"</f>
        <v>363L00000X</v>
      </c>
      <c r="D16773" t="str">
        <f>"GARNER                   JESSICA      A           "</f>
        <v xml:space="preserve">GARNER                   JESSICA      A           </v>
      </c>
      <c r="E16773" t="str">
        <f>"RALEIGH                   "</f>
        <v xml:space="preserve">RALEIGH                   </v>
      </c>
      <c r="F16773" t="str">
        <f t="shared" si="422"/>
        <v>MS</v>
      </c>
    </row>
    <row r="16774" spans="1:6" x14ac:dyDescent="0.25">
      <c r="A16774" t="str">
        <f>"200011716"</f>
        <v>200011716</v>
      </c>
      <c r="B16774" t="str">
        <f>"1881913143"</f>
        <v>1881913143</v>
      </c>
      <c r="C16774" t="str">
        <f>"1223D0004X"</f>
        <v>1223D0004X</v>
      </c>
      <c r="D16774" t="str">
        <f>"CROFT                    KEVIN        M           "</f>
        <v xml:space="preserve">CROFT                    KEVIN        M           </v>
      </c>
      <c r="E16774" t="str">
        <f>"MERIDIAN                  "</f>
        <v xml:space="preserve">MERIDIAN                  </v>
      </c>
      <c r="F16774" t="str">
        <f t="shared" si="422"/>
        <v>MS</v>
      </c>
    </row>
    <row r="16775" spans="1:6" x14ac:dyDescent="0.25">
      <c r="A16775" t="str">
        <f>"200011720"</f>
        <v>200011720</v>
      </c>
      <c r="B16775" t="str">
        <f>"1962780023"</f>
        <v>1962780023</v>
      </c>
      <c r="C16775" t="str">
        <f>"207WX0107X"</f>
        <v>207WX0107X</v>
      </c>
      <c r="D16775" t="str">
        <f>"TIEU                     BRIAN        C           "</f>
        <v xml:space="preserve">TIEU                     BRIAN        C           </v>
      </c>
      <c r="E16775" t="str">
        <f>"RIDGELAND                 "</f>
        <v xml:space="preserve">RIDGELAND                 </v>
      </c>
      <c r="F16775" t="str">
        <f t="shared" si="422"/>
        <v>MS</v>
      </c>
    </row>
    <row r="16776" spans="1:6" x14ac:dyDescent="0.25">
      <c r="A16776" t="str">
        <f>"200011721"</f>
        <v>200011721</v>
      </c>
      <c r="B16776" t="str">
        <f>"1962780023"</f>
        <v>1962780023</v>
      </c>
      <c r="C16776" t="str">
        <f>"207W00000X"</f>
        <v>207W00000X</v>
      </c>
      <c r="D16776" t="str">
        <f>"TIEU                     BRIAN        C           "</f>
        <v xml:space="preserve">TIEU                     BRIAN        C           </v>
      </c>
      <c r="E16776" t="str">
        <f>"RIDGELAND                 "</f>
        <v xml:space="preserve">RIDGELAND                 </v>
      </c>
      <c r="F16776" t="str">
        <f t="shared" si="422"/>
        <v>MS</v>
      </c>
    </row>
    <row r="16777" spans="1:6" x14ac:dyDescent="0.25">
      <c r="A16777" t="str">
        <f>"200011726"</f>
        <v>200011726</v>
      </c>
      <c r="B16777" t="str">
        <f>"1821431057"</f>
        <v>1821431057</v>
      </c>
      <c r="C16777" t="str">
        <f>"207Q00000X"</f>
        <v>207Q00000X</v>
      </c>
      <c r="D16777" t="str">
        <f>"BROWNING                 ELIZABETH                "</f>
        <v xml:space="preserve">BROWNING                 ELIZABETH                </v>
      </c>
      <c r="E16777" t="str">
        <f>"SOUTHAVEN                 "</f>
        <v xml:space="preserve">SOUTHAVEN                 </v>
      </c>
      <c r="F16777" t="str">
        <f t="shared" si="422"/>
        <v>MS</v>
      </c>
    </row>
    <row r="16778" spans="1:6" x14ac:dyDescent="0.25">
      <c r="A16778" t="str">
        <f>"200011727"</f>
        <v>200011727</v>
      </c>
      <c r="B16778" t="str">
        <f>"1437119567"</f>
        <v>1437119567</v>
      </c>
      <c r="C16778" t="str">
        <f>"207R00000X"</f>
        <v>207R00000X</v>
      </c>
      <c r="D16778" t="str">
        <f>"HAMILTON                 WALTER                   "</f>
        <v xml:space="preserve">HAMILTON                 WALTER                   </v>
      </c>
      <c r="E16778" t="str">
        <f>"LUCEDALE                  "</f>
        <v xml:space="preserve">LUCEDALE                  </v>
      </c>
      <c r="F16778" t="str">
        <f t="shared" si="422"/>
        <v>MS</v>
      </c>
    </row>
    <row r="16779" spans="1:6" x14ac:dyDescent="0.25">
      <c r="A16779" t="str">
        <f>"200011732"</f>
        <v>200011732</v>
      </c>
      <c r="B16779" t="str">
        <f>"1003322900"</f>
        <v>1003322900</v>
      </c>
      <c r="C16779" t="str">
        <f>"363LF0000X"</f>
        <v>363LF0000X</v>
      </c>
      <c r="D16779" t="str">
        <f>"HUHN                     LEONNA                   "</f>
        <v xml:space="preserve">HUHN                     LEONNA                   </v>
      </c>
      <c r="E16779" t="str">
        <f>"LIBERTY                   "</f>
        <v xml:space="preserve">LIBERTY                   </v>
      </c>
      <c r="F16779" t="str">
        <f t="shared" si="422"/>
        <v>MS</v>
      </c>
    </row>
    <row r="16780" spans="1:6" x14ac:dyDescent="0.25">
      <c r="A16780" t="str">
        <f>"200011739"</f>
        <v>200011739</v>
      </c>
      <c r="B16780" t="str">
        <f>"1891541520"</f>
        <v>1891541520</v>
      </c>
      <c r="C16780" t="str">
        <f>"1223X0400X"</f>
        <v>1223X0400X</v>
      </c>
      <c r="D16780" t="str">
        <f>"CONTRERAS SALAS          MARY                     "</f>
        <v xml:space="preserve">CONTRERAS SALAS          MARY                     </v>
      </c>
      <c r="E16780" t="str">
        <f>"TUPELO                    "</f>
        <v xml:space="preserve">TUPELO                    </v>
      </c>
      <c r="F16780" t="str">
        <f t="shared" si="422"/>
        <v>MS</v>
      </c>
    </row>
    <row r="16781" spans="1:6" x14ac:dyDescent="0.25">
      <c r="A16781" t="str">
        <f>"200011741"</f>
        <v>200011741</v>
      </c>
      <c r="B16781" t="str">
        <f>"1487039871"</f>
        <v>1487039871</v>
      </c>
      <c r="C16781" t="str">
        <f>"122300000X"</f>
        <v>122300000X</v>
      </c>
      <c r="D16781" t="str">
        <f>"STANFORD                 STEPHEN      T           "</f>
        <v xml:space="preserve">STANFORD                 STEPHEN      T           </v>
      </c>
      <c r="E16781" t="str">
        <f>"RIPLEY                    "</f>
        <v xml:space="preserve">RIPLEY                    </v>
      </c>
      <c r="F16781" t="str">
        <f t="shared" si="422"/>
        <v>MS</v>
      </c>
    </row>
    <row r="16782" spans="1:6" x14ac:dyDescent="0.25">
      <c r="A16782" t="str">
        <f>"200011745"</f>
        <v>200011745</v>
      </c>
      <c r="B16782" t="str">
        <f>"1114709110"</f>
        <v>1114709110</v>
      </c>
      <c r="C16782" t="str">
        <f>"363L00000X"</f>
        <v>363L00000X</v>
      </c>
      <c r="D16782" t="str">
        <f>"THORNHILL                ABIGAIL                  "</f>
        <v xml:space="preserve">THORNHILL                ABIGAIL                  </v>
      </c>
      <c r="E16782" t="str">
        <f>"STARKVILLE                "</f>
        <v xml:space="preserve">STARKVILLE                </v>
      </c>
      <c r="F16782" t="str">
        <f t="shared" si="422"/>
        <v>MS</v>
      </c>
    </row>
    <row r="16783" spans="1:6" x14ac:dyDescent="0.25">
      <c r="A16783" t="str">
        <f>"200011747"</f>
        <v>200011747</v>
      </c>
      <c r="B16783" t="str">
        <f>"1598521213"</f>
        <v>1598521213</v>
      </c>
      <c r="C16783" t="str">
        <f>"363L00000X"</f>
        <v>363L00000X</v>
      </c>
      <c r="D16783" t="str">
        <f>"LOFTON VARNADO           ANGELA                   "</f>
        <v xml:space="preserve">LOFTON VARNADO           ANGELA                   </v>
      </c>
      <c r="E16783" t="str">
        <f>"COLUMBIA                  "</f>
        <v xml:space="preserve">COLUMBIA                  </v>
      </c>
      <c r="F16783" t="str">
        <f t="shared" si="422"/>
        <v>MS</v>
      </c>
    </row>
    <row r="16784" spans="1:6" x14ac:dyDescent="0.25">
      <c r="A16784" t="str">
        <f>"200011748"</f>
        <v>200011748</v>
      </c>
      <c r="B16784" t="str">
        <f>"1730502733"</f>
        <v>1730502733</v>
      </c>
      <c r="C16784" t="str">
        <f>"363L00000X"</f>
        <v>363L00000X</v>
      </c>
      <c r="D16784" t="str">
        <f>"LOGAN                    KELLEY                   "</f>
        <v xml:space="preserve">LOGAN                    KELLEY                   </v>
      </c>
      <c r="E16784" t="str">
        <f>"WEST POINT                "</f>
        <v xml:space="preserve">WEST POINT                </v>
      </c>
      <c r="F16784" t="str">
        <f t="shared" si="422"/>
        <v>MS</v>
      </c>
    </row>
    <row r="16785" spans="1:6" x14ac:dyDescent="0.25">
      <c r="A16785" t="str">
        <f>"200011754"</f>
        <v>200011754</v>
      </c>
      <c r="B16785" t="str">
        <f>"1093557167"</f>
        <v>1093557167</v>
      </c>
      <c r="C16785" t="str">
        <f>"1223G0001X"</f>
        <v>1223G0001X</v>
      </c>
      <c r="D16785" t="str">
        <f>"DUNAWAY                  BRANTLEY                 "</f>
        <v xml:space="preserve">DUNAWAY                  BRANTLEY                 </v>
      </c>
      <c r="E16785" t="str">
        <f>"LIBERTY                   "</f>
        <v xml:space="preserve">LIBERTY                   </v>
      </c>
      <c r="F16785" t="str">
        <f t="shared" si="422"/>
        <v>MS</v>
      </c>
    </row>
    <row r="16786" spans="1:6" x14ac:dyDescent="0.25">
      <c r="A16786" t="str">
        <f>"200011757"</f>
        <v>200011757</v>
      </c>
      <c r="B16786" t="str">
        <f>"1972342939"</f>
        <v>1972342939</v>
      </c>
      <c r="C16786" t="str">
        <f>"122300000X"</f>
        <v>122300000X</v>
      </c>
      <c r="D16786" t="str">
        <f>"TADROS                   AMIR                     "</f>
        <v xml:space="preserve">TADROS                   AMIR                     </v>
      </c>
      <c r="E16786" t="str">
        <f>"SOUTHAVEN                 "</f>
        <v xml:space="preserve">SOUTHAVEN                 </v>
      </c>
      <c r="F16786" t="str">
        <f t="shared" si="422"/>
        <v>MS</v>
      </c>
    </row>
    <row r="16787" spans="1:6" x14ac:dyDescent="0.25">
      <c r="A16787" t="str">
        <f>"200011763"</f>
        <v>200011763</v>
      </c>
      <c r="B16787" t="str">
        <f>"1710551908"</f>
        <v>1710551908</v>
      </c>
      <c r="C16787" t="str">
        <f>"207Q00000X"</f>
        <v>207Q00000X</v>
      </c>
      <c r="D16787" t="str">
        <f>"HUFF                     ALEXANDER                "</f>
        <v xml:space="preserve">HUFF                     ALEXANDER                </v>
      </c>
      <c r="E16787" t="str">
        <f>"POPLARVILLE               "</f>
        <v xml:space="preserve">POPLARVILLE               </v>
      </c>
      <c r="F16787" t="str">
        <f t="shared" si="422"/>
        <v>MS</v>
      </c>
    </row>
    <row r="16788" spans="1:6" x14ac:dyDescent="0.25">
      <c r="A16788" t="str">
        <f>"200011766"</f>
        <v>200011766</v>
      </c>
      <c r="B16788" t="str">
        <f>"1316797509"</f>
        <v>1316797509</v>
      </c>
      <c r="C16788" t="str">
        <f>"207Q00000X"</f>
        <v>207Q00000X</v>
      </c>
      <c r="D16788" t="str">
        <f>"THOMPSON                 LANDON       R           "</f>
        <v xml:space="preserve">THOMPSON                 LANDON       R           </v>
      </c>
      <c r="E16788" t="str">
        <f>"HATTIESBURG               "</f>
        <v xml:space="preserve">HATTIESBURG               </v>
      </c>
      <c r="F16788" t="str">
        <f t="shared" si="422"/>
        <v>MS</v>
      </c>
    </row>
    <row r="16789" spans="1:6" x14ac:dyDescent="0.25">
      <c r="A16789" t="str">
        <f>"200011774"</f>
        <v>200011774</v>
      </c>
      <c r="B16789" t="str">
        <f>"1750901450"</f>
        <v>1750901450</v>
      </c>
      <c r="C16789" t="str">
        <f>"207R00000X"</f>
        <v>207R00000X</v>
      </c>
      <c r="D16789" t="str">
        <f>"ROSS                     WILLIAM                  "</f>
        <v xml:space="preserve">ROSS                     WILLIAM                  </v>
      </c>
      <c r="E16789" t="str">
        <f>"JACKSON                   "</f>
        <v xml:space="preserve">JACKSON                   </v>
      </c>
      <c r="F16789" t="str">
        <f t="shared" si="422"/>
        <v>MS</v>
      </c>
    </row>
    <row r="16790" spans="1:6" x14ac:dyDescent="0.25">
      <c r="A16790" t="str">
        <f>"200011785"</f>
        <v>200011785</v>
      </c>
      <c r="B16790" t="str">
        <f>"1548020530"</f>
        <v>1548020530</v>
      </c>
      <c r="C16790" t="str">
        <f>"207Q00000X"</f>
        <v>207Q00000X</v>
      </c>
      <c r="D16790" t="str">
        <f>"RYALS                    LAURAL                   "</f>
        <v xml:space="preserve">RYALS                    LAURAL                   </v>
      </c>
      <c r="E16790" t="str">
        <f>"HATTIESBURG               "</f>
        <v xml:space="preserve">HATTIESBURG               </v>
      </c>
      <c r="F16790" t="str">
        <f t="shared" si="422"/>
        <v>MS</v>
      </c>
    </row>
    <row r="16791" spans="1:6" x14ac:dyDescent="0.25">
      <c r="A16791" t="str">
        <f>"200011786"</f>
        <v>200011786</v>
      </c>
      <c r="B16791" t="str">
        <f>"1124078944"</f>
        <v>1124078944</v>
      </c>
      <c r="C16791" t="str">
        <f>"207P00000X"</f>
        <v>207P00000X</v>
      </c>
      <c r="D16791" t="str">
        <f>"MEACHAM III              ROBERT       R           "</f>
        <v xml:space="preserve">MEACHAM III              ROBERT       R           </v>
      </c>
      <c r="E16791" t="str">
        <f>"SOUTHAVEN                 "</f>
        <v xml:space="preserve">SOUTHAVEN                 </v>
      </c>
      <c r="F16791" t="str">
        <f t="shared" si="422"/>
        <v>MS</v>
      </c>
    </row>
    <row r="16792" spans="1:6" x14ac:dyDescent="0.25">
      <c r="A16792" t="str">
        <f>"200011788"</f>
        <v>200011788</v>
      </c>
      <c r="B16792" t="str">
        <f>"1992121834"</f>
        <v>1992121834</v>
      </c>
      <c r="C16792" t="str">
        <f>"363A00000X"</f>
        <v>363A00000X</v>
      </c>
      <c r="D16792" t="str">
        <f>"BATES                    RACHEL                   "</f>
        <v xml:space="preserve">BATES                    RACHEL                   </v>
      </c>
      <c r="E16792" t="str">
        <f>"SOUTHAVEN                 "</f>
        <v xml:space="preserve">SOUTHAVEN                 </v>
      </c>
      <c r="F16792" t="str">
        <f t="shared" si="422"/>
        <v>MS</v>
      </c>
    </row>
    <row r="16793" spans="1:6" x14ac:dyDescent="0.25">
      <c r="A16793" t="str">
        <f>"200011792"</f>
        <v>200011792</v>
      </c>
      <c r="B16793" t="str">
        <f>"1942050299"</f>
        <v>1942050299</v>
      </c>
      <c r="C16793" t="str">
        <f>"363L00000X"</f>
        <v>363L00000X</v>
      </c>
      <c r="D16793" t="str">
        <f>"HAMMITTE                 CASHY                    "</f>
        <v xml:space="preserve">HAMMITTE                 CASHY                    </v>
      </c>
      <c r="E16793" t="str">
        <f>"HAZLEHURST                "</f>
        <v xml:space="preserve">HAZLEHURST                </v>
      </c>
      <c r="F16793" t="str">
        <f t="shared" si="422"/>
        <v>MS</v>
      </c>
    </row>
    <row r="16794" spans="1:6" x14ac:dyDescent="0.25">
      <c r="A16794" t="str">
        <f>"200011797"</f>
        <v>200011797</v>
      </c>
      <c r="B16794" t="str">
        <f>"1033382684"</f>
        <v>1033382684</v>
      </c>
      <c r="C16794" t="str">
        <f>"363LF0000X"</f>
        <v>363LF0000X</v>
      </c>
      <c r="D16794" t="str">
        <f>"FURNISS-ROBERTS          JULIA                    "</f>
        <v xml:space="preserve">FURNISS-ROBERTS          JULIA                    </v>
      </c>
      <c r="E16794" t="str">
        <f>"JACKSON                   "</f>
        <v xml:space="preserve">JACKSON                   </v>
      </c>
      <c r="F16794" t="str">
        <f t="shared" si="422"/>
        <v>MS</v>
      </c>
    </row>
    <row r="16795" spans="1:6" x14ac:dyDescent="0.25">
      <c r="A16795" t="str">
        <f>"200011803"</f>
        <v>200011803</v>
      </c>
      <c r="B16795" t="str">
        <f>"1114132255"</f>
        <v>1114132255</v>
      </c>
      <c r="C16795" t="str">
        <f>"207P00000X"</f>
        <v>207P00000X</v>
      </c>
      <c r="D16795" t="str">
        <f>"PATHAN                   AYAZ                     "</f>
        <v xml:space="preserve">PATHAN                   AYAZ                     </v>
      </c>
      <c r="E16795" t="str">
        <f>"OLIVE BRANCH              "</f>
        <v xml:space="preserve">OLIVE BRANCH              </v>
      </c>
      <c r="F16795" t="str">
        <f t="shared" si="422"/>
        <v>MS</v>
      </c>
    </row>
    <row r="16796" spans="1:6" x14ac:dyDescent="0.25">
      <c r="A16796" t="str">
        <f>"200011810"</f>
        <v>200011810</v>
      </c>
      <c r="B16796" t="str">
        <f>"1932209061"</f>
        <v>1932209061</v>
      </c>
      <c r="C16796" t="str">
        <f>"207Q00000X"</f>
        <v>207Q00000X</v>
      </c>
      <c r="D16796" t="str">
        <f>"GLASSON                  CYNTHIA                  "</f>
        <v xml:space="preserve">GLASSON                  CYNTHIA                  </v>
      </c>
      <c r="E16796" t="str">
        <f>"MCCOMB                    "</f>
        <v xml:space="preserve">MCCOMB                    </v>
      </c>
      <c r="F16796" t="str">
        <f t="shared" si="422"/>
        <v>MS</v>
      </c>
    </row>
    <row r="16797" spans="1:6" x14ac:dyDescent="0.25">
      <c r="A16797" t="str">
        <f>"200011818"</f>
        <v>200011818</v>
      </c>
      <c r="B16797" t="str">
        <f>"1114466232"</f>
        <v>1114466232</v>
      </c>
      <c r="C16797" t="str">
        <f>"207R00000X"</f>
        <v>207R00000X</v>
      </c>
      <c r="D16797" t="str">
        <f>"LOVE-GROVE               NICHOLE                  "</f>
        <v xml:space="preserve">LOVE-GROVE               NICHOLE                  </v>
      </c>
      <c r="E16797" t="str">
        <f>"GULFPORT                  "</f>
        <v xml:space="preserve">GULFPORT                  </v>
      </c>
      <c r="F16797" t="str">
        <f t="shared" si="422"/>
        <v>MS</v>
      </c>
    </row>
    <row r="16798" spans="1:6" x14ac:dyDescent="0.25">
      <c r="A16798" t="str">
        <f>"200011819"</f>
        <v>200011819</v>
      </c>
      <c r="B16798" t="str">
        <f>"1487148243"</f>
        <v>1487148243</v>
      </c>
      <c r="C16798" t="str">
        <f>"207W00000X"</f>
        <v>207W00000X</v>
      </c>
      <c r="D16798" t="str">
        <f>"RICHARDSON               COLE         M           "</f>
        <v xml:space="preserve">RICHARDSON               COLE         M           </v>
      </c>
      <c r="E16798" t="str">
        <f>"HATTIESBURG               "</f>
        <v xml:space="preserve">HATTIESBURG               </v>
      </c>
      <c r="F16798" t="str">
        <f t="shared" si="422"/>
        <v>MS</v>
      </c>
    </row>
    <row r="16799" spans="1:6" x14ac:dyDescent="0.25">
      <c r="A16799" t="str">
        <f>"200011826"</f>
        <v>200011826</v>
      </c>
      <c r="B16799" t="str">
        <f>"1295958072"</f>
        <v>1295958072</v>
      </c>
      <c r="C16799" t="str">
        <f>"208000000X"</f>
        <v>208000000X</v>
      </c>
      <c r="D16799" t="str">
        <f>"LANKFORD                 ANN          C           "</f>
        <v xml:space="preserve">LANKFORD                 ANN          C           </v>
      </c>
      <c r="E16799" t="str">
        <f>"SOUTHAVEN                 "</f>
        <v xml:space="preserve">SOUTHAVEN                 </v>
      </c>
      <c r="F16799" t="str">
        <f t="shared" si="422"/>
        <v>MS</v>
      </c>
    </row>
    <row r="16800" spans="1:6" x14ac:dyDescent="0.25">
      <c r="A16800" t="str">
        <f>"200011831"</f>
        <v>200011831</v>
      </c>
      <c r="B16800" t="str">
        <f>"1003680729"</f>
        <v>1003680729</v>
      </c>
      <c r="C16800" t="str">
        <f>"261QR1300X"</f>
        <v>261QR1300X</v>
      </c>
      <c r="D16800" t="str">
        <f>"KING'S DAUGHTERS PRIMARY CARE CLINIC              "</f>
        <v xml:space="preserve">KING'S DAUGHTERS PRIMARY CARE CLINIC              </v>
      </c>
      <c r="E16800" t="str">
        <f>"BROOKHAVEN                "</f>
        <v xml:space="preserve">BROOKHAVEN                </v>
      </c>
      <c r="F16800" t="str">
        <f t="shared" si="422"/>
        <v>MS</v>
      </c>
    </row>
    <row r="16801" spans="1:6" x14ac:dyDescent="0.25">
      <c r="A16801" t="str">
        <f>"200011832"</f>
        <v>200011832</v>
      </c>
      <c r="B16801" t="str">
        <f>"1952161804"</f>
        <v>1952161804</v>
      </c>
      <c r="C16801" t="str">
        <f>"207Q00000X"</f>
        <v>207Q00000X</v>
      </c>
      <c r="D16801" t="str">
        <f>"SANDOVAL                 ANDREW       P           "</f>
        <v xml:space="preserve">SANDOVAL                 ANDREW       P           </v>
      </c>
      <c r="E16801" t="str">
        <f>"HATTIESBURG               "</f>
        <v xml:space="preserve">HATTIESBURG               </v>
      </c>
      <c r="F16801" t="str">
        <f t="shared" si="422"/>
        <v>MS</v>
      </c>
    </row>
    <row r="16802" spans="1:6" x14ac:dyDescent="0.25">
      <c r="A16802" t="str">
        <f>"200011833"</f>
        <v>200011833</v>
      </c>
      <c r="B16802" t="str">
        <f>"1831959253"</f>
        <v>1831959253</v>
      </c>
      <c r="C16802" t="str">
        <f>"207Q00000X"</f>
        <v>207Q00000X</v>
      </c>
      <c r="D16802" t="str">
        <f>"PRIDE                    JAMES                    "</f>
        <v xml:space="preserve">PRIDE                    JAMES                    </v>
      </c>
      <c r="E16802" t="str">
        <f>"HATTIESBURG               "</f>
        <v xml:space="preserve">HATTIESBURG               </v>
      </c>
      <c r="F16802" t="str">
        <f t="shared" si="422"/>
        <v>MS</v>
      </c>
    </row>
    <row r="16803" spans="1:6" x14ac:dyDescent="0.25">
      <c r="A16803" t="str">
        <f>"200011844"</f>
        <v>200011844</v>
      </c>
      <c r="B16803" t="str">
        <f>"1750145165"</f>
        <v>1750145165</v>
      </c>
      <c r="C16803" t="str">
        <f>"363LF0000X"</f>
        <v>363LF0000X</v>
      </c>
      <c r="D16803" t="str">
        <f>"COLLINS                  BONNEY                   "</f>
        <v xml:space="preserve">COLLINS                  BONNEY                   </v>
      </c>
      <c r="E16803" t="str">
        <f>"JACKSON                   "</f>
        <v xml:space="preserve">JACKSON                   </v>
      </c>
      <c r="F16803" t="str">
        <f t="shared" si="422"/>
        <v>MS</v>
      </c>
    </row>
    <row r="16804" spans="1:6" x14ac:dyDescent="0.25">
      <c r="A16804" t="str">
        <f>"200011845"</f>
        <v>200011845</v>
      </c>
      <c r="B16804" t="str">
        <f>"1467717009"</f>
        <v>1467717009</v>
      </c>
      <c r="C16804" t="str">
        <f>"204D00000X"</f>
        <v>204D00000X</v>
      </c>
      <c r="D16804" t="str">
        <f>"FLEMING                  REGINA                   "</f>
        <v xml:space="preserve">FLEMING                  REGINA                   </v>
      </c>
      <c r="E16804" t="str">
        <f>"SOUTHAVEN                 "</f>
        <v xml:space="preserve">SOUTHAVEN                 </v>
      </c>
      <c r="F16804" t="str">
        <f t="shared" si="422"/>
        <v>MS</v>
      </c>
    </row>
    <row r="16805" spans="1:6" x14ac:dyDescent="0.25">
      <c r="A16805" t="str">
        <f>"200011849"</f>
        <v>200011849</v>
      </c>
      <c r="B16805" t="str">
        <f>"1144725458"</f>
        <v>1144725458</v>
      </c>
      <c r="C16805" t="str">
        <f>"207X00000X"</f>
        <v>207X00000X</v>
      </c>
      <c r="D16805" t="str">
        <f>"FARRELL                  SEAN                     "</f>
        <v xml:space="preserve">FARRELL                  SEAN                     </v>
      </c>
      <c r="E16805" t="str">
        <f>"OXFORD                    "</f>
        <v xml:space="preserve">OXFORD                    </v>
      </c>
      <c r="F16805" t="str">
        <f t="shared" si="422"/>
        <v>MS</v>
      </c>
    </row>
    <row r="16806" spans="1:6" x14ac:dyDescent="0.25">
      <c r="A16806" t="str">
        <f>"200011850"</f>
        <v>200011850</v>
      </c>
      <c r="B16806" t="str">
        <f>"1043974678"</f>
        <v>1043974678</v>
      </c>
      <c r="C16806" t="str">
        <f>"363L00000X"</f>
        <v>363L00000X</v>
      </c>
      <c r="D16806" t="str">
        <f>"SIMS                     KENZIE                   "</f>
        <v xml:space="preserve">SIMS                     KENZIE                   </v>
      </c>
      <c r="E16806" t="str">
        <f>"NATCHEZ                   "</f>
        <v xml:space="preserve">NATCHEZ                   </v>
      </c>
      <c r="F16806" t="str">
        <f t="shared" si="422"/>
        <v>MS</v>
      </c>
    </row>
    <row r="16807" spans="1:6" x14ac:dyDescent="0.25">
      <c r="A16807" t="str">
        <f>"200011856"</f>
        <v>200011856</v>
      </c>
      <c r="B16807" t="str">
        <f>"1760117519"</f>
        <v>1760117519</v>
      </c>
      <c r="C16807" t="str">
        <f>"207R00000X"</f>
        <v>207R00000X</v>
      </c>
      <c r="D16807" t="str">
        <f>"PARKASH                  SHANTI                   "</f>
        <v xml:space="preserve">PARKASH                  SHANTI                   </v>
      </c>
      <c r="E16807" t="str">
        <f>"TUPELO                    "</f>
        <v xml:space="preserve">TUPELO                    </v>
      </c>
      <c r="F16807" t="str">
        <f t="shared" si="422"/>
        <v>MS</v>
      </c>
    </row>
    <row r="16808" spans="1:6" x14ac:dyDescent="0.25">
      <c r="A16808" t="str">
        <f>"200011860"</f>
        <v>200011860</v>
      </c>
      <c r="B16808" t="str">
        <f>"1780434035"</f>
        <v>1780434035</v>
      </c>
      <c r="C16808" t="str">
        <f>"207R00000X"</f>
        <v>207R00000X</v>
      </c>
      <c r="D16808" t="str">
        <f>"KHAKWANI                 MUHAMMAD                 "</f>
        <v xml:space="preserve">KHAKWANI                 MUHAMMAD                 </v>
      </c>
      <c r="E16808" t="str">
        <f>"TUPELO                    "</f>
        <v xml:space="preserve">TUPELO                    </v>
      </c>
      <c r="F16808" t="str">
        <f t="shared" si="422"/>
        <v>MS</v>
      </c>
    </row>
    <row r="16809" spans="1:6" x14ac:dyDescent="0.25">
      <c r="A16809" t="str">
        <f>"200011862"</f>
        <v>200011862</v>
      </c>
      <c r="B16809" t="str">
        <f>"1114450616"</f>
        <v>1114450616</v>
      </c>
      <c r="C16809" t="str">
        <f>"208600000X"</f>
        <v>208600000X</v>
      </c>
      <c r="D16809" t="str">
        <f>"YAN                      QI                       "</f>
        <v xml:space="preserve">YAN                      QI                       </v>
      </c>
      <c r="E16809" t="str">
        <f>"PICAYUNE                  "</f>
        <v xml:space="preserve">PICAYUNE                  </v>
      </c>
      <c r="F16809" t="str">
        <f t="shared" si="422"/>
        <v>MS</v>
      </c>
    </row>
    <row r="16810" spans="1:6" x14ac:dyDescent="0.25">
      <c r="A16810" t="str">
        <f>"200011870"</f>
        <v>200011870</v>
      </c>
      <c r="B16810" t="str">
        <f>"1427156124"</f>
        <v>1427156124</v>
      </c>
      <c r="C16810" t="str">
        <f>"122300000X"</f>
        <v>122300000X</v>
      </c>
      <c r="D16810" t="str">
        <f>"TRACY                    RICHARD                  "</f>
        <v xml:space="preserve">TRACY                    RICHARD                  </v>
      </c>
      <c r="E16810" t="str">
        <f>"JACKSON                   "</f>
        <v xml:space="preserve">JACKSON                   </v>
      </c>
      <c r="F16810" t="str">
        <f t="shared" si="422"/>
        <v>MS</v>
      </c>
    </row>
    <row r="16811" spans="1:6" x14ac:dyDescent="0.25">
      <c r="A16811" t="str">
        <f>"200011872"</f>
        <v>200011872</v>
      </c>
      <c r="B16811" t="str">
        <f>"1801647383"</f>
        <v>1801647383</v>
      </c>
      <c r="C16811" t="str">
        <f>"363L00000X"</f>
        <v>363L00000X</v>
      </c>
      <c r="D16811" t="str">
        <f>"SPEIGHTS                 MAYCI                    "</f>
        <v xml:space="preserve">SPEIGHTS                 MAYCI                    </v>
      </c>
      <c r="E16811" t="str">
        <f>"COLUMBIA                  "</f>
        <v xml:space="preserve">COLUMBIA                  </v>
      </c>
      <c r="F16811" t="str">
        <f t="shared" si="422"/>
        <v>MS</v>
      </c>
    </row>
    <row r="16812" spans="1:6" x14ac:dyDescent="0.25">
      <c r="A16812" t="str">
        <f>"200011877"</f>
        <v>200011877</v>
      </c>
      <c r="B16812" t="str">
        <f>"1487615209"</f>
        <v>1487615209</v>
      </c>
      <c r="C16812" t="str">
        <f>"207L00000X"</f>
        <v>207L00000X</v>
      </c>
      <c r="D16812" t="str">
        <f>"OTWORTH                  JAMES        R           "</f>
        <v xml:space="preserve">OTWORTH                  JAMES        R           </v>
      </c>
      <c r="E16812" t="str">
        <f>"JACKSON                   "</f>
        <v xml:space="preserve">JACKSON                   </v>
      </c>
      <c r="F16812" t="str">
        <f t="shared" si="422"/>
        <v>MS</v>
      </c>
    </row>
    <row r="16813" spans="1:6" x14ac:dyDescent="0.25">
      <c r="A16813" t="str">
        <f>"200011878"</f>
        <v>200011878</v>
      </c>
      <c r="B16813" t="str">
        <f>"1710732045"</f>
        <v>1710732045</v>
      </c>
      <c r="C16813" t="str">
        <f>"363L00000X"</f>
        <v>363L00000X</v>
      </c>
      <c r="D16813" t="str">
        <f>"BROWNING                 HANNAH                   "</f>
        <v xml:space="preserve">BROWNING                 HANNAH                   </v>
      </c>
      <c r="E16813" t="str">
        <f>"PEARL                     "</f>
        <v xml:space="preserve">PEARL                     </v>
      </c>
      <c r="F16813" t="str">
        <f t="shared" si="422"/>
        <v>MS</v>
      </c>
    </row>
    <row r="16814" spans="1:6" x14ac:dyDescent="0.25">
      <c r="A16814" t="str">
        <f>"200011881"</f>
        <v>200011881</v>
      </c>
      <c r="B16814" t="str">
        <f>"1760944599"</f>
        <v>1760944599</v>
      </c>
      <c r="C16814" t="str">
        <f>"363L00000X"</f>
        <v>363L00000X</v>
      </c>
      <c r="D16814" t="str">
        <f>"WAIT                     MARGARET                 "</f>
        <v xml:space="preserve">WAIT                     MARGARET                 </v>
      </c>
      <c r="E16814" t="str">
        <f>"BOONEVILLE                "</f>
        <v xml:space="preserve">BOONEVILLE                </v>
      </c>
      <c r="F16814" t="str">
        <f t="shared" si="422"/>
        <v>MS</v>
      </c>
    </row>
    <row r="16815" spans="1:6" x14ac:dyDescent="0.25">
      <c r="A16815" t="str">
        <f>"200011885"</f>
        <v>200011885</v>
      </c>
      <c r="B16815" t="str">
        <f>"1992384853"</f>
        <v>1992384853</v>
      </c>
      <c r="C16815" t="str">
        <f>"207Q00000X"</f>
        <v>207Q00000X</v>
      </c>
      <c r="D16815" t="str">
        <f>"ANDREWS                  MARY                     "</f>
        <v xml:space="preserve">ANDREWS                  MARY                     </v>
      </c>
      <c r="E16815" t="str">
        <f>"RICHTON                   "</f>
        <v xml:space="preserve">RICHTON                   </v>
      </c>
      <c r="F16815" t="str">
        <f t="shared" si="422"/>
        <v>MS</v>
      </c>
    </row>
    <row r="16816" spans="1:6" x14ac:dyDescent="0.25">
      <c r="A16816" t="str">
        <f>"200011895"</f>
        <v>200011895</v>
      </c>
      <c r="B16816" t="str">
        <f>"1972236719"</f>
        <v>1972236719</v>
      </c>
      <c r="C16816" t="str">
        <f>"363LF0000X"</f>
        <v>363LF0000X</v>
      </c>
      <c r="D16816" t="str">
        <f>"MCKAY                    KRISTEN                  "</f>
        <v xml:space="preserve">MCKAY                    KRISTEN                  </v>
      </c>
      <c r="E16816" t="str">
        <f>"JACKSON                   "</f>
        <v xml:space="preserve">JACKSON                   </v>
      </c>
      <c r="F16816" t="str">
        <f t="shared" si="422"/>
        <v>MS</v>
      </c>
    </row>
    <row r="16817" spans="1:6" x14ac:dyDescent="0.25">
      <c r="A16817" t="str">
        <f>"200011898"</f>
        <v>200011898</v>
      </c>
      <c r="B16817" t="str">
        <f>"1801648225"</f>
        <v>1801648225</v>
      </c>
      <c r="C16817" t="str">
        <f>"207R00000X"</f>
        <v>207R00000X</v>
      </c>
      <c r="D16817" t="str">
        <f>"LAWSON                   JOHN         B           "</f>
        <v xml:space="preserve">LAWSON                   JOHN         B           </v>
      </c>
      <c r="E16817" t="str">
        <f>"TUPELO                    "</f>
        <v xml:space="preserve">TUPELO                    </v>
      </c>
      <c r="F16817" t="str">
        <f t="shared" si="422"/>
        <v>MS</v>
      </c>
    </row>
    <row r="16818" spans="1:6" x14ac:dyDescent="0.25">
      <c r="A16818" t="str">
        <f>"200011900"</f>
        <v>200011900</v>
      </c>
      <c r="B16818" t="str">
        <f>"1851979983"</f>
        <v>1851979983</v>
      </c>
      <c r="C16818" t="str">
        <f>"207R00000X"</f>
        <v>207R00000X</v>
      </c>
      <c r="D16818" t="str">
        <f>"GREEN                    JOHNNY                   "</f>
        <v xml:space="preserve">GREEN                    JOHNNY                   </v>
      </c>
      <c r="E16818" t="str">
        <f>"OXFORD                    "</f>
        <v xml:space="preserve">OXFORD                    </v>
      </c>
      <c r="F16818" t="str">
        <f t="shared" si="422"/>
        <v>MS</v>
      </c>
    </row>
    <row r="16819" spans="1:6" x14ac:dyDescent="0.25">
      <c r="A16819" t="str">
        <f>"200011904"</f>
        <v>200011904</v>
      </c>
      <c r="B16819" t="str">
        <f>"1548949886"</f>
        <v>1548949886</v>
      </c>
      <c r="C16819" t="str">
        <f>"207Q00000X"</f>
        <v>207Q00000X</v>
      </c>
      <c r="D16819" t="str">
        <f>"KUMAR                    RISHI                    "</f>
        <v xml:space="preserve">KUMAR                    RISHI                    </v>
      </c>
      <c r="E16819" t="str">
        <f>"MCCOMB                    "</f>
        <v xml:space="preserve">MCCOMB                    </v>
      </c>
      <c r="F16819" t="str">
        <f t="shared" si="422"/>
        <v>MS</v>
      </c>
    </row>
    <row r="16820" spans="1:6" x14ac:dyDescent="0.25">
      <c r="A16820" t="str">
        <f>"200011906"</f>
        <v>200011906</v>
      </c>
      <c r="B16820" t="str">
        <f>"1558113241"</f>
        <v>1558113241</v>
      </c>
      <c r="C16820" t="str">
        <f>"207Q00000X"</f>
        <v>207Q00000X</v>
      </c>
      <c r="D16820" t="str">
        <f>"REINSHAGEN               JOSEPH                   "</f>
        <v xml:space="preserve">REINSHAGEN               JOSEPH                   </v>
      </c>
      <c r="E16820" t="str">
        <f>"MCCOMB                    "</f>
        <v xml:space="preserve">MCCOMB                    </v>
      </c>
      <c r="F16820" t="str">
        <f t="shared" si="422"/>
        <v>MS</v>
      </c>
    </row>
    <row r="16821" spans="1:6" x14ac:dyDescent="0.25">
      <c r="A16821" t="str">
        <f>"200011912"</f>
        <v>200011912</v>
      </c>
      <c r="B16821" t="str">
        <f>"1831942218"</f>
        <v>1831942218</v>
      </c>
      <c r="C16821" t="str">
        <f>"207Q00000X"</f>
        <v>207Q00000X</v>
      </c>
      <c r="D16821" t="str">
        <f>"DADA                     ABOLARIN                 "</f>
        <v xml:space="preserve">DADA                     ABOLARIN                 </v>
      </c>
      <c r="E16821" t="str">
        <f>"MCCOMB                    "</f>
        <v xml:space="preserve">MCCOMB                    </v>
      </c>
      <c r="F16821" t="str">
        <f t="shared" si="422"/>
        <v>MS</v>
      </c>
    </row>
    <row r="16822" spans="1:6" x14ac:dyDescent="0.25">
      <c r="A16822" t="str">
        <f>"200011915"</f>
        <v>200011915</v>
      </c>
      <c r="B16822" t="str">
        <f>"1952900581"</f>
        <v>1952900581</v>
      </c>
      <c r="C16822" t="str">
        <f>"363LF0000X"</f>
        <v>363LF0000X</v>
      </c>
      <c r="D16822" t="str">
        <f>"BRIDGES                  MAEGAN                   "</f>
        <v xml:space="preserve">BRIDGES                  MAEGAN                   </v>
      </c>
      <c r="E16822" t="str">
        <f>"JACKSON                   "</f>
        <v xml:space="preserve">JACKSON                   </v>
      </c>
      <c r="F16822" t="str">
        <f t="shared" si="422"/>
        <v>MS</v>
      </c>
    </row>
    <row r="16823" spans="1:6" x14ac:dyDescent="0.25">
      <c r="A16823" t="str">
        <f>"200011927"</f>
        <v>200011927</v>
      </c>
      <c r="B16823" t="str">
        <f>"1033797550"</f>
        <v>1033797550</v>
      </c>
      <c r="C16823" t="str">
        <f>"207Q00000X"</f>
        <v>207Q00000X</v>
      </c>
      <c r="D16823" t="str">
        <f>"MITCHELL                 JANICE                   "</f>
        <v xml:space="preserve">MITCHELL                 JANICE                   </v>
      </c>
      <c r="E16823" t="str">
        <f>"AMORY                     "</f>
        <v xml:space="preserve">AMORY                     </v>
      </c>
      <c r="F16823" t="str">
        <f t="shared" si="422"/>
        <v>MS</v>
      </c>
    </row>
    <row r="16824" spans="1:6" x14ac:dyDescent="0.25">
      <c r="A16824" t="str">
        <f>"200011939"</f>
        <v>200011939</v>
      </c>
      <c r="B16824" t="str">
        <f>"1013489756"</f>
        <v>1013489756</v>
      </c>
      <c r="C16824" t="str">
        <f>"363L00000X"</f>
        <v>363L00000X</v>
      </c>
      <c r="D16824" t="str">
        <f>"FIELD                    CODY                     "</f>
        <v xml:space="preserve">FIELD                    CODY                     </v>
      </c>
      <c r="E16824" t="str">
        <f>"CLARKSDALE                "</f>
        <v xml:space="preserve">CLARKSDALE                </v>
      </c>
      <c r="F16824" t="str">
        <f t="shared" si="422"/>
        <v>MS</v>
      </c>
    </row>
    <row r="16825" spans="1:6" x14ac:dyDescent="0.25">
      <c r="A16825" t="str">
        <f>"200011943"</f>
        <v>200011943</v>
      </c>
      <c r="B16825" t="str">
        <f>"1609505999"</f>
        <v>1609505999</v>
      </c>
      <c r="C16825" t="str">
        <f>"207Q00000X"</f>
        <v>207Q00000X</v>
      </c>
      <c r="D16825" t="str">
        <f>"COLLIER                  TYLER                    "</f>
        <v xml:space="preserve">COLLIER                  TYLER                    </v>
      </c>
      <c r="E16825" t="str">
        <f>"TUPELO                    "</f>
        <v xml:space="preserve">TUPELO                    </v>
      </c>
      <c r="F16825" t="str">
        <f t="shared" si="422"/>
        <v>MS</v>
      </c>
    </row>
    <row r="16826" spans="1:6" x14ac:dyDescent="0.25">
      <c r="A16826" t="str">
        <f>"200011954"</f>
        <v>200011954</v>
      </c>
      <c r="B16826" t="str">
        <f>"1770273096"</f>
        <v>1770273096</v>
      </c>
      <c r="C16826" t="str">
        <f>"207R00000X"</f>
        <v>207R00000X</v>
      </c>
      <c r="D16826" t="str">
        <f>"ALBERTINI                MIGUEEL                  "</f>
        <v xml:space="preserve">ALBERTINI                MIGUEEL                  </v>
      </c>
      <c r="E16826" t="str">
        <f>"TUPELO                    "</f>
        <v xml:space="preserve">TUPELO                    </v>
      </c>
      <c r="F16826" t="str">
        <f t="shared" si="422"/>
        <v>MS</v>
      </c>
    </row>
    <row r="16827" spans="1:6" x14ac:dyDescent="0.25">
      <c r="A16827" t="str">
        <f>"200011964"</f>
        <v>200011964</v>
      </c>
      <c r="B16827" t="str">
        <f>"1255170304"</f>
        <v>1255170304</v>
      </c>
      <c r="C16827" t="str">
        <f>"363L00000X"</f>
        <v>363L00000X</v>
      </c>
      <c r="D16827" t="str">
        <f>"MOREL                    DANIELLE     M           "</f>
        <v xml:space="preserve">MOREL                    DANIELLE     M           </v>
      </c>
      <c r="E16827" t="str">
        <f>"HATTIESBURG               "</f>
        <v xml:space="preserve">HATTIESBURG               </v>
      </c>
      <c r="F16827" t="str">
        <f t="shared" si="422"/>
        <v>MS</v>
      </c>
    </row>
    <row r="16828" spans="1:6" x14ac:dyDescent="0.25">
      <c r="A16828" t="str">
        <f>"200011966"</f>
        <v>200011966</v>
      </c>
      <c r="B16828" t="str">
        <f>"1811747108"</f>
        <v>1811747108</v>
      </c>
      <c r="C16828" t="str">
        <f>"207R00000X"</f>
        <v>207R00000X</v>
      </c>
      <c r="D16828" t="str">
        <f>"URVINA                   AUSTIN                   "</f>
        <v xml:space="preserve">URVINA                   AUSTIN                   </v>
      </c>
      <c r="E16828" t="str">
        <f>"TUPELO                    "</f>
        <v xml:space="preserve">TUPELO                    </v>
      </c>
      <c r="F16828" t="str">
        <f t="shared" si="422"/>
        <v>MS</v>
      </c>
    </row>
    <row r="16829" spans="1:6" x14ac:dyDescent="0.25">
      <c r="A16829" t="str">
        <f>"200011969"</f>
        <v>200011969</v>
      </c>
      <c r="B16829" t="str">
        <f>"1962257162"</f>
        <v>1962257162</v>
      </c>
      <c r="C16829" t="str">
        <f>"207R00000X"</f>
        <v>207R00000X</v>
      </c>
      <c r="D16829" t="str">
        <f>"PATEL                    RICHA                    "</f>
        <v xml:space="preserve">PATEL                    RICHA                    </v>
      </c>
      <c r="E16829" t="str">
        <f>"TUPELO                    "</f>
        <v xml:space="preserve">TUPELO                    </v>
      </c>
      <c r="F16829" t="str">
        <f t="shared" si="422"/>
        <v>MS</v>
      </c>
    </row>
    <row r="16830" spans="1:6" x14ac:dyDescent="0.25">
      <c r="A16830" t="str">
        <f>"200011981"</f>
        <v>200011981</v>
      </c>
      <c r="B16830" t="str">
        <f>"1215919493"</f>
        <v>1215919493</v>
      </c>
      <c r="C16830" t="str">
        <f>"367500000X"</f>
        <v>367500000X</v>
      </c>
      <c r="D16830" t="str">
        <f>"WRIGHT                   STEWART      A           "</f>
        <v xml:space="preserve">WRIGHT                   STEWART      A           </v>
      </c>
      <c r="E16830" t="str">
        <f>"MERIDIAN                  "</f>
        <v xml:space="preserve">MERIDIAN                  </v>
      </c>
      <c r="F16830" t="str">
        <f t="shared" ref="F16830:F16893" si="423">"MS"</f>
        <v>MS</v>
      </c>
    </row>
    <row r="16831" spans="1:6" x14ac:dyDescent="0.25">
      <c r="A16831" t="str">
        <f>"200011985"</f>
        <v>200011985</v>
      </c>
      <c r="B16831" t="str">
        <f>"1356735948"</f>
        <v>1356735948</v>
      </c>
      <c r="C16831" t="str">
        <f>"208000000X"</f>
        <v>208000000X</v>
      </c>
      <c r="D16831" t="str">
        <f>"NELIN                    SARAH                    "</f>
        <v xml:space="preserve">NELIN                    SARAH                    </v>
      </c>
      <c r="E16831" t="str">
        <f>"JACKSON                   "</f>
        <v xml:space="preserve">JACKSON                   </v>
      </c>
      <c r="F16831" t="str">
        <f t="shared" si="423"/>
        <v>MS</v>
      </c>
    </row>
    <row r="16832" spans="1:6" x14ac:dyDescent="0.25">
      <c r="A16832" t="str">
        <f>"200011998"</f>
        <v>200011998</v>
      </c>
      <c r="B16832" t="str">
        <f>"1881445013"</f>
        <v>1881445013</v>
      </c>
      <c r="C16832" t="str">
        <f>"207R00000X"</f>
        <v>207R00000X</v>
      </c>
      <c r="D16832" t="str">
        <f>"ABOUZEID                 MAI                      "</f>
        <v xml:space="preserve">ABOUZEID                 MAI                      </v>
      </c>
      <c r="E16832" t="str">
        <f>"TUPELO                    "</f>
        <v xml:space="preserve">TUPELO                    </v>
      </c>
      <c r="F16832" t="str">
        <f t="shared" si="423"/>
        <v>MS</v>
      </c>
    </row>
    <row r="16833" spans="1:6" x14ac:dyDescent="0.25">
      <c r="A16833" t="str">
        <f>"200011999"</f>
        <v>200011999</v>
      </c>
      <c r="B16833" t="str">
        <f>"1528752672"</f>
        <v>1528752672</v>
      </c>
      <c r="C16833" t="str">
        <f>"207R00000X"</f>
        <v>207R00000X</v>
      </c>
      <c r="D16833" t="str">
        <f>"KUMAR                    PARKASH                  "</f>
        <v xml:space="preserve">KUMAR                    PARKASH                  </v>
      </c>
      <c r="E16833" t="str">
        <f>"TUPELO                    "</f>
        <v xml:space="preserve">TUPELO                    </v>
      </c>
      <c r="F16833" t="str">
        <f t="shared" si="423"/>
        <v>MS</v>
      </c>
    </row>
    <row r="16834" spans="1:6" x14ac:dyDescent="0.25">
      <c r="A16834" t="str">
        <f>"200012000"</f>
        <v>200012000</v>
      </c>
      <c r="B16834" t="str">
        <f>"1467205930"</f>
        <v>1467205930</v>
      </c>
      <c r="C16834" t="str">
        <f>"207R00000X"</f>
        <v>207R00000X</v>
      </c>
      <c r="D16834" t="str">
        <f>"MEHDI                    SYED         S           "</f>
        <v xml:space="preserve">MEHDI                    SYED         S           </v>
      </c>
      <c r="E16834" t="str">
        <f>"TUPELO                    "</f>
        <v xml:space="preserve">TUPELO                    </v>
      </c>
      <c r="F16834" t="str">
        <f t="shared" si="423"/>
        <v>MS</v>
      </c>
    </row>
    <row r="16835" spans="1:6" x14ac:dyDescent="0.25">
      <c r="A16835" t="str">
        <f>"200012001"</f>
        <v>200012001</v>
      </c>
      <c r="B16835" t="str">
        <f>"1548010820"</f>
        <v>1548010820</v>
      </c>
      <c r="C16835" t="str">
        <f>"207R00000X"</f>
        <v>207R00000X</v>
      </c>
      <c r="D16835" t="str">
        <f>"AL- ABEDALQADER          REEM                     "</f>
        <v xml:space="preserve">AL- ABEDALQADER          REEM                     </v>
      </c>
      <c r="E16835" t="str">
        <f>"TUPELO                    "</f>
        <v xml:space="preserve">TUPELO                    </v>
      </c>
      <c r="F16835" t="str">
        <f t="shared" si="423"/>
        <v>MS</v>
      </c>
    </row>
    <row r="16836" spans="1:6" x14ac:dyDescent="0.25">
      <c r="A16836" t="str">
        <f>"200012004"</f>
        <v>200012004</v>
      </c>
      <c r="B16836" t="str">
        <f>"1609622026"</f>
        <v>1609622026</v>
      </c>
      <c r="C16836" t="str">
        <f>"1223G0001X"</f>
        <v>1223G0001X</v>
      </c>
      <c r="D16836" t="str">
        <f>"BAKER                    MORGAN                   "</f>
        <v xml:space="preserve">BAKER                    MORGAN                   </v>
      </c>
      <c r="E16836" t="str">
        <f>"HORN LAKE                 "</f>
        <v xml:space="preserve">HORN LAKE                 </v>
      </c>
      <c r="F16836" t="str">
        <f t="shared" si="423"/>
        <v>MS</v>
      </c>
    </row>
    <row r="16837" spans="1:6" x14ac:dyDescent="0.25">
      <c r="A16837" t="str">
        <f>"200012005"</f>
        <v>200012005</v>
      </c>
      <c r="B16837" t="str">
        <f>"1255502316"</f>
        <v>1255502316</v>
      </c>
      <c r="C16837" t="str">
        <f>"207P00000X"</f>
        <v>207P00000X</v>
      </c>
      <c r="D16837" t="str">
        <f>"PARKER                   GREG                     "</f>
        <v xml:space="preserve">PARKER                   GREG                     </v>
      </c>
      <c r="E16837" t="str">
        <f>"BAY SAINT LOUIS           "</f>
        <v xml:space="preserve">BAY SAINT LOUIS           </v>
      </c>
      <c r="F16837" t="str">
        <f t="shared" si="423"/>
        <v>MS</v>
      </c>
    </row>
    <row r="16838" spans="1:6" x14ac:dyDescent="0.25">
      <c r="A16838" t="str">
        <f>"200012006"</f>
        <v>200012006</v>
      </c>
      <c r="B16838" t="str">
        <f>"1528096971"</f>
        <v>1528096971</v>
      </c>
      <c r="C16838" t="str">
        <f>"207W00000X"</f>
        <v>207W00000X</v>
      </c>
      <c r="D16838" t="str">
        <f>"BROWN                    JAMES        J           "</f>
        <v xml:space="preserve">BROWN                    JAMES        J           </v>
      </c>
      <c r="E16838" t="str">
        <f>"MADISON                   "</f>
        <v xml:space="preserve">MADISON                   </v>
      </c>
      <c r="F16838" t="str">
        <f t="shared" si="423"/>
        <v>MS</v>
      </c>
    </row>
    <row r="16839" spans="1:6" x14ac:dyDescent="0.25">
      <c r="A16839" t="str">
        <f>"200012007"</f>
        <v>200012007</v>
      </c>
      <c r="B16839" t="str">
        <f>"1255387544"</f>
        <v>1255387544</v>
      </c>
      <c r="C16839" t="str">
        <f>"207Q00000X"</f>
        <v>207Q00000X</v>
      </c>
      <c r="D16839" t="str">
        <f>"MCKENZIE                 TRINITY                  "</f>
        <v xml:space="preserve">MCKENZIE                 TRINITY                  </v>
      </c>
      <c r="E16839" t="str">
        <f>"MCCOMB                    "</f>
        <v xml:space="preserve">MCCOMB                    </v>
      </c>
      <c r="F16839" t="str">
        <f t="shared" si="423"/>
        <v>MS</v>
      </c>
    </row>
    <row r="16840" spans="1:6" x14ac:dyDescent="0.25">
      <c r="A16840" t="str">
        <f>"200012008"</f>
        <v>200012008</v>
      </c>
      <c r="B16840" t="str">
        <f>"1619728847"</f>
        <v>1619728847</v>
      </c>
      <c r="C16840" t="str">
        <f>"207R00000X"</f>
        <v>207R00000X</v>
      </c>
      <c r="D16840" t="str">
        <f>"STANSBURY                NATHANIEL                "</f>
        <v xml:space="preserve">STANSBURY                NATHANIEL                </v>
      </c>
      <c r="E16840" t="str">
        <f>"TUPELO                    "</f>
        <v xml:space="preserve">TUPELO                    </v>
      </c>
      <c r="F16840" t="str">
        <f t="shared" si="423"/>
        <v>MS</v>
      </c>
    </row>
    <row r="16841" spans="1:6" x14ac:dyDescent="0.25">
      <c r="A16841" t="str">
        <f>"200012009"</f>
        <v>200012009</v>
      </c>
      <c r="B16841" t="str">
        <f>"1720712433"</f>
        <v>1720712433</v>
      </c>
      <c r="C16841" t="str">
        <f>"207R00000X"</f>
        <v>207R00000X</v>
      </c>
      <c r="D16841" t="str">
        <f>"MODI                     PRANAV                   "</f>
        <v xml:space="preserve">MODI                     PRANAV                   </v>
      </c>
      <c r="E16841" t="str">
        <f>"TUPELO                    "</f>
        <v xml:space="preserve">TUPELO                    </v>
      </c>
      <c r="F16841" t="str">
        <f t="shared" si="423"/>
        <v>MS</v>
      </c>
    </row>
    <row r="16842" spans="1:6" x14ac:dyDescent="0.25">
      <c r="A16842" t="str">
        <f>"200012020"</f>
        <v>200012020</v>
      </c>
      <c r="B16842" t="str">
        <f>"1578891503"</f>
        <v>1578891503</v>
      </c>
      <c r="C16842" t="str">
        <f>"207R00000X"</f>
        <v>207R00000X</v>
      </c>
      <c r="D16842" t="str">
        <f>"TAN                      JIAHUAI                  "</f>
        <v xml:space="preserve">TAN                      JIAHUAI                  </v>
      </c>
      <c r="E16842" t="str">
        <f>"TUPELO                    "</f>
        <v xml:space="preserve">TUPELO                    </v>
      </c>
      <c r="F16842" t="str">
        <f t="shared" si="423"/>
        <v>MS</v>
      </c>
    </row>
    <row r="16843" spans="1:6" x14ac:dyDescent="0.25">
      <c r="A16843" t="str">
        <f>"200012027"</f>
        <v>200012027</v>
      </c>
      <c r="B16843" t="str">
        <f>"1124682877"</f>
        <v>1124682877</v>
      </c>
      <c r="C16843" t="str">
        <f>"363L00000X"</f>
        <v>363L00000X</v>
      </c>
      <c r="D16843" t="str">
        <f>"BRADLEY                  KAYANA                   "</f>
        <v xml:space="preserve">BRADLEY                  KAYANA                   </v>
      </c>
      <c r="E16843" t="str">
        <f>"BYRAM                     "</f>
        <v xml:space="preserve">BYRAM                     </v>
      </c>
      <c r="F16843" t="str">
        <f t="shared" si="423"/>
        <v>MS</v>
      </c>
    </row>
    <row r="16844" spans="1:6" x14ac:dyDescent="0.25">
      <c r="A16844" t="str">
        <f>"200012028"</f>
        <v>200012028</v>
      </c>
      <c r="B16844" t="str">
        <f>"1154819357"</f>
        <v>1154819357</v>
      </c>
      <c r="C16844" t="str">
        <f>"2085R0202X"</f>
        <v>2085R0202X</v>
      </c>
      <c r="D16844" t="str">
        <f>"STEWART                  WILLIAM      H           "</f>
        <v xml:space="preserve">STEWART                  WILLIAM      H           </v>
      </c>
      <c r="E16844" t="str">
        <f>"OXFORD                    "</f>
        <v xml:space="preserve">OXFORD                    </v>
      </c>
      <c r="F16844" t="str">
        <f t="shared" si="423"/>
        <v>MS</v>
      </c>
    </row>
    <row r="16845" spans="1:6" x14ac:dyDescent="0.25">
      <c r="A16845" t="str">
        <f>"200012029"</f>
        <v>200012029</v>
      </c>
      <c r="B16845" t="str">
        <f>"1538924840"</f>
        <v>1538924840</v>
      </c>
      <c r="C16845" t="str">
        <f>"261QF0400X"</f>
        <v>261QF0400X</v>
      </c>
      <c r="D16845" t="str">
        <f>"NATCHEZ HIGH/MIDDLE SCHOOL CLINIC                 "</f>
        <v xml:space="preserve">NATCHEZ HIGH/MIDDLE SCHOOL CLINIC                 </v>
      </c>
      <c r="E16845" t="str">
        <f>"NATCHEZ                   "</f>
        <v xml:space="preserve">NATCHEZ                   </v>
      </c>
      <c r="F16845" t="str">
        <f t="shared" si="423"/>
        <v>MS</v>
      </c>
    </row>
    <row r="16846" spans="1:6" x14ac:dyDescent="0.25">
      <c r="A16846" t="str">
        <f>"200012031"</f>
        <v>200012031</v>
      </c>
      <c r="B16846" t="str">
        <f>"1477396471"</f>
        <v>1477396471</v>
      </c>
      <c r="C16846" t="str">
        <f>"207Q00000X"</f>
        <v>207Q00000X</v>
      </c>
      <c r="D16846" t="str">
        <f>"STIDHAM                  GREGORY      G           "</f>
        <v xml:space="preserve">STIDHAM                  GREGORY      G           </v>
      </c>
      <c r="E16846" t="str">
        <f>"TUPELO                    "</f>
        <v xml:space="preserve">TUPELO                    </v>
      </c>
      <c r="F16846" t="str">
        <f t="shared" si="423"/>
        <v>MS</v>
      </c>
    </row>
    <row r="16847" spans="1:6" x14ac:dyDescent="0.25">
      <c r="A16847" t="str">
        <f>"200012039"</f>
        <v>200012039</v>
      </c>
      <c r="B16847" t="str">
        <f>"1194136267"</f>
        <v>1194136267</v>
      </c>
      <c r="C16847" t="str">
        <f>"207V00000X"</f>
        <v>207V00000X</v>
      </c>
      <c r="D16847" t="str">
        <f>"JOHNSON                  ASHLEY                   "</f>
        <v xml:space="preserve">JOHNSON                  ASHLEY                   </v>
      </c>
      <c r="E16847" t="str">
        <f>"JACKSON                   "</f>
        <v xml:space="preserve">JACKSON                   </v>
      </c>
      <c r="F16847" t="str">
        <f t="shared" si="423"/>
        <v>MS</v>
      </c>
    </row>
    <row r="16848" spans="1:6" x14ac:dyDescent="0.25">
      <c r="A16848" t="str">
        <f>"200012050"</f>
        <v>200012050</v>
      </c>
      <c r="B16848" t="str">
        <f>"1760250088"</f>
        <v>1760250088</v>
      </c>
      <c r="C16848" t="str">
        <f>"363LF0000X"</f>
        <v>363LF0000X</v>
      </c>
      <c r="D16848" t="str">
        <f>"ROBERTSON                KATHRYN                  "</f>
        <v xml:space="preserve">ROBERTSON                KATHRYN                  </v>
      </c>
      <c r="E16848" t="str">
        <f>"TUPELO                    "</f>
        <v xml:space="preserve">TUPELO                    </v>
      </c>
      <c r="F16848" t="str">
        <f t="shared" si="423"/>
        <v>MS</v>
      </c>
    </row>
    <row r="16849" spans="1:6" x14ac:dyDescent="0.25">
      <c r="A16849" t="str">
        <f>"200012055"</f>
        <v>200012055</v>
      </c>
      <c r="B16849" t="str">
        <f>"1649706474"</f>
        <v>1649706474</v>
      </c>
      <c r="C16849" t="str">
        <f>"2084N0400X"</f>
        <v>2084N0400X</v>
      </c>
      <c r="D16849" t="str">
        <f>"JACKSON                  WILLIAM      T           "</f>
        <v xml:space="preserve">JACKSON                  WILLIAM      T           </v>
      </c>
      <c r="E16849" t="str">
        <f>"TUPELO                    "</f>
        <v xml:space="preserve">TUPELO                    </v>
      </c>
      <c r="F16849" t="str">
        <f t="shared" si="423"/>
        <v>MS</v>
      </c>
    </row>
    <row r="16850" spans="1:6" x14ac:dyDescent="0.25">
      <c r="A16850" t="str">
        <f>"200012056"</f>
        <v>200012056</v>
      </c>
      <c r="B16850" t="str">
        <f>"1881437887"</f>
        <v>1881437887</v>
      </c>
      <c r="C16850" t="str">
        <f>"207Q00000X"</f>
        <v>207Q00000X</v>
      </c>
      <c r="D16850" t="str">
        <f>"PURVIS                   JESSICA                  "</f>
        <v xml:space="preserve">PURVIS                   JESSICA                  </v>
      </c>
      <c r="E16850" t="str">
        <f>"TUPELO                    "</f>
        <v xml:space="preserve">TUPELO                    </v>
      </c>
      <c r="F16850" t="str">
        <f t="shared" si="423"/>
        <v>MS</v>
      </c>
    </row>
    <row r="16851" spans="1:6" x14ac:dyDescent="0.25">
      <c r="A16851" t="str">
        <f>"200012058"</f>
        <v>200012058</v>
      </c>
      <c r="B16851" t="str">
        <f>"1942817838"</f>
        <v>1942817838</v>
      </c>
      <c r="C16851" t="str">
        <f>"363L00000X"</f>
        <v>363L00000X</v>
      </c>
      <c r="D16851" t="str">
        <f>"WOODSON                  EBONY                    "</f>
        <v xml:space="preserve">WOODSON                  EBONY                    </v>
      </c>
      <c r="E16851" t="str">
        <f>"JACKSON                   "</f>
        <v xml:space="preserve">JACKSON                   </v>
      </c>
      <c r="F16851" t="str">
        <f t="shared" si="423"/>
        <v>MS</v>
      </c>
    </row>
    <row r="16852" spans="1:6" x14ac:dyDescent="0.25">
      <c r="A16852" t="str">
        <f>"200012059"</f>
        <v>200012059</v>
      </c>
      <c r="B16852" t="str">
        <f>"1376512889"</f>
        <v>1376512889</v>
      </c>
      <c r="C16852" t="str">
        <f>"363L00000X"</f>
        <v>363L00000X</v>
      </c>
      <c r="D16852" t="str">
        <f>"PROFFITT                 ALVINIA                  "</f>
        <v xml:space="preserve">PROFFITT                 ALVINIA                  </v>
      </c>
      <c r="E16852" t="str">
        <f>"WEST POINT                "</f>
        <v xml:space="preserve">WEST POINT                </v>
      </c>
      <c r="F16852" t="str">
        <f t="shared" si="423"/>
        <v>MS</v>
      </c>
    </row>
    <row r="16853" spans="1:6" x14ac:dyDescent="0.25">
      <c r="A16853" t="str">
        <f>"200012079"</f>
        <v>200012079</v>
      </c>
      <c r="B16853" t="str">
        <f>"1851338602"</f>
        <v>1851338602</v>
      </c>
      <c r="C16853" t="str">
        <f>"207P00000X"</f>
        <v>207P00000X</v>
      </c>
      <c r="D16853" t="str">
        <f>"MCCOY                    BRIAN                    "</f>
        <v xml:space="preserve">MCCOY                    BRIAN                    </v>
      </c>
      <c r="E16853" t="str">
        <f>"AMORY                     "</f>
        <v xml:space="preserve">AMORY                     </v>
      </c>
      <c r="F16853" t="str">
        <f t="shared" si="423"/>
        <v>MS</v>
      </c>
    </row>
    <row r="16854" spans="1:6" x14ac:dyDescent="0.25">
      <c r="A16854" t="str">
        <f>"200012082"</f>
        <v>200012082</v>
      </c>
      <c r="B16854" t="str">
        <f>"1386487387"</f>
        <v>1386487387</v>
      </c>
      <c r="C16854" t="str">
        <f>"207Q00000X"</f>
        <v>207Q00000X</v>
      </c>
      <c r="D16854" t="str">
        <f>"WILSON                   JOHN         P           "</f>
        <v xml:space="preserve">WILSON                   JOHN         P           </v>
      </c>
      <c r="E16854" t="str">
        <f>"TUPELO                    "</f>
        <v xml:space="preserve">TUPELO                    </v>
      </c>
      <c r="F16854" t="str">
        <f t="shared" si="423"/>
        <v>MS</v>
      </c>
    </row>
    <row r="16855" spans="1:6" x14ac:dyDescent="0.25">
      <c r="A16855" t="str">
        <f>"200012088"</f>
        <v>200012088</v>
      </c>
      <c r="B16855" t="str">
        <f>"1013768753"</f>
        <v>1013768753</v>
      </c>
      <c r="C16855" t="str">
        <f>"207Q00000X"</f>
        <v>207Q00000X</v>
      </c>
      <c r="D16855" t="str">
        <f>"MAKIYAMA                 IVAN                     "</f>
        <v xml:space="preserve">MAKIYAMA                 IVAN                     </v>
      </c>
      <c r="E16855" t="str">
        <f>"MCCOMB                    "</f>
        <v xml:space="preserve">MCCOMB                    </v>
      </c>
      <c r="F16855" t="str">
        <f t="shared" si="423"/>
        <v>MS</v>
      </c>
    </row>
    <row r="16856" spans="1:6" x14ac:dyDescent="0.25">
      <c r="A16856" t="str">
        <f>"200012089"</f>
        <v>200012089</v>
      </c>
      <c r="B16856" t="str">
        <f>"1760240337"</f>
        <v>1760240337</v>
      </c>
      <c r="C16856" t="str">
        <f>"363L00000X"</f>
        <v>363L00000X</v>
      </c>
      <c r="D16856" t="str">
        <f>"AWWAD                    KEELEY                   "</f>
        <v xml:space="preserve">AWWAD                    KEELEY                   </v>
      </c>
      <c r="E16856" t="str">
        <f>"TUPELO                    "</f>
        <v xml:space="preserve">TUPELO                    </v>
      </c>
      <c r="F16856" t="str">
        <f t="shared" si="423"/>
        <v>MS</v>
      </c>
    </row>
    <row r="16857" spans="1:6" x14ac:dyDescent="0.25">
      <c r="A16857" t="str">
        <f>"200012092"</f>
        <v>200012092</v>
      </c>
      <c r="B16857" t="str">
        <f>"1952936908"</f>
        <v>1952936908</v>
      </c>
      <c r="C16857" t="str">
        <f>"207W00000X"</f>
        <v>207W00000X</v>
      </c>
      <c r="D16857" t="str">
        <f>"MCCLUNG                  DANIEL       M           "</f>
        <v xml:space="preserve">MCCLUNG                  DANIEL       M           </v>
      </c>
      <c r="E16857" t="str">
        <f>"MCCOMB                    "</f>
        <v xml:space="preserve">MCCOMB                    </v>
      </c>
      <c r="F16857" t="str">
        <f t="shared" si="423"/>
        <v>MS</v>
      </c>
    </row>
    <row r="16858" spans="1:6" x14ac:dyDescent="0.25">
      <c r="A16858" t="str">
        <f>"200012094"</f>
        <v>200012094</v>
      </c>
      <c r="B16858" t="str">
        <f>"1154172393"</f>
        <v>1154172393</v>
      </c>
      <c r="C16858" t="str">
        <f>"207R00000X"</f>
        <v>207R00000X</v>
      </c>
      <c r="D16858" t="str">
        <f>"AKUNNE                   HENRIETTA                "</f>
        <v xml:space="preserve">AKUNNE                   HENRIETTA                </v>
      </c>
      <c r="E16858" t="str">
        <f>"TUPELO                    "</f>
        <v xml:space="preserve">TUPELO                    </v>
      </c>
      <c r="F16858" t="str">
        <f t="shared" si="423"/>
        <v>MS</v>
      </c>
    </row>
    <row r="16859" spans="1:6" x14ac:dyDescent="0.25">
      <c r="A16859" t="str">
        <f>"200012095"</f>
        <v>200012095</v>
      </c>
      <c r="B16859" t="str">
        <f>"1366285363"</f>
        <v>1366285363</v>
      </c>
      <c r="C16859" t="str">
        <f>"207Q00000X"</f>
        <v>207Q00000X</v>
      </c>
      <c r="D16859" t="str">
        <f>"HARVILLE                 ALI          P           "</f>
        <v xml:space="preserve">HARVILLE                 ALI          P           </v>
      </c>
      <c r="E16859" t="str">
        <f>"TUPELO                    "</f>
        <v xml:space="preserve">TUPELO                    </v>
      </c>
      <c r="F16859" t="str">
        <f t="shared" si="423"/>
        <v>MS</v>
      </c>
    </row>
    <row r="16860" spans="1:6" x14ac:dyDescent="0.25">
      <c r="A16860" t="str">
        <f>"200012100"</f>
        <v>200012100</v>
      </c>
      <c r="B16860" t="str">
        <f>"1528475084"</f>
        <v>1528475084</v>
      </c>
      <c r="C16860" t="str">
        <f>"363L00000X"</f>
        <v>363L00000X</v>
      </c>
      <c r="D16860" t="str">
        <f>"SALISKI                  WILLIAM                  "</f>
        <v xml:space="preserve">SALISKI                  WILLIAM                  </v>
      </c>
      <c r="E16860" t="str">
        <f>"DIBERVILLE                "</f>
        <v xml:space="preserve">DIBERVILLE                </v>
      </c>
      <c r="F16860" t="str">
        <f t="shared" si="423"/>
        <v>MS</v>
      </c>
    </row>
    <row r="16861" spans="1:6" x14ac:dyDescent="0.25">
      <c r="A16861" t="str">
        <f>"200012120"</f>
        <v>200012120</v>
      </c>
      <c r="B16861" t="str">
        <f>"1508494410"</f>
        <v>1508494410</v>
      </c>
      <c r="C16861" t="str">
        <f>"207R00000X"</f>
        <v>207R00000X</v>
      </c>
      <c r="D16861" t="str">
        <f>"SMITH                    GRACE        E           "</f>
        <v xml:space="preserve">SMITH                    GRACE        E           </v>
      </c>
      <c r="E16861" t="str">
        <f>"GULFPORT                  "</f>
        <v xml:space="preserve">GULFPORT                  </v>
      </c>
      <c r="F16861" t="str">
        <f t="shared" si="423"/>
        <v>MS</v>
      </c>
    </row>
    <row r="16862" spans="1:6" x14ac:dyDescent="0.25">
      <c r="A16862" t="str">
        <f>"200012122"</f>
        <v>200012122</v>
      </c>
      <c r="B16862" t="str">
        <f>"1063155323"</f>
        <v>1063155323</v>
      </c>
      <c r="C16862" t="str">
        <f>"2084P0800X"</f>
        <v>2084P0800X</v>
      </c>
      <c r="D16862" t="str">
        <f>"MEADORS                  ALEXIS                   "</f>
        <v xml:space="preserve">MEADORS                  ALEXIS                   </v>
      </c>
      <c r="E16862" t="str">
        <f>"PASCAGOULA                "</f>
        <v xml:space="preserve">PASCAGOULA                </v>
      </c>
      <c r="F16862" t="str">
        <f t="shared" si="423"/>
        <v>MS</v>
      </c>
    </row>
    <row r="16863" spans="1:6" x14ac:dyDescent="0.25">
      <c r="A16863" t="str">
        <f>"200012126"</f>
        <v>200012126</v>
      </c>
      <c r="B16863" t="str">
        <f>"1861635799"</f>
        <v>1861635799</v>
      </c>
      <c r="C16863" t="str">
        <f>"363L00000X"</f>
        <v>363L00000X</v>
      </c>
      <c r="D16863" t="str">
        <f>"HANNAH                   JANET                    "</f>
        <v xml:space="preserve">HANNAH                   JANET                    </v>
      </c>
      <c r="E16863" t="str">
        <f>"WEST POINT                "</f>
        <v xml:space="preserve">WEST POINT                </v>
      </c>
      <c r="F16863" t="str">
        <f t="shared" si="423"/>
        <v>MS</v>
      </c>
    </row>
    <row r="16864" spans="1:6" x14ac:dyDescent="0.25">
      <c r="A16864" t="str">
        <f>"200012127"</f>
        <v>200012127</v>
      </c>
      <c r="B16864" t="str">
        <f>"1134977424"</f>
        <v>1134977424</v>
      </c>
      <c r="C16864" t="str">
        <f>"363LF0000X"</f>
        <v>363LF0000X</v>
      </c>
      <c r="D16864" t="str">
        <f>"MCCREIGHT                KELLI                    "</f>
        <v xml:space="preserve">MCCREIGHT                KELLI                    </v>
      </c>
      <c r="E16864" t="str">
        <f>"GULFPORT                  "</f>
        <v xml:space="preserve">GULFPORT                  </v>
      </c>
      <c r="F16864" t="str">
        <f t="shared" si="423"/>
        <v>MS</v>
      </c>
    </row>
    <row r="16865" spans="1:6" x14ac:dyDescent="0.25">
      <c r="A16865" t="str">
        <f>"200012155"</f>
        <v>200012155</v>
      </c>
      <c r="B16865" t="str">
        <f>"1881823417"</f>
        <v>1881823417</v>
      </c>
      <c r="C16865" t="str">
        <f>"207V00000X"</f>
        <v>207V00000X</v>
      </c>
      <c r="D16865" t="str">
        <f>"MITCHELL                 SARAH                    "</f>
        <v xml:space="preserve">MITCHELL                 SARAH                    </v>
      </c>
      <c r="E16865" t="str">
        <f>"GREENVILLE                "</f>
        <v xml:space="preserve">GREENVILLE                </v>
      </c>
      <c r="F16865" t="str">
        <f t="shared" si="423"/>
        <v>MS</v>
      </c>
    </row>
    <row r="16866" spans="1:6" x14ac:dyDescent="0.25">
      <c r="A16866" t="str">
        <f>"200012157"</f>
        <v>200012157</v>
      </c>
      <c r="B16866" t="str">
        <f>"1760431662"</f>
        <v>1760431662</v>
      </c>
      <c r="C16866" t="str">
        <f>"207RC0000X"</f>
        <v>207RC0000X</v>
      </c>
      <c r="D16866" t="str">
        <f>"AWAN                     GHULAM                   "</f>
        <v xml:space="preserve">AWAN                     GHULAM                   </v>
      </c>
      <c r="E16866" t="str">
        <f>"BILOXI                    "</f>
        <v xml:space="preserve">BILOXI                    </v>
      </c>
      <c r="F16866" t="str">
        <f t="shared" si="423"/>
        <v>MS</v>
      </c>
    </row>
    <row r="16867" spans="1:6" x14ac:dyDescent="0.25">
      <c r="A16867" t="str">
        <f>"200012160"</f>
        <v>200012160</v>
      </c>
      <c r="B16867" t="str">
        <f>"1689450520"</f>
        <v>1689450520</v>
      </c>
      <c r="C16867" t="str">
        <f>"363L00000X"</f>
        <v>363L00000X</v>
      </c>
      <c r="D16867" t="str">
        <f>"PETTY                    POYU         B           "</f>
        <v xml:space="preserve">PETTY                    POYU         B           </v>
      </c>
      <c r="E16867" t="str">
        <f>"NEW ALBANY                "</f>
        <v xml:space="preserve">NEW ALBANY                </v>
      </c>
      <c r="F16867" t="str">
        <f t="shared" si="423"/>
        <v>MS</v>
      </c>
    </row>
    <row r="16868" spans="1:6" x14ac:dyDescent="0.25">
      <c r="A16868" t="str">
        <f>"200012164"</f>
        <v>200012164</v>
      </c>
      <c r="B16868" t="str">
        <f>"1306102991"</f>
        <v>1306102991</v>
      </c>
      <c r="C16868" t="str">
        <f>"207L00000X"</f>
        <v>207L00000X</v>
      </c>
      <c r="D16868" t="str">
        <f>"PLANCHARD                JEFFREY      A           "</f>
        <v xml:space="preserve">PLANCHARD                JEFFREY      A           </v>
      </c>
      <c r="E16868" t="str">
        <f>"JACKSON                   "</f>
        <v xml:space="preserve">JACKSON                   </v>
      </c>
      <c r="F16868" t="str">
        <f t="shared" si="423"/>
        <v>MS</v>
      </c>
    </row>
    <row r="16869" spans="1:6" x14ac:dyDescent="0.25">
      <c r="A16869" t="str">
        <f>"200012165"</f>
        <v>200012165</v>
      </c>
      <c r="B16869" t="str">
        <f>"1902484017"</f>
        <v>1902484017</v>
      </c>
      <c r="C16869" t="str">
        <f>"207Q00000X"</f>
        <v>207Q00000X</v>
      </c>
      <c r="D16869" t="str">
        <f>"CAPPLEMAN                WILLIAM                  "</f>
        <v xml:space="preserve">CAPPLEMAN                WILLIAM                  </v>
      </c>
      <c r="E16869" t="str">
        <f>"AMORY                     "</f>
        <v xml:space="preserve">AMORY                     </v>
      </c>
      <c r="F16869" t="str">
        <f t="shared" si="423"/>
        <v>MS</v>
      </c>
    </row>
    <row r="16870" spans="1:6" x14ac:dyDescent="0.25">
      <c r="A16870" t="str">
        <f>"200012170"</f>
        <v>200012170</v>
      </c>
      <c r="B16870" t="str">
        <f>"1255181095"</f>
        <v>1255181095</v>
      </c>
      <c r="C16870" t="str">
        <f>"363LP0808X"</f>
        <v>363LP0808X</v>
      </c>
      <c r="D16870" t="str">
        <f>"CHISM                    ASHLEY                   "</f>
        <v xml:space="preserve">CHISM                    ASHLEY                   </v>
      </c>
      <c r="E16870" t="str">
        <f>"HATTIESBURG               "</f>
        <v xml:space="preserve">HATTIESBURG               </v>
      </c>
      <c r="F16870" t="str">
        <f t="shared" si="423"/>
        <v>MS</v>
      </c>
    </row>
    <row r="16871" spans="1:6" x14ac:dyDescent="0.25">
      <c r="A16871" t="str">
        <f>"200012171"</f>
        <v>200012171</v>
      </c>
      <c r="B16871" t="str">
        <f>"1609404201"</f>
        <v>1609404201</v>
      </c>
      <c r="C16871" t="str">
        <f>"2084P0800X"</f>
        <v>2084P0800X</v>
      </c>
      <c r="D16871" t="str">
        <f>"RADLEY                   ALLISON      M           "</f>
        <v xml:space="preserve">RADLEY                   ALLISON      M           </v>
      </c>
      <c r="E16871" t="str">
        <f>"HATTIESBURG               "</f>
        <v xml:space="preserve">HATTIESBURG               </v>
      </c>
      <c r="F16871" t="str">
        <f t="shared" si="423"/>
        <v>MS</v>
      </c>
    </row>
    <row r="16872" spans="1:6" x14ac:dyDescent="0.25">
      <c r="A16872" t="str">
        <f>"200012174"</f>
        <v>200012174</v>
      </c>
      <c r="B16872" t="str">
        <f>"1467071167"</f>
        <v>1467071167</v>
      </c>
      <c r="C16872" t="str">
        <f>"207RG0300X"</f>
        <v>207RG0300X</v>
      </c>
      <c r="D16872" t="str">
        <f>"PARKS                    SARA                     "</f>
        <v xml:space="preserve">PARKS                    SARA                     </v>
      </c>
      <c r="E16872" t="str">
        <f>"JACKSON                   "</f>
        <v xml:space="preserve">JACKSON                   </v>
      </c>
      <c r="F16872" t="str">
        <f t="shared" si="423"/>
        <v>MS</v>
      </c>
    </row>
    <row r="16873" spans="1:6" x14ac:dyDescent="0.25">
      <c r="A16873" t="str">
        <f>"200012177"</f>
        <v>200012177</v>
      </c>
      <c r="B16873" t="str">
        <f>"1467621524"</f>
        <v>1467621524</v>
      </c>
      <c r="C16873" t="str">
        <f>"207W00000X"</f>
        <v>207W00000X</v>
      </c>
      <c r="D16873" t="str">
        <f>"ALLISON                  SEAN         C           "</f>
        <v xml:space="preserve">ALLISON                  SEAN         C           </v>
      </c>
      <c r="E16873" t="str">
        <f>"HATTIESBURG               "</f>
        <v xml:space="preserve">HATTIESBURG               </v>
      </c>
      <c r="F16873" t="str">
        <f t="shared" si="423"/>
        <v>MS</v>
      </c>
    </row>
    <row r="16874" spans="1:6" x14ac:dyDescent="0.25">
      <c r="A16874" t="str">
        <f>"200012183"</f>
        <v>200012183</v>
      </c>
      <c r="B16874" t="str">
        <f>"1609492966"</f>
        <v>1609492966</v>
      </c>
      <c r="C16874" t="str">
        <f>"363L00000X"</f>
        <v>363L00000X</v>
      </c>
      <c r="D16874" t="str">
        <f>"CASEVECHIA               LAUREN                   "</f>
        <v xml:space="preserve">CASEVECHIA               LAUREN                   </v>
      </c>
      <c r="E16874" t="str">
        <f>"FLOWOOD                   "</f>
        <v xml:space="preserve">FLOWOOD                   </v>
      </c>
      <c r="F16874" t="str">
        <f t="shared" si="423"/>
        <v>MS</v>
      </c>
    </row>
    <row r="16875" spans="1:6" x14ac:dyDescent="0.25">
      <c r="A16875" t="str">
        <f>"200012187"</f>
        <v>200012187</v>
      </c>
      <c r="B16875" t="str">
        <f>"1235244450"</f>
        <v>1235244450</v>
      </c>
      <c r="C16875" t="str">
        <f>"207QG0300X"</f>
        <v>207QG0300X</v>
      </c>
      <c r="D16875" t="str">
        <f>"WARHAFTIG                MONICA                   "</f>
        <v xml:space="preserve">WARHAFTIG                MONICA                   </v>
      </c>
      <c r="E16875" t="str">
        <f>"OLIVE BRANCH              "</f>
        <v xml:space="preserve">OLIVE BRANCH              </v>
      </c>
      <c r="F16875" t="str">
        <f t="shared" si="423"/>
        <v>MS</v>
      </c>
    </row>
    <row r="16876" spans="1:6" x14ac:dyDescent="0.25">
      <c r="A16876" t="str">
        <f>"200012191"</f>
        <v>200012191</v>
      </c>
      <c r="B16876" t="str">
        <f>"1912740911"</f>
        <v>1912740911</v>
      </c>
      <c r="C16876" t="str">
        <f>"207Q00000X"</f>
        <v>207Q00000X</v>
      </c>
      <c r="D16876" t="str">
        <f>"WILLOUGHBY               GRACE        E           "</f>
        <v xml:space="preserve">WILLOUGHBY               GRACE        E           </v>
      </c>
      <c r="E16876" t="str">
        <f>"TUPELO                    "</f>
        <v xml:space="preserve">TUPELO                    </v>
      </c>
      <c r="F16876" t="str">
        <f t="shared" si="423"/>
        <v>MS</v>
      </c>
    </row>
    <row r="16877" spans="1:6" x14ac:dyDescent="0.25">
      <c r="A16877" t="str">
        <f>"200012195"</f>
        <v>200012195</v>
      </c>
      <c r="B16877" t="str">
        <f>"1740777200"</f>
        <v>1740777200</v>
      </c>
      <c r="C16877" t="str">
        <f>"207P00000X"</f>
        <v>207P00000X</v>
      </c>
      <c r="D16877" t="str">
        <f>"WALKER                   ERIN                     "</f>
        <v xml:space="preserve">WALKER                   ERIN                     </v>
      </c>
      <c r="E16877" t="str">
        <f>"HATTIESBURG               "</f>
        <v xml:space="preserve">HATTIESBURG               </v>
      </c>
      <c r="F16877" t="str">
        <f t="shared" si="423"/>
        <v>MS</v>
      </c>
    </row>
    <row r="16878" spans="1:6" x14ac:dyDescent="0.25">
      <c r="A16878" t="str">
        <f>"200012201"</f>
        <v>200012201</v>
      </c>
      <c r="B16878" t="str">
        <f>"1366287039"</f>
        <v>1366287039</v>
      </c>
      <c r="C16878" t="str">
        <f>"363L00000X"</f>
        <v>363L00000X</v>
      </c>
      <c r="D16878" t="str">
        <f>"CRAPPS                   ASHLEY                   "</f>
        <v xml:space="preserve">CRAPPS                   ASHLEY                   </v>
      </c>
      <c r="E16878" t="str">
        <f>"CARTHAGE                  "</f>
        <v xml:space="preserve">CARTHAGE                  </v>
      </c>
      <c r="F16878" t="str">
        <f t="shared" si="423"/>
        <v>MS</v>
      </c>
    </row>
    <row r="16879" spans="1:6" x14ac:dyDescent="0.25">
      <c r="A16879" t="str">
        <f>"200012202"</f>
        <v>200012202</v>
      </c>
      <c r="B16879" t="str">
        <f>"1487187068"</f>
        <v>1487187068</v>
      </c>
      <c r="C16879" t="str">
        <f>"363LW0102X"</f>
        <v>363LW0102X</v>
      </c>
      <c r="D16879" t="str">
        <f>"HARGETT                  CASEY                    "</f>
        <v xml:space="preserve">HARGETT                  CASEY                    </v>
      </c>
      <c r="E16879" t="str">
        <f>"TUPELO                    "</f>
        <v xml:space="preserve">TUPELO                    </v>
      </c>
      <c r="F16879" t="str">
        <f t="shared" si="423"/>
        <v>MS</v>
      </c>
    </row>
    <row r="16880" spans="1:6" x14ac:dyDescent="0.25">
      <c r="A16880" t="str">
        <f>"200012204"</f>
        <v>200012204</v>
      </c>
      <c r="B16880" t="str">
        <f>"1144064551"</f>
        <v>1144064551</v>
      </c>
      <c r="C16880" t="str">
        <f>"363LF0000X"</f>
        <v>363LF0000X</v>
      </c>
      <c r="D16880" t="str">
        <f>"ALLEN                    SHAUNA                   "</f>
        <v xml:space="preserve">ALLEN                    SHAUNA                   </v>
      </c>
      <c r="E16880" t="str">
        <f>"SOUTHAVEN                 "</f>
        <v xml:space="preserve">SOUTHAVEN                 </v>
      </c>
      <c r="F16880" t="str">
        <f t="shared" si="423"/>
        <v>MS</v>
      </c>
    </row>
    <row r="16881" spans="1:6" x14ac:dyDescent="0.25">
      <c r="A16881" t="str">
        <f>"200012213"</f>
        <v>200012213</v>
      </c>
      <c r="B16881" t="str">
        <f>"1245087519"</f>
        <v>1245087519</v>
      </c>
      <c r="C16881" t="str">
        <f>"207R00000X"</f>
        <v>207R00000X</v>
      </c>
      <c r="D16881" t="str">
        <f>"QUIROZ ALFARO            ALEJANDRO                "</f>
        <v xml:space="preserve">QUIROZ ALFARO            ALEJANDRO                </v>
      </c>
      <c r="E16881" t="str">
        <f>"TUPELO                    "</f>
        <v xml:space="preserve">TUPELO                    </v>
      </c>
      <c r="F16881" t="str">
        <f t="shared" si="423"/>
        <v>MS</v>
      </c>
    </row>
    <row r="16882" spans="1:6" x14ac:dyDescent="0.25">
      <c r="A16882" t="str">
        <f>"200012215"</f>
        <v>200012215</v>
      </c>
      <c r="B16882" t="str">
        <f>"1881454734"</f>
        <v>1881454734</v>
      </c>
      <c r="C16882" t="str">
        <f>"207Q00000X"</f>
        <v>207Q00000X</v>
      </c>
      <c r="D16882" t="str">
        <f>"MOORE                    ZOE          E           "</f>
        <v xml:space="preserve">MOORE                    ZOE          E           </v>
      </c>
      <c r="E16882" t="str">
        <f>"HATTIESBURG               "</f>
        <v xml:space="preserve">HATTIESBURG               </v>
      </c>
      <c r="F16882" t="str">
        <f t="shared" si="423"/>
        <v>MS</v>
      </c>
    </row>
    <row r="16883" spans="1:6" x14ac:dyDescent="0.25">
      <c r="A16883" t="str">
        <f>"200012217"</f>
        <v>200012217</v>
      </c>
      <c r="B16883" t="str">
        <f>"1174221899"</f>
        <v>1174221899</v>
      </c>
      <c r="C16883" t="str">
        <f>"363L00000X"</f>
        <v>363L00000X</v>
      </c>
      <c r="D16883" t="str">
        <f>"PATEL                    SAJANI                   "</f>
        <v xml:space="preserve">PATEL                    SAJANI                   </v>
      </c>
      <c r="E16883" t="str">
        <f>"VICKSBURG                 "</f>
        <v xml:space="preserve">VICKSBURG                 </v>
      </c>
      <c r="F16883" t="str">
        <f t="shared" si="423"/>
        <v>MS</v>
      </c>
    </row>
    <row r="16884" spans="1:6" x14ac:dyDescent="0.25">
      <c r="A16884" t="str">
        <f>"200012218"</f>
        <v>200012218</v>
      </c>
      <c r="B16884" t="str">
        <f>"1801639802"</f>
        <v>1801639802</v>
      </c>
      <c r="C16884" t="str">
        <f>"207Q00000X"</f>
        <v>207Q00000X</v>
      </c>
      <c r="D16884" t="str">
        <f>"TAYLOR                   JANA         M           "</f>
        <v xml:space="preserve">TAYLOR                   JANA         M           </v>
      </c>
      <c r="E16884" t="str">
        <f>"TUPELO                    "</f>
        <v xml:space="preserve">TUPELO                    </v>
      </c>
      <c r="F16884" t="str">
        <f t="shared" si="423"/>
        <v>MS</v>
      </c>
    </row>
    <row r="16885" spans="1:6" x14ac:dyDescent="0.25">
      <c r="A16885" t="str">
        <f>"200012226"</f>
        <v>200012226</v>
      </c>
      <c r="B16885" t="str">
        <f>"1649951237"</f>
        <v>1649951237</v>
      </c>
      <c r="C16885" t="str">
        <f>"207R00000X"</f>
        <v>207R00000X</v>
      </c>
      <c r="D16885" t="str">
        <f>"WATSON                   BRYANT       G           "</f>
        <v xml:space="preserve">WATSON                   BRYANT       G           </v>
      </c>
      <c r="E16885" t="str">
        <f>"OXFORD                    "</f>
        <v xml:space="preserve">OXFORD                    </v>
      </c>
      <c r="F16885" t="str">
        <f t="shared" si="423"/>
        <v>MS</v>
      </c>
    </row>
    <row r="16886" spans="1:6" x14ac:dyDescent="0.25">
      <c r="A16886" t="str">
        <f>"200012227"</f>
        <v>200012227</v>
      </c>
      <c r="B16886" t="str">
        <f>"1821592536"</f>
        <v>1821592536</v>
      </c>
      <c r="C16886" t="str">
        <f>"2080P0202X"</f>
        <v>2080P0202X</v>
      </c>
      <c r="D16886" t="str">
        <f>"ERO                      OSASERE      K           "</f>
        <v xml:space="preserve">ERO                      OSASERE      K           </v>
      </c>
      <c r="E16886" t="str">
        <f>"MERIDIAN                  "</f>
        <v xml:space="preserve">MERIDIAN                  </v>
      </c>
      <c r="F16886" t="str">
        <f t="shared" si="423"/>
        <v>MS</v>
      </c>
    </row>
    <row r="16887" spans="1:6" x14ac:dyDescent="0.25">
      <c r="A16887" t="str">
        <f>"200012232"</f>
        <v>200012232</v>
      </c>
      <c r="B16887" t="str">
        <f>"1528221009"</f>
        <v>1528221009</v>
      </c>
      <c r="C16887" t="str">
        <f>"207R00000X"</f>
        <v>207R00000X</v>
      </c>
      <c r="D16887" t="str">
        <f>"MCLEAN                   VICKY                    "</f>
        <v xml:space="preserve">MCLEAN                   VICKY                    </v>
      </c>
      <c r="E16887" t="str">
        <f>"MERIDIAN                  "</f>
        <v xml:space="preserve">MERIDIAN                  </v>
      </c>
      <c r="F16887" t="str">
        <f t="shared" si="423"/>
        <v>MS</v>
      </c>
    </row>
    <row r="16888" spans="1:6" x14ac:dyDescent="0.25">
      <c r="A16888" t="str">
        <f>"200012239"</f>
        <v>200012239</v>
      </c>
      <c r="B16888" t="str">
        <f>"1215771969"</f>
        <v>1215771969</v>
      </c>
      <c r="C16888" t="str">
        <f>"207Q00000X"</f>
        <v>207Q00000X</v>
      </c>
      <c r="D16888" t="str">
        <f>"MOHAMMED                 RAYYAN                   "</f>
        <v xml:space="preserve">MOHAMMED                 RAYYAN                   </v>
      </c>
      <c r="E16888" t="str">
        <f>"TUPELO                    "</f>
        <v xml:space="preserve">TUPELO                    </v>
      </c>
      <c r="F16888" t="str">
        <f t="shared" si="423"/>
        <v>MS</v>
      </c>
    </row>
    <row r="16889" spans="1:6" x14ac:dyDescent="0.25">
      <c r="A16889" t="str">
        <f>"200012240"</f>
        <v>200012240</v>
      </c>
      <c r="B16889" t="str">
        <f>"1306868708"</f>
        <v>1306868708</v>
      </c>
      <c r="C16889" t="str">
        <f>"363L00000X"</f>
        <v>363L00000X</v>
      </c>
      <c r="D16889" t="str">
        <f>"AGUEZE                   KELLIE                   "</f>
        <v xml:space="preserve">AGUEZE                   KELLIE                   </v>
      </c>
      <c r="E16889" t="str">
        <f>"JACKSON                   "</f>
        <v xml:space="preserve">JACKSON                   </v>
      </c>
      <c r="F16889" t="str">
        <f t="shared" si="423"/>
        <v>MS</v>
      </c>
    </row>
    <row r="16890" spans="1:6" x14ac:dyDescent="0.25">
      <c r="A16890" t="str">
        <f>"200012246"</f>
        <v>200012246</v>
      </c>
      <c r="B16890" t="str">
        <f>"1982455762"</f>
        <v>1982455762</v>
      </c>
      <c r="C16890" t="str">
        <f>"207R00000X"</f>
        <v>207R00000X</v>
      </c>
      <c r="D16890" t="str">
        <f>"WILLANS                  BROOKE       N           "</f>
        <v xml:space="preserve">WILLANS                  BROOKE       N           </v>
      </c>
      <c r="E16890" t="str">
        <f>"OXFORD                    "</f>
        <v xml:space="preserve">OXFORD                    </v>
      </c>
      <c r="F16890" t="str">
        <f t="shared" si="423"/>
        <v>MS</v>
      </c>
    </row>
    <row r="16891" spans="1:6" x14ac:dyDescent="0.25">
      <c r="A16891" t="str">
        <f>"200012260"</f>
        <v>200012260</v>
      </c>
      <c r="B16891" t="str">
        <f>"1285642330"</f>
        <v>1285642330</v>
      </c>
      <c r="C16891" t="str">
        <f>"207R00000X"</f>
        <v>207R00000X</v>
      </c>
      <c r="D16891" t="str">
        <f>"BOLTON                   DEWITT                   "</f>
        <v xml:space="preserve">BOLTON                   DEWITT                   </v>
      </c>
      <c r="E16891" t="str">
        <f>"PICAYUNE                  "</f>
        <v xml:space="preserve">PICAYUNE                  </v>
      </c>
      <c r="F16891" t="str">
        <f t="shared" si="423"/>
        <v>MS</v>
      </c>
    </row>
    <row r="16892" spans="1:6" x14ac:dyDescent="0.25">
      <c r="A16892" t="str">
        <f>"200012262"</f>
        <v>200012262</v>
      </c>
      <c r="B16892" t="str">
        <f>"1922843549"</f>
        <v>1922843549</v>
      </c>
      <c r="C16892" t="str">
        <f>"207R00000X"</f>
        <v>207R00000X</v>
      </c>
      <c r="D16892" t="str">
        <f>"ABDEL LATIF              MOHAMED                  "</f>
        <v xml:space="preserve">ABDEL LATIF              MOHAMED                  </v>
      </c>
      <c r="E16892" t="str">
        <f>"COLUMBUS                  "</f>
        <v xml:space="preserve">COLUMBUS                  </v>
      </c>
      <c r="F16892" t="str">
        <f t="shared" si="423"/>
        <v>MS</v>
      </c>
    </row>
    <row r="16893" spans="1:6" x14ac:dyDescent="0.25">
      <c r="A16893" t="str">
        <f>"200012266"</f>
        <v>200012266</v>
      </c>
      <c r="B16893" t="str">
        <f>"1801646864"</f>
        <v>1801646864</v>
      </c>
      <c r="C16893" t="str">
        <f>"207R00000X"</f>
        <v>207R00000X</v>
      </c>
      <c r="D16893" t="str">
        <f>"ARNAUD                   SPENCER      L           "</f>
        <v xml:space="preserve">ARNAUD                   SPENCER      L           </v>
      </c>
      <c r="E16893" t="str">
        <f>"OXFORD                    "</f>
        <v xml:space="preserve">OXFORD                    </v>
      </c>
      <c r="F16893" t="str">
        <f t="shared" si="423"/>
        <v>MS</v>
      </c>
    </row>
    <row r="16894" spans="1:6" x14ac:dyDescent="0.25">
      <c r="A16894" t="str">
        <f>"200012268"</f>
        <v>200012268</v>
      </c>
      <c r="B16894" t="str">
        <f>"1437160512"</f>
        <v>1437160512</v>
      </c>
      <c r="C16894" t="str">
        <f>"207R00000X"</f>
        <v>207R00000X</v>
      </c>
      <c r="D16894" t="str">
        <f>"OWENS                    CYNTHIA                  "</f>
        <v xml:space="preserve">OWENS                    CYNTHIA                  </v>
      </c>
      <c r="E16894" t="str">
        <f>"MERIDIAN                  "</f>
        <v xml:space="preserve">MERIDIAN                  </v>
      </c>
      <c r="F16894" t="str">
        <f t="shared" ref="F16894:F16957" si="424">"MS"</f>
        <v>MS</v>
      </c>
    </row>
    <row r="16895" spans="1:6" x14ac:dyDescent="0.25">
      <c r="A16895" t="str">
        <f>"200012273"</f>
        <v>200012273</v>
      </c>
      <c r="B16895" t="str">
        <f>"1689416257"</f>
        <v>1689416257</v>
      </c>
      <c r="C16895" t="str">
        <f>"363LF0000X"</f>
        <v>363LF0000X</v>
      </c>
      <c r="D16895" t="str">
        <f>"JONES                    KANDACE                  "</f>
        <v xml:space="preserve">JONES                    KANDACE                  </v>
      </c>
      <c r="E16895" t="str">
        <f>"JACKSON                   "</f>
        <v xml:space="preserve">JACKSON                   </v>
      </c>
      <c r="F16895" t="str">
        <f t="shared" si="424"/>
        <v>MS</v>
      </c>
    </row>
    <row r="16896" spans="1:6" x14ac:dyDescent="0.25">
      <c r="A16896" t="str">
        <f>"200012278"</f>
        <v>200012278</v>
      </c>
      <c r="B16896" t="str">
        <f>"1588942379"</f>
        <v>1588942379</v>
      </c>
      <c r="C16896" t="str">
        <f>"207R00000X"</f>
        <v>207R00000X</v>
      </c>
      <c r="D16896" t="str">
        <f>"TIZES                    BRUCE        R           "</f>
        <v xml:space="preserve">TIZES                    BRUCE        R           </v>
      </c>
      <c r="E16896" t="str">
        <f>"CHOCTAW                   "</f>
        <v xml:space="preserve">CHOCTAW                   </v>
      </c>
      <c r="F16896" t="str">
        <f t="shared" si="424"/>
        <v>MS</v>
      </c>
    </row>
    <row r="16897" spans="1:6" x14ac:dyDescent="0.25">
      <c r="A16897" t="str">
        <f>"200012293"</f>
        <v>200012293</v>
      </c>
      <c r="B16897" t="str">
        <f>"1730700105"</f>
        <v>1730700105</v>
      </c>
      <c r="C16897" t="str">
        <f>"2084P0800X"</f>
        <v>2084P0800X</v>
      </c>
      <c r="D16897" t="str">
        <f>"ELEEH                    PRINCE                   "</f>
        <v xml:space="preserve">ELEEH                    PRINCE                   </v>
      </c>
      <c r="E16897" t="str">
        <f>"SOUTHAVEN                 "</f>
        <v xml:space="preserve">SOUTHAVEN                 </v>
      </c>
      <c r="F16897" t="str">
        <f t="shared" si="424"/>
        <v>MS</v>
      </c>
    </row>
    <row r="16898" spans="1:6" x14ac:dyDescent="0.25">
      <c r="A16898" t="str">
        <f>"200012294"</f>
        <v>200012294</v>
      </c>
      <c r="B16898" t="str">
        <f>"1447337043"</f>
        <v>1447337043</v>
      </c>
      <c r="C16898" t="str">
        <f>"122300000X"</f>
        <v>122300000X</v>
      </c>
      <c r="D16898" t="str">
        <f>"FILZEN                   ANGELA                   "</f>
        <v xml:space="preserve">FILZEN                   ANGELA                   </v>
      </c>
      <c r="E16898" t="str">
        <f>"CARTHAGE                  "</f>
        <v xml:space="preserve">CARTHAGE                  </v>
      </c>
      <c r="F16898" t="str">
        <f t="shared" si="424"/>
        <v>MS</v>
      </c>
    </row>
    <row r="16899" spans="1:6" x14ac:dyDescent="0.25">
      <c r="A16899" t="str">
        <f>"200012296"</f>
        <v>200012296</v>
      </c>
      <c r="B16899" t="str">
        <f>"1336333962"</f>
        <v>1336333962</v>
      </c>
      <c r="C16899" t="str">
        <f>"363LF0000X"</f>
        <v>363LF0000X</v>
      </c>
      <c r="D16899" t="str">
        <f>"ERNST                    JENNIFER     A           "</f>
        <v xml:space="preserve">ERNST                    JENNIFER     A           </v>
      </c>
      <c r="E16899" t="str">
        <f>"RIPLEY                    "</f>
        <v xml:space="preserve">RIPLEY                    </v>
      </c>
      <c r="F16899" t="str">
        <f t="shared" si="424"/>
        <v>MS</v>
      </c>
    </row>
    <row r="16900" spans="1:6" x14ac:dyDescent="0.25">
      <c r="A16900" t="str">
        <f>"200012317"</f>
        <v>200012317</v>
      </c>
      <c r="B16900" t="str">
        <f>"1407606494"</f>
        <v>1407606494</v>
      </c>
      <c r="C16900" t="str">
        <f>"207R00000X"</f>
        <v>207R00000X</v>
      </c>
      <c r="D16900" t="str">
        <f>"DOUVILLE                 STEVEN       A           "</f>
        <v xml:space="preserve">DOUVILLE                 STEVEN       A           </v>
      </c>
      <c r="E16900" t="str">
        <f>"OXFORD                    "</f>
        <v xml:space="preserve">OXFORD                    </v>
      </c>
      <c r="F16900" t="str">
        <f t="shared" si="424"/>
        <v>MS</v>
      </c>
    </row>
    <row r="16901" spans="1:6" x14ac:dyDescent="0.25">
      <c r="A16901" t="str">
        <f>"200012319"</f>
        <v>200012319</v>
      </c>
      <c r="B16901" t="str">
        <f>"1265292262"</f>
        <v>1265292262</v>
      </c>
      <c r="C16901" t="str">
        <f>"207Q00000X"</f>
        <v>207Q00000X</v>
      </c>
      <c r="D16901" t="str">
        <f>"JACOBSON                 OREN         H           "</f>
        <v xml:space="preserve">JACOBSON                 OREN         H           </v>
      </c>
      <c r="E16901" t="str">
        <f>"HATTIESBURG               "</f>
        <v xml:space="preserve">HATTIESBURG               </v>
      </c>
      <c r="F16901" t="str">
        <f t="shared" si="424"/>
        <v>MS</v>
      </c>
    </row>
    <row r="16902" spans="1:6" x14ac:dyDescent="0.25">
      <c r="A16902" t="str">
        <f>"200012321"</f>
        <v>200012321</v>
      </c>
      <c r="B16902" t="str">
        <f>"1487404273"</f>
        <v>1487404273</v>
      </c>
      <c r="C16902" t="str">
        <f>"207R00000X"</f>
        <v>207R00000X</v>
      </c>
      <c r="D16902" t="str">
        <f>"KOPLITZ                  STEPHANIE    L           "</f>
        <v xml:space="preserve">KOPLITZ                  STEPHANIE    L           </v>
      </c>
      <c r="E16902" t="str">
        <f>"OXFORD                    "</f>
        <v xml:space="preserve">OXFORD                    </v>
      </c>
      <c r="F16902" t="str">
        <f t="shared" si="424"/>
        <v>MS</v>
      </c>
    </row>
    <row r="16903" spans="1:6" x14ac:dyDescent="0.25">
      <c r="A16903" t="str">
        <f>"200012324"</f>
        <v>200012324</v>
      </c>
      <c r="B16903" t="str">
        <f>"1184146284"</f>
        <v>1184146284</v>
      </c>
      <c r="C16903" t="str">
        <f>"207RI0011X"</f>
        <v>207RI0011X</v>
      </c>
      <c r="D16903" t="str">
        <f>"VENKATANARAYAN           AJAY         N           "</f>
        <v xml:space="preserve">VENKATANARAYAN           AJAY         N           </v>
      </c>
      <c r="E16903" t="str">
        <f>"OLIVE BRANCH              "</f>
        <v xml:space="preserve">OLIVE BRANCH              </v>
      </c>
      <c r="F16903" t="str">
        <f t="shared" si="424"/>
        <v>MS</v>
      </c>
    </row>
    <row r="16904" spans="1:6" x14ac:dyDescent="0.25">
      <c r="A16904" t="str">
        <f>"200012325"</f>
        <v>200012325</v>
      </c>
      <c r="B16904" t="str">
        <f>"1982282414"</f>
        <v>1982282414</v>
      </c>
      <c r="C16904" t="str">
        <f>"208000000X"</f>
        <v>208000000X</v>
      </c>
      <c r="D16904" t="str">
        <f>"WILTSHIRE                ABIGAIL      J           "</f>
        <v xml:space="preserve">WILTSHIRE                ABIGAIL      J           </v>
      </c>
      <c r="E16904" t="str">
        <f>"KOSCIUSKO                 "</f>
        <v xml:space="preserve">KOSCIUSKO                 </v>
      </c>
      <c r="F16904" t="str">
        <f t="shared" si="424"/>
        <v>MS</v>
      </c>
    </row>
    <row r="16905" spans="1:6" x14ac:dyDescent="0.25">
      <c r="A16905" t="str">
        <f>"200012328"</f>
        <v>200012328</v>
      </c>
      <c r="B16905" t="str">
        <f>"1508613274"</f>
        <v>1508613274</v>
      </c>
      <c r="C16905" t="str">
        <f>"363L00000X"</f>
        <v>363L00000X</v>
      </c>
      <c r="D16905" t="str">
        <f>"LUCAS                    TAMAR                    "</f>
        <v xml:space="preserve">LUCAS                    TAMAR                    </v>
      </c>
      <c r="E16905" t="str">
        <f>"FULTON                    "</f>
        <v xml:space="preserve">FULTON                    </v>
      </c>
      <c r="F16905" t="str">
        <f t="shared" si="424"/>
        <v>MS</v>
      </c>
    </row>
    <row r="16906" spans="1:6" x14ac:dyDescent="0.25">
      <c r="A16906" t="str">
        <f>"200012331"</f>
        <v>200012331</v>
      </c>
      <c r="B16906" t="str">
        <f>"1336989417"</f>
        <v>1336989417</v>
      </c>
      <c r="C16906" t="str">
        <f>"207Q00000X"</f>
        <v>207Q00000X</v>
      </c>
      <c r="D16906" t="str">
        <f>"BOWEN                    CALEB                    "</f>
        <v xml:space="preserve">BOWEN                    CALEB                    </v>
      </c>
      <c r="E16906" t="str">
        <f>"GULFPORT                  "</f>
        <v xml:space="preserve">GULFPORT                  </v>
      </c>
      <c r="F16906" t="str">
        <f t="shared" si="424"/>
        <v>MS</v>
      </c>
    </row>
    <row r="16907" spans="1:6" x14ac:dyDescent="0.25">
      <c r="A16907" t="str">
        <f>"200012335"</f>
        <v>200012335</v>
      </c>
      <c r="B16907" t="str">
        <f>"1407340409"</f>
        <v>1407340409</v>
      </c>
      <c r="C16907" t="str">
        <f>"2084N0400X"</f>
        <v>2084N0400X</v>
      </c>
      <c r="D16907" t="str">
        <f>"AMAR                     JORDAN                   "</f>
        <v xml:space="preserve">AMAR                     JORDAN                   </v>
      </c>
      <c r="E16907" t="str">
        <f>"SOUTHAVEN                 "</f>
        <v xml:space="preserve">SOUTHAVEN                 </v>
      </c>
      <c r="F16907" t="str">
        <f t="shared" si="424"/>
        <v>MS</v>
      </c>
    </row>
    <row r="16908" spans="1:6" x14ac:dyDescent="0.25">
      <c r="A16908" t="str">
        <f>"200012336"</f>
        <v>200012336</v>
      </c>
      <c r="B16908" t="str">
        <f>"1760651210"</f>
        <v>1760651210</v>
      </c>
      <c r="C16908" t="str">
        <f>"207Q00000X"</f>
        <v>207Q00000X</v>
      </c>
      <c r="D16908" t="str">
        <f>"LEMEN                    TIFFANI                  "</f>
        <v xml:space="preserve">LEMEN                    TIFFANI                  </v>
      </c>
      <c r="E16908" t="str">
        <f>"JACKSON                   "</f>
        <v xml:space="preserve">JACKSON                   </v>
      </c>
      <c r="F16908" t="str">
        <f t="shared" si="424"/>
        <v>MS</v>
      </c>
    </row>
    <row r="16909" spans="1:6" x14ac:dyDescent="0.25">
      <c r="A16909" t="str">
        <f>"200012340"</f>
        <v>200012340</v>
      </c>
      <c r="B16909" t="str">
        <f>"1023851664"</f>
        <v>1023851664</v>
      </c>
      <c r="C16909" t="str">
        <f>"207R00000X"</f>
        <v>207R00000X</v>
      </c>
      <c r="D16909" t="str">
        <f>"NADEEM                   MEHNAZ                   "</f>
        <v xml:space="preserve">NADEEM                   MEHNAZ                   </v>
      </c>
      <c r="E16909" t="str">
        <f>"OXFORD                    "</f>
        <v xml:space="preserve">OXFORD                    </v>
      </c>
      <c r="F16909" t="str">
        <f t="shared" si="424"/>
        <v>MS</v>
      </c>
    </row>
    <row r="16910" spans="1:6" x14ac:dyDescent="0.25">
      <c r="A16910" t="str">
        <f>"200012343"</f>
        <v>200012343</v>
      </c>
      <c r="B16910" t="str">
        <f>"1750126694"</f>
        <v>1750126694</v>
      </c>
      <c r="C16910" t="str">
        <f>"207R00000X"</f>
        <v>207R00000X</v>
      </c>
      <c r="D16910" t="str">
        <f>"TALWAR                   BHAVYA                   "</f>
        <v xml:space="preserve">TALWAR                   BHAVYA                   </v>
      </c>
      <c r="E16910" t="str">
        <f>"OXFORD                    "</f>
        <v xml:space="preserve">OXFORD                    </v>
      </c>
      <c r="F16910" t="str">
        <f t="shared" si="424"/>
        <v>MS</v>
      </c>
    </row>
    <row r="16911" spans="1:6" x14ac:dyDescent="0.25">
      <c r="A16911" t="str">
        <f>"200012344"</f>
        <v>200012344</v>
      </c>
      <c r="B16911" t="str">
        <f>"1700620143"</f>
        <v>1700620143</v>
      </c>
      <c r="C16911" t="str">
        <f>"207R00000X"</f>
        <v>207R00000X</v>
      </c>
      <c r="D16911" t="str">
        <f>"SHAH                     DHAIRYA      M           "</f>
        <v xml:space="preserve">SHAH                     DHAIRYA      M           </v>
      </c>
      <c r="E16911" t="str">
        <f>"OXFORD                    "</f>
        <v xml:space="preserve">OXFORD                    </v>
      </c>
      <c r="F16911" t="str">
        <f t="shared" si="424"/>
        <v>MS</v>
      </c>
    </row>
    <row r="16912" spans="1:6" x14ac:dyDescent="0.25">
      <c r="A16912" t="str">
        <f>"200012345"</f>
        <v>200012345</v>
      </c>
      <c r="B16912" t="str">
        <f>"1073937132"</f>
        <v>1073937132</v>
      </c>
      <c r="C16912" t="str">
        <f>"2085R0202X"</f>
        <v>2085R0202X</v>
      </c>
      <c r="D16912" t="str">
        <f>"RUSSELL                  TIMOTHY                  "</f>
        <v xml:space="preserve">RUSSELL                  TIMOTHY                  </v>
      </c>
      <c r="E16912" t="str">
        <f>"CALHOUN CITY              "</f>
        <v xml:space="preserve">CALHOUN CITY              </v>
      </c>
      <c r="F16912" t="str">
        <f t="shared" si="424"/>
        <v>MS</v>
      </c>
    </row>
    <row r="16913" spans="1:6" x14ac:dyDescent="0.25">
      <c r="A16913" t="str">
        <f>"200012346"</f>
        <v>200012346</v>
      </c>
      <c r="B16913" t="str">
        <f>"1639916182"</f>
        <v>1639916182</v>
      </c>
      <c r="C16913" t="str">
        <f>"363L00000X"</f>
        <v>363L00000X</v>
      </c>
      <c r="D16913" t="str">
        <f>"FULGHAM                  CARLEY                   "</f>
        <v xml:space="preserve">FULGHAM                  CARLEY                   </v>
      </c>
      <c r="E16913" t="str">
        <f>"WEST POINT                "</f>
        <v xml:space="preserve">WEST POINT                </v>
      </c>
      <c r="F16913" t="str">
        <f t="shared" si="424"/>
        <v>MS</v>
      </c>
    </row>
    <row r="16914" spans="1:6" x14ac:dyDescent="0.25">
      <c r="A16914" t="str">
        <f>"200012352"</f>
        <v>200012352</v>
      </c>
      <c r="B16914" t="str">
        <f>"1699397406"</f>
        <v>1699397406</v>
      </c>
      <c r="C16914" t="str">
        <f>"207V00000X"</f>
        <v>207V00000X</v>
      </c>
      <c r="D16914" t="str">
        <f>"PALMER                   KATHRYN                  "</f>
        <v xml:space="preserve">PALMER                   KATHRYN                  </v>
      </c>
      <c r="E16914" t="str">
        <f>"FLOWOOD                   "</f>
        <v xml:space="preserve">FLOWOOD                   </v>
      </c>
      <c r="F16914" t="str">
        <f t="shared" si="424"/>
        <v>MS</v>
      </c>
    </row>
    <row r="16915" spans="1:6" x14ac:dyDescent="0.25">
      <c r="A16915" t="str">
        <f>"200012354"</f>
        <v>200012354</v>
      </c>
      <c r="B16915" t="str">
        <f>"1932802386"</f>
        <v>1932802386</v>
      </c>
      <c r="C16915" t="str">
        <f>"2084P0800X"</f>
        <v>2084P0800X</v>
      </c>
      <c r="D16915" t="str">
        <f>"WOOTEN                   LUKE                     "</f>
        <v xml:space="preserve">WOOTEN                   LUKE                     </v>
      </c>
      <c r="E16915" t="str">
        <f>"JACKSON                   "</f>
        <v xml:space="preserve">JACKSON                   </v>
      </c>
      <c r="F16915" t="str">
        <f t="shared" si="424"/>
        <v>MS</v>
      </c>
    </row>
    <row r="16916" spans="1:6" x14ac:dyDescent="0.25">
      <c r="A16916" t="str">
        <f>"200012361"</f>
        <v>200012361</v>
      </c>
      <c r="B16916" t="str">
        <f>"1437545761"</f>
        <v>1437545761</v>
      </c>
      <c r="C16916" t="str">
        <f>"207P00000X"</f>
        <v>207P00000X</v>
      </c>
      <c r="D16916" t="str">
        <f>"LOCK                     WALLACE                  "</f>
        <v xml:space="preserve">LOCK                     WALLACE                  </v>
      </c>
      <c r="E16916" t="str">
        <f>"SOUTHAVEN                 "</f>
        <v xml:space="preserve">SOUTHAVEN                 </v>
      </c>
      <c r="F16916" t="str">
        <f t="shared" si="424"/>
        <v>MS</v>
      </c>
    </row>
    <row r="16917" spans="1:6" x14ac:dyDescent="0.25">
      <c r="A16917" t="str">
        <f>"200012362"</f>
        <v>200012362</v>
      </c>
      <c r="B16917" t="str">
        <f>"1215556048"</f>
        <v>1215556048</v>
      </c>
      <c r="C16917" t="str">
        <f>"207ND0900X"</f>
        <v>207ND0900X</v>
      </c>
      <c r="D16917" t="str">
        <f>"BADON                    HANNAH       R           "</f>
        <v xml:space="preserve">BADON                    HANNAH       R           </v>
      </c>
      <c r="E16917" t="str">
        <f>"PETAL                     "</f>
        <v xml:space="preserve">PETAL                     </v>
      </c>
      <c r="F16917" t="str">
        <f t="shared" si="424"/>
        <v>MS</v>
      </c>
    </row>
    <row r="16918" spans="1:6" x14ac:dyDescent="0.25">
      <c r="A16918" t="str">
        <f>"200012363"</f>
        <v>200012363</v>
      </c>
      <c r="B16918" t="str">
        <f>"1922565738"</f>
        <v>1922565738</v>
      </c>
      <c r="C16918" t="str">
        <f>"363LA2200X"</f>
        <v>363LA2200X</v>
      </c>
      <c r="D16918" t="str">
        <f>"HOOD                     DEBORAH                  "</f>
        <v xml:space="preserve">HOOD                     DEBORAH                  </v>
      </c>
      <c r="E16918" t="str">
        <f>"JACKSON                   "</f>
        <v xml:space="preserve">JACKSON                   </v>
      </c>
      <c r="F16918" t="str">
        <f t="shared" si="424"/>
        <v>MS</v>
      </c>
    </row>
    <row r="16919" spans="1:6" x14ac:dyDescent="0.25">
      <c r="A16919" t="str">
        <f>"200012367"</f>
        <v>200012367</v>
      </c>
      <c r="B16919" t="str">
        <f>"1255642948"</f>
        <v>1255642948</v>
      </c>
      <c r="C16919" t="str">
        <f>"207L00000X"</f>
        <v>207L00000X</v>
      </c>
      <c r="D16919" t="str">
        <f>"JERNIGAN                 JAMES                    "</f>
        <v xml:space="preserve">JERNIGAN                 JAMES                    </v>
      </c>
      <c r="E16919" t="str">
        <f>"HATTIESBURG               "</f>
        <v xml:space="preserve">HATTIESBURG               </v>
      </c>
      <c r="F16919" t="str">
        <f t="shared" si="424"/>
        <v>MS</v>
      </c>
    </row>
    <row r="16920" spans="1:6" x14ac:dyDescent="0.25">
      <c r="A16920" t="str">
        <f>"200012384"</f>
        <v>200012384</v>
      </c>
      <c r="B16920" t="str">
        <f>"1831718402"</f>
        <v>1831718402</v>
      </c>
      <c r="C16920" t="str">
        <f>"207V00000X"</f>
        <v>207V00000X</v>
      </c>
      <c r="D16920" t="str">
        <f>"WORTHY                   ALEXANDRA    J           "</f>
        <v xml:space="preserve">WORTHY                   ALEXANDRA    J           </v>
      </c>
      <c r="E16920" t="str">
        <f>"AMORY                     "</f>
        <v xml:space="preserve">AMORY                     </v>
      </c>
      <c r="F16920" t="str">
        <f t="shared" si="424"/>
        <v>MS</v>
      </c>
    </row>
    <row r="16921" spans="1:6" x14ac:dyDescent="0.25">
      <c r="A16921" t="str">
        <f>"200012386"</f>
        <v>200012386</v>
      </c>
      <c r="B16921" t="str">
        <f>"1740741362"</f>
        <v>1740741362</v>
      </c>
      <c r="C16921" t="str">
        <f>"207R00000X"</f>
        <v>207R00000X</v>
      </c>
      <c r="D16921" t="str">
        <f>"OSMAN                    SAFA                     "</f>
        <v xml:space="preserve">OSMAN                    SAFA                     </v>
      </c>
      <c r="E16921" t="str">
        <f>"TUPELO                    "</f>
        <v xml:space="preserve">TUPELO                    </v>
      </c>
      <c r="F16921" t="str">
        <f t="shared" si="424"/>
        <v>MS</v>
      </c>
    </row>
    <row r="16922" spans="1:6" x14ac:dyDescent="0.25">
      <c r="A16922" t="str">
        <f>"200012388"</f>
        <v>200012388</v>
      </c>
      <c r="B16922" t="str">
        <f>"1588304950"</f>
        <v>1588304950</v>
      </c>
      <c r="C16922" t="str">
        <f>"207Q00000X"</f>
        <v>207Q00000X</v>
      </c>
      <c r="D16922" t="str">
        <f>"TIWARI                   HRISHITA                 "</f>
        <v xml:space="preserve">TIWARI                   HRISHITA                 </v>
      </c>
      <c r="E16922" t="str">
        <f>"GULFPORT                  "</f>
        <v xml:space="preserve">GULFPORT                  </v>
      </c>
      <c r="F16922" t="str">
        <f t="shared" si="424"/>
        <v>MS</v>
      </c>
    </row>
    <row r="16923" spans="1:6" x14ac:dyDescent="0.25">
      <c r="A16923" t="str">
        <f>"200012389"</f>
        <v>200012389</v>
      </c>
      <c r="B16923" t="str">
        <f>"1801416219"</f>
        <v>1801416219</v>
      </c>
      <c r="C16923" t="str">
        <f>"1223S0112X"</f>
        <v>1223S0112X</v>
      </c>
      <c r="D16923" t="str">
        <f>"SOBIESK                  EVAN         R           "</f>
        <v xml:space="preserve">SOBIESK                  EVAN         R           </v>
      </c>
      <c r="E16923" t="str">
        <f>"HATTIESBURG               "</f>
        <v xml:space="preserve">HATTIESBURG               </v>
      </c>
      <c r="F16923" t="str">
        <f t="shared" si="424"/>
        <v>MS</v>
      </c>
    </row>
    <row r="16924" spans="1:6" x14ac:dyDescent="0.25">
      <c r="A16924" t="str">
        <f>"200012390"</f>
        <v>200012390</v>
      </c>
      <c r="B16924" t="str">
        <f>"1497444285"</f>
        <v>1497444285</v>
      </c>
      <c r="C16924" t="str">
        <f>"363LF0000X"</f>
        <v>363LF0000X</v>
      </c>
      <c r="D16924" t="str">
        <f>"WITTER                   ASHLEY                   "</f>
        <v xml:space="preserve">WITTER                   ASHLEY                   </v>
      </c>
      <c r="E16924" t="str">
        <f>"OCEAN SPRINGS             "</f>
        <v xml:space="preserve">OCEAN SPRINGS             </v>
      </c>
      <c r="F16924" t="str">
        <f t="shared" si="424"/>
        <v>MS</v>
      </c>
    </row>
    <row r="16925" spans="1:6" x14ac:dyDescent="0.25">
      <c r="A16925" t="str">
        <f>"200012407"</f>
        <v>200012407</v>
      </c>
      <c r="B16925" t="str">
        <f>"1760655526"</f>
        <v>1760655526</v>
      </c>
      <c r="C16925" t="str">
        <f>"207R00000X"</f>
        <v>207R00000X</v>
      </c>
      <c r="D16925" t="str">
        <f>"MURTAGH                  JAMES                    "</f>
        <v xml:space="preserve">MURTAGH                  JAMES                    </v>
      </c>
      <c r="E16925" t="str">
        <f>"AMORY                     "</f>
        <v xml:space="preserve">AMORY                     </v>
      </c>
      <c r="F16925" t="str">
        <f t="shared" si="424"/>
        <v>MS</v>
      </c>
    </row>
    <row r="16926" spans="1:6" x14ac:dyDescent="0.25">
      <c r="A16926" t="str">
        <f>"200012413"</f>
        <v>200012413</v>
      </c>
      <c r="B16926" t="str">
        <f>"1356961890"</f>
        <v>1356961890</v>
      </c>
      <c r="C16926" t="str">
        <f>"207P00000X"</f>
        <v>207P00000X</v>
      </c>
      <c r="D16926" t="str">
        <f>"WHITCOMB                 DANIEL                   "</f>
        <v xml:space="preserve">WHITCOMB                 DANIEL                   </v>
      </c>
      <c r="E16926" t="str">
        <f>"AMORY                     "</f>
        <v xml:space="preserve">AMORY                     </v>
      </c>
      <c r="F16926" t="str">
        <f t="shared" si="424"/>
        <v>MS</v>
      </c>
    </row>
    <row r="16927" spans="1:6" x14ac:dyDescent="0.25">
      <c r="A16927" t="str">
        <f>"200012421"</f>
        <v>200012421</v>
      </c>
      <c r="B16927" t="str">
        <f>"1154178416"</f>
        <v>1154178416</v>
      </c>
      <c r="C16927" t="str">
        <f>"363L00000X"</f>
        <v>363L00000X</v>
      </c>
      <c r="D16927" t="str">
        <f>"ANDERSON                 JOSEPH                   "</f>
        <v xml:space="preserve">ANDERSON                 JOSEPH                   </v>
      </c>
      <c r="E16927" t="str">
        <f>"PICAYUNE                  "</f>
        <v xml:space="preserve">PICAYUNE                  </v>
      </c>
      <c r="F16927" t="str">
        <f t="shared" si="424"/>
        <v>MS</v>
      </c>
    </row>
    <row r="16928" spans="1:6" x14ac:dyDescent="0.25">
      <c r="A16928" t="str">
        <f>"200012426"</f>
        <v>200012426</v>
      </c>
      <c r="B16928" t="str">
        <f>"1962913178"</f>
        <v>1962913178</v>
      </c>
      <c r="C16928" t="str">
        <f>"207RI0011X"</f>
        <v>207RI0011X</v>
      </c>
      <c r="D16928" t="str">
        <f>"OMAR                     ALAA                     "</f>
        <v xml:space="preserve">OMAR                     ALAA                     </v>
      </c>
      <c r="E16928" t="str">
        <f>"MCCOMB                    "</f>
        <v xml:space="preserve">MCCOMB                    </v>
      </c>
      <c r="F16928" t="str">
        <f t="shared" si="424"/>
        <v>MS</v>
      </c>
    </row>
    <row r="16929" spans="1:6" x14ac:dyDescent="0.25">
      <c r="A16929" t="str">
        <f>"200012428"</f>
        <v>200012428</v>
      </c>
      <c r="B16929" t="str">
        <f>"1891233300"</f>
        <v>1891233300</v>
      </c>
      <c r="C16929" t="str">
        <f>"363LF0000X"</f>
        <v>363LF0000X</v>
      </c>
      <c r="D16929" t="str">
        <f>"PATTERSON                SHERI                    "</f>
        <v xml:space="preserve">PATTERSON                SHERI                    </v>
      </c>
      <c r="E16929" t="str">
        <f>"TUPELO                    "</f>
        <v xml:space="preserve">TUPELO                    </v>
      </c>
      <c r="F16929" t="str">
        <f t="shared" si="424"/>
        <v>MS</v>
      </c>
    </row>
    <row r="16930" spans="1:6" x14ac:dyDescent="0.25">
      <c r="A16930" t="str">
        <f>"200012436"</f>
        <v>200012436</v>
      </c>
      <c r="B16930" t="str">
        <f>"1356001614"</f>
        <v>1356001614</v>
      </c>
      <c r="C16930" t="str">
        <f>"363A00000X"</f>
        <v>363A00000X</v>
      </c>
      <c r="D16930" t="str">
        <f>"HOOD                     BETSY                    "</f>
        <v xml:space="preserve">HOOD                     BETSY                    </v>
      </c>
      <c r="E16930" t="str">
        <f>"JACKSON                   "</f>
        <v xml:space="preserve">JACKSON                   </v>
      </c>
      <c r="F16930" t="str">
        <f t="shared" si="424"/>
        <v>MS</v>
      </c>
    </row>
    <row r="16931" spans="1:6" x14ac:dyDescent="0.25">
      <c r="A16931" t="str">
        <f>"200012437"</f>
        <v>200012437</v>
      </c>
      <c r="B16931" t="str">
        <f>"1023113735"</f>
        <v>1023113735</v>
      </c>
      <c r="C16931" t="str">
        <f>"207V00000X"</f>
        <v>207V00000X</v>
      </c>
      <c r="D16931" t="str">
        <f>"SEALE                    JEFFREY                  "</f>
        <v xml:space="preserve">SEALE                    JEFFREY                  </v>
      </c>
      <c r="E16931" t="str">
        <f>"CLARKSDALE                "</f>
        <v xml:space="preserve">CLARKSDALE                </v>
      </c>
      <c r="F16931" t="str">
        <f t="shared" si="424"/>
        <v>MS</v>
      </c>
    </row>
    <row r="16932" spans="1:6" x14ac:dyDescent="0.25">
      <c r="A16932" t="str">
        <f>"200012440"</f>
        <v>200012440</v>
      </c>
      <c r="B16932" t="str">
        <f>"1942052477"</f>
        <v>1942052477</v>
      </c>
      <c r="C16932" t="str">
        <f>"207Q00000X"</f>
        <v>207Q00000X</v>
      </c>
      <c r="D16932" t="str">
        <f>"OGUNLEYE                 EMMANUEL     D           "</f>
        <v xml:space="preserve">OGUNLEYE                 EMMANUEL     D           </v>
      </c>
      <c r="E16932" t="str">
        <f>"GULFPORT                  "</f>
        <v xml:space="preserve">GULFPORT                  </v>
      </c>
      <c r="F16932" t="str">
        <f t="shared" si="424"/>
        <v>MS</v>
      </c>
    </row>
    <row r="16933" spans="1:6" x14ac:dyDescent="0.25">
      <c r="A16933" t="str">
        <f>"200012441"</f>
        <v>200012441</v>
      </c>
      <c r="B16933" t="str">
        <f>"1053015446"</f>
        <v>1053015446</v>
      </c>
      <c r="C16933" t="str">
        <f>"2084P0800X"</f>
        <v>2084P0800X</v>
      </c>
      <c r="D16933" t="str">
        <f>"HARDIN                   JUSTIN                   "</f>
        <v xml:space="preserve">HARDIN                   JUSTIN                   </v>
      </c>
      <c r="E16933" t="str">
        <f>"JACKSON                   "</f>
        <v xml:space="preserve">JACKSON                   </v>
      </c>
      <c r="F16933" t="str">
        <f t="shared" si="424"/>
        <v>MS</v>
      </c>
    </row>
    <row r="16934" spans="1:6" x14ac:dyDescent="0.25">
      <c r="A16934" t="str">
        <f>"200012443"</f>
        <v>200012443</v>
      </c>
      <c r="B16934" t="str">
        <f>"1609610476"</f>
        <v>1609610476</v>
      </c>
      <c r="C16934" t="str">
        <f>"207R00000X"</f>
        <v>207R00000X</v>
      </c>
      <c r="D16934" t="str">
        <f>"ALENCAR                  ARTHUR                   "</f>
        <v xml:space="preserve">ALENCAR                  ARTHUR                   </v>
      </c>
      <c r="E16934" t="str">
        <f>"COLUMBUS                  "</f>
        <v xml:space="preserve">COLUMBUS                  </v>
      </c>
      <c r="F16934" t="str">
        <f t="shared" si="424"/>
        <v>MS</v>
      </c>
    </row>
    <row r="16935" spans="1:6" x14ac:dyDescent="0.25">
      <c r="A16935" t="str">
        <f>"200012446"</f>
        <v>200012446</v>
      </c>
      <c r="B16935" t="str">
        <f>"1033962626"</f>
        <v>1033962626</v>
      </c>
      <c r="C16935" t="str">
        <f>"207Q00000X"</f>
        <v>207Q00000X</v>
      </c>
      <c r="D16935" t="str">
        <f>"BANDAMEDE                MANISHA                  "</f>
        <v xml:space="preserve">BANDAMEDE                MANISHA                  </v>
      </c>
      <c r="E16935" t="str">
        <f>"GULFPORT                  "</f>
        <v xml:space="preserve">GULFPORT                  </v>
      </c>
      <c r="F16935" t="str">
        <f t="shared" si="424"/>
        <v>MS</v>
      </c>
    </row>
    <row r="16936" spans="1:6" x14ac:dyDescent="0.25">
      <c r="A16936" t="str">
        <f>"200012449"</f>
        <v>200012449</v>
      </c>
      <c r="B16936" t="str">
        <f>"1235972282"</f>
        <v>1235972282</v>
      </c>
      <c r="C16936" t="str">
        <f>"207R00000X"</f>
        <v>207R00000X</v>
      </c>
      <c r="D16936" t="str">
        <f>"NAJAM                    BILAL                    "</f>
        <v xml:space="preserve">NAJAM                    BILAL                    </v>
      </c>
      <c r="E16936" t="str">
        <f>"COLUMBUS                  "</f>
        <v xml:space="preserve">COLUMBUS                  </v>
      </c>
      <c r="F16936" t="str">
        <f t="shared" si="424"/>
        <v>MS</v>
      </c>
    </row>
    <row r="16937" spans="1:6" x14ac:dyDescent="0.25">
      <c r="A16937" t="str">
        <f>"200012453"</f>
        <v>200012453</v>
      </c>
      <c r="B16937" t="str">
        <f>"1073909271"</f>
        <v>1073909271</v>
      </c>
      <c r="C16937" t="str">
        <f>"2085R0202X"</f>
        <v>2085R0202X</v>
      </c>
      <c r="D16937" t="str">
        <f>"HOOKER                   JEFFREY                  "</f>
        <v xml:space="preserve">HOOKER                   JEFFREY                  </v>
      </c>
      <c r="E16937" t="str">
        <f>"TYLERTOWN                 "</f>
        <v xml:space="preserve">TYLERTOWN                 </v>
      </c>
      <c r="F16937" t="str">
        <f t="shared" si="424"/>
        <v>MS</v>
      </c>
    </row>
    <row r="16938" spans="1:6" x14ac:dyDescent="0.25">
      <c r="A16938" t="str">
        <f>"200012454"</f>
        <v>200012454</v>
      </c>
      <c r="B16938" t="str">
        <f>"1184296386"</f>
        <v>1184296386</v>
      </c>
      <c r="C16938" t="str">
        <f>"207Q00000X"</f>
        <v>207Q00000X</v>
      </c>
      <c r="D16938" t="str">
        <f>"LUGO                     FABIO        A           "</f>
        <v xml:space="preserve">LUGO                     FABIO        A           </v>
      </c>
      <c r="E16938" t="str">
        <f>"GULFPORT                  "</f>
        <v xml:space="preserve">GULFPORT                  </v>
      </c>
      <c r="F16938" t="str">
        <f t="shared" si="424"/>
        <v>MS</v>
      </c>
    </row>
    <row r="16939" spans="1:6" x14ac:dyDescent="0.25">
      <c r="A16939" t="str">
        <f>"200012455"</f>
        <v>200012455</v>
      </c>
      <c r="B16939" t="str">
        <f>"1740867340"</f>
        <v>1740867340</v>
      </c>
      <c r="C16939" t="str">
        <f>"208000000X"</f>
        <v>208000000X</v>
      </c>
      <c r="D16939" t="str">
        <f>"SOUTHERN                 AUSTIN       N           "</f>
        <v xml:space="preserve">SOUTHERN                 AUSTIN       N           </v>
      </c>
      <c r="E16939" t="str">
        <f>"HATTIESBURG               "</f>
        <v xml:space="preserve">HATTIESBURG               </v>
      </c>
      <c r="F16939" t="str">
        <f t="shared" si="424"/>
        <v>MS</v>
      </c>
    </row>
    <row r="16940" spans="1:6" x14ac:dyDescent="0.25">
      <c r="A16940" t="str">
        <f>"200012460"</f>
        <v>200012460</v>
      </c>
      <c r="B16940" t="str">
        <f>"1164453718"</f>
        <v>1164453718</v>
      </c>
      <c r="C16940" t="str">
        <f>"2080P0206X"</f>
        <v>2080P0206X</v>
      </c>
      <c r="D16940" t="str">
        <f>"JOHN-KELLY               HELEN        A           "</f>
        <v xml:space="preserve">JOHN-KELLY               HELEN        A           </v>
      </c>
      <c r="E16940" t="str">
        <f>"JACKSON                   "</f>
        <v xml:space="preserve">JACKSON                   </v>
      </c>
      <c r="F16940" t="str">
        <f t="shared" si="424"/>
        <v>MS</v>
      </c>
    </row>
    <row r="16941" spans="1:6" x14ac:dyDescent="0.25">
      <c r="A16941" t="str">
        <f>"200012462"</f>
        <v>200012462</v>
      </c>
      <c r="B16941" t="str">
        <f>"1881399152"</f>
        <v>1881399152</v>
      </c>
      <c r="C16941" t="str">
        <f>"2084P0800X"</f>
        <v>2084P0800X</v>
      </c>
      <c r="D16941" t="str">
        <f>"TUNDE-ALLI               OMOLADE                  "</f>
        <v xml:space="preserve">TUNDE-ALLI               OMOLADE                  </v>
      </c>
      <c r="E16941" t="str">
        <f>"JACKSON                   "</f>
        <v xml:space="preserve">JACKSON                   </v>
      </c>
      <c r="F16941" t="str">
        <f t="shared" si="424"/>
        <v>MS</v>
      </c>
    </row>
    <row r="16942" spans="1:6" x14ac:dyDescent="0.25">
      <c r="A16942" t="str">
        <f>"200012463"</f>
        <v>200012463</v>
      </c>
      <c r="B16942" t="str">
        <f>"1306434477"</f>
        <v>1306434477</v>
      </c>
      <c r="C16942" t="str">
        <f>"363A00000X"</f>
        <v>363A00000X</v>
      </c>
      <c r="D16942" t="str">
        <f>"HANKS                    JESSE        F           "</f>
        <v xml:space="preserve">HANKS                    JESSE        F           </v>
      </c>
      <c r="E16942" t="str">
        <f>"FLOWOOD                   "</f>
        <v xml:space="preserve">FLOWOOD                   </v>
      </c>
      <c r="F16942" t="str">
        <f t="shared" si="424"/>
        <v>MS</v>
      </c>
    </row>
    <row r="16943" spans="1:6" x14ac:dyDescent="0.25">
      <c r="A16943" t="str">
        <f>"200012465"</f>
        <v>200012465</v>
      </c>
      <c r="B16943" t="str">
        <f>"1073366670"</f>
        <v>1073366670</v>
      </c>
      <c r="C16943" t="str">
        <f>"207Q00000X"</f>
        <v>207Q00000X</v>
      </c>
      <c r="D16943" t="str">
        <f>"RAVILLA SRIDHAR          TEJASVITAA               "</f>
        <v xml:space="preserve">RAVILLA SRIDHAR          TEJASVITAA               </v>
      </c>
      <c r="E16943" t="str">
        <f>"GULFPORT                  "</f>
        <v xml:space="preserve">GULFPORT                  </v>
      </c>
      <c r="F16943" t="str">
        <f t="shared" si="424"/>
        <v>MS</v>
      </c>
    </row>
    <row r="16944" spans="1:6" x14ac:dyDescent="0.25">
      <c r="A16944" t="str">
        <f>"200012467"</f>
        <v>200012467</v>
      </c>
      <c r="B16944" t="str">
        <f>"1942487558"</f>
        <v>1942487558</v>
      </c>
      <c r="C16944" t="str">
        <f>"152W00000X"</f>
        <v>152W00000X</v>
      </c>
      <c r="D16944" t="str">
        <f>"ROUTT EYE CLINIC                                  "</f>
        <v xml:space="preserve">ROUTT EYE CLINIC                                  </v>
      </c>
      <c r="E16944" t="str">
        <f>"KOSCIUSKO                 "</f>
        <v xml:space="preserve">KOSCIUSKO                 </v>
      </c>
      <c r="F16944" t="str">
        <f t="shared" si="424"/>
        <v>MS</v>
      </c>
    </row>
    <row r="16945" spans="1:6" x14ac:dyDescent="0.25">
      <c r="A16945" t="str">
        <f>"200012468"</f>
        <v>200012468</v>
      </c>
      <c r="B16945" t="str">
        <f>"1164514915"</f>
        <v>1164514915</v>
      </c>
      <c r="C16945" t="str">
        <f>"2085R0202X"</f>
        <v>2085R0202X</v>
      </c>
      <c r="D16945" t="str">
        <f>"ORANGE                   RICHARD      J           "</f>
        <v xml:space="preserve">ORANGE                   RICHARD      J           </v>
      </c>
      <c r="E16945" t="str">
        <f>"BAY ST LOUIS              "</f>
        <v xml:space="preserve">BAY ST LOUIS              </v>
      </c>
      <c r="F16945" t="str">
        <f t="shared" si="424"/>
        <v>MS</v>
      </c>
    </row>
    <row r="16946" spans="1:6" x14ac:dyDescent="0.25">
      <c r="A16946" t="str">
        <f>"200012472"</f>
        <v>200012472</v>
      </c>
      <c r="B16946" t="str">
        <f>"1992149348"</f>
        <v>1992149348</v>
      </c>
      <c r="C16946" t="str">
        <f>"363LF0000X"</f>
        <v>363LF0000X</v>
      </c>
      <c r="D16946" t="str">
        <f>"ROSS                     DENETTA                  "</f>
        <v xml:space="preserve">ROSS                     DENETTA                  </v>
      </c>
      <c r="E16946" t="str">
        <f>"JACKSON                   "</f>
        <v xml:space="preserve">JACKSON                   </v>
      </c>
      <c r="F16946" t="str">
        <f t="shared" si="424"/>
        <v>MS</v>
      </c>
    </row>
    <row r="16947" spans="1:6" x14ac:dyDescent="0.25">
      <c r="A16947" t="str">
        <f>"200012477"</f>
        <v>200012477</v>
      </c>
      <c r="B16947" t="str">
        <f>"1629833298"</f>
        <v>1629833298</v>
      </c>
      <c r="C16947" t="str">
        <f>"152W00000X"</f>
        <v>152W00000X</v>
      </c>
      <c r="D16947" t="str">
        <f>"FRAYSUR                  BENJAMIN     R           "</f>
        <v xml:space="preserve">FRAYSUR                  BENJAMIN     R           </v>
      </c>
      <c r="E16947" t="str">
        <f>"HATTIESBURG               "</f>
        <v xml:space="preserve">HATTIESBURG               </v>
      </c>
      <c r="F16947" t="str">
        <f t="shared" si="424"/>
        <v>MS</v>
      </c>
    </row>
    <row r="16948" spans="1:6" x14ac:dyDescent="0.25">
      <c r="A16948" t="str">
        <f>"200012478"</f>
        <v>200012478</v>
      </c>
      <c r="B16948" t="str">
        <f>"1396928222"</f>
        <v>1396928222</v>
      </c>
      <c r="C16948" t="str">
        <f>"207V00000X"</f>
        <v>207V00000X</v>
      </c>
      <c r="D16948" t="str">
        <f>"COLLIER                  CHARLENE                 "</f>
        <v xml:space="preserve">COLLIER                  CHARLENE                 </v>
      </c>
      <c r="E16948" t="str">
        <f>"RIDGELAND                 "</f>
        <v xml:space="preserve">RIDGELAND                 </v>
      </c>
      <c r="F16948" t="str">
        <f t="shared" si="424"/>
        <v>MS</v>
      </c>
    </row>
    <row r="16949" spans="1:6" x14ac:dyDescent="0.25">
      <c r="A16949" t="str">
        <f>"200012490"</f>
        <v>200012490</v>
      </c>
      <c r="B16949" t="str">
        <f>"1548001027"</f>
        <v>1548001027</v>
      </c>
      <c r="C16949" t="str">
        <f>"122300000X"</f>
        <v>122300000X</v>
      </c>
      <c r="D16949" t="str">
        <f>"HOLLAND                  AUBREY       O           "</f>
        <v xml:space="preserve">HOLLAND                  AUBREY       O           </v>
      </c>
      <c r="E16949" t="str">
        <f>"GULFPORT                  "</f>
        <v xml:space="preserve">GULFPORT                  </v>
      </c>
      <c r="F16949" t="str">
        <f t="shared" si="424"/>
        <v>MS</v>
      </c>
    </row>
    <row r="16950" spans="1:6" x14ac:dyDescent="0.25">
      <c r="A16950" t="str">
        <f>"200012495"</f>
        <v>200012495</v>
      </c>
      <c r="B16950" t="str">
        <f>"1790434181"</f>
        <v>1790434181</v>
      </c>
      <c r="C16950" t="str">
        <f>"207R00000X"</f>
        <v>207R00000X</v>
      </c>
      <c r="D16950" t="str">
        <f>"GOODMAN                  ADAM                     "</f>
        <v xml:space="preserve">GOODMAN                  ADAM                     </v>
      </c>
      <c r="E16950" t="str">
        <f>"TUPELO                    "</f>
        <v xml:space="preserve">TUPELO                    </v>
      </c>
      <c r="F16950" t="str">
        <f t="shared" si="424"/>
        <v>MS</v>
      </c>
    </row>
    <row r="16951" spans="1:6" x14ac:dyDescent="0.25">
      <c r="A16951" t="str">
        <f>"200012501"</f>
        <v>200012501</v>
      </c>
      <c r="B16951" t="str">
        <f>"1093566465"</f>
        <v>1093566465</v>
      </c>
      <c r="C16951" t="str">
        <f>"207Q00000X"</f>
        <v>207Q00000X</v>
      </c>
      <c r="D16951" t="str">
        <f>"BUCKNER                  CALEB                    "</f>
        <v xml:space="preserve">BUCKNER                  CALEB                    </v>
      </c>
      <c r="E16951" t="str">
        <f>"JACKSON                   "</f>
        <v xml:space="preserve">JACKSON                   </v>
      </c>
      <c r="F16951" t="str">
        <f t="shared" si="424"/>
        <v>MS</v>
      </c>
    </row>
    <row r="16952" spans="1:6" x14ac:dyDescent="0.25">
      <c r="A16952" t="str">
        <f>"200012511"</f>
        <v>200012511</v>
      </c>
      <c r="B16952" t="str">
        <f>"1982446225"</f>
        <v>1982446225</v>
      </c>
      <c r="C16952" t="str">
        <f>"363LF0000X"</f>
        <v>363LF0000X</v>
      </c>
      <c r="D16952" t="str">
        <f>"BROOM                    DESTINY                  "</f>
        <v xml:space="preserve">BROOM                    DESTINY                  </v>
      </c>
      <c r="E16952" t="str">
        <f>"MCCOMB                    "</f>
        <v xml:space="preserve">MCCOMB                    </v>
      </c>
      <c r="F16952" t="str">
        <f t="shared" si="424"/>
        <v>MS</v>
      </c>
    </row>
    <row r="16953" spans="1:6" x14ac:dyDescent="0.25">
      <c r="A16953" t="str">
        <f>"200012513"</f>
        <v>200012513</v>
      </c>
      <c r="B16953" t="str">
        <f>"1417786419"</f>
        <v>1417786419</v>
      </c>
      <c r="C16953" t="str">
        <f>"207R00000X"</f>
        <v>207R00000X</v>
      </c>
      <c r="D16953" t="str">
        <f>"JALIL                    AHMAD                    "</f>
        <v xml:space="preserve">JALIL                    AHMAD                    </v>
      </c>
      <c r="E16953" t="str">
        <f>"OXFORD                    "</f>
        <v xml:space="preserve">OXFORD                    </v>
      </c>
      <c r="F16953" t="str">
        <f t="shared" si="424"/>
        <v>MS</v>
      </c>
    </row>
    <row r="16954" spans="1:6" x14ac:dyDescent="0.25">
      <c r="A16954" t="str">
        <f>"200012515"</f>
        <v>200012515</v>
      </c>
      <c r="B16954" t="str">
        <f>"1790722999"</f>
        <v>1790722999</v>
      </c>
      <c r="C16954" t="str">
        <f>"207VF0040X"</f>
        <v>207VF0040X</v>
      </c>
      <c r="D16954" t="str">
        <f>"SPEIGHTS                 STEVE        E           "</f>
        <v xml:space="preserve">SPEIGHTS                 STEVE        E           </v>
      </c>
      <c r="E16954" t="str">
        <f>"FLOWOOD                   "</f>
        <v xml:space="preserve">FLOWOOD                   </v>
      </c>
      <c r="F16954" t="str">
        <f t="shared" si="424"/>
        <v>MS</v>
      </c>
    </row>
    <row r="16955" spans="1:6" x14ac:dyDescent="0.25">
      <c r="A16955" t="str">
        <f>"200012516"</f>
        <v>200012516</v>
      </c>
      <c r="B16955" t="str">
        <f>"1578025789"</f>
        <v>1578025789</v>
      </c>
      <c r="C16955" t="str">
        <f>"207RN0300X"</f>
        <v>207RN0300X</v>
      </c>
      <c r="D16955" t="str">
        <f>"CARBAJAL                 NICHOLAS                 "</f>
        <v xml:space="preserve">CARBAJAL                 NICHOLAS                 </v>
      </c>
      <c r="E16955" t="str">
        <f>"PASCAGOULA                "</f>
        <v xml:space="preserve">PASCAGOULA                </v>
      </c>
      <c r="F16955" t="str">
        <f t="shared" si="424"/>
        <v>MS</v>
      </c>
    </row>
    <row r="16956" spans="1:6" x14ac:dyDescent="0.25">
      <c r="A16956" t="str">
        <f>"200012517"</f>
        <v>200012517</v>
      </c>
      <c r="B16956" t="str">
        <f>"1831330919"</f>
        <v>1831330919</v>
      </c>
      <c r="C16956" t="str">
        <f>"261QM1300X"</f>
        <v>261QM1300X</v>
      </c>
      <c r="D16956" t="str">
        <f>"PHYSICIANS SLEEP DIAGNOSTICS                      "</f>
        <v xml:space="preserve">PHYSICIANS SLEEP DIAGNOSTICS                      </v>
      </c>
      <c r="E16956" t="str">
        <f>"VICKSBURG                 "</f>
        <v xml:space="preserve">VICKSBURG                 </v>
      </c>
      <c r="F16956" t="str">
        <f t="shared" si="424"/>
        <v>MS</v>
      </c>
    </row>
    <row r="16957" spans="1:6" x14ac:dyDescent="0.25">
      <c r="A16957" t="str">
        <f>"200012518"</f>
        <v>200012518</v>
      </c>
      <c r="B16957" t="str">
        <f>"1295588093"</f>
        <v>1295588093</v>
      </c>
      <c r="C16957" t="str">
        <f>"207Q00000X"</f>
        <v>207Q00000X</v>
      </c>
      <c r="D16957" t="str">
        <f>"SELLES RAMOS             LUIS         A           "</f>
        <v xml:space="preserve">SELLES RAMOS             LUIS         A           </v>
      </c>
      <c r="E16957" t="str">
        <f>"GULFPORT                  "</f>
        <v xml:space="preserve">GULFPORT                  </v>
      </c>
      <c r="F16957" t="str">
        <f t="shared" si="424"/>
        <v>MS</v>
      </c>
    </row>
    <row r="16958" spans="1:6" x14ac:dyDescent="0.25">
      <c r="A16958" t="str">
        <f>"200012523"</f>
        <v>200012523</v>
      </c>
      <c r="B16958" t="str">
        <f>"1790535235"</f>
        <v>1790535235</v>
      </c>
      <c r="C16958" t="str">
        <f>"207P00000X"</f>
        <v>207P00000X</v>
      </c>
      <c r="D16958" t="str">
        <f>"AHMAD                    SYED                     "</f>
        <v xml:space="preserve">AHMAD                    SYED                     </v>
      </c>
      <c r="E16958" t="str">
        <f>"JACKSON                   "</f>
        <v xml:space="preserve">JACKSON                   </v>
      </c>
      <c r="F16958" t="str">
        <f t="shared" ref="F16958:F17021" si="425">"MS"</f>
        <v>MS</v>
      </c>
    </row>
    <row r="16959" spans="1:6" x14ac:dyDescent="0.25">
      <c r="A16959" t="str">
        <f>"200012533"</f>
        <v>200012533</v>
      </c>
      <c r="B16959" t="str">
        <f>"1598038267"</f>
        <v>1598038267</v>
      </c>
      <c r="C16959" t="str">
        <f>"363LA2200X"</f>
        <v>363LA2200X</v>
      </c>
      <c r="D16959" t="str">
        <f>"HUNT                     REBECCA                  "</f>
        <v xml:space="preserve">HUNT                     REBECCA                  </v>
      </c>
      <c r="E16959" t="str">
        <f>"GULFPORT                  "</f>
        <v xml:space="preserve">GULFPORT                  </v>
      </c>
      <c r="F16959" t="str">
        <f t="shared" si="425"/>
        <v>MS</v>
      </c>
    </row>
    <row r="16960" spans="1:6" x14ac:dyDescent="0.25">
      <c r="A16960" t="str">
        <f>"200012535"</f>
        <v>200012535</v>
      </c>
      <c r="B16960" t="str">
        <f>"1831939909"</f>
        <v>1831939909</v>
      </c>
      <c r="C16960" t="str">
        <f>"207Q00000X"</f>
        <v>207Q00000X</v>
      </c>
      <c r="D16960" t="str">
        <f>"PRICE                    KAYLA        E           "</f>
        <v xml:space="preserve">PRICE                    KAYLA        E           </v>
      </c>
      <c r="E16960" t="str">
        <f>"GULFPORT                  "</f>
        <v xml:space="preserve">GULFPORT                  </v>
      </c>
      <c r="F16960" t="str">
        <f t="shared" si="425"/>
        <v>MS</v>
      </c>
    </row>
    <row r="16961" spans="1:6" x14ac:dyDescent="0.25">
      <c r="A16961" t="str">
        <f>"200012540"</f>
        <v>200012540</v>
      </c>
      <c r="B16961" t="str">
        <f>"1760250088"</f>
        <v>1760250088</v>
      </c>
      <c r="C16961" t="str">
        <f>"363L00000X"</f>
        <v>363L00000X</v>
      </c>
      <c r="D16961" t="str">
        <f>"ROBERTSON                KATHRYN                  "</f>
        <v xml:space="preserve">ROBERTSON                KATHRYN                  </v>
      </c>
      <c r="E16961" t="str">
        <f>"TUPELO                    "</f>
        <v xml:space="preserve">TUPELO                    </v>
      </c>
      <c r="F16961" t="str">
        <f t="shared" si="425"/>
        <v>MS</v>
      </c>
    </row>
    <row r="16962" spans="1:6" x14ac:dyDescent="0.25">
      <c r="A16962" t="str">
        <f>"200012545"</f>
        <v>200012545</v>
      </c>
      <c r="B16962" t="str">
        <f>"1295739878"</f>
        <v>1295739878</v>
      </c>
      <c r="C16962" t="str">
        <f>"208600000X"</f>
        <v>208600000X</v>
      </c>
      <c r="D16962" t="str">
        <f>"MCKIBBIN                 WILLIAM                  "</f>
        <v xml:space="preserve">MCKIBBIN                 WILLIAM                  </v>
      </c>
      <c r="E16962" t="str">
        <f>"CLEVELAND                 "</f>
        <v xml:space="preserve">CLEVELAND                 </v>
      </c>
      <c r="F16962" t="str">
        <f t="shared" si="425"/>
        <v>MS</v>
      </c>
    </row>
    <row r="16963" spans="1:6" x14ac:dyDescent="0.25">
      <c r="A16963" t="str">
        <f>"200012548"</f>
        <v>200012548</v>
      </c>
      <c r="B16963" t="str">
        <f>"1528309986"</f>
        <v>1528309986</v>
      </c>
      <c r="C16963" t="str">
        <f>"363LA2200X"</f>
        <v>363LA2200X</v>
      </c>
      <c r="D16963" t="str">
        <f>"JONES                    JESSICA                  "</f>
        <v xml:space="preserve">JONES                    JESSICA                  </v>
      </c>
      <c r="E16963" t="str">
        <f>"HATTIESBURG               "</f>
        <v xml:space="preserve">HATTIESBURG               </v>
      </c>
      <c r="F16963" t="str">
        <f t="shared" si="425"/>
        <v>MS</v>
      </c>
    </row>
    <row r="16964" spans="1:6" x14ac:dyDescent="0.25">
      <c r="A16964" t="str">
        <f>"200012552"</f>
        <v>200012552</v>
      </c>
      <c r="B16964" t="str">
        <f>"1720863665"</f>
        <v>1720863665</v>
      </c>
      <c r="C16964" t="str">
        <f>"363LF0000X"</f>
        <v>363LF0000X</v>
      </c>
      <c r="D16964" t="str">
        <f>"CLARK                    SARABETH                 "</f>
        <v xml:space="preserve">CLARK                    SARABETH                 </v>
      </c>
      <c r="E16964" t="str">
        <f>"MADISON                   "</f>
        <v xml:space="preserve">MADISON                   </v>
      </c>
      <c r="F16964" t="str">
        <f t="shared" si="425"/>
        <v>MS</v>
      </c>
    </row>
    <row r="16965" spans="1:6" x14ac:dyDescent="0.25">
      <c r="A16965" t="str">
        <f>"200012557"</f>
        <v>200012557</v>
      </c>
      <c r="B16965" t="str">
        <f>"1942760210"</f>
        <v>1942760210</v>
      </c>
      <c r="C16965" t="str">
        <f>"363L00000X"</f>
        <v>363L00000X</v>
      </c>
      <c r="D16965" t="str">
        <f>"BURT                     SHANNON                  "</f>
        <v xml:space="preserve">BURT                     SHANNON                  </v>
      </c>
      <c r="E16965" t="str">
        <f>"SOUTHAVEN                 "</f>
        <v xml:space="preserve">SOUTHAVEN                 </v>
      </c>
      <c r="F16965" t="str">
        <f t="shared" si="425"/>
        <v>MS</v>
      </c>
    </row>
    <row r="16966" spans="1:6" x14ac:dyDescent="0.25">
      <c r="A16966" t="str">
        <f>"200012558"</f>
        <v>200012558</v>
      </c>
      <c r="B16966" t="str">
        <f>"1760482111"</f>
        <v>1760482111</v>
      </c>
      <c r="C16966" t="str">
        <f>"207L00000X"</f>
        <v>207L00000X</v>
      </c>
      <c r="D16966" t="str">
        <f>"IRVIN                    RALPH                    "</f>
        <v xml:space="preserve">IRVIN                    RALPH                    </v>
      </c>
      <c r="E16966" t="str">
        <f>"PASCAGOULA                "</f>
        <v xml:space="preserve">PASCAGOULA                </v>
      </c>
      <c r="F16966" t="str">
        <f t="shared" si="425"/>
        <v>MS</v>
      </c>
    </row>
    <row r="16967" spans="1:6" x14ac:dyDescent="0.25">
      <c r="A16967" t="str">
        <f>"200012560"</f>
        <v>200012560</v>
      </c>
      <c r="B16967" t="str">
        <f>"1124400411"</f>
        <v>1124400411</v>
      </c>
      <c r="C16967" t="str">
        <f>"363LF0000X"</f>
        <v>363LF0000X</v>
      </c>
      <c r="D16967" t="str">
        <f>"BIGGS                    RODNEY       T           "</f>
        <v xml:space="preserve">BIGGS                    RODNEY       T           </v>
      </c>
      <c r="E16967" t="str">
        <f>"FLOWOOD                   "</f>
        <v xml:space="preserve">FLOWOOD                   </v>
      </c>
      <c r="F16967" t="str">
        <f t="shared" si="425"/>
        <v>MS</v>
      </c>
    </row>
    <row r="16968" spans="1:6" x14ac:dyDescent="0.25">
      <c r="A16968" t="str">
        <f>"200012561"</f>
        <v>200012561</v>
      </c>
      <c r="B16968" t="str">
        <f>"1134977887"</f>
        <v>1134977887</v>
      </c>
      <c r="C16968" t="str">
        <f>"207R00000X"</f>
        <v>207R00000X</v>
      </c>
      <c r="D16968" t="str">
        <f>"KHANAL                   SUSHIL                   "</f>
        <v xml:space="preserve">KHANAL                   SUSHIL                   </v>
      </c>
      <c r="E16968" t="str">
        <f>"TUPELO                    "</f>
        <v xml:space="preserve">TUPELO                    </v>
      </c>
      <c r="F16968" t="str">
        <f t="shared" si="425"/>
        <v>MS</v>
      </c>
    </row>
    <row r="16969" spans="1:6" x14ac:dyDescent="0.25">
      <c r="A16969" t="str">
        <f>"200012568"</f>
        <v>200012568</v>
      </c>
      <c r="B16969" t="str">
        <f>"1639599608"</f>
        <v>1639599608</v>
      </c>
      <c r="C16969" t="str">
        <f>"207R00000X"</f>
        <v>207R00000X</v>
      </c>
      <c r="D16969" t="str">
        <f>"BARNARD                  JOHN                     "</f>
        <v xml:space="preserve">BARNARD                  JOHN                     </v>
      </c>
      <c r="E16969" t="str">
        <f>"JACKSON                   "</f>
        <v xml:space="preserve">JACKSON                   </v>
      </c>
      <c r="F16969" t="str">
        <f t="shared" si="425"/>
        <v>MS</v>
      </c>
    </row>
    <row r="16970" spans="1:6" x14ac:dyDescent="0.25">
      <c r="A16970" t="str">
        <f>"200012570"</f>
        <v>200012570</v>
      </c>
      <c r="B16970" t="str">
        <f>"1417645284"</f>
        <v>1417645284</v>
      </c>
      <c r="C16970" t="str">
        <f>"363L00000X"</f>
        <v>363L00000X</v>
      </c>
      <c r="D16970" t="str">
        <f>"SLOAN                    WILLIAM                  "</f>
        <v xml:space="preserve">SLOAN                    WILLIAM                  </v>
      </c>
      <c r="E16970" t="str">
        <f>"SOUTHAVEN                 "</f>
        <v xml:space="preserve">SOUTHAVEN                 </v>
      </c>
      <c r="F16970" t="str">
        <f t="shared" si="425"/>
        <v>MS</v>
      </c>
    </row>
    <row r="16971" spans="1:6" x14ac:dyDescent="0.25">
      <c r="A16971" t="str">
        <f>"200012571"</f>
        <v>200012571</v>
      </c>
      <c r="B16971" t="str">
        <f>"1902485204"</f>
        <v>1902485204</v>
      </c>
      <c r="C16971" t="str">
        <f>"207Q00000X"</f>
        <v>207Q00000X</v>
      </c>
      <c r="D16971" t="str">
        <f>"MCDOWELL                 EMMA                     "</f>
        <v xml:space="preserve">MCDOWELL                 EMMA                     </v>
      </c>
      <c r="E16971" t="str">
        <f>"TUPELO                    "</f>
        <v xml:space="preserve">TUPELO                    </v>
      </c>
      <c r="F16971" t="str">
        <f t="shared" si="425"/>
        <v>MS</v>
      </c>
    </row>
    <row r="16972" spans="1:6" x14ac:dyDescent="0.25">
      <c r="A16972" t="str">
        <f>"200012575"</f>
        <v>200012575</v>
      </c>
      <c r="B16972" t="str">
        <f>"1184960437"</f>
        <v>1184960437</v>
      </c>
      <c r="C16972" t="str">
        <f>"363LN0000X"</f>
        <v>363LN0000X</v>
      </c>
      <c r="D16972" t="str">
        <f>"FLANAGIN                 MELISSA      E           "</f>
        <v xml:space="preserve">FLANAGIN                 MELISSA      E           </v>
      </c>
      <c r="E16972" t="str">
        <f>"FLOWOOD                   "</f>
        <v xml:space="preserve">FLOWOOD                   </v>
      </c>
      <c r="F16972" t="str">
        <f t="shared" si="425"/>
        <v>MS</v>
      </c>
    </row>
    <row r="16973" spans="1:6" x14ac:dyDescent="0.25">
      <c r="A16973" t="str">
        <f>"200012585"</f>
        <v>200012585</v>
      </c>
      <c r="B16973" t="str">
        <f>"1518091255"</f>
        <v>1518091255</v>
      </c>
      <c r="C16973" t="str">
        <f>"363L00000X"</f>
        <v>363L00000X</v>
      </c>
      <c r="D16973" t="str">
        <f>"WILDER                   TRINA                    "</f>
        <v xml:space="preserve">WILDER                   TRINA                    </v>
      </c>
      <c r="E16973" t="str">
        <f>"SOUTHAVEN                 "</f>
        <v xml:space="preserve">SOUTHAVEN                 </v>
      </c>
      <c r="F16973" t="str">
        <f t="shared" si="425"/>
        <v>MS</v>
      </c>
    </row>
    <row r="16974" spans="1:6" x14ac:dyDescent="0.25">
      <c r="A16974" t="str">
        <f>"200012587"</f>
        <v>200012587</v>
      </c>
      <c r="B16974" t="str">
        <f>"1942793005"</f>
        <v>1942793005</v>
      </c>
      <c r="C16974" t="str">
        <f>"207Q00000X"</f>
        <v>207Q00000X</v>
      </c>
      <c r="D16974" t="str">
        <f>"JONES                    REBECCA                  "</f>
        <v xml:space="preserve">JONES                    REBECCA                  </v>
      </c>
      <c r="E16974" t="str">
        <f>"SOUTHAVEN                 "</f>
        <v xml:space="preserve">SOUTHAVEN                 </v>
      </c>
      <c r="F16974" t="str">
        <f t="shared" si="425"/>
        <v>MS</v>
      </c>
    </row>
    <row r="16975" spans="1:6" x14ac:dyDescent="0.25">
      <c r="A16975" t="str">
        <f>"200012591"</f>
        <v>200012591</v>
      </c>
      <c r="B16975" t="str">
        <f>"1265608038"</f>
        <v>1265608038</v>
      </c>
      <c r="C16975" t="str">
        <f>"207Q00000X"</f>
        <v>207Q00000X</v>
      </c>
      <c r="D16975" t="str">
        <f>"MAHMOUD                  NEVINE                   "</f>
        <v xml:space="preserve">MAHMOUD                  NEVINE                   </v>
      </c>
      <c r="E16975" t="str">
        <f>"VICKSBURG                 "</f>
        <v xml:space="preserve">VICKSBURG                 </v>
      </c>
      <c r="F16975" t="str">
        <f t="shared" si="425"/>
        <v>MS</v>
      </c>
    </row>
    <row r="16976" spans="1:6" x14ac:dyDescent="0.25">
      <c r="A16976" t="str">
        <f>"200012592"</f>
        <v>200012592</v>
      </c>
      <c r="B16976" t="str">
        <f>"1700226123"</f>
        <v>1700226123</v>
      </c>
      <c r="C16976" t="str">
        <f>"207R00000X"</f>
        <v>207R00000X</v>
      </c>
      <c r="D16976" t="str">
        <f>"CAGER                    NIKKI        N           "</f>
        <v xml:space="preserve">CAGER                    NIKKI        N           </v>
      </c>
      <c r="E16976" t="str">
        <f>"FLOWOOD                   "</f>
        <v xml:space="preserve">FLOWOOD                   </v>
      </c>
      <c r="F16976" t="str">
        <f t="shared" si="425"/>
        <v>MS</v>
      </c>
    </row>
    <row r="16977" spans="1:6" x14ac:dyDescent="0.25">
      <c r="A16977" t="str">
        <f>"200012596"</f>
        <v>200012596</v>
      </c>
      <c r="B16977" t="str">
        <f>"1326125816"</f>
        <v>1326125816</v>
      </c>
      <c r="C16977" t="str">
        <f>"367500000X"</f>
        <v>367500000X</v>
      </c>
      <c r="D16977" t="str">
        <f>"BEATTY                   KIMBERLY                 "</f>
        <v xml:space="preserve">BEATTY                   KIMBERLY                 </v>
      </c>
      <c r="E16977" t="str">
        <f>"YAZOO CITY                "</f>
        <v xml:space="preserve">YAZOO CITY                </v>
      </c>
      <c r="F16977" t="str">
        <f t="shared" si="425"/>
        <v>MS</v>
      </c>
    </row>
    <row r="16978" spans="1:6" x14ac:dyDescent="0.25">
      <c r="A16978" t="str">
        <f>"200012597"</f>
        <v>200012597</v>
      </c>
      <c r="B16978" t="str">
        <f>"1811568355"</f>
        <v>1811568355</v>
      </c>
      <c r="C16978" t="str">
        <f>"207Q00000X"</f>
        <v>207Q00000X</v>
      </c>
      <c r="D16978" t="str">
        <f>"BURKETT                  STEVEN       W           "</f>
        <v xml:space="preserve">BURKETT                  STEVEN       W           </v>
      </c>
      <c r="E16978" t="str">
        <f>"RICHTON                   "</f>
        <v xml:space="preserve">RICHTON                   </v>
      </c>
      <c r="F16978" t="str">
        <f t="shared" si="425"/>
        <v>MS</v>
      </c>
    </row>
    <row r="16979" spans="1:6" x14ac:dyDescent="0.25">
      <c r="A16979" t="str">
        <f>"200012605"</f>
        <v>200012605</v>
      </c>
      <c r="B16979" t="str">
        <f>"1417534355"</f>
        <v>1417534355</v>
      </c>
      <c r="C16979" t="str">
        <f>"207R00000X"</f>
        <v>207R00000X</v>
      </c>
      <c r="D16979" t="str">
        <f>"SYED                     KRISTIN                  "</f>
        <v xml:space="preserve">SYED                     KRISTIN                  </v>
      </c>
      <c r="E16979" t="str">
        <f>"MADISON                   "</f>
        <v xml:space="preserve">MADISON                   </v>
      </c>
      <c r="F16979" t="str">
        <f t="shared" si="425"/>
        <v>MS</v>
      </c>
    </row>
    <row r="16980" spans="1:6" x14ac:dyDescent="0.25">
      <c r="A16980" t="str">
        <f>"200012606"</f>
        <v>200012606</v>
      </c>
      <c r="B16980" t="str">
        <f>"1417534355"</f>
        <v>1417534355</v>
      </c>
      <c r="C16980" t="str">
        <f>"208D00000X"</f>
        <v>208D00000X</v>
      </c>
      <c r="D16980" t="str">
        <f>"SYED                     KRISTIN                  "</f>
        <v xml:space="preserve">SYED                     KRISTIN                  </v>
      </c>
      <c r="E16980" t="str">
        <f>"MADISON                   "</f>
        <v xml:space="preserve">MADISON                   </v>
      </c>
      <c r="F16980" t="str">
        <f t="shared" si="425"/>
        <v>MS</v>
      </c>
    </row>
    <row r="16981" spans="1:6" x14ac:dyDescent="0.25">
      <c r="A16981" t="str">
        <f>"200012608"</f>
        <v>200012608</v>
      </c>
      <c r="B16981" t="str">
        <f>"1720846249"</f>
        <v>1720846249</v>
      </c>
      <c r="C16981" t="str">
        <f>"363LF0000X"</f>
        <v>363LF0000X</v>
      </c>
      <c r="D16981" t="str">
        <f>"LEWIS                    JAMIE                    "</f>
        <v xml:space="preserve">LEWIS                    JAMIE                    </v>
      </c>
      <c r="E16981" t="str">
        <f>"MERIDIAN                  "</f>
        <v xml:space="preserve">MERIDIAN                  </v>
      </c>
      <c r="F16981" t="str">
        <f t="shared" si="425"/>
        <v>MS</v>
      </c>
    </row>
    <row r="16982" spans="1:6" x14ac:dyDescent="0.25">
      <c r="A16982" t="str">
        <f>"200012613"</f>
        <v>200012613</v>
      </c>
      <c r="B16982" t="str">
        <f>"1063644433"</f>
        <v>1063644433</v>
      </c>
      <c r="C16982" t="str">
        <f>"363L00000X"</f>
        <v>363L00000X</v>
      </c>
      <c r="D16982" t="str">
        <f>"PARKS                    AMY                      "</f>
        <v xml:space="preserve">PARKS                    AMY                      </v>
      </c>
      <c r="E16982" t="str">
        <f>"BILOXI                    "</f>
        <v xml:space="preserve">BILOXI                    </v>
      </c>
      <c r="F16982" t="str">
        <f t="shared" si="425"/>
        <v>MS</v>
      </c>
    </row>
    <row r="16983" spans="1:6" x14ac:dyDescent="0.25">
      <c r="A16983" t="str">
        <f>"200012614"</f>
        <v>200012614</v>
      </c>
      <c r="B16983" t="str">
        <f>"1154385490"</f>
        <v>1154385490</v>
      </c>
      <c r="C16983" t="str">
        <f>"367500000X"</f>
        <v>367500000X</v>
      </c>
      <c r="D16983" t="str">
        <f>"COVAULT                  AMANDA       K           "</f>
        <v xml:space="preserve">COVAULT                  AMANDA       K           </v>
      </c>
      <c r="E16983" t="str">
        <f>"VICKSBURG                 "</f>
        <v xml:space="preserve">VICKSBURG                 </v>
      </c>
      <c r="F16983" t="str">
        <f t="shared" si="425"/>
        <v>MS</v>
      </c>
    </row>
    <row r="16984" spans="1:6" x14ac:dyDescent="0.25">
      <c r="A16984" t="str">
        <f>"200012615"</f>
        <v>200012615</v>
      </c>
      <c r="B16984" t="str">
        <f>"1881436137"</f>
        <v>1881436137</v>
      </c>
      <c r="C16984" t="str">
        <f>"207R00000X"</f>
        <v>207R00000X</v>
      </c>
      <c r="D16984" t="str">
        <f>"CHIRUMAMILLA             PUNITH       C           "</f>
        <v xml:space="preserve">CHIRUMAMILLA             PUNITH       C           </v>
      </c>
      <c r="E16984" t="str">
        <f>"OXFORD                    "</f>
        <v xml:space="preserve">OXFORD                    </v>
      </c>
      <c r="F16984" t="str">
        <f t="shared" si="425"/>
        <v>MS</v>
      </c>
    </row>
    <row r="16985" spans="1:6" x14ac:dyDescent="0.25">
      <c r="A16985" t="str">
        <f>"200012618"</f>
        <v>200012618</v>
      </c>
      <c r="B16985" t="str">
        <f>"1154096758"</f>
        <v>1154096758</v>
      </c>
      <c r="C16985" t="str">
        <f>"208M00000X"</f>
        <v>208M00000X</v>
      </c>
      <c r="D16985" t="str">
        <f>"AHMAD                    MANSOOR                  "</f>
        <v xml:space="preserve">AHMAD                    MANSOOR                  </v>
      </c>
      <c r="E16985" t="str">
        <f>"HATTIESBURG               "</f>
        <v xml:space="preserve">HATTIESBURG               </v>
      </c>
      <c r="F16985" t="str">
        <f t="shared" si="425"/>
        <v>MS</v>
      </c>
    </row>
    <row r="16986" spans="1:6" x14ac:dyDescent="0.25">
      <c r="A16986" t="str">
        <f>"200012623"</f>
        <v>200012623</v>
      </c>
      <c r="B16986" t="str">
        <f>"1730759317"</f>
        <v>1730759317</v>
      </c>
      <c r="C16986" t="str">
        <f>"208M00000X"</f>
        <v>208M00000X</v>
      </c>
      <c r="D16986" t="str">
        <f>"YOUSAF                   AMMAN                    "</f>
        <v xml:space="preserve">YOUSAF                   AMMAN                    </v>
      </c>
      <c r="E16986" t="str">
        <f>"HATTIESBURG               "</f>
        <v xml:space="preserve">HATTIESBURG               </v>
      </c>
      <c r="F16986" t="str">
        <f t="shared" si="425"/>
        <v>MS</v>
      </c>
    </row>
    <row r="16987" spans="1:6" x14ac:dyDescent="0.25">
      <c r="A16987" t="str">
        <f>"200012624"</f>
        <v>200012624</v>
      </c>
      <c r="B16987" t="str">
        <f>"1609453059"</f>
        <v>1609453059</v>
      </c>
      <c r="C16987" t="str">
        <f>"208M00000X"</f>
        <v>208M00000X</v>
      </c>
      <c r="D16987" t="str">
        <f>"NAQVI                    SYED         M           "</f>
        <v xml:space="preserve">NAQVI                    SYED         M           </v>
      </c>
      <c r="E16987" t="str">
        <f>"HATTIESBURG               "</f>
        <v xml:space="preserve">HATTIESBURG               </v>
      </c>
      <c r="F16987" t="str">
        <f t="shared" si="425"/>
        <v>MS</v>
      </c>
    </row>
    <row r="16988" spans="1:6" x14ac:dyDescent="0.25">
      <c r="A16988" t="str">
        <f>"200012629"</f>
        <v>200012629</v>
      </c>
      <c r="B16988" t="str">
        <f>"1639922065"</f>
        <v>1639922065</v>
      </c>
      <c r="C16988" t="str">
        <f>"207Y00000X"</f>
        <v>207Y00000X</v>
      </c>
      <c r="D16988" t="str">
        <f>"LIDDELL                  PETER                    "</f>
        <v xml:space="preserve">LIDDELL                  PETER                    </v>
      </c>
      <c r="E16988" t="str">
        <f>"JACKSON                   "</f>
        <v xml:space="preserve">JACKSON                   </v>
      </c>
      <c r="F16988" t="str">
        <f t="shared" si="425"/>
        <v>MS</v>
      </c>
    </row>
    <row r="16989" spans="1:6" x14ac:dyDescent="0.25">
      <c r="A16989" t="str">
        <f>"200012633"</f>
        <v>200012633</v>
      </c>
      <c r="B16989" t="str">
        <f>"1174375448"</f>
        <v>1174375448</v>
      </c>
      <c r="C16989" t="str">
        <f>"207R00000X"</f>
        <v>207R00000X</v>
      </c>
      <c r="D16989" t="str">
        <f>"BUIE                     HANNAH                   "</f>
        <v xml:space="preserve">BUIE                     HANNAH                   </v>
      </c>
      <c r="E16989" t="str">
        <f>"JACKSON                   "</f>
        <v xml:space="preserve">JACKSON                   </v>
      </c>
      <c r="F16989" t="str">
        <f t="shared" si="425"/>
        <v>MS</v>
      </c>
    </row>
    <row r="16990" spans="1:6" x14ac:dyDescent="0.25">
      <c r="A16990" t="str">
        <f>"200012635"</f>
        <v>200012635</v>
      </c>
      <c r="B16990" t="str">
        <f>"1326816984"</f>
        <v>1326816984</v>
      </c>
      <c r="C16990" t="str">
        <f>"363L00000X"</f>
        <v>363L00000X</v>
      </c>
      <c r="D16990" t="str">
        <f>"WARREN                   EDWARD                   "</f>
        <v xml:space="preserve">WARREN                   EDWARD                   </v>
      </c>
      <c r="E16990" t="str">
        <f>"JACKSON                   "</f>
        <v xml:space="preserve">JACKSON                   </v>
      </c>
      <c r="F16990" t="str">
        <f t="shared" si="425"/>
        <v>MS</v>
      </c>
    </row>
    <row r="16991" spans="1:6" x14ac:dyDescent="0.25">
      <c r="A16991" t="str">
        <f>"200012645"</f>
        <v>200012645</v>
      </c>
      <c r="B16991" t="str">
        <f>"1689676298"</f>
        <v>1689676298</v>
      </c>
      <c r="C16991" t="str">
        <f>"207L00000X"</f>
        <v>207L00000X</v>
      </c>
      <c r="D16991" t="str">
        <f>"COVAULT                  MICHEAL      R           "</f>
        <v xml:space="preserve">COVAULT                  MICHEAL      R           </v>
      </c>
      <c r="E16991" t="str">
        <f>"VICKSBURG                 "</f>
        <v xml:space="preserve">VICKSBURG                 </v>
      </c>
      <c r="F16991" t="str">
        <f t="shared" si="425"/>
        <v>MS</v>
      </c>
    </row>
    <row r="16992" spans="1:6" x14ac:dyDescent="0.25">
      <c r="A16992" t="str">
        <f>"200012649"</f>
        <v>200012649</v>
      </c>
      <c r="B16992" t="str">
        <f>"1902485204"</f>
        <v>1902485204</v>
      </c>
      <c r="C16992" t="str">
        <f>"207P00000X"</f>
        <v>207P00000X</v>
      </c>
      <c r="D16992" t="str">
        <f>"MCDOWELL                 EMMA                     "</f>
        <v xml:space="preserve">MCDOWELL                 EMMA                     </v>
      </c>
      <c r="E16992" t="str">
        <f>"WEST POINT                "</f>
        <v xml:space="preserve">WEST POINT                </v>
      </c>
      <c r="F16992" t="str">
        <f t="shared" si="425"/>
        <v>MS</v>
      </c>
    </row>
    <row r="16993" spans="1:6" x14ac:dyDescent="0.25">
      <c r="A16993" t="str">
        <f>"200012658"</f>
        <v>200012658</v>
      </c>
      <c r="B16993" t="str">
        <f>"1790535151"</f>
        <v>1790535151</v>
      </c>
      <c r="C16993" t="str">
        <f>"207R00000X"</f>
        <v>207R00000X</v>
      </c>
      <c r="D16993" t="str">
        <f>"BRIDGEMAN                SARAH GRACE              "</f>
        <v xml:space="preserve">BRIDGEMAN                SARAH GRACE              </v>
      </c>
      <c r="E16993" t="str">
        <f>"JACKSON                   "</f>
        <v xml:space="preserve">JACKSON                   </v>
      </c>
      <c r="F16993" t="str">
        <f t="shared" si="425"/>
        <v>MS</v>
      </c>
    </row>
    <row r="16994" spans="1:6" x14ac:dyDescent="0.25">
      <c r="A16994" t="str">
        <f>"200012659"</f>
        <v>200012659</v>
      </c>
      <c r="B16994" t="str">
        <f>"1942043245"</f>
        <v>1942043245</v>
      </c>
      <c r="C16994" t="str">
        <f>"122300000X"</f>
        <v>122300000X</v>
      </c>
      <c r="D16994" t="str">
        <f>"BELL                     BLAKE                    "</f>
        <v xml:space="preserve">BELL                     BLAKE                    </v>
      </c>
      <c r="E16994" t="str">
        <f>"LEXINGTON                 "</f>
        <v xml:space="preserve">LEXINGTON                 </v>
      </c>
      <c r="F16994" t="str">
        <f t="shared" si="425"/>
        <v>MS</v>
      </c>
    </row>
    <row r="16995" spans="1:6" x14ac:dyDescent="0.25">
      <c r="A16995" t="str">
        <f>"200012665"</f>
        <v>200012665</v>
      </c>
      <c r="B16995" t="str">
        <f>"1346726098"</f>
        <v>1346726098</v>
      </c>
      <c r="C16995" t="str">
        <f>"207Q00000X"</f>
        <v>207Q00000X</v>
      </c>
      <c r="D16995" t="str">
        <f>"SANFORD                  MITCHELL                 "</f>
        <v xml:space="preserve">SANFORD                  MITCHELL                 </v>
      </c>
      <c r="E16995" t="str">
        <f>"GULFPORT                  "</f>
        <v xml:space="preserve">GULFPORT                  </v>
      </c>
      <c r="F16995" t="str">
        <f t="shared" si="425"/>
        <v>MS</v>
      </c>
    </row>
    <row r="16996" spans="1:6" x14ac:dyDescent="0.25">
      <c r="A16996" t="str">
        <f>"200012674"</f>
        <v>200012674</v>
      </c>
      <c r="B16996" t="str">
        <f>"1699525998"</f>
        <v>1699525998</v>
      </c>
      <c r="C16996" t="str">
        <f>"207V00000X"</f>
        <v>207V00000X</v>
      </c>
      <c r="D16996" t="str">
        <f>"MCDOWELL                 SYDNEY                   "</f>
        <v xml:space="preserve">MCDOWELL                 SYDNEY                   </v>
      </c>
      <c r="E16996" t="str">
        <f>"JACKSON                   "</f>
        <v xml:space="preserve">JACKSON                   </v>
      </c>
      <c r="F16996" t="str">
        <f t="shared" si="425"/>
        <v>MS</v>
      </c>
    </row>
    <row r="16997" spans="1:6" x14ac:dyDescent="0.25">
      <c r="A16997" t="str">
        <f>"200012675"</f>
        <v>200012675</v>
      </c>
      <c r="B16997" t="str">
        <f>"1205438694"</f>
        <v>1205438694</v>
      </c>
      <c r="C16997" t="str">
        <f>"207L00000X"</f>
        <v>207L00000X</v>
      </c>
      <c r="D16997" t="str">
        <f>"LIKENS                   BRADEN                   "</f>
        <v xml:space="preserve">LIKENS                   BRADEN                   </v>
      </c>
      <c r="E16997" t="str">
        <f>"JACKSON                   "</f>
        <v xml:space="preserve">JACKSON                   </v>
      </c>
      <c r="F16997" t="str">
        <f t="shared" si="425"/>
        <v>MS</v>
      </c>
    </row>
    <row r="16998" spans="1:6" x14ac:dyDescent="0.25">
      <c r="A16998" t="str">
        <f>"200012685"</f>
        <v>200012685</v>
      </c>
      <c r="B16998" t="str">
        <f>"1013781731"</f>
        <v>1013781731</v>
      </c>
      <c r="C16998" t="str">
        <f>"261QR1300X"</f>
        <v>261QR1300X</v>
      </c>
      <c r="D16998" t="str">
        <f>"KING'S DAUGHTERS MEDICAL CLINIC                   "</f>
        <v xml:space="preserve">KING'S DAUGHTERS MEDICAL CLINIC                   </v>
      </c>
      <c r="E16998" t="str">
        <f>"BROOKHAVEN                "</f>
        <v xml:space="preserve">BROOKHAVEN                </v>
      </c>
      <c r="F16998" t="str">
        <f t="shared" si="425"/>
        <v>MS</v>
      </c>
    </row>
    <row r="16999" spans="1:6" x14ac:dyDescent="0.25">
      <c r="A16999" t="str">
        <f>"200012686"</f>
        <v>200012686</v>
      </c>
      <c r="B16999" t="str">
        <f>"1306698691"</f>
        <v>1306698691</v>
      </c>
      <c r="C16999" t="str">
        <f>"207R00000X"</f>
        <v>207R00000X</v>
      </c>
      <c r="D16999" t="str">
        <f>"MCCOWAN                  HANNAH                   "</f>
        <v xml:space="preserve">MCCOWAN                  HANNAH                   </v>
      </c>
      <c r="E16999" t="str">
        <f>"JACKSON                   "</f>
        <v xml:space="preserve">JACKSON                   </v>
      </c>
      <c r="F16999" t="str">
        <f t="shared" si="425"/>
        <v>MS</v>
      </c>
    </row>
    <row r="17000" spans="1:6" x14ac:dyDescent="0.25">
      <c r="A17000" t="str">
        <f>"200012687"</f>
        <v>200012687</v>
      </c>
      <c r="B17000" t="str">
        <f>"1649029729"</f>
        <v>1649029729</v>
      </c>
      <c r="C17000" t="str">
        <f>"207R00000X"</f>
        <v>207R00000X</v>
      </c>
      <c r="D17000" t="str">
        <f>"BOUTWELL                 LOGAN                    "</f>
        <v xml:space="preserve">BOUTWELL                 LOGAN                    </v>
      </c>
      <c r="E17000" t="str">
        <f>"GULFPORT                  "</f>
        <v xml:space="preserve">GULFPORT                  </v>
      </c>
      <c r="F17000" t="str">
        <f t="shared" si="425"/>
        <v>MS</v>
      </c>
    </row>
    <row r="17001" spans="1:6" x14ac:dyDescent="0.25">
      <c r="A17001" t="str">
        <f>"200012692"</f>
        <v>200012692</v>
      </c>
      <c r="B17001" t="str">
        <f>"1184474470"</f>
        <v>1184474470</v>
      </c>
      <c r="C17001" t="str">
        <f>"208000000X"</f>
        <v>208000000X</v>
      </c>
      <c r="D17001" t="str">
        <f>"MALE                     KAYLA                    "</f>
        <v xml:space="preserve">MALE                     KAYLA                    </v>
      </c>
      <c r="E17001" t="str">
        <f>"JACKSON                   "</f>
        <v xml:space="preserve">JACKSON                   </v>
      </c>
      <c r="F17001" t="str">
        <f t="shared" si="425"/>
        <v>MS</v>
      </c>
    </row>
    <row r="17002" spans="1:6" x14ac:dyDescent="0.25">
      <c r="A17002" t="str">
        <f>"200012693"</f>
        <v>200012693</v>
      </c>
      <c r="B17002" t="str">
        <f>"1346268786"</f>
        <v>1346268786</v>
      </c>
      <c r="C17002" t="str">
        <f>"207Q00000X"</f>
        <v>207Q00000X</v>
      </c>
      <c r="D17002" t="str">
        <f>"HUNT                     HARRY                    "</f>
        <v xml:space="preserve">HUNT                     HARRY                    </v>
      </c>
      <c r="E17002" t="str">
        <f>"LUCEDALE                  "</f>
        <v xml:space="preserve">LUCEDALE                  </v>
      </c>
      <c r="F17002" t="str">
        <f t="shared" si="425"/>
        <v>MS</v>
      </c>
    </row>
    <row r="17003" spans="1:6" x14ac:dyDescent="0.25">
      <c r="A17003" t="str">
        <f>"200012694"</f>
        <v>200012694</v>
      </c>
      <c r="B17003" t="str">
        <f>"1578140521"</f>
        <v>1578140521</v>
      </c>
      <c r="C17003" t="str">
        <f>"207Q00000X"</f>
        <v>207Q00000X</v>
      </c>
      <c r="D17003" t="str">
        <f>"OKORO                    FORTUNE                  "</f>
        <v xml:space="preserve">OKORO                    FORTUNE                  </v>
      </c>
      <c r="E17003" t="str">
        <f>"WINONA                    "</f>
        <v xml:space="preserve">WINONA                    </v>
      </c>
      <c r="F17003" t="str">
        <f t="shared" si="425"/>
        <v>MS</v>
      </c>
    </row>
    <row r="17004" spans="1:6" x14ac:dyDescent="0.25">
      <c r="A17004" t="str">
        <f>"200012695"</f>
        <v>200012695</v>
      </c>
      <c r="B17004" t="str">
        <f>"1457814220"</f>
        <v>1457814220</v>
      </c>
      <c r="C17004" t="str">
        <f>"207RN0300X"</f>
        <v>207RN0300X</v>
      </c>
      <c r="D17004" t="str">
        <f>"BAKER                    CALVIN       C           "</f>
        <v xml:space="preserve">BAKER                    CALVIN       C           </v>
      </c>
      <c r="E17004" t="str">
        <f>"TUPELO                    "</f>
        <v xml:space="preserve">TUPELO                    </v>
      </c>
      <c r="F17004" t="str">
        <f t="shared" si="425"/>
        <v>MS</v>
      </c>
    </row>
    <row r="17005" spans="1:6" x14ac:dyDescent="0.25">
      <c r="A17005" t="str">
        <f>"200012698"</f>
        <v>200012698</v>
      </c>
      <c r="B17005" t="str">
        <f>"1083395263"</f>
        <v>1083395263</v>
      </c>
      <c r="C17005" t="str">
        <f>"363L00000X"</f>
        <v>363L00000X</v>
      </c>
      <c r="D17005" t="str">
        <f>"JONES-HAMPTON            NAKIA                    "</f>
        <v xml:space="preserve">JONES-HAMPTON            NAKIA                    </v>
      </c>
      <c r="E17005" t="str">
        <f>"JACKSON                   "</f>
        <v xml:space="preserve">JACKSON                   </v>
      </c>
      <c r="F17005" t="str">
        <f t="shared" si="425"/>
        <v>MS</v>
      </c>
    </row>
    <row r="17006" spans="1:6" x14ac:dyDescent="0.25">
      <c r="A17006" t="str">
        <f>"200012701"</f>
        <v>200012701</v>
      </c>
      <c r="B17006" t="str">
        <f>"1649021981"</f>
        <v>1649021981</v>
      </c>
      <c r="C17006" t="str">
        <f>"207R00000X"</f>
        <v>207R00000X</v>
      </c>
      <c r="D17006" t="str">
        <f>"MCDANIEL                 JORDAN                   "</f>
        <v xml:space="preserve">MCDANIEL                 JORDAN                   </v>
      </c>
      <c r="E17006" t="str">
        <f>"JACKSON                   "</f>
        <v xml:space="preserve">JACKSON                   </v>
      </c>
      <c r="F17006" t="str">
        <f t="shared" si="425"/>
        <v>MS</v>
      </c>
    </row>
    <row r="17007" spans="1:6" x14ac:dyDescent="0.25">
      <c r="A17007" t="str">
        <f>"200012712"</f>
        <v>200012712</v>
      </c>
      <c r="B17007" t="str">
        <f>"1225880362"</f>
        <v>1225880362</v>
      </c>
      <c r="C17007" t="str">
        <f>"207R00000X"</f>
        <v>207R00000X</v>
      </c>
      <c r="D17007" t="str">
        <f>"MOFFETT                  AUBREANNA                "</f>
        <v xml:space="preserve">MOFFETT                  AUBREANNA                </v>
      </c>
      <c r="E17007" t="str">
        <f>"JACKSON                   "</f>
        <v xml:space="preserve">JACKSON                   </v>
      </c>
      <c r="F17007" t="str">
        <f t="shared" si="425"/>
        <v>MS</v>
      </c>
    </row>
    <row r="17008" spans="1:6" x14ac:dyDescent="0.25">
      <c r="A17008" t="str">
        <f>"200012713"</f>
        <v>200012713</v>
      </c>
      <c r="B17008" t="str">
        <f>"1225890684"</f>
        <v>1225890684</v>
      </c>
      <c r="C17008" t="str">
        <f>"363A00000X"</f>
        <v>363A00000X</v>
      </c>
      <c r="D17008" t="str">
        <f>"WATKINS                  BRIANNA      N           "</f>
        <v xml:space="preserve">WATKINS                  BRIANNA      N           </v>
      </c>
      <c r="E17008" t="str">
        <f>"FLOWOOD                   "</f>
        <v xml:space="preserve">FLOWOOD                   </v>
      </c>
      <c r="F17008" t="str">
        <f t="shared" si="425"/>
        <v>MS</v>
      </c>
    </row>
    <row r="17009" spans="1:6" x14ac:dyDescent="0.25">
      <c r="A17009" t="str">
        <f>"200012716"</f>
        <v>200012716</v>
      </c>
      <c r="B17009" t="str">
        <f>"1962440297"</f>
        <v>1962440297</v>
      </c>
      <c r="C17009" t="str">
        <f>"207P00000X"</f>
        <v>207P00000X</v>
      </c>
      <c r="D17009" t="str">
        <f>"JOHNSEY                  JOSEPH                   "</f>
        <v xml:space="preserve">JOHNSEY                  JOSEPH                   </v>
      </c>
      <c r="E17009" t="str">
        <f>"TUPELO                    "</f>
        <v xml:space="preserve">TUPELO                    </v>
      </c>
      <c r="F17009" t="str">
        <f t="shared" si="425"/>
        <v>MS</v>
      </c>
    </row>
    <row r="17010" spans="1:6" x14ac:dyDescent="0.25">
      <c r="A17010" t="str">
        <f>"200012722"</f>
        <v>200012722</v>
      </c>
      <c r="B17010" t="str">
        <f>"1134904675"</f>
        <v>1134904675</v>
      </c>
      <c r="C17010" t="str">
        <f>"363L00000X"</f>
        <v>363L00000X</v>
      </c>
      <c r="D17010" t="str">
        <f>"FLEMING                  BLAKE                    "</f>
        <v xml:space="preserve">FLEMING                  BLAKE                    </v>
      </c>
      <c r="E17010" t="str">
        <f>"PICAYUNE                  "</f>
        <v xml:space="preserve">PICAYUNE                  </v>
      </c>
      <c r="F17010" t="str">
        <f t="shared" si="425"/>
        <v>MS</v>
      </c>
    </row>
    <row r="17011" spans="1:6" x14ac:dyDescent="0.25">
      <c r="A17011" t="str">
        <f>"200012727"</f>
        <v>200012727</v>
      </c>
      <c r="B17011" t="str">
        <f>"1609627637"</f>
        <v>1609627637</v>
      </c>
      <c r="C17011" t="str">
        <f>"208000000X"</f>
        <v>208000000X</v>
      </c>
      <c r="D17011" t="str">
        <f>"ELLIS                    DANIELLE                 "</f>
        <v xml:space="preserve">ELLIS                    DANIELLE                 </v>
      </c>
      <c r="E17011" t="str">
        <f>"JACKSON                   "</f>
        <v xml:space="preserve">JACKSON                   </v>
      </c>
      <c r="F17011" t="str">
        <f t="shared" si="425"/>
        <v>MS</v>
      </c>
    </row>
    <row r="17012" spans="1:6" x14ac:dyDescent="0.25">
      <c r="A17012" t="str">
        <f>"200012738"</f>
        <v>200012738</v>
      </c>
      <c r="B17012" t="str">
        <f>"1346895547"</f>
        <v>1346895547</v>
      </c>
      <c r="C17012" t="str">
        <f>"363A00000X"</f>
        <v>363A00000X</v>
      </c>
      <c r="D17012" t="str">
        <f>"KNOWLES                  LINDSIE                  "</f>
        <v xml:space="preserve">KNOWLES                  LINDSIE                  </v>
      </c>
      <c r="E17012" t="str">
        <f>"TUPELO                    "</f>
        <v xml:space="preserve">TUPELO                    </v>
      </c>
      <c r="F17012" t="str">
        <f t="shared" si="425"/>
        <v>MS</v>
      </c>
    </row>
    <row r="17013" spans="1:6" x14ac:dyDescent="0.25">
      <c r="A17013" t="str">
        <f>"200012739"</f>
        <v>200012739</v>
      </c>
      <c r="B17013" t="str">
        <f>"1053191338"</f>
        <v>1053191338</v>
      </c>
      <c r="C17013" t="str">
        <f>"363LF0000X"</f>
        <v>363LF0000X</v>
      </c>
      <c r="D17013" t="str">
        <f>"LOGGINS                  SALINA                   "</f>
        <v xml:space="preserve">LOGGINS                  SALINA                   </v>
      </c>
      <c r="E17013" t="str">
        <f>"JACKSON                   "</f>
        <v xml:space="preserve">JACKSON                   </v>
      </c>
      <c r="F17013" t="str">
        <f t="shared" si="425"/>
        <v>MS</v>
      </c>
    </row>
    <row r="17014" spans="1:6" x14ac:dyDescent="0.25">
      <c r="A17014" t="str">
        <f>"200012744"</f>
        <v>200012744</v>
      </c>
      <c r="B17014" t="str">
        <f>"1528370749"</f>
        <v>1528370749</v>
      </c>
      <c r="C17014" t="str">
        <f>"207R00000X"</f>
        <v>207R00000X</v>
      </c>
      <c r="D17014" t="str">
        <f>"YANES CARDOZO            LICY                     "</f>
        <v xml:space="preserve">YANES CARDOZO            LICY                     </v>
      </c>
      <c r="E17014" t="str">
        <f>"JACKSON                   "</f>
        <v xml:space="preserve">JACKSON                   </v>
      </c>
      <c r="F17014" t="str">
        <f t="shared" si="425"/>
        <v>MS</v>
      </c>
    </row>
    <row r="17015" spans="1:6" x14ac:dyDescent="0.25">
      <c r="A17015" t="str">
        <f>"200012746"</f>
        <v>200012746</v>
      </c>
      <c r="B17015" t="str">
        <f>"1639929110"</f>
        <v>1639929110</v>
      </c>
      <c r="C17015" t="str">
        <f>"207R00000X"</f>
        <v>207R00000X</v>
      </c>
      <c r="D17015" t="str">
        <f>"DEWARE                   CHARLES                  "</f>
        <v xml:space="preserve">DEWARE                   CHARLES                  </v>
      </c>
      <c r="E17015" t="str">
        <f>"JACKSON                   "</f>
        <v xml:space="preserve">JACKSON                   </v>
      </c>
      <c r="F17015" t="str">
        <f t="shared" si="425"/>
        <v>MS</v>
      </c>
    </row>
    <row r="17016" spans="1:6" x14ac:dyDescent="0.25">
      <c r="A17016" t="str">
        <f>"200012747"</f>
        <v>200012747</v>
      </c>
      <c r="B17016" t="str">
        <f>"1174147003"</f>
        <v>1174147003</v>
      </c>
      <c r="C17016" t="str">
        <f>"207W00000X"</f>
        <v>207W00000X</v>
      </c>
      <c r="D17016" t="str">
        <f>"HEYDINGER                STANTON                  "</f>
        <v xml:space="preserve">HEYDINGER                STANTON                  </v>
      </c>
      <c r="E17016" t="str">
        <f>"JACKSON                   "</f>
        <v xml:space="preserve">JACKSON                   </v>
      </c>
      <c r="F17016" t="str">
        <f t="shared" si="425"/>
        <v>MS</v>
      </c>
    </row>
    <row r="17017" spans="1:6" x14ac:dyDescent="0.25">
      <c r="A17017" t="str">
        <f>"200012748"</f>
        <v>200012748</v>
      </c>
      <c r="B17017" t="str">
        <f>"1700515939"</f>
        <v>1700515939</v>
      </c>
      <c r="C17017" t="str">
        <f>"207N00000X"</f>
        <v>207N00000X</v>
      </c>
      <c r="D17017" t="str">
        <f>"MORRISSETTE              SUMMER                   "</f>
        <v xml:space="preserve">MORRISSETTE              SUMMER                   </v>
      </c>
      <c r="E17017" t="str">
        <f>"JACKSON                   "</f>
        <v xml:space="preserve">JACKSON                   </v>
      </c>
      <c r="F17017" t="str">
        <f t="shared" si="425"/>
        <v>MS</v>
      </c>
    </row>
    <row r="17018" spans="1:6" x14ac:dyDescent="0.25">
      <c r="A17018" t="str">
        <f>"200012755"</f>
        <v>200012755</v>
      </c>
      <c r="B17018" t="str">
        <f>"1255733358"</f>
        <v>1255733358</v>
      </c>
      <c r="C17018" t="str">
        <f>"363LP0808X"</f>
        <v>363LP0808X</v>
      </c>
      <c r="D17018" t="str">
        <f>"EDWARDS                  NATALIE      R           "</f>
        <v xml:space="preserve">EDWARDS                  NATALIE      R           </v>
      </c>
      <c r="E17018" t="str">
        <f>"VICKSBURG                 "</f>
        <v xml:space="preserve">VICKSBURG                 </v>
      </c>
      <c r="F17018" t="str">
        <f t="shared" si="425"/>
        <v>MS</v>
      </c>
    </row>
    <row r="17019" spans="1:6" x14ac:dyDescent="0.25">
      <c r="A17019" t="str">
        <f>"200012758"</f>
        <v>200012758</v>
      </c>
      <c r="B17019" t="str">
        <f>"1356183909"</f>
        <v>1356183909</v>
      </c>
      <c r="C17019" t="str">
        <f>"363LF0000X"</f>
        <v>363LF0000X</v>
      </c>
      <c r="D17019" t="str">
        <f>"JONES                    CARTER                   "</f>
        <v xml:space="preserve">JONES                    CARTER                   </v>
      </c>
      <c r="E17019" t="str">
        <f>"LAUREL                    "</f>
        <v xml:space="preserve">LAUREL                    </v>
      </c>
      <c r="F17019" t="str">
        <f t="shared" si="425"/>
        <v>MS</v>
      </c>
    </row>
    <row r="17020" spans="1:6" x14ac:dyDescent="0.25">
      <c r="A17020" t="str">
        <f>"200012760"</f>
        <v>200012760</v>
      </c>
      <c r="B17020" t="str">
        <f>"1578020459"</f>
        <v>1578020459</v>
      </c>
      <c r="C17020" t="str">
        <f>"363LF0000X"</f>
        <v>363LF0000X</v>
      </c>
      <c r="D17020" t="str">
        <f>"LITTLE                   JACQUELYNE               "</f>
        <v xml:space="preserve">LITTLE                   JACQUELYNE               </v>
      </c>
      <c r="E17020" t="str">
        <f>"VICKSBURG                 "</f>
        <v xml:space="preserve">VICKSBURG                 </v>
      </c>
      <c r="F17020" t="str">
        <f t="shared" si="425"/>
        <v>MS</v>
      </c>
    </row>
    <row r="17021" spans="1:6" x14ac:dyDescent="0.25">
      <c r="A17021" t="str">
        <f>"200012765"</f>
        <v>200012765</v>
      </c>
      <c r="B17021" t="str">
        <f>"1841758059"</f>
        <v>1841758059</v>
      </c>
      <c r="C17021" t="str">
        <f>"363LF0000X"</f>
        <v>363LF0000X</v>
      </c>
      <c r="D17021" t="str">
        <f>"MCKEE                    JENNIFER     L           "</f>
        <v xml:space="preserve">MCKEE                    JENNIFER     L           </v>
      </c>
      <c r="E17021" t="str">
        <f>"COLDWATER                 "</f>
        <v xml:space="preserve">COLDWATER                 </v>
      </c>
      <c r="F17021" t="str">
        <f t="shared" si="425"/>
        <v>MS</v>
      </c>
    </row>
    <row r="17022" spans="1:6" x14ac:dyDescent="0.25">
      <c r="A17022" t="str">
        <f>"200012767"</f>
        <v>200012767</v>
      </c>
      <c r="B17022" t="str">
        <f>"1962024778"</f>
        <v>1962024778</v>
      </c>
      <c r="C17022" t="str">
        <f>"208000000X"</f>
        <v>208000000X</v>
      </c>
      <c r="D17022" t="str">
        <f>"SHANU                    MOORTHY                  "</f>
        <v xml:space="preserve">SHANU                    MOORTHY                  </v>
      </c>
      <c r="E17022" t="str">
        <f>"JACKSON                   "</f>
        <v xml:space="preserve">JACKSON                   </v>
      </c>
      <c r="F17022" t="str">
        <f t="shared" ref="F17022:F17085" si="426">"MS"</f>
        <v>MS</v>
      </c>
    </row>
    <row r="17023" spans="1:6" x14ac:dyDescent="0.25">
      <c r="A17023" t="str">
        <f>"200012773"</f>
        <v>200012773</v>
      </c>
      <c r="B17023" t="str">
        <f>"1427818533"</f>
        <v>1427818533</v>
      </c>
      <c r="C17023" t="str">
        <f>"207L00000X"</f>
        <v>207L00000X</v>
      </c>
      <c r="D17023" t="str">
        <f>"EDWARDS                  JOSEPH                   "</f>
        <v xml:space="preserve">EDWARDS                  JOSEPH                   </v>
      </c>
      <c r="E17023" t="str">
        <f>"JACKSON                   "</f>
        <v xml:space="preserve">JACKSON                   </v>
      </c>
      <c r="F17023" t="str">
        <f t="shared" si="426"/>
        <v>MS</v>
      </c>
    </row>
    <row r="17024" spans="1:6" x14ac:dyDescent="0.25">
      <c r="A17024" t="str">
        <f>"200012783"</f>
        <v>200012783</v>
      </c>
      <c r="B17024" t="str">
        <f>"1700551801"</f>
        <v>1700551801</v>
      </c>
      <c r="C17024" t="str">
        <f>"367500000X"</f>
        <v>367500000X</v>
      </c>
      <c r="D17024" t="str">
        <f>"SPRATLIN, III            WILLIAM      H           "</f>
        <v xml:space="preserve">SPRATLIN, III            WILLIAM      H           </v>
      </c>
      <c r="E17024" t="str">
        <f>"STARKVILLE                "</f>
        <v xml:space="preserve">STARKVILLE                </v>
      </c>
      <c r="F17024" t="str">
        <f t="shared" si="426"/>
        <v>MS</v>
      </c>
    </row>
    <row r="17025" spans="1:6" x14ac:dyDescent="0.25">
      <c r="A17025" t="str">
        <f>"200012785"</f>
        <v>200012785</v>
      </c>
      <c r="B17025" t="str">
        <f>"1295398261"</f>
        <v>1295398261</v>
      </c>
      <c r="C17025" t="str">
        <f>"207RN0300X"</f>
        <v>207RN0300X</v>
      </c>
      <c r="D17025" t="str">
        <f>"SHUKOOR                  SHEHBAZ                  "</f>
        <v xml:space="preserve">SHUKOOR                  SHEHBAZ                  </v>
      </c>
      <c r="E17025" t="str">
        <f>"SOUTHAVEN                 "</f>
        <v xml:space="preserve">SOUTHAVEN                 </v>
      </c>
      <c r="F17025" t="str">
        <f t="shared" si="426"/>
        <v>MS</v>
      </c>
    </row>
    <row r="17026" spans="1:6" x14ac:dyDescent="0.25">
      <c r="A17026" t="str">
        <f>"200012787"</f>
        <v>200012787</v>
      </c>
      <c r="B17026" t="str">
        <f>"1023581857"</f>
        <v>1023581857</v>
      </c>
      <c r="C17026" t="str">
        <f>"363L00000X"</f>
        <v>363L00000X</v>
      </c>
      <c r="D17026" t="str">
        <f>"PETERSON                 JANA                     "</f>
        <v xml:space="preserve">PETERSON                 JANA                     </v>
      </c>
      <c r="E17026" t="str">
        <f>"STARKVILLE                "</f>
        <v xml:space="preserve">STARKVILLE                </v>
      </c>
      <c r="F17026" t="str">
        <f t="shared" si="426"/>
        <v>MS</v>
      </c>
    </row>
    <row r="17027" spans="1:6" x14ac:dyDescent="0.25">
      <c r="A17027" t="str">
        <f>"200012788"</f>
        <v>200012788</v>
      </c>
      <c r="B17027" t="str">
        <f>"1982287926"</f>
        <v>1982287926</v>
      </c>
      <c r="C17027" t="str">
        <f>"207P00000X"</f>
        <v>207P00000X</v>
      </c>
      <c r="D17027" t="str">
        <f>"HAMILTON                 ANGELA                   "</f>
        <v xml:space="preserve">HAMILTON                 ANGELA                   </v>
      </c>
      <c r="E17027" t="str">
        <f>"GULFPORT                  "</f>
        <v xml:space="preserve">GULFPORT                  </v>
      </c>
      <c r="F17027" t="str">
        <f t="shared" si="426"/>
        <v>MS</v>
      </c>
    </row>
    <row r="17028" spans="1:6" x14ac:dyDescent="0.25">
      <c r="A17028" t="str">
        <f>"200012790"</f>
        <v>200012790</v>
      </c>
      <c r="B17028" t="str">
        <f>"1396185765"</f>
        <v>1396185765</v>
      </c>
      <c r="C17028" t="str">
        <f>"207P00000X"</f>
        <v>207P00000X</v>
      </c>
      <c r="D17028" t="str">
        <f>"BROWNING                 JOHN                     "</f>
        <v xml:space="preserve">BROWNING                 JOHN                     </v>
      </c>
      <c r="E17028" t="str">
        <f>"AMORY                     "</f>
        <v xml:space="preserve">AMORY                     </v>
      </c>
      <c r="F17028" t="str">
        <f t="shared" si="426"/>
        <v>MS</v>
      </c>
    </row>
    <row r="17029" spans="1:6" x14ac:dyDescent="0.25">
      <c r="A17029" t="str">
        <f>"200012794"</f>
        <v>200012794</v>
      </c>
      <c r="B17029" t="str">
        <f>"1154172104"</f>
        <v>1154172104</v>
      </c>
      <c r="C17029" t="str">
        <f>"208000000X"</f>
        <v>208000000X</v>
      </c>
      <c r="D17029" t="str">
        <f>"HAYGOOD                  MARY                     "</f>
        <v xml:space="preserve">HAYGOOD                  MARY                     </v>
      </c>
      <c r="E17029" t="str">
        <f>"JACKSON                   "</f>
        <v xml:space="preserve">JACKSON                   </v>
      </c>
      <c r="F17029" t="str">
        <f t="shared" si="426"/>
        <v>MS</v>
      </c>
    </row>
    <row r="17030" spans="1:6" x14ac:dyDescent="0.25">
      <c r="A17030" t="str">
        <f>"200012798"</f>
        <v>200012798</v>
      </c>
      <c r="B17030" t="str">
        <f>"1548786213"</f>
        <v>1548786213</v>
      </c>
      <c r="C17030" t="str">
        <f>"363LG0600X"</f>
        <v>363LG0600X</v>
      </c>
      <c r="D17030" t="str">
        <f>"CHAMBERS                 LESLIE       S           "</f>
        <v xml:space="preserve">CHAMBERS                 LESLIE       S           </v>
      </c>
      <c r="E17030" t="str">
        <f>"FLOWOOD                   "</f>
        <v xml:space="preserve">FLOWOOD                   </v>
      </c>
      <c r="F17030" t="str">
        <f t="shared" si="426"/>
        <v>MS</v>
      </c>
    </row>
    <row r="17031" spans="1:6" x14ac:dyDescent="0.25">
      <c r="A17031" t="str">
        <f>"200012799"</f>
        <v>200012799</v>
      </c>
      <c r="B17031" t="str">
        <f>"1790272961"</f>
        <v>1790272961</v>
      </c>
      <c r="C17031" t="str">
        <f>"208000000X"</f>
        <v>208000000X</v>
      </c>
      <c r="D17031" t="str">
        <f>"MARKOW                   MARY BALL                "</f>
        <v xml:space="preserve">MARKOW                   MARY BALL                </v>
      </c>
      <c r="E17031" t="str">
        <f>"JACKSON                   "</f>
        <v xml:space="preserve">JACKSON                   </v>
      </c>
      <c r="F17031" t="str">
        <f t="shared" si="426"/>
        <v>MS</v>
      </c>
    </row>
    <row r="17032" spans="1:6" x14ac:dyDescent="0.25">
      <c r="A17032" t="str">
        <f>"200012801"</f>
        <v>200012801</v>
      </c>
      <c r="B17032" t="str">
        <f>"1245080555"</f>
        <v>1245080555</v>
      </c>
      <c r="C17032" t="str">
        <f>"207R00000X"</f>
        <v>207R00000X</v>
      </c>
      <c r="D17032" t="str">
        <f>"HULL                     JENNA                    "</f>
        <v xml:space="preserve">HULL                     JENNA                    </v>
      </c>
      <c r="E17032" t="str">
        <f>"JACKSON                   "</f>
        <v xml:space="preserve">JACKSON                   </v>
      </c>
      <c r="F17032" t="str">
        <f t="shared" si="426"/>
        <v>MS</v>
      </c>
    </row>
    <row r="17033" spans="1:6" x14ac:dyDescent="0.25">
      <c r="A17033" t="str">
        <f>"200012805"</f>
        <v>200012805</v>
      </c>
      <c r="B17033" t="str">
        <f>"1952151268"</f>
        <v>1952151268</v>
      </c>
      <c r="C17033" t="str">
        <f>"208600000X"</f>
        <v>208600000X</v>
      </c>
      <c r="D17033" t="str">
        <f>"KING                     TIMOTHY                  "</f>
        <v xml:space="preserve">KING                     TIMOTHY                  </v>
      </c>
      <c r="E17033" t="str">
        <f>"JACKSON                   "</f>
        <v xml:space="preserve">JACKSON                   </v>
      </c>
      <c r="F17033" t="str">
        <f t="shared" si="426"/>
        <v>MS</v>
      </c>
    </row>
    <row r="17034" spans="1:6" x14ac:dyDescent="0.25">
      <c r="A17034" t="str">
        <f>"200012808"</f>
        <v>200012808</v>
      </c>
      <c r="B17034" t="str">
        <f>"1275385189"</f>
        <v>1275385189</v>
      </c>
      <c r="C17034" t="str">
        <f>"2084P0800X"</f>
        <v>2084P0800X</v>
      </c>
      <c r="D17034" t="str">
        <f>"LOCKETT                  STEWART                  "</f>
        <v xml:space="preserve">LOCKETT                  STEWART                  </v>
      </c>
      <c r="E17034" t="str">
        <f>"JACKSON                   "</f>
        <v xml:space="preserve">JACKSON                   </v>
      </c>
      <c r="F17034" t="str">
        <f t="shared" si="426"/>
        <v>MS</v>
      </c>
    </row>
    <row r="17035" spans="1:6" x14ac:dyDescent="0.25">
      <c r="A17035" t="str">
        <f>"200012811"</f>
        <v>200012811</v>
      </c>
      <c r="B17035" t="str">
        <f>"1154341774"</f>
        <v>1154341774</v>
      </c>
      <c r="C17035" t="str">
        <f>"363LF0000X"</f>
        <v>363LF0000X</v>
      </c>
      <c r="D17035" t="str">
        <f>"WARD                     HOLLIS       L           "</f>
        <v xml:space="preserve">WARD                     HOLLIS       L           </v>
      </c>
      <c r="E17035" t="str">
        <f>"LUCEDALE                  "</f>
        <v xml:space="preserve">LUCEDALE                  </v>
      </c>
      <c r="F17035" t="str">
        <f t="shared" si="426"/>
        <v>MS</v>
      </c>
    </row>
    <row r="17036" spans="1:6" x14ac:dyDescent="0.25">
      <c r="A17036" t="str">
        <f>"200012812"</f>
        <v>200012812</v>
      </c>
      <c r="B17036" t="str">
        <f>"1437711991"</f>
        <v>1437711991</v>
      </c>
      <c r="C17036" t="str">
        <f>"363L00000X"</f>
        <v>363L00000X</v>
      </c>
      <c r="D17036" t="str">
        <f>"WILTSHIRE                AMANDA                   "</f>
        <v xml:space="preserve">WILTSHIRE                AMANDA                   </v>
      </c>
      <c r="E17036" t="str">
        <f>"SOUTHAVEN                 "</f>
        <v xml:space="preserve">SOUTHAVEN                 </v>
      </c>
      <c r="F17036" t="str">
        <f t="shared" si="426"/>
        <v>MS</v>
      </c>
    </row>
    <row r="17037" spans="1:6" x14ac:dyDescent="0.25">
      <c r="A17037" t="str">
        <f>"200012814"</f>
        <v>200012814</v>
      </c>
      <c r="B17037" t="str">
        <f>"1063020121"</f>
        <v>1063020121</v>
      </c>
      <c r="C17037" t="str">
        <f>"207P00000X"</f>
        <v>207P00000X</v>
      </c>
      <c r="D17037" t="str">
        <f>"WARKUS                   ERICA                    "</f>
        <v xml:space="preserve">WARKUS                   ERICA                    </v>
      </c>
      <c r="E17037" t="str">
        <f>"GULFPORT                  "</f>
        <v xml:space="preserve">GULFPORT                  </v>
      </c>
      <c r="F17037" t="str">
        <f t="shared" si="426"/>
        <v>MS</v>
      </c>
    </row>
    <row r="17038" spans="1:6" x14ac:dyDescent="0.25">
      <c r="A17038" t="str">
        <f>"200012818"</f>
        <v>200012818</v>
      </c>
      <c r="B17038" t="str">
        <f>"1407691363"</f>
        <v>1407691363</v>
      </c>
      <c r="C17038" t="str">
        <f>"122300000X"</f>
        <v>122300000X</v>
      </c>
      <c r="D17038" t="str">
        <f>"GOUDY                    JOHNTRE      L           "</f>
        <v xml:space="preserve">GOUDY                    JOHNTRE      L           </v>
      </c>
      <c r="E17038" t="str">
        <f>"GULFPORT                  "</f>
        <v xml:space="preserve">GULFPORT                  </v>
      </c>
      <c r="F17038" t="str">
        <f t="shared" si="426"/>
        <v>MS</v>
      </c>
    </row>
    <row r="17039" spans="1:6" x14ac:dyDescent="0.25">
      <c r="A17039" t="str">
        <f>"200012820"</f>
        <v>200012820</v>
      </c>
      <c r="B17039" t="str">
        <f>"1982454286"</f>
        <v>1982454286</v>
      </c>
      <c r="C17039" t="str">
        <f>"207R00000X"</f>
        <v>207R00000X</v>
      </c>
      <c r="D17039" t="str">
        <f>"CRUMPLER                 REECE                    "</f>
        <v xml:space="preserve">CRUMPLER                 REECE                    </v>
      </c>
      <c r="E17039" t="str">
        <f>"JACKSON                   "</f>
        <v xml:space="preserve">JACKSON                   </v>
      </c>
      <c r="F17039" t="str">
        <f t="shared" si="426"/>
        <v>MS</v>
      </c>
    </row>
    <row r="17040" spans="1:6" x14ac:dyDescent="0.25">
      <c r="A17040" t="str">
        <f>"200012821"</f>
        <v>200012821</v>
      </c>
      <c r="B17040" t="str">
        <f>"1790035731"</f>
        <v>1790035731</v>
      </c>
      <c r="C17040" t="str">
        <f>"363LF0000X"</f>
        <v>363LF0000X</v>
      </c>
      <c r="D17040" t="str">
        <f>"VAUGHAN                  CHARLENE     L           "</f>
        <v xml:space="preserve">VAUGHAN                  CHARLENE     L           </v>
      </c>
      <c r="E17040" t="str">
        <f>"COLUMBUS                  "</f>
        <v xml:space="preserve">COLUMBUS                  </v>
      </c>
      <c r="F17040" t="str">
        <f t="shared" si="426"/>
        <v>MS</v>
      </c>
    </row>
    <row r="17041" spans="1:6" x14ac:dyDescent="0.25">
      <c r="A17041" t="str">
        <f>"200012824"</f>
        <v>200012824</v>
      </c>
      <c r="B17041" t="str">
        <f>"1063528750"</f>
        <v>1063528750</v>
      </c>
      <c r="C17041" t="str">
        <f>"207Q00000X"</f>
        <v>207Q00000X</v>
      </c>
      <c r="D17041" t="str">
        <f>"DABBS                    WILLIS       N           "</f>
        <v xml:space="preserve">DABBS                    WILLIS       N           </v>
      </c>
      <c r="E17041" t="str">
        <f>"OXFORD                    "</f>
        <v xml:space="preserve">OXFORD                    </v>
      </c>
      <c r="F17041" t="str">
        <f t="shared" si="426"/>
        <v>MS</v>
      </c>
    </row>
    <row r="17042" spans="1:6" x14ac:dyDescent="0.25">
      <c r="A17042" t="str">
        <f>"200012827"</f>
        <v>200012827</v>
      </c>
      <c r="B17042" t="str">
        <f>"1447922364"</f>
        <v>1447922364</v>
      </c>
      <c r="C17042" t="str">
        <f>"363LF0000X"</f>
        <v>363LF0000X</v>
      </c>
      <c r="D17042" t="str">
        <f>"HULSEY                   AMANDA                   "</f>
        <v xml:space="preserve">HULSEY                   AMANDA                   </v>
      </c>
      <c r="E17042" t="str">
        <f>"TUPELO                    "</f>
        <v xml:space="preserve">TUPELO                    </v>
      </c>
      <c r="F17042" t="str">
        <f t="shared" si="426"/>
        <v>MS</v>
      </c>
    </row>
    <row r="17043" spans="1:6" x14ac:dyDescent="0.25">
      <c r="A17043" t="str">
        <f>"200012837"</f>
        <v>200012837</v>
      </c>
      <c r="B17043" t="str">
        <f>"1023885050"</f>
        <v>1023885050</v>
      </c>
      <c r="C17043" t="str">
        <f>"261QM1300X"</f>
        <v>261QM1300X</v>
      </c>
      <c r="D17043" t="str">
        <f>"HARRIS FAMILY CLINIC                              "</f>
        <v xml:space="preserve">HARRIS FAMILY CLINIC                              </v>
      </c>
      <c r="E17043" t="str">
        <f>"HOUSTON                   "</f>
        <v xml:space="preserve">HOUSTON                   </v>
      </c>
      <c r="F17043" t="str">
        <f t="shared" si="426"/>
        <v>MS</v>
      </c>
    </row>
    <row r="17044" spans="1:6" x14ac:dyDescent="0.25">
      <c r="A17044" t="str">
        <f>"200012840"</f>
        <v>200012840</v>
      </c>
      <c r="B17044" t="str">
        <f>"1588414908"</f>
        <v>1588414908</v>
      </c>
      <c r="C17044" t="str">
        <f>"208000000X"</f>
        <v>208000000X</v>
      </c>
      <c r="D17044" t="str">
        <f>"HOSTEN                   KAHDEJAH                 "</f>
        <v xml:space="preserve">HOSTEN                   KAHDEJAH                 </v>
      </c>
      <c r="E17044" t="str">
        <f>"JACKSON                   "</f>
        <v xml:space="preserve">JACKSON                   </v>
      </c>
      <c r="F17044" t="str">
        <f t="shared" si="426"/>
        <v>MS</v>
      </c>
    </row>
    <row r="17045" spans="1:6" x14ac:dyDescent="0.25">
      <c r="A17045" t="str">
        <f>"200012841"</f>
        <v>200012841</v>
      </c>
      <c r="B17045" t="str">
        <f>"1871344085"</f>
        <v>1871344085</v>
      </c>
      <c r="C17045" t="str">
        <f>"207R00000X"</f>
        <v>207R00000X</v>
      </c>
      <c r="D17045" t="str">
        <f>"KALUSCHE                 WILLIAM                  "</f>
        <v xml:space="preserve">KALUSCHE                 WILLIAM                  </v>
      </c>
      <c r="E17045" t="str">
        <f>"JACKSON                   "</f>
        <v xml:space="preserve">JACKSON                   </v>
      </c>
      <c r="F17045" t="str">
        <f t="shared" si="426"/>
        <v>MS</v>
      </c>
    </row>
    <row r="17046" spans="1:6" x14ac:dyDescent="0.25">
      <c r="A17046" t="str">
        <f>"200012845"</f>
        <v>200012845</v>
      </c>
      <c r="B17046" t="str">
        <f>"1861245037"</f>
        <v>1861245037</v>
      </c>
      <c r="C17046" t="str">
        <f>"2084P0800X"</f>
        <v>2084P0800X</v>
      </c>
      <c r="D17046" t="str">
        <f>"LANGLEY                  RACHEL                   "</f>
        <v xml:space="preserve">LANGLEY                  RACHEL                   </v>
      </c>
      <c r="E17046" t="str">
        <f>"JACKSON                   "</f>
        <v xml:space="preserve">JACKSON                   </v>
      </c>
      <c r="F17046" t="str">
        <f t="shared" si="426"/>
        <v>MS</v>
      </c>
    </row>
    <row r="17047" spans="1:6" x14ac:dyDescent="0.25">
      <c r="A17047" t="str">
        <f>"200012852"</f>
        <v>200012852</v>
      </c>
      <c r="B17047" t="str">
        <f>"1407607674"</f>
        <v>1407607674</v>
      </c>
      <c r="C17047" t="str">
        <f>"207R00000X"</f>
        <v>207R00000X</v>
      </c>
      <c r="D17047" t="str">
        <f>"HUGEY                    CONNER                   "</f>
        <v xml:space="preserve">HUGEY                    CONNER                   </v>
      </c>
      <c r="E17047" t="str">
        <f>"JACKSON                   "</f>
        <v xml:space="preserve">JACKSON                   </v>
      </c>
      <c r="F17047" t="str">
        <f t="shared" si="426"/>
        <v>MS</v>
      </c>
    </row>
    <row r="17048" spans="1:6" x14ac:dyDescent="0.25">
      <c r="A17048" t="str">
        <f>"200012855"</f>
        <v>200012855</v>
      </c>
      <c r="B17048" t="str">
        <f>"1255036802"</f>
        <v>1255036802</v>
      </c>
      <c r="C17048" t="str">
        <f>"207V00000X"</f>
        <v>207V00000X</v>
      </c>
      <c r="D17048" t="str">
        <f>"KAUCIC                   BRADY                    "</f>
        <v xml:space="preserve">KAUCIC                   BRADY                    </v>
      </c>
      <c r="E17048" t="str">
        <f>"JACKSON                   "</f>
        <v xml:space="preserve">JACKSON                   </v>
      </c>
      <c r="F17048" t="str">
        <f t="shared" si="426"/>
        <v>MS</v>
      </c>
    </row>
    <row r="17049" spans="1:6" x14ac:dyDescent="0.25">
      <c r="A17049" t="str">
        <f>"200012861"</f>
        <v>200012861</v>
      </c>
      <c r="B17049" t="str">
        <f>"1023046711"</f>
        <v>1023046711</v>
      </c>
      <c r="C17049" t="str">
        <f>"207P00000X"</f>
        <v>207P00000X</v>
      </c>
      <c r="D17049" t="str">
        <f>"BROOKS                   JOHN                     "</f>
        <v xml:space="preserve">BROOKS                   JOHN                     </v>
      </c>
      <c r="E17049" t="str">
        <f>"PEARL                     "</f>
        <v xml:space="preserve">PEARL                     </v>
      </c>
      <c r="F17049" t="str">
        <f t="shared" si="426"/>
        <v>MS</v>
      </c>
    </row>
    <row r="17050" spans="1:6" x14ac:dyDescent="0.25">
      <c r="A17050" t="str">
        <f>"200012864"</f>
        <v>200012864</v>
      </c>
      <c r="B17050" t="str">
        <f>"1508322421"</f>
        <v>1508322421</v>
      </c>
      <c r="C17050" t="str">
        <f>"363L00000X"</f>
        <v>363L00000X</v>
      </c>
      <c r="D17050" t="str">
        <f>"YORK                     TIAH                     "</f>
        <v xml:space="preserve">YORK                     TIAH                     </v>
      </c>
      <c r="E17050" t="str">
        <f>"CHOCTAW                   "</f>
        <v xml:space="preserve">CHOCTAW                   </v>
      </c>
      <c r="F17050" t="str">
        <f t="shared" si="426"/>
        <v>MS</v>
      </c>
    </row>
    <row r="17051" spans="1:6" x14ac:dyDescent="0.25">
      <c r="A17051" t="str">
        <f>"200012865"</f>
        <v>200012865</v>
      </c>
      <c r="B17051" t="str">
        <f>"1982443750"</f>
        <v>1982443750</v>
      </c>
      <c r="C17051" t="str">
        <f>"367500000X"</f>
        <v>367500000X</v>
      </c>
      <c r="D17051" t="str">
        <f>"BONNER                   KARIGAN                  "</f>
        <v xml:space="preserve">BONNER                   KARIGAN                  </v>
      </c>
      <c r="E17051" t="str">
        <f>"COLUMBUS                  "</f>
        <v xml:space="preserve">COLUMBUS                  </v>
      </c>
      <c r="F17051" t="str">
        <f t="shared" si="426"/>
        <v>MS</v>
      </c>
    </row>
    <row r="17052" spans="1:6" x14ac:dyDescent="0.25">
      <c r="A17052" t="str">
        <f>"200012868"</f>
        <v>200012868</v>
      </c>
      <c r="B17052" t="str">
        <f>"1023869864"</f>
        <v>1023869864</v>
      </c>
      <c r="C17052" t="str">
        <f>"208000000X"</f>
        <v>208000000X</v>
      </c>
      <c r="D17052" t="str">
        <f>"HAVARD                   LOGAN                    "</f>
        <v xml:space="preserve">HAVARD                   LOGAN                    </v>
      </c>
      <c r="E17052" t="str">
        <f t="shared" ref="E17052:E17058" si="427">"JACKSON                   "</f>
        <v xml:space="preserve">JACKSON                   </v>
      </c>
      <c r="F17052" t="str">
        <f t="shared" si="426"/>
        <v>MS</v>
      </c>
    </row>
    <row r="17053" spans="1:6" x14ac:dyDescent="0.25">
      <c r="A17053" t="str">
        <f>"200012870"</f>
        <v>200012870</v>
      </c>
      <c r="B17053" t="str">
        <f>"1285486670"</f>
        <v>1285486670</v>
      </c>
      <c r="C17053" t="str">
        <f>"208000000X"</f>
        <v>208000000X</v>
      </c>
      <c r="D17053" t="str">
        <f>"KELLY                    MORGAN                   "</f>
        <v xml:space="preserve">KELLY                    MORGAN                   </v>
      </c>
      <c r="E17053" t="str">
        <f t="shared" si="427"/>
        <v xml:space="preserve">JACKSON                   </v>
      </c>
      <c r="F17053" t="str">
        <f t="shared" si="426"/>
        <v>MS</v>
      </c>
    </row>
    <row r="17054" spans="1:6" x14ac:dyDescent="0.25">
      <c r="A17054" t="str">
        <f>"200012871"</f>
        <v>200012871</v>
      </c>
      <c r="B17054" t="str">
        <f>"1558064584"</f>
        <v>1558064584</v>
      </c>
      <c r="C17054" t="str">
        <f>"207R00000X"</f>
        <v>207R00000X</v>
      </c>
      <c r="D17054" t="str">
        <f>"SIMMONS                  RACHEL                   "</f>
        <v xml:space="preserve">SIMMONS                  RACHEL                   </v>
      </c>
      <c r="E17054" t="str">
        <f t="shared" si="427"/>
        <v xml:space="preserve">JACKSON                   </v>
      </c>
      <c r="F17054" t="str">
        <f t="shared" si="426"/>
        <v>MS</v>
      </c>
    </row>
    <row r="17055" spans="1:6" x14ac:dyDescent="0.25">
      <c r="A17055" t="str">
        <f>"200012889"</f>
        <v>200012889</v>
      </c>
      <c r="B17055" t="str">
        <f>"1497440556"</f>
        <v>1497440556</v>
      </c>
      <c r="C17055" t="str">
        <f>"207V00000X"</f>
        <v>207V00000X</v>
      </c>
      <c r="D17055" t="str">
        <f>"JONES                    KIERRA                   "</f>
        <v xml:space="preserve">JONES                    KIERRA                   </v>
      </c>
      <c r="E17055" t="str">
        <f t="shared" si="427"/>
        <v xml:space="preserve">JACKSON                   </v>
      </c>
      <c r="F17055" t="str">
        <f t="shared" si="426"/>
        <v>MS</v>
      </c>
    </row>
    <row r="17056" spans="1:6" x14ac:dyDescent="0.25">
      <c r="A17056" t="str">
        <f>"200012891"</f>
        <v>200012891</v>
      </c>
      <c r="B17056" t="str">
        <f>"1740975861"</f>
        <v>1740975861</v>
      </c>
      <c r="C17056" t="str">
        <f>"207N00000X"</f>
        <v>207N00000X</v>
      </c>
      <c r="D17056" t="str">
        <f>"FILLINGIM                SARAH                    "</f>
        <v xml:space="preserve">FILLINGIM                SARAH                    </v>
      </c>
      <c r="E17056" t="str">
        <f t="shared" si="427"/>
        <v xml:space="preserve">JACKSON                   </v>
      </c>
      <c r="F17056" t="str">
        <f t="shared" si="426"/>
        <v>MS</v>
      </c>
    </row>
    <row r="17057" spans="1:6" x14ac:dyDescent="0.25">
      <c r="A17057" t="str">
        <f>"200012894"</f>
        <v>200012894</v>
      </c>
      <c r="B17057" t="str">
        <f>"1558064741"</f>
        <v>1558064741</v>
      </c>
      <c r="C17057" t="str">
        <f>"207R00000X"</f>
        <v>207R00000X</v>
      </c>
      <c r="D17057" t="str">
        <f>"WARREN                   CHASE                    "</f>
        <v xml:space="preserve">WARREN                   CHASE                    </v>
      </c>
      <c r="E17057" t="str">
        <f t="shared" si="427"/>
        <v xml:space="preserve">JACKSON                   </v>
      </c>
      <c r="F17057" t="str">
        <f t="shared" si="426"/>
        <v>MS</v>
      </c>
    </row>
    <row r="17058" spans="1:6" x14ac:dyDescent="0.25">
      <c r="A17058" t="str">
        <f>"200012901"</f>
        <v>200012901</v>
      </c>
      <c r="B17058" t="str">
        <f>"1497328306"</f>
        <v>1497328306</v>
      </c>
      <c r="C17058" t="str">
        <f>"2080P0202X"</f>
        <v>2080P0202X</v>
      </c>
      <c r="D17058" t="str">
        <f>"TRIGUEROS MONTES         JOSE                     "</f>
        <v xml:space="preserve">TRIGUEROS MONTES         JOSE                     </v>
      </c>
      <c r="E17058" t="str">
        <f t="shared" si="427"/>
        <v xml:space="preserve">JACKSON                   </v>
      </c>
      <c r="F17058" t="str">
        <f t="shared" si="426"/>
        <v>MS</v>
      </c>
    </row>
    <row r="17059" spans="1:6" x14ac:dyDescent="0.25">
      <c r="A17059" t="str">
        <f>"200012903"</f>
        <v>200012903</v>
      </c>
      <c r="B17059" t="str">
        <f>"1669251369"</f>
        <v>1669251369</v>
      </c>
      <c r="C17059" t="str">
        <f>"261QM1300X"</f>
        <v>261QM1300X</v>
      </c>
      <c r="D17059" t="str">
        <f>"PURE THERAPY, LLC                                 "</f>
        <v xml:space="preserve">PURE THERAPY, LLC                                 </v>
      </c>
      <c r="E17059" t="str">
        <f>"LIBERTY                   "</f>
        <v xml:space="preserve">LIBERTY                   </v>
      </c>
      <c r="F17059" t="str">
        <f t="shared" si="426"/>
        <v>MS</v>
      </c>
    </row>
    <row r="17060" spans="1:6" x14ac:dyDescent="0.25">
      <c r="A17060" t="str">
        <f>"200012904"</f>
        <v>200012904</v>
      </c>
      <c r="B17060" t="str">
        <f>"1083464374"</f>
        <v>1083464374</v>
      </c>
      <c r="C17060" t="str">
        <f>"207R00000X"</f>
        <v>207R00000X</v>
      </c>
      <c r="D17060" t="str">
        <f>"HUGHEY                   GEORGIA                  "</f>
        <v xml:space="preserve">HUGHEY                   GEORGIA                  </v>
      </c>
      <c r="E17060" t="str">
        <f>"JACKSON                   "</f>
        <v xml:space="preserve">JACKSON                   </v>
      </c>
      <c r="F17060" t="str">
        <f t="shared" si="426"/>
        <v>MS</v>
      </c>
    </row>
    <row r="17061" spans="1:6" x14ac:dyDescent="0.25">
      <c r="A17061" t="str">
        <f>"200012911"</f>
        <v>200012911</v>
      </c>
      <c r="B17061" t="str">
        <f>"1013930122"</f>
        <v>1013930122</v>
      </c>
      <c r="C17061" t="str">
        <f>"207V00000X"</f>
        <v>207V00000X</v>
      </c>
      <c r="D17061" t="str">
        <f>"HUDSON                   CLAY                     "</f>
        <v xml:space="preserve">HUDSON                   CLAY                     </v>
      </c>
      <c r="E17061" t="str">
        <f>"COLUMBUS                  "</f>
        <v xml:space="preserve">COLUMBUS                  </v>
      </c>
      <c r="F17061" t="str">
        <f t="shared" si="426"/>
        <v>MS</v>
      </c>
    </row>
    <row r="17062" spans="1:6" x14ac:dyDescent="0.25">
      <c r="A17062" t="str">
        <f>"200012912"</f>
        <v>200012912</v>
      </c>
      <c r="B17062" t="str">
        <f>"1245933357"</f>
        <v>1245933357</v>
      </c>
      <c r="C17062" t="str">
        <f>"2084N0400X"</f>
        <v>2084N0400X</v>
      </c>
      <c r="D17062" t="str">
        <f>"VASUDHAR                 ANANYA                   "</f>
        <v xml:space="preserve">VASUDHAR                 ANANYA                   </v>
      </c>
      <c r="E17062" t="str">
        <f>"JACKSON                   "</f>
        <v xml:space="preserve">JACKSON                   </v>
      </c>
      <c r="F17062" t="str">
        <f t="shared" si="426"/>
        <v>MS</v>
      </c>
    </row>
    <row r="17063" spans="1:6" x14ac:dyDescent="0.25">
      <c r="A17063" t="str">
        <f>"200012913"</f>
        <v>200012913</v>
      </c>
      <c r="B17063" t="str">
        <f>"1427822055"</f>
        <v>1427822055</v>
      </c>
      <c r="C17063" t="str">
        <f>"261QF0400X"</f>
        <v>261QF0400X</v>
      </c>
      <c r="D17063" t="str">
        <f>"COASTAL FAMILY HEALTH CENTER, INC.                "</f>
        <v xml:space="preserve">COASTAL FAMILY HEALTH CENTER, INC.                </v>
      </c>
      <c r="E17063" t="str">
        <f>"KILN                      "</f>
        <v xml:space="preserve">KILN                      </v>
      </c>
      <c r="F17063" t="str">
        <f t="shared" si="426"/>
        <v>MS</v>
      </c>
    </row>
    <row r="17064" spans="1:6" x14ac:dyDescent="0.25">
      <c r="A17064" t="str">
        <f>"200012914"</f>
        <v>200012914</v>
      </c>
      <c r="B17064" t="str">
        <f>"1225463458"</f>
        <v>1225463458</v>
      </c>
      <c r="C17064" t="str">
        <f>"363LP0808X"</f>
        <v>363LP0808X</v>
      </c>
      <c r="D17064" t="str">
        <f>"MAA                      MATTHEW                  "</f>
        <v xml:space="preserve">MAA                      MATTHEW                  </v>
      </c>
      <c r="E17064" t="str">
        <f>"HOUSTON                   "</f>
        <v xml:space="preserve">HOUSTON                   </v>
      </c>
      <c r="F17064" t="str">
        <f t="shared" si="426"/>
        <v>MS</v>
      </c>
    </row>
    <row r="17065" spans="1:6" x14ac:dyDescent="0.25">
      <c r="A17065" t="str">
        <f>"200012915"</f>
        <v>200012915</v>
      </c>
      <c r="B17065" t="str">
        <f>"1790181154"</f>
        <v>1790181154</v>
      </c>
      <c r="C17065" t="str">
        <f>"363LF0000X"</f>
        <v>363LF0000X</v>
      </c>
      <c r="D17065" t="str">
        <f>"REIFERS                  KATHRYN                  "</f>
        <v xml:space="preserve">REIFERS                  KATHRYN                  </v>
      </c>
      <c r="E17065" t="str">
        <f>"JACKSON                   "</f>
        <v xml:space="preserve">JACKSON                   </v>
      </c>
      <c r="F17065" t="str">
        <f t="shared" si="426"/>
        <v>MS</v>
      </c>
    </row>
    <row r="17066" spans="1:6" x14ac:dyDescent="0.25">
      <c r="A17066" t="str">
        <f>"200012917"</f>
        <v>200012917</v>
      </c>
      <c r="B17066" t="str">
        <f>"1770102022"</f>
        <v>1770102022</v>
      </c>
      <c r="C17066" t="str">
        <f>"207RG0100X"</f>
        <v>207RG0100X</v>
      </c>
      <c r="D17066" t="str">
        <f>"HEGAZY                   YASSMIN                  "</f>
        <v xml:space="preserve">HEGAZY                   YASSMIN                  </v>
      </c>
      <c r="E17066" t="str">
        <f>"JACKSON                   "</f>
        <v xml:space="preserve">JACKSON                   </v>
      </c>
      <c r="F17066" t="str">
        <f t="shared" si="426"/>
        <v>MS</v>
      </c>
    </row>
    <row r="17067" spans="1:6" x14ac:dyDescent="0.25">
      <c r="A17067" t="str">
        <f>"200012921"</f>
        <v>200012921</v>
      </c>
      <c r="B17067" t="str">
        <f>"1114778065"</f>
        <v>1114778065</v>
      </c>
      <c r="C17067" t="str">
        <f>"363LF0000X"</f>
        <v>363LF0000X</v>
      </c>
      <c r="D17067" t="str">
        <f>"JOHNSON                  CONNER                   "</f>
        <v xml:space="preserve">JOHNSON                  CONNER                   </v>
      </c>
      <c r="E17067" t="str">
        <f>"WAYNESBORO                "</f>
        <v xml:space="preserve">WAYNESBORO                </v>
      </c>
      <c r="F17067" t="str">
        <f t="shared" si="426"/>
        <v>MS</v>
      </c>
    </row>
    <row r="17068" spans="1:6" x14ac:dyDescent="0.25">
      <c r="A17068" t="str">
        <f>"200012925"</f>
        <v>200012925</v>
      </c>
      <c r="B17068" t="str">
        <f>"1922703016"</f>
        <v>1922703016</v>
      </c>
      <c r="C17068" t="str">
        <f>"207W00000X"</f>
        <v>207W00000X</v>
      </c>
      <c r="D17068" t="str">
        <f>"HOLMES                   CLAIRE                   "</f>
        <v xml:space="preserve">HOLMES                   CLAIRE                   </v>
      </c>
      <c r="E17068" t="str">
        <f>"JACKSON                   "</f>
        <v xml:space="preserve">JACKSON                   </v>
      </c>
      <c r="F17068" t="str">
        <f t="shared" si="426"/>
        <v>MS</v>
      </c>
    </row>
    <row r="17069" spans="1:6" x14ac:dyDescent="0.25">
      <c r="A17069" t="str">
        <f>"200012933"</f>
        <v>200012933</v>
      </c>
      <c r="B17069" t="str">
        <f>"1528155132"</f>
        <v>1528155132</v>
      </c>
      <c r="C17069" t="str">
        <f>"2084N0402X"</f>
        <v>2084N0402X</v>
      </c>
      <c r="D17069" t="str">
        <f>"THIRUMALAI               SHANTI                   "</f>
        <v xml:space="preserve">THIRUMALAI               SHANTI                   </v>
      </c>
      <c r="E17069" t="str">
        <f>"CORINTH                   "</f>
        <v xml:space="preserve">CORINTH                   </v>
      </c>
      <c r="F17069" t="str">
        <f t="shared" si="426"/>
        <v>MS</v>
      </c>
    </row>
    <row r="17070" spans="1:6" x14ac:dyDescent="0.25">
      <c r="A17070" t="str">
        <f>"200012943"</f>
        <v>200012943</v>
      </c>
      <c r="B17070" t="str">
        <f>"1750123394"</f>
        <v>1750123394</v>
      </c>
      <c r="C17070" t="str">
        <f>"363LF0000X"</f>
        <v>363LF0000X</v>
      </c>
      <c r="D17070" t="str">
        <f>"PANNELL                  DANA                     "</f>
        <v xml:space="preserve">PANNELL                  DANA                     </v>
      </c>
      <c r="E17070" t="str">
        <f>"CLEVELAND                 "</f>
        <v xml:space="preserve">CLEVELAND                 </v>
      </c>
      <c r="F17070" t="str">
        <f t="shared" si="426"/>
        <v>MS</v>
      </c>
    </row>
    <row r="17071" spans="1:6" x14ac:dyDescent="0.25">
      <c r="A17071" t="str">
        <f>"200012954"</f>
        <v>200012954</v>
      </c>
      <c r="B17071" t="str">
        <f>"1912674078"</f>
        <v>1912674078</v>
      </c>
      <c r="C17071" t="str">
        <f>"367500000X"</f>
        <v>367500000X</v>
      </c>
      <c r="D17071" t="str">
        <f>"TIMMONS                  BRAYDEN                  "</f>
        <v xml:space="preserve">TIMMONS                  BRAYDEN                  </v>
      </c>
      <c r="E17071" t="str">
        <f>"OXFORD                    "</f>
        <v xml:space="preserve">OXFORD                    </v>
      </c>
      <c r="F17071" t="str">
        <f t="shared" si="426"/>
        <v>MS</v>
      </c>
    </row>
    <row r="17072" spans="1:6" x14ac:dyDescent="0.25">
      <c r="A17072" t="str">
        <f>"200012959"</f>
        <v>200012959</v>
      </c>
      <c r="B17072" t="str">
        <f>"1346943669"</f>
        <v>1346943669</v>
      </c>
      <c r="C17072" t="str">
        <f>"207X00000X"</f>
        <v>207X00000X</v>
      </c>
      <c r="D17072" t="str">
        <f>"GILLON                   WILLIAM                  "</f>
        <v xml:space="preserve">GILLON                   WILLIAM                  </v>
      </c>
      <c r="E17072" t="str">
        <f>"JACKSON                   "</f>
        <v xml:space="preserve">JACKSON                   </v>
      </c>
      <c r="F17072" t="str">
        <f t="shared" si="426"/>
        <v>MS</v>
      </c>
    </row>
    <row r="17073" spans="1:6" x14ac:dyDescent="0.25">
      <c r="A17073" t="str">
        <f>"200012964"</f>
        <v>200012964</v>
      </c>
      <c r="B17073" t="str">
        <f>"1285338301"</f>
        <v>1285338301</v>
      </c>
      <c r="C17073" t="str">
        <f>"2086S0122X"</f>
        <v>2086S0122X</v>
      </c>
      <c r="D17073" t="str">
        <f>"ISLAM                    SARA                     "</f>
        <v xml:space="preserve">ISLAM                    SARA                     </v>
      </c>
      <c r="E17073" t="str">
        <f>"JACKSON                   "</f>
        <v xml:space="preserve">JACKSON                   </v>
      </c>
      <c r="F17073" t="str">
        <f t="shared" si="426"/>
        <v>MS</v>
      </c>
    </row>
    <row r="17074" spans="1:6" x14ac:dyDescent="0.25">
      <c r="A17074" t="str">
        <f>"200012965"</f>
        <v>200012965</v>
      </c>
      <c r="B17074" t="str">
        <f>"1174101992"</f>
        <v>1174101992</v>
      </c>
      <c r="C17074" t="str">
        <f>"2080P0008X"</f>
        <v>2080P0008X</v>
      </c>
      <c r="D17074" t="str">
        <f>"WATTS                    JORDAN                   "</f>
        <v xml:space="preserve">WATTS                    JORDAN                   </v>
      </c>
      <c r="E17074" t="str">
        <f>"JACKSON                   "</f>
        <v xml:space="preserve">JACKSON                   </v>
      </c>
      <c r="F17074" t="str">
        <f t="shared" si="426"/>
        <v>MS</v>
      </c>
    </row>
    <row r="17075" spans="1:6" x14ac:dyDescent="0.25">
      <c r="A17075" t="str">
        <f>"200012968"</f>
        <v>200012968</v>
      </c>
      <c r="B17075" t="str">
        <f>"1528270733"</f>
        <v>1528270733</v>
      </c>
      <c r="C17075" t="str">
        <f>"122300000X"</f>
        <v>122300000X</v>
      </c>
      <c r="D17075" t="str">
        <f>"SMILEBUILDERS AT HATTIESBURG                      "</f>
        <v xml:space="preserve">SMILEBUILDERS AT HATTIESBURG                      </v>
      </c>
      <c r="E17075" t="str">
        <f>"HATTIESBURG               "</f>
        <v xml:space="preserve">HATTIESBURG               </v>
      </c>
      <c r="F17075" t="str">
        <f t="shared" si="426"/>
        <v>MS</v>
      </c>
    </row>
    <row r="17076" spans="1:6" x14ac:dyDescent="0.25">
      <c r="A17076" t="str">
        <f>"200012969"</f>
        <v>200012969</v>
      </c>
      <c r="B17076" t="str">
        <f>"1437901667"</f>
        <v>1437901667</v>
      </c>
      <c r="C17076" t="str">
        <f>"207R00000X"</f>
        <v>207R00000X</v>
      </c>
      <c r="D17076" t="str">
        <f>"HICKS                    HARRISON                 "</f>
        <v xml:space="preserve">HICKS                    HARRISON                 </v>
      </c>
      <c r="E17076" t="str">
        <f>"JACKSON                   "</f>
        <v xml:space="preserve">JACKSON                   </v>
      </c>
      <c r="F17076" t="str">
        <f t="shared" si="426"/>
        <v>MS</v>
      </c>
    </row>
    <row r="17077" spans="1:6" x14ac:dyDescent="0.25">
      <c r="A17077" t="str">
        <f>"200012970"</f>
        <v>200012970</v>
      </c>
      <c r="B17077" t="str">
        <f>"1659698942"</f>
        <v>1659698942</v>
      </c>
      <c r="C17077" t="str">
        <f>"2085R0204X"</f>
        <v>2085R0204X</v>
      </c>
      <c r="D17077" t="str">
        <f>"OSBORNE                  SCOTT                    "</f>
        <v xml:space="preserve">OSBORNE                  SCOTT                    </v>
      </c>
      <c r="E17077" t="str">
        <f>"OLIVE BRANCH              "</f>
        <v xml:space="preserve">OLIVE BRANCH              </v>
      </c>
      <c r="F17077" t="str">
        <f t="shared" si="426"/>
        <v>MS</v>
      </c>
    </row>
    <row r="17078" spans="1:6" x14ac:dyDescent="0.25">
      <c r="A17078" t="str">
        <f>"200012971"</f>
        <v>200012971</v>
      </c>
      <c r="B17078" t="str">
        <f>"1659698942"</f>
        <v>1659698942</v>
      </c>
      <c r="C17078" t="str">
        <f>"2085R0202X"</f>
        <v>2085R0202X</v>
      </c>
      <c r="D17078" t="str">
        <f>"OSBORNE                  SCOTT                    "</f>
        <v xml:space="preserve">OSBORNE                  SCOTT                    </v>
      </c>
      <c r="E17078" t="str">
        <f>"OLIVE BRANCH              "</f>
        <v xml:space="preserve">OLIVE BRANCH              </v>
      </c>
      <c r="F17078" t="str">
        <f t="shared" si="426"/>
        <v>MS</v>
      </c>
    </row>
    <row r="17079" spans="1:6" x14ac:dyDescent="0.25">
      <c r="A17079" t="str">
        <f>"200012975"</f>
        <v>200012975</v>
      </c>
      <c r="B17079" t="str">
        <f>"1619720026"</f>
        <v>1619720026</v>
      </c>
      <c r="C17079" t="str">
        <f>"207Q00000X"</f>
        <v>207Q00000X</v>
      </c>
      <c r="D17079" t="str">
        <f>"LADNER                   TAYLOR                   "</f>
        <v xml:space="preserve">LADNER                   TAYLOR                   </v>
      </c>
      <c r="E17079" t="str">
        <f>"JACKSON                   "</f>
        <v xml:space="preserve">JACKSON                   </v>
      </c>
      <c r="F17079" t="str">
        <f t="shared" si="426"/>
        <v>MS</v>
      </c>
    </row>
    <row r="17080" spans="1:6" x14ac:dyDescent="0.25">
      <c r="A17080" t="str">
        <f>"200012976"</f>
        <v>200012976</v>
      </c>
      <c r="B17080" t="str">
        <f>"1760428569"</f>
        <v>1760428569</v>
      </c>
      <c r="C17080" t="str">
        <f>"2085R0202X"</f>
        <v>2085R0202X</v>
      </c>
      <c r="D17080" t="str">
        <f>"VICKERS                  GREGORY                  "</f>
        <v xml:space="preserve">VICKERS                  GREGORY                  </v>
      </c>
      <c r="E17080" t="str">
        <f>"TYLERTOWN                 "</f>
        <v xml:space="preserve">TYLERTOWN                 </v>
      </c>
      <c r="F17080" t="str">
        <f t="shared" si="426"/>
        <v>MS</v>
      </c>
    </row>
    <row r="17081" spans="1:6" x14ac:dyDescent="0.25">
      <c r="A17081" t="str">
        <f>"200012977"</f>
        <v>200012977</v>
      </c>
      <c r="B17081" t="str">
        <f>"1295223196"</f>
        <v>1295223196</v>
      </c>
      <c r="C17081" t="str">
        <f>"207R00000X"</f>
        <v>207R00000X</v>
      </c>
      <c r="D17081" t="str">
        <f>"MUDIREDDY                MYTHRI                   "</f>
        <v xml:space="preserve">MUDIREDDY                MYTHRI                   </v>
      </c>
      <c r="E17081" t="str">
        <f>"TUPELO                    "</f>
        <v xml:space="preserve">TUPELO                    </v>
      </c>
      <c r="F17081" t="str">
        <f t="shared" si="426"/>
        <v>MS</v>
      </c>
    </row>
    <row r="17082" spans="1:6" x14ac:dyDescent="0.25">
      <c r="A17082" t="str">
        <f>"200012982"</f>
        <v>200012982</v>
      </c>
      <c r="B17082" t="str">
        <f>"1841866050"</f>
        <v>1841866050</v>
      </c>
      <c r="C17082" t="str">
        <f>"363LP0808X"</f>
        <v>363LP0808X</v>
      </c>
      <c r="D17082" t="str">
        <f>"DOMINICK                 MARIA                    "</f>
        <v xml:space="preserve">DOMINICK                 MARIA                    </v>
      </c>
      <c r="E17082" t="str">
        <f>"DIBERVILLE                "</f>
        <v xml:space="preserve">DIBERVILLE                </v>
      </c>
      <c r="F17082" t="str">
        <f t="shared" si="426"/>
        <v>MS</v>
      </c>
    </row>
    <row r="17083" spans="1:6" x14ac:dyDescent="0.25">
      <c r="A17083" t="str">
        <f>"200012984"</f>
        <v>200012984</v>
      </c>
      <c r="B17083" t="str">
        <f>"1063682060"</f>
        <v>1063682060</v>
      </c>
      <c r="C17083" t="str">
        <f>"363L00000X"</f>
        <v>363L00000X</v>
      </c>
      <c r="D17083" t="str">
        <f>"HUBBARD                  SANDRA                   "</f>
        <v xml:space="preserve">HUBBARD                  SANDRA                   </v>
      </c>
      <c r="E17083" t="str">
        <f>"PICAYUNE                  "</f>
        <v xml:space="preserve">PICAYUNE                  </v>
      </c>
      <c r="F17083" t="str">
        <f t="shared" si="426"/>
        <v>MS</v>
      </c>
    </row>
    <row r="17084" spans="1:6" x14ac:dyDescent="0.25">
      <c r="A17084" t="str">
        <f>"200012985"</f>
        <v>200012985</v>
      </c>
      <c r="B17084" t="str">
        <f>"1699524660"</f>
        <v>1699524660</v>
      </c>
      <c r="C17084" t="str">
        <f>"261QM1300X"</f>
        <v>261QM1300X</v>
      </c>
      <c r="D17084" t="str">
        <f>"THE HEALING PATH                                  "</f>
        <v xml:space="preserve">THE HEALING PATH                                  </v>
      </c>
      <c r="E17084" t="str">
        <f>"LONG BEACH                "</f>
        <v xml:space="preserve">LONG BEACH                </v>
      </c>
      <c r="F17084" t="str">
        <f t="shared" si="426"/>
        <v>MS</v>
      </c>
    </row>
    <row r="17085" spans="1:6" x14ac:dyDescent="0.25">
      <c r="A17085" t="str">
        <f>"200012990"</f>
        <v>200012990</v>
      </c>
      <c r="B17085" t="str">
        <f>"1710391545"</f>
        <v>1710391545</v>
      </c>
      <c r="C17085" t="str">
        <f>"122300000X"</f>
        <v>122300000X</v>
      </c>
      <c r="D17085" t="str">
        <f>"WARE DENTAL ASSOCIATES                            "</f>
        <v xml:space="preserve">WARE DENTAL ASSOCIATES                            </v>
      </c>
      <c r="E17085" t="str">
        <f>"FLOWOOD                   "</f>
        <v xml:space="preserve">FLOWOOD                   </v>
      </c>
      <c r="F17085" t="str">
        <f t="shared" si="426"/>
        <v>MS</v>
      </c>
    </row>
    <row r="17086" spans="1:6" x14ac:dyDescent="0.25">
      <c r="A17086" t="str">
        <f>"200012995"</f>
        <v>200012995</v>
      </c>
      <c r="B17086" t="str">
        <f>"1609332840"</f>
        <v>1609332840</v>
      </c>
      <c r="C17086" t="str">
        <f>"363LF0000X"</f>
        <v>363LF0000X</v>
      </c>
      <c r="D17086" t="str">
        <f>"LUCKETT                  DONNA                    "</f>
        <v xml:space="preserve">LUCKETT                  DONNA                    </v>
      </c>
      <c r="E17086" t="str">
        <f>"SOUTHAVEN                 "</f>
        <v xml:space="preserve">SOUTHAVEN                 </v>
      </c>
      <c r="F17086" t="str">
        <f t="shared" ref="F17086:F17149" si="428">"MS"</f>
        <v>MS</v>
      </c>
    </row>
    <row r="17087" spans="1:6" x14ac:dyDescent="0.25">
      <c r="A17087" t="str">
        <f>"200012999"</f>
        <v>200012999</v>
      </c>
      <c r="B17087" t="str">
        <f>"1134979446"</f>
        <v>1134979446</v>
      </c>
      <c r="C17087" t="str">
        <f>"208000000X"</f>
        <v>208000000X</v>
      </c>
      <c r="D17087" t="str">
        <f>"KING                     JORDAN                   "</f>
        <v xml:space="preserve">KING                     JORDAN                   </v>
      </c>
      <c r="E17087" t="str">
        <f>"JACKSON                   "</f>
        <v xml:space="preserve">JACKSON                   </v>
      </c>
      <c r="F17087" t="str">
        <f t="shared" si="428"/>
        <v>MS</v>
      </c>
    </row>
    <row r="17088" spans="1:6" x14ac:dyDescent="0.25">
      <c r="A17088" t="str">
        <f>"200013000"</f>
        <v>200013000</v>
      </c>
      <c r="B17088" t="str">
        <f>"1114983111"</f>
        <v>1114983111</v>
      </c>
      <c r="C17088" t="str">
        <f>"207Q00000X"</f>
        <v>207Q00000X</v>
      </c>
      <c r="D17088" t="str">
        <f>"WOLFE                    KENNETH                  "</f>
        <v xml:space="preserve">WOLFE                    KENNETH                  </v>
      </c>
      <c r="E17088" t="str">
        <f>"TUPELO                    "</f>
        <v xml:space="preserve">TUPELO                    </v>
      </c>
      <c r="F17088" t="str">
        <f t="shared" si="428"/>
        <v>MS</v>
      </c>
    </row>
    <row r="17089" spans="1:6" x14ac:dyDescent="0.25">
      <c r="A17089" t="str">
        <f>"200013003"</f>
        <v>200013003</v>
      </c>
      <c r="B17089" t="str">
        <f>"1962243378"</f>
        <v>1962243378</v>
      </c>
      <c r="C17089" t="str">
        <f>"207X00000X"</f>
        <v>207X00000X</v>
      </c>
      <c r="D17089" t="str">
        <f>"FORREST                  AKEELEIN                 "</f>
        <v xml:space="preserve">FORREST                  AKEELEIN                 </v>
      </c>
      <c r="E17089" t="str">
        <f>"JACKSON                   "</f>
        <v xml:space="preserve">JACKSON                   </v>
      </c>
      <c r="F17089" t="str">
        <f t="shared" si="428"/>
        <v>MS</v>
      </c>
    </row>
    <row r="17090" spans="1:6" x14ac:dyDescent="0.25">
      <c r="A17090" t="str">
        <f>"200013006"</f>
        <v>200013006</v>
      </c>
      <c r="B17090" t="str">
        <f>"1952152159"</f>
        <v>1952152159</v>
      </c>
      <c r="C17090" t="str">
        <f>"207P00000X"</f>
        <v>207P00000X</v>
      </c>
      <c r="D17090" t="str">
        <f>"WATSON                   KAYLA                    "</f>
        <v xml:space="preserve">WATSON                   KAYLA                    </v>
      </c>
      <c r="E17090" t="str">
        <f>"JACKSON                   "</f>
        <v xml:space="preserve">JACKSON                   </v>
      </c>
      <c r="F17090" t="str">
        <f t="shared" si="428"/>
        <v>MS</v>
      </c>
    </row>
    <row r="17091" spans="1:6" x14ac:dyDescent="0.25">
      <c r="A17091" t="str">
        <f>"200013007"</f>
        <v>200013007</v>
      </c>
      <c r="B17091" t="str">
        <f>"1922758630"</f>
        <v>1922758630</v>
      </c>
      <c r="C17091" t="str">
        <f>"2086S0122X"</f>
        <v>2086S0122X</v>
      </c>
      <c r="D17091" t="str">
        <f>"HECOX                    EMILY                    "</f>
        <v xml:space="preserve">HECOX                    EMILY                    </v>
      </c>
      <c r="E17091" t="str">
        <f>"JACKSON                   "</f>
        <v xml:space="preserve">JACKSON                   </v>
      </c>
      <c r="F17091" t="str">
        <f t="shared" si="428"/>
        <v>MS</v>
      </c>
    </row>
    <row r="17092" spans="1:6" x14ac:dyDescent="0.25">
      <c r="A17092" t="str">
        <f>"200013012"</f>
        <v>200013012</v>
      </c>
      <c r="B17092" t="str">
        <f>"1215788799"</f>
        <v>1215788799</v>
      </c>
      <c r="C17092" t="str">
        <f>"2084P0800X"</f>
        <v>2084P0800X</v>
      </c>
      <c r="D17092" t="str">
        <f>"WRIGHT                   NATHAN                   "</f>
        <v xml:space="preserve">WRIGHT                   NATHAN                   </v>
      </c>
      <c r="E17092" t="str">
        <f>"JACKSON                   "</f>
        <v xml:space="preserve">JACKSON                   </v>
      </c>
      <c r="F17092" t="str">
        <f t="shared" si="428"/>
        <v>MS</v>
      </c>
    </row>
    <row r="17093" spans="1:6" x14ac:dyDescent="0.25">
      <c r="A17093" t="str">
        <f>"200013013"</f>
        <v>200013013</v>
      </c>
      <c r="B17093" t="str">
        <f>"1467804476"</f>
        <v>1467804476</v>
      </c>
      <c r="C17093" t="str">
        <f>"363LF0000X"</f>
        <v>363LF0000X</v>
      </c>
      <c r="D17093" t="str">
        <f>"AINSWORTH                JACQUELYN    R           "</f>
        <v xml:space="preserve">AINSWORTH                JACQUELYN    R           </v>
      </c>
      <c r="E17093" t="str">
        <f>"BATESVILLE                "</f>
        <v xml:space="preserve">BATESVILLE                </v>
      </c>
      <c r="F17093" t="str">
        <f t="shared" si="428"/>
        <v>MS</v>
      </c>
    </row>
    <row r="17094" spans="1:6" x14ac:dyDescent="0.25">
      <c r="A17094" t="str">
        <f>"200013014"</f>
        <v>200013014</v>
      </c>
      <c r="B17094" t="str">
        <f>"1578300851"</f>
        <v>1578300851</v>
      </c>
      <c r="C17094" t="str">
        <f>"363LF0000X"</f>
        <v>363LF0000X</v>
      </c>
      <c r="D17094" t="str">
        <f>"GRAVES                   ASHTON                   "</f>
        <v xml:space="preserve">GRAVES                   ASHTON                   </v>
      </c>
      <c r="E17094" t="str">
        <f>"CLINTON                   "</f>
        <v xml:space="preserve">CLINTON                   </v>
      </c>
      <c r="F17094" t="str">
        <f t="shared" si="428"/>
        <v>MS</v>
      </c>
    </row>
    <row r="17095" spans="1:6" x14ac:dyDescent="0.25">
      <c r="A17095" t="str">
        <f>"200013019"</f>
        <v>200013019</v>
      </c>
      <c r="B17095" t="str">
        <f>"1013539956"</f>
        <v>1013539956</v>
      </c>
      <c r="C17095" t="str">
        <f>"207V00000X"</f>
        <v>207V00000X</v>
      </c>
      <c r="D17095" t="str">
        <f>"HUBEN                    NEIL         B           "</f>
        <v xml:space="preserve">HUBEN                    NEIL         B           </v>
      </c>
      <c r="E17095" t="str">
        <f>"FLOWOOD                   "</f>
        <v xml:space="preserve">FLOWOOD                   </v>
      </c>
      <c r="F17095" t="str">
        <f t="shared" si="428"/>
        <v>MS</v>
      </c>
    </row>
    <row r="17096" spans="1:6" x14ac:dyDescent="0.25">
      <c r="A17096" t="str">
        <f>"200013028"</f>
        <v>200013028</v>
      </c>
      <c r="B17096" t="str">
        <f>"1780824714"</f>
        <v>1780824714</v>
      </c>
      <c r="C17096" t="str">
        <f>"2080P0205X"</f>
        <v>2080P0205X</v>
      </c>
      <c r="D17096" t="str">
        <f>"SILVER                   SARA         A           "</f>
        <v xml:space="preserve">SILVER                   SARA         A           </v>
      </c>
      <c r="E17096" t="str">
        <f>"TUPELO                    "</f>
        <v xml:space="preserve">TUPELO                    </v>
      </c>
      <c r="F17096" t="str">
        <f t="shared" si="428"/>
        <v>MS</v>
      </c>
    </row>
    <row r="17097" spans="1:6" x14ac:dyDescent="0.25">
      <c r="A17097" t="str">
        <f>"200013030"</f>
        <v>200013030</v>
      </c>
      <c r="B17097" t="str">
        <f>"1073216065"</f>
        <v>1073216065</v>
      </c>
      <c r="C17097" t="str">
        <f>"207R00000X"</f>
        <v>207R00000X</v>
      </c>
      <c r="D17097" t="str">
        <f>"HENRY                    WILLIAM                  "</f>
        <v xml:space="preserve">HENRY                    WILLIAM                  </v>
      </c>
      <c r="E17097" t="str">
        <f>"JACKSON                   "</f>
        <v xml:space="preserve">JACKSON                   </v>
      </c>
      <c r="F17097" t="str">
        <f t="shared" si="428"/>
        <v>MS</v>
      </c>
    </row>
    <row r="17098" spans="1:6" x14ac:dyDescent="0.25">
      <c r="A17098" t="str">
        <f>"200013032"</f>
        <v>200013032</v>
      </c>
      <c r="B17098" t="str">
        <f>"1235820390"</f>
        <v>1235820390</v>
      </c>
      <c r="C17098" t="str">
        <f>"261QE0700X"</f>
        <v>261QE0700X</v>
      </c>
      <c r="D17098" t="str">
        <f>"FRESENIUS KIDNEY CARE STARKVILLE HOME             "</f>
        <v xml:space="preserve">FRESENIUS KIDNEY CARE STARKVILLE HOME             </v>
      </c>
      <c r="E17098" t="str">
        <f>"STARKVILLE                "</f>
        <v xml:space="preserve">STARKVILLE                </v>
      </c>
      <c r="F17098" t="str">
        <f t="shared" si="428"/>
        <v>MS</v>
      </c>
    </row>
    <row r="17099" spans="1:6" x14ac:dyDescent="0.25">
      <c r="A17099" t="str">
        <f>"200013034"</f>
        <v>200013034</v>
      </c>
      <c r="B17099" t="str">
        <f>"1871338301"</f>
        <v>1871338301</v>
      </c>
      <c r="C17099" t="str">
        <f>"207R00000X"</f>
        <v>207R00000X</v>
      </c>
      <c r="D17099" t="str">
        <f>"TAHIR                    ZOYA                     "</f>
        <v xml:space="preserve">TAHIR                    ZOYA                     </v>
      </c>
      <c r="E17099" t="str">
        <f>"OXFORD                    "</f>
        <v xml:space="preserve">OXFORD                    </v>
      </c>
      <c r="F17099" t="str">
        <f t="shared" si="428"/>
        <v>MS</v>
      </c>
    </row>
    <row r="17100" spans="1:6" x14ac:dyDescent="0.25">
      <c r="A17100" t="str">
        <f>"200013035"</f>
        <v>200013035</v>
      </c>
      <c r="B17100" t="str">
        <f>"1073674875"</f>
        <v>1073674875</v>
      </c>
      <c r="C17100" t="str">
        <f>"2085R0204X"</f>
        <v>2085R0204X</v>
      </c>
      <c r="D17100" t="str">
        <f>"PERCHIK                  JOEL                     "</f>
        <v xml:space="preserve">PERCHIK                  JOEL                     </v>
      </c>
      <c r="E17100" t="str">
        <f>"SOUTHAVEN                 "</f>
        <v xml:space="preserve">SOUTHAVEN                 </v>
      </c>
      <c r="F17100" t="str">
        <f t="shared" si="428"/>
        <v>MS</v>
      </c>
    </row>
    <row r="17101" spans="1:6" x14ac:dyDescent="0.25">
      <c r="A17101" t="str">
        <f>"200013036"</f>
        <v>200013036</v>
      </c>
      <c r="B17101" t="str">
        <f>"1073674875"</f>
        <v>1073674875</v>
      </c>
      <c r="C17101" t="str">
        <f>"2085R0202X"</f>
        <v>2085R0202X</v>
      </c>
      <c r="D17101" t="str">
        <f>"PERCHIK                  JOEL                     "</f>
        <v xml:space="preserve">PERCHIK                  JOEL                     </v>
      </c>
      <c r="E17101" t="str">
        <f>"SOUTHAVEN                 "</f>
        <v xml:space="preserve">SOUTHAVEN                 </v>
      </c>
      <c r="F17101" t="str">
        <f t="shared" si="428"/>
        <v>MS</v>
      </c>
    </row>
    <row r="17102" spans="1:6" x14ac:dyDescent="0.25">
      <c r="A17102" t="str">
        <f>"200013037"</f>
        <v>200013037</v>
      </c>
      <c r="B17102" t="str">
        <f>"1053166488"</f>
        <v>1053166488</v>
      </c>
      <c r="C17102" t="str">
        <f>"207L00000X"</f>
        <v>207L00000X</v>
      </c>
      <c r="D17102" t="str">
        <f>"KHAN                     RABISA                   "</f>
        <v xml:space="preserve">KHAN                     RABISA                   </v>
      </c>
      <c r="E17102" t="str">
        <f>"JACKSON                   "</f>
        <v xml:space="preserve">JACKSON                   </v>
      </c>
      <c r="F17102" t="str">
        <f t="shared" si="428"/>
        <v>MS</v>
      </c>
    </row>
    <row r="17103" spans="1:6" x14ac:dyDescent="0.25">
      <c r="A17103" t="str">
        <f>"200013041"</f>
        <v>200013041</v>
      </c>
      <c r="B17103" t="str">
        <f>"1306696786"</f>
        <v>1306696786</v>
      </c>
      <c r="C17103" t="str">
        <f>"207L00000X"</f>
        <v>207L00000X</v>
      </c>
      <c r="D17103" t="str">
        <f>"STATHAM                  BENJAMIN                 "</f>
        <v xml:space="preserve">STATHAM                  BENJAMIN                 </v>
      </c>
      <c r="E17103" t="str">
        <f>"JACKSON                   "</f>
        <v xml:space="preserve">JACKSON                   </v>
      </c>
      <c r="F17103" t="str">
        <f t="shared" si="428"/>
        <v>MS</v>
      </c>
    </row>
    <row r="17104" spans="1:6" x14ac:dyDescent="0.25">
      <c r="A17104" t="str">
        <f>"200013044"</f>
        <v>200013044</v>
      </c>
      <c r="B17104" t="str">
        <f>"1629828132"</f>
        <v>1629828132</v>
      </c>
      <c r="C17104" t="str">
        <f>"207W00000X"</f>
        <v>207W00000X</v>
      </c>
      <c r="D17104" t="str">
        <f>"NUSSDORF                 LAURA                    "</f>
        <v xml:space="preserve">NUSSDORF                 LAURA                    </v>
      </c>
      <c r="E17104" t="str">
        <f>"JACKSON                   "</f>
        <v xml:space="preserve">JACKSON                   </v>
      </c>
      <c r="F17104" t="str">
        <f t="shared" si="428"/>
        <v>MS</v>
      </c>
    </row>
    <row r="17105" spans="1:6" x14ac:dyDescent="0.25">
      <c r="A17105" t="str">
        <f>"200013049"</f>
        <v>200013049</v>
      </c>
      <c r="B17105" t="str">
        <f>"1538819784"</f>
        <v>1538819784</v>
      </c>
      <c r="C17105" t="str">
        <f>"207T00000X"</f>
        <v>207T00000X</v>
      </c>
      <c r="D17105" t="str">
        <f>"WARNER                   TYLER                    "</f>
        <v xml:space="preserve">WARNER                   TYLER                    </v>
      </c>
      <c r="E17105" t="str">
        <f>"JACKSON                   "</f>
        <v xml:space="preserve">JACKSON                   </v>
      </c>
      <c r="F17105" t="str">
        <f t="shared" si="428"/>
        <v>MS</v>
      </c>
    </row>
    <row r="17106" spans="1:6" x14ac:dyDescent="0.25">
      <c r="A17106" t="str">
        <f>"200013053"</f>
        <v>200013053</v>
      </c>
      <c r="B17106" t="str">
        <f>"1851308480"</f>
        <v>1851308480</v>
      </c>
      <c r="C17106" t="str">
        <f>"207Q00000X"</f>
        <v>207Q00000X</v>
      </c>
      <c r="D17106" t="str">
        <f>"HELMHOUT                 SHAUN        L           "</f>
        <v xml:space="preserve">HELMHOUT                 SHAUN        L           </v>
      </c>
      <c r="E17106" t="str">
        <f>"OXFORD                    "</f>
        <v xml:space="preserve">OXFORD                    </v>
      </c>
      <c r="F17106" t="str">
        <f t="shared" si="428"/>
        <v>MS</v>
      </c>
    </row>
    <row r="17107" spans="1:6" x14ac:dyDescent="0.25">
      <c r="A17107" t="str">
        <f>"200013056"</f>
        <v>200013056</v>
      </c>
      <c r="B17107" t="str">
        <f>"1225731557"</f>
        <v>1225731557</v>
      </c>
      <c r="C17107" t="str">
        <f>"207R00000X"</f>
        <v>207R00000X</v>
      </c>
      <c r="D17107" t="str">
        <f>"WILEY                    ZACHARY                  "</f>
        <v xml:space="preserve">WILEY                    ZACHARY                  </v>
      </c>
      <c r="E17107" t="str">
        <f>"JACKSON                   "</f>
        <v xml:space="preserve">JACKSON                   </v>
      </c>
      <c r="F17107" t="str">
        <f t="shared" si="428"/>
        <v>MS</v>
      </c>
    </row>
    <row r="17108" spans="1:6" x14ac:dyDescent="0.25">
      <c r="A17108" t="str">
        <f>"200013059"</f>
        <v>200013059</v>
      </c>
      <c r="B17108" t="str">
        <f>"1013767318"</f>
        <v>1013767318</v>
      </c>
      <c r="C17108" t="str">
        <f>"208D00000X"</f>
        <v>208D00000X</v>
      </c>
      <c r="D17108" t="str">
        <f>"WINSTEAD                 TAYLOR                   "</f>
        <v xml:space="preserve">WINSTEAD                 TAYLOR                   </v>
      </c>
      <c r="E17108" t="str">
        <f>"JACKSON                   "</f>
        <v xml:space="preserve">JACKSON                   </v>
      </c>
      <c r="F17108" t="str">
        <f t="shared" si="428"/>
        <v>MS</v>
      </c>
    </row>
    <row r="17109" spans="1:6" x14ac:dyDescent="0.25">
      <c r="A17109" t="str">
        <f>"200013060"</f>
        <v>200013060</v>
      </c>
      <c r="B17109" t="str">
        <f>"1235989724"</f>
        <v>1235989724</v>
      </c>
      <c r="C17109" t="str">
        <f>"207R00000X"</f>
        <v>207R00000X</v>
      </c>
      <c r="D17109" t="str">
        <f>"PRAHLOW                  SAMUEL                   "</f>
        <v xml:space="preserve">PRAHLOW                  SAMUEL                   </v>
      </c>
      <c r="E17109" t="str">
        <f>"JACKSON                   "</f>
        <v xml:space="preserve">JACKSON                   </v>
      </c>
      <c r="F17109" t="str">
        <f t="shared" si="428"/>
        <v>MS</v>
      </c>
    </row>
    <row r="17110" spans="1:6" x14ac:dyDescent="0.25">
      <c r="A17110" t="str">
        <f>"200013061"</f>
        <v>200013061</v>
      </c>
      <c r="B17110" t="str">
        <f>"1386349413"</f>
        <v>1386349413</v>
      </c>
      <c r="C17110" t="str">
        <f>"207V00000X"</f>
        <v>207V00000X</v>
      </c>
      <c r="D17110" t="str">
        <f>"CEDOZ                    KAITLYN                  "</f>
        <v xml:space="preserve">CEDOZ                    KAITLYN                  </v>
      </c>
      <c r="E17110" t="str">
        <f>"JACKSON                   "</f>
        <v xml:space="preserve">JACKSON                   </v>
      </c>
      <c r="F17110" t="str">
        <f t="shared" si="428"/>
        <v>MS</v>
      </c>
    </row>
    <row r="17111" spans="1:6" x14ac:dyDescent="0.25">
      <c r="A17111" t="str">
        <f>"200013071"</f>
        <v>200013071</v>
      </c>
      <c r="B17111" t="str">
        <f>"1265130165"</f>
        <v>1265130165</v>
      </c>
      <c r="C17111" t="str">
        <f>"367500000X"</f>
        <v>367500000X</v>
      </c>
      <c r="D17111" t="str">
        <f>"HARMON                   TAYLOR       N           "</f>
        <v xml:space="preserve">HARMON                   TAYLOR       N           </v>
      </c>
      <c r="E17111" t="str">
        <f>"FLOWOOD                   "</f>
        <v xml:space="preserve">FLOWOOD                   </v>
      </c>
      <c r="F17111" t="str">
        <f t="shared" si="428"/>
        <v>MS</v>
      </c>
    </row>
    <row r="17112" spans="1:6" x14ac:dyDescent="0.25">
      <c r="A17112" t="str">
        <f>"200013072"</f>
        <v>200013072</v>
      </c>
      <c r="B17112" t="str">
        <f>"1629651120"</f>
        <v>1629651120</v>
      </c>
      <c r="C17112" t="str">
        <f>"207W00000X"</f>
        <v>207W00000X</v>
      </c>
      <c r="D17112" t="str">
        <f>"QU                       PHILLIP                  "</f>
        <v xml:space="preserve">QU                       PHILLIP                  </v>
      </c>
      <c r="E17112" t="str">
        <f>"JACKSON                   "</f>
        <v xml:space="preserve">JACKSON                   </v>
      </c>
      <c r="F17112" t="str">
        <f t="shared" si="428"/>
        <v>MS</v>
      </c>
    </row>
    <row r="17113" spans="1:6" x14ac:dyDescent="0.25">
      <c r="A17113" t="str">
        <f>"200013074"</f>
        <v>200013074</v>
      </c>
      <c r="B17113" t="str">
        <f>"1912758665"</f>
        <v>1912758665</v>
      </c>
      <c r="C17113" t="str">
        <f>"207P00000X"</f>
        <v>207P00000X</v>
      </c>
      <c r="D17113" t="str">
        <f>"SANTOS                   CARTER                   "</f>
        <v xml:space="preserve">SANTOS                   CARTER                   </v>
      </c>
      <c r="E17113" t="str">
        <f>"JACKSON                   "</f>
        <v xml:space="preserve">JACKSON                   </v>
      </c>
      <c r="F17113" t="str">
        <f t="shared" si="428"/>
        <v>MS</v>
      </c>
    </row>
    <row r="17114" spans="1:6" x14ac:dyDescent="0.25">
      <c r="A17114" t="str">
        <f>"200013077"</f>
        <v>200013077</v>
      </c>
      <c r="B17114" t="str">
        <f>"1902413982"</f>
        <v>1902413982</v>
      </c>
      <c r="C17114" t="str">
        <f>"367500000X"</f>
        <v>367500000X</v>
      </c>
      <c r="D17114" t="str">
        <f>"BARBER                   JUSTIN                   "</f>
        <v xml:space="preserve">BARBER                   JUSTIN                   </v>
      </c>
      <c r="E17114" t="str">
        <f>"TUPELO                    "</f>
        <v xml:space="preserve">TUPELO                    </v>
      </c>
      <c r="F17114" t="str">
        <f t="shared" si="428"/>
        <v>MS</v>
      </c>
    </row>
    <row r="17115" spans="1:6" x14ac:dyDescent="0.25">
      <c r="A17115" t="str">
        <f>"200013078"</f>
        <v>200013078</v>
      </c>
      <c r="B17115" t="str">
        <f>"1902058738"</f>
        <v>1902058738</v>
      </c>
      <c r="C17115" t="str">
        <f>"207P00000X"</f>
        <v>207P00000X</v>
      </c>
      <c r="D17115" t="str">
        <f>"WEEKS                    KATIE                    "</f>
        <v xml:space="preserve">WEEKS                    KATIE                    </v>
      </c>
      <c r="E17115" t="str">
        <f>"JACKSON                   "</f>
        <v xml:space="preserve">JACKSON                   </v>
      </c>
      <c r="F17115" t="str">
        <f t="shared" si="428"/>
        <v>MS</v>
      </c>
    </row>
    <row r="17116" spans="1:6" x14ac:dyDescent="0.25">
      <c r="A17116" t="str">
        <f>"200013080"</f>
        <v>200013080</v>
      </c>
      <c r="B17116" t="str">
        <f>"1215788435"</f>
        <v>1215788435</v>
      </c>
      <c r="C17116" t="str">
        <f>"208000000X"</f>
        <v>208000000X</v>
      </c>
      <c r="D17116" t="str">
        <f>"UNDERWOOD                SAVANNAH                 "</f>
        <v xml:space="preserve">UNDERWOOD                SAVANNAH                 </v>
      </c>
      <c r="E17116" t="str">
        <f>"JACKSON                   "</f>
        <v xml:space="preserve">JACKSON                   </v>
      </c>
      <c r="F17116" t="str">
        <f t="shared" si="428"/>
        <v>MS</v>
      </c>
    </row>
    <row r="17117" spans="1:6" x14ac:dyDescent="0.25">
      <c r="A17117" t="str">
        <f>"200013084"</f>
        <v>200013084</v>
      </c>
      <c r="B17117" t="str">
        <f>"1861623688"</f>
        <v>1861623688</v>
      </c>
      <c r="C17117" t="str">
        <f>"207L00000X"</f>
        <v>207L00000X</v>
      </c>
      <c r="D17117" t="str">
        <f>"SIJANSKY                 KEVIN        L           "</f>
        <v xml:space="preserve">SIJANSKY                 KEVIN        L           </v>
      </c>
      <c r="E17117" t="str">
        <f>"VICKSBURG                 "</f>
        <v xml:space="preserve">VICKSBURG                 </v>
      </c>
      <c r="F17117" t="str">
        <f t="shared" si="428"/>
        <v>MS</v>
      </c>
    </row>
    <row r="17118" spans="1:6" x14ac:dyDescent="0.25">
      <c r="A17118" t="str">
        <f>"200013085"</f>
        <v>200013085</v>
      </c>
      <c r="B17118" t="str">
        <f>"1063098671"</f>
        <v>1063098671</v>
      </c>
      <c r="C17118" t="str">
        <f>"207P00000X"</f>
        <v>207P00000X</v>
      </c>
      <c r="D17118" t="str">
        <f>"SHAH                     NEEMA                    "</f>
        <v xml:space="preserve">SHAH                     NEEMA                    </v>
      </c>
      <c r="E17118" t="str">
        <f>"JACKSON                   "</f>
        <v xml:space="preserve">JACKSON                   </v>
      </c>
      <c r="F17118" t="str">
        <f t="shared" si="428"/>
        <v>MS</v>
      </c>
    </row>
    <row r="17119" spans="1:6" x14ac:dyDescent="0.25">
      <c r="A17119" t="str">
        <f>"200013086"</f>
        <v>200013086</v>
      </c>
      <c r="B17119" t="str">
        <f>"1477957132"</f>
        <v>1477957132</v>
      </c>
      <c r="C17119" t="str">
        <f>"363LF0000X"</f>
        <v>363LF0000X</v>
      </c>
      <c r="D17119" t="str">
        <f>"WHEELER                  ROBYN                    "</f>
        <v xml:space="preserve">WHEELER                  ROBYN                    </v>
      </c>
      <c r="E17119" t="str">
        <f>"GULFPORT                  "</f>
        <v xml:space="preserve">GULFPORT                  </v>
      </c>
      <c r="F17119" t="str">
        <f t="shared" si="428"/>
        <v>MS</v>
      </c>
    </row>
    <row r="17120" spans="1:6" x14ac:dyDescent="0.25">
      <c r="A17120" t="str">
        <f>"200013088"</f>
        <v>200013088</v>
      </c>
      <c r="B17120" t="str">
        <f>"1689377913"</f>
        <v>1689377913</v>
      </c>
      <c r="C17120" t="str">
        <f>"208600000X"</f>
        <v>208600000X</v>
      </c>
      <c r="D17120" t="str">
        <f>"KALIL                    GRANT                    "</f>
        <v xml:space="preserve">KALIL                    GRANT                    </v>
      </c>
      <c r="E17120" t="str">
        <f>"JACKSON                   "</f>
        <v xml:space="preserve">JACKSON                   </v>
      </c>
      <c r="F17120" t="str">
        <f t="shared" si="428"/>
        <v>MS</v>
      </c>
    </row>
    <row r="17121" spans="1:6" x14ac:dyDescent="0.25">
      <c r="A17121" t="str">
        <f>"200013090"</f>
        <v>200013090</v>
      </c>
      <c r="B17121" t="str">
        <f>"1255651477"</f>
        <v>1255651477</v>
      </c>
      <c r="C17121" t="str">
        <f>"207RC0200X"</f>
        <v>207RC0200X</v>
      </c>
      <c r="D17121" t="str">
        <f>"AHMAD                    SHOAIB                   "</f>
        <v xml:space="preserve">AHMAD                    SHOAIB                   </v>
      </c>
      <c r="E17121" t="str">
        <f>"BILOXI                    "</f>
        <v xml:space="preserve">BILOXI                    </v>
      </c>
      <c r="F17121" t="str">
        <f t="shared" si="428"/>
        <v>MS</v>
      </c>
    </row>
    <row r="17122" spans="1:6" x14ac:dyDescent="0.25">
      <c r="A17122" t="str">
        <f>"200013091"</f>
        <v>200013091</v>
      </c>
      <c r="B17122" t="str">
        <f>"1013940766"</f>
        <v>1013940766</v>
      </c>
      <c r="C17122" t="str">
        <f>"207L00000X"</f>
        <v>207L00000X</v>
      </c>
      <c r="D17122" t="str">
        <f>"ZOUBOUKOS                CONSTANTINE  P           "</f>
        <v xml:space="preserve">ZOUBOUKOS                CONSTANTINE  P           </v>
      </c>
      <c r="E17122" t="str">
        <f>"VICKSBURG                 "</f>
        <v xml:space="preserve">VICKSBURG                 </v>
      </c>
      <c r="F17122" t="str">
        <f t="shared" si="428"/>
        <v>MS</v>
      </c>
    </row>
    <row r="17123" spans="1:6" x14ac:dyDescent="0.25">
      <c r="A17123" t="str">
        <f>"200013093"</f>
        <v>200013093</v>
      </c>
      <c r="B17123" t="str">
        <f>"1770744989"</f>
        <v>1770744989</v>
      </c>
      <c r="C17123" t="str">
        <f>"207R00000X"</f>
        <v>207R00000X</v>
      </c>
      <c r="D17123" t="str">
        <f>"BANEGURA                 GLENN                    "</f>
        <v xml:space="preserve">BANEGURA                 GLENN                    </v>
      </c>
      <c r="E17123" t="str">
        <f>"CORINTH                   "</f>
        <v xml:space="preserve">CORINTH                   </v>
      </c>
      <c r="F17123" t="str">
        <f t="shared" si="428"/>
        <v>MS</v>
      </c>
    </row>
    <row r="17124" spans="1:6" x14ac:dyDescent="0.25">
      <c r="A17124" t="str">
        <f>"200013095"</f>
        <v>200013095</v>
      </c>
      <c r="B17124" t="str">
        <f>"1346723863"</f>
        <v>1346723863</v>
      </c>
      <c r="C17124" t="str">
        <f>"363L00000X"</f>
        <v>363L00000X</v>
      </c>
      <c r="D17124" t="str">
        <f>"HERRINGTON               JULIE        M           "</f>
        <v xml:space="preserve">HERRINGTON               JULIE        M           </v>
      </c>
      <c r="E17124" t="str">
        <f>"CARTHAGE                  "</f>
        <v xml:space="preserve">CARTHAGE                  </v>
      </c>
      <c r="F17124" t="str">
        <f t="shared" si="428"/>
        <v>MS</v>
      </c>
    </row>
    <row r="17125" spans="1:6" x14ac:dyDescent="0.25">
      <c r="A17125" t="str">
        <f>"200013096"</f>
        <v>200013096</v>
      </c>
      <c r="B17125" t="str">
        <f>"1568662443"</f>
        <v>1568662443</v>
      </c>
      <c r="C17125" t="str">
        <f>"208000000X"</f>
        <v>208000000X</v>
      </c>
      <c r="D17125" t="str">
        <f>"WINTER                   MOLLIE                   "</f>
        <v xml:space="preserve">WINTER                   MOLLIE                   </v>
      </c>
      <c r="E17125" t="str">
        <f>"SAUCIER                   "</f>
        <v xml:space="preserve">SAUCIER                   </v>
      </c>
      <c r="F17125" t="str">
        <f t="shared" si="428"/>
        <v>MS</v>
      </c>
    </row>
    <row r="17126" spans="1:6" x14ac:dyDescent="0.25">
      <c r="A17126" t="str">
        <f>"200013103"</f>
        <v>200013103</v>
      </c>
      <c r="B17126" t="str">
        <f>"1750139630"</f>
        <v>1750139630</v>
      </c>
      <c r="C17126" t="str">
        <f>"363LF0000X"</f>
        <v>363LF0000X</v>
      </c>
      <c r="D17126" t="str">
        <f>"CAMPBELL                 STACY                    "</f>
        <v xml:space="preserve">CAMPBELL                 STACY                    </v>
      </c>
      <c r="E17126" t="str">
        <f>"COLDWATER                 "</f>
        <v xml:space="preserve">COLDWATER                 </v>
      </c>
      <c r="F17126" t="str">
        <f t="shared" si="428"/>
        <v>MS</v>
      </c>
    </row>
    <row r="17127" spans="1:6" x14ac:dyDescent="0.25">
      <c r="A17127" t="str">
        <f>"200013109"</f>
        <v>200013109</v>
      </c>
      <c r="B17127" t="str">
        <f>"1710536636"</f>
        <v>1710536636</v>
      </c>
      <c r="C17127" t="str">
        <f>"363L00000X"</f>
        <v>363L00000X</v>
      </c>
      <c r="D17127" t="str">
        <f>"NUTTALL                  LEKENYA      M           "</f>
        <v xml:space="preserve">NUTTALL                  LEKENYA      M           </v>
      </c>
      <c r="E17127" t="str">
        <f>"FLOWOOD                   "</f>
        <v xml:space="preserve">FLOWOOD                   </v>
      </c>
      <c r="F17127" t="str">
        <f t="shared" si="428"/>
        <v>MS</v>
      </c>
    </row>
    <row r="17128" spans="1:6" x14ac:dyDescent="0.25">
      <c r="A17128" t="str">
        <f>"200013115"</f>
        <v>200013115</v>
      </c>
      <c r="B17128" t="str">
        <f>"1033143714"</f>
        <v>1033143714</v>
      </c>
      <c r="C17128" t="str">
        <f>"2085P0229X"</f>
        <v>2085P0229X</v>
      </c>
      <c r="D17128" t="str">
        <f>"GREEN                    BRIAN                    "</f>
        <v xml:space="preserve">GREEN                    BRIAN                    </v>
      </c>
      <c r="E17128" t="str">
        <f>"OLIVE BRANCH              "</f>
        <v xml:space="preserve">OLIVE BRANCH              </v>
      </c>
      <c r="F17128" t="str">
        <f t="shared" si="428"/>
        <v>MS</v>
      </c>
    </row>
    <row r="17129" spans="1:6" x14ac:dyDescent="0.25">
      <c r="A17129" t="str">
        <f>"200013119"</f>
        <v>200013119</v>
      </c>
      <c r="B17129" t="str">
        <f>"1124887351"</f>
        <v>1124887351</v>
      </c>
      <c r="C17129" t="str">
        <f>"207R00000X"</f>
        <v>207R00000X</v>
      </c>
      <c r="D17129" t="str">
        <f>"SHIVER                   LACHLAN                  "</f>
        <v xml:space="preserve">SHIVER                   LACHLAN                  </v>
      </c>
      <c r="E17129" t="str">
        <f>"JACKSON                   "</f>
        <v xml:space="preserve">JACKSON                   </v>
      </c>
      <c r="F17129" t="str">
        <f t="shared" si="428"/>
        <v>MS</v>
      </c>
    </row>
    <row r="17130" spans="1:6" x14ac:dyDescent="0.25">
      <c r="A17130" t="str">
        <f>"200013123"</f>
        <v>200013123</v>
      </c>
      <c r="B17130" t="str">
        <f>"1689077810"</f>
        <v>1689077810</v>
      </c>
      <c r="C17130" t="str">
        <f>"207W00000X"</f>
        <v>207W00000X</v>
      </c>
      <c r="D17130" t="str">
        <f>"TAYLOR                   KAYLA                    "</f>
        <v xml:space="preserve">TAYLOR                   KAYLA                    </v>
      </c>
      <c r="E17130" t="str">
        <f>"JACKSON                   "</f>
        <v xml:space="preserve">JACKSON                   </v>
      </c>
      <c r="F17130" t="str">
        <f t="shared" si="428"/>
        <v>MS</v>
      </c>
    </row>
    <row r="17131" spans="1:6" x14ac:dyDescent="0.25">
      <c r="A17131" t="str">
        <f>"200013125"</f>
        <v>200013125</v>
      </c>
      <c r="B17131" t="str">
        <f>"1255382909"</f>
        <v>1255382909</v>
      </c>
      <c r="C17131" t="str">
        <f>"207RG0100X"</f>
        <v>207RG0100X</v>
      </c>
      <c r="D17131" t="str">
        <f>"LOBRANO                  AMY                      "</f>
        <v xml:space="preserve">LOBRANO                  AMY                      </v>
      </c>
      <c r="E17131" t="str">
        <f>"LAUREL                    "</f>
        <v xml:space="preserve">LAUREL                    </v>
      </c>
      <c r="F17131" t="str">
        <f t="shared" si="428"/>
        <v>MS</v>
      </c>
    </row>
    <row r="17132" spans="1:6" x14ac:dyDescent="0.25">
      <c r="A17132" t="str">
        <f>"200013126"</f>
        <v>200013126</v>
      </c>
      <c r="B17132" t="str">
        <f>"1699533588"</f>
        <v>1699533588</v>
      </c>
      <c r="C17132" t="str">
        <f>"367500000X"</f>
        <v>367500000X</v>
      </c>
      <c r="D17132" t="str">
        <f>"JONES                    BRENNAN                  "</f>
        <v xml:space="preserve">JONES                    BRENNAN                  </v>
      </c>
      <c r="E17132" t="str">
        <f>"SOUTHAVEN                 "</f>
        <v xml:space="preserve">SOUTHAVEN                 </v>
      </c>
      <c r="F17132" t="str">
        <f t="shared" si="428"/>
        <v>MS</v>
      </c>
    </row>
    <row r="17133" spans="1:6" x14ac:dyDescent="0.25">
      <c r="A17133" t="str">
        <f>"200013128"</f>
        <v>200013128</v>
      </c>
      <c r="B17133" t="str">
        <f>"1922667856"</f>
        <v>1922667856</v>
      </c>
      <c r="C17133" t="str">
        <f>"1223S0112X"</f>
        <v>1223S0112X</v>
      </c>
      <c r="D17133" t="str">
        <f>"HARDMAN                  CALEB                    "</f>
        <v xml:space="preserve">HARDMAN                  CALEB                    </v>
      </c>
      <c r="E17133" t="str">
        <f>"STARKVILLE                "</f>
        <v xml:space="preserve">STARKVILLE                </v>
      </c>
      <c r="F17133" t="str">
        <f t="shared" si="428"/>
        <v>MS</v>
      </c>
    </row>
    <row r="17134" spans="1:6" x14ac:dyDescent="0.25">
      <c r="A17134" t="str">
        <f>"200013131"</f>
        <v>200013131</v>
      </c>
      <c r="B17134" t="str">
        <f>"1992535371"</f>
        <v>1992535371</v>
      </c>
      <c r="C17134" t="str">
        <f>"363LF0000X"</f>
        <v>363LF0000X</v>
      </c>
      <c r="D17134" t="str">
        <f>"BLAIR                    DORITA                   "</f>
        <v xml:space="preserve">BLAIR                    DORITA                   </v>
      </c>
      <c r="E17134" t="str">
        <f>"LAUREL                    "</f>
        <v xml:space="preserve">LAUREL                    </v>
      </c>
      <c r="F17134" t="str">
        <f t="shared" si="428"/>
        <v>MS</v>
      </c>
    </row>
    <row r="17135" spans="1:6" x14ac:dyDescent="0.25">
      <c r="A17135" t="str">
        <f>"200013135"</f>
        <v>200013135</v>
      </c>
      <c r="B17135" t="str">
        <f>"1154940856"</f>
        <v>1154940856</v>
      </c>
      <c r="C17135" t="str">
        <f>"207R00000X"</f>
        <v>207R00000X</v>
      </c>
      <c r="D17135" t="str">
        <f>"YOUNG                    CHRISTIAN                "</f>
        <v xml:space="preserve">YOUNG                    CHRISTIAN                </v>
      </c>
      <c r="E17135" t="str">
        <f>"JACKSON                   "</f>
        <v xml:space="preserve">JACKSON                   </v>
      </c>
      <c r="F17135" t="str">
        <f t="shared" si="428"/>
        <v>MS</v>
      </c>
    </row>
    <row r="17136" spans="1:6" x14ac:dyDescent="0.25">
      <c r="A17136" t="str">
        <f>"200013137"</f>
        <v>200013137</v>
      </c>
      <c r="B17136" t="str">
        <f>"1992188809"</f>
        <v>1992188809</v>
      </c>
      <c r="C17136" t="str">
        <f>"122300000X"</f>
        <v>122300000X</v>
      </c>
      <c r="D17136" t="str">
        <f>"HABIB                    CHRISTINA                "</f>
        <v xml:space="preserve">HABIB                    CHRISTINA                </v>
      </c>
      <c r="E17136" t="str">
        <f>"FLOWOOD                   "</f>
        <v xml:space="preserve">FLOWOOD                   </v>
      </c>
      <c r="F17136" t="str">
        <f t="shared" si="428"/>
        <v>MS</v>
      </c>
    </row>
    <row r="17137" spans="1:6" x14ac:dyDescent="0.25">
      <c r="A17137" t="str">
        <f>"200013139"</f>
        <v>200013139</v>
      </c>
      <c r="B17137" t="str">
        <f>"1336992635"</f>
        <v>1336992635</v>
      </c>
      <c r="C17137" t="str">
        <f>"207L00000X"</f>
        <v>207L00000X</v>
      </c>
      <c r="D17137" t="str">
        <f>"NELMS                    ALEXANDER                "</f>
        <v xml:space="preserve">NELMS                    ALEXANDER                </v>
      </c>
      <c r="E17137" t="str">
        <f t="shared" ref="E17137:E17146" si="429">"JACKSON                   "</f>
        <v xml:space="preserve">JACKSON                   </v>
      </c>
      <c r="F17137" t="str">
        <f t="shared" si="428"/>
        <v>MS</v>
      </c>
    </row>
    <row r="17138" spans="1:6" x14ac:dyDescent="0.25">
      <c r="A17138" t="str">
        <f>"200013140"</f>
        <v>200013140</v>
      </c>
      <c r="B17138" t="str">
        <f>"1255911731"</f>
        <v>1255911731</v>
      </c>
      <c r="C17138" t="str">
        <f>"208600000X"</f>
        <v>208600000X</v>
      </c>
      <c r="D17138" t="str">
        <f>"CHILDRESS                STEVEN                   "</f>
        <v xml:space="preserve">CHILDRESS                STEVEN                   </v>
      </c>
      <c r="E17138" t="str">
        <f t="shared" si="429"/>
        <v xml:space="preserve">JACKSON                   </v>
      </c>
      <c r="F17138" t="str">
        <f t="shared" si="428"/>
        <v>MS</v>
      </c>
    </row>
    <row r="17139" spans="1:6" x14ac:dyDescent="0.25">
      <c r="A17139" t="str">
        <f>"200013141"</f>
        <v>200013141</v>
      </c>
      <c r="B17139" t="str">
        <f>"1326899568"</f>
        <v>1326899568</v>
      </c>
      <c r="C17139" t="str">
        <f>"2084N0400X"</f>
        <v>2084N0400X</v>
      </c>
      <c r="D17139" t="str">
        <f>"SHRESTHA                 RAMESH                   "</f>
        <v xml:space="preserve">SHRESTHA                 RAMESH                   </v>
      </c>
      <c r="E17139" t="str">
        <f t="shared" si="429"/>
        <v xml:space="preserve">JACKSON                   </v>
      </c>
      <c r="F17139" t="str">
        <f t="shared" si="428"/>
        <v>MS</v>
      </c>
    </row>
    <row r="17140" spans="1:6" x14ac:dyDescent="0.25">
      <c r="A17140" t="str">
        <f>"200013143"</f>
        <v>200013143</v>
      </c>
      <c r="B17140" t="str">
        <f>"1639871056"</f>
        <v>1639871056</v>
      </c>
      <c r="C17140" t="str">
        <f>"2083P0901X"</f>
        <v>2083P0901X</v>
      </c>
      <c r="D17140" t="str">
        <f>"SANDY                    DAVID                    "</f>
        <v xml:space="preserve">SANDY                    DAVID                    </v>
      </c>
      <c r="E17140" t="str">
        <f t="shared" si="429"/>
        <v xml:space="preserve">JACKSON                   </v>
      </c>
      <c r="F17140" t="str">
        <f t="shared" si="428"/>
        <v>MS</v>
      </c>
    </row>
    <row r="17141" spans="1:6" x14ac:dyDescent="0.25">
      <c r="A17141" t="str">
        <f>"200013145"</f>
        <v>200013145</v>
      </c>
      <c r="B17141" t="str">
        <f>"1215780226"</f>
        <v>1215780226</v>
      </c>
      <c r="C17141" t="str">
        <f>"2084N0400X"</f>
        <v>2084N0400X</v>
      </c>
      <c r="D17141" t="str">
        <f>"XU                       SISI                     "</f>
        <v xml:space="preserve">XU                       SISI                     </v>
      </c>
      <c r="E17141" t="str">
        <f t="shared" si="429"/>
        <v xml:space="preserve">JACKSON                   </v>
      </c>
      <c r="F17141" t="str">
        <f t="shared" si="428"/>
        <v>MS</v>
      </c>
    </row>
    <row r="17142" spans="1:6" x14ac:dyDescent="0.25">
      <c r="A17142" t="str">
        <f>"200013146"</f>
        <v>200013146</v>
      </c>
      <c r="B17142" t="str">
        <f>"1861244279"</f>
        <v>1861244279</v>
      </c>
      <c r="C17142" t="str">
        <f>"207P00000X"</f>
        <v>207P00000X</v>
      </c>
      <c r="D17142" t="str">
        <f>"GORRONDONA               NATALIA                  "</f>
        <v xml:space="preserve">GORRONDONA               NATALIA                  </v>
      </c>
      <c r="E17142" t="str">
        <f t="shared" si="429"/>
        <v xml:space="preserve">JACKSON                   </v>
      </c>
      <c r="F17142" t="str">
        <f t="shared" si="428"/>
        <v>MS</v>
      </c>
    </row>
    <row r="17143" spans="1:6" x14ac:dyDescent="0.25">
      <c r="A17143" t="str">
        <f>"200013147"</f>
        <v>200013147</v>
      </c>
      <c r="B17143" t="str">
        <f>"1740949718"</f>
        <v>1740949718</v>
      </c>
      <c r="C17143" t="str">
        <f>"2080P0202X"</f>
        <v>2080P0202X</v>
      </c>
      <c r="D17143" t="str">
        <f>"SINGLA                   MADHAV                   "</f>
        <v xml:space="preserve">SINGLA                   MADHAV                   </v>
      </c>
      <c r="E17143" t="str">
        <f t="shared" si="429"/>
        <v xml:space="preserve">JACKSON                   </v>
      </c>
      <c r="F17143" t="str">
        <f t="shared" si="428"/>
        <v>MS</v>
      </c>
    </row>
    <row r="17144" spans="1:6" x14ac:dyDescent="0.25">
      <c r="A17144" t="str">
        <f>"200013155"</f>
        <v>200013155</v>
      </c>
      <c r="B17144" t="str">
        <f>"1477303907"</f>
        <v>1477303907</v>
      </c>
      <c r="C17144" t="str">
        <f>"208000000X"</f>
        <v>208000000X</v>
      </c>
      <c r="D17144" t="str">
        <f>"STALLINGS                ABIGAIL                  "</f>
        <v xml:space="preserve">STALLINGS                ABIGAIL                  </v>
      </c>
      <c r="E17144" t="str">
        <f t="shared" si="429"/>
        <v xml:space="preserve">JACKSON                   </v>
      </c>
      <c r="F17144" t="str">
        <f t="shared" si="428"/>
        <v>MS</v>
      </c>
    </row>
    <row r="17145" spans="1:6" x14ac:dyDescent="0.25">
      <c r="A17145" t="str">
        <f>"200013157"</f>
        <v>200013157</v>
      </c>
      <c r="B17145" t="str">
        <f>"1942824214"</f>
        <v>1942824214</v>
      </c>
      <c r="C17145" t="str">
        <f>"207K00000X"</f>
        <v>207K00000X</v>
      </c>
      <c r="D17145" t="str">
        <f>"ADAMS                    KAKA                     "</f>
        <v xml:space="preserve">ADAMS                    KAKA                     </v>
      </c>
      <c r="E17145" t="str">
        <f t="shared" si="429"/>
        <v xml:space="preserve">JACKSON                   </v>
      </c>
      <c r="F17145" t="str">
        <f t="shared" si="428"/>
        <v>MS</v>
      </c>
    </row>
    <row r="17146" spans="1:6" x14ac:dyDescent="0.25">
      <c r="A17146" t="str">
        <f>"200013158"</f>
        <v>200013158</v>
      </c>
      <c r="B17146" t="str">
        <f>"1972353472"</f>
        <v>1972353472</v>
      </c>
      <c r="C17146" t="str">
        <f>"207R00000X"</f>
        <v>207R00000X</v>
      </c>
      <c r="D17146" t="str">
        <f>"ADDO                     CLEMENT                  "</f>
        <v xml:space="preserve">ADDO                     CLEMENT                  </v>
      </c>
      <c r="E17146" t="str">
        <f t="shared" si="429"/>
        <v xml:space="preserve">JACKSON                   </v>
      </c>
      <c r="F17146" t="str">
        <f t="shared" si="428"/>
        <v>MS</v>
      </c>
    </row>
    <row r="17147" spans="1:6" x14ac:dyDescent="0.25">
      <c r="A17147" t="str">
        <f>"200013161"</f>
        <v>200013161</v>
      </c>
      <c r="B17147" t="str">
        <f>"1053169342"</f>
        <v>1053169342</v>
      </c>
      <c r="C17147" t="str">
        <f>"207R00000X"</f>
        <v>207R00000X</v>
      </c>
      <c r="D17147" t="str">
        <f>"LUKE                     JOSHUA                   "</f>
        <v xml:space="preserve">LUKE                     JOSHUA                   </v>
      </c>
      <c r="E17147" t="str">
        <f>"GULFPORT                  "</f>
        <v xml:space="preserve">GULFPORT                  </v>
      </c>
      <c r="F17147" t="str">
        <f t="shared" si="428"/>
        <v>MS</v>
      </c>
    </row>
    <row r="17148" spans="1:6" x14ac:dyDescent="0.25">
      <c r="A17148" t="str">
        <f>"200013162"</f>
        <v>200013162</v>
      </c>
      <c r="B17148" t="str">
        <f>"1679323166"</f>
        <v>1679323166</v>
      </c>
      <c r="C17148" t="str">
        <f>"208000000X"</f>
        <v>208000000X</v>
      </c>
      <c r="D17148" t="str">
        <f>"PRESNALL                 AREN                     "</f>
        <v xml:space="preserve">PRESNALL                 AREN                     </v>
      </c>
      <c r="E17148" t="str">
        <f>"JACKSON                   "</f>
        <v xml:space="preserve">JACKSON                   </v>
      </c>
      <c r="F17148" t="str">
        <f t="shared" si="428"/>
        <v>MS</v>
      </c>
    </row>
    <row r="17149" spans="1:6" x14ac:dyDescent="0.25">
      <c r="A17149" t="str">
        <f>"200013163"</f>
        <v>200013163</v>
      </c>
      <c r="B17149" t="str">
        <f>"1598853087"</f>
        <v>1598853087</v>
      </c>
      <c r="C17149" t="str">
        <f>"2085R0202X"</f>
        <v>2085R0202X</v>
      </c>
      <c r="D17149" t="str">
        <f>"BLANCHARD                EARL         J           "</f>
        <v xml:space="preserve">BLANCHARD                EARL         J           </v>
      </c>
      <c r="E17149" t="str">
        <f>"JACKSON                   "</f>
        <v xml:space="preserve">JACKSON                   </v>
      </c>
      <c r="F17149" t="str">
        <f t="shared" si="428"/>
        <v>MS</v>
      </c>
    </row>
    <row r="17150" spans="1:6" x14ac:dyDescent="0.25">
      <c r="A17150" t="str">
        <f>"200013169"</f>
        <v>200013169</v>
      </c>
      <c r="B17150" t="str">
        <f>"1659123966"</f>
        <v>1659123966</v>
      </c>
      <c r="C17150" t="str">
        <f>"208000000X"</f>
        <v>208000000X</v>
      </c>
      <c r="D17150" t="str">
        <f>"NOEL                     CHANDLER                 "</f>
        <v xml:space="preserve">NOEL                     CHANDLER                 </v>
      </c>
      <c r="E17150" t="str">
        <f>"JACKSON                   "</f>
        <v xml:space="preserve">JACKSON                   </v>
      </c>
      <c r="F17150" t="str">
        <f t="shared" ref="F17150:F17213" si="430">"MS"</f>
        <v>MS</v>
      </c>
    </row>
    <row r="17151" spans="1:6" x14ac:dyDescent="0.25">
      <c r="A17151" t="str">
        <f>"200013171"</f>
        <v>200013171</v>
      </c>
      <c r="B17151" t="str">
        <f>"1275265936"</f>
        <v>1275265936</v>
      </c>
      <c r="C17151" t="str">
        <f>"363A00000X"</f>
        <v>363A00000X</v>
      </c>
      <c r="D17151" t="str">
        <f>"ROUNSAVALL               EMMA                     "</f>
        <v xml:space="preserve">ROUNSAVALL               EMMA                     </v>
      </c>
      <c r="E17151" t="str">
        <f>"GREENVILLE                "</f>
        <v xml:space="preserve">GREENVILLE                </v>
      </c>
      <c r="F17151" t="str">
        <f t="shared" si="430"/>
        <v>MS</v>
      </c>
    </row>
    <row r="17152" spans="1:6" x14ac:dyDescent="0.25">
      <c r="A17152" t="str">
        <f>"200013174"</f>
        <v>200013174</v>
      </c>
      <c r="B17152" t="str">
        <f>"1528647856"</f>
        <v>1528647856</v>
      </c>
      <c r="C17152" t="str">
        <f>"207R00000X"</f>
        <v>207R00000X</v>
      </c>
      <c r="D17152" t="str">
        <f>"BUCK                     WILLIAM                  "</f>
        <v xml:space="preserve">BUCK                     WILLIAM                  </v>
      </c>
      <c r="E17152" t="str">
        <f>"LAUREL                    "</f>
        <v xml:space="preserve">LAUREL                    </v>
      </c>
      <c r="F17152" t="str">
        <f t="shared" si="430"/>
        <v>MS</v>
      </c>
    </row>
    <row r="17153" spans="1:6" x14ac:dyDescent="0.25">
      <c r="A17153" t="str">
        <f>"200013175"</f>
        <v>200013175</v>
      </c>
      <c r="B17153" t="str">
        <f>"1649666744"</f>
        <v>1649666744</v>
      </c>
      <c r="C17153" t="str">
        <f>"363LF0000X"</f>
        <v>363LF0000X</v>
      </c>
      <c r="D17153" t="str">
        <f>"CONLEY-DONALDSON         SHEREE       L           "</f>
        <v xml:space="preserve">CONLEY-DONALDSON         SHEREE       L           </v>
      </c>
      <c r="E17153" t="str">
        <f>"HATTIESBURG               "</f>
        <v xml:space="preserve">HATTIESBURG               </v>
      </c>
      <c r="F17153" t="str">
        <f t="shared" si="430"/>
        <v>MS</v>
      </c>
    </row>
    <row r="17154" spans="1:6" x14ac:dyDescent="0.25">
      <c r="A17154" t="str">
        <f>"200013177"</f>
        <v>200013177</v>
      </c>
      <c r="B17154" t="str">
        <f>"1205542289"</f>
        <v>1205542289</v>
      </c>
      <c r="C17154" t="str">
        <f>"367500000X"</f>
        <v>367500000X</v>
      </c>
      <c r="D17154" t="str">
        <f>"HARMON                   STEVEN       M           "</f>
        <v xml:space="preserve">HARMON                   STEVEN       M           </v>
      </c>
      <c r="E17154" t="str">
        <f>"FLOWOOD                   "</f>
        <v xml:space="preserve">FLOWOOD                   </v>
      </c>
      <c r="F17154" t="str">
        <f t="shared" si="430"/>
        <v>MS</v>
      </c>
    </row>
    <row r="17155" spans="1:6" x14ac:dyDescent="0.25">
      <c r="A17155" t="str">
        <f>"200013187"</f>
        <v>200013187</v>
      </c>
      <c r="B17155" t="str">
        <f>"1407504772"</f>
        <v>1407504772</v>
      </c>
      <c r="C17155" t="str">
        <f>"363LF0000X"</f>
        <v>363LF0000X</v>
      </c>
      <c r="D17155" t="str">
        <f>"SMITH                    MICHAELA                 "</f>
        <v xml:space="preserve">SMITH                    MICHAELA                 </v>
      </c>
      <c r="E17155" t="str">
        <f>"RIDGELAND                 "</f>
        <v xml:space="preserve">RIDGELAND                 </v>
      </c>
      <c r="F17155" t="str">
        <f t="shared" si="430"/>
        <v>MS</v>
      </c>
    </row>
    <row r="17156" spans="1:6" x14ac:dyDescent="0.25">
      <c r="A17156" t="str">
        <f>"200013189"</f>
        <v>200013189</v>
      </c>
      <c r="B17156" t="str">
        <f>"1437540325"</f>
        <v>1437540325</v>
      </c>
      <c r="C17156" t="str">
        <f>"363LF0000X"</f>
        <v>363LF0000X</v>
      </c>
      <c r="D17156" t="str">
        <f>"BOLEWARE                 LAURA                    "</f>
        <v xml:space="preserve">BOLEWARE                 LAURA                    </v>
      </c>
      <c r="E17156" t="str">
        <f>"VICKSBURG                 "</f>
        <v xml:space="preserve">VICKSBURG                 </v>
      </c>
      <c r="F17156" t="str">
        <f t="shared" si="430"/>
        <v>MS</v>
      </c>
    </row>
    <row r="17157" spans="1:6" x14ac:dyDescent="0.25">
      <c r="A17157" t="str">
        <f>"200013192"</f>
        <v>200013192</v>
      </c>
      <c r="B17157" t="str">
        <f>"1295581486"</f>
        <v>1295581486</v>
      </c>
      <c r="C17157" t="str">
        <f>"363L00000X"</f>
        <v>363L00000X</v>
      </c>
      <c r="D17157" t="str">
        <f>"JACKSON                  AMANDA       D           "</f>
        <v xml:space="preserve">JACKSON                  AMANDA       D           </v>
      </c>
      <c r="E17157" t="str">
        <f>"SOUTHAVEN                 "</f>
        <v xml:space="preserve">SOUTHAVEN                 </v>
      </c>
      <c r="F17157" t="str">
        <f t="shared" si="430"/>
        <v>MS</v>
      </c>
    </row>
    <row r="17158" spans="1:6" x14ac:dyDescent="0.25">
      <c r="A17158" t="str">
        <f>"200013193"</f>
        <v>200013193</v>
      </c>
      <c r="B17158" t="str">
        <f>"1295581486"</f>
        <v>1295581486</v>
      </c>
      <c r="C17158" t="str">
        <f>"363LP0808X"</f>
        <v>363LP0808X</v>
      </c>
      <c r="D17158" t="str">
        <f>"JACKSON                  AMANDA       D           "</f>
        <v xml:space="preserve">JACKSON                  AMANDA       D           </v>
      </c>
      <c r="E17158" t="str">
        <f>"SOUTHAVEN                 "</f>
        <v xml:space="preserve">SOUTHAVEN                 </v>
      </c>
      <c r="F17158" t="str">
        <f t="shared" si="430"/>
        <v>MS</v>
      </c>
    </row>
    <row r="17159" spans="1:6" x14ac:dyDescent="0.25">
      <c r="A17159" t="str">
        <f>"200013196"</f>
        <v>200013196</v>
      </c>
      <c r="B17159" t="str">
        <f>"1336237825"</f>
        <v>1336237825</v>
      </c>
      <c r="C17159" t="str">
        <f>"2085R0202X"</f>
        <v>2085R0202X</v>
      </c>
      <c r="D17159" t="str">
        <f>"TANNER                   JOHNSON      D           "</f>
        <v xml:space="preserve">TANNER                   JOHNSON      D           </v>
      </c>
      <c r="E17159" t="str">
        <f>"JACKSON                   "</f>
        <v xml:space="preserve">JACKSON                   </v>
      </c>
      <c r="F17159" t="str">
        <f t="shared" si="430"/>
        <v>MS</v>
      </c>
    </row>
    <row r="17160" spans="1:6" x14ac:dyDescent="0.25">
      <c r="A17160" t="str">
        <f>"200013200"</f>
        <v>200013200</v>
      </c>
      <c r="B17160" t="str">
        <f>"1265275622"</f>
        <v>1265275622</v>
      </c>
      <c r="C17160" t="str">
        <f>"363L00000X"</f>
        <v>363L00000X</v>
      </c>
      <c r="D17160" t="str">
        <f>"BAKER                    MARYE        W           "</f>
        <v xml:space="preserve">BAKER                    MARYE        W           </v>
      </c>
      <c r="E17160" t="str">
        <f>"LOUISVILLE                "</f>
        <v xml:space="preserve">LOUISVILLE                </v>
      </c>
      <c r="F17160" t="str">
        <f t="shared" si="430"/>
        <v>MS</v>
      </c>
    </row>
    <row r="17161" spans="1:6" x14ac:dyDescent="0.25">
      <c r="A17161" t="str">
        <f>"200013203"</f>
        <v>200013203</v>
      </c>
      <c r="B17161" t="str">
        <f>"1427230713"</f>
        <v>1427230713</v>
      </c>
      <c r="C17161" t="str">
        <f>"207Q00000X"</f>
        <v>207Q00000X</v>
      </c>
      <c r="D17161" t="str">
        <f>"FOX                      GREGORY                  "</f>
        <v xml:space="preserve">FOX                      GREGORY                  </v>
      </c>
      <c r="E17161" t="str">
        <f>"GAUTIER                   "</f>
        <v xml:space="preserve">GAUTIER                   </v>
      </c>
      <c r="F17161" t="str">
        <f t="shared" si="430"/>
        <v>MS</v>
      </c>
    </row>
    <row r="17162" spans="1:6" x14ac:dyDescent="0.25">
      <c r="A17162" t="str">
        <f>"200013206"</f>
        <v>200013206</v>
      </c>
      <c r="B17162" t="str">
        <f>"1952555666"</f>
        <v>1952555666</v>
      </c>
      <c r="C17162" t="str">
        <f>"2086S0129X"</f>
        <v>2086S0129X</v>
      </c>
      <c r="D17162" t="str">
        <f>"GUPTA                    PRATEEK                  "</f>
        <v xml:space="preserve">GUPTA                    PRATEEK                  </v>
      </c>
      <c r="E17162" t="str">
        <f>"GRENADA                   "</f>
        <v xml:space="preserve">GRENADA                   </v>
      </c>
      <c r="F17162" t="str">
        <f t="shared" si="430"/>
        <v>MS</v>
      </c>
    </row>
    <row r="17163" spans="1:6" x14ac:dyDescent="0.25">
      <c r="A17163" t="str">
        <f>"200013213"</f>
        <v>200013213</v>
      </c>
      <c r="B17163" t="str">
        <f>"1861050023"</f>
        <v>1861050023</v>
      </c>
      <c r="C17163" t="str">
        <f>"207RP1001X"</f>
        <v>207RP1001X</v>
      </c>
      <c r="D17163" t="str">
        <f>"ISSAC                    ADAM                     "</f>
        <v xml:space="preserve">ISSAC                    ADAM                     </v>
      </c>
      <c r="E17163" t="str">
        <f>"JACKSON                   "</f>
        <v xml:space="preserve">JACKSON                   </v>
      </c>
      <c r="F17163" t="str">
        <f t="shared" si="430"/>
        <v>MS</v>
      </c>
    </row>
    <row r="17164" spans="1:6" x14ac:dyDescent="0.25">
      <c r="A17164" t="str">
        <f>"200013216"</f>
        <v>200013216</v>
      </c>
      <c r="B17164" t="str">
        <f>"1053929323"</f>
        <v>1053929323</v>
      </c>
      <c r="C17164" t="str">
        <f>"2084P0800X"</f>
        <v>2084P0800X</v>
      </c>
      <c r="D17164" t="str">
        <f>"CARTER                   LILLIAN                  "</f>
        <v xml:space="preserve">CARTER                   LILLIAN                  </v>
      </c>
      <c r="E17164" t="str">
        <f>"JACKSON                   "</f>
        <v xml:space="preserve">JACKSON                   </v>
      </c>
      <c r="F17164" t="str">
        <f t="shared" si="430"/>
        <v>MS</v>
      </c>
    </row>
    <row r="17165" spans="1:6" x14ac:dyDescent="0.25">
      <c r="A17165" t="str">
        <f>"200013217"</f>
        <v>200013217</v>
      </c>
      <c r="B17165" t="str">
        <f>"1962984732"</f>
        <v>1962984732</v>
      </c>
      <c r="C17165" t="str">
        <f>"363L00000X"</f>
        <v>363L00000X</v>
      </c>
      <c r="D17165" t="str">
        <f>"COX                      CSQSHUNDRA   D           "</f>
        <v xml:space="preserve">COX                      CSQSHUNDRA   D           </v>
      </c>
      <c r="E17165" t="str">
        <f>"GREENVILLE                "</f>
        <v xml:space="preserve">GREENVILLE                </v>
      </c>
      <c r="F17165" t="str">
        <f t="shared" si="430"/>
        <v>MS</v>
      </c>
    </row>
    <row r="17166" spans="1:6" x14ac:dyDescent="0.25">
      <c r="A17166" t="str">
        <f>"200013220"</f>
        <v>200013220</v>
      </c>
      <c r="B17166" t="str">
        <f>"1780259911"</f>
        <v>1780259911</v>
      </c>
      <c r="C17166" t="str">
        <f>"207R00000X"</f>
        <v>207R00000X</v>
      </c>
      <c r="D17166" t="str">
        <f>"UNDERWOOD                TREST                    "</f>
        <v xml:space="preserve">UNDERWOOD                TREST                    </v>
      </c>
      <c r="E17166" t="str">
        <f>"JACKSON                   "</f>
        <v xml:space="preserve">JACKSON                   </v>
      </c>
      <c r="F17166" t="str">
        <f t="shared" si="430"/>
        <v>MS</v>
      </c>
    </row>
    <row r="17167" spans="1:6" x14ac:dyDescent="0.25">
      <c r="A17167" t="str">
        <f>"200013221"</f>
        <v>200013221</v>
      </c>
      <c r="B17167" t="str">
        <f>"1851774681"</f>
        <v>1851774681</v>
      </c>
      <c r="C17167" t="str">
        <f>"363LF0000X"</f>
        <v>363LF0000X</v>
      </c>
      <c r="D17167" t="str">
        <f>"SIMS                     ELIZABETH    M           "</f>
        <v xml:space="preserve">SIMS                     ELIZABETH    M           </v>
      </c>
      <c r="E17167" t="str">
        <f>"MERIDIAN                  "</f>
        <v xml:space="preserve">MERIDIAN                  </v>
      </c>
      <c r="F17167" t="str">
        <f t="shared" si="430"/>
        <v>MS</v>
      </c>
    </row>
    <row r="17168" spans="1:6" x14ac:dyDescent="0.25">
      <c r="A17168" t="str">
        <f>"200013223"</f>
        <v>200013223</v>
      </c>
      <c r="B17168" t="str">
        <f>"1942069232"</f>
        <v>1942069232</v>
      </c>
      <c r="C17168" t="str">
        <f>"207T00000X"</f>
        <v>207T00000X</v>
      </c>
      <c r="D17168" t="str">
        <f>"HARRIS                   LUKE                     "</f>
        <v xml:space="preserve">HARRIS                   LUKE                     </v>
      </c>
      <c r="E17168" t="str">
        <f>"JACKSON                   "</f>
        <v xml:space="preserve">JACKSON                   </v>
      </c>
      <c r="F17168" t="str">
        <f t="shared" si="430"/>
        <v>MS</v>
      </c>
    </row>
    <row r="17169" spans="1:6" x14ac:dyDescent="0.25">
      <c r="A17169" t="str">
        <f>"200013228"</f>
        <v>200013228</v>
      </c>
      <c r="B17169" t="str">
        <f>"1184085235"</f>
        <v>1184085235</v>
      </c>
      <c r="C17169" t="str">
        <f>"207Q00000X"</f>
        <v>207Q00000X</v>
      </c>
      <c r="D17169" t="str">
        <f>"ADEDARA                  CHARLES                  "</f>
        <v xml:space="preserve">ADEDARA                  CHARLES                  </v>
      </c>
      <c r="E17169" t="str">
        <f>"JACKSON                   "</f>
        <v xml:space="preserve">JACKSON                   </v>
      </c>
      <c r="F17169" t="str">
        <f t="shared" si="430"/>
        <v>MS</v>
      </c>
    </row>
    <row r="17170" spans="1:6" x14ac:dyDescent="0.25">
      <c r="A17170" t="str">
        <f>"200013229"</f>
        <v>200013229</v>
      </c>
      <c r="B17170" t="str">
        <f>"1720517873"</f>
        <v>1720517873</v>
      </c>
      <c r="C17170" t="str">
        <f>"208G00000X"</f>
        <v>208G00000X</v>
      </c>
      <c r="D17170" t="str">
        <f>"REIMER                   JONATHAN                 "</f>
        <v xml:space="preserve">REIMER                   JONATHAN                 </v>
      </c>
      <c r="E17170" t="str">
        <f>"JACKSON                   "</f>
        <v xml:space="preserve">JACKSON                   </v>
      </c>
      <c r="F17170" t="str">
        <f t="shared" si="430"/>
        <v>MS</v>
      </c>
    </row>
    <row r="17171" spans="1:6" x14ac:dyDescent="0.25">
      <c r="A17171" t="str">
        <f>"200013231"</f>
        <v>200013231</v>
      </c>
      <c r="B17171" t="str">
        <f>"1528828415"</f>
        <v>1528828415</v>
      </c>
      <c r="C17171" t="str">
        <f>"207R00000X"</f>
        <v>207R00000X</v>
      </c>
      <c r="D17171" t="str">
        <f>"HITT                     ADDIE                    "</f>
        <v xml:space="preserve">HITT                     ADDIE                    </v>
      </c>
      <c r="E17171" t="str">
        <f>"JACKSON                   "</f>
        <v xml:space="preserve">JACKSON                   </v>
      </c>
      <c r="F17171" t="str">
        <f t="shared" si="430"/>
        <v>MS</v>
      </c>
    </row>
    <row r="17172" spans="1:6" x14ac:dyDescent="0.25">
      <c r="A17172" t="str">
        <f>"200013232"</f>
        <v>200013232</v>
      </c>
      <c r="B17172" t="str">
        <f>"1306615398"</f>
        <v>1306615398</v>
      </c>
      <c r="C17172" t="str">
        <f>"363LF0000X"</f>
        <v>363LF0000X</v>
      </c>
      <c r="D17172" t="str">
        <f>"STEVENS                  ASHLYN                   "</f>
        <v xml:space="preserve">STEVENS                  ASHLYN                   </v>
      </c>
      <c r="E17172" t="str">
        <f>"GUNTOWN                   "</f>
        <v xml:space="preserve">GUNTOWN                   </v>
      </c>
      <c r="F17172" t="str">
        <f t="shared" si="430"/>
        <v>MS</v>
      </c>
    </row>
    <row r="17173" spans="1:6" x14ac:dyDescent="0.25">
      <c r="A17173" t="str">
        <f>"200013235"</f>
        <v>200013235</v>
      </c>
      <c r="B17173" t="str">
        <f>"1023869831"</f>
        <v>1023869831</v>
      </c>
      <c r="C17173" t="str">
        <f>"2086S0122X"</f>
        <v>2086S0122X</v>
      </c>
      <c r="D17173" t="str">
        <f>"JOHNSON                  KATHLEEN                 "</f>
        <v xml:space="preserve">JOHNSON                  KATHLEEN                 </v>
      </c>
      <c r="E17173" t="str">
        <f>"JACKSON                   "</f>
        <v xml:space="preserve">JACKSON                   </v>
      </c>
      <c r="F17173" t="str">
        <f t="shared" si="430"/>
        <v>MS</v>
      </c>
    </row>
    <row r="17174" spans="1:6" x14ac:dyDescent="0.25">
      <c r="A17174" t="str">
        <f>"200013239"</f>
        <v>200013239</v>
      </c>
      <c r="B17174" t="str">
        <f>"1821565235"</f>
        <v>1821565235</v>
      </c>
      <c r="C17174" t="str">
        <f>"363L00000X"</f>
        <v>363L00000X</v>
      </c>
      <c r="D17174" t="str">
        <f>"CAGLE                    STEPHANIE                "</f>
        <v xml:space="preserve">CAGLE                    STEPHANIE                </v>
      </c>
      <c r="E17174" t="str">
        <f>"OXFORD                    "</f>
        <v xml:space="preserve">OXFORD                    </v>
      </c>
      <c r="F17174" t="str">
        <f t="shared" si="430"/>
        <v>MS</v>
      </c>
    </row>
    <row r="17175" spans="1:6" x14ac:dyDescent="0.25">
      <c r="A17175" t="str">
        <f>"200013247"</f>
        <v>200013247</v>
      </c>
      <c r="B17175" t="str">
        <f>"1073141404"</f>
        <v>1073141404</v>
      </c>
      <c r="C17175" t="str">
        <f>"207R00000X"</f>
        <v>207R00000X</v>
      </c>
      <c r="D17175" t="str">
        <f>"PUCKETT                  JOHN                     "</f>
        <v xml:space="preserve">PUCKETT                  JOHN                     </v>
      </c>
      <c r="E17175" t="str">
        <f>"JACKSON                   "</f>
        <v xml:space="preserve">JACKSON                   </v>
      </c>
      <c r="F17175" t="str">
        <f t="shared" si="430"/>
        <v>MS</v>
      </c>
    </row>
    <row r="17176" spans="1:6" x14ac:dyDescent="0.25">
      <c r="A17176" t="str">
        <f>"200013250"</f>
        <v>200013250</v>
      </c>
      <c r="B17176" t="str">
        <f>"1538797675"</f>
        <v>1538797675</v>
      </c>
      <c r="C17176" t="str">
        <f>"2084P0800X"</f>
        <v>2084P0800X</v>
      </c>
      <c r="D17176" t="str">
        <f>"DELEON                   ANNA                     "</f>
        <v xml:space="preserve">DELEON                   ANNA                     </v>
      </c>
      <c r="E17176" t="str">
        <f>"JACKSON                   "</f>
        <v xml:space="preserve">JACKSON                   </v>
      </c>
      <c r="F17176" t="str">
        <f t="shared" si="430"/>
        <v>MS</v>
      </c>
    </row>
    <row r="17177" spans="1:6" x14ac:dyDescent="0.25">
      <c r="A17177" t="str">
        <f>"200013255"</f>
        <v>200013255</v>
      </c>
      <c r="B17177" t="str">
        <f>"1407407273"</f>
        <v>1407407273</v>
      </c>
      <c r="C17177" t="str">
        <f>"363L00000X"</f>
        <v>363L00000X</v>
      </c>
      <c r="D17177" t="str">
        <f>"WILSON                   HOLLY                    "</f>
        <v xml:space="preserve">WILSON                   HOLLY                    </v>
      </c>
      <c r="E17177" t="str">
        <f>"BOONEVILLE                "</f>
        <v xml:space="preserve">BOONEVILLE                </v>
      </c>
      <c r="F17177" t="str">
        <f t="shared" si="430"/>
        <v>MS</v>
      </c>
    </row>
    <row r="17178" spans="1:6" x14ac:dyDescent="0.25">
      <c r="A17178" t="str">
        <f>"200013265"</f>
        <v>200013265</v>
      </c>
      <c r="B17178" t="str">
        <f>"1447865191"</f>
        <v>1447865191</v>
      </c>
      <c r="C17178" t="str">
        <f>"152W00000X"</f>
        <v>152W00000X</v>
      </c>
      <c r="D17178" t="str">
        <f>"MITCHELL                 SHERMITA                 "</f>
        <v xml:space="preserve">MITCHELL                 SHERMITA                 </v>
      </c>
      <c r="E17178" t="str">
        <f>"SOUTHAVEN                 "</f>
        <v xml:space="preserve">SOUTHAVEN                 </v>
      </c>
      <c r="F17178" t="str">
        <f t="shared" si="430"/>
        <v>MS</v>
      </c>
    </row>
    <row r="17179" spans="1:6" x14ac:dyDescent="0.25">
      <c r="A17179" t="str">
        <f>"200013267"</f>
        <v>200013267</v>
      </c>
      <c r="B17179" t="str">
        <f>"1487407698"</f>
        <v>1487407698</v>
      </c>
      <c r="C17179" t="str">
        <f>"207R00000X"</f>
        <v>207R00000X</v>
      </c>
      <c r="D17179" t="str">
        <f>"ROVIRA                   JACOB                    "</f>
        <v xml:space="preserve">ROVIRA                   JACOB                    </v>
      </c>
      <c r="E17179" t="str">
        <f>"GULFPORT                  "</f>
        <v xml:space="preserve">GULFPORT                  </v>
      </c>
      <c r="F17179" t="str">
        <f t="shared" si="430"/>
        <v>MS</v>
      </c>
    </row>
    <row r="17180" spans="1:6" x14ac:dyDescent="0.25">
      <c r="A17180" t="str">
        <f>"200013268"</f>
        <v>200013268</v>
      </c>
      <c r="B17180" t="str">
        <f>"1225888530"</f>
        <v>1225888530</v>
      </c>
      <c r="C17180" t="str">
        <f>"207P00000X"</f>
        <v>207P00000X</v>
      </c>
      <c r="D17180" t="str">
        <f>"FULLER                   BETHANY                  "</f>
        <v xml:space="preserve">FULLER                   BETHANY                  </v>
      </c>
      <c r="E17180" t="str">
        <f>"JACKSON                   "</f>
        <v xml:space="preserve">JACKSON                   </v>
      </c>
      <c r="F17180" t="str">
        <f t="shared" si="430"/>
        <v>MS</v>
      </c>
    </row>
    <row r="17181" spans="1:6" x14ac:dyDescent="0.25">
      <c r="A17181" t="str">
        <f>"200013278"</f>
        <v>200013278</v>
      </c>
      <c r="B17181" t="str">
        <f>"1104689587"</f>
        <v>1104689587</v>
      </c>
      <c r="C17181" t="str">
        <f>"363LA2100X"</f>
        <v>363LA2100X</v>
      </c>
      <c r="D17181" t="str">
        <f>"TANKSLEY                 LAURA        K           "</f>
        <v xml:space="preserve">TANKSLEY                 LAURA        K           </v>
      </c>
      <c r="E17181" t="str">
        <f>"FLOWOOD                   "</f>
        <v xml:space="preserve">FLOWOOD                   </v>
      </c>
      <c r="F17181" t="str">
        <f t="shared" si="430"/>
        <v>MS</v>
      </c>
    </row>
    <row r="17182" spans="1:6" x14ac:dyDescent="0.25">
      <c r="A17182" t="str">
        <f>"200013279"</f>
        <v>200013279</v>
      </c>
      <c r="B17182" t="str">
        <f>"1467018390"</f>
        <v>1467018390</v>
      </c>
      <c r="C17182" t="str">
        <f>"363LP0808X"</f>
        <v>363LP0808X</v>
      </c>
      <c r="D17182" t="str">
        <f>"MCGOWAN                  LATONYA                  "</f>
        <v xml:space="preserve">MCGOWAN                  LATONYA                  </v>
      </c>
      <c r="E17182" t="str">
        <f>"PEARL                     "</f>
        <v xml:space="preserve">PEARL                     </v>
      </c>
      <c r="F17182" t="str">
        <f t="shared" si="430"/>
        <v>MS</v>
      </c>
    </row>
    <row r="17183" spans="1:6" x14ac:dyDescent="0.25">
      <c r="A17183" t="str">
        <f>"200013280"</f>
        <v>200013280</v>
      </c>
      <c r="B17183" t="str">
        <f>"1174376420"</f>
        <v>1174376420</v>
      </c>
      <c r="C17183" t="str">
        <f>"207P00000X"</f>
        <v>207P00000X</v>
      </c>
      <c r="D17183" t="str">
        <f>"COLEMAN                  THOMAS                   "</f>
        <v xml:space="preserve">COLEMAN                  THOMAS                   </v>
      </c>
      <c r="E17183" t="str">
        <f>"JACKSON                   "</f>
        <v xml:space="preserve">JACKSON                   </v>
      </c>
      <c r="F17183" t="str">
        <f t="shared" si="430"/>
        <v>MS</v>
      </c>
    </row>
    <row r="17184" spans="1:6" x14ac:dyDescent="0.25">
      <c r="A17184" t="str">
        <f>"200013281"</f>
        <v>200013281</v>
      </c>
      <c r="B17184" t="str">
        <f>"1851142004"</f>
        <v>1851142004</v>
      </c>
      <c r="C17184" t="str">
        <f>"207R00000X"</f>
        <v>207R00000X</v>
      </c>
      <c r="D17184" t="str">
        <f>"GROKE                    MARTIN                   "</f>
        <v xml:space="preserve">GROKE                    MARTIN                   </v>
      </c>
      <c r="E17184" t="str">
        <f>"JACKSON                   "</f>
        <v xml:space="preserve">JACKSON                   </v>
      </c>
      <c r="F17184" t="str">
        <f t="shared" si="430"/>
        <v>MS</v>
      </c>
    </row>
    <row r="17185" spans="1:6" x14ac:dyDescent="0.25">
      <c r="A17185" t="str">
        <f>"200013283"</f>
        <v>200013283</v>
      </c>
      <c r="B17185" t="str">
        <f>"1982200911"</f>
        <v>1982200911</v>
      </c>
      <c r="C17185" t="str">
        <f>"363LF0000X"</f>
        <v>363LF0000X</v>
      </c>
      <c r="D17185" t="str">
        <f>"NASH                     KELLY                    "</f>
        <v xml:space="preserve">NASH                     KELLY                    </v>
      </c>
      <c r="E17185" t="str">
        <f>"JACKSON                   "</f>
        <v xml:space="preserve">JACKSON                   </v>
      </c>
      <c r="F17185" t="str">
        <f t="shared" si="430"/>
        <v>MS</v>
      </c>
    </row>
    <row r="17186" spans="1:6" x14ac:dyDescent="0.25">
      <c r="A17186" t="str">
        <f>"200013285"</f>
        <v>200013285</v>
      </c>
      <c r="B17186" t="str">
        <f>"1497514566"</f>
        <v>1497514566</v>
      </c>
      <c r="C17186" t="str">
        <f>"207R00000X"</f>
        <v>207R00000X</v>
      </c>
      <c r="D17186" t="str">
        <f>"SEALS                    ANDREW                   "</f>
        <v xml:space="preserve">SEALS                    ANDREW                   </v>
      </c>
      <c r="E17186" t="str">
        <f>"JACKSON                   "</f>
        <v xml:space="preserve">JACKSON                   </v>
      </c>
      <c r="F17186" t="str">
        <f t="shared" si="430"/>
        <v>MS</v>
      </c>
    </row>
    <row r="17187" spans="1:6" x14ac:dyDescent="0.25">
      <c r="A17187" t="str">
        <f>"200013291"</f>
        <v>200013291</v>
      </c>
      <c r="B17187" t="str">
        <f>"1184205007"</f>
        <v>1184205007</v>
      </c>
      <c r="C17187" t="str">
        <f>"207Q00000X"</f>
        <v>207Q00000X</v>
      </c>
      <c r="D17187" t="str">
        <f>"VALDERRAMA               CARMENZA     M           "</f>
        <v xml:space="preserve">VALDERRAMA               CARMENZA     M           </v>
      </c>
      <c r="E17187" t="str">
        <f>"GULFPORT                  "</f>
        <v xml:space="preserve">GULFPORT                  </v>
      </c>
      <c r="F17187" t="str">
        <f t="shared" si="430"/>
        <v>MS</v>
      </c>
    </row>
    <row r="17188" spans="1:6" x14ac:dyDescent="0.25">
      <c r="A17188" t="str">
        <f>"200013297"</f>
        <v>200013297</v>
      </c>
      <c r="B17188" t="str">
        <f>"1134702780"</f>
        <v>1134702780</v>
      </c>
      <c r="C17188" t="str">
        <f>"207R00000X"</f>
        <v>207R00000X</v>
      </c>
      <c r="D17188" t="str">
        <f>"THIEL                    KATHERINE                "</f>
        <v xml:space="preserve">THIEL                    KATHERINE                </v>
      </c>
      <c r="E17188" t="str">
        <f>"JACKSON                   "</f>
        <v xml:space="preserve">JACKSON                   </v>
      </c>
      <c r="F17188" t="str">
        <f t="shared" si="430"/>
        <v>MS</v>
      </c>
    </row>
    <row r="17189" spans="1:6" x14ac:dyDescent="0.25">
      <c r="A17189" t="str">
        <f>"200013298"</f>
        <v>200013298</v>
      </c>
      <c r="B17189" t="str">
        <f>"1265285787"</f>
        <v>1265285787</v>
      </c>
      <c r="C17189" t="str">
        <f>"207Q00000X"</f>
        <v>207Q00000X</v>
      </c>
      <c r="D17189" t="str">
        <f>"MUGETA                   FAITH                    "</f>
        <v xml:space="preserve">MUGETA                   FAITH                    </v>
      </c>
      <c r="E17189" t="str">
        <f>"JACKSON                   "</f>
        <v xml:space="preserve">JACKSON                   </v>
      </c>
      <c r="F17189" t="str">
        <f t="shared" si="430"/>
        <v>MS</v>
      </c>
    </row>
    <row r="17190" spans="1:6" x14ac:dyDescent="0.25">
      <c r="A17190" t="str">
        <f>"200013305"</f>
        <v>200013305</v>
      </c>
      <c r="B17190" t="str">
        <f>"1205513660"</f>
        <v>1205513660</v>
      </c>
      <c r="C17190" t="str">
        <f>"152W00000X"</f>
        <v>152W00000X</v>
      </c>
      <c r="D17190" t="str">
        <f>"WEDO EYES LLC                                     "</f>
        <v xml:space="preserve">WEDO EYES LLC                                     </v>
      </c>
      <c r="E17190" t="str">
        <f>"TUPELO                    "</f>
        <v xml:space="preserve">TUPELO                    </v>
      </c>
      <c r="F17190" t="str">
        <f t="shared" si="430"/>
        <v>MS</v>
      </c>
    </row>
    <row r="17191" spans="1:6" x14ac:dyDescent="0.25">
      <c r="A17191" t="str">
        <f>"200013312"</f>
        <v>200013312</v>
      </c>
      <c r="B17191" t="str">
        <f>"1881708295"</f>
        <v>1881708295</v>
      </c>
      <c r="C17191" t="str">
        <f>"207RC0001X"</f>
        <v>207RC0001X</v>
      </c>
      <c r="D17191" t="str">
        <f>"MARROUCHE                NASSIR       F           "</f>
        <v xml:space="preserve">MARROUCHE                NASSIR       F           </v>
      </c>
      <c r="E17191" t="str">
        <f>"GULFPORT                  "</f>
        <v xml:space="preserve">GULFPORT                  </v>
      </c>
      <c r="F17191" t="str">
        <f t="shared" si="430"/>
        <v>MS</v>
      </c>
    </row>
    <row r="17192" spans="1:6" x14ac:dyDescent="0.25">
      <c r="A17192" t="str">
        <f>"200013313"</f>
        <v>200013313</v>
      </c>
      <c r="B17192" t="str">
        <f>"1235771239"</f>
        <v>1235771239</v>
      </c>
      <c r="C17192" t="str">
        <f>"363A00000X"</f>
        <v>363A00000X</v>
      </c>
      <c r="D17192" t="str">
        <f>"LEWIS                    ADAM                     "</f>
        <v xml:space="preserve">LEWIS                    ADAM                     </v>
      </c>
      <c r="E17192" t="str">
        <f>"NATCHEZ                   "</f>
        <v xml:space="preserve">NATCHEZ                   </v>
      </c>
      <c r="F17192" t="str">
        <f t="shared" si="430"/>
        <v>MS</v>
      </c>
    </row>
    <row r="17193" spans="1:6" x14ac:dyDescent="0.25">
      <c r="A17193" t="str">
        <f>"200013316"</f>
        <v>200013316</v>
      </c>
      <c r="B17193" t="str">
        <f>"1184101453"</f>
        <v>1184101453</v>
      </c>
      <c r="C17193" t="str">
        <f>"363LP0808X"</f>
        <v>363LP0808X</v>
      </c>
      <c r="D17193" t="str">
        <f>"JOHNSON                  DIANE                    "</f>
        <v xml:space="preserve">JOHNSON                  DIANE                    </v>
      </c>
      <c r="E17193" t="str">
        <f>"FLOWOOD                   "</f>
        <v xml:space="preserve">FLOWOOD                   </v>
      </c>
      <c r="F17193" t="str">
        <f t="shared" si="430"/>
        <v>MS</v>
      </c>
    </row>
    <row r="17194" spans="1:6" x14ac:dyDescent="0.25">
      <c r="A17194" t="str">
        <f>"200013318"</f>
        <v>200013318</v>
      </c>
      <c r="B17194" t="str">
        <f>"1841888237"</f>
        <v>1841888237</v>
      </c>
      <c r="C17194" t="str">
        <f>"207X00000X"</f>
        <v>207X00000X</v>
      </c>
      <c r="D17194" t="str">
        <f>"HURD                     AARON                    "</f>
        <v xml:space="preserve">HURD                     AARON                    </v>
      </c>
      <c r="E17194" t="str">
        <f>"JACKSON                   "</f>
        <v xml:space="preserve">JACKSON                   </v>
      </c>
      <c r="F17194" t="str">
        <f t="shared" si="430"/>
        <v>MS</v>
      </c>
    </row>
    <row r="17195" spans="1:6" x14ac:dyDescent="0.25">
      <c r="A17195" t="str">
        <f>"200013322"</f>
        <v>200013322</v>
      </c>
      <c r="B17195" t="str">
        <f>"1245793470"</f>
        <v>1245793470</v>
      </c>
      <c r="C17195" t="str">
        <f>"207RE0101X"</f>
        <v>207RE0101X</v>
      </c>
      <c r="D17195" t="str">
        <f>"GONDHI                   ANITHA                   "</f>
        <v xml:space="preserve">GONDHI                   ANITHA                   </v>
      </c>
      <c r="E17195" t="str">
        <f>"OXFORD                    "</f>
        <v xml:space="preserve">OXFORD                    </v>
      </c>
      <c r="F17195" t="str">
        <f t="shared" si="430"/>
        <v>MS</v>
      </c>
    </row>
    <row r="17196" spans="1:6" x14ac:dyDescent="0.25">
      <c r="A17196" t="str">
        <f>"200013330"</f>
        <v>200013330</v>
      </c>
      <c r="B17196" t="str">
        <f>"1619530425"</f>
        <v>1619530425</v>
      </c>
      <c r="C17196" t="str">
        <f>"363L00000X"</f>
        <v>363L00000X</v>
      </c>
      <c r="D17196" t="str">
        <f>"CAMERON                  LATOYA                   "</f>
        <v xml:space="preserve">CAMERON                  LATOYA                   </v>
      </c>
      <c r="E17196" t="str">
        <f>"MAGNOLIA                  "</f>
        <v xml:space="preserve">MAGNOLIA                  </v>
      </c>
      <c r="F17196" t="str">
        <f t="shared" si="430"/>
        <v>MS</v>
      </c>
    </row>
    <row r="17197" spans="1:6" x14ac:dyDescent="0.25">
      <c r="A17197" t="str">
        <f>"200013332"</f>
        <v>200013332</v>
      </c>
      <c r="B17197" t="str">
        <f>"1437854692"</f>
        <v>1437854692</v>
      </c>
      <c r="C17197" t="str">
        <f>"207N00000X"</f>
        <v>207N00000X</v>
      </c>
      <c r="D17197" t="str">
        <f>"ESTEP                    CODY                     "</f>
        <v xml:space="preserve">ESTEP                    CODY                     </v>
      </c>
      <c r="E17197" t="str">
        <f>"JACKSON                   "</f>
        <v xml:space="preserve">JACKSON                   </v>
      </c>
      <c r="F17197" t="str">
        <f t="shared" si="430"/>
        <v>MS</v>
      </c>
    </row>
    <row r="17198" spans="1:6" x14ac:dyDescent="0.25">
      <c r="A17198" t="str">
        <f>"200013335"</f>
        <v>200013335</v>
      </c>
      <c r="B17198" t="str">
        <f>"1932664562"</f>
        <v>1932664562</v>
      </c>
      <c r="C17198" t="str">
        <f>"363LF0000X"</f>
        <v>363LF0000X</v>
      </c>
      <c r="D17198" t="str">
        <f>"HEINDL                   JENNIFER                 "</f>
        <v xml:space="preserve">HEINDL                   JENNIFER                 </v>
      </c>
      <c r="E17198" t="str">
        <f>"SENATOBIA                 "</f>
        <v xml:space="preserve">SENATOBIA                 </v>
      </c>
      <c r="F17198" t="str">
        <f t="shared" si="430"/>
        <v>MS</v>
      </c>
    </row>
    <row r="17199" spans="1:6" x14ac:dyDescent="0.25">
      <c r="A17199" t="str">
        <f>"200013342"</f>
        <v>200013342</v>
      </c>
      <c r="B17199" t="str">
        <f>"1205412616"</f>
        <v>1205412616</v>
      </c>
      <c r="C17199" t="str">
        <f>"207Q00000X"</f>
        <v>207Q00000X</v>
      </c>
      <c r="D17199" t="str">
        <f>"TRAN                     SHEENA                   "</f>
        <v xml:space="preserve">TRAN                     SHEENA                   </v>
      </c>
      <c r="E17199" t="str">
        <f>"BOONEVILLE                "</f>
        <v xml:space="preserve">BOONEVILLE                </v>
      </c>
      <c r="F17199" t="str">
        <f t="shared" si="430"/>
        <v>MS</v>
      </c>
    </row>
    <row r="17200" spans="1:6" x14ac:dyDescent="0.25">
      <c r="A17200" t="str">
        <f>"200013345"</f>
        <v>200013345</v>
      </c>
      <c r="B17200" t="str">
        <f>"1538861182"</f>
        <v>1538861182</v>
      </c>
      <c r="C17200" t="str">
        <f>"207L00000X"</f>
        <v>207L00000X</v>
      </c>
      <c r="D17200" t="str">
        <f>"STRINGER                 NATHANIEL                "</f>
        <v xml:space="preserve">STRINGER                 NATHANIEL                </v>
      </c>
      <c r="E17200" t="str">
        <f>"JACKSON                   "</f>
        <v xml:space="preserve">JACKSON                   </v>
      </c>
      <c r="F17200" t="str">
        <f t="shared" si="430"/>
        <v>MS</v>
      </c>
    </row>
    <row r="17201" spans="1:6" x14ac:dyDescent="0.25">
      <c r="A17201" t="str">
        <f>"200013347"</f>
        <v>200013347</v>
      </c>
      <c r="B17201" t="str">
        <f>"1396590683"</f>
        <v>1396590683</v>
      </c>
      <c r="C17201" t="str">
        <f>"207R00000X"</f>
        <v>207R00000X</v>
      </c>
      <c r="D17201" t="str">
        <f>"MARDHEKAR                NIKHIL                   "</f>
        <v xml:space="preserve">MARDHEKAR                NIKHIL                   </v>
      </c>
      <c r="E17201" t="str">
        <f>"GULFPORT                  "</f>
        <v xml:space="preserve">GULFPORT                  </v>
      </c>
      <c r="F17201" t="str">
        <f t="shared" si="430"/>
        <v>MS</v>
      </c>
    </row>
    <row r="17202" spans="1:6" x14ac:dyDescent="0.25">
      <c r="A17202" t="str">
        <f>"200013348"</f>
        <v>200013348</v>
      </c>
      <c r="B17202" t="str">
        <f>"1104670280"</f>
        <v>1104670280</v>
      </c>
      <c r="C17202" t="str">
        <f>"207Q00000X"</f>
        <v>207Q00000X</v>
      </c>
      <c r="D17202" t="str">
        <f>"LETARD                   MEGHAN                   "</f>
        <v xml:space="preserve">LETARD                   MEGHAN                   </v>
      </c>
      <c r="E17202" t="str">
        <f>"JACKSON                   "</f>
        <v xml:space="preserve">JACKSON                   </v>
      </c>
      <c r="F17202" t="str">
        <f t="shared" si="430"/>
        <v>MS</v>
      </c>
    </row>
    <row r="17203" spans="1:6" x14ac:dyDescent="0.25">
      <c r="A17203" t="str">
        <f>"200013352"</f>
        <v>200013352</v>
      </c>
      <c r="B17203" t="str">
        <f>"1215665005"</f>
        <v>1215665005</v>
      </c>
      <c r="C17203" t="str">
        <f>"363L00000X"</f>
        <v>363L00000X</v>
      </c>
      <c r="D17203" t="str">
        <f>"MILLER                   AYANNA       N           "</f>
        <v xml:space="preserve">MILLER                   AYANNA       N           </v>
      </c>
      <c r="E17203" t="str">
        <f>"SOUTHAVEN                 "</f>
        <v xml:space="preserve">SOUTHAVEN                 </v>
      </c>
      <c r="F17203" t="str">
        <f t="shared" si="430"/>
        <v>MS</v>
      </c>
    </row>
    <row r="17204" spans="1:6" x14ac:dyDescent="0.25">
      <c r="A17204" t="str">
        <f>"200013360"</f>
        <v>200013360</v>
      </c>
      <c r="B17204" t="str">
        <f>"1134823875"</f>
        <v>1134823875</v>
      </c>
      <c r="C17204" t="str">
        <f>"208600000X"</f>
        <v>208600000X</v>
      </c>
      <c r="D17204" t="str">
        <f>"NANNEY                   ANDRIA                   "</f>
        <v xml:space="preserve">NANNEY                   ANDRIA                   </v>
      </c>
      <c r="E17204" t="str">
        <f>"JACKSON                   "</f>
        <v xml:space="preserve">JACKSON                   </v>
      </c>
      <c r="F17204" t="str">
        <f t="shared" si="430"/>
        <v>MS</v>
      </c>
    </row>
    <row r="17205" spans="1:6" x14ac:dyDescent="0.25">
      <c r="A17205" t="str">
        <f>"200013365"</f>
        <v>200013365</v>
      </c>
      <c r="B17205" t="str">
        <f>"1942051818"</f>
        <v>1942051818</v>
      </c>
      <c r="C17205" t="str">
        <f>"207Q00000X"</f>
        <v>207Q00000X</v>
      </c>
      <c r="D17205" t="str">
        <f>"BARNES                   ALLISON                  "</f>
        <v xml:space="preserve">BARNES                   ALLISON                  </v>
      </c>
      <c r="E17205" t="str">
        <f>"JACKSON                   "</f>
        <v xml:space="preserve">JACKSON                   </v>
      </c>
      <c r="F17205" t="str">
        <f t="shared" si="430"/>
        <v>MS</v>
      </c>
    </row>
    <row r="17206" spans="1:6" x14ac:dyDescent="0.25">
      <c r="A17206" t="str">
        <f>"200013381"</f>
        <v>200013381</v>
      </c>
      <c r="B17206" t="str">
        <f>"1023549359"</f>
        <v>1023549359</v>
      </c>
      <c r="C17206" t="str">
        <f>"207R00000X"</f>
        <v>207R00000X</v>
      </c>
      <c r="D17206" t="str">
        <f>"RAYBURN                  WILLIAM      F           "</f>
        <v xml:space="preserve">RAYBURN                  WILLIAM      F           </v>
      </c>
      <c r="E17206" t="str">
        <f>"JACKSON                   "</f>
        <v xml:space="preserve">JACKSON                   </v>
      </c>
      <c r="F17206" t="str">
        <f t="shared" si="430"/>
        <v>MS</v>
      </c>
    </row>
    <row r="17207" spans="1:6" x14ac:dyDescent="0.25">
      <c r="A17207" t="str">
        <f>"200013386"</f>
        <v>200013386</v>
      </c>
      <c r="B17207" t="str">
        <f>"1518353705"</f>
        <v>1518353705</v>
      </c>
      <c r="C17207" t="str">
        <f>"207P00000X"</f>
        <v>207P00000X</v>
      </c>
      <c r="D17207" t="str">
        <f>"DESAI                    JIGAR                    "</f>
        <v xml:space="preserve">DESAI                    JIGAR                    </v>
      </c>
      <c r="E17207" t="str">
        <f>"TUPELO                    "</f>
        <v xml:space="preserve">TUPELO                    </v>
      </c>
      <c r="F17207" t="str">
        <f t="shared" si="430"/>
        <v>MS</v>
      </c>
    </row>
    <row r="17208" spans="1:6" x14ac:dyDescent="0.25">
      <c r="A17208" t="str">
        <f>"200013388"</f>
        <v>200013388</v>
      </c>
      <c r="B17208" t="str">
        <f>"1033592985"</f>
        <v>1033592985</v>
      </c>
      <c r="C17208" t="str">
        <f>"363L00000X"</f>
        <v>363L00000X</v>
      </c>
      <c r="D17208" t="str">
        <f>"DAVIS                    AUBREE                   "</f>
        <v xml:space="preserve">DAVIS                    AUBREE                   </v>
      </c>
      <c r="E17208" t="str">
        <f>"CANTON                    "</f>
        <v xml:space="preserve">CANTON                    </v>
      </c>
      <c r="F17208" t="str">
        <f t="shared" si="430"/>
        <v>MS</v>
      </c>
    </row>
    <row r="17209" spans="1:6" x14ac:dyDescent="0.25">
      <c r="A17209" t="str">
        <f>"200013392"</f>
        <v>200013392</v>
      </c>
      <c r="B17209" t="str">
        <f>"1043713167"</f>
        <v>1043713167</v>
      </c>
      <c r="C17209" t="str">
        <f>"363LF0000X"</f>
        <v>363LF0000X</v>
      </c>
      <c r="D17209" t="str">
        <f>"JUSTICE                  JENIFER                  "</f>
        <v xml:space="preserve">JUSTICE                  JENIFER                  </v>
      </c>
      <c r="E17209" t="str">
        <f>"VICKSBURG                 "</f>
        <v xml:space="preserve">VICKSBURG                 </v>
      </c>
      <c r="F17209" t="str">
        <f t="shared" si="430"/>
        <v>MS</v>
      </c>
    </row>
    <row r="17210" spans="1:6" x14ac:dyDescent="0.25">
      <c r="A17210" t="str">
        <f>"200013393"</f>
        <v>200013393</v>
      </c>
      <c r="B17210" t="str">
        <f>"1235900549"</f>
        <v>1235900549</v>
      </c>
      <c r="C17210" t="str">
        <f>"363A00000X"</f>
        <v>363A00000X</v>
      </c>
      <c r="D17210" t="str">
        <f>"ARMSTRONG                JANIE                    "</f>
        <v xml:space="preserve">ARMSTRONG                JANIE                    </v>
      </c>
      <c r="E17210" t="str">
        <f>"JACKSON                   "</f>
        <v xml:space="preserve">JACKSON                   </v>
      </c>
      <c r="F17210" t="str">
        <f t="shared" si="430"/>
        <v>MS</v>
      </c>
    </row>
    <row r="17211" spans="1:6" x14ac:dyDescent="0.25">
      <c r="A17211" t="str">
        <f>"200013395"</f>
        <v>200013395</v>
      </c>
      <c r="B17211" t="str">
        <f>"1952153066"</f>
        <v>1952153066</v>
      </c>
      <c r="C17211" t="str">
        <f>"2084N0400X"</f>
        <v>2084N0400X</v>
      </c>
      <c r="D17211" t="str">
        <f>"FREEMAN                  SHELBY                   "</f>
        <v xml:space="preserve">FREEMAN                  SHELBY                   </v>
      </c>
      <c r="E17211" t="str">
        <f>"JACKSON                   "</f>
        <v xml:space="preserve">JACKSON                   </v>
      </c>
      <c r="F17211" t="str">
        <f t="shared" si="430"/>
        <v>MS</v>
      </c>
    </row>
    <row r="17212" spans="1:6" x14ac:dyDescent="0.25">
      <c r="A17212" t="str">
        <f>"200013396"</f>
        <v>200013396</v>
      </c>
      <c r="B17212" t="str">
        <f>"1093568248"</f>
        <v>1093568248</v>
      </c>
      <c r="C17212" t="str">
        <f>"207R00000X"</f>
        <v>207R00000X</v>
      </c>
      <c r="D17212" t="str">
        <f>"LASSEIGNE                BRADLEY                  "</f>
        <v xml:space="preserve">LASSEIGNE                BRADLEY                  </v>
      </c>
      <c r="E17212" t="str">
        <f>"GULFPORT                  "</f>
        <v xml:space="preserve">GULFPORT                  </v>
      </c>
      <c r="F17212" t="str">
        <f t="shared" si="430"/>
        <v>MS</v>
      </c>
    </row>
    <row r="17213" spans="1:6" x14ac:dyDescent="0.25">
      <c r="A17213" t="str">
        <f>"200013400"</f>
        <v>200013400</v>
      </c>
      <c r="B17213" t="str">
        <f>"1649477191"</f>
        <v>1649477191</v>
      </c>
      <c r="C17213" t="str">
        <f>"207Q00000X"</f>
        <v>207Q00000X</v>
      </c>
      <c r="D17213" t="str">
        <f>"CARTER                   ROBERT                   "</f>
        <v xml:space="preserve">CARTER                   ROBERT                   </v>
      </c>
      <c r="E17213" t="str">
        <f>"NEW ALBANY                "</f>
        <v xml:space="preserve">NEW ALBANY                </v>
      </c>
      <c r="F17213" t="str">
        <f t="shared" si="430"/>
        <v>MS</v>
      </c>
    </row>
    <row r="17214" spans="1:6" x14ac:dyDescent="0.25">
      <c r="A17214" t="str">
        <f>"200013403"</f>
        <v>200013403</v>
      </c>
      <c r="B17214" t="str">
        <f>"1043048572"</f>
        <v>1043048572</v>
      </c>
      <c r="C17214" t="str">
        <f>"152W00000X"</f>
        <v>152W00000X</v>
      </c>
      <c r="D17214" t="str">
        <f>"DELOACH                  JASMINE      S           "</f>
        <v xml:space="preserve">DELOACH                  JASMINE      S           </v>
      </c>
      <c r="E17214" t="str">
        <f>"COLUMBUS                  "</f>
        <v xml:space="preserve">COLUMBUS                  </v>
      </c>
      <c r="F17214" t="str">
        <f t="shared" ref="F17214:F17277" si="431">"MS"</f>
        <v>MS</v>
      </c>
    </row>
    <row r="17215" spans="1:6" x14ac:dyDescent="0.25">
      <c r="A17215" t="str">
        <f>"200013405"</f>
        <v>200013405</v>
      </c>
      <c r="B17215" t="str">
        <f>"1760917116"</f>
        <v>1760917116</v>
      </c>
      <c r="C17215" t="str">
        <f>"207V00000X"</f>
        <v>207V00000X</v>
      </c>
      <c r="D17215" t="str">
        <f>"TARSI                    ELIZABETH                "</f>
        <v xml:space="preserve">TARSI                    ELIZABETH                </v>
      </c>
      <c r="E17215" t="str">
        <f>"TUPELO                    "</f>
        <v xml:space="preserve">TUPELO                    </v>
      </c>
      <c r="F17215" t="str">
        <f t="shared" si="431"/>
        <v>MS</v>
      </c>
    </row>
    <row r="17216" spans="1:6" x14ac:dyDescent="0.25">
      <c r="A17216" t="str">
        <f>"200013407"</f>
        <v>200013407</v>
      </c>
      <c r="B17216" t="str">
        <f>"1366539991"</f>
        <v>1366539991</v>
      </c>
      <c r="C17216" t="str">
        <f>"207RG0100X"</f>
        <v>207RG0100X</v>
      </c>
      <c r="D17216" t="str">
        <f>"ROMERO                   RICARDO      V           "</f>
        <v xml:space="preserve">ROMERO                   RICARDO      V           </v>
      </c>
      <c r="E17216" t="str">
        <f>"HATTIESBURG               "</f>
        <v xml:space="preserve">HATTIESBURG               </v>
      </c>
      <c r="F17216" t="str">
        <f t="shared" si="431"/>
        <v>MS</v>
      </c>
    </row>
    <row r="17217" spans="1:6" x14ac:dyDescent="0.25">
      <c r="A17217" t="str">
        <f>"200013410"</f>
        <v>200013410</v>
      </c>
      <c r="B17217" t="str">
        <f>"1972122729"</f>
        <v>1972122729</v>
      </c>
      <c r="C17217" t="str">
        <f>"363LG0600X"</f>
        <v>363LG0600X</v>
      </c>
      <c r="D17217" t="str">
        <f>"MYERS                    WHITNEY                  "</f>
        <v xml:space="preserve">MYERS                    WHITNEY                  </v>
      </c>
      <c r="E17217" t="str">
        <f>"TUPELO                    "</f>
        <v xml:space="preserve">TUPELO                    </v>
      </c>
      <c r="F17217" t="str">
        <f t="shared" si="431"/>
        <v>MS</v>
      </c>
    </row>
    <row r="17218" spans="1:6" x14ac:dyDescent="0.25">
      <c r="A17218" t="str">
        <f>"200013411"</f>
        <v>200013411</v>
      </c>
      <c r="B17218" t="str">
        <f>"1275307902"</f>
        <v>1275307902</v>
      </c>
      <c r="C17218" t="str">
        <f>"261QR1300X"</f>
        <v>261QR1300X</v>
      </c>
      <c r="D17218" t="str">
        <f>"KDMC PEDIATRIC ADOLESCENT CLINIC                  "</f>
        <v xml:space="preserve">KDMC PEDIATRIC ADOLESCENT CLINIC                  </v>
      </c>
      <c r="E17218" t="str">
        <f>"BROOKHAVEN                "</f>
        <v xml:space="preserve">BROOKHAVEN                </v>
      </c>
      <c r="F17218" t="str">
        <f t="shared" si="431"/>
        <v>MS</v>
      </c>
    </row>
    <row r="17219" spans="1:6" x14ac:dyDescent="0.25">
      <c r="A17219" t="str">
        <f>"200013414"</f>
        <v>200013414</v>
      </c>
      <c r="B17219" t="str">
        <f>"1972603819"</f>
        <v>1972603819</v>
      </c>
      <c r="C17219" t="str">
        <f>"261QR1300X"</f>
        <v>261QR1300X</v>
      </c>
      <c r="D17219" t="str">
        <f>"COPIAH COUNTY MEDICAL CENTER CRYSTAL SPRINGS      "</f>
        <v xml:space="preserve">COPIAH COUNTY MEDICAL CENTER CRYSTAL SPRINGS      </v>
      </c>
      <c r="E17219" t="str">
        <f>"CRYSTAL SPRINGS           "</f>
        <v xml:space="preserve">CRYSTAL SPRINGS           </v>
      </c>
      <c r="F17219" t="str">
        <f t="shared" si="431"/>
        <v>MS</v>
      </c>
    </row>
    <row r="17220" spans="1:6" x14ac:dyDescent="0.25">
      <c r="A17220" t="str">
        <f>"200013415"</f>
        <v>200013415</v>
      </c>
      <c r="B17220" t="str">
        <f>"1467030981"</f>
        <v>1467030981</v>
      </c>
      <c r="C17220" t="str">
        <f>"208000000X"</f>
        <v>208000000X</v>
      </c>
      <c r="D17220" t="str">
        <f>"THOMAS                   CONNER                   "</f>
        <v xml:space="preserve">THOMAS                   CONNER                   </v>
      </c>
      <c r="E17220" t="str">
        <f>"LAUREL                    "</f>
        <v xml:space="preserve">LAUREL                    </v>
      </c>
      <c r="F17220" t="str">
        <f t="shared" si="431"/>
        <v>MS</v>
      </c>
    </row>
    <row r="17221" spans="1:6" x14ac:dyDescent="0.25">
      <c r="A17221" t="str">
        <f>"200013416"</f>
        <v>200013416</v>
      </c>
      <c r="B17221" t="str">
        <f>"1235759002"</f>
        <v>1235759002</v>
      </c>
      <c r="C17221" t="str">
        <f>"207N00000X"</f>
        <v>207N00000X</v>
      </c>
      <c r="D17221" t="str">
        <f>"PARKER                   JAMES                    "</f>
        <v xml:space="preserve">PARKER                   JAMES                    </v>
      </c>
      <c r="E17221" t="str">
        <f>"TUPELO                    "</f>
        <v xml:space="preserve">TUPELO                    </v>
      </c>
      <c r="F17221" t="str">
        <f t="shared" si="431"/>
        <v>MS</v>
      </c>
    </row>
    <row r="17222" spans="1:6" x14ac:dyDescent="0.25">
      <c r="A17222" t="str">
        <f>"200013420"</f>
        <v>200013420</v>
      </c>
      <c r="B17222" t="str">
        <f>"1891318366"</f>
        <v>1891318366</v>
      </c>
      <c r="C17222" t="str">
        <f>"207V00000X"</f>
        <v>207V00000X</v>
      </c>
      <c r="D17222" t="str">
        <f>"BROWN                    BAYLEE                   "</f>
        <v xml:space="preserve">BROWN                    BAYLEE                   </v>
      </c>
      <c r="E17222" t="str">
        <f>"JACKSON                   "</f>
        <v xml:space="preserve">JACKSON                   </v>
      </c>
      <c r="F17222" t="str">
        <f t="shared" si="431"/>
        <v>MS</v>
      </c>
    </row>
    <row r="17223" spans="1:6" x14ac:dyDescent="0.25">
      <c r="A17223" t="str">
        <f>"200013424"</f>
        <v>200013424</v>
      </c>
      <c r="B17223" t="str">
        <f>"1194353391"</f>
        <v>1194353391</v>
      </c>
      <c r="C17223" t="str">
        <f>"208M00000X"</f>
        <v>208M00000X</v>
      </c>
      <c r="D17223" t="str">
        <f>"ARRINGTON                BRIANNA                  "</f>
        <v xml:space="preserve">ARRINGTON                BRIANNA                  </v>
      </c>
      <c r="E17223" t="str">
        <f>"JACKSON                   "</f>
        <v xml:space="preserve">JACKSON                   </v>
      </c>
      <c r="F17223" t="str">
        <f t="shared" si="431"/>
        <v>MS</v>
      </c>
    </row>
    <row r="17224" spans="1:6" x14ac:dyDescent="0.25">
      <c r="A17224" t="str">
        <f>"200013425"</f>
        <v>200013425</v>
      </c>
      <c r="B17224" t="str">
        <f>"1093494700"</f>
        <v>1093494700</v>
      </c>
      <c r="C17224" t="str">
        <f>"207R00000X"</f>
        <v>207R00000X</v>
      </c>
      <c r="D17224" t="str">
        <f>"ROSHCHINA                EKATERINA                "</f>
        <v xml:space="preserve">ROSHCHINA                EKATERINA                </v>
      </c>
      <c r="E17224" t="str">
        <f>"JACKSON                   "</f>
        <v xml:space="preserve">JACKSON                   </v>
      </c>
      <c r="F17224" t="str">
        <f t="shared" si="431"/>
        <v>MS</v>
      </c>
    </row>
    <row r="17225" spans="1:6" x14ac:dyDescent="0.25">
      <c r="A17225" t="str">
        <f>"200013428"</f>
        <v>200013428</v>
      </c>
      <c r="B17225" t="str">
        <f>"1972965689"</f>
        <v>1972965689</v>
      </c>
      <c r="C17225" t="str">
        <f>"208000000X"</f>
        <v>208000000X</v>
      </c>
      <c r="D17225" t="str">
        <f>"ODOM                     BRITTANY     K           "</f>
        <v xml:space="preserve">ODOM                     BRITTANY     K           </v>
      </c>
      <c r="E17225" t="str">
        <f>"WEST POINT                "</f>
        <v xml:space="preserve">WEST POINT                </v>
      </c>
      <c r="F17225" t="str">
        <f t="shared" si="431"/>
        <v>MS</v>
      </c>
    </row>
    <row r="17226" spans="1:6" x14ac:dyDescent="0.25">
      <c r="A17226" t="str">
        <f>"200013431"</f>
        <v>200013431</v>
      </c>
      <c r="B17226" t="str">
        <f>"1548353683"</f>
        <v>1548353683</v>
      </c>
      <c r="C17226" t="str">
        <f>"207L00000X"</f>
        <v>207L00000X</v>
      </c>
      <c r="D17226" t="str">
        <f>"NIXON                    LARRY        J           "</f>
        <v xml:space="preserve">NIXON                    LARRY        J           </v>
      </c>
      <c r="E17226" t="str">
        <f>"JACKSON                   "</f>
        <v xml:space="preserve">JACKSON                   </v>
      </c>
      <c r="F17226" t="str">
        <f t="shared" si="431"/>
        <v>MS</v>
      </c>
    </row>
    <row r="17227" spans="1:6" x14ac:dyDescent="0.25">
      <c r="A17227" t="str">
        <f>"200013432"</f>
        <v>200013432</v>
      </c>
      <c r="B17227" t="str">
        <f>"1962263764"</f>
        <v>1962263764</v>
      </c>
      <c r="C17227" t="str">
        <f>"363LF0000X"</f>
        <v>363LF0000X</v>
      </c>
      <c r="D17227" t="str">
        <f>"HUGHES                   PAMELA                   "</f>
        <v xml:space="preserve">HUGHES                   PAMELA                   </v>
      </c>
      <c r="E17227" t="str">
        <f>"BROOKHAVEN                "</f>
        <v xml:space="preserve">BROOKHAVEN                </v>
      </c>
      <c r="F17227" t="str">
        <f t="shared" si="431"/>
        <v>MS</v>
      </c>
    </row>
    <row r="17228" spans="1:6" x14ac:dyDescent="0.25">
      <c r="A17228" t="str">
        <f>"200013435"</f>
        <v>200013435</v>
      </c>
      <c r="B17228" t="str">
        <f>"1255977419"</f>
        <v>1255977419</v>
      </c>
      <c r="C17228" t="str">
        <f>"261QM0801X"</f>
        <v>261QM0801X</v>
      </c>
      <c r="D17228" t="str">
        <f>"HAMILTONDAVIS MENTAL HEALTH, INC.                 "</f>
        <v xml:space="preserve">HAMILTONDAVIS MENTAL HEALTH, INC.                 </v>
      </c>
      <c r="E17228" t="str">
        <f>"MERIDIAN                  "</f>
        <v xml:space="preserve">MERIDIAN                  </v>
      </c>
      <c r="F17228" t="str">
        <f t="shared" si="431"/>
        <v>MS</v>
      </c>
    </row>
    <row r="17229" spans="1:6" x14ac:dyDescent="0.25">
      <c r="A17229" t="str">
        <f>"200013437"</f>
        <v>200013437</v>
      </c>
      <c r="B17229" t="str">
        <f>"1437594918"</f>
        <v>1437594918</v>
      </c>
      <c r="C17229" t="str">
        <f>"363L00000X"</f>
        <v>363L00000X</v>
      </c>
      <c r="D17229" t="str">
        <f>"JEFFRIES                 PAMELA                   "</f>
        <v xml:space="preserve">JEFFRIES                 PAMELA                   </v>
      </c>
      <c r="E17229" t="str">
        <f>"JACKSON                   "</f>
        <v xml:space="preserve">JACKSON                   </v>
      </c>
      <c r="F17229" t="str">
        <f t="shared" si="431"/>
        <v>MS</v>
      </c>
    </row>
    <row r="17230" spans="1:6" x14ac:dyDescent="0.25">
      <c r="A17230" t="str">
        <f>"200013443"</f>
        <v>200013443</v>
      </c>
      <c r="B17230" t="str">
        <f>"1215011846"</f>
        <v>1215011846</v>
      </c>
      <c r="C17230" t="str">
        <f>"208600000X"</f>
        <v>208600000X</v>
      </c>
      <c r="D17230" t="str">
        <f>"HARRIS                   ROBERT                   "</f>
        <v xml:space="preserve">HARRIS                   ROBERT                   </v>
      </c>
      <c r="E17230" t="str">
        <f>"BILOXI                    "</f>
        <v xml:space="preserve">BILOXI                    </v>
      </c>
      <c r="F17230" t="str">
        <f t="shared" si="431"/>
        <v>MS</v>
      </c>
    </row>
    <row r="17231" spans="1:6" x14ac:dyDescent="0.25">
      <c r="A17231" t="str">
        <f>"200013446"</f>
        <v>200013446</v>
      </c>
      <c r="B17231" t="str">
        <f>"1093191751"</f>
        <v>1093191751</v>
      </c>
      <c r="C17231" t="str">
        <f>"363L00000X"</f>
        <v>363L00000X</v>
      </c>
      <c r="D17231" t="str">
        <f>"MCGHEE                   QUEEN                    "</f>
        <v xml:space="preserve">MCGHEE                   QUEEN                    </v>
      </c>
      <c r="E17231" t="str">
        <f>"OLIVE BRANCH              "</f>
        <v xml:space="preserve">OLIVE BRANCH              </v>
      </c>
      <c r="F17231" t="str">
        <f t="shared" si="431"/>
        <v>MS</v>
      </c>
    </row>
    <row r="17232" spans="1:6" x14ac:dyDescent="0.25">
      <c r="A17232" t="str">
        <f>"200013452"</f>
        <v>200013452</v>
      </c>
      <c r="B17232" t="str">
        <f>"1932789567"</f>
        <v>1932789567</v>
      </c>
      <c r="C17232" t="str">
        <f>"207R00000X"</f>
        <v>207R00000X</v>
      </c>
      <c r="D17232" t="str">
        <f>"SPENCER                  LOUISE                   "</f>
        <v xml:space="preserve">SPENCER                  LOUISE                   </v>
      </c>
      <c r="E17232" t="str">
        <f>"TUPELO                    "</f>
        <v xml:space="preserve">TUPELO                    </v>
      </c>
      <c r="F17232" t="str">
        <f t="shared" si="431"/>
        <v>MS</v>
      </c>
    </row>
    <row r="17233" spans="1:6" x14ac:dyDescent="0.25">
      <c r="A17233" t="str">
        <f>"200013455"</f>
        <v>200013455</v>
      </c>
      <c r="B17233" t="str">
        <f>"1376394122"</f>
        <v>1376394122</v>
      </c>
      <c r="C17233" t="str">
        <f>"207V00000X"</f>
        <v>207V00000X</v>
      </c>
      <c r="D17233" t="str">
        <f>"ASHLEY                   DEVON                    "</f>
        <v xml:space="preserve">ASHLEY                   DEVON                    </v>
      </c>
      <c r="E17233" t="str">
        <f>"JACKSON                   "</f>
        <v xml:space="preserve">JACKSON                   </v>
      </c>
      <c r="F17233" t="str">
        <f t="shared" si="431"/>
        <v>MS</v>
      </c>
    </row>
    <row r="17234" spans="1:6" x14ac:dyDescent="0.25">
      <c r="A17234" t="str">
        <f>"200013456"</f>
        <v>200013456</v>
      </c>
      <c r="B17234" t="str">
        <f>"1548269517"</f>
        <v>1548269517</v>
      </c>
      <c r="C17234" t="str">
        <f>"367500000X"</f>
        <v>367500000X</v>
      </c>
      <c r="D17234" t="str">
        <f>"HOOD                     SHELLEY                  "</f>
        <v xml:space="preserve">HOOD                     SHELLEY                  </v>
      </c>
      <c r="E17234" t="str">
        <f>"SOUTHAVEN                 "</f>
        <v xml:space="preserve">SOUTHAVEN                 </v>
      </c>
      <c r="F17234" t="str">
        <f t="shared" si="431"/>
        <v>MS</v>
      </c>
    </row>
    <row r="17235" spans="1:6" x14ac:dyDescent="0.25">
      <c r="A17235" t="str">
        <f>"200013457"</f>
        <v>200013457</v>
      </c>
      <c r="B17235" t="str">
        <f>"1548007933"</f>
        <v>1548007933</v>
      </c>
      <c r="C17235" t="str">
        <f>"363LP0808X"</f>
        <v>363LP0808X</v>
      </c>
      <c r="D17235" t="str">
        <f>"NEWTON                   SHARON                   "</f>
        <v xml:space="preserve">NEWTON                   SHARON                   </v>
      </c>
      <c r="E17235" t="str">
        <f>"MCCOMB                    "</f>
        <v xml:space="preserve">MCCOMB                    </v>
      </c>
      <c r="F17235" t="str">
        <f t="shared" si="431"/>
        <v>MS</v>
      </c>
    </row>
    <row r="17236" spans="1:6" x14ac:dyDescent="0.25">
      <c r="A17236" t="str">
        <f>"200013462"</f>
        <v>200013462</v>
      </c>
      <c r="B17236" t="str">
        <f>"1811743867"</f>
        <v>1811743867</v>
      </c>
      <c r="C17236" t="str">
        <f>"367500000X"</f>
        <v>367500000X</v>
      </c>
      <c r="D17236" t="str">
        <f>"STAUFFER                 SHERMAN      C           "</f>
        <v xml:space="preserve">STAUFFER                 SHERMAN      C           </v>
      </c>
      <c r="E17236" t="str">
        <f>"INDIANOLA                 "</f>
        <v xml:space="preserve">INDIANOLA                 </v>
      </c>
      <c r="F17236" t="str">
        <f t="shared" si="431"/>
        <v>MS</v>
      </c>
    </row>
    <row r="17237" spans="1:6" x14ac:dyDescent="0.25">
      <c r="A17237" t="str">
        <f>"200013464"</f>
        <v>200013464</v>
      </c>
      <c r="B17237" t="str">
        <f>"1629842190"</f>
        <v>1629842190</v>
      </c>
      <c r="C17237" t="str">
        <f>"261QM3000X"</f>
        <v>261QM3000X</v>
      </c>
      <c r="D17237" t="str">
        <f>"PERSONAL PEDIATRIC CARE, LLC                      "</f>
        <v xml:space="preserve">PERSONAL PEDIATRIC CARE, LLC                      </v>
      </c>
      <c r="E17237" t="str">
        <f>"PICAYUNE                  "</f>
        <v xml:space="preserve">PICAYUNE                  </v>
      </c>
      <c r="F17237" t="str">
        <f t="shared" si="431"/>
        <v>MS</v>
      </c>
    </row>
    <row r="17238" spans="1:6" x14ac:dyDescent="0.25">
      <c r="A17238" t="str">
        <f>"200013465"</f>
        <v>200013465</v>
      </c>
      <c r="B17238" t="str">
        <f>"1467226233"</f>
        <v>1467226233</v>
      </c>
      <c r="C17238" t="str">
        <f>"363LF0000X"</f>
        <v>363LF0000X</v>
      </c>
      <c r="D17238" t="str">
        <f>"CHAPMAN                  SARAKA                   "</f>
        <v xml:space="preserve">CHAPMAN                  SARAKA                   </v>
      </c>
      <c r="E17238" t="str">
        <f>"SOUTHAVEN                 "</f>
        <v xml:space="preserve">SOUTHAVEN                 </v>
      </c>
      <c r="F17238" t="str">
        <f t="shared" si="431"/>
        <v>MS</v>
      </c>
    </row>
    <row r="17239" spans="1:6" x14ac:dyDescent="0.25">
      <c r="A17239" t="str">
        <f>"200013467"</f>
        <v>200013467</v>
      </c>
      <c r="B17239" t="str">
        <f>"1700469012"</f>
        <v>1700469012</v>
      </c>
      <c r="C17239" t="str">
        <f>"207Q00000X"</f>
        <v>207Q00000X</v>
      </c>
      <c r="D17239" t="str">
        <f>"JACKSON                  JORDAN       T           "</f>
        <v xml:space="preserve">JACKSON                  JORDAN       T           </v>
      </c>
      <c r="E17239" t="str">
        <f>"CARTHAGE                  "</f>
        <v xml:space="preserve">CARTHAGE                  </v>
      </c>
      <c r="F17239" t="str">
        <f t="shared" si="431"/>
        <v>MS</v>
      </c>
    </row>
    <row r="17240" spans="1:6" x14ac:dyDescent="0.25">
      <c r="A17240" t="str">
        <f>"200013475"</f>
        <v>200013475</v>
      </c>
      <c r="B17240" t="str">
        <f>"1326460122"</f>
        <v>1326460122</v>
      </c>
      <c r="C17240" t="str">
        <f>"363LF0000X"</f>
        <v>363LF0000X</v>
      </c>
      <c r="D17240" t="str">
        <f>"REHOR                    MICHAEL                  "</f>
        <v xml:space="preserve">REHOR                    MICHAEL                  </v>
      </c>
      <c r="E17240" t="str">
        <f>"BAY SAINT LOUIS           "</f>
        <v xml:space="preserve">BAY SAINT LOUIS           </v>
      </c>
      <c r="F17240" t="str">
        <f t="shared" si="431"/>
        <v>MS</v>
      </c>
    </row>
    <row r="17241" spans="1:6" x14ac:dyDescent="0.25">
      <c r="A17241" t="str">
        <f>"200013476"</f>
        <v>200013476</v>
      </c>
      <c r="B17241" t="str">
        <f>"1538196845"</f>
        <v>1538196845</v>
      </c>
      <c r="C17241" t="str">
        <f>"208600000X"</f>
        <v>208600000X</v>
      </c>
      <c r="D17241" t="str">
        <f>"SPEARS                   HUBERT                   "</f>
        <v xml:space="preserve">SPEARS                   HUBERT                   </v>
      </c>
      <c r="E17241" t="str">
        <f>"JACKSON                   "</f>
        <v xml:space="preserve">JACKSON                   </v>
      </c>
      <c r="F17241" t="str">
        <f t="shared" si="431"/>
        <v>MS</v>
      </c>
    </row>
    <row r="17242" spans="1:6" x14ac:dyDescent="0.25">
      <c r="A17242" t="str">
        <f>"200013478"</f>
        <v>200013478</v>
      </c>
      <c r="B17242" t="str">
        <f>"1083191340"</f>
        <v>1083191340</v>
      </c>
      <c r="C17242" t="str">
        <f>"363LA2200X"</f>
        <v>363LA2200X</v>
      </c>
      <c r="D17242" t="str">
        <f>"DUGGER                   SHARON       F           "</f>
        <v xml:space="preserve">DUGGER                   SHARON       F           </v>
      </c>
      <c r="E17242" t="str">
        <f>"VICKSBURG                 "</f>
        <v xml:space="preserve">VICKSBURG                 </v>
      </c>
      <c r="F17242" t="str">
        <f t="shared" si="431"/>
        <v>MS</v>
      </c>
    </row>
    <row r="17243" spans="1:6" x14ac:dyDescent="0.25">
      <c r="A17243" t="str">
        <f>"200013483"</f>
        <v>200013483</v>
      </c>
      <c r="B17243" t="str">
        <f>"1073363453"</f>
        <v>1073363453</v>
      </c>
      <c r="C17243" t="str">
        <f>"207V00000X"</f>
        <v>207V00000X</v>
      </c>
      <c r="D17243" t="str">
        <f>"WILLIS                   EMORY                    "</f>
        <v xml:space="preserve">WILLIS                   EMORY                    </v>
      </c>
      <c r="E17243" t="str">
        <f>"JACKSON                   "</f>
        <v xml:space="preserve">JACKSON                   </v>
      </c>
      <c r="F17243" t="str">
        <f t="shared" si="431"/>
        <v>MS</v>
      </c>
    </row>
    <row r="17244" spans="1:6" x14ac:dyDescent="0.25">
      <c r="A17244" t="str">
        <f>"200013484"</f>
        <v>200013484</v>
      </c>
      <c r="B17244" t="str">
        <f>"1770334641"</f>
        <v>1770334641</v>
      </c>
      <c r="C17244" t="str">
        <f>"207R00000X"</f>
        <v>207R00000X</v>
      </c>
      <c r="D17244" t="str">
        <f>"YEN                      SABRINA                  "</f>
        <v xml:space="preserve">YEN                      SABRINA                  </v>
      </c>
      <c r="E17244" t="str">
        <f>"JACKSON                   "</f>
        <v xml:space="preserve">JACKSON                   </v>
      </c>
      <c r="F17244" t="str">
        <f t="shared" si="431"/>
        <v>MS</v>
      </c>
    </row>
    <row r="17245" spans="1:6" x14ac:dyDescent="0.25">
      <c r="A17245" t="str">
        <f>"200013486"</f>
        <v>200013486</v>
      </c>
      <c r="B17245" t="str">
        <f>"1396411435"</f>
        <v>1396411435</v>
      </c>
      <c r="C17245" t="str">
        <f>"208M00000X"</f>
        <v>208M00000X</v>
      </c>
      <c r="D17245" t="str">
        <f>"JANAPALA                 RAJESH       N           "</f>
        <v xml:space="preserve">JANAPALA                 RAJESH       N           </v>
      </c>
      <c r="E17245" t="str">
        <f>"HATTIESBURG               "</f>
        <v xml:space="preserve">HATTIESBURG               </v>
      </c>
      <c r="F17245" t="str">
        <f t="shared" si="431"/>
        <v>MS</v>
      </c>
    </row>
    <row r="17246" spans="1:6" x14ac:dyDescent="0.25">
      <c r="A17246" t="str">
        <f>"200013487"</f>
        <v>200013487</v>
      </c>
      <c r="B17246" t="str">
        <f>"1972354306"</f>
        <v>1972354306</v>
      </c>
      <c r="C17246" t="str">
        <f>"207R00000X"</f>
        <v>207R00000X</v>
      </c>
      <c r="D17246" t="str">
        <f>"MORGAN                   JEREMY                   "</f>
        <v xml:space="preserve">MORGAN                   JEREMY                   </v>
      </c>
      <c r="E17246" t="str">
        <f>"JACKSON                   "</f>
        <v xml:space="preserve">JACKSON                   </v>
      </c>
      <c r="F17246" t="str">
        <f t="shared" si="431"/>
        <v>MS</v>
      </c>
    </row>
    <row r="17247" spans="1:6" x14ac:dyDescent="0.25">
      <c r="A17247" t="str">
        <f>"200013488"</f>
        <v>200013488</v>
      </c>
      <c r="B17247" t="str">
        <f>"1386156289"</f>
        <v>1386156289</v>
      </c>
      <c r="C17247" t="str">
        <f>"363LF0000X"</f>
        <v>363LF0000X</v>
      </c>
      <c r="D17247" t="str">
        <f>"TURGEAU                  DONNA        F           "</f>
        <v xml:space="preserve">TURGEAU                  DONNA        F           </v>
      </c>
      <c r="E17247" t="str">
        <f>"GULFPORT                  "</f>
        <v xml:space="preserve">GULFPORT                  </v>
      </c>
      <c r="F17247" t="str">
        <f t="shared" si="431"/>
        <v>MS</v>
      </c>
    </row>
    <row r="17248" spans="1:6" x14ac:dyDescent="0.25">
      <c r="A17248" t="str">
        <f>"200013489"</f>
        <v>200013489</v>
      </c>
      <c r="B17248" t="str">
        <f>"1700455649"</f>
        <v>1700455649</v>
      </c>
      <c r="C17248" t="str">
        <f>"207Q00000X"</f>
        <v>207Q00000X</v>
      </c>
      <c r="D17248" t="str">
        <f>"MANGUM                   COURTNEY     S           "</f>
        <v xml:space="preserve">MANGUM                   COURTNEY     S           </v>
      </c>
      <c r="E17248" t="str">
        <f>"JACKSON                   "</f>
        <v xml:space="preserve">JACKSON                   </v>
      </c>
      <c r="F17248" t="str">
        <f t="shared" si="431"/>
        <v>MS</v>
      </c>
    </row>
    <row r="17249" spans="1:6" x14ac:dyDescent="0.25">
      <c r="A17249" t="str">
        <f>"200013497"</f>
        <v>200013497</v>
      </c>
      <c r="B17249" t="str">
        <f>"1528833712"</f>
        <v>1528833712</v>
      </c>
      <c r="C17249" t="str">
        <f>"363LF0000X"</f>
        <v>363LF0000X</v>
      </c>
      <c r="D17249" t="str">
        <f>"BUSH                     YOLANDA                  "</f>
        <v xml:space="preserve">BUSH                     YOLANDA                  </v>
      </c>
      <c r="E17249" t="str">
        <f>"EUPORA                    "</f>
        <v xml:space="preserve">EUPORA                    </v>
      </c>
      <c r="F17249" t="str">
        <f t="shared" si="431"/>
        <v>MS</v>
      </c>
    </row>
    <row r="17250" spans="1:6" x14ac:dyDescent="0.25">
      <c r="A17250" t="str">
        <f>"200013499"</f>
        <v>200013499</v>
      </c>
      <c r="B17250" t="str">
        <f>"1285464867"</f>
        <v>1285464867</v>
      </c>
      <c r="C17250" t="str">
        <f>"363LF0000X"</f>
        <v>363LF0000X</v>
      </c>
      <c r="D17250" t="str">
        <f>"SASSER                   MOLLY                    "</f>
        <v xml:space="preserve">SASSER                   MOLLY                    </v>
      </c>
      <c r="E17250" t="str">
        <f>"MONTICELLO                "</f>
        <v xml:space="preserve">MONTICELLO                </v>
      </c>
      <c r="F17250" t="str">
        <f t="shared" si="431"/>
        <v>MS</v>
      </c>
    </row>
    <row r="17251" spans="1:6" x14ac:dyDescent="0.25">
      <c r="A17251" t="str">
        <f>"200013504"</f>
        <v>200013504</v>
      </c>
      <c r="B17251" t="str">
        <f>"1174095749"</f>
        <v>1174095749</v>
      </c>
      <c r="C17251" t="str">
        <f>"367500000X"</f>
        <v>367500000X</v>
      </c>
      <c r="D17251" t="str">
        <f>"RANDLE                   EMILY                    "</f>
        <v xml:space="preserve">RANDLE                   EMILY                    </v>
      </c>
      <c r="E17251" t="str">
        <f>"FLOWOOD                   "</f>
        <v xml:space="preserve">FLOWOOD                   </v>
      </c>
      <c r="F17251" t="str">
        <f t="shared" si="431"/>
        <v>MS</v>
      </c>
    </row>
    <row r="17252" spans="1:6" x14ac:dyDescent="0.25">
      <c r="A17252" t="str">
        <f>"200013505"</f>
        <v>200013505</v>
      </c>
      <c r="B17252" t="str">
        <f>"1891553210"</f>
        <v>1891553210</v>
      </c>
      <c r="C17252" t="str">
        <f>"363LP0808X"</f>
        <v>363LP0808X</v>
      </c>
      <c r="D17252" t="str">
        <f>"LUCKETT                  TOMEKIA                  "</f>
        <v xml:space="preserve">LUCKETT                  TOMEKIA                  </v>
      </c>
      <c r="E17252" t="str">
        <f>"VICKSBURG                 "</f>
        <v xml:space="preserve">VICKSBURG                 </v>
      </c>
      <c r="F17252" t="str">
        <f t="shared" si="431"/>
        <v>MS</v>
      </c>
    </row>
    <row r="17253" spans="1:6" x14ac:dyDescent="0.25">
      <c r="A17253" t="str">
        <f>"200013508"</f>
        <v>200013508</v>
      </c>
      <c r="B17253" t="str">
        <f>"1992122394"</f>
        <v>1992122394</v>
      </c>
      <c r="C17253" t="str">
        <f>"363L00000X"</f>
        <v>363L00000X</v>
      </c>
      <c r="D17253" t="str">
        <f>"CECIL                    SALENA                   "</f>
        <v xml:space="preserve">CECIL                    SALENA                   </v>
      </c>
      <c r="E17253" t="str">
        <f>"VICKSBURG                 "</f>
        <v xml:space="preserve">VICKSBURG                 </v>
      </c>
      <c r="F17253" t="str">
        <f t="shared" si="431"/>
        <v>MS</v>
      </c>
    </row>
    <row r="17254" spans="1:6" x14ac:dyDescent="0.25">
      <c r="A17254" t="str">
        <f>"200013515"</f>
        <v>200013515</v>
      </c>
      <c r="B17254" t="str">
        <f>"1780151381"</f>
        <v>1780151381</v>
      </c>
      <c r="C17254" t="str">
        <f>"261QM1300X"</f>
        <v>261QM1300X</v>
      </c>
      <c r="D17254" t="str">
        <f>"EXPRESS CARE OF CLEVELAND                         "</f>
        <v xml:space="preserve">EXPRESS CARE OF CLEVELAND                         </v>
      </c>
      <c r="E17254" t="str">
        <f>"CLEVELAND                 "</f>
        <v xml:space="preserve">CLEVELAND                 </v>
      </c>
      <c r="F17254" t="str">
        <f t="shared" si="431"/>
        <v>MS</v>
      </c>
    </row>
    <row r="17255" spans="1:6" x14ac:dyDescent="0.25">
      <c r="A17255" t="str">
        <f>"200013519"</f>
        <v>200013519</v>
      </c>
      <c r="B17255" t="str">
        <f>"1215565148"</f>
        <v>1215565148</v>
      </c>
      <c r="C17255" t="str">
        <f>"207L00000X"</f>
        <v>207L00000X</v>
      </c>
      <c r="D17255" t="str">
        <f>"ALPAUGH                  EDWARD                   "</f>
        <v xml:space="preserve">ALPAUGH                  EDWARD                   </v>
      </c>
      <c r="E17255" t="str">
        <f>"GULFPORT                  "</f>
        <v xml:space="preserve">GULFPORT                  </v>
      </c>
      <c r="F17255" t="str">
        <f t="shared" si="431"/>
        <v>MS</v>
      </c>
    </row>
    <row r="17256" spans="1:6" x14ac:dyDescent="0.25">
      <c r="A17256" t="str">
        <f>"200013528"</f>
        <v>200013528</v>
      </c>
      <c r="B17256" t="str">
        <f>"1962493577"</f>
        <v>1962493577</v>
      </c>
      <c r="C17256" t="str">
        <f>"207Q00000X"</f>
        <v>207Q00000X</v>
      </c>
      <c r="D17256" t="str">
        <f>"HOOVER                   RICK                     "</f>
        <v xml:space="preserve">HOOVER                   RICK                     </v>
      </c>
      <c r="E17256" t="str">
        <f>"MOSS POINT                "</f>
        <v xml:space="preserve">MOSS POINT                </v>
      </c>
      <c r="F17256" t="str">
        <f t="shared" si="431"/>
        <v>MS</v>
      </c>
    </row>
    <row r="17257" spans="1:6" x14ac:dyDescent="0.25">
      <c r="A17257" t="str">
        <f>"200013529"</f>
        <v>200013529</v>
      </c>
      <c r="B17257" t="str">
        <f>"1962493577"</f>
        <v>1962493577</v>
      </c>
      <c r="C17257" t="str">
        <f>"207QH0002X"</f>
        <v>207QH0002X</v>
      </c>
      <c r="D17257" t="str">
        <f>"HOOVER                   RICK                     "</f>
        <v xml:space="preserve">HOOVER                   RICK                     </v>
      </c>
      <c r="E17257" t="str">
        <f>"MOSS POINT                "</f>
        <v xml:space="preserve">MOSS POINT                </v>
      </c>
      <c r="F17257" t="str">
        <f t="shared" si="431"/>
        <v>MS</v>
      </c>
    </row>
    <row r="17258" spans="1:6" x14ac:dyDescent="0.25">
      <c r="A17258" t="str">
        <f>"200013530"</f>
        <v>200013530</v>
      </c>
      <c r="B17258" t="str">
        <f>"1427611466"</f>
        <v>1427611466</v>
      </c>
      <c r="C17258" t="str">
        <f>"363L00000X"</f>
        <v>363L00000X</v>
      </c>
      <c r="D17258" t="str">
        <f>"UGWUANYI                 ANGELA       C           "</f>
        <v xml:space="preserve">UGWUANYI                 ANGELA       C           </v>
      </c>
      <c r="E17258" t="str">
        <f>"FLOWOOD                   "</f>
        <v xml:space="preserve">FLOWOOD                   </v>
      </c>
      <c r="F17258" t="str">
        <f t="shared" si="431"/>
        <v>MS</v>
      </c>
    </row>
    <row r="17259" spans="1:6" x14ac:dyDescent="0.25">
      <c r="A17259" t="str">
        <f>"200013532"</f>
        <v>200013532</v>
      </c>
      <c r="B17259" t="str">
        <f>"1427808740"</f>
        <v>1427808740</v>
      </c>
      <c r="C17259" t="str">
        <f>"208000000X"</f>
        <v>208000000X</v>
      </c>
      <c r="D17259" t="str">
        <f>"SHEPHERD                 MARY                     "</f>
        <v xml:space="preserve">SHEPHERD                 MARY                     </v>
      </c>
      <c r="E17259" t="str">
        <f>"JACKSON                   "</f>
        <v xml:space="preserve">JACKSON                   </v>
      </c>
      <c r="F17259" t="str">
        <f t="shared" si="431"/>
        <v>MS</v>
      </c>
    </row>
    <row r="17260" spans="1:6" x14ac:dyDescent="0.25">
      <c r="A17260" t="str">
        <f>"200013536"</f>
        <v>200013536</v>
      </c>
      <c r="B17260" t="str">
        <f>"1881688703"</f>
        <v>1881688703</v>
      </c>
      <c r="C17260" t="str">
        <f>"207P00000X"</f>
        <v>207P00000X</v>
      </c>
      <c r="D17260" t="str">
        <f>"HOLDER                   CARLA                    "</f>
        <v xml:space="preserve">HOLDER                   CARLA                    </v>
      </c>
      <c r="E17260" t="str">
        <f>"HATTIESBURG               "</f>
        <v xml:space="preserve">HATTIESBURG               </v>
      </c>
      <c r="F17260" t="str">
        <f t="shared" si="431"/>
        <v>MS</v>
      </c>
    </row>
    <row r="17261" spans="1:6" x14ac:dyDescent="0.25">
      <c r="A17261" t="str">
        <f>"200013538"</f>
        <v>200013538</v>
      </c>
      <c r="B17261" t="str">
        <f>"1548793409"</f>
        <v>1548793409</v>
      </c>
      <c r="C17261" t="str">
        <f>"207ZP0102X"</f>
        <v>207ZP0102X</v>
      </c>
      <c r="D17261" t="str">
        <f>"WILLIAMS                 GRANT                    "</f>
        <v xml:space="preserve">WILLIAMS                 GRANT                    </v>
      </c>
      <c r="E17261" t="str">
        <f>"BILOXI                    "</f>
        <v xml:space="preserve">BILOXI                    </v>
      </c>
      <c r="F17261" t="str">
        <f t="shared" si="431"/>
        <v>MS</v>
      </c>
    </row>
    <row r="17262" spans="1:6" x14ac:dyDescent="0.25">
      <c r="A17262" t="str">
        <f>"200013542"</f>
        <v>200013542</v>
      </c>
      <c r="B17262" t="str">
        <f>"1013787506"</f>
        <v>1013787506</v>
      </c>
      <c r="C17262" t="str">
        <f>"363L00000X"</f>
        <v>363L00000X</v>
      </c>
      <c r="D17262" t="str">
        <f>"PIPPIN                   JESSICA                  "</f>
        <v xml:space="preserve">PIPPIN                   JESSICA                  </v>
      </c>
      <c r="E17262" t="str">
        <f>"TUPELO                    "</f>
        <v xml:space="preserve">TUPELO                    </v>
      </c>
      <c r="F17262" t="str">
        <f t="shared" si="431"/>
        <v>MS</v>
      </c>
    </row>
    <row r="17263" spans="1:6" x14ac:dyDescent="0.25">
      <c r="A17263" t="str">
        <f>"200013543"</f>
        <v>200013543</v>
      </c>
      <c r="B17263" t="str">
        <f>"1902132764"</f>
        <v>1902132764</v>
      </c>
      <c r="C17263" t="str">
        <f>"363LF0000X"</f>
        <v>363LF0000X</v>
      </c>
      <c r="D17263" t="str">
        <f>"SHURDEN                  KRISTI                   "</f>
        <v xml:space="preserve">SHURDEN                  KRISTI                   </v>
      </c>
      <c r="E17263" t="str">
        <f>"VICKSBURG                 "</f>
        <v xml:space="preserve">VICKSBURG                 </v>
      </c>
      <c r="F17263" t="str">
        <f t="shared" si="431"/>
        <v>MS</v>
      </c>
    </row>
    <row r="17264" spans="1:6" x14ac:dyDescent="0.25">
      <c r="A17264" t="str">
        <f>"200013544"</f>
        <v>200013544</v>
      </c>
      <c r="B17264" t="str">
        <f>"1730910621"</f>
        <v>1730910621</v>
      </c>
      <c r="C17264" t="str">
        <f>"363LF0000X"</f>
        <v>363LF0000X</v>
      </c>
      <c r="D17264" t="str">
        <f>"BUCHANAN                 KAYLA                    "</f>
        <v xml:space="preserve">BUCHANAN                 KAYLA                    </v>
      </c>
      <c r="E17264" t="str">
        <f>"JACKSON                   "</f>
        <v xml:space="preserve">JACKSON                   </v>
      </c>
      <c r="F17264" t="str">
        <f t="shared" si="431"/>
        <v>MS</v>
      </c>
    </row>
    <row r="17265" spans="1:6" x14ac:dyDescent="0.25">
      <c r="A17265" t="str">
        <f>"200013551"</f>
        <v>200013551</v>
      </c>
      <c r="B17265" t="str">
        <f>"1942933114"</f>
        <v>1942933114</v>
      </c>
      <c r="C17265" t="str">
        <f>"363L00000X"</f>
        <v>363L00000X</v>
      </c>
      <c r="D17265" t="str">
        <f>"WALTERS                  ADDIE                    "</f>
        <v xml:space="preserve">WALTERS                  ADDIE                    </v>
      </c>
      <c r="E17265" t="str">
        <f>"BILOXI                    "</f>
        <v xml:space="preserve">BILOXI                    </v>
      </c>
      <c r="F17265" t="str">
        <f t="shared" si="431"/>
        <v>MS</v>
      </c>
    </row>
    <row r="17266" spans="1:6" x14ac:dyDescent="0.25">
      <c r="A17266" t="str">
        <f>"200013556"</f>
        <v>200013556</v>
      </c>
      <c r="B17266" t="str">
        <f>"1487712808"</f>
        <v>1487712808</v>
      </c>
      <c r="C17266" t="str">
        <f>"207Q00000X"</f>
        <v>207Q00000X</v>
      </c>
      <c r="D17266" t="str">
        <f>"ODUYE                    ADEDAPO                  "</f>
        <v xml:space="preserve">ODUYE                    ADEDAPO                  </v>
      </c>
      <c r="E17266" t="str">
        <f>"WEST POINT                "</f>
        <v xml:space="preserve">WEST POINT                </v>
      </c>
      <c r="F17266" t="str">
        <f t="shared" si="431"/>
        <v>MS</v>
      </c>
    </row>
    <row r="17267" spans="1:6" x14ac:dyDescent="0.25">
      <c r="A17267" t="str">
        <f>"200013562"</f>
        <v>200013562</v>
      </c>
      <c r="B17267" t="str">
        <f>"1174068704"</f>
        <v>1174068704</v>
      </c>
      <c r="C17267" t="str">
        <f>"363LF0000X"</f>
        <v>363LF0000X</v>
      </c>
      <c r="D17267" t="str">
        <f>"MASON                    FORTENISE    A           "</f>
        <v xml:space="preserve">MASON                    FORTENISE    A           </v>
      </c>
      <c r="E17267" t="str">
        <f>"JACKSON                   "</f>
        <v xml:space="preserve">JACKSON                   </v>
      </c>
      <c r="F17267" t="str">
        <f t="shared" si="431"/>
        <v>MS</v>
      </c>
    </row>
    <row r="17268" spans="1:6" x14ac:dyDescent="0.25">
      <c r="A17268" t="str">
        <f>"200013563"</f>
        <v>200013563</v>
      </c>
      <c r="B17268" t="str">
        <f>"1356921076"</f>
        <v>1356921076</v>
      </c>
      <c r="C17268" t="str">
        <f>"207Q00000X"</f>
        <v>207Q00000X</v>
      </c>
      <c r="D17268" t="str">
        <f>"GUASTELLA                LILY FRAN                "</f>
        <v xml:space="preserve">GUASTELLA                LILY FRAN                </v>
      </c>
      <c r="E17268" t="str">
        <f>"DURANT                    "</f>
        <v xml:space="preserve">DURANT                    </v>
      </c>
      <c r="F17268" t="str">
        <f t="shared" si="431"/>
        <v>MS</v>
      </c>
    </row>
    <row r="17269" spans="1:6" x14ac:dyDescent="0.25">
      <c r="A17269" t="str">
        <f>"200013566"</f>
        <v>200013566</v>
      </c>
      <c r="B17269" t="str">
        <f>"1740923556"</f>
        <v>1740923556</v>
      </c>
      <c r="C17269" t="str">
        <f>"207R00000X"</f>
        <v>207R00000X</v>
      </c>
      <c r="D17269" t="str">
        <f>"JACOB                    RYAN                     "</f>
        <v xml:space="preserve">JACOB                    RYAN                     </v>
      </c>
      <c r="E17269" t="str">
        <f>"JACKSON                   "</f>
        <v xml:space="preserve">JACKSON                   </v>
      </c>
      <c r="F17269" t="str">
        <f t="shared" si="431"/>
        <v>MS</v>
      </c>
    </row>
    <row r="17270" spans="1:6" x14ac:dyDescent="0.25">
      <c r="A17270" t="str">
        <f>"200013568"</f>
        <v>200013568</v>
      </c>
      <c r="B17270" t="str">
        <f>"1841642162"</f>
        <v>1841642162</v>
      </c>
      <c r="C17270" t="str">
        <f>"207RC0000X"</f>
        <v>207RC0000X</v>
      </c>
      <c r="D17270" t="str">
        <f>"SARDAR                   VARUN                    "</f>
        <v xml:space="preserve">SARDAR                   VARUN                    </v>
      </c>
      <c r="E17270" t="str">
        <f>"JACKSON                   "</f>
        <v xml:space="preserve">JACKSON                   </v>
      </c>
      <c r="F17270" t="str">
        <f t="shared" si="431"/>
        <v>MS</v>
      </c>
    </row>
    <row r="17271" spans="1:6" x14ac:dyDescent="0.25">
      <c r="A17271" t="str">
        <f>"200013573"</f>
        <v>200013573</v>
      </c>
      <c r="B17271" t="str">
        <f>"1831932888"</f>
        <v>1831932888</v>
      </c>
      <c r="C17271" t="str">
        <f>"207R00000X"</f>
        <v>207R00000X</v>
      </c>
      <c r="D17271" t="str">
        <f>"BARI                     SALMAN                   "</f>
        <v xml:space="preserve">BARI                     SALMAN                   </v>
      </c>
      <c r="E17271" t="str">
        <f>"GULFPORT                  "</f>
        <v xml:space="preserve">GULFPORT                  </v>
      </c>
      <c r="F17271" t="str">
        <f t="shared" si="431"/>
        <v>MS</v>
      </c>
    </row>
    <row r="17272" spans="1:6" x14ac:dyDescent="0.25">
      <c r="A17272" t="str">
        <f>"200013575"</f>
        <v>200013575</v>
      </c>
      <c r="B17272" t="str">
        <f>"1013778299"</f>
        <v>1013778299</v>
      </c>
      <c r="C17272" t="str">
        <f>"207R00000X"</f>
        <v>207R00000X</v>
      </c>
      <c r="D17272" t="str">
        <f>"SEARS                    ERIN                     "</f>
        <v xml:space="preserve">SEARS                    ERIN                     </v>
      </c>
      <c r="E17272" t="str">
        <f>"JACKSON                   "</f>
        <v xml:space="preserve">JACKSON                   </v>
      </c>
      <c r="F17272" t="str">
        <f t="shared" si="431"/>
        <v>MS</v>
      </c>
    </row>
    <row r="17273" spans="1:6" x14ac:dyDescent="0.25">
      <c r="A17273" t="str">
        <f>"200013578"</f>
        <v>200013578</v>
      </c>
      <c r="B17273" t="str">
        <f>"1134717622"</f>
        <v>1134717622</v>
      </c>
      <c r="C17273" t="str">
        <f>"363LF0000X"</f>
        <v>363LF0000X</v>
      </c>
      <c r="D17273" t="str">
        <f>"AINSWORTH                JULIE                    "</f>
        <v xml:space="preserve">AINSWORTH                JULIE                    </v>
      </c>
      <c r="E17273" t="str">
        <f>"VICKSBURG                 "</f>
        <v xml:space="preserve">VICKSBURG                 </v>
      </c>
      <c r="F17273" t="str">
        <f t="shared" si="431"/>
        <v>MS</v>
      </c>
    </row>
    <row r="17274" spans="1:6" x14ac:dyDescent="0.25">
      <c r="A17274" t="str">
        <f>"200013579"</f>
        <v>200013579</v>
      </c>
      <c r="B17274" t="str">
        <f>"1578316055"</f>
        <v>1578316055</v>
      </c>
      <c r="C17274" t="str">
        <f>"207R00000X"</f>
        <v>207R00000X</v>
      </c>
      <c r="D17274" t="str">
        <f>"WALKER                   WILLIAM                  "</f>
        <v xml:space="preserve">WALKER                   WILLIAM                  </v>
      </c>
      <c r="E17274" t="str">
        <f>"GULFPORT                  "</f>
        <v xml:space="preserve">GULFPORT                  </v>
      </c>
      <c r="F17274" t="str">
        <f t="shared" si="431"/>
        <v>MS</v>
      </c>
    </row>
    <row r="17275" spans="1:6" x14ac:dyDescent="0.25">
      <c r="A17275" t="str">
        <f>"200013581"</f>
        <v>200013581</v>
      </c>
      <c r="B17275" t="str">
        <f>"1639878390"</f>
        <v>1639878390</v>
      </c>
      <c r="C17275" t="str">
        <f>"363L00000X"</f>
        <v>363L00000X</v>
      </c>
      <c r="D17275" t="str">
        <f>"COOLEY                   ZANE                     "</f>
        <v xml:space="preserve">COOLEY                   ZANE                     </v>
      </c>
      <c r="E17275" t="str">
        <f>"RICHTON                   "</f>
        <v xml:space="preserve">RICHTON                   </v>
      </c>
      <c r="F17275" t="str">
        <f t="shared" si="431"/>
        <v>MS</v>
      </c>
    </row>
    <row r="17276" spans="1:6" x14ac:dyDescent="0.25">
      <c r="A17276" t="str">
        <f>"200013583"</f>
        <v>200013583</v>
      </c>
      <c r="B17276" t="str">
        <f>"1942934179"</f>
        <v>1942934179</v>
      </c>
      <c r="C17276" t="str">
        <f>"2084P0800X"</f>
        <v>2084P0800X</v>
      </c>
      <c r="D17276" t="str">
        <f>"ROBINSON                 ZACHARY                  "</f>
        <v xml:space="preserve">ROBINSON                 ZACHARY                  </v>
      </c>
      <c r="E17276" t="str">
        <f>"PASCAGOULA                "</f>
        <v xml:space="preserve">PASCAGOULA                </v>
      </c>
      <c r="F17276" t="str">
        <f t="shared" si="431"/>
        <v>MS</v>
      </c>
    </row>
    <row r="17277" spans="1:6" x14ac:dyDescent="0.25">
      <c r="A17277" t="str">
        <f>"200013585"</f>
        <v>200013585</v>
      </c>
      <c r="B17277" t="str">
        <f>"1538933742"</f>
        <v>1538933742</v>
      </c>
      <c r="C17277" t="str">
        <f>"261QM1300X"</f>
        <v>261QM1300X</v>
      </c>
      <c r="D17277" t="str">
        <f>"MS EXPRESS HEALTH                                 "</f>
        <v xml:space="preserve">MS EXPRESS HEALTH                                 </v>
      </c>
      <c r="E17277" t="str">
        <f>"MADISON                   "</f>
        <v xml:space="preserve">MADISON                   </v>
      </c>
      <c r="F17277" t="str">
        <f t="shared" si="431"/>
        <v>MS</v>
      </c>
    </row>
    <row r="17278" spans="1:6" x14ac:dyDescent="0.25">
      <c r="A17278" t="str">
        <f>"200013586"</f>
        <v>200013586</v>
      </c>
      <c r="B17278" t="str">
        <f>"1033671201"</f>
        <v>1033671201</v>
      </c>
      <c r="C17278" t="str">
        <f>"208000000X"</f>
        <v>208000000X</v>
      </c>
      <c r="D17278" t="str">
        <f>"DE SOLER                 ISABELLA                 "</f>
        <v xml:space="preserve">DE SOLER                 ISABELLA                 </v>
      </c>
      <c r="E17278" t="str">
        <f>"JACKSON                   "</f>
        <v xml:space="preserve">JACKSON                   </v>
      </c>
      <c r="F17278" t="str">
        <f t="shared" ref="F17278:F17341" si="432">"MS"</f>
        <v>MS</v>
      </c>
    </row>
    <row r="17279" spans="1:6" x14ac:dyDescent="0.25">
      <c r="A17279" t="str">
        <f>"200013596"</f>
        <v>200013596</v>
      </c>
      <c r="B17279" t="str">
        <f>"1487498929"</f>
        <v>1487498929</v>
      </c>
      <c r="C17279" t="str">
        <f>"1223G0001X"</f>
        <v>1223G0001X</v>
      </c>
      <c r="D17279" t="str">
        <f>"JOHNSON                  TELESHIA                 "</f>
        <v xml:space="preserve">JOHNSON                  TELESHIA                 </v>
      </c>
      <c r="E17279" t="str">
        <f>"PEARL                     "</f>
        <v xml:space="preserve">PEARL                     </v>
      </c>
      <c r="F17279" t="str">
        <f t="shared" si="432"/>
        <v>MS</v>
      </c>
    </row>
    <row r="17280" spans="1:6" x14ac:dyDescent="0.25">
      <c r="A17280" t="str">
        <f>"200013597"</f>
        <v>200013597</v>
      </c>
      <c r="B17280" t="str">
        <f>"1881952489"</f>
        <v>1881952489</v>
      </c>
      <c r="C17280" t="str">
        <f>"208D00000X"</f>
        <v>208D00000X</v>
      </c>
      <c r="D17280" t="str">
        <f>"HAY                      WILLIAM                  "</f>
        <v xml:space="preserve">HAY                      WILLIAM                  </v>
      </c>
      <c r="E17280" t="str">
        <f>"BROOKHAVEN                "</f>
        <v xml:space="preserve">BROOKHAVEN                </v>
      </c>
      <c r="F17280" t="str">
        <f t="shared" si="432"/>
        <v>MS</v>
      </c>
    </row>
    <row r="17281" spans="1:6" x14ac:dyDescent="0.25">
      <c r="A17281" t="str">
        <f>"200013603"</f>
        <v>200013603</v>
      </c>
      <c r="B17281" t="str">
        <f>"1225667249"</f>
        <v>1225667249</v>
      </c>
      <c r="C17281" t="str">
        <f>"207P00000X"</f>
        <v>207P00000X</v>
      </c>
      <c r="D17281" t="str">
        <f>"BROWNING                 MALLORY                  "</f>
        <v xml:space="preserve">BROWNING                 MALLORY                  </v>
      </c>
      <c r="E17281" t="str">
        <f>"SOUTHAVEN                 "</f>
        <v xml:space="preserve">SOUTHAVEN                 </v>
      </c>
      <c r="F17281" t="str">
        <f t="shared" si="432"/>
        <v>MS</v>
      </c>
    </row>
    <row r="17282" spans="1:6" x14ac:dyDescent="0.25">
      <c r="A17282" t="str">
        <f>"200013607"</f>
        <v>200013607</v>
      </c>
      <c r="B17282" t="str">
        <f>"1053725077"</f>
        <v>1053725077</v>
      </c>
      <c r="C17282" t="str">
        <f>"208800000X"</f>
        <v>208800000X</v>
      </c>
      <c r="D17282" t="str">
        <f>"TUKE                     DAVID                    "</f>
        <v xml:space="preserve">TUKE                     DAVID                    </v>
      </c>
      <c r="E17282" t="str">
        <f>"TUPELO                    "</f>
        <v xml:space="preserve">TUPELO                    </v>
      </c>
      <c r="F17282" t="str">
        <f t="shared" si="432"/>
        <v>MS</v>
      </c>
    </row>
    <row r="17283" spans="1:6" x14ac:dyDescent="0.25">
      <c r="A17283" t="str">
        <f>"200013617"</f>
        <v>200013617</v>
      </c>
      <c r="B17283" t="str">
        <f>"1881334514"</f>
        <v>1881334514</v>
      </c>
      <c r="C17283" t="str">
        <f>"207Q00000X"</f>
        <v>207Q00000X</v>
      </c>
      <c r="D17283" t="str">
        <f>"BRETT                    CAITLYN                  "</f>
        <v xml:space="preserve">BRETT                    CAITLYN                  </v>
      </c>
      <c r="E17283" t="str">
        <f>"JACKSON                   "</f>
        <v xml:space="preserve">JACKSON                   </v>
      </c>
      <c r="F17283" t="str">
        <f t="shared" si="432"/>
        <v>MS</v>
      </c>
    </row>
    <row r="17284" spans="1:6" x14ac:dyDescent="0.25">
      <c r="A17284" t="str">
        <f>"200013618"</f>
        <v>200013618</v>
      </c>
      <c r="B17284" t="str">
        <f>"1386494789"</f>
        <v>1386494789</v>
      </c>
      <c r="C17284" t="str">
        <f>"207P00000X"</f>
        <v>207P00000X</v>
      </c>
      <c r="D17284" t="str">
        <f>"EDWARDS                  MICHAELA                 "</f>
        <v xml:space="preserve">EDWARDS                  MICHAELA                 </v>
      </c>
      <c r="E17284" t="str">
        <f>"JACKSON                   "</f>
        <v xml:space="preserve">JACKSON                   </v>
      </c>
      <c r="F17284" t="str">
        <f t="shared" si="432"/>
        <v>MS</v>
      </c>
    </row>
    <row r="17285" spans="1:6" x14ac:dyDescent="0.25">
      <c r="A17285" t="str">
        <f>"200013620"</f>
        <v>200013620</v>
      </c>
      <c r="B17285" t="str">
        <f>"1952159832"</f>
        <v>1952159832</v>
      </c>
      <c r="C17285" t="str">
        <f>"207R00000X"</f>
        <v>207R00000X</v>
      </c>
      <c r="D17285" t="str">
        <f>"SUNKARA                  NAGA                     "</f>
        <v xml:space="preserve">SUNKARA                  NAGA                     </v>
      </c>
      <c r="E17285" t="str">
        <f>"GULFPORT                  "</f>
        <v xml:space="preserve">GULFPORT                  </v>
      </c>
      <c r="F17285" t="str">
        <f t="shared" si="432"/>
        <v>MS</v>
      </c>
    </row>
    <row r="17286" spans="1:6" x14ac:dyDescent="0.25">
      <c r="A17286" t="str">
        <f>"200013622"</f>
        <v>200013622</v>
      </c>
      <c r="B17286" t="str">
        <f>"1720830938"</f>
        <v>1720830938</v>
      </c>
      <c r="C17286" t="str">
        <f>"207R00000X"</f>
        <v>207R00000X</v>
      </c>
      <c r="D17286" t="str">
        <f>"EDERER                   DALLAS                   "</f>
        <v xml:space="preserve">EDERER                   DALLAS                   </v>
      </c>
      <c r="E17286" t="str">
        <f>"JACKSON                   "</f>
        <v xml:space="preserve">JACKSON                   </v>
      </c>
      <c r="F17286" t="str">
        <f t="shared" si="432"/>
        <v>MS</v>
      </c>
    </row>
    <row r="17287" spans="1:6" x14ac:dyDescent="0.25">
      <c r="A17287" t="str">
        <f>"200013626"</f>
        <v>200013626</v>
      </c>
      <c r="B17287" t="str">
        <f>"1912781576"</f>
        <v>1912781576</v>
      </c>
      <c r="C17287" t="str">
        <f>"363LG0600X"</f>
        <v>363LG0600X</v>
      </c>
      <c r="D17287" t="str">
        <f>"PORTER                   SAMANTHA                 "</f>
        <v xml:space="preserve">PORTER                   SAMANTHA                 </v>
      </c>
      <c r="E17287" t="str">
        <f>"JACKSON                   "</f>
        <v xml:space="preserve">JACKSON                   </v>
      </c>
      <c r="F17287" t="str">
        <f t="shared" si="432"/>
        <v>MS</v>
      </c>
    </row>
    <row r="17288" spans="1:6" x14ac:dyDescent="0.25">
      <c r="A17288" t="str">
        <f>"200013629"</f>
        <v>200013629</v>
      </c>
      <c r="B17288" t="str">
        <f>"1477933745"</f>
        <v>1477933745</v>
      </c>
      <c r="C17288" t="str">
        <f>"363L00000X"</f>
        <v>363L00000X</v>
      </c>
      <c r="D17288" t="str">
        <f>"DOUGLAS                  GARRETT                  "</f>
        <v xml:space="preserve">DOUGLAS                  GARRETT                  </v>
      </c>
      <c r="E17288" t="str">
        <f>"GULFPORT                  "</f>
        <v xml:space="preserve">GULFPORT                  </v>
      </c>
      <c r="F17288" t="str">
        <f t="shared" si="432"/>
        <v>MS</v>
      </c>
    </row>
    <row r="17289" spans="1:6" x14ac:dyDescent="0.25">
      <c r="A17289" t="str">
        <f>"200013630"</f>
        <v>200013630</v>
      </c>
      <c r="B17289" t="str">
        <f>"1477933745"</f>
        <v>1477933745</v>
      </c>
      <c r="C17289" t="str">
        <f>"363LA2100X"</f>
        <v>363LA2100X</v>
      </c>
      <c r="D17289" t="str">
        <f>"DOUGLAS                  GARRETT                  "</f>
        <v xml:space="preserve">DOUGLAS                  GARRETT                  </v>
      </c>
      <c r="E17289" t="str">
        <f>"GULFPORT                  "</f>
        <v xml:space="preserve">GULFPORT                  </v>
      </c>
      <c r="F17289" t="str">
        <f t="shared" si="432"/>
        <v>MS</v>
      </c>
    </row>
    <row r="17290" spans="1:6" x14ac:dyDescent="0.25">
      <c r="A17290" t="str">
        <f>"200013633"</f>
        <v>200013633</v>
      </c>
      <c r="B17290" t="str">
        <f>"1144801176"</f>
        <v>1144801176</v>
      </c>
      <c r="C17290" t="str">
        <f>"207R00000X"</f>
        <v>207R00000X</v>
      </c>
      <c r="D17290" t="str">
        <f>"DARWISH                  MOHAMED                  "</f>
        <v xml:space="preserve">DARWISH                  MOHAMED                  </v>
      </c>
      <c r="E17290" t="str">
        <f>"OLIVE BRANCH              "</f>
        <v xml:space="preserve">OLIVE BRANCH              </v>
      </c>
      <c r="F17290" t="str">
        <f t="shared" si="432"/>
        <v>MS</v>
      </c>
    </row>
    <row r="17291" spans="1:6" x14ac:dyDescent="0.25">
      <c r="A17291" t="str">
        <f>"200013634"</f>
        <v>200013634</v>
      </c>
      <c r="B17291" t="str">
        <f>"1629826516"</f>
        <v>1629826516</v>
      </c>
      <c r="C17291" t="str">
        <f>"363L00000X"</f>
        <v>363L00000X</v>
      </c>
      <c r="D17291" t="str">
        <f>"TAYLOR                   LESLIE                   "</f>
        <v xml:space="preserve">TAYLOR                   LESLIE                   </v>
      </c>
      <c r="E17291" t="str">
        <f>"BATESVILLE                "</f>
        <v xml:space="preserve">BATESVILLE                </v>
      </c>
      <c r="F17291" t="str">
        <f t="shared" si="432"/>
        <v>MS</v>
      </c>
    </row>
    <row r="17292" spans="1:6" x14ac:dyDescent="0.25">
      <c r="A17292" t="str">
        <f>"200013642"</f>
        <v>200013642</v>
      </c>
      <c r="B17292" t="str">
        <f>"1326877846"</f>
        <v>1326877846</v>
      </c>
      <c r="C17292" t="str">
        <f>"152W00000X"</f>
        <v>152W00000X</v>
      </c>
      <c r="D17292" t="str">
        <f>"BYERS                    EMMA         C           "</f>
        <v xml:space="preserve">BYERS                    EMMA         C           </v>
      </c>
      <c r="E17292" t="str">
        <f>"CLINTON                   "</f>
        <v xml:space="preserve">CLINTON                   </v>
      </c>
      <c r="F17292" t="str">
        <f t="shared" si="432"/>
        <v>MS</v>
      </c>
    </row>
    <row r="17293" spans="1:6" x14ac:dyDescent="0.25">
      <c r="A17293" t="str">
        <f>"200013644"</f>
        <v>200013644</v>
      </c>
      <c r="B17293" t="str">
        <f>"1679323976"</f>
        <v>1679323976</v>
      </c>
      <c r="C17293" t="str">
        <f>"208600000X"</f>
        <v>208600000X</v>
      </c>
      <c r="D17293" t="str">
        <f>"NORTON                   CHRISTIAN                "</f>
        <v xml:space="preserve">NORTON                   CHRISTIAN                </v>
      </c>
      <c r="E17293" t="str">
        <f>"JACKSON                   "</f>
        <v xml:space="preserve">JACKSON                   </v>
      </c>
      <c r="F17293" t="str">
        <f t="shared" si="432"/>
        <v>MS</v>
      </c>
    </row>
    <row r="17294" spans="1:6" x14ac:dyDescent="0.25">
      <c r="A17294" t="str">
        <f>"200013647"</f>
        <v>200013647</v>
      </c>
      <c r="B17294" t="str">
        <f>"1467912428"</f>
        <v>1467912428</v>
      </c>
      <c r="C17294" t="str">
        <f>"2084N0400X"</f>
        <v>2084N0400X</v>
      </c>
      <c r="D17294" t="str">
        <f>"KUMAR                    NEHA                     "</f>
        <v xml:space="preserve">KUMAR                    NEHA                     </v>
      </c>
      <c r="E17294" t="str">
        <f>"SOUTHAVEN                 "</f>
        <v xml:space="preserve">SOUTHAVEN                 </v>
      </c>
      <c r="F17294" t="str">
        <f t="shared" si="432"/>
        <v>MS</v>
      </c>
    </row>
    <row r="17295" spans="1:6" x14ac:dyDescent="0.25">
      <c r="A17295" t="str">
        <f>"200013650"</f>
        <v>200013650</v>
      </c>
      <c r="B17295" t="str">
        <f>"1366021131"</f>
        <v>1366021131</v>
      </c>
      <c r="C17295" t="str">
        <f>"207K00000X"</f>
        <v>207K00000X</v>
      </c>
      <c r="D17295" t="str">
        <f>"WALLS                    JOSHUA                   "</f>
        <v xml:space="preserve">WALLS                    JOSHUA                   </v>
      </c>
      <c r="E17295" t="str">
        <f>"JACKSON                   "</f>
        <v xml:space="preserve">JACKSON                   </v>
      </c>
      <c r="F17295" t="str">
        <f t="shared" si="432"/>
        <v>MS</v>
      </c>
    </row>
    <row r="17296" spans="1:6" x14ac:dyDescent="0.25">
      <c r="A17296" t="str">
        <f>"200013651"</f>
        <v>200013651</v>
      </c>
      <c r="B17296" t="str">
        <f>"1164276440"</f>
        <v>1164276440</v>
      </c>
      <c r="C17296" t="str">
        <f>"207L00000X"</f>
        <v>207L00000X</v>
      </c>
      <c r="D17296" t="str">
        <f>"REED                     JOSEPH                   "</f>
        <v xml:space="preserve">REED                     JOSEPH                   </v>
      </c>
      <c r="E17296" t="str">
        <f>"JACKSON                   "</f>
        <v xml:space="preserve">JACKSON                   </v>
      </c>
      <c r="F17296" t="str">
        <f t="shared" si="432"/>
        <v>MS</v>
      </c>
    </row>
    <row r="17297" spans="1:6" x14ac:dyDescent="0.25">
      <c r="A17297" t="str">
        <f>"200013652"</f>
        <v>200013652</v>
      </c>
      <c r="B17297" t="str">
        <f>"1568848299"</f>
        <v>1568848299</v>
      </c>
      <c r="C17297" t="str">
        <f>"363L00000X"</f>
        <v>363L00000X</v>
      </c>
      <c r="D17297" t="str">
        <f>"RILEY                    MARY                     "</f>
        <v xml:space="preserve">RILEY                    MARY                     </v>
      </c>
      <c r="E17297" t="str">
        <f>"GREENVILLE                "</f>
        <v xml:space="preserve">GREENVILLE                </v>
      </c>
      <c r="F17297" t="str">
        <f t="shared" si="432"/>
        <v>MS</v>
      </c>
    </row>
    <row r="17298" spans="1:6" x14ac:dyDescent="0.25">
      <c r="A17298" t="str">
        <f>"200013654"</f>
        <v>200013654</v>
      </c>
      <c r="B17298" t="str">
        <f>"1538919915"</f>
        <v>1538919915</v>
      </c>
      <c r="C17298" t="str">
        <f>"207R00000X"</f>
        <v>207R00000X</v>
      </c>
      <c r="D17298" t="str">
        <f>"COLE                     STEPHEN                  "</f>
        <v xml:space="preserve">COLE                     STEPHEN                  </v>
      </c>
      <c r="E17298" t="str">
        <f t="shared" ref="E17298:E17303" si="433">"JACKSON                   "</f>
        <v xml:space="preserve">JACKSON                   </v>
      </c>
      <c r="F17298" t="str">
        <f t="shared" si="432"/>
        <v>MS</v>
      </c>
    </row>
    <row r="17299" spans="1:6" x14ac:dyDescent="0.25">
      <c r="A17299" t="str">
        <f>"200013659"</f>
        <v>200013659</v>
      </c>
      <c r="B17299" t="str">
        <f>"1801579685"</f>
        <v>1801579685</v>
      </c>
      <c r="C17299" t="str">
        <f>"207R00000X"</f>
        <v>207R00000X</v>
      </c>
      <c r="D17299" t="str">
        <f>"PULIMAMIDI               SHRUTHI                  "</f>
        <v xml:space="preserve">PULIMAMIDI               SHRUTHI                  </v>
      </c>
      <c r="E17299" t="str">
        <f t="shared" si="433"/>
        <v xml:space="preserve">JACKSON                   </v>
      </c>
      <c r="F17299" t="str">
        <f t="shared" si="432"/>
        <v>MS</v>
      </c>
    </row>
    <row r="17300" spans="1:6" x14ac:dyDescent="0.25">
      <c r="A17300" t="str">
        <f>"200013660"</f>
        <v>200013660</v>
      </c>
      <c r="B17300" t="str">
        <f>"1295585594"</f>
        <v>1295585594</v>
      </c>
      <c r="C17300" t="str">
        <f>"207R00000X"</f>
        <v>207R00000X</v>
      </c>
      <c r="D17300" t="str">
        <f>"UNGO                     RICARDO                  "</f>
        <v xml:space="preserve">UNGO                     RICARDO                  </v>
      </c>
      <c r="E17300" t="str">
        <f t="shared" si="433"/>
        <v xml:space="preserve">JACKSON                   </v>
      </c>
      <c r="F17300" t="str">
        <f t="shared" si="432"/>
        <v>MS</v>
      </c>
    </row>
    <row r="17301" spans="1:6" x14ac:dyDescent="0.25">
      <c r="A17301" t="str">
        <f>"200013661"</f>
        <v>200013661</v>
      </c>
      <c r="B17301" t="str">
        <f>"1437901543"</f>
        <v>1437901543</v>
      </c>
      <c r="C17301" t="str">
        <f>"207P00000X"</f>
        <v>207P00000X</v>
      </c>
      <c r="D17301" t="str">
        <f>"BLANTON                  KAILIN                   "</f>
        <v xml:space="preserve">BLANTON                  KAILIN                   </v>
      </c>
      <c r="E17301" t="str">
        <f t="shared" si="433"/>
        <v xml:space="preserve">JACKSON                   </v>
      </c>
      <c r="F17301" t="str">
        <f t="shared" si="432"/>
        <v>MS</v>
      </c>
    </row>
    <row r="17302" spans="1:6" x14ac:dyDescent="0.25">
      <c r="A17302" t="str">
        <f>"200013662"</f>
        <v>200013662</v>
      </c>
      <c r="B17302" t="str">
        <f>"1215511456"</f>
        <v>1215511456</v>
      </c>
      <c r="C17302" t="str">
        <f>"207Q00000X"</f>
        <v>207Q00000X</v>
      </c>
      <c r="D17302" t="str">
        <f>"KIKKERI                  SATHYADEV                "</f>
        <v xml:space="preserve">KIKKERI                  SATHYADEV                </v>
      </c>
      <c r="E17302" t="str">
        <f t="shared" si="433"/>
        <v xml:space="preserve">JACKSON                   </v>
      </c>
      <c r="F17302" t="str">
        <f t="shared" si="432"/>
        <v>MS</v>
      </c>
    </row>
    <row r="17303" spans="1:6" x14ac:dyDescent="0.25">
      <c r="A17303" t="str">
        <f>"200013663"</f>
        <v>200013663</v>
      </c>
      <c r="B17303" t="str">
        <f>"1467459149"</f>
        <v>1467459149</v>
      </c>
      <c r="C17303" t="str">
        <f>"207Q00000X"</f>
        <v>207Q00000X</v>
      </c>
      <c r="D17303" t="str">
        <f>"HUNTER                   JOSEPH                   "</f>
        <v xml:space="preserve">HUNTER                   JOSEPH                   </v>
      </c>
      <c r="E17303" t="str">
        <f t="shared" si="433"/>
        <v xml:space="preserve">JACKSON                   </v>
      </c>
      <c r="F17303" t="str">
        <f t="shared" si="432"/>
        <v>MS</v>
      </c>
    </row>
    <row r="17304" spans="1:6" x14ac:dyDescent="0.25">
      <c r="A17304" t="str">
        <f>"200013664"</f>
        <v>200013664</v>
      </c>
      <c r="B17304" t="str">
        <f>"1962619932"</f>
        <v>1962619932</v>
      </c>
      <c r="C17304" t="str">
        <f>"363A00000X"</f>
        <v>363A00000X</v>
      </c>
      <c r="D17304" t="str">
        <f>"JOHNSON                  DAVID                    "</f>
        <v xml:space="preserve">JOHNSON                  DAVID                    </v>
      </c>
      <c r="E17304" t="str">
        <f>"MAGEE                     "</f>
        <v xml:space="preserve">MAGEE                     </v>
      </c>
      <c r="F17304" t="str">
        <f t="shared" si="432"/>
        <v>MS</v>
      </c>
    </row>
    <row r="17305" spans="1:6" x14ac:dyDescent="0.25">
      <c r="A17305" t="str">
        <f>"200013665"</f>
        <v>200013665</v>
      </c>
      <c r="B17305" t="str">
        <f>"1740023688"</f>
        <v>1740023688</v>
      </c>
      <c r="C17305" t="str">
        <f>"363LF0000X"</f>
        <v>363LF0000X</v>
      </c>
      <c r="D17305" t="str">
        <f>"HAZELWOOD                JERICA                   "</f>
        <v xml:space="preserve">HAZELWOOD                JERICA                   </v>
      </c>
      <c r="E17305" t="str">
        <f>"UNION                     "</f>
        <v xml:space="preserve">UNION                     </v>
      </c>
      <c r="F17305" t="str">
        <f t="shared" si="432"/>
        <v>MS</v>
      </c>
    </row>
    <row r="17306" spans="1:6" x14ac:dyDescent="0.25">
      <c r="A17306" t="str">
        <f>"200013670"</f>
        <v>200013670</v>
      </c>
      <c r="B17306" t="str">
        <f>"1194767806"</f>
        <v>1194767806</v>
      </c>
      <c r="C17306" t="str">
        <f>"207RC0000X"</f>
        <v>207RC0000X</v>
      </c>
      <c r="D17306" t="str">
        <f>"DULAM                    VIKRAMADITYA             "</f>
        <v xml:space="preserve">DULAM                    VIKRAMADITYA             </v>
      </c>
      <c r="E17306" t="str">
        <f>"NATCHEZ                   "</f>
        <v xml:space="preserve">NATCHEZ                   </v>
      </c>
      <c r="F17306" t="str">
        <f t="shared" si="432"/>
        <v>MS</v>
      </c>
    </row>
    <row r="17307" spans="1:6" x14ac:dyDescent="0.25">
      <c r="A17307" t="str">
        <f>"200013676"</f>
        <v>200013676</v>
      </c>
      <c r="B17307" t="str">
        <f>"1265136105"</f>
        <v>1265136105</v>
      </c>
      <c r="C17307" t="str">
        <f>"207X00000X"</f>
        <v>207X00000X</v>
      </c>
      <c r="D17307" t="str">
        <f>"MONTGOMERY               CARVER                   "</f>
        <v xml:space="preserve">MONTGOMERY               CARVER                   </v>
      </c>
      <c r="E17307" t="str">
        <f>"JACKSON                   "</f>
        <v xml:space="preserve">JACKSON                   </v>
      </c>
      <c r="F17307" t="str">
        <f t="shared" si="432"/>
        <v>MS</v>
      </c>
    </row>
    <row r="17308" spans="1:6" x14ac:dyDescent="0.25">
      <c r="A17308" t="str">
        <f>"200013677"</f>
        <v>200013677</v>
      </c>
      <c r="B17308" t="str">
        <f>"1447830237"</f>
        <v>1447830237</v>
      </c>
      <c r="C17308" t="str">
        <f>"207R00000X"</f>
        <v>207R00000X</v>
      </c>
      <c r="D17308" t="str">
        <f>"ASHMORE                  ANTHONY      C           "</f>
        <v xml:space="preserve">ASHMORE                  ANTHONY      C           </v>
      </c>
      <c r="E17308" t="str">
        <f>"JACKSON                   "</f>
        <v xml:space="preserve">JACKSON                   </v>
      </c>
      <c r="F17308" t="str">
        <f t="shared" si="432"/>
        <v>MS</v>
      </c>
    </row>
    <row r="17309" spans="1:6" x14ac:dyDescent="0.25">
      <c r="A17309" t="str">
        <f>"200013678"</f>
        <v>200013678</v>
      </c>
      <c r="B17309" t="str">
        <f>"1134703366"</f>
        <v>1134703366</v>
      </c>
      <c r="C17309" t="str">
        <f>"207Q00000X"</f>
        <v>207Q00000X</v>
      </c>
      <c r="D17309" t="str">
        <f>"ELDRIDGE                 WESTON                   "</f>
        <v xml:space="preserve">ELDRIDGE                 WESTON                   </v>
      </c>
      <c r="E17309" t="str">
        <f>"LOUISVILLE                "</f>
        <v xml:space="preserve">LOUISVILLE                </v>
      </c>
      <c r="F17309" t="str">
        <f t="shared" si="432"/>
        <v>MS</v>
      </c>
    </row>
    <row r="17310" spans="1:6" x14ac:dyDescent="0.25">
      <c r="A17310" t="str">
        <f>"200013684"</f>
        <v>200013684</v>
      </c>
      <c r="B17310" t="str">
        <f>"1437909827"</f>
        <v>1437909827</v>
      </c>
      <c r="C17310" t="str">
        <f>"207R00000X"</f>
        <v>207R00000X</v>
      </c>
      <c r="D17310" t="str">
        <f>"HEGAZY                   MOHAMED                  "</f>
        <v xml:space="preserve">HEGAZY                   MOHAMED                  </v>
      </c>
      <c r="E17310" t="str">
        <f>"JACKSON                   "</f>
        <v xml:space="preserve">JACKSON                   </v>
      </c>
      <c r="F17310" t="str">
        <f t="shared" si="432"/>
        <v>MS</v>
      </c>
    </row>
    <row r="17311" spans="1:6" x14ac:dyDescent="0.25">
      <c r="A17311" t="str">
        <f>"200013686"</f>
        <v>200013686</v>
      </c>
      <c r="B17311" t="str">
        <f>"1023141603"</f>
        <v>1023141603</v>
      </c>
      <c r="C17311" t="str">
        <f>"152W00000X"</f>
        <v>152W00000X</v>
      </c>
      <c r="D17311" t="str">
        <f>"SPECTACULAR SPECS                                 "</f>
        <v xml:space="preserve">SPECTACULAR SPECS                                 </v>
      </c>
      <c r="E17311" t="str">
        <f>"TUPELO                    "</f>
        <v xml:space="preserve">TUPELO                    </v>
      </c>
      <c r="F17311" t="str">
        <f t="shared" si="432"/>
        <v>MS</v>
      </c>
    </row>
    <row r="17312" spans="1:6" x14ac:dyDescent="0.25">
      <c r="A17312" t="str">
        <f>"200013689"</f>
        <v>200013689</v>
      </c>
      <c r="B17312" t="str">
        <f>"1013415355"</f>
        <v>1013415355</v>
      </c>
      <c r="C17312" t="str">
        <f>"363LF0000X"</f>
        <v>363LF0000X</v>
      </c>
      <c r="D17312" t="str">
        <f>"GARTH                    NICOLLE                  "</f>
        <v xml:space="preserve">GARTH                    NICOLLE                  </v>
      </c>
      <c r="E17312" t="str">
        <f>"JACKSON                   "</f>
        <v xml:space="preserve">JACKSON                   </v>
      </c>
      <c r="F17312" t="str">
        <f t="shared" si="432"/>
        <v>MS</v>
      </c>
    </row>
    <row r="17313" spans="1:6" x14ac:dyDescent="0.25">
      <c r="A17313" t="str">
        <f>"200013690"</f>
        <v>200013690</v>
      </c>
      <c r="B17313" t="str">
        <f>"1891498028"</f>
        <v>1891498028</v>
      </c>
      <c r="C17313" t="str">
        <f>"207R00000X"</f>
        <v>207R00000X</v>
      </c>
      <c r="D17313" t="str">
        <f>"HOLLOWAY                 SANTANA                  "</f>
        <v xml:space="preserve">HOLLOWAY                 SANTANA                  </v>
      </c>
      <c r="E17313" t="str">
        <f>"JACKSON                   "</f>
        <v xml:space="preserve">JACKSON                   </v>
      </c>
      <c r="F17313" t="str">
        <f t="shared" si="432"/>
        <v>MS</v>
      </c>
    </row>
    <row r="17314" spans="1:6" x14ac:dyDescent="0.25">
      <c r="A17314" t="str">
        <f>"200013691"</f>
        <v>200013691</v>
      </c>
      <c r="B17314" t="str">
        <f>"1679148696"</f>
        <v>1679148696</v>
      </c>
      <c r="C17314" t="str">
        <f>"207R00000X"</f>
        <v>207R00000X</v>
      </c>
      <c r="D17314" t="str">
        <f>"PIERRE                   EDNORD                   "</f>
        <v xml:space="preserve">PIERRE                   EDNORD                   </v>
      </c>
      <c r="E17314" t="str">
        <f>"TUPELO                    "</f>
        <v xml:space="preserve">TUPELO                    </v>
      </c>
      <c r="F17314" t="str">
        <f t="shared" si="432"/>
        <v>MS</v>
      </c>
    </row>
    <row r="17315" spans="1:6" x14ac:dyDescent="0.25">
      <c r="A17315" t="str">
        <f>"200013692"</f>
        <v>200013692</v>
      </c>
      <c r="B17315" t="str">
        <f>"1144071549"</f>
        <v>1144071549</v>
      </c>
      <c r="C17315" t="str">
        <f>"207R00000X"</f>
        <v>207R00000X</v>
      </c>
      <c r="D17315" t="str">
        <f>"YARLAGADDA               SIRI                     "</f>
        <v xml:space="preserve">YARLAGADDA               SIRI                     </v>
      </c>
      <c r="E17315" t="str">
        <f>"JACKSON                   "</f>
        <v xml:space="preserve">JACKSON                   </v>
      </c>
      <c r="F17315" t="str">
        <f t="shared" si="432"/>
        <v>MS</v>
      </c>
    </row>
    <row r="17316" spans="1:6" x14ac:dyDescent="0.25">
      <c r="A17316" t="str">
        <f>"200013695"</f>
        <v>200013695</v>
      </c>
      <c r="B17316" t="str">
        <f>"1659953388"</f>
        <v>1659953388</v>
      </c>
      <c r="C17316" t="str">
        <f>"2084P0800X"</f>
        <v>2084P0800X</v>
      </c>
      <c r="D17316" t="str">
        <f>"DELLINGER                JOSHUA                   "</f>
        <v xml:space="preserve">DELLINGER                JOSHUA                   </v>
      </c>
      <c r="E17316" t="str">
        <f>"JACKSON                   "</f>
        <v xml:space="preserve">JACKSON                   </v>
      </c>
      <c r="F17316" t="str">
        <f t="shared" si="432"/>
        <v>MS</v>
      </c>
    </row>
    <row r="17317" spans="1:6" x14ac:dyDescent="0.25">
      <c r="A17317" t="str">
        <f>"200013697"</f>
        <v>200013697</v>
      </c>
      <c r="B17317" t="str">
        <f>"1275386955"</f>
        <v>1275386955</v>
      </c>
      <c r="C17317" t="str">
        <f>"207P00000X"</f>
        <v>207P00000X</v>
      </c>
      <c r="D17317" t="str">
        <f>"MCCOOL                   KAYLAN                   "</f>
        <v xml:space="preserve">MCCOOL                   KAYLAN                   </v>
      </c>
      <c r="E17317" t="str">
        <f>"JACKSON                   "</f>
        <v xml:space="preserve">JACKSON                   </v>
      </c>
      <c r="F17317" t="str">
        <f t="shared" si="432"/>
        <v>MS</v>
      </c>
    </row>
    <row r="17318" spans="1:6" x14ac:dyDescent="0.25">
      <c r="A17318" t="str">
        <f>"200013701"</f>
        <v>200013701</v>
      </c>
      <c r="B17318" t="str">
        <f>"1376741355"</f>
        <v>1376741355</v>
      </c>
      <c r="C17318" t="str">
        <f>"207Q00000X"</f>
        <v>207Q00000X</v>
      </c>
      <c r="D17318" t="str">
        <f>"CUMMINS                  CHRISTOPHER              "</f>
        <v xml:space="preserve">CUMMINS                  CHRISTOPHER              </v>
      </c>
      <c r="E17318" t="str">
        <f>"OXFORD                    "</f>
        <v xml:space="preserve">OXFORD                    </v>
      </c>
      <c r="F17318" t="str">
        <f t="shared" si="432"/>
        <v>MS</v>
      </c>
    </row>
    <row r="17319" spans="1:6" x14ac:dyDescent="0.25">
      <c r="A17319" t="str">
        <f>"200013705"</f>
        <v>200013705</v>
      </c>
      <c r="B17319" t="str">
        <f>"1023682051"</f>
        <v>1023682051</v>
      </c>
      <c r="C17319" t="str">
        <f>"207P00000X"</f>
        <v>207P00000X</v>
      </c>
      <c r="D17319" t="str">
        <f>"CAMPBELL                 JOSHUA                   "</f>
        <v xml:space="preserve">CAMPBELL                 JOSHUA                   </v>
      </c>
      <c r="E17319" t="str">
        <f>"JACKSON                   "</f>
        <v xml:space="preserve">JACKSON                   </v>
      </c>
      <c r="F17319" t="str">
        <f t="shared" si="432"/>
        <v>MS</v>
      </c>
    </row>
    <row r="17320" spans="1:6" x14ac:dyDescent="0.25">
      <c r="A17320" t="str">
        <f>"200013706"</f>
        <v>200013706</v>
      </c>
      <c r="B17320" t="str">
        <f>"1033948237"</f>
        <v>1033948237</v>
      </c>
      <c r="C17320" t="str">
        <f>"363L00000X"</f>
        <v>363L00000X</v>
      </c>
      <c r="D17320" t="str">
        <f>"DESPER                   JANE         D           "</f>
        <v xml:space="preserve">DESPER                   JANE         D           </v>
      </c>
      <c r="E17320" t="str">
        <f>"FLOWOOD                   "</f>
        <v xml:space="preserve">FLOWOOD                   </v>
      </c>
      <c r="F17320" t="str">
        <f t="shared" si="432"/>
        <v>MS</v>
      </c>
    </row>
    <row r="17321" spans="1:6" x14ac:dyDescent="0.25">
      <c r="A17321" t="str">
        <f>"200013710"</f>
        <v>200013710</v>
      </c>
      <c r="B17321" t="str">
        <f>"1356829097"</f>
        <v>1356829097</v>
      </c>
      <c r="C17321" t="str">
        <f>"207RH0003X"</f>
        <v>207RH0003X</v>
      </c>
      <c r="D17321" t="str">
        <f>"USMAN                    RANA                     "</f>
        <v xml:space="preserve">USMAN                    RANA                     </v>
      </c>
      <c r="E17321" t="str">
        <f>"TUPELO                    "</f>
        <v xml:space="preserve">TUPELO                    </v>
      </c>
      <c r="F17321" t="str">
        <f t="shared" si="432"/>
        <v>MS</v>
      </c>
    </row>
    <row r="17322" spans="1:6" x14ac:dyDescent="0.25">
      <c r="A17322" t="str">
        <f>"200013712"</f>
        <v>200013712</v>
      </c>
      <c r="B17322" t="str">
        <f>"1588368567"</f>
        <v>1588368567</v>
      </c>
      <c r="C17322" t="str">
        <f>"207X00000X"</f>
        <v>207X00000X</v>
      </c>
      <c r="D17322" t="str">
        <f>"MCGEE                    TYLER                    "</f>
        <v xml:space="preserve">MCGEE                    TYLER                    </v>
      </c>
      <c r="E17322" t="str">
        <f>"JACKSON                   "</f>
        <v xml:space="preserve">JACKSON                   </v>
      </c>
      <c r="F17322" t="str">
        <f t="shared" si="432"/>
        <v>MS</v>
      </c>
    </row>
    <row r="17323" spans="1:6" x14ac:dyDescent="0.25">
      <c r="A17323" t="str">
        <f>"200013716"</f>
        <v>200013716</v>
      </c>
      <c r="B17323" t="str">
        <f>"1629771902"</f>
        <v>1629771902</v>
      </c>
      <c r="C17323" t="str">
        <f>"207R00000X"</f>
        <v>207R00000X</v>
      </c>
      <c r="D17323" t="str">
        <f>"MEHAFFEY                 NIALL                    "</f>
        <v xml:space="preserve">MEHAFFEY                 NIALL                    </v>
      </c>
      <c r="E17323" t="str">
        <f>"JACKSON                   "</f>
        <v xml:space="preserve">JACKSON                   </v>
      </c>
      <c r="F17323" t="str">
        <f t="shared" si="432"/>
        <v>MS</v>
      </c>
    </row>
    <row r="17324" spans="1:6" x14ac:dyDescent="0.25">
      <c r="A17324" t="str">
        <f>"200013717"</f>
        <v>200013717</v>
      </c>
      <c r="B17324" t="str">
        <f>"1578267506"</f>
        <v>1578267506</v>
      </c>
      <c r="C17324" t="str">
        <f>"208600000X"</f>
        <v>208600000X</v>
      </c>
      <c r="D17324" t="str">
        <f>"MAKAMSON                 LUCI                     "</f>
        <v xml:space="preserve">MAKAMSON                 LUCI                     </v>
      </c>
      <c r="E17324" t="str">
        <f>"JACKSON                   "</f>
        <v xml:space="preserve">JACKSON                   </v>
      </c>
      <c r="F17324" t="str">
        <f t="shared" si="432"/>
        <v>MS</v>
      </c>
    </row>
    <row r="17325" spans="1:6" x14ac:dyDescent="0.25">
      <c r="A17325" t="str">
        <f>"200013720"</f>
        <v>200013720</v>
      </c>
      <c r="B17325" t="str">
        <f>"1295507499"</f>
        <v>1295507499</v>
      </c>
      <c r="C17325" t="str">
        <f>"363L00000X"</f>
        <v>363L00000X</v>
      </c>
      <c r="D17325" t="str">
        <f>"CULOTTA                  NICKY                    "</f>
        <v xml:space="preserve">CULOTTA                  NICKY                    </v>
      </c>
      <c r="E17325" t="str">
        <f>"BAY SAINT LOUIS           "</f>
        <v xml:space="preserve">BAY SAINT LOUIS           </v>
      </c>
      <c r="F17325" t="str">
        <f t="shared" si="432"/>
        <v>MS</v>
      </c>
    </row>
    <row r="17326" spans="1:6" x14ac:dyDescent="0.25">
      <c r="A17326" t="str">
        <f>"200013723"</f>
        <v>200013723</v>
      </c>
      <c r="B17326" t="str">
        <f>"1669933669"</f>
        <v>1669933669</v>
      </c>
      <c r="C17326" t="str">
        <f>"363L00000X"</f>
        <v>363L00000X</v>
      </c>
      <c r="D17326" t="str">
        <f>"WHITMIRE                 STEPHANIE                "</f>
        <v xml:space="preserve">WHITMIRE                 STEPHANIE                </v>
      </c>
      <c r="E17326" t="str">
        <f>"COLUMBUS                  "</f>
        <v xml:space="preserve">COLUMBUS                  </v>
      </c>
      <c r="F17326" t="str">
        <f t="shared" si="432"/>
        <v>MS</v>
      </c>
    </row>
    <row r="17327" spans="1:6" x14ac:dyDescent="0.25">
      <c r="A17327" t="str">
        <f>"200013726"</f>
        <v>200013726</v>
      </c>
      <c r="B17327" t="str">
        <f>"1780321232"</f>
        <v>1780321232</v>
      </c>
      <c r="C17327" t="str">
        <f>"363LP0808X"</f>
        <v>363LP0808X</v>
      </c>
      <c r="D17327" t="str">
        <f>"TURNER                   JESSICA                  "</f>
        <v xml:space="preserve">TURNER                   JESSICA                  </v>
      </c>
      <c r="E17327" t="str">
        <f>"VICKSBURG                 "</f>
        <v xml:space="preserve">VICKSBURG                 </v>
      </c>
      <c r="F17327" t="str">
        <f t="shared" si="432"/>
        <v>MS</v>
      </c>
    </row>
    <row r="17328" spans="1:6" x14ac:dyDescent="0.25">
      <c r="A17328" t="str">
        <f>"200013727"</f>
        <v>200013727</v>
      </c>
      <c r="B17328" t="str">
        <f>"1548833320"</f>
        <v>1548833320</v>
      </c>
      <c r="C17328" t="str">
        <f>"207Q00000X"</f>
        <v>207Q00000X</v>
      </c>
      <c r="D17328" t="str">
        <f>"COPELAND                 CULLEN                   "</f>
        <v xml:space="preserve">COPELAND                 CULLEN                   </v>
      </c>
      <c r="E17328" t="str">
        <f>"INDIANOLA                 "</f>
        <v xml:space="preserve">INDIANOLA                 </v>
      </c>
      <c r="F17328" t="str">
        <f t="shared" si="432"/>
        <v>MS</v>
      </c>
    </row>
    <row r="17329" spans="1:6" x14ac:dyDescent="0.25">
      <c r="A17329" t="str">
        <f>"200013732"</f>
        <v>200013732</v>
      </c>
      <c r="B17329" t="str">
        <f>"1700580487"</f>
        <v>1700580487</v>
      </c>
      <c r="C17329" t="str">
        <f>"207R00000X"</f>
        <v>207R00000X</v>
      </c>
      <c r="D17329" t="str">
        <f>"MOODY                    CHRISTOPHER              "</f>
        <v xml:space="preserve">MOODY                    CHRISTOPHER              </v>
      </c>
      <c r="E17329" t="str">
        <f>"JACKSON                   "</f>
        <v xml:space="preserve">JACKSON                   </v>
      </c>
      <c r="F17329" t="str">
        <f t="shared" si="432"/>
        <v>MS</v>
      </c>
    </row>
    <row r="17330" spans="1:6" x14ac:dyDescent="0.25">
      <c r="A17330" t="str">
        <f>"200013735"</f>
        <v>200013735</v>
      </c>
      <c r="B17330" t="str">
        <f>"1235832536"</f>
        <v>1235832536</v>
      </c>
      <c r="C17330" t="str">
        <f>"208600000X"</f>
        <v>208600000X</v>
      </c>
      <c r="D17330" t="str">
        <f>"MILLER                   MACKENZIE                "</f>
        <v xml:space="preserve">MILLER                   MACKENZIE                </v>
      </c>
      <c r="E17330" t="str">
        <f>"JACKSON                   "</f>
        <v xml:space="preserve">JACKSON                   </v>
      </c>
      <c r="F17330" t="str">
        <f t="shared" si="432"/>
        <v>MS</v>
      </c>
    </row>
    <row r="17331" spans="1:6" x14ac:dyDescent="0.25">
      <c r="A17331" t="str">
        <f>"200013739"</f>
        <v>200013739</v>
      </c>
      <c r="B17331" t="str">
        <f>"1659955482"</f>
        <v>1659955482</v>
      </c>
      <c r="C17331" t="str">
        <f>"207Q00000X"</f>
        <v>207Q00000X</v>
      </c>
      <c r="D17331" t="str">
        <f>"PERKINS                  HOPE         E           "</f>
        <v xml:space="preserve">PERKINS                  HOPE         E           </v>
      </c>
      <c r="E17331" t="str">
        <f>"ELLISVILLE                "</f>
        <v xml:space="preserve">ELLISVILLE                </v>
      </c>
      <c r="F17331" t="str">
        <f t="shared" si="432"/>
        <v>MS</v>
      </c>
    </row>
    <row r="17332" spans="1:6" x14ac:dyDescent="0.25">
      <c r="A17332" t="str">
        <f>"200013744"</f>
        <v>200013744</v>
      </c>
      <c r="B17332" t="str">
        <f>"1285802892"</f>
        <v>1285802892</v>
      </c>
      <c r="C17332" t="str">
        <f>"207RC0200X"</f>
        <v>207RC0200X</v>
      </c>
      <c r="D17332" t="str">
        <f>"TARIGOPULA               RAVALI                   "</f>
        <v xml:space="preserve">TARIGOPULA               RAVALI                   </v>
      </c>
      <c r="E17332" t="str">
        <f>"BILOXI                    "</f>
        <v xml:space="preserve">BILOXI                    </v>
      </c>
      <c r="F17332" t="str">
        <f t="shared" si="432"/>
        <v>MS</v>
      </c>
    </row>
    <row r="17333" spans="1:6" x14ac:dyDescent="0.25">
      <c r="A17333" t="str">
        <f>"200013745"</f>
        <v>200013745</v>
      </c>
      <c r="B17333" t="str">
        <f>"1386242097"</f>
        <v>1386242097</v>
      </c>
      <c r="C17333" t="str">
        <f>"261QM1300X"</f>
        <v>261QM1300X</v>
      </c>
      <c r="D17333" t="str">
        <f>"TRADITIONS HOSPICE OF RIDGELAND, LLC              "</f>
        <v xml:space="preserve">TRADITIONS HOSPICE OF RIDGELAND, LLC              </v>
      </c>
      <c r="E17333" t="str">
        <f>"RIDGELAND                 "</f>
        <v xml:space="preserve">RIDGELAND                 </v>
      </c>
      <c r="F17333" t="str">
        <f t="shared" si="432"/>
        <v>MS</v>
      </c>
    </row>
    <row r="17334" spans="1:6" x14ac:dyDescent="0.25">
      <c r="A17334" t="str">
        <f>"200013747"</f>
        <v>200013747</v>
      </c>
      <c r="B17334" t="str">
        <f>"1609815919"</f>
        <v>1609815919</v>
      </c>
      <c r="C17334" t="str">
        <f>"207P00000X"</f>
        <v>207P00000X</v>
      </c>
      <c r="D17334" t="str">
        <f>"GUILLERMO                ENRIQUE                  "</f>
        <v xml:space="preserve">GUILLERMO                ENRIQUE                  </v>
      </c>
      <c r="E17334" t="str">
        <f>"SOUTHAVEN                 "</f>
        <v xml:space="preserve">SOUTHAVEN                 </v>
      </c>
      <c r="F17334" t="str">
        <f t="shared" si="432"/>
        <v>MS</v>
      </c>
    </row>
    <row r="17335" spans="1:6" x14ac:dyDescent="0.25">
      <c r="A17335" t="str">
        <f>"200013750"</f>
        <v>200013750</v>
      </c>
      <c r="B17335" t="str">
        <f>"1679693105"</f>
        <v>1679693105</v>
      </c>
      <c r="C17335" t="str">
        <f>"207R00000X"</f>
        <v>207R00000X</v>
      </c>
      <c r="D17335" t="str">
        <f>"NGUYEN                   VINH-TRUYEN              "</f>
        <v xml:space="preserve">NGUYEN                   VINH-TRUYEN              </v>
      </c>
      <c r="E17335" t="str">
        <f>"NATCHEZ                   "</f>
        <v xml:space="preserve">NATCHEZ                   </v>
      </c>
      <c r="F17335" t="str">
        <f t="shared" si="432"/>
        <v>MS</v>
      </c>
    </row>
    <row r="17336" spans="1:6" x14ac:dyDescent="0.25">
      <c r="A17336" t="str">
        <f>"200013754"</f>
        <v>200013754</v>
      </c>
      <c r="B17336" t="str">
        <f>"1508429176"</f>
        <v>1508429176</v>
      </c>
      <c r="C17336" t="str">
        <f>"207V00000X"</f>
        <v>207V00000X</v>
      </c>
      <c r="D17336" t="str">
        <f>"LIDDELL                  SHELBY       C           "</f>
        <v xml:space="preserve">LIDDELL                  SHELBY       C           </v>
      </c>
      <c r="E17336" t="str">
        <f>"OXFORD                    "</f>
        <v xml:space="preserve">OXFORD                    </v>
      </c>
      <c r="F17336" t="str">
        <f t="shared" si="432"/>
        <v>MS</v>
      </c>
    </row>
    <row r="17337" spans="1:6" x14ac:dyDescent="0.25">
      <c r="A17337" t="str">
        <f>"200013755"</f>
        <v>200013755</v>
      </c>
      <c r="B17337" t="str">
        <f>"1932100799"</f>
        <v>1932100799</v>
      </c>
      <c r="C17337" t="str">
        <f>"207WX0107X"</f>
        <v>207WX0107X</v>
      </c>
      <c r="D17337" t="str">
        <f>"ROSS                     ROBERT       D           "</f>
        <v xml:space="preserve">ROSS                     ROBERT       D           </v>
      </c>
      <c r="E17337" t="str">
        <f>"GULFPORT                  "</f>
        <v xml:space="preserve">GULFPORT                  </v>
      </c>
      <c r="F17337" t="str">
        <f t="shared" si="432"/>
        <v>MS</v>
      </c>
    </row>
    <row r="17338" spans="1:6" x14ac:dyDescent="0.25">
      <c r="A17338" t="str">
        <f>"200013756"</f>
        <v>200013756</v>
      </c>
      <c r="B17338" t="str">
        <f>"1144735382"</f>
        <v>1144735382</v>
      </c>
      <c r="C17338" t="str">
        <f>"363LF0000X"</f>
        <v>363LF0000X</v>
      </c>
      <c r="D17338" t="str">
        <f>"BYRD                     CARMEN       N           "</f>
        <v xml:space="preserve">BYRD                     CARMEN       N           </v>
      </c>
      <c r="E17338" t="str">
        <f>"STARKVILLE                "</f>
        <v xml:space="preserve">STARKVILLE                </v>
      </c>
      <c r="F17338" t="str">
        <f t="shared" si="432"/>
        <v>MS</v>
      </c>
    </row>
    <row r="17339" spans="1:6" x14ac:dyDescent="0.25">
      <c r="A17339" t="str">
        <f>"200013759"</f>
        <v>200013759</v>
      </c>
      <c r="B17339" t="str">
        <f>"1073254298"</f>
        <v>1073254298</v>
      </c>
      <c r="C17339" t="str">
        <f>"207P00000X"</f>
        <v>207P00000X</v>
      </c>
      <c r="D17339" t="str">
        <f>"FINN                     MORGAN                   "</f>
        <v xml:space="preserve">FINN                     MORGAN                   </v>
      </c>
      <c r="E17339" t="str">
        <f>"CARTHAGE                  "</f>
        <v xml:space="preserve">CARTHAGE                  </v>
      </c>
      <c r="F17339" t="str">
        <f t="shared" si="432"/>
        <v>MS</v>
      </c>
    </row>
    <row r="17340" spans="1:6" x14ac:dyDescent="0.25">
      <c r="A17340" t="str">
        <f>"200013768"</f>
        <v>200013768</v>
      </c>
      <c r="B17340" t="str">
        <f>"1023630720"</f>
        <v>1023630720</v>
      </c>
      <c r="C17340" t="str">
        <f>"152W00000X"</f>
        <v>152W00000X</v>
      </c>
      <c r="D17340" t="str">
        <f>"NGUYEN                   KRISTY                   "</f>
        <v xml:space="preserve">NGUYEN                   KRISTY                   </v>
      </c>
      <c r="E17340" t="str">
        <f>"OCEAN SPRINGS             "</f>
        <v xml:space="preserve">OCEAN SPRINGS             </v>
      </c>
      <c r="F17340" t="str">
        <f t="shared" si="432"/>
        <v>MS</v>
      </c>
    </row>
    <row r="17341" spans="1:6" x14ac:dyDescent="0.25">
      <c r="A17341" t="str">
        <f>"200013770"</f>
        <v>200013770</v>
      </c>
      <c r="B17341" t="str">
        <f>"1275903684"</f>
        <v>1275903684</v>
      </c>
      <c r="C17341" t="str">
        <f>"363LG0600X"</f>
        <v>363LG0600X</v>
      </c>
      <c r="D17341" t="str">
        <f>"GATES                    BRIAN                    "</f>
        <v xml:space="preserve">GATES                    BRIAN                    </v>
      </c>
      <c r="E17341" t="str">
        <f>"FLOWOOD                   "</f>
        <v xml:space="preserve">FLOWOOD                   </v>
      </c>
      <c r="F17341" t="str">
        <f t="shared" si="432"/>
        <v>MS</v>
      </c>
    </row>
    <row r="17342" spans="1:6" x14ac:dyDescent="0.25">
      <c r="A17342" t="str">
        <f>"200013771"</f>
        <v>200013771</v>
      </c>
      <c r="B17342" t="str">
        <f>"1629063003"</f>
        <v>1629063003</v>
      </c>
      <c r="C17342" t="str">
        <f>"207Q00000X"</f>
        <v>207Q00000X</v>
      </c>
      <c r="D17342" t="str">
        <f>"BEEBE                    CHRISTIAN    A           "</f>
        <v xml:space="preserve">BEEBE                    CHRISTIAN    A           </v>
      </c>
      <c r="E17342" t="str">
        <f>"CHOCTAW                   "</f>
        <v xml:space="preserve">CHOCTAW                   </v>
      </c>
      <c r="F17342" t="str">
        <f t="shared" ref="F17342:F17405" si="434">"MS"</f>
        <v>MS</v>
      </c>
    </row>
    <row r="17343" spans="1:6" x14ac:dyDescent="0.25">
      <c r="A17343" t="str">
        <f>"200013776"</f>
        <v>200013776</v>
      </c>
      <c r="B17343" t="str">
        <f>"1164153979"</f>
        <v>1164153979</v>
      </c>
      <c r="C17343" t="str">
        <f>"363L00000X"</f>
        <v>363L00000X</v>
      </c>
      <c r="D17343" t="str">
        <f>"CHANDLER                 TINA                     "</f>
        <v xml:space="preserve">CHANDLER                 TINA                     </v>
      </c>
      <c r="E17343" t="str">
        <f>"MADISON                   "</f>
        <v xml:space="preserve">MADISON                   </v>
      </c>
      <c r="F17343" t="str">
        <f t="shared" si="434"/>
        <v>MS</v>
      </c>
    </row>
    <row r="17344" spans="1:6" x14ac:dyDescent="0.25">
      <c r="A17344" t="str">
        <f>"200013779"</f>
        <v>200013779</v>
      </c>
      <c r="B17344" t="str">
        <f>"1700174323"</f>
        <v>1700174323</v>
      </c>
      <c r="C17344" t="str">
        <f>"122300000X"</f>
        <v>122300000X</v>
      </c>
      <c r="D17344" t="str">
        <f>"ADAMS                    JOSEPH       C           "</f>
        <v xml:space="preserve">ADAMS                    JOSEPH       C           </v>
      </c>
      <c r="E17344" t="str">
        <f>"SOUTHAVEN                 "</f>
        <v xml:space="preserve">SOUTHAVEN                 </v>
      </c>
      <c r="F17344" t="str">
        <f t="shared" si="434"/>
        <v>MS</v>
      </c>
    </row>
    <row r="17345" spans="1:6" x14ac:dyDescent="0.25">
      <c r="A17345" t="str">
        <f>"200013781"</f>
        <v>200013781</v>
      </c>
      <c r="B17345" t="str">
        <f>"1215545967"</f>
        <v>1215545967</v>
      </c>
      <c r="C17345" t="str">
        <f>"363LF0000X"</f>
        <v>363LF0000X</v>
      </c>
      <c r="D17345" t="str">
        <f>"SPANN                    ASHLEY       L           "</f>
        <v xml:space="preserve">SPANN                    ASHLEY       L           </v>
      </c>
      <c r="E17345" t="str">
        <f>"AMORY                     "</f>
        <v xml:space="preserve">AMORY                     </v>
      </c>
      <c r="F17345" t="str">
        <f t="shared" si="434"/>
        <v>MS</v>
      </c>
    </row>
    <row r="17346" spans="1:6" x14ac:dyDescent="0.25">
      <c r="A17346" t="str">
        <f>"200013786"</f>
        <v>200013786</v>
      </c>
      <c r="B17346" t="str">
        <f>"1205359478"</f>
        <v>1205359478</v>
      </c>
      <c r="C17346" t="str">
        <f>"207RP1001X"</f>
        <v>207RP1001X</v>
      </c>
      <c r="D17346" t="str">
        <f>"GYAWALI                  BISHAL                   "</f>
        <v xml:space="preserve">GYAWALI                  BISHAL                   </v>
      </c>
      <c r="E17346" t="str">
        <f>"OCEAN SPRINGS             "</f>
        <v xml:space="preserve">OCEAN SPRINGS             </v>
      </c>
      <c r="F17346" t="str">
        <f t="shared" si="434"/>
        <v>MS</v>
      </c>
    </row>
    <row r="17347" spans="1:6" x14ac:dyDescent="0.25">
      <c r="A17347" t="str">
        <f>"200013796"</f>
        <v>200013796</v>
      </c>
      <c r="B17347" t="str">
        <f>"1881362242"</f>
        <v>1881362242</v>
      </c>
      <c r="C17347" t="str">
        <f>"367500000X"</f>
        <v>367500000X</v>
      </c>
      <c r="D17347" t="str">
        <f>"JORDAN                   LESLIE       A           "</f>
        <v xml:space="preserve">JORDAN                   LESLIE       A           </v>
      </c>
      <c r="E17347" t="str">
        <f>"JACKSON                   "</f>
        <v xml:space="preserve">JACKSON                   </v>
      </c>
      <c r="F17347" t="str">
        <f t="shared" si="434"/>
        <v>MS</v>
      </c>
    </row>
    <row r="17348" spans="1:6" x14ac:dyDescent="0.25">
      <c r="A17348" t="str">
        <f>"200013797"</f>
        <v>200013797</v>
      </c>
      <c r="B17348" t="str">
        <f>"1679079909"</f>
        <v>1679079909</v>
      </c>
      <c r="C17348" t="str">
        <f>"207P00000X"</f>
        <v>207P00000X</v>
      </c>
      <c r="D17348" t="str">
        <f>"LITTLE                   COLE         P           "</f>
        <v xml:space="preserve">LITTLE                   COLE         P           </v>
      </c>
      <c r="E17348" t="str">
        <f>"OCEAN SPRINGS             "</f>
        <v xml:space="preserve">OCEAN SPRINGS             </v>
      </c>
      <c r="F17348" t="str">
        <f t="shared" si="434"/>
        <v>MS</v>
      </c>
    </row>
    <row r="17349" spans="1:6" x14ac:dyDescent="0.25">
      <c r="A17349" t="str">
        <f>"200013801"</f>
        <v>200013801</v>
      </c>
      <c r="B17349" t="str">
        <f>"1639873912"</f>
        <v>1639873912</v>
      </c>
      <c r="C17349" t="str">
        <f>"207P00000X"</f>
        <v>207P00000X</v>
      </c>
      <c r="D17349" t="str">
        <f>"MCKENZIE                 THOMAS                   "</f>
        <v xml:space="preserve">MCKENZIE                 THOMAS                   </v>
      </c>
      <c r="E17349" t="str">
        <f>"JACKSON                   "</f>
        <v xml:space="preserve">JACKSON                   </v>
      </c>
      <c r="F17349" t="str">
        <f t="shared" si="434"/>
        <v>MS</v>
      </c>
    </row>
    <row r="17350" spans="1:6" x14ac:dyDescent="0.25">
      <c r="A17350" t="str">
        <f>"200013802"</f>
        <v>200013802</v>
      </c>
      <c r="B17350" t="str">
        <f>"1679730329"</f>
        <v>1679730329</v>
      </c>
      <c r="C17350" t="str">
        <f>"207RI0011X"</f>
        <v>207RI0011X</v>
      </c>
      <c r="D17350" t="str">
        <f>"FAKOREDE                 FOLUSO                   "</f>
        <v xml:space="preserve">FAKOREDE                 FOLUSO                   </v>
      </c>
      <c r="E17350" t="str">
        <f>"CLEVELAND                 "</f>
        <v xml:space="preserve">CLEVELAND                 </v>
      </c>
      <c r="F17350" t="str">
        <f t="shared" si="434"/>
        <v>MS</v>
      </c>
    </row>
    <row r="17351" spans="1:6" x14ac:dyDescent="0.25">
      <c r="A17351" t="str">
        <f>"200013807"</f>
        <v>200013807</v>
      </c>
      <c r="B17351" t="str">
        <f>"1154909109"</f>
        <v>1154909109</v>
      </c>
      <c r="C17351" t="str">
        <f>"207R00000X"</f>
        <v>207R00000X</v>
      </c>
      <c r="D17351" t="str">
        <f>"BICAK                    ADAM                     "</f>
        <v xml:space="preserve">BICAK                    ADAM                     </v>
      </c>
      <c r="E17351" t="str">
        <f>"JACKSON                   "</f>
        <v xml:space="preserve">JACKSON                   </v>
      </c>
      <c r="F17351" t="str">
        <f t="shared" si="434"/>
        <v>MS</v>
      </c>
    </row>
    <row r="17352" spans="1:6" x14ac:dyDescent="0.25">
      <c r="A17352" t="str">
        <f>"200013810"</f>
        <v>200013810</v>
      </c>
      <c r="B17352" t="str">
        <f>"1114069465"</f>
        <v>1114069465</v>
      </c>
      <c r="C17352" t="str">
        <f>"122300000X"</f>
        <v>122300000X</v>
      </c>
      <c r="D17352" t="str">
        <f>"MCINTEER                 BRADEN                   "</f>
        <v xml:space="preserve">MCINTEER                 BRADEN                   </v>
      </c>
      <c r="E17352" t="str">
        <f>"JACKSON                   "</f>
        <v xml:space="preserve">JACKSON                   </v>
      </c>
      <c r="F17352" t="str">
        <f t="shared" si="434"/>
        <v>MS</v>
      </c>
    </row>
    <row r="17353" spans="1:6" x14ac:dyDescent="0.25">
      <c r="A17353" t="str">
        <f>"200013811"</f>
        <v>200013811</v>
      </c>
      <c r="B17353" t="str">
        <f>"1114069465"</f>
        <v>1114069465</v>
      </c>
      <c r="C17353" t="str">
        <f>"1223G0001X"</f>
        <v>1223G0001X</v>
      </c>
      <c r="D17353" t="str">
        <f>"MCINTEER                 BRADEN                   "</f>
        <v xml:space="preserve">MCINTEER                 BRADEN                   </v>
      </c>
      <c r="E17353" t="str">
        <f>"JACKSON                   "</f>
        <v xml:space="preserve">JACKSON                   </v>
      </c>
      <c r="F17353" t="str">
        <f t="shared" si="434"/>
        <v>MS</v>
      </c>
    </row>
    <row r="17354" spans="1:6" x14ac:dyDescent="0.25">
      <c r="A17354" t="str">
        <f>"200013814"</f>
        <v>200013814</v>
      </c>
      <c r="B17354" t="str">
        <f>"1023847506"</f>
        <v>1023847506</v>
      </c>
      <c r="C17354" t="str">
        <f>"363LF0000X"</f>
        <v>363LF0000X</v>
      </c>
      <c r="D17354" t="str">
        <f>"MALONE                   BILL                     "</f>
        <v xml:space="preserve">MALONE                   BILL                     </v>
      </c>
      <c r="E17354" t="str">
        <f>"TUPELO                    "</f>
        <v xml:space="preserve">TUPELO                    </v>
      </c>
      <c r="F17354" t="str">
        <f t="shared" si="434"/>
        <v>MS</v>
      </c>
    </row>
    <row r="17355" spans="1:6" x14ac:dyDescent="0.25">
      <c r="A17355" t="str">
        <f>"200013820"</f>
        <v>200013820</v>
      </c>
      <c r="B17355" t="str">
        <f>"1528805785"</f>
        <v>1528805785</v>
      </c>
      <c r="C17355" t="str">
        <f>"363LF0000X"</f>
        <v>363LF0000X</v>
      </c>
      <c r="D17355" t="str">
        <f>"MAGEE                    RACHEL                   "</f>
        <v xml:space="preserve">MAGEE                    RACHEL                   </v>
      </c>
      <c r="E17355" t="str">
        <f>"GULFPORT                  "</f>
        <v xml:space="preserve">GULFPORT                  </v>
      </c>
      <c r="F17355" t="str">
        <f t="shared" si="434"/>
        <v>MS</v>
      </c>
    </row>
    <row r="17356" spans="1:6" x14ac:dyDescent="0.25">
      <c r="A17356" t="str">
        <f>"200013828"</f>
        <v>200013828</v>
      </c>
      <c r="B17356" t="str">
        <f>"1013674324"</f>
        <v>1013674324</v>
      </c>
      <c r="C17356" t="str">
        <f>"363A00000X"</f>
        <v>363A00000X</v>
      </c>
      <c r="D17356" t="str">
        <f>"BEASLEY                  REBEKAH                  "</f>
        <v xml:space="preserve">BEASLEY                  REBEKAH                  </v>
      </c>
      <c r="E17356" t="str">
        <f>"TUPELO                    "</f>
        <v xml:space="preserve">TUPELO                    </v>
      </c>
      <c r="F17356" t="str">
        <f t="shared" si="434"/>
        <v>MS</v>
      </c>
    </row>
    <row r="17357" spans="1:6" x14ac:dyDescent="0.25">
      <c r="A17357" t="str">
        <f>"200013829"</f>
        <v>200013829</v>
      </c>
      <c r="B17357" t="str">
        <f>"1982282018"</f>
        <v>1982282018</v>
      </c>
      <c r="C17357" t="str">
        <f>"207P00000X"</f>
        <v>207P00000X</v>
      </c>
      <c r="D17357" t="str">
        <f>"MILLER                   JOSELYN                  "</f>
        <v xml:space="preserve">MILLER                   JOSELYN                  </v>
      </c>
      <c r="E17357" t="str">
        <f>"JACKSON                   "</f>
        <v xml:space="preserve">JACKSON                   </v>
      </c>
      <c r="F17357" t="str">
        <f t="shared" si="434"/>
        <v>MS</v>
      </c>
    </row>
    <row r="17358" spans="1:6" x14ac:dyDescent="0.25">
      <c r="A17358" t="str">
        <f>"200013831"</f>
        <v>200013831</v>
      </c>
      <c r="B17358" t="str">
        <f>"1811150402"</f>
        <v>1811150402</v>
      </c>
      <c r="C17358" t="str">
        <f>"363LF0000X"</f>
        <v>363LF0000X</v>
      </c>
      <c r="D17358" t="str">
        <f>"THOMPSON                 STEPHANIE                "</f>
        <v xml:space="preserve">THOMPSON                 STEPHANIE                </v>
      </c>
      <c r="E17358" t="str">
        <f>"HICKORY FLAT              "</f>
        <v xml:space="preserve">HICKORY FLAT              </v>
      </c>
      <c r="F17358" t="str">
        <f t="shared" si="434"/>
        <v>MS</v>
      </c>
    </row>
    <row r="17359" spans="1:6" x14ac:dyDescent="0.25">
      <c r="A17359" t="str">
        <f>"200013832"</f>
        <v>200013832</v>
      </c>
      <c r="B17359" t="str">
        <f>"1780115501"</f>
        <v>1780115501</v>
      </c>
      <c r="C17359" t="str">
        <f>"208600000X"</f>
        <v>208600000X</v>
      </c>
      <c r="D17359" t="str">
        <f>"HILL III                 CHARLES      E           "</f>
        <v xml:space="preserve">HILL III                 CHARLES      E           </v>
      </c>
      <c r="E17359" t="str">
        <f>"OXFORD                    "</f>
        <v xml:space="preserve">OXFORD                    </v>
      </c>
      <c r="F17359" t="str">
        <f t="shared" si="434"/>
        <v>MS</v>
      </c>
    </row>
    <row r="17360" spans="1:6" x14ac:dyDescent="0.25">
      <c r="A17360" t="str">
        <f>"200013833"</f>
        <v>200013833</v>
      </c>
      <c r="B17360" t="str">
        <f>"1427208941"</f>
        <v>1427208941</v>
      </c>
      <c r="C17360" t="str">
        <f>"152W00000X"</f>
        <v>152W00000X</v>
      </c>
      <c r="D17360" t="str">
        <f>"CALLAHAN                 BRIAN                    "</f>
        <v xml:space="preserve">CALLAHAN                 BRIAN                    </v>
      </c>
      <c r="E17360" t="str">
        <f>"PEARL                     "</f>
        <v xml:space="preserve">PEARL                     </v>
      </c>
      <c r="F17360" t="str">
        <f t="shared" si="434"/>
        <v>MS</v>
      </c>
    </row>
    <row r="17361" spans="1:6" x14ac:dyDescent="0.25">
      <c r="A17361" t="str">
        <f>"200013835"</f>
        <v>200013835</v>
      </c>
      <c r="B17361" t="str">
        <f>"1942051552"</f>
        <v>1942051552</v>
      </c>
      <c r="C17361" t="str">
        <f>"2084P0800X"</f>
        <v>2084P0800X</v>
      </c>
      <c r="D17361" t="str">
        <f>"PAUL-HUS                 RACHAEL                  "</f>
        <v xml:space="preserve">PAUL-HUS                 RACHAEL                  </v>
      </c>
      <c r="E17361" t="str">
        <f>"JACKSON                   "</f>
        <v xml:space="preserve">JACKSON                   </v>
      </c>
      <c r="F17361" t="str">
        <f t="shared" si="434"/>
        <v>MS</v>
      </c>
    </row>
    <row r="17362" spans="1:6" x14ac:dyDescent="0.25">
      <c r="A17362" t="str">
        <f>"200013836"</f>
        <v>200013836</v>
      </c>
      <c r="B17362" t="str">
        <f>"1861170326"</f>
        <v>1861170326</v>
      </c>
      <c r="C17362" t="str">
        <f>"2084P0800X"</f>
        <v>2084P0800X</v>
      </c>
      <c r="D17362" t="str">
        <f>"WILSON                   GERRI        A           "</f>
        <v xml:space="preserve">WILSON                   GERRI        A           </v>
      </c>
      <c r="E17362" t="str">
        <f>"WHITFIELD                 "</f>
        <v xml:space="preserve">WHITFIELD                 </v>
      </c>
      <c r="F17362" t="str">
        <f t="shared" si="434"/>
        <v>MS</v>
      </c>
    </row>
    <row r="17363" spans="1:6" x14ac:dyDescent="0.25">
      <c r="A17363" t="str">
        <f>"200013838"</f>
        <v>200013838</v>
      </c>
      <c r="B17363" t="str">
        <f>"1629822721"</f>
        <v>1629822721</v>
      </c>
      <c r="C17363" t="str">
        <f>"2085R0202X"</f>
        <v>2085R0202X</v>
      </c>
      <c r="D17363" t="str">
        <f>"WILSON                   ZACHARY                  "</f>
        <v xml:space="preserve">WILSON                   ZACHARY                  </v>
      </c>
      <c r="E17363" t="str">
        <f>"JACKSON                   "</f>
        <v xml:space="preserve">JACKSON                   </v>
      </c>
      <c r="F17363" t="str">
        <f t="shared" si="434"/>
        <v>MS</v>
      </c>
    </row>
    <row r="17364" spans="1:6" x14ac:dyDescent="0.25">
      <c r="A17364" t="str">
        <f>"200013840"</f>
        <v>200013840</v>
      </c>
      <c r="B17364" t="str">
        <f>"1306541420"</f>
        <v>1306541420</v>
      </c>
      <c r="C17364" t="str">
        <f>"207R00000X"</f>
        <v>207R00000X</v>
      </c>
      <c r="D17364" t="str">
        <f>"MINOR                    MALLORY                  "</f>
        <v xml:space="preserve">MINOR                    MALLORY                  </v>
      </c>
      <c r="E17364" t="str">
        <f>"JACKSON                   "</f>
        <v xml:space="preserve">JACKSON                   </v>
      </c>
      <c r="F17364" t="str">
        <f t="shared" si="434"/>
        <v>MS</v>
      </c>
    </row>
    <row r="17365" spans="1:6" x14ac:dyDescent="0.25">
      <c r="A17365" t="str">
        <f>"200013842"</f>
        <v>200013842</v>
      </c>
      <c r="B17365" t="str">
        <f>"1265060685"</f>
        <v>1265060685</v>
      </c>
      <c r="C17365" t="str">
        <f>"2085R0202X"</f>
        <v>2085R0202X</v>
      </c>
      <c r="D17365" t="str">
        <f>"METILDI                  MARISA                   "</f>
        <v xml:space="preserve">METILDI                  MARISA                   </v>
      </c>
      <c r="E17365" t="str">
        <f>"JACKSON                   "</f>
        <v xml:space="preserve">JACKSON                   </v>
      </c>
      <c r="F17365" t="str">
        <f t="shared" si="434"/>
        <v>MS</v>
      </c>
    </row>
    <row r="17366" spans="1:6" x14ac:dyDescent="0.25">
      <c r="A17366" t="str">
        <f>"200013844"</f>
        <v>200013844</v>
      </c>
      <c r="B17366" t="str">
        <f>"1689378481"</f>
        <v>1689378481</v>
      </c>
      <c r="C17366" t="str">
        <f>"207X00000X"</f>
        <v>207X00000X</v>
      </c>
      <c r="D17366" t="str">
        <f>"LILES                    STEELE                   "</f>
        <v xml:space="preserve">LILES                    STEELE                   </v>
      </c>
      <c r="E17366" t="str">
        <f>"JACKSON                   "</f>
        <v xml:space="preserve">JACKSON                   </v>
      </c>
      <c r="F17366" t="str">
        <f t="shared" si="434"/>
        <v>MS</v>
      </c>
    </row>
    <row r="17367" spans="1:6" x14ac:dyDescent="0.25">
      <c r="A17367" t="str">
        <f>"200013845"</f>
        <v>200013845</v>
      </c>
      <c r="B17367" t="str">
        <f>"1144283250"</f>
        <v>1144283250</v>
      </c>
      <c r="C17367" t="str">
        <f>"207R00000X"</f>
        <v>207R00000X</v>
      </c>
      <c r="D17367" t="str">
        <f>"BUCCOLA                  JANET                    "</f>
        <v xml:space="preserve">BUCCOLA                  JANET                    </v>
      </c>
      <c r="E17367" t="str">
        <f>"CORINTH                   "</f>
        <v xml:space="preserve">CORINTH                   </v>
      </c>
      <c r="F17367" t="str">
        <f t="shared" si="434"/>
        <v>MS</v>
      </c>
    </row>
    <row r="17368" spans="1:6" x14ac:dyDescent="0.25">
      <c r="A17368" t="str">
        <f>"200013846"</f>
        <v>200013846</v>
      </c>
      <c r="B17368" t="str">
        <f>"1477845261"</f>
        <v>1477845261</v>
      </c>
      <c r="C17368" t="str">
        <f>"2084P0804X"</f>
        <v>2084P0804X</v>
      </c>
      <c r="D17368" t="str">
        <f>"LEVITRE                  RICHARD                  "</f>
        <v xml:space="preserve">LEVITRE                  RICHARD                  </v>
      </c>
      <c r="E17368" t="str">
        <f>"COLUMBUS                  "</f>
        <v xml:space="preserve">COLUMBUS                  </v>
      </c>
      <c r="F17368" t="str">
        <f t="shared" si="434"/>
        <v>MS</v>
      </c>
    </row>
    <row r="17369" spans="1:6" x14ac:dyDescent="0.25">
      <c r="A17369" t="str">
        <f>"200013850"</f>
        <v>200013850</v>
      </c>
      <c r="B17369" t="str">
        <f>"1831931310"</f>
        <v>1831931310</v>
      </c>
      <c r="C17369" t="str">
        <f>"363LF0000X"</f>
        <v>363LF0000X</v>
      </c>
      <c r="D17369" t="str">
        <f>"HODGES                   MEGAN                    "</f>
        <v xml:space="preserve">HODGES                   MEGAN                    </v>
      </c>
      <c r="E17369" t="str">
        <f>"GREENVILLE                "</f>
        <v xml:space="preserve">GREENVILLE                </v>
      </c>
      <c r="F17369" t="str">
        <f t="shared" si="434"/>
        <v>MS</v>
      </c>
    </row>
    <row r="17370" spans="1:6" x14ac:dyDescent="0.25">
      <c r="A17370" t="str">
        <f>"200013852"</f>
        <v>200013852</v>
      </c>
      <c r="B17370" t="str">
        <f>"1265122543"</f>
        <v>1265122543</v>
      </c>
      <c r="C17370" t="str">
        <f>"2084A2900X"</f>
        <v>2084A2900X</v>
      </c>
      <c r="D17370" t="str">
        <f>"AYAZ                     MUHAMMAD                 "</f>
        <v xml:space="preserve">AYAZ                     MUHAMMAD                 </v>
      </c>
      <c r="E17370" t="str">
        <f>"JACKSON                   "</f>
        <v xml:space="preserve">JACKSON                   </v>
      </c>
      <c r="F17370" t="str">
        <f t="shared" si="434"/>
        <v>MS</v>
      </c>
    </row>
    <row r="17371" spans="1:6" x14ac:dyDescent="0.25">
      <c r="A17371" t="str">
        <f>"200013854"</f>
        <v>200013854</v>
      </c>
      <c r="B17371" t="str">
        <f>"1740030105"</f>
        <v>1740030105</v>
      </c>
      <c r="C17371" t="str">
        <f>"2086S0122X"</f>
        <v>2086S0122X</v>
      </c>
      <c r="D17371" t="str">
        <f>"GROGAN                   GRAHAM                   "</f>
        <v xml:space="preserve">GROGAN                   GRAHAM                   </v>
      </c>
      <c r="E17371" t="str">
        <f>"JACKSON                   "</f>
        <v xml:space="preserve">JACKSON                   </v>
      </c>
      <c r="F17371" t="str">
        <f t="shared" si="434"/>
        <v>MS</v>
      </c>
    </row>
    <row r="17372" spans="1:6" x14ac:dyDescent="0.25">
      <c r="A17372" t="str">
        <f>"200013856"</f>
        <v>200013856</v>
      </c>
      <c r="B17372" t="str">
        <f>"1417343559"</f>
        <v>1417343559</v>
      </c>
      <c r="C17372" t="str">
        <f>"207L00000X"</f>
        <v>207L00000X</v>
      </c>
      <c r="D17372" t="str">
        <f>"MARCELO                  DENNIS                   "</f>
        <v xml:space="preserve">MARCELO                  DENNIS                   </v>
      </c>
      <c r="E17372" t="str">
        <f>"HATTIESBURG               "</f>
        <v xml:space="preserve">HATTIESBURG               </v>
      </c>
      <c r="F17372" t="str">
        <f t="shared" si="434"/>
        <v>MS</v>
      </c>
    </row>
    <row r="17373" spans="1:6" x14ac:dyDescent="0.25">
      <c r="A17373" t="str">
        <f>"200013857"</f>
        <v>200013857</v>
      </c>
      <c r="B17373" t="str">
        <f>"1417343559"</f>
        <v>1417343559</v>
      </c>
      <c r="C17373" t="str">
        <f>"207LP2900X"</f>
        <v>207LP2900X</v>
      </c>
      <c r="D17373" t="str">
        <f>"MARCELO                  DENNIS                   "</f>
        <v xml:space="preserve">MARCELO                  DENNIS                   </v>
      </c>
      <c r="E17373" t="str">
        <f>"HATTIESBURG               "</f>
        <v xml:space="preserve">HATTIESBURG               </v>
      </c>
      <c r="F17373" t="str">
        <f t="shared" si="434"/>
        <v>MS</v>
      </c>
    </row>
    <row r="17374" spans="1:6" x14ac:dyDescent="0.25">
      <c r="A17374" t="str">
        <f>"200013862"</f>
        <v>200013862</v>
      </c>
      <c r="B17374" t="str">
        <f>"1396595773"</f>
        <v>1396595773</v>
      </c>
      <c r="C17374" t="str">
        <f>"207R00000X"</f>
        <v>207R00000X</v>
      </c>
      <c r="D17374" t="str">
        <f>"HEYDINGER                MADISON                  "</f>
        <v xml:space="preserve">HEYDINGER                MADISON                  </v>
      </c>
      <c r="E17374" t="str">
        <f>"JACKSON                   "</f>
        <v xml:space="preserve">JACKSON                   </v>
      </c>
      <c r="F17374" t="str">
        <f t="shared" si="434"/>
        <v>MS</v>
      </c>
    </row>
    <row r="17375" spans="1:6" x14ac:dyDescent="0.25">
      <c r="A17375" t="str">
        <f>"200013865"</f>
        <v>200013865</v>
      </c>
      <c r="B17375" t="str">
        <f>"1902648264"</f>
        <v>1902648264</v>
      </c>
      <c r="C17375" t="str">
        <f>"207R00000X"</f>
        <v>207R00000X</v>
      </c>
      <c r="D17375" t="str">
        <f>"ALKOFAHI                 MOHAMMAD                 "</f>
        <v xml:space="preserve">ALKOFAHI                 MOHAMMAD                 </v>
      </c>
      <c r="E17375" t="str">
        <f>"OXFORD                    "</f>
        <v xml:space="preserve">OXFORD                    </v>
      </c>
      <c r="F17375" t="str">
        <f t="shared" si="434"/>
        <v>MS</v>
      </c>
    </row>
    <row r="17376" spans="1:6" x14ac:dyDescent="0.25">
      <c r="A17376" t="str">
        <f>"200013866"</f>
        <v>200013866</v>
      </c>
      <c r="B17376" t="str">
        <f>"1275372385"</f>
        <v>1275372385</v>
      </c>
      <c r="C17376" t="str">
        <f>"207P00000X"</f>
        <v>207P00000X</v>
      </c>
      <c r="D17376" t="str">
        <f>"MEYER                    JACOB                    "</f>
        <v xml:space="preserve">MEYER                    JACOB                    </v>
      </c>
      <c r="E17376" t="str">
        <f>"JACKSON                   "</f>
        <v xml:space="preserve">JACKSON                   </v>
      </c>
      <c r="F17376" t="str">
        <f t="shared" si="434"/>
        <v>MS</v>
      </c>
    </row>
    <row r="17377" spans="1:6" x14ac:dyDescent="0.25">
      <c r="A17377" t="str">
        <f>"200013867"</f>
        <v>200013867</v>
      </c>
      <c r="B17377" t="str">
        <f>"1114778388"</f>
        <v>1114778388</v>
      </c>
      <c r="C17377" t="str">
        <f>"2084N0400X"</f>
        <v>2084N0400X</v>
      </c>
      <c r="D17377" t="str">
        <f>"SINGH                    KIRAN                    "</f>
        <v xml:space="preserve">SINGH                    KIRAN                    </v>
      </c>
      <c r="E17377" t="str">
        <f>"JACKSON                   "</f>
        <v xml:space="preserve">JACKSON                   </v>
      </c>
      <c r="F17377" t="str">
        <f t="shared" si="434"/>
        <v>MS</v>
      </c>
    </row>
    <row r="17378" spans="1:6" x14ac:dyDescent="0.25">
      <c r="A17378" t="str">
        <f>"200013868"</f>
        <v>200013868</v>
      </c>
      <c r="B17378" t="str">
        <f>"1245080753"</f>
        <v>1245080753</v>
      </c>
      <c r="C17378" t="str">
        <f>"208000000X"</f>
        <v>208000000X</v>
      </c>
      <c r="D17378" t="str">
        <f>"PRIDGEN                  WANYA                    "</f>
        <v xml:space="preserve">PRIDGEN                  WANYA                    </v>
      </c>
      <c r="E17378" t="str">
        <f>"JACKSON                   "</f>
        <v xml:space="preserve">JACKSON                   </v>
      </c>
      <c r="F17378" t="str">
        <f t="shared" si="434"/>
        <v>MS</v>
      </c>
    </row>
    <row r="17379" spans="1:6" x14ac:dyDescent="0.25">
      <c r="A17379" t="str">
        <f>"200013870"</f>
        <v>200013870</v>
      </c>
      <c r="B17379" t="str">
        <f>"1790535300"</f>
        <v>1790535300</v>
      </c>
      <c r="C17379" t="str">
        <f>"207R00000X"</f>
        <v>207R00000X</v>
      </c>
      <c r="D17379" t="str">
        <f>"RUBIO                    ERICA                    "</f>
        <v xml:space="preserve">RUBIO                    ERICA                    </v>
      </c>
      <c r="E17379" t="str">
        <f>"JACKSON                   "</f>
        <v xml:space="preserve">JACKSON                   </v>
      </c>
      <c r="F17379" t="str">
        <f t="shared" si="434"/>
        <v>MS</v>
      </c>
    </row>
    <row r="17380" spans="1:6" x14ac:dyDescent="0.25">
      <c r="A17380" t="str">
        <f>"200013872"</f>
        <v>200013872</v>
      </c>
      <c r="B17380" t="str">
        <f>"1255181665"</f>
        <v>1255181665</v>
      </c>
      <c r="C17380" t="str">
        <f>"207R00000X"</f>
        <v>207R00000X</v>
      </c>
      <c r="D17380" t="str">
        <f>"WICHMAN                  THOMAS                   "</f>
        <v xml:space="preserve">WICHMAN                  THOMAS                   </v>
      </c>
      <c r="E17380" t="str">
        <f>"JACKSON                   "</f>
        <v xml:space="preserve">JACKSON                   </v>
      </c>
      <c r="F17380" t="str">
        <f t="shared" si="434"/>
        <v>MS</v>
      </c>
    </row>
    <row r="17381" spans="1:6" x14ac:dyDescent="0.25">
      <c r="A17381" t="str">
        <f>"200013874"</f>
        <v>200013874</v>
      </c>
      <c r="B17381" t="str">
        <f>"1710034673"</f>
        <v>1710034673</v>
      </c>
      <c r="C17381" t="str">
        <f>"207R00000X"</f>
        <v>207R00000X</v>
      </c>
      <c r="D17381" t="str">
        <f>"DOYLE                    AMY                      "</f>
        <v xml:space="preserve">DOYLE                    AMY                      </v>
      </c>
      <c r="E17381" t="str">
        <f>"TUPELO                    "</f>
        <v xml:space="preserve">TUPELO                    </v>
      </c>
      <c r="F17381" t="str">
        <f t="shared" si="434"/>
        <v>MS</v>
      </c>
    </row>
    <row r="17382" spans="1:6" x14ac:dyDescent="0.25">
      <c r="A17382" t="str">
        <f>"200013878"</f>
        <v>200013878</v>
      </c>
      <c r="B17382" t="str">
        <f>"1376243196"</f>
        <v>1376243196</v>
      </c>
      <c r="C17382" t="str">
        <f>"363L00000X"</f>
        <v>363L00000X</v>
      </c>
      <c r="D17382" t="str">
        <f>"YOUNG                    WHITNEY                  "</f>
        <v xml:space="preserve">YOUNG                    WHITNEY                  </v>
      </c>
      <c r="E17382" t="str">
        <f>"MARKS                     "</f>
        <v xml:space="preserve">MARKS                     </v>
      </c>
      <c r="F17382" t="str">
        <f t="shared" si="434"/>
        <v>MS</v>
      </c>
    </row>
    <row r="17383" spans="1:6" x14ac:dyDescent="0.25">
      <c r="A17383" t="str">
        <f>"200013887"</f>
        <v>200013887</v>
      </c>
      <c r="B17383" t="str">
        <f>"1336993534"</f>
        <v>1336993534</v>
      </c>
      <c r="C17383" t="str">
        <f>"207Y00000X"</f>
        <v>207Y00000X</v>
      </c>
      <c r="D17383" t="str">
        <f>"MANNING                  THOMAS                   "</f>
        <v xml:space="preserve">MANNING                  THOMAS                   </v>
      </c>
      <c r="E17383" t="str">
        <f>"JACKSON                   "</f>
        <v xml:space="preserve">JACKSON                   </v>
      </c>
      <c r="F17383" t="str">
        <f t="shared" si="434"/>
        <v>MS</v>
      </c>
    </row>
    <row r="17384" spans="1:6" x14ac:dyDescent="0.25">
      <c r="A17384" t="str">
        <f>"200013904"</f>
        <v>200013904</v>
      </c>
      <c r="B17384" t="str">
        <f>"1447456876"</f>
        <v>1447456876</v>
      </c>
      <c r="C17384" t="str">
        <f>"152W00000X"</f>
        <v>152W00000X</v>
      </c>
      <c r="D17384" t="str">
        <f>"BRUCE EYE CLINIC, INC                             "</f>
        <v xml:space="preserve">BRUCE EYE CLINIC, INC                             </v>
      </c>
      <c r="E17384" t="str">
        <f>"BRUCE                     "</f>
        <v xml:space="preserve">BRUCE                     </v>
      </c>
      <c r="F17384" t="str">
        <f t="shared" si="434"/>
        <v>MS</v>
      </c>
    </row>
    <row r="17385" spans="1:6" x14ac:dyDescent="0.25">
      <c r="A17385" t="str">
        <f>"200013916"</f>
        <v>200013916</v>
      </c>
      <c r="B17385" t="str">
        <f>"1891545190"</f>
        <v>1891545190</v>
      </c>
      <c r="C17385" t="str">
        <f>"208600000X"</f>
        <v>208600000X</v>
      </c>
      <c r="D17385" t="str">
        <f>"KUZMICH                  MEAGHAN                  "</f>
        <v xml:space="preserve">KUZMICH                  MEAGHAN                  </v>
      </c>
      <c r="E17385" t="str">
        <f>"JACKSON                   "</f>
        <v xml:space="preserve">JACKSON                   </v>
      </c>
      <c r="F17385" t="str">
        <f t="shared" si="434"/>
        <v>MS</v>
      </c>
    </row>
    <row r="17386" spans="1:6" x14ac:dyDescent="0.25">
      <c r="A17386" t="str">
        <f>"200013924"</f>
        <v>200013924</v>
      </c>
      <c r="B17386" t="str">
        <f>"1356940803"</f>
        <v>1356940803</v>
      </c>
      <c r="C17386" t="str">
        <f>"363LA2200X"</f>
        <v>363LA2200X</v>
      </c>
      <c r="D17386" t="str">
        <f>"COLE                     ELIZABETH                "</f>
        <v xml:space="preserve">COLE                     ELIZABETH                </v>
      </c>
      <c r="E17386" t="str">
        <f>"TUPELO                    "</f>
        <v xml:space="preserve">TUPELO                    </v>
      </c>
      <c r="F17386" t="str">
        <f t="shared" si="434"/>
        <v>MS</v>
      </c>
    </row>
    <row r="17387" spans="1:6" x14ac:dyDescent="0.25">
      <c r="A17387" t="str">
        <f>"200013925"</f>
        <v>200013925</v>
      </c>
      <c r="B17387" t="str">
        <f>"1124778451"</f>
        <v>1124778451</v>
      </c>
      <c r="C17387" t="str">
        <f>"207P00000X"</f>
        <v>207P00000X</v>
      </c>
      <c r="D17387" t="str">
        <f>"HUFFMAN                  AMANDA                   "</f>
        <v xml:space="preserve">HUFFMAN                  AMANDA                   </v>
      </c>
      <c r="E17387" t="str">
        <f>"CARTHAGE                  "</f>
        <v xml:space="preserve">CARTHAGE                  </v>
      </c>
      <c r="F17387" t="str">
        <f t="shared" si="434"/>
        <v>MS</v>
      </c>
    </row>
    <row r="17388" spans="1:6" x14ac:dyDescent="0.25">
      <c r="A17388" t="str">
        <f>"200013941"</f>
        <v>200013941</v>
      </c>
      <c r="B17388" t="str">
        <f>"1598503781"</f>
        <v>1598503781</v>
      </c>
      <c r="C17388" t="str">
        <f>"363LP0808X"</f>
        <v>363LP0808X</v>
      </c>
      <c r="D17388" t="str">
        <f>"GAMBONY                  REBECCA                  "</f>
        <v xml:space="preserve">GAMBONY                  REBECCA                  </v>
      </c>
      <c r="E17388" t="str">
        <f>"SATILLO                   "</f>
        <v xml:space="preserve">SATILLO                   </v>
      </c>
      <c r="F17388" t="str">
        <f t="shared" si="434"/>
        <v>MS</v>
      </c>
    </row>
    <row r="17389" spans="1:6" x14ac:dyDescent="0.25">
      <c r="A17389" t="str">
        <f>"200013942"</f>
        <v>200013942</v>
      </c>
      <c r="B17389" t="str">
        <f>"1881175263"</f>
        <v>1881175263</v>
      </c>
      <c r="C17389" t="str">
        <f>"2080P0202X"</f>
        <v>2080P0202X</v>
      </c>
      <c r="D17389" t="str">
        <f>"SAVADKAR                 SHIVRAJ                  "</f>
        <v xml:space="preserve">SAVADKAR                 SHIVRAJ                  </v>
      </c>
      <c r="E17389" t="str">
        <f>"FLOWOOD                   "</f>
        <v xml:space="preserve">FLOWOOD                   </v>
      </c>
      <c r="F17389" t="str">
        <f t="shared" si="434"/>
        <v>MS</v>
      </c>
    </row>
    <row r="17390" spans="1:6" x14ac:dyDescent="0.25">
      <c r="A17390" t="str">
        <f>"200013945"</f>
        <v>200013945</v>
      </c>
      <c r="B17390" t="str">
        <f>"1619004744"</f>
        <v>1619004744</v>
      </c>
      <c r="C17390" t="str">
        <f>"363L00000X"</f>
        <v>363L00000X</v>
      </c>
      <c r="D17390" t="str">
        <f>"MCGEE                    DARIUS                   "</f>
        <v xml:space="preserve">MCGEE                    DARIUS                   </v>
      </c>
      <c r="E17390" t="str">
        <f>"LAUREL                    "</f>
        <v xml:space="preserve">LAUREL                    </v>
      </c>
      <c r="F17390" t="str">
        <f t="shared" si="434"/>
        <v>MS</v>
      </c>
    </row>
    <row r="17391" spans="1:6" x14ac:dyDescent="0.25">
      <c r="A17391" t="str">
        <f>"200013946"</f>
        <v>200013946</v>
      </c>
      <c r="B17391" t="str">
        <f>"1902294093"</f>
        <v>1902294093</v>
      </c>
      <c r="C17391" t="str">
        <f>"363LP0808X"</f>
        <v>363LP0808X</v>
      </c>
      <c r="D17391" t="str">
        <f>"BARNES                   TANGULAR                 "</f>
        <v xml:space="preserve">BARNES                   TANGULAR                 </v>
      </c>
      <c r="E17391" t="str">
        <f>"GULFPORT                  "</f>
        <v xml:space="preserve">GULFPORT                  </v>
      </c>
      <c r="F17391" t="str">
        <f t="shared" si="434"/>
        <v>MS</v>
      </c>
    </row>
    <row r="17392" spans="1:6" x14ac:dyDescent="0.25">
      <c r="A17392" t="str">
        <f>"200013951"</f>
        <v>200013951</v>
      </c>
      <c r="B17392" t="str">
        <f>"1437788585"</f>
        <v>1437788585</v>
      </c>
      <c r="C17392" t="str">
        <f>"207R00000X"</f>
        <v>207R00000X</v>
      </c>
      <c r="D17392" t="str">
        <f>"BROWNING                 JACKSON      R           "</f>
        <v xml:space="preserve">BROWNING                 JACKSON      R           </v>
      </c>
      <c r="E17392" t="str">
        <f>"NEW ALBANY                "</f>
        <v xml:space="preserve">NEW ALBANY                </v>
      </c>
      <c r="F17392" t="str">
        <f t="shared" si="434"/>
        <v>MS</v>
      </c>
    </row>
    <row r="17393" spans="1:6" x14ac:dyDescent="0.25">
      <c r="A17393" t="str">
        <f>"200013952"</f>
        <v>200013952</v>
      </c>
      <c r="B17393" t="str">
        <f>"1437788585"</f>
        <v>1437788585</v>
      </c>
      <c r="C17393" t="str">
        <f>"208000000X"</f>
        <v>208000000X</v>
      </c>
      <c r="D17393" t="str">
        <f>"BROWNING                 JACKSON      R           "</f>
        <v xml:space="preserve">BROWNING                 JACKSON      R           </v>
      </c>
      <c r="E17393" t="str">
        <f>"NEW ALBANY                "</f>
        <v xml:space="preserve">NEW ALBANY                </v>
      </c>
      <c r="F17393" t="str">
        <f t="shared" si="434"/>
        <v>MS</v>
      </c>
    </row>
    <row r="17394" spans="1:6" x14ac:dyDescent="0.25">
      <c r="A17394" t="str">
        <f>"200013954"</f>
        <v>200013954</v>
      </c>
      <c r="B17394" t="str">
        <f>"1992549463"</f>
        <v>1992549463</v>
      </c>
      <c r="C17394" t="str">
        <f>"363LF0000X"</f>
        <v>363LF0000X</v>
      </c>
      <c r="D17394" t="str">
        <f>"SMITH                    BRANDI                   "</f>
        <v xml:space="preserve">SMITH                    BRANDI                   </v>
      </c>
      <c r="E17394" t="str">
        <f>"HATTIESBURG               "</f>
        <v xml:space="preserve">HATTIESBURG               </v>
      </c>
      <c r="F17394" t="str">
        <f t="shared" si="434"/>
        <v>MS</v>
      </c>
    </row>
    <row r="17395" spans="1:6" x14ac:dyDescent="0.25">
      <c r="A17395" t="str">
        <f>"200013958"</f>
        <v>200013958</v>
      </c>
      <c r="B17395" t="str">
        <f>"1871655498"</f>
        <v>1871655498</v>
      </c>
      <c r="C17395" t="str">
        <f>"2085R0202X"</f>
        <v>2085R0202X</v>
      </c>
      <c r="D17395" t="str">
        <f>"ANELLO                   MARIA                    "</f>
        <v xml:space="preserve">ANELLO                   MARIA                    </v>
      </c>
      <c r="E17395" t="str">
        <f>"JACKSON                   "</f>
        <v xml:space="preserve">JACKSON                   </v>
      </c>
      <c r="F17395" t="str">
        <f t="shared" si="434"/>
        <v>MS</v>
      </c>
    </row>
    <row r="17396" spans="1:6" x14ac:dyDescent="0.25">
      <c r="A17396" t="str">
        <f>"200013959"</f>
        <v>200013959</v>
      </c>
      <c r="B17396" t="str">
        <f>"1083466205"</f>
        <v>1083466205</v>
      </c>
      <c r="C17396" t="str">
        <f>"207R00000X"</f>
        <v>207R00000X</v>
      </c>
      <c r="D17396" t="str">
        <f>"LADNER                   ANDREW                   "</f>
        <v xml:space="preserve">LADNER                   ANDREW                   </v>
      </c>
      <c r="E17396" t="str">
        <f>"JACKSON                   "</f>
        <v xml:space="preserve">JACKSON                   </v>
      </c>
      <c r="F17396" t="str">
        <f t="shared" si="434"/>
        <v>MS</v>
      </c>
    </row>
    <row r="17397" spans="1:6" x14ac:dyDescent="0.25">
      <c r="A17397" t="str">
        <f>"200013961"</f>
        <v>200013961</v>
      </c>
      <c r="B17397" t="str">
        <f>"1740592187"</f>
        <v>1740592187</v>
      </c>
      <c r="C17397" t="str">
        <f>"363LW0102X"</f>
        <v>363LW0102X</v>
      </c>
      <c r="D17397" t="str">
        <f>"PATCHIN                  HEATHER                  "</f>
        <v xml:space="preserve">PATCHIN                  HEATHER                  </v>
      </c>
      <c r="E17397" t="str">
        <f>"CHOCTAW                   "</f>
        <v xml:space="preserve">CHOCTAW                   </v>
      </c>
      <c r="F17397" t="str">
        <f t="shared" si="434"/>
        <v>MS</v>
      </c>
    </row>
    <row r="17398" spans="1:6" x14ac:dyDescent="0.25">
      <c r="A17398" t="str">
        <f>"200013962"</f>
        <v>200013962</v>
      </c>
      <c r="B17398" t="str">
        <f>"1275125387"</f>
        <v>1275125387</v>
      </c>
      <c r="C17398" t="str">
        <f>"363LP0200X"</f>
        <v>363LP0200X</v>
      </c>
      <c r="D17398" t="str">
        <f>"LUNN                     TAYLOR       G           "</f>
        <v xml:space="preserve">LUNN                     TAYLOR       G           </v>
      </c>
      <c r="E17398" t="str">
        <f>"NEW ALBANY                "</f>
        <v xml:space="preserve">NEW ALBANY                </v>
      </c>
      <c r="F17398" t="str">
        <f t="shared" si="434"/>
        <v>MS</v>
      </c>
    </row>
    <row r="17399" spans="1:6" x14ac:dyDescent="0.25">
      <c r="A17399" t="str">
        <f>"200013966"</f>
        <v>200013966</v>
      </c>
      <c r="B17399" t="str">
        <f>"1689410599"</f>
        <v>1689410599</v>
      </c>
      <c r="C17399" t="str">
        <f>"2084P0800X"</f>
        <v>2084P0800X</v>
      </c>
      <c r="D17399" t="str">
        <f>"SAM                      BIJOY                    "</f>
        <v xml:space="preserve">SAM                      BIJOY                    </v>
      </c>
      <c r="E17399" t="str">
        <f>"WHITFIELD                 "</f>
        <v xml:space="preserve">WHITFIELD                 </v>
      </c>
      <c r="F17399" t="str">
        <f t="shared" si="434"/>
        <v>MS</v>
      </c>
    </row>
    <row r="17400" spans="1:6" x14ac:dyDescent="0.25">
      <c r="A17400" t="str">
        <f>"200013969"</f>
        <v>200013969</v>
      </c>
      <c r="B17400" t="str">
        <f>"1396581286"</f>
        <v>1396581286</v>
      </c>
      <c r="C17400" t="str">
        <f>"2084P0800X"</f>
        <v>2084P0800X</v>
      </c>
      <c r="D17400" t="str">
        <f>"KELLY                    KANIESHAWA               "</f>
        <v xml:space="preserve">KELLY                    KANIESHAWA               </v>
      </c>
      <c r="E17400" t="str">
        <f>"WHITFIELD                 "</f>
        <v xml:space="preserve">WHITFIELD                 </v>
      </c>
      <c r="F17400" t="str">
        <f t="shared" si="434"/>
        <v>MS</v>
      </c>
    </row>
    <row r="17401" spans="1:6" x14ac:dyDescent="0.25">
      <c r="A17401" t="str">
        <f>"200013977"</f>
        <v>200013977</v>
      </c>
      <c r="B17401" t="str">
        <f>"1093417883"</f>
        <v>1093417883</v>
      </c>
      <c r="C17401" t="str">
        <f>"363LF0000X"</f>
        <v>363LF0000X</v>
      </c>
      <c r="D17401" t="str">
        <f>"WILLIAMS                 SCHAQUWA     R           "</f>
        <v xml:space="preserve">WILLIAMS                 SCHAQUWA     R           </v>
      </c>
      <c r="E17401" t="str">
        <f>"GULFPORT                  "</f>
        <v xml:space="preserve">GULFPORT                  </v>
      </c>
      <c r="F17401" t="str">
        <f t="shared" si="434"/>
        <v>MS</v>
      </c>
    </row>
    <row r="17402" spans="1:6" x14ac:dyDescent="0.25">
      <c r="A17402" t="str">
        <f>"200013989"</f>
        <v>200013989</v>
      </c>
      <c r="B17402" t="str">
        <f>"1629501044"</f>
        <v>1629501044</v>
      </c>
      <c r="C17402" t="str">
        <f>"208600000X"</f>
        <v>208600000X</v>
      </c>
      <c r="D17402" t="str">
        <f>"MULLEN                   PARKER                   "</f>
        <v xml:space="preserve">MULLEN                   PARKER                   </v>
      </c>
      <c r="E17402" t="str">
        <f>"JACKSON                   "</f>
        <v xml:space="preserve">JACKSON                   </v>
      </c>
      <c r="F17402" t="str">
        <f t="shared" si="434"/>
        <v>MS</v>
      </c>
    </row>
    <row r="17403" spans="1:6" x14ac:dyDescent="0.25">
      <c r="A17403" t="str">
        <f>"200013995"</f>
        <v>200013995</v>
      </c>
      <c r="B17403" t="str">
        <f>"1932937497"</f>
        <v>1932937497</v>
      </c>
      <c r="C17403" t="str">
        <f>"152W00000X"</f>
        <v>152W00000X</v>
      </c>
      <c r="D17403" t="str">
        <f>"BELL                     ANDREA                   "</f>
        <v xml:space="preserve">BELL                     ANDREA                   </v>
      </c>
      <c r="E17403" t="str">
        <f>"BRANDON                   "</f>
        <v xml:space="preserve">BRANDON                   </v>
      </c>
      <c r="F17403" t="str">
        <f t="shared" si="434"/>
        <v>MS</v>
      </c>
    </row>
    <row r="17404" spans="1:6" x14ac:dyDescent="0.25">
      <c r="A17404" t="str">
        <f>"200013999"</f>
        <v>200013999</v>
      </c>
      <c r="B17404" t="str">
        <f>"1245060813"</f>
        <v>1245060813</v>
      </c>
      <c r="C17404" t="str">
        <f>"363LF0000X"</f>
        <v>363LF0000X</v>
      </c>
      <c r="D17404" t="str">
        <f>"GOULD                    SCARLET                  "</f>
        <v xml:space="preserve">GOULD                    SCARLET                  </v>
      </c>
      <c r="E17404" t="str">
        <f>"DIBERVILLE                "</f>
        <v xml:space="preserve">DIBERVILLE                </v>
      </c>
      <c r="F17404" t="str">
        <f t="shared" si="434"/>
        <v>MS</v>
      </c>
    </row>
    <row r="17405" spans="1:6" x14ac:dyDescent="0.25">
      <c r="A17405" t="str">
        <f>"200014003"</f>
        <v>200014003</v>
      </c>
      <c r="B17405" t="str">
        <f>"1598374217"</f>
        <v>1598374217</v>
      </c>
      <c r="C17405" t="str">
        <f>"363A00000X"</f>
        <v>363A00000X</v>
      </c>
      <c r="D17405" t="str">
        <f>"SHERON                   TAYLOR                   "</f>
        <v xml:space="preserve">SHERON                   TAYLOR                   </v>
      </c>
      <c r="E17405" t="str">
        <f>"JACKSON                   "</f>
        <v xml:space="preserve">JACKSON                   </v>
      </c>
      <c r="F17405" t="str">
        <f t="shared" si="434"/>
        <v>MS</v>
      </c>
    </row>
    <row r="17406" spans="1:6" x14ac:dyDescent="0.25">
      <c r="A17406" t="str">
        <f>"200014004"</f>
        <v>200014004</v>
      </c>
      <c r="B17406" t="str">
        <f>"1306524111"</f>
        <v>1306524111</v>
      </c>
      <c r="C17406" t="str">
        <f>"2084P0800X"</f>
        <v>2084P0800X</v>
      </c>
      <c r="D17406" t="str">
        <f>"WHITE                    PATRICK                  "</f>
        <v xml:space="preserve">WHITE                    PATRICK                  </v>
      </c>
      <c r="E17406" t="str">
        <f>"WHITFIELD                 "</f>
        <v xml:space="preserve">WHITFIELD                 </v>
      </c>
      <c r="F17406" t="str">
        <f t="shared" ref="F17406:F17469" si="435">"MS"</f>
        <v>MS</v>
      </c>
    </row>
    <row r="17407" spans="1:6" x14ac:dyDescent="0.25">
      <c r="A17407" t="str">
        <f>"200014009"</f>
        <v>200014009</v>
      </c>
      <c r="B17407" t="str">
        <f>"1891236196"</f>
        <v>1891236196</v>
      </c>
      <c r="C17407" t="str">
        <f>"208D00000X"</f>
        <v>208D00000X</v>
      </c>
      <c r="D17407" t="str">
        <f>"CHEN                     SHEN EN                  "</f>
        <v xml:space="preserve">CHEN                     SHEN EN                  </v>
      </c>
      <c r="E17407" t="str">
        <f>"JACKSON                   "</f>
        <v xml:space="preserve">JACKSON                   </v>
      </c>
      <c r="F17407" t="str">
        <f t="shared" si="435"/>
        <v>MS</v>
      </c>
    </row>
    <row r="17408" spans="1:6" x14ac:dyDescent="0.25">
      <c r="A17408" t="str">
        <f>"200014011"</f>
        <v>200014011</v>
      </c>
      <c r="B17408" t="str">
        <f>"1952134348"</f>
        <v>1952134348</v>
      </c>
      <c r="C17408" t="str">
        <f>"122300000X"</f>
        <v>122300000X</v>
      </c>
      <c r="D17408" t="str">
        <f>"OXFORD FAMILY DENTISTRY AND BRACES                "</f>
        <v xml:space="preserve">OXFORD FAMILY DENTISTRY AND BRACES                </v>
      </c>
      <c r="E17408" t="str">
        <f>"OXFORD                    "</f>
        <v xml:space="preserve">OXFORD                    </v>
      </c>
      <c r="F17408" t="str">
        <f t="shared" si="435"/>
        <v>MS</v>
      </c>
    </row>
    <row r="17409" spans="1:6" x14ac:dyDescent="0.25">
      <c r="A17409" t="str">
        <f>"200014014"</f>
        <v>200014014</v>
      </c>
      <c r="B17409" t="str">
        <f>"1114395050"</f>
        <v>1114395050</v>
      </c>
      <c r="C17409" t="str">
        <f>"363L00000X"</f>
        <v>363L00000X</v>
      </c>
      <c r="D17409" t="str">
        <f>"POOLE                    CHRISTINA                "</f>
        <v xml:space="preserve">POOLE                    CHRISTINA                </v>
      </c>
      <c r="E17409" t="str">
        <f>"STARKVILLE                "</f>
        <v xml:space="preserve">STARKVILLE                </v>
      </c>
      <c r="F17409" t="str">
        <f t="shared" si="435"/>
        <v>MS</v>
      </c>
    </row>
    <row r="17410" spans="1:6" x14ac:dyDescent="0.25">
      <c r="A17410" t="str">
        <f>"200014020"</f>
        <v>200014020</v>
      </c>
      <c r="B17410" t="str">
        <f>"1871844498"</f>
        <v>1871844498</v>
      </c>
      <c r="C17410" t="str">
        <f>"363LF0000X"</f>
        <v>363LF0000X</v>
      </c>
      <c r="D17410" t="str">
        <f>"PEERY                    DAWN         C           "</f>
        <v xml:space="preserve">PEERY                    DAWN         C           </v>
      </c>
      <c r="E17410" t="str">
        <f>"FLOWOOD                   "</f>
        <v xml:space="preserve">FLOWOOD                   </v>
      </c>
      <c r="F17410" t="str">
        <f t="shared" si="435"/>
        <v>MS</v>
      </c>
    </row>
    <row r="17411" spans="1:6" x14ac:dyDescent="0.25">
      <c r="A17411" t="str">
        <f>"200014021"</f>
        <v>200014021</v>
      </c>
      <c r="B17411" t="str">
        <f>"1538189543"</f>
        <v>1538189543</v>
      </c>
      <c r="C17411" t="str">
        <f>"207RX0202X"</f>
        <v>207RX0202X</v>
      </c>
      <c r="D17411" t="str">
        <f>"PERSING                  BRIAN                    "</f>
        <v xml:space="preserve">PERSING                  BRIAN                    </v>
      </c>
      <c r="E17411" t="str">
        <f>"PASCAGOULA                "</f>
        <v xml:space="preserve">PASCAGOULA                </v>
      </c>
      <c r="F17411" t="str">
        <f t="shared" si="435"/>
        <v>MS</v>
      </c>
    </row>
    <row r="17412" spans="1:6" x14ac:dyDescent="0.25">
      <c r="A17412" t="str">
        <f>"200014027"</f>
        <v>200014027</v>
      </c>
      <c r="B17412" t="str">
        <f>"1346735057"</f>
        <v>1346735057</v>
      </c>
      <c r="C17412" t="str">
        <f>"363L00000X"</f>
        <v>363L00000X</v>
      </c>
      <c r="D17412" t="str">
        <f>"WHITE POWELL             TERESA       V           "</f>
        <v xml:space="preserve">WHITE POWELL             TERESA       V           </v>
      </c>
      <c r="E17412" t="str">
        <f>"FLOWOOD                   "</f>
        <v xml:space="preserve">FLOWOOD                   </v>
      </c>
      <c r="F17412" t="str">
        <f t="shared" si="435"/>
        <v>MS</v>
      </c>
    </row>
    <row r="17413" spans="1:6" x14ac:dyDescent="0.25">
      <c r="A17413" t="str">
        <f>"200014034"</f>
        <v>200014034</v>
      </c>
      <c r="B17413" t="str">
        <f>"1295845832"</f>
        <v>1295845832</v>
      </c>
      <c r="C17413" t="str">
        <f>"363LF0000X"</f>
        <v>363LF0000X</v>
      </c>
      <c r="D17413" t="str">
        <f>"GARNER                   SUSAN                    "</f>
        <v xml:space="preserve">GARNER                   SUSAN                    </v>
      </c>
      <c r="E17413" t="str">
        <f>"AMORY                     "</f>
        <v xml:space="preserve">AMORY                     </v>
      </c>
      <c r="F17413" t="str">
        <f t="shared" si="435"/>
        <v>MS</v>
      </c>
    </row>
    <row r="17414" spans="1:6" x14ac:dyDescent="0.25">
      <c r="A17414" t="str">
        <f>"200014035"</f>
        <v>200014035</v>
      </c>
      <c r="B17414" t="str">
        <f>"1669837910"</f>
        <v>1669837910</v>
      </c>
      <c r="C17414" t="str">
        <f>"122300000X"</f>
        <v>122300000X</v>
      </c>
      <c r="D17414" t="str">
        <f>"MIDDLETON AND BELKNAP PEDIATRIC DENTISTRY, PLLC   "</f>
        <v xml:space="preserve">MIDDLETON AND BELKNAP PEDIATRIC DENTISTRY, PLLC   </v>
      </c>
      <c r="E17414" t="str">
        <f>"LAUREL                    "</f>
        <v xml:space="preserve">LAUREL                    </v>
      </c>
      <c r="F17414" t="str">
        <f t="shared" si="435"/>
        <v>MS</v>
      </c>
    </row>
    <row r="17415" spans="1:6" x14ac:dyDescent="0.25">
      <c r="A17415" t="str">
        <f>"200014036"</f>
        <v>200014036</v>
      </c>
      <c r="B17415" t="str">
        <f>"1639568934"</f>
        <v>1639568934</v>
      </c>
      <c r="C17415" t="str">
        <f>"363L00000X"</f>
        <v>363L00000X</v>
      </c>
      <c r="D17415" t="str">
        <f>"SANDIFER                 JULIAN                   "</f>
        <v xml:space="preserve">SANDIFER                 JULIAN                   </v>
      </c>
      <c r="E17415" t="str">
        <f>"BRANDON                   "</f>
        <v xml:space="preserve">BRANDON                   </v>
      </c>
      <c r="F17415" t="str">
        <f t="shared" si="435"/>
        <v>MS</v>
      </c>
    </row>
    <row r="17416" spans="1:6" x14ac:dyDescent="0.25">
      <c r="A17416" t="str">
        <f>"200014043"</f>
        <v>200014043</v>
      </c>
      <c r="B17416" t="str">
        <f>"1922040484"</f>
        <v>1922040484</v>
      </c>
      <c r="C17416" t="str">
        <f>"207P00000X"</f>
        <v>207P00000X</v>
      </c>
      <c r="D17416" t="str">
        <f>"PRINCE                   MAURICE                  "</f>
        <v xml:space="preserve">PRINCE                   MAURICE                  </v>
      </c>
      <c r="E17416" t="str">
        <f>"VICKSBURG                 "</f>
        <v xml:space="preserve">VICKSBURG                 </v>
      </c>
      <c r="F17416" t="str">
        <f t="shared" si="435"/>
        <v>MS</v>
      </c>
    </row>
    <row r="17417" spans="1:6" x14ac:dyDescent="0.25">
      <c r="A17417" t="str">
        <f>"200014044"</f>
        <v>200014044</v>
      </c>
      <c r="B17417" t="str">
        <f>"1174973317"</f>
        <v>1174973317</v>
      </c>
      <c r="C17417" t="str">
        <f>"2084P0800X"</f>
        <v>2084P0800X</v>
      </c>
      <c r="D17417" t="str">
        <f>"FITZ-GERALD              PATRICK                  "</f>
        <v xml:space="preserve">FITZ-GERALD              PATRICK                  </v>
      </c>
      <c r="E17417" t="str">
        <f>"WHITFIELD                 "</f>
        <v xml:space="preserve">WHITFIELD                 </v>
      </c>
      <c r="F17417" t="str">
        <f t="shared" si="435"/>
        <v>MS</v>
      </c>
    </row>
    <row r="17418" spans="1:6" x14ac:dyDescent="0.25">
      <c r="A17418" t="str">
        <f>"200014045"</f>
        <v>200014045</v>
      </c>
      <c r="B17418" t="str">
        <f>"1659123024"</f>
        <v>1659123024</v>
      </c>
      <c r="C17418" t="str">
        <f>"208600000X"</f>
        <v>208600000X</v>
      </c>
      <c r="D17418" t="str">
        <f>"STRAUSS                  ANNIE                    "</f>
        <v xml:space="preserve">STRAUSS                  ANNIE                    </v>
      </c>
      <c r="E17418" t="str">
        <f>"JACKSON                   "</f>
        <v xml:space="preserve">JACKSON                   </v>
      </c>
      <c r="F17418" t="str">
        <f t="shared" si="435"/>
        <v>MS</v>
      </c>
    </row>
    <row r="17419" spans="1:6" x14ac:dyDescent="0.25">
      <c r="A17419" t="str">
        <f>"200014047"</f>
        <v>200014047</v>
      </c>
      <c r="B17419" t="str">
        <f>"1750126652"</f>
        <v>1750126652</v>
      </c>
      <c r="C17419" t="str">
        <f>"2084P0800X"</f>
        <v>2084P0800X</v>
      </c>
      <c r="D17419" t="str">
        <f>"WICHT                    CANDACE      W           "</f>
        <v xml:space="preserve">WICHT                    CANDACE      W           </v>
      </c>
      <c r="E17419" t="str">
        <f>"WHITFIELD                 "</f>
        <v xml:space="preserve">WHITFIELD                 </v>
      </c>
      <c r="F17419" t="str">
        <f t="shared" si="435"/>
        <v>MS</v>
      </c>
    </row>
    <row r="17420" spans="1:6" x14ac:dyDescent="0.25">
      <c r="A17420" t="str">
        <f>"200014049"</f>
        <v>200014049</v>
      </c>
      <c r="B17420" t="str">
        <f>"1396033957"</f>
        <v>1396033957</v>
      </c>
      <c r="C17420" t="str">
        <f>"1223S0112X"</f>
        <v>1223S0112X</v>
      </c>
      <c r="D17420" t="str">
        <f>"MAHARREY                 WARREN       B           "</f>
        <v xml:space="preserve">MAHARREY                 WARREN       B           </v>
      </c>
      <c r="E17420" t="str">
        <f>"TUPELO                    "</f>
        <v xml:space="preserve">TUPELO                    </v>
      </c>
      <c r="F17420" t="str">
        <f t="shared" si="435"/>
        <v>MS</v>
      </c>
    </row>
    <row r="17421" spans="1:6" x14ac:dyDescent="0.25">
      <c r="A17421" t="str">
        <f>"200014050"</f>
        <v>200014050</v>
      </c>
      <c r="B17421" t="str">
        <f>"1023507852"</f>
        <v>1023507852</v>
      </c>
      <c r="C17421" t="str">
        <f>"367500000X"</f>
        <v>367500000X</v>
      </c>
      <c r="D17421" t="str">
        <f>"WRIGHT                   CHRISTOPHER              "</f>
        <v xml:space="preserve">WRIGHT                   CHRISTOPHER              </v>
      </c>
      <c r="E17421" t="str">
        <f>"OXFORD                    "</f>
        <v xml:space="preserve">OXFORD                    </v>
      </c>
      <c r="F17421" t="str">
        <f t="shared" si="435"/>
        <v>MS</v>
      </c>
    </row>
    <row r="17422" spans="1:6" x14ac:dyDescent="0.25">
      <c r="A17422" t="str">
        <f>"200014051"</f>
        <v>200014051</v>
      </c>
      <c r="B17422" t="str">
        <f>"1790952950"</f>
        <v>1790952950</v>
      </c>
      <c r="C17422" t="str">
        <f>"363LP0808X"</f>
        <v>363LP0808X</v>
      </c>
      <c r="D17422" t="str">
        <f>"TUCKER                   ANNE                     "</f>
        <v xml:space="preserve">TUCKER                   ANNE                     </v>
      </c>
      <c r="E17422" t="str">
        <f>"GULFPORT                  "</f>
        <v xml:space="preserve">GULFPORT                  </v>
      </c>
      <c r="F17422" t="str">
        <f t="shared" si="435"/>
        <v>MS</v>
      </c>
    </row>
    <row r="17423" spans="1:6" x14ac:dyDescent="0.25">
      <c r="A17423" t="str">
        <f>"200014052"</f>
        <v>200014052</v>
      </c>
      <c r="B17423" t="str">
        <f>"1427893304"</f>
        <v>1427893304</v>
      </c>
      <c r="C17423" t="str">
        <f>"2084P0800X"</f>
        <v>2084P0800X</v>
      </c>
      <c r="D17423" t="str">
        <f>"COOPER                   KYLE         J           "</f>
        <v xml:space="preserve">COOPER                   KYLE         J           </v>
      </c>
      <c r="E17423" t="str">
        <f>"WHITFIELD                 "</f>
        <v xml:space="preserve">WHITFIELD                 </v>
      </c>
      <c r="F17423" t="str">
        <f t="shared" si="435"/>
        <v>MS</v>
      </c>
    </row>
    <row r="17424" spans="1:6" x14ac:dyDescent="0.25">
      <c r="A17424" t="str">
        <f>"200014053"</f>
        <v>200014053</v>
      </c>
      <c r="B17424" t="str">
        <f>"1720043219"</f>
        <v>1720043219</v>
      </c>
      <c r="C17424" t="str">
        <f>"367500000X"</f>
        <v>367500000X</v>
      </c>
      <c r="D17424" t="str">
        <f>"CRUISE                   GROVER       S           "</f>
        <v xml:space="preserve">CRUISE                   GROVER       S           </v>
      </c>
      <c r="E17424" t="str">
        <f>"HATTIESBURG               "</f>
        <v xml:space="preserve">HATTIESBURG               </v>
      </c>
      <c r="F17424" t="str">
        <f t="shared" si="435"/>
        <v>MS</v>
      </c>
    </row>
    <row r="17425" spans="1:6" x14ac:dyDescent="0.25">
      <c r="A17425" t="str">
        <f>"200014054"</f>
        <v>200014054</v>
      </c>
      <c r="B17425" t="str">
        <f>"1972352821"</f>
        <v>1972352821</v>
      </c>
      <c r="C17425" t="str">
        <f>"363LA2200X"</f>
        <v>363LA2200X</v>
      </c>
      <c r="D17425" t="str">
        <f>"WALLACE                  CYNEICEYA                "</f>
        <v xml:space="preserve">WALLACE                  CYNEICEYA                </v>
      </c>
      <c r="E17425" t="str">
        <f>"GREENWOOD                 "</f>
        <v xml:space="preserve">GREENWOOD                 </v>
      </c>
      <c r="F17425" t="str">
        <f t="shared" si="435"/>
        <v>MS</v>
      </c>
    </row>
    <row r="17426" spans="1:6" x14ac:dyDescent="0.25">
      <c r="A17426" t="str">
        <f>"200014060"</f>
        <v>200014060</v>
      </c>
      <c r="B17426" t="str">
        <f>"1174063374"</f>
        <v>1174063374</v>
      </c>
      <c r="C17426" t="str">
        <f>"363LF0000X"</f>
        <v>363LF0000X</v>
      </c>
      <c r="D17426" t="str">
        <f>"BEAL                     DEWONA                   "</f>
        <v xml:space="preserve">BEAL                     DEWONA                   </v>
      </c>
      <c r="E17426" t="str">
        <f>"JACKSON                   "</f>
        <v xml:space="preserve">JACKSON                   </v>
      </c>
      <c r="F17426" t="str">
        <f t="shared" si="435"/>
        <v>MS</v>
      </c>
    </row>
    <row r="17427" spans="1:6" x14ac:dyDescent="0.25">
      <c r="A17427" t="str">
        <f>"200014062"</f>
        <v>200014062</v>
      </c>
      <c r="B17427" t="str">
        <f>"1548021348"</f>
        <v>1548021348</v>
      </c>
      <c r="C17427" t="str">
        <f>"207R00000X"</f>
        <v>207R00000X</v>
      </c>
      <c r="D17427" t="str">
        <f>"MOAK                     REAGAN                   "</f>
        <v xml:space="preserve">MOAK                     REAGAN                   </v>
      </c>
      <c r="E17427" t="str">
        <f>"JACKSON                   "</f>
        <v xml:space="preserve">JACKSON                   </v>
      </c>
      <c r="F17427" t="str">
        <f t="shared" si="435"/>
        <v>MS</v>
      </c>
    </row>
    <row r="17428" spans="1:6" x14ac:dyDescent="0.25">
      <c r="A17428" t="str">
        <f>"200014065"</f>
        <v>200014065</v>
      </c>
      <c r="B17428" t="str">
        <f>"1477250652"</f>
        <v>1477250652</v>
      </c>
      <c r="C17428" t="str">
        <f>"363L00000X"</f>
        <v>363L00000X</v>
      </c>
      <c r="D17428" t="str">
        <f>"PEARSON                  ALIX                     "</f>
        <v xml:space="preserve">PEARSON                  ALIX                     </v>
      </c>
      <c r="E17428" t="str">
        <f>"TREMONT                   "</f>
        <v xml:space="preserve">TREMONT                   </v>
      </c>
      <c r="F17428" t="str">
        <f t="shared" si="435"/>
        <v>MS</v>
      </c>
    </row>
    <row r="17429" spans="1:6" x14ac:dyDescent="0.25">
      <c r="A17429" t="str">
        <f>"200014067"</f>
        <v>200014067</v>
      </c>
      <c r="B17429" t="str">
        <f>"1811524788"</f>
        <v>1811524788</v>
      </c>
      <c r="C17429" t="str">
        <f>"2084N0400X"</f>
        <v>2084N0400X</v>
      </c>
      <c r="D17429" t="str">
        <f>"TALPUR                   ANOSHA                   "</f>
        <v xml:space="preserve">TALPUR                   ANOSHA                   </v>
      </c>
      <c r="E17429" t="str">
        <f>"TUPELO                    "</f>
        <v xml:space="preserve">TUPELO                    </v>
      </c>
      <c r="F17429" t="str">
        <f t="shared" si="435"/>
        <v>MS</v>
      </c>
    </row>
    <row r="17430" spans="1:6" x14ac:dyDescent="0.25">
      <c r="A17430" t="str">
        <f>"200014075"</f>
        <v>200014075</v>
      </c>
      <c r="B17430" t="str">
        <f>"1114643574"</f>
        <v>1114643574</v>
      </c>
      <c r="C17430" t="str">
        <f>"363L00000X"</f>
        <v>363L00000X</v>
      </c>
      <c r="D17430" t="str">
        <f>"ARENDER                  CARA                     "</f>
        <v xml:space="preserve">ARENDER                  CARA                     </v>
      </c>
      <c r="E17430" t="str">
        <f>"RIDGELAND                 "</f>
        <v xml:space="preserve">RIDGELAND                 </v>
      </c>
      <c r="F17430" t="str">
        <f t="shared" si="435"/>
        <v>MS</v>
      </c>
    </row>
    <row r="17431" spans="1:6" x14ac:dyDescent="0.25">
      <c r="A17431" t="str">
        <f>"200014076"</f>
        <v>200014076</v>
      </c>
      <c r="B17431" t="str">
        <f>"1174807135"</f>
        <v>1174807135</v>
      </c>
      <c r="C17431" t="str">
        <f>"363LF0000X"</f>
        <v>363LF0000X</v>
      </c>
      <c r="D17431" t="str">
        <f>"WIYGUL                   RYAN         C           "</f>
        <v xml:space="preserve">WIYGUL                   RYAN         C           </v>
      </c>
      <c r="E17431" t="str">
        <f>"TUPELO                    "</f>
        <v xml:space="preserve">TUPELO                    </v>
      </c>
      <c r="F17431" t="str">
        <f t="shared" si="435"/>
        <v>MS</v>
      </c>
    </row>
    <row r="17432" spans="1:6" x14ac:dyDescent="0.25">
      <c r="A17432" t="str">
        <f>"200014080"</f>
        <v>200014080</v>
      </c>
      <c r="B17432" t="str">
        <f>"1053725564"</f>
        <v>1053725564</v>
      </c>
      <c r="C17432" t="str">
        <f>"207ZP0101X"</f>
        <v>207ZP0101X</v>
      </c>
      <c r="D17432" t="str">
        <f>"NAJMUDDIN                MUFADDAL                 "</f>
        <v xml:space="preserve">NAJMUDDIN                MUFADDAL                 </v>
      </c>
      <c r="E17432" t="str">
        <f>"SOUTHAVEN                 "</f>
        <v xml:space="preserve">SOUTHAVEN                 </v>
      </c>
      <c r="F17432" t="str">
        <f t="shared" si="435"/>
        <v>MS</v>
      </c>
    </row>
    <row r="17433" spans="1:6" x14ac:dyDescent="0.25">
      <c r="A17433" t="str">
        <f>"200014082"</f>
        <v>200014082</v>
      </c>
      <c r="B17433" t="str">
        <f>"1629497888"</f>
        <v>1629497888</v>
      </c>
      <c r="C17433" t="str">
        <f>"2085R0001X"</f>
        <v>2085R0001X</v>
      </c>
      <c r="D17433" t="str">
        <f>"KING III                 MAURICE      L           "</f>
        <v xml:space="preserve">KING III                 MAURICE      L           </v>
      </c>
      <c r="E17433" t="str">
        <f>"NATCHEZ                   "</f>
        <v xml:space="preserve">NATCHEZ                   </v>
      </c>
      <c r="F17433" t="str">
        <f t="shared" si="435"/>
        <v>MS</v>
      </c>
    </row>
    <row r="17434" spans="1:6" x14ac:dyDescent="0.25">
      <c r="A17434" t="str">
        <f>"200014090"</f>
        <v>200014090</v>
      </c>
      <c r="B17434" t="str">
        <f>"1982278735"</f>
        <v>1982278735</v>
      </c>
      <c r="C17434" t="str">
        <f>"367500000X"</f>
        <v>367500000X</v>
      </c>
      <c r="D17434" t="str">
        <f>"JOHNSTON                 ALLISON                  "</f>
        <v xml:space="preserve">JOHNSTON                 ALLISON                  </v>
      </c>
      <c r="E17434" t="str">
        <f>"SOUTHAVEN                 "</f>
        <v xml:space="preserve">SOUTHAVEN                 </v>
      </c>
      <c r="F17434" t="str">
        <f t="shared" si="435"/>
        <v>MS</v>
      </c>
    </row>
    <row r="17435" spans="1:6" x14ac:dyDescent="0.25">
      <c r="A17435" t="str">
        <f>"200014092"</f>
        <v>200014092</v>
      </c>
      <c r="B17435" t="str">
        <f>"1982454203"</f>
        <v>1982454203</v>
      </c>
      <c r="C17435" t="str">
        <f>"207Q00000X"</f>
        <v>207Q00000X</v>
      </c>
      <c r="D17435" t="str">
        <f>"FORD                     KAYLA                    "</f>
        <v xml:space="preserve">FORD                     KAYLA                    </v>
      </c>
      <c r="E17435" t="str">
        <f>"JACKSON                   "</f>
        <v xml:space="preserve">JACKSON                   </v>
      </c>
      <c r="F17435" t="str">
        <f t="shared" si="435"/>
        <v>MS</v>
      </c>
    </row>
    <row r="17436" spans="1:6" x14ac:dyDescent="0.25">
      <c r="A17436" t="str">
        <f>"200014100"</f>
        <v>200014100</v>
      </c>
      <c r="B17436" t="str">
        <f>"1871054049"</f>
        <v>1871054049</v>
      </c>
      <c r="C17436" t="str">
        <f>"2084N0402X"</f>
        <v>2084N0402X</v>
      </c>
      <c r="D17436" t="str">
        <f>"CORSO                    RACHEL                   "</f>
        <v xml:space="preserve">CORSO                    RACHEL                   </v>
      </c>
      <c r="E17436" t="str">
        <f>"JACKSON                   "</f>
        <v xml:space="preserve">JACKSON                   </v>
      </c>
      <c r="F17436" t="str">
        <f t="shared" si="435"/>
        <v>MS</v>
      </c>
    </row>
    <row r="17437" spans="1:6" x14ac:dyDescent="0.25">
      <c r="A17437" t="str">
        <f>"200014103"</f>
        <v>200014103</v>
      </c>
      <c r="B17437" t="str">
        <f>"1962248799"</f>
        <v>1962248799</v>
      </c>
      <c r="C17437" t="str">
        <f>"363LA2100X"</f>
        <v>363LA2100X</v>
      </c>
      <c r="D17437" t="str">
        <f>"ADDISON                  STEPHANI8E               "</f>
        <v xml:space="preserve">ADDISON                  STEPHANI8E               </v>
      </c>
      <c r="E17437" t="str">
        <f>"BILOXI                    "</f>
        <v xml:space="preserve">BILOXI                    </v>
      </c>
      <c r="F17437" t="str">
        <f t="shared" si="435"/>
        <v>MS</v>
      </c>
    </row>
    <row r="17438" spans="1:6" x14ac:dyDescent="0.25">
      <c r="A17438" t="str">
        <f>"200014107"</f>
        <v>200014107</v>
      </c>
      <c r="B17438" t="str">
        <f>"1831887728"</f>
        <v>1831887728</v>
      </c>
      <c r="C17438" t="str">
        <f>"363LF0000X"</f>
        <v>363LF0000X</v>
      </c>
      <c r="D17438" t="str">
        <f>"CHRESTMAN                MACEY                    "</f>
        <v xml:space="preserve">CHRESTMAN                MACEY                    </v>
      </c>
      <c r="E17438" t="str">
        <f>"OXFORD                    "</f>
        <v xml:space="preserve">OXFORD                    </v>
      </c>
      <c r="F17438" t="str">
        <f t="shared" si="435"/>
        <v>MS</v>
      </c>
    </row>
    <row r="17439" spans="1:6" x14ac:dyDescent="0.25">
      <c r="A17439" t="str">
        <f>"200014116"</f>
        <v>200014116</v>
      </c>
      <c r="B17439" t="str">
        <f>"1841494127"</f>
        <v>1841494127</v>
      </c>
      <c r="C17439" t="str">
        <f>"367500000X"</f>
        <v>367500000X</v>
      </c>
      <c r="D17439" t="str">
        <f>"MCCRORY                  JOHN                     "</f>
        <v xml:space="preserve">MCCRORY                  JOHN                     </v>
      </c>
      <c r="E17439" t="str">
        <f>"KOSCIUSKO                 "</f>
        <v xml:space="preserve">KOSCIUSKO                 </v>
      </c>
      <c r="F17439" t="str">
        <f t="shared" si="435"/>
        <v>MS</v>
      </c>
    </row>
    <row r="17440" spans="1:6" x14ac:dyDescent="0.25">
      <c r="A17440" t="str">
        <f>"200014117"</f>
        <v>200014117</v>
      </c>
      <c r="B17440" t="str">
        <f>"1427349885"</f>
        <v>1427349885</v>
      </c>
      <c r="C17440" t="str">
        <f>"363A00000X"</f>
        <v>363A00000X</v>
      </c>
      <c r="D17440" t="str">
        <f>"WILLIAMS                 JAMIE                    "</f>
        <v xml:space="preserve">WILLIAMS                 JAMIE                    </v>
      </c>
      <c r="E17440" t="str">
        <f>"PASCAGOULA                "</f>
        <v xml:space="preserve">PASCAGOULA                </v>
      </c>
      <c r="F17440" t="str">
        <f t="shared" si="435"/>
        <v>MS</v>
      </c>
    </row>
    <row r="17441" spans="1:6" x14ac:dyDescent="0.25">
      <c r="A17441" t="str">
        <f>"200014120"</f>
        <v>200014120</v>
      </c>
      <c r="B17441" t="str">
        <f>"1336981836"</f>
        <v>1336981836</v>
      </c>
      <c r="C17441" t="str">
        <f>"363LF0000X"</f>
        <v>363LF0000X</v>
      </c>
      <c r="D17441" t="str">
        <f>"HALL                     MAKAYLA      H           "</f>
        <v xml:space="preserve">HALL                     MAKAYLA      H           </v>
      </c>
      <c r="E17441" t="str">
        <f>"AMORY                     "</f>
        <v xml:space="preserve">AMORY                     </v>
      </c>
      <c r="F17441" t="str">
        <f t="shared" si="435"/>
        <v>MS</v>
      </c>
    </row>
    <row r="17442" spans="1:6" x14ac:dyDescent="0.25">
      <c r="A17442" t="str">
        <f>"200014123"</f>
        <v>200014123</v>
      </c>
      <c r="B17442" t="str">
        <f>"1861244204"</f>
        <v>1861244204</v>
      </c>
      <c r="C17442" t="str">
        <f>"207Q00000X"</f>
        <v>207Q00000X</v>
      </c>
      <c r="D17442" t="str">
        <f>"ROYSTON                  RACHEL                   "</f>
        <v xml:space="preserve">ROYSTON                  RACHEL                   </v>
      </c>
      <c r="E17442" t="str">
        <f>"JACKSON                   "</f>
        <v xml:space="preserve">JACKSON                   </v>
      </c>
      <c r="F17442" t="str">
        <f t="shared" si="435"/>
        <v>MS</v>
      </c>
    </row>
    <row r="17443" spans="1:6" x14ac:dyDescent="0.25">
      <c r="A17443" t="str">
        <f>"200014125"</f>
        <v>200014125</v>
      </c>
      <c r="B17443" t="str">
        <f>"1649231408"</f>
        <v>1649231408</v>
      </c>
      <c r="C17443" t="str">
        <f>"207V00000X"</f>
        <v>207V00000X</v>
      </c>
      <c r="D17443" t="str">
        <f>"HICKS                    JENNIFER     O           "</f>
        <v xml:space="preserve">HICKS                    JENNIFER     O           </v>
      </c>
      <c r="E17443" t="str">
        <f>"CANTON                    "</f>
        <v xml:space="preserve">CANTON                    </v>
      </c>
      <c r="F17443" t="str">
        <f t="shared" si="435"/>
        <v>MS</v>
      </c>
    </row>
    <row r="17444" spans="1:6" x14ac:dyDescent="0.25">
      <c r="A17444" t="str">
        <f>"200014126"</f>
        <v>200014126</v>
      </c>
      <c r="B17444" t="str">
        <f>"1740040559"</f>
        <v>1740040559</v>
      </c>
      <c r="C17444" t="str">
        <f>"363LF0000X"</f>
        <v>363LF0000X</v>
      </c>
      <c r="D17444" t="str">
        <f>"GARCIA                   HUNTER                   "</f>
        <v xml:space="preserve">GARCIA                   HUNTER                   </v>
      </c>
      <c r="E17444" t="str">
        <f>"OCEAN SPRINGS             "</f>
        <v xml:space="preserve">OCEAN SPRINGS             </v>
      </c>
      <c r="F17444" t="str">
        <f t="shared" si="435"/>
        <v>MS</v>
      </c>
    </row>
    <row r="17445" spans="1:6" x14ac:dyDescent="0.25">
      <c r="A17445" t="str">
        <f>"200014127"</f>
        <v>200014127</v>
      </c>
      <c r="B17445" t="str">
        <f>"1245488089"</f>
        <v>1245488089</v>
      </c>
      <c r="C17445" t="str">
        <f>"363LP0808X"</f>
        <v>363LP0808X</v>
      </c>
      <c r="D17445" t="str">
        <f>"ORSO                     SHAREN       E           "</f>
        <v xml:space="preserve">ORSO                     SHAREN       E           </v>
      </c>
      <c r="E17445" t="str">
        <f>"JACKSON                   "</f>
        <v xml:space="preserve">JACKSON                   </v>
      </c>
      <c r="F17445" t="str">
        <f t="shared" si="435"/>
        <v>MS</v>
      </c>
    </row>
    <row r="17446" spans="1:6" x14ac:dyDescent="0.25">
      <c r="A17446" t="str">
        <f>"200014128"</f>
        <v>200014128</v>
      </c>
      <c r="B17446" t="str">
        <f>"1003494931"</f>
        <v>1003494931</v>
      </c>
      <c r="C17446" t="str">
        <f>"204D00000X"</f>
        <v>204D00000X</v>
      </c>
      <c r="D17446" t="str">
        <f>"VOELPEL                  JOHN                     "</f>
        <v xml:space="preserve">VOELPEL                  JOHN                     </v>
      </c>
      <c r="E17446" t="str">
        <f>"SOUTHAVEN                 "</f>
        <v xml:space="preserve">SOUTHAVEN                 </v>
      </c>
      <c r="F17446" t="str">
        <f t="shared" si="435"/>
        <v>MS</v>
      </c>
    </row>
    <row r="17447" spans="1:6" x14ac:dyDescent="0.25">
      <c r="A17447" t="str">
        <f>"200014131"</f>
        <v>200014131</v>
      </c>
      <c r="B17447" t="str">
        <f>"1689851875"</f>
        <v>1689851875</v>
      </c>
      <c r="C17447" t="str">
        <f>"367500000X"</f>
        <v>367500000X</v>
      </c>
      <c r="D17447" t="str">
        <f>"KINNARD                  SONYA                    "</f>
        <v xml:space="preserve">KINNARD                  SONYA                    </v>
      </c>
      <c r="E17447" t="str">
        <f>"SOUTHAVEN                 "</f>
        <v xml:space="preserve">SOUTHAVEN                 </v>
      </c>
      <c r="F17447" t="str">
        <f t="shared" si="435"/>
        <v>MS</v>
      </c>
    </row>
    <row r="17448" spans="1:6" x14ac:dyDescent="0.25">
      <c r="A17448" t="str">
        <f>"200014139"</f>
        <v>200014139</v>
      </c>
      <c r="B17448" t="str">
        <f>"1346090644"</f>
        <v>1346090644</v>
      </c>
      <c r="C17448" t="str">
        <f>"207P00000X"</f>
        <v>207P00000X</v>
      </c>
      <c r="D17448" t="str">
        <f>"HOOPER                   LAUREN                   "</f>
        <v xml:space="preserve">HOOPER                   LAUREN                   </v>
      </c>
      <c r="E17448" t="str">
        <f>"JACKSON                   "</f>
        <v xml:space="preserve">JACKSON                   </v>
      </c>
      <c r="F17448" t="str">
        <f t="shared" si="435"/>
        <v>MS</v>
      </c>
    </row>
    <row r="17449" spans="1:6" x14ac:dyDescent="0.25">
      <c r="A17449" t="str">
        <f>"200014145"</f>
        <v>200014145</v>
      </c>
      <c r="B17449" t="str">
        <f>"1750161337"</f>
        <v>1750161337</v>
      </c>
      <c r="C17449" t="str">
        <f>"363LF0000X"</f>
        <v>363LF0000X</v>
      </c>
      <c r="D17449" t="str">
        <f>"TAYLOR                   HAILEY                   "</f>
        <v xml:space="preserve">TAYLOR                   HAILEY                   </v>
      </c>
      <c r="E17449" t="str">
        <f>"OCEAN SPRINGS             "</f>
        <v xml:space="preserve">OCEAN SPRINGS             </v>
      </c>
      <c r="F17449" t="str">
        <f t="shared" si="435"/>
        <v>MS</v>
      </c>
    </row>
    <row r="17450" spans="1:6" x14ac:dyDescent="0.25">
      <c r="A17450" t="str">
        <f>"200014146"</f>
        <v>200014146</v>
      </c>
      <c r="B17450" t="str">
        <f>"1861812083"</f>
        <v>1861812083</v>
      </c>
      <c r="C17450" t="str">
        <f>"2084N0400X"</f>
        <v>2084N0400X</v>
      </c>
      <c r="D17450" t="str">
        <f>"WEIJUN                   JIN                      "</f>
        <v xml:space="preserve">WEIJUN                   JIN                      </v>
      </c>
      <c r="E17450" t="str">
        <f>"SOUTHAVEN                 "</f>
        <v xml:space="preserve">SOUTHAVEN                 </v>
      </c>
      <c r="F17450" t="str">
        <f t="shared" si="435"/>
        <v>MS</v>
      </c>
    </row>
    <row r="17451" spans="1:6" x14ac:dyDescent="0.25">
      <c r="A17451" t="str">
        <f>"200014150"</f>
        <v>200014150</v>
      </c>
      <c r="B17451" t="str">
        <f>"1215776091"</f>
        <v>1215776091</v>
      </c>
      <c r="C17451" t="str">
        <f>"152W00000X"</f>
        <v>152W00000X</v>
      </c>
      <c r="D17451" t="str">
        <f>"CLARK                    MALLORY                  "</f>
        <v xml:space="preserve">CLARK                    MALLORY                  </v>
      </c>
      <c r="E17451" t="str">
        <f>"OCEAN SPRINGS             "</f>
        <v xml:space="preserve">OCEAN SPRINGS             </v>
      </c>
      <c r="F17451" t="str">
        <f t="shared" si="435"/>
        <v>MS</v>
      </c>
    </row>
    <row r="17452" spans="1:6" x14ac:dyDescent="0.25">
      <c r="A17452" t="str">
        <f>"200014151"</f>
        <v>200014151</v>
      </c>
      <c r="B17452" t="str">
        <f>"1679156392"</f>
        <v>1679156392</v>
      </c>
      <c r="C17452" t="str">
        <f>"208M00000X"</f>
        <v>208M00000X</v>
      </c>
      <c r="D17452" t="str">
        <f>"RAZA                     MUHAMMAD                 "</f>
        <v xml:space="preserve">RAZA                     MUHAMMAD                 </v>
      </c>
      <c r="E17452" t="str">
        <f>"JACKSON                   "</f>
        <v xml:space="preserve">JACKSON                   </v>
      </c>
      <c r="F17452" t="str">
        <f t="shared" si="435"/>
        <v>MS</v>
      </c>
    </row>
    <row r="17453" spans="1:6" x14ac:dyDescent="0.25">
      <c r="A17453" t="str">
        <f>"200014155"</f>
        <v>200014155</v>
      </c>
      <c r="B17453" t="str">
        <f>"1134485725"</f>
        <v>1134485725</v>
      </c>
      <c r="C17453" t="str">
        <f>"367500000X"</f>
        <v>367500000X</v>
      </c>
      <c r="D17453" t="str">
        <f>"BEAM                     ASHLEY                   "</f>
        <v xml:space="preserve">BEAM                     ASHLEY                   </v>
      </c>
      <c r="E17453" t="str">
        <f>"FLOWOOD                   "</f>
        <v xml:space="preserve">FLOWOOD                   </v>
      </c>
      <c r="F17453" t="str">
        <f t="shared" si="435"/>
        <v>MS</v>
      </c>
    </row>
    <row r="17454" spans="1:6" x14ac:dyDescent="0.25">
      <c r="A17454" t="str">
        <f>"200014156"</f>
        <v>200014156</v>
      </c>
      <c r="B17454" t="str">
        <f>"1306120902"</f>
        <v>1306120902</v>
      </c>
      <c r="C17454" t="str">
        <f>"363LF0000X"</f>
        <v>363LF0000X</v>
      </c>
      <c r="D17454" t="str">
        <f>"BOWERS                   LISA                     "</f>
        <v xml:space="preserve">BOWERS                   LISA                     </v>
      </c>
      <c r="E17454" t="str">
        <f>"OLIVE BRANCH              "</f>
        <v xml:space="preserve">OLIVE BRANCH              </v>
      </c>
      <c r="F17454" t="str">
        <f t="shared" si="435"/>
        <v>MS</v>
      </c>
    </row>
    <row r="17455" spans="1:6" x14ac:dyDescent="0.25">
      <c r="A17455" t="str">
        <f>"200014158"</f>
        <v>200014158</v>
      </c>
      <c r="B17455" t="str">
        <f>"1649037904"</f>
        <v>1649037904</v>
      </c>
      <c r="C17455" t="str">
        <f>"363LF0000X"</f>
        <v>363LF0000X</v>
      </c>
      <c r="D17455" t="str">
        <f>"RUSSELL                  SARAH                    "</f>
        <v xml:space="preserve">RUSSELL                  SARAH                    </v>
      </c>
      <c r="E17455" t="str">
        <f>"JACKSON                   "</f>
        <v xml:space="preserve">JACKSON                   </v>
      </c>
      <c r="F17455" t="str">
        <f t="shared" si="435"/>
        <v>MS</v>
      </c>
    </row>
    <row r="17456" spans="1:6" x14ac:dyDescent="0.25">
      <c r="A17456" t="str">
        <f>"200014160"</f>
        <v>200014160</v>
      </c>
      <c r="B17456" t="str">
        <f>"1245790179"</f>
        <v>1245790179</v>
      </c>
      <c r="C17456" t="str">
        <f>"207Y00000X"</f>
        <v>207Y00000X</v>
      </c>
      <c r="D17456" t="str">
        <f>"KRAFT                    ASHLEY                   "</f>
        <v xml:space="preserve">KRAFT                    ASHLEY                   </v>
      </c>
      <c r="E17456" t="str">
        <f>"GULFPORT                  "</f>
        <v xml:space="preserve">GULFPORT                  </v>
      </c>
      <c r="F17456" t="str">
        <f t="shared" si="435"/>
        <v>MS</v>
      </c>
    </row>
    <row r="17457" spans="1:6" x14ac:dyDescent="0.25">
      <c r="A17457" t="str">
        <f>"200014163"</f>
        <v>200014163</v>
      </c>
      <c r="B17457" t="str">
        <f>"1205521028"</f>
        <v>1205521028</v>
      </c>
      <c r="C17457" t="str">
        <f>"363LF0000X"</f>
        <v>363LF0000X</v>
      </c>
      <c r="D17457" t="str">
        <f>"MITCHELL                 ANGELA                   "</f>
        <v xml:space="preserve">MITCHELL                 ANGELA                   </v>
      </c>
      <c r="E17457" t="str">
        <f>"SOUTHAVEN                 "</f>
        <v xml:space="preserve">SOUTHAVEN                 </v>
      </c>
      <c r="F17457" t="str">
        <f t="shared" si="435"/>
        <v>MS</v>
      </c>
    </row>
    <row r="17458" spans="1:6" x14ac:dyDescent="0.25">
      <c r="A17458" t="str">
        <f>"200014168"</f>
        <v>200014168</v>
      </c>
      <c r="B17458" t="str">
        <f>"1447923651"</f>
        <v>1447923651</v>
      </c>
      <c r="C17458" t="str">
        <f>"363A00000X"</f>
        <v>363A00000X</v>
      </c>
      <c r="D17458" t="str">
        <f>"INMON                    CARLEY                   "</f>
        <v xml:space="preserve">INMON                    CARLEY                   </v>
      </c>
      <c r="E17458" t="str">
        <f>"HATTIESBURG               "</f>
        <v xml:space="preserve">HATTIESBURG               </v>
      </c>
      <c r="F17458" t="str">
        <f t="shared" si="435"/>
        <v>MS</v>
      </c>
    </row>
    <row r="17459" spans="1:6" x14ac:dyDescent="0.25">
      <c r="A17459" t="str">
        <f>"200014170"</f>
        <v>200014170</v>
      </c>
      <c r="B17459" t="str">
        <f>"1144054701"</f>
        <v>1144054701</v>
      </c>
      <c r="C17459" t="str">
        <f>"363LF0000X"</f>
        <v>363LF0000X</v>
      </c>
      <c r="D17459" t="str">
        <f>"HATCH                    MARNISHA                 "</f>
        <v xml:space="preserve">HATCH                    MARNISHA                 </v>
      </c>
      <c r="E17459" t="str">
        <f>"JACKSON                   "</f>
        <v xml:space="preserve">JACKSON                   </v>
      </c>
      <c r="F17459" t="str">
        <f t="shared" si="435"/>
        <v>MS</v>
      </c>
    </row>
    <row r="17460" spans="1:6" x14ac:dyDescent="0.25">
      <c r="A17460" t="str">
        <f>"200014179"</f>
        <v>200014179</v>
      </c>
      <c r="B17460" t="str">
        <f>"1982457222"</f>
        <v>1982457222</v>
      </c>
      <c r="C17460" t="str">
        <f>"207X00000X"</f>
        <v>207X00000X</v>
      </c>
      <c r="D17460" t="str">
        <f>"APARICIO                 HUMBERTO                 "</f>
        <v xml:space="preserve">APARICIO                 HUMBERTO                 </v>
      </c>
      <c r="E17460" t="str">
        <f>"JACKSON                   "</f>
        <v xml:space="preserve">JACKSON                   </v>
      </c>
      <c r="F17460" t="str">
        <f t="shared" si="435"/>
        <v>MS</v>
      </c>
    </row>
    <row r="17461" spans="1:6" x14ac:dyDescent="0.25">
      <c r="A17461" t="str">
        <f>"200014180"</f>
        <v>200014180</v>
      </c>
      <c r="B17461" t="str">
        <f>"1699484634"</f>
        <v>1699484634</v>
      </c>
      <c r="C17461" t="str">
        <f>"363L00000X"</f>
        <v>363L00000X</v>
      </c>
      <c r="D17461" t="str">
        <f>"LUKE                     CARSON                   "</f>
        <v xml:space="preserve">LUKE                     CARSON                   </v>
      </c>
      <c r="E17461" t="str">
        <f>"HATTIESBURG               "</f>
        <v xml:space="preserve">HATTIESBURG               </v>
      </c>
      <c r="F17461" t="str">
        <f t="shared" si="435"/>
        <v>MS</v>
      </c>
    </row>
    <row r="17462" spans="1:6" x14ac:dyDescent="0.25">
      <c r="A17462" t="str">
        <f>"200014181"</f>
        <v>200014181</v>
      </c>
      <c r="B17462" t="str">
        <f>"1841756731"</f>
        <v>1841756731</v>
      </c>
      <c r="C17462" t="str">
        <f>"363LF0000X"</f>
        <v>363LF0000X</v>
      </c>
      <c r="D17462" t="str">
        <f>"WHATLEY                  SONYA                    "</f>
        <v xml:space="preserve">WHATLEY                  SONYA                    </v>
      </c>
      <c r="E17462" t="str">
        <f>"VICKSBURG                 "</f>
        <v xml:space="preserve">VICKSBURG                 </v>
      </c>
      <c r="F17462" t="str">
        <f t="shared" si="435"/>
        <v>MS</v>
      </c>
    </row>
    <row r="17463" spans="1:6" x14ac:dyDescent="0.25">
      <c r="A17463" t="str">
        <f>"200014193"</f>
        <v>200014193</v>
      </c>
      <c r="B17463" t="str">
        <f>"1578953139"</f>
        <v>1578953139</v>
      </c>
      <c r="C17463" t="str">
        <f>"363LP0808X"</f>
        <v>363LP0808X</v>
      </c>
      <c r="D17463" t="str">
        <f>"BICKHAM                  KELA                     "</f>
        <v xml:space="preserve">BICKHAM                  KELA                     </v>
      </c>
      <c r="E17463" t="str">
        <f>"BILOXI                    "</f>
        <v xml:space="preserve">BILOXI                    </v>
      </c>
      <c r="F17463" t="str">
        <f t="shared" si="435"/>
        <v>MS</v>
      </c>
    </row>
    <row r="17464" spans="1:6" x14ac:dyDescent="0.25">
      <c r="A17464" t="str">
        <f>"200014194"</f>
        <v>200014194</v>
      </c>
      <c r="B17464" t="str">
        <f>"1013743152"</f>
        <v>1013743152</v>
      </c>
      <c r="C17464" t="str">
        <f>"363LF0000X"</f>
        <v>363LF0000X</v>
      </c>
      <c r="D17464" t="str">
        <f>"JONES                    DENISE                   "</f>
        <v xml:space="preserve">JONES                    DENISE                   </v>
      </c>
      <c r="E17464" t="str">
        <f>"GAUTIER                   "</f>
        <v xml:space="preserve">GAUTIER                   </v>
      </c>
      <c r="F17464" t="str">
        <f t="shared" si="435"/>
        <v>MS</v>
      </c>
    </row>
    <row r="17465" spans="1:6" x14ac:dyDescent="0.25">
      <c r="A17465" t="str">
        <f>"200014195"</f>
        <v>200014195</v>
      </c>
      <c r="B17465" t="str">
        <f>"1013743152"</f>
        <v>1013743152</v>
      </c>
      <c r="C17465" t="str">
        <f>"363L00000X"</f>
        <v>363L00000X</v>
      </c>
      <c r="D17465" t="str">
        <f>"JONES                    DENISE                   "</f>
        <v xml:space="preserve">JONES                    DENISE                   </v>
      </c>
      <c r="E17465" t="str">
        <f>"GAUTIER                   "</f>
        <v xml:space="preserve">GAUTIER                   </v>
      </c>
      <c r="F17465" t="str">
        <f t="shared" si="435"/>
        <v>MS</v>
      </c>
    </row>
    <row r="17466" spans="1:6" x14ac:dyDescent="0.25">
      <c r="A17466" t="str">
        <f>"200014196"</f>
        <v>200014196</v>
      </c>
      <c r="B17466" t="str">
        <f>"1053147579"</f>
        <v>1053147579</v>
      </c>
      <c r="C17466" t="str">
        <f>"363LF0000X"</f>
        <v>363LF0000X</v>
      </c>
      <c r="D17466" t="str">
        <f>"SHIOLI BAXTER            NICOLE                   "</f>
        <v xml:space="preserve">SHIOLI BAXTER            NICOLE                   </v>
      </c>
      <c r="E17466" t="str">
        <f>"LONG BEACH                "</f>
        <v xml:space="preserve">LONG BEACH                </v>
      </c>
      <c r="F17466" t="str">
        <f t="shared" si="435"/>
        <v>MS</v>
      </c>
    </row>
    <row r="17467" spans="1:6" x14ac:dyDescent="0.25">
      <c r="A17467" t="str">
        <f>"200014197"</f>
        <v>200014197</v>
      </c>
      <c r="B17467" t="str">
        <f>"1053147579"</f>
        <v>1053147579</v>
      </c>
      <c r="C17467" t="str">
        <f>"363L00000X"</f>
        <v>363L00000X</v>
      </c>
      <c r="D17467" t="str">
        <f>"SHIOLI BAXTER            NICOLE                   "</f>
        <v xml:space="preserve">SHIOLI BAXTER            NICOLE                   </v>
      </c>
      <c r="E17467" t="str">
        <f>"LONG BEACH                "</f>
        <v xml:space="preserve">LONG BEACH                </v>
      </c>
      <c r="F17467" t="str">
        <f t="shared" si="435"/>
        <v>MS</v>
      </c>
    </row>
    <row r="17468" spans="1:6" x14ac:dyDescent="0.25">
      <c r="A17468" t="str">
        <f>"200014201"</f>
        <v>200014201</v>
      </c>
      <c r="B17468" t="str">
        <f>"1396087698"</f>
        <v>1396087698</v>
      </c>
      <c r="C17468" t="str">
        <f>"207RA0401X"</f>
        <v>207RA0401X</v>
      </c>
      <c r="D17468" t="str">
        <f>"TAMBINI                  PAMELA                   "</f>
        <v xml:space="preserve">TAMBINI                  PAMELA                   </v>
      </c>
      <c r="E17468" t="str">
        <f>"BILOXI                    "</f>
        <v xml:space="preserve">BILOXI                    </v>
      </c>
      <c r="F17468" t="str">
        <f t="shared" si="435"/>
        <v>MS</v>
      </c>
    </row>
    <row r="17469" spans="1:6" x14ac:dyDescent="0.25">
      <c r="A17469" t="str">
        <f>"200014210"</f>
        <v>200014210</v>
      </c>
      <c r="B17469" t="str">
        <f>"1083087076"</f>
        <v>1083087076</v>
      </c>
      <c r="C17469" t="str">
        <f>"363L00000X"</f>
        <v>363L00000X</v>
      </c>
      <c r="D17469" t="str">
        <f>"MCLELLAN                 APRIL                    "</f>
        <v xml:space="preserve">MCLELLAN                 APRIL                    </v>
      </c>
      <c r="E17469" t="str">
        <f>"CARTHAGE                  "</f>
        <v xml:space="preserve">CARTHAGE                  </v>
      </c>
      <c r="F17469" t="str">
        <f t="shared" si="435"/>
        <v>MS</v>
      </c>
    </row>
    <row r="17470" spans="1:6" x14ac:dyDescent="0.25">
      <c r="A17470" t="str">
        <f>"200014220"</f>
        <v>200014220</v>
      </c>
      <c r="B17470" t="str">
        <f>"1336987767"</f>
        <v>1336987767</v>
      </c>
      <c r="C17470" t="str">
        <f>"261QM1300X"</f>
        <v>261QM1300X</v>
      </c>
      <c r="D17470" t="str">
        <f>"POSITIVE MINDS MATTER                             "</f>
        <v xml:space="preserve">POSITIVE MINDS MATTER                             </v>
      </c>
      <c r="E17470" t="str">
        <f>"GULFPORT                  "</f>
        <v xml:space="preserve">GULFPORT                  </v>
      </c>
      <c r="F17470" t="str">
        <f t="shared" ref="F17470:F17533" si="436">"MS"</f>
        <v>MS</v>
      </c>
    </row>
    <row r="17471" spans="1:6" x14ac:dyDescent="0.25">
      <c r="A17471" t="str">
        <f>"200014222"</f>
        <v>200014222</v>
      </c>
      <c r="B17471" t="str">
        <f>"1033564026"</f>
        <v>1033564026</v>
      </c>
      <c r="C17471" t="str">
        <f>"207RC0200X"</f>
        <v>207RC0200X</v>
      </c>
      <c r="D17471" t="str">
        <f>"AGARWAL                  AYSHA                    "</f>
        <v xml:space="preserve">AGARWAL                  AYSHA                    </v>
      </c>
      <c r="E17471" t="str">
        <f>"BILOXI                    "</f>
        <v xml:space="preserve">BILOXI                    </v>
      </c>
      <c r="F17471" t="str">
        <f t="shared" si="436"/>
        <v>MS</v>
      </c>
    </row>
    <row r="17472" spans="1:6" x14ac:dyDescent="0.25">
      <c r="A17472" t="str">
        <f>"200014225"</f>
        <v>200014225</v>
      </c>
      <c r="B17472" t="str">
        <f>"1003651027"</f>
        <v>1003651027</v>
      </c>
      <c r="C17472" t="str">
        <f>"2084P0800X"</f>
        <v>2084P0800X</v>
      </c>
      <c r="D17472" t="str">
        <f>"WARD                     LUTHER       J           "</f>
        <v xml:space="preserve">WARD                     LUTHER       J           </v>
      </c>
      <c r="E17472" t="str">
        <f>"WHITFIELD                 "</f>
        <v xml:space="preserve">WHITFIELD                 </v>
      </c>
      <c r="F17472" t="str">
        <f t="shared" si="436"/>
        <v>MS</v>
      </c>
    </row>
    <row r="17473" spans="1:6" x14ac:dyDescent="0.25">
      <c r="A17473" t="str">
        <f>"200014228"</f>
        <v>200014228</v>
      </c>
      <c r="B17473" t="str">
        <f>"1568945947"</f>
        <v>1568945947</v>
      </c>
      <c r="C17473" t="str">
        <f>"363L00000X"</f>
        <v>363L00000X</v>
      </c>
      <c r="D17473" t="str">
        <f>"JACKSON                  ANDREA                   "</f>
        <v xml:space="preserve">JACKSON                  ANDREA                   </v>
      </c>
      <c r="E17473" t="str">
        <f>"COLUMBUS                  "</f>
        <v xml:space="preserve">COLUMBUS                  </v>
      </c>
      <c r="F17473" t="str">
        <f t="shared" si="436"/>
        <v>MS</v>
      </c>
    </row>
    <row r="17474" spans="1:6" x14ac:dyDescent="0.25">
      <c r="A17474" t="str">
        <f>"200014237"</f>
        <v>200014237</v>
      </c>
      <c r="B17474" t="str">
        <f>"1578319349"</f>
        <v>1578319349</v>
      </c>
      <c r="C17474" t="str">
        <f>"363LF0000X"</f>
        <v>363LF0000X</v>
      </c>
      <c r="D17474" t="str">
        <f>"BESHEARS                 PATRICK                  "</f>
        <v xml:space="preserve">BESHEARS                 PATRICK                  </v>
      </c>
      <c r="E17474" t="str">
        <f>"MCCOMB                    "</f>
        <v xml:space="preserve">MCCOMB                    </v>
      </c>
      <c r="F17474" t="str">
        <f t="shared" si="436"/>
        <v>MS</v>
      </c>
    </row>
    <row r="17475" spans="1:6" x14ac:dyDescent="0.25">
      <c r="A17475" t="str">
        <f>"200014242"</f>
        <v>200014242</v>
      </c>
      <c r="B17475" t="str">
        <f>"1003656968"</f>
        <v>1003656968</v>
      </c>
      <c r="C17475" t="str">
        <f>"207R00000X"</f>
        <v>207R00000X</v>
      </c>
      <c r="D17475" t="str">
        <f>"YASMIN                   SAEEDA                   "</f>
        <v xml:space="preserve">YASMIN                   SAEEDA                   </v>
      </c>
      <c r="E17475" t="str">
        <f>"GULFPORT                  "</f>
        <v xml:space="preserve">GULFPORT                  </v>
      </c>
      <c r="F17475" t="str">
        <f t="shared" si="436"/>
        <v>MS</v>
      </c>
    </row>
    <row r="17476" spans="1:6" x14ac:dyDescent="0.25">
      <c r="A17476" t="str">
        <f>"200014244"</f>
        <v>200014244</v>
      </c>
      <c r="B17476" t="str">
        <f>"1669818399"</f>
        <v>1669818399</v>
      </c>
      <c r="C17476" t="str">
        <f>"2084N0400X"</f>
        <v>2084N0400X</v>
      </c>
      <c r="D17476" t="str">
        <f>"ZALEWSKI                 NICHOLAS                 "</f>
        <v xml:space="preserve">ZALEWSKI                 NICHOLAS                 </v>
      </c>
      <c r="E17476" t="str">
        <f>"TUPELO                    "</f>
        <v xml:space="preserve">TUPELO                    </v>
      </c>
      <c r="F17476" t="str">
        <f t="shared" si="436"/>
        <v>MS</v>
      </c>
    </row>
    <row r="17477" spans="1:6" x14ac:dyDescent="0.25">
      <c r="A17477" t="str">
        <f>"200014247"</f>
        <v>200014247</v>
      </c>
      <c r="B17477" t="str">
        <f>"1922041896"</f>
        <v>1922041896</v>
      </c>
      <c r="C17477" t="str">
        <f>"2085R0204X"</f>
        <v>2085R0204X</v>
      </c>
      <c r="D17477" t="str">
        <f>"JONES                    GEOFFREY                 "</f>
        <v xml:space="preserve">JONES                    GEOFFREY                 </v>
      </c>
      <c r="E17477" t="str">
        <f>"SOUTHAVEN                 "</f>
        <v xml:space="preserve">SOUTHAVEN                 </v>
      </c>
      <c r="F17477" t="str">
        <f t="shared" si="436"/>
        <v>MS</v>
      </c>
    </row>
    <row r="17478" spans="1:6" x14ac:dyDescent="0.25">
      <c r="A17478" t="str">
        <f>"200014255"</f>
        <v>200014255</v>
      </c>
      <c r="B17478" t="str">
        <f>"1790714954"</f>
        <v>1790714954</v>
      </c>
      <c r="C17478" t="str">
        <f>"207RC0000X"</f>
        <v>207RC0000X</v>
      </c>
      <c r="D17478" t="str">
        <f>"ASHLEY                   KELLAN                   "</f>
        <v xml:space="preserve">ASHLEY                   KELLAN                   </v>
      </c>
      <c r="E17478" t="str">
        <f>"JACKSON                   "</f>
        <v xml:space="preserve">JACKSON                   </v>
      </c>
      <c r="F17478" t="str">
        <f t="shared" si="436"/>
        <v>MS</v>
      </c>
    </row>
    <row r="17479" spans="1:6" x14ac:dyDescent="0.25">
      <c r="A17479" t="str">
        <f>"200014256"</f>
        <v>200014256</v>
      </c>
      <c r="B17479" t="str">
        <f>"1790714954"</f>
        <v>1790714954</v>
      </c>
      <c r="C17479" t="str">
        <f>"207RI0011X"</f>
        <v>207RI0011X</v>
      </c>
      <c r="D17479" t="str">
        <f>"ASHLEY                   KELLAN                   "</f>
        <v xml:space="preserve">ASHLEY                   KELLAN                   </v>
      </c>
      <c r="E17479" t="str">
        <f>"JACKSON                   "</f>
        <v xml:space="preserve">JACKSON                   </v>
      </c>
      <c r="F17479" t="str">
        <f t="shared" si="436"/>
        <v>MS</v>
      </c>
    </row>
    <row r="17480" spans="1:6" x14ac:dyDescent="0.25">
      <c r="A17480" t="str">
        <f>"200014257"</f>
        <v>200014257</v>
      </c>
      <c r="B17480" t="str">
        <f>"1689440133"</f>
        <v>1689440133</v>
      </c>
      <c r="C17480" t="str">
        <f>"261QF0400X"</f>
        <v>261QF0400X</v>
      </c>
      <c r="D17480" t="str">
        <f>"FAMILY HEALTH CARE CLINIC INC                     "</f>
        <v xml:space="preserve">FAMILY HEALTH CARE CLINIC INC                     </v>
      </c>
      <c r="E17480" t="str">
        <f>"FLOWOOD                   "</f>
        <v xml:space="preserve">FLOWOOD                   </v>
      </c>
      <c r="F17480" t="str">
        <f t="shared" si="436"/>
        <v>MS</v>
      </c>
    </row>
    <row r="17481" spans="1:6" x14ac:dyDescent="0.25">
      <c r="A17481" t="str">
        <f>"200014258"</f>
        <v>200014258</v>
      </c>
      <c r="B17481" t="str">
        <f>"1245012988"</f>
        <v>1245012988</v>
      </c>
      <c r="C17481" t="str">
        <f>"261QF0400X"</f>
        <v>261QF0400X</v>
      </c>
      <c r="D17481" t="str">
        <f>"ACCESS MOBILE HEALTH CLINIC                       "</f>
        <v xml:space="preserve">ACCESS MOBILE HEALTH CLINIC                       </v>
      </c>
      <c r="E17481" t="str">
        <f>"SMITHVILLE                "</f>
        <v xml:space="preserve">SMITHVILLE                </v>
      </c>
      <c r="F17481" t="str">
        <f t="shared" si="436"/>
        <v>MS</v>
      </c>
    </row>
    <row r="17482" spans="1:6" x14ac:dyDescent="0.25">
      <c r="A17482" t="str">
        <f>"200014260"</f>
        <v>200014260</v>
      </c>
      <c r="B17482" t="str">
        <f>"1720847494"</f>
        <v>1720847494</v>
      </c>
      <c r="C17482" t="str">
        <f>"207T00000X"</f>
        <v>207T00000X</v>
      </c>
      <c r="D17482" t="str">
        <f>"RICHARDSON               WILLIAM                  "</f>
        <v xml:space="preserve">RICHARDSON               WILLIAM                  </v>
      </c>
      <c r="E17482" t="str">
        <f>"JACKSON                   "</f>
        <v xml:space="preserve">JACKSON                   </v>
      </c>
      <c r="F17482" t="str">
        <f t="shared" si="436"/>
        <v>MS</v>
      </c>
    </row>
    <row r="17483" spans="1:6" x14ac:dyDescent="0.25">
      <c r="A17483" t="str">
        <f>"200014261"</f>
        <v>200014261</v>
      </c>
      <c r="B17483" t="str">
        <f>"1710682521"</f>
        <v>1710682521</v>
      </c>
      <c r="C17483" t="str">
        <f>"207P00000X"</f>
        <v>207P00000X</v>
      </c>
      <c r="D17483" t="str">
        <f>"KENNEDY                  KYLE                     "</f>
        <v xml:space="preserve">KENNEDY                  KYLE                     </v>
      </c>
      <c r="E17483" t="str">
        <f>"JACKSON                   "</f>
        <v xml:space="preserve">JACKSON                   </v>
      </c>
      <c r="F17483" t="str">
        <f t="shared" si="436"/>
        <v>MS</v>
      </c>
    </row>
    <row r="17484" spans="1:6" x14ac:dyDescent="0.25">
      <c r="A17484" t="str">
        <f>"200014266"</f>
        <v>200014266</v>
      </c>
      <c r="B17484" t="str">
        <f>"1487918900"</f>
        <v>1487918900</v>
      </c>
      <c r="C17484" t="str">
        <f>"207R00000X"</f>
        <v>207R00000X</v>
      </c>
      <c r="D17484" t="str">
        <f>"MORRIS                   SEGER                    "</f>
        <v xml:space="preserve">MORRIS                   SEGER                    </v>
      </c>
      <c r="E17484" t="str">
        <f>"OXFORD                    "</f>
        <v xml:space="preserve">OXFORD                    </v>
      </c>
      <c r="F17484" t="str">
        <f t="shared" si="436"/>
        <v>MS</v>
      </c>
    </row>
    <row r="17485" spans="1:6" x14ac:dyDescent="0.25">
      <c r="A17485" t="str">
        <f>"200014269"</f>
        <v>200014269</v>
      </c>
      <c r="B17485" t="str">
        <f>"1285144584"</f>
        <v>1285144584</v>
      </c>
      <c r="C17485" t="str">
        <f>"363LF0000X"</f>
        <v>363LF0000X</v>
      </c>
      <c r="D17485" t="str">
        <f>"KEYES                    NATALIE                  "</f>
        <v xml:space="preserve">KEYES                    NATALIE                  </v>
      </c>
      <c r="E17485" t="str">
        <f>"MAGEE                     "</f>
        <v xml:space="preserve">MAGEE                     </v>
      </c>
      <c r="F17485" t="str">
        <f t="shared" si="436"/>
        <v>MS</v>
      </c>
    </row>
    <row r="17486" spans="1:6" x14ac:dyDescent="0.25">
      <c r="A17486" t="str">
        <f>"200014275"</f>
        <v>200014275</v>
      </c>
      <c r="B17486" t="str">
        <f>"1164057865"</f>
        <v>1164057865</v>
      </c>
      <c r="C17486" t="str">
        <f>"363LA2100X"</f>
        <v>363LA2100X</v>
      </c>
      <c r="D17486" t="str">
        <f>"SWANNER                  KIMBERLY                 "</f>
        <v xml:space="preserve">SWANNER                  KIMBERLY                 </v>
      </c>
      <c r="E17486" t="str">
        <f>"AMORY                     "</f>
        <v xml:space="preserve">AMORY                     </v>
      </c>
      <c r="F17486" t="str">
        <f t="shared" si="436"/>
        <v>MS</v>
      </c>
    </row>
    <row r="17487" spans="1:6" x14ac:dyDescent="0.25">
      <c r="A17487" t="str">
        <f>"200014276"</f>
        <v>200014276</v>
      </c>
      <c r="B17487" t="str">
        <f>"1578589578"</f>
        <v>1578589578</v>
      </c>
      <c r="C17487" t="str">
        <f>"208600000X"</f>
        <v>208600000X</v>
      </c>
      <c r="D17487" t="str">
        <f>"LINDSEY                  LINDA                    "</f>
        <v xml:space="preserve">LINDSEY                  LINDA                    </v>
      </c>
      <c r="E17487" t="str">
        <f>"VICKSBURG                 "</f>
        <v xml:space="preserve">VICKSBURG                 </v>
      </c>
      <c r="F17487" t="str">
        <f t="shared" si="436"/>
        <v>MS</v>
      </c>
    </row>
    <row r="17488" spans="1:6" x14ac:dyDescent="0.25">
      <c r="A17488" t="str">
        <f>"200014281"</f>
        <v>200014281</v>
      </c>
      <c r="B17488" t="str">
        <f>"1124272893"</f>
        <v>1124272893</v>
      </c>
      <c r="C17488" t="str">
        <f>"363LA2100X"</f>
        <v>363LA2100X</v>
      </c>
      <c r="D17488" t="str">
        <f>"LESLIE                   LESLIE                   "</f>
        <v xml:space="preserve">LESLIE                   LESLIE                   </v>
      </c>
      <c r="E17488" t="str">
        <f>"FLOWOOD                   "</f>
        <v xml:space="preserve">FLOWOOD                   </v>
      </c>
      <c r="F17488" t="str">
        <f t="shared" si="436"/>
        <v>MS</v>
      </c>
    </row>
    <row r="17489" spans="1:6" x14ac:dyDescent="0.25">
      <c r="A17489" t="str">
        <f>"200014290"</f>
        <v>200014290</v>
      </c>
      <c r="B17489" t="str">
        <f>"1770329732"</f>
        <v>1770329732</v>
      </c>
      <c r="C17489" t="str">
        <f>"363LP0808X"</f>
        <v>363LP0808X</v>
      </c>
      <c r="D17489" t="str">
        <f>"BARRETT                  MISTY                    "</f>
        <v xml:space="preserve">BARRETT                  MISTY                    </v>
      </c>
      <c r="E17489" t="str">
        <f>"PURVIS                    "</f>
        <v xml:space="preserve">PURVIS                    </v>
      </c>
      <c r="F17489" t="str">
        <f t="shared" si="436"/>
        <v>MS</v>
      </c>
    </row>
    <row r="17490" spans="1:6" x14ac:dyDescent="0.25">
      <c r="A17490" t="str">
        <f>"200014296"</f>
        <v>200014296</v>
      </c>
      <c r="B17490" t="str">
        <f>"1568041804"</f>
        <v>1568041804</v>
      </c>
      <c r="C17490" t="str">
        <f>"208000000X"</f>
        <v>208000000X</v>
      </c>
      <c r="D17490" t="str">
        <f>"JAHN                     TAYLOR                   "</f>
        <v xml:space="preserve">JAHN                     TAYLOR                   </v>
      </c>
      <c r="E17490" t="str">
        <f>"GULFPORT                  "</f>
        <v xml:space="preserve">GULFPORT                  </v>
      </c>
      <c r="F17490" t="str">
        <f t="shared" si="436"/>
        <v>MS</v>
      </c>
    </row>
    <row r="17491" spans="1:6" x14ac:dyDescent="0.25">
      <c r="A17491" t="str">
        <f>"200014306"</f>
        <v>200014306</v>
      </c>
      <c r="B17491" t="str">
        <f>"1972129609"</f>
        <v>1972129609</v>
      </c>
      <c r="C17491" t="str">
        <f>"363LF0000X"</f>
        <v>363LF0000X</v>
      </c>
      <c r="D17491" t="str">
        <f>"ELLZEY                   BONNIE                   "</f>
        <v xml:space="preserve">ELLZEY                   BONNIE                   </v>
      </c>
      <c r="E17491" t="str">
        <f>"OXFORD                    "</f>
        <v xml:space="preserve">OXFORD                    </v>
      </c>
      <c r="F17491" t="str">
        <f t="shared" si="436"/>
        <v>MS</v>
      </c>
    </row>
    <row r="17492" spans="1:6" x14ac:dyDescent="0.25">
      <c r="A17492" t="str">
        <f>"200014315"</f>
        <v>200014315</v>
      </c>
      <c r="B17492" t="str">
        <f>"1134908593"</f>
        <v>1134908593</v>
      </c>
      <c r="C17492" t="str">
        <f>"363L00000X"</f>
        <v>363L00000X</v>
      </c>
      <c r="D17492" t="str">
        <f>"ADKINS                   CODY         O           "</f>
        <v xml:space="preserve">ADKINS                   CODY         O           </v>
      </c>
      <c r="E17492" t="str">
        <f>"CLINTON                   "</f>
        <v xml:space="preserve">CLINTON                   </v>
      </c>
      <c r="F17492" t="str">
        <f t="shared" si="436"/>
        <v>MS</v>
      </c>
    </row>
    <row r="17493" spans="1:6" x14ac:dyDescent="0.25">
      <c r="A17493" t="str">
        <f>"200014326"</f>
        <v>200014326</v>
      </c>
      <c r="B17493" t="str">
        <f>"1508865239"</f>
        <v>1508865239</v>
      </c>
      <c r="C17493" t="str">
        <f>"207RC0200X"</f>
        <v>207RC0200X</v>
      </c>
      <c r="D17493" t="str">
        <f>"RAHMAN                   KHAWAJA                  "</f>
        <v xml:space="preserve">RAHMAN                   KHAWAJA                  </v>
      </c>
      <c r="E17493" t="str">
        <f>"BILOXI                    "</f>
        <v xml:space="preserve">BILOXI                    </v>
      </c>
      <c r="F17493" t="str">
        <f t="shared" si="436"/>
        <v>MS</v>
      </c>
    </row>
    <row r="17494" spans="1:6" x14ac:dyDescent="0.25">
      <c r="A17494" t="str">
        <f>"200014327"</f>
        <v>200014327</v>
      </c>
      <c r="B17494" t="str">
        <f>"1184833188"</f>
        <v>1184833188</v>
      </c>
      <c r="C17494" t="str">
        <f>"2085R0202X"</f>
        <v>2085R0202X</v>
      </c>
      <c r="D17494" t="str">
        <f>"WILKERSON                BENJAMIN                 "</f>
        <v xml:space="preserve">WILKERSON                BENJAMIN                 </v>
      </c>
      <c r="E17494" t="str">
        <f>"OLIVE BRANCH              "</f>
        <v xml:space="preserve">OLIVE BRANCH              </v>
      </c>
      <c r="F17494" t="str">
        <f t="shared" si="436"/>
        <v>MS</v>
      </c>
    </row>
    <row r="17495" spans="1:6" x14ac:dyDescent="0.25">
      <c r="A17495" t="str">
        <f>"200014328"</f>
        <v>200014328</v>
      </c>
      <c r="B17495" t="str">
        <f>"1710964754"</f>
        <v>1710964754</v>
      </c>
      <c r="C17495" t="str">
        <f>"207Q00000X"</f>
        <v>207Q00000X</v>
      </c>
      <c r="D17495" t="str">
        <f>"MCCULLOUCH               CHARLES                  "</f>
        <v xml:space="preserve">MCCULLOUCH               CHARLES                  </v>
      </c>
      <c r="E17495" t="str">
        <f>"WINONA                    "</f>
        <v xml:space="preserve">WINONA                    </v>
      </c>
      <c r="F17495" t="str">
        <f t="shared" si="436"/>
        <v>MS</v>
      </c>
    </row>
    <row r="17496" spans="1:6" x14ac:dyDescent="0.25">
      <c r="A17496" t="str">
        <f>"200014338"</f>
        <v>200014338</v>
      </c>
      <c r="B17496" t="str">
        <f>"1952033649"</f>
        <v>1952033649</v>
      </c>
      <c r="C17496" t="str">
        <f>"363A00000X"</f>
        <v>363A00000X</v>
      </c>
      <c r="D17496" t="str">
        <f>"DILLON                   ANNA                     "</f>
        <v xml:space="preserve">DILLON                   ANNA                     </v>
      </c>
      <c r="E17496" t="str">
        <f>"SOUTHAVEN                 "</f>
        <v xml:space="preserve">SOUTHAVEN                 </v>
      </c>
      <c r="F17496" t="str">
        <f t="shared" si="436"/>
        <v>MS</v>
      </c>
    </row>
    <row r="17497" spans="1:6" x14ac:dyDescent="0.25">
      <c r="A17497" t="str">
        <f>"200014343"</f>
        <v>200014343</v>
      </c>
      <c r="B17497" t="str">
        <f>"1801355607"</f>
        <v>1801355607</v>
      </c>
      <c r="C17497" t="str">
        <f>"208000000X"</f>
        <v>208000000X</v>
      </c>
      <c r="D17497" t="str">
        <f>"BUCKELEW                 ANDREW                   "</f>
        <v xml:space="preserve">BUCKELEW                 ANDREW                   </v>
      </c>
      <c r="E17497" t="str">
        <f>"PASCAGOULA                "</f>
        <v xml:space="preserve">PASCAGOULA                </v>
      </c>
      <c r="F17497" t="str">
        <f t="shared" si="436"/>
        <v>MS</v>
      </c>
    </row>
    <row r="17498" spans="1:6" x14ac:dyDescent="0.25">
      <c r="A17498" t="str">
        <f>"200014348"</f>
        <v>200014348</v>
      </c>
      <c r="B17498" t="str">
        <f>"1902989007"</f>
        <v>1902989007</v>
      </c>
      <c r="C17498" t="str">
        <f>"207Q00000X"</f>
        <v>207Q00000X</v>
      </c>
      <c r="D17498" t="str">
        <f>"HUNT                     ELBERT                   "</f>
        <v xml:space="preserve">HUNT                     ELBERT                   </v>
      </c>
      <c r="E17498" t="str">
        <f>"BYHALIA                   "</f>
        <v xml:space="preserve">BYHALIA                   </v>
      </c>
      <c r="F17498" t="str">
        <f t="shared" si="436"/>
        <v>MS</v>
      </c>
    </row>
    <row r="17499" spans="1:6" x14ac:dyDescent="0.25">
      <c r="A17499" t="str">
        <f>"200014349"</f>
        <v>200014349</v>
      </c>
      <c r="B17499" t="str">
        <f>"1720665532"</f>
        <v>1720665532</v>
      </c>
      <c r="C17499" t="str">
        <f>"207R00000X"</f>
        <v>207R00000X</v>
      </c>
      <c r="D17499" t="str">
        <f>"PASCHAL                  JASLYN                   "</f>
        <v xml:space="preserve">PASCHAL                  JASLYN                   </v>
      </c>
      <c r="E17499" t="str">
        <f>"JACKSON                   "</f>
        <v xml:space="preserve">JACKSON                   </v>
      </c>
      <c r="F17499" t="str">
        <f t="shared" si="436"/>
        <v>MS</v>
      </c>
    </row>
    <row r="17500" spans="1:6" x14ac:dyDescent="0.25">
      <c r="A17500" t="str">
        <f>"200014353"</f>
        <v>200014353</v>
      </c>
      <c r="B17500" t="str">
        <f>"1235975152"</f>
        <v>1235975152</v>
      </c>
      <c r="C17500" t="str">
        <f>"363LF0000X"</f>
        <v>363LF0000X</v>
      </c>
      <c r="D17500" t="str">
        <f>"HARRIS                   DEVETTA                  "</f>
        <v xml:space="preserve">HARRIS                   DEVETTA                  </v>
      </c>
      <c r="E17500" t="str">
        <f>"CANTON                    "</f>
        <v xml:space="preserve">CANTON                    </v>
      </c>
      <c r="F17500" t="str">
        <f t="shared" si="436"/>
        <v>MS</v>
      </c>
    </row>
    <row r="17501" spans="1:6" x14ac:dyDescent="0.25">
      <c r="A17501" t="str">
        <f>"200014364"</f>
        <v>200014364</v>
      </c>
      <c r="B17501" t="str">
        <f>"1437619178"</f>
        <v>1437619178</v>
      </c>
      <c r="C17501" t="str">
        <f>"2084N0400X"</f>
        <v>2084N0400X</v>
      </c>
      <c r="D17501" t="str">
        <f>"DUKE                     SEAN                     "</f>
        <v xml:space="preserve">DUKE                     SEAN                     </v>
      </c>
      <c r="E17501" t="str">
        <f>"JACKSON                   "</f>
        <v xml:space="preserve">JACKSON                   </v>
      </c>
      <c r="F17501" t="str">
        <f t="shared" si="436"/>
        <v>MS</v>
      </c>
    </row>
    <row r="17502" spans="1:6" x14ac:dyDescent="0.25">
      <c r="A17502" t="str">
        <f>"200014366"</f>
        <v>200014366</v>
      </c>
      <c r="B17502" t="str">
        <f>"1215993019"</f>
        <v>1215993019</v>
      </c>
      <c r="C17502" t="str">
        <f>"207RC0000X"</f>
        <v>207RC0000X</v>
      </c>
      <c r="D17502" t="str">
        <f>"KERUT                    EDMUND       K           "</f>
        <v xml:space="preserve">KERUT                    EDMUND       K           </v>
      </c>
      <c r="E17502" t="str">
        <f>"JACKSON                   "</f>
        <v xml:space="preserve">JACKSON                   </v>
      </c>
      <c r="F17502" t="str">
        <f t="shared" si="436"/>
        <v>MS</v>
      </c>
    </row>
    <row r="17503" spans="1:6" x14ac:dyDescent="0.25">
      <c r="A17503" t="str">
        <f>"200014374"</f>
        <v>200014374</v>
      </c>
      <c r="B17503" t="str">
        <f>"1780466300"</f>
        <v>1780466300</v>
      </c>
      <c r="C17503" t="str">
        <f>"122300000X"</f>
        <v>122300000X</v>
      </c>
      <c r="D17503" t="str">
        <f>"SOUTH MISSISSIPPI ORAL SURGERY &amp; IMPLANT CENTER   "</f>
        <v xml:space="preserve">SOUTH MISSISSIPPI ORAL SURGERY &amp; IMPLANT CENTER   </v>
      </c>
      <c r="E17503" t="str">
        <f>"GULFPORT                  "</f>
        <v xml:space="preserve">GULFPORT                  </v>
      </c>
      <c r="F17503" t="str">
        <f t="shared" si="436"/>
        <v>MS</v>
      </c>
    </row>
    <row r="17504" spans="1:6" x14ac:dyDescent="0.25">
      <c r="A17504" t="str">
        <f>"200014383"</f>
        <v>200014383</v>
      </c>
      <c r="B17504" t="str">
        <f>"1205528833"</f>
        <v>1205528833</v>
      </c>
      <c r="C17504" t="str">
        <f>"363LF0000X"</f>
        <v>363LF0000X</v>
      </c>
      <c r="D17504" t="str">
        <f>"GOSS                     KATHRYN                  "</f>
        <v xml:space="preserve">GOSS                     KATHRYN                  </v>
      </c>
      <c r="E17504" t="str">
        <f>"OXFORD                    "</f>
        <v xml:space="preserve">OXFORD                    </v>
      </c>
      <c r="F17504" t="str">
        <f t="shared" si="436"/>
        <v>MS</v>
      </c>
    </row>
    <row r="17505" spans="1:6" x14ac:dyDescent="0.25">
      <c r="A17505" t="str">
        <f>"200014384"</f>
        <v>200014384</v>
      </c>
      <c r="B17505" t="str">
        <f>"1689087983"</f>
        <v>1689087983</v>
      </c>
      <c r="C17505" t="str">
        <f>"2084N0400X"</f>
        <v>2084N0400X</v>
      </c>
      <c r="D17505" t="str">
        <f>"HOLLIST                  MARY                     "</f>
        <v xml:space="preserve">HOLLIST                  MARY                     </v>
      </c>
      <c r="E17505" t="str">
        <f>"NATCHEZ                   "</f>
        <v xml:space="preserve">NATCHEZ                   </v>
      </c>
      <c r="F17505" t="str">
        <f t="shared" si="436"/>
        <v>MS</v>
      </c>
    </row>
    <row r="17506" spans="1:6" x14ac:dyDescent="0.25">
      <c r="A17506" t="str">
        <f>"200014385"</f>
        <v>200014385</v>
      </c>
      <c r="B17506" t="str">
        <f>"1295105278"</f>
        <v>1295105278</v>
      </c>
      <c r="C17506" t="str">
        <f>"363A00000X"</f>
        <v>363A00000X</v>
      </c>
      <c r="D17506" t="str">
        <f>"TUNBERG                  CARLY                    "</f>
        <v xml:space="preserve">TUNBERG                  CARLY                    </v>
      </c>
      <c r="E17506" t="str">
        <f>"CLINTON                   "</f>
        <v xml:space="preserve">CLINTON                   </v>
      </c>
      <c r="F17506" t="str">
        <f t="shared" si="436"/>
        <v>MS</v>
      </c>
    </row>
    <row r="17507" spans="1:6" x14ac:dyDescent="0.25">
      <c r="A17507" t="str">
        <f>"200014388"</f>
        <v>200014388</v>
      </c>
      <c r="B17507" t="str">
        <f>"1124850250"</f>
        <v>1124850250</v>
      </c>
      <c r="C17507" t="str">
        <f>"363L00000X"</f>
        <v>363L00000X</v>
      </c>
      <c r="D17507" t="str">
        <f>"JOHNSON                  KOSHEYA                  "</f>
        <v xml:space="preserve">JOHNSON                  KOSHEYA                  </v>
      </c>
      <c r="E17507" t="str">
        <f>"MCCOMB                    "</f>
        <v xml:space="preserve">MCCOMB                    </v>
      </c>
      <c r="F17507" t="str">
        <f t="shared" si="436"/>
        <v>MS</v>
      </c>
    </row>
    <row r="17508" spans="1:6" x14ac:dyDescent="0.25">
      <c r="A17508" t="str">
        <f>"200014389"</f>
        <v>200014389</v>
      </c>
      <c r="B17508" t="str">
        <f>"1649000183"</f>
        <v>1649000183</v>
      </c>
      <c r="C17508" t="str">
        <f>"363LF0000X"</f>
        <v>363LF0000X</v>
      </c>
      <c r="D17508" t="str">
        <f>"WAGNER                   NATHAN                   "</f>
        <v xml:space="preserve">WAGNER                   NATHAN                   </v>
      </c>
      <c r="E17508" t="str">
        <f>"JACKSON                   "</f>
        <v xml:space="preserve">JACKSON                   </v>
      </c>
      <c r="F17508" t="str">
        <f t="shared" si="436"/>
        <v>MS</v>
      </c>
    </row>
    <row r="17509" spans="1:6" x14ac:dyDescent="0.25">
      <c r="A17509" t="str">
        <f>"200014395"</f>
        <v>200014395</v>
      </c>
      <c r="B17509" t="str">
        <f>"1104088152"</f>
        <v>1104088152</v>
      </c>
      <c r="C17509" t="str">
        <f>"207RH0005X"</f>
        <v>207RH0005X</v>
      </c>
      <c r="D17509" t="str">
        <f>"LATORRE                  CARLOS       A           "</f>
        <v xml:space="preserve">LATORRE                  CARLOS       A           </v>
      </c>
      <c r="E17509" t="str">
        <f>"HATTIESBURG               "</f>
        <v xml:space="preserve">HATTIESBURG               </v>
      </c>
      <c r="F17509" t="str">
        <f t="shared" si="436"/>
        <v>MS</v>
      </c>
    </row>
    <row r="17510" spans="1:6" x14ac:dyDescent="0.25">
      <c r="A17510" t="str">
        <f>"200014399"</f>
        <v>200014399</v>
      </c>
      <c r="B17510" t="str">
        <f>"1043495948"</f>
        <v>1043495948</v>
      </c>
      <c r="C17510" t="str">
        <f>"208800000X"</f>
        <v>208800000X</v>
      </c>
      <c r="D17510" t="str">
        <f>"ROBSON                   CRAIG        H           "</f>
        <v xml:space="preserve">ROBSON                   CRAIG        H           </v>
      </c>
      <c r="E17510" t="str">
        <f>"MERIDIAN                  "</f>
        <v xml:space="preserve">MERIDIAN                  </v>
      </c>
      <c r="F17510" t="str">
        <f t="shared" si="436"/>
        <v>MS</v>
      </c>
    </row>
    <row r="17511" spans="1:6" x14ac:dyDescent="0.25">
      <c r="A17511" t="str">
        <f>"200014401"</f>
        <v>200014401</v>
      </c>
      <c r="B17511" t="str">
        <f>"1952898215"</f>
        <v>1952898215</v>
      </c>
      <c r="C17511" t="str">
        <f>"207P00000X"</f>
        <v>207P00000X</v>
      </c>
      <c r="D17511" t="str">
        <f>"MEGGISON                 KYLE                     "</f>
        <v xml:space="preserve">MEGGISON                 KYLE                     </v>
      </c>
      <c r="E17511" t="str">
        <f>"JACKSON                   "</f>
        <v xml:space="preserve">JACKSON                   </v>
      </c>
      <c r="F17511" t="str">
        <f t="shared" si="436"/>
        <v>MS</v>
      </c>
    </row>
    <row r="17512" spans="1:6" x14ac:dyDescent="0.25">
      <c r="A17512" t="str">
        <f>"200014402"</f>
        <v>200014402</v>
      </c>
      <c r="B17512" t="str">
        <f>"1003558081"</f>
        <v>1003558081</v>
      </c>
      <c r="C17512" t="str">
        <f>"207R00000X"</f>
        <v>207R00000X</v>
      </c>
      <c r="D17512" t="str">
        <f>"SINHA                    VIJAY                    "</f>
        <v xml:space="preserve">SINHA                    VIJAY                    </v>
      </c>
      <c r="E17512" t="str">
        <f>"HATTIESBURG               "</f>
        <v xml:space="preserve">HATTIESBURG               </v>
      </c>
      <c r="F17512" t="str">
        <f t="shared" si="436"/>
        <v>MS</v>
      </c>
    </row>
    <row r="17513" spans="1:6" x14ac:dyDescent="0.25">
      <c r="A17513" t="str">
        <f>"200014408"</f>
        <v>200014408</v>
      </c>
      <c r="B17513" t="str">
        <f>"1407522998"</f>
        <v>1407522998</v>
      </c>
      <c r="C17513" t="str">
        <f>"367500000X"</f>
        <v>367500000X</v>
      </c>
      <c r="D17513" t="str">
        <f>"SPRATLIN                 JENNIFER     N           "</f>
        <v xml:space="preserve">SPRATLIN                 JENNIFER     N           </v>
      </c>
      <c r="E17513" t="str">
        <f>"STARKVILLE                "</f>
        <v xml:space="preserve">STARKVILLE                </v>
      </c>
      <c r="F17513" t="str">
        <f t="shared" si="436"/>
        <v>MS</v>
      </c>
    </row>
    <row r="17514" spans="1:6" x14ac:dyDescent="0.25">
      <c r="A17514" t="str">
        <f>"200014410"</f>
        <v>200014410</v>
      </c>
      <c r="B17514" t="str">
        <f>"1558199547"</f>
        <v>1558199547</v>
      </c>
      <c r="C17514" t="str">
        <f>"363LF0000X"</f>
        <v>363LF0000X</v>
      </c>
      <c r="D17514" t="str">
        <f>"MCCAIN                   WILLIAM      C           "</f>
        <v xml:space="preserve">MCCAIN                   WILLIAM      C           </v>
      </c>
      <c r="E17514" t="str">
        <f>"TUPELO                    "</f>
        <v xml:space="preserve">TUPELO                    </v>
      </c>
      <c r="F17514" t="str">
        <f t="shared" si="436"/>
        <v>MS</v>
      </c>
    </row>
    <row r="17515" spans="1:6" x14ac:dyDescent="0.25">
      <c r="A17515" t="str">
        <f>"200014412"</f>
        <v>200014412</v>
      </c>
      <c r="B17515" t="str">
        <f>"1881329498"</f>
        <v>1881329498</v>
      </c>
      <c r="C17515" t="str">
        <f>"363L00000X"</f>
        <v>363L00000X</v>
      </c>
      <c r="D17515" t="str">
        <f>"SHARKEY                  SAVANNAH     L           "</f>
        <v xml:space="preserve">SHARKEY                  SAVANNAH     L           </v>
      </c>
      <c r="E17515" t="str">
        <f>"WAYNESBORO                "</f>
        <v xml:space="preserve">WAYNESBORO                </v>
      </c>
      <c r="F17515" t="str">
        <f t="shared" si="436"/>
        <v>MS</v>
      </c>
    </row>
    <row r="17516" spans="1:6" x14ac:dyDescent="0.25">
      <c r="A17516" t="str">
        <f>"200014418"</f>
        <v>200014418</v>
      </c>
      <c r="B17516" t="str">
        <f>"1184328205"</f>
        <v>1184328205</v>
      </c>
      <c r="C17516" t="str">
        <f>"207X00000X"</f>
        <v>207X00000X</v>
      </c>
      <c r="D17516" t="str">
        <f>"CLAYTON                  AHSIA                    "</f>
        <v xml:space="preserve">CLAYTON                  AHSIA                    </v>
      </c>
      <c r="E17516" t="str">
        <f>"JACKSON                   "</f>
        <v xml:space="preserve">JACKSON                   </v>
      </c>
      <c r="F17516" t="str">
        <f t="shared" si="436"/>
        <v>MS</v>
      </c>
    </row>
    <row r="17517" spans="1:6" x14ac:dyDescent="0.25">
      <c r="A17517" t="str">
        <f>"200014419"</f>
        <v>200014419</v>
      </c>
      <c r="B17517" t="str">
        <f>"1205055365"</f>
        <v>1205055365</v>
      </c>
      <c r="C17517" t="str">
        <f>"261QM1300X"</f>
        <v>261QM1300X</v>
      </c>
      <c r="D17517" t="str">
        <f>"COUNSELING ASSOCIATES OF HATTIESBURG              "</f>
        <v xml:space="preserve">COUNSELING ASSOCIATES OF HATTIESBURG              </v>
      </c>
      <c r="E17517" t="str">
        <f>"HATTIESBURG               "</f>
        <v xml:space="preserve">HATTIESBURG               </v>
      </c>
      <c r="F17517" t="str">
        <f t="shared" si="436"/>
        <v>MS</v>
      </c>
    </row>
    <row r="17518" spans="1:6" x14ac:dyDescent="0.25">
      <c r="A17518" t="str">
        <f>"200014428"</f>
        <v>200014428</v>
      </c>
      <c r="B17518" t="str">
        <f>"1598971830"</f>
        <v>1598971830</v>
      </c>
      <c r="C17518" t="str">
        <f>"2084P0800X"</f>
        <v>2084P0800X</v>
      </c>
      <c r="D17518" t="str">
        <f>"YOUNGER                  SUSAN        D           "</f>
        <v xml:space="preserve">YOUNGER                  SUSAN        D           </v>
      </c>
      <c r="E17518" t="str">
        <f>"RIDGELAND                 "</f>
        <v xml:space="preserve">RIDGELAND                 </v>
      </c>
      <c r="F17518" t="str">
        <f t="shared" si="436"/>
        <v>MS</v>
      </c>
    </row>
    <row r="17519" spans="1:6" x14ac:dyDescent="0.25">
      <c r="A17519" t="str">
        <f>"200014443"</f>
        <v>200014443</v>
      </c>
      <c r="B17519" t="str">
        <f>"1164888400"</f>
        <v>1164888400</v>
      </c>
      <c r="C17519" t="str">
        <f>"363LF0000X"</f>
        <v>363LF0000X</v>
      </c>
      <c r="D17519" t="str">
        <f>"OCHLE                    AMY                      "</f>
        <v xml:space="preserve">OCHLE                    AMY                      </v>
      </c>
      <c r="E17519" t="str">
        <f>"PASCAGOULA                "</f>
        <v xml:space="preserve">PASCAGOULA                </v>
      </c>
      <c r="F17519" t="str">
        <f t="shared" si="436"/>
        <v>MS</v>
      </c>
    </row>
    <row r="17520" spans="1:6" x14ac:dyDescent="0.25">
      <c r="A17520" t="str">
        <f>"200014449"</f>
        <v>200014449</v>
      </c>
      <c r="B17520" t="str">
        <f>"1750920542"</f>
        <v>1750920542</v>
      </c>
      <c r="C17520" t="str">
        <f>"363LF0000X"</f>
        <v>363LF0000X</v>
      </c>
      <c r="D17520" t="str">
        <f>"PEARL-WINTERS            SHONDA                   "</f>
        <v xml:space="preserve">PEARL-WINTERS            SHONDA                   </v>
      </c>
      <c r="E17520" t="str">
        <f>"JACKSON                   "</f>
        <v xml:space="preserve">JACKSON                   </v>
      </c>
      <c r="F17520" t="str">
        <f t="shared" si="436"/>
        <v>MS</v>
      </c>
    </row>
    <row r="17521" spans="1:6" x14ac:dyDescent="0.25">
      <c r="A17521" t="str">
        <f>"200014452"</f>
        <v>200014452</v>
      </c>
      <c r="B17521" t="str">
        <f>"1881261576"</f>
        <v>1881261576</v>
      </c>
      <c r="C17521" t="str">
        <f>"207Q00000X"</f>
        <v>207Q00000X</v>
      </c>
      <c r="D17521" t="str">
        <f>"DEBORD                   NIKKI                    "</f>
        <v xml:space="preserve">DEBORD                   NIKKI                    </v>
      </c>
      <c r="E17521" t="str">
        <f>"MERIDIAN                  "</f>
        <v xml:space="preserve">MERIDIAN                  </v>
      </c>
      <c r="F17521" t="str">
        <f t="shared" si="436"/>
        <v>MS</v>
      </c>
    </row>
    <row r="17522" spans="1:6" x14ac:dyDescent="0.25">
      <c r="A17522" t="str">
        <f>"200014454"</f>
        <v>200014454</v>
      </c>
      <c r="B17522" t="str">
        <f>"1285488403"</f>
        <v>1285488403</v>
      </c>
      <c r="C17522" t="str">
        <f>"207Y00000X"</f>
        <v>207Y00000X</v>
      </c>
      <c r="D17522" t="str">
        <f>"HOPPER                   SAMUEL                   "</f>
        <v xml:space="preserve">HOPPER                   SAMUEL                   </v>
      </c>
      <c r="E17522" t="str">
        <f>"JACKSON                   "</f>
        <v xml:space="preserve">JACKSON                   </v>
      </c>
      <c r="F17522" t="str">
        <f t="shared" si="436"/>
        <v>MS</v>
      </c>
    </row>
    <row r="17523" spans="1:6" x14ac:dyDescent="0.25">
      <c r="A17523" t="str">
        <f>"200014455"</f>
        <v>200014455</v>
      </c>
      <c r="B17523" t="str">
        <f>"1417272063"</f>
        <v>1417272063</v>
      </c>
      <c r="C17523" t="str">
        <f>"208800000X"</f>
        <v>208800000X</v>
      </c>
      <c r="D17523" t="str">
        <f>"MUTTER                   MATTHEW                  "</f>
        <v xml:space="preserve">MUTTER                   MATTHEW                  </v>
      </c>
      <c r="E17523" t="str">
        <f>"TUPELO                    "</f>
        <v xml:space="preserve">TUPELO                    </v>
      </c>
      <c r="F17523" t="str">
        <f t="shared" si="436"/>
        <v>MS</v>
      </c>
    </row>
    <row r="17524" spans="1:6" x14ac:dyDescent="0.25">
      <c r="A17524" t="str">
        <f>"200014457"</f>
        <v>200014457</v>
      </c>
      <c r="B17524" t="str">
        <f>"1235102906"</f>
        <v>1235102906</v>
      </c>
      <c r="C17524" t="str">
        <f>"2080N0001X"</f>
        <v>2080N0001X</v>
      </c>
      <c r="D17524" t="str">
        <f>"POLE                     GINGER                   "</f>
        <v xml:space="preserve">POLE                     GINGER                   </v>
      </c>
      <c r="E17524" t="str">
        <f>"JACKSON                   "</f>
        <v xml:space="preserve">JACKSON                   </v>
      </c>
      <c r="F17524" t="str">
        <f t="shared" si="436"/>
        <v>MS</v>
      </c>
    </row>
    <row r="17525" spans="1:6" x14ac:dyDescent="0.25">
      <c r="A17525" t="str">
        <f>"200014463"</f>
        <v>200014463</v>
      </c>
      <c r="B17525" t="str">
        <f>"1396586186"</f>
        <v>1396586186</v>
      </c>
      <c r="C17525" t="str">
        <f>"363LF0000X"</f>
        <v>363LF0000X</v>
      </c>
      <c r="D17525" t="str">
        <f>"ALEXANDER                AUDREY                   "</f>
        <v xml:space="preserve">ALEXANDER                AUDREY                   </v>
      </c>
      <c r="E17525" t="str">
        <f>"MORTON                    "</f>
        <v xml:space="preserve">MORTON                    </v>
      </c>
      <c r="F17525" t="str">
        <f t="shared" si="436"/>
        <v>MS</v>
      </c>
    </row>
    <row r="17526" spans="1:6" x14ac:dyDescent="0.25">
      <c r="A17526" t="str">
        <f>"200014464"</f>
        <v>200014464</v>
      </c>
      <c r="B17526" t="str">
        <f>"1548514151"</f>
        <v>1548514151</v>
      </c>
      <c r="C17526" t="str">
        <f>"363LP0808X"</f>
        <v>363LP0808X</v>
      </c>
      <c r="D17526" t="str">
        <f>"TURNER                   SCOTT        J           "</f>
        <v xml:space="preserve">TURNER                   SCOTT        J           </v>
      </c>
      <c r="E17526" t="str">
        <f>"GULFPORT                  "</f>
        <v xml:space="preserve">GULFPORT                  </v>
      </c>
      <c r="F17526" t="str">
        <f t="shared" si="436"/>
        <v>MS</v>
      </c>
    </row>
    <row r="17527" spans="1:6" x14ac:dyDescent="0.25">
      <c r="A17527" t="str">
        <f>"200014481"</f>
        <v>200014481</v>
      </c>
      <c r="B17527" t="str">
        <f>"1841034147"</f>
        <v>1841034147</v>
      </c>
      <c r="C17527" t="str">
        <f>"363LF0000X"</f>
        <v>363LF0000X</v>
      </c>
      <c r="D17527" t="str">
        <f>"BRAY                     LINDSEY                  "</f>
        <v xml:space="preserve">BRAY                     LINDSEY                  </v>
      </c>
      <c r="E17527" t="str">
        <f>"RICHLAND                  "</f>
        <v xml:space="preserve">RICHLAND                  </v>
      </c>
      <c r="F17527" t="str">
        <f t="shared" si="436"/>
        <v>MS</v>
      </c>
    </row>
    <row r="17528" spans="1:6" x14ac:dyDescent="0.25">
      <c r="A17528" t="str">
        <f>"200014486"</f>
        <v>200014486</v>
      </c>
      <c r="B17528" t="str">
        <f>"1780421933"</f>
        <v>1780421933</v>
      </c>
      <c r="C17528" t="str">
        <f>"363LA2100X"</f>
        <v>363LA2100X</v>
      </c>
      <c r="D17528" t="str">
        <f>"LITCHLITER               MORGAN                   "</f>
        <v xml:space="preserve">LITCHLITER               MORGAN                   </v>
      </c>
      <c r="E17528" t="str">
        <f>"JACKSON                   "</f>
        <v xml:space="preserve">JACKSON                   </v>
      </c>
      <c r="F17528" t="str">
        <f t="shared" si="436"/>
        <v>MS</v>
      </c>
    </row>
    <row r="17529" spans="1:6" x14ac:dyDescent="0.25">
      <c r="A17529" t="str">
        <f>"200014489"</f>
        <v>200014489</v>
      </c>
      <c r="B17529" t="str">
        <f>"1972665156"</f>
        <v>1972665156</v>
      </c>
      <c r="C17529" t="str">
        <f>"207P00000X"</f>
        <v>207P00000X</v>
      </c>
      <c r="D17529" t="str">
        <f>"AROCHO                   MICHAEL                  "</f>
        <v xml:space="preserve">AROCHO                   MICHAEL                  </v>
      </c>
      <c r="E17529" t="str">
        <f>"OCEAN SPRINGS             "</f>
        <v xml:space="preserve">OCEAN SPRINGS             </v>
      </c>
      <c r="F17529" t="str">
        <f t="shared" si="436"/>
        <v>MS</v>
      </c>
    </row>
    <row r="17530" spans="1:6" x14ac:dyDescent="0.25">
      <c r="A17530" t="str">
        <f>"200014492"</f>
        <v>200014492</v>
      </c>
      <c r="B17530" t="str">
        <f>"1275182537"</f>
        <v>1275182537</v>
      </c>
      <c r="C17530" t="str">
        <f>"367500000X"</f>
        <v>367500000X</v>
      </c>
      <c r="D17530" t="str">
        <f>"WILLIAMSON               QIANWEN                  "</f>
        <v xml:space="preserve">WILLIAMSON               QIANWEN                  </v>
      </c>
      <c r="E17530" t="str">
        <f>"OLIVE BRANCH              "</f>
        <v xml:space="preserve">OLIVE BRANCH              </v>
      </c>
      <c r="F17530" t="str">
        <f t="shared" si="436"/>
        <v>MS</v>
      </c>
    </row>
    <row r="17531" spans="1:6" x14ac:dyDescent="0.25">
      <c r="A17531" t="str">
        <f>"200014495"</f>
        <v>200014495</v>
      </c>
      <c r="B17531" t="str">
        <f>"1912298423"</f>
        <v>1912298423</v>
      </c>
      <c r="C17531" t="str">
        <f>"2084N0400X"</f>
        <v>2084N0400X</v>
      </c>
      <c r="D17531" t="str">
        <f>"THOMAS                   GEORGE                   "</f>
        <v xml:space="preserve">THOMAS                   GEORGE                   </v>
      </c>
      <c r="E17531" t="str">
        <f>"GULFPORT                  "</f>
        <v xml:space="preserve">GULFPORT                  </v>
      </c>
      <c r="F17531" t="str">
        <f t="shared" si="436"/>
        <v>MS</v>
      </c>
    </row>
    <row r="17532" spans="1:6" x14ac:dyDescent="0.25">
      <c r="A17532" t="str">
        <f>"200014504"</f>
        <v>200014504</v>
      </c>
      <c r="B17532" t="str">
        <f>"1346082161"</f>
        <v>1346082161</v>
      </c>
      <c r="C17532" t="str">
        <f>"363LF0000X"</f>
        <v>363LF0000X</v>
      </c>
      <c r="D17532" t="str">
        <f>"HAWTHORNE                BENJAMIN                 "</f>
        <v xml:space="preserve">HAWTHORNE                BENJAMIN                 </v>
      </c>
      <c r="E17532" t="str">
        <f>"JACKSON                   "</f>
        <v xml:space="preserve">JACKSON                   </v>
      </c>
      <c r="F17532" t="str">
        <f t="shared" si="436"/>
        <v>MS</v>
      </c>
    </row>
    <row r="17533" spans="1:6" x14ac:dyDescent="0.25">
      <c r="A17533" t="str">
        <f>"200014514"</f>
        <v>200014514</v>
      </c>
      <c r="B17533" t="str">
        <f>"1588169866"</f>
        <v>1588169866</v>
      </c>
      <c r="C17533" t="str">
        <f>"207R00000X"</f>
        <v>207R00000X</v>
      </c>
      <c r="D17533" t="str">
        <f>"PRECHTER                 REBECCA      L           "</f>
        <v xml:space="preserve">PRECHTER                 REBECCA      L           </v>
      </c>
      <c r="E17533" t="str">
        <f>"HATTIESBURG               "</f>
        <v xml:space="preserve">HATTIESBURG               </v>
      </c>
      <c r="F17533" t="str">
        <f t="shared" si="436"/>
        <v>MS</v>
      </c>
    </row>
    <row r="17534" spans="1:6" x14ac:dyDescent="0.25">
      <c r="A17534" t="str">
        <f>"200014515"</f>
        <v>200014515</v>
      </c>
      <c r="B17534" t="str">
        <f>"1184477085"</f>
        <v>1184477085</v>
      </c>
      <c r="C17534" t="str">
        <f>"152W00000X"</f>
        <v>152W00000X</v>
      </c>
      <c r="D17534" t="str">
        <f>"CLARK                    RICHARD                  "</f>
        <v xml:space="preserve">CLARK                    RICHARD                  </v>
      </c>
      <c r="E17534" t="str">
        <f>"LONG BEACH                "</f>
        <v xml:space="preserve">LONG BEACH                </v>
      </c>
      <c r="F17534" t="str">
        <f t="shared" ref="F17534:F17597" si="437">"MS"</f>
        <v>MS</v>
      </c>
    </row>
    <row r="17535" spans="1:6" x14ac:dyDescent="0.25">
      <c r="A17535" t="str">
        <f>"200014524"</f>
        <v>200014524</v>
      </c>
      <c r="B17535" t="str">
        <f>"1477393403"</f>
        <v>1477393403</v>
      </c>
      <c r="C17535" t="str">
        <f>"207Q00000X"</f>
        <v>207Q00000X</v>
      </c>
      <c r="D17535" t="str">
        <f>"RUGNATH                  VINAY                    "</f>
        <v xml:space="preserve">RUGNATH                  VINAY                    </v>
      </c>
      <c r="E17535" t="str">
        <f>"JACKSON                   "</f>
        <v xml:space="preserve">JACKSON                   </v>
      </c>
      <c r="F17535" t="str">
        <f t="shared" si="437"/>
        <v>MS</v>
      </c>
    </row>
    <row r="17536" spans="1:6" x14ac:dyDescent="0.25">
      <c r="A17536" t="str">
        <f>"200014530"</f>
        <v>200014530</v>
      </c>
      <c r="B17536" t="str">
        <f>"1063098556"</f>
        <v>1063098556</v>
      </c>
      <c r="C17536" t="str">
        <f>"207Q00000X"</f>
        <v>207Q00000X</v>
      </c>
      <c r="D17536" t="str">
        <f>"LONG                     CHRISTOPHER              "</f>
        <v xml:space="preserve">LONG                     CHRISTOPHER              </v>
      </c>
      <c r="E17536" t="str">
        <f>"JACKSON                   "</f>
        <v xml:space="preserve">JACKSON                   </v>
      </c>
      <c r="F17536" t="str">
        <f t="shared" si="437"/>
        <v>MS</v>
      </c>
    </row>
    <row r="17537" spans="1:6" x14ac:dyDescent="0.25">
      <c r="A17537" t="str">
        <f>"200014541"</f>
        <v>200014541</v>
      </c>
      <c r="B17537" t="str">
        <f>"1053477711"</f>
        <v>1053477711</v>
      </c>
      <c r="C17537" t="str">
        <f>"363L00000X"</f>
        <v>363L00000X</v>
      </c>
      <c r="D17537" t="str">
        <f>"LEMASTER                 KIMBERLY                 "</f>
        <v xml:space="preserve">LEMASTER                 KIMBERLY                 </v>
      </c>
      <c r="E17537" t="str">
        <f>"MCCOMB                    "</f>
        <v xml:space="preserve">MCCOMB                    </v>
      </c>
      <c r="F17537" t="str">
        <f t="shared" si="437"/>
        <v>MS</v>
      </c>
    </row>
    <row r="17538" spans="1:6" x14ac:dyDescent="0.25">
      <c r="A17538" t="str">
        <f>"200014548"</f>
        <v>200014548</v>
      </c>
      <c r="B17538" t="str">
        <f>"1821614611"</f>
        <v>1821614611</v>
      </c>
      <c r="C17538" t="str">
        <f>"1223S0112X"</f>
        <v>1223S0112X</v>
      </c>
      <c r="D17538" t="str">
        <f>"AKERS                    JARED        M           "</f>
        <v xml:space="preserve">AKERS                    JARED        M           </v>
      </c>
      <c r="E17538" t="str">
        <f>"GULFPORT                  "</f>
        <v xml:space="preserve">GULFPORT                  </v>
      </c>
      <c r="F17538" t="str">
        <f t="shared" si="437"/>
        <v>MS</v>
      </c>
    </row>
    <row r="17539" spans="1:6" x14ac:dyDescent="0.25">
      <c r="A17539" t="str">
        <f>"200014549"</f>
        <v>200014549</v>
      </c>
      <c r="B17539" t="str">
        <f>"1821614611"</f>
        <v>1821614611</v>
      </c>
      <c r="C17539" t="str">
        <f>"122300000X"</f>
        <v>122300000X</v>
      </c>
      <c r="D17539" t="str">
        <f>"AKERS                    JARED        M           "</f>
        <v xml:space="preserve">AKERS                    JARED        M           </v>
      </c>
      <c r="E17539" t="str">
        <f>"GULFPORT                  "</f>
        <v xml:space="preserve">GULFPORT                  </v>
      </c>
      <c r="F17539" t="str">
        <f t="shared" si="437"/>
        <v>MS</v>
      </c>
    </row>
    <row r="17540" spans="1:6" x14ac:dyDescent="0.25">
      <c r="A17540" t="str">
        <f>"200014555"</f>
        <v>200014555</v>
      </c>
      <c r="B17540" t="str">
        <f>"1740577436"</f>
        <v>1740577436</v>
      </c>
      <c r="C17540" t="str">
        <f>"208600000X"</f>
        <v>208600000X</v>
      </c>
      <c r="D17540" t="str">
        <f>"MALLETTE                 ANDREW       C           "</f>
        <v xml:space="preserve">MALLETTE                 ANDREW       C           </v>
      </c>
      <c r="E17540" t="str">
        <f>"JACKSON                   "</f>
        <v xml:space="preserve">JACKSON                   </v>
      </c>
      <c r="F17540" t="str">
        <f t="shared" si="437"/>
        <v>MS</v>
      </c>
    </row>
    <row r="17541" spans="1:6" x14ac:dyDescent="0.25">
      <c r="A17541" t="str">
        <f>"200014556"</f>
        <v>200014556</v>
      </c>
      <c r="B17541" t="str">
        <f>"1770081788"</f>
        <v>1770081788</v>
      </c>
      <c r="C17541" t="str">
        <f>"363A00000X"</f>
        <v>363A00000X</v>
      </c>
      <c r="D17541" t="str">
        <f>"BIDDY                    MARY                     "</f>
        <v xml:space="preserve">BIDDY                    MARY                     </v>
      </c>
      <c r="E17541" t="str">
        <f>"JACKSON                   "</f>
        <v xml:space="preserve">JACKSON                   </v>
      </c>
      <c r="F17541" t="str">
        <f t="shared" si="437"/>
        <v>MS</v>
      </c>
    </row>
    <row r="17542" spans="1:6" x14ac:dyDescent="0.25">
      <c r="A17542" t="str">
        <f>"200014566"</f>
        <v>200014566</v>
      </c>
      <c r="B17542" t="str">
        <f>"1407968738"</f>
        <v>1407968738</v>
      </c>
      <c r="C17542" t="str">
        <f>"261QM1300X"</f>
        <v>261QM1300X</v>
      </c>
      <c r="D17542" t="str">
        <f>"MINOR MED CARE, P.A.                              "</f>
        <v xml:space="preserve">MINOR MED CARE, P.A.                              </v>
      </c>
      <c r="E17542" t="str">
        <f>"JACKSON                   "</f>
        <v xml:space="preserve">JACKSON                   </v>
      </c>
      <c r="F17542" t="str">
        <f t="shared" si="437"/>
        <v>MS</v>
      </c>
    </row>
    <row r="17543" spans="1:6" x14ac:dyDescent="0.25">
      <c r="A17543" t="str">
        <f>"200014568"</f>
        <v>200014568</v>
      </c>
      <c r="B17543" t="str">
        <f>"1447682729"</f>
        <v>1447682729</v>
      </c>
      <c r="C17543" t="str">
        <f>"363L00000X"</f>
        <v>363L00000X</v>
      </c>
      <c r="D17543" t="str">
        <f>"BEDWELL                  STEFFANY                 "</f>
        <v xml:space="preserve">BEDWELL                  STEFFANY                 </v>
      </c>
      <c r="E17543" t="str">
        <f>"HATTIESBURG               "</f>
        <v xml:space="preserve">HATTIESBURG               </v>
      </c>
      <c r="F17543" t="str">
        <f t="shared" si="437"/>
        <v>MS</v>
      </c>
    </row>
    <row r="17544" spans="1:6" x14ac:dyDescent="0.25">
      <c r="A17544" t="str">
        <f>"200014569"</f>
        <v>200014569</v>
      </c>
      <c r="B17544" t="str">
        <f>"1760548648"</f>
        <v>1760548648</v>
      </c>
      <c r="C17544" t="str">
        <f>"367500000X"</f>
        <v>367500000X</v>
      </c>
      <c r="D17544" t="str">
        <f>"DAVIS                    STACEY                   "</f>
        <v xml:space="preserve">DAVIS                    STACEY                   </v>
      </c>
      <c r="E17544" t="str">
        <f>"FLOWOOD                   "</f>
        <v xml:space="preserve">FLOWOOD                   </v>
      </c>
      <c r="F17544" t="str">
        <f t="shared" si="437"/>
        <v>MS</v>
      </c>
    </row>
    <row r="17545" spans="1:6" x14ac:dyDescent="0.25">
      <c r="A17545" t="str">
        <f>"200014571"</f>
        <v>200014571</v>
      </c>
      <c r="B17545" t="str">
        <f>"1831875541"</f>
        <v>1831875541</v>
      </c>
      <c r="C17545" t="str">
        <f>"1223G0001X"</f>
        <v>1223G0001X</v>
      </c>
      <c r="D17545" t="str">
        <f>"JONES                    COURTNEY                 "</f>
        <v xml:space="preserve">JONES                    COURTNEY                 </v>
      </c>
      <c r="E17545" t="str">
        <f>"PASCAGOULA                "</f>
        <v xml:space="preserve">PASCAGOULA                </v>
      </c>
      <c r="F17545" t="str">
        <f t="shared" si="437"/>
        <v>MS</v>
      </c>
    </row>
    <row r="17546" spans="1:6" x14ac:dyDescent="0.25">
      <c r="A17546" t="str">
        <f>"200014586"</f>
        <v>200014586</v>
      </c>
      <c r="B17546" t="str">
        <f>"1922700301"</f>
        <v>1922700301</v>
      </c>
      <c r="C17546" t="str">
        <f>"207X00000X"</f>
        <v>207X00000X</v>
      </c>
      <c r="D17546" t="str">
        <f>"DEIVERT                  KYLE                     "</f>
        <v xml:space="preserve">DEIVERT                  KYLE                     </v>
      </c>
      <c r="E17546" t="str">
        <f>"JACKSON                   "</f>
        <v xml:space="preserve">JACKSON                   </v>
      </c>
      <c r="F17546" t="str">
        <f t="shared" si="437"/>
        <v>MS</v>
      </c>
    </row>
    <row r="17547" spans="1:6" x14ac:dyDescent="0.25">
      <c r="A17547" t="str">
        <f>"200014587"</f>
        <v>200014587</v>
      </c>
      <c r="B17547" t="str">
        <f>"1073350484"</f>
        <v>1073350484</v>
      </c>
      <c r="C17547" t="str">
        <f>"363LF0000X"</f>
        <v>363LF0000X</v>
      </c>
      <c r="D17547" t="str">
        <f>"HAMILTON                 HAILEY                   "</f>
        <v xml:space="preserve">HAMILTON                 HAILEY                   </v>
      </c>
      <c r="E17547" t="str">
        <f>"RICHLAND                  "</f>
        <v xml:space="preserve">RICHLAND                  </v>
      </c>
      <c r="F17547" t="str">
        <f t="shared" si="437"/>
        <v>MS</v>
      </c>
    </row>
    <row r="17548" spans="1:6" x14ac:dyDescent="0.25">
      <c r="A17548" t="str">
        <f>"200014598"</f>
        <v>200014598</v>
      </c>
      <c r="B17548" t="str">
        <f>"1962792093"</f>
        <v>1962792093</v>
      </c>
      <c r="C17548" t="str">
        <f>"207R00000X"</f>
        <v>207R00000X</v>
      </c>
      <c r="D17548" t="str">
        <f>"FURDGE                   MAURICE                  "</f>
        <v xml:space="preserve">FURDGE                   MAURICE                  </v>
      </c>
      <c r="E17548" t="str">
        <f>"CORINTH                   "</f>
        <v xml:space="preserve">CORINTH                   </v>
      </c>
      <c r="F17548" t="str">
        <f t="shared" si="437"/>
        <v>MS</v>
      </c>
    </row>
    <row r="17549" spans="1:6" x14ac:dyDescent="0.25">
      <c r="A17549" t="str">
        <f>"200014601"</f>
        <v>200014601</v>
      </c>
      <c r="B17549" t="str">
        <f>"1083399505"</f>
        <v>1083399505</v>
      </c>
      <c r="C17549" t="str">
        <f>"363LF0000X"</f>
        <v>363LF0000X</v>
      </c>
      <c r="D17549" t="str">
        <f>"CHOPS                    ERIN                     "</f>
        <v xml:space="preserve">CHOPS                    ERIN                     </v>
      </c>
      <c r="E17549" t="str">
        <f>"GREENWOOD                 "</f>
        <v xml:space="preserve">GREENWOOD                 </v>
      </c>
      <c r="F17549" t="str">
        <f t="shared" si="437"/>
        <v>MS</v>
      </c>
    </row>
    <row r="17550" spans="1:6" x14ac:dyDescent="0.25">
      <c r="A17550" t="str">
        <f>"200014608"</f>
        <v>200014608</v>
      </c>
      <c r="B17550" t="str">
        <f>"1134952526"</f>
        <v>1134952526</v>
      </c>
      <c r="C17550" t="str">
        <f>"122300000X"</f>
        <v>122300000X</v>
      </c>
      <c r="D17550" t="str">
        <f>"OXFORD FAMILY DENTISTRY AND BRACES                "</f>
        <v xml:space="preserve">OXFORD FAMILY DENTISTRY AND BRACES                </v>
      </c>
      <c r="E17550" t="str">
        <f>"OXFORD                    "</f>
        <v xml:space="preserve">OXFORD                    </v>
      </c>
      <c r="F17550" t="str">
        <f t="shared" si="437"/>
        <v>MS</v>
      </c>
    </row>
    <row r="17551" spans="1:6" x14ac:dyDescent="0.25">
      <c r="A17551" t="str">
        <f>"200014618"</f>
        <v>200014618</v>
      </c>
      <c r="B17551" t="str">
        <f>"1467423491"</f>
        <v>1467423491</v>
      </c>
      <c r="C17551" t="str">
        <f>"208M00000X"</f>
        <v>208M00000X</v>
      </c>
      <c r="D17551" t="str">
        <f>"STEWART-HUBBARD          TAKASHA      L           "</f>
        <v xml:space="preserve">STEWART-HUBBARD          TAKASHA      L           </v>
      </c>
      <c r="E17551" t="str">
        <f>"HATTIESBURG               "</f>
        <v xml:space="preserve">HATTIESBURG               </v>
      </c>
      <c r="F17551" t="str">
        <f t="shared" si="437"/>
        <v>MS</v>
      </c>
    </row>
    <row r="17552" spans="1:6" x14ac:dyDescent="0.25">
      <c r="A17552" t="str">
        <f>"200014621"</f>
        <v>200014621</v>
      </c>
      <c r="B17552" t="str">
        <f>"1740453240"</f>
        <v>1740453240</v>
      </c>
      <c r="C17552" t="str">
        <f>"122300000X"</f>
        <v>122300000X</v>
      </c>
      <c r="D17552" t="str">
        <f>"ROBERTS                  LASHUNDA                 "</f>
        <v xml:space="preserve">ROBERTS                  LASHUNDA                 </v>
      </c>
      <c r="E17552" t="str">
        <f>"MADISON                   "</f>
        <v xml:space="preserve">MADISON                   </v>
      </c>
      <c r="F17552" t="str">
        <f t="shared" si="437"/>
        <v>MS</v>
      </c>
    </row>
    <row r="17553" spans="1:6" x14ac:dyDescent="0.25">
      <c r="A17553" t="str">
        <f>"200014623"</f>
        <v>200014623</v>
      </c>
      <c r="B17553" t="str">
        <f>"1023674025"</f>
        <v>1023674025</v>
      </c>
      <c r="C17553" t="str">
        <f>"363L00000X"</f>
        <v>363L00000X</v>
      </c>
      <c r="D17553" t="str">
        <f>"PIERCE                   EMILY                    "</f>
        <v xml:space="preserve">PIERCE                   EMILY                    </v>
      </c>
      <c r="E17553" t="str">
        <f>"BILOXI                    "</f>
        <v xml:space="preserve">BILOXI                    </v>
      </c>
      <c r="F17553" t="str">
        <f t="shared" si="437"/>
        <v>MS</v>
      </c>
    </row>
    <row r="17554" spans="1:6" x14ac:dyDescent="0.25">
      <c r="A17554" t="str">
        <f>"200014627"</f>
        <v>200014627</v>
      </c>
      <c r="B17554" t="str">
        <f>"1740866326"</f>
        <v>1740866326</v>
      </c>
      <c r="C17554" t="str">
        <f>"208D00000X"</f>
        <v>208D00000X</v>
      </c>
      <c r="D17554" t="str">
        <f>"MCELWEE                  JOHN                     "</f>
        <v xml:space="preserve">MCELWEE                  JOHN                     </v>
      </c>
      <c r="E17554" t="str">
        <f>"JACKSON                   "</f>
        <v xml:space="preserve">JACKSON                   </v>
      </c>
      <c r="F17554" t="str">
        <f t="shared" si="437"/>
        <v>MS</v>
      </c>
    </row>
    <row r="17555" spans="1:6" x14ac:dyDescent="0.25">
      <c r="A17555" t="str">
        <f>"200014630"</f>
        <v>200014630</v>
      </c>
      <c r="B17555" t="str">
        <f>"1841035763"</f>
        <v>1841035763</v>
      </c>
      <c r="C17555" t="str">
        <f>"2084P0800X"</f>
        <v>2084P0800X</v>
      </c>
      <c r="D17555" t="str">
        <f>"WILLARREAL               HEATHER      A           "</f>
        <v xml:space="preserve">WILLARREAL               HEATHER      A           </v>
      </c>
      <c r="E17555" t="str">
        <f>"WHITFIELD                 "</f>
        <v xml:space="preserve">WHITFIELD                 </v>
      </c>
      <c r="F17555" t="str">
        <f t="shared" si="437"/>
        <v>MS</v>
      </c>
    </row>
    <row r="17556" spans="1:6" x14ac:dyDescent="0.25">
      <c r="A17556" t="str">
        <f>"200014632"</f>
        <v>200014632</v>
      </c>
      <c r="B17556" t="str">
        <f>"1073533196"</f>
        <v>1073533196</v>
      </c>
      <c r="C17556" t="str">
        <f>"2084P0804X"</f>
        <v>2084P0804X</v>
      </c>
      <c r="D17556" t="str">
        <f>"MILLER                   JULE                     "</f>
        <v xml:space="preserve">MILLER                   JULE                     </v>
      </c>
      <c r="E17556" t="str">
        <f>"BILOXI                    "</f>
        <v xml:space="preserve">BILOXI                    </v>
      </c>
      <c r="F17556" t="str">
        <f t="shared" si="437"/>
        <v>MS</v>
      </c>
    </row>
    <row r="17557" spans="1:6" x14ac:dyDescent="0.25">
      <c r="A17557" t="str">
        <f>"200014636"</f>
        <v>200014636</v>
      </c>
      <c r="B17557" t="str">
        <f>"1427553759"</f>
        <v>1427553759</v>
      </c>
      <c r="C17557" t="str">
        <f>"2080P0203X"</f>
        <v>2080P0203X</v>
      </c>
      <c r="D17557" t="str">
        <f>"HARKEY                   CLAIRE                   "</f>
        <v xml:space="preserve">HARKEY                   CLAIRE                   </v>
      </c>
      <c r="E17557" t="str">
        <f>"JACKSON                   "</f>
        <v xml:space="preserve">JACKSON                   </v>
      </c>
      <c r="F17557" t="str">
        <f t="shared" si="437"/>
        <v>MS</v>
      </c>
    </row>
    <row r="17558" spans="1:6" x14ac:dyDescent="0.25">
      <c r="A17558" t="str">
        <f>"200014642"</f>
        <v>200014642</v>
      </c>
      <c r="B17558" t="str">
        <f>"1265011100"</f>
        <v>1265011100</v>
      </c>
      <c r="C17558" t="str">
        <f>"207R00000X"</f>
        <v>207R00000X</v>
      </c>
      <c r="D17558" t="str">
        <f>"ARNOLD                   ETHAN                    "</f>
        <v xml:space="preserve">ARNOLD                   ETHAN                    </v>
      </c>
      <c r="E17558" t="str">
        <f>"OCEAN SPRINGS             "</f>
        <v xml:space="preserve">OCEAN SPRINGS             </v>
      </c>
      <c r="F17558" t="str">
        <f t="shared" si="437"/>
        <v>MS</v>
      </c>
    </row>
    <row r="17559" spans="1:6" x14ac:dyDescent="0.25">
      <c r="A17559" t="str">
        <f>"200014643"</f>
        <v>200014643</v>
      </c>
      <c r="B17559" t="str">
        <f>"1598596223"</f>
        <v>1598596223</v>
      </c>
      <c r="C17559" t="str">
        <f>"363L00000X"</f>
        <v>363L00000X</v>
      </c>
      <c r="D17559" t="str">
        <f>"LEGGETT                  SHAYNA                   "</f>
        <v xml:space="preserve">LEGGETT                  SHAYNA                   </v>
      </c>
      <c r="E17559" t="str">
        <f>"GULFPORT                  "</f>
        <v xml:space="preserve">GULFPORT                  </v>
      </c>
      <c r="F17559" t="str">
        <f t="shared" si="437"/>
        <v>MS</v>
      </c>
    </row>
    <row r="17560" spans="1:6" x14ac:dyDescent="0.25">
      <c r="A17560" t="str">
        <f>"200014647"</f>
        <v>200014647</v>
      </c>
      <c r="B17560" t="str">
        <f>"1073953147"</f>
        <v>1073953147</v>
      </c>
      <c r="C17560" t="str">
        <f>"207RC0000X"</f>
        <v>207RC0000X</v>
      </c>
      <c r="D17560" t="str">
        <f>"LENNEP                   BRANDON      W           "</f>
        <v xml:space="preserve">LENNEP                   BRANDON      W           </v>
      </c>
      <c r="E17560" t="str">
        <f>"JACKSON                   "</f>
        <v xml:space="preserve">JACKSON                   </v>
      </c>
      <c r="F17560" t="str">
        <f t="shared" si="437"/>
        <v>MS</v>
      </c>
    </row>
    <row r="17561" spans="1:6" x14ac:dyDescent="0.25">
      <c r="A17561" t="str">
        <f>"200014651"</f>
        <v>200014651</v>
      </c>
      <c r="B17561" t="str">
        <f>"1720014939"</f>
        <v>1720014939</v>
      </c>
      <c r="C17561" t="str">
        <f>"207R00000X"</f>
        <v>207R00000X</v>
      </c>
      <c r="D17561" t="str">
        <f>"ENGLAND                  LESLIE       E           "</f>
        <v xml:space="preserve">ENGLAND                  LESLIE       E           </v>
      </c>
      <c r="E17561" t="str">
        <f>"NATCHEZ                   "</f>
        <v xml:space="preserve">NATCHEZ                   </v>
      </c>
      <c r="F17561" t="str">
        <f t="shared" si="437"/>
        <v>MS</v>
      </c>
    </row>
    <row r="17562" spans="1:6" x14ac:dyDescent="0.25">
      <c r="A17562" t="str">
        <f>"200014652"</f>
        <v>200014652</v>
      </c>
      <c r="B17562" t="str">
        <f>"1720014939"</f>
        <v>1720014939</v>
      </c>
      <c r="C17562" t="str">
        <f>"207RI0200X"</f>
        <v>207RI0200X</v>
      </c>
      <c r="D17562" t="str">
        <f>"ENGLAND                  LESLIE       E           "</f>
        <v xml:space="preserve">ENGLAND                  LESLIE       E           </v>
      </c>
      <c r="E17562" t="str">
        <f>"NATCHEZ                   "</f>
        <v xml:space="preserve">NATCHEZ                   </v>
      </c>
      <c r="F17562" t="str">
        <f t="shared" si="437"/>
        <v>MS</v>
      </c>
    </row>
    <row r="17563" spans="1:6" x14ac:dyDescent="0.25">
      <c r="A17563" t="str">
        <f>"200014653"</f>
        <v>200014653</v>
      </c>
      <c r="B17563" t="str">
        <f>"1528899283"</f>
        <v>1528899283</v>
      </c>
      <c r="C17563" t="str">
        <f>"363LA2100X"</f>
        <v>363LA2100X</v>
      </c>
      <c r="D17563" t="str">
        <f>"WILLIAMS                 KATELYN                  "</f>
        <v xml:space="preserve">WILLIAMS                 KATELYN                  </v>
      </c>
      <c r="E17563" t="str">
        <f>"OCEAN SPRINGS             "</f>
        <v xml:space="preserve">OCEAN SPRINGS             </v>
      </c>
      <c r="F17563" t="str">
        <f t="shared" si="437"/>
        <v>MS</v>
      </c>
    </row>
    <row r="17564" spans="1:6" x14ac:dyDescent="0.25">
      <c r="A17564" t="str">
        <f>"200014657"</f>
        <v>200014657</v>
      </c>
      <c r="B17564" t="str">
        <f>"1912604588"</f>
        <v>1912604588</v>
      </c>
      <c r="C17564" t="str">
        <f>"363L00000X"</f>
        <v>363L00000X</v>
      </c>
      <c r="D17564" t="str">
        <f>"SANDERS                  KATELYN      N           "</f>
        <v xml:space="preserve">SANDERS                  KATELYN      N           </v>
      </c>
      <c r="E17564" t="str">
        <f>"NEW ALBANY                "</f>
        <v xml:space="preserve">NEW ALBANY                </v>
      </c>
      <c r="F17564" t="str">
        <f t="shared" si="437"/>
        <v>MS</v>
      </c>
    </row>
    <row r="17565" spans="1:6" x14ac:dyDescent="0.25">
      <c r="A17565" t="str">
        <f>"200014658"</f>
        <v>200014658</v>
      </c>
      <c r="B17565" t="str">
        <f>"1124869193"</f>
        <v>1124869193</v>
      </c>
      <c r="C17565" t="str">
        <f>"1223G0001X"</f>
        <v>1223G0001X</v>
      </c>
      <c r="D17565" t="str">
        <f>"GILBERT                  MARK         E           "</f>
        <v xml:space="preserve">GILBERT                  MARK         E           </v>
      </c>
      <c r="E17565" t="str">
        <f>"BYHALIA                   "</f>
        <v xml:space="preserve">BYHALIA                   </v>
      </c>
      <c r="F17565" t="str">
        <f t="shared" si="437"/>
        <v>MS</v>
      </c>
    </row>
    <row r="17566" spans="1:6" x14ac:dyDescent="0.25">
      <c r="A17566" t="str">
        <f>"200014664"</f>
        <v>200014664</v>
      </c>
      <c r="B17566" t="str">
        <f>"1679310197"</f>
        <v>1679310197</v>
      </c>
      <c r="C17566" t="str">
        <f>"363LP0808X"</f>
        <v>363LP0808X</v>
      </c>
      <c r="D17566" t="str">
        <f>"BARNES                   JESSICA      R           "</f>
        <v xml:space="preserve">BARNES                   JESSICA      R           </v>
      </c>
      <c r="E17566" t="str">
        <f>"TUPELO                    "</f>
        <v xml:space="preserve">TUPELO                    </v>
      </c>
      <c r="F17566" t="str">
        <f t="shared" si="437"/>
        <v>MS</v>
      </c>
    </row>
    <row r="17567" spans="1:6" x14ac:dyDescent="0.25">
      <c r="A17567" t="str">
        <f>"200014666"</f>
        <v>200014666</v>
      </c>
      <c r="B17567" t="str">
        <f>"1518639012"</f>
        <v>1518639012</v>
      </c>
      <c r="C17567" t="str">
        <f>"363L00000X"</f>
        <v>363L00000X</v>
      </c>
      <c r="D17567" t="str">
        <f>"BRISTER                  EMILY                    "</f>
        <v xml:space="preserve">BRISTER                  EMILY                    </v>
      </c>
      <c r="E17567" t="str">
        <f>"BRANDON                   "</f>
        <v xml:space="preserve">BRANDON                   </v>
      </c>
      <c r="F17567" t="str">
        <f t="shared" si="437"/>
        <v>MS</v>
      </c>
    </row>
    <row r="17568" spans="1:6" x14ac:dyDescent="0.25">
      <c r="A17568" t="str">
        <f>"200014668"</f>
        <v>200014668</v>
      </c>
      <c r="B17568" t="str">
        <f>"1720694029"</f>
        <v>1720694029</v>
      </c>
      <c r="C17568" t="str">
        <f>"363LP0808X"</f>
        <v>363LP0808X</v>
      </c>
      <c r="D17568" t="str">
        <f>"DICKERSON                MICHELLE                 "</f>
        <v xml:space="preserve">DICKERSON                MICHELLE                 </v>
      </c>
      <c r="E17568" t="str">
        <f>"MERIDIAN                  "</f>
        <v xml:space="preserve">MERIDIAN                  </v>
      </c>
      <c r="F17568" t="str">
        <f t="shared" si="437"/>
        <v>MS</v>
      </c>
    </row>
    <row r="17569" spans="1:6" x14ac:dyDescent="0.25">
      <c r="A17569" t="str">
        <f>"200014673"</f>
        <v>200014673</v>
      </c>
      <c r="B17569" t="str">
        <f>"1932892445"</f>
        <v>1932892445</v>
      </c>
      <c r="C17569" t="str">
        <f>"122300000X"</f>
        <v>122300000X</v>
      </c>
      <c r="D17569" t="str">
        <f>"LOFTON                   MARQUA                   "</f>
        <v xml:space="preserve">LOFTON                   MARQUA                   </v>
      </c>
      <c r="E17569" t="str">
        <f>"CHOCTAW                   "</f>
        <v xml:space="preserve">CHOCTAW                   </v>
      </c>
      <c r="F17569" t="str">
        <f t="shared" si="437"/>
        <v>MS</v>
      </c>
    </row>
    <row r="17570" spans="1:6" x14ac:dyDescent="0.25">
      <c r="A17570" t="str">
        <f>"200014674"</f>
        <v>200014674</v>
      </c>
      <c r="B17570" t="str">
        <f>"1346703923"</f>
        <v>1346703923</v>
      </c>
      <c r="C17570" t="str">
        <f>"207Q00000X"</f>
        <v>207Q00000X</v>
      </c>
      <c r="D17570" t="str">
        <f>"OGLE                     LINDSAY                  "</f>
        <v xml:space="preserve">OGLE                     LINDSAY                  </v>
      </c>
      <c r="E17570" t="str">
        <f>"JACKSON                   "</f>
        <v xml:space="preserve">JACKSON                   </v>
      </c>
      <c r="F17570" t="str">
        <f t="shared" si="437"/>
        <v>MS</v>
      </c>
    </row>
    <row r="17571" spans="1:6" x14ac:dyDescent="0.25">
      <c r="A17571" t="str">
        <f>"200014689"</f>
        <v>200014689</v>
      </c>
      <c r="B17571" t="str">
        <f>"1255320875"</f>
        <v>1255320875</v>
      </c>
      <c r="C17571" t="str">
        <f>"363LP0200X"</f>
        <v>363LP0200X</v>
      </c>
      <c r="D17571" t="str">
        <f>"WITCHER                  NANCY                    "</f>
        <v xml:space="preserve">WITCHER                  NANCY                    </v>
      </c>
      <c r="E17571" t="str">
        <f>"PICAYUNE                  "</f>
        <v xml:space="preserve">PICAYUNE                  </v>
      </c>
      <c r="F17571" t="str">
        <f t="shared" si="437"/>
        <v>MS</v>
      </c>
    </row>
    <row r="17572" spans="1:6" x14ac:dyDescent="0.25">
      <c r="A17572" t="str">
        <f>"200014692"</f>
        <v>200014692</v>
      </c>
      <c r="B17572" t="str">
        <f>"1760722284"</f>
        <v>1760722284</v>
      </c>
      <c r="C17572" t="str">
        <f>"363LP0808X"</f>
        <v>363LP0808X</v>
      </c>
      <c r="D17572" t="str">
        <f>"JENKINS                  MITZIE                   "</f>
        <v xml:space="preserve">JENKINS                  MITZIE                   </v>
      </c>
      <c r="E17572" t="str">
        <f>"GULFPORT                  "</f>
        <v xml:space="preserve">GULFPORT                  </v>
      </c>
      <c r="F17572" t="str">
        <f t="shared" si="437"/>
        <v>MS</v>
      </c>
    </row>
    <row r="17573" spans="1:6" x14ac:dyDescent="0.25">
      <c r="A17573" t="str">
        <f>"200014693"</f>
        <v>200014693</v>
      </c>
      <c r="B17573" t="str">
        <f>"1225256381"</f>
        <v>1225256381</v>
      </c>
      <c r="C17573" t="str">
        <f>"207Q00000X"</f>
        <v>207Q00000X</v>
      </c>
      <c r="D17573" t="str">
        <f>"MADDOX                   BILL                     "</f>
        <v xml:space="preserve">MADDOX                   BILL                     </v>
      </c>
      <c r="E17573" t="str">
        <f>"GREENVILLE                "</f>
        <v xml:space="preserve">GREENVILLE                </v>
      </c>
      <c r="F17573" t="str">
        <f t="shared" si="437"/>
        <v>MS</v>
      </c>
    </row>
    <row r="17574" spans="1:6" x14ac:dyDescent="0.25">
      <c r="A17574" t="str">
        <f>"200014696"</f>
        <v>200014696</v>
      </c>
      <c r="B17574" t="str">
        <f>"1780432880"</f>
        <v>1780432880</v>
      </c>
      <c r="C17574" t="str">
        <f>"152W00000X"</f>
        <v>152W00000X</v>
      </c>
      <c r="D17574" t="str">
        <f>"PUGLESE                  MARY LOU     C           "</f>
        <v xml:space="preserve">PUGLESE                  MARY LOU     C           </v>
      </c>
      <c r="E17574" t="str">
        <f>"CLINTON                   "</f>
        <v xml:space="preserve">CLINTON                   </v>
      </c>
      <c r="F17574" t="str">
        <f t="shared" si="437"/>
        <v>MS</v>
      </c>
    </row>
    <row r="17575" spans="1:6" x14ac:dyDescent="0.25">
      <c r="A17575" t="str">
        <f>"200014698"</f>
        <v>200014698</v>
      </c>
      <c r="B17575" t="str">
        <f>"1942427802"</f>
        <v>1942427802</v>
      </c>
      <c r="C17575" t="str">
        <f>"207P00000X"</f>
        <v>207P00000X</v>
      </c>
      <c r="D17575" t="str">
        <f>"ARMSTEAD                 CINDY                    "</f>
        <v xml:space="preserve">ARMSTEAD                 CINDY                    </v>
      </c>
      <c r="E17575" t="str">
        <f>"TYLERTOWN                 "</f>
        <v xml:space="preserve">TYLERTOWN                 </v>
      </c>
      <c r="F17575" t="str">
        <f t="shared" si="437"/>
        <v>MS</v>
      </c>
    </row>
    <row r="17576" spans="1:6" x14ac:dyDescent="0.25">
      <c r="A17576" t="str">
        <f>"200014700"</f>
        <v>200014700</v>
      </c>
      <c r="B17576" t="str">
        <f>"1982669636"</f>
        <v>1982669636</v>
      </c>
      <c r="C17576" t="str">
        <f>"207Q00000X"</f>
        <v>207Q00000X</v>
      </c>
      <c r="D17576" t="str">
        <f>"JAMESON                  DAVID                    "</f>
        <v xml:space="preserve">JAMESON                  DAVID                    </v>
      </c>
      <c r="E17576" t="str">
        <f>"SUMRALL                   "</f>
        <v xml:space="preserve">SUMRALL                   </v>
      </c>
      <c r="F17576" t="str">
        <f t="shared" si="437"/>
        <v>MS</v>
      </c>
    </row>
    <row r="17577" spans="1:6" x14ac:dyDescent="0.25">
      <c r="A17577" t="str">
        <f>"200014706"</f>
        <v>200014706</v>
      </c>
      <c r="B17577" t="str">
        <f>"1184614992"</f>
        <v>1184614992</v>
      </c>
      <c r="C17577" t="str">
        <f>"208000000X"</f>
        <v>208000000X</v>
      </c>
      <c r="D17577" t="str">
        <f>"KAASHMIRI                MOHAMMED                 "</f>
        <v xml:space="preserve">KAASHMIRI                MOHAMMED                 </v>
      </c>
      <c r="E17577" t="str">
        <f>"PASCAGOULA                "</f>
        <v xml:space="preserve">PASCAGOULA                </v>
      </c>
      <c r="F17577" t="str">
        <f t="shared" si="437"/>
        <v>MS</v>
      </c>
    </row>
    <row r="17578" spans="1:6" x14ac:dyDescent="0.25">
      <c r="A17578" t="str">
        <f>"200014709"</f>
        <v>200014709</v>
      </c>
      <c r="B17578" t="str">
        <f>"1700818804"</f>
        <v>1700818804</v>
      </c>
      <c r="C17578" t="str">
        <f>"208VP0014X"</f>
        <v>208VP0014X</v>
      </c>
      <c r="D17578" t="str">
        <f>"MCCOY                    DENNIS                   "</f>
        <v xml:space="preserve">MCCOY                    DENNIS                   </v>
      </c>
      <c r="E17578" t="str">
        <f>"SOUTHAVEN                 "</f>
        <v xml:space="preserve">SOUTHAVEN                 </v>
      </c>
      <c r="F17578" t="str">
        <f t="shared" si="437"/>
        <v>MS</v>
      </c>
    </row>
    <row r="17579" spans="1:6" x14ac:dyDescent="0.25">
      <c r="A17579" t="str">
        <f>"200014712"</f>
        <v>200014712</v>
      </c>
      <c r="B17579" t="str">
        <f>"1255690871"</f>
        <v>1255690871</v>
      </c>
      <c r="C17579" t="str">
        <f>"2086S0129X"</f>
        <v>2086S0129X</v>
      </c>
      <c r="D17579" t="str">
        <f>"MAJORS                   JACQUELINE   A           "</f>
        <v xml:space="preserve">MAJORS                   JACQUELINE   A           </v>
      </c>
      <c r="E17579" t="str">
        <f>"SOUTHAVEN                 "</f>
        <v xml:space="preserve">SOUTHAVEN                 </v>
      </c>
      <c r="F17579" t="str">
        <f t="shared" si="437"/>
        <v>MS</v>
      </c>
    </row>
    <row r="17580" spans="1:6" x14ac:dyDescent="0.25">
      <c r="A17580" t="str">
        <f>"200014720"</f>
        <v>200014720</v>
      </c>
      <c r="B17580" t="str">
        <f>"1073079125"</f>
        <v>1073079125</v>
      </c>
      <c r="C17580" t="str">
        <f>"363A00000X"</f>
        <v>363A00000X</v>
      </c>
      <c r="D17580" t="str">
        <f>"PHILLIPS                 RILEY        J           "</f>
        <v xml:space="preserve">PHILLIPS                 RILEY        J           </v>
      </c>
      <c r="E17580" t="str">
        <f>"HATTIESBURG               "</f>
        <v xml:space="preserve">HATTIESBURG               </v>
      </c>
      <c r="F17580" t="str">
        <f t="shared" si="437"/>
        <v>MS</v>
      </c>
    </row>
    <row r="17581" spans="1:6" x14ac:dyDescent="0.25">
      <c r="A17581" t="str">
        <f>"200014722"</f>
        <v>200014722</v>
      </c>
      <c r="B17581" t="str">
        <f>"1053630806"</f>
        <v>1053630806</v>
      </c>
      <c r="C17581" t="str">
        <f>"363LP0808X"</f>
        <v>363LP0808X</v>
      </c>
      <c r="D17581" t="str">
        <f>"HAYNES                   JOANNE       A           "</f>
        <v xml:space="preserve">HAYNES                   JOANNE       A           </v>
      </c>
      <c r="E17581" t="str">
        <f>"JACKSON                   "</f>
        <v xml:space="preserve">JACKSON                   </v>
      </c>
      <c r="F17581" t="str">
        <f t="shared" si="437"/>
        <v>MS</v>
      </c>
    </row>
    <row r="17582" spans="1:6" x14ac:dyDescent="0.25">
      <c r="A17582" t="str">
        <f>"200014734"</f>
        <v>200014734</v>
      </c>
      <c r="B17582" t="str">
        <f>"1972841419"</f>
        <v>1972841419</v>
      </c>
      <c r="C17582" t="str">
        <f>"363A00000X"</f>
        <v>363A00000X</v>
      </c>
      <c r="D17582" t="str">
        <f>"DONAHUE                  PATRICIA                 "</f>
        <v xml:space="preserve">DONAHUE                  PATRICIA                 </v>
      </c>
      <c r="E17582" t="str">
        <f>"OXFORD                    "</f>
        <v xml:space="preserve">OXFORD                    </v>
      </c>
      <c r="F17582" t="str">
        <f t="shared" si="437"/>
        <v>MS</v>
      </c>
    </row>
    <row r="17583" spans="1:6" x14ac:dyDescent="0.25">
      <c r="A17583" t="str">
        <f>"200014741"</f>
        <v>200014741</v>
      </c>
      <c r="B17583" t="str">
        <f>"1619950086"</f>
        <v>1619950086</v>
      </c>
      <c r="C17583" t="str">
        <f>"207L00000X"</f>
        <v>207L00000X</v>
      </c>
      <c r="D17583" t="str">
        <f>"OXLEY                    CUBYSON                  "</f>
        <v xml:space="preserve">OXLEY                    CUBYSON                  </v>
      </c>
      <c r="E17583" t="str">
        <f>"OLIVE BRANCH              "</f>
        <v xml:space="preserve">OLIVE BRANCH              </v>
      </c>
      <c r="F17583" t="str">
        <f t="shared" si="437"/>
        <v>MS</v>
      </c>
    </row>
    <row r="17584" spans="1:6" x14ac:dyDescent="0.25">
      <c r="A17584" t="str">
        <f>"200014745"</f>
        <v>200014745</v>
      </c>
      <c r="B17584" t="str">
        <f>"1063445575"</f>
        <v>1063445575</v>
      </c>
      <c r="C17584" t="str">
        <f>"207R00000X"</f>
        <v>207R00000X</v>
      </c>
      <c r="D17584" t="str">
        <f>"LOW                      ANNETTE                  "</f>
        <v xml:space="preserve">LOW                      ANNETTE                  </v>
      </c>
      <c r="E17584" t="str">
        <f>"FLOWOOD                   "</f>
        <v xml:space="preserve">FLOWOOD                   </v>
      </c>
      <c r="F17584" t="str">
        <f t="shared" si="437"/>
        <v>MS</v>
      </c>
    </row>
    <row r="17585" spans="1:6" x14ac:dyDescent="0.25">
      <c r="A17585" t="str">
        <f>"200014752"</f>
        <v>200014752</v>
      </c>
      <c r="B17585" t="str">
        <f>"1780356212"</f>
        <v>1780356212</v>
      </c>
      <c r="C17585" t="str">
        <f>"363LP0808X"</f>
        <v>363LP0808X</v>
      </c>
      <c r="D17585" t="str">
        <f>"ANDERSON                 CANTRELL     O           "</f>
        <v xml:space="preserve">ANDERSON                 CANTRELL     O           </v>
      </c>
      <c r="E17585" t="str">
        <f>"JACKSON                   "</f>
        <v xml:space="preserve">JACKSON                   </v>
      </c>
      <c r="F17585" t="str">
        <f t="shared" si="437"/>
        <v>MS</v>
      </c>
    </row>
    <row r="17586" spans="1:6" x14ac:dyDescent="0.25">
      <c r="A17586" t="str">
        <f>"200014759"</f>
        <v>200014759</v>
      </c>
      <c r="B17586" t="str">
        <f>"1356738041"</f>
        <v>1356738041</v>
      </c>
      <c r="C17586" t="str">
        <f>"207V00000X"</f>
        <v>207V00000X</v>
      </c>
      <c r="D17586" t="str">
        <f>"HUNTER                   KARMEN       D           "</f>
        <v xml:space="preserve">HUNTER                   KARMEN       D           </v>
      </c>
      <c r="E17586" t="str">
        <f>"OLIVE BRANCH              "</f>
        <v xml:space="preserve">OLIVE BRANCH              </v>
      </c>
      <c r="F17586" t="str">
        <f t="shared" si="437"/>
        <v>MS</v>
      </c>
    </row>
    <row r="17587" spans="1:6" x14ac:dyDescent="0.25">
      <c r="A17587" t="str">
        <f>"200014763"</f>
        <v>200014763</v>
      </c>
      <c r="B17587" t="str">
        <f>"1891953642"</f>
        <v>1891953642</v>
      </c>
      <c r="C17587" t="str">
        <f>"122300000X"</f>
        <v>122300000X</v>
      </c>
      <c r="D17587" t="str">
        <f>"BRELAND                  SHELLIE                  "</f>
        <v xml:space="preserve">BRELAND                  SHELLIE                  </v>
      </c>
      <c r="E17587" t="str">
        <f>"FLOWOOD                   "</f>
        <v xml:space="preserve">FLOWOOD                   </v>
      </c>
      <c r="F17587" t="str">
        <f t="shared" si="437"/>
        <v>MS</v>
      </c>
    </row>
    <row r="17588" spans="1:6" x14ac:dyDescent="0.25">
      <c r="A17588" t="str">
        <f>"200014765"</f>
        <v>200014765</v>
      </c>
      <c r="B17588" t="str">
        <f>"1396902409"</f>
        <v>1396902409</v>
      </c>
      <c r="C17588" t="str">
        <f>"207Q00000X"</f>
        <v>207Q00000X</v>
      </c>
      <c r="D17588" t="str">
        <f>"CREECH                   TONYA                    "</f>
        <v xml:space="preserve">CREECH                   TONYA                    </v>
      </c>
      <c r="E17588" t="str">
        <f>"MERIDIAN                  "</f>
        <v xml:space="preserve">MERIDIAN                  </v>
      </c>
      <c r="F17588" t="str">
        <f t="shared" si="437"/>
        <v>MS</v>
      </c>
    </row>
    <row r="17589" spans="1:6" x14ac:dyDescent="0.25">
      <c r="A17589" t="str">
        <f>"200014766"</f>
        <v>200014766</v>
      </c>
      <c r="B17589" t="str">
        <f>"1205461167"</f>
        <v>1205461167</v>
      </c>
      <c r="C17589" t="str">
        <f>"363LP0808X"</f>
        <v>363LP0808X</v>
      </c>
      <c r="D17589" t="str">
        <f>"NUNLEY-THOMPSON          PORTIA                   "</f>
        <v xml:space="preserve">NUNLEY-THOMPSON          PORTIA                   </v>
      </c>
      <c r="E17589" t="str">
        <f>"JACKSON                   "</f>
        <v xml:space="preserve">JACKSON                   </v>
      </c>
      <c r="F17589" t="str">
        <f t="shared" si="437"/>
        <v>MS</v>
      </c>
    </row>
    <row r="17590" spans="1:6" x14ac:dyDescent="0.25">
      <c r="A17590" t="str">
        <f>"200014768"</f>
        <v>200014768</v>
      </c>
      <c r="B17590" t="str">
        <f>"1134974686"</f>
        <v>1134974686</v>
      </c>
      <c r="C17590" t="str">
        <f>"363L00000X"</f>
        <v>363L00000X</v>
      </c>
      <c r="D17590" t="str">
        <f>"JOHNSON                  JENNIFER                 "</f>
        <v xml:space="preserve">JOHNSON                  JENNIFER                 </v>
      </c>
      <c r="E17590" t="str">
        <f>"JACKSON                   "</f>
        <v xml:space="preserve">JACKSON                   </v>
      </c>
      <c r="F17590" t="str">
        <f t="shared" si="437"/>
        <v>MS</v>
      </c>
    </row>
    <row r="17591" spans="1:6" x14ac:dyDescent="0.25">
      <c r="A17591" t="str">
        <f>"200014769"</f>
        <v>200014769</v>
      </c>
      <c r="B17591" t="str">
        <f>"1912987819"</f>
        <v>1912987819</v>
      </c>
      <c r="C17591" t="str">
        <f>"207ZP0102X"</f>
        <v>207ZP0102X</v>
      </c>
      <c r="D17591" t="str">
        <f>"NEILL                    JAMES        S           "</f>
        <v xml:space="preserve">NEILL                    JAMES        S           </v>
      </c>
      <c r="E17591" t="str">
        <f>"HATTIESBURG               "</f>
        <v xml:space="preserve">HATTIESBURG               </v>
      </c>
      <c r="F17591" t="str">
        <f t="shared" si="437"/>
        <v>MS</v>
      </c>
    </row>
    <row r="17592" spans="1:6" x14ac:dyDescent="0.25">
      <c r="A17592" t="str">
        <f>"200014773"</f>
        <v>200014773</v>
      </c>
      <c r="B17592" t="str">
        <f>"1598450082"</f>
        <v>1598450082</v>
      </c>
      <c r="C17592" t="str">
        <f>"363LF0000X"</f>
        <v>363LF0000X</v>
      </c>
      <c r="D17592" t="str">
        <f>"WALKER                   SEREKA       V           "</f>
        <v xml:space="preserve">WALKER                   SEREKA       V           </v>
      </c>
      <c r="E17592" t="str">
        <f>"LELAND                    "</f>
        <v xml:space="preserve">LELAND                    </v>
      </c>
      <c r="F17592" t="str">
        <f t="shared" si="437"/>
        <v>MS</v>
      </c>
    </row>
    <row r="17593" spans="1:6" x14ac:dyDescent="0.25">
      <c r="A17593" t="str">
        <f>"200014776"</f>
        <v>200014776</v>
      </c>
      <c r="B17593" t="str">
        <f>"1326898651"</f>
        <v>1326898651</v>
      </c>
      <c r="C17593" t="str">
        <f>"207R00000X"</f>
        <v>207R00000X</v>
      </c>
      <c r="D17593" t="str">
        <f>"LENOIR                   SETH                     "</f>
        <v xml:space="preserve">LENOIR                   SETH                     </v>
      </c>
      <c r="E17593" t="str">
        <f>"JACKSON                   "</f>
        <v xml:space="preserve">JACKSON                   </v>
      </c>
      <c r="F17593" t="str">
        <f t="shared" si="437"/>
        <v>MS</v>
      </c>
    </row>
    <row r="17594" spans="1:6" x14ac:dyDescent="0.25">
      <c r="A17594" t="str">
        <f>"200014780"</f>
        <v>200014780</v>
      </c>
      <c r="B17594" t="str">
        <f>"1679314389"</f>
        <v>1679314389</v>
      </c>
      <c r="C17594" t="str">
        <f>"207R00000X"</f>
        <v>207R00000X</v>
      </c>
      <c r="D17594" t="str">
        <f>"AZIZ                     ADNAN                    "</f>
        <v xml:space="preserve">AZIZ                     ADNAN                    </v>
      </c>
      <c r="E17594" t="str">
        <f>"TUPELO                    "</f>
        <v xml:space="preserve">TUPELO                    </v>
      </c>
      <c r="F17594" t="str">
        <f t="shared" si="437"/>
        <v>MS</v>
      </c>
    </row>
    <row r="17595" spans="1:6" x14ac:dyDescent="0.25">
      <c r="A17595" t="str">
        <f>"200014792"</f>
        <v>200014792</v>
      </c>
      <c r="B17595" t="str">
        <f>"1548692130"</f>
        <v>1548692130</v>
      </c>
      <c r="C17595" t="str">
        <f>"152W00000X"</f>
        <v>152W00000X</v>
      </c>
      <c r="D17595" t="str">
        <f>"PANG                     WALTER                   "</f>
        <v xml:space="preserve">PANG                     WALTER                   </v>
      </c>
      <c r="E17595" t="str">
        <f>"HORN LAKE                 "</f>
        <v xml:space="preserve">HORN LAKE                 </v>
      </c>
      <c r="F17595" t="str">
        <f t="shared" si="437"/>
        <v>MS</v>
      </c>
    </row>
    <row r="17596" spans="1:6" x14ac:dyDescent="0.25">
      <c r="A17596" t="str">
        <f>"200014796"</f>
        <v>200014796</v>
      </c>
      <c r="B17596" t="str">
        <f>"1619700481"</f>
        <v>1619700481</v>
      </c>
      <c r="C17596" t="str">
        <f>"363LF0000X"</f>
        <v>363LF0000X</v>
      </c>
      <c r="D17596" t="str">
        <f>"RODGERS                  PHILLIP      E           "</f>
        <v xml:space="preserve">RODGERS                  PHILLIP      E           </v>
      </c>
      <c r="E17596" t="str">
        <f>"DURANT                    "</f>
        <v xml:space="preserve">DURANT                    </v>
      </c>
      <c r="F17596" t="str">
        <f t="shared" si="437"/>
        <v>MS</v>
      </c>
    </row>
    <row r="17597" spans="1:6" x14ac:dyDescent="0.25">
      <c r="A17597" t="str">
        <f>"200014797"</f>
        <v>200014797</v>
      </c>
      <c r="B17597" t="str">
        <f>"1508851510"</f>
        <v>1508851510</v>
      </c>
      <c r="C17597" t="str">
        <f>"207RI0011X"</f>
        <v>207RI0011X</v>
      </c>
      <c r="D17597" t="str">
        <f>"DAVE                     RAJ                      "</f>
        <v xml:space="preserve">DAVE                     RAJ                      </v>
      </c>
      <c r="E17597" t="str">
        <f>"CLARKSDALE                "</f>
        <v xml:space="preserve">CLARKSDALE                </v>
      </c>
      <c r="F17597" t="str">
        <f t="shared" si="437"/>
        <v>MS</v>
      </c>
    </row>
    <row r="17598" spans="1:6" x14ac:dyDescent="0.25">
      <c r="A17598" t="str">
        <f>"200014798"</f>
        <v>200014798</v>
      </c>
      <c r="B17598" t="str">
        <f>"1841018264"</f>
        <v>1841018264</v>
      </c>
      <c r="C17598" t="str">
        <f>"363L00000X"</f>
        <v>363L00000X</v>
      </c>
      <c r="D17598" t="str">
        <f>"TUBBS                    BRITTANY                 "</f>
        <v xml:space="preserve">TUBBS                    BRITTANY                 </v>
      </c>
      <c r="E17598" t="str">
        <f>"COLUMBUS                  "</f>
        <v xml:space="preserve">COLUMBUS                  </v>
      </c>
      <c r="F17598" t="str">
        <f t="shared" ref="F17598:F17661" si="438">"MS"</f>
        <v>MS</v>
      </c>
    </row>
    <row r="17599" spans="1:6" x14ac:dyDescent="0.25">
      <c r="A17599" t="str">
        <f>"200014806"</f>
        <v>200014806</v>
      </c>
      <c r="B17599" t="str">
        <f>"1891527321"</f>
        <v>1891527321</v>
      </c>
      <c r="C17599" t="str">
        <f>"363LX0001X"</f>
        <v>363LX0001X</v>
      </c>
      <c r="D17599" t="str">
        <f>"BYRD                     KADIE                    "</f>
        <v xml:space="preserve">BYRD                     KADIE                    </v>
      </c>
      <c r="E17599" t="str">
        <f>"STARKVILLE                "</f>
        <v xml:space="preserve">STARKVILLE                </v>
      </c>
      <c r="F17599" t="str">
        <f t="shared" si="438"/>
        <v>MS</v>
      </c>
    </row>
    <row r="17600" spans="1:6" x14ac:dyDescent="0.25">
      <c r="A17600" t="str">
        <f>"200014812"</f>
        <v>200014812</v>
      </c>
      <c r="B17600" t="str">
        <f>"1659500791"</f>
        <v>1659500791</v>
      </c>
      <c r="C17600" t="str">
        <f>"207R00000X"</f>
        <v>207R00000X</v>
      </c>
      <c r="D17600" t="str">
        <f>"RIVERA-SANTIAGO          VICTOR                   "</f>
        <v xml:space="preserve">RIVERA-SANTIAGO          VICTOR                   </v>
      </c>
      <c r="E17600" t="str">
        <f>"CORINTH                   "</f>
        <v xml:space="preserve">CORINTH                   </v>
      </c>
      <c r="F17600" t="str">
        <f t="shared" si="438"/>
        <v>MS</v>
      </c>
    </row>
    <row r="17601" spans="1:6" x14ac:dyDescent="0.25">
      <c r="A17601" t="str">
        <f>"200014820"</f>
        <v>200014820</v>
      </c>
      <c r="B17601" t="str">
        <f>"1902539315"</f>
        <v>1902539315</v>
      </c>
      <c r="C17601" t="str">
        <f>"207P00000X"</f>
        <v>207P00000X</v>
      </c>
      <c r="D17601" t="str">
        <f>"CANAAN                   RYAN                     "</f>
        <v xml:space="preserve">CANAAN                   RYAN                     </v>
      </c>
      <c r="E17601" t="str">
        <f>"BOONEVILLE                "</f>
        <v xml:space="preserve">BOONEVILLE                </v>
      </c>
      <c r="F17601" t="str">
        <f t="shared" si="438"/>
        <v>MS</v>
      </c>
    </row>
    <row r="17602" spans="1:6" x14ac:dyDescent="0.25">
      <c r="A17602" t="str">
        <f>"200014823"</f>
        <v>200014823</v>
      </c>
      <c r="B17602" t="str">
        <f>"1134607484"</f>
        <v>1134607484</v>
      </c>
      <c r="C17602" t="str">
        <f>"363L00000X"</f>
        <v>363L00000X</v>
      </c>
      <c r="D17602" t="str">
        <f>"RAY-LANDRY               BRANDI                   "</f>
        <v xml:space="preserve">RAY-LANDRY               BRANDI                   </v>
      </c>
      <c r="E17602" t="str">
        <f>"PICAYUNE                  "</f>
        <v xml:space="preserve">PICAYUNE                  </v>
      </c>
      <c r="F17602" t="str">
        <f t="shared" si="438"/>
        <v>MS</v>
      </c>
    </row>
    <row r="17603" spans="1:6" x14ac:dyDescent="0.25">
      <c r="A17603" t="str">
        <f>"200014824"</f>
        <v>200014824</v>
      </c>
      <c r="B17603" t="str">
        <f>"1356193445"</f>
        <v>1356193445</v>
      </c>
      <c r="C17603" t="str">
        <f>"363LF0000X"</f>
        <v>363LF0000X</v>
      </c>
      <c r="D17603" t="str">
        <f>"DE VELASQUEZ             SHERRY                   "</f>
        <v xml:space="preserve">DE VELASQUEZ             SHERRY                   </v>
      </c>
      <c r="E17603" t="str">
        <f>"GREENVILLE                "</f>
        <v xml:space="preserve">GREENVILLE                </v>
      </c>
      <c r="F17603" t="str">
        <f t="shared" si="438"/>
        <v>MS</v>
      </c>
    </row>
    <row r="17604" spans="1:6" x14ac:dyDescent="0.25">
      <c r="A17604" t="str">
        <f>"200014825"</f>
        <v>200014825</v>
      </c>
      <c r="B17604" t="str">
        <f>"1730743501"</f>
        <v>1730743501</v>
      </c>
      <c r="C17604" t="str">
        <f>"208100000X"</f>
        <v>208100000X</v>
      </c>
      <c r="D17604" t="str">
        <f>"CROWELL, IV              LORENZO                  "</f>
        <v xml:space="preserve">CROWELL, IV              LORENZO                  </v>
      </c>
      <c r="E17604" t="str">
        <f>"TUPELO                    "</f>
        <v xml:space="preserve">TUPELO                    </v>
      </c>
      <c r="F17604" t="str">
        <f t="shared" si="438"/>
        <v>MS</v>
      </c>
    </row>
    <row r="17605" spans="1:6" x14ac:dyDescent="0.25">
      <c r="A17605" t="str">
        <f>"200014827"</f>
        <v>200014827</v>
      </c>
      <c r="B17605" t="str">
        <f>"1831767490"</f>
        <v>1831767490</v>
      </c>
      <c r="C17605" t="str">
        <f>"207R00000X"</f>
        <v>207R00000X</v>
      </c>
      <c r="D17605" t="str">
        <f>"AGBATOR                  RACHAEL                  "</f>
        <v xml:space="preserve">AGBATOR                  RACHAEL                  </v>
      </c>
      <c r="E17605" t="str">
        <f>"TUPELO                    "</f>
        <v xml:space="preserve">TUPELO                    </v>
      </c>
      <c r="F17605" t="str">
        <f t="shared" si="438"/>
        <v>MS</v>
      </c>
    </row>
    <row r="17606" spans="1:6" x14ac:dyDescent="0.25">
      <c r="A17606" t="str">
        <f>"200014835"</f>
        <v>200014835</v>
      </c>
      <c r="B17606" t="str">
        <f>"1154844033"</f>
        <v>1154844033</v>
      </c>
      <c r="C17606" t="str">
        <f>"363LF0000X"</f>
        <v>363LF0000X</v>
      </c>
      <c r="D17606" t="str">
        <f>"SIMMONS                  VANESSA                  "</f>
        <v xml:space="preserve">SIMMONS                  VANESSA                  </v>
      </c>
      <c r="E17606" t="str">
        <f>"COLUMBUS                  "</f>
        <v xml:space="preserve">COLUMBUS                  </v>
      </c>
      <c r="F17606" t="str">
        <f t="shared" si="438"/>
        <v>MS</v>
      </c>
    </row>
    <row r="17607" spans="1:6" x14ac:dyDescent="0.25">
      <c r="A17607" t="str">
        <f>"200014838"</f>
        <v>200014838</v>
      </c>
      <c r="B17607" t="str">
        <f>"1285988154"</f>
        <v>1285988154</v>
      </c>
      <c r="C17607" t="str">
        <f>"363LF0000X"</f>
        <v>363LF0000X</v>
      </c>
      <c r="D17607" t="str">
        <f>"HIGGINS                  BRENDA       K           "</f>
        <v xml:space="preserve">HIGGINS                  BRENDA       K           </v>
      </c>
      <c r="E17607" t="str">
        <f>"COLUMBUS                  "</f>
        <v xml:space="preserve">COLUMBUS                  </v>
      </c>
      <c r="F17607" t="str">
        <f t="shared" si="438"/>
        <v>MS</v>
      </c>
    </row>
    <row r="17608" spans="1:6" x14ac:dyDescent="0.25">
      <c r="A17608" t="str">
        <f>"200014840"</f>
        <v>200014840</v>
      </c>
      <c r="B17608" t="str">
        <f>"1346652377"</f>
        <v>1346652377</v>
      </c>
      <c r="C17608" t="str">
        <f>"363LW0102X"</f>
        <v>363LW0102X</v>
      </c>
      <c r="D17608" t="str">
        <f>"FORD                     RACHEL                   "</f>
        <v xml:space="preserve">FORD                     RACHEL                   </v>
      </c>
      <c r="E17608" t="str">
        <f>"MADISON                   "</f>
        <v xml:space="preserve">MADISON                   </v>
      </c>
      <c r="F17608" t="str">
        <f t="shared" si="438"/>
        <v>MS</v>
      </c>
    </row>
    <row r="17609" spans="1:6" x14ac:dyDescent="0.25">
      <c r="A17609" t="str">
        <f>"200014841"</f>
        <v>200014841</v>
      </c>
      <c r="B17609" t="str">
        <f>"1659135440"</f>
        <v>1659135440</v>
      </c>
      <c r="C17609" t="str">
        <f>"363LP0808X"</f>
        <v>363LP0808X</v>
      </c>
      <c r="D17609" t="str">
        <f>"CHAMBERS                 LA TONYA                 "</f>
        <v xml:space="preserve">CHAMBERS                 LA TONYA                 </v>
      </c>
      <c r="E17609" t="str">
        <f>"WAYNESBORO                "</f>
        <v xml:space="preserve">WAYNESBORO                </v>
      </c>
      <c r="F17609" t="str">
        <f t="shared" si="438"/>
        <v>MS</v>
      </c>
    </row>
    <row r="17610" spans="1:6" x14ac:dyDescent="0.25">
      <c r="A17610" t="str">
        <f>"200014845"</f>
        <v>200014845</v>
      </c>
      <c r="B17610" t="str">
        <f>"1477013126"</f>
        <v>1477013126</v>
      </c>
      <c r="C17610" t="str">
        <f>"207RI0200X"</f>
        <v>207RI0200X</v>
      </c>
      <c r="D17610" t="str">
        <f>"FISHER                   JORDAN                   "</f>
        <v xml:space="preserve">FISHER                   JORDAN                   </v>
      </c>
      <c r="E17610" t="str">
        <f>"NATCHEZ                   "</f>
        <v xml:space="preserve">NATCHEZ                   </v>
      </c>
      <c r="F17610" t="str">
        <f t="shared" si="438"/>
        <v>MS</v>
      </c>
    </row>
    <row r="17611" spans="1:6" x14ac:dyDescent="0.25">
      <c r="A17611" t="str">
        <f>"200014846"</f>
        <v>200014846</v>
      </c>
      <c r="B17611" t="str">
        <f>"1649624693"</f>
        <v>1649624693</v>
      </c>
      <c r="C17611" t="str">
        <f>"207Q00000X"</f>
        <v>207Q00000X</v>
      </c>
      <c r="D17611" t="str">
        <f>"MIZELL                   BRANDON                  "</f>
        <v xml:space="preserve">MIZELL                   BRANDON                  </v>
      </c>
      <c r="E17611" t="str">
        <f>"VICKSBURG                 "</f>
        <v xml:space="preserve">VICKSBURG                 </v>
      </c>
      <c r="F17611" t="str">
        <f t="shared" si="438"/>
        <v>MS</v>
      </c>
    </row>
    <row r="17612" spans="1:6" x14ac:dyDescent="0.25">
      <c r="A17612" t="str">
        <f>"200014847"</f>
        <v>200014847</v>
      </c>
      <c r="B17612" t="str">
        <f>"1063898633"</f>
        <v>1063898633</v>
      </c>
      <c r="C17612" t="str">
        <f>"363LF0000X"</f>
        <v>363LF0000X</v>
      </c>
      <c r="D17612" t="str">
        <f>"BEDELLS                  KAREN                    "</f>
        <v xml:space="preserve">BEDELLS                  KAREN                    </v>
      </c>
      <c r="E17612" t="str">
        <f>"RIDGELAND                 "</f>
        <v xml:space="preserve">RIDGELAND                 </v>
      </c>
      <c r="F17612" t="str">
        <f t="shared" si="438"/>
        <v>MS</v>
      </c>
    </row>
    <row r="17613" spans="1:6" x14ac:dyDescent="0.25">
      <c r="A17613" t="str">
        <f>"200014849"</f>
        <v>200014849</v>
      </c>
      <c r="B17613" t="str">
        <f>"1619544889"</f>
        <v>1619544889</v>
      </c>
      <c r="C17613" t="str">
        <f>"207R00000X"</f>
        <v>207R00000X</v>
      </c>
      <c r="D17613" t="str">
        <f>"HUNDLEY                  VICTORIA                 "</f>
        <v xml:space="preserve">HUNDLEY                  VICTORIA                 </v>
      </c>
      <c r="E17613" t="str">
        <f>"TUPELO                    "</f>
        <v xml:space="preserve">TUPELO                    </v>
      </c>
      <c r="F17613" t="str">
        <f t="shared" si="438"/>
        <v>MS</v>
      </c>
    </row>
    <row r="17614" spans="1:6" x14ac:dyDescent="0.25">
      <c r="A17614" t="str">
        <f>"200014852"</f>
        <v>200014852</v>
      </c>
      <c r="B17614" t="str">
        <f>"1477305993"</f>
        <v>1477305993</v>
      </c>
      <c r="C17614" t="str">
        <f>"207R00000X"</f>
        <v>207R00000X</v>
      </c>
      <c r="D17614" t="str">
        <f>"FARUQUE                  ANIKA                    "</f>
        <v xml:space="preserve">FARUQUE                  ANIKA                    </v>
      </c>
      <c r="E17614" t="str">
        <f>"JACKSON                   "</f>
        <v xml:space="preserve">JACKSON                   </v>
      </c>
      <c r="F17614" t="str">
        <f t="shared" si="438"/>
        <v>MS</v>
      </c>
    </row>
    <row r="17615" spans="1:6" x14ac:dyDescent="0.25">
      <c r="A17615" t="str">
        <f>"200014858"</f>
        <v>200014858</v>
      </c>
      <c r="B17615" t="str">
        <f>"1114789781"</f>
        <v>1114789781</v>
      </c>
      <c r="C17615" t="str">
        <f>"363LF0000X"</f>
        <v>363LF0000X</v>
      </c>
      <c r="D17615" t="str">
        <f>"SCOGGINS                 KRISTIN                  "</f>
        <v xml:space="preserve">SCOGGINS                 KRISTIN                  </v>
      </c>
      <c r="E17615" t="str">
        <f>"JACKSON                   "</f>
        <v xml:space="preserve">JACKSON                   </v>
      </c>
      <c r="F17615" t="str">
        <f t="shared" si="438"/>
        <v>MS</v>
      </c>
    </row>
    <row r="17616" spans="1:6" x14ac:dyDescent="0.25">
      <c r="A17616" t="str">
        <f>"200014859"</f>
        <v>200014859</v>
      </c>
      <c r="B17616" t="str">
        <f>"1205912946"</f>
        <v>1205912946</v>
      </c>
      <c r="C17616" t="str">
        <f>"363L00000X"</f>
        <v>363L00000X</v>
      </c>
      <c r="D17616" t="str">
        <f>"LEWIS                    ROSELINE                 "</f>
        <v xml:space="preserve">LEWIS                    ROSELINE                 </v>
      </c>
      <c r="E17616" t="str">
        <f>"COLLINS                   "</f>
        <v xml:space="preserve">COLLINS                   </v>
      </c>
      <c r="F17616" t="str">
        <f t="shared" si="438"/>
        <v>MS</v>
      </c>
    </row>
    <row r="17617" spans="1:6" x14ac:dyDescent="0.25">
      <c r="A17617" t="str">
        <f>"200014860"</f>
        <v>200014860</v>
      </c>
      <c r="B17617" t="str">
        <f>"1346356714"</f>
        <v>1346356714</v>
      </c>
      <c r="C17617" t="str">
        <f>"1223X0400X"</f>
        <v>1223X0400X</v>
      </c>
      <c r="D17617" t="str">
        <f>"MORRIS                   DAVID        A           "</f>
        <v xml:space="preserve">MORRIS                   DAVID        A           </v>
      </c>
      <c r="E17617" t="str">
        <f>"HATTIESBURG               "</f>
        <v xml:space="preserve">HATTIESBURG               </v>
      </c>
      <c r="F17617" t="str">
        <f t="shared" si="438"/>
        <v>MS</v>
      </c>
    </row>
    <row r="17618" spans="1:6" x14ac:dyDescent="0.25">
      <c r="A17618" t="str">
        <f>"200014864"</f>
        <v>200014864</v>
      </c>
      <c r="B17618" t="str">
        <f>"1548087141"</f>
        <v>1548087141</v>
      </c>
      <c r="C17618" t="str">
        <f>"363L00000X"</f>
        <v>363L00000X</v>
      </c>
      <c r="D17618" t="str">
        <f>"DHAWAN                   KAJAL                    "</f>
        <v xml:space="preserve">DHAWAN                   KAJAL                    </v>
      </c>
      <c r="E17618" t="str">
        <f>"RICHLAND                  "</f>
        <v xml:space="preserve">RICHLAND                  </v>
      </c>
      <c r="F17618" t="str">
        <f t="shared" si="438"/>
        <v>MS</v>
      </c>
    </row>
    <row r="17619" spans="1:6" x14ac:dyDescent="0.25">
      <c r="A17619" t="str">
        <f>"200014873"</f>
        <v>200014873</v>
      </c>
      <c r="B17619" t="str">
        <f>"1275531881"</f>
        <v>1275531881</v>
      </c>
      <c r="C17619" t="str">
        <f>"2085R0204X"</f>
        <v>2085R0204X</v>
      </c>
      <c r="D17619" t="str">
        <f>"SMITH                    NORWOOD                  "</f>
        <v xml:space="preserve">SMITH                    NORWOOD                  </v>
      </c>
      <c r="E17619" t="str">
        <f>"FLOWOOD                   "</f>
        <v xml:space="preserve">FLOWOOD                   </v>
      </c>
      <c r="F17619" t="str">
        <f t="shared" si="438"/>
        <v>MS</v>
      </c>
    </row>
    <row r="17620" spans="1:6" x14ac:dyDescent="0.25">
      <c r="A17620" t="str">
        <f>"200014876"</f>
        <v>200014876</v>
      </c>
      <c r="B17620" t="str">
        <f>"1295904159"</f>
        <v>1295904159</v>
      </c>
      <c r="C17620" t="str">
        <f>"2085R0202X"</f>
        <v>2085R0202X</v>
      </c>
      <c r="D17620" t="str">
        <f>"GIARDINA                 JASON                    "</f>
        <v xml:space="preserve">GIARDINA                 JASON                    </v>
      </c>
      <c r="E17620" t="str">
        <f>"MERIDIAN                  "</f>
        <v xml:space="preserve">MERIDIAN                  </v>
      </c>
      <c r="F17620" t="str">
        <f t="shared" si="438"/>
        <v>MS</v>
      </c>
    </row>
    <row r="17621" spans="1:6" x14ac:dyDescent="0.25">
      <c r="A17621" t="str">
        <f>"200014880"</f>
        <v>200014880</v>
      </c>
      <c r="B17621" t="str">
        <f>"1023472115"</f>
        <v>1023472115</v>
      </c>
      <c r="C17621" t="str">
        <f>"2084N0400X"</f>
        <v>2084N0400X</v>
      </c>
      <c r="D17621" t="str">
        <f>"CARLIN                   RACHEL       E           "</f>
        <v xml:space="preserve">CARLIN                   RACHEL       E           </v>
      </c>
      <c r="E17621" t="str">
        <f>"TUPELO                    "</f>
        <v xml:space="preserve">TUPELO                    </v>
      </c>
      <c r="F17621" t="str">
        <f t="shared" si="438"/>
        <v>MS</v>
      </c>
    </row>
    <row r="17622" spans="1:6" x14ac:dyDescent="0.25">
      <c r="A17622" t="str">
        <f>"200014881"</f>
        <v>200014881</v>
      </c>
      <c r="B17622" t="str">
        <f>"1144202128"</f>
        <v>1144202128</v>
      </c>
      <c r="C17622" t="str">
        <f>"2085R0202X"</f>
        <v>2085R0202X</v>
      </c>
      <c r="D17622" t="str">
        <f>"O'BRIEN                  SEAN                     "</f>
        <v xml:space="preserve">O'BRIEN                  SEAN                     </v>
      </c>
      <c r="E17622" t="str">
        <f>"JACKSON                   "</f>
        <v xml:space="preserve">JACKSON                   </v>
      </c>
      <c r="F17622" t="str">
        <f t="shared" si="438"/>
        <v>MS</v>
      </c>
    </row>
    <row r="17623" spans="1:6" x14ac:dyDescent="0.25">
      <c r="A17623" t="str">
        <f>"200014883"</f>
        <v>200014883</v>
      </c>
      <c r="B17623" t="str">
        <f>"1881412351"</f>
        <v>1881412351</v>
      </c>
      <c r="C17623" t="str">
        <f>"363L00000X"</f>
        <v>363L00000X</v>
      </c>
      <c r="D17623" t="str">
        <f>"HODGES                   LILLIE                   "</f>
        <v xml:space="preserve">HODGES                   LILLIE                   </v>
      </c>
      <c r="E17623" t="str">
        <f>"MCCOMB                    "</f>
        <v xml:space="preserve">MCCOMB                    </v>
      </c>
      <c r="F17623" t="str">
        <f t="shared" si="438"/>
        <v>MS</v>
      </c>
    </row>
    <row r="17624" spans="1:6" x14ac:dyDescent="0.25">
      <c r="A17624" t="str">
        <f>"200014884"</f>
        <v>200014884</v>
      </c>
      <c r="B17624" t="str">
        <f>"1619400520"</f>
        <v>1619400520</v>
      </c>
      <c r="C17624" t="str">
        <f>"2084N0400X"</f>
        <v>2084N0400X</v>
      </c>
      <c r="D17624" t="str">
        <f>"MENENDEZ                 GABRIEL                  "</f>
        <v xml:space="preserve">MENENDEZ                 GABRIEL                  </v>
      </c>
      <c r="E17624" t="str">
        <f>"TUPELO                    "</f>
        <v xml:space="preserve">TUPELO                    </v>
      </c>
      <c r="F17624" t="str">
        <f t="shared" si="438"/>
        <v>MS</v>
      </c>
    </row>
    <row r="17625" spans="1:6" x14ac:dyDescent="0.25">
      <c r="A17625" t="str">
        <f>"200014886"</f>
        <v>200014886</v>
      </c>
      <c r="B17625" t="str">
        <f>"1225646284"</f>
        <v>1225646284</v>
      </c>
      <c r="C17625" t="str">
        <f>"122300000X"</f>
        <v>122300000X</v>
      </c>
      <c r="D17625" t="str">
        <f>"SMITH                    WILLIAM      E           "</f>
        <v xml:space="preserve">SMITH                    WILLIAM      E           </v>
      </c>
      <c r="E17625" t="str">
        <f>"NATCHEZ                   "</f>
        <v xml:space="preserve">NATCHEZ                   </v>
      </c>
      <c r="F17625" t="str">
        <f t="shared" si="438"/>
        <v>MS</v>
      </c>
    </row>
    <row r="17626" spans="1:6" x14ac:dyDescent="0.25">
      <c r="A17626" t="str">
        <f>"200014889"</f>
        <v>200014889</v>
      </c>
      <c r="B17626" t="str">
        <f>"1497301915"</f>
        <v>1497301915</v>
      </c>
      <c r="C17626" t="str">
        <f>"363A00000X"</f>
        <v>363A00000X</v>
      </c>
      <c r="D17626" t="str">
        <f>"HENSON                   STEVAN                   "</f>
        <v xml:space="preserve">HENSON                   STEVAN                   </v>
      </c>
      <c r="E17626" t="str">
        <f>"MADISON                   "</f>
        <v xml:space="preserve">MADISON                   </v>
      </c>
      <c r="F17626" t="str">
        <f t="shared" si="438"/>
        <v>MS</v>
      </c>
    </row>
    <row r="17627" spans="1:6" x14ac:dyDescent="0.25">
      <c r="A17627" t="str">
        <f>"200014890"</f>
        <v>200014890</v>
      </c>
      <c r="B17627" t="str">
        <f>"1326887670"</f>
        <v>1326887670</v>
      </c>
      <c r="C17627" t="str">
        <f>"367500000X"</f>
        <v>367500000X</v>
      </c>
      <c r="D17627" t="str">
        <f>"ZOLLMANN                 EMMA                     "</f>
        <v xml:space="preserve">ZOLLMANN                 EMMA                     </v>
      </c>
      <c r="E17627" t="str">
        <f>"OLIVE BRANCH              "</f>
        <v xml:space="preserve">OLIVE BRANCH              </v>
      </c>
      <c r="F17627" t="str">
        <f t="shared" si="438"/>
        <v>MS</v>
      </c>
    </row>
    <row r="17628" spans="1:6" x14ac:dyDescent="0.25">
      <c r="A17628" t="str">
        <f>"200014891"</f>
        <v>200014891</v>
      </c>
      <c r="B17628" t="str">
        <f>"1407334477"</f>
        <v>1407334477</v>
      </c>
      <c r="C17628" t="str">
        <f>"363L00000X"</f>
        <v>363L00000X</v>
      </c>
      <c r="D17628" t="str">
        <f>"KANE                     TAYLOR                   "</f>
        <v xml:space="preserve">KANE                     TAYLOR                   </v>
      </c>
      <c r="E17628" t="str">
        <f>"IUKA                      "</f>
        <v xml:space="preserve">IUKA                      </v>
      </c>
      <c r="F17628" t="str">
        <f t="shared" si="438"/>
        <v>MS</v>
      </c>
    </row>
    <row r="17629" spans="1:6" x14ac:dyDescent="0.25">
      <c r="A17629" t="str">
        <f>"200014894"</f>
        <v>200014894</v>
      </c>
      <c r="B17629" t="str">
        <f>"1376377580"</f>
        <v>1376377580</v>
      </c>
      <c r="C17629" t="str">
        <f>"363L00000X"</f>
        <v>363L00000X</v>
      </c>
      <c r="D17629" t="str">
        <f>"ALEXANDER                KEITH                    "</f>
        <v xml:space="preserve">ALEXANDER                KEITH                    </v>
      </c>
      <c r="E17629" t="str">
        <f>"BILOXI                    "</f>
        <v xml:space="preserve">BILOXI                    </v>
      </c>
      <c r="F17629" t="str">
        <f t="shared" si="438"/>
        <v>MS</v>
      </c>
    </row>
    <row r="17630" spans="1:6" x14ac:dyDescent="0.25">
      <c r="A17630" t="str">
        <f>"200014899"</f>
        <v>200014899</v>
      </c>
      <c r="B17630" t="str">
        <f>"1013695659"</f>
        <v>1013695659</v>
      </c>
      <c r="C17630" t="str">
        <f>"363L00000X"</f>
        <v>363L00000X</v>
      </c>
      <c r="D17630" t="str">
        <f>"HALL                     BRITTANY                 "</f>
        <v xml:space="preserve">HALL                     BRITTANY                 </v>
      </c>
      <c r="E17630" t="str">
        <f>"BRANDON                   "</f>
        <v xml:space="preserve">BRANDON                   </v>
      </c>
      <c r="F17630" t="str">
        <f t="shared" si="438"/>
        <v>MS</v>
      </c>
    </row>
    <row r="17631" spans="1:6" x14ac:dyDescent="0.25">
      <c r="A17631" t="str">
        <f>"200014900"</f>
        <v>200014900</v>
      </c>
      <c r="B17631" t="str">
        <f>"1346082161"</f>
        <v>1346082161</v>
      </c>
      <c r="C17631" t="str">
        <f>"363L00000X"</f>
        <v>363L00000X</v>
      </c>
      <c r="D17631" t="str">
        <f>"HAWTHORNE                BENJAMIN                 "</f>
        <v xml:space="preserve">HAWTHORNE                BENJAMIN                 </v>
      </c>
      <c r="E17631" t="str">
        <f>"CLINTON                   "</f>
        <v xml:space="preserve">CLINTON                   </v>
      </c>
      <c r="F17631" t="str">
        <f t="shared" si="438"/>
        <v>MS</v>
      </c>
    </row>
    <row r="17632" spans="1:6" x14ac:dyDescent="0.25">
      <c r="A17632" t="str">
        <f>"200014916"</f>
        <v>200014916</v>
      </c>
      <c r="B17632" t="str">
        <f>"1235997669"</f>
        <v>1235997669</v>
      </c>
      <c r="C17632" t="str">
        <f>"363A00000X"</f>
        <v>363A00000X</v>
      </c>
      <c r="D17632" t="str">
        <f>"BUFKIN                   ELIZABETH    G           "</f>
        <v xml:space="preserve">BUFKIN                   ELIZABETH    G           </v>
      </c>
      <c r="E17632" t="str">
        <f>"VICKSBURG                 "</f>
        <v xml:space="preserve">VICKSBURG                 </v>
      </c>
      <c r="F17632" t="str">
        <f t="shared" si="438"/>
        <v>MS</v>
      </c>
    </row>
    <row r="17633" spans="1:6" x14ac:dyDescent="0.25">
      <c r="A17633" t="str">
        <f>"200014919"</f>
        <v>200014919</v>
      </c>
      <c r="B17633" t="str">
        <f>"1730799834"</f>
        <v>1730799834</v>
      </c>
      <c r="C17633" t="str">
        <f>"363LF0000X"</f>
        <v>363LF0000X</v>
      </c>
      <c r="D17633" t="str">
        <f>"WELCH                    EMILYE       W           "</f>
        <v xml:space="preserve">WELCH                    EMILYE       W           </v>
      </c>
      <c r="E17633" t="str">
        <f>"JACKSON                   "</f>
        <v xml:space="preserve">JACKSON                   </v>
      </c>
      <c r="F17633" t="str">
        <f t="shared" si="438"/>
        <v>MS</v>
      </c>
    </row>
    <row r="17634" spans="1:6" x14ac:dyDescent="0.25">
      <c r="A17634" t="str">
        <f>"200014924"</f>
        <v>200014924</v>
      </c>
      <c r="B17634" t="str">
        <f>"1144073610"</f>
        <v>1144073610</v>
      </c>
      <c r="C17634" t="str">
        <f>"207Q00000X"</f>
        <v>207Q00000X</v>
      </c>
      <c r="D17634" t="str">
        <f>"PATEL                    HETAL                    "</f>
        <v xml:space="preserve">PATEL                    HETAL                    </v>
      </c>
      <c r="E17634" t="str">
        <f>"JACKSON                   "</f>
        <v xml:space="preserve">JACKSON                   </v>
      </c>
      <c r="F17634" t="str">
        <f t="shared" si="438"/>
        <v>MS</v>
      </c>
    </row>
    <row r="17635" spans="1:6" x14ac:dyDescent="0.25">
      <c r="A17635" t="str">
        <f>"200014934"</f>
        <v>200014934</v>
      </c>
      <c r="B17635" t="str">
        <f>"1487491536"</f>
        <v>1487491536</v>
      </c>
      <c r="C17635" t="str">
        <f>"152W00000X"</f>
        <v>152W00000X</v>
      </c>
      <c r="D17635" t="str">
        <f>"MASSENGALE               HANNAH       E           "</f>
        <v xml:space="preserve">MASSENGALE               HANNAH       E           </v>
      </c>
      <c r="E17635" t="str">
        <f>"PICAYUNE                  "</f>
        <v xml:space="preserve">PICAYUNE                  </v>
      </c>
      <c r="F17635" t="str">
        <f t="shared" si="438"/>
        <v>MS</v>
      </c>
    </row>
    <row r="17636" spans="1:6" x14ac:dyDescent="0.25">
      <c r="A17636" t="str">
        <f>"200014935"</f>
        <v>200014935</v>
      </c>
      <c r="B17636" t="str">
        <f>"1013206416"</f>
        <v>1013206416</v>
      </c>
      <c r="C17636" t="str">
        <f>"207P00000X"</f>
        <v>207P00000X</v>
      </c>
      <c r="D17636" t="str">
        <f>"FUNK                     ZACHARY                  "</f>
        <v xml:space="preserve">FUNK                     ZACHARY                  </v>
      </c>
      <c r="E17636" t="str">
        <f>"COLUMBIA                  "</f>
        <v xml:space="preserve">COLUMBIA                  </v>
      </c>
      <c r="F17636" t="str">
        <f t="shared" si="438"/>
        <v>MS</v>
      </c>
    </row>
    <row r="17637" spans="1:6" x14ac:dyDescent="0.25">
      <c r="A17637" t="str">
        <f>"200014939"</f>
        <v>200014939</v>
      </c>
      <c r="B17637" t="str">
        <f>"1164249975"</f>
        <v>1164249975</v>
      </c>
      <c r="C17637" t="str">
        <f>"363L00000X"</f>
        <v>363L00000X</v>
      </c>
      <c r="D17637" t="str">
        <f>"SKINNER                  SHAMEKKA     N           "</f>
        <v xml:space="preserve">SKINNER                  SHAMEKKA     N           </v>
      </c>
      <c r="E17637" t="str">
        <f>"CANTON                    "</f>
        <v xml:space="preserve">CANTON                    </v>
      </c>
      <c r="F17637" t="str">
        <f t="shared" si="438"/>
        <v>MS</v>
      </c>
    </row>
    <row r="17638" spans="1:6" x14ac:dyDescent="0.25">
      <c r="A17638" t="str">
        <f>"200014942"</f>
        <v>200014942</v>
      </c>
      <c r="B17638" t="str">
        <f>"1093558991"</f>
        <v>1093558991</v>
      </c>
      <c r="C17638" t="str">
        <f>"207R00000X"</f>
        <v>207R00000X</v>
      </c>
      <c r="D17638" t="str">
        <f>"SUBRAMANI                SACHIN                   "</f>
        <v xml:space="preserve">SUBRAMANI                SACHIN                   </v>
      </c>
      <c r="E17638" t="str">
        <f>"COLUMBUS                  "</f>
        <v xml:space="preserve">COLUMBUS                  </v>
      </c>
      <c r="F17638" t="str">
        <f t="shared" si="438"/>
        <v>MS</v>
      </c>
    </row>
    <row r="17639" spans="1:6" x14ac:dyDescent="0.25">
      <c r="A17639" t="str">
        <f>"200014947"</f>
        <v>200014947</v>
      </c>
      <c r="B17639" t="str">
        <f>"1033890926"</f>
        <v>1033890926</v>
      </c>
      <c r="C17639" t="str">
        <f>"363A00000X"</f>
        <v>363A00000X</v>
      </c>
      <c r="D17639" t="str">
        <f>"PLUNKETT                 ALEC                     "</f>
        <v xml:space="preserve">PLUNKETT                 ALEC                     </v>
      </c>
      <c r="E17639" t="str">
        <f>"TUPELO                    "</f>
        <v xml:space="preserve">TUPELO                    </v>
      </c>
      <c r="F17639" t="str">
        <f t="shared" si="438"/>
        <v>MS</v>
      </c>
    </row>
    <row r="17640" spans="1:6" x14ac:dyDescent="0.25">
      <c r="A17640" t="str">
        <f>"200014963"</f>
        <v>200014963</v>
      </c>
      <c r="B17640" t="str">
        <f>"1497926265"</f>
        <v>1497926265</v>
      </c>
      <c r="C17640" t="str">
        <f>"363LF0000X"</f>
        <v>363LF0000X</v>
      </c>
      <c r="D17640" t="str">
        <f>"WINDHAM                  LINDY                    "</f>
        <v xml:space="preserve">WINDHAM                  LINDY                    </v>
      </c>
      <c r="E17640" t="str">
        <f>"SEMINARY                  "</f>
        <v xml:space="preserve">SEMINARY                  </v>
      </c>
      <c r="F17640" t="str">
        <f t="shared" si="438"/>
        <v>MS</v>
      </c>
    </row>
    <row r="17641" spans="1:6" x14ac:dyDescent="0.25">
      <c r="A17641" t="str">
        <f>"200014964"</f>
        <v>200014964</v>
      </c>
      <c r="B17641" t="str">
        <f>"1669812087"</f>
        <v>1669812087</v>
      </c>
      <c r="C17641" t="str">
        <f>"207RG0100X"</f>
        <v>207RG0100X</v>
      </c>
      <c r="D17641" t="str">
        <f>"SANCHEZ                  PATRICK                  "</f>
        <v xml:space="preserve">SANCHEZ                  PATRICK                  </v>
      </c>
      <c r="E17641" t="str">
        <f>"MCCOMB                    "</f>
        <v xml:space="preserve">MCCOMB                    </v>
      </c>
      <c r="F17641" t="str">
        <f t="shared" si="438"/>
        <v>MS</v>
      </c>
    </row>
    <row r="17642" spans="1:6" x14ac:dyDescent="0.25">
      <c r="A17642" t="str">
        <f>"200014972"</f>
        <v>200014972</v>
      </c>
      <c r="B17642" t="str">
        <f>"1174503866"</f>
        <v>1174503866</v>
      </c>
      <c r="C17642" t="str">
        <f>"207V00000X"</f>
        <v>207V00000X</v>
      </c>
      <c r="D17642" t="str">
        <f>"ROTH                     TED                      "</f>
        <v xml:space="preserve">ROTH                     TED                      </v>
      </c>
      <c r="E17642" t="str">
        <f>"FLOWOOD                   "</f>
        <v xml:space="preserve">FLOWOOD                   </v>
      </c>
      <c r="F17642" t="str">
        <f t="shared" si="438"/>
        <v>MS</v>
      </c>
    </row>
    <row r="17643" spans="1:6" x14ac:dyDescent="0.25">
      <c r="A17643" t="str">
        <f>"200014979"</f>
        <v>200014979</v>
      </c>
      <c r="B17643" t="str">
        <f>"1487639019"</f>
        <v>1487639019</v>
      </c>
      <c r="C17643" t="str">
        <f>"363LF0000X"</f>
        <v>363LF0000X</v>
      </c>
      <c r="D17643" t="str">
        <f>"HODGE                    KRISTA                   "</f>
        <v xml:space="preserve">HODGE                    KRISTA                   </v>
      </c>
      <c r="E17643" t="str">
        <f>"FLOWOOD                   "</f>
        <v xml:space="preserve">FLOWOOD                   </v>
      </c>
      <c r="F17643" t="str">
        <f t="shared" si="438"/>
        <v>MS</v>
      </c>
    </row>
    <row r="17644" spans="1:6" x14ac:dyDescent="0.25">
      <c r="A17644" t="str">
        <f>"200014986"</f>
        <v>200014986</v>
      </c>
      <c r="B17644" t="str">
        <f>"1831943372"</f>
        <v>1831943372</v>
      </c>
      <c r="C17644" t="str">
        <f>"208600000X"</f>
        <v>208600000X</v>
      </c>
      <c r="D17644" t="str">
        <f>"STORO                    KATHARINE                "</f>
        <v xml:space="preserve">STORO                    KATHARINE                </v>
      </c>
      <c r="E17644" t="str">
        <f>"JACKSON                   "</f>
        <v xml:space="preserve">JACKSON                   </v>
      </c>
      <c r="F17644" t="str">
        <f t="shared" si="438"/>
        <v>MS</v>
      </c>
    </row>
    <row r="17645" spans="1:6" x14ac:dyDescent="0.25">
      <c r="A17645" t="str">
        <f>"200014987"</f>
        <v>200014987</v>
      </c>
      <c r="B17645" t="str">
        <f>"1982434478"</f>
        <v>1982434478</v>
      </c>
      <c r="C17645" t="str">
        <f>"363LF0000X"</f>
        <v>363LF0000X</v>
      </c>
      <c r="D17645" t="str">
        <f>"WARNAT                   MERRILL                  "</f>
        <v xml:space="preserve">WARNAT                   MERRILL                  </v>
      </c>
      <c r="E17645" t="str">
        <f>"AMORY                     "</f>
        <v xml:space="preserve">AMORY                     </v>
      </c>
      <c r="F17645" t="str">
        <f t="shared" si="438"/>
        <v>MS</v>
      </c>
    </row>
    <row r="17646" spans="1:6" x14ac:dyDescent="0.25">
      <c r="A17646" t="str">
        <f>"200014988"</f>
        <v>200014988</v>
      </c>
      <c r="B17646" t="str">
        <f>"1265995872"</f>
        <v>1265995872</v>
      </c>
      <c r="C17646" t="str">
        <f>"207K00000X"</f>
        <v>207K00000X</v>
      </c>
      <c r="D17646" t="str">
        <f>"FOWLER                   JOSHUA       D           "</f>
        <v xml:space="preserve">FOWLER                   JOSHUA       D           </v>
      </c>
      <c r="E17646" t="str">
        <f>"STARKVILLE                "</f>
        <v xml:space="preserve">STARKVILLE                </v>
      </c>
      <c r="F17646" t="str">
        <f t="shared" si="438"/>
        <v>MS</v>
      </c>
    </row>
    <row r="17647" spans="1:6" x14ac:dyDescent="0.25">
      <c r="A17647" t="str">
        <f>"200014990"</f>
        <v>200014990</v>
      </c>
      <c r="B17647" t="str">
        <f>"1659136430"</f>
        <v>1659136430</v>
      </c>
      <c r="C17647" t="str">
        <f>"363L00000X"</f>
        <v>363L00000X</v>
      </c>
      <c r="D17647" t="str">
        <f>"SAFFOLD                  TOMEACA      H           "</f>
        <v xml:space="preserve">SAFFOLD                  TOMEACA      H           </v>
      </c>
      <c r="E17647" t="str">
        <f>"JACKSON                   "</f>
        <v xml:space="preserve">JACKSON                   </v>
      </c>
      <c r="F17647" t="str">
        <f t="shared" si="438"/>
        <v>MS</v>
      </c>
    </row>
    <row r="17648" spans="1:6" x14ac:dyDescent="0.25">
      <c r="A17648" t="str">
        <f>"200014991"</f>
        <v>200014991</v>
      </c>
      <c r="B17648" t="str">
        <f>"1659136430"</f>
        <v>1659136430</v>
      </c>
      <c r="C17648" t="str">
        <f>"363LF0000X"</f>
        <v>363LF0000X</v>
      </c>
      <c r="D17648" t="str">
        <f>"SAFFOLD                  TOMEACA      H           "</f>
        <v xml:space="preserve">SAFFOLD                  TOMEACA      H           </v>
      </c>
      <c r="E17648" t="str">
        <f>"JACKSON                   "</f>
        <v xml:space="preserve">JACKSON                   </v>
      </c>
      <c r="F17648" t="str">
        <f t="shared" si="438"/>
        <v>MS</v>
      </c>
    </row>
    <row r="17649" spans="1:6" x14ac:dyDescent="0.25">
      <c r="A17649" t="str">
        <f>"200014994"</f>
        <v>200014994</v>
      </c>
      <c r="B17649" t="str">
        <f>"1164087631"</f>
        <v>1164087631</v>
      </c>
      <c r="C17649" t="str">
        <f>"207R00000X"</f>
        <v>207R00000X</v>
      </c>
      <c r="D17649" t="str">
        <f>"VINSON                   JARED        L           "</f>
        <v xml:space="preserve">VINSON                   JARED        L           </v>
      </c>
      <c r="E17649" t="str">
        <f>"GULFPORT                  "</f>
        <v xml:space="preserve">GULFPORT                  </v>
      </c>
      <c r="F17649" t="str">
        <f t="shared" si="438"/>
        <v>MS</v>
      </c>
    </row>
    <row r="17650" spans="1:6" x14ac:dyDescent="0.25">
      <c r="A17650" t="str">
        <f>"200014995"</f>
        <v>200014995</v>
      </c>
      <c r="B17650" t="str">
        <f>"1679855159"</f>
        <v>1679855159</v>
      </c>
      <c r="C17650" t="str">
        <f>"363LF0000X"</f>
        <v>363LF0000X</v>
      </c>
      <c r="D17650" t="str">
        <f>"EATON                    JESSICA                  "</f>
        <v xml:space="preserve">EATON                    JESSICA                  </v>
      </c>
      <c r="E17650" t="str">
        <f>"TUPELO                    "</f>
        <v xml:space="preserve">TUPELO                    </v>
      </c>
      <c r="F17650" t="str">
        <f t="shared" si="438"/>
        <v>MS</v>
      </c>
    </row>
    <row r="17651" spans="1:6" x14ac:dyDescent="0.25">
      <c r="A17651" t="str">
        <f>"200014997"</f>
        <v>200014997</v>
      </c>
      <c r="B17651" t="str">
        <f>"1922850007"</f>
        <v>1922850007</v>
      </c>
      <c r="C17651" t="str">
        <f>"207R00000X"</f>
        <v>207R00000X</v>
      </c>
      <c r="D17651" t="str">
        <f>"MIDDLETON                ADAM                     "</f>
        <v xml:space="preserve">MIDDLETON                ADAM                     </v>
      </c>
      <c r="E17651" t="str">
        <f>"JACKSON                   "</f>
        <v xml:space="preserve">JACKSON                   </v>
      </c>
      <c r="F17651" t="str">
        <f t="shared" si="438"/>
        <v>MS</v>
      </c>
    </row>
    <row r="17652" spans="1:6" x14ac:dyDescent="0.25">
      <c r="A17652" t="str">
        <f>"200015001"</f>
        <v>200015001</v>
      </c>
      <c r="B17652" t="str">
        <f>"1225875883"</f>
        <v>1225875883</v>
      </c>
      <c r="C17652" t="str">
        <f>"207R00000X"</f>
        <v>207R00000X</v>
      </c>
      <c r="D17652" t="str">
        <f>"EBRAHIM                  OMAR                     "</f>
        <v xml:space="preserve">EBRAHIM                  OMAR                     </v>
      </c>
      <c r="E17652" t="str">
        <f>"COLUMBUS                  "</f>
        <v xml:space="preserve">COLUMBUS                  </v>
      </c>
      <c r="F17652" t="str">
        <f t="shared" si="438"/>
        <v>MS</v>
      </c>
    </row>
    <row r="17653" spans="1:6" x14ac:dyDescent="0.25">
      <c r="A17653" t="str">
        <f>"200015002"</f>
        <v>200015002</v>
      </c>
      <c r="B17653" t="str">
        <f>"1437907375"</f>
        <v>1437907375</v>
      </c>
      <c r="C17653" t="str">
        <f>"207P00000X"</f>
        <v>207P00000X</v>
      </c>
      <c r="D17653" t="str">
        <f>"MALLIMALA                PRIYA                    "</f>
        <v xml:space="preserve">MALLIMALA                PRIYA                    </v>
      </c>
      <c r="E17653" t="str">
        <f>"JACKSON                   "</f>
        <v xml:space="preserve">JACKSON                   </v>
      </c>
      <c r="F17653" t="str">
        <f t="shared" si="438"/>
        <v>MS</v>
      </c>
    </row>
    <row r="17654" spans="1:6" x14ac:dyDescent="0.25">
      <c r="A17654" t="str">
        <f>"200015003"</f>
        <v>200015003</v>
      </c>
      <c r="B17654" t="str">
        <f>"1023421260"</f>
        <v>1023421260</v>
      </c>
      <c r="C17654" t="str">
        <f>"208000000X"</f>
        <v>208000000X</v>
      </c>
      <c r="D17654" t="str">
        <f>"NGO                      GIATHINH                 "</f>
        <v xml:space="preserve">NGO                      GIATHINH                 </v>
      </c>
      <c r="E17654" t="str">
        <f>"PHILADELPHIA              "</f>
        <v xml:space="preserve">PHILADELPHIA              </v>
      </c>
      <c r="F17654" t="str">
        <f t="shared" si="438"/>
        <v>MS</v>
      </c>
    </row>
    <row r="17655" spans="1:6" x14ac:dyDescent="0.25">
      <c r="A17655" t="str">
        <f>"200015016"</f>
        <v>200015016</v>
      </c>
      <c r="B17655" t="str">
        <f>"1316788318"</f>
        <v>1316788318</v>
      </c>
      <c r="C17655" t="str">
        <f>"363LF0000X"</f>
        <v>363LF0000X</v>
      </c>
      <c r="D17655" t="str">
        <f>"MCINTIRE                 ELIZABETH                "</f>
        <v xml:space="preserve">MCINTIRE                 ELIZABETH                </v>
      </c>
      <c r="E17655" t="str">
        <f>"GREENVILLE                "</f>
        <v xml:space="preserve">GREENVILLE                </v>
      </c>
      <c r="F17655" t="str">
        <f t="shared" si="438"/>
        <v>MS</v>
      </c>
    </row>
    <row r="17656" spans="1:6" x14ac:dyDescent="0.25">
      <c r="A17656" t="str">
        <f>"200015022"</f>
        <v>200015022</v>
      </c>
      <c r="B17656" t="str">
        <f>"1376391268"</f>
        <v>1376391268</v>
      </c>
      <c r="C17656" t="str">
        <f>"363LA2100X"</f>
        <v>363LA2100X</v>
      </c>
      <c r="D17656" t="str">
        <f>"GOODMAN                  MELIA                    "</f>
        <v xml:space="preserve">GOODMAN                  MELIA                    </v>
      </c>
      <c r="E17656" t="str">
        <f>"MERIDIAN                  "</f>
        <v xml:space="preserve">MERIDIAN                  </v>
      </c>
      <c r="F17656" t="str">
        <f t="shared" si="438"/>
        <v>MS</v>
      </c>
    </row>
    <row r="17657" spans="1:6" x14ac:dyDescent="0.25">
      <c r="A17657" t="str">
        <f>"200015028"</f>
        <v>200015028</v>
      </c>
      <c r="B17657" t="str">
        <f>"1164038444"</f>
        <v>1164038444</v>
      </c>
      <c r="C17657" t="str">
        <f>"363LF0000X"</f>
        <v>363LF0000X</v>
      </c>
      <c r="D17657" t="str">
        <f>"BROWN                    JALISHA                  "</f>
        <v xml:space="preserve">BROWN                    JALISHA                  </v>
      </c>
      <c r="E17657" t="str">
        <f>"MERIDIAN                  "</f>
        <v xml:space="preserve">MERIDIAN                  </v>
      </c>
      <c r="F17657" t="str">
        <f t="shared" si="438"/>
        <v>MS</v>
      </c>
    </row>
    <row r="17658" spans="1:6" x14ac:dyDescent="0.25">
      <c r="A17658" t="str">
        <f>"200015030"</f>
        <v>200015030</v>
      </c>
      <c r="B17658" t="str">
        <f>"1063806198"</f>
        <v>1063806198</v>
      </c>
      <c r="C17658" t="str">
        <f>"208600000X"</f>
        <v>208600000X</v>
      </c>
      <c r="D17658" t="str">
        <f>"HUGHES                   TARA                     "</f>
        <v xml:space="preserve">HUGHES                   TARA                     </v>
      </c>
      <c r="E17658" t="str">
        <f>"JACKSON                   "</f>
        <v xml:space="preserve">JACKSON                   </v>
      </c>
      <c r="F17658" t="str">
        <f t="shared" si="438"/>
        <v>MS</v>
      </c>
    </row>
    <row r="17659" spans="1:6" x14ac:dyDescent="0.25">
      <c r="A17659" t="str">
        <f>"200015032"</f>
        <v>200015032</v>
      </c>
      <c r="B17659" t="str">
        <f>"1568280436"</f>
        <v>1568280436</v>
      </c>
      <c r="C17659" t="str">
        <f>"363LF0000X"</f>
        <v>363LF0000X</v>
      </c>
      <c r="D17659" t="str">
        <f>"FORD                     RAKEDRA      A           "</f>
        <v xml:space="preserve">FORD                     RAKEDRA      A           </v>
      </c>
      <c r="E17659" t="str">
        <f>"CANTON                    "</f>
        <v xml:space="preserve">CANTON                    </v>
      </c>
      <c r="F17659" t="str">
        <f t="shared" si="438"/>
        <v>MS</v>
      </c>
    </row>
    <row r="17660" spans="1:6" x14ac:dyDescent="0.25">
      <c r="A17660" t="str">
        <f>"200015050"</f>
        <v>200015050</v>
      </c>
      <c r="B17660" t="str">
        <f>"1124412234"</f>
        <v>1124412234</v>
      </c>
      <c r="C17660" t="str">
        <f>"208VP0014X"</f>
        <v>208VP0014X</v>
      </c>
      <c r="D17660" t="str">
        <f>"MARTIN                   CHARLES                  "</f>
        <v xml:space="preserve">MARTIN                   CHARLES                  </v>
      </c>
      <c r="E17660" t="str">
        <f>"OLIVE BRANCH              "</f>
        <v xml:space="preserve">OLIVE BRANCH              </v>
      </c>
      <c r="F17660" t="str">
        <f t="shared" si="438"/>
        <v>MS</v>
      </c>
    </row>
    <row r="17661" spans="1:6" x14ac:dyDescent="0.25">
      <c r="A17661" t="str">
        <f>"200015052"</f>
        <v>200015052</v>
      </c>
      <c r="B17661" t="str">
        <f>"1598445801"</f>
        <v>1598445801</v>
      </c>
      <c r="C17661" t="str">
        <f>"363L00000X"</f>
        <v>363L00000X</v>
      </c>
      <c r="D17661" t="str">
        <f>"SING                     WILLIAM                  "</f>
        <v xml:space="preserve">SING                     WILLIAM                  </v>
      </c>
      <c r="E17661" t="str">
        <f>"OLIVE BRANCH              "</f>
        <v xml:space="preserve">OLIVE BRANCH              </v>
      </c>
      <c r="F17661" t="str">
        <f t="shared" si="438"/>
        <v>MS</v>
      </c>
    </row>
    <row r="17662" spans="1:6" x14ac:dyDescent="0.25">
      <c r="A17662" t="str">
        <f>"200015065"</f>
        <v>200015065</v>
      </c>
      <c r="B17662" t="str">
        <f>"1285686618"</f>
        <v>1285686618</v>
      </c>
      <c r="C17662" t="str">
        <f>"207Q00000X"</f>
        <v>207Q00000X</v>
      </c>
      <c r="D17662" t="str">
        <f>"ANYANWU                  ALLYSON                  "</f>
        <v xml:space="preserve">ANYANWU                  ALLYSON                  </v>
      </c>
      <c r="E17662" t="str">
        <f>"WEST POINT                "</f>
        <v xml:space="preserve">WEST POINT                </v>
      </c>
      <c r="F17662" t="str">
        <f t="shared" ref="F17662:F17725" si="439">"MS"</f>
        <v>MS</v>
      </c>
    </row>
    <row r="17663" spans="1:6" x14ac:dyDescent="0.25">
      <c r="A17663" t="str">
        <f>"200015066"</f>
        <v>200015066</v>
      </c>
      <c r="B17663" t="str">
        <f>"1215137096"</f>
        <v>1215137096</v>
      </c>
      <c r="C17663" t="str">
        <f>"207Q00000X"</f>
        <v>207Q00000X</v>
      </c>
      <c r="D17663" t="str">
        <f>"STEVENS                  DANIEL                   "</f>
        <v xml:space="preserve">STEVENS                  DANIEL                   </v>
      </c>
      <c r="E17663" t="str">
        <f>"PICAYUNE                  "</f>
        <v xml:space="preserve">PICAYUNE                  </v>
      </c>
      <c r="F17663" t="str">
        <f t="shared" si="439"/>
        <v>MS</v>
      </c>
    </row>
    <row r="17664" spans="1:6" x14ac:dyDescent="0.25">
      <c r="A17664" t="str">
        <f>"200015067"</f>
        <v>200015067</v>
      </c>
      <c r="B17664" t="str">
        <f>"1215137096"</f>
        <v>1215137096</v>
      </c>
      <c r="C17664" t="str">
        <f>"207P00000X"</f>
        <v>207P00000X</v>
      </c>
      <c r="D17664" t="str">
        <f>"STEVENS                  DANIEL                   "</f>
        <v xml:space="preserve">STEVENS                  DANIEL                   </v>
      </c>
      <c r="E17664" t="str">
        <f>"PICAYUNE                  "</f>
        <v xml:space="preserve">PICAYUNE                  </v>
      </c>
      <c r="F17664" t="str">
        <f t="shared" si="439"/>
        <v>MS</v>
      </c>
    </row>
    <row r="17665" spans="1:6" x14ac:dyDescent="0.25">
      <c r="A17665" t="str">
        <f>"200015068"</f>
        <v>200015068</v>
      </c>
      <c r="B17665" t="str">
        <f>"1073536785"</f>
        <v>1073536785</v>
      </c>
      <c r="C17665" t="str">
        <f>"207Q00000X"</f>
        <v>207Q00000X</v>
      </c>
      <c r="D17665" t="str">
        <f>"ENTREKIN                 DIANA                    "</f>
        <v xml:space="preserve">ENTREKIN                 DIANA                    </v>
      </c>
      <c r="E17665" t="str">
        <f>"BYRAM                     "</f>
        <v xml:space="preserve">BYRAM                     </v>
      </c>
      <c r="F17665" t="str">
        <f t="shared" si="439"/>
        <v>MS</v>
      </c>
    </row>
    <row r="17666" spans="1:6" x14ac:dyDescent="0.25">
      <c r="A17666" t="str">
        <f>"200015085"</f>
        <v>200015085</v>
      </c>
      <c r="B17666" t="str">
        <f>"1154981082"</f>
        <v>1154981082</v>
      </c>
      <c r="C17666" t="str">
        <f>"207R00000X"</f>
        <v>207R00000X</v>
      </c>
      <c r="D17666" t="str">
        <f>"VALLAPUREDDY             RANGIT                   "</f>
        <v xml:space="preserve">VALLAPUREDDY             RANGIT                   </v>
      </c>
      <c r="E17666" t="str">
        <f>"TUPELO                    "</f>
        <v xml:space="preserve">TUPELO                    </v>
      </c>
      <c r="F17666" t="str">
        <f t="shared" si="439"/>
        <v>MS</v>
      </c>
    </row>
    <row r="17667" spans="1:6" x14ac:dyDescent="0.25">
      <c r="A17667" t="str">
        <f>"200015110"</f>
        <v>200015110</v>
      </c>
      <c r="B17667" t="str">
        <f>"1992748768"</f>
        <v>1992748768</v>
      </c>
      <c r="C17667" t="str">
        <f>"207Q00000X"</f>
        <v>207Q00000X</v>
      </c>
      <c r="D17667" t="str">
        <f>"PERNES                   CALIN                    "</f>
        <v xml:space="preserve">PERNES                   CALIN                    </v>
      </c>
      <c r="E17667" t="str">
        <f>"HATTIESBURG               "</f>
        <v xml:space="preserve">HATTIESBURG               </v>
      </c>
      <c r="F17667" t="str">
        <f t="shared" si="439"/>
        <v>MS</v>
      </c>
    </row>
    <row r="17668" spans="1:6" x14ac:dyDescent="0.25">
      <c r="A17668" t="str">
        <f>"200015114"</f>
        <v>200015114</v>
      </c>
      <c r="B17668" t="str">
        <f>"1144785684"</f>
        <v>1144785684</v>
      </c>
      <c r="C17668" t="str">
        <f>"363L00000X"</f>
        <v>363L00000X</v>
      </c>
      <c r="D17668" t="str">
        <f>"HAGGAN                   UNDRA                    "</f>
        <v xml:space="preserve">HAGGAN                   UNDRA                    </v>
      </c>
      <c r="E17668" t="str">
        <f>"CLARKSDALE                "</f>
        <v xml:space="preserve">CLARKSDALE                </v>
      </c>
      <c r="F17668" t="str">
        <f t="shared" si="439"/>
        <v>MS</v>
      </c>
    </row>
    <row r="17669" spans="1:6" x14ac:dyDescent="0.25">
      <c r="A17669" t="str">
        <f>"200015120"</f>
        <v>200015120</v>
      </c>
      <c r="B17669" t="str">
        <f>"1972150084"</f>
        <v>1972150084</v>
      </c>
      <c r="C17669" t="str">
        <f>"261QM1300X"</f>
        <v>261QM1300X</v>
      </c>
      <c r="D17669" t="str">
        <f>"WOUND MANAGEMENT SPECIALISTS LLC                  "</f>
        <v xml:space="preserve">WOUND MANAGEMENT SPECIALISTS LLC                  </v>
      </c>
      <c r="E17669" t="str">
        <f>"FLOWOOD                   "</f>
        <v xml:space="preserve">FLOWOOD                   </v>
      </c>
      <c r="F17669" t="str">
        <f t="shared" si="439"/>
        <v>MS</v>
      </c>
    </row>
    <row r="17670" spans="1:6" x14ac:dyDescent="0.25">
      <c r="A17670" t="str">
        <f>"200015123"</f>
        <v>200015123</v>
      </c>
      <c r="B17670" t="str">
        <f>"1306568902"</f>
        <v>1306568902</v>
      </c>
      <c r="C17670" t="str">
        <f>"363LP0200X"</f>
        <v>363LP0200X</v>
      </c>
      <c r="D17670" t="str">
        <f>"MCNEER                   ALLYSA                   "</f>
        <v xml:space="preserve">MCNEER                   ALLYSA                   </v>
      </c>
      <c r="E17670" t="str">
        <f>"JACKSON                   "</f>
        <v xml:space="preserve">JACKSON                   </v>
      </c>
      <c r="F17670" t="str">
        <f t="shared" si="439"/>
        <v>MS</v>
      </c>
    </row>
    <row r="17671" spans="1:6" x14ac:dyDescent="0.25">
      <c r="A17671" t="str">
        <f>"200015124"</f>
        <v>200015124</v>
      </c>
      <c r="B17671" t="str">
        <f>"1790718658"</f>
        <v>1790718658</v>
      </c>
      <c r="C17671" t="str">
        <f>"207RP1001X"</f>
        <v>207RP1001X</v>
      </c>
      <c r="D17671" t="str">
        <f>"MELTON                   CASEY        W           "</f>
        <v xml:space="preserve">MELTON                   CASEY        W           </v>
      </c>
      <c r="E17671" t="str">
        <f>"LUCEDALE                  "</f>
        <v xml:space="preserve">LUCEDALE                  </v>
      </c>
      <c r="F17671" t="str">
        <f t="shared" si="439"/>
        <v>MS</v>
      </c>
    </row>
    <row r="17672" spans="1:6" x14ac:dyDescent="0.25">
      <c r="A17672" t="str">
        <f>"200015128"</f>
        <v>200015128</v>
      </c>
      <c r="B17672" t="str">
        <f>"1467950105"</f>
        <v>1467950105</v>
      </c>
      <c r="C17672" t="str">
        <f>"363L00000X"</f>
        <v>363L00000X</v>
      </c>
      <c r="D17672" t="str">
        <f>"RASH                     TUNJA                    "</f>
        <v xml:space="preserve">RASH                     TUNJA                    </v>
      </c>
      <c r="E17672" t="str">
        <f>"OLIVE BRANCH              "</f>
        <v xml:space="preserve">OLIVE BRANCH              </v>
      </c>
      <c r="F17672" t="str">
        <f t="shared" si="439"/>
        <v>MS</v>
      </c>
    </row>
    <row r="17673" spans="1:6" x14ac:dyDescent="0.25">
      <c r="A17673" t="str">
        <f>"200015140"</f>
        <v>200015140</v>
      </c>
      <c r="B17673" t="str">
        <f>"1730168196"</f>
        <v>1730168196</v>
      </c>
      <c r="C17673" t="str">
        <f>"207Q00000X"</f>
        <v>207Q00000X</v>
      </c>
      <c r="D17673" t="str">
        <f>"WOODWARD                 STEVEN                   "</f>
        <v xml:space="preserve">WOODWARD                 STEVEN                   </v>
      </c>
      <c r="E17673" t="str">
        <f>"CARTHAGE                  "</f>
        <v xml:space="preserve">CARTHAGE                  </v>
      </c>
      <c r="F17673" t="str">
        <f t="shared" si="439"/>
        <v>MS</v>
      </c>
    </row>
    <row r="17674" spans="1:6" x14ac:dyDescent="0.25">
      <c r="A17674" t="str">
        <f>"200015143"</f>
        <v>200015143</v>
      </c>
      <c r="B17674" t="str">
        <f>"1518113166"</f>
        <v>1518113166</v>
      </c>
      <c r="C17674" t="str">
        <f>"363L00000X"</f>
        <v>363L00000X</v>
      </c>
      <c r="D17674" t="str">
        <f>"DAVIDSON                 KAREN                    "</f>
        <v xml:space="preserve">DAVIDSON                 KAREN                    </v>
      </c>
      <c r="E17674" t="str">
        <f>"MADISON                   "</f>
        <v xml:space="preserve">MADISON                   </v>
      </c>
      <c r="F17674" t="str">
        <f t="shared" si="439"/>
        <v>MS</v>
      </c>
    </row>
    <row r="17675" spans="1:6" x14ac:dyDescent="0.25">
      <c r="A17675" t="str">
        <f>"200015144"</f>
        <v>200015144</v>
      </c>
      <c r="B17675" t="str">
        <f>"1902377963"</f>
        <v>1902377963</v>
      </c>
      <c r="C17675" t="str">
        <f>"363L00000X"</f>
        <v>363L00000X</v>
      </c>
      <c r="D17675" t="str">
        <f>"DUCKWORTH                JEFFREY                  "</f>
        <v xml:space="preserve">DUCKWORTH                JEFFREY                  </v>
      </c>
      <c r="E17675" t="str">
        <f>"BRANDON                   "</f>
        <v xml:space="preserve">BRANDON                   </v>
      </c>
      <c r="F17675" t="str">
        <f t="shared" si="439"/>
        <v>MS</v>
      </c>
    </row>
    <row r="17676" spans="1:6" x14ac:dyDescent="0.25">
      <c r="A17676" t="str">
        <f>"200015146"</f>
        <v>200015146</v>
      </c>
      <c r="B17676" t="str">
        <f>"1093358905"</f>
        <v>1093358905</v>
      </c>
      <c r="C17676" t="str">
        <f>"363L00000X"</f>
        <v>363L00000X</v>
      </c>
      <c r="D17676" t="str">
        <f>"FARRIOR                  STEPHANIE                "</f>
        <v xml:space="preserve">FARRIOR                  STEPHANIE                </v>
      </c>
      <c r="E17676" t="str">
        <f>"RIDGELAND                 "</f>
        <v xml:space="preserve">RIDGELAND                 </v>
      </c>
      <c r="F17676" t="str">
        <f t="shared" si="439"/>
        <v>MS</v>
      </c>
    </row>
    <row r="17677" spans="1:6" x14ac:dyDescent="0.25">
      <c r="A17677" t="str">
        <f>"200015147"</f>
        <v>200015147</v>
      </c>
      <c r="B17677" t="str">
        <f>"1831144260"</f>
        <v>1831144260</v>
      </c>
      <c r="C17677" t="str">
        <f>"208600000X"</f>
        <v>208600000X</v>
      </c>
      <c r="D17677" t="str">
        <f>"HODGE                    JUVONDA      S           "</f>
        <v xml:space="preserve">HODGE                    JUVONDA      S           </v>
      </c>
      <c r="E17677" t="str">
        <f>"JACKSON                   "</f>
        <v xml:space="preserve">JACKSON                   </v>
      </c>
      <c r="F17677" t="str">
        <f t="shared" si="439"/>
        <v>MS</v>
      </c>
    </row>
    <row r="17678" spans="1:6" x14ac:dyDescent="0.25">
      <c r="A17678" t="str">
        <f>"200015154"</f>
        <v>200015154</v>
      </c>
      <c r="B17678" t="str">
        <f>"1831686328"</f>
        <v>1831686328</v>
      </c>
      <c r="C17678" t="str">
        <f>"207X00000X"</f>
        <v>207X00000X</v>
      </c>
      <c r="D17678" t="str">
        <f>"BADON                    JUSTIN       T           "</f>
        <v xml:space="preserve">BADON                    JUSTIN       T           </v>
      </c>
      <c r="E17678" t="str">
        <f>"HATTIESBURG               "</f>
        <v xml:space="preserve">HATTIESBURG               </v>
      </c>
      <c r="F17678" t="str">
        <f t="shared" si="439"/>
        <v>MS</v>
      </c>
    </row>
    <row r="17679" spans="1:6" x14ac:dyDescent="0.25">
      <c r="A17679" t="str">
        <f>"200015156"</f>
        <v>200015156</v>
      </c>
      <c r="B17679" t="str">
        <f>"1376388983"</f>
        <v>1376388983</v>
      </c>
      <c r="C17679" t="str">
        <f>"363LF0000X"</f>
        <v>363LF0000X</v>
      </c>
      <c r="D17679" t="str">
        <f>"MCCOY                    KAYLA                    "</f>
        <v xml:space="preserve">MCCOY                    KAYLA                    </v>
      </c>
      <c r="E17679" t="str">
        <f>"HERNANDO                  "</f>
        <v xml:space="preserve">HERNANDO                  </v>
      </c>
      <c r="F17679" t="str">
        <f t="shared" si="439"/>
        <v>MS</v>
      </c>
    </row>
    <row r="17680" spans="1:6" x14ac:dyDescent="0.25">
      <c r="A17680" t="str">
        <f>"200015157"</f>
        <v>200015157</v>
      </c>
      <c r="B17680" t="str">
        <f>"1831728963"</f>
        <v>1831728963</v>
      </c>
      <c r="C17680" t="str">
        <f>"2084P0800X"</f>
        <v>2084P0800X</v>
      </c>
      <c r="D17680" t="str">
        <f>"SALTER                   KAITLYN                  "</f>
        <v xml:space="preserve">SALTER                   KAITLYN                  </v>
      </c>
      <c r="E17680" t="str">
        <f>"FLOWOOD                   "</f>
        <v xml:space="preserve">FLOWOOD                   </v>
      </c>
      <c r="F17680" t="str">
        <f t="shared" si="439"/>
        <v>MS</v>
      </c>
    </row>
    <row r="17681" spans="1:6" x14ac:dyDescent="0.25">
      <c r="A17681" t="str">
        <f>"200015159"</f>
        <v>200015159</v>
      </c>
      <c r="B17681" t="str">
        <f>"1083871206"</f>
        <v>1083871206</v>
      </c>
      <c r="C17681" t="str">
        <f>"207ZP0102X"</f>
        <v>207ZP0102X</v>
      </c>
      <c r="D17681" t="str">
        <f>"SPATARO                  MICHAEL                  "</f>
        <v xml:space="preserve">SPATARO                  MICHAEL                  </v>
      </c>
      <c r="E17681" t="str">
        <f>"GULFPORT                  "</f>
        <v xml:space="preserve">GULFPORT                  </v>
      </c>
      <c r="F17681" t="str">
        <f t="shared" si="439"/>
        <v>MS</v>
      </c>
    </row>
    <row r="17682" spans="1:6" x14ac:dyDescent="0.25">
      <c r="A17682" t="str">
        <f>"200015161"</f>
        <v>200015161</v>
      </c>
      <c r="B17682" t="str">
        <f>"1003657404"</f>
        <v>1003657404</v>
      </c>
      <c r="C17682" t="str">
        <f>"363LF0000X"</f>
        <v>363LF0000X</v>
      </c>
      <c r="D17682" t="str">
        <f>"HOPSON                   MATTIE                   "</f>
        <v xml:space="preserve">HOPSON                   MATTIE                   </v>
      </c>
      <c r="E17682" t="str">
        <f>"MERIDIAN                  "</f>
        <v xml:space="preserve">MERIDIAN                  </v>
      </c>
      <c r="F17682" t="str">
        <f t="shared" si="439"/>
        <v>MS</v>
      </c>
    </row>
    <row r="17683" spans="1:6" x14ac:dyDescent="0.25">
      <c r="A17683" t="str">
        <f>"200015162"</f>
        <v>200015162</v>
      </c>
      <c r="B17683" t="str">
        <f>"1851338602"</f>
        <v>1851338602</v>
      </c>
      <c r="C17683" t="str">
        <f>"207PE0004X"</f>
        <v>207PE0004X</v>
      </c>
      <c r="D17683" t="str">
        <f>"MCCOY                    BRIAN                    "</f>
        <v xml:space="preserve">MCCOY                    BRIAN                    </v>
      </c>
      <c r="E17683" t="str">
        <f>"TUPELO                    "</f>
        <v xml:space="preserve">TUPELO                    </v>
      </c>
      <c r="F17683" t="str">
        <f t="shared" si="439"/>
        <v>MS</v>
      </c>
    </row>
    <row r="17684" spans="1:6" x14ac:dyDescent="0.25">
      <c r="A17684" t="str">
        <f>"200015169"</f>
        <v>200015169</v>
      </c>
      <c r="B17684" t="str">
        <f>"1114328655"</f>
        <v>1114328655</v>
      </c>
      <c r="C17684" t="str">
        <f>"363L00000X"</f>
        <v>363L00000X</v>
      </c>
      <c r="D17684" t="str">
        <f>"MAJORS                   KEVIN                    "</f>
        <v xml:space="preserve">MAJORS                   KEVIN                    </v>
      </c>
      <c r="E17684" t="str">
        <f>"RIDGELAND                 "</f>
        <v xml:space="preserve">RIDGELAND                 </v>
      </c>
      <c r="F17684" t="str">
        <f t="shared" si="439"/>
        <v>MS</v>
      </c>
    </row>
    <row r="17685" spans="1:6" x14ac:dyDescent="0.25">
      <c r="A17685" t="str">
        <f>"200015180"</f>
        <v>200015180</v>
      </c>
      <c r="B17685" t="str">
        <f>"1558632562"</f>
        <v>1558632562</v>
      </c>
      <c r="C17685" t="str">
        <f>"363LF0000X"</f>
        <v>363LF0000X</v>
      </c>
      <c r="D17685" t="str">
        <f>"YOUNG                    LORI                     "</f>
        <v xml:space="preserve">YOUNG                    LORI                     </v>
      </c>
      <c r="E17685" t="str">
        <f>"FLOWOOD                   "</f>
        <v xml:space="preserve">FLOWOOD                   </v>
      </c>
      <c r="F17685" t="str">
        <f t="shared" si="439"/>
        <v>MS</v>
      </c>
    </row>
    <row r="17686" spans="1:6" x14ac:dyDescent="0.25">
      <c r="A17686" t="str">
        <f>"200015182"</f>
        <v>200015182</v>
      </c>
      <c r="B17686" t="str">
        <f>"1487499273"</f>
        <v>1487499273</v>
      </c>
      <c r="C17686" t="str">
        <f>"363LF0000X"</f>
        <v>363LF0000X</v>
      </c>
      <c r="D17686" t="str">
        <f>"ORR                      ELIZABETH                "</f>
        <v xml:space="preserve">ORR                      ELIZABETH                </v>
      </c>
      <c r="E17686" t="str">
        <f>"RIDGELAND                 "</f>
        <v xml:space="preserve">RIDGELAND                 </v>
      </c>
      <c r="F17686" t="str">
        <f t="shared" si="439"/>
        <v>MS</v>
      </c>
    </row>
    <row r="17687" spans="1:6" x14ac:dyDescent="0.25">
      <c r="A17687" t="str">
        <f>"200015184"</f>
        <v>200015184</v>
      </c>
      <c r="B17687" t="str">
        <f>"1073931127"</f>
        <v>1073931127</v>
      </c>
      <c r="C17687" t="str">
        <f>"207RG0100X"</f>
        <v>207RG0100X</v>
      </c>
      <c r="D17687" t="str">
        <f>"ABDELQADER               ABDELHAI                 "</f>
        <v xml:space="preserve">ABDELQADER               ABDELHAI                 </v>
      </c>
      <c r="E17687" t="str">
        <f>"JACKSON                   "</f>
        <v xml:space="preserve">JACKSON                   </v>
      </c>
      <c r="F17687" t="str">
        <f t="shared" si="439"/>
        <v>MS</v>
      </c>
    </row>
    <row r="17688" spans="1:6" x14ac:dyDescent="0.25">
      <c r="A17688" t="str">
        <f>"200015186"</f>
        <v>200015186</v>
      </c>
      <c r="B17688" t="str">
        <f>"1871024489"</f>
        <v>1871024489</v>
      </c>
      <c r="C17688" t="str">
        <f>"2086S0129X"</f>
        <v>2086S0129X</v>
      </c>
      <c r="D17688" t="str">
        <f>"SHAUGHNESSY              JOHN                     "</f>
        <v xml:space="preserve">SHAUGHNESSY              JOHN                     </v>
      </c>
      <c r="E17688" t="str">
        <f>"JACKSON                   "</f>
        <v xml:space="preserve">JACKSON                   </v>
      </c>
      <c r="F17688" t="str">
        <f t="shared" si="439"/>
        <v>MS</v>
      </c>
    </row>
    <row r="17689" spans="1:6" x14ac:dyDescent="0.25">
      <c r="A17689" t="str">
        <f>"200015189"</f>
        <v>200015189</v>
      </c>
      <c r="B17689" t="str">
        <f>"1255178307"</f>
        <v>1255178307</v>
      </c>
      <c r="C17689" t="str">
        <f>"122300000X"</f>
        <v>122300000X</v>
      </c>
      <c r="D17689" t="str">
        <f>"LENZA                    MARCOS                   "</f>
        <v xml:space="preserve">LENZA                    MARCOS                   </v>
      </c>
      <c r="E17689" t="str">
        <f>"JACKSON                   "</f>
        <v xml:space="preserve">JACKSON                   </v>
      </c>
      <c r="F17689" t="str">
        <f t="shared" si="439"/>
        <v>MS</v>
      </c>
    </row>
    <row r="17690" spans="1:6" x14ac:dyDescent="0.25">
      <c r="A17690" t="str">
        <f>"200015190"</f>
        <v>200015190</v>
      </c>
      <c r="B17690" t="str">
        <f>"1215792874"</f>
        <v>1215792874</v>
      </c>
      <c r="C17690" t="str">
        <f>"363A00000X"</f>
        <v>363A00000X</v>
      </c>
      <c r="D17690" t="str">
        <f>"NICHOLSON                KAYLA                    "</f>
        <v xml:space="preserve">NICHOLSON                KAYLA                    </v>
      </c>
      <c r="E17690" t="str">
        <f>"JACKSON                   "</f>
        <v xml:space="preserve">JACKSON                   </v>
      </c>
      <c r="F17690" t="str">
        <f t="shared" si="439"/>
        <v>MS</v>
      </c>
    </row>
    <row r="17691" spans="1:6" x14ac:dyDescent="0.25">
      <c r="A17691" t="str">
        <f>"200015206"</f>
        <v>200015206</v>
      </c>
      <c r="B17691" t="str">
        <f>"1891992434"</f>
        <v>1891992434</v>
      </c>
      <c r="C17691" t="str">
        <f>"207P00000X"</f>
        <v>207P00000X</v>
      </c>
      <c r="D17691" t="str">
        <f>"VELASCO                  DIEGO                    "</f>
        <v xml:space="preserve">VELASCO                  DIEGO                    </v>
      </c>
      <c r="E17691" t="str">
        <f>"ABERDEEN                  "</f>
        <v xml:space="preserve">ABERDEEN                  </v>
      </c>
      <c r="F17691" t="str">
        <f t="shared" si="439"/>
        <v>MS</v>
      </c>
    </row>
    <row r="17692" spans="1:6" x14ac:dyDescent="0.25">
      <c r="A17692" t="str">
        <f>"200015207"</f>
        <v>200015207</v>
      </c>
      <c r="B17692" t="str">
        <f>"1831325356"</f>
        <v>1831325356</v>
      </c>
      <c r="C17692" t="str">
        <f>"208600000X"</f>
        <v>208600000X</v>
      </c>
      <c r="D17692" t="str">
        <f>"EVANS                    KENDRIX                  "</f>
        <v xml:space="preserve">EVANS                    KENDRIX                  </v>
      </c>
      <c r="E17692" t="str">
        <f>"GREENWOOD                 "</f>
        <v xml:space="preserve">GREENWOOD                 </v>
      </c>
      <c r="F17692" t="str">
        <f t="shared" si="439"/>
        <v>MS</v>
      </c>
    </row>
    <row r="17693" spans="1:6" x14ac:dyDescent="0.25">
      <c r="A17693" t="str">
        <f>"200015212"</f>
        <v>200015212</v>
      </c>
      <c r="B17693" t="str">
        <f>"1265950877"</f>
        <v>1265950877</v>
      </c>
      <c r="C17693" t="str">
        <f>"363L00000X"</f>
        <v>363L00000X</v>
      </c>
      <c r="D17693" t="str">
        <f>"GIVENS                   CHRISTOPHER              "</f>
        <v xml:space="preserve">GIVENS                   CHRISTOPHER              </v>
      </c>
      <c r="E17693" t="str">
        <f>"MCCOMB                    "</f>
        <v xml:space="preserve">MCCOMB                    </v>
      </c>
      <c r="F17693" t="str">
        <f t="shared" si="439"/>
        <v>MS</v>
      </c>
    </row>
    <row r="17694" spans="1:6" x14ac:dyDescent="0.25">
      <c r="A17694" t="str">
        <f>"200015220"</f>
        <v>200015220</v>
      </c>
      <c r="B17694" t="str">
        <f>"1396486155"</f>
        <v>1396486155</v>
      </c>
      <c r="C17694" t="str">
        <f>"207P00000X"</f>
        <v>207P00000X</v>
      </c>
      <c r="D17694" t="str">
        <f>"FREEMAN                  DUSTIN                   "</f>
        <v xml:space="preserve">FREEMAN                  DUSTIN                   </v>
      </c>
      <c r="E17694" t="str">
        <f>"LEXINGTON                 "</f>
        <v xml:space="preserve">LEXINGTON                 </v>
      </c>
      <c r="F17694" t="str">
        <f t="shared" si="439"/>
        <v>MS</v>
      </c>
    </row>
    <row r="17695" spans="1:6" x14ac:dyDescent="0.25">
      <c r="A17695" t="str">
        <f>"200015228"</f>
        <v>200015228</v>
      </c>
      <c r="B17695" t="str">
        <f>"1578795134"</f>
        <v>1578795134</v>
      </c>
      <c r="C17695" t="str">
        <f>"363LF0000X"</f>
        <v>363LF0000X</v>
      </c>
      <c r="D17695" t="str">
        <f>"WOOD                     MELISSA                  "</f>
        <v xml:space="preserve">WOOD                     MELISSA                  </v>
      </c>
      <c r="E17695" t="str">
        <f>"RIDGELAND                 "</f>
        <v xml:space="preserve">RIDGELAND                 </v>
      </c>
      <c r="F17695" t="str">
        <f t="shared" si="439"/>
        <v>MS</v>
      </c>
    </row>
    <row r="17696" spans="1:6" x14ac:dyDescent="0.25">
      <c r="A17696" t="str">
        <f>"200015231"</f>
        <v>200015231</v>
      </c>
      <c r="B17696" t="str">
        <f>"1215565395"</f>
        <v>1215565395</v>
      </c>
      <c r="C17696" t="str">
        <f>"207VX0000X"</f>
        <v>207VX0000X</v>
      </c>
      <c r="D17696" t="str">
        <f>"ERVIN PERSON             MOLLY        A           "</f>
        <v xml:space="preserve">ERVIN PERSON             MOLLY        A           </v>
      </c>
      <c r="E17696" t="str">
        <f>"FLOWOOD                   "</f>
        <v xml:space="preserve">FLOWOOD                   </v>
      </c>
      <c r="F17696" t="str">
        <f t="shared" si="439"/>
        <v>MS</v>
      </c>
    </row>
    <row r="17697" spans="1:6" x14ac:dyDescent="0.25">
      <c r="A17697" t="str">
        <f>"200015235"</f>
        <v>200015235</v>
      </c>
      <c r="B17697" t="str">
        <f>"1346850278"</f>
        <v>1346850278</v>
      </c>
      <c r="C17697" t="str">
        <f>"363L00000X"</f>
        <v>363L00000X</v>
      </c>
      <c r="D17697" t="str">
        <f>"SELMON                   AMY                      "</f>
        <v xml:space="preserve">SELMON                   AMY                      </v>
      </c>
      <c r="E17697" t="str">
        <f>"BOONEVILLE                "</f>
        <v xml:space="preserve">BOONEVILLE                </v>
      </c>
      <c r="F17697" t="str">
        <f t="shared" si="439"/>
        <v>MS</v>
      </c>
    </row>
    <row r="17698" spans="1:6" x14ac:dyDescent="0.25">
      <c r="A17698" t="str">
        <f>"200015237"</f>
        <v>200015237</v>
      </c>
      <c r="B17698" t="str">
        <f>"1114580784"</f>
        <v>1114580784</v>
      </c>
      <c r="C17698" t="str">
        <f>"208600000X"</f>
        <v>208600000X</v>
      </c>
      <c r="D17698" t="str">
        <f>"DOGAR                    SHIREEN                  "</f>
        <v xml:space="preserve">DOGAR                    SHIREEN                  </v>
      </c>
      <c r="E17698" t="str">
        <f>"JACKSON                   "</f>
        <v xml:space="preserve">JACKSON                   </v>
      </c>
      <c r="F17698" t="str">
        <f t="shared" si="439"/>
        <v>MS</v>
      </c>
    </row>
    <row r="17699" spans="1:6" x14ac:dyDescent="0.25">
      <c r="A17699" t="str">
        <f>"200015238"</f>
        <v>200015238</v>
      </c>
      <c r="B17699" t="str">
        <f>"1366479115"</f>
        <v>1366479115</v>
      </c>
      <c r="C17699" t="str">
        <f>"2085R0202X"</f>
        <v>2085R0202X</v>
      </c>
      <c r="D17699" t="str">
        <f>"BROOKS                   BENJAMIN                 "</f>
        <v xml:space="preserve">BROOKS                   BENJAMIN                 </v>
      </c>
      <c r="E17699" t="str">
        <f>"GULFPORT                  "</f>
        <v xml:space="preserve">GULFPORT                  </v>
      </c>
      <c r="F17699" t="str">
        <f t="shared" si="439"/>
        <v>MS</v>
      </c>
    </row>
    <row r="17700" spans="1:6" x14ac:dyDescent="0.25">
      <c r="A17700" t="str">
        <f>"200015242"</f>
        <v>200015242</v>
      </c>
      <c r="B17700" t="str">
        <f>"1710909163"</f>
        <v>1710909163</v>
      </c>
      <c r="C17700" t="str">
        <f>"2086S0120X"</f>
        <v>2086S0120X</v>
      </c>
      <c r="D17700" t="str">
        <f>"BOYKIN                   KEVIN                    "</f>
        <v xml:space="preserve">BOYKIN                   KEVIN                    </v>
      </c>
      <c r="E17700" t="str">
        <f>"JACKSON                   "</f>
        <v xml:space="preserve">JACKSON                   </v>
      </c>
      <c r="F17700" t="str">
        <f t="shared" si="439"/>
        <v>MS</v>
      </c>
    </row>
    <row r="17701" spans="1:6" x14ac:dyDescent="0.25">
      <c r="A17701" t="str">
        <f>"200015243"</f>
        <v>200015243</v>
      </c>
      <c r="B17701" t="str">
        <f>"1912613860"</f>
        <v>1912613860</v>
      </c>
      <c r="C17701" t="str">
        <f>"363LF0000X"</f>
        <v>363LF0000X</v>
      </c>
      <c r="D17701" t="str">
        <f>"DEMPSEY                  KAILEY                   "</f>
        <v xml:space="preserve">DEMPSEY                  KAILEY                   </v>
      </c>
      <c r="E17701" t="str">
        <f>"FLOWOOD                   "</f>
        <v xml:space="preserve">FLOWOOD                   </v>
      </c>
      <c r="F17701" t="str">
        <f t="shared" si="439"/>
        <v>MS</v>
      </c>
    </row>
    <row r="17702" spans="1:6" x14ac:dyDescent="0.25">
      <c r="A17702" t="str">
        <f>"200015252"</f>
        <v>200015252</v>
      </c>
      <c r="B17702" t="str">
        <f>"1851767644"</f>
        <v>1851767644</v>
      </c>
      <c r="C17702" t="str">
        <f>"363LF0000X"</f>
        <v>363LF0000X</v>
      </c>
      <c r="D17702" t="str">
        <f>"THOMPSON                 SARA                     "</f>
        <v xml:space="preserve">THOMPSON                 SARA                     </v>
      </c>
      <c r="E17702" t="str">
        <f>"JACKSON                   "</f>
        <v xml:space="preserve">JACKSON                   </v>
      </c>
      <c r="F17702" t="str">
        <f t="shared" si="439"/>
        <v>MS</v>
      </c>
    </row>
    <row r="17703" spans="1:6" x14ac:dyDescent="0.25">
      <c r="A17703" t="str">
        <f>"200015255"</f>
        <v>200015255</v>
      </c>
      <c r="B17703" t="str">
        <f>"1972984136"</f>
        <v>1972984136</v>
      </c>
      <c r="C17703" t="str">
        <f>"363L00000X"</f>
        <v>363L00000X</v>
      </c>
      <c r="D17703" t="str">
        <f>"FAIRLEY                  JOANNA                   "</f>
        <v xml:space="preserve">FAIRLEY                  JOANNA                   </v>
      </c>
      <c r="E17703" t="str">
        <f>"RICHLAND                  "</f>
        <v xml:space="preserve">RICHLAND                  </v>
      </c>
      <c r="F17703" t="str">
        <f t="shared" si="439"/>
        <v>MS</v>
      </c>
    </row>
    <row r="17704" spans="1:6" x14ac:dyDescent="0.25">
      <c r="A17704" t="str">
        <f>"200015264"</f>
        <v>200015264</v>
      </c>
      <c r="B17704" t="str">
        <f>"1568296010"</f>
        <v>1568296010</v>
      </c>
      <c r="C17704" t="str">
        <f>"363LF0000X"</f>
        <v>363LF0000X</v>
      </c>
      <c r="D17704" t="str">
        <f>"FLEMING                  ANDREA                   "</f>
        <v xml:space="preserve">FLEMING                  ANDREA                   </v>
      </c>
      <c r="E17704" t="str">
        <f>"JACKSON                   "</f>
        <v xml:space="preserve">JACKSON                   </v>
      </c>
      <c r="F17704" t="str">
        <f t="shared" si="439"/>
        <v>MS</v>
      </c>
    </row>
    <row r="17705" spans="1:6" x14ac:dyDescent="0.25">
      <c r="A17705" t="str">
        <f>"200015265"</f>
        <v>200015265</v>
      </c>
      <c r="B17705" t="str">
        <f>"1952725178"</f>
        <v>1952725178</v>
      </c>
      <c r="C17705" t="str">
        <f>"2085R0202X"</f>
        <v>2085R0202X</v>
      </c>
      <c r="D17705" t="str">
        <f>"NELSON                   STEVE        M           "</f>
        <v xml:space="preserve">NELSON                   STEVE        M           </v>
      </c>
      <c r="E17705" t="str">
        <f>"CALHOUN CITY              "</f>
        <v xml:space="preserve">CALHOUN CITY              </v>
      </c>
      <c r="F17705" t="str">
        <f t="shared" si="439"/>
        <v>MS</v>
      </c>
    </row>
    <row r="17706" spans="1:6" x14ac:dyDescent="0.25">
      <c r="A17706" t="str">
        <f>"200015267"</f>
        <v>200015267</v>
      </c>
      <c r="B17706" t="str">
        <f>"1144405390"</f>
        <v>1144405390</v>
      </c>
      <c r="C17706" t="str">
        <f>"1223G0001X"</f>
        <v>1223G0001X</v>
      </c>
      <c r="D17706" t="str">
        <f>"BOYKIN                   CARL                     "</f>
        <v xml:space="preserve">BOYKIN                   CARL                     </v>
      </c>
      <c r="E17706" t="str">
        <f>"BILOXI                    "</f>
        <v xml:space="preserve">BILOXI                    </v>
      </c>
      <c r="F17706" t="str">
        <f t="shared" si="439"/>
        <v>MS</v>
      </c>
    </row>
    <row r="17707" spans="1:6" x14ac:dyDescent="0.25">
      <c r="A17707" t="str">
        <f>"200015268"</f>
        <v>200015268</v>
      </c>
      <c r="B17707" t="str">
        <f>"1144405390"</f>
        <v>1144405390</v>
      </c>
      <c r="C17707" t="str">
        <f>"122300000X"</f>
        <v>122300000X</v>
      </c>
      <c r="D17707" t="str">
        <f>"BOYKIN                   CARL                     "</f>
        <v xml:space="preserve">BOYKIN                   CARL                     </v>
      </c>
      <c r="E17707" t="str">
        <f>"BILOXI                    "</f>
        <v xml:space="preserve">BILOXI                    </v>
      </c>
      <c r="F17707" t="str">
        <f t="shared" si="439"/>
        <v>MS</v>
      </c>
    </row>
    <row r="17708" spans="1:6" x14ac:dyDescent="0.25">
      <c r="A17708" t="str">
        <f>"200015273"</f>
        <v>200015273</v>
      </c>
      <c r="B17708" t="str">
        <f>"1073857454"</f>
        <v>1073857454</v>
      </c>
      <c r="C17708" t="str">
        <f>"363L00000X"</f>
        <v>363L00000X</v>
      </c>
      <c r="D17708" t="str">
        <f>"MAZZETTI-RUDY            PATRICIA                 "</f>
        <v xml:space="preserve">MAZZETTI-RUDY            PATRICIA                 </v>
      </c>
      <c r="E17708" t="str">
        <f>"GULFPORT                  "</f>
        <v xml:space="preserve">GULFPORT                  </v>
      </c>
      <c r="F17708" t="str">
        <f t="shared" si="439"/>
        <v>MS</v>
      </c>
    </row>
    <row r="17709" spans="1:6" x14ac:dyDescent="0.25">
      <c r="A17709" t="str">
        <f>"200015279"</f>
        <v>200015279</v>
      </c>
      <c r="B17709" t="str">
        <f>"1619703485"</f>
        <v>1619703485</v>
      </c>
      <c r="C17709" t="str">
        <f>"363L00000X"</f>
        <v>363L00000X</v>
      </c>
      <c r="D17709" t="str">
        <f>"GUNTER                   CLINT        D           "</f>
        <v xml:space="preserve">GUNTER                   CLINT        D           </v>
      </c>
      <c r="E17709" t="str">
        <f>"TUPELO                    "</f>
        <v xml:space="preserve">TUPELO                    </v>
      </c>
      <c r="F17709" t="str">
        <f t="shared" si="439"/>
        <v>MS</v>
      </c>
    </row>
    <row r="17710" spans="1:6" x14ac:dyDescent="0.25">
      <c r="A17710" t="str">
        <f>"200015281"</f>
        <v>200015281</v>
      </c>
      <c r="B17710" t="str">
        <f>"1043077811"</f>
        <v>1043077811</v>
      </c>
      <c r="C17710" t="str">
        <f>"363LF0000X"</f>
        <v>363LF0000X</v>
      </c>
      <c r="D17710" t="str">
        <f>"EDWARDS                  YOLANDA                  "</f>
        <v xml:space="preserve">EDWARDS                  YOLANDA                  </v>
      </c>
      <c r="E17710" t="str">
        <f>"GULFPORT                  "</f>
        <v xml:space="preserve">GULFPORT                  </v>
      </c>
      <c r="F17710" t="str">
        <f t="shared" si="439"/>
        <v>MS</v>
      </c>
    </row>
    <row r="17711" spans="1:6" x14ac:dyDescent="0.25">
      <c r="A17711" t="str">
        <f>"200015282"</f>
        <v>200015282</v>
      </c>
      <c r="B17711" t="str">
        <f>"1487377164"</f>
        <v>1487377164</v>
      </c>
      <c r="C17711" t="str">
        <f>"363LA2100X"</f>
        <v>363LA2100X</v>
      </c>
      <c r="D17711" t="str">
        <f>"THOMAS                   LINDA        K           "</f>
        <v xml:space="preserve">THOMAS                   LINDA        K           </v>
      </c>
      <c r="E17711" t="str">
        <f>"COLUMBUS                  "</f>
        <v xml:space="preserve">COLUMBUS                  </v>
      </c>
      <c r="F17711" t="str">
        <f t="shared" si="439"/>
        <v>MS</v>
      </c>
    </row>
    <row r="17712" spans="1:6" x14ac:dyDescent="0.25">
      <c r="A17712" t="str">
        <f>"200015284"</f>
        <v>200015284</v>
      </c>
      <c r="B17712" t="str">
        <f>"1194558544"</f>
        <v>1194558544</v>
      </c>
      <c r="C17712" t="str">
        <f>"363LA2100X"</f>
        <v>363LA2100X</v>
      </c>
      <c r="D17712" t="str">
        <f>"SMITH                    ASHLEE                   "</f>
        <v xml:space="preserve">SMITH                    ASHLEE                   </v>
      </c>
      <c r="E17712" t="str">
        <f>"HATTIESBURG               "</f>
        <v xml:space="preserve">HATTIESBURG               </v>
      </c>
      <c r="F17712" t="str">
        <f t="shared" si="439"/>
        <v>MS</v>
      </c>
    </row>
    <row r="17713" spans="1:6" x14ac:dyDescent="0.25">
      <c r="A17713" t="str">
        <f>"200015288"</f>
        <v>200015288</v>
      </c>
      <c r="B17713" t="str">
        <f>"1659503357"</f>
        <v>1659503357</v>
      </c>
      <c r="C17713" t="str">
        <f>"363LP0808X"</f>
        <v>363LP0808X</v>
      </c>
      <c r="D17713" t="str">
        <f>"WISON                    CATRINA                  "</f>
        <v xml:space="preserve">WISON                    CATRINA                  </v>
      </c>
      <c r="E17713" t="str">
        <f>"RIDGELAND                 "</f>
        <v xml:space="preserve">RIDGELAND                 </v>
      </c>
      <c r="F17713" t="str">
        <f t="shared" si="439"/>
        <v>MS</v>
      </c>
    </row>
    <row r="17714" spans="1:6" x14ac:dyDescent="0.25">
      <c r="A17714" t="str">
        <f>"200015302"</f>
        <v>200015302</v>
      </c>
      <c r="B17714" t="str">
        <f>"1154171676"</f>
        <v>1154171676</v>
      </c>
      <c r="C17714" t="str">
        <f>"207R00000X"</f>
        <v>207R00000X</v>
      </c>
      <c r="D17714" t="str">
        <f>"HOSSEN                   SHAKIR                   "</f>
        <v xml:space="preserve">HOSSEN                   SHAKIR                   </v>
      </c>
      <c r="E17714" t="str">
        <f>"JACKSON                   "</f>
        <v xml:space="preserve">JACKSON                   </v>
      </c>
      <c r="F17714" t="str">
        <f t="shared" si="439"/>
        <v>MS</v>
      </c>
    </row>
    <row r="17715" spans="1:6" x14ac:dyDescent="0.25">
      <c r="A17715" t="str">
        <f>"200015306"</f>
        <v>200015306</v>
      </c>
      <c r="B17715" t="str">
        <f>"1760755706"</f>
        <v>1760755706</v>
      </c>
      <c r="C17715" t="str">
        <f>"367500000X"</f>
        <v>367500000X</v>
      </c>
      <c r="D17715" t="str">
        <f>"MURRY                    VALERIE                  "</f>
        <v xml:space="preserve">MURRY                    VALERIE                  </v>
      </c>
      <c r="E17715" t="str">
        <f>"SOUTHAVEN                 "</f>
        <v xml:space="preserve">SOUTHAVEN                 </v>
      </c>
      <c r="F17715" t="str">
        <f t="shared" si="439"/>
        <v>MS</v>
      </c>
    </row>
    <row r="17716" spans="1:6" x14ac:dyDescent="0.25">
      <c r="A17716" t="str">
        <f>"200015310"</f>
        <v>200015310</v>
      </c>
      <c r="B17716" t="str">
        <f>"1275182818"</f>
        <v>1275182818</v>
      </c>
      <c r="C17716" t="str">
        <f>"363LP0808X"</f>
        <v>363LP0808X</v>
      </c>
      <c r="D17716" t="str">
        <f>"POUNDS                   ANDREA       P           "</f>
        <v xml:space="preserve">POUNDS                   ANDREA       P           </v>
      </c>
      <c r="E17716" t="str">
        <f>"TUPELO                    "</f>
        <v xml:space="preserve">TUPELO                    </v>
      </c>
      <c r="F17716" t="str">
        <f t="shared" si="439"/>
        <v>MS</v>
      </c>
    </row>
    <row r="17717" spans="1:6" x14ac:dyDescent="0.25">
      <c r="A17717" t="str">
        <f>"200015315"</f>
        <v>200015315</v>
      </c>
      <c r="B17717" t="str">
        <f>"1841817657"</f>
        <v>1841817657</v>
      </c>
      <c r="C17717" t="str">
        <f>"122300000X"</f>
        <v>122300000X</v>
      </c>
      <c r="D17717" t="str">
        <f>"LEE                      KIMBERLY     N           "</f>
        <v xml:space="preserve">LEE                      KIMBERLY     N           </v>
      </c>
      <c r="E17717" t="str">
        <f>"NATCHEZ                   "</f>
        <v xml:space="preserve">NATCHEZ                   </v>
      </c>
      <c r="F17717" t="str">
        <f t="shared" si="439"/>
        <v>MS</v>
      </c>
    </row>
    <row r="17718" spans="1:6" x14ac:dyDescent="0.25">
      <c r="A17718" t="str">
        <f>"200015318"</f>
        <v>200015318</v>
      </c>
      <c r="B17718" t="str">
        <f>"1053142034"</f>
        <v>1053142034</v>
      </c>
      <c r="C17718" t="str">
        <f>"363L00000X"</f>
        <v>363L00000X</v>
      </c>
      <c r="D17718" t="str">
        <f>"NOBLES                   SHAREE                   "</f>
        <v xml:space="preserve">NOBLES                   SHAREE                   </v>
      </c>
      <c r="E17718" t="str">
        <f>"MCCOMB                    "</f>
        <v xml:space="preserve">MCCOMB                    </v>
      </c>
      <c r="F17718" t="str">
        <f t="shared" si="439"/>
        <v>MS</v>
      </c>
    </row>
    <row r="17719" spans="1:6" x14ac:dyDescent="0.25">
      <c r="A17719" t="str">
        <f>"200015320"</f>
        <v>200015320</v>
      </c>
      <c r="B17719" t="str">
        <f>"1811547532"</f>
        <v>1811547532</v>
      </c>
      <c r="C17719" t="str">
        <f>"363L00000X"</f>
        <v>363L00000X</v>
      </c>
      <c r="D17719" t="str">
        <f>"TACKETT                  JOSEPH                   "</f>
        <v xml:space="preserve">TACKETT                  JOSEPH                   </v>
      </c>
      <c r="E17719" t="str">
        <f>"JACKSON                   "</f>
        <v xml:space="preserve">JACKSON                   </v>
      </c>
      <c r="F17719" t="str">
        <f t="shared" si="439"/>
        <v>MS</v>
      </c>
    </row>
    <row r="17720" spans="1:6" x14ac:dyDescent="0.25">
      <c r="A17720" t="str">
        <f>"200015322"</f>
        <v>200015322</v>
      </c>
      <c r="B17720" t="str">
        <f>"1215616131"</f>
        <v>1215616131</v>
      </c>
      <c r="C17720" t="str">
        <f>"261QF0400X"</f>
        <v>261QF0400X</v>
      </c>
      <c r="D17720" t="str">
        <f>"JACKSON HINDS COMPREHENSIVE HEALTH CENTER MOBILE 6"</f>
        <v>JACKSON HINDS COMPREHENSIVE HEALTH CENTER MOBILE 6</v>
      </c>
      <c r="E17720" t="str">
        <f>"JACKSON                   "</f>
        <v xml:space="preserve">JACKSON                   </v>
      </c>
      <c r="F17720" t="str">
        <f t="shared" si="439"/>
        <v>MS</v>
      </c>
    </row>
    <row r="17721" spans="1:6" x14ac:dyDescent="0.25">
      <c r="A17721" t="str">
        <f>"200015337"</f>
        <v>200015337</v>
      </c>
      <c r="B17721" t="str">
        <f>"1932737202"</f>
        <v>1932737202</v>
      </c>
      <c r="C17721" t="str">
        <f>"363LP0808X"</f>
        <v>363LP0808X</v>
      </c>
      <c r="D17721" t="str">
        <f>"REEVES                   HANNAH                   "</f>
        <v xml:space="preserve">REEVES                   HANNAH                   </v>
      </c>
      <c r="E17721" t="str">
        <f>"OXFORD                    "</f>
        <v xml:space="preserve">OXFORD                    </v>
      </c>
      <c r="F17721" t="str">
        <f t="shared" si="439"/>
        <v>MS</v>
      </c>
    </row>
    <row r="17722" spans="1:6" x14ac:dyDescent="0.25">
      <c r="A17722" t="str">
        <f>"200015339"</f>
        <v>200015339</v>
      </c>
      <c r="B17722" t="str">
        <f>"1275231565"</f>
        <v>1275231565</v>
      </c>
      <c r="C17722" t="str">
        <f>"363LG0600X"</f>
        <v>363LG0600X</v>
      </c>
      <c r="D17722" t="str">
        <f>"NEWSOME                  SONYA                    "</f>
        <v xml:space="preserve">NEWSOME                  SONYA                    </v>
      </c>
      <c r="E17722" t="str">
        <f>"FLOWOOD                   "</f>
        <v xml:space="preserve">FLOWOOD                   </v>
      </c>
      <c r="F17722" t="str">
        <f t="shared" si="439"/>
        <v>MS</v>
      </c>
    </row>
    <row r="17723" spans="1:6" x14ac:dyDescent="0.25">
      <c r="A17723" t="str">
        <f>"200015342"</f>
        <v>200015342</v>
      </c>
      <c r="B17723" t="str">
        <f>"1972875995"</f>
        <v>1972875995</v>
      </c>
      <c r="C17723" t="str">
        <f>"363LF0000X"</f>
        <v>363LF0000X</v>
      </c>
      <c r="D17723" t="str">
        <f>"MOFFETT                  KATELYN                  "</f>
        <v xml:space="preserve">MOFFETT                  KATELYN                  </v>
      </c>
      <c r="E17723" t="str">
        <f>"MERIDIAN                  "</f>
        <v xml:space="preserve">MERIDIAN                  </v>
      </c>
      <c r="F17723" t="str">
        <f t="shared" si="439"/>
        <v>MS</v>
      </c>
    </row>
    <row r="17724" spans="1:6" x14ac:dyDescent="0.25">
      <c r="A17724" t="str">
        <f>"200015344"</f>
        <v>200015344</v>
      </c>
      <c r="B17724" t="str">
        <f>"1285465583"</f>
        <v>1285465583</v>
      </c>
      <c r="C17724" t="str">
        <f>"363LF0000X"</f>
        <v>363LF0000X</v>
      </c>
      <c r="D17724" t="str">
        <f>"THOMAS                   BRITTANY     A           "</f>
        <v xml:space="preserve">THOMAS                   BRITTANY     A           </v>
      </c>
      <c r="E17724" t="str">
        <f>"SOUTHAVEN                 "</f>
        <v xml:space="preserve">SOUTHAVEN                 </v>
      </c>
      <c r="F17724" t="str">
        <f t="shared" si="439"/>
        <v>MS</v>
      </c>
    </row>
    <row r="17725" spans="1:6" x14ac:dyDescent="0.25">
      <c r="A17725" t="str">
        <f>"200015354"</f>
        <v>200015354</v>
      </c>
      <c r="B17725" t="str">
        <f>"1265999247"</f>
        <v>1265999247</v>
      </c>
      <c r="C17725" t="str">
        <f>"363LF0000X"</f>
        <v>363LF0000X</v>
      </c>
      <c r="D17725" t="str">
        <f>"ELDRIDGE                 KIMBERLY                 "</f>
        <v xml:space="preserve">ELDRIDGE                 KIMBERLY                 </v>
      </c>
      <c r="E17725" t="str">
        <f>"VICKSBURG                 "</f>
        <v xml:space="preserve">VICKSBURG                 </v>
      </c>
      <c r="F17725" t="str">
        <f t="shared" si="439"/>
        <v>MS</v>
      </c>
    </row>
    <row r="17726" spans="1:6" x14ac:dyDescent="0.25">
      <c r="A17726" t="str">
        <f>"200015355"</f>
        <v>200015355</v>
      </c>
      <c r="B17726" t="str">
        <f>"1851670905"</f>
        <v>1851670905</v>
      </c>
      <c r="C17726" t="str">
        <f>"367500000X"</f>
        <v>367500000X</v>
      </c>
      <c r="D17726" t="str">
        <f>"HARE                     SUSAN                    "</f>
        <v xml:space="preserve">HARE                     SUSAN                    </v>
      </c>
      <c r="E17726" t="str">
        <f>"SOUTHAVEN                 "</f>
        <v xml:space="preserve">SOUTHAVEN                 </v>
      </c>
      <c r="F17726" t="str">
        <f t="shared" ref="F17726:F17789" si="440">"MS"</f>
        <v>MS</v>
      </c>
    </row>
    <row r="17727" spans="1:6" x14ac:dyDescent="0.25">
      <c r="A17727" t="str">
        <f>"200015356"</f>
        <v>200015356</v>
      </c>
      <c r="B17727" t="str">
        <f>"1194304402"</f>
        <v>1194304402</v>
      </c>
      <c r="C17727" t="str">
        <f>"207R00000X"</f>
        <v>207R00000X</v>
      </c>
      <c r="D17727" t="str">
        <f>"COSNAHAN                 MARGARET                 "</f>
        <v xml:space="preserve">COSNAHAN                 MARGARET                 </v>
      </c>
      <c r="E17727" t="str">
        <f>"JACKSON                   "</f>
        <v xml:space="preserve">JACKSON                   </v>
      </c>
      <c r="F17727" t="str">
        <f t="shared" si="440"/>
        <v>MS</v>
      </c>
    </row>
    <row r="17728" spans="1:6" x14ac:dyDescent="0.25">
      <c r="A17728" t="str">
        <f>"200015362"</f>
        <v>200015362</v>
      </c>
      <c r="B17728" t="str">
        <f>"1861963993"</f>
        <v>1861963993</v>
      </c>
      <c r="C17728" t="str">
        <f>"363L00000X"</f>
        <v>363L00000X</v>
      </c>
      <c r="D17728" t="str">
        <f>"THOMPSON                 CAROL        L           "</f>
        <v xml:space="preserve">THOMPSON                 CAROL        L           </v>
      </c>
      <c r="E17728" t="str">
        <f>"PASCAGOULA                "</f>
        <v xml:space="preserve">PASCAGOULA                </v>
      </c>
      <c r="F17728" t="str">
        <f t="shared" si="440"/>
        <v>MS</v>
      </c>
    </row>
    <row r="17729" spans="1:6" x14ac:dyDescent="0.25">
      <c r="A17729" t="str">
        <f>"200015363"</f>
        <v>200015363</v>
      </c>
      <c r="B17729" t="str">
        <f>"1720617632"</f>
        <v>1720617632</v>
      </c>
      <c r="C17729" t="str">
        <f>"207R00000X"</f>
        <v>207R00000X</v>
      </c>
      <c r="D17729" t="str">
        <f>"GOLDOOZ                  MATIN                    "</f>
        <v xml:space="preserve">GOLDOOZ                  MATIN                    </v>
      </c>
      <c r="E17729" t="str">
        <f>"JACKSON                   "</f>
        <v xml:space="preserve">JACKSON                   </v>
      </c>
      <c r="F17729" t="str">
        <f t="shared" si="440"/>
        <v>MS</v>
      </c>
    </row>
    <row r="17730" spans="1:6" x14ac:dyDescent="0.25">
      <c r="A17730" t="str">
        <f>"200015367"</f>
        <v>200015367</v>
      </c>
      <c r="B17730" t="str">
        <f>"1528621190"</f>
        <v>1528621190</v>
      </c>
      <c r="C17730" t="str">
        <f>"208600000X"</f>
        <v>208600000X</v>
      </c>
      <c r="D17730" t="str">
        <f>"KOKOREV                  LEO                      "</f>
        <v xml:space="preserve">KOKOREV                  LEO                      </v>
      </c>
      <c r="E17730" t="str">
        <f>"JACKSON                   "</f>
        <v xml:space="preserve">JACKSON                   </v>
      </c>
      <c r="F17730" t="str">
        <f t="shared" si="440"/>
        <v>MS</v>
      </c>
    </row>
    <row r="17731" spans="1:6" x14ac:dyDescent="0.25">
      <c r="A17731" t="str">
        <f>"200015370"</f>
        <v>200015370</v>
      </c>
      <c r="B17731" t="str">
        <f>"1699753319"</f>
        <v>1699753319</v>
      </c>
      <c r="C17731" t="str">
        <f>"1223P0700X"</f>
        <v>1223P0700X</v>
      </c>
      <c r="D17731" t="str">
        <f>"KOKA                     SREENIVAS                "</f>
        <v xml:space="preserve">KOKA                     SREENIVAS                </v>
      </c>
      <c r="E17731" t="str">
        <f>"LELAND                    "</f>
        <v xml:space="preserve">LELAND                    </v>
      </c>
      <c r="F17731" t="str">
        <f t="shared" si="440"/>
        <v>MS</v>
      </c>
    </row>
    <row r="17732" spans="1:6" x14ac:dyDescent="0.25">
      <c r="A17732" t="str">
        <f>"200015372"</f>
        <v>200015372</v>
      </c>
      <c r="B17732" t="str">
        <f>"1215796511"</f>
        <v>1215796511</v>
      </c>
      <c r="C17732" t="str">
        <f>"208000000X"</f>
        <v>208000000X</v>
      </c>
      <c r="D17732" t="str">
        <f>"MALHI                    FATIMA                   "</f>
        <v xml:space="preserve">MALHI                    FATIMA                   </v>
      </c>
      <c r="E17732" t="str">
        <f>"JACKSON                   "</f>
        <v xml:space="preserve">JACKSON                   </v>
      </c>
      <c r="F17732" t="str">
        <f t="shared" si="440"/>
        <v>MS</v>
      </c>
    </row>
    <row r="17733" spans="1:6" x14ac:dyDescent="0.25">
      <c r="A17733" t="str">
        <f>"200015385"</f>
        <v>200015385</v>
      </c>
      <c r="B17733" t="str">
        <f>"1356056873"</f>
        <v>1356056873</v>
      </c>
      <c r="C17733" t="str">
        <f>"363L00000X"</f>
        <v>363L00000X</v>
      </c>
      <c r="D17733" t="str">
        <f>"WAGNER                   MILES                    "</f>
        <v xml:space="preserve">WAGNER                   MILES                    </v>
      </c>
      <c r="E17733" t="str">
        <f>"MERIDIAN                  "</f>
        <v xml:space="preserve">MERIDIAN                  </v>
      </c>
      <c r="F17733" t="str">
        <f t="shared" si="440"/>
        <v>MS</v>
      </c>
    </row>
    <row r="17734" spans="1:6" x14ac:dyDescent="0.25">
      <c r="A17734" t="str">
        <f>"200015387"</f>
        <v>200015387</v>
      </c>
      <c r="B17734" t="str">
        <f>"1710921135"</f>
        <v>1710921135</v>
      </c>
      <c r="C17734" t="str">
        <f>"1223G0001X"</f>
        <v>1223G0001X</v>
      </c>
      <c r="D17734" t="str">
        <f>"PATTERSON                JOHN                     "</f>
        <v xml:space="preserve">PATTERSON                JOHN                     </v>
      </c>
      <c r="E17734" t="str">
        <f>"JACKSON                   "</f>
        <v xml:space="preserve">JACKSON                   </v>
      </c>
      <c r="F17734" t="str">
        <f t="shared" si="440"/>
        <v>MS</v>
      </c>
    </row>
    <row r="17735" spans="1:6" x14ac:dyDescent="0.25">
      <c r="A17735" t="str">
        <f>"200015388"</f>
        <v>200015388</v>
      </c>
      <c r="B17735" t="str">
        <f>"1295352649"</f>
        <v>1295352649</v>
      </c>
      <c r="C17735" t="str">
        <f>"207Q00000X"</f>
        <v>207Q00000X</v>
      </c>
      <c r="D17735" t="str">
        <f>"THOMAS                   JORDAN                   "</f>
        <v xml:space="preserve">THOMAS                   JORDAN                   </v>
      </c>
      <c r="E17735" t="str">
        <f>"AMORY                     "</f>
        <v xml:space="preserve">AMORY                     </v>
      </c>
      <c r="F17735" t="str">
        <f t="shared" si="440"/>
        <v>MS</v>
      </c>
    </row>
    <row r="17736" spans="1:6" x14ac:dyDescent="0.25">
      <c r="A17736" t="str">
        <f>"200015389"</f>
        <v>200015389</v>
      </c>
      <c r="B17736" t="str">
        <f>"1295842169"</f>
        <v>1295842169</v>
      </c>
      <c r="C17736" t="str">
        <f>"207Q00000X"</f>
        <v>207Q00000X</v>
      </c>
      <c r="D17736" t="str">
        <f>"CLEVELAND                DAVA                     "</f>
        <v xml:space="preserve">CLEVELAND                DAVA                     </v>
      </c>
      <c r="E17736" t="str">
        <f>"CARTHAGE                  "</f>
        <v xml:space="preserve">CARTHAGE                  </v>
      </c>
      <c r="F17736" t="str">
        <f t="shared" si="440"/>
        <v>MS</v>
      </c>
    </row>
    <row r="17737" spans="1:6" x14ac:dyDescent="0.25">
      <c r="A17737" t="str">
        <f>"200015390"</f>
        <v>200015390</v>
      </c>
      <c r="B17737" t="str">
        <f>"1528270733"</f>
        <v>1528270733</v>
      </c>
      <c r="C17737" t="str">
        <f>"122300000X"</f>
        <v>122300000X</v>
      </c>
      <c r="D17737" t="str">
        <f>"SMILEBUILDERS AT LUCEDALE                         "</f>
        <v xml:space="preserve">SMILEBUILDERS AT LUCEDALE                         </v>
      </c>
      <c r="E17737" t="str">
        <f>"LUCEDALE                  "</f>
        <v xml:space="preserve">LUCEDALE                  </v>
      </c>
      <c r="F17737" t="str">
        <f t="shared" si="440"/>
        <v>MS</v>
      </c>
    </row>
    <row r="17738" spans="1:6" x14ac:dyDescent="0.25">
      <c r="A17738" t="str">
        <f>"200015391"</f>
        <v>200015391</v>
      </c>
      <c r="B17738" t="str">
        <f>"1447327838"</f>
        <v>1447327838</v>
      </c>
      <c r="C17738" t="str">
        <f>"1223G0001X"</f>
        <v>1223G0001X</v>
      </c>
      <c r="D17738" t="str">
        <f>"BARNES                   KIONO                    "</f>
        <v xml:space="preserve">BARNES                   KIONO                    </v>
      </c>
      <c r="E17738" t="str">
        <f>"BILOXI                    "</f>
        <v xml:space="preserve">BILOXI                    </v>
      </c>
      <c r="F17738" t="str">
        <f t="shared" si="440"/>
        <v>MS</v>
      </c>
    </row>
    <row r="17739" spans="1:6" x14ac:dyDescent="0.25">
      <c r="A17739" t="str">
        <f>"200015392"</f>
        <v>200015392</v>
      </c>
      <c r="B17739" t="str">
        <f>"1174344196"</f>
        <v>1174344196</v>
      </c>
      <c r="C17739" t="str">
        <f>"363L00000X"</f>
        <v>363L00000X</v>
      </c>
      <c r="D17739" t="str">
        <f>"MIDDLETON                LINDSEY                  "</f>
        <v xml:space="preserve">MIDDLETON                LINDSEY                  </v>
      </c>
      <c r="E17739" t="str">
        <f>"OLIVE BRANCH              "</f>
        <v xml:space="preserve">OLIVE BRANCH              </v>
      </c>
      <c r="F17739" t="str">
        <f t="shared" si="440"/>
        <v>MS</v>
      </c>
    </row>
    <row r="17740" spans="1:6" x14ac:dyDescent="0.25">
      <c r="A17740" t="str">
        <f>"200015393"</f>
        <v>200015393</v>
      </c>
      <c r="B17740" t="str">
        <f>"1497426548"</f>
        <v>1497426548</v>
      </c>
      <c r="C17740" t="str">
        <f>"363LF0000X"</f>
        <v>363LF0000X</v>
      </c>
      <c r="D17740" t="str">
        <f>"HASTY                    JENNIFER                 "</f>
        <v xml:space="preserve">HASTY                    JENNIFER                 </v>
      </c>
      <c r="E17740" t="str">
        <f>"TYLERTOWN                 "</f>
        <v xml:space="preserve">TYLERTOWN                 </v>
      </c>
      <c r="F17740" t="str">
        <f t="shared" si="440"/>
        <v>MS</v>
      </c>
    </row>
    <row r="17741" spans="1:6" x14ac:dyDescent="0.25">
      <c r="A17741" t="str">
        <f>"200015395"</f>
        <v>200015395</v>
      </c>
      <c r="B17741" t="str">
        <f>"1750920542"</f>
        <v>1750920542</v>
      </c>
      <c r="C17741" t="str">
        <f>"363L00000X"</f>
        <v>363L00000X</v>
      </c>
      <c r="D17741" t="str">
        <f>"PEARL-WINTERS            SHONDA                   "</f>
        <v xml:space="preserve">PEARL-WINTERS            SHONDA                   </v>
      </c>
      <c r="E17741" t="str">
        <f>"GREENVILLE                "</f>
        <v xml:space="preserve">GREENVILLE                </v>
      </c>
      <c r="F17741" t="str">
        <f t="shared" si="440"/>
        <v>MS</v>
      </c>
    </row>
    <row r="17742" spans="1:6" x14ac:dyDescent="0.25">
      <c r="A17742" t="str">
        <f>"200015396"</f>
        <v>200015396</v>
      </c>
      <c r="B17742" t="str">
        <f>"1902650195"</f>
        <v>1902650195</v>
      </c>
      <c r="C17742" t="str">
        <f>"363A00000X"</f>
        <v>363A00000X</v>
      </c>
      <c r="D17742" t="str">
        <f>"CIACCI                   JENSEN                   "</f>
        <v xml:space="preserve">CIACCI                   JENSEN                   </v>
      </c>
      <c r="E17742" t="str">
        <f>"LAUREL                    "</f>
        <v xml:space="preserve">LAUREL                    </v>
      </c>
      <c r="F17742" t="str">
        <f t="shared" si="440"/>
        <v>MS</v>
      </c>
    </row>
    <row r="17743" spans="1:6" x14ac:dyDescent="0.25">
      <c r="A17743" t="str">
        <f>"200015398"</f>
        <v>200015398</v>
      </c>
      <c r="B17743" t="str">
        <f>"1760647747"</f>
        <v>1760647747</v>
      </c>
      <c r="C17743" t="str">
        <f>"363LF0000X"</f>
        <v>363LF0000X</v>
      </c>
      <c r="D17743" t="str">
        <f>"LEONARD                  KELLY                    "</f>
        <v xml:space="preserve">LEONARD                  KELLY                    </v>
      </c>
      <c r="E17743" t="str">
        <f>"OLIVE BRANCH              "</f>
        <v xml:space="preserve">OLIVE BRANCH              </v>
      </c>
      <c r="F17743" t="str">
        <f t="shared" si="440"/>
        <v>MS</v>
      </c>
    </row>
    <row r="17744" spans="1:6" x14ac:dyDescent="0.25">
      <c r="A17744" t="str">
        <f>"200015401"</f>
        <v>200015401</v>
      </c>
      <c r="B17744" t="str">
        <f>"1881213668"</f>
        <v>1881213668</v>
      </c>
      <c r="C17744" t="str">
        <f>"208000000X"</f>
        <v>208000000X</v>
      </c>
      <c r="D17744" t="str">
        <f>"WALKER                   CHELSEY                  "</f>
        <v xml:space="preserve">WALKER                   CHELSEY                  </v>
      </c>
      <c r="E17744" t="str">
        <f>"JACKSON                   "</f>
        <v xml:space="preserve">JACKSON                   </v>
      </c>
      <c r="F17744" t="str">
        <f t="shared" si="440"/>
        <v>MS</v>
      </c>
    </row>
    <row r="17745" spans="1:6" x14ac:dyDescent="0.25">
      <c r="A17745" t="str">
        <f>"200015404"</f>
        <v>200015404</v>
      </c>
      <c r="B17745" t="str">
        <f>"1538621529"</f>
        <v>1538621529</v>
      </c>
      <c r="C17745" t="str">
        <f>"2084N0400X"</f>
        <v>2084N0400X</v>
      </c>
      <c r="D17745" t="str">
        <f>"HUVAL                    COURTNEY                 "</f>
        <v xml:space="preserve">HUVAL                    COURTNEY                 </v>
      </c>
      <c r="E17745" t="str">
        <f>"JACKSON                   "</f>
        <v xml:space="preserve">JACKSON                   </v>
      </c>
      <c r="F17745" t="str">
        <f t="shared" si="440"/>
        <v>MS</v>
      </c>
    </row>
    <row r="17746" spans="1:6" x14ac:dyDescent="0.25">
      <c r="A17746" t="str">
        <f>"200015405"</f>
        <v>200015405</v>
      </c>
      <c r="B17746" t="str">
        <f>"1801404363"</f>
        <v>1801404363</v>
      </c>
      <c r="C17746" t="str">
        <f>"208D00000X"</f>
        <v>208D00000X</v>
      </c>
      <c r="D17746" t="str">
        <f>"KANG                     JANNAT                   "</f>
        <v xml:space="preserve">KANG                     JANNAT                   </v>
      </c>
      <c r="E17746" t="str">
        <f>"JACKSON                   "</f>
        <v xml:space="preserve">JACKSON                   </v>
      </c>
      <c r="F17746" t="str">
        <f t="shared" si="440"/>
        <v>MS</v>
      </c>
    </row>
    <row r="17747" spans="1:6" x14ac:dyDescent="0.25">
      <c r="A17747" t="str">
        <f>"200015410"</f>
        <v>200015410</v>
      </c>
      <c r="B17747" t="str">
        <f>"1740790658"</f>
        <v>1740790658</v>
      </c>
      <c r="C17747" t="str">
        <f>"363LF0000X"</f>
        <v>363LF0000X</v>
      </c>
      <c r="D17747" t="str">
        <f>"SMITH                    ARLETTE                  "</f>
        <v xml:space="preserve">SMITH                    ARLETTE                  </v>
      </c>
      <c r="E17747" t="str">
        <f>"MERIDIAN                  "</f>
        <v xml:space="preserve">MERIDIAN                  </v>
      </c>
      <c r="F17747" t="str">
        <f t="shared" si="440"/>
        <v>MS</v>
      </c>
    </row>
    <row r="17748" spans="1:6" x14ac:dyDescent="0.25">
      <c r="A17748" t="str">
        <f>"200015412"</f>
        <v>200015412</v>
      </c>
      <c r="B17748" t="str">
        <f>"1093375511"</f>
        <v>1093375511</v>
      </c>
      <c r="C17748" t="str">
        <f>"207Q00000X"</f>
        <v>207Q00000X</v>
      </c>
      <c r="D17748" t="str">
        <f>"THOMPSON                 CANDACE                  "</f>
        <v xml:space="preserve">THOMPSON                 CANDACE                  </v>
      </c>
      <c r="E17748" t="str">
        <f>"JACKSON                   "</f>
        <v xml:space="preserve">JACKSON                   </v>
      </c>
      <c r="F17748" t="str">
        <f t="shared" si="440"/>
        <v>MS</v>
      </c>
    </row>
    <row r="17749" spans="1:6" x14ac:dyDescent="0.25">
      <c r="A17749" t="str">
        <f>"200015416"</f>
        <v>200015416</v>
      </c>
      <c r="B17749" t="str">
        <f>"1902625098"</f>
        <v>1902625098</v>
      </c>
      <c r="C17749" t="str">
        <f>"363A00000X"</f>
        <v>363A00000X</v>
      </c>
      <c r="D17749" t="str">
        <f>"BLACKWELL                ABBYE                    "</f>
        <v xml:space="preserve">BLACKWELL                ABBYE                    </v>
      </c>
      <c r="E17749" t="str">
        <f>"JACKSON                   "</f>
        <v xml:space="preserve">JACKSON                   </v>
      </c>
      <c r="F17749" t="str">
        <f t="shared" si="440"/>
        <v>MS</v>
      </c>
    </row>
    <row r="17750" spans="1:6" x14ac:dyDescent="0.25">
      <c r="A17750" t="str">
        <f>"200015417"</f>
        <v>200015417</v>
      </c>
      <c r="B17750" t="str">
        <f>"1073181657"</f>
        <v>1073181657</v>
      </c>
      <c r="C17750" t="str">
        <f>"1223G0001X"</f>
        <v>1223G0001X</v>
      </c>
      <c r="D17750" t="str">
        <f>"NGUYEN                   LYNN                     "</f>
        <v xml:space="preserve">NGUYEN                   LYNN                     </v>
      </c>
      <c r="E17750" t="str">
        <f>"JACKSON                   "</f>
        <v xml:space="preserve">JACKSON                   </v>
      </c>
      <c r="F17750" t="str">
        <f t="shared" si="440"/>
        <v>MS</v>
      </c>
    </row>
    <row r="17751" spans="1:6" x14ac:dyDescent="0.25">
      <c r="A17751" t="str">
        <f>"200015427"</f>
        <v>200015427</v>
      </c>
      <c r="B17751" t="str">
        <f>"1982687596"</f>
        <v>1982687596</v>
      </c>
      <c r="C17751" t="str">
        <f>"2085R0001X"</f>
        <v>2085R0001X</v>
      </c>
      <c r="D17751" t="str">
        <f>"JACOB                    ROJYMAN                  "</f>
        <v xml:space="preserve">JACOB                    ROJYMAN                  </v>
      </c>
      <c r="E17751" t="str">
        <f>"JACKSON                   "</f>
        <v xml:space="preserve">JACKSON                   </v>
      </c>
      <c r="F17751" t="str">
        <f t="shared" si="440"/>
        <v>MS</v>
      </c>
    </row>
    <row r="17752" spans="1:6" x14ac:dyDescent="0.25">
      <c r="A17752" t="str">
        <f>"200015430"</f>
        <v>200015430</v>
      </c>
      <c r="B17752" t="str">
        <f>"1255563771"</f>
        <v>1255563771</v>
      </c>
      <c r="C17752" t="str">
        <f>"363LF0000X"</f>
        <v>363LF0000X</v>
      </c>
      <c r="D17752" t="str">
        <f>"GANT                     LISA                     "</f>
        <v xml:space="preserve">GANT                     LISA                     </v>
      </c>
      <c r="E17752" t="str">
        <f>"JACKSON                   "</f>
        <v xml:space="preserve">JACKSON                   </v>
      </c>
      <c r="F17752" t="str">
        <f t="shared" si="440"/>
        <v>MS</v>
      </c>
    </row>
    <row r="17753" spans="1:6" x14ac:dyDescent="0.25">
      <c r="A17753" t="str">
        <f>"200015431"</f>
        <v>200015431</v>
      </c>
      <c r="B17753" t="str">
        <f>"1023574183"</f>
        <v>1023574183</v>
      </c>
      <c r="C17753" t="str">
        <f>"261QA0600X"</f>
        <v>261QA0600X</v>
      </c>
      <c r="D17753" t="str">
        <f>"QUALITY LIVES ADULT DAYCARE, LLC                  "</f>
        <v xml:space="preserve">QUALITY LIVES ADULT DAYCARE, LLC                  </v>
      </c>
      <c r="E17753" t="str">
        <f>"GREENVILLE                "</f>
        <v xml:space="preserve">GREENVILLE                </v>
      </c>
      <c r="F17753" t="str">
        <f t="shared" si="440"/>
        <v>MS</v>
      </c>
    </row>
    <row r="17754" spans="1:6" x14ac:dyDescent="0.25">
      <c r="A17754" t="str">
        <f>"200015448"</f>
        <v>200015448</v>
      </c>
      <c r="B17754" t="str">
        <f>"1366003105"</f>
        <v>1366003105</v>
      </c>
      <c r="C17754" t="str">
        <f>"207PE0004X"</f>
        <v>207PE0004X</v>
      </c>
      <c r="D17754" t="str">
        <f>"WALDRUP                  REBECCA                  "</f>
        <v xml:space="preserve">WALDRUP                  REBECCA                  </v>
      </c>
      <c r="E17754" t="str">
        <f>"PASCAGOULA                "</f>
        <v xml:space="preserve">PASCAGOULA                </v>
      </c>
      <c r="F17754" t="str">
        <f t="shared" si="440"/>
        <v>MS</v>
      </c>
    </row>
    <row r="17755" spans="1:6" x14ac:dyDescent="0.25">
      <c r="A17755" t="str">
        <f>"200015454"</f>
        <v>200015454</v>
      </c>
      <c r="B17755" t="str">
        <f>"1871935189"</f>
        <v>1871935189</v>
      </c>
      <c r="C17755" t="str">
        <f>"363LF0000X"</f>
        <v>363LF0000X</v>
      </c>
      <c r="D17755" t="str">
        <f>"CARR                     JASON                    "</f>
        <v xml:space="preserve">CARR                     JASON                    </v>
      </c>
      <c r="E17755" t="str">
        <f>"CENTREVILLE               "</f>
        <v xml:space="preserve">CENTREVILLE               </v>
      </c>
      <c r="F17755" t="str">
        <f t="shared" si="440"/>
        <v>MS</v>
      </c>
    </row>
    <row r="17756" spans="1:6" x14ac:dyDescent="0.25">
      <c r="A17756" t="str">
        <f>"200015455"</f>
        <v>200015455</v>
      </c>
      <c r="B17756" t="str">
        <f>"1619722246"</f>
        <v>1619722246</v>
      </c>
      <c r="C17756" t="str">
        <f>"363LG0600X"</f>
        <v>363LG0600X</v>
      </c>
      <c r="D17756" t="str">
        <f>"BISHOP                   MICHELLE                 "</f>
        <v xml:space="preserve">BISHOP                   MICHELLE                 </v>
      </c>
      <c r="E17756" t="str">
        <f>"FLOWOOD                   "</f>
        <v xml:space="preserve">FLOWOOD                   </v>
      </c>
      <c r="F17756" t="str">
        <f t="shared" si="440"/>
        <v>MS</v>
      </c>
    </row>
    <row r="17757" spans="1:6" x14ac:dyDescent="0.25">
      <c r="A17757" t="str">
        <f>"200015456"</f>
        <v>200015456</v>
      </c>
      <c r="B17757" t="str">
        <f>"1619722246"</f>
        <v>1619722246</v>
      </c>
      <c r="C17757" t="str">
        <f>"363LA2100X"</f>
        <v>363LA2100X</v>
      </c>
      <c r="D17757" t="str">
        <f>"BISHOP                   MICHELLE                 "</f>
        <v xml:space="preserve">BISHOP                   MICHELLE                 </v>
      </c>
      <c r="E17757" t="str">
        <f>"FLOWOOD                   "</f>
        <v xml:space="preserve">FLOWOOD                   </v>
      </c>
      <c r="F17757" t="str">
        <f t="shared" si="440"/>
        <v>MS</v>
      </c>
    </row>
    <row r="17758" spans="1:6" x14ac:dyDescent="0.25">
      <c r="A17758" t="str">
        <f>"200015457"</f>
        <v>200015457</v>
      </c>
      <c r="B17758" t="str">
        <f>"1265819478"</f>
        <v>1265819478</v>
      </c>
      <c r="C17758" t="str">
        <f>"2084N0400X"</f>
        <v>2084N0400X</v>
      </c>
      <c r="D17758" t="str">
        <f>"ASSADI                   RAMI-JAMES               "</f>
        <v xml:space="preserve">ASSADI                   RAMI-JAMES               </v>
      </c>
      <c r="E17758" t="str">
        <f>"OCEAN SPRINGS             "</f>
        <v xml:space="preserve">OCEAN SPRINGS             </v>
      </c>
      <c r="F17758" t="str">
        <f t="shared" si="440"/>
        <v>MS</v>
      </c>
    </row>
    <row r="17759" spans="1:6" x14ac:dyDescent="0.25">
      <c r="A17759" t="str">
        <f>"200015459"</f>
        <v>200015459</v>
      </c>
      <c r="B17759" t="str">
        <f>"1841788114"</f>
        <v>1841788114</v>
      </c>
      <c r="C17759" t="str">
        <f>"207R00000X"</f>
        <v>207R00000X</v>
      </c>
      <c r="D17759" t="str">
        <f>"MUJAHID                  HAROON                   "</f>
        <v xml:space="preserve">MUJAHID                  HAROON                   </v>
      </c>
      <c r="E17759" t="str">
        <f>"JACKSON                   "</f>
        <v xml:space="preserve">JACKSON                   </v>
      </c>
      <c r="F17759" t="str">
        <f t="shared" si="440"/>
        <v>MS</v>
      </c>
    </row>
    <row r="17760" spans="1:6" x14ac:dyDescent="0.25">
      <c r="A17760" t="str">
        <f>"200015480"</f>
        <v>200015480</v>
      </c>
      <c r="B17760" t="str">
        <f>"1215767801"</f>
        <v>1215767801</v>
      </c>
      <c r="C17760" t="str">
        <f>"363LF0000X"</f>
        <v>363LF0000X</v>
      </c>
      <c r="D17760" t="str">
        <f>"FOWLER MEADOWS           KELLI                    "</f>
        <v xml:space="preserve">FOWLER MEADOWS           KELLI                    </v>
      </c>
      <c r="E17760" t="str">
        <f>"HATTIESBURG               "</f>
        <v xml:space="preserve">HATTIESBURG               </v>
      </c>
      <c r="F17760" t="str">
        <f t="shared" si="440"/>
        <v>MS</v>
      </c>
    </row>
    <row r="17761" spans="1:6" x14ac:dyDescent="0.25">
      <c r="A17761" t="str">
        <f>"200015484"</f>
        <v>200015484</v>
      </c>
      <c r="B17761" t="str">
        <f>"1477227080"</f>
        <v>1477227080</v>
      </c>
      <c r="C17761" t="str">
        <f>"363LF0000X"</f>
        <v>363LF0000X</v>
      </c>
      <c r="D17761" t="str">
        <f>"LASSETER                 RACHEL                   "</f>
        <v xml:space="preserve">LASSETER                 RACHEL                   </v>
      </c>
      <c r="E17761" t="str">
        <f>"BILOXI                    "</f>
        <v xml:space="preserve">BILOXI                    </v>
      </c>
      <c r="F17761" t="str">
        <f t="shared" si="440"/>
        <v>MS</v>
      </c>
    </row>
    <row r="17762" spans="1:6" x14ac:dyDescent="0.25">
      <c r="A17762" t="str">
        <f>"200015485"</f>
        <v>200015485</v>
      </c>
      <c r="B17762" t="str">
        <f>"1972071611"</f>
        <v>1972071611</v>
      </c>
      <c r="C17762" t="str">
        <f>"363L00000X"</f>
        <v>363L00000X</v>
      </c>
      <c r="D17762" t="str">
        <f>"MURPHY                   JESSICA                  "</f>
        <v xml:space="preserve">MURPHY                   JESSICA                  </v>
      </c>
      <c r="E17762" t="str">
        <f>"GULFPORT                  "</f>
        <v xml:space="preserve">GULFPORT                  </v>
      </c>
      <c r="F17762" t="str">
        <f t="shared" si="440"/>
        <v>MS</v>
      </c>
    </row>
    <row r="17763" spans="1:6" x14ac:dyDescent="0.25">
      <c r="A17763" t="str">
        <f>"200015486"</f>
        <v>200015486</v>
      </c>
      <c r="B17763" t="str">
        <f>"1275998577"</f>
        <v>1275998577</v>
      </c>
      <c r="C17763" t="str">
        <f>"363LF0000X"</f>
        <v>363LF0000X</v>
      </c>
      <c r="D17763" t="str">
        <f>"GOINS                    NATASHA                  "</f>
        <v xml:space="preserve">GOINS                    NATASHA                  </v>
      </c>
      <c r="E17763" t="str">
        <f>"SENATOBIA                 "</f>
        <v xml:space="preserve">SENATOBIA                 </v>
      </c>
      <c r="F17763" t="str">
        <f t="shared" si="440"/>
        <v>MS</v>
      </c>
    </row>
    <row r="17764" spans="1:6" x14ac:dyDescent="0.25">
      <c r="A17764" t="str">
        <f>"200015493"</f>
        <v>200015493</v>
      </c>
      <c r="B17764" t="str">
        <f>"1942063219"</f>
        <v>1942063219</v>
      </c>
      <c r="C17764" t="str">
        <f>"363A00000X"</f>
        <v>363A00000X</v>
      </c>
      <c r="D17764" t="str">
        <f>"VERRET                   REAGAN                   "</f>
        <v xml:space="preserve">VERRET                   REAGAN                   </v>
      </c>
      <c r="E17764" t="str">
        <f>"HATTIESBURG               "</f>
        <v xml:space="preserve">HATTIESBURG               </v>
      </c>
      <c r="F17764" t="str">
        <f t="shared" si="440"/>
        <v>MS</v>
      </c>
    </row>
    <row r="17765" spans="1:6" x14ac:dyDescent="0.25">
      <c r="A17765" t="str">
        <f>"200015495"</f>
        <v>200015495</v>
      </c>
      <c r="B17765" t="str">
        <f>"1841675436"</f>
        <v>1841675436</v>
      </c>
      <c r="C17765" t="str">
        <f>"363L00000X"</f>
        <v>363L00000X</v>
      </c>
      <c r="D17765" t="str">
        <f>"SMITH                    BRANDON                  "</f>
        <v xml:space="preserve">SMITH                    BRANDON                  </v>
      </c>
      <c r="E17765" t="str">
        <f>"HATTIESBURG               "</f>
        <v xml:space="preserve">HATTIESBURG               </v>
      </c>
      <c r="F17765" t="str">
        <f t="shared" si="440"/>
        <v>MS</v>
      </c>
    </row>
    <row r="17766" spans="1:6" x14ac:dyDescent="0.25">
      <c r="A17766" t="str">
        <f>"200015496"</f>
        <v>200015496</v>
      </c>
      <c r="B17766" t="str">
        <f>"1407205156"</f>
        <v>1407205156</v>
      </c>
      <c r="C17766" t="str">
        <f>"207P00000X"</f>
        <v>207P00000X</v>
      </c>
      <c r="D17766" t="str">
        <f>"SCOTT                    CLIFTON                  "</f>
        <v xml:space="preserve">SCOTT                    CLIFTON                  </v>
      </c>
      <c r="E17766" t="str">
        <f>"WEST POINT                "</f>
        <v xml:space="preserve">WEST POINT                </v>
      </c>
      <c r="F17766" t="str">
        <f t="shared" si="440"/>
        <v>MS</v>
      </c>
    </row>
    <row r="17767" spans="1:6" x14ac:dyDescent="0.25">
      <c r="A17767" t="str">
        <f>"200015503"</f>
        <v>200015503</v>
      </c>
      <c r="B17767" t="str">
        <f>"1376951921"</f>
        <v>1376951921</v>
      </c>
      <c r="C17767" t="str">
        <f>"363LF0000X"</f>
        <v>363LF0000X</v>
      </c>
      <c r="D17767" t="str">
        <f>"RUSSUM                   JENNIFER                 "</f>
        <v xml:space="preserve">RUSSUM                   JENNIFER                 </v>
      </c>
      <c r="E17767" t="str">
        <f>"CLINTON                   "</f>
        <v xml:space="preserve">CLINTON                   </v>
      </c>
      <c r="F17767" t="str">
        <f t="shared" si="440"/>
        <v>MS</v>
      </c>
    </row>
    <row r="17768" spans="1:6" x14ac:dyDescent="0.25">
      <c r="A17768" t="str">
        <f>"200015507"</f>
        <v>200015507</v>
      </c>
      <c r="B17768" t="str">
        <f>"1528410727"</f>
        <v>1528410727</v>
      </c>
      <c r="C17768" t="str">
        <f>"363LP0808X"</f>
        <v>363LP0808X</v>
      </c>
      <c r="D17768" t="str">
        <f>"ADAMS                    DOROTHY                  "</f>
        <v xml:space="preserve">ADAMS                    DOROTHY                  </v>
      </c>
      <c r="E17768" t="str">
        <f>"CLINTON                   "</f>
        <v xml:space="preserve">CLINTON                   </v>
      </c>
      <c r="F17768" t="str">
        <f t="shared" si="440"/>
        <v>MS</v>
      </c>
    </row>
    <row r="17769" spans="1:6" x14ac:dyDescent="0.25">
      <c r="A17769" t="str">
        <f>"200015510"</f>
        <v>200015510</v>
      </c>
      <c r="B17769" t="str">
        <f>"1477390599"</f>
        <v>1477390599</v>
      </c>
      <c r="C17769" t="str">
        <f>"363L00000X"</f>
        <v>363L00000X</v>
      </c>
      <c r="D17769" t="str">
        <f>"WRIGHT                   KAITLYNN     M           "</f>
        <v xml:space="preserve">WRIGHT                   KAITLYNN     M           </v>
      </c>
      <c r="E17769" t="str">
        <f>"JACKSON                   "</f>
        <v xml:space="preserve">JACKSON                   </v>
      </c>
      <c r="F17769" t="str">
        <f t="shared" si="440"/>
        <v>MS</v>
      </c>
    </row>
    <row r="17770" spans="1:6" x14ac:dyDescent="0.25">
      <c r="A17770" t="str">
        <f>"200015520"</f>
        <v>200015520</v>
      </c>
      <c r="B17770" t="str">
        <f>"1710743802"</f>
        <v>1710743802</v>
      </c>
      <c r="C17770" t="str">
        <f>"367500000X"</f>
        <v>367500000X</v>
      </c>
      <c r="D17770" t="str">
        <f>"MCCAKILL                 MADISON                  "</f>
        <v xml:space="preserve">MCCAKILL                 MADISON                  </v>
      </c>
      <c r="E17770" t="str">
        <f>"SOUTHAVEN                 "</f>
        <v xml:space="preserve">SOUTHAVEN                 </v>
      </c>
      <c r="F17770" t="str">
        <f t="shared" si="440"/>
        <v>MS</v>
      </c>
    </row>
    <row r="17771" spans="1:6" x14ac:dyDescent="0.25">
      <c r="A17771" t="str">
        <f>"200015522"</f>
        <v>200015522</v>
      </c>
      <c r="B17771" t="str">
        <f>"1679857932"</f>
        <v>1679857932</v>
      </c>
      <c r="C17771" t="str">
        <f>"363LF0000X"</f>
        <v>363LF0000X</v>
      </c>
      <c r="D17771" t="str">
        <f>"KING                     LARA         N           "</f>
        <v xml:space="preserve">KING                     LARA         N           </v>
      </c>
      <c r="E17771" t="str">
        <f>"MERIDIAN                  "</f>
        <v xml:space="preserve">MERIDIAN                  </v>
      </c>
      <c r="F17771" t="str">
        <f t="shared" si="440"/>
        <v>MS</v>
      </c>
    </row>
    <row r="17772" spans="1:6" x14ac:dyDescent="0.25">
      <c r="A17772" t="str">
        <f>"200015524"</f>
        <v>200015524</v>
      </c>
      <c r="B17772" t="str">
        <f>"1043706518"</f>
        <v>1043706518</v>
      </c>
      <c r="C17772" t="str">
        <f>"2080N0001X"</f>
        <v>2080N0001X</v>
      </c>
      <c r="D17772" t="str">
        <f>"BISHT                    SUPRIYA                  "</f>
        <v xml:space="preserve">BISHT                    SUPRIYA                  </v>
      </c>
      <c r="E17772" t="str">
        <f>"JACKSON                   "</f>
        <v xml:space="preserve">JACKSON                   </v>
      </c>
      <c r="F17772" t="str">
        <f t="shared" si="440"/>
        <v>MS</v>
      </c>
    </row>
    <row r="17773" spans="1:6" x14ac:dyDescent="0.25">
      <c r="A17773" t="str">
        <f>"200015525"</f>
        <v>200015525</v>
      </c>
      <c r="B17773" t="str">
        <f>"1841612066"</f>
        <v>1841612066</v>
      </c>
      <c r="C17773" t="str">
        <f>"363LF0000X"</f>
        <v>363LF0000X</v>
      </c>
      <c r="D17773" t="str">
        <f>"DEPTA                    AMY                      "</f>
        <v xml:space="preserve">DEPTA                    AMY                      </v>
      </c>
      <c r="E17773" t="str">
        <f>"NATCHEZ                   "</f>
        <v xml:space="preserve">NATCHEZ                   </v>
      </c>
      <c r="F17773" t="str">
        <f t="shared" si="440"/>
        <v>MS</v>
      </c>
    </row>
    <row r="17774" spans="1:6" x14ac:dyDescent="0.25">
      <c r="A17774" t="str">
        <f>"200015529"</f>
        <v>200015529</v>
      </c>
      <c r="B17774" t="str">
        <f>"1407430457"</f>
        <v>1407430457</v>
      </c>
      <c r="C17774" t="str">
        <f>"207Q00000X"</f>
        <v>207Q00000X</v>
      </c>
      <c r="D17774" t="str">
        <f>"ODURO-BOADU              KOFI                     "</f>
        <v xml:space="preserve">ODURO-BOADU              KOFI                     </v>
      </c>
      <c r="E17774" t="str">
        <f>"JACKSON                   "</f>
        <v xml:space="preserve">JACKSON                   </v>
      </c>
      <c r="F17774" t="str">
        <f t="shared" si="440"/>
        <v>MS</v>
      </c>
    </row>
    <row r="17775" spans="1:6" x14ac:dyDescent="0.25">
      <c r="A17775" t="str">
        <f>"200015530"</f>
        <v>200015530</v>
      </c>
      <c r="B17775" t="str">
        <f>"1326139601"</f>
        <v>1326139601</v>
      </c>
      <c r="C17775" t="str">
        <f>"208600000X"</f>
        <v>208600000X</v>
      </c>
      <c r="D17775" t="str">
        <f>"KNIGHT                   MATTHEW      T           "</f>
        <v xml:space="preserve">KNIGHT                   MATTHEW      T           </v>
      </c>
      <c r="E17775" t="str">
        <f>"OXFORD                    "</f>
        <v xml:space="preserve">OXFORD                    </v>
      </c>
      <c r="F17775" t="str">
        <f t="shared" si="440"/>
        <v>MS</v>
      </c>
    </row>
    <row r="17776" spans="1:6" x14ac:dyDescent="0.25">
      <c r="A17776" t="str">
        <f>"200015532"</f>
        <v>200015532</v>
      </c>
      <c r="B17776" t="str">
        <f>"1043314057"</f>
        <v>1043314057</v>
      </c>
      <c r="C17776" t="str">
        <f>"207R00000X"</f>
        <v>207R00000X</v>
      </c>
      <c r="D17776" t="str">
        <f>"STALLWORTH               GREGORY      T           "</f>
        <v xml:space="preserve">STALLWORTH               GREGORY      T           </v>
      </c>
      <c r="E17776" t="str">
        <f>"HOLLY SPRINGS             "</f>
        <v xml:space="preserve">HOLLY SPRINGS             </v>
      </c>
      <c r="F17776" t="str">
        <f t="shared" si="440"/>
        <v>MS</v>
      </c>
    </row>
    <row r="17777" spans="1:6" x14ac:dyDescent="0.25">
      <c r="A17777" t="str">
        <f>"200015534"</f>
        <v>200015534</v>
      </c>
      <c r="B17777" t="str">
        <f>"1306687868"</f>
        <v>1306687868</v>
      </c>
      <c r="C17777" t="str">
        <f>"363L00000X"</f>
        <v>363L00000X</v>
      </c>
      <c r="D17777" t="str">
        <f>"HENDRICKS                BRITTANY                 "</f>
        <v xml:space="preserve">HENDRICKS                BRITTANY                 </v>
      </c>
      <c r="E17777" t="str">
        <f>"NATCHEZ                   "</f>
        <v xml:space="preserve">NATCHEZ                   </v>
      </c>
      <c r="F17777" t="str">
        <f t="shared" si="440"/>
        <v>MS</v>
      </c>
    </row>
    <row r="17778" spans="1:6" x14ac:dyDescent="0.25">
      <c r="A17778" t="str">
        <f>"200015536"</f>
        <v>200015536</v>
      </c>
      <c r="B17778" t="str">
        <f>"1811603921"</f>
        <v>1811603921</v>
      </c>
      <c r="C17778" t="str">
        <f>"363LW0102X"</f>
        <v>363LW0102X</v>
      </c>
      <c r="D17778" t="str">
        <f>"JOHNSON                  MARY                     "</f>
        <v xml:space="preserve">JOHNSON                  MARY                     </v>
      </c>
      <c r="E17778" t="str">
        <f>"FLOWOOD                   "</f>
        <v xml:space="preserve">FLOWOOD                   </v>
      </c>
      <c r="F17778" t="str">
        <f t="shared" si="440"/>
        <v>MS</v>
      </c>
    </row>
    <row r="17779" spans="1:6" x14ac:dyDescent="0.25">
      <c r="A17779" t="str">
        <f>"200015538"</f>
        <v>200015538</v>
      </c>
      <c r="B17779" t="str">
        <f>"1710044391"</f>
        <v>1710044391</v>
      </c>
      <c r="C17779" t="str">
        <f>"367500000X"</f>
        <v>367500000X</v>
      </c>
      <c r="D17779" t="str">
        <f>"WOOD                     ERIC         R           "</f>
        <v xml:space="preserve">WOOD                     ERIC         R           </v>
      </c>
      <c r="E17779" t="str">
        <f>"GRENADA                   "</f>
        <v xml:space="preserve">GRENADA                   </v>
      </c>
      <c r="F17779" t="str">
        <f t="shared" si="440"/>
        <v>MS</v>
      </c>
    </row>
    <row r="17780" spans="1:6" x14ac:dyDescent="0.25">
      <c r="A17780" t="str">
        <f>"200015556"</f>
        <v>200015556</v>
      </c>
      <c r="B17780" t="str">
        <f>"1427223619"</f>
        <v>1427223619</v>
      </c>
      <c r="C17780" t="str">
        <f>"207T00000X"</f>
        <v>207T00000X</v>
      </c>
      <c r="D17780" t="str">
        <f>"ALVERNIS-SILVA           JORGE                    "</f>
        <v xml:space="preserve">ALVERNIS-SILVA           JORGE                    </v>
      </c>
      <c r="E17780" t="str">
        <f>"JACKSON                   "</f>
        <v xml:space="preserve">JACKSON                   </v>
      </c>
      <c r="F17780" t="str">
        <f t="shared" si="440"/>
        <v>MS</v>
      </c>
    </row>
    <row r="17781" spans="1:6" x14ac:dyDescent="0.25">
      <c r="A17781" t="str">
        <f>"200015566"</f>
        <v>200015566</v>
      </c>
      <c r="B17781" t="str">
        <f>"1437723863"</f>
        <v>1437723863</v>
      </c>
      <c r="C17781" t="str">
        <f>"207R00000X"</f>
        <v>207R00000X</v>
      </c>
      <c r="D17781" t="str">
        <f>"MERCIER                  JACOB                    "</f>
        <v xml:space="preserve">MERCIER                  JACOB                    </v>
      </c>
      <c r="E17781" t="str">
        <f>"OXFORD                    "</f>
        <v xml:space="preserve">OXFORD                    </v>
      </c>
      <c r="F17781" t="str">
        <f t="shared" si="440"/>
        <v>MS</v>
      </c>
    </row>
    <row r="17782" spans="1:6" x14ac:dyDescent="0.25">
      <c r="A17782" t="str">
        <f>"200015569"</f>
        <v>200015569</v>
      </c>
      <c r="B17782" t="str">
        <f>"1568651289"</f>
        <v>1568651289</v>
      </c>
      <c r="C17782" t="str">
        <f>"363LF0000X"</f>
        <v>363LF0000X</v>
      </c>
      <c r="D17782" t="str">
        <f>"RHEA                     JENNIFER     F           "</f>
        <v xml:space="preserve">RHEA                     JENNIFER     F           </v>
      </c>
      <c r="E17782" t="str">
        <f>"JACKSON                   "</f>
        <v xml:space="preserve">JACKSON                   </v>
      </c>
      <c r="F17782" t="str">
        <f t="shared" si="440"/>
        <v>MS</v>
      </c>
    </row>
    <row r="17783" spans="1:6" x14ac:dyDescent="0.25">
      <c r="A17783" t="str">
        <f>"200015587"</f>
        <v>200015587</v>
      </c>
      <c r="B17783" t="str">
        <f>"1639418486"</f>
        <v>1639418486</v>
      </c>
      <c r="C17783" t="str">
        <f>"363LF0000X"</f>
        <v>363LF0000X</v>
      </c>
      <c r="D17783" t="str">
        <f>"CLARK                    JAMES                    "</f>
        <v xml:space="preserve">CLARK                    JAMES                    </v>
      </c>
      <c r="E17783" t="str">
        <f>"FLOWOOD                   "</f>
        <v xml:space="preserve">FLOWOOD                   </v>
      </c>
      <c r="F17783" t="str">
        <f t="shared" si="440"/>
        <v>MS</v>
      </c>
    </row>
    <row r="17784" spans="1:6" x14ac:dyDescent="0.25">
      <c r="A17784" t="str">
        <f>"200015597"</f>
        <v>200015597</v>
      </c>
      <c r="B17784" t="str">
        <f>"1508623570"</f>
        <v>1508623570</v>
      </c>
      <c r="C17784" t="str">
        <f>"363LF0000X"</f>
        <v>363LF0000X</v>
      </c>
      <c r="D17784" t="str">
        <f>"NICHOLSON                CARLEE                   "</f>
        <v xml:space="preserve">NICHOLSON                CARLEE                   </v>
      </c>
      <c r="E17784" t="str">
        <f>"HATTIESBURG               "</f>
        <v xml:space="preserve">HATTIESBURG               </v>
      </c>
      <c r="F17784" t="str">
        <f t="shared" si="440"/>
        <v>MS</v>
      </c>
    </row>
    <row r="17785" spans="1:6" x14ac:dyDescent="0.25">
      <c r="A17785" t="str">
        <f>"200015607"</f>
        <v>200015607</v>
      </c>
      <c r="B17785" t="str">
        <f>"1730287723"</f>
        <v>1730287723</v>
      </c>
      <c r="C17785" t="str">
        <f>"367500000X"</f>
        <v>367500000X</v>
      </c>
      <c r="D17785" t="str">
        <f>"MCDANIEL                 CARLY        B           "</f>
        <v xml:space="preserve">MCDANIEL                 CARLY        B           </v>
      </c>
      <c r="E17785" t="str">
        <f>"JACKSON                   "</f>
        <v xml:space="preserve">JACKSON                   </v>
      </c>
      <c r="F17785" t="str">
        <f t="shared" si="440"/>
        <v>MS</v>
      </c>
    </row>
    <row r="17786" spans="1:6" x14ac:dyDescent="0.25">
      <c r="A17786" t="str">
        <f>"200015617"</f>
        <v>200015617</v>
      </c>
      <c r="B17786" t="str">
        <f>"1861789240"</f>
        <v>1861789240</v>
      </c>
      <c r="C17786" t="str">
        <f>"367500000X"</f>
        <v>367500000X</v>
      </c>
      <c r="D17786" t="str">
        <f>"HAMMOND                  JULIE        A           "</f>
        <v xml:space="preserve">HAMMOND                  JULIE        A           </v>
      </c>
      <c r="E17786" t="str">
        <f>"SOUTHAVEN                 "</f>
        <v xml:space="preserve">SOUTHAVEN                 </v>
      </c>
      <c r="F17786" t="str">
        <f t="shared" si="440"/>
        <v>MS</v>
      </c>
    </row>
    <row r="17787" spans="1:6" x14ac:dyDescent="0.25">
      <c r="A17787" t="str">
        <f>"200015622"</f>
        <v>200015622</v>
      </c>
      <c r="B17787" t="str">
        <f>"1932576550"</f>
        <v>1932576550</v>
      </c>
      <c r="C17787" t="str">
        <f>"367500000X"</f>
        <v>367500000X</v>
      </c>
      <c r="D17787" t="str">
        <f>"EZELLE                   CHARLES                  "</f>
        <v xml:space="preserve">EZELLE                   CHARLES                  </v>
      </c>
      <c r="E17787" t="str">
        <f>"GRENADA                   "</f>
        <v xml:space="preserve">GRENADA                   </v>
      </c>
      <c r="F17787" t="str">
        <f t="shared" si="440"/>
        <v>MS</v>
      </c>
    </row>
    <row r="17788" spans="1:6" x14ac:dyDescent="0.25">
      <c r="A17788" t="str">
        <f>"200015627"</f>
        <v>200015627</v>
      </c>
      <c r="B17788" t="str">
        <f>"1316692148"</f>
        <v>1316692148</v>
      </c>
      <c r="C17788" t="str">
        <f>"363LF0000X"</f>
        <v>363LF0000X</v>
      </c>
      <c r="D17788" t="str">
        <f>"ROBINSON                 MEGAN                    "</f>
        <v xml:space="preserve">ROBINSON                 MEGAN                    </v>
      </c>
      <c r="E17788" t="str">
        <f>"BOONEVILLE                "</f>
        <v xml:space="preserve">BOONEVILLE                </v>
      </c>
      <c r="F17788" t="str">
        <f t="shared" si="440"/>
        <v>MS</v>
      </c>
    </row>
    <row r="17789" spans="1:6" x14ac:dyDescent="0.25">
      <c r="A17789" t="str">
        <f>"200015629"</f>
        <v>200015629</v>
      </c>
      <c r="B17789" t="str">
        <f>"1306100771"</f>
        <v>1306100771</v>
      </c>
      <c r="C17789" t="str">
        <f>"207L00000X"</f>
        <v>207L00000X</v>
      </c>
      <c r="D17789" t="str">
        <f>"BAGLEY                   JONATHAN                 "</f>
        <v xml:space="preserve">BAGLEY                   JONATHAN                 </v>
      </c>
      <c r="E17789" t="str">
        <f>"FLOWOOD                   "</f>
        <v xml:space="preserve">FLOWOOD                   </v>
      </c>
      <c r="F17789" t="str">
        <f t="shared" si="440"/>
        <v>MS</v>
      </c>
    </row>
    <row r="17790" spans="1:6" x14ac:dyDescent="0.25">
      <c r="A17790" t="str">
        <f>"200015641"</f>
        <v>200015641</v>
      </c>
      <c r="B17790" t="str">
        <f>"1386167799"</f>
        <v>1386167799</v>
      </c>
      <c r="C17790" t="str">
        <f>"363LP0200X"</f>
        <v>363LP0200X</v>
      </c>
      <c r="D17790" t="str">
        <f>"RENICK                   SHANNON                  "</f>
        <v xml:space="preserve">RENICK                   SHANNON                  </v>
      </c>
      <c r="E17790" t="str">
        <f>"COLUMBUS                  "</f>
        <v xml:space="preserve">COLUMBUS                  </v>
      </c>
      <c r="F17790" t="str">
        <f t="shared" ref="F17790:F17853" si="441">"MS"</f>
        <v>MS</v>
      </c>
    </row>
    <row r="17791" spans="1:6" x14ac:dyDescent="0.25">
      <c r="A17791" t="str">
        <f>"200015643"</f>
        <v>200015643</v>
      </c>
      <c r="B17791" t="str">
        <f>"1225132277"</f>
        <v>1225132277</v>
      </c>
      <c r="C17791" t="str">
        <f>"2084N0400X"</f>
        <v>2084N0400X</v>
      </c>
      <c r="D17791" t="str">
        <f>"NEWSOME                  DONNA                    "</f>
        <v xml:space="preserve">NEWSOME                  DONNA                    </v>
      </c>
      <c r="E17791" t="str">
        <f>"OCEAN SPRINGS             "</f>
        <v xml:space="preserve">OCEAN SPRINGS             </v>
      </c>
      <c r="F17791" t="str">
        <f t="shared" si="441"/>
        <v>MS</v>
      </c>
    </row>
    <row r="17792" spans="1:6" x14ac:dyDescent="0.25">
      <c r="A17792" t="str">
        <f>"200015649"</f>
        <v>200015649</v>
      </c>
      <c r="B17792" t="str">
        <f>"1235832049"</f>
        <v>1235832049</v>
      </c>
      <c r="C17792" t="str">
        <f>"207N00000X"</f>
        <v>207N00000X</v>
      </c>
      <c r="D17792" t="str">
        <f>"ELEY                     SARAH                    "</f>
        <v xml:space="preserve">ELEY                     SARAH                    </v>
      </c>
      <c r="E17792" t="str">
        <f>"JACKSON                   "</f>
        <v xml:space="preserve">JACKSON                   </v>
      </c>
      <c r="F17792" t="str">
        <f t="shared" si="441"/>
        <v>MS</v>
      </c>
    </row>
    <row r="17793" spans="1:6" x14ac:dyDescent="0.25">
      <c r="A17793" t="str">
        <f>"200015659"</f>
        <v>200015659</v>
      </c>
      <c r="B17793" t="str">
        <f>"1770300766"</f>
        <v>1770300766</v>
      </c>
      <c r="C17793" t="str">
        <f>"363LF0000X"</f>
        <v>363LF0000X</v>
      </c>
      <c r="D17793" t="str">
        <f>"JOHNSON                  JOSCELYN                 "</f>
        <v xml:space="preserve">JOHNSON                  JOSCELYN                 </v>
      </c>
      <c r="E17793" t="str">
        <f>"VICKSBURG                 "</f>
        <v xml:space="preserve">VICKSBURG                 </v>
      </c>
      <c r="F17793" t="str">
        <f t="shared" si="441"/>
        <v>MS</v>
      </c>
    </row>
    <row r="17794" spans="1:6" x14ac:dyDescent="0.25">
      <c r="A17794" t="str">
        <f>"200015660"</f>
        <v>200015660</v>
      </c>
      <c r="B17794" t="str">
        <f>"1770300766"</f>
        <v>1770300766</v>
      </c>
      <c r="C17794" t="str">
        <f>"363L00000X"</f>
        <v>363L00000X</v>
      </c>
      <c r="D17794" t="str">
        <f>"JOHNSON                  JOSCELYN                 "</f>
        <v xml:space="preserve">JOHNSON                  JOSCELYN                 </v>
      </c>
      <c r="E17794" t="str">
        <f>"VICKSBURG                 "</f>
        <v xml:space="preserve">VICKSBURG                 </v>
      </c>
      <c r="F17794" t="str">
        <f t="shared" si="441"/>
        <v>MS</v>
      </c>
    </row>
    <row r="17795" spans="1:6" x14ac:dyDescent="0.25">
      <c r="A17795" t="str">
        <f>"200015661"</f>
        <v>200015661</v>
      </c>
      <c r="B17795" t="str">
        <f>"1467864207"</f>
        <v>1467864207</v>
      </c>
      <c r="C17795" t="str">
        <f>"208000000X"</f>
        <v>208000000X</v>
      </c>
      <c r="D17795" t="str">
        <f>"LIVINGSTON               DONALD       C           "</f>
        <v xml:space="preserve">LIVINGSTON               DONALD       C           </v>
      </c>
      <c r="E17795" t="str">
        <f>"AMORY                     "</f>
        <v xml:space="preserve">AMORY                     </v>
      </c>
      <c r="F17795" t="str">
        <f t="shared" si="441"/>
        <v>MS</v>
      </c>
    </row>
    <row r="17796" spans="1:6" x14ac:dyDescent="0.25">
      <c r="A17796" t="str">
        <f>"200015665"</f>
        <v>200015665</v>
      </c>
      <c r="B17796" t="str">
        <f>"1790486587"</f>
        <v>1790486587</v>
      </c>
      <c r="C17796" t="str">
        <f>"363L00000X"</f>
        <v>363L00000X</v>
      </c>
      <c r="D17796" t="str">
        <f>"BRIGGS                   AMBER                    "</f>
        <v xml:space="preserve">BRIGGS                   AMBER                    </v>
      </c>
      <c r="E17796" t="str">
        <f>"SOUTHAVEN                 "</f>
        <v xml:space="preserve">SOUTHAVEN                 </v>
      </c>
      <c r="F17796" t="str">
        <f t="shared" si="441"/>
        <v>MS</v>
      </c>
    </row>
    <row r="17797" spans="1:6" x14ac:dyDescent="0.25">
      <c r="A17797" t="str">
        <f>"200015669"</f>
        <v>200015669</v>
      </c>
      <c r="B17797" t="str">
        <f>"1518051705"</f>
        <v>1518051705</v>
      </c>
      <c r="C17797" t="str">
        <f>"207RP1001X"</f>
        <v>207RP1001X</v>
      </c>
      <c r="D17797" t="str">
        <f>"HAMADEH                  FERAS                    "</f>
        <v xml:space="preserve">HAMADEH                  FERAS                    </v>
      </c>
      <c r="E17797" t="str">
        <f>"VICKSBURG                 "</f>
        <v xml:space="preserve">VICKSBURG                 </v>
      </c>
      <c r="F17797" t="str">
        <f t="shared" si="441"/>
        <v>MS</v>
      </c>
    </row>
    <row r="17798" spans="1:6" x14ac:dyDescent="0.25">
      <c r="A17798" t="str">
        <f>"200015670"</f>
        <v>200015670</v>
      </c>
      <c r="B17798" t="str">
        <f>"1225369648"</f>
        <v>1225369648</v>
      </c>
      <c r="C17798" t="str">
        <f>"207RC0000X"</f>
        <v>207RC0000X</v>
      </c>
      <c r="D17798" t="str">
        <f>"RUSSO                    FRANK                    "</f>
        <v xml:space="preserve">RUSSO                    FRANK                    </v>
      </c>
      <c r="E17798" t="str">
        <f>"BILOXI                    "</f>
        <v xml:space="preserve">BILOXI                    </v>
      </c>
      <c r="F17798" t="str">
        <f t="shared" si="441"/>
        <v>MS</v>
      </c>
    </row>
    <row r="17799" spans="1:6" x14ac:dyDescent="0.25">
      <c r="A17799" t="str">
        <f>"200015671"</f>
        <v>200015671</v>
      </c>
      <c r="B17799" t="str">
        <f>"1821678160"</f>
        <v>1821678160</v>
      </c>
      <c r="C17799" t="str">
        <f>"208000000X"</f>
        <v>208000000X</v>
      </c>
      <c r="D17799" t="str">
        <f>"ALFORD                   MARY                     "</f>
        <v xml:space="preserve">ALFORD                   MARY                     </v>
      </c>
      <c r="E17799" t="str">
        <f>"JACKSON                   "</f>
        <v xml:space="preserve">JACKSON                   </v>
      </c>
      <c r="F17799" t="str">
        <f t="shared" si="441"/>
        <v>MS</v>
      </c>
    </row>
    <row r="17800" spans="1:6" x14ac:dyDescent="0.25">
      <c r="A17800" t="str">
        <f>"200015672"</f>
        <v>200015672</v>
      </c>
      <c r="B17800" t="str">
        <f>"1194575449"</f>
        <v>1194575449</v>
      </c>
      <c r="C17800" t="str">
        <f>"207Q00000X"</f>
        <v>207Q00000X</v>
      </c>
      <c r="D17800" t="str">
        <f>"FULCHER                  CHRISTIAN                "</f>
        <v xml:space="preserve">FULCHER                  CHRISTIAN                </v>
      </c>
      <c r="E17800" t="str">
        <f>"JACKSON                   "</f>
        <v xml:space="preserve">JACKSON                   </v>
      </c>
      <c r="F17800" t="str">
        <f t="shared" si="441"/>
        <v>MS</v>
      </c>
    </row>
    <row r="17801" spans="1:6" x14ac:dyDescent="0.25">
      <c r="A17801" t="str">
        <f>"200015674"</f>
        <v>200015674</v>
      </c>
      <c r="B17801" t="str">
        <f>"1881989911"</f>
        <v>1881989911</v>
      </c>
      <c r="C17801" t="str">
        <f>"363LP0808X"</f>
        <v>363LP0808X</v>
      </c>
      <c r="D17801" t="str">
        <f>"KAREL                    ASHLEY                   "</f>
        <v xml:space="preserve">KAREL                    ASHLEY                   </v>
      </c>
      <c r="E17801" t="str">
        <f>"FLOWOOD                   "</f>
        <v xml:space="preserve">FLOWOOD                   </v>
      </c>
      <c r="F17801" t="str">
        <f t="shared" si="441"/>
        <v>MS</v>
      </c>
    </row>
    <row r="17802" spans="1:6" x14ac:dyDescent="0.25">
      <c r="A17802" t="str">
        <f>"200015680"</f>
        <v>200015680</v>
      </c>
      <c r="B17802" t="str">
        <f>"1306318530"</f>
        <v>1306318530</v>
      </c>
      <c r="C17802" t="str">
        <f>"367500000X"</f>
        <v>367500000X</v>
      </c>
      <c r="D17802" t="str">
        <f>"PEPPERS                  ABBEY                    "</f>
        <v xml:space="preserve">PEPPERS                  ABBEY                    </v>
      </c>
      <c r="E17802" t="str">
        <f>"JACKSON                   "</f>
        <v xml:space="preserve">JACKSON                   </v>
      </c>
      <c r="F17802" t="str">
        <f t="shared" si="441"/>
        <v>MS</v>
      </c>
    </row>
    <row r="17803" spans="1:6" x14ac:dyDescent="0.25">
      <c r="A17803" t="str">
        <f>"200015681"</f>
        <v>200015681</v>
      </c>
      <c r="B17803" t="str">
        <f>"1285802892"</f>
        <v>1285802892</v>
      </c>
      <c r="C17803" t="str">
        <f>"207RP1001X"</f>
        <v>207RP1001X</v>
      </c>
      <c r="D17803" t="str">
        <f>"TARIGOPULA               RAVALI                   "</f>
        <v xml:space="preserve">TARIGOPULA               RAVALI                   </v>
      </c>
      <c r="E17803" t="str">
        <f>"STARKVILLE                "</f>
        <v xml:space="preserve">STARKVILLE                </v>
      </c>
      <c r="F17803" t="str">
        <f t="shared" si="441"/>
        <v>MS</v>
      </c>
    </row>
    <row r="17804" spans="1:6" x14ac:dyDescent="0.25">
      <c r="A17804" t="str">
        <f>"200015694"</f>
        <v>200015694</v>
      </c>
      <c r="B17804" t="str">
        <f>"1275363145"</f>
        <v>1275363145</v>
      </c>
      <c r="C17804" t="str">
        <f>"363LF0000X"</f>
        <v>363LF0000X</v>
      </c>
      <c r="D17804" t="str">
        <f>"BENNETT                  OLIVIA                   "</f>
        <v xml:space="preserve">BENNETT                  OLIVIA                   </v>
      </c>
      <c r="E17804" t="str">
        <f>"TUPELO                    "</f>
        <v xml:space="preserve">TUPELO                    </v>
      </c>
      <c r="F17804" t="str">
        <f t="shared" si="441"/>
        <v>MS</v>
      </c>
    </row>
    <row r="17805" spans="1:6" x14ac:dyDescent="0.25">
      <c r="A17805" t="str">
        <f>"200015703"</f>
        <v>200015703</v>
      </c>
      <c r="B17805" t="str">
        <f>"1255179115"</f>
        <v>1255179115</v>
      </c>
      <c r="C17805" t="str">
        <f>"363LA2100X"</f>
        <v>363LA2100X</v>
      </c>
      <c r="D17805" t="str">
        <f>"GREGG                    MARGARET                 "</f>
        <v xml:space="preserve">GREGG                    MARGARET                 </v>
      </c>
      <c r="E17805" t="str">
        <f>"JACKSON                   "</f>
        <v xml:space="preserve">JACKSON                   </v>
      </c>
      <c r="F17805" t="str">
        <f t="shared" si="441"/>
        <v>MS</v>
      </c>
    </row>
    <row r="17806" spans="1:6" x14ac:dyDescent="0.25">
      <c r="A17806" t="str">
        <f>"200015717"</f>
        <v>200015717</v>
      </c>
      <c r="B17806" t="str">
        <f>"1164406534"</f>
        <v>1164406534</v>
      </c>
      <c r="C17806" t="str">
        <f>"2084P0800X"</f>
        <v>2084P0800X</v>
      </c>
      <c r="D17806" t="str">
        <f>"SMITH                    DANIEL                   "</f>
        <v xml:space="preserve">SMITH                    DANIEL                   </v>
      </c>
      <c r="E17806" t="str">
        <f>"LAUREL                    "</f>
        <v xml:space="preserve">LAUREL                    </v>
      </c>
      <c r="F17806" t="str">
        <f t="shared" si="441"/>
        <v>MS</v>
      </c>
    </row>
    <row r="17807" spans="1:6" x14ac:dyDescent="0.25">
      <c r="A17807" t="str">
        <f>"200015719"</f>
        <v>200015719</v>
      </c>
      <c r="B17807" t="str">
        <f>"1982286324"</f>
        <v>1982286324</v>
      </c>
      <c r="C17807" t="str">
        <f>"207R00000X"</f>
        <v>207R00000X</v>
      </c>
      <c r="D17807" t="str">
        <f>"ELSHAWWAF                MAHMOUD                  "</f>
        <v xml:space="preserve">ELSHAWWAF                MAHMOUD                  </v>
      </c>
      <c r="E17807" t="str">
        <f>"OXFORD                    "</f>
        <v xml:space="preserve">OXFORD                    </v>
      </c>
      <c r="F17807" t="str">
        <f t="shared" si="441"/>
        <v>MS</v>
      </c>
    </row>
    <row r="17808" spans="1:6" x14ac:dyDescent="0.25">
      <c r="A17808" t="str">
        <f>"200015722"</f>
        <v>200015722</v>
      </c>
      <c r="B17808" t="str">
        <f>"1053196220"</f>
        <v>1053196220</v>
      </c>
      <c r="C17808" t="str">
        <f>"363L00000X"</f>
        <v>363L00000X</v>
      </c>
      <c r="D17808" t="str">
        <f>"RECINOS                  ANA                      "</f>
        <v xml:space="preserve">RECINOS                  ANA                      </v>
      </c>
      <c r="E17808" t="str">
        <f>"RIDGELAND                 "</f>
        <v xml:space="preserve">RIDGELAND                 </v>
      </c>
      <c r="F17808" t="str">
        <f t="shared" si="441"/>
        <v>MS</v>
      </c>
    </row>
    <row r="17809" spans="1:6" x14ac:dyDescent="0.25">
      <c r="A17809" t="str">
        <f>"200015727"</f>
        <v>200015727</v>
      </c>
      <c r="B17809" t="str">
        <f>"1720289424"</f>
        <v>1720289424</v>
      </c>
      <c r="C17809" t="str">
        <f>"207L00000X"</f>
        <v>207L00000X</v>
      </c>
      <c r="D17809" t="str">
        <f>"SEABROOK                 ROBERT                   "</f>
        <v xml:space="preserve">SEABROOK                 ROBERT                   </v>
      </c>
      <c r="E17809" t="str">
        <f>"JACKSON                   "</f>
        <v xml:space="preserve">JACKSON                   </v>
      </c>
      <c r="F17809" t="str">
        <f t="shared" si="441"/>
        <v>MS</v>
      </c>
    </row>
    <row r="17810" spans="1:6" x14ac:dyDescent="0.25">
      <c r="A17810" t="str">
        <f>"200015731"</f>
        <v>200015731</v>
      </c>
      <c r="B17810" t="str">
        <f>"1508639907"</f>
        <v>1508639907</v>
      </c>
      <c r="C17810" t="str">
        <f>"363L00000X"</f>
        <v>363L00000X</v>
      </c>
      <c r="D17810" t="str">
        <f>"BROCK                    LANEY                    "</f>
        <v xml:space="preserve">BROCK                    LANEY                    </v>
      </c>
      <c r="E17810" t="str">
        <f>"WATER VALLEY              "</f>
        <v xml:space="preserve">WATER VALLEY              </v>
      </c>
      <c r="F17810" t="str">
        <f t="shared" si="441"/>
        <v>MS</v>
      </c>
    </row>
    <row r="17811" spans="1:6" x14ac:dyDescent="0.25">
      <c r="A17811" t="str">
        <f>"200015735"</f>
        <v>200015735</v>
      </c>
      <c r="B17811" t="str">
        <f>"1730913500"</f>
        <v>1730913500</v>
      </c>
      <c r="C17811" t="str">
        <f>"363LF0000X"</f>
        <v>363LF0000X</v>
      </c>
      <c r="D17811" t="str">
        <f>"BLAYLOCK                 JAYLIN                   "</f>
        <v xml:space="preserve">BLAYLOCK                 JAYLIN                   </v>
      </c>
      <c r="E17811" t="str">
        <f>"TUPELO                    "</f>
        <v xml:space="preserve">TUPELO                    </v>
      </c>
      <c r="F17811" t="str">
        <f t="shared" si="441"/>
        <v>MS</v>
      </c>
    </row>
    <row r="17812" spans="1:6" x14ac:dyDescent="0.25">
      <c r="A17812" t="str">
        <f>"200015738"</f>
        <v>200015738</v>
      </c>
      <c r="B17812" t="str">
        <f>"1962679241"</f>
        <v>1962679241</v>
      </c>
      <c r="C17812" t="str">
        <f>"207V00000X"</f>
        <v>207V00000X</v>
      </c>
      <c r="D17812" t="str">
        <f>"MOORE                    PAUL                     "</f>
        <v xml:space="preserve">MOORE                    PAUL                     </v>
      </c>
      <c r="E17812" t="str">
        <f>"OCEAN SPRINGS             "</f>
        <v xml:space="preserve">OCEAN SPRINGS             </v>
      </c>
      <c r="F17812" t="str">
        <f t="shared" si="441"/>
        <v>MS</v>
      </c>
    </row>
    <row r="17813" spans="1:6" x14ac:dyDescent="0.25">
      <c r="A17813" t="str">
        <f>"200015743"</f>
        <v>200015743</v>
      </c>
      <c r="B17813" t="str">
        <f>"1659400885"</f>
        <v>1659400885</v>
      </c>
      <c r="C17813" t="str">
        <f>"363LF0000X"</f>
        <v>363LF0000X</v>
      </c>
      <c r="D17813" t="str">
        <f>"JORDAN                   NANCY                    "</f>
        <v xml:space="preserve">JORDAN                   NANCY                    </v>
      </c>
      <c r="E17813" t="str">
        <f>"JACKSON                   "</f>
        <v xml:space="preserve">JACKSON                   </v>
      </c>
      <c r="F17813" t="str">
        <f t="shared" si="441"/>
        <v>MS</v>
      </c>
    </row>
    <row r="17814" spans="1:6" x14ac:dyDescent="0.25">
      <c r="A17814" t="str">
        <f>"200015745"</f>
        <v>200015745</v>
      </c>
      <c r="B17814" t="str">
        <f>"1952980377"</f>
        <v>1952980377</v>
      </c>
      <c r="C17814" t="str">
        <f>"207P00000X"</f>
        <v>207P00000X</v>
      </c>
      <c r="D17814" t="str">
        <f>"GABRIELSON               HANNAH                   "</f>
        <v xml:space="preserve">GABRIELSON               HANNAH                   </v>
      </c>
      <c r="E17814" t="str">
        <f>"SOUTHAVEN                 "</f>
        <v xml:space="preserve">SOUTHAVEN                 </v>
      </c>
      <c r="F17814" t="str">
        <f t="shared" si="441"/>
        <v>MS</v>
      </c>
    </row>
    <row r="17815" spans="1:6" x14ac:dyDescent="0.25">
      <c r="A17815" t="str">
        <f>"200015753"</f>
        <v>200015753</v>
      </c>
      <c r="B17815" t="str">
        <f>"1518247600"</f>
        <v>1518247600</v>
      </c>
      <c r="C17815" t="str">
        <f>"207R00000X"</f>
        <v>207R00000X</v>
      </c>
      <c r="D17815" t="str">
        <f>"PARIKH                   KEYUR                    "</f>
        <v xml:space="preserve">PARIKH                   KEYUR                    </v>
      </c>
      <c r="E17815" t="str">
        <f>"JACKSON                   "</f>
        <v xml:space="preserve">JACKSON                   </v>
      </c>
      <c r="F17815" t="str">
        <f t="shared" si="441"/>
        <v>MS</v>
      </c>
    </row>
    <row r="17816" spans="1:6" x14ac:dyDescent="0.25">
      <c r="A17816" t="str">
        <f>"200015761"</f>
        <v>200015761</v>
      </c>
      <c r="B17816" t="str">
        <f>"1770046690"</f>
        <v>1770046690</v>
      </c>
      <c r="C17816" t="str">
        <f>"367500000X"</f>
        <v>367500000X</v>
      </c>
      <c r="D17816" t="str">
        <f>"PICKENS                  BRITTANY                 "</f>
        <v xml:space="preserve">PICKENS                  BRITTANY                 </v>
      </c>
      <c r="E17816" t="str">
        <f>"SOUTHAVEN                 "</f>
        <v xml:space="preserve">SOUTHAVEN                 </v>
      </c>
      <c r="F17816" t="str">
        <f t="shared" si="441"/>
        <v>MS</v>
      </c>
    </row>
    <row r="17817" spans="1:6" x14ac:dyDescent="0.25">
      <c r="A17817" t="str">
        <f>"200015771"</f>
        <v>200015771</v>
      </c>
      <c r="B17817" t="str">
        <f>"1760209480"</f>
        <v>1760209480</v>
      </c>
      <c r="C17817" t="str">
        <f>"363LF0000X"</f>
        <v>363LF0000X</v>
      </c>
      <c r="D17817" t="str">
        <f>"SHORE                    SARAH        E           "</f>
        <v xml:space="preserve">SHORE                    SARAH        E           </v>
      </c>
      <c r="E17817" t="str">
        <f>"JACKSON                   "</f>
        <v xml:space="preserve">JACKSON                   </v>
      </c>
      <c r="F17817" t="str">
        <f t="shared" si="441"/>
        <v>MS</v>
      </c>
    </row>
    <row r="17818" spans="1:6" x14ac:dyDescent="0.25">
      <c r="A17818" t="str">
        <f>"200015780"</f>
        <v>200015780</v>
      </c>
      <c r="B17818" t="str">
        <f>"1417535139"</f>
        <v>1417535139</v>
      </c>
      <c r="C17818" t="str">
        <f>"208000000X"</f>
        <v>208000000X</v>
      </c>
      <c r="D17818" t="str">
        <f>"THOMAS                   HALEY                    "</f>
        <v xml:space="preserve">THOMAS                   HALEY                    </v>
      </c>
      <c r="E17818" t="str">
        <f>"GREENWOOD                 "</f>
        <v xml:space="preserve">GREENWOOD                 </v>
      </c>
      <c r="F17818" t="str">
        <f t="shared" si="441"/>
        <v>MS</v>
      </c>
    </row>
    <row r="17819" spans="1:6" x14ac:dyDescent="0.25">
      <c r="A17819" t="str">
        <f>"200015782"</f>
        <v>200015782</v>
      </c>
      <c r="B17819" t="str">
        <f>"1700623790"</f>
        <v>1700623790</v>
      </c>
      <c r="C17819" t="str">
        <f>"363LF0000X"</f>
        <v>363LF0000X</v>
      </c>
      <c r="D17819" t="str">
        <f>"LOFTON                   ELIZABETH                "</f>
        <v xml:space="preserve">LOFTON                   ELIZABETH                </v>
      </c>
      <c r="E17819" t="str">
        <f>"JACKSON                   "</f>
        <v xml:space="preserve">JACKSON                   </v>
      </c>
      <c r="F17819" t="str">
        <f t="shared" si="441"/>
        <v>MS</v>
      </c>
    </row>
    <row r="17820" spans="1:6" x14ac:dyDescent="0.25">
      <c r="A17820" t="str">
        <f>"200015790"</f>
        <v>200015790</v>
      </c>
      <c r="B17820" t="str">
        <f>"1558022665"</f>
        <v>1558022665</v>
      </c>
      <c r="C17820" t="str">
        <f>"363LP0808X"</f>
        <v>363LP0808X</v>
      </c>
      <c r="D17820" t="str">
        <f>"DOBBS                    BETTY                    "</f>
        <v xml:space="preserve">DOBBS                    BETTY                    </v>
      </c>
      <c r="E17820" t="str">
        <f>"ACKERMAN                  "</f>
        <v xml:space="preserve">ACKERMAN                  </v>
      </c>
      <c r="F17820" t="str">
        <f t="shared" si="441"/>
        <v>MS</v>
      </c>
    </row>
    <row r="17821" spans="1:6" x14ac:dyDescent="0.25">
      <c r="A17821" t="str">
        <f>"200015794"</f>
        <v>200015794</v>
      </c>
      <c r="B17821" t="str">
        <f>"1649006081"</f>
        <v>1649006081</v>
      </c>
      <c r="C17821" t="str">
        <f>"363L00000X"</f>
        <v>363L00000X</v>
      </c>
      <c r="D17821" t="str">
        <f>"SETTLEMIRES              BRITTANIE                "</f>
        <v xml:space="preserve">SETTLEMIRES              BRITTANIE                </v>
      </c>
      <c r="E17821" t="str">
        <f>"HOLLY SPRINGS             "</f>
        <v xml:space="preserve">HOLLY SPRINGS             </v>
      </c>
      <c r="F17821" t="str">
        <f t="shared" si="441"/>
        <v>MS</v>
      </c>
    </row>
    <row r="17822" spans="1:6" x14ac:dyDescent="0.25">
      <c r="A17822" t="str">
        <f>"200015803"</f>
        <v>200015803</v>
      </c>
      <c r="B17822" t="str">
        <f>"1285453605"</f>
        <v>1285453605</v>
      </c>
      <c r="C17822" t="str">
        <f>"363LP0808X"</f>
        <v>363LP0808X</v>
      </c>
      <c r="D17822" t="str">
        <f>"HERRINGTON               JENA                     "</f>
        <v xml:space="preserve">HERRINGTON               JENA                     </v>
      </c>
      <c r="E17822" t="str">
        <f>"FOREST                    "</f>
        <v xml:space="preserve">FOREST                    </v>
      </c>
      <c r="F17822" t="str">
        <f t="shared" si="441"/>
        <v>MS</v>
      </c>
    </row>
    <row r="17823" spans="1:6" x14ac:dyDescent="0.25">
      <c r="A17823" t="str">
        <f>"200015806"</f>
        <v>200015806</v>
      </c>
      <c r="B17823" t="str">
        <f>"1386105815"</f>
        <v>1386105815</v>
      </c>
      <c r="C17823" t="str">
        <f>"207L00000X"</f>
        <v>207L00000X</v>
      </c>
      <c r="D17823" t="str">
        <f>"SHACK                    TYLER                    "</f>
        <v xml:space="preserve">SHACK                    TYLER                    </v>
      </c>
      <c r="E17823" t="str">
        <f>"JACKSON                   "</f>
        <v xml:space="preserve">JACKSON                   </v>
      </c>
      <c r="F17823" t="str">
        <f t="shared" si="441"/>
        <v>MS</v>
      </c>
    </row>
    <row r="17824" spans="1:6" x14ac:dyDescent="0.25">
      <c r="A17824" t="str">
        <f>"200015808"</f>
        <v>200015808</v>
      </c>
      <c r="B17824" t="str">
        <f>"1093536682"</f>
        <v>1093536682</v>
      </c>
      <c r="C17824" t="str">
        <f>"363A00000X"</f>
        <v>363A00000X</v>
      </c>
      <c r="D17824" t="str">
        <f>"STANSELL                 EMILIE       M           "</f>
        <v xml:space="preserve">STANSELL                 EMILIE       M           </v>
      </c>
      <c r="E17824" t="str">
        <f>"HATTIESBURG               "</f>
        <v xml:space="preserve">HATTIESBURG               </v>
      </c>
      <c r="F17824" t="str">
        <f t="shared" si="441"/>
        <v>MS</v>
      </c>
    </row>
    <row r="17825" spans="1:6" x14ac:dyDescent="0.25">
      <c r="A17825" t="str">
        <f>"200015810"</f>
        <v>200015810</v>
      </c>
      <c r="B17825" t="str">
        <f>"1013666189"</f>
        <v>1013666189</v>
      </c>
      <c r="C17825" t="str">
        <f>"2084P0800X"</f>
        <v>2084P0800X</v>
      </c>
      <c r="D17825" t="str">
        <f>"LEE                      HOLDEN       B           "</f>
        <v xml:space="preserve">LEE                      HOLDEN       B           </v>
      </c>
      <c r="E17825" t="str">
        <f>"FLOWOOD                   "</f>
        <v xml:space="preserve">FLOWOOD                   </v>
      </c>
      <c r="F17825" t="str">
        <f t="shared" si="441"/>
        <v>MS</v>
      </c>
    </row>
    <row r="17826" spans="1:6" x14ac:dyDescent="0.25">
      <c r="A17826" t="str">
        <f>"200015816"</f>
        <v>200015816</v>
      </c>
      <c r="B17826" t="str">
        <f>"1780259911"</f>
        <v>1780259911</v>
      </c>
      <c r="C17826" t="str">
        <f>"207R00000X"</f>
        <v>207R00000X</v>
      </c>
      <c r="D17826" t="str">
        <f>"UNDERWOOD                TREST                    "</f>
        <v xml:space="preserve">UNDERWOOD                TREST                    </v>
      </c>
      <c r="E17826" t="str">
        <f>"JACKSON                   "</f>
        <v xml:space="preserve">JACKSON                   </v>
      </c>
      <c r="F17826" t="str">
        <f t="shared" si="441"/>
        <v>MS</v>
      </c>
    </row>
    <row r="17827" spans="1:6" x14ac:dyDescent="0.25">
      <c r="A17827" t="str">
        <f>"200015817"</f>
        <v>200015817</v>
      </c>
      <c r="B17827" t="str">
        <f>"1851679542"</f>
        <v>1851679542</v>
      </c>
      <c r="C17827" t="str">
        <f>"207L00000X"</f>
        <v>207L00000X</v>
      </c>
      <c r="D17827" t="str">
        <f>"HIERLMEIER               BRYAN        J           "</f>
        <v xml:space="preserve">HIERLMEIER               BRYAN        J           </v>
      </c>
      <c r="E17827" t="str">
        <f>"JACKSON                   "</f>
        <v xml:space="preserve">JACKSON                   </v>
      </c>
      <c r="F17827" t="str">
        <f t="shared" si="441"/>
        <v>MS</v>
      </c>
    </row>
    <row r="17828" spans="1:6" x14ac:dyDescent="0.25">
      <c r="A17828" t="str">
        <f>"200015821"</f>
        <v>200015821</v>
      </c>
      <c r="B17828" t="str">
        <f>"1184922858"</f>
        <v>1184922858</v>
      </c>
      <c r="C17828" t="str">
        <f>"363LN0005X"</f>
        <v>363LN0005X</v>
      </c>
      <c r="D17828" t="str">
        <f>"SAUCIER                  ALISON                   "</f>
        <v xml:space="preserve">SAUCIER                  ALISON                   </v>
      </c>
      <c r="E17828" t="str">
        <f>"JACKSON                   "</f>
        <v xml:space="preserve">JACKSON                   </v>
      </c>
      <c r="F17828" t="str">
        <f t="shared" si="441"/>
        <v>MS</v>
      </c>
    </row>
    <row r="17829" spans="1:6" x14ac:dyDescent="0.25">
      <c r="A17829" t="str">
        <f>"200015822"</f>
        <v>200015822</v>
      </c>
      <c r="B17829" t="str">
        <f>"1306270269"</f>
        <v>1306270269</v>
      </c>
      <c r="C17829" t="str">
        <f>"363L00000X"</f>
        <v>363L00000X</v>
      </c>
      <c r="D17829" t="str">
        <f>"CHANEY                   MEAGAN                   "</f>
        <v xml:space="preserve">CHANEY                   MEAGAN                   </v>
      </c>
      <c r="E17829" t="str">
        <f>"MERIDIAN                  "</f>
        <v xml:space="preserve">MERIDIAN                  </v>
      </c>
      <c r="F17829" t="str">
        <f t="shared" si="441"/>
        <v>MS</v>
      </c>
    </row>
    <row r="17830" spans="1:6" x14ac:dyDescent="0.25">
      <c r="A17830" t="str">
        <f>"200015854"</f>
        <v>200015854</v>
      </c>
      <c r="B17830" t="str">
        <f>"1720838113"</f>
        <v>1720838113</v>
      </c>
      <c r="C17830" t="str">
        <f>"207R00000X"</f>
        <v>207R00000X</v>
      </c>
      <c r="D17830" t="str">
        <f>"NOEL                     KATHRYN                  "</f>
        <v xml:space="preserve">NOEL                     KATHRYN                  </v>
      </c>
      <c r="E17830" t="str">
        <f>"JACKSON                   "</f>
        <v xml:space="preserve">JACKSON                   </v>
      </c>
      <c r="F17830" t="str">
        <f t="shared" si="441"/>
        <v>MS</v>
      </c>
    </row>
    <row r="17831" spans="1:6" x14ac:dyDescent="0.25">
      <c r="A17831" t="str">
        <f>"200015857"</f>
        <v>200015857</v>
      </c>
      <c r="B17831" t="str">
        <f>"1932407004"</f>
        <v>1932407004</v>
      </c>
      <c r="C17831" t="str">
        <f>"363L00000X"</f>
        <v>363L00000X</v>
      </c>
      <c r="D17831" t="str">
        <f>"HAMMOND                  CHASSIDY                 "</f>
        <v xml:space="preserve">HAMMOND                  CHASSIDY                 </v>
      </c>
      <c r="E17831" t="str">
        <f>"MOSS POINT                "</f>
        <v xml:space="preserve">MOSS POINT                </v>
      </c>
      <c r="F17831" t="str">
        <f t="shared" si="441"/>
        <v>MS</v>
      </c>
    </row>
    <row r="17832" spans="1:6" x14ac:dyDescent="0.25">
      <c r="A17832" t="str">
        <f>"200015862"</f>
        <v>200015862</v>
      </c>
      <c r="B17832" t="str">
        <f>"1730594011"</f>
        <v>1730594011</v>
      </c>
      <c r="C17832" t="str">
        <f>"2084N0400X"</f>
        <v>2084N0400X</v>
      </c>
      <c r="D17832" t="str">
        <f>"PANDHI                   ABHI                     "</f>
        <v xml:space="preserve">PANDHI                   ABHI                     </v>
      </c>
      <c r="E17832" t="str">
        <f>"SOUTHAVEN                 "</f>
        <v xml:space="preserve">SOUTHAVEN                 </v>
      </c>
      <c r="F17832" t="str">
        <f t="shared" si="441"/>
        <v>MS</v>
      </c>
    </row>
    <row r="17833" spans="1:6" x14ac:dyDescent="0.25">
      <c r="A17833" t="str">
        <f>"200015863"</f>
        <v>200015863</v>
      </c>
      <c r="B17833" t="str">
        <f>"1891519286"</f>
        <v>1891519286</v>
      </c>
      <c r="C17833" t="str">
        <f>"363L00000X"</f>
        <v>363L00000X</v>
      </c>
      <c r="D17833" t="str">
        <f>"ROACH                    YALINDA      E           "</f>
        <v xml:space="preserve">ROACH                    YALINDA      E           </v>
      </c>
      <c r="E17833" t="str">
        <f>"CANTON                    "</f>
        <v xml:space="preserve">CANTON                    </v>
      </c>
      <c r="F17833" t="str">
        <f t="shared" si="441"/>
        <v>MS</v>
      </c>
    </row>
    <row r="17834" spans="1:6" x14ac:dyDescent="0.25">
      <c r="A17834" t="str">
        <f>"200015866"</f>
        <v>200015866</v>
      </c>
      <c r="B17834" t="str">
        <f>"1043979776"</f>
        <v>1043979776</v>
      </c>
      <c r="C17834" t="str">
        <f>"261QR1300X"</f>
        <v>261QR1300X</v>
      </c>
      <c r="D17834" t="str">
        <f>"MRH MEDICAL GROUP, BROWN MEDICAL CLINIC           "</f>
        <v xml:space="preserve">MRH MEDICAL GROUP, BROWN MEDICAL CLINIC           </v>
      </c>
      <c r="E17834" t="str">
        <f>"ABERDEEN                  "</f>
        <v xml:space="preserve">ABERDEEN                  </v>
      </c>
      <c r="F17834" t="str">
        <f t="shared" si="441"/>
        <v>MS</v>
      </c>
    </row>
    <row r="17835" spans="1:6" x14ac:dyDescent="0.25">
      <c r="A17835" t="str">
        <f>"200015867"</f>
        <v>200015867</v>
      </c>
      <c r="B17835" t="str">
        <f>"1336911536"</f>
        <v>1336911536</v>
      </c>
      <c r="C17835" t="str">
        <f>"261QR1300X"</f>
        <v>261QR1300X</v>
      </c>
      <c r="D17835" t="str">
        <f>"UMMC GREENWOOD PRIMARY CARE CLINIC                "</f>
        <v xml:space="preserve">UMMC GREENWOOD PRIMARY CARE CLINIC                </v>
      </c>
      <c r="E17835" t="str">
        <f>"GREENWOOD                 "</f>
        <v xml:space="preserve">GREENWOOD                 </v>
      </c>
      <c r="F17835" t="str">
        <f t="shared" si="441"/>
        <v>MS</v>
      </c>
    </row>
    <row r="17836" spans="1:6" x14ac:dyDescent="0.25">
      <c r="A17836" t="str">
        <f>"200015868"</f>
        <v>200015868</v>
      </c>
      <c r="B17836" t="str">
        <f>"1780278739"</f>
        <v>1780278739</v>
      </c>
      <c r="C17836" t="str">
        <f>"363LF0000X"</f>
        <v>363LF0000X</v>
      </c>
      <c r="D17836" t="str">
        <f>"BOWMAN                   HANNAH                   "</f>
        <v xml:space="preserve">BOWMAN                   HANNAH                   </v>
      </c>
      <c r="E17836" t="str">
        <f>"TUPELO                    "</f>
        <v xml:space="preserve">TUPELO                    </v>
      </c>
      <c r="F17836" t="str">
        <f t="shared" si="441"/>
        <v>MS</v>
      </c>
    </row>
    <row r="17837" spans="1:6" x14ac:dyDescent="0.25">
      <c r="A17837" t="str">
        <f>"200015869"</f>
        <v>200015869</v>
      </c>
      <c r="B17837" t="str">
        <f>"1720650237"</f>
        <v>1720650237</v>
      </c>
      <c r="C17837" t="str">
        <f>"261QR1300X"</f>
        <v>261QR1300X</v>
      </c>
      <c r="D17837" t="str">
        <f>"COPIAH COUNTY MEDICAL CENTER WESSON CLINIC        "</f>
        <v xml:space="preserve">COPIAH COUNTY MEDICAL CENTER WESSON CLINIC        </v>
      </c>
      <c r="E17837" t="str">
        <f>"WESSON                    "</f>
        <v xml:space="preserve">WESSON                    </v>
      </c>
      <c r="F17837" t="str">
        <f t="shared" si="441"/>
        <v>MS</v>
      </c>
    </row>
    <row r="17838" spans="1:6" x14ac:dyDescent="0.25">
      <c r="A17838" t="str">
        <f>"200015874"</f>
        <v>200015874</v>
      </c>
      <c r="B17838" t="str">
        <f>"1326877457"</f>
        <v>1326877457</v>
      </c>
      <c r="C17838" t="str">
        <f>"152W00000X"</f>
        <v>152W00000X</v>
      </c>
      <c r="D17838" t="str">
        <f>"ROUNSAVALL               COLLIN       Q           "</f>
        <v xml:space="preserve">ROUNSAVALL               COLLIN       Q           </v>
      </c>
      <c r="E17838" t="str">
        <f>"GREENVILLE                "</f>
        <v xml:space="preserve">GREENVILLE                </v>
      </c>
      <c r="F17838" t="str">
        <f t="shared" si="441"/>
        <v>MS</v>
      </c>
    </row>
    <row r="17839" spans="1:6" x14ac:dyDescent="0.25">
      <c r="A17839" t="str">
        <f>"200015875"</f>
        <v>200015875</v>
      </c>
      <c r="B17839" t="str">
        <f>"1467270785"</f>
        <v>1467270785</v>
      </c>
      <c r="C17839" t="str">
        <f>"363LF0000X"</f>
        <v>363LF0000X</v>
      </c>
      <c r="D17839" t="str">
        <f>"MINOR                    MYESHA       M           "</f>
        <v xml:space="preserve">MINOR                    MYESHA       M           </v>
      </c>
      <c r="E17839" t="str">
        <f>"GULFPORT                  "</f>
        <v xml:space="preserve">GULFPORT                  </v>
      </c>
      <c r="F17839" t="str">
        <f t="shared" si="441"/>
        <v>MS</v>
      </c>
    </row>
    <row r="17840" spans="1:6" x14ac:dyDescent="0.25">
      <c r="A17840" t="str">
        <f>"200015876"</f>
        <v>200015876</v>
      </c>
      <c r="B17840" t="str">
        <f>"1023247566"</f>
        <v>1023247566</v>
      </c>
      <c r="C17840" t="str">
        <f>"207P00000X"</f>
        <v>207P00000X</v>
      </c>
      <c r="D17840" t="str">
        <f>"MCCLINTON                ERNEST                   "</f>
        <v xml:space="preserve">MCCLINTON                ERNEST                   </v>
      </c>
      <c r="E17840" t="str">
        <f>"OLIVE BRANCH              "</f>
        <v xml:space="preserve">OLIVE BRANCH              </v>
      </c>
      <c r="F17840" t="str">
        <f t="shared" si="441"/>
        <v>MS</v>
      </c>
    </row>
    <row r="17841" spans="1:6" x14ac:dyDescent="0.25">
      <c r="A17841" t="str">
        <f>"200015882"</f>
        <v>200015882</v>
      </c>
      <c r="B17841" t="str">
        <f>"1891549093"</f>
        <v>1891549093</v>
      </c>
      <c r="C17841" t="str">
        <f>"207L00000X"</f>
        <v>207L00000X</v>
      </c>
      <c r="D17841" t="str">
        <f>"THOMAS                   KIRBY                    "</f>
        <v xml:space="preserve">THOMAS                   KIRBY                    </v>
      </c>
      <c r="E17841" t="str">
        <f>"JACKSON                   "</f>
        <v xml:space="preserve">JACKSON                   </v>
      </c>
      <c r="F17841" t="str">
        <f t="shared" si="441"/>
        <v>MS</v>
      </c>
    </row>
    <row r="17842" spans="1:6" x14ac:dyDescent="0.25">
      <c r="A17842" t="str">
        <f>"200015889"</f>
        <v>200015889</v>
      </c>
      <c r="B17842" t="str">
        <f>"1972389062"</f>
        <v>1972389062</v>
      </c>
      <c r="C17842" t="str">
        <f>"363L00000X"</f>
        <v>363L00000X</v>
      </c>
      <c r="D17842" t="str">
        <f>"GUNN                     PAISLEIGH                "</f>
        <v xml:space="preserve">GUNN                     PAISLEIGH                </v>
      </c>
      <c r="E17842" t="str">
        <f>"RIPLEY                    "</f>
        <v xml:space="preserve">RIPLEY                    </v>
      </c>
      <c r="F17842" t="str">
        <f t="shared" si="441"/>
        <v>MS</v>
      </c>
    </row>
    <row r="17843" spans="1:6" x14ac:dyDescent="0.25">
      <c r="A17843" t="str">
        <f>"200015895"</f>
        <v>200015895</v>
      </c>
      <c r="B17843" t="str">
        <f>"1750554929"</f>
        <v>1750554929</v>
      </c>
      <c r="C17843" t="str">
        <f>"363LN0000X"</f>
        <v>363LN0000X</v>
      </c>
      <c r="D17843" t="str">
        <f>"HALL                     JENNIFER     C           "</f>
        <v xml:space="preserve">HALL                     JENNIFER     C           </v>
      </c>
      <c r="E17843" t="str">
        <f>"MERIDIAN                  "</f>
        <v xml:space="preserve">MERIDIAN                  </v>
      </c>
      <c r="F17843" t="str">
        <f t="shared" si="441"/>
        <v>MS</v>
      </c>
    </row>
    <row r="17844" spans="1:6" x14ac:dyDescent="0.25">
      <c r="A17844" t="str">
        <f>"200015907"</f>
        <v>200015907</v>
      </c>
      <c r="B17844" t="str">
        <f>"1568925816"</f>
        <v>1568925816</v>
      </c>
      <c r="C17844" t="str">
        <f>"2084P0800X"</f>
        <v>2084P0800X</v>
      </c>
      <c r="D17844" t="str">
        <f>"TILLMAN                  MONIQUA      S           "</f>
        <v xml:space="preserve">TILLMAN                  MONIQUA      S           </v>
      </c>
      <c r="E17844" t="str">
        <f>"GULFPORT                  "</f>
        <v xml:space="preserve">GULFPORT                  </v>
      </c>
      <c r="F17844" t="str">
        <f t="shared" si="441"/>
        <v>MS</v>
      </c>
    </row>
    <row r="17845" spans="1:6" x14ac:dyDescent="0.25">
      <c r="A17845" t="str">
        <f>"200015917"</f>
        <v>200015917</v>
      </c>
      <c r="B17845" t="str">
        <f>"1801824594"</f>
        <v>1801824594</v>
      </c>
      <c r="C17845" t="str">
        <f>"207P00000X"</f>
        <v>207P00000X</v>
      </c>
      <c r="D17845" t="str">
        <f>"PATTERSON                JOSEPH                   "</f>
        <v xml:space="preserve">PATTERSON                JOSEPH                   </v>
      </c>
      <c r="E17845" t="str">
        <f>"HATTIESBURG               "</f>
        <v xml:space="preserve">HATTIESBURG               </v>
      </c>
      <c r="F17845" t="str">
        <f t="shared" si="441"/>
        <v>MS</v>
      </c>
    </row>
    <row r="17846" spans="1:6" x14ac:dyDescent="0.25">
      <c r="A17846" t="str">
        <f>"200015922"</f>
        <v>200015922</v>
      </c>
      <c r="B17846" t="str">
        <f>"1770863631"</f>
        <v>1770863631</v>
      </c>
      <c r="C17846" t="str">
        <f>"363LF0000X"</f>
        <v>363LF0000X</v>
      </c>
      <c r="D17846" t="str">
        <f>"HOSSLEY                  CHRISTINA                "</f>
        <v xml:space="preserve">HOSSLEY                  CHRISTINA                </v>
      </c>
      <c r="E17846" t="str">
        <f>"VICKSBURG                 "</f>
        <v xml:space="preserve">VICKSBURG                 </v>
      </c>
      <c r="F17846" t="str">
        <f t="shared" si="441"/>
        <v>MS</v>
      </c>
    </row>
    <row r="17847" spans="1:6" x14ac:dyDescent="0.25">
      <c r="A17847" t="str">
        <f>"200015923"</f>
        <v>200015923</v>
      </c>
      <c r="B17847" t="str">
        <f>"1487150116"</f>
        <v>1487150116</v>
      </c>
      <c r="C17847" t="str">
        <f>"363LF0000X"</f>
        <v>363LF0000X</v>
      </c>
      <c r="D17847" t="str">
        <f>"CHISHOLM                 JULETTA                  "</f>
        <v xml:space="preserve">CHISHOLM                 JULETTA                  </v>
      </c>
      <c r="E17847" t="str">
        <f>"WHITFIELD                 "</f>
        <v xml:space="preserve">WHITFIELD                 </v>
      </c>
      <c r="F17847" t="str">
        <f t="shared" si="441"/>
        <v>MS</v>
      </c>
    </row>
    <row r="17848" spans="1:6" x14ac:dyDescent="0.25">
      <c r="A17848" t="str">
        <f>"200015929"</f>
        <v>200015929</v>
      </c>
      <c r="B17848" t="str">
        <f>"1205932134"</f>
        <v>1205932134</v>
      </c>
      <c r="C17848" t="str">
        <f>"363LF0000X"</f>
        <v>363LF0000X</v>
      </c>
      <c r="D17848" t="str">
        <f>"PHELPS                   BARBARA      J           "</f>
        <v xml:space="preserve">PHELPS                   BARBARA      J           </v>
      </c>
      <c r="E17848" t="str">
        <f>"VICKSBURG                 "</f>
        <v xml:space="preserve">VICKSBURG                 </v>
      </c>
      <c r="F17848" t="str">
        <f t="shared" si="441"/>
        <v>MS</v>
      </c>
    </row>
    <row r="17849" spans="1:6" x14ac:dyDescent="0.25">
      <c r="A17849" t="str">
        <f>"200015932"</f>
        <v>200015932</v>
      </c>
      <c r="B17849" t="str">
        <f>"1902323611"</f>
        <v>1902323611</v>
      </c>
      <c r="C17849" t="str">
        <f>"363LF0000X"</f>
        <v>363LF0000X</v>
      </c>
      <c r="D17849" t="str">
        <f>"BANKER                   ALEXANDRA                "</f>
        <v xml:space="preserve">BANKER                   ALEXANDRA                </v>
      </c>
      <c r="E17849" t="str">
        <f>"HERNANDO                  "</f>
        <v xml:space="preserve">HERNANDO                  </v>
      </c>
      <c r="F17849" t="str">
        <f t="shared" si="441"/>
        <v>MS</v>
      </c>
    </row>
    <row r="17850" spans="1:6" x14ac:dyDescent="0.25">
      <c r="A17850" t="str">
        <f>"200015933"</f>
        <v>200015933</v>
      </c>
      <c r="B17850" t="str">
        <f>"1780229641"</f>
        <v>1780229641</v>
      </c>
      <c r="C17850" t="str">
        <f>"363LF0000X"</f>
        <v>363LF0000X</v>
      </c>
      <c r="D17850" t="str">
        <f>"BLAKENEY                 LAUREN                   "</f>
        <v xml:space="preserve">BLAKENEY                 LAUREN                   </v>
      </c>
      <c r="E17850" t="str">
        <f>"FLOWOOD                   "</f>
        <v xml:space="preserve">FLOWOOD                   </v>
      </c>
      <c r="F17850" t="str">
        <f t="shared" si="441"/>
        <v>MS</v>
      </c>
    </row>
    <row r="17851" spans="1:6" x14ac:dyDescent="0.25">
      <c r="A17851" t="str">
        <f>"200015934"</f>
        <v>200015934</v>
      </c>
      <c r="B17851" t="str">
        <f>"1104520618"</f>
        <v>1104520618</v>
      </c>
      <c r="C17851" t="str">
        <f>"208600000X"</f>
        <v>208600000X</v>
      </c>
      <c r="D17851" t="str">
        <f>"LIGNIERES                AUSTIN                   "</f>
        <v xml:space="preserve">LIGNIERES                AUSTIN                   </v>
      </c>
      <c r="E17851" t="str">
        <f>"JACKSON                   "</f>
        <v xml:space="preserve">JACKSON                   </v>
      </c>
      <c r="F17851" t="str">
        <f t="shared" si="441"/>
        <v>MS</v>
      </c>
    </row>
    <row r="17852" spans="1:6" x14ac:dyDescent="0.25">
      <c r="A17852" t="str">
        <f>"200015935"</f>
        <v>200015935</v>
      </c>
      <c r="B17852" t="str">
        <f>"1558112227"</f>
        <v>1558112227</v>
      </c>
      <c r="C17852" t="str">
        <f>"208000000X"</f>
        <v>208000000X</v>
      </c>
      <c r="D17852" t="str">
        <f>"ARMAND                   GRACE-ANNE               "</f>
        <v xml:space="preserve">ARMAND                   GRACE-ANNE               </v>
      </c>
      <c r="E17852" t="str">
        <f>"JACKSON                   "</f>
        <v xml:space="preserve">JACKSON                   </v>
      </c>
      <c r="F17852" t="str">
        <f t="shared" si="441"/>
        <v>MS</v>
      </c>
    </row>
    <row r="17853" spans="1:6" x14ac:dyDescent="0.25">
      <c r="A17853" t="str">
        <f>"200015936"</f>
        <v>200015936</v>
      </c>
      <c r="B17853" t="str">
        <f>"1265286363"</f>
        <v>1265286363</v>
      </c>
      <c r="C17853" t="str">
        <f>"207R00000X"</f>
        <v>207R00000X</v>
      </c>
      <c r="D17853" t="str">
        <f>"MUNAF                    UZAIR                    "</f>
        <v xml:space="preserve">MUNAF                    UZAIR                    </v>
      </c>
      <c r="E17853" t="str">
        <f>"JACKSON                   "</f>
        <v xml:space="preserve">JACKSON                   </v>
      </c>
      <c r="F17853" t="str">
        <f t="shared" si="441"/>
        <v>MS</v>
      </c>
    </row>
    <row r="17854" spans="1:6" x14ac:dyDescent="0.25">
      <c r="A17854" t="str">
        <f>"200015937"</f>
        <v>200015937</v>
      </c>
      <c r="B17854" t="str">
        <f>"1083063978"</f>
        <v>1083063978</v>
      </c>
      <c r="C17854" t="str">
        <f>"207R00000X"</f>
        <v>207R00000X</v>
      </c>
      <c r="D17854" t="str">
        <f>"REDDY                    MADHUMATI                "</f>
        <v xml:space="preserve">REDDY                    MADHUMATI                </v>
      </c>
      <c r="E17854" t="str">
        <f>"GRENADA                   "</f>
        <v xml:space="preserve">GRENADA                   </v>
      </c>
      <c r="F17854" t="str">
        <f t="shared" ref="F17854:F17917" si="442">"MS"</f>
        <v>MS</v>
      </c>
    </row>
    <row r="17855" spans="1:6" x14ac:dyDescent="0.25">
      <c r="A17855" t="str">
        <f>"200015938"</f>
        <v>200015938</v>
      </c>
      <c r="B17855" t="str">
        <f>"1831927581"</f>
        <v>1831927581</v>
      </c>
      <c r="C17855" t="str">
        <f>"363L00000X"</f>
        <v>363L00000X</v>
      </c>
      <c r="D17855" t="str">
        <f>"WINSTEAD                 RANA                     "</f>
        <v xml:space="preserve">WINSTEAD                 RANA                     </v>
      </c>
      <c r="E17855" t="str">
        <f>"PHILADELPHIA              "</f>
        <v xml:space="preserve">PHILADELPHIA              </v>
      </c>
      <c r="F17855" t="str">
        <f t="shared" si="442"/>
        <v>MS</v>
      </c>
    </row>
    <row r="17856" spans="1:6" x14ac:dyDescent="0.25">
      <c r="A17856" t="str">
        <f>"200015941"</f>
        <v>200015941</v>
      </c>
      <c r="B17856" t="str">
        <f>"1932830601"</f>
        <v>1932830601</v>
      </c>
      <c r="C17856" t="str">
        <f>"363LF0000X"</f>
        <v>363LF0000X</v>
      </c>
      <c r="D17856" t="str">
        <f>"HALL                     RIAN         D           "</f>
        <v xml:space="preserve">HALL                     RIAN         D           </v>
      </c>
      <c r="E17856" t="str">
        <f>"JACKSON                   "</f>
        <v xml:space="preserve">JACKSON                   </v>
      </c>
      <c r="F17856" t="str">
        <f t="shared" si="442"/>
        <v>MS</v>
      </c>
    </row>
    <row r="17857" spans="1:6" x14ac:dyDescent="0.25">
      <c r="A17857" t="str">
        <f>"200015943"</f>
        <v>200015943</v>
      </c>
      <c r="B17857" t="str">
        <f>"1649829284"</f>
        <v>1649829284</v>
      </c>
      <c r="C17857" t="str">
        <f>"363LF0000X"</f>
        <v>363LF0000X</v>
      </c>
      <c r="D17857" t="str">
        <f>"OUTLAW                   KIMBERLY                 "</f>
        <v xml:space="preserve">OUTLAW                   KIMBERLY                 </v>
      </c>
      <c r="E17857" t="str">
        <f>"FULTON                    "</f>
        <v xml:space="preserve">FULTON                    </v>
      </c>
      <c r="F17857" t="str">
        <f t="shared" si="442"/>
        <v>MS</v>
      </c>
    </row>
    <row r="17858" spans="1:6" x14ac:dyDescent="0.25">
      <c r="A17858" t="str">
        <f>"200015944"</f>
        <v>200015944</v>
      </c>
      <c r="B17858" t="str">
        <f>"1538935598"</f>
        <v>1538935598</v>
      </c>
      <c r="C17858" t="str">
        <f>"363LP0808X"</f>
        <v>363LP0808X</v>
      </c>
      <c r="D17858" t="str">
        <f>"DICKINSON                SAMUEL       D           "</f>
        <v xml:space="preserve">DICKINSON                SAMUEL       D           </v>
      </c>
      <c r="E17858" t="str">
        <f>"JACKSON                   "</f>
        <v xml:space="preserve">JACKSON                   </v>
      </c>
      <c r="F17858" t="str">
        <f t="shared" si="442"/>
        <v>MS</v>
      </c>
    </row>
    <row r="17859" spans="1:6" x14ac:dyDescent="0.25">
      <c r="A17859" t="str">
        <f>"200015946"</f>
        <v>200015946</v>
      </c>
      <c r="B17859" t="str">
        <f>"1437589157"</f>
        <v>1437589157</v>
      </c>
      <c r="C17859" t="str">
        <f>"261QM1300X"</f>
        <v>261QM1300X</v>
      </c>
      <c r="D17859" t="str">
        <f>"REDMED                                            "</f>
        <v xml:space="preserve">REDMED                                            </v>
      </c>
      <c r="E17859" t="str">
        <f>"NEW ALBANY                "</f>
        <v xml:space="preserve">NEW ALBANY                </v>
      </c>
      <c r="F17859" t="str">
        <f t="shared" si="442"/>
        <v>MS</v>
      </c>
    </row>
    <row r="17860" spans="1:6" x14ac:dyDescent="0.25">
      <c r="A17860" t="str">
        <f>"200015950"</f>
        <v>200015950</v>
      </c>
      <c r="B17860" t="str">
        <f>"1952562977"</f>
        <v>1952562977</v>
      </c>
      <c r="C17860" t="str">
        <f>"207RN0300X"</f>
        <v>207RN0300X</v>
      </c>
      <c r="D17860" t="str">
        <f>"PIZZINO                  DANNY                    "</f>
        <v xml:space="preserve">PIZZINO                  DANNY                    </v>
      </c>
      <c r="E17860" t="str">
        <f>"PASCAGOULA                "</f>
        <v xml:space="preserve">PASCAGOULA                </v>
      </c>
      <c r="F17860" t="str">
        <f t="shared" si="442"/>
        <v>MS</v>
      </c>
    </row>
    <row r="17861" spans="1:6" x14ac:dyDescent="0.25">
      <c r="A17861" t="str">
        <f>"200015972"</f>
        <v>200015972</v>
      </c>
      <c r="B17861" t="str">
        <f>"1083724413"</f>
        <v>1083724413</v>
      </c>
      <c r="C17861" t="str">
        <f>"207WX0110X"</f>
        <v>207WX0110X</v>
      </c>
      <c r="D17861" t="str">
        <f>"GOEI                     STEPHANIE                "</f>
        <v xml:space="preserve">GOEI                     STEPHANIE                </v>
      </c>
      <c r="E17861" t="str">
        <f>"JACKSON                   "</f>
        <v xml:space="preserve">JACKSON                   </v>
      </c>
      <c r="F17861" t="str">
        <f t="shared" si="442"/>
        <v>MS</v>
      </c>
    </row>
    <row r="17862" spans="1:6" x14ac:dyDescent="0.25">
      <c r="A17862" t="str">
        <f>"200015973"</f>
        <v>200015973</v>
      </c>
      <c r="B17862" t="str">
        <f>"1083724413"</f>
        <v>1083724413</v>
      </c>
      <c r="C17862" t="str">
        <f>"207W00000X"</f>
        <v>207W00000X</v>
      </c>
      <c r="D17862" t="str">
        <f>"GOEI                     STEPHANIE                "</f>
        <v xml:space="preserve">GOEI                     STEPHANIE                </v>
      </c>
      <c r="E17862" t="str">
        <f>"JACKSON                   "</f>
        <v xml:space="preserve">JACKSON                   </v>
      </c>
      <c r="F17862" t="str">
        <f t="shared" si="442"/>
        <v>MS</v>
      </c>
    </row>
    <row r="17863" spans="1:6" x14ac:dyDescent="0.25">
      <c r="A17863" t="str">
        <f>"200015979"</f>
        <v>200015979</v>
      </c>
      <c r="B17863" t="str">
        <f>"1003952383"</f>
        <v>1003952383</v>
      </c>
      <c r="C17863" t="str">
        <f>"152W00000X"</f>
        <v>152W00000X</v>
      </c>
      <c r="D17863" t="str">
        <f>"TISHOMINGO VISION CENTER                          "</f>
        <v xml:space="preserve">TISHOMINGO VISION CENTER                          </v>
      </c>
      <c r="E17863" t="str">
        <f>"TISHOMINGO                "</f>
        <v xml:space="preserve">TISHOMINGO                </v>
      </c>
      <c r="F17863" t="str">
        <f t="shared" si="442"/>
        <v>MS</v>
      </c>
    </row>
    <row r="17864" spans="1:6" x14ac:dyDescent="0.25">
      <c r="A17864" t="str">
        <f>"200015985"</f>
        <v>200015985</v>
      </c>
      <c r="B17864" t="str">
        <f>"1881617983"</f>
        <v>1881617983</v>
      </c>
      <c r="C17864" t="str">
        <f>"207P00000X"</f>
        <v>207P00000X</v>
      </c>
      <c r="D17864" t="str">
        <f>"JONES                    JONATHAN                 "</f>
        <v xml:space="preserve">JONES                    JONATHAN                 </v>
      </c>
      <c r="E17864" t="str">
        <f>"JACKSON                   "</f>
        <v xml:space="preserve">JACKSON                   </v>
      </c>
      <c r="F17864" t="str">
        <f t="shared" si="442"/>
        <v>MS</v>
      </c>
    </row>
    <row r="17865" spans="1:6" x14ac:dyDescent="0.25">
      <c r="A17865" t="str">
        <f>"200015998"</f>
        <v>200015998</v>
      </c>
      <c r="B17865" t="str">
        <f>"1891731329"</f>
        <v>1891731329</v>
      </c>
      <c r="C17865" t="str">
        <f>"363LN0000X"</f>
        <v>363LN0000X</v>
      </c>
      <c r="D17865" t="str">
        <f>"BILELLO                  JULIE                    "</f>
        <v xml:space="preserve">BILELLO                  JULIE                    </v>
      </c>
      <c r="E17865" t="str">
        <f>"MERIDIAN                  "</f>
        <v xml:space="preserve">MERIDIAN                  </v>
      </c>
      <c r="F17865" t="str">
        <f t="shared" si="442"/>
        <v>MS</v>
      </c>
    </row>
    <row r="17866" spans="1:6" x14ac:dyDescent="0.25">
      <c r="A17866" t="str">
        <f>"200016001"</f>
        <v>200016001</v>
      </c>
      <c r="B17866" t="str">
        <f>"1568726958"</f>
        <v>1568726958</v>
      </c>
      <c r="C17866" t="str">
        <f>"207L00000X"</f>
        <v>207L00000X</v>
      </c>
      <c r="D17866" t="str">
        <f>"ROBERTSON                ELLIOTT      B           "</f>
        <v xml:space="preserve">ROBERTSON                ELLIOTT      B           </v>
      </c>
      <c r="E17866" t="str">
        <f>"FLOWOOD                   "</f>
        <v xml:space="preserve">FLOWOOD                   </v>
      </c>
      <c r="F17866" t="str">
        <f t="shared" si="442"/>
        <v>MS</v>
      </c>
    </row>
    <row r="17867" spans="1:6" x14ac:dyDescent="0.25">
      <c r="A17867" t="str">
        <f>"200016007"</f>
        <v>200016007</v>
      </c>
      <c r="B17867" t="str">
        <f>"1710508296"</f>
        <v>1710508296</v>
      </c>
      <c r="C17867" t="str">
        <f>"363LG0600X"</f>
        <v>363LG0600X</v>
      </c>
      <c r="D17867" t="str">
        <f>"ROGERS                   DECOLIA                  "</f>
        <v xml:space="preserve">ROGERS                   DECOLIA                  </v>
      </c>
      <c r="E17867" t="str">
        <f>"JACKSON                   "</f>
        <v xml:space="preserve">JACKSON                   </v>
      </c>
      <c r="F17867" t="str">
        <f t="shared" si="442"/>
        <v>MS</v>
      </c>
    </row>
    <row r="17868" spans="1:6" x14ac:dyDescent="0.25">
      <c r="A17868" t="str">
        <f>"200016011"</f>
        <v>200016011</v>
      </c>
      <c r="B17868" t="str">
        <f>"1174086391"</f>
        <v>1174086391</v>
      </c>
      <c r="C17868" t="str">
        <f>"2084P0800X"</f>
        <v>2084P0800X</v>
      </c>
      <c r="D17868" t="str">
        <f>"BULLOCK                  GRANT                    "</f>
        <v xml:space="preserve">BULLOCK                  GRANT                    </v>
      </c>
      <c r="E17868" t="str">
        <f>"OLIVE BRANCH              "</f>
        <v xml:space="preserve">OLIVE BRANCH              </v>
      </c>
      <c r="F17868" t="str">
        <f t="shared" si="442"/>
        <v>MS</v>
      </c>
    </row>
    <row r="17869" spans="1:6" x14ac:dyDescent="0.25">
      <c r="A17869" t="str">
        <f>"200016013"</f>
        <v>200016013</v>
      </c>
      <c r="B17869" t="str">
        <f>"1801245725"</f>
        <v>1801245725</v>
      </c>
      <c r="C17869" t="str">
        <f>"363A00000X"</f>
        <v>363A00000X</v>
      </c>
      <c r="D17869" t="str">
        <f>"GARRETT                  MELBURN                  "</f>
        <v xml:space="preserve">GARRETT                  MELBURN                  </v>
      </c>
      <c r="E17869" t="str">
        <f>"SOUTHAVEN                 "</f>
        <v xml:space="preserve">SOUTHAVEN                 </v>
      </c>
      <c r="F17869" t="str">
        <f t="shared" si="442"/>
        <v>MS</v>
      </c>
    </row>
    <row r="17870" spans="1:6" x14ac:dyDescent="0.25">
      <c r="A17870" t="str">
        <f>"200016015"</f>
        <v>200016015</v>
      </c>
      <c r="B17870" t="str">
        <f>"1629058375"</f>
        <v>1629058375</v>
      </c>
      <c r="C17870" t="str">
        <f>"207QA0401X"</f>
        <v>207QA0401X</v>
      </c>
      <c r="D17870" t="str">
        <f>"NANCE                    RANDALL      L           "</f>
        <v xml:space="preserve">NANCE                    RANDALL      L           </v>
      </c>
      <c r="E17870" t="str">
        <f>"BATESVILLE                "</f>
        <v xml:space="preserve">BATESVILLE                </v>
      </c>
      <c r="F17870" t="str">
        <f t="shared" si="442"/>
        <v>MS</v>
      </c>
    </row>
    <row r="17871" spans="1:6" x14ac:dyDescent="0.25">
      <c r="A17871" t="str">
        <f>"200016020"</f>
        <v>200016020</v>
      </c>
      <c r="B17871" t="str">
        <f>"1487727095"</f>
        <v>1487727095</v>
      </c>
      <c r="C17871" t="str">
        <f>"363L00000X"</f>
        <v>363L00000X</v>
      </c>
      <c r="D17871" t="str">
        <f>"TRINANES                 RAYMUNDO                 "</f>
        <v xml:space="preserve">TRINANES                 RAYMUNDO                 </v>
      </c>
      <c r="E17871" t="str">
        <f>"FLOWOOD                   "</f>
        <v xml:space="preserve">FLOWOOD                   </v>
      </c>
      <c r="F17871" t="str">
        <f t="shared" si="442"/>
        <v>MS</v>
      </c>
    </row>
    <row r="17872" spans="1:6" x14ac:dyDescent="0.25">
      <c r="A17872" t="str">
        <f>"200016023"</f>
        <v>200016023</v>
      </c>
      <c r="B17872" t="str">
        <f>"1174368526"</f>
        <v>1174368526</v>
      </c>
      <c r="C17872" t="str">
        <f>"363LF0000X"</f>
        <v>363LF0000X</v>
      </c>
      <c r="D17872" t="str">
        <f>"GULLETTE TORRES          ASHLEY                   "</f>
        <v xml:space="preserve">GULLETTE TORRES          ASHLEY                   </v>
      </c>
      <c r="E17872" t="str">
        <f>"FLOWOOD                   "</f>
        <v xml:space="preserve">FLOWOOD                   </v>
      </c>
      <c r="F17872" t="str">
        <f t="shared" si="442"/>
        <v>MS</v>
      </c>
    </row>
    <row r="17873" spans="1:6" x14ac:dyDescent="0.25">
      <c r="A17873" t="str">
        <f>"200016037"</f>
        <v>200016037</v>
      </c>
      <c r="B17873" t="str">
        <f>"1568862019"</f>
        <v>1568862019</v>
      </c>
      <c r="C17873" t="str">
        <f>"363LN0000X"</f>
        <v>363LN0000X</v>
      </c>
      <c r="D17873" t="str">
        <f>"BARTHOLOMEW              KIMBERLEY                "</f>
        <v xml:space="preserve">BARTHOLOMEW              KIMBERLEY                </v>
      </c>
      <c r="E17873" t="str">
        <f>"MERIDIAN                  "</f>
        <v xml:space="preserve">MERIDIAN                  </v>
      </c>
      <c r="F17873" t="str">
        <f t="shared" si="442"/>
        <v>MS</v>
      </c>
    </row>
    <row r="17874" spans="1:6" x14ac:dyDescent="0.25">
      <c r="A17874" t="str">
        <f>"200016042"</f>
        <v>200016042</v>
      </c>
      <c r="B17874" t="str">
        <f>"1134264740"</f>
        <v>1134264740</v>
      </c>
      <c r="C17874" t="str">
        <f>"207RG0100X"</f>
        <v>207RG0100X</v>
      </c>
      <c r="D17874" t="str">
        <f>"KAHALEH                  MICHEL                   "</f>
        <v xml:space="preserve">KAHALEH                  MICHEL                   </v>
      </c>
      <c r="E17874" t="str">
        <f>"JACKSON                   "</f>
        <v xml:space="preserve">JACKSON                   </v>
      </c>
      <c r="F17874" t="str">
        <f t="shared" si="442"/>
        <v>MS</v>
      </c>
    </row>
    <row r="17875" spans="1:6" x14ac:dyDescent="0.25">
      <c r="A17875" t="str">
        <f>"200016044"</f>
        <v>200016044</v>
      </c>
      <c r="B17875" t="str">
        <f>"1316783293"</f>
        <v>1316783293</v>
      </c>
      <c r="C17875" t="str">
        <f>"363L00000X"</f>
        <v>363L00000X</v>
      </c>
      <c r="D17875" t="str">
        <f>"TETRICK                  WENDY                    "</f>
        <v xml:space="preserve">TETRICK                  WENDY                    </v>
      </c>
      <c r="E17875" t="str">
        <f>"JACKSON                   "</f>
        <v xml:space="preserve">JACKSON                   </v>
      </c>
      <c r="F17875" t="str">
        <f t="shared" si="442"/>
        <v>MS</v>
      </c>
    </row>
    <row r="17876" spans="1:6" x14ac:dyDescent="0.25">
      <c r="A17876" t="str">
        <f>"200016047"</f>
        <v>200016047</v>
      </c>
      <c r="B17876" t="str">
        <f>"1790049120"</f>
        <v>1790049120</v>
      </c>
      <c r="C17876" t="str">
        <f>"207ZP0102X"</f>
        <v>207ZP0102X</v>
      </c>
      <c r="D17876" t="str">
        <f>"BRENTS                   MELISSA      J           "</f>
        <v xml:space="preserve">BRENTS                   MELISSA      J           </v>
      </c>
      <c r="E17876" t="str">
        <f>"HATTIESBURG               "</f>
        <v xml:space="preserve">HATTIESBURG               </v>
      </c>
      <c r="F17876" t="str">
        <f t="shared" si="442"/>
        <v>MS</v>
      </c>
    </row>
    <row r="17877" spans="1:6" x14ac:dyDescent="0.25">
      <c r="A17877" t="str">
        <f>"200016050"</f>
        <v>200016050</v>
      </c>
      <c r="B17877" t="str">
        <f>"1689161382"</f>
        <v>1689161382</v>
      </c>
      <c r="C17877" t="str">
        <f>"207LP3000X"</f>
        <v>207LP3000X</v>
      </c>
      <c r="D17877" t="str">
        <f>"JAMES                    MAXWELL                  "</f>
        <v xml:space="preserve">JAMES                    MAXWELL                  </v>
      </c>
      <c r="E17877" t="str">
        <f>"JACKSON                   "</f>
        <v xml:space="preserve">JACKSON                   </v>
      </c>
      <c r="F17877" t="str">
        <f t="shared" si="442"/>
        <v>MS</v>
      </c>
    </row>
    <row r="17878" spans="1:6" x14ac:dyDescent="0.25">
      <c r="A17878" t="str">
        <f>"200016051"</f>
        <v>200016051</v>
      </c>
      <c r="B17878" t="str">
        <f>"1689161382"</f>
        <v>1689161382</v>
      </c>
      <c r="C17878" t="str">
        <f>"207L00000X"</f>
        <v>207L00000X</v>
      </c>
      <c r="D17878" t="str">
        <f>"JAMES                    MAXWELL                  "</f>
        <v xml:space="preserve">JAMES                    MAXWELL                  </v>
      </c>
      <c r="E17878" t="str">
        <f>"JACKSON                   "</f>
        <v xml:space="preserve">JACKSON                   </v>
      </c>
      <c r="F17878" t="str">
        <f t="shared" si="442"/>
        <v>MS</v>
      </c>
    </row>
    <row r="17879" spans="1:6" x14ac:dyDescent="0.25">
      <c r="A17879" t="str">
        <f>"200016057"</f>
        <v>200016057</v>
      </c>
      <c r="B17879" t="str">
        <f>"1437643004"</f>
        <v>1437643004</v>
      </c>
      <c r="C17879" t="str">
        <f>"2084N0400X"</f>
        <v>2084N0400X</v>
      </c>
      <c r="D17879" t="str">
        <f>"ALAMBYAN                 VILAKSHAN                "</f>
        <v xml:space="preserve">ALAMBYAN                 VILAKSHAN                </v>
      </c>
      <c r="E17879" t="str">
        <f>"JACKSON                   "</f>
        <v xml:space="preserve">JACKSON                   </v>
      </c>
      <c r="F17879" t="str">
        <f t="shared" si="442"/>
        <v>MS</v>
      </c>
    </row>
    <row r="17880" spans="1:6" x14ac:dyDescent="0.25">
      <c r="A17880" t="str">
        <f>"200016061"</f>
        <v>200016061</v>
      </c>
      <c r="B17880" t="str">
        <f>"1922453471"</f>
        <v>1922453471</v>
      </c>
      <c r="C17880" t="str">
        <f>"2084N0400X"</f>
        <v>2084N0400X</v>
      </c>
      <c r="D17880" t="str">
        <f>"SCOTT                    LISA                     "</f>
        <v xml:space="preserve">SCOTT                    LISA                     </v>
      </c>
      <c r="E17880" t="str">
        <f>"SOUTHAVEN                 "</f>
        <v xml:space="preserve">SOUTHAVEN                 </v>
      </c>
      <c r="F17880" t="str">
        <f t="shared" si="442"/>
        <v>MS</v>
      </c>
    </row>
    <row r="17881" spans="1:6" x14ac:dyDescent="0.25">
      <c r="A17881" t="str">
        <f>"200016064"</f>
        <v>200016064</v>
      </c>
      <c r="B17881" t="str">
        <f>"1861406894"</f>
        <v>1861406894</v>
      </c>
      <c r="C17881" t="str">
        <f>"207N00000X"</f>
        <v>207N00000X</v>
      </c>
      <c r="D17881" t="str">
        <f>"HOOKER                   PHILLIP      A           "</f>
        <v xml:space="preserve">HOOKER                   PHILLIP      A           </v>
      </c>
      <c r="E17881" t="str">
        <f>"WEST POINT                "</f>
        <v xml:space="preserve">WEST POINT                </v>
      </c>
      <c r="F17881" t="str">
        <f t="shared" si="442"/>
        <v>MS</v>
      </c>
    </row>
    <row r="17882" spans="1:6" x14ac:dyDescent="0.25">
      <c r="A17882" t="str">
        <f>"200016067"</f>
        <v>200016067</v>
      </c>
      <c r="B17882" t="str">
        <f>"1649668203"</f>
        <v>1649668203</v>
      </c>
      <c r="C17882" t="str">
        <f>"363LA2200X"</f>
        <v>363LA2200X</v>
      </c>
      <c r="D17882" t="str">
        <f>"KIM                      CATHY        Y           "</f>
        <v xml:space="preserve">KIM                      CATHY        Y           </v>
      </c>
      <c r="E17882" t="str">
        <f>"GULFPORT                  "</f>
        <v xml:space="preserve">GULFPORT                  </v>
      </c>
      <c r="F17882" t="str">
        <f t="shared" si="442"/>
        <v>MS</v>
      </c>
    </row>
    <row r="17883" spans="1:6" x14ac:dyDescent="0.25">
      <c r="A17883" t="str">
        <f>"200016071"</f>
        <v>200016071</v>
      </c>
      <c r="B17883" t="str">
        <f>"1902257132"</f>
        <v>1902257132</v>
      </c>
      <c r="C17883" t="str">
        <f>"363LF0000X"</f>
        <v>363LF0000X</v>
      </c>
      <c r="D17883" t="str">
        <f>"BROWN                    CHAD                     "</f>
        <v xml:space="preserve">BROWN                    CHAD                     </v>
      </c>
      <c r="E17883" t="str">
        <f>"OLIVE BRANCH              "</f>
        <v xml:space="preserve">OLIVE BRANCH              </v>
      </c>
      <c r="F17883" t="str">
        <f t="shared" si="442"/>
        <v>MS</v>
      </c>
    </row>
    <row r="17884" spans="1:6" x14ac:dyDescent="0.25">
      <c r="A17884" t="str">
        <f>"200016073"</f>
        <v>200016073</v>
      </c>
      <c r="B17884" t="str">
        <f>"1750062113"</f>
        <v>1750062113</v>
      </c>
      <c r="C17884" t="str">
        <f>"363A00000X"</f>
        <v>363A00000X</v>
      </c>
      <c r="D17884" t="str">
        <f>"MILLER                   NATALIE      H           "</f>
        <v xml:space="preserve">MILLER                   NATALIE      H           </v>
      </c>
      <c r="E17884" t="str">
        <f>"STARKVILLE                "</f>
        <v xml:space="preserve">STARKVILLE                </v>
      </c>
      <c r="F17884" t="str">
        <f t="shared" si="442"/>
        <v>MS</v>
      </c>
    </row>
    <row r="17885" spans="1:6" x14ac:dyDescent="0.25">
      <c r="A17885" t="str">
        <f>"200016075"</f>
        <v>200016075</v>
      </c>
      <c r="B17885" t="str">
        <f>"1235457789"</f>
        <v>1235457789</v>
      </c>
      <c r="C17885" t="str">
        <f>"207R00000X"</f>
        <v>207R00000X</v>
      </c>
      <c r="D17885" t="str">
        <f>"RICHARDSON               RACHEL                   "</f>
        <v xml:space="preserve">RICHARDSON               RACHEL                   </v>
      </c>
      <c r="E17885" t="str">
        <f>"SOUTHAVEN                 "</f>
        <v xml:space="preserve">SOUTHAVEN                 </v>
      </c>
      <c r="F17885" t="str">
        <f t="shared" si="442"/>
        <v>MS</v>
      </c>
    </row>
    <row r="17886" spans="1:6" x14ac:dyDescent="0.25">
      <c r="A17886" t="str">
        <f>"200016077"</f>
        <v>200016077</v>
      </c>
      <c r="B17886" t="str">
        <f>"1992290902"</f>
        <v>1992290902</v>
      </c>
      <c r="C17886" t="str">
        <f>"363LF0000X"</f>
        <v>363LF0000X</v>
      </c>
      <c r="D17886" t="str">
        <f>"DRENNAN                  MADISON                  "</f>
        <v xml:space="preserve">DRENNAN                  MADISON                  </v>
      </c>
      <c r="E17886" t="str">
        <f>"HATTIESBURG               "</f>
        <v xml:space="preserve">HATTIESBURG               </v>
      </c>
      <c r="F17886" t="str">
        <f t="shared" si="442"/>
        <v>MS</v>
      </c>
    </row>
    <row r="17887" spans="1:6" x14ac:dyDescent="0.25">
      <c r="A17887" t="str">
        <f>"200016078"</f>
        <v>200016078</v>
      </c>
      <c r="B17887" t="str">
        <f>"1790750065"</f>
        <v>1790750065</v>
      </c>
      <c r="C17887" t="str">
        <f>"208G00000X"</f>
        <v>208G00000X</v>
      </c>
      <c r="D17887" t="str">
        <f>"ROBERSON SR              LEE          D           "</f>
        <v xml:space="preserve">ROBERSON SR              LEE          D           </v>
      </c>
      <c r="E17887" t="str">
        <f>"COLUMBUS                  "</f>
        <v xml:space="preserve">COLUMBUS                  </v>
      </c>
      <c r="F17887" t="str">
        <f t="shared" si="442"/>
        <v>MS</v>
      </c>
    </row>
    <row r="17888" spans="1:6" x14ac:dyDescent="0.25">
      <c r="A17888" t="str">
        <f>"200016079"</f>
        <v>200016079</v>
      </c>
      <c r="B17888" t="str">
        <f>"1205051315"</f>
        <v>1205051315</v>
      </c>
      <c r="C17888" t="str">
        <f>"122300000X"</f>
        <v>122300000X</v>
      </c>
      <c r="D17888" t="str">
        <f>"POSEY                    RUDOLPH                  "</f>
        <v xml:space="preserve">POSEY                    RUDOLPH                  </v>
      </c>
      <c r="E17888" t="str">
        <f>"CHOCTAW                   "</f>
        <v xml:space="preserve">CHOCTAW                   </v>
      </c>
      <c r="F17888" t="str">
        <f t="shared" si="442"/>
        <v>MS</v>
      </c>
    </row>
    <row r="17889" spans="1:6" x14ac:dyDescent="0.25">
      <c r="A17889" t="str">
        <f>"200016080"</f>
        <v>200016080</v>
      </c>
      <c r="B17889" t="str">
        <f>"1437576386"</f>
        <v>1437576386</v>
      </c>
      <c r="C17889" t="str">
        <f>"207X00000X"</f>
        <v>207X00000X</v>
      </c>
      <c r="D17889" t="str">
        <f>"EAGER                    JOHN         J           "</f>
        <v xml:space="preserve">EAGER                    JOHN         J           </v>
      </c>
      <c r="E17889" t="str">
        <f>"SOUTHAVEN                 "</f>
        <v xml:space="preserve">SOUTHAVEN                 </v>
      </c>
      <c r="F17889" t="str">
        <f t="shared" si="442"/>
        <v>MS</v>
      </c>
    </row>
    <row r="17890" spans="1:6" x14ac:dyDescent="0.25">
      <c r="A17890" t="str">
        <f>"200016082"</f>
        <v>200016082</v>
      </c>
      <c r="B17890" t="str">
        <f>"1568284271"</f>
        <v>1568284271</v>
      </c>
      <c r="C17890" t="str">
        <f>"363LF0000X"</f>
        <v>363LF0000X</v>
      </c>
      <c r="D17890" t="str">
        <f>"SIMPSON                  LELIA                    "</f>
        <v xml:space="preserve">SIMPSON                  LELIA                    </v>
      </c>
      <c r="E17890" t="str">
        <f>"LAUREL                    "</f>
        <v xml:space="preserve">LAUREL                    </v>
      </c>
      <c r="F17890" t="str">
        <f t="shared" si="442"/>
        <v>MS</v>
      </c>
    </row>
    <row r="17891" spans="1:6" x14ac:dyDescent="0.25">
      <c r="A17891" t="str">
        <f>"200016087"</f>
        <v>200016087</v>
      </c>
      <c r="B17891" t="str">
        <f>"1669668422"</f>
        <v>1669668422</v>
      </c>
      <c r="C17891" t="str">
        <f>"363LF0000X"</f>
        <v>363LF0000X</v>
      </c>
      <c r="D17891" t="str">
        <f>"ROBERSON                 STEVE                    "</f>
        <v xml:space="preserve">ROBERSON                 STEVE                    </v>
      </c>
      <c r="E17891" t="str">
        <f>"NATCHEZ                   "</f>
        <v xml:space="preserve">NATCHEZ                   </v>
      </c>
      <c r="F17891" t="str">
        <f t="shared" si="442"/>
        <v>MS</v>
      </c>
    </row>
    <row r="17892" spans="1:6" x14ac:dyDescent="0.25">
      <c r="A17892" t="str">
        <f>"200016089"</f>
        <v>200016089</v>
      </c>
      <c r="B17892" t="str">
        <f>"1043056757"</f>
        <v>1043056757</v>
      </c>
      <c r="C17892" t="str">
        <f>"363LF0000X"</f>
        <v>363LF0000X</v>
      </c>
      <c r="D17892" t="str">
        <f>"COOPER                   JACKSON                  "</f>
        <v xml:space="preserve">COOPER                   JACKSON                  </v>
      </c>
      <c r="E17892" t="str">
        <f>"JACKSON                   "</f>
        <v xml:space="preserve">JACKSON                   </v>
      </c>
      <c r="F17892" t="str">
        <f t="shared" si="442"/>
        <v>MS</v>
      </c>
    </row>
    <row r="17893" spans="1:6" x14ac:dyDescent="0.25">
      <c r="A17893" t="str">
        <f>"200016093"</f>
        <v>200016093</v>
      </c>
      <c r="B17893" t="str">
        <f>"1023859360"</f>
        <v>1023859360</v>
      </c>
      <c r="C17893" t="str">
        <f>"363L00000X"</f>
        <v>363L00000X</v>
      </c>
      <c r="D17893" t="str">
        <f>"WILLIAMSON               ALEXANDRIA               "</f>
        <v xml:space="preserve">WILLIAMSON               ALEXANDRIA               </v>
      </c>
      <c r="E17893" t="str">
        <f>"MERIDIAN                  "</f>
        <v xml:space="preserve">MERIDIAN                  </v>
      </c>
      <c r="F17893" t="str">
        <f t="shared" si="442"/>
        <v>MS</v>
      </c>
    </row>
    <row r="17894" spans="1:6" x14ac:dyDescent="0.25">
      <c r="A17894" t="str">
        <f>"200016094"</f>
        <v>200016094</v>
      </c>
      <c r="B17894" t="str">
        <f>"1508685231"</f>
        <v>1508685231</v>
      </c>
      <c r="C17894" t="str">
        <f>"363LF0000X"</f>
        <v>363LF0000X</v>
      </c>
      <c r="D17894" t="str">
        <f>"TAYLOR                   TAMMY                    "</f>
        <v xml:space="preserve">TAYLOR                   TAMMY                    </v>
      </c>
      <c r="E17894" t="str">
        <f>"CORINTH                   "</f>
        <v xml:space="preserve">CORINTH                   </v>
      </c>
      <c r="F17894" t="str">
        <f t="shared" si="442"/>
        <v>MS</v>
      </c>
    </row>
    <row r="17895" spans="1:6" x14ac:dyDescent="0.25">
      <c r="A17895" t="str">
        <f>"200016096"</f>
        <v>200016096</v>
      </c>
      <c r="B17895" t="str">
        <f>"1265638639"</f>
        <v>1265638639</v>
      </c>
      <c r="C17895" t="str">
        <f>"207RC0001X"</f>
        <v>207RC0001X</v>
      </c>
      <c r="D17895" t="str">
        <f>"WANNA                    BASSAM       G           "</f>
        <v xml:space="preserve">WANNA                    BASSAM       G           </v>
      </c>
      <c r="E17895" t="str">
        <f>"GULFPORT                  "</f>
        <v xml:space="preserve">GULFPORT                  </v>
      </c>
      <c r="F17895" t="str">
        <f t="shared" si="442"/>
        <v>MS</v>
      </c>
    </row>
    <row r="17896" spans="1:6" x14ac:dyDescent="0.25">
      <c r="A17896" t="str">
        <f>"200016100"</f>
        <v>200016100</v>
      </c>
      <c r="B17896" t="str">
        <f>"1760217566"</f>
        <v>1760217566</v>
      </c>
      <c r="C17896" t="str">
        <f>"363LF0000X"</f>
        <v>363LF0000X</v>
      </c>
      <c r="D17896" t="str">
        <f>"ALLBRITTON               BRITTANY                 "</f>
        <v xml:space="preserve">ALLBRITTON               BRITTANY                 </v>
      </c>
      <c r="E17896" t="str">
        <f>"WINONA                    "</f>
        <v xml:space="preserve">WINONA                    </v>
      </c>
      <c r="F17896" t="str">
        <f t="shared" si="442"/>
        <v>MS</v>
      </c>
    </row>
    <row r="17897" spans="1:6" x14ac:dyDescent="0.25">
      <c r="A17897" t="str">
        <f>"200016115"</f>
        <v>200016115</v>
      </c>
      <c r="B17897" t="str">
        <f>"1114576956"</f>
        <v>1114576956</v>
      </c>
      <c r="C17897" t="str">
        <f>"363L00000X"</f>
        <v>363L00000X</v>
      </c>
      <c r="D17897" t="str">
        <f>"HENDERSON                ROSALAND                 "</f>
        <v xml:space="preserve">HENDERSON                ROSALAND                 </v>
      </c>
      <c r="E17897" t="str">
        <f>"STARKVILLE                "</f>
        <v xml:space="preserve">STARKVILLE                </v>
      </c>
      <c r="F17897" t="str">
        <f t="shared" si="442"/>
        <v>MS</v>
      </c>
    </row>
    <row r="17898" spans="1:6" x14ac:dyDescent="0.25">
      <c r="A17898" t="str">
        <f>"200016118"</f>
        <v>200016118</v>
      </c>
      <c r="B17898" t="str">
        <f>"1881757409"</f>
        <v>1881757409</v>
      </c>
      <c r="C17898" t="str">
        <f>"207R00000X"</f>
        <v>207R00000X</v>
      </c>
      <c r="D17898" t="str">
        <f>"STERLING                 KEVIN                    "</f>
        <v xml:space="preserve">STERLING                 KEVIN                    </v>
      </c>
      <c r="E17898" t="str">
        <f>"NATCHEZ                   "</f>
        <v xml:space="preserve">NATCHEZ                   </v>
      </c>
      <c r="F17898" t="str">
        <f t="shared" si="442"/>
        <v>MS</v>
      </c>
    </row>
    <row r="17899" spans="1:6" x14ac:dyDescent="0.25">
      <c r="A17899" t="str">
        <f>"200016124"</f>
        <v>200016124</v>
      </c>
      <c r="B17899" t="str">
        <f>"1871917294"</f>
        <v>1871917294</v>
      </c>
      <c r="C17899" t="str">
        <f>"367500000X"</f>
        <v>367500000X</v>
      </c>
      <c r="D17899" t="str">
        <f>"GRAHAM                   CORNELL                  "</f>
        <v xml:space="preserve">GRAHAM                   CORNELL                  </v>
      </c>
      <c r="E17899" t="str">
        <f>"JACKSON                   "</f>
        <v xml:space="preserve">JACKSON                   </v>
      </c>
      <c r="F17899" t="str">
        <f t="shared" si="442"/>
        <v>MS</v>
      </c>
    </row>
    <row r="17900" spans="1:6" x14ac:dyDescent="0.25">
      <c r="A17900" t="str">
        <f>"200016126"</f>
        <v>200016126</v>
      </c>
      <c r="B17900" t="str">
        <f>"1881768059"</f>
        <v>1881768059</v>
      </c>
      <c r="C17900" t="str">
        <f>"367500000X"</f>
        <v>367500000X</v>
      </c>
      <c r="D17900" t="str">
        <f>"LEWIS                    LUCIUS                   "</f>
        <v xml:space="preserve">LEWIS                    LUCIUS                   </v>
      </c>
      <c r="E17900" t="str">
        <f>"JACKSON                   "</f>
        <v xml:space="preserve">JACKSON                   </v>
      </c>
      <c r="F17900" t="str">
        <f t="shared" si="442"/>
        <v>MS</v>
      </c>
    </row>
    <row r="17901" spans="1:6" x14ac:dyDescent="0.25">
      <c r="A17901" t="str">
        <f>"200016132"</f>
        <v>200016132</v>
      </c>
      <c r="B17901" t="str">
        <f>"1609229228"</f>
        <v>1609229228</v>
      </c>
      <c r="C17901" t="str">
        <f>"207U00000X"</f>
        <v>207U00000X</v>
      </c>
      <c r="D17901" t="str">
        <f>"GOEL                     REEMA                    "</f>
        <v xml:space="preserve">GOEL                     REEMA                    </v>
      </c>
      <c r="E17901" t="str">
        <f>"JACKSON                   "</f>
        <v xml:space="preserve">JACKSON                   </v>
      </c>
      <c r="F17901" t="str">
        <f t="shared" si="442"/>
        <v>MS</v>
      </c>
    </row>
    <row r="17902" spans="1:6" x14ac:dyDescent="0.25">
      <c r="A17902" t="str">
        <f>"200016134"</f>
        <v>200016134</v>
      </c>
      <c r="B17902" t="str">
        <f>"1093978918"</f>
        <v>1093978918</v>
      </c>
      <c r="C17902" t="str">
        <f>"207R00000X"</f>
        <v>207R00000X</v>
      </c>
      <c r="D17902" t="str">
        <f>"PETTIE                   SHANNA       B           "</f>
        <v xml:space="preserve">PETTIE                   SHANNA       B           </v>
      </c>
      <c r="E17902" t="str">
        <f>"JACKSON                   "</f>
        <v xml:space="preserve">JACKSON                   </v>
      </c>
      <c r="F17902" t="str">
        <f t="shared" si="442"/>
        <v>MS</v>
      </c>
    </row>
    <row r="17903" spans="1:6" x14ac:dyDescent="0.25">
      <c r="A17903" t="str">
        <f>"200016136"</f>
        <v>200016136</v>
      </c>
      <c r="B17903" t="str">
        <f>"1649002866"</f>
        <v>1649002866</v>
      </c>
      <c r="C17903" t="str">
        <f>"363LP0808X"</f>
        <v>363LP0808X</v>
      </c>
      <c r="D17903" t="str">
        <f>"FOXWORTH                 JERICA                   "</f>
        <v xml:space="preserve">FOXWORTH                 JERICA                   </v>
      </c>
      <c r="E17903" t="str">
        <f>"WIGGINS                   "</f>
        <v xml:space="preserve">WIGGINS                   </v>
      </c>
      <c r="F17903" t="str">
        <f t="shared" si="442"/>
        <v>MS</v>
      </c>
    </row>
    <row r="17904" spans="1:6" x14ac:dyDescent="0.25">
      <c r="A17904" t="str">
        <f>"200016138"</f>
        <v>200016138</v>
      </c>
      <c r="B17904" t="str">
        <f>"1225890288"</f>
        <v>1225890288</v>
      </c>
      <c r="C17904" t="str">
        <f>"261QA1903X"</f>
        <v>261QA1903X</v>
      </c>
      <c r="D17904" t="str">
        <f>"SVILLE ASC NO 1 LLC DBA-STARKVILLE PAIN SOLUTIONS "</f>
        <v xml:space="preserve">SVILLE ASC NO 1 LLC DBA-STARKVILLE PAIN SOLUTIONS </v>
      </c>
      <c r="E17904" t="str">
        <f>"STARKVILLE                "</f>
        <v xml:space="preserve">STARKVILLE                </v>
      </c>
      <c r="F17904" t="str">
        <f t="shared" si="442"/>
        <v>MS</v>
      </c>
    </row>
    <row r="17905" spans="1:6" x14ac:dyDescent="0.25">
      <c r="A17905" t="str">
        <f>"200016139"</f>
        <v>200016139</v>
      </c>
      <c r="B17905" t="str">
        <f>"1295296408"</f>
        <v>1295296408</v>
      </c>
      <c r="C17905" t="str">
        <f>"207Q00000X"</f>
        <v>207Q00000X</v>
      </c>
      <c r="D17905" t="str">
        <f>"OKE                      ABIOLA                   "</f>
        <v xml:space="preserve">OKE                      ABIOLA                   </v>
      </c>
      <c r="E17905" t="str">
        <f>"CANTON                    "</f>
        <v xml:space="preserve">CANTON                    </v>
      </c>
      <c r="F17905" t="str">
        <f t="shared" si="442"/>
        <v>MS</v>
      </c>
    </row>
    <row r="17906" spans="1:6" x14ac:dyDescent="0.25">
      <c r="A17906" t="str">
        <f>"200016146"</f>
        <v>200016146</v>
      </c>
      <c r="B17906" t="str">
        <f>"1144748898"</f>
        <v>1144748898</v>
      </c>
      <c r="C17906" t="str">
        <f>"363LF0000X"</f>
        <v>363LF0000X</v>
      </c>
      <c r="D17906" t="str">
        <f>"SHEPARD                  CASSANDRA                "</f>
        <v xml:space="preserve">SHEPARD                  CASSANDRA                </v>
      </c>
      <c r="E17906" t="str">
        <f>"SHELBY                    "</f>
        <v xml:space="preserve">SHELBY                    </v>
      </c>
      <c r="F17906" t="str">
        <f t="shared" si="442"/>
        <v>MS</v>
      </c>
    </row>
    <row r="17907" spans="1:6" x14ac:dyDescent="0.25">
      <c r="A17907" t="str">
        <f>"200016151"</f>
        <v>200016151</v>
      </c>
      <c r="B17907" t="str">
        <f>"1386474930"</f>
        <v>1386474930</v>
      </c>
      <c r="C17907" t="str">
        <f>"122300000X"</f>
        <v>122300000X</v>
      </c>
      <c r="D17907" t="str">
        <f>"BELL                     BROOKE       C           "</f>
        <v xml:space="preserve">BELL                     BROOKE       C           </v>
      </c>
      <c r="E17907" t="str">
        <f>"LEXINGTON                 "</f>
        <v xml:space="preserve">LEXINGTON                 </v>
      </c>
      <c r="F17907" t="str">
        <f t="shared" si="442"/>
        <v>MS</v>
      </c>
    </row>
    <row r="17908" spans="1:6" x14ac:dyDescent="0.25">
      <c r="A17908" t="str">
        <f>"200016154"</f>
        <v>200016154</v>
      </c>
      <c r="B17908" t="str">
        <f>"1346949047"</f>
        <v>1346949047</v>
      </c>
      <c r="C17908" t="str">
        <f>"363LA2100X"</f>
        <v>363LA2100X</v>
      </c>
      <c r="D17908" t="str">
        <f>"MULLINS                  WHITNEY                  "</f>
        <v xml:space="preserve">MULLINS                  WHITNEY                  </v>
      </c>
      <c r="E17908" t="str">
        <f>"JACKSON                   "</f>
        <v xml:space="preserve">JACKSON                   </v>
      </c>
      <c r="F17908" t="str">
        <f t="shared" si="442"/>
        <v>MS</v>
      </c>
    </row>
    <row r="17909" spans="1:6" x14ac:dyDescent="0.25">
      <c r="A17909" t="str">
        <f>"200016155"</f>
        <v>200016155</v>
      </c>
      <c r="B17909" t="str">
        <f>"1447980107"</f>
        <v>1447980107</v>
      </c>
      <c r="C17909" t="str">
        <f>"363A00000X"</f>
        <v>363A00000X</v>
      </c>
      <c r="D17909" t="str">
        <f>"BROOKS                   ERIN                     "</f>
        <v xml:space="preserve">BROOKS                   ERIN                     </v>
      </c>
      <c r="E17909" t="str">
        <f>"CLINTON                   "</f>
        <v xml:space="preserve">CLINTON                   </v>
      </c>
      <c r="F17909" t="str">
        <f t="shared" si="442"/>
        <v>MS</v>
      </c>
    </row>
    <row r="17910" spans="1:6" x14ac:dyDescent="0.25">
      <c r="A17910" t="str">
        <f>"200016170"</f>
        <v>200016170</v>
      </c>
      <c r="B17910" t="str">
        <f>"1588032981"</f>
        <v>1588032981</v>
      </c>
      <c r="C17910" t="str">
        <f>"367500000X"</f>
        <v>367500000X</v>
      </c>
      <c r="D17910" t="str">
        <f>"MCGEOWN                  JANE                     "</f>
        <v xml:space="preserve">MCGEOWN                  JANE                     </v>
      </c>
      <c r="E17910" t="str">
        <f>"JACKSON                   "</f>
        <v xml:space="preserve">JACKSON                   </v>
      </c>
      <c r="F17910" t="str">
        <f t="shared" si="442"/>
        <v>MS</v>
      </c>
    </row>
    <row r="17911" spans="1:6" x14ac:dyDescent="0.25">
      <c r="A17911" t="str">
        <f>"200016176"</f>
        <v>200016176</v>
      </c>
      <c r="B17911" t="str">
        <f>"1437935251"</f>
        <v>1437935251</v>
      </c>
      <c r="C17911" t="str">
        <f>"363LP0808X"</f>
        <v>363LP0808X</v>
      </c>
      <c r="D17911" t="str">
        <f>"ELLIS                    MONICA                   "</f>
        <v xml:space="preserve">ELLIS                    MONICA                   </v>
      </c>
      <c r="E17911" t="str">
        <f>"CLINTON                   "</f>
        <v xml:space="preserve">CLINTON                   </v>
      </c>
      <c r="F17911" t="str">
        <f t="shared" si="442"/>
        <v>MS</v>
      </c>
    </row>
    <row r="17912" spans="1:6" x14ac:dyDescent="0.25">
      <c r="A17912" t="str">
        <f>"200016184"</f>
        <v>200016184</v>
      </c>
      <c r="B17912" t="str">
        <f>"1639832363"</f>
        <v>1639832363</v>
      </c>
      <c r="C17912" t="str">
        <f>"363L00000X"</f>
        <v>363L00000X</v>
      </c>
      <c r="D17912" t="str">
        <f>"TURNER                   HANNAH                   "</f>
        <v xml:space="preserve">TURNER                   HANNAH                   </v>
      </c>
      <c r="E17912" t="str">
        <f>"BILOXI                    "</f>
        <v xml:space="preserve">BILOXI                    </v>
      </c>
      <c r="F17912" t="str">
        <f t="shared" si="442"/>
        <v>MS</v>
      </c>
    </row>
    <row r="17913" spans="1:6" x14ac:dyDescent="0.25">
      <c r="A17913" t="str">
        <f>"200016187"</f>
        <v>200016187</v>
      </c>
      <c r="B17913" t="str">
        <f>"1225053614"</f>
        <v>1225053614</v>
      </c>
      <c r="C17913" t="str">
        <f>"207L00000X"</f>
        <v>207L00000X</v>
      </c>
      <c r="D17913" t="str">
        <f>"HERRING                  LEE          E           "</f>
        <v xml:space="preserve">HERRING                  LEE          E           </v>
      </c>
      <c r="E17913" t="str">
        <f>"FLOWOOD                   "</f>
        <v xml:space="preserve">FLOWOOD                   </v>
      </c>
      <c r="F17913" t="str">
        <f t="shared" si="442"/>
        <v>MS</v>
      </c>
    </row>
    <row r="17914" spans="1:6" x14ac:dyDescent="0.25">
      <c r="A17914" t="str">
        <f>"200016192"</f>
        <v>200016192</v>
      </c>
      <c r="B17914" t="str">
        <f>"1336973098"</f>
        <v>1336973098</v>
      </c>
      <c r="C17914" t="str">
        <f>"363LF0000X"</f>
        <v>363LF0000X</v>
      </c>
      <c r="D17914" t="str">
        <f>"RATLIFF                  CHAMBRE                  "</f>
        <v xml:space="preserve">RATLIFF                  CHAMBRE                  </v>
      </c>
      <c r="E17914" t="str">
        <f>"JACKSON                   "</f>
        <v xml:space="preserve">JACKSON                   </v>
      </c>
      <c r="F17914" t="str">
        <f t="shared" si="442"/>
        <v>MS</v>
      </c>
    </row>
    <row r="17915" spans="1:6" x14ac:dyDescent="0.25">
      <c r="A17915" t="str">
        <f>"200016193"</f>
        <v>200016193</v>
      </c>
      <c r="B17915" t="str">
        <f>"1225617699"</f>
        <v>1225617699</v>
      </c>
      <c r="C17915" t="str">
        <f>"207R00000X"</f>
        <v>207R00000X</v>
      </c>
      <c r="D17915" t="str">
        <f>"POOLE                    AARON                    "</f>
        <v xml:space="preserve">POOLE                    AARON                    </v>
      </c>
      <c r="E17915" t="str">
        <f>"JACKSON                   "</f>
        <v xml:space="preserve">JACKSON                   </v>
      </c>
      <c r="F17915" t="str">
        <f t="shared" si="442"/>
        <v>MS</v>
      </c>
    </row>
    <row r="17916" spans="1:6" x14ac:dyDescent="0.25">
      <c r="A17916" t="str">
        <f>"200016194"</f>
        <v>200016194</v>
      </c>
      <c r="B17916" t="str">
        <f>"1083441018"</f>
        <v>1083441018</v>
      </c>
      <c r="C17916" t="str">
        <f>"363LP0808X"</f>
        <v>363LP0808X</v>
      </c>
      <c r="D17916" t="str">
        <f>"PIERCE                   SHONTEL                  "</f>
        <v xml:space="preserve">PIERCE                   SHONTEL                  </v>
      </c>
      <c r="E17916" t="str">
        <f>"BELDEN                    "</f>
        <v xml:space="preserve">BELDEN                    </v>
      </c>
      <c r="F17916" t="str">
        <f t="shared" si="442"/>
        <v>MS</v>
      </c>
    </row>
    <row r="17917" spans="1:6" x14ac:dyDescent="0.25">
      <c r="A17917" t="str">
        <f>"200016195"</f>
        <v>200016195</v>
      </c>
      <c r="B17917" t="str">
        <f>"1467297986"</f>
        <v>1467297986</v>
      </c>
      <c r="C17917" t="str">
        <f>"363LF0000X"</f>
        <v>363LF0000X</v>
      </c>
      <c r="D17917" t="str">
        <f>"VAZQUEZ                  AMY                      "</f>
        <v xml:space="preserve">VAZQUEZ                  AMY                      </v>
      </c>
      <c r="E17917" t="str">
        <f>"JACKSON                   "</f>
        <v xml:space="preserve">JACKSON                   </v>
      </c>
      <c r="F17917" t="str">
        <f t="shared" si="442"/>
        <v>MS</v>
      </c>
    </row>
    <row r="17918" spans="1:6" x14ac:dyDescent="0.25">
      <c r="A17918" t="str">
        <f>"200016196"</f>
        <v>200016196</v>
      </c>
      <c r="B17918" t="str">
        <f>"1154669901"</f>
        <v>1154669901</v>
      </c>
      <c r="C17918" t="str">
        <f>"367500000X"</f>
        <v>367500000X</v>
      </c>
      <c r="D17918" t="str">
        <f>"BENGE                    DUSTIN       B           "</f>
        <v xml:space="preserve">BENGE                    DUSTIN       B           </v>
      </c>
      <c r="E17918" t="str">
        <f>"JACKSON                   "</f>
        <v xml:space="preserve">JACKSON                   </v>
      </c>
      <c r="F17918" t="str">
        <f t="shared" ref="F17918:F17981" si="443">"MS"</f>
        <v>MS</v>
      </c>
    </row>
    <row r="17919" spans="1:6" x14ac:dyDescent="0.25">
      <c r="A17919" t="str">
        <f>"200016198"</f>
        <v>200016198</v>
      </c>
      <c r="B17919" t="str">
        <f>"1174349443"</f>
        <v>1174349443</v>
      </c>
      <c r="C17919" t="str">
        <f>"363L00000X"</f>
        <v>363L00000X</v>
      </c>
      <c r="D17919" t="str">
        <f>"PRICE                    PEYTON       A           "</f>
        <v xml:space="preserve">PRICE                    PEYTON       A           </v>
      </c>
      <c r="E17919" t="str">
        <f>"HATTIESBURG               "</f>
        <v xml:space="preserve">HATTIESBURG               </v>
      </c>
      <c r="F17919" t="str">
        <f t="shared" si="443"/>
        <v>MS</v>
      </c>
    </row>
    <row r="17920" spans="1:6" x14ac:dyDescent="0.25">
      <c r="A17920" t="str">
        <f>"200016199"</f>
        <v>200016199</v>
      </c>
      <c r="B17920" t="str">
        <f>"1881699924"</f>
        <v>1881699924</v>
      </c>
      <c r="C17920" t="str">
        <f>"207Q00000X"</f>
        <v>207Q00000X</v>
      </c>
      <c r="D17920" t="str">
        <f>"BROOKS                   GEORGE       B           "</f>
        <v xml:space="preserve">BROOKS                   GEORGE       B           </v>
      </c>
      <c r="E17920" t="str">
        <f>"GULFPORT                  "</f>
        <v xml:space="preserve">GULFPORT                  </v>
      </c>
      <c r="F17920" t="str">
        <f t="shared" si="443"/>
        <v>MS</v>
      </c>
    </row>
    <row r="17921" spans="1:6" x14ac:dyDescent="0.25">
      <c r="A17921" t="str">
        <f>"200016202"</f>
        <v>200016202</v>
      </c>
      <c r="B17921" t="str">
        <f>"1003176710"</f>
        <v>1003176710</v>
      </c>
      <c r="C17921" t="str">
        <f>"2085R0202X"</f>
        <v>2085R0202X</v>
      </c>
      <c r="D17921" t="str">
        <f>"LORENTS                  EVELYN       M           "</f>
        <v xml:space="preserve">LORENTS                  EVELYN       M           </v>
      </c>
      <c r="E17921" t="str">
        <f>"MERIDIAN                  "</f>
        <v xml:space="preserve">MERIDIAN                  </v>
      </c>
      <c r="F17921" t="str">
        <f t="shared" si="443"/>
        <v>MS</v>
      </c>
    </row>
    <row r="17922" spans="1:6" x14ac:dyDescent="0.25">
      <c r="A17922" t="str">
        <f>"200016208"</f>
        <v>200016208</v>
      </c>
      <c r="B17922" t="str">
        <f>"1235717588"</f>
        <v>1235717588</v>
      </c>
      <c r="C17922" t="str">
        <f>"208M00000X"</f>
        <v>208M00000X</v>
      </c>
      <c r="D17922" t="str">
        <f>"HELMHOUT                 WILSON                   "</f>
        <v xml:space="preserve">HELMHOUT                 WILSON                   </v>
      </c>
      <c r="E17922" t="str">
        <f>"JACKSON                   "</f>
        <v xml:space="preserve">JACKSON                   </v>
      </c>
      <c r="F17922" t="str">
        <f t="shared" si="443"/>
        <v>MS</v>
      </c>
    </row>
    <row r="17923" spans="1:6" x14ac:dyDescent="0.25">
      <c r="A17923" t="str">
        <f>"200016212"</f>
        <v>200016212</v>
      </c>
      <c r="B17923" t="str">
        <f>"1215455639"</f>
        <v>1215455639</v>
      </c>
      <c r="C17923" t="str">
        <f>"363LF0000X"</f>
        <v>363LF0000X</v>
      </c>
      <c r="D17923" t="str">
        <f>"HAYS                     MELANIE      A           "</f>
        <v xml:space="preserve">HAYS                     MELANIE      A           </v>
      </c>
      <c r="E17923" t="str">
        <f>"SOUTHAVEN                 "</f>
        <v xml:space="preserve">SOUTHAVEN                 </v>
      </c>
      <c r="F17923" t="str">
        <f t="shared" si="443"/>
        <v>MS</v>
      </c>
    </row>
    <row r="17924" spans="1:6" x14ac:dyDescent="0.25">
      <c r="A17924" t="str">
        <f>"200016221"</f>
        <v>200016221</v>
      </c>
      <c r="B17924" t="str">
        <f>"1205947843"</f>
        <v>1205947843</v>
      </c>
      <c r="C17924" t="str">
        <f>"207R00000X"</f>
        <v>207R00000X</v>
      </c>
      <c r="D17924" t="str">
        <f>"STRIEGEL                 WILLIAM                  "</f>
        <v xml:space="preserve">STRIEGEL                 WILLIAM                  </v>
      </c>
      <c r="E17924" t="str">
        <f>"PASCAGOULA                "</f>
        <v xml:space="preserve">PASCAGOULA                </v>
      </c>
      <c r="F17924" t="str">
        <f t="shared" si="443"/>
        <v>MS</v>
      </c>
    </row>
    <row r="17925" spans="1:6" x14ac:dyDescent="0.25">
      <c r="A17925" t="str">
        <f>"200016223"</f>
        <v>200016223</v>
      </c>
      <c r="B17925" t="str">
        <f>"1477590420"</f>
        <v>1477590420</v>
      </c>
      <c r="C17925" t="str">
        <f>"367500000X"</f>
        <v>367500000X</v>
      </c>
      <c r="D17925" t="str">
        <f>"INGRAM                   CARMEN       L           "</f>
        <v xml:space="preserve">INGRAM                   CARMEN       L           </v>
      </c>
      <c r="E17925" t="str">
        <f>"HATTIESBURG               "</f>
        <v xml:space="preserve">HATTIESBURG               </v>
      </c>
      <c r="F17925" t="str">
        <f t="shared" si="443"/>
        <v>MS</v>
      </c>
    </row>
    <row r="17926" spans="1:6" x14ac:dyDescent="0.25">
      <c r="A17926" t="str">
        <f>"200016225"</f>
        <v>200016225</v>
      </c>
      <c r="B17926" t="str">
        <f>"1841870680"</f>
        <v>1841870680</v>
      </c>
      <c r="C17926" t="str">
        <f>"207P00000X"</f>
        <v>207P00000X</v>
      </c>
      <c r="D17926" t="str">
        <f>"SHARP                    AUDREY                   "</f>
        <v xml:space="preserve">SHARP                    AUDREY                   </v>
      </c>
      <c r="E17926" t="str">
        <f>"SOUTHAVEN                 "</f>
        <v xml:space="preserve">SOUTHAVEN                 </v>
      </c>
      <c r="F17926" t="str">
        <f t="shared" si="443"/>
        <v>MS</v>
      </c>
    </row>
    <row r="17927" spans="1:6" x14ac:dyDescent="0.25">
      <c r="A17927" t="str">
        <f>"200016239"</f>
        <v>200016239</v>
      </c>
      <c r="B17927" t="str">
        <f>"1881466910"</f>
        <v>1881466910</v>
      </c>
      <c r="C17927" t="str">
        <f>"261QR1300X"</f>
        <v>261QR1300X</v>
      </c>
      <c r="D17927" t="str">
        <f>"UMMC GRENADA PRIMARY MEDICINE CLINIC              "</f>
        <v xml:space="preserve">UMMC GRENADA PRIMARY MEDICINE CLINIC              </v>
      </c>
      <c r="E17927" t="str">
        <f>"GRENADA                   "</f>
        <v xml:space="preserve">GRENADA                   </v>
      </c>
      <c r="F17927" t="str">
        <f t="shared" si="443"/>
        <v>MS</v>
      </c>
    </row>
    <row r="17928" spans="1:6" x14ac:dyDescent="0.25">
      <c r="A17928" t="str">
        <f>"200016240"</f>
        <v>200016240</v>
      </c>
      <c r="B17928" t="str">
        <f>"1295507333"</f>
        <v>1295507333</v>
      </c>
      <c r="C17928" t="str">
        <f>"261QR1300X"</f>
        <v>261QR1300X</v>
      </c>
      <c r="D17928" t="str">
        <f>"CHILDREN'S OF MISSISSIPPI GREENWOOD CLINIC        "</f>
        <v xml:space="preserve">CHILDREN'S OF MISSISSIPPI GREENWOOD CLINIC        </v>
      </c>
      <c r="E17928" t="str">
        <f>"GREENWOOD                 "</f>
        <v xml:space="preserve">GREENWOOD                 </v>
      </c>
      <c r="F17928" t="str">
        <f t="shared" si="443"/>
        <v>MS</v>
      </c>
    </row>
    <row r="17929" spans="1:6" x14ac:dyDescent="0.25">
      <c r="A17929" t="str">
        <f>"200016241"</f>
        <v>200016241</v>
      </c>
      <c r="B17929" t="str">
        <f>"1225800428"</f>
        <v>1225800428</v>
      </c>
      <c r="C17929" t="str">
        <f>"261QR1300X"</f>
        <v>261QR1300X</v>
      </c>
      <c r="D17929" t="str">
        <f>"UMMC GREENWOOD WOMEN'S CLINIC                     "</f>
        <v xml:space="preserve">UMMC GREENWOOD WOMEN'S CLINIC                     </v>
      </c>
      <c r="E17929" t="str">
        <f>"GREENWOOD                 "</f>
        <v xml:space="preserve">GREENWOOD                 </v>
      </c>
      <c r="F17929" t="str">
        <f t="shared" si="443"/>
        <v>MS</v>
      </c>
    </row>
    <row r="17930" spans="1:6" x14ac:dyDescent="0.25">
      <c r="A17930" t="str">
        <f>"200016242"</f>
        <v>200016242</v>
      </c>
      <c r="B17930" t="str">
        <f>"1619906112"</f>
        <v>1619906112</v>
      </c>
      <c r="C17930" t="str">
        <f>"207RC0000X"</f>
        <v>207RC0000X</v>
      </c>
      <c r="D17930" t="str">
        <f>"HILLEGASS                WILLIAM                  "</f>
        <v xml:space="preserve">HILLEGASS                WILLIAM                  </v>
      </c>
      <c r="E17930" t="str">
        <f>"JACKSON                   "</f>
        <v xml:space="preserve">JACKSON                   </v>
      </c>
      <c r="F17930" t="str">
        <f t="shared" si="443"/>
        <v>MS</v>
      </c>
    </row>
    <row r="17931" spans="1:6" x14ac:dyDescent="0.25">
      <c r="A17931" t="str">
        <f>"200016243"</f>
        <v>200016243</v>
      </c>
      <c r="B17931" t="str">
        <f>"1154764462"</f>
        <v>1154764462</v>
      </c>
      <c r="C17931" t="str">
        <f>"2085R0202X"</f>
        <v>2085R0202X</v>
      </c>
      <c r="D17931" t="str">
        <f>"BATES                    CHRISTOPHER              "</f>
        <v xml:space="preserve">BATES                    CHRISTOPHER              </v>
      </c>
      <c r="E17931" t="str">
        <f>"OLIVE BRANCH              "</f>
        <v xml:space="preserve">OLIVE BRANCH              </v>
      </c>
      <c r="F17931" t="str">
        <f t="shared" si="443"/>
        <v>MS</v>
      </c>
    </row>
    <row r="17932" spans="1:6" x14ac:dyDescent="0.25">
      <c r="A17932" t="str">
        <f>"200016254"</f>
        <v>200016254</v>
      </c>
      <c r="B17932" t="str">
        <f>"1790104297"</f>
        <v>1790104297</v>
      </c>
      <c r="C17932" t="str">
        <f>"363L00000X"</f>
        <v>363L00000X</v>
      </c>
      <c r="D17932" t="str">
        <f>"BRYANT                   CHRISTIAN                "</f>
        <v xml:space="preserve">BRYANT                   CHRISTIAN                </v>
      </c>
      <c r="E17932" t="str">
        <f>"MERIDIAN                  "</f>
        <v xml:space="preserve">MERIDIAN                  </v>
      </c>
      <c r="F17932" t="str">
        <f t="shared" si="443"/>
        <v>MS</v>
      </c>
    </row>
    <row r="17933" spans="1:6" x14ac:dyDescent="0.25">
      <c r="A17933" t="str">
        <f>"200016258"</f>
        <v>200016258</v>
      </c>
      <c r="B17933" t="str">
        <f>"1467614610"</f>
        <v>1467614610</v>
      </c>
      <c r="C17933" t="str">
        <f>"2084P0804X"</f>
        <v>2084P0804X</v>
      </c>
      <c r="D17933" t="str">
        <f>"TATAGARI                 PRADEEP                  "</f>
        <v xml:space="preserve">TATAGARI                 PRADEEP                  </v>
      </c>
      <c r="E17933" t="str">
        <f>"FLOWOOD                   "</f>
        <v xml:space="preserve">FLOWOOD                   </v>
      </c>
      <c r="F17933" t="str">
        <f t="shared" si="443"/>
        <v>MS</v>
      </c>
    </row>
    <row r="17934" spans="1:6" x14ac:dyDescent="0.25">
      <c r="A17934" t="str">
        <f>"200016264"</f>
        <v>200016264</v>
      </c>
      <c r="B17934" t="str">
        <f>"1821832817"</f>
        <v>1821832817</v>
      </c>
      <c r="C17934" t="str">
        <f>"363A00000X"</f>
        <v>363A00000X</v>
      </c>
      <c r="D17934" t="str">
        <f>"BENNETT                  EMILY                    "</f>
        <v xml:space="preserve">BENNETT                  EMILY                    </v>
      </c>
      <c r="E17934" t="str">
        <f>"JACKSON                   "</f>
        <v xml:space="preserve">JACKSON                   </v>
      </c>
      <c r="F17934" t="str">
        <f t="shared" si="443"/>
        <v>MS</v>
      </c>
    </row>
    <row r="17935" spans="1:6" x14ac:dyDescent="0.25">
      <c r="A17935" t="str">
        <f>"200016265"</f>
        <v>200016265</v>
      </c>
      <c r="B17935" t="str">
        <f>"1154153351"</f>
        <v>1154153351</v>
      </c>
      <c r="C17935" t="str">
        <f>"363L00000X"</f>
        <v>363L00000X</v>
      </c>
      <c r="D17935" t="str">
        <f>"HOLMAN                   REBECCA                  "</f>
        <v xml:space="preserve">HOLMAN                   REBECCA                  </v>
      </c>
      <c r="E17935" t="str">
        <f>"JACKSON                   "</f>
        <v xml:space="preserve">JACKSON                   </v>
      </c>
      <c r="F17935" t="str">
        <f t="shared" si="443"/>
        <v>MS</v>
      </c>
    </row>
    <row r="17936" spans="1:6" x14ac:dyDescent="0.25">
      <c r="A17936" t="str">
        <f>"200016267"</f>
        <v>200016267</v>
      </c>
      <c r="B17936" t="str">
        <f>"1639175037"</f>
        <v>1639175037</v>
      </c>
      <c r="C17936" t="str">
        <f>"207LP2900X"</f>
        <v>207LP2900X</v>
      </c>
      <c r="D17936" t="str">
        <f>"GREEN                    PHILLIP      E           "</f>
        <v xml:space="preserve">GREEN                    PHILLIP      E           </v>
      </c>
      <c r="E17936" t="str">
        <f>"SOUTHAVEN                 "</f>
        <v xml:space="preserve">SOUTHAVEN                 </v>
      </c>
      <c r="F17936" t="str">
        <f t="shared" si="443"/>
        <v>MS</v>
      </c>
    </row>
    <row r="17937" spans="1:6" x14ac:dyDescent="0.25">
      <c r="A17937" t="str">
        <f>"200016278"</f>
        <v>200016278</v>
      </c>
      <c r="B17937" t="str">
        <f>"1447530936"</f>
        <v>1447530936</v>
      </c>
      <c r="C17937" t="str">
        <f>"363L00000X"</f>
        <v>363L00000X</v>
      </c>
      <c r="D17937" t="str">
        <f>"MORRIS                   ROBIN                    "</f>
        <v xml:space="preserve">MORRIS                   ROBIN                    </v>
      </c>
      <c r="E17937" t="str">
        <f>"RIDGELAND                 "</f>
        <v xml:space="preserve">RIDGELAND                 </v>
      </c>
      <c r="F17937" t="str">
        <f t="shared" si="443"/>
        <v>MS</v>
      </c>
    </row>
    <row r="17938" spans="1:6" x14ac:dyDescent="0.25">
      <c r="A17938" t="str">
        <f>"200016281"</f>
        <v>200016281</v>
      </c>
      <c r="B17938" t="str">
        <f>"1326524646"</f>
        <v>1326524646</v>
      </c>
      <c r="C17938" t="str">
        <f>"363L00000X"</f>
        <v>363L00000X</v>
      </c>
      <c r="D17938" t="str">
        <f>"THORNTON                 JAMIE                    "</f>
        <v xml:space="preserve">THORNTON                 JAMIE                    </v>
      </c>
      <c r="E17938" t="str">
        <f>"LAUREL                    "</f>
        <v xml:space="preserve">LAUREL                    </v>
      </c>
      <c r="F17938" t="str">
        <f t="shared" si="443"/>
        <v>MS</v>
      </c>
    </row>
    <row r="17939" spans="1:6" x14ac:dyDescent="0.25">
      <c r="A17939" t="str">
        <f>"200016292"</f>
        <v>200016292</v>
      </c>
      <c r="B17939" t="str">
        <f>"1427656230"</f>
        <v>1427656230</v>
      </c>
      <c r="C17939" t="str">
        <f>"363LF0000X"</f>
        <v>363LF0000X</v>
      </c>
      <c r="D17939" t="str">
        <f>"MYER                     KIMBERLY     M           "</f>
        <v xml:space="preserve">MYER                     KIMBERLY     M           </v>
      </c>
      <c r="E17939" t="str">
        <f>"KOSCIUSKO                 "</f>
        <v xml:space="preserve">KOSCIUSKO                 </v>
      </c>
      <c r="F17939" t="str">
        <f t="shared" si="443"/>
        <v>MS</v>
      </c>
    </row>
    <row r="17940" spans="1:6" x14ac:dyDescent="0.25">
      <c r="A17940" t="str">
        <f>"200016305"</f>
        <v>200016305</v>
      </c>
      <c r="B17940" t="str">
        <f>"1073132775"</f>
        <v>1073132775</v>
      </c>
      <c r="C17940" t="str">
        <f>"208M00000X"</f>
        <v>208M00000X</v>
      </c>
      <c r="D17940" t="str">
        <f>"ROSS                     MARY                     "</f>
        <v xml:space="preserve">ROSS                     MARY                     </v>
      </c>
      <c r="E17940" t="str">
        <f>"JACKSON                   "</f>
        <v xml:space="preserve">JACKSON                   </v>
      </c>
      <c r="F17940" t="str">
        <f t="shared" si="443"/>
        <v>MS</v>
      </c>
    </row>
    <row r="17941" spans="1:6" x14ac:dyDescent="0.25">
      <c r="A17941" t="str">
        <f>"200016308"</f>
        <v>200016308</v>
      </c>
      <c r="B17941" t="str">
        <f>"1871341974"</f>
        <v>1871341974</v>
      </c>
      <c r="C17941" t="str">
        <f>"152W00000X"</f>
        <v>152W00000X</v>
      </c>
      <c r="D17941" t="str">
        <f>"PANKEY                   DILLON                   "</f>
        <v xml:space="preserve">PANKEY                   DILLON                   </v>
      </c>
      <c r="E17941" t="str">
        <f>"CLINTON                   "</f>
        <v xml:space="preserve">CLINTON                   </v>
      </c>
      <c r="F17941" t="str">
        <f t="shared" si="443"/>
        <v>MS</v>
      </c>
    </row>
    <row r="17942" spans="1:6" x14ac:dyDescent="0.25">
      <c r="A17942" t="str">
        <f>"200016309"</f>
        <v>200016309</v>
      </c>
      <c r="B17942" t="str">
        <f>"1669586996"</f>
        <v>1669586996</v>
      </c>
      <c r="C17942" t="str">
        <f>"363LP0808X"</f>
        <v>363LP0808X</v>
      </c>
      <c r="D17942" t="str">
        <f>"JOHNSON                  WILLIAM                  "</f>
        <v xml:space="preserve">JOHNSON                  WILLIAM                  </v>
      </c>
      <c r="E17942" t="str">
        <f>"FLOWOOD                   "</f>
        <v xml:space="preserve">FLOWOOD                   </v>
      </c>
      <c r="F17942" t="str">
        <f t="shared" si="443"/>
        <v>MS</v>
      </c>
    </row>
    <row r="17943" spans="1:6" x14ac:dyDescent="0.25">
      <c r="A17943" t="str">
        <f>"200016314"</f>
        <v>200016314</v>
      </c>
      <c r="B17943" t="str">
        <f>"1174291264"</f>
        <v>1174291264</v>
      </c>
      <c r="C17943" t="str">
        <f>"208M00000X"</f>
        <v>208M00000X</v>
      </c>
      <c r="D17943" t="str">
        <f>"SAMEL                    MICHAEL      A           "</f>
        <v xml:space="preserve">SAMEL                    MICHAEL      A           </v>
      </c>
      <c r="E17943" t="str">
        <f>"GULFPORT                  "</f>
        <v xml:space="preserve">GULFPORT                  </v>
      </c>
      <c r="F17943" t="str">
        <f t="shared" si="443"/>
        <v>MS</v>
      </c>
    </row>
    <row r="17944" spans="1:6" x14ac:dyDescent="0.25">
      <c r="A17944" t="str">
        <f>"200016316"</f>
        <v>200016316</v>
      </c>
      <c r="B17944" t="str">
        <f>"1063258531"</f>
        <v>1063258531</v>
      </c>
      <c r="C17944" t="str">
        <f>"261QM1300X"</f>
        <v>261QM1300X</v>
      </c>
      <c r="D17944" t="str">
        <f>"FREEDOM REIGNS CHRISTIAN COUNSELING SERVICES      "</f>
        <v xml:space="preserve">FREEDOM REIGNS CHRISTIAN COUNSELING SERVICES      </v>
      </c>
      <c r="E17944" t="str">
        <f>"GULFPORT                  "</f>
        <v xml:space="preserve">GULFPORT                  </v>
      </c>
      <c r="F17944" t="str">
        <f t="shared" si="443"/>
        <v>MS</v>
      </c>
    </row>
    <row r="17945" spans="1:6" x14ac:dyDescent="0.25">
      <c r="A17945" t="str">
        <f>"200016323"</f>
        <v>200016323</v>
      </c>
      <c r="B17945" t="str">
        <f>"1528645439"</f>
        <v>1528645439</v>
      </c>
      <c r="C17945" t="str">
        <f>"208000000X"</f>
        <v>208000000X</v>
      </c>
      <c r="D17945" t="str">
        <f>"CANAAN                   LAUREN                   "</f>
        <v xml:space="preserve">CANAAN                   LAUREN                   </v>
      </c>
      <c r="E17945" t="str">
        <f>"CORINTH                   "</f>
        <v xml:space="preserve">CORINTH                   </v>
      </c>
      <c r="F17945" t="str">
        <f t="shared" si="443"/>
        <v>MS</v>
      </c>
    </row>
    <row r="17946" spans="1:6" x14ac:dyDescent="0.25">
      <c r="A17946" t="str">
        <f>"200016326"</f>
        <v>200016326</v>
      </c>
      <c r="B17946" t="str">
        <f>"1437589157"</f>
        <v>1437589157</v>
      </c>
      <c r="C17946" t="str">
        <f>"261QM1300X"</f>
        <v>261QM1300X</v>
      </c>
      <c r="D17946" t="str">
        <f>"REDMED                                            "</f>
        <v xml:space="preserve">REDMED                                            </v>
      </c>
      <c r="E17946" t="str">
        <f>"SENATOBIA                 "</f>
        <v xml:space="preserve">SENATOBIA                 </v>
      </c>
      <c r="F17946" t="str">
        <f t="shared" si="443"/>
        <v>MS</v>
      </c>
    </row>
    <row r="17947" spans="1:6" x14ac:dyDescent="0.25">
      <c r="A17947" t="str">
        <f>"200016334"</f>
        <v>200016334</v>
      </c>
      <c r="B17947" t="str">
        <f>"1942236468"</f>
        <v>1942236468</v>
      </c>
      <c r="C17947" t="str">
        <f>"208000000X"</f>
        <v>208000000X</v>
      </c>
      <c r="D17947" t="str">
        <f>"ESTEP                    RITA                     "</f>
        <v xml:space="preserve">ESTEP                    RITA                     </v>
      </c>
      <c r="E17947" t="str">
        <f>"COLUMBUS                  "</f>
        <v xml:space="preserve">COLUMBUS                  </v>
      </c>
      <c r="F17947" t="str">
        <f t="shared" si="443"/>
        <v>MS</v>
      </c>
    </row>
    <row r="17948" spans="1:6" x14ac:dyDescent="0.25">
      <c r="A17948" t="str">
        <f>"200016335"</f>
        <v>200016335</v>
      </c>
      <c r="B17948" t="str">
        <f>"1871313056"</f>
        <v>1871313056</v>
      </c>
      <c r="C17948" t="str">
        <f>"363LP0200X"</f>
        <v>363LP0200X</v>
      </c>
      <c r="D17948" t="str">
        <f>"GARRETT                  CAYCEE                   "</f>
        <v xml:space="preserve">GARRETT                  CAYCEE                   </v>
      </c>
      <c r="E17948" t="str">
        <f>"BROOKHAVEN                "</f>
        <v xml:space="preserve">BROOKHAVEN                </v>
      </c>
      <c r="F17948" t="str">
        <f t="shared" si="443"/>
        <v>MS</v>
      </c>
    </row>
    <row r="17949" spans="1:6" x14ac:dyDescent="0.25">
      <c r="A17949" t="str">
        <f>"200016337"</f>
        <v>200016337</v>
      </c>
      <c r="B17949" t="str">
        <f>"1548203920"</f>
        <v>1548203920</v>
      </c>
      <c r="C17949" t="str">
        <f>"207P00000X"</f>
        <v>207P00000X</v>
      </c>
      <c r="D17949" t="str">
        <f>"MULLIGAN                 TERRENCE                 "</f>
        <v xml:space="preserve">MULLIGAN                 TERRENCE                 </v>
      </c>
      <c r="E17949" t="str">
        <f>"STARKVILLE                "</f>
        <v xml:space="preserve">STARKVILLE                </v>
      </c>
      <c r="F17949" t="str">
        <f t="shared" si="443"/>
        <v>MS</v>
      </c>
    </row>
    <row r="17950" spans="1:6" x14ac:dyDescent="0.25">
      <c r="A17950" t="str">
        <f>"200016338"</f>
        <v>200016338</v>
      </c>
      <c r="B17950" t="str">
        <f>"1245541085"</f>
        <v>1245541085</v>
      </c>
      <c r="C17950" t="str">
        <f>"2084N0400X"</f>
        <v>2084N0400X</v>
      </c>
      <c r="D17950" t="str">
        <f>"HAMILTON                 ROLAND                   "</f>
        <v xml:space="preserve">HAMILTON                 ROLAND                   </v>
      </c>
      <c r="E17950" t="str">
        <f>"TUPELO                    "</f>
        <v xml:space="preserve">TUPELO                    </v>
      </c>
      <c r="F17950" t="str">
        <f t="shared" si="443"/>
        <v>MS</v>
      </c>
    </row>
    <row r="17951" spans="1:6" x14ac:dyDescent="0.25">
      <c r="A17951" t="str">
        <f>"200016341"</f>
        <v>200016341</v>
      </c>
      <c r="B17951" t="str">
        <f>"1639467921"</f>
        <v>1639467921</v>
      </c>
      <c r="C17951" t="str">
        <f>"363LF0000X"</f>
        <v>363LF0000X</v>
      </c>
      <c r="D17951" t="str">
        <f>"LAWS                     RASHANDRA                "</f>
        <v xml:space="preserve">LAWS                     RASHANDRA                </v>
      </c>
      <c r="E17951" t="str">
        <f>"JACKSON                   "</f>
        <v xml:space="preserve">JACKSON                   </v>
      </c>
      <c r="F17951" t="str">
        <f t="shared" si="443"/>
        <v>MS</v>
      </c>
    </row>
    <row r="17952" spans="1:6" x14ac:dyDescent="0.25">
      <c r="A17952" t="str">
        <f>"200016349"</f>
        <v>200016349</v>
      </c>
      <c r="B17952" t="str">
        <f>"1699062208"</f>
        <v>1699062208</v>
      </c>
      <c r="C17952" t="str">
        <f>"2086S0129X"</f>
        <v>2086S0129X</v>
      </c>
      <c r="D17952" t="str">
        <f>"DINNING                  JENNIFER                 "</f>
        <v xml:space="preserve">DINNING                  JENNIFER                 </v>
      </c>
      <c r="E17952" t="str">
        <f>"JACKSON                   "</f>
        <v xml:space="preserve">JACKSON                   </v>
      </c>
      <c r="F17952" t="str">
        <f t="shared" si="443"/>
        <v>MS</v>
      </c>
    </row>
    <row r="17953" spans="1:6" x14ac:dyDescent="0.25">
      <c r="A17953" t="str">
        <f>"200016352"</f>
        <v>200016352</v>
      </c>
      <c r="B17953" t="str">
        <f>"1841619731"</f>
        <v>1841619731</v>
      </c>
      <c r="C17953" t="str">
        <f>"261QM1300X"</f>
        <v>261QM1300X</v>
      </c>
      <c r="D17953" t="str">
        <f>"PAIN TREATMENT CENTERS OF AMERICA                 "</f>
        <v xml:space="preserve">PAIN TREATMENT CENTERS OF AMERICA                 </v>
      </c>
      <c r="E17953" t="str">
        <f>"SOUTHAVEN                 "</f>
        <v xml:space="preserve">SOUTHAVEN                 </v>
      </c>
      <c r="F17953" t="str">
        <f t="shared" si="443"/>
        <v>MS</v>
      </c>
    </row>
    <row r="17954" spans="1:6" x14ac:dyDescent="0.25">
      <c r="A17954" t="str">
        <f>"200016357"</f>
        <v>200016357</v>
      </c>
      <c r="B17954" t="str">
        <f>"1376368761"</f>
        <v>1376368761</v>
      </c>
      <c r="C17954" t="str">
        <f>"363LF0000X"</f>
        <v>363LF0000X</v>
      </c>
      <c r="D17954" t="str">
        <f>"MASON                    JESSICA                  "</f>
        <v xml:space="preserve">MASON                    JESSICA                  </v>
      </c>
      <c r="E17954" t="str">
        <f>"MCCOMB                    "</f>
        <v xml:space="preserve">MCCOMB                    </v>
      </c>
      <c r="F17954" t="str">
        <f t="shared" si="443"/>
        <v>MS</v>
      </c>
    </row>
    <row r="17955" spans="1:6" x14ac:dyDescent="0.25">
      <c r="A17955" t="str">
        <f>"200016358"</f>
        <v>200016358</v>
      </c>
      <c r="B17955" t="str">
        <f>"1528485836"</f>
        <v>1528485836</v>
      </c>
      <c r="C17955" t="str">
        <f>"363L00000X"</f>
        <v>363L00000X</v>
      </c>
      <c r="D17955" t="str">
        <f>"MCDOUGAL                 CYNTHIA                  "</f>
        <v xml:space="preserve">MCDOUGAL                 CYNTHIA                  </v>
      </c>
      <c r="E17955" t="str">
        <f>"GULFPORT                  "</f>
        <v xml:space="preserve">GULFPORT                  </v>
      </c>
      <c r="F17955" t="str">
        <f t="shared" si="443"/>
        <v>MS</v>
      </c>
    </row>
    <row r="17956" spans="1:6" x14ac:dyDescent="0.25">
      <c r="A17956" t="str">
        <f>"200016359"</f>
        <v>200016359</v>
      </c>
      <c r="B17956" t="str">
        <f>"1205513728"</f>
        <v>1205513728</v>
      </c>
      <c r="C17956" t="str">
        <f>"122300000X"</f>
        <v>122300000X</v>
      </c>
      <c r="D17956" t="str">
        <f>"GAMACHE                  NATHANIEL                "</f>
        <v xml:space="preserve">GAMACHE                  NATHANIEL                </v>
      </c>
      <c r="E17956" t="str">
        <f>"HORN LAKE                 "</f>
        <v xml:space="preserve">HORN LAKE                 </v>
      </c>
      <c r="F17956" t="str">
        <f t="shared" si="443"/>
        <v>MS</v>
      </c>
    </row>
    <row r="17957" spans="1:6" x14ac:dyDescent="0.25">
      <c r="A17957" t="str">
        <f>"200016360"</f>
        <v>200016360</v>
      </c>
      <c r="B17957" t="str">
        <f>"1437589157"</f>
        <v>1437589157</v>
      </c>
      <c r="C17957" t="str">
        <f>"261QM1300X"</f>
        <v>261QM1300X</v>
      </c>
      <c r="D17957" t="str">
        <f>"REDMED                                            "</f>
        <v xml:space="preserve">REDMED                                            </v>
      </c>
      <c r="E17957" t="str">
        <f>"OXFORD                    "</f>
        <v xml:space="preserve">OXFORD                    </v>
      </c>
      <c r="F17957" t="str">
        <f t="shared" si="443"/>
        <v>MS</v>
      </c>
    </row>
    <row r="17958" spans="1:6" x14ac:dyDescent="0.25">
      <c r="A17958" t="str">
        <f>"200016366"</f>
        <v>200016366</v>
      </c>
      <c r="B17958" t="str">
        <f>"1205653367"</f>
        <v>1205653367</v>
      </c>
      <c r="C17958" t="str">
        <f>"363LF0000X"</f>
        <v>363LF0000X</v>
      </c>
      <c r="D17958" t="str">
        <f>"DEARMAN                  ALIANNE      B           "</f>
        <v xml:space="preserve">DEARMAN                  ALIANNE      B           </v>
      </c>
      <c r="E17958" t="str">
        <f>"JACKSON                   "</f>
        <v xml:space="preserve">JACKSON                   </v>
      </c>
      <c r="F17958" t="str">
        <f t="shared" si="443"/>
        <v>MS</v>
      </c>
    </row>
    <row r="17959" spans="1:6" x14ac:dyDescent="0.25">
      <c r="A17959" t="str">
        <f>"200016370"</f>
        <v>200016370</v>
      </c>
      <c r="B17959" t="str">
        <f>"1932135522"</f>
        <v>1932135522</v>
      </c>
      <c r="C17959" t="str">
        <f>"207P00000X"</f>
        <v>207P00000X</v>
      </c>
      <c r="D17959" t="str">
        <f>"WITCHER                  JOHN                     "</f>
        <v xml:space="preserve">WITCHER                  JOHN                     </v>
      </c>
      <c r="E17959" t="str">
        <f>"ROLLING FORK              "</f>
        <v xml:space="preserve">ROLLING FORK              </v>
      </c>
      <c r="F17959" t="str">
        <f t="shared" si="443"/>
        <v>MS</v>
      </c>
    </row>
    <row r="17960" spans="1:6" x14ac:dyDescent="0.25">
      <c r="A17960" t="str">
        <f>"200016372"</f>
        <v>200016372</v>
      </c>
      <c r="B17960" t="str">
        <f>"1780984484"</f>
        <v>1780984484</v>
      </c>
      <c r="C17960" t="str">
        <f>"363LF0000X"</f>
        <v>363LF0000X</v>
      </c>
      <c r="D17960" t="str">
        <f>"EDWARDS-FRYE             LOUELLA      M           "</f>
        <v xml:space="preserve">EDWARDS-FRYE             LOUELLA      M           </v>
      </c>
      <c r="E17960" t="str">
        <f>"BYHALIA                   "</f>
        <v xml:space="preserve">BYHALIA                   </v>
      </c>
      <c r="F17960" t="str">
        <f t="shared" si="443"/>
        <v>MS</v>
      </c>
    </row>
    <row r="17961" spans="1:6" x14ac:dyDescent="0.25">
      <c r="A17961" t="str">
        <f>"200016377"</f>
        <v>200016377</v>
      </c>
      <c r="B17961" t="str">
        <f>"1487490629"</f>
        <v>1487490629</v>
      </c>
      <c r="C17961" t="str">
        <f>"363LP0808X"</f>
        <v>363LP0808X</v>
      </c>
      <c r="D17961" t="str">
        <f>"WILLIAMS                 CLEOPATRA                "</f>
        <v xml:space="preserve">WILLIAMS                 CLEOPATRA                </v>
      </c>
      <c r="E17961" t="str">
        <f>"VICKSBURG                 "</f>
        <v xml:space="preserve">VICKSBURG                 </v>
      </c>
      <c r="F17961" t="str">
        <f t="shared" si="443"/>
        <v>MS</v>
      </c>
    </row>
    <row r="17962" spans="1:6" x14ac:dyDescent="0.25">
      <c r="A17962" t="str">
        <f>"200016382"</f>
        <v>200016382</v>
      </c>
      <c r="B17962" t="str">
        <f>"1205860418"</f>
        <v>1205860418</v>
      </c>
      <c r="C17962" t="str">
        <f>"122300000X"</f>
        <v>122300000X</v>
      </c>
      <c r="D17962" t="str">
        <f>"ENGEL ORTHODONTICS                                "</f>
        <v xml:space="preserve">ENGEL ORTHODONTICS                                </v>
      </c>
      <c r="E17962" t="str">
        <f>"CLEVELAND                 "</f>
        <v xml:space="preserve">CLEVELAND                 </v>
      </c>
      <c r="F17962" t="str">
        <f t="shared" si="443"/>
        <v>MS</v>
      </c>
    </row>
    <row r="17963" spans="1:6" x14ac:dyDescent="0.25">
      <c r="A17963" t="str">
        <f>"200016398"</f>
        <v>200016398</v>
      </c>
      <c r="B17963" t="str">
        <f>"1891143889"</f>
        <v>1891143889</v>
      </c>
      <c r="C17963" t="str">
        <f>"207P00000X"</f>
        <v>207P00000X</v>
      </c>
      <c r="D17963" t="str">
        <f>"DAVIS                    FIELD                    "</f>
        <v xml:space="preserve">DAVIS                    FIELD                    </v>
      </c>
      <c r="E17963" t="str">
        <f>"PASCAGOULA                "</f>
        <v xml:space="preserve">PASCAGOULA                </v>
      </c>
      <c r="F17963" t="str">
        <f t="shared" si="443"/>
        <v>MS</v>
      </c>
    </row>
    <row r="17964" spans="1:6" x14ac:dyDescent="0.25">
      <c r="A17964" t="str">
        <f>"200016405"</f>
        <v>200016405</v>
      </c>
      <c r="B17964" t="str">
        <f>"1568993863"</f>
        <v>1568993863</v>
      </c>
      <c r="C17964" t="str">
        <f>"208000000X"</f>
        <v>208000000X</v>
      </c>
      <c r="D17964" t="str">
        <f>"MONAFO                   ANGELA                   "</f>
        <v xml:space="preserve">MONAFO                   ANGELA                   </v>
      </c>
      <c r="E17964" t="str">
        <f>"JACKSON                   "</f>
        <v xml:space="preserve">JACKSON                   </v>
      </c>
      <c r="F17964" t="str">
        <f t="shared" si="443"/>
        <v>MS</v>
      </c>
    </row>
    <row r="17965" spans="1:6" x14ac:dyDescent="0.25">
      <c r="A17965" t="str">
        <f>"200016407"</f>
        <v>200016407</v>
      </c>
      <c r="B17965" t="str">
        <f>"1669242822"</f>
        <v>1669242822</v>
      </c>
      <c r="C17965" t="str">
        <f>"261QA1903X"</f>
        <v>261QA1903X</v>
      </c>
      <c r="D17965" t="str">
        <f>"JEA SURGICAL LLC                                  "</f>
        <v xml:space="preserve">JEA SURGICAL LLC                                  </v>
      </c>
      <c r="E17965" t="str">
        <f>"MADISON                   "</f>
        <v xml:space="preserve">MADISON                   </v>
      </c>
      <c r="F17965" t="str">
        <f t="shared" si="443"/>
        <v>MS</v>
      </c>
    </row>
    <row r="17966" spans="1:6" x14ac:dyDescent="0.25">
      <c r="A17966" t="str">
        <f>"200016408"</f>
        <v>200016408</v>
      </c>
      <c r="B17966" t="str">
        <f>"1336118843"</f>
        <v>1336118843</v>
      </c>
      <c r="C17966" t="str">
        <f>"207P00000X"</f>
        <v>207P00000X</v>
      </c>
      <c r="D17966" t="str">
        <f>"FARMER                   GUY                      "</f>
        <v xml:space="preserve">FARMER                   GUY                      </v>
      </c>
      <c r="E17966" t="str">
        <f>"SOUTHAVEN                 "</f>
        <v xml:space="preserve">SOUTHAVEN                 </v>
      </c>
      <c r="F17966" t="str">
        <f t="shared" si="443"/>
        <v>MS</v>
      </c>
    </row>
    <row r="17967" spans="1:6" x14ac:dyDescent="0.25">
      <c r="A17967" t="str">
        <f>"200016416"</f>
        <v>200016416</v>
      </c>
      <c r="B17967" t="str">
        <f>"1144965898"</f>
        <v>1144965898</v>
      </c>
      <c r="C17967" t="str">
        <f>"363LP0808X"</f>
        <v>363LP0808X</v>
      </c>
      <c r="D17967" t="str">
        <f>"REBUILDING RESILIENCE                             "</f>
        <v xml:space="preserve">REBUILDING RESILIENCE                             </v>
      </c>
      <c r="E17967" t="str">
        <f>"CLEVELAND                 "</f>
        <v xml:space="preserve">CLEVELAND                 </v>
      </c>
      <c r="F17967" t="str">
        <f t="shared" si="443"/>
        <v>MS</v>
      </c>
    </row>
    <row r="17968" spans="1:6" x14ac:dyDescent="0.25">
      <c r="A17968" t="str">
        <f>"200016418"</f>
        <v>200016418</v>
      </c>
      <c r="B17968" t="str">
        <f>"1073044897"</f>
        <v>1073044897</v>
      </c>
      <c r="C17968" t="str">
        <f>"207L00000X"</f>
        <v>207L00000X</v>
      </c>
      <c r="D17968" t="str">
        <f>"GOEL                     SAMEER                   "</f>
        <v xml:space="preserve">GOEL                     SAMEER                   </v>
      </c>
      <c r="E17968" t="str">
        <f>"JACKSON                   "</f>
        <v xml:space="preserve">JACKSON                   </v>
      </c>
      <c r="F17968" t="str">
        <f t="shared" si="443"/>
        <v>MS</v>
      </c>
    </row>
    <row r="17969" spans="1:6" x14ac:dyDescent="0.25">
      <c r="A17969" t="str">
        <f>"200016421"</f>
        <v>200016421</v>
      </c>
      <c r="B17969" t="str">
        <f>"1356770697"</f>
        <v>1356770697</v>
      </c>
      <c r="C17969" t="str">
        <f>"363LF0000X"</f>
        <v>363LF0000X</v>
      </c>
      <c r="D17969" t="str">
        <f>"GAINES                   LAUREN                   "</f>
        <v xml:space="preserve">GAINES                   LAUREN                   </v>
      </c>
      <c r="E17969" t="str">
        <f>"OXFORD                    "</f>
        <v xml:space="preserve">OXFORD                    </v>
      </c>
      <c r="F17969" t="str">
        <f t="shared" si="443"/>
        <v>MS</v>
      </c>
    </row>
    <row r="17970" spans="1:6" x14ac:dyDescent="0.25">
      <c r="A17970" t="str">
        <f>"200016422"</f>
        <v>200016422</v>
      </c>
      <c r="B17970" t="str">
        <f>"1447286539"</f>
        <v>1447286539</v>
      </c>
      <c r="C17970" t="str">
        <f>"207R00000X"</f>
        <v>207R00000X</v>
      </c>
      <c r="D17970" t="str">
        <f>"BOOTH                    PATRICK                  "</f>
        <v xml:space="preserve">BOOTH                    PATRICK                  </v>
      </c>
      <c r="E17970" t="str">
        <f>"OXFORD                    "</f>
        <v xml:space="preserve">OXFORD                    </v>
      </c>
      <c r="F17970" t="str">
        <f t="shared" si="443"/>
        <v>MS</v>
      </c>
    </row>
    <row r="17971" spans="1:6" x14ac:dyDescent="0.25">
      <c r="A17971" t="str">
        <f>"200016427"</f>
        <v>200016427</v>
      </c>
      <c r="B17971" t="str">
        <f>"1548656614"</f>
        <v>1548656614</v>
      </c>
      <c r="C17971" t="str">
        <f>"363L00000X"</f>
        <v>363L00000X</v>
      </c>
      <c r="D17971" t="str">
        <f>"SPEIGHTS                 LASHUNDRA                "</f>
        <v xml:space="preserve">SPEIGHTS                 LASHUNDRA                </v>
      </c>
      <c r="E17971" t="str">
        <f>"OCEAN SPRINGS             "</f>
        <v xml:space="preserve">OCEAN SPRINGS             </v>
      </c>
      <c r="F17971" t="str">
        <f t="shared" si="443"/>
        <v>MS</v>
      </c>
    </row>
    <row r="17972" spans="1:6" x14ac:dyDescent="0.25">
      <c r="A17972" t="str">
        <f>"200016447"</f>
        <v>200016447</v>
      </c>
      <c r="B17972" t="str">
        <f>"1568492478"</f>
        <v>1568492478</v>
      </c>
      <c r="C17972" t="str">
        <f>"2084P0800X"</f>
        <v>2084P0800X</v>
      </c>
      <c r="D17972" t="str">
        <f>"BELAGA                   MARSHALL                 "</f>
        <v xml:space="preserve">BELAGA                   MARSHALL                 </v>
      </c>
      <c r="E17972" t="str">
        <f>"FLOWOOD                   "</f>
        <v xml:space="preserve">FLOWOOD                   </v>
      </c>
      <c r="F17972" t="str">
        <f t="shared" si="443"/>
        <v>MS</v>
      </c>
    </row>
    <row r="17973" spans="1:6" x14ac:dyDescent="0.25">
      <c r="A17973" t="str">
        <f>"200016448"</f>
        <v>200016448</v>
      </c>
      <c r="B17973" t="str">
        <f>"1588171128"</f>
        <v>1588171128</v>
      </c>
      <c r="C17973" t="str">
        <f>"363LP0808X"</f>
        <v>363LP0808X</v>
      </c>
      <c r="D17973" t="str">
        <f>"EDWARDS                  STEPHANIE                "</f>
        <v xml:space="preserve">EDWARDS                  STEPHANIE                </v>
      </c>
      <c r="E17973" t="str">
        <f>"FLOWOOD                   "</f>
        <v xml:space="preserve">FLOWOOD                   </v>
      </c>
      <c r="F17973" t="str">
        <f t="shared" si="443"/>
        <v>MS</v>
      </c>
    </row>
    <row r="17974" spans="1:6" x14ac:dyDescent="0.25">
      <c r="A17974" t="str">
        <f>"200016449"</f>
        <v>200016449</v>
      </c>
      <c r="B17974" t="str">
        <f>"1528881323"</f>
        <v>1528881323</v>
      </c>
      <c r="C17974" t="str">
        <f>"1223X0400X"</f>
        <v>1223X0400X</v>
      </c>
      <c r="D17974" t="str">
        <f>"TAKKALAPELLY             DIVIJA                   "</f>
        <v xml:space="preserve">TAKKALAPELLY             DIVIJA                   </v>
      </c>
      <c r="E17974" t="str">
        <f>"JACKSON                   "</f>
        <v xml:space="preserve">JACKSON                   </v>
      </c>
      <c r="F17974" t="str">
        <f t="shared" si="443"/>
        <v>MS</v>
      </c>
    </row>
    <row r="17975" spans="1:6" x14ac:dyDescent="0.25">
      <c r="A17975" t="str">
        <f>"200016450"</f>
        <v>200016450</v>
      </c>
      <c r="B17975" t="str">
        <f>"1003952383"</f>
        <v>1003952383</v>
      </c>
      <c r="C17975" t="str">
        <f>"152W00000X"</f>
        <v>152W00000X</v>
      </c>
      <c r="D17975" t="str">
        <f>"ASHLAND VISION CENTER                             "</f>
        <v xml:space="preserve">ASHLAND VISION CENTER                             </v>
      </c>
      <c r="E17975" t="str">
        <f>"ASHLAND                   "</f>
        <v xml:space="preserve">ASHLAND                   </v>
      </c>
      <c r="F17975" t="str">
        <f t="shared" si="443"/>
        <v>MS</v>
      </c>
    </row>
    <row r="17976" spans="1:6" x14ac:dyDescent="0.25">
      <c r="A17976" t="str">
        <f>"200016451"</f>
        <v>200016451</v>
      </c>
      <c r="B17976" t="str">
        <f>"1235472697"</f>
        <v>1235472697</v>
      </c>
      <c r="C17976" t="str">
        <f>"363LP0808X"</f>
        <v>363LP0808X</v>
      </c>
      <c r="D17976" t="str">
        <f>"GREEN                    RODERICK                 "</f>
        <v xml:space="preserve">GREEN                    RODERICK                 </v>
      </c>
      <c r="E17976" t="str">
        <f>"FLOWOOD                   "</f>
        <v xml:space="preserve">FLOWOOD                   </v>
      </c>
      <c r="F17976" t="str">
        <f t="shared" si="443"/>
        <v>MS</v>
      </c>
    </row>
    <row r="17977" spans="1:6" x14ac:dyDescent="0.25">
      <c r="A17977" t="str">
        <f>"200016457"</f>
        <v>200016457</v>
      </c>
      <c r="B17977" t="str">
        <f>"1790517084"</f>
        <v>1790517084</v>
      </c>
      <c r="C17977" t="str">
        <f>"363LF0000X"</f>
        <v>363LF0000X</v>
      </c>
      <c r="D17977" t="str">
        <f>"WILLIAMSON               MEGAN                    "</f>
        <v xml:space="preserve">WILLIAMSON               MEGAN                    </v>
      </c>
      <c r="E17977" t="str">
        <f>"HATTIESBURG               "</f>
        <v xml:space="preserve">HATTIESBURG               </v>
      </c>
      <c r="F17977" t="str">
        <f t="shared" si="443"/>
        <v>MS</v>
      </c>
    </row>
    <row r="17978" spans="1:6" x14ac:dyDescent="0.25">
      <c r="A17978" t="str">
        <f>"200016466"</f>
        <v>200016466</v>
      </c>
      <c r="B17978" t="str">
        <f>"1023538709"</f>
        <v>1023538709</v>
      </c>
      <c r="C17978" t="str">
        <f>"208000000X"</f>
        <v>208000000X</v>
      </c>
      <c r="D17978" t="str">
        <f>"TORRES ARIAS             DANIEL                   "</f>
        <v xml:space="preserve">TORRES ARIAS             DANIEL                   </v>
      </c>
      <c r="E17978" t="str">
        <f>"JACKSON                   "</f>
        <v xml:space="preserve">JACKSON                   </v>
      </c>
      <c r="F17978" t="str">
        <f t="shared" si="443"/>
        <v>MS</v>
      </c>
    </row>
    <row r="17979" spans="1:6" x14ac:dyDescent="0.25">
      <c r="A17979" t="str">
        <f>"200016467"</f>
        <v>200016467</v>
      </c>
      <c r="B17979" t="str">
        <f>"1437589157"</f>
        <v>1437589157</v>
      </c>
      <c r="C17979" t="str">
        <f>"261QM1300X"</f>
        <v>261QM1300X</v>
      </c>
      <c r="D17979" t="str">
        <f>"REDMED                                            "</f>
        <v xml:space="preserve">REDMED                                            </v>
      </c>
      <c r="E17979" t="str">
        <f>"BATESVILLE                "</f>
        <v xml:space="preserve">BATESVILLE                </v>
      </c>
      <c r="F17979" t="str">
        <f t="shared" si="443"/>
        <v>MS</v>
      </c>
    </row>
    <row r="17980" spans="1:6" x14ac:dyDescent="0.25">
      <c r="A17980" t="str">
        <f>"200016470"</f>
        <v>200016470</v>
      </c>
      <c r="B17980" t="str">
        <f>"1003500562"</f>
        <v>1003500562</v>
      </c>
      <c r="C17980" t="str">
        <f>"261QM1300X"</f>
        <v>261QM1300X</v>
      </c>
      <c r="D17980" t="str">
        <f>"JOURNEY TO HOPE COUNSELING                        "</f>
        <v xml:space="preserve">JOURNEY TO HOPE COUNSELING                        </v>
      </c>
      <c r="E17980" t="str">
        <f>"GREENVILLE                "</f>
        <v xml:space="preserve">GREENVILLE                </v>
      </c>
      <c r="F17980" t="str">
        <f t="shared" si="443"/>
        <v>MS</v>
      </c>
    </row>
    <row r="17981" spans="1:6" x14ac:dyDescent="0.25">
      <c r="A17981" t="str">
        <f>"200016471"</f>
        <v>200016471</v>
      </c>
      <c r="B17981" t="str">
        <f>"1548099765"</f>
        <v>1548099765</v>
      </c>
      <c r="C17981" t="str">
        <f>"261QM1300X"</f>
        <v>261QM1300X</v>
      </c>
      <c r="D17981" t="str">
        <f>"SECOND CHANCE HEALTHCARE                          "</f>
        <v xml:space="preserve">SECOND CHANCE HEALTHCARE                          </v>
      </c>
      <c r="E17981" t="str">
        <f>"GREENWOOD                 "</f>
        <v xml:space="preserve">GREENWOOD                 </v>
      </c>
      <c r="F17981" t="str">
        <f t="shared" si="443"/>
        <v>MS</v>
      </c>
    </row>
    <row r="17982" spans="1:6" x14ac:dyDescent="0.25">
      <c r="A17982" t="str">
        <f>"200016473"</f>
        <v>200016473</v>
      </c>
      <c r="B17982" t="str">
        <f>"1164103263"</f>
        <v>1164103263</v>
      </c>
      <c r="C17982" t="str">
        <f>"363LA2100X"</f>
        <v>363LA2100X</v>
      </c>
      <c r="D17982" t="str">
        <f>"MORGAN                   LAUREN                   "</f>
        <v xml:space="preserve">MORGAN                   LAUREN                   </v>
      </c>
      <c r="E17982" t="str">
        <f>"NEW ALBANY                "</f>
        <v xml:space="preserve">NEW ALBANY                </v>
      </c>
      <c r="F17982" t="str">
        <f t="shared" ref="F17982:F18045" si="444">"MS"</f>
        <v>MS</v>
      </c>
    </row>
    <row r="17983" spans="1:6" x14ac:dyDescent="0.25">
      <c r="A17983" t="str">
        <f>"200016475"</f>
        <v>200016475</v>
      </c>
      <c r="B17983" t="str">
        <f>"1881478824"</f>
        <v>1881478824</v>
      </c>
      <c r="C17983" t="str">
        <f>"122300000X"</f>
        <v>122300000X</v>
      </c>
      <c r="D17983" t="str">
        <f>"CAMPBELL FAMILY DENTAL                            "</f>
        <v xml:space="preserve">CAMPBELL FAMILY DENTAL                            </v>
      </c>
      <c r="E17983" t="str">
        <f>"HAZLEHURST                "</f>
        <v xml:space="preserve">HAZLEHURST                </v>
      </c>
      <c r="F17983" t="str">
        <f t="shared" si="444"/>
        <v>MS</v>
      </c>
    </row>
    <row r="17984" spans="1:6" x14ac:dyDescent="0.25">
      <c r="A17984" t="str">
        <f>"200016482"</f>
        <v>200016482</v>
      </c>
      <c r="B17984" t="str">
        <f>"1417246877"</f>
        <v>1417246877</v>
      </c>
      <c r="C17984" t="str">
        <f>"208M00000X"</f>
        <v>208M00000X</v>
      </c>
      <c r="D17984" t="str">
        <f>"BHANDARI                 SHIV                     "</f>
        <v xml:space="preserve">BHANDARI                 SHIV                     </v>
      </c>
      <c r="E17984" t="str">
        <f>"JACKSON                   "</f>
        <v xml:space="preserve">JACKSON                   </v>
      </c>
      <c r="F17984" t="str">
        <f t="shared" si="444"/>
        <v>MS</v>
      </c>
    </row>
    <row r="17985" spans="1:6" x14ac:dyDescent="0.25">
      <c r="A17985" t="str">
        <f>"200016483"</f>
        <v>200016483</v>
      </c>
      <c r="B17985" t="str">
        <f>"1417246877"</f>
        <v>1417246877</v>
      </c>
      <c r="C17985" t="str">
        <f>"207R00000X"</f>
        <v>207R00000X</v>
      </c>
      <c r="D17985" t="str">
        <f>"BHANDARI                 SHIV                     "</f>
        <v xml:space="preserve">BHANDARI                 SHIV                     </v>
      </c>
      <c r="E17985" t="str">
        <f>"JACKSON                   "</f>
        <v xml:space="preserve">JACKSON                   </v>
      </c>
      <c r="F17985" t="str">
        <f t="shared" si="444"/>
        <v>MS</v>
      </c>
    </row>
    <row r="17986" spans="1:6" x14ac:dyDescent="0.25">
      <c r="A17986" t="str">
        <f>"200016487"</f>
        <v>200016487</v>
      </c>
      <c r="B17986" t="str">
        <f>"1245091016"</f>
        <v>1245091016</v>
      </c>
      <c r="C17986" t="str">
        <f>"363L00000X"</f>
        <v>363L00000X</v>
      </c>
      <c r="D17986" t="str">
        <f>"COLLUM                   KAYLA                    "</f>
        <v xml:space="preserve">COLLUM                   KAYLA                    </v>
      </c>
      <c r="E17986" t="str">
        <f>"BYRAM                     "</f>
        <v xml:space="preserve">BYRAM                     </v>
      </c>
      <c r="F17986" t="str">
        <f t="shared" si="444"/>
        <v>MS</v>
      </c>
    </row>
    <row r="17987" spans="1:6" x14ac:dyDescent="0.25">
      <c r="A17987" t="str">
        <f>"200016488"</f>
        <v>200016488</v>
      </c>
      <c r="B17987" t="str">
        <f>"1023847506"</f>
        <v>1023847506</v>
      </c>
      <c r="C17987" t="str">
        <f>"363L00000X"</f>
        <v>363L00000X</v>
      </c>
      <c r="D17987" t="str">
        <f>"MALONE                   BILLY                    "</f>
        <v xml:space="preserve">MALONE                   BILLY                    </v>
      </c>
      <c r="E17987" t="str">
        <f>"NEW ALBANY                "</f>
        <v xml:space="preserve">NEW ALBANY                </v>
      </c>
      <c r="F17987" t="str">
        <f t="shared" si="444"/>
        <v>MS</v>
      </c>
    </row>
    <row r="17988" spans="1:6" x14ac:dyDescent="0.25">
      <c r="A17988" t="str">
        <f>"200016492"</f>
        <v>200016492</v>
      </c>
      <c r="B17988" t="str">
        <f>"1831910025"</f>
        <v>1831910025</v>
      </c>
      <c r="C17988" t="str">
        <f>"363LF0000X"</f>
        <v>363LF0000X</v>
      </c>
      <c r="D17988" t="str">
        <f>"MOORE-CARTER             SHEENA                   "</f>
        <v xml:space="preserve">MOORE-CARTER             SHEENA                   </v>
      </c>
      <c r="E17988" t="str">
        <f>"JACKSON                   "</f>
        <v xml:space="preserve">JACKSON                   </v>
      </c>
      <c r="F17988" t="str">
        <f t="shared" si="444"/>
        <v>MS</v>
      </c>
    </row>
    <row r="17989" spans="1:6" x14ac:dyDescent="0.25">
      <c r="A17989" t="str">
        <f>"200016493"</f>
        <v>200016493</v>
      </c>
      <c r="B17989" t="str">
        <f>"1972747475"</f>
        <v>1972747475</v>
      </c>
      <c r="C17989" t="str">
        <f>"152W00000X"</f>
        <v>152W00000X</v>
      </c>
      <c r="D17989" t="str">
        <f>"MASTER EYE ASSOCIATES                             "</f>
        <v xml:space="preserve">MASTER EYE ASSOCIATES                             </v>
      </c>
      <c r="E17989" t="str">
        <f>"OLIVE BRANCH              "</f>
        <v xml:space="preserve">OLIVE BRANCH              </v>
      </c>
      <c r="F17989" t="str">
        <f t="shared" si="444"/>
        <v>MS</v>
      </c>
    </row>
    <row r="17990" spans="1:6" x14ac:dyDescent="0.25">
      <c r="A17990" t="str">
        <f>"200016498"</f>
        <v>200016498</v>
      </c>
      <c r="B17990" t="str">
        <f>"1255680427"</f>
        <v>1255680427</v>
      </c>
      <c r="C17990" t="str">
        <f>"122300000X"</f>
        <v>122300000X</v>
      </c>
      <c r="D17990" t="str">
        <f>"J. AUSTIN RAHAIM, DMD, MS, PA                     "</f>
        <v xml:space="preserve">J. AUSTIN RAHAIM, DMD, MS, PA                     </v>
      </c>
      <c r="E17990" t="str">
        <f>"DIBERVILLE                "</f>
        <v xml:space="preserve">DIBERVILLE                </v>
      </c>
      <c r="F17990" t="str">
        <f t="shared" si="444"/>
        <v>MS</v>
      </c>
    </row>
    <row r="17991" spans="1:6" x14ac:dyDescent="0.25">
      <c r="A17991" t="str">
        <f>"200016501"</f>
        <v>200016501</v>
      </c>
      <c r="B17991" t="str">
        <f>"1093533978"</f>
        <v>1093533978</v>
      </c>
      <c r="C17991" t="str">
        <f>"363L00000X"</f>
        <v>363L00000X</v>
      </c>
      <c r="D17991" t="str">
        <f>"PHILLIPS                 GALEN                    "</f>
        <v xml:space="preserve">PHILLIPS                 GALEN                    </v>
      </c>
      <c r="E17991" t="str">
        <f>"SOUTHAVEN                 "</f>
        <v xml:space="preserve">SOUTHAVEN                 </v>
      </c>
      <c r="F17991" t="str">
        <f t="shared" si="444"/>
        <v>MS</v>
      </c>
    </row>
    <row r="17992" spans="1:6" x14ac:dyDescent="0.25">
      <c r="A17992" t="str">
        <f>"200016502"</f>
        <v>200016502</v>
      </c>
      <c r="B17992" t="str">
        <f>"1447351630"</f>
        <v>1447351630</v>
      </c>
      <c r="C17992" t="str">
        <f>"367500000X"</f>
        <v>367500000X</v>
      </c>
      <c r="D17992" t="str">
        <f>"MURPHY                   CURT                     "</f>
        <v xml:space="preserve">MURPHY                   CURT                     </v>
      </c>
      <c r="E17992" t="str">
        <f>"GULFPORT                  "</f>
        <v xml:space="preserve">GULFPORT                  </v>
      </c>
      <c r="F17992" t="str">
        <f t="shared" si="444"/>
        <v>MS</v>
      </c>
    </row>
    <row r="17993" spans="1:6" x14ac:dyDescent="0.25">
      <c r="A17993" t="str">
        <f>"200016504"</f>
        <v>200016504</v>
      </c>
      <c r="B17993" t="str">
        <f>"1598472763"</f>
        <v>1598472763</v>
      </c>
      <c r="C17993" t="str">
        <f>"363LP0808X"</f>
        <v>363LP0808X</v>
      </c>
      <c r="D17993" t="str">
        <f>"LEE                      COURTNEY                 "</f>
        <v xml:space="preserve">LEE                      COURTNEY                 </v>
      </c>
      <c r="E17993" t="str">
        <f>"GULFPORT                  "</f>
        <v xml:space="preserve">GULFPORT                  </v>
      </c>
      <c r="F17993" t="str">
        <f t="shared" si="444"/>
        <v>MS</v>
      </c>
    </row>
    <row r="17994" spans="1:6" x14ac:dyDescent="0.25">
      <c r="A17994" t="str">
        <f>"200016509"</f>
        <v>200016509</v>
      </c>
      <c r="B17994" t="str">
        <f>"1649007428"</f>
        <v>1649007428</v>
      </c>
      <c r="C17994" t="str">
        <f>"363L00000X"</f>
        <v>363L00000X</v>
      </c>
      <c r="D17994" t="str">
        <f>"BRITT                    BRANDI                   "</f>
        <v xml:space="preserve">BRITT                    BRANDI                   </v>
      </c>
      <c r="E17994" t="str">
        <f>"PICAYUNE                  "</f>
        <v xml:space="preserve">PICAYUNE                  </v>
      </c>
      <c r="F17994" t="str">
        <f t="shared" si="444"/>
        <v>MS</v>
      </c>
    </row>
    <row r="17995" spans="1:6" x14ac:dyDescent="0.25">
      <c r="A17995" t="str">
        <f>"200016510"</f>
        <v>200016510</v>
      </c>
      <c r="B17995" t="str">
        <f>"1841012275"</f>
        <v>1841012275</v>
      </c>
      <c r="C17995" t="str">
        <f>"363LA2100X"</f>
        <v>363LA2100X</v>
      </c>
      <c r="D17995" t="str">
        <f>"GRAY                     WESLEY       A           "</f>
        <v xml:space="preserve">GRAY                     WESLEY       A           </v>
      </c>
      <c r="E17995" t="str">
        <f>"SOUTHAVEN                 "</f>
        <v xml:space="preserve">SOUTHAVEN                 </v>
      </c>
      <c r="F17995" t="str">
        <f t="shared" si="444"/>
        <v>MS</v>
      </c>
    </row>
    <row r="17996" spans="1:6" x14ac:dyDescent="0.25">
      <c r="A17996" t="str">
        <f>"200016516"</f>
        <v>200016516</v>
      </c>
      <c r="B17996" t="str">
        <f>"1306806070"</f>
        <v>1306806070</v>
      </c>
      <c r="C17996" t="str">
        <f>"2080N0001X"</f>
        <v>2080N0001X</v>
      </c>
      <c r="D17996" t="str">
        <f>"BOYD                     ROLAND       L           "</f>
        <v xml:space="preserve">BOYD                     ROLAND       L           </v>
      </c>
      <c r="E17996" t="str">
        <f>"MERIDIAN                  "</f>
        <v xml:space="preserve">MERIDIAN                  </v>
      </c>
      <c r="F17996" t="str">
        <f t="shared" si="444"/>
        <v>MS</v>
      </c>
    </row>
    <row r="17997" spans="1:6" x14ac:dyDescent="0.25">
      <c r="A17997" t="str">
        <f>"200016518"</f>
        <v>200016518</v>
      </c>
      <c r="B17997" t="str">
        <f>"1295543981"</f>
        <v>1295543981</v>
      </c>
      <c r="C17997" t="str">
        <f>"363LF0000X"</f>
        <v>363LF0000X</v>
      </c>
      <c r="D17997" t="str">
        <f>"BACALLAO-CUMMINGS        ANA                      "</f>
        <v xml:space="preserve">BACALLAO-CUMMINGS        ANA                      </v>
      </c>
      <c r="E17997" t="str">
        <f>"FLOWOOD                   "</f>
        <v xml:space="preserve">FLOWOOD                   </v>
      </c>
      <c r="F17997" t="str">
        <f t="shared" si="444"/>
        <v>MS</v>
      </c>
    </row>
    <row r="17998" spans="1:6" x14ac:dyDescent="0.25">
      <c r="A17998" t="str">
        <f>"200016519"</f>
        <v>200016519</v>
      </c>
      <c r="B17998" t="str">
        <f>"1295543981"</f>
        <v>1295543981</v>
      </c>
      <c r="C17998" t="str">
        <f>"363L00000X"</f>
        <v>363L00000X</v>
      </c>
      <c r="D17998" t="str">
        <f>"BACALLAO-CUMMINGS        ANA                      "</f>
        <v xml:space="preserve">BACALLAO-CUMMINGS        ANA                      </v>
      </c>
      <c r="E17998" t="str">
        <f>"FLOWOOD                   "</f>
        <v xml:space="preserve">FLOWOOD                   </v>
      </c>
      <c r="F17998" t="str">
        <f t="shared" si="444"/>
        <v>MS</v>
      </c>
    </row>
    <row r="17999" spans="1:6" x14ac:dyDescent="0.25">
      <c r="A17999" t="str">
        <f>"200016527"</f>
        <v>200016527</v>
      </c>
      <c r="B17999" t="str">
        <f>"1366032385"</f>
        <v>1366032385</v>
      </c>
      <c r="C17999" t="str">
        <f>"207L00000X"</f>
        <v>207L00000X</v>
      </c>
      <c r="D17999" t="str">
        <f>"CHAUHAN                  VIKAS                    "</f>
        <v xml:space="preserve">CHAUHAN                  VIKAS                    </v>
      </c>
      <c r="E17999" t="str">
        <f>"JACKSON                   "</f>
        <v xml:space="preserve">JACKSON                   </v>
      </c>
      <c r="F17999" t="str">
        <f t="shared" si="444"/>
        <v>MS</v>
      </c>
    </row>
    <row r="18000" spans="1:6" x14ac:dyDescent="0.25">
      <c r="A18000" t="str">
        <f>"200016544"</f>
        <v>200016544</v>
      </c>
      <c r="B18000" t="str">
        <f>"1235840778"</f>
        <v>1235840778</v>
      </c>
      <c r="C18000" t="str">
        <f>"363L00000X"</f>
        <v>363L00000X</v>
      </c>
      <c r="D18000" t="str">
        <f>"ARMSTRONG                ALISON                   "</f>
        <v xml:space="preserve">ARMSTRONG                ALISON                   </v>
      </c>
      <c r="E18000" t="str">
        <f>"FLOWOOD                   "</f>
        <v xml:space="preserve">FLOWOOD                   </v>
      </c>
      <c r="F18000" t="str">
        <f t="shared" si="444"/>
        <v>MS</v>
      </c>
    </row>
    <row r="18001" spans="1:6" x14ac:dyDescent="0.25">
      <c r="A18001" t="str">
        <f>"200016546"</f>
        <v>200016546</v>
      </c>
      <c r="B18001" t="str">
        <f>"1346069960"</f>
        <v>1346069960</v>
      </c>
      <c r="C18001" t="str">
        <f>"363LF0000X"</f>
        <v>363LF0000X</v>
      </c>
      <c r="D18001" t="str">
        <f>"GOODMAN                  ALICIA       D           "</f>
        <v xml:space="preserve">GOODMAN                  ALICIA       D           </v>
      </c>
      <c r="E18001" t="str">
        <f>"GULFPORT                  "</f>
        <v xml:space="preserve">GULFPORT                  </v>
      </c>
      <c r="F18001" t="str">
        <f t="shared" si="444"/>
        <v>MS</v>
      </c>
    </row>
    <row r="18002" spans="1:6" x14ac:dyDescent="0.25">
      <c r="A18002" t="str">
        <f>"200016557"</f>
        <v>200016557</v>
      </c>
      <c r="B18002" t="str">
        <f>"1396520151"</f>
        <v>1396520151</v>
      </c>
      <c r="C18002" t="str">
        <f>"363LF0000X"</f>
        <v>363LF0000X</v>
      </c>
      <c r="D18002" t="str">
        <f>"MACKEY                   AMBER        S           "</f>
        <v xml:space="preserve">MACKEY                   AMBER        S           </v>
      </c>
      <c r="E18002" t="str">
        <f>"TUPELO                    "</f>
        <v xml:space="preserve">TUPELO                    </v>
      </c>
      <c r="F18002" t="str">
        <f t="shared" si="444"/>
        <v>MS</v>
      </c>
    </row>
    <row r="18003" spans="1:6" x14ac:dyDescent="0.25">
      <c r="A18003" t="str">
        <f>"200016558"</f>
        <v>200016558</v>
      </c>
      <c r="B18003" t="str">
        <f>"1396520151"</f>
        <v>1396520151</v>
      </c>
      <c r="C18003" t="str">
        <f>"363L00000X"</f>
        <v>363L00000X</v>
      </c>
      <c r="D18003" t="str">
        <f>"MACKEY                   AMBER        S           "</f>
        <v xml:space="preserve">MACKEY                   AMBER        S           </v>
      </c>
      <c r="E18003" t="str">
        <f>"TUPELO                    "</f>
        <v xml:space="preserve">TUPELO                    </v>
      </c>
      <c r="F18003" t="str">
        <f t="shared" si="444"/>
        <v>MS</v>
      </c>
    </row>
    <row r="18004" spans="1:6" x14ac:dyDescent="0.25">
      <c r="A18004" t="str">
        <f>"200016560"</f>
        <v>200016560</v>
      </c>
      <c r="B18004" t="str">
        <f>"1013396837"</f>
        <v>1013396837</v>
      </c>
      <c r="C18004" t="str">
        <f>"363L00000X"</f>
        <v>363L00000X</v>
      </c>
      <c r="D18004" t="str">
        <f>"HILBUN                   TIFFANY      L           "</f>
        <v xml:space="preserve">HILBUN                   TIFFANY      L           </v>
      </c>
      <c r="E18004" t="str">
        <f>"LAUREL                    "</f>
        <v xml:space="preserve">LAUREL                    </v>
      </c>
      <c r="F18004" t="str">
        <f t="shared" si="444"/>
        <v>MS</v>
      </c>
    </row>
    <row r="18005" spans="1:6" x14ac:dyDescent="0.25">
      <c r="A18005" t="str">
        <f>"200016562"</f>
        <v>200016562</v>
      </c>
      <c r="B18005" t="str">
        <f>"1396486551"</f>
        <v>1396486551</v>
      </c>
      <c r="C18005" t="str">
        <f>"363LP0808X"</f>
        <v>363LP0808X</v>
      </c>
      <c r="D18005" t="str">
        <f>"LEBER                    OLIVIA                   "</f>
        <v xml:space="preserve">LEBER                    OLIVIA                   </v>
      </c>
      <c r="E18005" t="str">
        <f>"FLOWOOD                   "</f>
        <v xml:space="preserve">FLOWOOD                   </v>
      </c>
      <c r="F18005" t="str">
        <f t="shared" si="444"/>
        <v>MS</v>
      </c>
    </row>
    <row r="18006" spans="1:6" x14ac:dyDescent="0.25">
      <c r="A18006" t="str">
        <f>"200016565"</f>
        <v>200016565</v>
      </c>
      <c r="B18006" t="str">
        <f>"1326818261"</f>
        <v>1326818261</v>
      </c>
      <c r="C18006" t="str">
        <f>"363L00000X"</f>
        <v>363L00000X</v>
      </c>
      <c r="D18006" t="str">
        <f>"HUGHES                   BRYCE                    "</f>
        <v xml:space="preserve">HUGHES                   BRYCE                    </v>
      </c>
      <c r="E18006" t="str">
        <f>"FLOWOOD                   "</f>
        <v xml:space="preserve">FLOWOOD                   </v>
      </c>
      <c r="F18006" t="str">
        <f t="shared" si="444"/>
        <v>MS</v>
      </c>
    </row>
    <row r="18007" spans="1:6" x14ac:dyDescent="0.25">
      <c r="A18007" t="str">
        <f>"200016566"</f>
        <v>200016566</v>
      </c>
      <c r="B18007" t="str">
        <f>"1285181578"</f>
        <v>1285181578</v>
      </c>
      <c r="C18007" t="str">
        <f>"207R00000X"</f>
        <v>207R00000X</v>
      </c>
      <c r="D18007" t="str">
        <f>"SWI                      AHMED                    "</f>
        <v xml:space="preserve">SWI                      AHMED                    </v>
      </c>
      <c r="E18007" t="str">
        <f>"JACKSON                   "</f>
        <v xml:space="preserve">JACKSON                   </v>
      </c>
      <c r="F18007" t="str">
        <f t="shared" si="444"/>
        <v>MS</v>
      </c>
    </row>
    <row r="18008" spans="1:6" x14ac:dyDescent="0.25">
      <c r="A18008" t="str">
        <f>"200016568"</f>
        <v>200016568</v>
      </c>
      <c r="B18008" t="str">
        <f>"1508549858"</f>
        <v>1508549858</v>
      </c>
      <c r="C18008" t="str">
        <f>"363L00000X"</f>
        <v>363L00000X</v>
      </c>
      <c r="D18008" t="str">
        <f>"OGLETREE                 BRANDI                   "</f>
        <v xml:space="preserve">OGLETREE                 BRANDI                   </v>
      </c>
      <c r="E18008" t="str">
        <f>"PHILADELPHIA              "</f>
        <v xml:space="preserve">PHILADELPHIA              </v>
      </c>
      <c r="F18008" t="str">
        <f t="shared" si="444"/>
        <v>MS</v>
      </c>
    </row>
    <row r="18009" spans="1:6" x14ac:dyDescent="0.25">
      <c r="A18009" t="str">
        <f>"200016569"</f>
        <v>200016569</v>
      </c>
      <c r="B18009" t="str">
        <f>"1861214041"</f>
        <v>1861214041</v>
      </c>
      <c r="C18009" t="str">
        <f>"367500000X"</f>
        <v>367500000X</v>
      </c>
      <c r="D18009" t="str">
        <f>"WILLIAMSON               STEPHANIE    L           "</f>
        <v xml:space="preserve">WILLIAMSON               STEPHANIE    L           </v>
      </c>
      <c r="E18009" t="str">
        <f>"HATTIESBURG               "</f>
        <v xml:space="preserve">HATTIESBURG               </v>
      </c>
      <c r="F18009" t="str">
        <f t="shared" si="444"/>
        <v>MS</v>
      </c>
    </row>
    <row r="18010" spans="1:6" x14ac:dyDescent="0.25">
      <c r="A18010" t="str">
        <f>"200016571"</f>
        <v>200016571</v>
      </c>
      <c r="B18010" t="str">
        <f>"1083432025"</f>
        <v>1083432025</v>
      </c>
      <c r="C18010" t="str">
        <f>"363LF0000X"</f>
        <v>363LF0000X</v>
      </c>
      <c r="D18010" t="str">
        <f>"TRANUM                   HAYDEN       H           "</f>
        <v xml:space="preserve">TRANUM                   HAYDEN       H           </v>
      </c>
      <c r="E18010" t="str">
        <f>"COLUMBUS                  "</f>
        <v xml:space="preserve">COLUMBUS                  </v>
      </c>
      <c r="F18010" t="str">
        <f t="shared" si="444"/>
        <v>MS</v>
      </c>
    </row>
    <row r="18011" spans="1:6" x14ac:dyDescent="0.25">
      <c r="A18011" t="str">
        <f>"200016577"</f>
        <v>200016577</v>
      </c>
      <c r="B18011" t="str">
        <f>"1205592623"</f>
        <v>1205592623</v>
      </c>
      <c r="C18011" t="str">
        <f>"363L00000X"</f>
        <v>363L00000X</v>
      </c>
      <c r="D18011" t="str">
        <f>"SMITH                    MARILYN                  "</f>
        <v xml:space="preserve">SMITH                    MARILYN                  </v>
      </c>
      <c r="E18011" t="str">
        <f>"FLOWOOD                   "</f>
        <v xml:space="preserve">FLOWOOD                   </v>
      </c>
      <c r="F18011" t="str">
        <f t="shared" si="444"/>
        <v>MS</v>
      </c>
    </row>
    <row r="18012" spans="1:6" x14ac:dyDescent="0.25">
      <c r="A18012" t="str">
        <f>"200016579"</f>
        <v>200016579</v>
      </c>
      <c r="B18012" t="str">
        <f>"1912302159"</f>
        <v>1912302159</v>
      </c>
      <c r="C18012" t="str">
        <f>"363LP2300X"</f>
        <v>363LP2300X</v>
      </c>
      <c r="D18012" t="str">
        <f>"LONG                     YOLANDA                  "</f>
        <v xml:space="preserve">LONG                     YOLANDA                  </v>
      </c>
      <c r="E18012" t="str">
        <f>"PASCAGOULA                "</f>
        <v xml:space="preserve">PASCAGOULA                </v>
      </c>
      <c r="F18012" t="str">
        <f t="shared" si="444"/>
        <v>MS</v>
      </c>
    </row>
    <row r="18013" spans="1:6" x14ac:dyDescent="0.25">
      <c r="A18013" t="str">
        <f>"200016594"</f>
        <v>200016594</v>
      </c>
      <c r="B18013" t="str">
        <f>"1861983660"</f>
        <v>1861983660</v>
      </c>
      <c r="C18013" t="str">
        <f>"2084N0400X"</f>
        <v>2084N0400X</v>
      </c>
      <c r="D18013" t="str">
        <f>"PINNA                    PRANUSHA                 "</f>
        <v xml:space="preserve">PINNA                    PRANUSHA                 </v>
      </c>
      <c r="E18013" t="str">
        <f>"OCEAN SPRINGS             "</f>
        <v xml:space="preserve">OCEAN SPRINGS             </v>
      </c>
      <c r="F18013" t="str">
        <f t="shared" si="444"/>
        <v>MS</v>
      </c>
    </row>
    <row r="18014" spans="1:6" x14ac:dyDescent="0.25">
      <c r="A18014" t="str">
        <f>"200016595"</f>
        <v>200016595</v>
      </c>
      <c r="B18014" t="str">
        <f>"1902288699"</f>
        <v>1902288699</v>
      </c>
      <c r="C18014" t="str">
        <f>"363LF0000X"</f>
        <v>363LF0000X</v>
      </c>
      <c r="D18014" t="str">
        <f>"BECK                     CLAIRE                   "</f>
        <v xml:space="preserve">BECK                     CLAIRE                   </v>
      </c>
      <c r="E18014" t="str">
        <f>"OXFORD                    "</f>
        <v xml:space="preserve">OXFORD                    </v>
      </c>
      <c r="F18014" t="str">
        <f t="shared" si="444"/>
        <v>MS</v>
      </c>
    </row>
    <row r="18015" spans="1:6" x14ac:dyDescent="0.25">
      <c r="A18015" t="str">
        <f>"200016601"</f>
        <v>200016601</v>
      </c>
      <c r="B18015" t="str">
        <f>"1609960889"</f>
        <v>1609960889</v>
      </c>
      <c r="C18015" t="str">
        <f>"207W00000X"</f>
        <v>207W00000X</v>
      </c>
      <c r="D18015" t="str">
        <f>"FAUCETT                  DONALD                   "</f>
        <v xml:space="preserve">FAUCETT                  DONALD                   </v>
      </c>
      <c r="E18015" t="str">
        <f>"JACKSON                   "</f>
        <v xml:space="preserve">JACKSON                   </v>
      </c>
      <c r="F18015" t="str">
        <f t="shared" si="444"/>
        <v>MS</v>
      </c>
    </row>
    <row r="18016" spans="1:6" x14ac:dyDescent="0.25">
      <c r="A18016" t="str">
        <f>"200016602"</f>
        <v>200016602</v>
      </c>
      <c r="B18016" t="str">
        <f>"1538532528"</f>
        <v>1538532528</v>
      </c>
      <c r="C18016" t="str">
        <f>"363L00000X"</f>
        <v>363L00000X</v>
      </c>
      <c r="D18016" t="str">
        <f>"SHEFFIELD                LESLIE       D           "</f>
        <v xml:space="preserve">SHEFFIELD                LESLIE       D           </v>
      </c>
      <c r="E18016" t="str">
        <f>"FLOWOOD                   "</f>
        <v xml:space="preserve">FLOWOOD                   </v>
      </c>
      <c r="F18016" t="str">
        <f t="shared" si="444"/>
        <v>MS</v>
      </c>
    </row>
    <row r="18017" spans="1:6" x14ac:dyDescent="0.25">
      <c r="A18017" t="str">
        <f>"200016611"</f>
        <v>200016611</v>
      </c>
      <c r="B18017" t="str">
        <f>"1184458846"</f>
        <v>1184458846</v>
      </c>
      <c r="C18017" t="str">
        <f>"363A00000X"</f>
        <v>363A00000X</v>
      </c>
      <c r="D18017" t="str">
        <f>"BOUDREAUX                ANNA CATHERIN            "</f>
        <v xml:space="preserve">BOUDREAUX                ANNA CATHERIN            </v>
      </c>
      <c r="E18017" t="str">
        <f>"OXFORD                    "</f>
        <v xml:space="preserve">OXFORD                    </v>
      </c>
      <c r="F18017" t="str">
        <f t="shared" si="444"/>
        <v>MS</v>
      </c>
    </row>
    <row r="18018" spans="1:6" x14ac:dyDescent="0.25">
      <c r="A18018" t="str">
        <f>"200016620"</f>
        <v>200016620</v>
      </c>
      <c r="B18018" t="str">
        <f>"1326527300"</f>
        <v>1326527300</v>
      </c>
      <c r="C18018" t="str">
        <f>"363L00000X"</f>
        <v>363L00000X</v>
      </c>
      <c r="D18018" t="str">
        <f>"PERSON                   LAUREN                   "</f>
        <v xml:space="preserve">PERSON                   LAUREN                   </v>
      </c>
      <c r="E18018" t="str">
        <f>"HERNANDO                  "</f>
        <v xml:space="preserve">HERNANDO                  </v>
      </c>
      <c r="F18018" t="str">
        <f t="shared" si="444"/>
        <v>MS</v>
      </c>
    </row>
    <row r="18019" spans="1:6" x14ac:dyDescent="0.25">
      <c r="A18019" t="str">
        <f>"200016622"</f>
        <v>200016622</v>
      </c>
      <c r="B18019" t="str">
        <f>"1114973922"</f>
        <v>1114973922</v>
      </c>
      <c r="C18019" t="str">
        <f>"208VP0014X"</f>
        <v>208VP0014X</v>
      </c>
      <c r="D18019" t="str">
        <f>"SIDDIQUI                 MERAJ        N           "</f>
        <v xml:space="preserve">SIDDIQUI                 MERAJ        N           </v>
      </c>
      <c r="E18019" t="str">
        <f>"GREENVILLE                "</f>
        <v xml:space="preserve">GREENVILLE                </v>
      </c>
      <c r="F18019" t="str">
        <f t="shared" si="444"/>
        <v>MS</v>
      </c>
    </row>
    <row r="18020" spans="1:6" x14ac:dyDescent="0.25">
      <c r="A18020" t="str">
        <f>"200016627"</f>
        <v>200016627</v>
      </c>
      <c r="B18020" t="str">
        <f>"1588417422"</f>
        <v>1588417422</v>
      </c>
      <c r="C18020" t="str">
        <f>"367500000X"</f>
        <v>367500000X</v>
      </c>
      <c r="D18020" t="str">
        <f>"SMITH                    JAMIE                    "</f>
        <v xml:space="preserve">SMITH                    JAMIE                    </v>
      </c>
      <c r="E18020" t="str">
        <f>"CORINTH                   "</f>
        <v xml:space="preserve">CORINTH                   </v>
      </c>
      <c r="F18020" t="str">
        <f t="shared" si="444"/>
        <v>MS</v>
      </c>
    </row>
    <row r="18021" spans="1:6" x14ac:dyDescent="0.25">
      <c r="A18021" t="str">
        <f>"200016632"</f>
        <v>200016632</v>
      </c>
      <c r="B18021" t="str">
        <f>"1932936754"</f>
        <v>1932936754</v>
      </c>
      <c r="C18021" t="str">
        <f>"363LF0000X"</f>
        <v>363LF0000X</v>
      </c>
      <c r="D18021" t="str">
        <f>"DOWNS                    LAURA                    "</f>
        <v xml:space="preserve">DOWNS                    LAURA                    </v>
      </c>
      <c r="E18021" t="str">
        <f>"INDIANOLA                 "</f>
        <v xml:space="preserve">INDIANOLA                 </v>
      </c>
      <c r="F18021" t="str">
        <f t="shared" si="444"/>
        <v>MS</v>
      </c>
    </row>
    <row r="18022" spans="1:6" x14ac:dyDescent="0.25">
      <c r="A18022" t="str">
        <f>"200016637"</f>
        <v>200016637</v>
      </c>
      <c r="B18022" t="str">
        <f>"1245525658"</f>
        <v>1245525658</v>
      </c>
      <c r="C18022" t="str">
        <f>"207R00000X"</f>
        <v>207R00000X</v>
      </c>
      <c r="D18022" t="str">
        <f>"MORRISON                 JOHN                     "</f>
        <v xml:space="preserve">MORRISON                 JOHN                     </v>
      </c>
      <c r="E18022" t="str">
        <f>"NEW ALBANY                "</f>
        <v xml:space="preserve">NEW ALBANY                </v>
      </c>
      <c r="F18022" t="str">
        <f t="shared" si="444"/>
        <v>MS</v>
      </c>
    </row>
    <row r="18023" spans="1:6" x14ac:dyDescent="0.25">
      <c r="A18023" t="str">
        <f>"200016644"</f>
        <v>200016644</v>
      </c>
      <c r="B18023" t="str">
        <f>"1235665597"</f>
        <v>1235665597</v>
      </c>
      <c r="C18023" t="str">
        <f>"207R00000X"</f>
        <v>207R00000X</v>
      </c>
      <c r="D18023" t="str">
        <f>"GARCIA                   LUIS LORA                "</f>
        <v xml:space="preserve">GARCIA                   LUIS LORA                </v>
      </c>
      <c r="E18023" t="str">
        <f>"JACKSON                   "</f>
        <v xml:space="preserve">JACKSON                   </v>
      </c>
      <c r="F18023" t="str">
        <f t="shared" si="444"/>
        <v>MS</v>
      </c>
    </row>
    <row r="18024" spans="1:6" x14ac:dyDescent="0.25">
      <c r="A18024" t="str">
        <f>"200016654"</f>
        <v>200016654</v>
      </c>
      <c r="B18024" t="str">
        <f>"1982425666"</f>
        <v>1982425666</v>
      </c>
      <c r="C18024" t="str">
        <f>"363L00000X"</f>
        <v>363L00000X</v>
      </c>
      <c r="D18024" t="str">
        <f>"PRINGLE                  TYESHA                   "</f>
        <v xml:space="preserve">PRINGLE                  TYESHA                   </v>
      </c>
      <c r="E18024" t="str">
        <f>"NEWTON                    "</f>
        <v xml:space="preserve">NEWTON                    </v>
      </c>
      <c r="F18024" t="str">
        <f t="shared" si="444"/>
        <v>MS</v>
      </c>
    </row>
    <row r="18025" spans="1:6" x14ac:dyDescent="0.25">
      <c r="A18025" t="str">
        <f>"200016656"</f>
        <v>200016656</v>
      </c>
      <c r="B18025" t="str">
        <f>"1891278511"</f>
        <v>1891278511</v>
      </c>
      <c r="C18025" t="str">
        <f>"363LF0000X"</f>
        <v>363LF0000X</v>
      </c>
      <c r="D18025" t="str">
        <f>"HAMLETT                  SHANEEKA                 "</f>
        <v xml:space="preserve">HAMLETT                  SHANEEKA                 </v>
      </c>
      <c r="E18025" t="str">
        <f>"TUPELO                    "</f>
        <v xml:space="preserve">TUPELO                    </v>
      </c>
      <c r="F18025" t="str">
        <f t="shared" si="444"/>
        <v>MS</v>
      </c>
    </row>
    <row r="18026" spans="1:6" x14ac:dyDescent="0.25">
      <c r="A18026" t="str">
        <f>"200016664"</f>
        <v>200016664</v>
      </c>
      <c r="B18026" t="str">
        <f>"1174599864"</f>
        <v>1174599864</v>
      </c>
      <c r="C18026" t="str">
        <f>"207L00000X"</f>
        <v>207L00000X</v>
      </c>
      <c r="D18026" t="str">
        <f>"LINDSAY                  HERBERT      L           "</f>
        <v xml:space="preserve">LINDSAY                  HERBERT      L           </v>
      </c>
      <c r="E18026" t="str">
        <f>"OXFORD                    "</f>
        <v xml:space="preserve">OXFORD                    </v>
      </c>
      <c r="F18026" t="str">
        <f t="shared" si="444"/>
        <v>MS</v>
      </c>
    </row>
    <row r="18027" spans="1:6" x14ac:dyDescent="0.25">
      <c r="A18027" t="str">
        <f>"200016691"</f>
        <v>200016691</v>
      </c>
      <c r="B18027" t="str">
        <f>"1326562257"</f>
        <v>1326562257</v>
      </c>
      <c r="C18027" t="str">
        <f>"2084N0400X"</f>
        <v>2084N0400X</v>
      </c>
      <c r="D18027" t="str">
        <f>"PAREDES                  DANELVIS                 "</f>
        <v xml:space="preserve">PAREDES                  DANELVIS                 </v>
      </c>
      <c r="E18027" t="str">
        <f>"TUPELO                    "</f>
        <v xml:space="preserve">TUPELO                    </v>
      </c>
      <c r="F18027" t="str">
        <f t="shared" si="444"/>
        <v>MS</v>
      </c>
    </row>
    <row r="18028" spans="1:6" x14ac:dyDescent="0.25">
      <c r="A18028" t="str">
        <f>"200016694"</f>
        <v>200016694</v>
      </c>
      <c r="B18028" t="str">
        <f>"1700966090"</f>
        <v>1700966090</v>
      </c>
      <c r="C18028" t="str">
        <f>"207Y00000X"</f>
        <v>207Y00000X</v>
      </c>
      <c r="D18028" t="str">
        <f>"PIPPIN                   GREGORY                  "</f>
        <v xml:space="preserve">PIPPIN                   GREGORY                  </v>
      </c>
      <c r="E18028" t="str">
        <f>"MCCOMB                    "</f>
        <v xml:space="preserve">MCCOMB                    </v>
      </c>
      <c r="F18028" t="str">
        <f t="shared" si="444"/>
        <v>MS</v>
      </c>
    </row>
    <row r="18029" spans="1:6" x14ac:dyDescent="0.25">
      <c r="A18029" t="str">
        <f>"200016700"</f>
        <v>200016700</v>
      </c>
      <c r="B18029" t="str">
        <f>"1184275133"</f>
        <v>1184275133</v>
      </c>
      <c r="C18029" t="str">
        <f>"363LF0000X"</f>
        <v>363LF0000X</v>
      </c>
      <c r="D18029" t="str">
        <f>"JAMES                    KATHRYN      M           "</f>
        <v xml:space="preserve">JAMES                    KATHRYN      M           </v>
      </c>
      <c r="E18029" t="str">
        <f>"RULEVILLE                 "</f>
        <v xml:space="preserve">RULEVILLE                 </v>
      </c>
      <c r="F18029" t="str">
        <f t="shared" si="444"/>
        <v>MS</v>
      </c>
    </row>
    <row r="18030" spans="1:6" x14ac:dyDescent="0.25">
      <c r="A18030" t="str">
        <f>"200016705"</f>
        <v>200016705</v>
      </c>
      <c r="B18030" t="str">
        <f>"1043096308"</f>
        <v>1043096308</v>
      </c>
      <c r="C18030" t="str">
        <f>"363LF0000X"</f>
        <v>363LF0000X</v>
      </c>
      <c r="D18030" t="str">
        <f>"BOWEN                    BRITTANY     L           "</f>
        <v xml:space="preserve">BOWEN                    BRITTANY     L           </v>
      </c>
      <c r="E18030" t="str">
        <f>"COLUMBUS                  "</f>
        <v xml:space="preserve">COLUMBUS                  </v>
      </c>
      <c r="F18030" t="str">
        <f t="shared" si="444"/>
        <v>MS</v>
      </c>
    </row>
    <row r="18031" spans="1:6" x14ac:dyDescent="0.25">
      <c r="A18031" t="str">
        <f>"200016711"</f>
        <v>200016711</v>
      </c>
      <c r="B18031" t="str">
        <f>"1205860418"</f>
        <v>1205860418</v>
      </c>
      <c r="C18031" t="str">
        <f>"122300000X"</f>
        <v>122300000X</v>
      </c>
      <c r="D18031" t="str">
        <f>"ENGEL ORTHODONTICS                                "</f>
        <v xml:space="preserve">ENGEL ORTHODONTICS                                </v>
      </c>
      <c r="E18031" t="str">
        <f>"MADISON                   "</f>
        <v xml:space="preserve">MADISON                   </v>
      </c>
      <c r="F18031" t="str">
        <f t="shared" si="444"/>
        <v>MS</v>
      </c>
    </row>
    <row r="18032" spans="1:6" x14ac:dyDescent="0.25">
      <c r="A18032" t="str">
        <f>"200016716"</f>
        <v>200016716</v>
      </c>
      <c r="B18032" t="str">
        <f>"1891428363"</f>
        <v>1891428363</v>
      </c>
      <c r="C18032" t="str">
        <f>"207P00000X"</f>
        <v>207P00000X</v>
      </c>
      <c r="D18032" t="str">
        <f>"POWELL                   LAUREN                   "</f>
        <v xml:space="preserve">POWELL                   LAUREN                   </v>
      </c>
      <c r="E18032" t="str">
        <f>"BOONEVILLE                "</f>
        <v xml:space="preserve">BOONEVILLE                </v>
      </c>
      <c r="F18032" t="str">
        <f t="shared" si="444"/>
        <v>MS</v>
      </c>
    </row>
    <row r="18033" spans="1:6" x14ac:dyDescent="0.25">
      <c r="A18033" t="str">
        <f>"200016718"</f>
        <v>200016718</v>
      </c>
      <c r="B18033" t="str">
        <f>"1538330444"</f>
        <v>1538330444</v>
      </c>
      <c r="C18033" t="str">
        <f>"1223G0001X"</f>
        <v>1223G0001X</v>
      </c>
      <c r="D18033" t="str">
        <f>"FLORENCE DENTAL CLINIC                            "</f>
        <v xml:space="preserve">FLORENCE DENTAL CLINIC                            </v>
      </c>
      <c r="E18033" t="str">
        <f>"FLORENCE                  "</f>
        <v xml:space="preserve">FLORENCE                  </v>
      </c>
      <c r="F18033" t="str">
        <f t="shared" si="444"/>
        <v>MS</v>
      </c>
    </row>
    <row r="18034" spans="1:6" x14ac:dyDescent="0.25">
      <c r="A18034" t="str">
        <f>"200016725"</f>
        <v>200016725</v>
      </c>
      <c r="B18034" t="str">
        <f>"1306040985"</f>
        <v>1306040985</v>
      </c>
      <c r="C18034" t="str">
        <f>"208000000X"</f>
        <v>208000000X</v>
      </c>
      <c r="D18034" t="str">
        <f>"NAGARAJ                  PANKAJ                   "</f>
        <v xml:space="preserve">NAGARAJ                  PANKAJ                   </v>
      </c>
      <c r="E18034" t="str">
        <f>"HATTIESBURG               "</f>
        <v xml:space="preserve">HATTIESBURG               </v>
      </c>
      <c r="F18034" t="str">
        <f t="shared" si="444"/>
        <v>MS</v>
      </c>
    </row>
    <row r="18035" spans="1:6" x14ac:dyDescent="0.25">
      <c r="A18035" t="str">
        <f>"200016726"</f>
        <v>200016726</v>
      </c>
      <c r="B18035" t="str">
        <f>"1306040985"</f>
        <v>1306040985</v>
      </c>
      <c r="C18035" t="str">
        <f>"2080N0001X"</f>
        <v>2080N0001X</v>
      </c>
      <c r="D18035" t="str">
        <f>"NAGARAJ                  PANKAJ                   "</f>
        <v xml:space="preserve">NAGARAJ                  PANKAJ                   </v>
      </c>
      <c r="E18035" t="str">
        <f>"HATTIESBURG               "</f>
        <v xml:space="preserve">HATTIESBURG               </v>
      </c>
      <c r="F18035" t="str">
        <f t="shared" si="444"/>
        <v>MS</v>
      </c>
    </row>
    <row r="18036" spans="1:6" x14ac:dyDescent="0.25">
      <c r="A18036" t="str">
        <f>"200016737"</f>
        <v>200016737</v>
      </c>
      <c r="B18036" t="str">
        <f>"1225846991"</f>
        <v>1225846991</v>
      </c>
      <c r="C18036" t="str">
        <f>"363L00000X"</f>
        <v>363L00000X</v>
      </c>
      <c r="D18036" t="str">
        <f>"CONNOR                   KERIN                    "</f>
        <v xml:space="preserve">CONNOR                   KERIN                    </v>
      </c>
      <c r="E18036" t="str">
        <f>"OLIVE BRANCH              "</f>
        <v xml:space="preserve">OLIVE BRANCH              </v>
      </c>
      <c r="F18036" t="str">
        <f t="shared" si="444"/>
        <v>MS</v>
      </c>
    </row>
    <row r="18037" spans="1:6" x14ac:dyDescent="0.25">
      <c r="A18037" t="str">
        <f>"200016738"</f>
        <v>200016738</v>
      </c>
      <c r="B18037" t="str">
        <f>"1568683878"</f>
        <v>1568683878</v>
      </c>
      <c r="C18037" t="str">
        <f>"207V00000X"</f>
        <v>207V00000X</v>
      </c>
      <c r="D18037" t="str">
        <f>"WATTS                    AIMEE                    "</f>
        <v xml:space="preserve">WATTS                    AIMEE                    </v>
      </c>
      <c r="E18037" t="str">
        <f>"LAUREL                    "</f>
        <v xml:space="preserve">LAUREL                    </v>
      </c>
      <c r="F18037" t="str">
        <f t="shared" si="444"/>
        <v>MS</v>
      </c>
    </row>
    <row r="18038" spans="1:6" x14ac:dyDescent="0.25">
      <c r="A18038" t="str">
        <f>"200016739"</f>
        <v>200016739</v>
      </c>
      <c r="B18038" t="str">
        <f>"1194050153"</f>
        <v>1194050153</v>
      </c>
      <c r="C18038" t="str">
        <f>"363LF0000X"</f>
        <v>363LF0000X</v>
      </c>
      <c r="D18038" t="str">
        <f>"SCHWEITZER               TERESA       I           "</f>
        <v xml:space="preserve">SCHWEITZER               TERESA       I           </v>
      </c>
      <c r="E18038" t="str">
        <f>"CARTHAGE                  "</f>
        <v xml:space="preserve">CARTHAGE                  </v>
      </c>
      <c r="F18038" t="str">
        <f t="shared" si="444"/>
        <v>MS</v>
      </c>
    </row>
    <row r="18039" spans="1:6" x14ac:dyDescent="0.25">
      <c r="A18039" t="str">
        <f>"200016740"</f>
        <v>200016740</v>
      </c>
      <c r="B18039" t="str">
        <f>"1063276103"</f>
        <v>1063276103</v>
      </c>
      <c r="C18039" t="str">
        <f>"363L00000X"</f>
        <v>363L00000X</v>
      </c>
      <c r="D18039" t="str">
        <f>"CARTER-HOSEY             DEANDRA                  "</f>
        <v xml:space="preserve">CARTER-HOSEY             DEANDRA                  </v>
      </c>
      <c r="E18039" t="str">
        <f>"MERIDIAN                  "</f>
        <v xml:space="preserve">MERIDIAN                  </v>
      </c>
      <c r="F18039" t="str">
        <f t="shared" si="444"/>
        <v>MS</v>
      </c>
    </row>
    <row r="18040" spans="1:6" x14ac:dyDescent="0.25">
      <c r="A18040" t="str">
        <f>"200016744"</f>
        <v>200016744</v>
      </c>
      <c r="B18040" t="str">
        <f>"1689406555"</f>
        <v>1689406555</v>
      </c>
      <c r="C18040" t="str">
        <f>"367500000X"</f>
        <v>367500000X</v>
      </c>
      <c r="D18040" t="str">
        <f>"BELL                     LINDSEY                  "</f>
        <v xml:space="preserve">BELL                     LINDSEY                  </v>
      </c>
      <c r="E18040" t="str">
        <f>"BILOXI                    "</f>
        <v xml:space="preserve">BILOXI                    </v>
      </c>
      <c r="F18040" t="str">
        <f t="shared" si="444"/>
        <v>MS</v>
      </c>
    </row>
    <row r="18041" spans="1:6" x14ac:dyDescent="0.25">
      <c r="A18041" t="str">
        <f>"200016748"</f>
        <v>200016748</v>
      </c>
      <c r="B18041" t="str">
        <f>"1467716548"</f>
        <v>1467716548</v>
      </c>
      <c r="C18041" t="str">
        <f>"363LF0000X"</f>
        <v>363LF0000X</v>
      </c>
      <c r="D18041" t="str">
        <f>"HUNT                     APRIL                    "</f>
        <v xml:space="preserve">HUNT                     APRIL                    </v>
      </c>
      <c r="E18041" t="str">
        <f>"BROOKHAVEN                "</f>
        <v xml:space="preserve">BROOKHAVEN                </v>
      </c>
      <c r="F18041" t="str">
        <f t="shared" si="444"/>
        <v>MS</v>
      </c>
    </row>
    <row r="18042" spans="1:6" x14ac:dyDescent="0.25">
      <c r="A18042" t="str">
        <f>"200016750"</f>
        <v>200016750</v>
      </c>
      <c r="B18042" t="str">
        <f>"1740297878"</f>
        <v>1740297878</v>
      </c>
      <c r="C18042" t="str">
        <f>"208000000X"</f>
        <v>208000000X</v>
      </c>
      <c r="D18042" t="str">
        <f>"MCMILLAN                 TAMINA                   "</f>
        <v xml:space="preserve">MCMILLAN                 TAMINA                   </v>
      </c>
      <c r="E18042" t="str">
        <f>"MADISON                   "</f>
        <v xml:space="preserve">MADISON                   </v>
      </c>
      <c r="F18042" t="str">
        <f t="shared" si="444"/>
        <v>MS</v>
      </c>
    </row>
    <row r="18043" spans="1:6" x14ac:dyDescent="0.25">
      <c r="A18043" t="str">
        <f>"200016751"</f>
        <v>200016751</v>
      </c>
      <c r="B18043" t="str">
        <f>"1144541970"</f>
        <v>1144541970</v>
      </c>
      <c r="C18043" t="str">
        <f>"208000000X"</f>
        <v>208000000X</v>
      </c>
      <c r="D18043" t="str">
        <f>"WASHINGTON               MEGAN                    "</f>
        <v xml:space="preserve">WASHINGTON               MEGAN                    </v>
      </c>
      <c r="E18043" t="str">
        <f>"BRANDON                   "</f>
        <v xml:space="preserve">BRANDON                   </v>
      </c>
      <c r="F18043" t="str">
        <f t="shared" si="444"/>
        <v>MS</v>
      </c>
    </row>
    <row r="18044" spans="1:6" x14ac:dyDescent="0.25">
      <c r="A18044" t="str">
        <f>"200016753"</f>
        <v>200016753</v>
      </c>
      <c r="B18044" t="str">
        <f>"1760080337"</f>
        <v>1760080337</v>
      </c>
      <c r="C18044" t="str">
        <f>"261QM1300X"</f>
        <v>261QM1300X</v>
      </c>
      <c r="D18044" t="str">
        <f>"TRADITIONS HOSPICE OF BILOXI, LLC                 "</f>
        <v xml:space="preserve">TRADITIONS HOSPICE OF BILOXI, LLC                 </v>
      </c>
      <c r="E18044" t="str">
        <f>"OCEAN SPRINGS             "</f>
        <v xml:space="preserve">OCEAN SPRINGS             </v>
      </c>
      <c r="F18044" t="str">
        <f t="shared" si="444"/>
        <v>MS</v>
      </c>
    </row>
    <row r="18045" spans="1:6" x14ac:dyDescent="0.25">
      <c r="A18045" t="str">
        <f>"200016775"</f>
        <v>200016775</v>
      </c>
      <c r="B18045" t="str">
        <f>"1366438772"</f>
        <v>1366438772</v>
      </c>
      <c r="C18045" t="str">
        <f>"207V00000X"</f>
        <v>207V00000X</v>
      </c>
      <c r="D18045" t="str">
        <f>"BALTHROP                 ERICA        R           "</f>
        <v xml:space="preserve">BALTHROP                 ERICA        R           </v>
      </c>
      <c r="E18045" t="str">
        <f>"SOUTHAVEN                 "</f>
        <v xml:space="preserve">SOUTHAVEN                 </v>
      </c>
      <c r="F18045" t="str">
        <f t="shared" si="444"/>
        <v>MS</v>
      </c>
    </row>
    <row r="18046" spans="1:6" x14ac:dyDescent="0.25">
      <c r="A18046" t="str">
        <f>"200016780"</f>
        <v>200016780</v>
      </c>
      <c r="B18046" t="str">
        <f>"1750798344"</f>
        <v>1750798344</v>
      </c>
      <c r="C18046" t="str">
        <f>"363LF0000X"</f>
        <v>363LF0000X</v>
      </c>
      <c r="D18046" t="str">
        <f>"LANGLEY                  CHRISTIAN                "</f>
        <v xml:space="preserve">LANGLEY                  CHRISTIAN                </v>
      </c>
      <c r="E18046" t="str">
        <f>"HATTIESBURG               "</f>
        <v xml:space="preserve">HATTIESBURG               </v>
      </c>
      <c r="F18046" t="str">
        <f t="shared" ref="F18046:F18109" si="445">"MS"</f>
        <v>MS</v>
      </c>
    </row>
    <row r="18047" spans="1:6" x14ac:dyDescent="0.25">
      <c r="A18047" t="str">
        <f>"200016789"</f>
        <v>200016789</v>
      </c>
      <c r="B18047" t="str">
        <f>"1134963259"</f>
        <v>1134963259</v>
      </c>
      <c r="C18047" t="str">
        <f>"122300000X"</f>
        <v>122300000X</v>
      </c>
      <c r="D18047" t="str">
        <f>"KARAJMAN                 ELIZABETH    L           "</f>
        <v xml:space="preserve">KARAJMAN                 ELIZABETH    L           </v>
      </c>
      <c r="E18047" t="str">
        <f>"LEXINGTON                 "</f>
        <v xml:space="preserve">LEXINGTON                 </v>
      </c>
      <c r="F18047" t="str">
        <f t="shared" si="445"/>
        <v>MS</v>
      </c>
    </row>
    <row r="18048" spans="1:6" x14ac:dyDescent="0.25">
      <c r="A18048" t="str">
        <f>"200016792"</f>
        <v>200016792</v>
      </c>
      <c r="B18048" t="str">
        <f>"1528171469"</f>
        <v>1528171469</v>
      </c>
      <c r="C18048" t="str">
        <f>"2084P0804X"</f>
        <v>2084P0804X</v>
      </c>
      <c r="D18048" t="str">
        <f>"MUNARA CORDOBA           PEDRO                    "</f>
        <v xml:space="preserve">MUNARA CORDOBA           PEDRO                    </v>
      </c>
      <c r="E18048" t="str">
        <f>"GULFPORT                  "</f>
        <v xml:space="preserve">GULFPORT                  </v>
      </c>
      <c r="F18048" t="str">
        <f t="shared" si="445"/>
        <v>MS</v>
      </c>
    </row>
    <row r="18049" spans="1:6" x14ac:dyDescent="0.25">
      <c r="A18049" t="str">
        <f>"200016793"</f>
        <v>200016793</v>
      </c>
      <c r="B18049" t="str">
        <f>"1639105794"</f>
        <v>1639105794</v>
      </c>
      <c r="C18049" t="str">
        <f>"2084P0800X"</f>
        <v>2084P0800X</v>
      </c>
      <c r="D18049" t="str">
        <f>"GORDON                   GREGORY                  "</f>
        <v xml:space="preserve">GORDON                   GREGORY                  </v>
      </c>
      <c r="E18049" t="str">
        <f>"CHOCTAW                   "</f>
        <v xml:space="preserve">CHOCTAW                   </v>
      </c>
      <c r="F18049" t="str">
        <f t="shared" si="445"/>
        <v>MS</v>
      </c>
    </row>
    <row r="18050" spans="1:6" x14ac:dyDescent="0.25">
      <c r="A18050" t="str">
        <f>"200016794"</f>
        <v>200016794</v>
      </c>
      <c r="B18050" t="str">
        <f>"1336825330"</f>
        <v>1336825330</v>
      </c>
      <c r="C18050" t="str">
        <f>"363L00000X"</f>
        <v>363L00000X</v>
      </c>
      <c r="D18050" t="str">
        <f>"MILLER                   GRACE        D           "</f>
        <v xml:space="preserve">MILLER                   GRACE        D           </v>
      </c>
      <c r="E18050" t="str">
        <f>"BILOXI                    "</f>
        <v xml:space="preserve">BILOXI                    </v>
      </c>
      <c r="F18050" t="str">
        <f t="shared" si="445"/>
        <v>MS</v>
      </c>
    </row>
    <row r="18051" spans="1:6" x14ac:dyDescent="0.25">
      <c r="A18051" t="str">
        <f>"200016795"</f>
        <v>200016795</v>
      </c>
      <c r="B18051" t="str">
        <f>"1700549672"</f>
        <v>1700549672</v>
      </c>
      <c r="C18051" t="str">
        <f>"363A00000X"</f>
        <v>363A00000X</v>
      </c>
      <c r="D18051" t="str">
        <f>"BREZINKA                 TAYLOR                   "</f>
        <v xml:space="preserve">BREZINKA                 TAYLOR                   </v>
      </c>
      <c r="E18051" t="str">
        <f>"WEST POINT                "</f>
        <v xml:space="preserve">WEST POINT                </v>
      </c>
      <c r="F18051" t="str">
        <f t="shared" si="445"/>
        <v>MS</v>
      </c>
    </row>
    <row r="18052" spans="1:6" x14ac:dyDescent="0.25">
      <c r="A18052" t="str">
        <f>"200016797"</f>
        <v>200016797</v>
      </c>
      <c r="B18052" t="str">
        <f>"1174743223"</f>
        <v>1174743223</v>
      </c>
      <c r="C18052" t="str">
        <f>"207RP1001X"</f>
        <v>207RP1001X</v>
      </c>
      <c r="D18052" t="str">
        <f>"BEDSOLE                  DONALD       L           "</f>
        <v xml:space="preserve">BEDSOLE                  DONALD       L           </v>
      </c>
      <c r="E18052" t="str">
        <f>"LUCEDALE                  "</f>
        <v xml:space="preserve">LUCEDALE                  </v>
      </c>
      <c r="F18052" t="str">
        <f t="shared" si="445"/>
        <v>MS</v>
      </c>
    </row>
    <row r="18053" spans="1:6" x14ac:dyDescent="0.25">
      <c r="A18053" t="str">
        <f>"200016799"</f>
        <v>200016799</v>
      </c>
      <c r="B18053" t="str">
        <f>"1174743223"</f>
        <v>1174743223</v>
      </c>
      <c r="C18053" t="str">
        <f>"207RC0200X"</f>
        <v>207RC0200X</v>
      </c>
      <c r="D18053" t="str">
        <f>"BEDSOLE                  DONALD       L           "</f>
        <v xml:space="preserve">BEDSOLE                  DONALD       L           </v>
      </c>
      <c r="E18053" t="str">
        <f>"LUCEDALE                  "</f>
        <v xml:space="preserve">LUCEDALE                  </v>
      </c>
      <c r="F18053" t="str">
        <f t="shared" si="445"/>
        <v>MS</v>
      </c>
    </row>
    <row r="18054" spans="1:6" x14ac:dyDescent="0.25">
      <c r="A18054" t="str">
        <f>"200016800"</f>
        <v>200016800</v>
      </c>
      <c r="B18054" t="str">
        <f>"1366504151"</f>
        <v>1366504151</v>
      </c>
      <c r="C18054" t="str">
        <f>"122300000X"</f>
        <v>122300000X</v>
      </c>
      <c r="D18054" t="str">
        <f>"WELCH                    LANCE        J           "</f>
        <v xml:space="preserve">WELCH                    LANCE        J           </v>
      </c>
      <c r="E18054" t="str">
        <f>"CHOCTAW                   "</f>
        <v xml:space="preserve">CHOCTAW                   </v>
      </c>
      <c r="F18054" t="str">
        <f t="shared" si="445"/>
        <v>MS</v>
      </c>
    </row>
    <row r="18055" spans="1:6" x14ac:dyDescent="0.25">
      <c r="A18055" t="str">
        <f>"200016801"</f>
        <v>200016801</v>
      </c>
      <c r="B18055" t="str">
        <f>"1467799494"</f>
        <v>1467799494</v>
      </c>
      <c r="C18055" t="str">
        <f>"363L00000X"</f>
        <v>363L00000X</v>
      </c>
      <c r="D18055" t="str">
        <f>"MOORE                    ASHLEIGH                 "</f>
        <v xml:space="preserve">MOORE                    ASHLEIGH                 </v>
      </c>
      <c r="E18055" t="str">
        <f>"OCEAN SPRINGS             "</f>
        <v xml:space="preserve">OCEAN SPRINGS             </v>
      </c>
      <c r="F18055" t="str">
        <f t="shared" si="445"/>
        <v>MS</v>
      </c>
    </row>
    <row r="18056" spans="1:6" x14ac:dyDescent="0.25">
      <c r="A18056" t="str">
        <f>"200016805"</f>
        <v>200016805</v>
      </c>
      <c r="B18056" t="str">
        <f>"1588395644"</f>
        <v>1588395644</v>
      </c>
      <c r="C18056" t="str">
        <f>"1223G0001X"</f>
        <v>1223G0001X</v>
      </c>
      <c r="D18056" t="str">
        <f>"DONALD                   KYLE                     "</f>
        <v xml:space="preserve">DONALD                   KYLE                     </v>
      </c>
      <c r="E18056" t="str">
        <f>"ACKERMAN                  "</f>
        <v xml:space="preserve">ACKERMAN                  </v>
      </c>
      <c r="F18056" t="str">
        <f t="shared" si="445"/>
        <v>MS</v>
      </c>
    </row>
    <row r="18057" spans="1:6" x14ac:dyDescent="0.25">
      <c r="A18057" t="str">
        <f>"200016806"</f>
        <v>200016806</v>
      </c>
      <c r="B18057" t="str">
        <f>"1821738972"</f>
        <v>1821738972</v>
      </c>
      <c r="C18057" t="str">
        <f>"363L00000X"</f>
        <v>363L00000X</v>
      </c>
      <c r="D18057" t="str">
        <f>"ALSBROOK                 ANGELA                   "</f>
        <v xml:space="preserve">ALSBROOK                 ANGELA                   </v>
      </c>
      <c r="E18057" t="str">
        <f>"JACKSON                   "</f>
        <v xml:space="preserve">JACKSON                   </v>
      </c>
      <c r="F18057" t="str">
        <f t="shared" si="445"/>
        <v>MS</v>
      </c>
    </row>
    <row r="18058" spans="1:6" x14ac:dyDescent="0.25">
      <c r="A18058" t="str">
        <f>"200016814"</f>
        <v>200016814</v>
      </c>
      <c r="B18058" t="str">
        <f>"1457809501"</f>
        <v>1457809501</v>
      </c>
      <c r="C18058" t="str">
        <f>"363LF0000X"</f>
        <v>363LF0000X</v>
      </c>
      <c r="D18058" t="str">
        <f>"JONES                    THERESA                  "</f>
        <v xml:space="preserve">JONES                    THERESA                  </v>
      </c>
      <c r="E18058" t="str">
        <f>"JACKSON                   "</f>
        <v xml:space="preserve">JACKSON                   </v>
      </c>
      <c r="F18058" t="str">
        <f t="shared" si="445"/>
        <v>MS</v>
      </c>
    </row>
    <row r="18059" spans="1:6" x14ac:dyDescent="0.25">
      <c r="A18059" t="str">
        <f>"200016817"</f>
        <v>200016817</v>
      </c>
      <c r="B18059" t="str">
        <f>"1437252780"</f>
        <v>1437252780</v>
      </c>
      <c r="C18059" t="str">
        <f>"2081P2900X"</f>
        <v>2081P2900X</v>
      </c>
      <c r="D18059" t="str">
        <f>"POLK                     SAMUEL                   "</f>
        <v xml:space="preserve">POLK                     SAMUEL                   </v>
      </c>
      <c r="E18059" t="str">
        <f>"SOUTHAVEN                 "</f>
        <v xml:space="preserve">SOUTHAVEN                 </v>
      </c>
      <c r="F18059" t="str">
        <f t="shared" si="445"/>
        <v>MS</v>
      </c>
    </row>
    <row r="18060" spans="1:6" x14ac:dyDescent="0.25">
      <c r="A18060" t="str">
        <f>"200016821"</f>
        <v>200016821</v>
      </c>
      <c r="B18060" t="str">
        <f>"1396833893"</f>
        <v>1396833893</v>
      </c>
      <c r="C18060" t="str">
        <f>"2085R0202X"</f>
        <v>2085R0202X</v>
      </c>
      <c r="D18060" t="str">
        <f>"HOSEY                    JASON        R           "</f>
        <v xml:space="preserve">HOSEY                    JASON        R           </v>
      </c>
      <c r="E18060" t="str">
        <f>"JACKSON                   "</f>
        <v xml:space="preserve">JACKSON                   </v>
      </c>
      <c r="F18060" t="str">
        <f t="shared" si="445"/>
        <v>MS</v>
      </c>
    </row>
    <row r="18061" spans="1:6" x14ac:dyDescent="0.25">
      <c r="A18061" t="str">
        <f>"200016822"</f>
        <v>200016822</v>
      </c>
      <c r="B18061" t="str">
        <f>"1851913172"</f>
        <v>1851913172</v>
      </c>
      <c r="C18061" t="str">
        <f>"207R00000X"</f>
        <v>207R00000X</v>
      </c>
      <c r="D18061" t="str">
        <f>"MOHYUDIN                 ADIL                     "</f>
        <v xml:space="preserve">MOHYUDIN                 ADIL                     </v>
      </c>
      <c r="E18061" t="str">
        <f>"JACKSON                   "</f>
        <v xml:space="preserve">JACKSON                   </v>
      </c>
      <c r="F18061" t="str">
        <f t="shared" si="445"/>
        <v>MS</v>
      </c>
    </row>
    <row r="18062" spans="1:6" x14ac:dyDescent="0.25">
      <c r="A18062" t="str">
        <f>"200016828"</f>
        <v>200016828</v>
      </c>
      <c r="B18062" t="str">
        <f>"1669784344"</f>
        <v>1669784344</v>
      </c>
      <c r="C18062" t="str">
        <f>"208600000X"</f>
        <v>208600000X</v>
      </c>
      <c r="D18062" t="str">
        <f>"ADAMS                    JESSICA      S           "</f>
        <v xml:space="preserve">ADAMS                    JESSICA      S           </v>
      </c>
      <c r="E18062" t="str">
        <f>"NEW ALBANY                "</f>
        <v xml:space="preserve">NEW ALBANY                </v>
      </c>
      <c r="F18062" t="str">
        <f t="shared" si="445"/>
        <v>MS</v>
      </c>
    </row>
    <row r="18063" spans="1:6" x14ac:dyDescent="0.25">
      <c r="A18063" t="str">
        <f>"200016833"</f>
        <v>200016833</v>
      </c>
      <c r="B18063" t="str">
        <f>"1508616087"</f>
        <v>1508616087</v>
      </c>
      <c r="C18063" t="str">
        <f>"207R00000X"</f>
        <v>207R00000X</v>
      </c>
      <c r="D18063" t="str">
        <f>"WILLIAMS                 DANIEL                   "</f>
        <v xml:space="preserve">WILLIAMS                 DANIEL                   </v>
      </c>
      <c r="E18063" t="str">
        <f>"JACKSON                   "</f>
        <v xml:space="preserve">JACKSON                   </v>
      </c>
      <c r="F18063" t="str">
        <f t="shared" si="445"/>
        <v>MS</v>
      </c>
    </row>
    <row r="18064" spans="1:6" x14ac:dyDescent="0.25">
      <c r="A18064" t="str">
        <f>"200016840"</f>
        <v>200016840</v>
      </c>
      <c r="B18064" t="str">
        <f>"1649736919"</f>
        <v>1649736919</v>
      </c>
      <c r="C18064" t="str">
        <f>"363L00000X"</f>
        <v>363L00000X</v>
      </c>
      <c r="D18064" t="str">
        <f>"WOMACK                   LEA                      "</f>
        <v xml:space="preserve">WOMACK                   LEA                      </v>
      </c>
      <c r="E18064" t="str">
        <f>"JACKSON                   "</f>
        <v xml:space="preserve">JACKSON                   </v>
      </c>
      <c r="F18064" t="str">
        <f t="shared" si="445"/>
        <v>MS</v>
      </c>
    </row>
    <row r="18065" spans="1:6" x14ac:dyDescent="0.25">
      <c r="A18065" t="str">
        <f>"200016845"</f>
        <v>200016845</v>
      </c>
      <c r="B18065" t="str">
        <f>"1982702155"</f>
        <v>1982702155</v>
      </c>
      <c r="C18065" t="str">
        <f>"208000000X"</f>
        <v>208000000X</v>
      </c>
      <c r="D18065" t="str">
        <f>"THOMAS                   JACKSON      S           "</f>
        <v xml:space="preserve">THOMAS                   JACKSON      S           </v>
      </c>
      <c r="E18065" t="str">
        <f>"MERIDIAN                  "</f>
        <v xml:space="preserve">MERIDIAN                  </v>
      </c>
      <c r="F18065" t="str">
        <f t="shared" si="445"/>
        <v>MS</v>
      </c>
    </row>
    <row r="18066" spans="1:6" x14ac:dyDescent="0.25">
      <c r="A18066" t="str">
        <f>"200016846"</f>
        <v>200016846</v>
      </c>
      <c r="B18066" t="str">
        <f>"1578301503"</f>
        <v>1578301503</v>
      </c>
      <c r="C18066" t="str">
        <f>"363LF0000X"</f>
        <v>363LF0000X</v>
      </c>
      <c r="D18066" t="str">
        <f>"GARDNER                  TANYA                    "</f>
        <v xml:space="preserve">GARDNER                  TANYA                    </v>
      </c>
      <c r="E18066" t="str">
        <f>"JACKSON                   "</f>
        <v xml:space="preserve">JACKSON                   </v>
      </c>
      <c r="F18066" t="str">
        <f t="shared" si="445"/>
        <v>MS</v>
      </c>
    </row>
    <row r="18067" spans="1:6" x14ac:dyDescent="0.25">
      <c r="A18067" t="str">
        <f>"200016849"</f>
        <v>200016849</v>
      </c>
      <c r="B18067" t="str">
        <f>"1659128569"</f>
        <v>1659128569</v>
      </c>
      <c r="C18067" t="str">
        <f>"363LF0000X"</f>
        <v>363LF0000X</v>
      </c>
      <c r="D18067" t="str">
        <f>"WHITE                    AMANDA                   "</f>
        <v xml:space="preserve">WHITE                    AMANDA                   </v>
      </c>
      <c r="E18067" t="str">
        <f>"NEW ALBANY                "</f>
        <v xml:space="preserve">NEW ALBANY                </v>
      </c>
      <c r="F18067" t="str">
        <f t="shared" si="445"/>
        <v>MS</v>
      </c>
    </row>
    <row r="18068" spans="1:6" x14ac:dyDescent="0.25">
      <c r="A18068" t="str">
        <f>"200016850"</f>
        <v>200016850</v>
      </c>
      <c r="B18068" t="str">
        <f>"1952008963"</f>
        <v>1952008963</v>
      </c>
      <c r="C18068" t="str">
        <f>"363LF0000X"</f>
        <v>363LF0000X</v>
      </c>
      <c r="D18068" t="str">
        <f>"ARCHIE                   CHELSI                   "</f>
        <v xml:space="preserve">ARCHIE                   CHELSI                   </v>
      </c>
      <c r="E18068" t="str">
        <f>"JACKSON                   "</f>
        <v xml:space="preserve">JACKSON                   </v>
      </c>
      <c r="F18068" t="str">
        <f t="shared" si="445"/>
        <v>MS</v>
      </c>
    </row>
    <row r="18069" spans="1:6" x14ac:dyDescent="0.25">
      <c r="A18069" t="str">
        <f>"200016852"</f>
        <v>200016852</v>
      </c>
      <c r="B18069" t="str">
        <f>"1437558061"</f>
        <v>1437558061</v>
      </c>
      <c r="C18069" t="str">
        <f>"363LF0000X"</f>
        <v>363LF0000X</v>
      </c>
      <c r="D18069" t="str">
        <f>"GRANT                    MICAH                    "</f>
        <v xml:space="preserve">GRANT                    MICAH                    </v>
      </c>
      <c r="E18069" t="str">
        <f>"STARKVILLE                "</f>
        <v xml:space="preserve">STARKVILLE                </v>
      </c>
      <c r="F18069" t="str">
        <f t="shared" si="445"/>
        <v>MS</v>
      </c>
    </row>
    <row r="18070" spans="1:6" x14ac:dyDescent="0.25">
      <c r="A18070" t="str">
        <f>"200016854"</f>
        <v>200016854</v>
      </c>
      <c r="B18070" t="str">
        <f>"1538987771"</f>
        <v>1538987771</v>
      </c>
      <c r="C18070" t="str">
        <f>"363LF0000X"</f>
        <v>363LF0000X</v>
      </c>
      <c r="D18070" t="str">
        <f>"IVY                      JASMINE                  "</f>
        <v xml:space="preserve">IVY                      JASMINE                  </v>
      </c>
      <c r="E18070" t="str">
        <f>"LOUISVILLE                "</f>
        <v xml:space="preserve">LOUISVILLE                </v>
      </c>
      <c r="F18070" t="str">
        <f t="shared" si="445"/>
        <v>MS</v>
      </c>
    </row>
    <row r="18071" spans="1:6" x14ac:dyDescent="0.25">
      <c r="A18071" t="str">
        <f>"200016856"</f>
        <v>200016856</v>
      </c>
      <c r="B18071" t="str">
        <f>"1164862512"</f>
        <v>1164862512</v>
      </c>
      <c r="C18071" t="str">
        <f>"207V00000X"</f>
        <v>207V00000X</v>
      </c>
      <c r="D18071" t="str">
        <f>"JOHNSON                  SHARAE                   "</f>
        <v xml:space="preserve">JOHNSON                  SHARAE                   </v>
      </c>
      <c r="E18071" t="str">
        <f>"JACKSON                   "</f>
        <v xml:space="preserve">JACKSON                   </v>
      </c>
      <c r="F18071" t="str">
        <f t="shared" si="445"/>
        <v>MS</v>
      </c>
    </row>
    <row r="18072" spans="1:6" x14ac:dyDescent="0.25">
      <c r="A18072" t="str">
        <f>"200016857"</f>
        <v>200016857</v>
      </c>
      <c r="B18072" t="str">
        <f>"1265018469"</f>
        <v>1265018469</v>
      </c>
      <c r="C18072" t="str">
        <f>"363LF0000X"</f>
        <v>363LF0000X</v>
      </c>
      <c r="D18072" t="str">
        <f>"RYAN                     ALLISON                  "</f>
        <v xml:space="preserve">RYAN                     ALLISON                  </v>
      </c>
      <c r="E18072" t="str">
        <f>"SOUTHAVEN                 "</f>
        <v xml:space="preserve">SOUTHAVEN                 </v>
      </c>
      <c r="F18072" t="str">
        <f t="shared" si="445"/>
        <v>MS</v>
      </c>
    </row>
    <row r="18073" spans="1:6" x14ac:dyDescent="0.25">
      <c r="A18073" t="str">
        <f>"200016859"</f>
        <v>200016859</v>
      </c>
      <c r="B18073" t="str">
        <f>"1578639548"</f>
        <v>1578639548</v>
      </c>
      <c r="C18073" t="str">
        <f>"363LF0000X"</f>
        <v>363LF0000X</v>
      </c>
      <c r="D18073" t="str">
        <f>"GRAHAM                   MICHELLE     L           "</f>
        <v xml:space="preserve">GRAHAM                   MICHELLE     L           </v>
      </c>
      <c r="E18073" t="str">
        <f>"GULFPORT                  "</f>
        <v xml:space="preserve">GULFPORT                  </v>
      </c>
      <c r="F18073" t="str">
        <f t="shared" si="445"/>
        <v>MS</v>
      </c>
    </row>
    <row r="18074" spans="1:6" x14ac:dyDescent="0.25">
      <c r="A18074" t="str">
        <f>"200016874"</f>
        <v>200016874</v>
      </c>
      <c r="B18074" t="str">
        <f>"1104998145"</f>
        <v>1104998145</v>
      </c>
      <c r="C18074" t="str">
        <f>"207WX0109X"</f>
        <v>207WX0109X</v>
      </c>
      <c r="D18074" t="str">
        <f>"TRUONG LE                MELANIE                  "</f>
        <v xml:space="preserve">TRUONG LE                MELANIE                  </v>
      </c>
      <c r="E18074" t="str">
        <f>"JACKSON                   "</f>
        <v xml:space="preserve">JACKSON                   </v>
      </c>
      <c r="F18074" t="str">
        <f t="shared" si="445"/>
        <v>MS</v>
      </c>
    </row>
    <row r="18075" spans="1:6" x14ac:dyDescent="0.25">
      <c r="A18075" t="str">
        <f>"200016875"</f>
        <v>200016875</v>
      </c>
      <c r="B18075" t="str">
        <f>"1417706516"</f>
        <v>1417706516</v>
      </c>
      <c r="C18075" t="str">
        <f>"152W00000X"</f>
        <v>152W00000X</v>
      </c>
      <c r="D18075" t="str">
        <f>"HOWELL                   AMANDA       K           "</f>
        <v xml:space="preserve">HOWELL                   AMANDA       K           </v>
      </c>
      <c r="E18075" t="str">
        <f>"OXFORD                    "</f>
        <v xml:space="preserve">OXFORD                    </v>
      </c>
      <c r="F18075" t="str">
        <f t="shared" si="445"/>
        <v>MS</v>
      </c>
    </row>
    <row r="18076" spans="1:6" x14ac:dyDescent="0.25">
      <c r="A18076" t="str">
        <f>"200016877"</f>
        <v>200016877</v>
      </c>
      <c r="B18076" t="str">
        <f>"1194534834"</f>
        <v>1194534834</v>
      </c>
      <c r="C18076" t="str">
        <f>"367500000X"</f>
        <v>367500000X</v>
      </c>
      <c r="D18076" t="str">
        <f>"REECE                    RANDALL                  "</f>
        <v xml:space="preserve">REECE                    RANDALL                  </v>
      </c>
      <c r="E18076" t="str">
        <f>"HATTIESBURG               "</f>
        <v xml:space="preserve">HATTIESBURG               </v>
      </c>
      <c r="F18076" t="str">
        <f t="shared" si="445"/>
        <v>MS</v>
      </c>
    </row>
    <row r="18077" spans="1:6" x14ac:dyDescent="0.25">
      <c r="A18077" t="str">
        <f>"200016878"</f>
        <v>200016878</v>
      </c>
      <c r="B18077" t="str">
        <f>"1548078850"</f>
        <v>1548078850</v>
      </c>
      <c r="C18077" t="str">
        <f>"367500000X"</f>
        <v>367500000X</v>
      </c>
      <c r="D18077" t="str">
        <f>"RHIAN PARKER             REGAN                    "</f>
        <v xml:space="preserve">RHIAN PARKER             REGAN                    </v>
      </c>
      <c r="E18077" t="str">
        <f>"HATTIESBURG               "</f>
        <v xml:space="preserve">HATTIESBURG               </v>
      </c>
      <c r="F18077" t="str">
        <f t="shared" si="445"/>
        <v>MS</v>
      </c>
    </row>
    <row r="18078" spans="1:6" x14ac:dyDescent="0.25">
      <c r="A18078" t="str">
        <f>"200016879"</f>
        <v>200016879</v>
      </c>
      <c r="B18078" t="str">
        <f>"1689482895"</f>
        <v>1689482895</v>
      </c>
      <c r="C18078" t="str">
        <f>"363L00000X"</f>
        <v>363L00000X</v>
      </c>
      <c r="D18078" t="str">
        <f>"DUNGAN                   SKYLER                   "</f>
        <v xml:space="preserve">DUNGAN                   SKYLER                   </v>
      </c>
      <c r="E18078" t="str">
        <f>"HATTIESBURG               "</f>
        <v xml:space="preserve">HATTIESBURG               </v>
      </c>
      <c r="F18078" t="str">
        <f t="shared" si="445"/>
        <v>MS</v>
      </c>
    </row>
    <row r="18079" spans="1:6" x14ac:dyDescent="0.25">
      <c r="A18079" t="str">
        <f>"200016884"</f>
        <v>200016884</v>
      </c>
      <c r="B18079" t="str">
        <f>"1679231443"</f>
        <v>1679231443</v>
      </c>
      <c r="C18079" t="str">
        <f>"363LF0000X"</f>
        <v>363LF0000X</v>
      </c>
      <c r="D18079" t="str">
        <f>"JOLLEY                   BRAYDEN                  "</f>
        <v xml:space="preserve">JOLLEY                   BRAYDEN                  </v>
      </c>
      <c r="E18079" t="str">
        <f>"BILOXI                    "</f>
        <v xml:space="preserve">BILOXI                    </v>
      </c>
      <c r="F18079" t="str">
        <f t="shared" si="445"/>
        <v>MS</v>
      </c>
    </row>
    <row r="18080" spans="1:6" x14ac:dyDescent="0.25">
      <c r="A18080" t="str">
        <f>"200016887"</f>
        <v>200016887</v>
      </c>
      <c r="B18080" t="str">
        <f>"1902068745"</f>
        <v>1902068745</v>
      </c>
      <c r="C18080" t="str">
        <f>"208000000X"</f>
        <v>208000000X</v>
      </c>
      <c r="D18080" t="str">
        <f>"HULL                     RACHEL       N           "</f>
        <v xml:space="preserve">HULL                     RACHEL       N           </v>
      </c>
      <c r="E18080" t="str">
        <f>"MERIDIAN                  "</f>
        <v xml:space="preserve">MERIDIAN                  </v>
      </c>
      <c r="F18080" t="str">
        <f t="shared" si="445"/>
        <v>MS</v>
      </c>
    </row>
    <row r="18081" spans="1:6" x14ac:dyDescent="0.25">
      <c r="A18081" t="str">
        <f>"200016893"</f>
        <v>200016893</v>
      </c>
      <c r="B18081" t="str">
        <f>"1134280407"</f>
        <v>1134280407</v>
      </c>
      <c r="C18081" t="str">
        <f>"207R00000X"</f>
        <v>207R00000X</v>
      </c>
      <c r="D18081" t="str">
        <f>"ANDERSON                 ROBERT                   "</f>
        <v xml:space="preserve">ANDERSON                 ROBERT                   </v>
      </c>
      <c r="E18081" t="str">
        <f>"JACKSON                   "</f>
        <v xml:space="preserve">JACKSON                   </v>
      </c>
      <c r="F18081" t="str">
        <f t="shared" si="445"/>
        <v>MS</v>
      </c>
    </row>
    <row r="18082" spans="1:6" x14ac:dyDescent="0.25">
      <c r="A18082" t="str">
        <f>"200016900"</f>
        <v>200016900</v>
      </c>
      <c r="B18082" t="str">
        <f>"1053845610"</f>
        <v>1053845610</v>
      </c>
      <c r="C18082" t="str">
        <f>"363LF0000X"</f>
        <v>363LF0000X</v>
      </c>
      <c r="D18082" t="str">
        <f>"MONTGOMERY               PRECIOUS                 "</f>
        <v xml:space="preserve">MONTGOMERY               PRECIOUS                 </v>
      </c>
      <c r="E18082" t="str">
        <f>"TUPELO                    "</f>
        <v xml:space="preserve">TUPELO                    </v>
      </c>
      <c r="F18082" t="str">
        <f t="shared" si="445"/>
        <v>MS</v>
      </c>
    </row>
    <row r="18083" spans="1:6" x14ac:dyDescent="0.25">
      <c r="A18083" t="str">
        <f>"200016902"</f>
        <v>200016902</v>
      </c>
      <c r="B18083" t="str">
        <f>"1528222122"</f>
        <v>1528222122</v>
      </c>
      <c r="C18083" t="str">
        <f>"367500000X"</f>
        <v>367500000X</v>
      </c>
      <c r="D18083" t="str">
        <f>"BROWN                    JOSEPH                   "</f>
        <v xml:space="preserve">BROWN                    JOSEPH                   </v>
      </c>
      <c r="E18083" t="str">
        <f>"MERIDIAN                  "</f>
        <v xml:space="preserve">MERIDIAN                  </v>
      </c>
      <c r="F18083" t="str">
        <f t="shared" si="445"/>
        <v>MS</v>
      </c>
    </row>
    <row r="18084" spans="1:6" x14ac:dyDescent="0.25">
      <c r="A18084" t="str">
        <f>"200016903"</f>
        <v>200016903</v>
      </c>
      <c r="B18084" t="str">
        <f>"1588495345"</f>
        <v>1588495345</v>
      </c>
      <c r="C18084" t="str">
        <f>"363L00000X"</f>
        <v>363L00000X</v>
      </c>
      <c r="D18084" t="str">
        <f>"HARRISON                 ELIZABETH                "</f>
        <v xml:space="preserve">HARRISON                 ELIZABETH                </v>
      </c>
      <c r="E18084" t="str">
        <f>"NEW ALBANY                "</f>
        <v xml:space="preserve">NEW ALBANY                </v>
      </c>
      <c r="F18084" t="str">
        <f t="shared" si="445"/>
        <v>MS</v>
      </c>
    </row>
    <row r="18085" spans="1:6" x14ac:dyDescent="0.25">
      <c r="A18085" t="str">
        <f>"200016920"</f>
        <v>200016920</v>
      </c>
      <c r="B18085" t="str">
        <f>"1013778596"</f>
        <v>1013778596</v>
      </c>
      <c r="C18085" t="str">
        <f>"363LG0600X"</f>
        <v>363LG0600X</v>
      </c>
      <c r="D18085" t="str">
        <f>"GULLY                    CHRISTOPHER              "</f>
        <v xml:space="preserve">GULLY                    CHRISTOPHER              </v>
      </c>
      <c r="E18085" t="str">
        <f>"SOUTHAVEN                 "</f>
        <v xml:space="preserve">SOUTHAVEN                 </v>
      </c>
      <c r="F18085" t="str">
        <f t="shared" si="445"/>
        <v>MS</v>
      </c>
    </row>
    <row r="18086" spans="1:6" x14ac:dyDescent="0.25">
      <c r="A18086" t="str">
        <f>"200016925"</f>
        <v>200016925</v>
      </c>
      <c r="B18086" t="str">
        <f>"1033448345"</f>
        <v>1033448345</v>
      </c>
      <c r="C18086" t="str">
        <f>"363LP0808X"</f>
        <v>363LP0808X</v>
      </c>
      <c r="D18086" t="str">
        <f>"MOREL                    RENAE                    "</f>
        <v xml:space="preserve">MOREL                    RENAE                    </v>
      </c>
      <c r="E18086" t="str">
        <f>"BILOXI                    "</f>
        <v xml:space="preserve">BILOXI                    </v>
      </c>
      <c r="F18086" t="str">
        <f t="shared" si="445"/>
        <v>MS</v>
      </c>
    </row>
    <row r="18087" spans="1:6" x14ac:dyDescent="0.25">
      <c r="A18087" t="str">
        <f>"200016926"</f>
        <v>200016926</v>
      </c>
      <c r="B18087" t="str">
        <f>"1861217408"</f>
        <v>1861217408</v>
      </c>
      <c r="C18087" t="str">
        <f>"367500000X"</f>
        <v>367500000X</v>
      </c>
      <c r="D18087" t="str">
        <f>"MCGEE                    TABOR                    "</f>
        <v xml:space="preserve">MCGEE                    TABOR                    </v>
      </c>
      <c r="E18087" t="str">
        <f>"JACKSON                   "</f>
        <v xml:space="preserve">JACKSON                   </v>
      </c>
      <c r="F18087" t="str">
        <f t="shared" si="445"/>
        <v>MS</v>
      </c>
    </row>
    <row r="18088" spans="1:6" x14ac:dyDescent="0.25">
      <c r="A18088" t="str">
        <f>"200016931"</f>
        <v>200016931</v>
      </c>
      <c r="B18088" t="str">
        <f>"1043468234"</f>
        <v>1043468234</v>
      </c>
      <c r="C18088" t="str">
        <f>"363L00000X"</f>
        <v>363L00000X</v>
      </c>
      <c r="D18088" t="str">
        <f>"WILLIAMS                 MARILYN                  "</f>
        <v xml:space="preserve">WILLIAMS                 MARILYN                  </v>
      </c>
      <c r="E18088" t="str">
        <f>"GREENVILLE                "</f>
        <v xml:space="preserve">GREENVILLE                </v>
      </c>
      <c r="F18088" t="str">
        <f t="shared" si="445"/>
        <v>MS</v>
      </c>
    </row>
    <row r="18089" spans="1:6" x14ac:dyDescent="0.25">
      <c r="A18089" t="str">
        <f>"200016939"</f>
        <v>200016939</v>
      </c>
      <c r="B18089" t="str">
        <f>"1518405414"</f>
        <v>1518405414</v>
      </c>
      <c r="C18089" t="str">
        <f>"363L00000X"</f>
        <v>363L00000X</v>
      </c>
      <c r="D18089" t="str">
        <f>"HARRIS                   JESSICA                  "</f>
        <v xml:space="preserve">HARRIS                   JESSICA                  </v>
      </c>
      <c r="E18089" t="str">
        <f>"PICAYUNE                  "</f>
        <v xml:space="preserve">PICAYUNE                  </v>
      </c>
      <c r="F18089" t="str">
        <f t="shared" si="445"/>
        <v>MS</v>
      </c>
    </row>
    <row r="18090" spans="1:6" x14ac:dyDescent="0.25">
      <c r="A18090" t="str">
        <f>"200016948"</f>
        <v>200016948</v>
      </c>
      <c r="B18090" t="str">
        <f>"1225120298"</f>
        <v>1225120298</v>
      </c>
      <c r="C18090" t="str">
        <f>"207R00000X"</f>
        <v>207R00000X</v>
      </c>
      <c r="D18090" t="str">
        <f>"THAKKER                  DILIP                    "</f>
        <v xml:space="preserve">THAKKER                  DILIP                    </v>
      </c>
      <c r="E18090" t="str">
        <f>"CORINTH                   "</f>
        <v xml:space="preserve">CORINTH                   </v>
      </c>
      <c r="F18090" t="str">
        <f t="shared" si="445"/>
        <v>MS</v>
      </c>
    </row>
    <row r="18091" spans="1:6" x14ac:dyDescent="0.25">
      <c r="A18091" t="str">
        <f>"200016953"</f>
        <v>200016953</v>
      </c>
      <c r="B18091" t="str">
        <f>"1528243300"</f>
        <v>1528243300</v>
      </c>
      <c r="C18091" t="str">
        <f>"207RI0011X"</f>
        <v>207RI0011X</v>
      </c>
      <c r="D18091" t="str">
        <f>"WARD                     CHARISSE     J           "</f>
        <v xml:space="preserve">WARD                     CHARISSE     J           </v>
      </c>
      <c r="E18091" t="str">
        <f>"HATTIESBURG               "</f>
        <v xml:space="preserve">HATTIESBURG               </v>
      </c>
      <c r="F18091" t="str">
        <f t="shared" si="445"/>
        <v>MS</v>
      </c>
    </row>
    <row r="18092" spans="1:6" x14ac:dyDescent="0.25">
      <c r="A18092" t="str">
        <f>"200016956"</f>
        <v>200016956</v>
      </c>
      <c r="B18092" t="str">
        <f>"1255414280"</f>
        <v>1255414280</v>
      </c>
      <c r="C18092" t="str">
        <f>"363L00000X"</f>
        <v>363L00000X</v>
      </c>
      <c r="D18092" t="str">
        <f>"TODD                     LASTEFFIA    J           "</f>
        <v xml:space="preserve">TODD                     LASTEFFIA    J           </v>
      </c>
      <c r="E18092" t="str">
        <f>"CHOCTAW                   "</f>
        <v xml:space="preserve">CHOCTAW                   </v>
      </c>
      <c r="F18092" t="str">
        <f t="shared" si="445"/>
        <v>MS</v>
      </c>
    </row>
    <row r="18093" spans="1:6" x14ac:dyDescent="0.25">
      <c r="A18093" t="str">
        <f>"200016961"</f>
        <v>200016961</v>
      </c>
      <c r="B18093" t="str">
        <f>"1710472758"</f>
        <v>1710472758</v>
      </c>
      <c r="C18093" t="str">
        <f>"363LF0000X"</f>
        <v>363LF0000X</v>
      </c>
      <c r="D18093" t="str">
        <f>"SMTIH                    RAGEN                    "</f>
        <v xml:space="preserve">SMTIH                    RAGEN                    </v>
      </c>
      <c r="E18093" t="str">
        <f>"JACKSON                   "</f>
        <v xml:space="preserve">JACKSON                   </v>
      </c>
      <c r="F18093" t="str">
        <f t="shared" si="445"/>
        <v>MS</v>
      </c>
    </row>
    <row r="18094" spans="1:6" x14ac:dyDescent="0.25">
      <c r="A18094" t="str">
        <f>"200016962"</f>
        <v>200016962</v>
      </c>
      <c r="B18094" t="str">
        <f>"1245533975"</f>
        <v>1245533975</v>
      </c>
      <c r="C18094" t="str">
        <f>"1223G0001X"</f>
        <v>1223G0001X</v>
      </c>
      <c r="D18094" t="str">
        <f>"WADE                     KIMBERLY                 "</f>
        <v xml:space="preserve">WADE                     KIMBERLY                 </v>
      </c>
      <c r="E18094" t="str">
        <f>"JACKSON                   "</f>
        <v xml:space="preserve">JACKSON                   </v>
      </c>
      <c r="F18094" t="str">
        <f t="shared" si="445"/>
        <v>MS</v>
      </c>
    </row>
    <row r="18095" spans="1:6" x14ac:dyDescent="0.25">
      <c r="A18095" t="str">
        <f>"200016969"</f>
        <v>200016969</v>
      </c>
      <c r="B18095" t="str">
        <f>"1487499471"</f>
        <v>1487499471</v>
      </c>
      <c r="C18095" t="str">
        <f>"363L00000X"</f>
        <v>363L00000X</v>
      </c>
      <c r="D18095" t="str">
        <f>"MCCLAIN                  KATIE                    "</f>
        <v xml:space="preserve">MCCLAIN                  KATIE                    </v>
      </c>
      <c r="E18095" t="str">
        <f>"TUPELO                    "</f>
        <v xml:space="preserve">TUPELO                    </v>
      </c>
      <c r="F18095" t="str">
        <f t="shared" si="445"/>
        <v>MS</v>
      </c>
    </row>
    <row r="18096" spans="1:6" x14ac:dyDescent="0.25">
      <c r="A18096" t="str">
        <f>"200016980"</f>
        <v>200016980</v>
      </c>
      <c r="B18096" t="str">
        <f>"1720809940"</f>
        <v>1720809940</v>
      </c>
      <c r="C18096" t="str">
        <f>"363LF0000X"</f>
        <v>363LF0000X</v>
      </c>
      <c r="D18096" t="str">
        <f>"HAYMON                   OLEXIS       B           "</f>
        <v xml:space="preserve">HAYMON                   OLEXIS       B           </v>
      </c>
      <c r="E18096" t="str">
        <f>"DURANT                    "</f>
        <v xml:space="preserve">DURANT                    </v>
      </c>
      <c r="F18096" t="str">
        <f t="shared" si="445"/>
        <v>MS</v>
      </c>
    </row>
    <row r="18097" spans="1:6" x14ac:dyDescent="0.25">
      <c r="A18097" t="str">
        <f>"200016981"</f>
        <v>200016981</v>
      </c>
      <c r="B18097" t="str">
        <f>"1962280545"</f>
        <v>1962280545</v>
      </c>
      <c r="C18097" t="str">
        <f>"363LG0600X"</f>
        <v>363LG0600X</v>
      </c>
      <c r="D18097" t="str">
        <f>"COFFIN                   ANGELIQUE                "</f>
        <v xml:space="preserve">COFFIN                   ANGELIQUE                </v>
      </c>
      <c r="E18097" t="str">
        <f>"BILOXI                    "</f>
        <v xml:space="preserve">BILOXI                    </v>
      </c>
      <c r="F18097" t="str">
        <f t="shared" si="445"/>
        <v>MS</v>
      </c>
    </row>
    <row r="18098" spans="1:6" x14ac:dyDescent="0.25">
      <c r="A18098" t="str">
        <f>"200016984"</f>
        <v>200016984</v>
      </c>
      <c r="B18098" t="str">
        <f>"1396279451"</f>
        <v>1396279451</v>
      </c>
      <c r="C18098" t="str">
        <f>"207RI0011X"</f>
        <v>207RI0011X</v>
      </c>
      <c r="D18098" t="str">
        <f>"DOUGLAS                  ANALISE                  "</f>
        <v xml:space="preserve">DOUGLAS                  ANALISE                  </v>
      </c>
      <c r="E18098" t="str">
        <f>"JACKSON                   "</f>
        <v xml:space="preserve">JACKSON                   </v>
      </c>
      <c r="F18098" t="str">
        <f t="shared" si="445"/>
        <v>MS</v>
      </c>
    </row>
    <row r="18099" spans="1:6" x14ac:dyDescent="0.25">
      <c r="A18099" t="str">
        <f>"200016988"</f>
        <v>200016988</v>
      </c>
      <c r="B18099" t="str">
        <f>"1902858350"</f>
        <v>1902858350</v>
      </c>
      <c r="C18099" t="str">
        <f>"367500000X"</f>
        <v>367500000X</v>
      </c>
      <c r="D18099" t="str">
        <f>"BEAVER                   KEVIN                    "</f>
        <v xml:space="preserve">BEAVER                   KEVIN                    </v>
      </c>
      <c r="E18099" t="str">
        <f>"OLIVE BRANCH              "</f>
        <v xml:space="preserve">OLIVE BRANCH              </v>
      </c>
      <c r="F18099" t="str">
        <f t="shared" si="445"/>
        <v>MS</v>
      </c>
    </row>
    <row r="18100" spans="1:6" x14ac:dyDescent="0.25">
      <c r="A18100" t="str">
        <f>"200016990"</f>
        <v>200016990</v>
      </c>
      <c r="B18100" t="str">
        <f>"1447956263"</f>
        <v>1447956263</v>
      </c>
      <c r="C18100" t="str">
        <f>"363LP0200X"</f>
        <v>363LP0200X</v>
      </c>
      <c r="D18100" t="str">
        <f>"ADCOCK                   ADRIA                    "</f>
        <v xml:space="preserve">ADCOCK                   ADRIA                    </v>
      </c>
      <c r="E18100" t="str">
        <f>"JACKSON                   "</f>
        <v xml:space="preserve">JACKSON                   </v>
      </c>
      <c r="F18100" t="str">
        <f t="shared" si="445"/>
        <v>MS</v>
      </c>
    </row>
    <row r="18101" spans="1:6" x14ac:dyDescent="0.25">
      <c r="A18101" t="str">
        <f>"200016993"</f>
        <v>200016993</v>
      </c>
      <c r="B18101" t="str">
        <f>"1528733862"</f>
        <v>1528733862</v>
      </c>
      <c r="C18101" t="str">
        <f>"363AM0700X"</f>
        <v>363AM0700X</v>
      </c>
      <c r="D18101" t="str">
        <f>"LAKHA                    VIVEK                    "</f>
        <v xml:space="preserve">LAKHA                    VIVEK                    </v>
      </c>
      <c r="E18101" t="str">
        <f>"SOUTHAVEN                 "</f>
        <v xml:space="preserve">SOUTHAVEN                 </v>
      </c>
      <c r="F18101" t="str">
        <f t="shared" si="445"/>
        <v>MS</v>
      </c>
    </row>
    <row r="18102" spans="1:6" x14ac:dyDescent="0.25">
      <c r="A18102" t="str">
        <f>"200016999"</f>
        <v>200016999</v>
      </c>
      <c r="B18102" t="str">
        <f>"1992260129"</f>
        <v>1992260129</v>
      </c>
      <c r="C18102" t="str">
        <f>"363LP2300X"</f>
        <v>363LP2300X</v>
      </c>
      <c r="D18102" t="str">
        <f>"HOLLINGSHEAD             ANNA                     "</f>
        <v xml:space="preserve">HOLLINGSHEAD             ANNA                     </v>
      </c>
      <c r="E18102" t="str">
        <f>"RICHLAND                  "</f>
        <v xml:space="preserve">RICHLAND                  </v>
      </c>
      <c r="F18102" t="str">
        <f t="shared" si="445"/>
        <v>MS</v>
      </c>
    </row>
    <row r="18103" spans="1:6" x14ac:dyDescent="0.25">
      <c r="A18103" t="str">
        <f>"200017000"</f>
        <v>200017000</v>
      </c>
      <c r="B18103" t="str">
        <f>"1386033645"</f>
        <v>1386033645</v>
      </c>
      <c r="C18103" t="str">
        <f>"363A00000X"</f>
        <v>363A00000X</v>
      </c>
      <c r="D18103" t="str">
        <f>"WELLS                    DAVENE                   "</f>
        <v xml:space="preserve">WELLS                    DAVENE                   </v>
      </c>
      <c r="E18103" t="str">
        <f>"SOUTHAVEN                 "</f>
        <v xml:space="preserve">SOUTHAVEN                 </v>
      </c>
      <c r="F18103" t="str">
        <f t="shared" si="445"/>
        <v>MS</v>
      </c>
    </row>
    <row r="18104" spans="1:6" x14ac:dyDescent="0.25">
      <c r="A18104" t="str">
        <f>"200017005"</f>
        <v>200017005</v>
      </c>
      <c r="B18104" t="str">
        <f>"1053136630"</f>
        <v>1053136630</v>
      </c>
      <c r="C18104" t="str">
        <f>"363LF0000X"</f>
        <v>363LF0000X</v>
      </c>
      <c r="D18104" t="str">
        <f>"JONES                    EMILY                    "</f>
        <v xml:space="preserve">JONES                    EMILY                    </v>
      </c>
      <c r="E18104" t="str">
        <f>"JACKSON                   "</f>
        <v xml:space="preserve">JACKSON                   </v>
      </c>
      <c r="F18104" t="str">
        <f t="shared" si="445"/>
        <v>MS</v>
      </c>
    </row>
    <row r="18105" spans="1:6" x14ac:dyDescent="0.25">
      <c r="A18105" t="str">
        <f>"200017006"</f>
        <v>200017006</v>
      </c>
      <c r="B18105" t="str">
        <f>"1609856269"</f>
        <v>1609856269</v>
      </c>
      <c r="C18105" t="str">
        <f>"207T00000X"</f>
        <v>207T00000X</v>
      </c>
      <c r="D18105" t="str">
        <f>"INGRAHAM                 ROBERT                   "</f>
        <v xml:space="preserve">INGRAHAM                 ROBERT                   </v>
      </c>
      <c r="E18105" t="str">
        <f>"OXFORD                    "</f>
        <v xml:space="preserve">OXFORD                    </v>
      </c>
      <c r="F18105" t="str">
        <f t="shared" si="445"/>
        <v>MS</v>
      </c>
    </row>
    <row r="18106" spans="1:6" x14ac:dyDescent="0.25">
      <c r="A18106" t="str">
        <f>"200017007"</f>
        <v>200017007</v>
      </c>
      <c r="B18106" t="str">
        <f>"1154003069"</f>
        <v>1154003069</v>
      </c>
      <c r="C18106" t="str">
        <f>"363LF0000X"</f>
        <v>363LF0000X</v>
      </c>
      <c r="D18106" t="str">
        <f>"WOODALL                  STEPHANIE                "</f>
        <v xml:space="preserve">WOODALL                  STEPHANIE                </v>
      </c>
      <c r="E18106" t="str">
        <f>"JACKSON                   "</f>
        <v xml:space="preserve">JACKSON                   </v>
      </c>
      <c r="F18106" t="str">
        <f t="shared" si="445"/>
        <v>MS</v>
      </c>
    </row>
    <row r="18107" spans="1:6" x14ac:dyDescent="0.25">
      <c r="A18107" t="str">
        <f>"200017009"</f>
        <v>200017009</v>
      </c>
      <c r="B18107" t="str">
        <f>"1639996952"</f>
        <v>1639996952</v>
      </c>
      <c r="C18107" t="str">
        <f>"363A00000X"</f>
        <v>363A00000X</v>
      </c>
      <c r="D18107" t="str">
        <f>"BRUISTER                 KATHERINE                "</f>
        <v xml:space="preserve">BRUISTER                 KATHERINE                </v>
      </c>
      <c r="E18107" t="str">
        <f>"GULFPORT                  "</f>
        <v xml:space="preserve">GULFPORT                  </v>
      </c>
      <c r="F18107" t="str">
        <f t="shared" si="445"/>
        <v>MS</v>
      </c>
    </row>
    <row r="18108" spans="1:6" x14ac:dyDescent="0.25">
      <c r="A18108" t="str">
        <f>"200017011"</f>
        <v>200017011</v>
      </c>
      <c r="B18108" t="str">
        <f>"1699586115"</f>
        <v>1699586115</v>
      </c>
      <c r="C18108" t="str">
        <f>"363L00000X"</f>
        <v>363L00000X</v>
      </c>
      <c r="D18108" t="str">
        <f>"FOSTER                   JENNIFER                 "</f>
        <v xml:space="preserve">FOSTER                   JENNIFER                 </v>
      </c>
      <c r="E18108" t="str">
        <f>"GULFPORT                  "</f>
        <v xml:space="preserve">GULFPORT                  </v>
      </c>
      <c r="F18108" t="str">
        <f t="shared" si="445"/>
        <v>MS</v>
      </c>
    </row>
    <row r="18109" spans="1:6" x14ac:dyDescent="0.25">
      <c r="A18109" t="str">
        <f>"200017014"</f>
        <v>200017014</v>
      </c>
      <c r="B18109" t="str">
        <f>"1548840119"</f>
        <v>1548840119</v>
      </c>
      <c r="C18109" t="str">
        <f>"207P00000X"</f>
        <v>207P00000X</v>
      </c>
      <c r="D18109" t="str">
        <f>"THISTLE                  KYLE                     "</f>
        <v xml:space="preserve">THISTLE                  KYLE                     </v>
      </c>
      <c r="E18109" t="str">
        <f>"SOUTHAVEN                 "</f>
        <v xml:space="preserve">SOUTHAVEN                 </v>
      </c>
      <c r="F18109" t="str">
        <f t="shared" si="445"/>
        <v>MS</v>
      </c>
    </row>
    <row r="18110" spans="1:6" x14ac:dyDescent="0.25">
      <c r="A18110" t="str">
        <f>"200017019"</f>
        <v>200017019</v>
      </c>
      <c r="B18110" t="str">
        <f>"1366914970"</f>
        <v>1366914970</v>
      </c>
      <c r="C18110" t="str">
        <f>"363LP0808X"</f>
        <v>363LP0808X</v>
      </c>
      <c r="D18110" t="str">
        <f>"BENNETT                  NANCY        L           "</f>
        <v xml:space="preserve">BENNETT                  NANCY        L           </v>
      </c>
      <c r="E18110" t="str">
        <f>"CANTON                    "</f>
        <v xml:space="preserve">CANTON                    </v>
      </c>
      <c r="F18110" t="str">
        <f t="shared" ref="F18110:F18173" si="446">"MS"</f>
        <v>MS</v>
      </c>
    </row>
    <row r="18111" spans="1:6" x14ac:dyDescent="0.25">
      <c r="A18111" t="str">
        <f>"200017028"</f>
        <v>200017028</v>
      </c>
      <c r="B18111" t="str">
        <f>"1861216756"</f>
        <v>1861216756</v>
      </c>
      <c r="C18111" t="str">
        <f>"363LP0808X"</f>
        <v>363LP0808X</v>
      </c>
      <c r="D18111" t="str">
        <f>"CROWELL                  KIMBERLY     M           "</f>
        <v xml:space="preserve">CROWELL                  KIMBERLY     M           </v>
      </c>
      <c r="E18111" t="str">
        <f>"MERIDIAN                  "</f>
        <v xml:space="preserve">MERIDIAN                  </v>
      </c>
      <c r="F18111" t="str">
        <f t="shared" si="446"/>
        <v>MS</v>
      </c>
    </row>
    <row r="18112" spans="1:6" x14ac:dyDescent="0.25">
      <c r="A18112" t="str">
        <f>"200017051"</f>
        <v>200017051</v>
      </c>
      <c r="B18112" t="str">
        <f>"1750878781"</f>
        <v>1750878781</v>
      </c>
      <c r="C18112" t="str">
        <f>"261QM1300X"</f>
        <v>261QM1300X</v>
      </c>
      <c r="D18112" t="str">
        <f>"PREMIER PROFESSIONAL COUNSELING SERVICES          "</f>
        <v xml:space="preserve">PREMIER PROFESSIONAL COUNSELING SERVICES          </v>
      </c>
      <c r="E18112" t="str">
        <f>"DIBERVILLE                "</f>
        <v xml:space="preserve">DIBERVILLE                </v>
      </c>
      <c r="F18112" t="str">
        <f t="shared" si="446"/>
        <v>MS</v>
      </c>
    </row>
    <row r="18113" spans="1:6" x14ac:dyDescent="0.25">
      <c r="A18113" t="str">
        <f>"200017057"</f>
        <v>200017057</v>
      </c>
      <c r="B18113" t="str">
        <f>"1568722239"</f>
        <v>1568722239</v>
      </c>
      <c r="C18113" t="str">
        <f>"207R00000X"</f>
        <v>207R00000X</v>
      </c>
      <c r="D18113" t="str">
        <f>"DEANS                    AMANDA       L           "</f>
        <v xml:space="preserve">DEANS                    AMANDA       L           </v>
      </c>
      <c r="E18113" t="str">
        <f>"GULFPORT                  "</f>
        <v xml:space="preserve">GULFPORT                  </v>
      </c>
      <c r="F18113" t="str">
        <f t="shared" si="446"/>
        <v>MS</v>
      </c>
    </row>
    <row r="18114" spans="1:6" x14ac:dyDescent="0.25">
      <c r="A18114" t="str">
        <f>"200017066"</f>
        <v>200017066</v>
      </c>
      <c r="B18114" t="str">
        <f>"1306993282"</f>
        <v>1306993282</v>
      </c>
      <c r="C18114" t="str">
        <f>"2085R0202X"</f>
        <v>2085R0202X</v>
      </c>
      <c r="D18114" t="str">
        <f>"SHIPMAN                  JASON                    "</f>
        <v xml:space="preserve">SHIPMAN                  JASON                    </v>
      </c>
      <c r="E18114" t="str">
        <f>"GULFPORT                  "</f>
        <v xml:space="preserve">GULFPORT                  </v>
      </c>
      <c r="F18114" t="str">
        <f t="shared" si="446"/>
        <v>MS</v>
      </c>
    </row>
    <row r="18115" spans="1:6" x14ac:dyDescent="0.25">
      <c r="A18115" t="str">
        <f>"200017074"</f>
        <v>200017074</v>
      </c>
      <c r="B18115" t="str">
        <f>"1205831666"</f>
        <v>1205831666</v>
      </c>
      <c r="C18115" t="str">
        <f>"207RH0002X"</f>
        <v>207RH0002X</v>
      </c>
      <c r="D18115" t="str">
        <f>"GRAHAM                   BOBBY                    "</f>
        <v xml:space="preserve">GRAHAM                   BOBBY                    </v>
      </c>
      <c r="E18115" t="str">
        <f>"JACKSON                   "</f>
        <v xml:space="preserve">JACKSON                   </v>
      </c>
      <c r="F18115" t="str">
        <f t="shared" si="446"/>
        <v>MS</v>
      </c>
    </row>
    <row r="18116" spans="1:6" x14ac:dyDescent="0.25">
      <c r="A18116" t="str">
        <f>"200017075"</f>
        <v>200017075</v>
      </c>
      <c r="B18116" t="str">
        <f>"1205831666"</f>
        <v>1205831666</v>
      </c>
      <c r="C18116" t="str">
        <f>"207RH0003X"</f>
        <v>207RH0003X</v>
      </c>
      <c r="D18116" t="str">
        <f>"GRAHAM                   BOBBY                    "</f>
        <v xml:space="preserve">GRAHAM                   BOBBY                    </v>
      </c>
      <c r="E18116" t="str">
        <f>"JACKSON                   "</f>
        <v xml:space="preserve">JACKSON                   </v>
      </c>
      <c r="F18116" t="str">
        <f t="shared" si="446"/>
        <v>MS</v>
      </c>
    </row>
    <row r="18117" spans="1:6" x14ac:dyDescent="0.25">
      <c r="A18117" t="str">
        <f>"200017078"</f>
        <v>200017078</v>
      </c>
      <c r="B18117" t="str">
        <f>"1487778239"</f>
        <v>1487778239</v>
      </c>
      <c r="C18117" t="str">
        <f>"2086S0129X"</f>
        <v>2086S0129X</v>
      </c>
      <c r="D18117" t="str">
        <f>"BALDWIN                  ZACHARY                  "</f>
        <v xml:space="preserve">BALDWIN                  ZACHARY                  </v>
      </c>
      <c r="E18117" t="str">
        <f>"JACKSON                   "</f>
        <v xml:space="preserve">JACKSON                   </v>
      </c>
      <c r="F18117" t="str">
        <f t="shared" si="446"/>
        <v>MS</v>
      </c>
    </row>
    <row r="18118" spans="1:6" x14ac:dyDescent="0.25">
      <c r="A18118" t="str">
        <f>"200017079"</f>
        <v>200017079</v>
      </c>
      <c r="B18118" t="str">
        <f>"1811213853"</f>
        <v>1811213853</v>
      </c>
      <c r="C18118" t="str">
        <f>"363LF0000X"</f>
        <v>363LF0000X</v>
      </c>
      <c r="D18118" t="str">
        <f>"LUTKEN                   ANN                      "</f>
        <v xml:space="preserve">LUTKEN                   ANN                      </v>
      </c>
      <c r="E18118" t="str">
        <f>"JACKSON                   "</f>
        <v xml:space="preserve">JACKSON                   </v>
      </c>
      <c r="F18118" t="str">
        <f t="shared" si="446"/>
        <v>MS</v>
      </c>
    </row>
    <row r="18119" spans="1:6" x14ac:dyDescent="0.25">
      <c r="A18119" t="str">
        <f>"200017080"</f>
        <v>200017080</v>
      </c>
      <c r="B18119" t="str">
        <f>"1275372013"</f>
        <v>1275372013</v>
      </c>
      <c r="C18119" t="str">
        <f>"363L00000X"</f>
        <v>363L00000X</v>
      </c>
      <c r="D18119" t="str">
        <f>"ULMER                    VICTORIA                 "</f>
        <v xml:space="preserve">ULMER                    VICTORIA                 </v>
      </c>
      <c r="E18119" t="str">
        <f>"NATCHEZ                   "</f>
        <v xml:space="preserve">NATCHEZ                   </v>
      </c>
      <c r="F18119" t="str">
        <f t="shared" si="446"/>
        <v>MS</v>
      </c>
    </row>
    <row r="18120" spans="1:6" x14ac:dyDescent="0.25">
      <c r="A18120" t="str">
        <f>"200017087"</f>
        <v>200017087</v>
      </c>
      <c r="B18120" t="str">
        <f>"1679078356"</f>
        <v>1679078356</v>
      </c>
      <c r="C18120" t="str">
        <f>"208600000X"</f>
        <v>208600000X</v>
      </c>
      <c r="D18120" t="str">
        <f>"WATSON                   BENJAMIN     M           "</f>
        <v xml:space="preserve">WATSON                   BENJAMIN     M           </v>
      </c>
      <c r="E18120" t="str">
        <f>"BILOXI                    "</f>
        <v xml:space="preserve">BILOXI                    </v>
      </c>
      <c r="F18120" t="str">
        <f t="shared" si="446"/>
        <v>MS</v>
      </c>
    </row>
    <row r="18121" spans="1:6" x14ac:dyDescent="0.25">
      <c r="A18121" t="str">
        <f>"200017088"</f>
        <v>200017088</v>
      </c>
      <c r="B18121" t="str">
        <f>"1679078356"</f>
        <v>1679078356</v>
      </c>
      <c r="C18121" t="str">
        <f>"208C00000X"</f>
        <v>208C00000X</v>
      </c>
      <c r="D18121" t="str">
        <f>"WATSON                   BENJAMIN     M           "</f>
        <v xml:space="preserve">WATSON                   BENJAMIN     M           </v>
      </c>
      <c r="E18121" t="str">
        <f>"BILOXI                    "</f>
        <v xml:space="preserve">BILOXI                    </v>
      </c>
      <c r="F18121" t="str">
        <f t="shared" si="446"/>
        <v>MS</v>
      </c>
    </row>
    <row r="18122" spans="1:6" x14ac:dyDescent="0.25">
      <c r="A18122" t="str">
        <f>"200017090"</f>
        <v>200017090</v>
      </c>
      <c r="B18122" t="str">
        <f>"1215760079"</f>
        <v>1215760079</v>
      </c>
      <c r="C18122" t="str">
        <f>"363L00000X"</f>
        <v>363L00000X</v>
      </c>
      <c r="D18122" t="str">
        <f>"TURNER                   RAMONA                   "</f>
        <v xml:space="preserve">TURNER                   RAMONA                   </v>
      </c>
      <c r="E18122" t="str">
        <f>"JACKSON                   "</f>
        <v xml:space="preserve">JACKSON                   </v>
      </c>
      <c r="F18122" t="str">
        <f t="shared" si="446"/>
        <v>MS</v>
      </c>
    </row>
    <row r="18123" spans="1:6" x14ac:dyDescent="0.25">
      <c r="A18123" t="str">
        <f>"200017098"</f>
        <v>200017098</v>
      </c>
      <c r="B18123" t="str">
        <f>"1447767793"</f>
        <v>1447767793</v>
      </c>
      <c r="C18123" t="str">
        <f>"367500000X"</f>
        <v>367500000X</v>
      </c>
      <c r="D18123" t="str">
        <f>"WOJTALA                  EVAN                     "</f>
        <v xml:space="preserve">WOJTALA                  EVAN                     </v>
      </c>
      <c r="E18123" t="str">
        <f>"BILOXI                    "</f>
        <v xml:space="preserve">BILOXI                    </v>
      </c>
      <c r="F18123" t="str">
        <f t="shared" si="446"/>
        <v>MS</v>
      </c>
    </row>
    <row r="18124" spans="1:6" x14ac:dyDescent="0.25">
      <c r="A18124" t="str">
        <f>"200017104"</f>
        <v>200017104</v>
      </c>
      <c r="B18124" t="str">
        <f>"1336901594"</f>
        <v>1336901594</v>
      </c>
      <c r="C18124" t="str">
        <f>"363LF0000X"</f>
        <v>363LF0000X</v>
      </c>
      <c r="D18124" t="str">
        <f>"ROSE                     JOSEPH       A           "</f>
        <v xml:space="preserve">ROSE                     JOSEPH       A           </v>
      </c>
      <c r="E18124" t="str">
        <f>"SOUTHAVEN                 "</f>
        <v xml:space="preserve">SOUTHAVEN                 </v>
      </c>
      <c r="F18124" t="str">
        <f t="shared" si="446"/>
        <v>MS</v>
      </c>
    </row>
    <row r="18125" spans="1:6" x14ac:dyDescent="0.25">
      <c r="A18125" t="str">
        <f>"200017119"</f>
        <v>200017119</v>
      </c>
      <c r="B18125" t="str">
        <f>"1316346992"</f>
        <v>1316346992</v>
      </c>
      <c r="C18125" t="str">
        <f>"363LF0000X"</f>
        <v>363LF0000X</v>
      </c>
      <c r="D18125" t="str">
        <f>"WILLIAMS                 MITCHELL                 "</f>
        <v xml:space="preserve">WILLIAMS                 MITCHELL                 </v>
      </c>
      <c r="E18125" t="str">
        <f>"HOUSTON                   "</f>
        <v xml:space="preserve">HOUSTON                   </v>
      </c>
      <c r="F18125" t="str">
        <f t="shared" si="446"/>
        <v>MS</v>
      </c>
    </row>
    <row r="18126" spans="1:6" x14ac:dyDescent="0.25">
      <c r="A18126" t="str">
        <f>"200017123"</f>
        <v>200017123</v>
      </c>
      <c r="B18126" t="str">
        <f>"1639248537"</f>
        <v>1639248537</v>
      </c>
      <c r="C18126" t="str">
        <f>"363LN0000X"</f>
        <v>363LN0000X</v>
      </c>
      <c r="D18126" t="str">
        <f>"LAYFIELD                 NICOLE                   "</f>
        <v xml:space="preserve">LAYFIELD                 NICOLE                   </v>
      </c>
      <c r="E18126" t="str">
        <f>"JACKSON                   "</f>
        <v xml:space="preserve">JACKSON                   </v>
      </c>
      <c r="F18126" t="str">
        <f t="shared" si="446"/>
        <v>MS</v>
      </c>
    </row>
    <row r="18127" spans="1:6" x14ac:dyDescent="0.25">
      <c r="A18127" t="str">
        <f>"200017124"</f>
        <v>200017124</v>
      </c>
      <c r="B18127" t="str">
        <f>"1770161580"</f>
        <v>1770161580</v>
      </c>
      <c r="C18127" t="str">
        <f>"207R00000X"</f>
        <v>207R00000X</v>
      </c>
      <c r="D18127" t="str">
        <f>"HIERLMEIER               CHAD                     "</f>
        <v xml:space="preserve">HIERLMEIER               CHAD                     </v>
      </c>
      <c r="E18127" t="str">
        <f>"JACKSON                   "</f>
        <v xml:space="preserve">JACKSON                   </v>
      </c>
      <c r="F18127" t="str">
        <f t="shared" si="446"/>
        <v>MS</v>
      </c>
    </row>
    <row r="18128" spans="1:6" x14ac:dyDescent="0.25">
      <c r="A18128" t="str">
        <f>"200017125"</f>
        <v>200017125</v>
      </c>
      <c r="B18128" t="str">
        <f>"1215537659"</f>
        <v>1215537659</v>
      </c>
      <c r="C18128" t="str">
        <f>"363L00000X"</f>
        <v>363L00000X</v>
      </c>
      <c r="D18128" t="str">
        <f>"ANDERSON                 ERICA                    "</f>
        <v xml:space="preserve">ANDERSON                 ERICA                    </v>
      </c>
      <c r="E18128" t="str">
        <f>"MADISON                   "</f>
        <v xml:space="preserve">MADISON                   </v>
      </c>
      <c r="F18128" t="str">
        <f t="shared" si="446"/>
        <v>MS</v>
      </c>
    </row>
    <row r="18129" spans="1:6" x14ac:dyDescent="0.25">
      <c r="A18129" t="str">
        <f>"200017127"</f>
        <v>200017127</v>
      </c>
      <c r="B18129" t="str">
        <f>"1275982811"</f>
        <v>1275982811</v>
      </c>
      <c r="C18129" t="str">
        <f>"207N00000X"</f>
        <v>207N00000X</v>
      </c>
      <c r="D18129" t="str">
        <f>"LIDDELL                  LUCETTE                  "</f>
        <v xml:space="preserve">LIDDELL                  LUCETTE                  </v>
      </c>
      <c r="E18129" t="str">
        <f>"JACKSON                   "</f>
        <v xml:space="preserve">JACKSON                   </v>
      </c>
      <c r="F18129" t="str">
        <f t="shared" si="446"/>
        <v>MS</v>
      </c>
    </row>
    <row r="18130" spans="1:6" x14ac:dyDescent="0.25">
      <c r="A18130" t="str">
        <f>"200017129"</f>
        <v>200017129</v>
      </c>
      <c r="B18130" t="str">
        <f>"1659832772"</f>
        <v>1659832772</v>
      </c>
      <c r="C18130" t="str">
        <f>"207R00000X"</f>
        <v>207R00000X</v>
      </c>
      <c r="D18130" t="str">
        <f>"GANIM                    ISMAIL                   "</f>
        <v xml:space="preserve">GANIM                    ISMAIL                   </v>
      </c>
      <c r="E18130" t="str">
        <f>"JACKSON                   "</f>
        <v xml:space="preserve">JACKSON                   </v>
      </c>
      <c r="F18130" t="str">
        <f t="shared" si="446"/>
        <v>MS</v>
      </c>
    </row>
    <row r="18131" spans="1:6" x14ac:dyDescent="0.25">
      <c r="A18131" t="str">
        <f>"200017130"</f>
        <v>200017130</v>
      </c>
      <c r="B18131" t="str">
        <f>"1912517848"</f>
        <v>1912517848</v>
      </c>
      <c r="C18131" t="str">
        <f>"363LP0808X"</f>
        <v>363LP0808X</v>
      </c>
      <c r="D18131" t="str">
        <f>"MCKAY                    DE'LISE                  "</f>
        <v xml:space="preserve">MCKAY                    DE'LISE                  </v>
      </c>
      <c r="E18131" t="str">
        <f>"WAVELAND                  "</f>
        <v xml:space="preserve">WAVELAND                  </v>
      </c>
      <c r="F18131" t="str">
        <f t="shared" si="446"/>
        <v>MS</v>
      </c>
    </row>
    <row r="18132" spans="1:6" x14ac:dyDescent="0.25">
      <c r="A18132" t="str">
        <f>"200017131"</f>
        <v>200017131</v>
      </c>
      <c r="B18132" t="str">
        <f>"1063098671"</f>
        <v>1063098671</v>
      </c>
      <c r="C18132" t="str">
        <f>"207PS0010X"</f>
        <v>207PS0010X</v>
      </c>
      <c r="D18132" t="str">
        <f>"SHAH                     NEEMA                    "</f>
        <v xml:space="preserve">SHAH                     NEEMA                    </v>
      </c>
      <c r="E18132" t="str">
        <f>"JACKSON                   "</f>
        <v xml:space="preserve">JACKSON                   </v>
      </c>
      <c r="F18132" t="str">
        <f t="shared" si="446"/>
        <v>MS</v>
      </c>
    </row>
    <row r="18133" spans="1:6" x14ac:dyDescent="0.25">
      <c r="A18133" t="str">
        <f>"200017133"</f>
        <v>200017133</v>
      </c>
      <c r="B18133" t="str">
        <f>"1821378894"</f>
        <v>1821378894</v>
      </c>
      <c r="C18133" t="str">
        <f>"363LF0000X"</f>
        <v>363LF0000X</v>
      </c>
      <c r="D18133" t="str">
        <f>"OVERSTREET               ELIZABETH    0           "</f>
        <v xml:space="preserve">OVERSTREET               ELIZABETH    0           </v>
      </c>
      <c r="E18133" t="str">
        <f>"GREENWOOD                 "</f>
        <v xml:space="preserve">GREENWOOD                 </v>
      </c>
      <c r="F18133" t="str">
        <f t="shared" si="446"/>
        <v>MS</v>
      </c>
    </row>
    <row r="18134" spans="1:6" x14ac:dyDescent="0.25">
      <c r="A18134" t="str">
        <f>"200017137"</f>
        <v>200017137</v>
      </c>
      <c r="B18134" t="str">
        <f>"1912659608"</f>
        <v>1912659608</v>
      </c>
      <c r="C18134" t="str">
        <f>"363LF0000X"</f>
        <v>363LF0000X</v>
      </c>
      <c r="D18134" t="str">
        <f>"RODRIGUEZ                GUALALUPE    J           "</f>
        <v xml:space="preserve">RODRIGUEZ                GUALALUPE    J           </v>
      </c>
      <c r="E18134" t="str">
        <f>"CHOCTAW                   "</f>
        <v xml:space="preserve">CHOCTAW                   </v>
      </c>
      <c r="F18134" t="str">
        <f t="shared" si="446"/>
        <v>MS</v>
      </c>
    </row>
    <row r="18135" spans="1:6" x14ac:dyDescent="0.25">
      <c r="A18135" t="str">
        <f>"200017139"</f>
        <v>200017139</v>
      </c>
      <c r="B18135" t="str">
        <f>"1669978037"</f>
        <v>1669978037</v>
      </c>
      <c r="C18135" t="str">
        <f>"207R00000X"</f>
        <v>207R00000X</v>
      </c>
      <c r="D18135" t="str">
        <f>"MILLER                   JANAE                    "</f>
        <v xml:space="preserve">MILLER                   JANAE                    </v>
      </c>
      <c r="E18135" t="str">
        <f>"JACKSON                   "</f>
        <v xml:space="preserve">JACKSON                   </v>
      </c>
      <c r="F18135" t="str">
        <f t="shared" si="446"/>
        <v>MS</v>
      </c>
    </row>
    <row r="18136" spans="1:6" x14ac:dyDescent="0.25">
      <c r="A18136" t="str">
        <f>"200017162"</f>
        <v>200017162</v>
      </c>
      <c r="B18136" t="str">
        <f>"1124367644"</f>
        <v>1124367644</v>
      </c>
      <c r="C18136" t="str">
        <f>"363LF0000X"</f>
        <v>363LF0000X</v>
      </c>
      <c r="D18136" t="str">
        <f>"KEYS                     LAURA                    "</f>
        <v xml:space="preserve">KEYS                     LAURA                    </v>
      </c>
      <c r="E18136" t="str">
        <f>"JACKSON                   "</f>
        <v xml:space="preserve">JACKSON                   </v>
      </c>
      <c r="F18136" t="str">
        <f t="shared" si="446"/>
        <v>MS</v>
      </c>
    </row>
    <row r="18137" spans="1:6" x14ac:dyDescent="0.25">
      <c r="A18137" t="str">
        <f>"200017171"</f>
        <v>200017171</v>
      </c>
      <c r="B18137" t="str">
        <f>"1336959675"</f>
        <v>1336959675</v>
      </c>
      <c r="C18137" t="str">
        <f>"367500000X"</f>
        <v>367500000X</v>
      </c>
      <c r="D18137" t="str">
        <f>"LOWERY                   DARIENNE     L           "</f>
        <v xml:space="preserve">LOWERY                   DARIENNE     L           </v>
      </c>
      <c r="E18137" t="str">
        <f>"GULFPORT                  "</f>
        <v xml:space="preserve">GULFPORT                  </v>
      </c>
      <c r="F18137" t="str">
        <f t="shared" si="446"/>
        <v>MS</v>
      </c>
    </row>
    <row r="18138" spans="1:6" x14ac:dyDescent="0.25">
      <c r="A18138" t="str">
        <f>"200017196"</f>
        <v>200017196</v>
      </c>
      <c r="B18138" t="str">
        <f>"1669960290"</f>
        <v>1669960290</v>
      </c>
      <c r="C18138" t="str">
        <f>"207V00000X"</f>
        <v>207V00000X</v>
      </c>
      <c r="D18138" t="str">
        <f>"ZACHOW                   KIMBERLY                 "</f>
        <v xml:space="preserve">ZACHOW                   KIMBERLY                 </v>
      </c>
      <c r="E18138" t="str">
        <f>"JACKSON                   "</f>
        <v xml:space="preserve">JACKSON                   </v>
      </c>
      <c r="F18138" t="str">
        <f t="shared" si="446"/>
        <v>MS</v>
      </c>
    </row>
    <row r="18139" spans="1:6" x14ac:dyDescent="0.25">
      <c r="A18139" t="str">
        <f>"200017198"</f>
        <v>200017198</v>
      </c>
      <c r="B18139" t="str">
        <f>"1841008059"</f>
        <v>1841008059</v>
      </c>
      <c r="C18139" t="str">
        <f>"367500000X"</f>
        <v>367500000X</v>
      </c>
      <c r="D18139" t="str">
        <f>"JONES                    JOSHUA       S           "</f>
        <v xml:space="preserve">JONES                    JOSHUA       S           </v>
      </c>
      <c r="E18139" t="str">
        <f>"HATTIESBURG               "</f>
        <v xml:space="preserve">HATTIESBURG               </v>
      </c>
      <c r="F18139" t="str">
        <f t="shared" si="446"/>
        <v>MS</v>
      </c>
    </row>
    <row r="18140" spans="1:6" x14ac:dyDescent="0.25">
      <c r="A18140" t="str">
        <f>"200017200"</f>
        <v>200017200</v>
      </c>
      <c r="B18140" t="str">
        <f>"1831857374"</f>
        <v>1831857374</v>
      </c>
      <c r="C18140" t="str">
        <f>"363L00000X"</f>
        <v>363L00000X</v>
      </c>
      <c r="D18140" t="str">
        <f>"CALVERT                  LEE                      "</f>
        <v xml:space="preserve">CALVERT                  LEE                      </v>
      </c>
      <c r="E18140" t="str">
        <f>"ACKERMAN                  "</f>
        <v xml:space="preserve">ACKERMAN                  </v>
      </c>
      <c r="F18140" t="str">
        <f t="shared" si="446"/>
        <v>MS</v>
      </c>
    </row>
    <row r="18141" spans="1:6" x14ac:dyDescent="0.25">
      <c r="A18141" t="str">
        <f>"200017214"</f>
        <v>200017214</v>
      </c>
      <c r="B18141" t="str">
        <f>"1255943932"</f>
        <v>1255943932</v>
      </c>
      <c r="C18141" t="str">
        <f>"363LF0000X"</f>
        <v>363LF0000X</v>
      </c>
      <c r="D18141" t="str">
        <f>"BREWER                   MARY         K           "</f>
        <v xml:space="preserve">BREWER                   MARY         K           </v>
      </c>
      <c r="E18141" t="str">
        <f>"MADISON                   "</f>
        <v xml:space="preserve">MADISON                   </v>
      </c>
      <c r="F18141" t="str">
        <f t="shared" si="446"/>
        <v>MS</v>
      </c>
    </row>
    <row r="18142" spans="1:6" x14ac:dyDescent="0.25">
      <c r="A18142" t="str">
        <f>"200017226"</f>
        <v>200017226</v>
      </c>
      <c r="B18142" t="str">
        <f>"1316750045"</f>
        <v>1316750045</v>
      </c>
      <c r="C18142" t="str">
        <f>"363L00000X"</f>
        <v>363L00000X</v>
      </c>
      <c r="D18142" t="str">
        <f>"SALLIE                   CARRINGTON               "</f>
        <v xml:space="preserve">SALLIE                   CARRINGTON               </v>
      </c>
      <c r="E18142" t="str">
        <f>"RICHLAND                  "</f>
        <v xml:space="preserve">RICHLAND                  </v>
      </c>
      <c r="F18142" t="str">
        <f t="shared" si="446"/>
        <v>MS</v>
      </c>
    </row>
    <row r="18143" spans="1:6" x14ac:dyDescent="0.25">
      <c r="A18143" t="str">
        <f>"200017228"</f>
        <v>200017228</v>
      </c>
      <c r="B18143" t="str">
        <f>"1073539771"</f>
        <v>1073539771</v>
      </c>
      <c r="C18143" t="str">
        <f>"363A00000X"</f>
        <v>363A00000X</v>
      </c>
      <c r="D18143" t="str">
        <f>"PUKISH                   NICHOLAS                 "</f>
        <v xml:space="preserve">PUKISH                   NICHOLAS                 </v>
      </c>
      <c r="E18143" t="str">
        <f>"BILOXI                    "</f>
        <v xml:space="preserve">BILOXI                    </v>
      </c>
      <c r="F18143" t="str">
        <f t="shared" si="446"/>
        <v>MS</v>
      </c>
    </row>
    <row r="18144" spans="1:6" x14ac:dyDescent="0.25">
      <c r="A18144" t="str">
        <f>"200017233"</f>
        <v>200017233</v>
      </c>
      <c r="B18144" t="str">
        <f>"1932770864"</f>
        <v>1932770864</v>
      </c>
      <c r="C18144" t="str">
        <f>"207P00000X"</f>
        <v>207P00000X</v>
      </c>
      <c r="D18144" t="str">
        <f>"SPRATT                   SHANESSE                 "</f>
        <v xml:space="preserve">SPRATT                   SHANESSE                 </v>
      </c>
      <c r="E18144" t="str">
        <f>"JACKSON                   "</f>
        <v xml:space="preserve">JACKSON                   </v>
      </c>
      <c r="F18144" t="str">
        <f t="shared" si="446"/>
        <v>MS</v>
      </c>
    </row>
    <row r="18145" spans="1:6" x14ac:dyDescent="0.25">
      <c r="A18145" t="str">
        <f>"200017239"</f>
        <v>200017239</v>
      </c>
      <c r="B18145" t="str">
        <f>"1114403268"</f>
        <v>1114403268</v>
      </c>
      <c r="C18145" t="str">
        <f>"363L00000X"</f>
        <v>363L00000X</v>
      </c>
      <c r="D18145" t="str">
        <f>"GINN                     KATHERINE                "</f>
        <v xml:space="preserve">GINN                     KATHERINE                </v>
      </c>
      <c r="E18145" t="str">
        <f>"FLOWOOD                   "</f>
        <v xml:space="preserve">FLOWOOD                   </v>
      </c>
      <c r="F18145" t="str">
        <f t="shared" si="446"/>
        <v>MS</v>
      </c>
    </row>
    <row r="18146" spans="1:6" x14ac:dyDescent="0.25">
      <c r="A18146" t="str">
        <f>"200017247"</f>
        <v>200017247</v>
      </c>
      <c r="B18146" t="str">
        <f>"1710390943"</f>
        <v>1710390943</v>
      </c>
      <c r="C18146" t="str">
        <f>"363LF0000X"</f>
        <v>363LF0000X</v>
      </c>
      <c r="D18146" t="str">
        <f>"MCCURDY                  JENNIFER                 "</f>
        <v xml:space="preserve">MCCURDY                  JENNIFER                 </v>
      </c>
      <c r="E18146" t="str">
        <f>"HATTIESBURG               "</f>
        <v xml:space="preserve">HATTIESBURG               </v>
      </c>
      <c r="F18146" t="str">
        <f t="shared" si="446"/>
        <v>MS</v>
      </c>
    </row>
    <row r="18147" spans="1:6" x14ac:dyDescent="0.25">
      <c r="A18147" t="str">
        <f>"200017252"</f>
        <v>200017252</v>
      </c>
      <c r="B18147" t="str">
        <f>"1437882040"</f>
        <v>1437882040</v>
      </c>
      <c r="C18147" t="str">
        <f>"363L00000X"</f>
        <v>363L00000X</v>
      </c>
      <c r="D18147" t="str">
        <f>"PAYNE                    KARA                     "</f>
        <v xml:space="preserve">PAYNE                    KARA                     </v>
      </c>
      <c r="E18147" t="str">
        <f>"JACKSON                   "</f>
        <v xml:space="preserve">JACKSON                   </v>
      </c>
      <c r="F18147" t="str">
        <f t="shared" si="446"/>
        <v>MS</v>
      </c>
    </row>
    <row r="18148" spans="1:6" x14ac:dyDescent="0.25">
      <c r="A18148" t="str">
        <f>"200017254"</f>
        <v>200017254</v>
      </c>
      <c r="B18148" t="str">
        <f>"1235343187"</f>
        <v>1235343187</v>
      </c>
      <c r="C18148" t="str">
        <f>"207WX0107X"</f>
        <v>207WX0107X</v>
      </c>
      <c r="D18148" t="str">
        <f>"DAVIS                    BRANDON      L           "</f>
        <v xml:space="preserve">DAVIS                    BRANDON      L           </v>
      </c>
      <c r="E18148" t="str">
        <f>"GULFPORT                  "</f>
        <v xml:space="preserve">GULFPORT                  </v>
      </c>
      <c r="F18148" t="str">
        <f t="shared" si="446"/>
        <v>MS</v>
      </c>
    </row>
    <row r="18149" spans="1:6" x14ac:dyDescent="0.25">
      <c r="A18149" t="str">
        <f>"200017261"</f>
        <v>200017261</v>
      </c>
      <c r="B18149" t="str">
        <f>"1851161855"</f>
        <v>1851161855</v>
      </c>
      <c r="C18149" t="str">
        <f>"363LP0200X"</f>
        <v>363LP0200X</v>
      </c>
      <c r="D18149" t="str">
        <f>"GARRETT                  ALLISON                  "</f>
        <v xml:space="preserve">GARRETT                  ALLISON                  </v>
      </c>
      <c r="E18149" t="str">
        <f>"PETAL                     "</f>
        <v xml:space="preserve">PETAL                     </v>
      </c>
      <c r="F18149" t="str">
        <f t="shared" si="446"/>
        <v>MS</v>
      </c>
    </row>
    <row r="18150" spans="1:6" x14ac:dyDescent="0.25">
      <c r="A18150" t="str">
        <f>"200017267"</f>
        <v>200017267</v>
      </c>
      <c r="B18150" t="str">
        <f>"1942587670"</f>
        <v>1942587670</v>
      </c>
      <c r="C18150" t="str">
        <f>"363LF0000X"</f>
        <v>363LF0000X</v>
      </c>
      <c r="D18150" t="str">
        <f>"TRAVIS                   AMANDA                   "</f>
        <v xml:space="preserve">TRAVIS                   AMANDA                   </v>
      </c>
      <c r="E18150" t="str">
        <f>"HERNANDO                  "</f>
        <v xml:space="preserve">HERNANDO                  </v>
      </c>
      <c r="F18150" t="str">
        <f t="shared" si="446"/>
        <v>MS</v>
      </c>
    </row>
    <row r="18151" spans="1:6" x14ac:dyDescent="0.25">
      <c r="A18151" t="str">
        <f>"200017268"</f>
        <v>200017268</v>
      </c>
      <c r="B18151" t="str">
        <f>"1639556731"</f>
        <v>1639556731</v>
      </c>
      <c r="C18151" t="str">
        <f>"363LF0000X"</f>
        <v>363LF0000X</v>
      </c>
      <c r="D18151" t="str">
        <f>"CARTER                   JOYCE                    "</f>
        <v xml:space="preserve">CARTER                   JOYCE                    </v>
      </c>
      <c r="E18151" t="str">
        <f>"STARKVILLE                "</f>
        <v xml:space="preserve">STARKVILLE                </v>
      </c>
      <c r="F18151" t="str">
        <f t="shared" si="446"/>
        <v>MS</v>
      </c>
    </row>
    <row r="18152" spans="1:6" x14ac:dyDescent="0.25">
      <c r="A18152" t="str">
        <f>"200017272"</f>
        <v>200017272</v>
      </c>
      <c r="B18152" t="str">
        <f>"1386471365"</f>
        <v>1386471365</v>
      </c>
      <c r="C18152" t="str">
        <f>"363L00000X"</f>
        <v>363L00000X</v>
      </c>
      <c r="D18152" t="str">
        <f>"RIVERS                   LAUREN                   "</f>
        <v xml:space="preserve">RIVERS                   LAUREN                   </v>
      </c>
      <c r="E18152" t="str">
        <f>"FLOWOOD                   "</f>
        <v xml:space="preserve">FLOWOOD                   </v>
      </c>
      <c r="F18152" t="str">
        <f t="shared" si="446"/>
        <v>MS</v>
      </c>
    </row>
    <row r="18153" spans="1:6" x14ac:dyDescent="0.25">
      <c r="A18153" t="str">
        <f>"200017274"</f>
        <v>200017274</v>
      </c>
      <c r="B18153" t="str">
        <f>"1326298704"</f>
        <v>1326298704</v>
      </c>
      <c r="C18153" t="str">
        <f>"152W00000X"</f>
        <v>152W00000X</v>
      </c>
      <c r="D18153" t="str">
        <f>"CHARLES E BARNES OD PA DBA / MCCOMB EYE CARE      "</f>
        <v xml:space="preserve">CHARLES E BARNES OD PA DBA / MCCOMB EYE CARE      </v>
      </c>
      <c r="E18153" t="str">
        <f>"MCCOMB                    "</f>
        <v xml:space="preserve">MCCOMB                    </v>
      </c>
      <c r="F18153" t="str">
        <f t="shared" si="446"/>
        <v>MS</v>
      </c>
    </row>
    <row r="18154" spans="1:6" x14ac:dyDescent="0.25">
      <c r="A18154" t="str">
        <f>"200017275"</f>
        <v>200017275</v>
      </c>
      <c r="B18154" t="str">
        <f>"1912717869"</f>
        <v>1912717869</v>
      </c>
      <c r="C18154" t="str">
        <f>"1223G0001X"</f>
        <v>1223G0001X</v>
      </c>
      <c r="D18154" t="str">
        <f>"RAMSEY E. WILSON D.M.D.                           "</f>
        <v xml:space="preserve">RAMSEY E. WILSON D.M.D.                           </v>
      </c>
      <c r="E18154" t="str">
        <f>"COLLINS                   "</f>
        <v xml:space="preserve">COLLINS                   </v>
      </c>
      <c r="F18154" t="str">
        <f t="shared" si="446"/>
        <v>MS</v>
      </c>
    </row>
    <row r="18155" spans="1:6" x14ac:dyDescent="0.25">
      <c r="A18155" t="str">
        <f>"200017276"</f>
        <v>200017276</v>
      </c>
      <c r="B18155" t="str">
        <f>"1194388454"</f>
        <v>1194388454</v>
      </c>
      <c r="C18155" t="str">
        <f>"207QS0010X"</f>
        <v>207QS0010X</v>
      </c>
      <c r="D18155" t="str">
        <f>"ROSS                     WILLIAM      M           "</f>
        <v xml:space="preserve">ROSS                     WILLIAM      M           </v>
      </c>
      <c r="E18155" t="str">
        <f>"HATTIESBURG               "</f>
        <v xml:space="preserve">HATTIESBURG               </v>
      </c>
      <c r="F18155" t="str">
        <f t="shared" si="446"/>
        <v>MS</v>
      </c>
    </row>
    <row r="18156" spans="1:6" x14ac:dyDescent="0.25">
      <c r="A18156" t="str">
        <f>"200017278"</f>
        <v>200017278</v>
      </c>
      <c r="B18156" t="str">
        <f>"1073334975"</f>
        <v>1073334975</v>
      </c>
      <c r="C18156" t="str">
        <f>"363L00000X"</f>
        <v>363L00000X</v>
      </c>
      <c r="D18156" t="str">
        <f>"WILSON                   TERRIE                   "</f>
        <v xml:space="preserve">WILSON                   TERRIE                   </v>
      </c>
      <c r="E18156" t="str">
        <f>"COLLINS                   "</f>
        <v xml:space="preserve">COLLINS                   </v>
      </c>
      <c r="F18156" t="str">
        <f t="shared" si="446"/>
        <v>MS</v>
      </c>
    </row>
    <row r="18157" spans="1:6" x14ac:dyDescent="0.25">
      <c r="A18157" t="str">
        <f>"200017281"</f>
        <v>200017281</v>
      </c>
      <c r="B18157" t="str">
        <f>"1801474549"</f>
        <v>1801474549</v>
      </c>
      <c r="C18157" t="str">
        <f>"207R00000X"</f>
        <v>207R00000X</v>
      </c>
      <c r="D18157" t="str">
        <f>"DALE                     KELLY                    "</f>
        <v xml:space="preserve">DALE                     KELLY                    </v>
      </c>
      <c r="E18157" t="str">
        <f>"JACKSON                   "</f>
        <v xml:space="preserve">JACKSON                   </v>
      </c>
      <c r="F18157" t="str">
        <f t="shared" si="446"/>
        <v>MS</v>
      </c>
    </row>
    <row r="18158" spans="1:6" x14ac:dyDescent="0.25">
      <c r="A18158" t="str">
        <f>"200017296"</f>
        <v>200017296</v>
      </c>
      <c r="B18158" t="str">
        <f>"1609023712"</f>
        <v>1609023712</v>
      </c>
      <c r="C18158" t="str">
        <f>"367500000X"</f>
        <v>367500000X</v>
      </c>
      <c r="D18158" t="str">
        <f>"SCROGGINS                AMANDA                   "</f>
        <v xml:space="preserve">SCROGGINS                AMANDA                   </v>
      </c>
      <c r="E18158" t="str">
        <f>"MERIDIAN                  "</f>
        <v xml:space="preserve">MERIDIAN                  </v>
      </c>
      <c r="F18158" t="str">
        <f t="shared" si="446"/>
        <v>MS</v>
      </c>
    </row>
    <row r="18159" spans="1:6" x14ac:dyDescent="0.25">
      <c r="A18159" t="str">
        <f>"200017301"</f>
        <v>200017301</v>
      </c>
      <c r="B18159" t="str">
        <f>"1154077063"</f>
        <v>1154077063</v>
      </c>
      <c r="C18159" t="str">
        <f>"363LN0000X"</f>
        <v>363LN0000X</v>
      </c>
      <c r="D18159" t="str">
        <f>"GUNTER                   GINA         E           "</f>
        <v xml:space="preserve">GUNTER                   GINA         E           </v>
      </c>
      <c r="E18159" t="str">
        <f>"MERIDIAN                  "</f>
        <v xml:space="preserve">MERIDIAN                  </v>
      </c>
      <c r="F18159" t="str">
        <f t="shared" si="446"/>
        <v>MS</v>
      </c>
    </row>
    <row r="18160" spans="1:6" x14ac:dyDescent="0.25">
      <c r="A18160" t="str">
        <f>"200017305"</f>
        <v>200017305</v>
      </c>
      <c r="B18160" t="str">
        <f>"1508069535"</f>
        <v>1508069535</v>
      </c>
      <c r="C18160" t="str">
        <f>"363LN0000X"</f>
        <v>363LN0000X</v>
      </c>
      <c r="D18160" t="str">
        <f>"WATSON                   DANCY        A           "</f>
        <v xml:space="preserve">WATSON                   DANCY        A           </v>
      </c>
      <c r="E18160" t="str">
        <f>"MERIDIAN                  "</f>
        <v xml:space="preserve">MERIDIAN                  </v>
      </c>
      <c r="F18160" t="str">
        <f t="shared" si="446"/>
        <v>MS</v>
      </c>
    </row>
    <row r="18161" spans="1:6" x14ac:dyDescent="0.25">
      <c r="A18161" t="str">
        <f>"200017307"</f>
        <v>200017307</v>
      </c>
      <c r="B18161" t="str">
        <f>"1649411422"</f>
        <v>1649411422</v>
      </c>
      <c r="C18161" t="str">
        <f>"2085R0202X"</f>
        <v>2085R0202X</v>
      </c>
      <c r="D18161" t="str">
        <f>"MCDONALD                 PHILIP                   "</f>
        <v xml:space="preserve">MCDONALD                 PHILIP                   </v>
      </c>
      <c r="E18161" t="str">
        <f>"GULFPORT                  "</f>
        <v xml:space="preserve">GULFPORT                  </v>
      </c>
      <c r="F18161" t="str">
        <f t="shared" si="446"/>
        <v>MS</v>
      </c>
    </row>
    <row r="18162" spans="1:6" x14ac:dyDescent="0.25">
      <c r="A18162" t="str">
        <f>"200017312"</f>
        <v>200017312</v>
      </c>
      <c r="B18162" t="str">
        <f>"1417581505"</f>
        <v>1417581505</v>
      </c>
      <c r="C18162" t="str">
        <f>"363LF0000X"</f>
        <v>363LF0000X</v>
      </c>
      <c r="D18162" t="str">
        <f>"RICHMOND                 ASHLI                    "</f>
        <v xml:space="preserve">RICHMOND                 ASHLI                    </v>
      </c>
      <c r="E18162" t="str">
        <f>"RICHLAND                  "</f>
        <v xml:space="preserve">RICHLAND                  </v>
      </c>
      <c r="F18162" t="str">
        <f t="shared" si="446"/>
        <v>MS</v>
      </c>
    </row>
    <row r="18163" spans="1:6" x14ac:dyDescent="0.25">
      <c r="A18163" t="str">
        <f>"200017321"</f>
        <v>200017321</v>
      </c>
      <c r="B18163" t="str">
        <f>"1316643398"</f>
        <v>1316643398</v>
      </c>
      <c r="C18163" t="str">
        <f>"363LP0808X"</f>
        <v>363LP0808X</v>
      </c>
      <c r="D18163" t="str">
        <f>"SMITHERMAN               ETHAN        T           "</f>
        <v xml:space="preserve">SMITHERMAN               ETHAN        T           </v>
      </c>
      <c r="E18163" t="str">
        <f>"HERNANDO                  "</f>
        <v xml:space="preserve">HERNANDO                  </v>
      </c>
      <c r="F18163" t="str">
        <f t="shared" si="446"/>
        <v>MS</v>
      </c>
    </row>
    <row r="18164" spans="1:6" x14ac:dyDescent="0.25">
      <c r="A18164" t="str">
        <f>"200017327"</f>
        <v>200017327</v>
      </c>
      <c r="B18164" t="str">
        <f>"1184438756"</f>
        <v>1184438756</v>
      </c>
      <c r="C18164" t="str">
        <f>"363L00000X"</f>
        <v>363L00000X</v>
      </c>
      <c r="D18164" t="str">
        <f>"CLAY                     TAYLA                    "</f>
        <v xml:space="preserve">CLAY                     TAYLA                    </v>
      </c>
      <c r="E18164" t="str">
        <f>"COLUMBUS                  "</f>
        <v xml:space="preserve">COLUMBUS                  </v>
      </c>
      <c r="F18164" t="str">
        <f t="shared" si="446"/>
        <v>MS</v>
      </c>
    </row>
    <row r="18165" spans="1:6" x14ac:dyDescent="0.25">
      <c r="A18165" t="str">
        <f>"200017328"</f>
        <v>200017328</v>
      </c>
      <c r="B18165" t="str">
        <f>"1629355342"</f>
        <v>1629355342</v>
      </c>
      <c r="C18165" t="str">
        <f>"363LF0000X"</f>
        <v>363LF0000X</v>
      </c>
      <c r="D18165" t="str">
        <f>"WELCH                    BRANDY                   "</f>
        <v xml:space="preserve">WELCH                    BRANDY                   </v>
      </c>
      <c r="E18165" t="str">
        <f>"JACKSON                   "</f>
        <v xml:space="preserve">JACKSON                   </v>
      </c>
      <c r="F18165" t="str">
        <f t="shared" si="446"/>
        <v>MS</v>
      </c>
    </row>
    <row r="18166" spans="1:6" x14ac:dyDescent="0.25">
      <c r="A18166" t="str">
        <f>"200017330"</f>
        <v>200017330</v>
      </c>
      <c r="B18166" t="str">
        <f>"1821417890"</f>
        <v>1821417890</v>
      </c>
      <c r="C18166" t="str">
        <f>"207V00000X"</f>
        <v>207V00000X</v>
      </c>
      <c r="D18166" t="str">
        <f>"HELMICH                  MELISSA                  "</f>
        <v xml:space="preserve">HELMICH                  MELISSA                  </v>
      </c>
      <c r="E18166" t="str">
        <f>"JACKSON                   "</f>
        <v xml:space="preserve">JACKSON                   </v>
      </c>
      <c r="F18166" t="str">
        <f t="shared" si="446"/>
        <v>MS</v>
      </c>
    </row>
    <row r="18167" spans="1:6" x14ac:dyDescent="0.25">
      <c r="A18167" t="str">
        <f>"200017336"</f>
        <v>200017336</v>
      </c>
      <c r="B18167" t="str">
        <f>"1154106508"</f>
        <v>1154106508</v>
      </c>
      <c r="C18167" t="str">
        <f>"363LP0808X"</f>
        <v>363LP0808X</v>
      </c>
      <c r="D18167" t="str">
        <f>"PRIDE                    LEKISHA                  "</f>
        <v xml:space="preserve">PRIDE                    LEKISHA                  </v>
      </c>
      <c r="E18167" t="str">
        <f>"BATESVILLE                "</f>
        <v xml:space="preserve">BATESVILLE                </v>
      </c>
      <c r="F18167" t="str">
        <f t="shared" si="446"/>
        <v>MS</v>
      </c>
    </row>
    <row r="18168" spans="1:6" x14ac:dyDescent="0.25">
      <c r="A18168" t="str">
        <f>"200017337"</f>
        <v>200017337</v>
      </c>
      <c r="B18168" t="str">
        <f>"1154106508"</f>
        <v>1154106508</v>
      </c>
      <c r="C18168" t="str">
        <f>"363LF0000X"</f>
        <v>363LF0000X</v>
      </c>
      <c r="D18168" t="str">
        <f>"PRIDE                    LEKISHA                  "</f>
        <v xml:space="preserve">PRIDE                    LEKISHA                  </v>
      </c>
      <c r="E18168" t="str">
        <f>"BATESVILLE                "</f>
        <v xml:space="preserve">BATESVILLE                </v>
      </c>
      <c r="F18168" t="str">
        <f t="shared" si="446"/>
        <v>MS</v>
      </c>
    </row>
    <row r="18169" spans="1:6" x14ac:dyDescent="0.25">
      <c r="A18169" t="str">
        <f>"200017344"</f>
        <v>200017344</v>
      </c>
      <c r="B18169" t="str">
        <f>"1821809716"</f>
        <v>1821809716</v>
      </c>
      <c r="C18169" t="str">
        <f>"367500000X"</f>
        <v>367500000X</v>
      </c>
      <c r="D18169" t="str">
        <f>"SMITH                    ROBERT                   "</f>
        <v xml:space="preserve">SMITH                    ROBERT                   </v>
      </c>
      <c r="E18169" t="str">
        <f>"JACKSON                   "</f>
        <v xml:space="preserve">JACKSON                   </v>
      </c>
      <c r="F18169" t="str">
        <f t="shared" si="446"/>
        <v>MS</v>
      </c>
    </row>
    <row r="18170" spans="1:6" x14ac:dyDescent="0.25">
      <c r="A18170" t="str">
        <f>"200017349"</f>
        <v>200017349</v>
      </c>
      <c r="B18170" t="str">
        <f>"1831927235"</f>
        <v>1831927235</v>
      </c>
      <c r="C18170" t="str">
        <f>"152W00000X"</f>
        <v>152W00000X</v>
      </c>
      <c r="D18170" t="str">
        <f>"LE                       DUYEN                    "</f>
        <v xml:space="preserve">LE                       DUYEN                    </v>
      </c>
      <c r="E18170" t="str">
        <f>"PICAYUNE                  "</f>
        <v xml:space="preserve">PICAYUNE                  </v>
      </c>
      <c r="F18170" t="str">
        <f t="shared" si="446"/>
        <v>MS</v>
      </c>
    </row>
    <row r="18171" spans="1:6" x14ac:dyDescent="0.25">
      <c r="A18171" t="str">
        <f>"200017353"</f>
        <v>200017353</v>
      </c>
      <c r="B18171" t="str">
        <f>"1487679841"</f>
        <v>1487679841</v>
      </c>
      <c r="C18171" t="str">
        <f>"207L00000X"</f>
        <v>207L00000X</v>
      </c>
      <c r="D18171" t="str">
        <f>"PICKARD                  PAUL         W           "</f>
        <v xml:space="preserve">PICKARD                  PAUL         W           </v>
      </c>
      <c r="E18171" t="str">
        <f>"BAY SAINT LOUIS           "</f>
        <v xml:space="preserve">BAY SAINT LOUIS           </v>
      </c>
      <c r="F18171" t="str">
        <f t="shared" si="446"/>
        <v>MS</v>
      </c>
    </row>
    <row r="18172" spans="1:6" x14ac:dyDescent="0.25">
      <c r="A18172" t="str">
        <f>"200017354"</f>
        <v>200017354</v>
      </c>
      <c r="B18172" t="str">
        <f>"1235940842"</f>
        <v>1235940842</v>
      </c>
      <c r="C18172" t="str">
        <f>"363L00000X"</f>
        <v>363L00000X</v>
      </c>
      <c r="D18172" t="str">
        <f>"SMITH                    AMANDA                   "</f>
        <v xml:space="preserve">SMITH                    AMANDA                   </v>
      </c>
      <c r="E18172" t="str">
        <f>"TUPELO                    "</f>
        <v xml:space="preserve">TUPELO                    </v>
      </c>
      <c r="F18172" t="str">
        <f t="shared" si="446"/>
        <v>MS</v>
      </c>
    </row>
    <row r="18173" spans="1:6" x14ac:dyDescent="0.25">
      <c r="A18173" t="str">
        <f>"200017359"</f>
        <v>200017359</v>
      </c>
      <c r="B18173" t="str">
        <f>"1902212871"</f>
        <v>1902212871</v>
      </c>
      <c r="C18173" t="str">
        <f>"363LN0005X"</f>
        <v>363LN0005X</v>
      </c>
      <c r="D18173" t="str">
        <f>"DAVIS                    SUSAN        M           "</f>
        <v xml:space="preserve">DAVIS                    SUSAN        M           </v>
      </c>
      <c r="E18173" t="str">
        <f>"MERIDIAN                  "</f>
        <v xml:space="preserve">MERIDIAN                  </v>
      </c>
      <c r="F18173" t="str">
        <f t="shared" si="446"/>
        <v>MS</v>
      </c>
    </row>
    <row r="18174" spans="1:6" x14ac:dyDescent="0.25">
      <c r="A18174" t="str">
        <f>"200017364"</f>
        <v>200017364</v>
      </c>
      <c r="B18174" t="str">
        <f>"1194012187"</f>
        <v>1194012187</v>
      </c>
      <c r="C18174" t="str">
        <f>"2080P0206X"</f>
        <v>2080P0206X</v>
      </c>
      <c r="D18174" t="str">
        <f>"ZWIENER                  RUSSELL      F           "</f>
        <v xml:space="preserve">ZWIENER                  RUSSELL      F           </v>
      </c>
      <c r="E18174" t="str">
        <f>"DIAMONDHEAD               "</f>
        <v xml:space="preserve">DIAMONDHEAD               </v>
      </c>
      <c r="F18174" t="str">
        <f t="shared" ref="F18174:F18237" si="447">"MS"</f>
        <v>MS</v>
      </c>
    </row>
    <row r="18175" spans="1:6" x14ac:dyDescent="0.25">
      <c r="A18175" t="str">
        <f>"200017372"</f>
        <v>200017372</v>
      </c>
      <c r="B18175" t="str">
        <f>"1609649391"</f>
        <v>1609649391</v>
      </c>
      <c r="C18175" t="str">
        <f>"363LF0000X"</f>
        <v>363LF0000X</v>
      </c>
      <c r="D18175" t="str">
        <f>"LACOSTE                  COURTNEY     M           "</f>
        <v xml:space="preserve">LACOSTE                  COURTNEY     M           </v>
      </c>
      <c r="E18175" t="str">
        <f>"DIAMONDHEAD               "</f>
        <v xml:space="preserve">DIAMONDHEAD               </v>
      </c>
      <c r="F18175" t="str">
        <f t="shared" si="447"/>
        <v>MS</v>
      </c>
    </row>
    <row r="18176" spans="1:6" x14ac:dyDescent="0.25">
      <c r="A18176" t="str">
        <f>"200017373"</f>
        <v>200017373</v>
      </c>
      <c r="B18176" t="str">
        <f>"1134133556"</f>
        <v>1134133556</v>
      </c>
      <c r="C18176" t="str">
        <f>"207P00000X"</f>
        <v>207P00000X</v>
      </c>
      <c r="D18176" t="str">
        <f>"OZUA                     EDWIN                    "</f>
        <v xml:space="preserve">OZUA                     EDWIN                    </v>
      </c>
      <c r="E18176" t="str">
        <f>"SOUTHAVEN                 "</f>
        <v xml:space="preserve">SOUTHAVEN                 </v>
      </c>
      <c r="F18176" t="str">
        <f t="shared" si="447"/>
        <v>MS</v>
      </c>
    </row>
    <row r="18177" spans="1:6" x14ac:dyDescent="0.25">
      <c r="A18177" t="str">
        <f>"200017378"</f>
        <v>200017378</v>
      </c>
      <c r="B18177" t="str">
        <f>"1124894142"</f>
        <v>1124894142</v>
      </c>
      <c r="C18177" t="str">
        <f>"363LF0000X"</f>
        <v>363LF0000X</v>
      </c>
      <c r="D18177" t="str">
        <f>"SPRAYBERRY               STACEY                   "</f>
        <v xml:space="preserve">SPRAYBERRY               STACEY                   </v>
      </c>
      <c r="E18177" t="str">
        <f>"GREENWOOD                 "</f>
        <v xml:space="preserve">GREENWOOD                 </v>
      </c>
      <c r="F18177" t="str">
        <f t="shared" si="447"/>
        <v>MS</v>
      </c>
    </row>
    <row r="18178" spans="1:6" x14ac:dyDescent="0.25">
      <c r="A18178" t="str">
        <f>"200017382"</f>
        <v>200017382</v>
      </c>
      <c r="B18178" t="str">
        <f>"1831136324"</f>
        <v>1831136324</v>
      </c>
      <c r="C18178" t="str">
        <f>"207R00000X"</f>
        <v>207R00000X</v>
      </c>
      <c r="D18178" t="str">
        <f>"FRENCH                   JAMES                    "</f>
        <v xml:space="preserve">FRENCH                   JAMES                    </v>
      </c>
      <c r="E18178" t="str">
        <f>"BAY ST LOUIS              "</f>
        <v xml:space="preserve">BAY ST LOUIS              </v>
      </c>
      <c r="F18178" t="str">
        <f t="shared" si="447"/>
        <v>MS</v>
      </c>
    </row>
    <row r="18179" spans="1:6" x14ac:dyDescent="0.25">
      <c r="A18179" t="str">
        <f>"200017395"</f>
        <v>200017395</v>
      </c>
      <c r="B18179" t="str">
        <f>"1205132750"</f>
        <v>1205132750</v>
      </c>
      <c r="C18179" t="str">
        <f>"367500000X"</f>
        <v>367500000X</v>
      </c>
      <c r="D18179" t="str">
        <f>"KIRKLAND                 LORILYN                  "</f>
        <v xml:space="preserve">KIRKLAND                 LORILYN                  </v>
      </c>
      <c r="E18179" t="str">
        <f>"OXFORD                    "</f>
        <v xml:space="preserve">OXFORD                    </v>
      </c>
      <c r="F18179" t="str">
        <f t="shared" si="447"/>
        <v>MS</v>
      </c>
    </row>
    <row r="18180" spans="1:6" x14ac:dyDescent="0.25">
      <c r="A18180" t="str">
        <f>"200017396"</f>
        <v>200017396</v>
      </c>
      <c r="B18180" t="str">
        <f>"1285205740"</f>
        <v>1285205740</v>
      </c>
      <c r="C18180" t="str">
        <f>"363LP0808X"</f>
        <v>363LP0808X</v>
      </c>
      <c r="D18180" t="str">
        <f>"NANCE                    JOHN                     "</f>
        <v xml:space="preserve">NANCE                    JOHN                     </v>
      </c>
      <c r="E18180" t="str">
        <f>"MAGNOLIA                  "</f>
        <v xml:space="preserve">MAGNOLIA                  </v>
      </c>
      <c r="F18180" t="str">
        <f t="shared" si="447"/>
        <v>MS</v>
      </c>
    </row>
    <row r="18181" spans="1:6" x14ac:dyDescent="0.25">
      <c r="A18181" t="str">
        <f>"200017400"</f>
        <v>200017400</v>
      </c>
      <c r="B18181" t="str">
        <f>"1548258387"</f>
        <v>1548258387</v>
      </c>
      <c r="C18181" t="str">
        <f>"207QA0401X"</f>
        <v>207QA0401X</v>
      </c>
      <c r="D18181" t="str">
        <f>"SCHULTZ                  ANGELA                   "</f>
        <v xml:space="preserve">SCHULTZ                  ANGELA                   </v>
      </c>
      <c r="E18181" t="str">
        <f>"JACKSON                   "</f>
        <v xml:space="preserve">JACKSON                   </v>
      </c>
      <c r="F18181" t="str">
        <f t="shared" si="447"/>
        <v>MS</v>
      </c>
    </row>
    <row r="18182" spans="1:6" x14ac:dyDescent="0.25">
      <c r="A18182" t="str">
        <f>"200017401"</f>
        <v>200017401</v>
      </c>
      <c r="B18182" t="str">
        <f>"1447915566"</f>
        <v>1447915566</v>
      </c>
      <c r="C18182" t="str">
        <f>"367500000X"</f>
        <v>367500000X</v>
      </c>
      <c r="D18182" t="str">
        <f>"RANSON                   BAILEY                   "</f>
        <v xml:space="preserve">RANSON                   BAILEY                   </v>
      </c>
      <c r="E18182" t="str">
        <f>"OXFORD                    "</f>
        <v xml:space="preserve">OXFORD                    </v>
      </c>
      <c r="F18182" t="str">
        <f t="shared" si="447"/>
        <v>MS</v>
      </c>
    </row>
    <row r="18183" spans="1:6" x14ac:dyDescent="0.25">
      <c r="A18183" t="str">
        <f>"200017402"</f>
        <v>200017402</v>
      </c>
      <c r="B18183" t="str">
        <f>"1770505356"</f>
        <v>1770505356</v>
      </c>
      <c r="C18183" t="str">
        <f>"367500000X"</f>
        <v>367500000X</v>
      </c>
      <c r="D18183" t="str">
        <f>"MCCORMICK                PETER                    "</f>
        <v xml:space="preserve">MCCORMICK                PETER                    </v>
      </c>
      <c r="E18183" t="str">
        <f>"NEW ALBANY                "</f>
        <v xml:space="preserve">NEW ALBANY                </v>
      </c>
      <c r="F18183" t="str">
        <f t="shared" si="447"/>
        <v>MS</v>
      </c>
    </row>
    <row r="18184" spans="1:6" x14ac:dyDescent="0.25">
      <c r="A18184" t="str">
        <f>"200017403"</f>
        <v>200017403</v>
      </c>
      <c r="B18184" t="str">
        <f>"1730923707"</f>
        <v>1730923707</v>
      </c>
      <c r="C18184" t="str">
        <f>"152W00000X"</f>
        <v>152W00000X</v>
      </c>
      <c r="D18184" t="str">
        <f>"BIFANO                   MICHAEL                  "</f>
        <v xml:space="preserve">BIFANO                   MICHAEL                  </v>
      </c>
      <c r="E18184" t="str">
        <f>"SOUTHAVEN                 "</f>
        <v xml:space="preserve">SOUTHAVEN                 </v>
      </c>
      <c r="F18184" t="str">
        <f t="shared" si="447"/>
        <v>MS</v>
      </c>
    </row>
    <row r="18185" spans="1:6" x14ac:dyDescent="0.25">
      <c r="A18185" t="str">
        <f>"200017404"</f>
        <v>200017404</v>
      </c>
      <c r="B18185" t="str">
        <f>"1568200673"</f>
        <v>1568200673</v>
      </c>
      <c r="C18185" t="str">
        <f>"367500000X"</f>
        <v>367500000X</v>
      </c>
      <c r="D18185" t="str">
        <f>"POPE                     SANDRA                   "</f>
        <v xml:space="preserve">POPE                     SANDRA                   </v>
      </c>
      <c r="E18185" t="str">
        <f>"MERIDIAN                  "</f>
        <v xml:space="preserve">MERIDIAN                  </v>
      </c>
      <c r="F18185" t="str">
        <f t="shared" si="447"/>
        <v>MS</v>
      </c>
    </row>
    <row r="18186" spans="1:6" x14ac:dyDescent="0.25">
      <c r="A18186" t="str">
        <f>"200017411"</f>
        <v>200017411</v>
      </c>
      <c r="B18186" t="str">
        <f>"1255186359"</f>
        <v>1255186359</v>
      </c>
      <c r="C18186" t="str">
        <f>"363L00000X"</f>
        <v>363L00000X</v>
      </c>
      <c r="D18186" t="str">
        <f>"MORTON                   YVETTE                   "</f>
        <v xml:space="preserve">MORTON                   YVETTE                   </v>
      </c>
      <c r="E18186" t="str">
        <f>"NEW ALBANY                "</f>
        <v xml:space="preserve">NEW ALBANY                </v>
      </c>
      <c r="F18186" t="str">
        <f t="shared" si="447"/>
        <v>MS</v>
      </c>
    </row>
    <row r="18187" spans="1:6" x14ac:dyDescent="0.25">
      <c r="A18187" t="str">
        <f>"200017413"</f>
        <v>200017413</v>
      </c>
      <c r="B18187" t="str">
        <f>"1689600579"</f>
        <v>1689600579</v>
      </c>
      <c r="C18187" t="str">
        <f>"207P00000X"</f>
        <v>207P00000X</v>
      </c>
      <c r="D18187" t="str">
        <f>"MUECKE                   MAUREEN                  "</f>
        <v xml:space="preserve">MUECKE                   MAUREEN                  </v>
      </c>
      <c r="E18187" t="str">
        <f>"PONTOTOC                  "</f>
        <v xml:space="preserve">PONTOTOC                  </v>
      </c>
      <c r="F18187" t="str">
        <f t="shared" si="447"/>
        <v>MS</v>
      </c>
    </row>
    <row r="18188" spans="1:6" x14ac:dyDescent="0.25">
      <c r="A18188" t="str">
        <f>"200017416"</f>
        <v>200017416</v>
      </c>
      <c r="B18188" t="str">
        <f>"1255753059"</f>
        <v>1255753059</v>
      </c>
      <c r="C18188" t="str">
        <f>"363L00000X"</f>
        <v>363L00000X</v>
      </c>
      <c r="D18188" t="str">
        <f>"RATLIFF                  RACHEL                   "</f>
        <v xml:space="preserve">RATLIFF                  RACHEL                   </v>
      </c>
      <c r="E18188" t="str">
        <f>"JACKSON                   "</f>
        <v xml:space="preserve">JACKSON                   </v>
      </c>
      <c r="F18188" t="str">
        <f t="shared" si="447"/>
        <v>MS</v>
      </c>
    </row>
    <row r="18189" spans="1:6" x14ac:dyDescent="0.25">
      <c r="A18189" t="str">
        <f>"200017422"</f>
        <v>200017422</v>
      </c>
      <c r="B18189" t="str">
        <f>"1912565698"</f>
        <v>1912565698</v>
      </c>
      <c r="C18189" t="str">
        <f>"363L00000X"</f>
        <v>363L00000X</v>
      </c>
      <c r="D18189" t="str">
        <f>"CRESPO                   DIONNA                   "</f>
        <v xml:space="preserve">CRESPO                   DIONNA                   </v>
      </c>
      <c r="E18189" t="str">
        <f>"BILOXI                    "</f>
        <v xml:space="preserve">BILOXI                    </v>
      </c>
      <c r="F18189" t="str">
        <f t="shared" si="447"/>
        <v>MS</v>
      </c>
    </row>
    <row r="18190" spans="1:6" x14ac:dyDescent="0.25">
      <c r="A18190" t="str">
        <f>"200017423"</f>
        <v>200017423</v>
      </c>
      <c r="B18190" t="str">
        <f>"1912565698"</f>
        <v>1912565698</v>
      </c>
      <c r="C18190" t="str">
        <f>"363LP0808X"</f>
        <v>363LP0808X</v>
      </c>
      <c r="D18190" t="str">
        <f>"CRESPO                   DIONNA                   "</f>
        <v xml:space="preserve">CRESPO                   DIONNA                   </v>
      </c>
      <c r="E18190" t="str">
        <f>"BILOXI                    "</f>
        <v xml:space="preserve">BILOXI                    </v>
      </c>
      <c r="F18190" t="str">
        <f t="shared" si="447"/>
        <v>MS</v>
      </c>
    </row>
    <row r="18191" spans="1:6" x14ac:dyDescent="0.25">
      <c r="A18191" t="str">
        <f>"200017424"</f>
        <v>200017424</v>
      </c>
      <c r="B18191" t="str">
        <f>"1063038636"</f>
        <v>1063038636</v>
      </c>
      <c r="C18191" t="str">
        <f>"363L00000X"</f>
        <v>363L00000X</v>
      </c>
      <c r="D18191" t="str">
        <f>"WASHINGTON               AYANNA       N           "</f>
        <v xml:space="preserve">WASHINGTON               AYANNA       N           </v>
      </c>
      <c r="E18191" t="str">
        <f>"JACKSON                   "</f>
        <v xml:space="preserve">JACKSON                   </v>
      </c>
      <c r="F18191" t="str">
        <f t="shared" si="447"/>
        <v>MS</v>
      </c>
    </row>
    <row r="18192" spans="1:6" x14ac:dyDescent="0.25">
      <c r="A18192" t="str">
        <f>"200017438"</f>
        <v>200017438</v>
      </c>
      <c r="B18192" t="str">
        <f>"1932782794"</f>
        <v>1932782794</v>
      </c>
      <c r="C18192" t="str">
        <f>"363LF0000X"</f>
        <v>363LF0000X</v>
      </c>
      <c r="D18192" t="str">
        <f>"WELCH                    TRAVANTA                 "</f>
        <v xml:space="preserve">WELCH                    TRAVANTA                 </v>
      </c>
      <c r="E18192" t="str">
        <f>"JACKSON                   "</f>
        <v xml:space="preserve">JACKSON                   </v>
      </c>
      <c r="F18192" t="str">
        <f t="shared" si="447"/>
        <v>MS</v>
      </c>
    </row>
    <row r="18193" spans="1:6" x14ac:dyDescent="0.25">
      <c r="A18193" t="str">
        <f>"200017440"</f>
        <v>200017440</v>
      </c>
      <c r="B18193" t="str">
        <f>"1710096615"</f>
        <v>1710096615</v>
      </c>
      <c r="C18193" t="str">
        <f>"207P00000X"</f>
        <v>207P00000X</v>
      </c>
      <c r="D18193" t="str">
        <f>"ESUABANA                 ASUQUO                   "</f>
        <v xml:space="preserve">ESUABANA                 ASUQUO                   </v>
      </c>
      <c r="E18193" t="str">
        <f>"STARKVILLE                "</f>
        <v xml:space="preserve">STARKVILLE                </v>
      </c>
      <c r="F18193" t="str">
        <f t="shared" si="447"/>
        <v>MS</v>
      </c>
    </row>
    <row r="18194" spans="1:6" x14ac:dyDescent="0.25">
      <c r="A18194" t="str">
        <f>"200017457"</f>
        <v>200017457</v>
      </c>
      <c r="B18194" t="str">
        <f>"1053705764"</f>
        <v>1053705764</v>
      </c>
      <c r="C18194" t="str">
        <f>"207R00000X"</f>
        <v>207R00000X</v>
      </c>
      <c r="D18194" t="str">
        <f>"REVES                    JONATHAN                 "</f>
        <v xml:space="preserve">REVES                    JONATHAN                 </v>
      </c>
      <c r="E18194" t="str">
        <f>"JACKSON                   "</f>
        <v xml:space="preserve">JACKSON                   </v>
      </c>
      <c r="F18194" t="str">
        <f t="shared" si="447"/>
        <v>MS</v>
      </c>
    </row>
    <row r="18195" spans="1:6" x14ac:dyDescent="0.25">
      <c r="A18195" t="str">
        <f>"200017458"</f>
        <v>200017458</v>
      </c>
      <c r="B18195" t="str">
        <f>"1407992233"</f>
        <v>1407992233</v>
      </c>
      <c r="C18195" t="str">
        <f>"363L00000X"</f>
        <v>363L00000X</v>
      </c>
      <c r="D18195" t="str">
        <f>"WHITE                    KATHERINE                "</f>
        <v xml:space="preserve">WHITE                    KATHERINE                </v>
      </c>
      <c r="E18195" t="str">
        <f>"HATTIESBURG               "</f>
        <v xml:space="preserve">HATTIESBURG               </v>
      </c>
      <c r="F18195" t="str">
        <f t="shared" si="447"/>
        <v>MS</v>
      </c>
    </row>
    <row r="18196" spans="1:6" x14ac:dyDescent="0.25">
      <c r="A18196" t="str">
        <f>"200017467"</f>
        <v>200017467</v>
      </c>
      <c r="B18196" t="str">
        <f>"1962230425"</f>
        <v>1962230425</v>
      </c>
      <c r="C18196" t="str">
        <f>"363A00000X"</f>
        <v>363A00000X</v>
      </c>
      <c r="D18196" t="str">
        <f>"DOMANGUE                 MARLEE                   "</f>
        <v xml:space="preserve">DOMANGUE                 MARLEE                   </v>
      </c>
      <c r="E18196" t="str">
        <f>"JACKSON                   "</f>
        <v xml:space="preserve">JACKSON                   </v>
      </c>
      <c r="F18196" t="str">
        <f t="shared" si="447"/>
        <v>MS</v>
      </c>
    </row>
    <row r="18197" spans="1:6" x14ac:dyDescent="0.25">
      <c r="A18197" t="str">
        <f>"200017480"</f>
        <v>200017480</v>
      </c>
      <c r="B18197" t="str">
        <f>"1003304288"</f>
        <v>1003304288</v>
      </c>
      <c r="C18197" t="str">
        <f>"207LP2900X"</f>
        <v>207LP2900X</v>
      </c>
      <c r="D18197" t="str">
        <f>"NEWELL                   CLAYTON                  "</f>
        <v xml:space="preserve">NEWELL                   CLAYTON                  </v>
      </c>
      <c r="E18197" t="str">
        <f>"JACKSON                   "</f>
        <v xml:space="preserve">JACKSON                   </v>
      </c>
      <c r="F18197" t="str">
        <f t="shared" si="447"/>
        <v>MS</v>
      </c>
    </row>
    <row r="18198" spans="1:6" x14ac:dyDescent="0.25">
      <c r="A18198" t="str">
        <f>"200017484"</f>
        <v>200017484</v>
      </c>
      <c r="B18198" t="str">
        <f>"1396562716"</f>
        <v>1396562716</v>
      </c>
      <c r="C18198" t="str">
        <f>"261QM1300X"</f>
        <v>261QM1300X</v>
      </c>
      <c r="D18198" t="str">
        <f>"SOUTHERN SERENITY COUNSELING, LLC                 "</f>
        <v xml:space="preserve">SOUTHERN SERENITY COUNSELING, LLC                 </v>
      </c>
      <c r="E18198" t="str">
        <f>"HERNANDO                  "</f>
        <v xml:space="preserve">HERNANDO                  </v>
      </c>
      <c r="F18198" t="str">
        <f t="shared" si="447"/>
        <v>MS</v>
      </c>
    </row>
    <row r="18199" spans="1:6" x14ac:dyDescent="0.25">
      <c r="A18199" t="str">
        <f>"200017489"</f>
        <v>200017489</v>
      </c>
      <c r="B18199" t="str">
        <f>"1104632280"</f>
        <v>1104632280</v>
      </c>
      <c r="C18199" t="str">
        <f>"363L00000X"</f>
        <v>363L00000X</v>
      </c>
      <c r="D18199" t="str">
        <f>"ANDERSON                 KRISTIN                  "</f>
        <v xml:space="preserve">ANDERSON                 KRISTIN                  </v>
      </c>
      <c r="E18199" t="str">
        <f>"HATTIESBURG               "</f>
        <v xml:space="preserve">HATTIESBURG               </v>
      </c>
      <c r="F18199" t="str">
        <f t="shared" si="447"/>
        <v>MS</v>
      </c>
    </row>
    <row r="18200" spans="1:6" x14ac:dyDescent="0.25">
      <c r="A18200" t="str">
        <f>"200017497"</f>
        <v>200017497</v>
      </c>
      <c r="B18200" t="str">
        <f>"1093192726"</f>
        <v>1093192726</v>
      </c>
      <c r="C18200" t="str">
        <f>"207P00000X"</f>
        <v>207P00000X</v>
      </c>
      <c r="D18200" t="str">
        <f>"ANDERSON                 RYAN                     "</f>
        <v xml:space="preserve">ANDERSON                 RYAN                     </v>
      </c>
      <c r="E18200" t="str">
        <f>"OCEAN SPRINGS             "</f>
        <v xml:space="preserve">OCEAN SPRINGS             </v>
      </c>
      <c r="F18200" t="str">
        <f t="shared" si="447"/>
        <v>MS</v>
      </c>
    </row>
    <row r="18201" spans="1:6" x14ac:dyDescent="0.25">
      <c r="A18201" t="str">
        <f>"200017498"</f>
        <v>200017498</v>
      </c>
      <c r="B18201" t="str">
        <f>"1376624213"</f>
        <v>1376624213</v>
      </c>
      <c r="C18201" t="str">
        <f>"2086S0102X"</f>
        <v>2086S0102X</v>
      </c>
      <c r="D18201" t="str">
        <f>"DUCHESNE                 JUAN                     "</f>
        <v xml:space="preserve">DUCHESNE                 JUAN                     </v>
      </c>
      <c r="E18201" t="str">
        <f>"JACKSON                   "</f>
        <v xml:space="preserve">JACKSON                   </v>
      </c>
      <c r="F18201" t="str">
        <f t="shared" si="447"/>
        <v>MS</v>
      </c>
    </row>
    <row r="18202" spans="1:6" x14ac:dyDescent="0.25">
      <c r="A18202" t="str">
        <f>"200017511"</f>
        <v>200017511</v>
      </c>
      <c r="B18202" t="str">
        <f>"1295512457"</f>
        <v>1295512457</v>
      </c>
      <c r="C18202" t="str">
        <f>"363LF0000X"</f>
        <v>363LF0000X</v>
      </c>
      <c r="D18202" t="str">
        <f>"PEYTON                   BRITTNEY     M           "</f>
        <v xml:space="preserve">PEYTON                   BRITTNEY     M           </v>
      </c>
      <c r="E18202" t="str">
        <f>"HAZLEHURST                "</f>
        <v xml:space="preserve">HAZLEHURST                </v>
      </c>
      <c r="F18202" t="str">
        <f t="shared" si="447"/>
        <v>MS</v>
      </c>
    </row>
    <row r="18203" spans="1:6" x14ac:dyDescent="0.25">
      <c r="A18203" t="str">
        <f>"200017516"</f>
        <v>200017516</v>
      </c>
      <c r="B18203" t="str">
        <f>"1174054597"</f>
        <v>1174054597</v>
      </c>
      <c r="C18203" t="str">
        <f>"367500000X"</f>
        <v>367500000X</v>
      </c>
      <c r="D18203" t="str">
        <f>"SMITH                    BRIANA                   "</f>
        <v xml:space="preserve">SMITH                    BRIANA                   </v>
      </c>
      <c r="E18203" t="str">
        <f>"OXFORD                    "</f>
        <v xml:space="preserve">OXFORD                    </v>
      </c>
      <c r="F18203" t="str">
        <f t="shared" si="447"/>
        <v>MS</v>
      </c>
    </row>
    <row r="18204" spans="1:6" x14ac:dyDescent="0.25">
      <c r="A18204" t="str">
        <f>"200017521"</f>
        <v>200017521</v>
      </c>
      <c r="B18204" t="str">
        <f>"1760077481"</f>
        <v>1760077481</v>
      </c>
      <c r="C18204" t="str">
        <f>"122300000X"</f>
        <v>122300000X</v>
      </c>
      <c r="D18204" t="str">
        <f>"CHARGER DENTAL CLINIC                             "</f>
        <v xml:space="preserve">CHARGER DENTAL CLINIC                             </v>
      </c>
      <c r="E18204" t="str">
        <f>"OXFORD                    "</f>
        <v xml:space="preserve">OXFORD                    </v>
      </c>
      <c r="F18204" t="str">
        <f t="shared" si="447"/>
        <v>MS</v>
      </c>
    </row>
    <row r="18205" spans="1:6" x14ac:dyDescent="0.25">
      <c r="A18205" t="str">
        <f>"200017523"</f>
        <v>200017523</v>
      </c>
      <c r="B18205" t="str">
        <f>"1083776868"</f>
        <v>1083776868</v>
      </c>
      <c r="C18205" t="str">
        <f>"207V00000X"</f>
        <v>207V00000X</v>
      </c>
      <c r="D18205" t="str">
        <f>"GRAHAM                   MICHAEL                  "</f>
        <v xml:space="preserve">GRAHAM                   MICHAEL                  </v>
      </c>
      <c r="E18205" t="str">
        <f>"JACKSON                   "</f>
        <v xml:space="preserve">JACKSON                   </v>
      </c>
      <c r="F18205" t="str">
        <f t="shared" si="447"/>
        <v>MS</v>
      </c>
    </row>
    <row r="18206" spans="1:6" x14ac:dyDescent="0.25">
      <c r="A18206" t="str">
        <f>"200017525"</f>
        <v>200017525</v>
      </c>
      <c r="B18206" t="str">
        <f>"1518175637"</f>
        <v>1518175637</v>
      </c>
      <c r="C18206" t="str">
        <f>"2085R0202X"</f>
        <v>2085R0202X</v>
      </c>
      <c r="D18206" t="str">
        <f>"LOTAN                    ROI          M           "</f>
        <v xml:space="preserve">LOTAN                    ROI          M           </v>
      </c>
      <c r="E18206" t="str">
        <f>"MERIDIAN                  "</f>
        <v xml:space="preserve">MERIDIAN                  </v>
      </c>
      <c r="F18206" t="str">
        <f t="shared" si="447"/>
        <v>MS</v>
      </c>
    </row>
    <row r="18207" spans="1:6" x14ac:dyDescent="0.25">
      <c r="A18207" t="str">
        <f>"200017538"</f>
        <v>200017538</v>
      </c>
      <c r="B18207" t="str">
        <f>"1205065810"</f>
        <v>1205065810</v>
      </c>
      <c r="C18207" t="str">
        <f>"207Q00000X"</f>
        <v>207Q00000X</v>
      </c>
      <c r="D18207" t="str">
        <f>"SMITH                    PATRICK      B           "</f>
        <v xml:space="preserve">SMITH                    PATRICK      B           </v>
      </c>
      <c r="E18207" t="str">
        <f>"HAZLEHURST                "</f>
        <v xml:space="preserve">HAZLEHURST                </v>
      </c>
      <c r="F18207" t="str">
        <f t="shared" si="447"/>
        <v>MS</v>
      </c>
    </row>
    <row r="18208" spans="1:6" x14ac:dyDescent="0.25">
      <c r="A18208" t="str">
        <f>"200017544"</f>
        <v>200017544</v>
      </c>
      <c r="B18208" t="str">
        <f>"1093042541"</f>
        <v>1093042541</v>
      </c>
      <c r="C18208" t="str">
        <f>"363A00000X"</f>
        <v>363A00000X</v>
      </c>
      <c r="D18208" t="str">
        <f>"HUGHES                   KRISTEN      E           "</f>
        <v xml:space="preserve">HUGHES                   KRISTEN      E           </v>
      </c>
      <c r="E18208" t="str">
        <f>"SOUTHAVEN                 "</f>
        <v xml:space="preserve">SOUTHAVEN                 </v>
      </c>
      <c r="F18208" t="str">
        <f t="shared" si="447"/>
        <v>MS</v>
      </c>
    </row>
    <row r="18209" spans="1:6" x14ac:dyDescent="0.25">
      <c r="A18209" t="str">
        <f>"200017545"</f>
        <v>200017545</v>
      </c>
      <c r="B18209" t="str">
        <f>"1760226799"</f>
        <v>1760226799</v>
      </c>
      <c r="C18209" t="str">
        <f>"363LF0000X"</f>
        <v>363LF0000X</v>
      </c>
      <c r="D18209" t="str">
        <f>"DEVINE                   ADRIANNE                 "</f>
        <v xml:space="preserve">DEVINE                   ADRIANNE                 </v>
      </c>
      <c r="E18209" t="str">
        <f>"JACKSON                   "</f>
        <v xml:space="preserve">JACKSON                   </v>
      </c>
      <c r="F18209" t="str">
        <f t="shared" si="447"/>
        <v>MS</v>
      </c>
    </row>
    <row r="18210" spans="1:6" x14ac:dyDescent="0.25">
      <c r="A18210" t="str">
        <f>"200017549"</f>
        <v>200017549</v>
      </c>
      <c r="B18210" t="str">
        <f>"1790988103"</f>
        <v>1790988103</v>
      </c>
      <c r="C18210" t="str">
        <f>"207P00000X"</f>
        <v>207P00000X</v>
      </c>
      <c r="D18210" t="str">
        <f>"OSHIMURA                 TOMOHIRO                 "</f>
        <v xml:space="preserve">OSHIMURA                 TOMOHIRO                 </v>
      </c>
      <c r="E18210" t="str">
        <f>"OCEAN SPRINGS             "</f>
        <v xml:space="preserve">OCEAN SPRINGS             </v>
      </c>
      <c r="F18210" t="str">
        <f t="shared" si="447"/>
        <v>MS</v>
      </c>
    </row>
    <row r="18211" spans="1:6" x14ac:dyDescent="0.25">
      <c r="A18211" t="str">
        <f>"200017552"</f>
        <v>200017552</v>
      </c>
      <c r="B18211" t="str">
        <f>"1013232362"</f>
        <v>1013232362</v>
      </c>
      <c r="C18211" t="str">
        <f>"208M00000X"</f>
        <v>208M00000X</v>
      </c>
      <c r="D18211" t="str">
        <f>"KOTHARI                  NIRMIT                   "</f>
        <v xml:space="preserve">KOTHARI                  NIRMIT                   </v>
      </c>
      <c r="E18211" t="str">
        <f>"NEW ALBANY                "</f>
        <v xml:space="preserve">NEW ALBANY                </v>
      </c>
      <c r="F18211" t="str">
        <f t="shared" si="447"/>
        <v>MS</v>
      </c>
    </row>
    <row r="18212" spans="1:6" x14ac:dyDescent="0.25">
      <c r="A18212" t="str">
        <f>"200017555"</f>
        <v>200017555</v>
      </c>
      <c r="B18212" t="str">
        <f>"1003312067"</f>
        <v>1003312067</v>
      </c>
      <c r="C18212" t="str">
        <f>"207P00000X"</f>
        <v>207P00000X</v>
      </c>
      <c r="D18212" t="str">
        <f>"LEEDEKERKEN              JACOB                    "</f>
        <v xml:space="preserve">LEEDEKERKEN              JACOB                    </v>
      </c>
      <c r="E18212" t="str">
        <f>"OCEAN SPRINGS             "</f>
        <v xml:space="preserve">OCEAN SPRINGS             </v>
      </c>
      <c r="F18212" t="str">
        <f t="shared" si="447"/>
        <v>MS</v>
      </c>
    </row>
    <row r="18213" spans="1:6" x14ac:dyDescent="0.25">
      <c r="A18213" t="str">
        <f>"200017556"</f>
        <v>200017556</v>
      </c>
      <c r="B18213" t="str">
        <f>"1205653854"</f>
        <v>1205653854</v>
      </c>
      <c r="C18213" t="str">
        <f>"363LP0808X"</f>
        <v>363LP0808X</v>
      </c>
      <c r="D18213" t="str">
        <f>"ALLEN                    JASMYN                   "</f>
        <v xml:space="preserve">ALLEN                    JASMYN                   </v>
      </c>
      <c r="E18213" t="str">
        <f>"FLOWOOD                   "</f>
        <v xml:space="preserve">FLOWOOD                   </v>
      </c>
      <c r="F18213" t="str">
        <f t="shared" si="447"/>
        <v>MS</v>
      </c>
    </row>
    <row r="18214" spans="1:6" x14ac:dyDescent="0.25">
      <c r="A18214" t="str">
        <f>"200017559"</f>
        <v>200017559</v>
      </c>
      <c r="B18214" t="str">
        <f>"1568557320"</f>
        <v>1568557320</v>
      </c>
      <c r="C18214" t="str">
        <f>"122300000X"</f>
        <v>122300000X</v>
      </c>
      <c r="D18214" t="str">
        <f>"MISSISSIPPI STATE HOSPITAL WHITFIELD DBA OAK CIRCL"</f>
        <v>MISSISSIPPI STATE HOSPITAL WHITFIELD DBA OAK CIRCL</v>
      </c>
      <c r="E18214" t="str">
        <f>"WHITFIELD                 "</f>
        <v xml:space="preserve">WHITFIELD                 </v>
      </c>
      <c r="F18214" t="str">
        <f t="shared" si="447"/>
        <v>MS</v>
      </c>
    </row>
    <row r="18215" spans="1:6" x14ac:dyDescent="0.25">
      <c r="A18215" t="str">
        <f>"200017562"</f>
        <v>200017562</v>
      </c>
      <c r="B18215" t="str">
        <f>"1861747743"</f>
        <v>1861747743</v>
      </c>
      <c r="C18215" t="str">
        <f>"207P00000X"</f>
        <v>207P00000X</v>
      </c>
      <c r="D18215" t="str">
        <f>"LEE                      LEANNE                   "</f>
        <v xml:space="preserve">LEE                      LEANNE                   </v>
      </c>
      <c r="E18215" t="str">
        <f>"OCEAN SPRINGS             "</f>
        <v xml:space="preserve">OCEAN SPRINGS             </v>
      </c>
      <c r="F18215" t="str">
        <f t="shared" si="447"/>
        <v>MS</v>
      </c>
    </row>
    <row r="18216" spans="1:6" x14ac:dyDescent="0.25">
      <c r="A18216" t="str">
        <f>"200017569"</f>
        <v>200017569</v>
      </c>
      <c r="B18216" t="str">
        <f>"1528878600"</f>
        <v>1528878600</v>
      </c>
      <c r="C18216" t="str">
        <f>"367500000X"</f>
        <v>367500000X</v>
      </c>
      <c r="D18216" t="str">
        <f>"NOKES                    KATHRYN      E           "</f>
        <v xml:space="preserve">NOKES                    KATHRYN      E           </v>
      </c>
      <c r="E18216" t="str">
        <f>"JACKSON                   "</f>
        <v xml:space="preserve">JACKSON                   </v>
      </c>
      <c r="F18216" t="str">
        <f t="shared" si="447"/>
        <v>MS</v>
      </c>
    </row>
    <row r="18217" spans="1:6" x14ac:dyDescent="0.25">
      <c r="A18217" t="str">
        <f>"200017573"</f>
        <v>200017573</v>
      </c>
      <c r="B18217" t="str">
        <f>"1407682420"</f>
        <v>1407682420</v>
      </c>
      <c r="C18217" t="str">
        <f>"363LF0000X"</f>
        <v>363LF0000X</v>
      </c>
      <c r="D18217" t="str">
        <f>"SULLIVAN                 JESSICA                  "</f>
        <v xml:space="preserve">SULLIVAN                 JESSICA                  </v>
      </c>
      <c r="E18217" t="str">
        <f>"WOODLAND                  "</f>
        <v xml:space="preserve">WOODLAND                  </v>
      </c>
      <c r="F18217" t="str">
        <f t="shared" si="447"/>
        <v>MS</v>
      </c>
    </row>
    <row r="18218" spans="1:6" x14ac:dyDescent="0.25">
      <c r="A18218" t="str">
        <f>"200017574"</f>
        <v>200017574</v>
      </c>
      <c r="B18218" t="str">
        <f>"1982413647"</f>
        <v>1982413647</v>
      </c>
      <c r="C18218" t="str">
        <f>"367500000X"</f>
        <v>367500000X</v>
      </c>
      <c r="D18218" t="str">
        <f>"TRAVIS                   ERIN                     "</f>
        <v xml:space="preserve">TRAVIS                   ERIN                     </v>
      </c>
      <c r="E18218" t="str">
        <f>"JACKSON                   "</f>
        <v xml:space="preserve">JACKSON                   </v>
      </c>
      <c r="F18218" t="str">
        <f t="shared" si="447"/>
        <v>MS</v>
      </c>
    </row>
    <row r="18219" spans="1:6" x14ac:dyDescent="0.25">
      <c r="A18219" t="str">
        <f>"200017580"</f>
        <v>200017580</v>
      </c>
      <c r="B18219" t="str">
        <f>"1215992623"</f>
        <v>1215992623</v>
      </c>
      <c r="C18219" t="str">
        <f>"367500000X"</f>
        <v>367500000X</v>
      </c>
      <c r="D18219" t="str">
        <f>"CHINN-LANG               RENE                     "</f>
        <v xml:space="preserve">CHINN-LANG               RENE                     </v>
      </c>
      <c r="E18219" t="str">
        <f>"PASCAGOULA                "</f>
        <v xml:space="preserve">PASCAGOULA                </v>
      </c>
      <c r="F18219" t="str">
        <f t="shared" si="447"/>
        <v>MS</v>
      </c>
    </row>
    <row r="18220" spans="1:6" x14ac:dyDescent="0.25">
      <c r="A18220" t="str">
        <f>"200017581"</f>
        <v>200017581</v>
      </c>
      <c r="B18220" t="str">
        <f>"1356154041"</f>
        <v>1356154041</v>
      </c>
      <c r="C18220" t="str">
        <f>"367500000X"</f>
        <v>367500000X</v>
      </c>
      <c r="D18220" t="str">
        <f>"MAY                      HANNAH       C           "</f>
        <v xml:space="preserve">MAY                      HANNAH       C           </v>
      </c>
      <c r="E18220" t="str">
        <f>"JACKSON                   "</f>
        <v xml:space="preserve">JACKSON                   </v>
      </c>
      <c r="F18220" t="str">
        <f t="shared" si="447"/>
        <v>MS</v>
      </c>
    </row>
    <row r="18221" spans="1:6" x14ac:dyDescent="0.25">
      <c r="A18221" t="str">
        <f>"200017587"</f>
        <v>200017587</v>
      </c>
      <c r="B18221" t="str">
        <f>"1811355605"</f>
        <v>1811355605</v>
      </c>
      <c r="C18221" t="str">
        <f>"363LF0000X"</f>
        <v>363LF0000X</v>
      </c>
      <c r="D18221" t="str">
        <f>"CHATHAM                  TARAH                    "</f>
        <v xml:space="preserve">CHATHAM                  TARAH                    </v>
      </c>
      <c r="E18221" t="str">
        <f>"HATTIESBURG               "</f>
        <v xml:space="preserve">HATTIESBURG               </v>
      </c>
      <c r="F18221" t="str">
        <f t="shared" si="447"/>
        <v>MS</v>
      </c>
    </row>
    <row r="18222" spans="1:6" x14ac:dyDescent="0.25">
      <c r="A18222" t="str">
        <f>"200017592"</f>
        <v>200017592</v>
      </c>
      <c r="B18222" t="str">
        <f>"1750114732"</f>
        <v>1750114732</v>
      </c>
      <c r="C18222" t="str">
        <f>"363A00000X"</f>
        <v>363A00000X</v>
      </c>
      <c r="D18222" t="str">
        <f>"PACE                     BROOKE                   "</f>
        <v xml:space="preserve">PACE                     BROOKE                   </v>
      </c>
      <c r="E18222" t="str">
        <f>"STARKVILLE                "</f>
        <v xml:space="preserve">STARKVILLE                </v>
      </c>
      <c r="F18222" t="str">
        <f t="shared" si="447"/>
        <v>MS</v>
      </c>
    </row>
    <row r="18223" spans="1:6" x14ac:dyDescent="0.25">
      <c r="A18223" t="str">
        <f>"200017611"</f>
        <v>200017611</v>
      </c>
      <c r="B18223" t="str">
        <f>"1639193311"</f>
        <v>1639193311</v>
      </c>
      <c r="C18223" t="str">
        <f>"207R00000X"</f>
        <v>207R00000X</v>
      </c>
      <c r="D18223" t="str">
        <f>"MANGLE                   GEORGE                   "</f>
        <v xml:space="preserve">MANGLE                   GEORGE                   </v>
      </c>
      <c r="E18223" t="str">
        <f>"JACKSON                   "</f>
        <v xml:space="preserve">JACKSON                   </v>
      </c>
      <c r="F18223" t="str">
        <f t="shared" si="447"/>
        <v>MS</v>
      </c>
    </row>
    <row r="18224" spans="1:6" x14ac:dyDescent="0.25">
      <c r="A18224" t="str">
        <f>"200017612"</f>
        <v>200017612</v>
      </c>
      <c r="B18224" t="str">
        <f>"1326484312"</f>
        <v>1326484312</v>
      </c>
      <c r="C18224" t="str">
        <f>"208600000X"</f>
        <v>208600000X</v>
      </c>
      <c r="D18224" t="str">
        <f>"EPPLER                   ADAM                     "</f>
        <v xml:space="preserve">EPPLER                   ADAM                     </v>
      </c>
      <c r="E18224" t="str">
        <f>"OCEAN SPRINGS             "</f>
        <v xml:space="preserve">OCEAN SPRINGS             </v>
      </c>
      <c r="F18224" t="str">
        <f t="shared" si="447"/>
        <v>MS</v>
      </c>
    </row>
    <row r="18225" spans="1:6" x14ac:dyDescent="0.25">
      <c r="A18225" t="str">
        <f>"200017613"</f>
        <v>200017613</v>
      </c>
      <c r="B18225" t="str">
        <f>"1821788639"</f>
        <v>1821788639</v>
      </c>
      <c r="C18225" t="str">
        <f>"2085R0001X"</f>
        <v>2085R0001X</v>
      </c>
      <c r="D18225" t="str">
        <f>"YARLAGADDA               PRASHANT                 "</f>
        <v xml:space="preserve">YARLAGADDA               PRASHANT                 </v>
      </c>
      <c r="E18225" t="str">
        <f>"JACKSON                   "</f>
        <v xml:space="preserve">JACKSON                   </v>
      </c>
      <c r="F18225" t="str">
        <f t="shared" si="447"/>
        <v>MS</v>
      </c>
    </row>
    <row r="18226" spans="1:6" x14ac:dyDescent="0.25">
      <c r="A18226" t="str">
        <f>"200017621"</f>
        <v>200017621</v>
      </c>
      <c r="B18226" t="str">
        <f>"1174673248"</f>
        <v>1174673248</v>
      </c>
      <c r="C18226" t="str">
        <f>"207P00000X"</f>
        <v>207P00000X</v>
      </c>
      <c r="D18226" t="str">
        <f>"DAMORE                   DANIEL                   "</f>
        <v xml:space="preserve">DAMORE                   DANIEL                   </v>
      </c>
      <c r="E18226" t="str">
        <f>"OCEAN SPRINGS             "</f>
        <v xml:space="preserve">OCEAN SPRINGS             </v>
      </c>
      <c r="F18226" t="str">
        <f t="shared" si="447"/>
        <v>MS</v>
      </c>
    </row>
    <row r="18227" spans="1:6" x14ac:dyDescent="0.25">
      <c r="A18227" t="str">
        <f>"200017623"</f>
        <v>200017623</v>
      </c>
      <c r="B18227" t="str">
        <f>"1407666787"</f>
        <v>1407666787</v>
      </c>
      <c r="C18227" t="str">
        <f>"367500000X"</f>
        <v>367500000X</v>
      </c>
      <c r="D18227" t="str">
        <f>"YUCATONIS                KATELYN      R           "</f>
        <v xml:space="preserve">YUCATONIS                KATELYN      R           </v>
      </c>
      <c r="E18227" t="str">
        <f>"JACKSON                   "</f>
        <v xml:space="preserve">JACKSON                   </v>
      </c>
      <c r="F18227" t="str">
        <f t="shared" si="447"/>
        <v>MS</v>
      </c>
    </row>
    <row r="18228" spans="1:6" x14ac:dyDescent="0.25">
      <c r="A18228" t="str">
        <f>"200017628"</f>
        <v>200017628</v>
      </c>
      <c r="B18228" t="str">
        <f>"1316002587"</f>
        <v>1316002587</v>
      </c>
      <c r="C18228" t="str">
        <f>"367500000X"</f>
        <v>367500000X</v>
      </c>
      <c r="D18228" t="str">
        <f>"MCMAHAN                  WILLIAM                  "</f>
        <v xml:space="preserve">MCMAHAN                  WILLIAM                  </v>
      </c>
      <c r="E18228" t="str">
        <f>"PASCAGOULA                "</f>
        <v xml:space="preserve">PASCAGOULA                </v>
      </c>
      <c r="F18228" t="str">
        <f t="shared" si="447"/>
        <v>MS</v>
      </c>
    </row>
    <row r="18229" spans="1:6" x14ac:dyDescent="0.25">
      <c r="A18229" t="str">
        <f>"200017634"</f>
        <v>200017634</v>
      </c>
      <c r="B18229" t="str">
        <f>"1124363148"</f>
        <v>1124363148</v>
      </c>
      <c r="C18229" t="str">
        <f>"367500000X"</f>
        <v>367500000X</v>
      </c>
      <c r="D18229" t="str">
        <f>"MURRAY                   ASHLEY       W           "</f>
        <v xml:space="preserve">MURRAY                   ASHLEY       W           </v>
      </c>
      <c r="E18229" t="str">
        <f>"SOUTHAVEN                 "</f>
        <v xml:space="preserve">SOUTHAVEN                 </v>
      </c>
      <c r="F18229" t="str">
        <f t="shared" si="447"/>
        <v>MS</v>
      </c>
    </row>
    <row r="18230" spans="1:6" x14ac:dyDescent="0.25">
      <c r="A18230" t="str">
        <f>"200017642"</f>
        <v>200017642</v>
      </c>
      <c r="B18230" t="str">
        <f>"1629887336"</f>
        <v>1629887336</v>
      </c>
      <c r="C18230" t="str">
        <f>"367500000X"</f>
        <v>367500000X</v>
      </c>
      <c r="D18230" t="str">
        <f>"AMERSON                  KIMBERLY                 "</f>
        <v xml:space="preserve">AMERSON                  KIMBERLY                 </v>
      </c>
      <c r="E18230" t="str">
        <f>"MERIDIAN                  "</f>
        <v xml:space="preserve">MERIDIAN                  </v>
      </c>
      <c r="F18230" t="str">
        <f t="shared" si="447"/>
        <v>MS</v>
      </c>
    </row>
    <row r="18231" spans="1:6" x14ac:dyDescent="0.25">
      <c r="A18231" t="str">
        <f>"200017643"</f>
        <v>200017643</v>
      </c>
      <c r="B18231" t="str">
        <f>"1164085957"</f>
        <v>1164085957</v>
      </c>
      <c r="C18231" t="str">
        <f>"367500000X"</f>
        <v>367500000X</v>
      </c>
      <c r="D18231" t="str">
        <f>"DUNN                     CALLEY                   "</f>
        <v xml:space="preserve">DUNN                     CALLEY                   </v>
      </c>
      <c r="E18231" t="str">
        <f>"SOUTHAVEN                 "</f>
        <v xml:space="preserve">SOUTHAVEN                 </v>
      </c>
      <c r="F18231" t="str">
        <f t="shared" si="447"/>
        <v>MS</v>
      </c>
    </row>
    <row r="18232" spans="1:6" x14ac:dyDescent="0.25">
      <c r="A18232" t="str">
        <f>"200017644"</f>
        <v>200017644</v>
      </c>
      <c r="B18232" t="str">
        <f>"1346051406"</f>
        <v>1346051406</v>
      </c>
      <c r="C18232" t="str">
        <f>"363LF0000X"</f>
        <v>363LF0000X</v>
      </c>
      <c r="D18232" t="str">
        <f>"BUCKLEY                  JENNIFER                 "</f>
        <v xml:space="preserve">BUCKLEY                  JENNIFER                 </v>
      </c>
      <c r="E18232" t="str">
        <f>"FLOWOOD                   "</f>
        <v xml:space="preserve">FLOWOOD                   </v>
      </c>
      <c r="F18232" t="str">
        <f t="shared" si="447"/>
        <v>MS</v>
      </c>
    </row>
    <row r="18233" spans="1:6" x14ac:dyDescent="0.25">
      <c r="A18233" t="str">
        <f>"200017648"</f>
        <v>200017648</v>
      </c>
      <c r="B18233" t="str">
        <f>"1659127439"</f>
        <v>1659127439</v>
      </c>
      <c r="C18233" t="str">
        <f>"363LF0000X"</f>
        <v>363LF0000X</v>
      </c>
      <c r="D18233" t="str">
        <f>"CRAIN                    SYDNI                    "</f>
        <v xml:space="preserve">CRAIN                    SYDNI                    </v>
      </c>
      <c r="E18233" t="str">
        <f>"OCEAN SPRINGS             "</f>
        <v xml:space="preserve">OCEAN SPRINGS             </v>
      </c>
      <c r="F18233" t="str">
        <f t="shared" si="447"/>
        <v>MS</v>
      </c>
    </row>
    <row r="18234" spans="1:6" x14ac:dyDescent="0.25">
      <c r="A18234" t="str">
        <f>"200017650"</f>
        <v>200017650</v>
      </c>
      <c r="B18234" t="str">
        <f>"1619919479"</f>
        <v>1619919479</v>
      </c>
      <c r="C18234" t="str">
        <f>"207RI0011X"</f>
        <v>207RI0011X</v>
      </c>
      <c r="D18234" t="str">
        <f>"CROWDER                  WILLIAM                  "</f>
        <v xml:space="preserve">CROWDER                  WILLIAM                  </v>
      </c>
      <c r="E18234" t="str">
        <f>"JACKSON                   "</f>
        <v xml:space="preserve">JACKSON                   </v>
      </c>
      <c r="F18234" t="str">
        <f t="shared" si="447"/>
        <v>MS</v>
      </c>
    </row>
    <row r="18235" spans="1:6" x14ac:dyDescent="0.25">
      <c r="A18235" t="str">
        <f>"200017651"</f>
        <v>200017651</v>
      </c>
      <c r="B18235" t="str">
        <f>"1619919479"</f>
        <v>1619919479</v>
      </c>
      <c r="C18235" t="str">
        <f>"207R00000X"</f>
        <v>207R00000X</v>
      </c>
      <c r="D18235" t="str">
        <f>"CROWDER                  WILLIAM                  "</f>
        <v xml:space="preserve">CROWDER                  WILLIAM                  </v>
      </c>
      <c r="E18235" t="str">
        <f>"JACKSON                   "</f>
        <v xml:space="preserve">JACKSON                   </v>
      </c>
      <c r="F18235" t="str">
        <f t="shared" si="447"/>
        <v>MS</v>
      </c>
    </row>
    <row r="18236" spans="1:6" x14ac:dyDescent="0.25">
      <c r="A18236" t="str">
        <f>"200017658"</f>
        <v>200017658</v>
      </c>
      <c r="B18236" t="str">
        <f>"1114467172"</f>
        <v>1114467172</v>
      </c>
      <c r="C18236" t="str">
        <f>"152W00000X"</f>
        <v>152W00000X</v>
      </c>
      <c r="D18236" t="str">
        <f>"KIM                      BOMEE                    "</f>
        <v xml:space="preserve">KIM                      BOMEE                    </v>
      </c>
      <c r="E18236" t="str">
        <f>"MADISON                   "</f>
        <v xml:space="preserve">MADISON                   </v>
      </c>
      <c r="F18236" t="str">
        <f t="shared" si="447"/>
        <v>MS</v>
      </c>
    </row>
    <row r="18237" spans="1:6" x14ac:dyDescent="0.25">
      <c r="A18237" t="str">
        <f>"200017659"</f>
        <v>200017659</v>
      </c>
      <c r="B18237" t="str">
        <f>"1689052169"</f>
        <v>1689052169</v>
      </c>
      <c r="C18237" t="str">
        <f>"207P00000X"</f>
        <v>207P00000X</v>
      </c>
      <c r="D18237" t="str">
        <f>"RUCH                     ALISON                   "</f>
        <v xml:space="preserve">RUCH                     ALISON                   </v>
      </c>
      <c r="E18237" t="str">
        <f>"OCEAN SPRINGS             "</f>
        <v xml:space="preserve">OCEAN SPRINGS             </v>
      </c>
      <c r="F18237" t="str">
        <f t="shared" si="447"/>
        <v>MS</v>
      </c>
    </row>
    <row r="18238" spans="1:6" x14ac:dyDescent="0.25">
      <c r="A18238" t="str">
        <f>"200017660"</f>
        <v>200017660</v>
      </c>
      <c r="B18238" t="str">
        <f>"1235741109"</f>
        <v>1235741109</v>
      </c>
      <c r="C18238" t="str">
        <f>"363LF0000X"</f>
        <v>363LF0000X</v>
      </c>
      <c r="D18238" t="str">
        <f>"BARNES                   SHEENA                   "</f>
        <v xml:space="preserve">BARNES                   SHEENA                   </v>
      </c>
      <c r="E18238" t="str">
        <f>"EUPORA                    "</f>
        <v xml:space="preserve">EUPORA                    </v>
      </c>
      <c r="F18238" t="str">
        <f t="shared" ref="F18238:F18301" si="448">"MS"</f>
        <v>MS</v>
      </c>
    </row>
    <row r="18239" spans="1:6" x14ac:dyDescent="0.25">
      <c r="A18239" t="str">
        <f>"200017662"</f>
        <v>200017662</v>
      </c>
      <c r="B18239" t="str">
        <f>"1104919711"</f>
        <v>1104919711</v>
      </c>
      <c r="C18239" t="str">
        <f>"367500000X"</f>
        <v>367500000X</v>
      </c>
      <c r="D18239" t="str">
        <f>"WARE                     DAVID        J           "</f>
        <v xml:space="preserve">WARE                     DAVID        J           </v>
      </c>
      <c r="E18239" t="str">
        <f>"FLOWOOD                   "</f>
        <v xml:space="preserve">FLOWOOD                   </v>
      </c>
      <c r="F18239" t="str">
        <f t="shared" si="448"/>
        <v>MS</v>
      </c>
    </row>
    <row r="18240" spans="1:6" x14ac:dyDescent="0.25">
      <c r="A18240" t="str">
        <f>"200017665"</f>
        <v>200017665</v>
      </c>
      <c r="B18240" t="str">
        <f>"1982928990"</f>
        <v>1982928990</v>
      </c>
      <c r="C18240" t="str">
        <f>"2085R0202X"</f>
        <v>2085R0202X</v>
      </c>
      <c r="D18240" t="str">
        <f>"GIMENEZ                  CARLOS                   "</f>
        <v xml:space="preserve">GIMENEZ                  CARLOS                   </v>
      </c>
      <c r="E18240" t="str">
        <f>"MERIDIAN                  "</f>
        <v xml:space="preserve">MERIDIAN                  </v>
      </c>
      <c r="F18240" t="str">
        <f t="shared" si="448"/>
        <v>MS</v>
      </c>
    </row>
    <row r="18241" spans="1:6" x14ac:dyDescent="0.25">
      <c r="A18241" t="str">
        <f>"200017673"</f>
        <v>200017673</v>
      </c>
      <c r="B18241" t="str">
        <f>"1306656897"</f>
        <v>1306656897</v>
      </c>
      <c r="C18241" t="str">
        <f>"367500000X"</f>
        <v>367500000X</v>
      </c>
      <c r="D18241" t="str">
        <f>"CHAMBERS                 SHELTON      C           "</f>
        <v xml:space="preserve">CHAMBERS                 SHELTON      C           </v>
      </c>
      <c r="E18241" t="str">
        <f>"JACKSON                   "</f>
        <v xml:space="preserve">JACKSON                   </v>
      </c>
      <c r="F18241" t="str">
        <f t="shared" si="448"/>
        <v>MS</v>
      </c>
    </row>
    <row r="18242" spans="1:6" x14ac:dyDescent="0.25">
      <c r="A18242" t="str">
        <f>"200017674"</f>
        <v>200017674</v>
      </c>
      <c r="B18242" t="str">
        <f>"1811198005"</f>
        <v>1811198005</v>
      </c>
      <c r="C18242" t="str">
        <f>"207RC0000X"</f>
        <v>207RC0000X</v>
      </c>
      <c r="D18242" t="str">
        <f>"CHUSTZ                   PHILIP                   "</f>
        <v xml:space="preserve">CHUSTZ                   PHILIP                   </v>
      </c>
      <c r="E18242" t="str">
        <f>"JACKSON                   "</f>
        <v xml:space="preserve">JACKSON                   </v>
      </c>
      <c r="F18242" t="str">
        <f t="shared" si="448"/>
        <v>MS</v>
      </c>
    </row>
    <row r="18243" spans="1:6" x14ac:dyDescent="0.25">
      <c r="A18243" t="str">
        <f>"200017675"</f>
        <v>200017675</v>
      </c>
      <c r="B18243" t="str">
        <f>"1811198005"</f>
        <v>1811198005</v>
      </c>
      <c r="C18243" t="str">
        <f>"207RI0011X"</f>
        <v>207RI0011X</v>
      </c>
      <c r="D18243" t="str">
        <f>"CHUSTZ                   PHILIP                   "</f>
        <v xml:space="preserve">CHUSTZ                   PHILIP                   </v>
      </c>
      <c r="E18243" t="str">
        <f>"JACKSON                   "</f>
        <v xml:space="preserve">JACKSON                   </v>
      </c>
      <c r="F18243" t="str">
        <f t="shared" si="448"/>
        <v>MS</v>
      </c>
    </row>
    <row r="18244" spans="1:6" x14ac:dyDescent="0.25">
      <c r="A18244" t="str">
        <f>"200017677"</f>
        <v>200017677</v>
      </c>
      <c r="B18244" t="str">
        <f>"1396036166"</f>
        <v>1396036166</v>
      </c>
      <c r="C18244" t="str">
        <f>"367500000X"</f>
        <v>367500000X</v>
      </c>
      <c r="D18244" t="str">
        <f>"WHEAT                    SHERMAN      A           "</f>
        <v xml:space="preserve">WHEAT                    SHERMAN      A           </v>
      </c>
      <c r="E18244" t="str">
        <f>"JACKSON                   "</f>
        <v xml:space="preserve">JACKSON                   </v>
      </c>
      <c r="F18244" t="str">
        <f t="shared" si="448"/>
        <v>MS</v>
      </c>
    </row>
    <row r="18245" spans="1:6" x14ac:dyDescent="0.25">
      <c r="A18245" t="str">
        <f>"200017681"</f>
        <v>200017681</v>
      </c>
      <c r="B18245" t="str">
        <f>"1760037865"</f>
        <v>1760037865</v>
      </c>
      <c r="C18245" t="str">
        <f>"363L00000X"</f>
        <v>363L00000X</v>
      </c>
      <c r="D18245" t="str">
        <f>"JOHNSON                  MARRION                  "</f>
        <v xml:space="preserve">JOHNSON                  MARRION                  </v>
      </c>
      <c r="E18245" t="str">
        <f>"JACKSON                   "</f>
        <v xml:space="preserve">JACKSON                   </v>
      </c>
      <c r="F18245" t="str">
        <f t="shared" si="448"/>
        <v>MS</v>
      </c>
    </row>
    <row r="18246" spans="1:6" x14ac:dyDescent="0.25">
      <c r="A18246" t="str">
        <f>"200017682"</f>
        <v>200017682</v>
      </c>
      <c r="B18246" t="str">
        <f>"1871865717"</f>
        <v>1871865717</v>
      </c>
      <c r="C18246" t="str">
        <f>"363L00000X"</f>
        <v>363L00000X</v>
      </c>
      <c r="D18246" t="str">
        <f>"SAVAGE                   AMANDA                   "</f>
        <v xml:space="preserve">SAVAGE                   AMANDA                   </v>
      </c>
      <c r="E18246" t="str">
        <f>"HERNANDO                  "</f>
        <v xml:space="preserve">HERNANDO                  </v>
      </c>
      <c r="F18246" t="str">
        <f t="shared" si="448"/>
        <v>MS</v>
      </c>
    </row>
    <row r="18247" spans="1:6" x14ac:dyDescent="0.25">
      <c r="A18247" t="str">
        <f>"200017685"</f>
        <v>200017685</v>
      </c>
      <c r="B18247" t="str">
        <f>"1508317405"</f>
        <v>1508317405</v>
      </c>
      <c r="C18247" t="str">
        <f>"363L00000X"</f>
        <v>363L00000X</v>
      </c>
      <c r="D18247" t="str">
        <f>"SWITZER                  CAYLA                    "</f>
        <v xml:space="preserve">SWITZER                  CAYLA                    </v>
      </c>
      <c r="E18247" t="str">
        <f>"FLOWOOD                   "</f>
        <v xml:space="preserve">FLOWOOD                   </v>
      </c>
      <c r="F18247" t="str">
        <f t="shared" si="448"/>
        <v>MS</v>
      </c>
    </row>
    <row r="18248" spans="1:6" x14ac:dyDescent="0.25">
      <c r="A18248" t="str">
        <f>"200017686"</f>
        <v>200017686</v>
      </c>
      <c r="B18248" t="str">
        <f>"1033249321"</f>
        <v>1033249321</v>
      </c>
      <c r="C18248" t="str">
        <f>"363AM0700X"</f>
        <v>363AM0700X</v>
      </c>
      <c r="D18248" t="str">
        <f>"SINOPOLI                 MELISSA                  "</f>
        <v xml:space="preserve">SINOPOLI                 MELISSA                  </v>
      </c>
      <c r="E18248" t="str">
        <f>"OCEAN SPRINGS             "</f>
        <v xml:space="preserve">OCEAN SPRINGS             </v>
      </c>
      <c r="F18248" t="str">
        <f t="shared" si="448"/>
        <v>MS</v>
      </c>
    </row>
    <row r="18249" spans="1:6" x14ac:dyDescent="0.25">
      <c r="A18249" t="str">
        <f>"200017691"</f>
        <v>200017691</v>
      </c>
      <c r="B18249" t="str">
        <f>"1518254580"</f>
        <v>1518254580</v>
      </c>
      <c r="C18249" t="str">
        <f>"363L00000X"</f>
        <v>363L00000X</v>
      </c>
      <c r="D18249" t="str">
        <f>"PHINISEY                 VANITA                   "</f>
        <v xml:space="preserve">PHINISEY                 VANITA                   </v>
      </c>
      <c r="E18249" t="str">
        <f>"STARKVILLE                "</f>
        <v xml:space="preserve">STARKVILLE                </v>
      </c>
      <c r="F18249" t="str">
        <f t="shared" si="448"/>
        <v>MS</v>
      </c>
    </row>
    <row r="18250" spans="1:6" x14ac:dyDescent="0.25">
      <c r="A18250" t="str">
        <f>"200017694"</f>
        <v>200017694</v>
      </c>
      <c r="B18250" t="str">
        <f>"1235714064"</f>
        <v>1235714064</v>
      </c>
      <c r="C18250" t="str">
        <f>"207P00000X"</f>
        <v>207P00000X</v>
      </c>
      <c r="D18250" t="str">
        <f>"BICKFORD                 TREVOR                   "</f>
        <v xml:space="preserve">BICKFORD                 TREVOR                   </v>
      </c>
      <c r="E18250" t="str">
        <f>"OCEAN SPRINGS             "</f>
        <v xml:space="preserve">OCEAN SPRINGS             </v>
      </c>
      <c r="F18250" t="str">
        <f t="shared" si="448"/>
        <v>MS</v>
      </c>
    </row>
    <row r="18251" spans="1:6" x14ac:dyDescent="0.25">
      <c r="A18251" t="str">
        <f>"200017719"</f>
        <v>200017719</v>
      </c>
      <c r="B18251" t="str">
        <f>"1902101330"</f>
        <v>1902101330</v>
      </c>
      <c r="C18251" t="str">
        <f>"367500000X"</f>
        <v>367500000X</v>
      </c>
      <c r="D18251" t="str">
        <f>"RUSHING                  SIDNEY                   "</f>
        <v xml:space="preserve">RUSHING                  SIDNEY                   </v>
      </c>
      <c r="E18251" t="str">
        <f>"GULFPORT                  "</f>
        <v xml:space="preserve">GULFPORT                  </v>
      </c>
      <c r="F18251" t="str">
        <f t="shared" si="448"/>
        <v>MS</v>
      </c>
    </row>
    <row r="18252" spans="1:6" x14ac:dyDescent="0.25">
      <c r="A18252" t="str">
        <f>"200017720"</f>
        <v>200017720</v>
      </c>
      <c r="B18252" t="str">
        <f>"1700696390"</f>
        <v>1700696390</v>
      </c>
      <c r="C18252" t="str">
        <f>"367500000X"</f>
        <v>367500000X</v>
      </c>
      <c r="D18252" t="str">
        <f>"SMITH                    JENNIFER     M           "</f>
        <v xml:space="preserve">SMITH                    JENNIFER     M           </v>
      </c>
      <c r="E18252" t="str">
        <f>"JACKSON                   "</f>
        <v xml:space="preserve">JACKSON                   </v>
      </c>
      <c r="F18252" t="str">
        <f t="shared" si="448"/>
        <v>MS</v>
      </c>
    </row>
    <row r="18253" spans="1:6" x14ac:dyDescent="0.25">
      <c r="A18253" t="str">
        <f>"200017723"</f>
        <v>200017723</v>
      </c>
      <c r="B18253" t="str">
        <f>"1265878490"</f>
        <v>1265878490</v>
      </c>
      <c r="C18253" t="str">
        <f>"367500000X"</f>
        <v>367500000X</v>
      </c>
      <c r="D18253" t="str">
        <f>"HOPPER                   RICHARD      A           "</f>
        <v xml:space="preserve">HOPPER                   RICHARD      A           </v>
      </c>
      <c r="E18253" t="str">
        <f>"OXFORD                    "</f>
        <v xml:space="preserve">OXFORD                    </v>
      </c>
      <c r="F18253" t="str">
        <f t="shared" si="448"/>
        <v>MS</v>
      </c>
    </row>
    <row r="18254" spans="1:6" x14ac:dyDescent="0.25">
      <c r="A18254" t="str">
        <f>"200017724"</f>
        <v>200017724</v>
      </c>
      <c r="B18254" t="str">
        <f>"1265159123"</f>
        <v>1265159123</v>
      </c>
      <c r="C18254" t="str">
        <f>"363LF0000X"</f>
        <v>363LF0000X</v>
      </c>
      <c r="D18254" t="str">
        <f>"TAYLOR                   CASSIE       B           "</f>
        <v xml:space="preserve">TAYLOR                   CASSIE       B           </v>
      </c>
      <c r="E18254" t="str">
        <f>"GULFPORT                  "</f>
        <v xml:space="preserve">GULFPORT                  </v>
      </c>
      <c r="F18254" t="str">
        <f t="shared" si="448"/>
        <v>MS</v>
      </c>
    </row>
    <row r="18255" spans="1:6" x14ac:dyDescent="0.25">
      <c r="A18255" t="str">
        <f>"200017725"</f>
        <v>200017725</v>
      </c>
      <c r="B18255" t="str">
        <f>"1215073606"</f>
        <v>1215073606</v>
      </c>
      <c r="C18255" t="str">
        <f>"367500000X"</f>
        <v>367500000X</v>
      </c>
      <c r="D18255" t="str">
        <f>"HESTER                   STEVEN       T           "</f>
        <v xml:space="preserve">HESTER                   STEVEN       T           </v>
      </c>
      <c r="E18255" t="str">
        <f>"JACKSON                   "</f>
        <v xml:space="preserve">JACKSON                   </v>
      </c>
      <c r="F18255" t="str">
        <f t="shared" si="448"/>
        <v>MS</v>
      </c>
    </row>
    <row r="18256" spans="1:6" x14ac:dyDescent="0.25">
      <c r="A18256" t="str">
        <f>"200017760"</f>
        <v>200017760</v>
      </c>
      <c r="B18256" t="str">
        <f>"1992050991"</f>
        <v>1992050991</v>
      </c>
      <c r="C18256" t="str">
        <f>"208M00000X"</f>
        <v>208M00000X</v>
      </c>
      <c r="D18256" t="str">
        <f>"MALHOTRA                 BHARAT                   "</f>
        <v xml:space="preserve">MALHOTRA                 BHARAT                   </v>
      </c>
      <c r="E18256" t="str">
        <f>"BROOKHAVEN                "</f>
        <v xml:space="preserve">BROOKHAVEN                </v>
      </c>
      <c r="F18256" t="str">
        <f t="shared" si="448"/>
        <v>MS</v>
      </c>
    </row>
    <row r="18257" spans="1:6" x14ac:dyDescent="0.25">
      <c r="A18257" t="str">
        <f>"200017761"</f>
        <v>200017761</v>
      </c>
      <c r="B18257" t="str">
        <f>"1063498707"</f>
        <v>1063498707</v>
      </c>
      <c r="C18257" t="str">
        <f>"363L00000X"</f>
        <v>363L00000X</v>
      </c>
      <c r="D18257" t="str">
        <f>"FRAZIER-GRIFFIN          VALERIE                  "</f>
        <v xml:space="preserve">FRAZIER-GRIFFIN          VALERIE                  </v>
      </c>
      <c r="E18257" t="str">
        <f>"ROBINSONVILLE             "</f>
        <v xml:space="preserve">ROBINSONVILLE             </v>
      </c>
      <c r="F18257" t="str">
        <f t="shared" si="448"/>
        <v>MS</v>
      </c>
    </row>
    <row r="18258" spans="1:6" x14ac:dyDescent="0.25">
      <c r="A18258" t="str">
        <f>"200017763"</f>
        <v>200017763</v>
      </c>
      <c r="B18258" t="str">
        <f>"1750518247"</f>
        <v>1750518247</v>
      </c>
      <c r="C18258" t="str">
        <f>"207Q00000X"</f>
        <v>207Q00000X</v>
      </c>
      <c r="D18258" t="str">
        <f>"MILLER                   JEAN                     "</f>
        <v xml:space="preserve">MILLER                   JEAN                     </v>
      </c>
      <c r="E18258" t="str">
        <f>"TUPELO                    "</f>
        <v xml:space="preserve">TUPELO                    </v>
      </c>
      <c r="F18258" t="str">
        <f t="shared" si="448"/>
        <v>MS</v>
      </c>
    </row>
    <row r="18259" spans="1:6" x14ac:dyDescent="0.25">
      <c r="A18259" t="str">
        <f>"200017764"</f>
        <v>200017764</v>
      </c>
      <c r="B18259" t="str">
        <f>"1316145352"</f>
        <v>1316145352</v>
      </c>
      <c r="C18259" t="str">
        <f>"2086S0129X"</f>
        <v>2086S0129X</v>
      </c>
      <c r="D18259" t="str">
        <f>"JAYARAJ                  ARJUN                    "</f>
        <v xml:space="preserve">JAYARAJ                  ARJUN                    </v>
      </c>
      <c r="E18259" t="str">
        <f>"JACKSON                   "</f>
        <v xml:space="preserve">JACKSON                   </v>
      </c>
      <c r="F18259" t="str">
        <f t="shared" si="448"/>
        <v>MS</v>
      </c>
    </row>
    <row r="18260" spans="1:6" x14ac:dyDescent="0.25">
      <c r="A18260" t="str">
        <f>"200017787"</f>
        <v>200017787</v>
      </c>
      <c r="B18260" t="str">
        <f>"1114530342"</f>
        <v>1114530342</v>
      </c>
      <c r="C18260" t="str">
        <f>"363LF0000X"</f>
        <v>363LF0000X</v>
      </c>
      <c r="D18260" t="str">
        <f>"MCCAULLEY                ANDREW                   "</f>
        <v xml:space="preserve">MCCAULLEY                ANDREW                   </v>
      </c>
      <c r="E18260" t="str">
        <f>"BOONEVILLE                "</f>
        <v xml:space="preserve">BOONEVILLE                </v>
      </c>
      <c r="F18260" t="str">
        <f t="shared" si="448"/>
        <v>MS</v>
      </c>
    </row>
    <row r="18261" spans="1:6" x14ac:dyDescent="0.25">
      <c r="A18261" t="str">
        <f>"200017788"</f>
        <v>200017788</v>
      </c>
      <c r="B18261" t="str">
        <f>"1174346613"</f>
        <v>1174346613</v>
      </c>
      <c r="C18261" t="str">
        <f>"363LF0000X"</f>
        <v>363LF0000X</v>
      </c>
      <c r="D18261" t="str">
        <f>"COVINGTON                AMY          T           "</f>
        <v xml:space="preserve">COVINGTON                AMY          T           </v>
      </c>
      <c r="E18261" t="str">
        <f>"MERIDIAN                  "</f>
        <v xml:space="preserve">MERIDIAN                  </v>
      </c>
      <c r="F18261" t="str">
        <f t="shared" si="448"/>
        <v>MS</v>
      </c>
    </row>
    <row r="18262" spans="1:6" x14ac:dyDescent="0.25">
      <c r="A18262" t="str">
        <f>"200017790"</f>
        <v>200017790</v>
      </c>
      <c r="B18262" t="str">
        <f>"1518645019"</f>
        <v>1518645019</v>
      </c>
      <c r="C18262" t="str">
        <f>"152W00000X"</f>
        <v>152W00000X</v>
      </c>
      <c r="D18262" t="str">
        <f>"DAYA                     RADHI                    "</f>
        <v xml:space="preserve">DAYA                     RADHI                    </v>
      </c>
      <c r="E18262" t="str">
        <f>"SOUTHAVEN                 "</f>
        <v xml:space="preserve">SOUTHAVEN                 </v>
      </c>
      <c r="F18262" t="str">
        <f t="shared" si="448"/>
        <v>MS</v>
      </c>
    </row>
    <row r="18263" spans="1:6" x14ac:dyDescent="0.25">
      <c r="A18263" t="str">
        <f>"200017795"</f>
        <v>200017795</v>
      </c>
      <c r="B18263" t="str">
        <f>"1598112583"</f>
        <v>1598112583</v>
      </c>
      <c r="C18263" t="str">
        <f>"363LW0102X"</f>
        <v>363LW0102X</v>
      </c>
      <c r="D18263" t="str">
        <f>"JAMES                    ALANDA                   "</f>
        <v xml:space="preserve">JAMES                    ALANDA                   </v>
      </c>
      <c r="E18263" t="str">
        <f>"RIDGELAND                 "</f>
        <v xml:space="preserve">RIDGELAND                 </v>
      </c>
      <c r="F18263" t="str">
        <f t="shared" si="448"/>
        <v>MS</v>
      </c>
    </row>
    <row r="18264" spans="1:6" x14ac:dyDescent="0.25">
      <c r="A18264" t="str">
        <f>"200017796"</f>
        <v>200017796</v>
      </c>
      <c r="B18264" t="str">
        <f>"1154423499"</f>
        <v>1154423499</v>
      </c>
      <c r="C18264" t="str">
        <f>"207ZP0102X"</f>
        <v>207ZP0102X</v>
      </c>
      <c r="D18264" t="str">
        <f>"MARTIN                   ANDREW                   "</f>
        <v xml:space="preserve">MARTIN                   ANDREW                   </v>
      </c>
      <c r="E18264" t="str">
        <f>"CLARKSDALE                "</f>
        <v xml:space="preserve">CLARKSDALE                </v>
      </c>
      <c r="F18264" t="str">
        <f t="shared" si="448"/>
        <v>MS</v>
      </c>
    </row>
    <row r="18265" spans="1:6" x14ac:dyDescent="0.25">
      <c r="A18265" t="str">
        <f>"200017797"</f>
        <v>200017797</v>
      </c>
      <c r="B18265" t="str">
        <f>"1932594850"</f>
        <v>1932594850</v>
      </c>
      <c r="C18265" t="str">
        <f>"207P00000X"</f>
        <v>207P00000X</v>
      </c>
      <c r="D18265" t="str">
        <f>"MUHAMED                  SHEHZAD                  "</f>
        <v xml:space="preserve">MUHAMED                  SHEHZAD                  </v>
      </c>
      <c r="E18265" t="str">
        <f>"OCEAN SPRINGS             "</f>
        <v xml:space="preserve">OCEAN SPRINGS             </v>
      </c>
      <c r="F18265" t="str">
        <f t="shared" si="448"/>
        <v>MS</v>
      </c>
    </row>
    <row r="18266" spans="1:6" x14ac:dyDescent="0.25">
      <c r="A18266" t="str">
        <f>"200017799"</f>
        <v>200017799</v>
      </c>
      <c r="B18266" t="str">
        <f>"1700564317"</f>
        <v>1700564317</v>
      </c>
      <c r="C18266" t="str">
        <f>"363LF0000X"</f>
        <v>363LF0000X</v>
      </c>
      <c r="D18266" t="str">
        <f>"SWETMAN                  KATHLEEN                 "</f>
        <v xml:space="preserve">SWETMAN                  KATHLEEN                 </v>
      </c>
      <c r="E18266" t="str">
        <f>"VANCLEAVE                 "</f>
        <v xml:space="preserve">VANCLEAVE                 </v>
      </c>
      <c r="F18266" t="str">
        <f t="shared" si="448"/>
        <v>MS</v>
      </c>
    </row>
    <row r="18267" spans="1:6" x14ac:dyDescent="0.25">
      <c r="A18267" t="str">
        <f>"200017801"</f>
        <v>200017801</v>
      </c>
      <c r="B18267" t="str">
        <f>"1689846644"</f>
        <v>1689846644</v>
      </c>
      <c r="C18267" t="str">
        <f>"363LN0000X"</f>
        <v>363LN0000X</v>
      </c>
      <c r="D18267" t="str">
        <f>"MORGAN                   SHEILA                   "</f>
        <v xml:space="preserve">MORGAN                   SHEILA                   </v>
      </c>
      <c r="E18267" t="str">
        <f>"MERIDIAN                  "</f>
        <v xml:space="preserve">MERIDIAN                  </v>
      </c>
      <c r="F18267" t="str">
        <f t="shared" si="448"/>
        <v>MS</v>
      </c>
    </row>
    <row r="18268" spans="1:6" x14ac:dyDescent="0.25">
      <c r="A18268" t="str">
        <f>"200017811"</f>
        <v>200017811</v>
      </c>
      <c r="B18268" t="str">
        <f>"1487489928"</f>
        <v>1487489928</v>
      </c>
      <c r="C18268" t="str">
        <f>"367500000X"</f>
        <v>367500000X</v>
      </c>
      <c r="D18268" t="str">
        <f>"HESTER                   ANDREW                   "</f>
        <v xml:space="preserve">HESTER                   ANDREW                   </v>
      </c>
      <c r="E18268" t="str">
        <f>"TUPELO                    "</f>
        <v xml:space="preserve">TUPELO                    </v>
      </c>
      <c r="F18268" t="str">
        <f t="shared" si="448"/>
        <v>MS</v>
      </c>
    </row>
    <row r="18269" spans="1:6" x14ac:dyDescent="0.25">
      <c r="A18269" t="str">
        <f>"200017826"</f>
        <v>200017826</v>
      </c>
      <c r="B18269" t="str">
        <f>"1275652935"</f>
        <v>1275652935</v>
      </c>
      <c r="C18269" t="str">
        <f>"367500000X"</f>
        <v>367500000X</v>
      </c>
      <c r="D18269" t="str">
        <f>"HOLLEY                   APRIL                    "</f>
        <v xml:space="preserve">HOLLEY                   APRIL                    </v>
      </c>
      <c r="E18269" t="str">
        <f>"TUPELO                    "</f>
        <v xml:space="preserve">TUPELO                    </v>
      </c>
      <c r="F18269" t="str">
        <f t="shared" si="448"/>
        <v>MS</v>
      </c>
    </row>
    <row r="18270" spans="1:6" x14ac:dyDescent="0.25">
      <c r="A18270" t="str">
        <f>"200017836"</f>
        <v>200017836</v>
      </c>
      <c r="B18270" t="str">
        <f>"1134962723"</f>
        <v>1134962723</v>
      </c>
      <c r="C18270" t="str">
        <f>"363LF0000X"</f>
        <v>363LF0000X</v>
      </c>
      <c r="D18270" t="str">
        <f>"THOMAS                   WALTISHA                 "</f>
        <v xml:space="preserve">THOMAS                   WALTISHA                 </v>
      </c>
      <c r="E18270" t="str">
        <f>"FLOWOOD                   "</f>
        <v xml:space="preserve">FLOWOOD                   </v>
      </c>
      <c r="F18270" t="str">
        <f t="shared" si="448"/>
        <v>MS</v>
      </c>
    </row>
    <row r="18271" spans="1:6" x14ac:dyDescent="0.25">
      <c r="A18271" t="str">
        <f>"200017838"</f>
        <v>200017838</v>
      </c>
      <c r="B18271" t="str">
        <f>"1699354530"</f>
        <v>1699354530</v>
      </c>
      <c r="C18271" t="str">
        <f>"207W00000X"</f>
        <v>207W00000X</v>
      </c>
      <c r="D18271" t="str">
        <f>"MCFARLAND                STUART                   "</f>
        <v xml:space="preserve">MCFARLAND                STUART                   </v>
      </c>
      <c r="E18271" t="str">
        <f>"JACKSON                   "</f>
        <v xml:space="preserve">JACKSON                   </v>
      </c>
      <c r="F18271" t="str">
        <f t="shared" si="448"/>
        <v>MS</v>
      </c>
    </row>
    <row r="18272" spans="1:6" x14ac:dyDescent="0.25">
      <c r="A18272" t="str">
        <f>"200017841"</f>
        <v>200017841</v>
      </c>
      <c r="B18272" t="str">
        <f>"1184111841"</f>
        <v>1184111841</v>
      </c>
      <c r="C18272" t="str">
        <f>"207RI0200X"</f>
        <v>207RI0200X</v>
      </c>
      <c r="D18272" t="str">
        <f>"HARRIGAN                 JAMES                    "</f>
        <v xml:space="preserve">HARRIGAN                 JAMES                    </v>
      </c>
      <c r="E18272" t="str">
        <f>"MERIDIAN                  "</f>
        <v xml:space="preserve">MERIDIAN                  </v>
      </c>
      <c r="F18272" t="str">
        <f t="shared" si="448"/>
        <v>MS</v>
      </c>
    </row>
    <row r="18273" spans="1:6" x14ac:dyDescent="0.25">
      <c r="A18273" t="str">
        <f>"200017843"</f>
        <v>200017843</v>
      </c>
      <c r="B18273" t="str">
        <f>"1922883644"</f>
        <v>1922883644</v>
      </c>
      <c r="C18273" t="str">
        <f>"367500000X"</f>
        <v>367500000X</v>
      </c>
      <c r="D18273" t="str">
        <f>"BERG                     MICHAEL      R           "</f>
        <v xml:space="preserve">BERG                     MICHAEL      R           </v>
      </c>
      <c r="E18273" t="str">
        <f>"JACKSON                   "</f>
        <v xml:space="preserve">JACKSON                   </v>
      </c>
      <c r="F18273" t="str">
        <f t="shared" si="448"/>
        <v>MS</v>
      </c>
    </row>
    <row r="18274" spans="1:6" x14ac:dyDescent="0.25">
      <c r="A18274" t="str">
        <f>"200017855"</f>
        <v>200017855</v>
      </c>
      <c r="B18274" t="str">
        <f>"1114184249"</f>
        <v>1114184249</v>
      </c>
      <c r="C18274" t="str">
        <f>"207Q00000X"</f>
        <v>207Q00000X</v>
      </c>
      <c r="D18274" t="str">
        <f>"WOOTTON                  JAMES        L           "</f>
        <v xml:space="preserve">WOOTTON                  JAMES        L           </v>
      </c>
      <c r="E18274" t="str">
        <f>"FAYETTE                   "</f>
        <v xml:space="preserve">FAYETTE                   </v>
      </c>
      <c r="F18274" t="str">
        <f t="shared" si="448"/>
        <v>MS</v>
      </c>
    </row>
    <row r="18275" spans="1:6" x14ac:dyDescent="0.25">
      <c r="A18275" t="str">
        <f>"200017859"</f>
        <v>200017859</v>
      </c>
      <c r="B18275" t="str">
        <f>"1477371508"</f>
        <v>1477371508</v>
      </c>
      <c r="C18275" t="str">
        <f>"363LF0000X"</f>
        <v>363LF0000X</v>
      </c>
      <c r="D18275" t="str">
        <f>"URBAN                    JENNIFER                 "</f>
        <v xml:space="preserve">URBAN                    JENNIFER                 </v>
      </c>
      <c r="E18275" t="str">
        <f>"PASCAGOULA                "</f>
        <v xml:space="preserve">PASCAGOULA                </v>
      </c>
      <c r="F18275" t="str">
        <f t="shared" si="448"/>
        <v>MS</v>
      </c>
    </row>
    <row r="18276" spans="1:6" x14ac:dyDescent="0.25">
      <c r="A18276" t="str">
        <f>"200017860"</f>
        <v>200017860</v>
      </c>
      <c r="B18276" t="str">
        <f>"1508642273"</f>
        <v>1508642273</v>
      </c>
      <c r="C18276" t="str">
        <f>"363LF0000X"</f>
        <v>363LF0000X</v>
      </c>
      <c r="D18276" t="str">
        <f>"ALLEN                    MORGAN                   "</f>
        <v xml:space="preserve">ALLEN                    MORGAN                   </v>
      </c>
      <c r="E18276" t="str">
        <f>"HOUSTON                   "</f>
        <v xml:space="preserve">HOUSTON                   </v>
      </c>
      <c r="F18276" t="str">
        <f t="shared" si="448"/>
        <v>MS</v>
      </c>
    </row>
    <row r="18277" spans="1:6" x14ac:dyDescent="0.25">
      <c r="A18277" t="str">
        <f>"200017863"</f>
        <v>200017863</v>
      </c>
      <c r="B18277" t="str">
        <f>"1417989138"</f>
        <v>1417989138</v>
      </c>
      <c r="C18277" t="str">
        <f>"207P00000X"</f>
        <v>207P00000X</v>
      </c>
      <c r="D18277" t="str">
        <f>"BOSKOVICH                STEPHEN                  "</f>
        <v xml:space="preserve">BOSKOVICH                STEPHEN                  </v>
      </c>
      <c r="E18277" t="str">
        <f>"OCEAN SPRINGS             "</f>
        <v xml:space="preserve">OCEAN SPRINGS             </v>
      </c>
      <c r="F18277" t="str">
        <f t="shared" si="448"/>
        <v>MS</v>
      </c>
    </row>
    <row r="18278" spans="1:6" x14ac:dyDescent="0.25">
      <c r="A18278" t="str">
        <f>"200017864"</f>
        <v>200017864</v>
      </c>
      <c r="B18278" t="str">
        <f>"1407580137"</f>
        <v>1407580137</v>
      </c>
      <c r="C18278" t="str">
        <f>"367500000X"</f>
        <v>367500000X</v>
      </c>
      <c r="D18278" t="str">
        <f>"MCELRATH                 CAREY        G           "</f>
        <v xml:space="preserve">MCELRATH                 CAREY        G           </v>
      </c>
      <c r="E18278" t="str">
        <f>"TUPELO                    "</f>
        <v xml:space="preserve">TUPELO                    </v>
      </c>
      <c r="F18278" t="str">
        <f t="shared" si="448"/>
        <v>MS</v>
      </c>
    </row>
    <row r="18279" spans="1:6" x14ac:dyDescent="0.25">
      <c r="A18279" t="str">
        <f>"200017872"</f>
        <v>200017872</v>
      </c>
      <c r="B18279" t="str">
        <f>"1568049054"</f>
        <v>1568049054</v>
      </c>
      <c r="C18279" t="str">
        <f>"207V00000X"</f>
        <v>207V00000X</v>
      </c>
      <c r="D18279" t="str">
        <f>"GILES                    OLIVIA                   "</f>
        <v xml:space="preserve">GILES                    OLIVIA                   </v>
      </c>
      <c r="E18279" t="str">
        <f>"JACKSON                   "</f>
        <v xml:space="preserve">JACKSON                   </v>
      </c>
      <c r="F18279" t="str">
        <f t="shared" si="448"/>
        <v>MS</v>
      </c>
    </row>
    <row r="18280" spans="1:6" x14ac:dyDescent="0.25">
      <c r="A18280" t="str">
        <f>"200017873"</f>
        <v>200017873</v>
      </c>
      <c r="B18280" t="str">
        <f>"1497297493"</f>
        <v>1497297493</v>
      </c>
      <c r="C18280" t="str">
        <f>"363LF0000X"</f>
        <v>363LF0000X</v>
      </c>
      <c r="D18280" t="str">
        <f>"PENNINGTON               NATALINE     E           "</f>
        <v xml:space="preserve">PENNINGTON               NATALINE     E           </v>
      </c>
      <c r="E18280" t="str">
        <f>"HOUSTON                   "</f>
        <v xml:space="preserve">HOUSTON                   </v>
      </c>
      <c r="F18280" t="str">
        <f t="shared" si="448"/>
        <v>MS</v>
      </c>
    </row>
    <row r="18281" spans="1:6" x14ac:dyDescent="0.25">
      <c r="A18281" t="str">
        <f>"200017882"</f>
        <v>200017882</v>
      </c>
      <c r="B18281" t="str">
        <f>"1083776868"</f>
        <v>1083776868</v>
      </c>
      <c r="C18281" t="str">
        <f>"207VX0000X"</f>
        <v>207VX0000X</v>
      </c>
      <c r="D18281" t="str">
        <f>"GRAHAM                   MICHAEL      E           "</f>
        <v xml:space="preserve">GRAHAM                   MICHAEL      E           </v>
      </c>
      <c r="E18281" t="str">
        <f>"BROOKHAVEN                "</f>
        <v xml:space="preserve">BROOKHAVEN                </v>
      </c>
      <c r="F18281" t="str">
        <f t="shared" si="448"/>
        <v>MS</v>
      </c>
    </row>
    <row r="18282" spans="1:6" x14ac:dyDescent="0.25">
      <c r="A18282" t="str">
        <f>"200017887"</f>
        <v>200017887</v>
      </c>
      <c r="B18282" t="str">
        <f>"1083331599"</f>
        <v>1083331599</v>
      </c>
      <c r="C18282" t="str">
        <f>"367500000X"</f>
        <v>367500000X</v>
      </c>
      <c r="D18282" t="str">
        <f>"THAMES                   SELBY                    "</f>
        <v xml:space="preserve">THAMES                   SELBY                    </v>
      </c>
      <c r="E18282" t="str">
        <f>"OXFORD                    "</f>
        <v xml:space="preserve">OXFORD                    </v>
      </c>
      <c r="F18282" t="str">
        <f t="shared" si="448"/>
        <v>MS</v>
      </c>
    </row>
    <row r="18283" spans="1:6" x14ac:dyDescent="0.25">
      <c r="A18283" t="str">
        <f>"200017908"</f>
        <v>200017908</v>
      </c>
      <c r="B18283" t="str">
        <f>"1275363392"</f>
        <v>1275363392</v>
      </c>
      <c r="C18283" t="str">
        <f>"363A00000X"</f>
        <v>363A00000X</v>
      </c>
      <c r="D18283" t="str">
        <f>"KITTRELL                 DYLAN                    "</f>
        <v xml:space="preserve">KITTRELL                 DYLAN                    </v>
      </c>
      <c r="E18283" t="str">
        <f>"GULFPORT                  "</f>
        <v xml:space="preserve">GULFPORT                  </v>
      </c>
      <c r="F18283" t="str">
        <f t="shared" si="448"/>
        <v>MS</v>
      </c>
    </row>
    <row r="18284" spans="1:6" x14ac:dyDescent="0.25">
      <c r="A18284" t="str">
        <f>"200017910"</f>
        <v>200017910</v>
      </c>
      <c r="B18284" t="str">
        <f>"1730821851"</f>
        <v>1730821851</v>
      </c>
      <c r="C18284" t="str">
        <f>"363LF0000X"</f>
        <v>363LF0000X</v>
      </c>
      <c r="D18284" t="str">
        <f>"GALE                     TAMMY                    "</f>
        <v xml:space="preserve">GALE                     TAMMY                    </v>
      </c>
      <c r="E18284" t="str">
        <f>"MOSS POINT                "</f>
        <v xml:space="preserve">MOSS POINT                </v>
      </c>
      <c r="F18284" t="str">
        <f t="shared" si="448"/>
        <v>MS</v>
      </c>
    </row>
    <row r="18285" spans="1:6" x14ac:dyDescent="0.25">
      <c r="A18285" t="str">
        <f>"200017911"</f>
        <v>200017911</v>
      </c>
      <c r="B18285" t="str">
        <f>"1730821851"</f>
        <v>1730821851</v>
      </c>
      <c r="C18285" t="str">
        <f>"363LP2300X"</f>
        <v>363LP2300X</v>
      </c>
      <c r="D18285" t="str">
        <f>"GALE                     TAMMY                    "</f>
        <v xml:space="preserve">GALE                     TAMMY                    </v>
      </c>
      <c r="E18285" t="str">
        <f>"MOSS POINT                "</f>
        <v xml:space="preserve">MOSS POINT                </v>
      </c>
      <c r="F18285" t="str">
        <f t="shared" si="448"/>
        <v>MS</v>
      </c>
    </row>
    <row r="18286" spans="1:6" x14ac:dyDescent="0.25">
      <c r="A18286" t="str">
        <f>"200017912"</f>
        <v>200017912</v>
      </c>
      <c r="B18286" t="str">
        <f>"1265675664"</f>
        <v>1265675664</v>
      </c>
      <c r="C18286" t="str">
        <f>"207P00000X"</f>
        <v>207P00000X</v>
      </c>
      <c r="D18286" t="str">
        <f>"JUSTICE                  ADAM                     "</f>
        <v xml:space="preserve">JUSTICE                  ADAM                     </v>
      </c>
      <c r="E18286" t="str">
        <f>"OCEAN SPRINGS             "</f>
        <v xml:space="preserve">OCEAN SPRINGS             </v>
      </c>
      <c r="F18286" t="str">
        <f t="shared" si="448"/>
        <v>MS</v>
      </c>
    </row>
    <row r="18287" spans="1:6" x14ac:dyDescent="0.25">
      <c r="A18287" t="str">
        <f>"200017915"</f>
        <v>200017915</v>
      </c>
      <c r="B18287" t="str">
        <f>"1588481733"</f>
        <v>1588481733</v>
      </c>
      <c r="C18287" t="str">
        <f>"363L00000X"</f>
        <v>363L00000X</v>
      </c>
      <c r="D18287" t="str">
        <f>"NASH                     AVERY                    "</f>
        <v xml:space="preserve">NASH                     AVERY                    </v>
      </c>
      <c r="E18287" t="str">
        <f>"GLUCKSTADT                "</f>
        <v xml:space="preserve">GLUCKSTADT                </v>
      </c>
      <c r="F18287" t="str">
        <f t="shared" si="448"/>
        <v>MS</v>
      </c>
    </row>
    <row r="18288" spans="1:6" x14ac:dyDescent="0.25">
      <c r="A18288" t="str">
        <f>"200017916"</f>
        <v>200017916</v>
      </c>
      <c r="B18288" t="str">
        <f>"1437978657"</f>
        <v>1437978657</v>
      </c>
      <c r="C18288" t="str">
        <f>"363LF0000X"</f>
        <v>363LF0000X</v>
      </c>
      <c r="D18288" t="str">
        <f>"FLOYD                    AIMEE        N           "</f>
        <v xml:space="preserve">FLOYD                    AIMEE        N           </v>
      </c>
      <c r="E18288" t="str">
        <f>"SOUTHAVEN                 "</f>
        <v xml:space="preserve">SOUTHAVEN                 </v>
      </c>
      <c r="F18288" t="str">
        <f t="shared" si="448"/>
        <v>MS</v>
      </c>
    </row>
    <row r="18289" spans="1:6" x14ac:dyDescent="0.25">
      <c r="A18289" t="str">
        <f>"200017932"</f>
        <v>200017932</v>
      </c>
      <c r="B18289" t="str">
        <f>"1184798613"</f>
        <v>1184798613</v>
      </c>
      <c r="C18289" t="str">
        <f>"2085R0202X"</f>
        <v>2085R0202X</v>
      </c>
      <c r="D18289" t="str">
        <f>"MOSELEY                  TANYA                    "</f>
        <v xml:space="preserve">MOSELEY                  TANYA                    </v>
      </c>
      <c r="E18289" t="str">
        <f>"JACKSON                   "</f>
        <v xml:space="preserve">JACKSON                   </v>
      </c>
      <c r="F18289" t="str">
        <f t="shared" si="448"/>
        <v>MS</v>
      </c>
    </row>
    <row r="18290" spans="1:6" x14ac:dyDescent="0.25">
      <c r="A18290" t="str">
        <f>"200017938"</f>
        <v>200017938</v>
      </c>
      <c r="B18290" t="str">
        <f>"1346685856"</f>
        <v>1346685856</v>
      </c>
      <c r="C18290" t="str">
        <f>"363A00000X"</f>
        <v>363A00000X</v>
      </c>
      <c r="D18290" t="str">
        <f>"SIMPSON                  JAMIE                    "</f>
        <v xml:space="preserve">SIMPSON                  JAMIE                    </v>
      </c>
      <c r="E18290" t="str">
        <f>"OCEAN SPRINGS             "</f>
        <v xml:space="preserve">OCEAN SPRINGS             </v>
      </c>
      <c r="F18290" t="str">
        <f t="shared" si="448"/>
        <v>MS</v>
      </c>
    </row>
    <row r="18291" spans="1:6" x14ac:dyDescent="0.25">
      <c r="A18291" t="str">
        <f>"200017943"</f>
        <v>200017943</v>
      </c>
      <c r="B18291" t="str">
        <f>"1437961216"</f>
        <v>1437961216</v>
      </c>
      <c r="C18291" t="str">
        <f>"363LN0000X"</f>
        <v>363LN0000X</v>
      </c>
      <c r="D18291" t="str">
        <f>"RENFROW                  MILLER       0           "</f>
        <v xml:space="preserve">RENFROW                  MILLER       0           </v>
      </c>
      <c r="E18291" t="str">
        <f>"JACKSON                   "</f>
        <v xml:space="preserve">JACKSON                   </v>
      </c>
      <c r="F18291" t="str">
        <f t="shared" si="448"/>
        <v>MS</v>
      </c>
    </row>
    <row r="18292" spans="1:6" x14ac:dyDescent="0.25">
      <c r="A18292" t="str">
        <f>"200017947"</f>
        <v>200017947</v>
      </c>
      <c r="B18292" t="str">
        <f>"1346046208"</f>
        <v>1346046208</v>
      </c>
      <c r="C18292" t="str">
        <f>"363L00000X"</f>
        <v>363L00000X</v>
      </c>
      <c r="D18292" t="str">
        <f>"MAYZE                    ANNETTA                  "</f>
        <v xml:space="preserve">MAYZE                    ANNETTA                  </v>
      </c>
      <c r="E18292" t="str">
        <f>"GREENWOOD                 "</f>
        <v xml:space="preserve">GREENWOOD                 </v>
      </c>
      <c r="F18292" t="str">
        <f t="shared" si="448"/>
        <v>MS</v>
      </c>
    </row>
    <row r="18293" spans="1:6" x14ac:dyDescent="0.25">
      <c r="A18293" t="str">
        <f>"200017952"</f>
        <v>200017952</v>
      </c>
      <c r="B18293" t="str">
        <f>"1518771161"</f>
        <v>1518771161</v>
      </c>
      <c r="C18293" t="str">
        <f>"363LF0000X"</f>
        <v>363LF0000X</v>
      </c>
      <c r="D18293" t="str">
        <f>"SULLIVAN                 LORIE        A           "</f>
        <v xml:space="preserve">SULLIVAN                 LORIE        A           </v>
      </c>
      <c r="E18293" t="str">
        <f>"BAY SPRINGS               "</f>
        <v xml:space="preserve">BAY SPRINGS               </v>
      </c>
      <c r="F18293" t="str">
        <f t="shared" si="448"/>
        <v>MS</v>
      </c>
    </row>
    <row r="18294" spans="1:6" x14ac:dyDescent="0.25">
      <c r="A18294" t="str">
        <f>"200017967"</f>
        <v>200017967</v>
      </c>
      <c r="B18294" t="str">
        <f>"1568046456"</f>
        <v>1568046456</v>
      </c>
      <c r="C18294" t="str">
        <f>"367500000X"</f>
        <v>367500000X</v>
      </c>
      <c r="D18294" t="str">
        <f>"JAMES                    R-REONNIA                "</f>
        <v xml:space="preserve">JAMES                    R-REONNIA                </v>
      </c>
      <c r="E18294" t="str">
        <f>"JACKSON                   "</f>
        <v xml:space="preserve">JACKSON                   </v>
      </c>
      <c r="F18294" t="str">
        <f t="shared" si="448"/>
        <v>MS</v>
      </c>
    </row>
    <row r="18295" spans="1:6" x14ac:dyDescent="0.25">
      <c r="A18295" t="str">
        <f>"200017969"</f>
        <v>200017969</v>
      </c>
      <c r="B18295" t="str">
        <f>"1528734282"</f>
        <v>1528734282</v>
      </c>
      <c r="C18295" t="str">
        <f>"363LA2100X"</f>
        <v>363LA2100X</v>
      </c>
      <c r="D18295" t="str">
        <f>"LESSARD                  REBECCA                  "</f>
        <v xml:space="preserve">LESSARD                  REBECCA                  </v>
      </c>
      <c r="E18295" t="str">
        <f>"JACKSON                   "</f>
        <v xml:space="preserve">JACKSON                   </v>
      </c>
      <c r="F18295" t="str">
        <f t="shared" si="448"/>
        <v>MS</v>
      </c>
    </row>
    <row r="18296" spans="1:6" x14ac:dyDescent="0.25">
      <c r="A18296" t="str">
        <f>"200017972"</f>
        <v>200017972</v>
      </c>
      <c r="B18296" t="str">
        <f>"1205443165"</f>
        <v>1205443165</v>
      </c>
      <c r="C18296" t="str">
        <f>"363LF0000X"</f>
        <v>363LF0000X</v>
      </c>
      <c r="D18296" t="str">
        <f>"STOCKSTILL               MALLORY                  "</f>
        <v xml:space="preserve">STOCKSTILL               MALLORY                  </v>
      </c>
      <c r="E18296" t="str">
        <f>"OXFORD                    "</f>
        <v xml:space="preserve">OXFORD                    </v>
      </c>
      <c r="F18296" t="str">
        <f t="shared" si="448"/>
        <v>MS</v>
      </c>
    </row>
    <row r="18297" spans="1:6" x14ac:dyDescent="0.25">
      <c r="A18297" t="str">
        <f>"200017974"</f>
        <v>200017974</v>
      </c>
      <c r="B18297" t="str">
        <f>"1801648712"</f>
        <v>1801648712</v>
      </c>
      <c r="C18297" t="str">
        <f>"207Q00000X"</f>
        <v>207Q00000X</v>
      </c>
      <c r="D18297" t="str">
        <f>"DIBLASIO                 CARL         A           "</f>
        <v xml:space="preserve">DIBLASIO                 CARL         A           </v>
      </c>
      <c r="E18297" t="str">
        <f>"GULFPORT                  "</f>
        <v xml:space="preserve">GULFPORT                  </v>
      </c>
      <c r="F18297" t="str">
        <f t="shared" si="448"/>
        <v>MS</v>
      </c>
    </row>
    <row r="18298" spans="1:6" x14ac:dyDescent="0.25">
      <c r="A18298" t="str">
        <f>"200017991"</f>
        <v>200017991</v>
      </c>
      <c r="B18298" t="str">
        <f>"1851445340"</f>
        <v>1851445340</v>
      </c>
      <c r="C18298" t="str">
        <f>"207VX0000X"</f>
        <v>207VX0000X</v>
      </c>
      <c r="D18298" t="str">
        <f>"SCHAUS                   KIM          M           "</f>
        <v xml:space="preserve">SCHAUS                   KIM          M           </v>
      </c>
      <c r="E18298" t="str">
        <f>"BROOKHAVEN                "</f>
        <v xml:space="preserve">BROOKHAVEN                </v>
      </c>
      <c r="F18298" t="str">
        <f t="shared" si="448"/>
        <v>MS</v>
      </c>
    </row>
    <row r="18299" spans="1:6" x14ac:dyDescent="0.25">
      <c r="A18299" t="str">
        <f>"200017998"</f>
        <v>200017998</v>
      </c>
      <c r="B18299" t="str">
        <f>"1376049072"</f>
        <v>1376049072</v>
      </c>
      <c r="C18299" t="str">
        <f>"207R00000X"</f>
        <v>207R00000X</v>
      </c>
      <c r="D18299" t="str">
        <f>"OKANU                    NGOZI                    "</f>
        <v xml:space="preserve">OKANU                    NGOZI                    </v>
      </c>
      <c r="E18299" t="str">
        <f>"JACKSON                   "</f>
        <v xml:space="preserve">JACKSON                   </v>
      </c>
      <c r="F18299" t="str">
        <f t="shared" si="448"/>
        <v>MS</v>
      </c>
    </row>
    <row r="18300" spans="1:6" x14ac:dyDescent="0.25">
      <c r="A18300" t="str">
        <f>"200018000"</f>
        <v>200018000</v>
      </c>
      <c r="B18300" t="str">
        <f>"1306623350"</f>
        <v>1306623350</v>
      </c>
      <c r="C18300" t="str">
        <f>"363L00000X"</f>
        <v>363L00000X</v>
      </c>
      <c r="D18300" t="str">
        <f>"WADE                     DARBY                    "</f>
        <v xml:space="preserve">WADE                     DARBY                    </v>
      </c>
      <c r="E18300" t="str">
        <f>"FLOWOOD                   "</f>
        <v xml:space="preserve">FLOWOOD                   </v>
      </c>
      <c r="F18300" t="str">
        <f t="shared" si="448"/>
        <v>MS</v>
      </c>
    </row>
    <row r="18301" spans="1:6" x14ac:dyDescent="0.25">
      <c r="A18301" t="str">
        <f>"200018001"</f>
        <v>200018001</v>
      </c>
      <c r="B18301" t="str">
        <f>"1851113252"</f>
        <v>1851113252</v>
      </c>
      <c r="C18301" t="str">
        <f>"363LF0000X"</f>
        <v>363LF0000X</v>
      </c>
      <c r="D18301" t="str">
        <f>"SCRUGGS                  MARK         W           "</f>
        <v xml:space="preserve">SCRUGGS                  MARK         W           </v>
      </c>
      <c r="E18301" t="str">
        <f>"TAYLORSVILLE              "</f>
        <v xml:space="preserve">TAYLORSVILLE              </v>
      </c>
      <c r="F18301" t="str">
        <f t="shared" si="448"/>
        <v>MS</v>
      </c>
    </row>
    <row r="18302" spans="1:6" x14ac:dyDescent="0.25">
      <c r="A18302" t="str">
        <f>"200018002"</f>
        <v>200018002</v>
      </c>
      <c r="B18302" t="str">
        <f>"1851113252"</f>
        <v>1851113252</v>
      </c>
      <c r="C18302" t="str">
        <f>"363L00000X"</f>
        <v>363L00000X</v>
      </c>
      <c r="D18302" t="str">
        <f>"SCRUGGS                  MARK         W           "</f>
        <v xml:space="preserve">SCRUGGS                  MARK         W           </v>
      </c>
      <c r="E18302" t="str">
        <f>"TAYLORSVILLE              "</f>
        <v xml:space="preserve">TAYLORSVILLE              </v>
      </c>
      <c r="F18302" t="str">
        <f t="shared" ref="F18302:F18365" si="449">"MS"</f>
        <v>MS</v>
      </c>
    </row>
    <row r="18303" spans="1:6" x14ac:dyDescent="0.25">
      <c r="A18303" t="str">
        <f>"200018006"</f>
        <v>200018006</v>
      </c>
      <c r="B18303" t="str">
        <f>"1366487365"</f>
        <v>1366487365</v>
      </c>
      <c r="C18303" t="str">
        <f>"207RI0011X"</f>
        <v>207RI0011X</v>
      </c>
      <c r="D18303" t="str">
        <f>"YOUNG                    DAVID                    "</f>
        <v xml:space="preserve">YOUNG                    DAVID                    </v>
      </c>
      <c r="E18303" t="str">
        <f>"JACKSON                   "</f>
        <v xml:space="preserve">JACKSON                   </v>
      </c>
      <c r="F18303" t="str">
        <f t="shared" si="449"/>
        <v>MS</v>
      </c>
    </row>
    <row r="18304" spans="1:6" x14ac:dyDescent="0.25">
      <c r="A18304" t="str">
        <f>"200018009"</f>
        <v>200018009</v>
      </c>
      <c r="B18304" t="str">
        <f>"1174813646"</f>
        <v>1174813646</v>
      </c>
      <c r="C18304" t="str">
        <f>"207RI0011X"</f>
        <v>207RI0011X</v>
      </c>
      <c r="D18304" t="str">
        <f>"SONAIKE                  VICTOR                   "</f>
        <v xml:space="preserve">SONAIKE                  VICTOR                   </v>
      </c>
      <c r="E18304" t="str">
        <f>"PICAYUNE                  "</f>
        <v xml:space="preserve">PICAYUNE                  </v>
      </c>
      <c r="F18304" t="str">
        <f t="shared" si="449"/>
        <v>MS</v>
      </c>
    </row>
    <row r="18305" spans="1:6" x14ac:dyDescent="0.25">
      <c r="A18305" t="str">
        <f>"200018012"</f>
        <v>200018012</v>
      </c>
      <c r="B18305" t="str">
        <f>"1396992137"</f>
        <v>1396992137</v>
      </c>
      <c r="C18305" t="str">
        <f>"208M00000X"</f>
        <v>208M00000X</v>
      </c>
      <c r="D18305" t="str">
        <f>"LOVE                     ROBERT                   "</f>
        <v xml:space="preserve">LOVE                     ROBERT                   </v>
      </c>
      <c r="E18305" t="str">
        <f>"NEW ALBANY                "</f>
        <v xml:space="preserve">NEW ALBANY                </v>
      </c>
      <c r="F18305" t="str">
        <f t="shared" si="449"/>
        <v>MS</v>
      </c>
    </row>
    <row r="18306" spans="1:6" x14ac:dyDescent="0.25">
      <c r="A18306" t="str">
        <f>"200018013"</f>
        <v>200018013</v>
      </c>
      <c r="B18306" t="str">
        <f>"1063479608"</f>
        <v>1063479608</v>
      </c>
      <c r="C18306" t="str">
        <f>"363A00000X"</f>
        <v>363A00000X</v>
      </c>
      <c r="D18306" t="str">
        <f>"CALDER                   LEAH         J           "</f>
        <v xml:space="preserve">CALDER                   LEAH         J           </v>
      </c>
      <c r="E18306" t="str">
        <f>"GULFPORT                  "</f>
        <v xml:space="preserve">GULFPORT                  </v>
      </c>
      <c r="F18306" t="str">
        <f t="shared" si="449"/>
        <v>MS</v>
      </c>
    </row>
    <row r="18307" spans="1:6" x14ac:dyDescent="0.25">
      <c r="A18307" t="str">
        <f>"200018015"</f>
        <v>200018015</v>
      </c>
      <c r="B18307" t="str">
        <f>"1598501504"</f>
        <v>1598501504</v>
      </c>
      <c r="C18307" t="str">
        <f>"363AM0700X"</f>
        <v>363AM0700X</v>
      </c>
      <c r="D18307" t="str">
        <f>"ACKERMAN                 LAUREN                   "</f>
        <v xml:space="preserve">ACKERMAN                 LAUREN                   </v>
      </c>
      <c r="E18307" t="str">
        <f>"BILOXI                    "</f>
        <v xml:space="preserve">BILOXI                    </v>
      </c>
      <c r="F18307" t="str">
        <f t="shared" si="449"/>
        <v>MS</v>
      </c>
    </row>
    <row r="18308" spans="1:6" x14ac:dyDescent="0.25">
      <c r="A18308" t="str">
        <f>"200018017"</f>
        <v>200018017</v>
      </c>
      <c r="B18308" t="str">
        <f>"1619400439"</f>
        <v>1619400439</v>
      </c>
      <c r="C18308" t="str">
        <f>"207RI0200X"</f>
        <v>207RI0200X</v>
      </c>
      <c r="D18308" t="str">
        <f>"BOLLING                  TARYN                    "</f>
        <v xml:space="preserve">BOLLING                  TARYN                    </v>
      </c>
      <c r="E18308" t="str">
        <f>"TUPELO                    "</f>
        <v xml:space="preserve">TUPELO                    </v>
      </c>
      <c r="F18308" t="str">
        <f t="shared" si="449"/>
        <v>MS</v>
      </c>
    </row>
    <row r="18309" spans="1:6" x14ac:dyDescent="0.25">
      <c r="A18309" t="str">
        <f>"200018018"</f>
        <v>200018018</v>
      </c>
      <c r="B18309" t="str">
        <f>"1508121682"</f>
        <v>1508121682</v>
      </c>
      <c r="C18309" t="str">
        <f>"207Q00000X"</f>
        <v>207Q00000X</v>
      </c>
      <c r="D18309" t="str">
        <f>"CHHOTANI                 NIDA                     "</f>
        <v xml:space="preserve">CHHOTANI                 NIDA                     </v>
      </c>
      <c r="E18309" t="str">
        <f>"RIDGELAND                 "</f>
        <v xml:space="preserve">RIDGELAND                 </v>
      </c>
      <c r="F18309" t="str">
        <f t="shared" si="449"/>
        <v>MS</v>
      </c>
    </row>
    <row r="18310" spans="1:6" x14ac:dyDescent="0.25">
      <c r="A18310" t="str">
        <f>"200018028"</f>
        <v>200018028</v>
      </c>
      <c r="B18310" t="str">
        <f>"1033201454"</f>
        <v>1033201454</v>
      </c>
      <c r="C18310" t="str">
        <f>"2080P0205X"</f>
        <v>2080P0205X</v>
      </c>
      <c r="D18310" t="str">
        <f>"POTTER                   AMY                      "</f>
        <v xml:space="preserve">POTTER                   AMY                      </v>
      </c>
      <c r="E18310" t="str">
        <f>"JACKSON                   "</f>
        <v xml:space="preserve">JACKSON                   </v>
      </c>
      <c r="F18310" t="str">
        <f t="shared" si="449"/>
        <v>MS</v>
      </c>
    </row>
    <row r="18311" spans="1:6" x14ac:dyDescent="0.25">
      <c r="A18311" t="str">
        <f>"200018032"</f>
        <v>200018032</v>
      </c>
      <c r="B18311" t="str">
        <f>"1356766893"</f>
        <v>1356766893</v>
      </c>
      <c r="C18311" t="str">
        <f>"363LF0000X"</f>
        <v>363LF0000X</v>
      </c>
      <c r="D18311" t="str">
        <f>"STRUTCHEN                BRIGITTA                 "</f>
        <v xml:space="preserve">STRUTCHEN                BRIGITTA                 </v>
      </c>
      <c r="E18311" t="str">
        <f>"JACKSON                   "</f>
        <v xml:space="preserve">JACKSON                   </v>
      </c>
      <c r="F18311" t="str">
        <f t="shared" si="449"/>
        <v>MS</v>
      </c>
    </row>
    <row r="18312" spans="1:6" x14ac:dyDescent="0.25">
      <c r="A18312" t="str">
        <f>"200018033"</f>
        <v>200018033</v>
      </c>
      <c r="B18312" t="str">
        <f>"1871319053"</f>
        <v>1871319053</v>
      </c>
      <c r="C18312" t="str">
        <f>"367500000X"</f>
        <v>367500000X</v>
      </c>
      <c r="D18312" t="str">
        <f>"STEVENS                  CODY         A           "</f>
        <v xml:space="preserve">STEVENS                  CODY         A           </v>
      </c>
      <c r="E18312" t="str">
        <f>"MERIDIAN                  "</f>
        <v xml:space="preserve">MERIDIAN                  </v>
      </c>
      <c r="F18312" t="str">
        <f t="shared" si="449"/>
        <v>MS</v>
      </c>
    </row>
    <row r="18313" spans="1:6" x14ac:dyDescent="0.25">
      <c r="A18313" t="str">
        <f>"200018037"</f>
        <v>200018037</v>
      </c>
      <c r="B18313" t="str">
        <f>"1033448345"</f>
        <v>1033448345</v>
      </c>
      <c r="C18313" t="str">
        <f>"363L00000X"</f>
        <v>363L00000X</v>
      </c>
      <c r="D18313" t="str">
        <f>"MOREL                    RENAE                    "</f>
        <v xml:space="preserve">MOREL                    RENAE                    </v>
      </c>
      <c r="E18313" t="str">
        <f>"BILOXI                    "</f>
        <v xml:space="preserve">BILOXI                    </v>
      </c>
      <c r="F18313" t="str">
        <f t="shared" si="449"/>
        <v>MS</v>
      </c>
    </row>
    <row r="18314" spans="1:6" x14ac:dyDescent="0.25">
      <c r="A18314" t="str">
        <f>"200018050"</f>
        <v>200018050</v>
      </c>
      <c r="B18314" t="str">
        <f>"1528410727"</f>
        <v>1528410727</v>
      </c>
      <c r="C18314" t="str">
        <f>"363L00000X"</f>
        <v>363L00000X</v>
      </c>
      <c r="D18314" t="str">
        <f>"ADAMS                    DOROTHY                  "</f>
        <v xml:space="preserve">ADAMS                    DOROTHY                  </v>
      </c>
      <c r="E18314" t="str">
        <f>"BILOXI                    "</f>
        <v xml:space="preserve">BILOXI                    </v>
      </c>
      <c r="F18314" t="str">
        <f t="shared" si="449"/>
        <v>MS</v>
      </c>
    </row>
    <row r="18315" spans="1:6" x14ac:dyDescent="0.25">
      <c r="A18315" t="str">
        <f>"200018051"</f>
        <v>200018051</v>
      </c>
      <c r="B18315" t="str">
        <f>"1164583001"</f>
        <v>1164583001</v>
      </c>
      <c r="C18315" t="str">
        <f>"207RN0300X"</f>
        <v>207RN0300X</v>
      </c>
      <c r="D18315" t="str">
        <f>"CHOWDHARY                YASHWANT                 "</f>
        <v xml:space="preserve">CHOWDHARY                YASHWANT                 </v>
      </c>
      <c r="E18315" t="str">
        <f>"WINONA                    "</f>
        <v xml:space="preserve">WINONA                    </v>
      </c>
      <c r="F18315" t="str">
        <f t="shared" si="449"/>
        <v>MS</v>
      </c>
    </row>
    <row r="18316" spans="1:6" x14ac:dyDescent="0.25">
      <c r="A18316" t="str">
        <f>"200018058"</f>
        <v>200018058</v>
      </c>
      <c r="B18316" t="str">
        <f>"1568020675"</f>
        <v>1568020675</v>
      </c>
      <c r="C18316" t="str">
        <f>"363L00000X"</f>
        <v>363L00000X</v>
      </c>
      <c r="D18316" t="str">
        <f>"HARBARGER                EMILY                    "</f>
        <v xml:space="preserve">HARBARGER                EMILY                    </v>
      </c>
      <c r="E18316" t="str">
        <f>"BRANDON                   "</f>
        <v xml:space="preserve">BRANDON                   </v>
      </c>
      <c r="F18316" t="str">
        <f t="shared" si="449"/>
        <v>MS</v>
      </c>
    </row>
    <row r="18317" spans="1:6" x14ac:dyDescent="0.25">
      <c r="A18317" t="str">
        <f>"200018060"</f>
        <v>200018060</v>
      </c>
      <c r="B18317" t="str">
        <f>"1255364766"</f>
        <v>1255364766</v>
      </c>
      <c r="C18317" t="str">
        <f>"207P00000X"</f>
        <v>207P00000X</v>
      </c>
      <c r="D18317" t="str">
        <f>"SAXENA                   SUNIL                    "</f>
        <v xml:space="preserve">SAXENA                   SUNIL                    </v>
      </c>
      <c r="E18317" t="str">
        <f>"RIDGELAND                 "</f>
        <v xml:space="preserve">RIDGELAND                 </v>
      </c>
      <c r="F18317" t="str">
        <f t="shared" si="449"/>
        <v>MS</v>
      </c>
    </row>
    <row r="18318" spans="1:6" x14ac:dyDescent="0.25">
      <c r="A18318" t="str">
        <f>"200018064"</f>
        <v>200018064</v>
      </c>
      <c r="B18318" t="str">
        <f>"1174978449"</f>
        <v>1174978449</v>
      </c>
      <c r="C18318" t="str">
        <f>"2085R0202X"</f>
        <v>2085R0202X</v>
      </c>
      <c r="D18318" t="str">
        <f>"WITTE IV                 DEXTER                   "</f>
        <v xml:space="preserve">WITTE IV                 DEXTER                   </v>
      </c>
      <c r="E18318" t="str">
        <f>"SOUTHAVEN                 "</f>
        <v xml:space="preserve">SOUTHAVEN                 </v>
      </c>
      <c r="F18318" t="str">
        <f t="shared" si="449"/>
        <v>MS</v>
      </c>
    </row>
    <row r="18319" spans="1:6" x14ac:dyDescent="0.25">
      <c r="A18319" t="str">
        <f>"200018070"</f>
        <v>200018070</v>
      </c>
      <c r="B18319" t="str">
        <f>"1578060075"</f>
        <v>1578060075</v>
      </c>
      <c r="C18319" t="str">
        <f>"2084N0400X"</f>
        <v>2084N0400X</v>
      </c>
      <c r="D18319" t="str">
        <f>"ABBASI                   HAMIDREZA                "</f>
        <v xml:space="preserve">ABBASI                   HAMIDREZA                </v>
      </c>
      <c r="E18319" t="str">
        <f>"TUPELO                    "</f>
        <v xml:space="preserve">TUPELO                    </v>
      </c>
      <c r="F18319" t="str">
        <f t="shared" si="449"/>
        <v>MS</v>
      </c>
    </row>
    <row r="18320" spans="1:6" x14ac:dyDescent="0.25">
      <c r="A18320" t="str">
        <f>"200018072"</f>
        <v>200018072</v>
      </c>
      <c r="B18320" t="str">
        <f>"1770850018"</f>
        <v>1770850018</v>
      </c>
      <c r="C18320" t="str">
        <f>"363A00000X"</f>
        <v>363A00000X</v>
      </c>
      <c r="D18320" t="str">
        <f>"RAMIREZ                  JOSE                     "</f>
        <v xml:space="preserve">RAMIREZ                  JOSE                     </v>
      </c>
      <c r="E18320" t="str">
        <f>"PASCAGOULA                "</f>
        <v xml:space="preserve">PASCAGOULA                </v>
      </c>
      <c r="F18320" t="str">
        <f t="shared" si="449"/>
        <v>MS</v>
      </c>
    </row>
    <row r="18321" spans="1:6" x14ac:dyDescent="0.25">
      <c r="A18321" t="str">
        <f>"200018073"</f>
        <v>200018073</v>
      </c>
      <c r="B18321" t="str">
        <f>"1164232526"</f>
        <v>1164232526</v>
      </c>
      <c r="C18321" t="str">
        <f>"367500000X"</f>
        <v>367500000X</v>
      </c>
      <c r="D18321" t="str">
        <f>"QUINN                    BRANDON      W           "</f>
        <v xml:space="preserve">QUINN                    BRANDON      W           </v>
      </c>
      <c r="E18321" t="str">
        <f>"MERIDIAN                  "</f>
        <v xml:space="preserve">MERIDIAN                  </v>
      </c>
      <c r="F18321" t="str">
        <f t="shared" si="449"/>
        <v>MS</v>
      </c>
    </row>
    <row r="18322" spans="1:6" x14ac:dyDescent="0.25">
      <c r="A18322" t="str">
        <f>"200018085"</f>
        <v>200018085</v>
      </c>
      <c r="B18322" t="str">
        <f>"1194041996"</f>
        <v>1194041996</v>
      </c>
      <c r="C18322" t="str">
        <f>"2085R0202X"</f>
        <v>2085R0202X</v>
      </c>
      <c r="D18322" t="str">
        <f>"JOYCE                    EMILY                    "</f>
        <v xml:space="preserve">JOYCE                    EMILY                    </v>
      </c>
      <c r="E18322" t="str">
        <f>"SOUTHAVEN                 "</f>
        <v xml:space="preserve">SOUTHAVEN                 </v>
      </c>
      <c r="F18322" t="str">
        <f t="shared" si="449"/>
        <v>MS</v>
      </c>
    </row>
    <row r="18323" spans="1:6" x14ac:dyDescent="0.25">
      <c r="A18323" t="str">
        <f>"200018086"</f>
        <v>200018086</v>
      </c>
      <c r="B18323" t="str">
        <f>"1508248600"</f>
        <v>1508248600</v>
      </c>
      <c r="C18323" t="str">
        <f>"2084N0400X"</f>
        <v>2084N0400X</v>
      </c>
      <c r="D18323" t="str">
        <f>"MURTHY                   MAITREYI                 "</f>
        <v xml:space="preserve">MURTHY                   MAITREYI                 </v>
      </c>
      <c r="E18323" t="str">
        <f>"TUPELO                    "</f>
        <v xml:space="preserve">TUPELO                    </v>
      </c>
      <c r="F18323" t="str">
        <f t="shared" si="449"/>
        <v>MS</v>
      </c>
    </row>
    <row r="18324" spans="1:6" x14ac:dyDescent="0.25">
      <c r="A18324" t="str">
        <f>"200018090"</f>
        <v>200018090</v>
      </c>
      <c r="B18324" t="str">
        <f>"1881258267"</f>
        <v>1881258267</v>
      </c>
      <c r="C18324" t="str">
        <f>"2084P0800X"</f>
        <v>2084P0800X</v>
      </c>
      <c r="D18324" t="str">
        <f>"HATHAWAY                 WILLIAM                  "</f>
        <v xml:space="preserve">HATHAWAY                 WILLIAM                  </v>
      </c>
      <c r="E18324" t="str">
        <f>"TUPELO                    "</f>
        <v xml:space="preserve">TUPELO                    </v>
      </c>
      <c r="F18324" t="str">
        <f t="shared" si="449"/>
        <v>MS</v>
      </c>
    </row>
    <row r="18325" spans="1:6" x14ac:dyDescent="0.25">
      <c r="A18325" t="str">
        <f>"200018092"</f>
        <v>200018092</v>
      </c>
      <c r="B18325" t="str">
        <f>"1962073080"</f>
        <v>1962073080</v>
      </c>
      <c r="C18325" t="str">
        <f>"363L00000X"</f>
        <v>363L00000X</v>
      </c>
      <c r="D18325" t="str">
        <f>"LOCKRIDGE                KHELLI                   "</f>
        <v xml:space="preserve">LOCKRIDGE                KHELLI                   </v>
      </c>
      <c r="E18325" t="str">
        <f>"VICKSBURG                 "</f>
        <v xml:space="preserve">VICKSBURG                 </v>
      </c>
      <c r="F18325" t="str">
        <f t="shared" si="449"/>
        <v>MS</v>
      </c>
    </row>
    <row r="18326" spans="1:6" x14ac:dyDescent="0.25">
      <c r="A18326" t="str">
        <f>"200018101"</f>
        <v>200018101</v>
      </c>
      <c r="B18326" t="str">
        <f>"1487072864"</f>
        <v>1487072864</v>
      </c>
      <c r="C18326" t="str">
        <f>"363LG0600X"</f>
        <v>363LG0600X</v>
      </c>
      <c r="D18326" t="str">
        <f>"WOODS                    SHANNON                  "</f>
        <v xml:space="preserve">WOODS                    SHANNON                  </v>
      </c>
      <c r="E18326" t="str">
        <f>"SOUTHAVEN                 "</f>
        <v xml:space="preserve">SOUTHAVEN                 </v>
      </c>
      <c r="F18326" t="str">
        <f t="shared" si="449"/>
        <v>MS</v>
      </c>
    </row>
    <row r="18327" spans="1:6" x14ac:dyDescent="0.25">
      <c r="A18327" t="str">
        <f>"200018102"</f>
        <v>200018102</v>
      </c>
      <c r="B18327" t="str">
        <f>"1194954578"</f>
        <v>1194954578</v>
      </c>
      <c r="C18327" t="str">
        <f>"207RG0100X"</f>
        <v>207RG0100X</v>
      </c>
      <c r="D18327" t="str">
        <f>"BOYD                     STEWART                  "</f>
        <v xml:space="preserve">BOYD                     STEWART                  </v>
      </c>
      <c r="E18327" t="str">
        <f>"JACKSON                   "</f>
        <v xml:space="preserve">JACKSON                   </v>
      </c>
      <c r="F18327" t="str">
        <f t="shared" si="449"/>
        <v>MS</v>
      </c>
    </row>
    <row r="18328" spans="1:6" x14ac:dyDescent="0.25">
      <c r="A18328" t="str">
        <f>"200018104"</f>
        <v>200018104</v>
      </c>
      <c r="B18328" t="str">
        <f>"1083488043"</f>
        <v>1083488043</v>
      </c>
      <c r="C18328" t="str">
        <f>"363LF0000X"</f>
        <v>363LF0000X</v>
      </c>
      <c r="D18328" t="str">
        <f>"PITTMAN                  DIAMOND                  "</f>
        <v xml:space="preserve">PITTMAN                  DIAMOND                  </v>
      </c>
      <c r="E18328" t="str">
        <f>"TUPELO                    "</f>
        <v xml:space="preserve">TUPELO                    </v>
      </c>
      <c r="F18328" t="str">
        <f t="shared" si="449"/>
        <v>MS</v>
      </c>
    </row>
    <row r="18329" spans="1:6" x14ac:dyDescent="0.25">
      <c r="A18329" t="str">
        <f>"200018106"</f>
        <v>200018106</v>
      </c>
      <c r="B18329" t="str">
        <f>"1841929312"</f>
        <v>1841929312</v>
      </c>
      <c r="C18329" t="str">
        <f>"363L00000X"</f>
        <v>363L00000X</v>
      </c>
      <c r="D18329" t="str">
        <f>"PAYNE                    LINDA                    "</f>
        <v xml:space="preserve">PAYNE                    LINDA                    </v>
      </c>
      <c r="E18329" t="str">
        <f>"SOUTHAVEN                 "</f>
        <v xml:space="preserve">SOUTHAVEN                 </v>
      </c>
      <c r="F18329" t="str">
        <f t="shared" si="449"/>
        <v>MS</v>
      </c>
    </row>
    <row r="18330" spans="1:6" x14ac:dyDescent="0.25">
      <c r="A18330" t="str">
        <f>"200018114"</f>
        <v>200018114</v>
      </c>
      <c r="B18330" t="str">
        <f>"1568624591"</f>
        <v>1568624591</v>
      </c>
      <c r="C18330" t="str">
        <f>"207P00000X"</f>
        <v>207P00000X</v>
      </c>
      <c r="D18330" t="str">
        <f>"SILVERSMITH              JESSICA                  "</f>
        <v xml:space="preserve">SILVERSMITH              JESSICA                  </v>
      </c>
      <c r="E18330" t="str">
        <f>"OCEAN SPRINGS             "</f>
        <v xml:space="preserve">OCEAN SPRINGS             </v>
      </c>
      <c r="F18330" t="str">
        <f t="shared" si="449"/>
        <v>MS</v>
      </c>
    </row>
    <row r="18331" spans="1:6" x14ac:dyDescent="0.25">
      <c r="A18331" t="str">
        <f>"200018117"</f>
        <v>200018117</v>
      </c>
      <c r="B18331" t="str">
        <f>"1962639104"</f>
        <v>1962639104</v>
      </c>
      <c r="C18331" t="str">
        <f>"207VX0201X"</f>
        <v>207VX0201X</v>
      </c>
      <c r="D18331" t="str">
        <f>"WALTERS HAYGOOD          CHRISTEN                 "</f>
        <v xml:space="preserve">WALTERS HAYGOOD          CHRISTEN                 </v>
      </c>
      <c r="E18331" t="str">
        <f>"JACKSON                   "</f>
        <v xml:space="preserve">JACKSON                   </v>
      </c>
      <c r="F18331" t="str">
        <f t="shared" si="449"/>
        <v>MS</v>
      </c>
    </row>
    <row r="18332" spans="1:6" x14ac:dyDescent="0.25">
      <c r="A18332" t="str">
        <f>"200018124"</f>
        <v>200018124</v>
      </c>
      <c r="B18332" t="str">
        <f>"1750954327"</f>
        <v>1750954327</v>
      </c>
      <c r="C18332" t="str">
        <f>"363LF0000X"</f>
        <v>363LF0000X</v>
      </c>
      <c r="D18332" t="str">
        <f>"PARNELL                  MICHAEL      A           "</f>
        <v xml:space="preserve">PARNELL                  MICHAEL      A           </v>
      </c>
      <c r="E18332" t="str">
        <f>"LUCEDALE                  "</f>
        <v xml:space="preserve">LUCEDALE                  </v>
      </c>
      <c r="F18332" t="str">
        <f t="shared" si="449"/>
        <v>MS</v>
      </c>
    </row>
    <row r="18333" spans="1:6" x14ac:dyDescent="0.25">
      <c r="A18333" t="str">
        <f>"200018125"</f>
        <v>200018125</v>
      </c>
      <c r="B18333" t="str">
        <f>"1477576171"</f>
        <v>1477576171</v>
      </c>
      <c r="C18333" t="str">
        <f>"367500000X"</f>
        <v>367500000X</v>
      </c>
      <c r="D18333" t="str">
        <f>"WINDHAM                  FARREN                   "</f>
        <v xml:space="preserve">WINDHAM                  FARREN                   </v>
      </c>
      <c r="E18333" t="str">
        <f>"HATTIESBURG               "</f>
        <v xml:space="preserve">HATTIESBURG               </v>
      </c>
      <c r="F18333" t="str">
        <f t="shared" si="449"/>
        <v>MS</v>
      </c>
    </row>
    <row r="18334" spans="1:6" x14ac:dyDescent="0.25">
      <c r="A18334" t="str">
        <f>"200018126"</f>
        <v>200018126</v>
      </c>
      <c r="B18334" t="str">
        <f>"1568287407"</f>
        <v>1568287407</v>
      </c>
      <c r="C18334" t="str">
        <f>"363L00000X"</f>
        <v>363L00000X</v>
      </c>
      <c r="D18334" t="str">
        <f>"RIGSBY                   JACQUELINE               "</f>
        <v xml:space="preserve">RIGSBY                   JACQUELINE               </v>
      </c>
      <c r="E18334" t="str">
        <f>"RIDGELAND                 "</f>
        <v xml:space="preserve">RIDGELAND                 </v>
      </c>
      <c r="F18334" t="str">
        <f t="shared" si="449"/>
        <v>MS</v>
      </c>
    </row>
    <row r="18335" spans="1:6" x14ac:dyDescent="0.25">
      <c r="A18335" t="str">
        <f>"200018128"</f>
        <v>200018128</v>
      </c>
      <c r="B18335" t="str">
        <f>"1063276277"</f>
        <v>1063276277</v>
      </c>
      <c r="C18335" t="str">
        <f>"363A00000X"</f>
        <v>363A00000X</v>
      </c>
      <c r="D18335" t="str">
        <f>"MCCRORY                  KAYLA                    "</f>
        <v xml:space="preserve">MCCRORY                  KAYLA                    </v>
      </c>
      <c r="E18335" t="str">
        <f>"CORINTH                   "</f>
        <v xml:space="preserve">CORINTH                   </v>
      </c>
      <c r="F18335" t="str">
        <f t="shared" si="449"/>
        <v>MS</v>
      </c>
    </row>
    <row r="18336" spans="1:6" x14ac:dyDescent="0.25">
      <c r="A18336" t="str">
        <f>"200018134"</f>
        <v>200018134</v>
      </c>
      <c r="B18336" t="str">
        <f>"1356504682"</f>
        <v>1356504682</v>
      </c>
      <c r="C18336" t="str">
        <f>"207RG0100X"</f>
        <v>207RG0100X</v>
      </c>
      <c r="D18336" t="str">
        <f>"HOGAN III                REED                     "</f>
        <v xml:space="preserve">HOGAN III                REED                     </v>
      </c>
      <c r="E18336" t="str">
        <f>"JACKSON                   "</f>
        <v xml:space="preserve">JACKSON                   </v>
      </c>
      <c r="F18336" t="str">
        <f t="shared" si="449"/>
        <v>MS</v>
      </c>
    </row>
    <row r="18337" spans="1:6" x14ac:dyDescent="0.25">
      <c r="A18337" t="str">
        <f>"200018135"</f>
        <v>200018135</v>
      </c>
      <c r="B18337" t="str">
        <f>"1063724656"</f>
        <v>1063724656</v>
      </c>
      <c r="C18337" t="str">
        <f>"367500000X"</f>
        <v>367500000X</v>
      </c>
      <c r="D18337" t="str">
        <f>"SIMMONS                  KATIE                    "</f>
        <v xml:space="preserve">SIMMONS                  KATIE                    </v>
      </c>
      <c r="E18337" t="str">
        <f>"MERIDIAN                  "</f>
        <v xml:space="preserve">MERIDIAN                  </v>
      </c>
      <c r="F18337" t="str">
        <f t="shared" si="449"/>
        <v>MS</v>
      </c>
    </row>
    <row r="18338" spans="1:6" x14ac:dyDescent="0.25">
      <c r="A18338" t="str">
        <f>"200018136"</f>
        <v>200018136</v>
      </c>
      <c r="B18338" t="str">
        <f>"1215422480"</f>
        <v>1215422480</v>
      </c>
      <c r="C18338" t="str">
        <f>"363L00000X"</f>
        <v>363L00000X</v>
      </c>
      <c r="D18338" t="str">
        <f>"SMITH                    KAYLA                    "</f>
        <v xml:space="preserve">SMITH                    KAYLA                    </v>
      </c>
      <c r="E18338" t="str">
        <f>"JACKSON                   "</f>
        <v xml:space="preserve">JACKSON                   </v>
      </c>
      <c r="F18338" t="str">
        <f t="shared" si="449"/>
        <v>MS</v>
      </c>
    </row>
    <row r="18339" spans="1:6" x14ac:dyDescent="0.25">
      <c r="A18339" t="str">
        <f>"200018137"</f>
        <v>200018137</v>
      </c>
      <c r="B18339" t="str">
        <f>"1316910755"</f>
        <v>1316910755</v>
      </c>
      <c r="C18339" t="str">
        <f>"207Q00000X"</f>
        <v>207Q00000X</v>
      </c>
      <c r="D18339" t="str">
        <f>"OSOWA                    ALEXANDER                "</f>
        <v xml:space="preserve">OSOWA                    ALEXANDER                </v>
      </c>
      <c r="E18339" t="str">
        <f>"JACKSON                   "</f>
        <v xml:space="preserve">JACKSON                   </v>
      </c>
      <c r="F18339" t="str">
        <f t="shared" si="449"/>
        <v>MS</v>
      </c>
    </row>
    <row r="18340" spans="1:6" x14ac:dyDescent="0.25">
      <c r="A18340" t="str">
        <f>"200018144"</f>
        <v>200018144</v>
      </c>
      <c r="B18340" t="str">
        <f>"1891360384"</f>
        <v>1891360384</v>
      </c>
      <c r="C18340" t="str">
        <f>"2084P0800X"</f>
        <v>2084P0800X</v>
      </c>
      <c r="D18340" t="str">
        <f>"ADLY                     KIROLOS                  "</f>
        <v xml:space="preserve">ADLY                     KIROLOS                  </v>
      </c>
      <c r="E18340" t="str">
        <f>"GULFPORT                  "</f>
        <v xml:space="preserve">GULFPORT                  </v>
      </c>
      <c r="F18340" t="str">
        <f t="shared" si="449"/>
        <v>MS</v>
      </c>
    </row>
    <row r="18341" spans="1:6" x14ac:dyDescent="0.25">
      <c r="A18341" t="str">
        <f>"200018148"</f>
        <v>200018148</v>
      </c>
      <c r="B18341" t="str">
        <f>"1467272344"</f>
        <v>1467272344</v>
      </c>
      <c r="C18341" t="str">
        <f>"363LF0000X"</f>
        <v>363LF0000X</v>
      </c>
      <c r="D18341" t="str">
        <f>"PEARSON                  CANDACE      T           "</f>
        <v xml:space="preserve">PEARSON                  CANDACE      T           </v>
      </c>
      <c r="E18341" t="str">
        <f>"SEBASTOPOL                "</f>
        <v xml:space="preserve">SEBASTOPOL                </v>
      </c>
      <c r="F18341" t="str">
        <f t="shared" si="449"/>
        <v>MS</v>
      </c>
    </row>
    <row r="18342" spans="1:6" x14ac:dyDescent="0.25">
      <c r="A18342" t="str">
        <f>"200018157"</f>
        <v>200018157</v>
      </c>
      <c r="B18342" t="str">
        <f>"1730475815"</f>
        <v>1730475815</v>
      </c>
      <c r="C18342" t="str">
        <f>"207Q00000X"</f>
        <v>207Q00000X</v>
      </c>
      <c r="D18342" t="str">
        <f>"JOHNSON                  MARC         E           "</f>
        <v xml:space="preserve">JOHNSON                  MARC         E           </v>
      </c>
      <c r="E18342" t="str">
        <f>"BROOKHAVEN                "</f>
        <v xml:space="preserve">BROOKHAVEN                </v>
      </c>
      <c r="F18342" t="str">
        <f t="shared" si="449"/>
        <v>MS</v>
      </c>
    </row>
    <row r="18343" spans="1:6" x14ac:dyDescent="0.25">
      <c r="A18343" t="str">
        <f>"200018158"</f>
        <v>200018158</v>
      </c>
      <c r="B18343" t="str">
        <f>"1821290990"</f>
        <v>1821290990</v>
      </c>
      <c r="C18343" t="str">
        <f>"207RC0000X"</f>
        <v>207RC0000X</v>
      </c>
      <c r="D18343" t="str">
        <f>"STOKES JR.               DONNY                    "</f>
        <v xml:space="preserve">STOKES JR.               DONNY                    </v>
      </c>
      <c r="E18343" t="str">
        <f>"JACKSON                   "</f>
        <v xml:space="preserve">JACKSON                   </v>
      </c>
      <c r="F18343" t="str">
        <f t="shared" si="449"/>
        <v>MS</v>
      </c>
    </row>
    <row r="18344" spans="1:6" x14ac:dyDescent="0.25">
      <c r="A18344" t="str">
        <f>"200018163"</f>
        <v>200018163</v>
      </c>
      <c r="B18344" t="str">
        <f>"1134896038"</f>
        <v>1134896038</v>
      </c>
      <c r="C18344" t="str">
        <f>"261QA1903X"</f>
        <v>261QA1903X</v>
      </c>
      <c r="D18344" t="str">
        <f>"VICKSBURG SPINE CENTER, LLC                       "</f>
        <v xml:space="preserve">VICKSBURG SPINE CENTER, LLC                       </v>
      </c>
      <c r="E18344" t="str">
        <f>"VICKSBURG                 "</f>
        <v xml:space="preserve">VICKSBURG                 </v>
      </c>
      <c r="F18344" t="str">
        <f t="shared" si="449"/>
        <v>MS</v>
      </c>
    </row>
    <row r="18345" spans="1:6" x14ac:dyDescent="0.25">
      <c r="A18345" t="str">
        <f>"200018174"</f>
        <v>200018174</v>
      </c>
      <c r="B18345" t="str">
        <f>"1568273274"</f>
        <v>1568273274</v>
      </c>
      <c r="C18345" t="str">
        <f>"367500000X"</f>
        <v>367500000X</v>
      </c>
      <c r="D18345" t="str">
        <f>"BLACKWELL                CONNOR       Q           "</f>
        <v xml:space="preserve">BLACKWELL                CONNOR       Q           </v>
      </c>
      <c r="E18345" t="str">
        <f>"JACKSON                   "</f>
        <v xml:space="preserve">JACKSON                   </v>
      </c>
      <c r="F18345" t="str">
        <f t="shared" si="449"/>
        <v>MS</v>
      </c>
    </row>
    <row r="18346" spans="1:6" x14ac:dyDescent="0.25">
      <c r="A18346" t="str">
        <f>"200018181"</f>
        <v>200018181</v>
      </c>
      <c r="B18346" t="str">
        <f>"1912075862"</f>
        <v>1912075862</v>
      </c>
      <c r="C18346" t="str">
        <f>"2085R0202X"</f>
        <v>2085R0202X</v>
      </c>
      <c r="D18346" t="str">
        <f>"VEILLEUX                 LAURIE                   "</f>
        <v xml:space="preserve">VEILLEUX                 LAURIE                   </v>
      </c>
      <c r="E18346" t="str">
        <f>"BRANDON                   "</f>
        <v xml:space="preserve">BRANDON                   </v>
      </c>
      <c r="F18346" t="str">
        <f t="shared" si="449"/>
        <v>MS</v>
      </c>
    </row>
    <row r="18347" spans="1:6" x14ac:dyDescent="0.25">
      <c r="A18347" t="str">
        <f>"200018189"</f>
        <v>200018189</v>
      </c>
      <c r="B18347" t="str">
        <f>"1679564264"</f>
        <v>1679564264</v>
      </c>
      <c r="C18347" t="str">
        <f>"2085R0202X"</f>
        <v>2085R0202X</v>
      </c>
      <c r="D18347" t="str">
        <f>"DIVITTORIO               ROY                      "</f>
        <v xml:space="preserve">DIVITTORIO               ROY                      </v>
      </c>
      <c r="E18347" t="str">
        <f>"MERIDIAN                  "</f>
        <v xml:space="preserve">MERIDIAN                  </v>
      </c>
      <c r="F18347" t="str">
        <f t="shared" si="449"/>
        <v>MS</v>
      </c>
    </row>
    <row r="18348" spans="1:6" x14ac:dyDescent="0.25">
      <c r="A18348" t="str">
        <f>"200018193"</f>
        <v>200018193</v>
      </c>
      <c r="B18348" t="str">
        <f>"1124218490"</f>
        <v>1124218490</v>
      </c>
      <c r="C18348" t="str">
        <f>"363L00000X"</f>
        <v>363L00000X</v>
      </c>
      <c r="D18348" t="str">
        <f>"OMARA                    AMY                      "</f>
        <v xml:space="preserve">OMARA                    AMY                      </v>
      </c>
      <c r="E18348" t="str">
        <f>"MADISON                   "</f>
        <v xml:space="preserve">MADISON                   </v>
      </c>
      <c r="F18348" t="str">
        <f t="shared" si="449"/>
        <v>MS</v>
      </c>
    </row>
    <row r="18349" spans="1:6" x14ac:dyDescent="0.25">
      <c r="A18349" t="str">
        <f>"200018196"</f>
        <v>200018196</v>
      </c>
      <c r="B18349" t="str">
        <f>"1609076124"</f>
        <v>1609076124</v>
      </c>
      <c r="C18349" t="str">
        <f>"207Q00000X"</f>
        <v>207Q00000X</v>
      </c>
      <c r="D18349" t="str">
        <f>"JONES                    CHRISTOPHER              "</f>
        <v xml:space="preserve">JONES                    CHRISTOPHER              </v>
      </c>
      <c r="E18349" t="str">
        <f>"BAY ST LOUIS              "</f>
        <v xml:space="preserve">BAY ST LOUIS              </v>
      </c>
      <c r="F18349" t="str">
        <f t="shared" si="449"/>
        <v>MS</v>
      </c>
    </row>
    <row r="18350" spans="1:6" x14ac:dyDescent="0.25">
      <c r="A18350" t="str">
        <f>"200018202"</f>
        <v>200018202</v>
      </c>
      <c r="B18350" t="str">
        <f>"1871538801"</f>
        <v>1871538801</v>
      </c>
      <c r="C18350" t="str">
        <f>"207P00000X"</f>
        <v>207P00000X</v>
      </c>
      <c r="D18350" t="str">
        <f>"DAVE                     MOHAK                    "</f>
        <v xml:space="preserve">DAVE                     MOHAK                    </v>
      </c>
      <c r="E18350" t="str">
        <f>"OCEAN SPRINGS             "</f>
        <v xml:space="preserve">OCEAN SPRINGS             </v>
      </c>
      <c r="F18350" t="str">
        <f t="shared" si="449"/>
        <v>MS</v>
      </c>
    </row>
    <row r="18351" spans="1:6" x14ac:dyDescent="0.25">
      <c r="A18351" t="str">
        <f>"200018212"</f>
        <v>200018212</v>
      </c>
      <c r="B18351" t="str">
        <f>"1801199666"</f>
        <v>1801199666</v>
      </c>
      <c r="C18351" t="str">
        <f>"363L00000X"</f>
        <v>363L00000X</v>
      </c>
      <c r="D18351" t="str">
        <f>"DOUGLAS                  AMY          R           "</f>
        <v xml:space="preserve">DOUGLAS                  AMY          R           </v>
      </c>
      <c r="E18351" t="str">
        <f>"HATTIESBURG               "</f>
        <v xml:space="preserve">HATTIESBURG               </v>
      </c>
      <c r="F18351" t="str">
        <f t="shared" si="449"/>
        <v>MS</v>
      </c>
    </row>
    <row r="18352" spans="1:6" x14ac:dyDescent="0.25">
      <c r="A18352" t="str">
        <f>"200018213"</f>
        <v>200018213</v>
      </c>
      <c r="B18352" t="str">
        <f>"1881447860"</f>
        <v>1881447860</v>
      </c>
      <c r="C18352" t="str">
        <f>"363L00000X"</f>
        <v>363L00000X</v>
      </c>
      <c r="D18352" t="str">
        <f>"PUGH                     REBECCA      S           "</f>
        <v xml:space="preserve">PUGH                     REBECCA      S           </v>
      </c>
      <c r="E18352" t="str">
        <f>"HATTIESBURG               "</f>
        <v xml:space="preserve">HATTIESBURG               </v>
      </c>
      <c r="F18352" t="str">
        <f t="shared" si="449"/>
        <v>MS</v>
      </c>
    </row>
    <row r="18353" spans="1:6" x14ac:dyDescent="0.25">
      <c r="A18353" t="str">
        <f>"200018229"</f>
        <v>200018229</v>
      </c>
      <c r="B18353" t="str">
        <f>"1295144178"</f>
        <v>1295144178</v>
      </c>
      <c r="C18353" t="str">
        <f>"207L00000X"</f>
        <v>207L00000X</v>
      </c>
      <c r="D18353" t="str">
        <f>"DOS SANTOS E SANTOS      CHRISTIANO   E           "</f>
        <v xml:space="preserve">DOS SANTOS E SANTOS      CHRISTIANO   E           </v>
      </c>
      <c r="E18353" t="str">
        <f>"JACKSON                   "</f>
        <v xml:space="preserve">JACKSON                   </v>
      </c>
      <c r="F18353" t="str">
        <f t="shared" si="449"/>
        <v>MS</v>
      </c>
    </row>
    <row r="18354" spans="1:6" x14ac:dyDescent="0.25">
      <c r="A18354" t="str">
        <f>"200018242"</f>
        <v>200018242</v>
      </c>
      <c r="B18354" t="str">
        <f>"1437964293"</f>
        <v>1437964293</v>
      </c>
      <c r="C18354" t="str">
        <f>"363L00000X"</f>
        <v>363L00000X</v>
      </c>
      <c r="D18354" t="str">
        <f>"PITTMAN                  DYLAN                    "</f>
        <v xml:space="preserve">PITTMAN                  DYLAN                    </v>
      </c>
      <c r="E18354" t="str">
        <f>"SUMRALL                   "</f>
        <v xml:space="preserve">SUMRALL                   </v>
      </c>
      <c r="F18354" t="str">
        <f t="shared" si="449"/>
        <v>MS</v>
      </c>
    </row>
    <row r="18355" spans="1:6" x14ac:dyDescent="0.25">
      <c r="A18355" t="str">
        <f>"200018246"</f>
        <v>200018246</v>
      </c>
      <c r="B18355" t="str">
        <f>"1528883667"</f>
        <v>1528883667</v>
      </c>
      <c r="C18355" t="str">
        <f>"363LP0808X"</f>
        <v>363LP0808X</v>
      </c>
      <c r="D18355" t="str">
        <f>"SMITH                    ALISON       E           "</f>
        <v xml:space="preserve">SMITH                    ALISON       E           </v>
      </c>
      <c r="E18355" t="str">
        <f>"SOUTHAVEN                 "</f>
        <v xml:space="preserve">SOUTHAVEN                 </v>
      </c>
      <c r="F18355" t="str">
        <f t="shared" si="449"/>
        <v>MS</v>
      </c>
    </row>
    <row r="18356" spans="1:6" x14ac:dyDescent="0.25">
      <c r="A18356" t="str">
        <f>"200018250"</f>
        <v>200018250</v>
      </c>
      <c r="B18356" t="str">
        <f>"1750839148"</f>
        <v>1750839148</v>
      </c>
      <c r="C18356" t="str">
        <f>"2084N0400X"</f>
        <v>2084N0400X</v>
      </c>
      <c r="D18356" t="str">
        <f>"SANABRIA-LOPEZ           JOHNNY                   "</f>
        <v xml:space="preserve">SANABRIA-LOPEZ           JOHNNY                   </v>
      </c>
      <c r="E18356" t="str">
        <f>"OCEAN SPRINGS             "</f>
        <v xml:space="preserve">OCEAN SPRINGS             </v>
      </c>
      <c r="F18356" t="str">
        <f t="shared" si="449"/>
        <v>MS</v>
      </c>
    </row>
    <row r="18357" spans="1:6" x14ac:dyDescent="0.25">
      <c r="A18357" t="str">
        <f>"200018260"</f>
        <v>200018260</v>
      </c>
      <c r="B18357" t="str">
        <f>"1083096572"</f>
        <v>1083096572</v>
      </c>
      <c r="C18357" t="str">
        <f>"207P00000X"</f>
        <v>207P00000X</v>
      </c>
      <c r="D18357" t="str">
        <f>"DATIASHVILI              OTAR                     "</f>
        <v xml:space="preserve">DATIASHVILI              OTAR                     </v>
      </c>
      <c r="E18357" t="str">
        <f>"OLIVE BRANCH              "</f>
        <v xml:space="preserve">OLIVE BRANCH              </v>
      </c>
      <c r="F18357" t="str">
        <f t="shared" si="449"/>
        <v>MS</v>
      </c>
    </row>
    <row r="18358" spans="1:6" x14ac:dyDescent="0.25">
      <c r="A18358" t="str">
        <f>"200018266"</f>
        <v>200018266</v>
      </c>
      <c r="B18358" t="str">
        <f>"1447220264"</f>
        <v>1447220264</v>
      </c>
      <c r="C18358" t="str">
        <f>"207T00000X"</f>
        <v>207T00000X</v>
      </c>
      <c r="D18358" t="str">
        <f>"AKIN                     ERIC                     "</f>
        <v xml:space="preserve">AKIN                     ERIC                     </v>
      </c>
      <c r="E18358" t="str">
        <f>"JACKSON                   "</f>
        <v xml:space="preserve">JACKSON                   </v>
      </c>
      <c r="F18358" t="str">
        <f t="shared" si="449"/>
        <v>MS</v>
      </c>
    </row>
    <row r="18359" spans="1:6" x14ac:dyDescent="0.25">
      <c r="A18359" t="str">
        <f>"200018277"</f>
        <v>200018277</v>
      </c>
      <c r="B18359" t="str">
        <f>"1255079307"</f>
        <v>1255079307</v>
      </c>
      <c r="C18359" t="str">
        <f>"367500000X"</f>
        <v>367500000X</v>
      </c>
      <c r="D18359" t="str">
        <f>"GODWIN                   DUNCAN                   "</f>
        <v xml:space="preserve">GODWIN                   DUNCAN                   </v>
      </c>
      <c r="E18359" t="str">
        <f>"TUPELO                    "</f>
        <v xml:space="preserve">TUPELO                    </v>
      </c>
      <c r="F18359" t="str">
        <f t="shared" si="449"/>
        <v>MS</v>
      </c>
    </row>
    <row r="18360" spans="1:6" x14ac:dyDescent="0.25">
      <c r="A18360" t="str">
        <f>"200018281"</f>
        <v>200018281</v>
      </c>
      <c r="B18360" t="str">
        <f>"1528846102"</f>
        <v>1528846102</v>
      </c>
      <c r="C18360" t="str">
        <f>"363LP0808X"</f>
        <v>363LP0808X</v>
      </c>
      <c r="D18360" t="str">
        <f>"HESS                     SALLY                    "</f>
        <v xml:space="preserve">HESS                     SALLY                    </v>
      </c>
      <c r="E18360" t="str">
        <f>"IUKA                      "</f>
        <v xml:space="preserve">IUKA                      </v>
      </c>
      <c r="F18360" t="str">
        <f t="shared" si="449"/>
        <v>MS</v>
      </c>
    </row>
    <row r="18361" spans="1:6" x14ac:dyDescent="0.25">
      <c r="A18361" t="str">
        <f>"200018282"</f>
        <v>200018282</v>
      </c>
      <c r="B18361" t="str">
        <f>"1568421675"</f>
        <v>1568421675</v>
      </c>
      <c r="C18361" t="str">
        <f>"363L00000X"</f>
        <v>363L00000X</v>
      </c>
      <c r="D18361" t="str">
        <f>"MCCARTER                 CAREY                    "</f>
        <v xml:space="preserve">MCCARTER                 CAREY                    </v>
      </c>
      <c r="E18361" t="str">
        <f>"WEST POINT                "</f>
        <v xml:space="preserve">WEST POINT                </v>
      </c>
      <c r="F18361" t="str">
        <f t="shared" si="449"/>
        <v>MS</v>
      </c>
    </row>
    <row r="18362" spans="1:6" x14ac:dyDescent="0.25">
      <c r="A18362" t="str">
        <f>"200018285"</f>
        <v>200018285</v>
      </c>
      <c r="B18362" t="str">
        <f>"1144026063"</f>
        <v>1144026063</v>
      </c>
      <c r="C18362" t="str">
        <f>"363LF0000X"</f>
        <v>363LF0000X</v>
      </c>
      <c r="D18362" t="str">
        <f>"PEARSON                  ALLEN                    "</f>
        <v xml:space="preserve">PEARSON                  ALLEN                    </v>
      </c>
      <c r="E18362" t="str">
        <f>"ROLLING FORK              "</f>
        <v xml:space="preserve">ROLLING FORK              </v>
      </c>
      <c r="F18362" t="str">
        <f t="shared" si="449"/>
        <v>MS</v>
      </c>
    </row>
    <row r="18363" spans="1:6" x14ac:dyDescent="0.25">
      <c r="A18363" t="str">
        <f>"200018287"</f>
        <v>200018287</v>
      </c>
      <c r="B18363" t="str">
        <f>"1013723592"</f>
        <v>1013723592</v>
      </c>
      <c r="C18363" t="str">
        <f>"122300000X"</f>
        <v>122300000X</v>
      </c>
      <c r="D18363" t="str">
        <f>"OXFORD MAXILLOFACIAL SURGERY, INC.                "</f>
        <v xml:space="preserve">OXFORD MAXILLOFACIAL SURGERY, INC.                </v>
      </c>
      <c r="E18363" t="str">
        <f>"TUPELO                    "</f>
        <v xml:space="preserve">TUPELO                    </v>
      </c>
      <c r="F18363" t="str">
        <f t="shared" si="449"/>
        <v>MS</v>
      </c>
    </row>
    <row r="18364" spans="1:6" x14ac:dyDescent="0.25">
      <c r="A18364" t="str">
        <f>"200018298"</f>
        <v>200018298</v>
      </c>
      <c r="B18364" t="str">
        <f>"1386015311"</f>
        <v>1386015311</v>
      </c>
      <c r="C18364" t="str">
        <f>"367500000X"</f>
        <v>367500000X</v>
      </c>
      <c r="D18364" t="str">
        <f>"BANKHEAD                 JAMES        E           "</f>
        <v xml:space="preserve">BANKHEAD                 JAMES        E           </v>
      </c>
      <c r="E18364" t="str">
        <f>"JACKSON                   "</f>
        <v xml:space="preserve">JACKSON                   </v>
      </c>
      <c r="F18364" t="str">
        <f t="shared" si="449"/>
        <v>MS</v>
      </c>
    </row>
    <row r="18365" spans="1:6" x14ac:dyDescent="0.25">
      <c r="A18365" t="str">
        <f>"200018312"</f>
        <v>200018312</v>
      </c>
      <c r="B18365" t="str">
        <f>"1760216543"</f>
        <v>1760216543</v>
      </c>
      <c r="C18365" t="str">
        <f>"363L00000X"</f>
        <v>363L00000X</v>
      </c>
      <c r="D18365" t="str">
        <f>"HAYS                     ALLYSON      N           "</f>
        <v xml:space="preserve">HAYS                     ALLYSON      N           </v>
      </c>
      <c r="E18365" t="str">
        <f>"GRENADA                   "</f>
        <v xml:space="preserve">GRENADA                   </v>
      </c>
      <c r="F18365" t="str">
        <f t="shared" si="449"/>
        <v>MS</v>
      </c>
    </row>
    <row r="18366" spans="1:6" x14ac:dyDescent="0.25">
      <c r="A18366" t="str">
        <f>"200018324"</f>
        <v>200018324</v>
      </c>
      <c r="B18366" t="str">
        <f>"1114769726"</f>
        <v>1114769726</v>
      </c>
      <c r="C18366" t="str">
        <f>"363LF0000X"</f>
        <v>363LF0000X</v>
      </c>
      <c r="D18366" t="str">
        <f>"SKELTON                  TRACEY                   "</f>
        <v xml:space="preserve">SKELTON                  TRACEY                   </v>
      </c>
      <c r="E18366" t="str">
        <f>"HOLLY SPRINGS             "</f>
        <v xml:space="preserve">HOLLY SPRINGS             </v>
      </c>
      <c r="F18366" t="str">
        <f t="shared" ref="F18366:F18429" si="450">"MS"</f>
        <v>MS</v>
      </c>
    </row>
    <row r="18367" spans="1:6" x14ac:dyDescent="0.25">
      <c r="A18367" t="str">
        <f>"200018328"</f>
        <v>200018328</v>
      </c>
      <c r="B18367" t="str">
        <f>"1407595614"</f>
        <v>1407595614</v>
      </c>
      <c r="C18367" t="str">
        <f>"367A00000X"</f>
        <v>367A00000X</v>
      </c>
      <c r="D18367" t="str">
        <f>"DOYLE                    ALISON                   "</f>
        <v xml:space="preserve">DOYLE                    ALISON                   </v>
      </c>
      <c r="E18367" t="str">
        <f>"CLARKSDALE                "</f>
        <v xml:space="preserve">CLARKSDALE                </v>
      </c>
      <c r="F18367" t="str">
        <f t="shared" si="450"/>
        <v>MS</v>
      </c>
    </row>
    <row r="18368" spans="1:6" x14ac:dyDescent="0.25">
      <c r="A18368" t="str">
        <f>"200018329"</f>
        <v>200018329</v>
      </c>
      <c r="B18368" t="str">
        <f>"1689110645"</f>
        <v>1689110645</v>
      </c>
      <c r="C18368" t="str">
        <f>"363L00000X"</f>
        <v>363L00000X</v>
      </c>
      <c r="D18368" t="str">
        <f>"NWAGWU                   CRYSTAL                  "</f>
        <v xml:space="preserve">NWAGWU                   CRYSTAL                  </v>
      </c>
      <c r="E18368" t="str">
        <f>"HATTIESBURG               "</f>
        <v xml:space="preserve">HATTIESBURG               </v>
      </c>
      <c r="F18368" t="str">
        <f t="shared" si="450"/>
        <v>MS</v>
      </c>
    </row>
    <row r="18369" spans="1:6" x14ac:dyDescent="0.25">
      <c r="A18369" t="str">
        <f>"200018335"</f>
        <v>200018335</v>
      </c>
      <c r="B18369" t="str">
        <f>"1356928246"</f>
        <v>1356928246</v>
      </c>
      <c r="C18369" t="str">
        <f>"207R00000X"</f>
        <v>207R00000X</v>
      </c>
      <c r="D18369" t="str">
        <f>"LEBLANC                  BLAKE                    "</f>
        <v xml:space="preserve">LEBLANC                  BLAKE                    </v>
      </c>
      <c r="E18369" t="str">
        <f>"JACKSON                   "</f>
        <v xml:space="preserve">JACKSON                   </v>
      </c>
      <c r="F18369" t="str">
        <f t="shared" si="450"/>
        <v>MS</v>
      </c>
    </row>
    <row r="18370" spans="1:6" x14ac:dyDescent="0.25">
      <c r="A18370" t="str">
        <f>"200018340"</f>
        <v>200018340</v>
      </c>
      <c r="B18370" t="str">
        <f>"1003808908"</f>
        <v>1003808908</v>
      </c>
      <c r="C18370" t="str">
        <f>"2085R0202X"</f>
        <v>2085R0202X</v>
      </c>
      <c r="D18370" t="str">
        <f>"NEWMAN                   BARBARA      A           "</f>
        <v xml:space="preserve">NEWMAN                   BARBARA      A           </v>
      </c>
      <c r="E18370" t="str">
        <f>"JACKSON                   "</f>
        <v xml:space="preserve">JACKSON                   </v>
      </c>
      <c r="F18370" t="str">
        <f t="shared" si="450"/>
        <v>MS</v>
      </c>
    </row>
    <row r="18371" spans="1:6" x14ac:dyDescent="0.25">
      <c r="A18371" t="str">
        <f>"200018347"</f>
        <v>200018347</v>
      </c>
      <c r="B18371" t="str">
        <f>"1720841638"</f>
        <v>1720841638</v>
      </c>
      <c r="C18371" t="str">
        <f>"363LF0000X"</f>
        <v>363LF0000X</v>
      </c>
      <c r="D18371" t="str">
        <f>"NEVELS                   MARY         L           "</f>
        <v xml:space="preserve">NEVELS                   MARY         L           </v>
      </c>
      <c r="E18371" t="str">
        <f>"MENDENHALL                "</f>
        <v xml:space="preserve">MENDENHALL                </v>
      </c>
      <c r="F18371" t="str">
        <f t="shared" si="450"/>
        <v>MS</v>
      </c>
    </row>
    <row r="18372" spans="1:6" x14ac:dyDescent="0.25">
      <c r="A18372" t="str">
        <f>"200018348"</f>
        <v>200018348</v>
      </c>
      <c r="B18372" t="str">
        <f>"1487487864"</f>
        <v>1487487864</v>
      </c>
      <c r="C18372" t="str">
        <f>"363LP0808X"</f>
        <v>363LP0808X</v>
      </c>
      <c r="D18372" t="str">
        <f>"JACKSON                  DOMINIQUE                "</f>
        <v xml:space="preserve">JACKSON                  DOMINIQUE                </v>
      </c>
      <c r="E18372" t="str">
        <f>"HERMANVILLE               "</f>
        <v xml:space="preserve">HERMANVILLE               </v>
      </c>
      <c r="F18372" t="str">
        <f t="shared" si="450"/>
        <v>MS</v>
      </c>
    </row>
    <row r="18373" spans="1:6" x14ac:dyDescent="0.25">
      <c r="A18373" t="str">
        <f>"200018350"</f>
        <v>200018350</v>
      </c>
      <c r="B18373" t="str">
        <f>"1144032947"</f>
        <v>1144032947</v>
      </c>
      <c r="C18373" t="str">
        <f>"363LF0000X"</f>
        <v>363LF0000X</v>
      </c>
      <c r="D18373" t="str">
        <f>"MILAM                    CATHERINE                "</f>
        <v xml:space="preserve">MILAM                    CATHERINE                </v>
      </c>
      <c r="E18373" t="str">
        <f>"TUPELO                    "</f>
        <v xml:space="preserve">TUPELO                    </v>
      </c>
      <c r="F18373" t="str">
        <f t="shared" si="450"/>
        <v>MS</v>
      </c>
    </row>
    <row r="18374" spans="1:6" x14ac:dyDescent="0.25">
      <c r="A18374" t="str">
        <f>"200018353"</f>
        <v>200018353</v>
      </c>
      <c r="B18374" t="str">
        <f>"1760412688"</f>
        <v>1760412688</v>
      </c>
      <c r="C18374" t="str">
        <f>"207L00000X"</f>
        <v>207L00000X</v>
      </c>
      <c r="D18374" t="str">
        <f>"BRIN                     EDWARD                   "</f>
        <v xml:space="preserve">BRIN                     EDWARD                   </v>
      </c>
      <c r="E18374" t="str">
        <f>"CORINTH                   "</f>
        <v xml:space="preserve">CORINTH                   </v>
      </c>
      <c r="F18374" t="str">
        <f t="shared" si="450"/>
        <v>MS</v>
      </c>
    </row>
    <row r="18375" spans="1:6" x14ac:dyDescent="0.25">
      <c r="A18375" t="str">
        <f>"200018356"</f>
        <v>200018356</v>
      </c>
      <c r="B18375" t="str">
        <f>"1184350647"</f>
        <v>1184350647</v>
      </c>
      <c r="C18375" t="str">
        <f>"363L00000X"</f>
        <v>363L00000X</v>
      </c>
      <c r="D18375" t="str">
        <f>"DAVIS                    MONICA                   "</f>
        <v xml:space="preserve">DAVIS                    MONICA                   </v>
      </c>
      <c r="E18375" t="str">
        <f>"NEWHEBRON                 "</f>
        <v xml:space="preserve">NEWHEBRON                 </v>
      </c>
      <c r="F18375" t="str">
        <f t="shared" si="450"/>
        <v>MS</v>
      </c>
    </row>
    <row r="18376" spans="1:6" x14ac:dyDescent="0.25">
      <c r="A18376" t="str">
        <f>"200018358"</f>
        <v>200018358</v>
      </c>
      <c r="B18376" t="str">
        <f>"1659351310"</f>
        <v>1659351310</v>
      </c>
      <c r="C18376" t="str">
        <f>"207RI0200X"</f>
        <v>207RI0200X</v>
      </c>
      <c r="D18376" t="str">
        <f>"VEMULAPALLI              RAMESH                   "</f>
        <v xml:space="preserve">VEMULAPALLI              RAMESH                   </v>
      </c>
      <c r="E18376" t="str">
        <f>"TUPELO                    "</f>
        <v xml:space="preserve">TUPELO                    </v>
      </c>
      <c r="F18376" t="str">
        <f t="shared" si="450"/>
        <v>MS</v>
      </c>
    </row>
    <row r="18377" spans="1:6" x14ac:dyDescent="0.25">
      <c r="A18377" t="str">
        <f>"200018368"</f>
        <v>200018368</v>
      </c>
      <c r="B18377" t="str">
        <f>"1780264754"</f>
        <v>1780264754</v>
      </c>
      <c r="C18377" t="str">
        <f>"207P00000X"</f>
        <v>207P00000X</v>
      </c>
      <c r="D18377" t="str">
        <f>"RHODES                   SPENCER                  "</f>
        <v xml:space="preserve">RHODES                   SPENCER                  </v>
      </c>
      <c r="E18377" t="str">
        <f>"MCCOMB                    "</f>
        <v xml:space="preserve">MCCOMB                    </v>
      </c>
      <c r="F18377" t="str">
        <f t="shared" si="450"/>
        <v>MS</v>
      </c>
    </row>
    <row r="18378" spans="1:6" x14ac:dyDescent="0.25">
      <c r="A18378" t="str">
        <f>"200018374"</f>
        <v>200018374</v>
      </c>
      <c r="B18378" t="str">
        <f>"1568042588"</f>
        <v>1568042588</v>
      </c>
      <c r="C18378" t="str">
        <f>"363LF0000X"</f>
        <v>363LF0000X</v>
      </c>
      <c r="D18378" t="str">
        <f>"GROTEGUT                 JOHN                     "</f>
        <v xml:space="preserve">GROTEGUT                 JOHN                     </v>
      </c>
      <c r="E18378" t="str">
        <f>"JACKSON                   "</f>
        <v xml:space="preserve">JACKSON                   </v>
      </c>
      <c r="F18378" t="str">
        <f t="shared" si="450"/>
        <v>MS</v>
      </c>
    </row>
    <row r="18379" spans="1:6" x14ac:dyDescent="0.25">
      <c r="A18379" t="str">
        <f>"200018379"</f>
        <v>200018379</v>
      </c>
      <c r="B18379" t="str">
        <f>"1942023320"</f>
        <v>1942023320</v>
      </c>
      <c r="C18379" t="str">
        <f>"261QP0905X"</f>
        <v>261QP0905X</v>
      </c>
      <c r="D18379" t="str">
        <f>"ENCORE REHAB OF TUPELO                            "</f>
        <v xml:space="preserve">ENCORE REHAB OF TUPELO                            </v>
      </c>
      <c r="E18379" t="str">
        <f>"TUPELO                    "</f>
        <v xml:space="preserve">TUPELO                    </v>
      </c>
      <c r="F18379" t="str">
        <f t="shared" si="450"/>
        <v>MS</v>
      </c>
    </row>
    <row r="18380" spans="1:6" x14ac:dyDescent="0.25">
      <c r="A18380" t="str">
        <f>"200018387"</f>
        <v>200018387</v>
      </c>
      <c r="B18380" t="str">
        <f>"1629883152"</f>
        <v>1629883152</v>
      </c>
      <c r="C18380" t="str">
        <f>"363LF0000X"</f>
        <v>363LF0000X</v>
      </c>
      <c r="D18380" t="str">
        <f>"LAMBE                    KACEE                    "</f>
        <v xml:space="preserve">LAMBE                    KACEE                    </v>
      </c>
      <c r="E18380" t="str">
        <f>"GULFPORT                  "</f>
        <v xml:space="preserve">GULFPORT                  </v>
      </c>
      <c r="F18380" t="str">
        <f t="shared" si="450"/>
        <v>MS</v>
      </c>
    </row>
    <row r="18381" spans="1:6" x14ac:dyDescent="0.25">
      <c r="A18381" t="str">
        <f>"200018390"</f>
        <v>200018390</v>
      </c>
      <c r="B18381" t="str">
        <f>"1275096984"</f>
        <v>1275096984</v>
      </c>
      <c r="C18381" t="str">
        <f>"207R00000X"</f>
        <v>207R00000X</v>
      </c>
      <c r="D18381" t="str">
        <f>"HAILE                    ROZINA                   "</f>
        <v xml:space="preserve">HAILE                    ROZINA                   </v>
      </c>
      <c r="E18381" t="str">
        <f>"TUPELO                    "</f>
        <v xml:space="preserve">TUPELO                    </v>
      </c>
      <c r="F18381" t="str">
        <f t="shared" si="450"/>
        <v>MS</v>
      </c>
    </row>
    <row r="18382" spans="1:6" x14ac:dyDescent="0.25">
      <c r="A18382" t="str">
        <f>"200018400"</f>
        <v>200018400</v>
      </c>
      <c r="B18382" t="str">
        <f>"1407266968"</f>
        <v>1407266968</v>
      </c>
      <c r="C18382" t="str">
        <f>"363A00000X"</f>
        <v>363A00000X</v>
      </c>
      <c r="D18382" t="str">
        <f>"BALDWIN                  PATRICIA                 "</f>
        <v xml:space="preserve">BALDWIN                  PATRICIA                 </v>
      </c>
      <c r="E18382" t="str">
        <f>"OCEAN SPRINGS             "</f>
        <v xml:space="preserve">OCEAN SPRINGS             </v>
      </c>
      <c r="F18382" t="str">
        <f t="shared" si="450"/>
        <v>MS</v>
      </c>
    </row>
    <row r="18383" spans="1:6" x14ac:dyDescent="0.25">
      <c r="A18383" t="str">
        <f>"200018412"</f>
        <v>200018412</v>
      </c>
      <c r="B18383" t="str">
        <f>"1750139630"</f>
        <v>1750139630</v>
      </c>
      <c r="C18383" t="str">
        <f>"363L00000X"</f>
        <v>363L00000X</v>
      </c>
      <c r="D18383" t="str">
        <f>"CAMPBELL                 STACY                    "</f>
        <v xml:space="preserve">CAMPBELL                 STACY                    </v>
      </c>
      <c r="E18383" t="str">
        <f>"SENATOBIA                 "</f>
        <v xml:space="preserve">SENATOBIA                 </v>
      </c>
      <c r="F18383" t="str">
        <f t="shared" si="450"/>
        <v>MS</v>
      </c>
    </row>
    <row r="18384" spans="1:6" x14ac:dyDescent="0.25">
      <c r="A18384" t="str">
        <f>"200018418"</f>
        <v>200018418</v>
      </c>
      <c r="B18384" t="str">
        <f>"1922067016"</f>
        <v>1922067016</v>
      </c>
      <c r="C18384" t="str">
        <f>"152W00000X"</f>
        <v>152W00000X</v>
      </c>
      <c r="D18384" t="str">
        <f>"PICAYUNE EYE CLINIC                               "</f>
        <v xml:space="preserve">PICAYUNE EYE CLINIC                               </v>
      </c>
      <c r="E18384" t="str">
        <f>"PICAYUNE                  "</f>
        <v xml:space="preserve">PICAYUNE                  </v>
      </c>
      <c r="F18384" t="str">
        <f t="shared" si="450"/>
        <v>MS</v>
      </c>
    </row>
    <row r="18385" spans="1:6" x14ac:dyDescent="0.25">
      <c r="A18385" t="str">
        <f>"200018427"</f>
        <v>200018427</v>
      </c>
      <c r="B18385" t="str">
        <f>"1720574361"</f>
        <v>1720574361</v>
      </c>
      <c r="C18385" t="str">
        <f>"363LF0000X"</f>
        <v>363LF0000X</v>
      </c>
      <c r="D18385" t="str">
        <f>"PENTON                   ALLYSON                  "</f>
        <v xml:space="preserve">PENTON                   ALLYSON                  </v>
      </c>
      <c r="E18385" t="str">
        <f>"FLOWOOD                   "</f>
        <v xml:space="preserve">FLOWOOD                   </v>
      </c>
      <c r="F18385" t="str">
        <f t="shared" si="450"/>
        <v>MS</v>
      </c>
    </row>
    <row r="18386" spans="1:6" x14ac:dyDescent="0.25">
      <c r="A18386" t="str">
        <f>"200018433"</f>
        <v>200018433</v>
      </c>
      <c r="B18386" t="str">
        <f>"1679297436"</f>
        <v>1679297436</v>
      </c>
      <c r="C18386" t="str">
        <f>"363LF0000X"</f>
        <v>363LF0000X</v>
      </c>
      <c r="D18386" t="str">
        <f>"PICKENS                  SHASTA                   "</f>
        <v xml:space="preserve">PICKENS                  SHASTA                   </v>
      </c>
      <c r="E18386" t="str">
        <f>"LAUREL                    "</f>
        <v xml:space="preserve">LAUREL                    </v>
      </c>
      <c r="F18386" t="str">
        <f t="shared" si="450"/>
        <v>MS</v>
      </c>
    </row>
    <row r="18387" spans="1:6" x14ac:dyDescent="0.25">
      <c r="A18387" t="str">
        <f>"200018436"</f>
        <v>200018436</v>
      </c>
      <c r="B18387" t="str">
        <f>"1740903681"</f>
        <v>1740903681</v>
      </c>
      <c r="C18387" t="str">
        <f>"363LF0000X"</f>
        <v>363LF0000X</v>
      </c>
      <c r="D18387" t="str">
        <f>"BLACK                    JESSIE                   "</f>
        <v xml:space="preserve">BLACK                    JESSIE                   </v>
      </c>
      <c r="E18387" t="str">
        <f>"LUCEDALE                  "</f>
        <v xml:space="preserve">LUCEDALE                  </v>
      </c>
      <c r="F18387" t="str">
        <f t="shared" si="450"/>
        <v>MS</v>
      </c>
    </row>
    <row r="18388" spans="1:6" x14ac:dyDescent="0.25">
      <c r="A18388" t="str">
        <f>"200018443"</f>
        <v>200018443</v>
      </c>
      <c r="B18388" t="str">
        <f>"1881495661"</f>
        <v>1881495661</v>
      </c>
      <c r="C18388" t="str">
        <f>"363L00000X"</f>
        <v>363L00000X</v>
      </c>
      <c r="D18388" t="str">
        <f>"YU                       JOHN                     "</f>
        <v xml:space="preserve">YU                       JOHN                     </v>
      </c>
      <c r="E18388" t="str">
        <f>"FLOWOOD                   "</f>
        <v xml:space="preserve">FLOWOOD                   </v>
      </c>
      <c r="F18388" t="str">
        <f t="shared" si="450"/>
        <v>MS</v>
      </c>
    </row>
    <row r="18389" spans="1:6" x14ac:dyDescent="0.25">
      <c r="A18389" t="str">
        <f>"200018444"</f>
        <v>200018444</v>
      </c>
      <c r="B18389" t="str">
        <f>"1558341073"</f>
        <v>1558341073</v>
      </c>
      <c r="C18389" t="str">
        <f>"2085R0202X"</f>
        <v>2085R0202X</v>
      </c>
      <c r="D18389" t="str">
        <f>"GIUDICI                  MARIO                    "</f>
        <v xml:space="preserve">GIUDICI                  MARIO                    </v>
      </c>
      <c r="E18389" t="str">
        <f>"MERIDIAN                  "</f>
        <v xml:space="preserve">MERIDIAN                  </v>
      </c>
      <c r="F18389" t="str">
        <f t="shared" si="450"/>
        <v>MS</v>
      </c>
    </row>
    <row r="18390" spans="1:6" x14ac:dyDescent="0.25">
      <c r="A18390" t="str">
        <f>"200018446"</f>
        <v>200018446</v>
      </c>
      <c r="B18390" t="str">
        <f>"1114329638"</f>
        <v>1114329638</v>
      </c>
      <c r="C18390" t="str">
        <f>"367500000X"</f>
        <v>367500000X</v>
      </c>
      <c r="D18390" t="str">
        <f>"WHITE                    JASON                    "</f>
        <v xml:space="preserve">WHITE                    JASON                    </v>
      </c>
      <c r="E18390" t="str">
        <f>"OXFORD                    "</f>
        <v xml:space="preserve">OXFORD                    </v>
      </c>
      <c r="F18390" t="str">
        <f t="shared" si="450"/>
        <v>MS</v>
      </c>
    </row>
    <row r="18391" spans="1:6" x14ac:dyDescent="0.25">
      <c r="A18391" t="str">
        <f>"200018448"</f>
        <v>200018448</v>
      </c>
      <c r="B18391" t="str">
        <f>"1669208682"</f>
        <v>1669208682</v>
      </c>
      <c r="C18391" t="str">
        <f>"363A00000X"</f>
        <v>363A00000X</v>
      </c>
      <c r="D18391" t="str">
        <f>"SMITH                    MADISON                  "</f>
        <v xml:space="preserve">SMITH                    MADISON                  </v>
      </c>
      <c r="E18391" t="str">
        <f>"OCEAN SPRINGS             "</f>
        <v xml:space="preserve">OCEAN SPRINGS             </v>
      </c>
      <c r="F18391" t="str">
        <f t="shared" si="450"/>
        <v>MS</v>
      </c>
    </row>
    <row r="18392" spans="1:6" x14ac:dyDescent="0.25">
      <c r="A18392" t="str">
        <f>"200018456"</f>
        <v>200018456</v>
      </c>
      <c r="B18392" t="str">
        <f>"1477057370"</f>
        <v>1477057370</v>
      </c>
      <c r="C18392" t="str">
        <f>"363LF0000X"</f>
        <v>363LF0000X</v>
      </c>
      <c r="D18392" t="str">
        <f>"FOWLER                   MELISSA                  "</f>
        <v xml:space="preserve">FOWLER                   MELISSA                  </v>
      </c>
      <c r="E18392" t="str">
        <f>"FLOWOOD                   "</f>
        <v xml:space="preserve">FLOWOOD                   </v>
      </c>
      <c r="F18392" t="str">
        <f t="shared" si="450"/>
        <v>MS</v>
      </c>
    </row>
    <row r="18393" spans="1:6" x14ac:dyDescent="0.25">
      <c r="A18393" t="str">
        <f>"200018457"</f>
        <v>200018457</v>
      </c>
      <c r="B18393" t="str">
        <f>"1255895017"</f>
        <v>1255895017</v>
      </c>
      <c r="C18393" t="str">
        <f>"363A00000X"</f>
        <v>363A00000X</v>
      </c>
      <c r="D18393" t="str">
        <f>"MANSFIELD                VICTORIA     C           "</f>
        <v xml:space="preserve">MANSFIELD                VICTORIA     C           </v>
      </c>
      <c r="E18393" t="str">
        <f>"SOUTHAVEN                 "</f>
        <v xml:space="preserve">SOUTHAVEN                 </v>
      </c>
      <c r="F18393" t="str">
        <f t="shared" si="450"/>
        <v>MS</v>
      </c>
    </row>
    <row r="18394" spans="1:6" x14ac:dyDescent="0.25">
      <c r="A18394" t="str">
        <f>"200018458"</f>
        <v>200018458</v>
      </c>
      <c r="B18394" t="str">
        <f>"1689915175"</f>
        <v>1689915175</v>
      </c>
      <c r="C18394" t="str">
        <f>"363LA2200X"</f>
        <v>363LA2200X</v>
      </c>
      <c r="D18394" t="str">
        <f>"HEWLETT                  TERESA                   "</f>
        <v xml:space="preserve">HEWLETT                  TERESA                   </v>
      </c>
      <c r="E18394" t="str">
        <f>"OXFORD                    "</f>
        <v xml:space="preserve">OXFORD                    </v>
      </c>
      <c r="F18394" t="str">
        <f t="shared" si="450"/>
        <v>MS</v>
      </c>
    </row>
    <row r="18395" spans="1:6" x14ac:dyDescent="0.25">
      <c r="A18395" t="str">
        <f>"200018466"</f>
        <v>200018466</v>
      </c>
      <c r="B18395" t="str">
        <f>"1417481896"</f>
        <v>1417481896</v>
      </c>
      <c r="C18395" t="str">
        <f>"207R00000X"</f>
        <v>207R00000X</v>
      </c>
      <c r="D18395" t="str">
        <f>"JETER                    TEE                      "</f>
        <v xml:space="preserve">JETER                    TEE                      </v>
      </c>
      <c r="E18395" t="str">
        <f>"HATTIESBURG               "</f>
        <v xml:space="preserve">HATTIESBURG               </v>
      </c>
      <c r="F18395" t="str">
        <f t="shared" si="450"/>
        <v>MS</v>
      </c>
    </row>
    <row r="18396" spans="1:6" x14ac:dyDescent="0.25">
      <c r="A18396" t="str">
        <f>"200018470"</f>
        <v>200018470</v>
      </c>
      <c r="B18396" t="str">
        <f>"1710141502"</f>
        <v>1710141502</v>
      </c>
      <c r="C18396" t="str">
        <f>"2084N0400X"</f>
        <v>2084N0400X</v>
      </c>
      <c r="D18396" t="str">
        <f>"HOCKER                   SARA                     "</f>
        <v xml:space="preserve">HOCKER                   SARA                     </v>
      </c>
      <c r="E18396" t="str">
        <f>"TUPELO                    "</f>
        <v xml:space="preserve">TUPELO                    </v>
      </c>
      <c r="F18396" t="str">
        <f t="shared" si="450"/>
        <v>MS</v>
      </c>
    </row>
    <row r="18397" spans="1:6" x14ac:dyDescent="0.25">
      <c r="A18397" t="str">
        <f>"200018478"</f>
        <v>200018478</v>
      </c>
      <c r="B18397" t="str">
        <f>"1871215970"</f>
        <v>1871215970</v>
      </c>
      <c r="C18397" t="str">
        <f>"363LF0000X"</f>
        <v>363LF0000X</v>
      </c>
      <c r="D18397" t="str">
        <f>"CARLTON                  FEDERICK                 "</f>
        <v xml:space="preserve">CARLTON                  FEDERICK                 </v>
      </c>
      <c r="E18397" t="str">
        <f>"OXFORD                    "</f>
        <v xml:space="preserve">OXFORD                    </v>
      </c>
      <c r="F18397" t="str">
        <f t="shared" si="450"/>
        <v>MS</v>
      </c>
    </row>
    <row r="18398" spans="1:6" x14ac:dyDescent="0.25">
      <c r="A18398" t="str">
        <f>"200018495"</f>
        <v>200018495</v>
      </c>
      <c r="B18398" t="str">
        <f>"1194753962"</f>
        <v>1194753962</v>
      </c>
      <c r="C18398" t="str">
        <f>"363LP0808X"</f>
        <v>363LP0808X</v>
      </c>
      <c r="D18398" t="str">
        <f>"DAVIS                    SHARON                   "</f>
        <v xml:space="preserve">DAVIS                    SHARON                   </v>
      </c>
      <c r="E18398" t="str">
        <f>"MERIDIAN                  "</f>
        <v xml:space="preserve">MERIDIAN                  </v>
      </c>
      <c r="F18398" t="str">
        <f t="shared" si="450"/>
        <v>MS</v>
      </c>
    </row>
    <row r="18399" spans="1:6" x14ac:dyDescent="0.25">
      <c r="A18399" t="str">
        <f>"200018496"</f>
        <v>200018496</v>
      </c>
      <c r="B18399" t="str">
        <f>"1396582508"</f>
        <v>1396582508</v>
      </c>
      <c r="C18399" t="str">
        <f>"363LP2300X"</f>
        <v>363LP2300X</v>
      </c>
      <c r="D18399" t="str">
        <f>"VANSTORY                 ERIN         D           "</f>
        <v xml:space="preserve">VANSTORY                 ERIN         D           </v>
      </c>
      <c r="E18399" t="str">
        <f>"OLIVE BRANCH              "</f>
        <v xml:space="preserve">OLIVE BRANCH              </v>
      </c>
      <c r="F18399" t="str">
        <f t="shared" si="450"/>
        <v>MS</v>
      </c>
    </row>
    <row r="18400" spans="1:6" x14ac:dyDescent="0.25">
      <c r="A18400" t="str">
        <f>"200018497"</f>
        <v>200018497</v>
      </c>
      <c r="B18400" t="str">
        <f>"1225894264"</f>
        <v>1225894264</v>
      </c>
      <c r="C18400" t="str">
        <f>"363LA2100X"</f>
        <v>363LA2100X</v>
      </c>
      <c r="D18400" t="str">
        <f>"ADCOCK                   WILLIAM      A           "</f>
        <v xml:space="preserve">ADCOCK                   WILLIAM      A           </v>
      </c>
      <c r="E18400" t="str">
        <f>"HATTIESBURG               "</f>
        <v xml:space="preserve">HATTIESBURG               </v>
      </c>
      <c r="F18400" t="str">
        <f t="shared" si="450"/>
        <v>MS</v>
      </c>
    </row>
    <row r="18401" spans="1:6" x14ac:dyDescent="0.25">
      <c r="A18401" t="str">
        <f>"200018499"</f>
        <v>200018499</v>
      </c>
      <c r="B18401" t="str">
        <f>"1558332569"</f>
        <v>1558332569</v>
      </c>
      <c r="C18401" t="str">
        <f>"2084P0800X"</f>
        <v>2084P0800X</v>
      </c>
      <c r="D18401" t="str">
        <f>"YALAMANCHILI             SHANKAR                  "</f>
        <v xml:space="preserve">YALAMANCHILI             SHANKAR                  </v>
      </c>
      <c r="E18401" t="str">
        <f>"MARKS                     "</f>
        <v xml:space="preserve">MARKS                     </v>
      </c>
      <c r="F18401" t="str">
        <f t="shared" si="450"/>
        <v>MS</v>
      </c>
    </row>
    <row r="18402" spans="1:6" x14ac:dyDescent="0.25">
      <c r="A18402" t="str">
        <f>"200018505"</f>
        <v>200018505</v>
      </c>
      <c r="B18402" t="str">
        <f>"1134589930"</f>
        <v>1134589930</v>
      </c>
      <c r="C18402" t="str">
        <f>"363LG0600X"</f>
        <v>363LG0600X</v>
      </c>
      <c r="D18402" t="str">
        <f>"CAUTHEN                  REBECCA      L           "</f>
        <v xml:space="preserve">CAUTHEN                  REBECCA      L           </v>
      </c>
      <c r="E18402" t="str">
        <f>"VICKSBURG                 "</f>
        <v xml:space="preserve">VICKSBURG                 </v>
      </c>
      <c r="F18402" t="str">
        <f t="shared" si="450"/>
        <v>MS</v>
      </c>
    </row>
    <row r="18403" spans="1:6" x14ac:dyDescent="0.25">
      <c r="A18403" t="str">
        <f>"200018507"</f>
        <v>200018507</v>
      </c>
      <c r="B18403" t="str">
        <f>"1083787253"</f>
        <v>1083787253</v>
      </c>
      <c r="C18403" t="str">
        <f>"207RN0300X"</f>
        <v>207RN0300X</v>
      </c>
      <c r="D18403" t="str">
        <f>"KHALID                   SYED                     "</f>
        <v xml:space="preserve">KHALID                   SYED                     </v>
      </c>
      <c r="E18403" t="str">
        <f>"CANTON                    "</f>
        <v xml:space="preserve">CANTON                    </v>
      </c>
      <c r="F18403" t="str">
        <f t="shared" si="450"/>
        <v>MS</v>
      </c>
    </row>
    <row r="18404" spans="1:6" x14ac:dyDescent="0.25">
      <c r="A18404" t="str">
        <f>"200018509"</f>
        <v>200018509</v>
      </c>
      <c r="B18404" t="str">
        <f>"1760296966"</f>
        <v>1760296966</v>
      </c>
      <c r="C18404" t="str">
        <f>"363LF0000X"</f>
        <v>363LF0000X</v>
      </c>
      <c r="D18404" t="str">
        <f>"RIGGS                    ASHLEY       T           "</f>
        <v xml:space="preserve">RIGGS                    ASHLEY       T           </v>
      </c>
      <c r="E18404" t="str">
        <f>"VICKSBURG                 "</f>
        <v xml:space="preserve">VICKSBURG                 </v>
      </c>
      <c r="F18404" t="str">
        <f t="shared" si="450"/>
        <v>MS</v>
      </c>
    </row>
    <row r="18405" spans="1:6" x14ac:dyDescent="0.25">
      <c r="A18405" t="str">
        <f>"200018513"</f>
        <v>200018513</v>
      </c>
      <c r="B18405" t="str">
        <f>"1184122020"</f>
        <v>1184122020</v>
      </c>
      <c r="C18405" t="str">
        <f>"363LF0000X"</f>
        <v>363LF0000X</v>
      </c>
      <c r="D18405" t="str">
        <f>"BAYLOR                   SARA                     "</f>
        <v xml:space="preserve">BAYLOR                   SARA                     </v>
      </c>
      <c r="E18405" t="str">
        <f>"GULFPORT                  "</f>
        <v xml:space="preserve">GULFPORT                  </v>
      </c>
      <c r="F18405" t="str">
        <f t="shared" si="450"/>
        <v>MS</v>
      </c>
    </row>
    <row r="18406" spans="1:6" x14ac:dyDescent="0.25">
      <c r="A18406" t="str">
        <f>"200018517"</f>
        <v>200018517</v>
      </c>
      <c r="B18406" t="str">
        <f>"1972332864"</f>
        <v>1972332864</v>
      </c>
      <c r="C18406" t="str">
        <f>"363A00000X"</f>
        <v>363A00000X</v>
      </c>
      <c r="D18406" t="str">
        <f>"BRASWELL                 ELIZABETH                "</f>
        <v xml:space="preserve">BRASWELL                 ELIZABETH                </v>
      </c>
      <c r="E18406" t="str">
        <f>"OXFORD                    "</f>
        <v xml:space="preserve">OXFORD                    </v>
      </c>
      <c r="F18406" t="str">
        <f t="shared" si="450"/>
        <v>MS</v>
      </c>
    </row>
    <row r="18407" spans="1:6" x14ac:dyDescent="0.25">
      <c r="A18407" t="str">
        <f>"200018556"</f>
        <v>200018556</v>
      </c>
      <c r="B18407" t="str">
        <f>"1184281495"</f>
        <v>1184281495</v>
      </c>
      <c r="C18407" t="str">
        <f>"207RI0200X"</f>
        <v>207RI0200X</v>
      </c>
      <c r="D18407" t="str">
        <f>"DASIGI                   JAY                      "</f>
        <v xml:space="preserve">DASIGI                   JAY                      </v>
      </c>
      <c r="E18407" t="str">
        <f>"MERIDIAN                  "</f>
        <v xml:space="preserve">MERIDIAN                  </v>
      </c>
      <c r="F18407" t="str">
        <f t="shared" si="450"/>
        <v>MS</v>
      </c>
    </row>
    <row r="18408" spans="1:6" x14ac:dyDescent="0.25">
      <c r="A18408" t="str">
        <f>"200018560"</f>
        <v>200018560</v>
      </c>
      <c r="B18408" t="str">
        <f>"1285841916"</f>
        <v>1285841916</v>
      </c>
      <c r="C18408" t="str">
        <f>"2085R0202X"</f>
        <v>2085R0202X</v>
      </c>
      <c r="D18408" t="str">
        <f>"ARMSTRONG                LINDA                    "</f>
        <v xml:space="preserve">ARMSTRONG                LINDA                    </v>
      </c>
      <c r="E18408" t="str">
        <f>"HATTIESBURG               "</f>
        <v xml:space="preserve">HATTIESBURG               </v>
      </c>
      <c r="F18408" t="str">
        <f t="shared" si="450"/>
        <v>MS</v>
      </c>
    </row>
    <row r="18409" spans="1:6" x14ac:dyDescent="0.25">
      <c r="A18409" t="str">
        <f>"200018563"</f>
        <v>200018563</v>
      </c>
      <c r="B18409" t="str">
        <f>"1154538957"</f>
        <v>1154538957</v>
      </c>
      <c r="C18409" t="str">
        <f>"207P00000X"</f>
        <v>207P00000X</v>
      </c>
      <c r="D18409" t="str">
        <f>"MARMON                   JULIE                    "</f>
        <v xml:space="preserve">MARMON                   JULIE                    </v>
      </c>
      <c r="E18409" t="str">
        <f>"OCEAN SPRINGS             "</f>
        <v xml:space="preserve">OCEAN SPRINGS             </v>
      </c>
      <c r="F18409" t="str">
        <f t="shared" si="450"/>
        <v>MS</v>
      </c>
    </row>
    <row r="18410" spans="1:6" x14ac:dyDescent="0.25">
      <c r="A18410" t="str">
        <f>"200018564"</f>
        <v>200018564</v>
      </c>
      <c r="B18410" t="str">
        <f>"1588417166"</f>
        <v>1588417166</v>
      </c>
      <c r="C18410" t="str">
        <f>"207Q00000X"</f>
        <v>207Q00000X</v>
      </c>
      <c r="D18410" t="str">
        <f>"KAMAL                    MIDHAT                   "</f>
        <v xml:space="preserve">KAMAL                    MIDHAT                   </v>
      </c>
      <c r="E18410" t="str">
        <f>"GREENVILLE                "</f>
        <v xml:space="preserve">GREENVILLE                </v>
      </c>
      <c r="F18410" t="str">
        <f t="shared" si="450"/>
        <v>MS</v>
      </c>
    </row>
    <row r="18411" spans="1:6" x14ac:dyDescent="0.25">
      <c r="A18411" t="str">
        <f>"200018584"</f>
        <v>200018584</v>
      </c>
      <c r="B18411" t="str">
        <f>"1841047271"</f>
        <v>1841047271</v>
      </c>
      <c r="C18411" t="str">
        <f>"363LP0808X"</f>
        <v>363LP0808X</v>
      </c>
      <c r="D18411" t="str">
        <f>"CHANCELLOR               JEFFERY                  "</f>
        <v xml:space="preserve">CHANCELLOR               JEFFERY                  </v>
      </c>
      <c r="E18411" t="str">
        <f>"MERIDIAN                  "</f>
        <v xml:space="preserve">MERIDIAN                  </v>
      </c>
      <c r="F18411" t="str">
        <f t="shared" si="450"/>
        <v>MS</v>
      </c>
    </row>
    <row r="18412" spans="1:6" x14ac:dyDescent="0.25">
      <c r="A18412" t="str">
        <f>"200018585"</f>
        <v>200018585</v>
      </c>
      <c r="B18412" t="str">
        <f>"1033924550"</f>
        <v>1033924550</v>
      </c>
      <c r="C18412" t="str">
        <f>"363LF0000X"</f>
        <v>363LF0000X</v>
      </c>
      <c r="D18412" t="str">
        <f>"SCHWEIGART               KIMBERLY                 "</f>
        <v xml:space="preserve">SCHWEIGART               KIMBERLY                 </v>
      </c>
      <c r="E18412" t="str">
        <f>"OXFORD                    "</f>
        <v xml:space="preserve">OXFORD                    </v>
      </c>
      <c r="F18412" t="str">
        <f t="shared" si="450"/>
        <v>MS</v>
      </c>
    </row>
    <row r="18413" spans="1:6" x14ac:dyDescent="0.25">
      <c r="A18413" t="str">
        <f>"200018586"</f>
        <v>200018586</v>
      </c>
      <c r="B18413" t="str">
        <f>"1538770409"</f>
        <v>1538770409</v>
      </c>
      <c r="C18413" t="str">
        <f>"363LP0808X"</f>
        <v>363LP0808X</v>
      </c>
      <c r="D18413" t="str">
        <f>"BURROUGHS                EMILY                    "</f>
        <v xml:space="preserve">BURROUGHS                EMILY                    </v>
      </c>
      <c r="E18413" t="str">
        <f>"VICKSBURG                 "</f>
        <v xml:space="preserve">VICKSBURG                 </v>
      </c>
      <c r="F18413" t="str">
        <f t="shared" si="450"/>
        <v>MS</v>
      </c>
    </row>
    <row r="18414" spans="1:6" x14ac:dyDescent="0.25">
      <c r="A18414" t="str">
        <f>"200018587"</f>
        <v>200018587</v>
      </c>
      <c r="B18414" t="str">
        <f>"1831907690"</f>
        <v>1831907690</v>
      </c>
      <c r="C18414" t="str">
        <f>"363LF0000X"</f>
        <v>363LF0000X</v>
      </c>
      <c r="D18414" t="str">
        <f>"NEWELL                   JULIA        A           "</f>
        <v xml:space="preserve">NEWELL                   JULIA        A           </v>
      </c>
      <c r="E18414" t="str">
        <f>"JACKSON                   "</f>
        <v xml:space="preserve">JACKSON                   </v>
      </c>
      <c r="F18414" t="str">
        <f t="shared" si="450"/>
        <v>MS</v>
      </c>
    </row>
    <row r="18415" spans="1:6" x14ac:dyDescent="0.25">
      <c r="A18415" t="str">
        <f>"200018592"</f>
        <v>200018592</v>
      </c>
      <c r="B18415" t="str">
        <f>"1952113250"</f>
        <v>1952113250</v>
      </c>
      <c r="C18415" t="str">
        <f>"367500000X"</f>
        <v>367500000X</v>
      </c>
      <c r="D18415" t="str">
        <f>"BRUNEY                   LOVEL        A           "</f>
        <v xml:space="preserve">BRUNEY                   LOVEL        A           </v>
      </c>
      <c r="E18415" t="str">
        <f>"MCCOMB                    "</f>
        <v xml:space="preserve">MCCOMB                    </v>
      </c>
      <c r="F18415" t="str">
        <f t="shared" si="450"/>
        <v>MS</v>
      </c>
    </row>
    <row r="18416" spans="1:6" x14ac:dyDescent="0.25">
      <c r="A18416" t="str">
        <f>"200018593"</f>
        <v>200018593</v>
      </c>
      <c r="B18416" t="str">
        <f>"1447216924"</f>
        <v>1447216924</v>
      </c>
      <c r="C18416" t="str">
        <f>"2085R0202X"</f>
        <v>2085R0202X</v>
      </c>
      <c r="D18416" t="str">
        <f>"MANGANO                  ANTHONY                  "</f>
        <v xml:space="preserve">MANGANO                  ANTHONY                  </v>
      </c>
      <c r="E18416" t="str">
        <f>"GULFPORT                  "</f>
        <v xml:space="preserve">GULFPORT                  </v>
      </c>
      <c r="F18416" t="str">
        <f t="shared" si="450"/>
        <v>MS</v>
      </c>
    </row>
    <row r="18417" spans="1:6" x14ac:dyDescent="0.25">
      <c r="A18417" t="str">
        <f>"200018594"</f>
        <v>200018594</v>
      </c>
      <c r="B18417" t="str">
        <f>"1144698994"</f>
        <v>1144698994</v>
      </c>
      <c r="C18417" t="str">
        <f>"367500000X"</f>
        <v>367500000X</v>
      </c>
      <c r="D18417" t="str">
        <f>"BALOF                    AMANDA                   "</f>
        <v xml:space="preserve">BALOF                    AMANDA                   </v>
      </c>
      <c r="E18417" t="str">
        <f>"NEW ALBANY                "</f>
        <v xml:space="preserve">NEW ALBANY                </v>
      </c>
      <c r="F18417" t="str">
        <f t="shared" si="450"/>
        <v>MS</v>
      </c>
    </row>
    <row r="18418" spans="1:6" x14ac:dyDescent="0.25">
      <c r="A18418" t="str">
        <f>"200018595"</f>
        <v>200018595</v>
      </c>
      <c r="B18418" t="str">
        <f>"1740024280"</f>
        <v>1740024280</v>
      </c>
      <c r="C18418" t="str">
        <f>"363L00000X"</f>
        <v>363L00000X</v>
      </c>
      <c r="D18418" t="str">
        <f>"BANKS                    DENETRIUS                "</f>
        <v xml:space="preserve">BANKS                    DENETRIUS                </v>
      </c>
      <c r="E18418" t="str">
        <f>"GREENVILLE                "</f>
        <v xml:space="preserve">GREENVILLE                </v>
      </c>
      <c r="F18418" t="str">
        <f t="shared" si="450"/>
        <v>MS</v>
      </c>
    </row>
    <row r="18419" spans="1:6" x14ac:dyDescent="0.25">
      <c r="A18419" t="str">
        <f>"200018597"</f>
        <v>200018597</v>
      </c>
      <c r="B18419" t="str">
        <f>"1336859149"</f>
        <v>1336859149</v>
      </c>
      <c r="C18419" t="str">
        <f>"261QM1300X"</f>
        <v>261QM1300X</v>
      </c>
      <c r="D18419" t="str">
        <f>"INSPIRING GROWTH COUNSELING SERVICES, LLC         "</f>
        <v xml:space="preserve">INSPIRING GROWTH COUNSELING SERVICES, LLC         </v>
      </c>
      <c r="E18419" t="str">
        <f>"BYRAM                     "</f>
        <v xml:space="preserve">BYRAM                     </v>
      </c>
      <c r="F18419" t="str">
        <f t="shared" si="450"/>
        <v>MS</v>
      </c>
    </row>
    <row r="18420" spans="1:6" x14ac:dyDescent="0.25">
      <c r="A18420" t="str">
        <f>"200018598"</f>
        <v>200018598</v>
      </c>
      <c r="B18420" t="str">
        <f>"1386877561"</f>
        <v>1386877561</v>
      </c>
      <c r="C18420" t="str">
        <f>"363L00000X"</f>
        <v>363L00000X</v>
      </c>
      <c r="D18420" t="str">
        <f>"BAILEY                   ALLISON                  "</f>
        <v xml:space="preserve">BAILEY                   ALLISON                  </v>
      </c>
      <c r="E18420" t="str">
        <f>"NEW ALBANY                "</f>
        <v xml:space="preserve">NEW ALBANY                </v>
      </c>
      <c r="F18420" t="str">
        <f t="shared" si="450"/>
        <v>MS</v>
      </c>
    </row>
    <row r="18421" spans="1:6" x14ac:dyDescent="0.25">
      <c r="A18421" t="str">
        <f>"200018599"</f>
        <v>200018599</v>
      </c>
      <c r="B18421" t="str">
        <f>"1043294432"</f>
        <v>1043294432</v>
      </c>
      <c r="C18421" t="str">
        <f>"208G00000X"</f>
        <v>208G00000X</v>
      </c>
      <c r="D18421" t="str">
        <f>"DE DELVA                 PIERRE                   "</f>
        <v xml:space="preserve">DE DELVA                 PIERRE                   </v>
      </c>
      <c r="E18421" t="str">
        <f>"JACKSON                   "</f>
        <v xml:space="preserve">JACKSON                   </v>
      </c>
      <c r="F18421" t="str">
        <f t="shared" si="450"/>
        <v>MS</v>
      </c>
    </row>
    <row r="18422" spans="1:6" x14ac:dyDescent="0.25">
      <c r="A18422" t="str">
        <f>"200018601"</f>
        <v>200018601</v>
      </c>
      <c r="B18422" t="str">
        <f>"1629089867"</f>
        <v>1629089867</v>
      </c>
      <c r="C18422" t="str">
        <f>"1223X0400X"</f>
        <v>1223X0400X</v>
      </c>
      <c r="D18422" t="str">
        <f>"YETTER                   NATHAN                   "</f>
        <v xml:space="preserve">YETTER                   NATHAN                   </v>
      </c>
      <c r="E18422" t="str">
        <f>"MERIDIAN                  "</f>
        <v xml:space="preserve">MERIDIAN                  </v>
      </c>
      <c r="F18422" t="str">
        <f t="shared" si="450"/>
        <v>MS</v>
      </c>
    </row>
    <row r="18423" spans="1:6" x14ac:dyDescent="0.25">
      <c r="A18423" t="str">
        <f>"200018602"</f>
        <v>200018602</v>
      </c>
      <c r="B18423" t="str">
        <f>"1821292046"</f>
        <v>1821292046</v>
      </c>
      <c r="C18423" t="str">
        <f>"363LF0000X"</f>
        <v>363LF0000X</v>
      </c>
      <c r="D18423" t="str">
        <f>"FUNKHOUSER               JOHN                     "</f>
        <v xml:space="preserve">FUNKHOUSER               JOHN                     </v>
      </c>
      <c r="E18423" t="str">
        <f>"GLUCKSTADT                "</f>
        <v xml:space="preserve">GLUCKSTADT                </v>
      </c>
      <c r="F18423" t="str">
        <f t="shared" si="450"/>
        <v>MS</v>
      </c>
    </row>
    <row r="18424" spans="1:6" x14ac:dyDescent="0.25">
      <c r="A18424" t="str">
        <f>"200018611"</f>
        <v>200018611</v>
      </c>
      <c r="B18424" t="str">
        <f>"1770854481"</f>
        <v>1770854481</v>
      </c>
      <c r="C18424" t="str">
        <f>"363LF0000X"</f>
        <v>363LF0000X</v>
      </c>
      <c r="D18424" t="str">
        <f>"MENSI                    TIFFANY                  "</f>
        <v xml:space="preserve">MENSI                    TIFFANY                  </v>
      </c>
      <c r="E18424" t="str">
        <f>"FLOWOOD                   "</f>
        <v xml:space="preserve">FLOWOOD                   </v>
      </c>
      <c r="F18424" t="str">
        <f t="shared" si="450"/>
        <v>MS</v>
      </c>
    </row>
    <row r="18425" spans="1:6" x14ac:dyDescent="0.25">
      <c r="A18425" t="str">
        <f>"200018616"</f>
        <v>200018616</v>
      </c>
      <c r="B18425" t="str">
        <f>"1962447045"</f>
        <v>1962447045</v>
      </c>
      <c r="C18425" t="str">
        <f>"363LF0000X"</f>
        <v>363LF0000X</v>
      </c>
      <c r="D18425" t="str">
        <f>"MCKAY                    KELISIA      B           "</f>
        <v xml:space="preserve">MCKAY                    KELISIA      B           </v>
      </c>
      <c r="E18425" t="str">
        <f>"PICAYUNE                  "</f>
        <v xml:space="preserve">PICAYUNE                  </v>
      </c>
      <c r="F18425" t="str">
        <f t="shared" si="450"/>
        <v>MS</v>
      </c>
    </row>
    <row r="18426" spans="1:6" x14ac:dyDescent="0.25">
      <c r="A18426" t="str">
        <f>"200018622"</f>
        <v>200018622</v>
      </c>
      <c r="B18426" t="str">
        <f>"1003261363"</f>
        <v>1003261363</v>
      </c>
      <c r="C18426" t="str">
        <f>"363L00000X"</f>
        <v>363L00000X</v>
      </c>
      <c r="D18426" t="str">
        <f>"BLACKMON                 TIERRA                   "</f>
        <v xml:space="preserve">BLACKMON                 TIERRA                   </v>
      </c>
      <c r="E18426" t="str">
        <f>"JACKSON                   "</f>
        <v xml:space="preserve">JACKSON                   </v>
      </c>
      <c r="F18426" t="str">
        <f t="shared" si="450"/>
        <v>MS</v>
      </c>
    </row>
    <row r="18427" spans="1:6" x14ac:dyDescent="0.25">
      <c r="A18427" t="str">
        <f>"200018630"</f>
        <v>200018630</v>
      </c>
      <c r="B18427" t="str">
        <f>"1366654162"</f>
        <v>1366654162</v>
      </c>
      <c r="C18427" t="str">
        <f>"2085R0202X"</f>
        <v>2085R0202X</v>
      </c>
      <c r="D18427" t="str">
        <f>"HAYS                     JOHNATHAN                "</f>
        <v xml:space="preserve">HAYS                     JOHNATHAN                </v>
      </c>
      <c r="E18427" t="str">
        <f>"MERIDIAN                  "</f>
        <v xml:space="preserve">MERIDIAN                  </v>
      </c>
      <c r="F18427" t="str">
        <f t="shared" si="450"/>
        <v>MS</v>
      </c>
    </row>
    <row r="18428" spans="1:6" x14ac:dyDescent="0.25">
      <c r="A18428" t="str">
        <f>"200018632"</f>
        <v>200018632</v>
      </c>
      <c r="B18428" t="str">
        <f>"1538736681"</f>
        <v>1538736681</v>
      </c>
      <c r="C18428" t="str">
        <f>"1223G0001X"</f>
        <v>1223G0001X</v>
      </c>
      <c r="D18428" t="str">
        <f>"COFFEY                   HAYDEN                   "</f>
        <v xml:space="preserve">COFFEY                   HAYDEN                   </v>
      </c>
      <c r="E18428" t="str">
        <f>"PEARL                     "</f>
        <v xml:space="preserve">PEARL                     </v>
      </c>
      <c r="F18428" t="str">
        <f t="shared" si="450"/>
        <v>MS</v>
      </c>
    </row>
    <row r="18429" spans="1:6" x14ac:dyDescent="0.25">
      <c r="A18429" t="str">
        <f>"200018633"</f>
        <v>200018633</v>
      </c>
      <c r="B18429" t="str">
        <f>"1780248674"</f>
        <v>1780248674</v>
      </c>
      <c r="C18429" t="str">
        <f>"2084N0400X"</f>
        <v>2084N0400X</v>
      </c>
      <c r="D18429" t="str">
        <f>"ALTARAZI                 KHOLOUD                  "</f>
        <v xml:space="preserve">ALTARAZI                 KHOLOUD                  </v>
      </c>
      <c r="E18429" t="str">
        <f>"FLOWOOD                   "</f>
        <v xml:space="preserve">FLOWOOD                   </v>
      </c>
      <c r="F18429" t="str">
        <f t="shared" si="450"/>
        <v>MS</v>
      </c>
    </row>
    <row r="18430" spans="1:6" x14ac:dyDescent="0.25">
      <c r="A18430" t="str">
        <f>"200018634"</f>
        <v>200018634</v>
      </c>
      <c r="B18430" t="str">
        <f>"1538762067"</f>
        <v>1538762067</v>
      </c>
      <c r="C18430" t="str">
        <f>"363LF0000X"</f>
        <v>363LF0000X</v>
      </c>
      <c r="D18430" t="str">
        <f>"MORELAND                 COURTNEY                 "</f>
        <v xml:space="preserve">MORELAND                 COURTNEY                 </v>
      </c>
      <c r="E18430" t="str">
        <f>"TUPELO                    "</f>
        <v xml:space="preserve">TUPELO                    </v>
      </c>
      <c r="F18430" t="str">
        <f t="shared" ref="F18430:F18493" si="451">"MS"</f>
        <v>MS</v>
      </c>
    </row>
    <row r="18431" spans="1:6" x14ac:dyDescent="0.25">
      <c r="A18431" t="str">
        <f>"200018638"</f>
        <v>200018638</v>
      </c>
      <c r="B18431" t="str">
        <f>"1942938485"</f>
        <v>1942938485</v>
      </c>
      <c r="C18431" t="str">
        <f>"363LF0000X"</f>
        <v>363LF0000X</v>
      </c>
      <c r="D18431" t="str">
        <f>"MORGENSTERN              LEXI                     "</f>
        <v xml:space="preserve">MORGENSTERN              LEXI                     </v>
      </c>
      <c r="E18431" t="str">
        <f>"FLOWOOD                   "</f>
        <v xml:space="preserve">FLOWOOD                   </v>
      </c>
      <c r="F18431" t="str">
        <f t="shared" si="451"/>
        <v>MS</v>
      </c>
    </row>
    <row r="18432" spans="1:6" x14ac:dyDescent="0.25">
      <c r="A18432" t="str">
        <f>"200018651"</f>
        <v>200018651</v>
      </c>
      <c r="B18432" t="str">
        <f>"1902116064"</f>
        <v>1902116064</v>
      </c>
      <c r="C18432" t="str">
        <f>"363LF0000X"</f>
        <v>363LF0000X</v>
      </c>
      <c r="D18432" t="str">
        <f>"MOFFETT                  SHELLIE                  "</f>
        <v xml:space="preserve">MOFFETT                  SHELLIE                  </v>
      </c>
      <c r="E18432" t="str">
        <f>"ABERDEEN                  "</f>
        <v xml:space="preserve">ABERDEEN                  </v>
      </c>
      <c r="F18432" t="str">
        <f t="shared" si="451"/>
        <v>MS</v>
      </c>
    </row>
    <row r="18433" spans="1:6" x14ac:dyDescent="0.25">
      <c r="A18433" t="str">
        <f>"200018652"</f>
        <v>200018652</v>
      </c>
      <c r="B18433" t="str">
        <f>"1073390399"</f>
        <v>1073390399</v>
      </c>
      <c r="C18433" t="str">
        <f>"261QM3000X"</f>
        <v>261QM3000X</v>
      </c>
      <c r="D18433" t="str">
        <f>"KIDS KASTLE LLC                                   "</f>
        <v xml:space="preserve">KIDS KASTLE LLC                                   </v>
      </c>
      <c r="E18433" t="str">
        <f>"JACKSON                   "</f>
        <v xml:space="preserve">JACKSON                   </v>
      </c>
      <c r="F18433" t="str">
        <f t="shared" si="451"/>
        <v>MS</v>
      </c>
    </row>
    <row r="18434" spans="1:6" x14ac:dyDescent="0.25">
      <c r="A18434" t="str">
        <f>"200018654"</f>
        <v>200018654</v>
      </c>
      <c r="B18434" t="str">
        <f>"1386489201"</f>
        <v>1386489201</v>
      </c>
      <c r="C18434" t="str">
        <f>"363LP0808X"</f>
        <v>363LP0808X</v>
      </c>
      <c r="D18434" t="str">
        <f>"OLSON                    JUDITH                   "</f>
        <v xml:space="preserve">OLSON                    JUDITH                   </v>
      </c>
      <c r="E18434" t="str">
        <f>"LONG BEACH                "</f>
        <v xml:space="preserve">LONG BEACH                </v>
      </c>
      <c r="F18434" t="str">
        <f t="shared" si="451"/>
        <v>MS</v>
      </c>
    </row>
    <row r="18435" spans="1:6" x14ac:dyDescent="0.25">
      <c r="A18435" t="str">
        <f>"200018655"</f>
        <v>200018655</v>
      </c>
      <c r="B18435" t="str">
        <f>"1114759792"</f>
        <v>1114759792</v>
      </c>
      <c r="C18435" t="str">
        <f>"363A00000X"</f>
        <v>363A00000X</v>
      </c>
      <c r="D18435" t="str">
        <f>"CORALES                  NATALIA                  "</f>
        <v xml:space="preserve">CORALES                  NATALIA                  </v>
      </c>
      <c r="E18435" t="str">
        <f>"JACKSON                   "</f>
        <v xml:space="preserve">JACKSON                   </v>
      </c>
      <c r="F18435" t="str">
        <f t="shared" si="451"/>
        <v>MS</v>
      </c>
    </row>
    <row r="18436" spans="1:6" x14ac:dyDescent="0.25">
      <c r="A18436" t="str">
        <f>"200018658"</f>
        <v>200018658</v>
      </c>
      <c r="B18436" t="str">
        <f>"1013534478"</f>
        <v>1013534478</v>
      </c>
      <c r="C18436" t="str">
        <f>"363LF0000X"</f>
        <v>363LF0000X</v>
      </c>
      <c r="D18436" t="str">
        <f>"DUCKWORTH                CANDACE                  "</f>
        <v xml:space="preserve">DUCKWORTH                CANDACE                  </v>
      </c>
      <c r="E18436" t="str">
        <f>"FLOWOOD                   "</f>
        <v xml:space="preserve">FLOWOOD                   </v>
      </c>
      <c r="F18436" t="str">
        <f t="shared" si="451"/>
        <v>MS</v>
      </c>
    </row>
    <row r="18437" spans="1:6" x14ac:dyDescent="0.25">
      <c r="A18437" t="str">
        <f>"200018667"</f>
        <v>200018667</v>
      </c>
      <c r="B18437" t="str">
        <f>"1700370939"</f>
        <v>1700370939</v>
      </c>
      <c r="C18437" t="str">
        <f>"363LA2100X"</f>
        <v>363LA2100X</v>
      </c>
      <c r="D18437" t="str">
        <f>"BURRAGE                  CHRISTINA                "</f>
        <v xml:space="preserve">BURRAGE                  CHRISTINA                </v>
      </c>
      <c r="E18437" t="str">
        <f>"JACKSON                   "</f>
        <v xml:space="preserve">JACKSON                   </v>
      </c>
      <c r="F18437" t="str">
        <f t="shared" si="451"/>
        <v>MS</v>
      </c>
    </row>
    <row r="18438" spans="1:6" x14ac:dyDescent="0.25">
      <c r="A18438" t="str">
        <f>"200018669"</f>
        <v>200018669</v>
      </c>
      <c r="B18438" t="str">
        <f>"1427785849"</f>
        <v>1427785849</v>
      </c>
      <c r="C18438" t="str">
        <f>"363LF0000X"</f>
        <v>363LF0000X</v>
      </c>
      <c r="D18438" t="str">
        <f>"JOHNSON                  TRINITY                  "</f>
        <v xml:space="preserve">JOHNSON                  TRINITY                  </v>
      </c>
      <c r="E18438" t="str">
        <f>"WEST POINT                "</f>
        <v xml:space="preserve">WEST POINT                </v>
      </c>
      <c r="F18438" t="str">
        <f t="shared" si="451"/>
        <v>MS</v>
      </c>
    </row>
    <row r="18439" spans="1:6" x14ac:dyDescent="0.25">
      <c r="A18439" t="str">
        <f>"200018671"</f>
        <v>200018671</v>
      </c>
      <c r="B18439" t="str">
        <f>"1003921404"</f>
        <v>1003921404</v>
      </c>
      <c r="C18439" t="str">
        <f>"2085R0202X"</f>
        <v>2085R0202X</v>
      </c>
      <c r="D18439" t="str">
        <f>"TANNER                   PAUL                     "</f>
        <v xml:space="preserve">TANNER                   PAUL                     </v>
      </c>
      <c r="E18439" t="str">
        <f>"SOUTHAVEN                 "</f>
        <v xml:space="preserve">SOUTHAVEN                 </v>
      </c>
      <c r="F18439" t="str">
        <f t="shared" si="451"/>
        <v>MS</v>
      </c>
    </row>
    <row r="18440" spans="1:6" x14ac:dyDescent="0.25">
      <c r="A18440" t="str">
        <f>"200018673"</f>
        <v>200018673</v>
      </c>
      <c r="B18440" t="str">
        <f>"1700499241"</f>
        <v>1700499241</v>
      </c>
      <c r="C18440" t="str">
        <f>"363LF0000X"</f>
        <v>363LF0000X</v>
      </c>
      <c r="D18440" t="str">
        <f>"JONES                    MALLORY                  "</f>
        <v xml:space="preserve">JONES                    MALLORY                  </v>
      </c>
      <c r="E18440" t="str">
        <f>"FLOWOOD                   "</f>
        <v xml:space="preserve">FLOWOOD                   </v>
      </c>
      <c r="F18440" t="str">
        <f t="shared" si="451"/>
        <v>MS</v>
      </c>
    </row>
    <row r="18441" spans="1:6" x14ac:dyDescent="0.25">
      <c r="A18441" t="str">
        <f>"200018675"</f>
        <v>200018675</v>
      </c>
      <c r="B18441" t="str">
        <f>"1659804979"</f>
        <v>1659804979</v>
      </c>
      <c r="C18441" t="str">
        <f>"207L00000X"</f>
        <v>207L00000X</v>
      </c>
      <c r="D18441" t="str">
        <f>"CEFALU                   JOHN                     "</f>
        <v xml:space="preserve">CEFALU                   JOHN                     </v>
      </c>
      <c r="E18441" t="str">
        <f>"JACKSON                   "</f>
        <v xml:space="preserve">JACKSON                   </v>
      </c>
      <c r="F18441" t="str">
        <f t="shared" si="451"/>
        <v>MS</v>
      </c>
    </row>
    <row r="18442" spans="1:6" x14ac:dyDescent="0.25">
      <c r="A18442" t="str">
        <f>"200018676"</f>
        <v>200018676</v>
      </c>
      <c r="B18442" t="str">
        <f>"1902059322"</f>
        <v>1902059322</v>
      </c>
      <c r="C18442" t="str">
        <f>"2084N0400X"</f>
        <v>2084N0400X</v>
      </c>
      <c r="D18442" t="str">
        <f>"ZHANG                    JIAYING                  "</f>
        <v xml:space="preserve">ZHANG                    JIAYING                  </v>
      </c>
      <c r="E18442" t="str">
        <f>"TUPELO                    "</f>
        <v xml:space="preserve">TUPELO                    </v>
      </c>
      <c r="F18442" t="str">
        <f t="shared" si="451"/>
        <v>MS</v>
      </c>
    </row>
    <row r="18443" spans="1:6" x14ac:dyDescent="0.25">
      <c r="A18443" t="str">
        <f>"200018677"</f>
        <v>200018677</v>
      </c>
      <c r="B18443" t="str">
        <f>"1366778516"</f>
        <v>1366778516</v>
      </c>
      <c r="C18443" t="str">
        <f>"363LF0000X"</f>
        <v>363LF0000X</v>
      </c>
      <c r="D18443" t="str">
        <f>"FLOWERS                  KERRIN                   "</f>
        <v xml:space="preserve">FLOWERS                  KERRIN                   </v>
      </c>
      <c r="E18443" t="str">
        <f>"FLOWOOD                   "</f>
        <v xml:space="preserve">FLOWOOD                   </v>
      </c>
      <c r="F18443" t="str">
        <f t="shared" si="451"/>
        <v>MS</v>
      </c>
    </row>
    <row r="18444" spans="1:6" x14ac:dyDescent="0.25">
      <c r="A18444" t="str">
        <f>"200018678"</f>
        <v>200018678</v>
      </c>
      <c r="B18444" t="str">
        <f>"1245902279"</f>
        <v>1245902279</v>
      </c>
      <c r="C18444" t="str">
        <f>"363LF0000X"</f>
        <v>363LF0000X</v>
      </c>
      <c r="D18444" t="str">
        <f>"PRICE                    DESTINY                  "</f>
        <v xml:space="preserve">PRICE                    DESTINY                  </v>
      </c>
      <c r="E18444" t="str">
        <f>"FLOWOOD                   "</f>
        <v xml:space="preserve">FLOWOOD                   </v>
      </c>
      <c r="F18444" t="str">
        <f t="shared" si="451"/>
        <v>MS</v>
      </c>
    </row>
    <row r="18445" spans="1:6" x14ac:dyDescent="0.25">
      <c r="A18445" t="str">
        <f>"200018687"</f>
        <v>200018687</v>
      </c>
      <c r="B18445" t="str">
        <f>"1891159794"</f>
        <v>1891159794</v>
      </c>
      <c r="C18445" t="str">
        <f>"363LF0000X"</f>
        <v>363LF0000X</v>
      </c>
      <c r="D18445" t="str">
        <f>"PORTER                   KEYONNA                  "</f>
        <v xml:space="preserve">PORTER                   KEYONNA                  </v>
      </c>
      <c r="E18445" t="str">
        <f>"JACKSON                   "</f>
        <v xml:space="preserve">JACKSON                   </v>
      </c>
      <c r="F18445" t="str">
        <f t="shared" si="451"/>
        <v>MS</v>
      </c>
    </row>
    <row r="18446" spans="1:6" x14ac:dyDescent="0.25">
      <c r="A18446" t="str">
        <f>"200018693"</f>
        <v>200018693</v>
      </c>
      <c r="B18446" t="str">
        <f>"1407379944"</f>
        <v>1407379944</v>
      </c>
      <c r="C18446" t="str">
        <f>"363A00000X"</f>
        <v>363A00000X</v>
      </c>
      <c r="D18446" t="str">
        <f>"BILLS                    MATTHEW                  "</f>
        <v xml:space="preserve">BILLS                    MATTHEW                  </v>
      </c>
      <c r="E18446" t="str">
        <f>"OLIVE BRANCH              "</f>
        <v xml:space="preserve">OLIVE BRANCH              </v>
      </c>
      <c r="F18446" t="str">
        <f t="shared" si="451"/>
        <v>MS</v>
      </c>
    </row>
    <row r="18447" spans="1:6" x14ac:dyDescent="0.25">
      <c r="A18447" t="str">
        <f>"200018695"</f>
        <v>200018695</v>
      </c>
      <c r="B18447" t="str">
        <f>"1497102636"</f>
        <v>1497102636</v>
      </c>
      <c r="C18447" t="str">
        <f>"207LP3000X"</f>
        <v>207LP3000X</v>
      </c>
      <c r="D18447" t="str">
        <f>"SISNEY                   JOHN                     "</f>
        <v xml:space="preserve">SISNEY                   JOHN                     </v>
      </c>
      <c r="E18447" t="str">
        <f>"CHOCTAW                   "</f>
        <v xml:space="preserve">CHOCTAW                   </v>
      </c>
      <c r="F18447" t="str">
        <f t="shared" si="451"/>
        <v>MS</v>
      </c>
    </row>
    <row r="18448" spans="1:6" x14ac:dyDescent="0.25">
      <c r="A18448" t="str">
        <f>"200018699"</f>
        <v>200018699</v>
      </c>
      <c r="B18448" t="str">
        <f>"1821791120"</f>
        <v>1821791120</v>
      </c>
      <c r="C18448" t="str">
        <f>"207P00000X"</f>
        <v>207P00000X</v>
      </c>
      <c r="D18448" t="str">
        <f>"PINTO                    MATTHEW      P           "</f>
        <v xml:space="preserve">PINTO                    MATTHEW      P           </v>
      </c>
      <c r="E18448" t="str">
        <f>"BROOKHAVEN                "</f>
        <v xml:space="preserve">BROOKHAVEN                </v>
      </c>
      <c r="F18448" t="str">
        <f t="shared" si="451"/>
        <v>MS</v>
      </c>
    </row>
    <row r="18449" spans="1:6" x14ac:dyDescent="0.25">
      <c r="A18449" t="str">
        <f>"200018701"</f>
        <v>200018701</v>
      </c>
      <c r="B18449" t="str">
        <f>"1831532746"</f>
        <v>1831532746</v>
      </c>
      <c r="C18449" t="str">
        <f>"207RC0000X"</f>
        <v>207RC0000X</v>
      </c>
      <c r="D18449" t="str">
        <f>"MA                       JING-YUAN                "</f>
        <v xml:space="preserve">MA                       JING-YUAN                </v>
      </c>
      <c r="E18449" t="str">
        <f>"JACKSON                   "</f>
        <v xml:space="preserve">JACKSON                   </v>
      </c>
      <c r="F18449" t="str">
        <f t="shared" si="451"/>
        <v>MS</v>
      </c>
    </row>
    <row r="18450" spans="1:6" x14ac:dyDescent="0.25">
      <c r="A18450" t="str">
        <f>"200018710"</f>
        <v>200018710</v>
      </c>
      <c r="B18450" t="str">
        <f>"1598395501"</f>
        <v>1598395501</v>
      </c>
      <c r="C18450" t="str">
        <f>"363A00000X"</f>
        <v>363A00000X</v>
      </c>
      <c r="D18450" t="str">
        <f>"CALDWELL                 RAYMOND                  "</f>
        <v xml:space="preserve">CALDWELL                 RAYMOND                  </v>
      </c>
      <c r="E18450" t="str">
        <f>"SOUTHAVEN                 "</f>
        <v xml:space="preserve">SOUTHAVEN                 </v>
      </c>
      <c r="F18450" t="str">
        <f t="shared" si="451"/>
        <v>MS</v>
      </c>
    </row>
    <row r="18451" spans="1:6" x14ac:dyDescent="0.25">
      <c r="A18451" t="str">
        <f>"200018714"</f>
        <v>200018714</v>
      </c>
      <c r="B18451" t="str">
        <f>"1386417806"</f>
        <v>1386417806</v>
      </c>
      <c r="C18451" t="str">
        <f>"261QA1903X"</f>
        <v>261QA1903X</v>
      </c>
      <c r="D18451" t="str">
        <f>"RETINA SURGERY CENTER OF MISSISSIPPI              "</f>
        <v xml:space="preserve">RETINA SURGERY CENTER OF MISSISSIPPI              </v>
      </c>
      <c r="E18451" t="str">
        <f>"MADISON                   "</f>
        <v xml:space="preserve">MADISON                   </v>
      </c>
      <c r="F18451" t="str">
        <f t="shared" si="451"/>
        <v>MS</v>
      </c>
    </row>
    <row r="18452" spans="1:6" x14ac:dyDescent="0.25">
      <c r="A18452" t="str">
        <f>"200018716"</f>
        <v>200018716</v>
      </c>
      <c r="B18452" t="str">
        <f>"1245046713"</f>
        <v>1245046713</v>
      </c>
      <c r="C18452" t="str">
        <f>"122300000X"</f>
        <v>122300000X</v>
      </c>
      <c r="D18452" t="str">
        <f>"OXFORD MAXILLOFACIAL SURGERY, INC.                "</f>
        <v xml:space="preserve">OXFORD MAXILLOFACIAL SURGERY, INC.                </v>
      </c>
      <c r="E18452" t="str">
        <f>"OXFORD                    "</f>
        <v xml:space="preserve">OXFORD                    </v>
      </c>
      <c r="F18452" t="str">
        <f t="shared" si="451"/>
        <v>MS</v>
      </c>
    </row>
    <row r="18453" spans="1:6" x14ac:dyDescent="0.25">
      <c r="A18453" t="str">
        <f>"200018726"</f>
        <v>200018726</v>
      </c>
      <c r="B18453" t="str">
        <f>"1831803550"</f>
        <v>1831803550</v>
      </c>
      <c r="C18453" t="str">
        <f>"363L00000X"</f>
        <v>363L00000X</v>
      </c>
      <c r="D18453" t="str">
        <f>"MINK                     KELSEY                   "</f>
        <v xml:space="preserve">MINK                     KELSEY                   </v>
      </c>
      <c r="E18453" t="str">
        <f>"BOONEVILLE                "</f>
        <v xml:space="preserve">BOONEVILLE                </v>
      </c>
      <c r="F18453" t="str">
        <f t="shared" si="451"/>
        <v>MS</v>
      </c>
    </row>
    <row r="18454" spans="1:6" x14ac:dyDescent="0.25">
      <c r="A18454" t="str">
        <f>"200018727"</f>
        <v>200018727</v>
      </c>
      <c r="B18454" t="str">
        <f>"1316752538"</f>
        <v>1316752538</v>
      </c>
      <c r="C18454" t="str">
        <f>"363LF0000X"</f>
        <v>363LF0000X</v>
      </c>
      <c r="D18454" t="str">
        <f>"MAY                      MADALYN                  "</f>
        <v xml:space="preserve">MAY                      MADALYN                  </v>
      </c>
      <c r="E18454" t="str">
        <f>"MADISON                   "</f>
        <v xml:space="preserve">MADISON                   </v>
      </c>
      <c r="F18454" t="str">
        <f t="shared" si="451"/>
        <v>MS</v>
      </c>
    </row>
    <row r="18455" spans="1:6" x14ac:dyDescent="0.25">
      <c r="A18455" t="str">
        <f>"200018731"</f>
        <v>200018731</v>
      </c>
      <c r="B18455" t="str">
        <f>"1700315686"</f>
        <v>1700315686</v>
      </c>
      <c r="C18455" t="str">
        <f>"207RG0100X"</f>
        <v>207RG0100X</v>
      </c>
      <c r="D18455" t="str">
        <f>"COOK                     JOSEPH                   "</f>
        <v xml:space="preserve">COOK                     JOSEPH                   </v>
      </c>
      <c r="E18455" t="str">
        <f>"JACKSON                   "</f>
        <v xml:space="preserve">JACKSON                   </v>
      </c>
      <c r="F18455" t="str">
        <f t="shared" si="451"/>
        <v>MS</v>
      </c>
    </row>
    <row r="18456" spans="1:6" x14ac:dyDescent="0.25">
      <c r="A18456" t="str">
        <f>"200018742"</f>
        <v>200018742</v>
      </c>
      <c r="B18456" t="str">
        <f>"1710782685"</f>
        <v>1710782685</v>
      </c>
      <c r="C18456" t="str">
        <f>"261QM1300X"</f>
        <v>261QM1300X</v>
      </c>
      <c r="D18456" t="str">
        <f>"PATH TO FREEDOM                                   "</f>
        <v xml:space="preserve">PATH TO FREEDOM                                   </v>
      </c>
      <c r="E18456" t="str">
        <f>"HATTIESBURG               "</f>
        <v xml:space="preserve">HATTIESBURG               </v>
      </c>
      <c r="F18456" t="str">
        <f t="shared" si="451"/>
        <v>MS</v>
      </c>
    </row>
    <row r="18457" spans="1:6" x14ac:dyDescent="0.25">
      <c r="A18457" t="str">
        <f>"200018748"</f>
        <v>200018748</v>
      </c>
      <c r="B18457" t="str">
        <f>"1679384010"</f>
        <v>1679384010</v>
      </c>
      <c r="C18457" t="str">
        <f>"367500000X"</f>
        <v>367500000X</v>
      </c>
      <c r="D18457" t="str">
        <f>"SHERRILL                 LAUREN       D           "</f>
        <v xml:space="preserve">SHERRILL                 LAUREN       D           </v>
      </c>
      <c r="E18457" t="str">
        <f>"JACKSON                   "</f>
        <v xml:space="preserve">JACKSON                   </v>
      </c>
      <c r="F18457" t="str">
        <f t="shared" si="451"/>
        <v>MS</v>
      </c>
    </row>
    <row r="18458" spans="1:6" x14ac:dyDescent="0.25">
      <c r="A18458" t="str">
        <f>"200018758"</f>
        <v>200018758</v>
      </c>
      <c r="B18458" t="str">
        <f>"1194302315"</f>
        <v>1194302315</v>
      </c>
      <c r="C18458" t="str">
        <f>"207Q00000X"</f>
        <v>207Q00000X</v>
      </c>
      <c r="D18458" t="str">
        <f>"NUTTING                  VICTORIA                 "</f>
        <v xml:space="preserve">NUTTING                  VICTORIA                 </v>
      </c>
      <c r="E18458" t="str">
        <f>"DIAMONDHEAD               "</f>
        <v xml:space="preserve">DIAMONDHEAD               </v>
      </c>
      <c r="F18458" t="str">
        <f t="shared" si="451"/>
        <v>MS</v>
      </c>
    </row>
    <row r="18459" spans="1:6" x14ac:dyDescent="0.25">
      <c r="A18459" t="str">
        <f>"200018762"</f>
        <v>200018762</v>
      </c>
      <c r="B18459" t="str">
        <f>"1740449933"</f>
        <v>1740449933</v>
      </c>
      <c r="C18459" t="str">
        <f>"207P00000X"</f>
        <v>207P00000X</v>
      </c>
      <c r="D18459" t="str">
        <f>"SALAZAR                  RICHISA                  "</f>
        <v xml:space="preserve">SALAZAR                  RICHISA                  </v>
      </c>
      <c r="E18459" t="str">
        <f>"OCEAN SPRINGS             "</f>
        <v xml:space="preserve">OCEAN SPRINGS             </v>
      </c>
      <c r="F18459" t="str">
        <f t="shared" si="451"/>
        <v>MS</v>
      </c>
    </row>
    <row r="18460" spans="1:6" x14ac:dyDescent="0.25">
      <c r="A18460" t="str">
        <f>"200018763"</f>
        <v>200018763</v>
      </c>
      <c r="B18460" t="str">
        <f>"1093373110"</f>
        <v>1093373110</v>
      </c>
      <c r="C18460" t="str">
        <f>"363LF0000X"</f>
        <v>363LF0000X</v>
      </c>
      <c r="D18460" t="str">
        <f>"THAMES                   SARAH                    "</f>
        <v xml:space="preserve">THAMES                   SARAH                    </v>
      </c>
      <c r="E18460" t="str">
        <f>"GULFPORT                  "</f>
        <v xml:space="preserve">GULFPORT                  </v>
      </c>
      <c r="F18460" t="str">
        <f t="shared" si="451"/>
        <v>MS</v>
      </c>
    </row>
    <row r="18461" spans="1:6" x14ac:dyDescent="0.25">
      <c r="A18461" t="str">
        <f>"200018768"</f>
        <v>200018768</v>
      </c>
      <c r="B18461" t="str">
        <f>"1750693206"</f>
        <v>1750693206</v>
      </c>
      <c r="C18461" t="str">
        <f>"207LP2900X"</f>
        <v>207LP2900X</v>
      </c>
      <c r="D18461" t="str">
        <f>"TORREY                   ALAN         J           "</f>
        <v xml:space="preserve">TORREY                   ALAN         J           </v>
      </c>
      <c r="E18461" t="str">
        <f>"VICKSBURG                 "</f>
        <v xml:space="preserve">VICKSBURG                 </v>
      </c>
      <c r="F18461" t="str">
        <f t="shared" si="451"/>
        <v>MS</v>
      </c>
    </row>
    <row r="18462" spans="1:6" x14ac:dyDescent="0.25">
      <c r="A18462" t="str">
        <f>"200018780"</f>
        <v>200018780</v>
      </c>
      <c r="B18462" t="str">
        <f>"1154880540"</f>
        <v>1154880540</v>
      </c>
      <c r="C18462" t="str">
        <f>"261QM1300X"</f>
        <v>261QM1300X</v>
      </c>
      <c r="D18462" t="str">
        <f>"CORE REHABILITATION                               "</f>
        <v xml:space="preserve">CORE REHABILITATION                               </v>
      </c>
      <c r="E18462" t="str">
        <f>"SALTILLO                  "</f>
        <v xml:space="preserve">SALTILLO                  </v>
      </c>
      <c r="F18462" t="str">
        <f t="shared" si="451"/>
        <v>MS</v>
      </c>
    </row>
    <row r="18463" spans="1:6" x14ac:dyDescent="0.25">
      <c r="A18463" t="str">
        <f>"200018787"</f>
        <v>200018787</v>
      </c>
      <c r="B18463" t="str">
        <f>"1033611256"</f>
        <v>1033611256</v>
      </c>
      <c r="C18463" t="str">
        <f>"363L00000X"</f>
        <v>363L00000X</v>
      </c>
      <c r="D18463" t="str">
        <f>"MOORE                    JACQUELINE               "</f>
        <v xml:space="preserve">MOORE                    JACQUELINE               </v>
      </c>
      <c r="E18463" t="str">
        <f>"FLOWOOD                   "</f>
        <v xml:space="preserve">FLOWOOD                   </v>
      </c>
      <c r="F18463" t="str">
        <f t="shared" si="451"/>
        <v>MS</v>
      </c>
    </row>
    <row r="18464" spans="1:6" x14ac:dyDescent="0.25">
      <c r="A18464" t="str">
        <f>"200018804"</f>
        <v>200018804</v>
      </c>
      <c r="B18464" t="str">
        <f>"1265881007"</f>
        <v>1265881007</v>
      </c>
      <c r="C18464" t="str">
        <f>"363LF0000X"</f>
        <v>363LF0000X</v>
      </c>
      <c r="D18464" t="str">
        <f>"CLAY                     ADAM                     "</f>
        <v xml:space="preserve">CLAY                     ADAM                     </v>
      </c>
      <c r="E18464" t="str">
        <f>"FLOWOOD                   "</f>
        <v xml:space="preserve">FLOWOOD                   </v>
      </c>
      <c r="F18464" t="str">
        <f t="shared" si="451"/>
        <v>MS</v>
      </c>
    </row>
    <row r="18465" spans="1:6" x14ac:dyDescent="0.25">
      <c r="A18465" t="str">
        <f>"200018822"</f>
        <v>200018822</v>
      </c>
      <c r="B18465" t="str">
        <f>"1427594480"</f>
        <v>1427594480</v>
      </c>
      <c r="C18465" t="str">
        <f>"363LF0000X"</f>
        <v>363LF0000X</v>
      </c>
      <c r="D18465" t="str">
        <f>"BARNES                   CHRISTINA                "</f>
        <v xml:space="preserve">BARNES                   CHRISTINA                </v>
      </c>
      <c r="E18465" t="str">
        <f>"FLOWOOD                   "</f>
        <v xml:space="preserve">FLOWOOD                   </v>
      </c>
      <c r="F18465" t="str">
        <f t="shared" si="451"/>
        <v>MS</v>
      </c>
    </row>
    <row r="18466" spans="1:6" x14ac:dyDescent="0.25">
      <c r="A18466" t="str">
        <f>"200018826"</f>
        <v>200018826</v>
      </c>
      <c r="B18466" t="str">
        <f>"1518342963"</f>
        <v>1518342963</v>
      </c>
      <c r="C18466" t="str">
        <f>"363LA2100X"</f>
        <v>363LA2100X</v>
      </c>
      <c r="D18466" t="str">
        <f>"PENDLETON                NICHOLAS                 "</f>
        <v xml:space="preserve">PENDLETON                NICHOLAS                 </v>
      </c>
      <c r="E18466" t="str">
        <f>"OCEAN SPRINGS             "</f>
        <v xml:space="preserve">OCEAN SPRINGS             </v>
      </c>
      <c r="F18466" t="str">
        <f t="shared" si="451"/>
        <v>MS</v>
      </c>
    </row>
    <row r="18467" spans="1:6" x14ac:dyDescent="0.25">
      <c r="A18467" t="str">
        <f>"200018833"</f>
        <v>200018833</v>
      </c>
      <c r="B18467" t="str">
        <f>"1053993865"</f>
        <v>1053993865</v>
      </c>
      <c r="C18467" t="str">
        <f>"363LF0000X"</f>
        <v>363LF0000X</v>
      </c>
      <c r="D18467" t="str">
        <f>"BOYKIN                   BRITTANY                 "</f>
        <v xml:space="preserve">BOYKIN                   BRITTANY                 </v>
      </c>
      <c r="E18467" t="str">
        <f>"JACKSON                   "</f>
        <v xml:space="preserve">JACKSON                   </v>
      </c>
      <c r="F18467" t="str">
        <f t="shared" si="451"/>
        <v>MS</v>
      </c>
    </row>
    <row r="18468" spans="1:6" x14ac:dyDescent="0.25">
      <c r="A18468" t="str">
        <f>"200018834"</f>
        <v>200018834</v>
      </c>
      <c r="B18468" t="str">
        <f>"1609864974"</f>
        <v>1609864974</v>
      </c>
      <c r="C18468" t="str">
        <f>"363LF0000X"</f>
        <v>363LF0000X</v>
      </c>
      <c r="D18468" t="str">
        <f>"BECKWITH                 SHARA                    "</f>
        <v xml:space="preserve">BECKWITH                 SHARA                    </v>
      </c>
      <c r="E18468" t="str">
        <f>"FLOWOOD                   "</f>
        <v xml:space="preserve">FLOWOOD                   </v>
      </c>
      <c r="F18468" t="str">
        <f t="shared" si="451"/>
        <v>MS</v>
      </c>
    </row>
    <row r="18469" spans="1:6" x14ac:dyDescent="0.25">
      <c r="A18469" t="str">
        <f>"200018835"</f>
        <v>200018835</v>
      </c>
      <c r="B18469" t="str">
        <f>"1538154968"</f>
        <v>1538154968</v>
      </c>
      <c r="C18469" t="str">
        <f>"207W00000X"</f>
        <v>207W00000X</v>
      </c>
      <c r="D18469" t="str">
        <f>"SUGG                     JOSEPH                   "</f>
        <v xml:space="preserve">SUGG                     JOSEPH                   </v>
      </c>
      <c r="E18469" t="str">
        <f>"BILOXI                    "</f>
        <v xml:space="preserve">BILOXI                    </v>
      </c>
      <c r="F18469" t="str">
        <f t="shared" si="451"/>
        <v>MS</v>
      </c>
    </row>
    <row r="18470" spans="1:6" x14ac:dyDescent="0.25">
      <c r="A18470" t="str">
        <f>"200018836"</f>
        <v>200018836</v>
      </c>
      <c r="B18470" t="str">
        <f>"1225856602"</f>
        <v>1225856602</v>
      </c>
      <c r="C18470" t="str">
        <f>"363A00000X"</f>
        <v>363A00000X</v>
      </c>
      <c r="D18470" t="str">
        <f>"MENDOZA                  EMMANUEL     P           "</f>
        <v xml:space="preserve">MENDOZA                  EMMANUEL     P           </v>
      </c>
      <c r="E18470" t="str">
        <f>"VANCLEAVE                 "</f>
        <v xml:space="preserve">VANCLEAVE                 </v>
      </c>
      <c r="F18470" t="str">
        <f t="shared" si="451"/>
        <v>MS</v>
      </c>
    </row>
    <row r="18471" spans="1:6" x14ac:dyDescent="0.25">
      <c r="A18471" t="str">
        <f>"200018839"</f>
        <v>200018839</v>
      </c>
      <c r="B18471" t="str">
        <f>"1013241025"</f>
        <v>1013241025</v>
      </c>
      <c r="C18471" t="str">
        <f>"122300000X"</f>
        <v>122300000X</v>
      </c>
      <c r="D18471" t="str">
        <f>"M. BERT KEEL JR DMD PA                            "</f>
        <v xml:space="preserve">M. BERT KEEL JR DMD PA                            </v>
      </c>
      <c r="E18471" t="str">
        <f>"BAY ST LOUIS              "</f>
        <v xml:space="preserve">BAY ST LOUIS              </v>
      </c>
      <c r="F18471" t="str">
        <f t="shared" si="451"/>
        <v>MS</v>
      </c>
    </row>
    <row r="18472" spans="1:6" x14ac:dyDescent="0.25">
      <c r="A18472" t="str">
        <f>"200018844"</f>
        <v>200018844</v>
      </c>
      <c r="B18472" t="str">
        <f>"1447003132"</f>
        <v>1447003132</v>
      </c>
      <c r="C18472" t="str">
        <f>"207Q00000X"</f>
        <v>207Q00000X</v>
      </c>
      <c r="D18472" t="str">
        <f>"KEBE                     HONORINE     M           "</f>
        <v xml:space="preserve">KEBE                     HONORINE     M           </v>
      </c>
      <c r="E18472" t="str">
        <f>"GREENVILLE                "</f>
        <v xml:space="preserve">GREENVILLE                </v>
      </c>
      <c r="F18472" t="str">
        <f t="shared" si="451"/>
        <v>MS</v>
      </c>
    </row>
    <row r="18473" spans="1:6" x14ac:dyDescent="0.25">
      <c r="A18473" t="str">
        <f>"200018849"</f>
        <v>200018849</v>
      </c>
      <c r="B18473" t="str">
        <f>"1427156843"</f>
        <v>1427156843</v>
      </c>
      <c r="C18473" t="str">
        <f>"363LF0000X"</f>
        <v>363LF0000X</v>
      </c>
      <c r="D18473" t="str">
        <f>"FORD                     JULIE                    "</f>
        <v xml:space="preserve">FORD                     JULIE                    </v>
      </c>
      <c r="E18473" t="str">
        <f>"FLOWOOD                   "</f>
        <v xml:space="preserve">FLOWOOD                   </v>
      </c>
      <c r="F18473" t="str">
        <f t="shared" si="451"/>
        <v>MS</v>
      </c>
    </row>
    <row r="18474" spans="1:6" x14ac:dyDescent="0.25">
      <c r="A18474" t="str">
        <f>"200018851"</f>
        <v>200018851</v>
      </c>
      <c r="B18474" t="str">
        <f>"1942741889"</f>
        <v>1942741889</v>
      </c>
      <c r="C18474" t="str">
        <f>"363LF0000X"</f>
        <v>363LF0000X</v>
      </c>
      <c r="D18474" t="str">
        <f>"EDWARDS                  LADONNA                  "</f>
        <v xml:space="preserve">EDWARDS                  LADONNA                  </v>
      </c>
      <c r="E18474" t="str">
        <f>"SOUTHAVEN                 "</f>
        <v xml:space="preserve">SOUTHAVEN                 </v>
      </c>
      <c r="F18474" t="str">
        <f t="shared" si="451"/>
        <v>MS</v>
      </c>
    </row>
    <row r="18475" spans="1:6" x14ac:dyDescent="0.25">
      <c r="A18475" t="str">
        <f>"200018852"</f>
        <v>200018852</v>
      </c>
      <c r="B18475" t="str">
        <f>"1013688878"</f>
        <v>1013688878</v>
      </c>
      <c r="C18475" t="str">
        <f>"363L00000X"</f>
        <v>363L00000X</v>
      </c>
      <c r="D18475" t="str">
        <f>"HERBERT                  TAMECIA                  "</f>
        <v xml:space="preserve">HERBERT                  TAMECIA                  </v>
      </c>
      <c r="E18475" t="str">
        <f>"FLOWOOD                   "</f>
        <v xml:space="preserve">FLOWOOD                   </v>
      </c>
      <c r="F18475" t="str">
        <f t="shared" si="451"/>
        <v>MS</v>
      </c>
    </row>
    <row r="18476" spans="1:6" x14ac:dyDescent="0.25">
      <c r="A18476" t="str">
        <f>"200018857"</f>
        <v>200018857</v>
      </c>
      <c r="B18476" t="str">
        <f>"1982215414"</f>
        <v>1982215414</v>
      </c>
      <c r="C18476" t="str">
        <f>"2080P0216X"</f>
        <v>2080P0216X</v>
      </c>
      <c r="D18476" t="str">
        <f>"DHANRAJANI               ANITA        D           "</f>
        <v xml:space="preserve">DHANRAJANI               ANITA        D           </v>
      </c>
      <c r="E18476" t="str">
        <f>"DIAMONDHEAD               "</f>
        <v xml:space="preserve">DIAMONDHEAD               </v>
      </c>
      <c r="F18476" t="str">
        <f t="shared" si="451"/>
        <v>MS</v>
      </c>
    </row>
    <row r="18477" spans="1:6" x14ac:dyDescent="0.25">
      <c r="A18477" t="str">
        <f>"200018860"</f>
        <v>200018860</v>
      </c>
      <c r="B18477" t="str">
        <f>"1366916892"</f>
        <v>1366916892</v>
      </c>
      <c r="C18477" t="str">
        <f>"122300000X"</f>
        <v>122300000X</v>
      </c>
      <c r="D18477" t="str">
        <f>"LITTLE SMILE CO. PEDIATRIC DENTISTRY &amp; ORTHODONTIC"</f>
        <v>LITTLE SMILE CO. PEDIATRIC DENTISTRY &amp; ORTHODONTIC</v>
      </c>
      <c r="E18477" t="str">
        <f>"CLEVELAND                 "</f>
        <v xml:space="preserve">CLEVELAND                 </v>
      </c>
      <c r="F18477" t="str">
        <f t="shared" si="451"/>
        <v>MS</v>
      </c>
    </row>
    <row r="18478" spans="1:6" x14ac:dyDescent="0.25">
      <c r="A18478" t="str">
        <f>"200018861"</f>
        <v>200018861</v>
      </c>
      <c r="B18478" t="str">
        <f>"1629854112"</f>
        <v>1629854112</v>
      </c>
      <c r="C18478" t="str">
        <f>"363LF0000X"</f>
        <v>363LF0000X</v>
      </c>
      <c r="D18478" t="str">
        <f>"FULTON                   SARAH                    "</f>
        <v xml:space="preserve">FULTON                   SARAH                    </v>
      </c>
      <c r="E18478" t="str">
        <f>"STARKVILLE                "</f>
        <v xml:space="preserve">STARKVILLE                </v>
      </c>
      <c r="F18478" t="str">
        <f t="shared" si="451"/>
        <v>MS</v>
      </c>
    </row>
    <row r="18479" spans="1:6" x14ac:dyDescent="0.25">
      <c r="A18479" t="str">
        <f>"200018866"</f>
        <v>200018866</v>
      </c>
      <c r="B18479" t="str">
        <f>"1558662965"</f>
        <v>1558662965</v>
      </c>
      <c r="C18479" t="str">
        <f>"363L00000X"</f>
        <v>363L00000X</v>
      </c>
      <c r="D18479" t="str">
        <f>"STONE                    LALETA                   "</f>
        <v xml:space="preserve">STONE                    LALETA                   </v>
      </c>
      <c r="E18479" t="str">
        <f>"FLOWOOD                   "</f>
        <v xml:space="preserve">FLOWOOD                   </v>
      </c>
      <c r="F18479" t="str">
        <f t="shared" si="451"/>
        <v>MS</v>
      </c>
    </row>
    <row r="18480" spans="1:6" x14ac:dyDescent="0.25">
      <c r="A18480" t="str">
        <f>"200018871"</f>
        <v>200018871</v>
      </c>
      <c r="B18480" t="str">
        <f>"1669297594"</f>
        <v>1669297594</v>
      </c>
      <c r="C18480" t="str">
        <f>"363LF0000X"</f>
        <v>363LF0000X</v>
      </c>
      <c r="D18480" t="str">
        <f>"FORE                     NICHOLAS                 "</f>
        <v xml:space="preserve">FORE                     NICHOLAS                 </v>
      </c>
      <c r="E18480" t="str">
        <f>"OCEAN SPRINGS             "</f>
        <v xml:space="preserve">OCEAN SPRINGS             </v>
      </c>
      <c r="F18480" t="str">
        <f t="shared" si="451"/>
        <v>MS</v>
      </c>
    </row>
    <row r="18481" spans="1:6" x14ac:dyDescent="0.25">
      <c r="A18481" t="str">
        <f>"200018875"</f>
        <v>200018875</v>
      </c>
      <c r="B18481" t="str">
        <f>"1629143953"</f>
        <v>1629143953</v>
      </c>
      <c r="C18481" t="str">
        <f>"207Q00000X"</f>
        <v>207Q00000X</v>
      </c>
      <c r="D18481" t="str">
        <f>"WEBER                    DAVID        J           "</f>
        <v xml:space="preserve">WEBER                    DAVID        J           </v>
      </c>
      <c r="E18481" t="str">
        <f>"LELAND                    "</f>
        <v xml:space="preserve">LELAND                    </v>
      </c>
      <c r="F18481" t="str">
        <f t="shared" si="451"/>
        <v>MS</v>
      </c>
    </row>
    <row r="18482" spans="1:6" x14ac:dyDescent="0.25">
      <c r="A18482" t="str">
        <f>"200018876"</f>
        <v>200018876</v>
      </c>
      <c r="B18482" t="str">
        <f>"1225138423"</f>
        <v>1225138423</v>
      </c>
      <c r="C18482" t="str">
        <f>"207RA0401X"</f>
        <v>207RA0401X</v>
      </c>
      <c r="D18482" t="str">
        <f>"MOKHTARI                 SUSAN                    "</f>
        <v xml:space="preserve">MOKHTARI                 SUSAN                    </v>
      </c>
      <c r="E18482" t="str">
        <f>"SOUTHAVEN                 "</f>
        <v xml:space="preserve">SOUTHAVEN                 </v>
      </c>
      <c r="F18482" t="str">
        <f t="shared" si="451"/>
        <v>MS</v>
      </c>
    </row>
    <row r="18483" spans="1:6" x14ac:dyDescent="0.25">
      <c r="A18483" t="str">
        <f>"200018882"</f>
        <v>200018882</v>
      </c>
      <c r="B18483" t="str">
        <f>"1396514956"</f>
        <v>1396514956</v>
      </c>
      <c r="C18483" t="str">
        <f>"363LF0000X"</f>
        <v>363LF0000X</v>
      </c>
      <c r="D18483" t="str">
        <f>"RITCHIE                  STEPHANIE                "</f>
        <v xml:space="preserve">RITCHIE                  STEPHANIE                </v>
      </c>
      <c r="E18483" t="str">
        <f>"FLOWOOD                   "</f>
        <v xml:space="preserve">FLOWOOD                   </v>
      </c>
      <c r="F18483" t="str">
        <f t="shared" si="451"/>
        <v>MS</v>
      </c>
    </row>
    <row r="18484" spans="1:6" x14ac:dyDescent="0.25">
      <c r="A18484" t="str">
        <f>"200018884"</f>
        <v>200018884</v>
      </c>
      <c r="B18484" t="str">
        <f>"1255777025"</f>
        <v>1255777025</v>
      </c>
      <c r="C18484" t="str">
        <f>"207V00000X"</f>
        <v>207V00000X</v>
      </c>
      <c r="D18484" t="str">
        <f>"MURUTHI                  JOYCE        W           "</f>
        <v xml:space="preserve">MURUTHI                  JOYCE        W           </v>
      </c>
      <c r="E18484" t="str">
        <f>"VICKSBURG                 "</f>
        <v xml:space="preserve">VICKSBURG                 </v>
      </c>
      <c r="F18484" t="str">
        <f t="shared" si="451"/>
        <v>MS</v>
      </c>
    </row>
    <row r="18485" spans="1:6" x14ac:dyDescent="0.25">
      <c r="A18485" t="str">
        <f>"200018885"</f>
        <v>200018885</v>
      </c>
      <c r="B18485" t="str">
        <f>"1124515663"</f>
        <v>1124515663</v>
      </c>
      <c r="C18485" t="str">
        <f>"363L00000X"</f>
        <v>363L00000X</v>
      </c>
      <c r="D18485" t="str">
        <f>"BRADLEY                  LASHONDA                 "</f>
        <v xml:space="preserve">BRADLEY                  LASHONDA                 </v>
      </c>
      <c r="E18485" t="str">
        <f>"FLOWOOD                   "</f>
        <v xml:space="preserve">FLOWOOD                   </v>
      </c>
      <c r="F18485" t="str">
        <f t="shared" si="451"/>
        <v>MS</v>
      </c>
    </row>
    <row r="18486" spans="1:6" x14ac:dyDescent="0.25">
      <c r="A18486" t="str">
        <f>"200018890"</f>
        <v>200018890</v>
      </c>
      <c r="B18486" t="str">
        <f>"1427867456"</f>
        <v>1427867456</v>
      </c>
      <c r="C18486" t="str">
        <f>"363A00000X"</f>
        <v>363A00000X</v>
      </c>
      <c r="D18486" t="str">
        <f>"PARDUE                   CALEB                    "</f>
        <v xml:space="preserve">PARDUE                   CALEB                    </v>
      </c>
      <c r="E18486" t="str">
        <f>"FLOWOOD                   "</f>
        <v xml:space="preserve">FLOWOOD                   </v>
      </c>
      <c r="F18486" t="str">
        <f t="shared" si="451"/>
        <v>MS</v>
      </c>
    </row>
    <row r="18487" spans="1:6" x14ac:dyDescent="0.25">
      <c r="A18487" t="str">
        <f>"200018893"</f>
        <v>200018893</v>
      </c>
      <c r="B18487" t="str">
        <f>"1225125859"</f>
        <v>1225125859</v>
      </c>
      <c r="C18487" t="str">
        <f>"261QR0401X"</f>
        <v>261QR0401X</v>
      </c>
      <c r="D18487" t="str">
        <f>"BAPTIST MEMORIAL HOSPITAL NORTH MIS               "</f>
        <v xml:space="preserve">BAPTIST MEMORIAL HOSPITAL NORTH MIS               </v>
      </c>
      <c r="E18487" t="str">
        <f>"OXFORD                    "</f>
        <v xml:space="preserve">OXFORD                    </v>
      </c>
      <c r="F18487" t="str">
        <f t="shared" si="451"/>
        <v>MS</v>
      </c>
    </row>
    <row r="18488" spans="1:6" x14ac:dyDescent="0.25">
      <c r="A18488" t="str">
        <f>"200018896"</f>
        <v>200018896</v>
      </c>
      <c r="B18488" t="str">
        <f>"1306023270"</f>
        <v>1306023270</v>
      </c>
      <c r="C18488" t="str">
        <f>"367500000X"</f>
        <v>367500000X</v>
      </c>
      <c r="D18488" t="str">
        <f>"KILLEN                   MICHAEL                  "</f>
        <v xml:space="preserve">KILLEN                   MICHAEL                  </v>
      </c>
      <c r="E18488" t="str">
        <f>"HATTIESBURG               "</f>
        <v xml:space="preserve">HATTIESBURG               </v>
      </c>
      <c r="F18488" t="str">
        <f t="shared" si="451"/>
        <v>MS</v>
      </c>
    </row>
    <row r="18489" spans="1:6" x14ac:dyDescent="0.25">
      <c r="A18489" t="str">
        <f>"200018897"</f>
        <v>200018897</v>
      </c>
      <c r="B18489" t="str">
        <f>"1760661821"</f>
        <v>1760661821</v>
      </c>
      <c r="C18489" t="str">
        <f>"363L00000X"</f>
        <v>363L00000X</v>
      </c>
      <c r="D18489" t="str">
        <f>"COWAN                    ANESHA                   "</f>
        <v xml:space="preserve">COWAN                    ANESHA                   </v>
      </c>
      <c r="E18489" t="str">
        <f>"FLOWOOD                   "</f>
        <v xml:space="preserve">FLOWOOD                   </v>
      </c>
      <c r="F18489" t="str">
        <f t="shared" si="451"/>
        <v>MS</v>
      </c>
    </row>
    <row r="18490" spans="1:6" x14ac:dyDescent="0.25">
      <c r="A18490" t="str">
        <f>"200018899"</f>
        <v>200018899</v>
      </c>
      <c r="B18490" t="str">
        <f>"1720631161"</f>
        <v>1720631161</v>
      </c>
      <c r="C18490" t="str">
        <f>"363LF0000X"</f>
        <v>363LF0000X</v>
      </c>
      <c r="D18490" t="str">
        <f>"MILLER                   LEMEKA       Q           "</f>
        <v xml:space="preserve">MILLER                   LEMEKA       Q           </v>
      </c>
      <c r="E18490" t="str">
        <f>"VICKSBURG                 "</f>
        <v xml:space="preserve">VICKSBURG                 </v>
      </c>
      <c r="F18490" t="str">
        <f t="shared" si="451"/>
        <v>MS</v>
      </c>
    </row>
    <row r="18491" spans="1:6" x14ac:dyDescent="0.25">
      <c r="A18491" t="str">
        <f>"200018900"</f>
        <v>200018900</v>
      </c>
      <c r="B18491" t="str">
        <f>"1457998965"</f>
        <v>1457998965</v>
      </c>
      <c r="C18491" t="str">
        <f>"363LP0808X"</f>
        <v>363LP0808X</v>
      </c>
      <c r="D18491" t="str">
        <f>"SPANN                    KATIE                    "</f>
        <v xml:space="preserve">SPANN                    KATIE                    </v>
      </c>
      <c r="E18491" t="str">
        <f>"JACKSON                   "</f>
        <v xml:space="preserve">JACKSON                   </v>
      </c>
      <c r="F18491" t="str">
        <f t="shared" si="451"/>
        <v>MS</v>
      </c>
    </row>
    <row r="18492" spans="1:6" x14ac:dyDescent="0.25">
      <c r="A18492" t="str">
        <f>"200018905"</f>
        <v>200018905</v>
      </c>
      <c r="B18492" t="str">
        <f>"1578509725"</f>
        <v>1578509725</v>
      </c>
      <c r="C18492" t="str">
        <f>"207QS0010X"</f>
        <v>207QS0010X</v>
      </c>
      <c r="D18492" t="str">
        <f>"CLEMENT                  KEVIN                    "</f>
        <v xml:space="preserve">CLEMENT                  KEVIN                    </v>
      </c>
      <c r="E18492" t="str">
        <f>"LAUREL                    "</f>
        <v xml:space="preserve">LAUREL                    </v>
      </c>
      <c r="F18492" t="str">
        <f t="shared" si="451"/>
        <v>MS</v>
      </c>
    </row>
    <row r="18493" spans="1:6" x14ac:dyDescent="0.25">
      <c r="A18493" t="str">
        <f>"200018906"</f>
        <v>200018906</v>
      </c>
      <c r="B18493" t="str">
        <f>"1497712236"</f>
        <v>1497712236</v>
      </c>
      <c r="C18493" t="str">
        <f>"207P00000X"</f>
        <v>207P00000X</v>
      </c>
      <c r="D18493" t="str">
        <f>"BENZ                     ALEXANDER                "</f>
        <v xml:space="preserve">BENZ                     ALEXANDER                </v>
      </c>
      <c r="E18493" t="str">
        <f>"OCEAN SPRINGS             "</f>
        <v xml:space="preserve">OCEAN SPRINGS             </v>
      </c>
      <c r="F18493" t="str">
        <f t="shared" si="451"/>
        <v>MS</v>
      </c>
    </row>
    <row r="18494" spans="1:6" x14ac:dyDescent="0.25">
      <c r="A18494" t="str">
        <f>"200018914"</f>
        <v>200018914</v>
      </c>
      <c r="B18494" t="str">
        <f>"1568217891"</f>
        <v>1568217891</v>
      </c>
      <c r="C18494" t="str">
        <f>"207Q00000X"</f>
        <v>207Q00000X</v>
      </c>
      <c r="D18494" t="str">
        <f>"HAROON                   AMRA                     "</f>
        <v xml:space="preserve">HAROON                   AMRA                     </v>
      </c>
      <c r="E18494" t="str">
        <f>"GREENVILLE                "</f>
        <v xml:space="preserve">GREENVILLE                </v>
      </c>
      <c r="F18494" t="str">
        <f t="shared" ref="F18494:F18557" si="452">"MS"</f>
        <v>MS</v>
      </c>
    </row>
    <row r="18495" spans="1:6" x14ac:dyDescent="0.25">
      <c r="A18495" t="str">
        <f>"200018918"</f>
        <v>200018918</v>
      </c>
      <c r="B18495" t="str">
        <f>"1700240082"</f>
        <v>1700240082</v>
      </c>
      <c r="C18495" t="str">
        <f>"207ZP0101X"</f>
        <v>207ZP0101X</v>
      </c>
      <c r="D18495" t="str">
        <f>"CAMPBELL                 RYAN                     "</f>
        <v xml:space="preserve">CAMPBELL                 RYAN                     </v>
      </c>
      <c r="E18495" t="str">
        <f>"SOUTHAVEN                 "</f>
        <v xml:space="preserve">SOUTHAVEN                 </v>
      </c>
      <c r="F18495" t="str">
        <f t="shared" si="452"/>
        <v>MS</v>
      </c>
    </row>
    <row r="18496" spans="1:6" x14ac:dyDescent="0.25">
      <c r="A18496" t="str">
        <f>"200018920"</f>
        <v>200018920</v>
      </c>
      <c r="B18496" t="str">
        <f>"1710792874"</f>
        <v>1710792874</v>
      </c>
      <c r="C18496" t="str">
        <f>"363LF0000X"</f>
        <v>363LF0000X</v>
      </c>
      <c r="D18496" t="str">
        <f>"DICKERSON                KAYLA                    "</f>
        <v xml:space="preserve">DICKERSON                KAYLA                    </v>
      </c>
      <c r="E18496" t="str">
        <f>"MATHISTON                 "</f>
        <v xml:space="preserve">MATHISTON                 </v>
      </c>
      <c r="F18496" t="str">
        <f t="shared" si="452"/>
        <v>MS</v>
      </c>
    </row>
    <row r="18497" spans="1:6" x14ac:dyDescent="0.25">
      <c r="A18497" t="str">
        <f>"200018933"</f>
        <v>200018933</v>
      </c>
      <c r="B18497" t="str">
        <f>"1205220506"</f>
        <v>1205220506</v>
      </c>
      <c r="C18497" t="str">
        <f>"208M00000X"</f>
        <v>208M00000X</v>
      </c>
      <c r="D18497" t="str">
        <f>"MANI                     HARIRAJAN                "</f>
        <v xml:space="preserve">MANI                     HARIRAJAN                </v>
      </c>
      <c r="E18497" t="str">
        <f>"LEXINGTON                 "</f>
        <v xml:space="preserve">LEXINGTON                 </v>
      </c>
      <c r="F18497" t="str">
        <f t="shared" si="452"/>
        <v>MS</v>
      </c>
    </row>
    <row r="18498" spans="1:6" x14ac:dyDescent="0.25">
      <c r="A18498" t="str">
        <f>"200018937"</f>
        <v>200018937</v>
      </c>
      <c r="B18498" t="str">
        <f>"1033917638"</f>
        <v>1033917638</v>
      </c>
      <c r="C18498" t="str">
        <f>"152W00000X"</f>
        <v>152W00000X</v>
      </c>
      <c r="D18498" t="str">
        <f>"HOLLY SPRINGS EYECARE PLLC DBA MAGNOLIA EYE GROUP "</f>
        <v xml:space="preserve">HOLLY SPRINGS EYECARE PLLC DBA MAGNOLIA EYE GROUP </v>
      </c>
      <c r="E18498" t="str">
        <f>"HERNANDO                  "</f>
        <v xml:space="preserve">HERNANDO                  </v>
      </c>
      <c r="F18498" t="str">
        <f t="shared" si="452"/>
        <v>MS</v>
      </c>
    </row>
    <row r="18499" spans="1:6" x14ac:dyDescent="0.25">
      <c r="A18499" t="str">
        <f>"200018938"</f>
        <v>200018938</v>
      </c>
      <c r="B18499" t="str">
        <f>"1023506581"</f>
        <v>1023506581</v>
      </c>
      <c r="C18499" t="str">
        <f>"363L00000X"</f>
        <v>363L00000X</v>
      </c>
      <c r="D18499" t="str">
        <f>"HOWINGTON                THOMAS                   "</f>
        <v xml:space="preserve">HOWINGTON                THOMAS                   </v>
      </c>
      <c r="E18499" t="str">
        <f>"RIDGELAND                 "</f>
        <v xml:space="preserve">RIDGELAND                 </v>
      </c>
      <c r="F18499" t="str">
        <f t="shared" si="452"/>
        <v>MS</v>
      </c>
    </row>
    <row r="18500" spans="1:6" x14ac:dyDescent="0.25">
      <c r="A18500" t="str">
        <f>"200018941"</f>
        <v>200018941</v>
      </c>
      <c r="B18500" t="str">
        <f>"1093194995"</f>
        <v>1093194995</v>
      </c>
      <c r="C18500" t="str">
        <f>"1223X0400X"</f>
        <v>1223X0400X</v>
      </c>
      <c r="D18500" t="str">
        <f>"MORRONE                  MATTHEW                  "</f>
        <v xml:space="preserve">MORRONE                  MATTHEW                  </v>
      </c>
      <c r="E18500" t="str">
        <f>"MERIDIAN                  "</f>
        <v xml:space="preserve">MERIDIAN                  </v>
      </c>
      <c r="F18500" t="str">
        <f t="shared" si="452"/>
        <v>MS</v>
      </c>
    </row>
    <row r="18501" spans="1:6" x14ac:dyDescent="0.25">
      <c r="A18501" t="str">
        <f>"200018949"</f>
        <v>200018949</v>
      </c>
      <c r="B18501" t="str">
        <f>"1205679586"</f>
        <v>1205679586</v>
      </c>
      <c r="C18501" t="str">
        <f>"363LF0000X"</f>
        <v>363LF0000X</v>
      </c>
      <c r="D18501" t="str">
        <f>"QUINN                    KELLEY                   "</f>
        <v xml:space="preserve">QUINN                    KELLEY                   </v>
      </c>
      <c r="E18501" t="str">
        <f>"LAUREL                    "</f>
        <v xml:space="preserve">LAUREL                    </v>
      </c>
      <c r="F18501" t="str">
        <f t="shared" si="452"/>
        <v>MS</v>
      </c>
    </row>
    <row r="18502" spans="1:6" x14ac:dyDescent="0.25">
      <c r="A18502" t="str">
        <f>"200018950"</f>
        <v>200018950</v>
      </c>
      <c r="B18502" t="str">
        <f>"1851050579"</f>
        <v>1851050579</v>
      </c>
      <c r="C18502" t="str">
        <f>"261QR1300X"</f>
        <v>261QR1300X</v>
      </c>
      <c r="D18502" t="str">
        <f>"FAST PACE MISSISSIPPI PLLC                        "</f>
        <v xml:space="preserve">FAST PACE MISSISSIPPI PLLC                        </v>
      </c>
      <c r="E18502" t="str">
        <f>"TUPELO                    "</f>
        <v xml:space="preserve">TUPELO                    </v>
      </c>
      <c r="F18502" t="str">
        <f t="shared" si="452"/>
        <v>MS</v>
      </c>
    </row>
    <row r="18503" spans="1:6" x14ac:dyDescent="0.25">
      <c r="A18503" t="str">
        <f>"200018955"</f>
        <v>200018955</v>
      </c>
      <c r="B18503" t="str">
        <f>"1093139214"</f>
        <v>1093139214</v>
      </c>
      <c r="C18503" t="str">
        <f>"363LF0000X"</f>
        <v>363LF0000X</v>
      </c>
      <c r="D18503" t="str">
        <f>"SWEARENGEN               KORI                     "</f>
        <v xml:space="preserve">SWEARENGEN               KORI                     </v>
      </c>
      <c r="E18503" t="str">
        <f>"SOUTHAVEN                 "</f>
        <v xml:space="preserve">SOUTHAVEN                 </v>
      </c>
      <c r="F18503" t="str">
        <f t="shared" si="452"/>
        <v>MS</v>
      </c>
    </row>
    <row r="18504" spans="1:6" x14ac:dyDescent="0.25">
      <c r="A18504" t="str">
        <f>"200018959"</f>
        <v>200018959</v>
      </c>
      <c r="B18504" t="str">
        <f>"1316488729"</f>
        <v>1316488729</v>
      </c>
      <c r="C18504" t="str">
        <f>"363L00000X"</f>
        <v>363L00000X</v>
      </c>
      <c r="D18504" t="str">
        <f>"MCCRIMMON                CAROL        S           "</f>
        <v xml:space="preserve">MCCRIMMON                CAROL        S           </v>
      </c>
      <c r="E18504" t="str">
        <f>"CARROLLTON                "</f>
        <v xml:space="preserve">CARROLLTON                </v>
      </c>
      <c r="F18504" t="str">
        <f t="shared" si="452"/>
        <v>MS</v>
      </c>
    </row>
    <row r="18505" spans="1:6" x14ac:dyDescent="0.25">
      <c r="A18505" t="str">
        <f>"200018968"</f>
        <v>200018968</v>
      </c>
      <c r="B18505" t="str">
        <f>"1073964946"</f>
        <v>1073964946</v>
      </c>
      <c r="C18505" t="str">
        <f>"363LG0600X"</f>
        <v>363LG0600X</v>
      </c>
      <c r="D18505" t="str">
        <f>"ROBERTS                  BRITTANY                 "</f>
        <v xml:space="preserve">ROBERTS                  BRITTANY                 </v>
      </c>
      <c r="E18505" t="str">
        <f>"FLOWOOD                   "</f>
        <v xml:space="preserve">FLOWOOD                   </v>
      </c>
      <c r="F18505" t="str">
        <f t="shared" si="452"/>
        <v>MS</v>
      </c>
    </row>
    <row r="18506" spans="1:6" x14ac:dyDescent="0.25">
      <c r="A18506" t="str">
        <f>"200018970"</f>
        <v>200018970</v>
      </c>
      <c r="B18506" t="str">
        <f>"1821877754"</f>
        <v>1821877754</v>
      </c>
      <c r="C18506" t="str">
        <f>"363L00000X"</f>
        <v>363L00000X</v>
      </c>
      <c r="D18506" t="str">
        <f>"MIMS                     LASHONA                  "</f>
        <v xml:space="preserve">MIMS                     LASHONA                  </v>
      </c>
      <c r="E18506" t="str">
        <f>"CLARKSDALE                "</f>
        <v xml:space="preserve">CLARKSDALE                </v>
      </c>
      <c r="F18506" t="str">
        <f t="shared" si="452"/>
        <v>MS</v>
      </c>
    </row>
    <row r="18507" spans="1:6" x14ac:dyDescent="0.25">
      <c r="A18507" t="str">
        <f>"200018973"</f>
        <v>200018973</v>
      </c>
      <c r="B18507" t="str">
        <f>"1356735948"</f>
        <v>1356735948</v>
      </c>
      <c r="C18507" t="str">
        <f>"208000000X"</f>
        <v>208000000X</v>
      </c>
      <c r="D18507" t="str">
        <f>"NELIN                    SARAH                    "</f>
        <v xml:space="preserve">NELIN                    SARAH                    </v>
      </c>
      <c r="E18507" t="str">
        <f>"JACKSON                   "</f>
        <v xml:space="preserve">JACKSON                   </v>
      </c>
      <c r="F18507" t="str">
        <f t="shared" si="452"/>
        <v>MS</v>
      </c>
    </row>
    <row r="18508" spans="1:6" x14ac:dyDescent="0.25">
      <c r="A18508" t="str">
        <f>"200018980"</f>
        <v>200018980</v>
      </c>
      <c r="B18508" t="str">
        <f>"1306936893"</f>
        <v>1306936893</v>
      </c>
      <c r="C18508" t="str">
        <f>"207V00000X"</f>
        <v>207V00000X</v>
      </c>
      <c r="D18508" t="str">
        <f>"DAVIS                    KATRINA                  "</f>
        <v xml:space="preserve">DAVIS                    KATRINA                  </v>
      </c>
      <c r="E18508" t="str">
        <f>"JACKSON                   "</f>
        <v xml:space="preserve">JACKSON                   </v>
      </c>
      <c r="F18508" t="str">
        <f t="shared" si="452"/>
        <v>MS</v>
      </c>
    </row>
    <row r="18509" spans="1:6" x14ac:dyDescent="0.25">
      <c r="A18509" t="str">
        <f>"200018988"</f>
        <v>200018988</v>
      </c>
      <c r="B18509" t="str">
        <f>"1720032733"</f>
        <v>1720032733</v>
      </c>
      <c r="C18509" t="str">
        <f>"207P00000X"</f>
        <v>207P00000X</v>
      </c>
      <c r="D18509" t="str">
        <f>"SWAMI                    RAJEEV                   "</f>
        <v xml:space="preserve">SWAMI                    RAJEEV                   </v>
      </c>
      <c r="E18509" t="str">
        <f>"OCEAN SPRINGS             "</f>
        <v xml:space="preserve">OCEAN SPRINGS             </v>
      </c>
      <c r="F18509" t="str">
        <f t="shared" si="452"/>
        <v>MS</v>
      </c>
    </row>
    <row r="18510" spans="1:6" x14ac:dyDescent="0.25">
      <c r="A18510" t="str">
        <f>"200018989"</f>
        <v>200018989</v>
      </c>
      <c r="B18510" t="str">
        <f>"1871272724"</f>
        <v>1871272724</v>
      </c>
      <c r="C18510" t="str">
        <f>"261QR1300X"</f>
        <v>261QR1300X</v>
      </c>
      <c r="D18510" t="str">
        <f>"35 SOUTH FAMILY MEDICAL                           "</f>
        <v xml:space="preserve">35 SOUTH FAMILY MEDICAL                           </v>
      </c>
      <c r="E18510" t="str">
        <f>"RALEIGH                   "</f>
        <v xml:space="preserve">RALEIGH                   </v>
      </c>
      <c r="F18510" t="str">
        <f t="shared" si="452"/>
        <v>MS</v>
      </c>
    </row>
    <row r="18511" spans="1:6" x14ac:dyDescent="0.25">
      <c r="A18511" t="str">
        <f>"200018996"</f>
        <v>200018996</v>
      </c>
      <c r="B18511" t="str">
        <f>"1356041974"</f>
        <v>1356041974</v>
      </c>
      <c r="C18511" t="str">
        <f>"363LN0005X"</f>
        <v>363LN0005X</v>
      </c>
      <c r="D18511" t="str">
        <f>"WATSON                   ERICA        D           "</f>
        <v xml:space="preserve">WATSON                   ERICA        D           </v>
      </c>
      <c r="E18511" t="str">
        <f>"MERIDIAN                  "</f>
        <v xml:space="preserve">MERIDIAN                  </v>
      </c>
      <c r="F18511" t="str">
        <f t="shared" si="452"/>
        <v>MS</v>
      </c>
    </row>
    <row r="18512" spans="1:6" x14ac:dyDescent="0.25">
      <c r="A18512" t="str">
        <f>"200018999"</f>
        <v>200018999</v>
      </c>
      <c r="B18512" t="str">
        <f>"1114367539"</f>
        <v>1114367539</v>
      </c>
      <c r="C18512" t="str">
        <f>"207R00000X"</f>
        <v>207R00000X</v>
      </c>
      <c r="D18512" t="str">
        <f>"JOHNSON RILEY            LANEE                    "</f>
        <v xml:space="preserve">JOHNSON RILEY            LANEE                    </v>
      </c>
      <c r="E18512" t="str">
        <f>"MERIDIAN                  "</f>
        <v xml:space="preserve">MERIDIAN                  </v>
      </c>
      <c r="F18512" t="str">
        <f t="shared" si="452"/>
        <v>MS</v>
      </c>
    </row>
    <row r="18513" spans="1:6" x14ac:dyDescent="0.25">
      <c r="A18513" t="str">
        <f>"200019000"</f>
        <v>200019000</v>
      </c>
      <c r="B18513" t="str">
        <f>"1154966067"</f>
        <v>1154966067</v>
      </c>
      <c r="C18513" t="str">
        <f>"363LP0808X"</f>
        <v>363LP0808X</v>
      </c>
      <c r="D18513" t="str">
        <f>"PAYNE                    ARGARET      S           "</f>
        <v xml:space="preserve">PAYNE                    ARGARET      S           </v>
      </c>
      <c r="E18513" t="str">
        <f>"OLIVE BRANCH              "</f>
        <v xml:space="preserve">OLIVE BRANCH              </v>
      </c>
      <c r="F18513" t="str">
        <f t="shared" si="452"/>
        <v>MS</v>
      </c>
    </row>
    <row r="18514" spans="1:6" x14ac:dyDescent="0.25">
      <c r="A18514" t="str">
        <f>"200019006"</f>
        <v>200019006</v>
      </c>
      <c r="B18514" t="str">
        <f>"1699937953"</f>
        <v>1699937953</v>
      </c>
      <c r="C18514" t="str">
        <f>"2084P0804X"</f>
        <v>2084P0804X</v>
      </c>
      <c r="D18514" t="str">
        <f>"PULAKHANDAM              SREELATHA                "</f>
        <v xml:space="preserve">PULAKHANDAM              SREELATHA                </v>
      </c>
      <c r="E18514" t="str">
        <f>"BILOXI                    "</f>
        <v xml:space="preserve">BILOXI                    </v>
      </c>
      <c r="F18514" t="str">
        <f t="shared" si="452"/>
        <v>MS</v>
      </c>
    </row>
    <row r="18515" spans="1:6" x14ac:dyDescent="0.25">
      <c r="A18515" t="str">
        <f>"200019019"</f>
        <v>200019019</v>
      </c>
      <c r="B18515" t="str">
        <f>"1205860418"</f>
        <v>1205860418</v>
      </c>
      <c r="C18515" t="str">
        <f>"122300000X"</f>
        <v>122300000X</v>
      </c>
      <c r="D18515" t="str">
        <f>"ALEXANDRA ENGEL DMD MS PC                         "</f>
        <v xml:space="preserve">ALEXANDRA ENGEL DMD MS PC                         </v>
      </c>
      <c r="E18515" t="str">
        <f>"CLARKSDALE                "</f>
        <v xml:space="preserve">CLARKSDALE                </v>
      </c>
      <c r="F18515" t="str">
        <f t="shared" si="452"/>
        <v>MS</v>
      </c>
    </row>
    <row r="18516" spans="1:6" x14ac:dyDescent="0.25">
      <c r="A18516" t="str">
        <f>"200019025"</f>
        <v>200019025</v>
      </c>
      <c r="B18516" t="str">
        <f>"1598595258"</f>
        <v>1598595258</v>
      </c>
      <c r="C18516" t="str">
        <f>"363L00000X"</f>
        <v>363L00000X</v>
      </c>
      <c r="D18516" t="str">
        <f>"HAMMOND                  JESSICA                  "</f>
        <v xml:space="preserve">HAMMOND                  JESSICA                  </v>
      </c>
      <c r="E18516" t="str">
        <f>"HATTIESBURG               "</f>
        <v xml:space="preserve">HATTIESBURG               </v>
      </c>
      <c r="F18516" t="str">
        <f t="shared" si="452"/>
        <v>MS</v>
      </c>
    </row>
    <row r="18517" spans="1:6" x14ac:dyDescent="0.25">
      <c r="A18517" t="str">
        <f>"200019030"</f>
        <v>200019030</v>
      </c>
      <c r="B18517" t="str">
        <f>"1821583196"</f>
        <v>1821583196</v>
      </c>
      <c r="C18517" t="str">
        <f>"363L00000X"</f>
        <v>363L00000X</v>
      </c>
      <c r="D18517" t="str">
        <f>"TRENT                    AMANDA                   "</f>
        <v xml:space="preserve">TRENT                    AMANDA                   </v>
      </c>
      <c r="E18517" t="str">
        <f>"FLOWOOD                   "</f>
        <v xml:space="preserve">FLOWOOD                   </v>
      </c>
      <c r="F18517" t="str">
        <f t="shared" si="452"/>
        <v>MS</v>
      </c>
    </row>
    <row r="18518" spans="1:6" x14ac:dyDescent="0.25">
      <c r="A18518" t="str">
        <f>"200019031"</f>
        <v>200019031</v>
      </c>
      <c r="B18518" t="str">
        <f>"1013586700"</f>
        <v>1013586700</v>
      </c>
      <c r="C18518" t="str">
        <f>"2085R0202X"</f>
        <v>2085R0202X</v>
      </c>
      <c r="D18518" t="str">
        <f>"IRVINE                   ANDREW       S           "</f>
        <v xml:space="preserve">IRVINE                   ANDREW       S           </v>
      </c>
      <c r="E18518" t="str">
        <f>"SOUTHAVEN                 "</f>
        <v xml:space="preserve">SOUTHAVEN                 </v>
      </c>
      <c r="F18518" t="str">
        <f t="shared" si="452"/>
        <v>MS</v>
      </c>
    </row>
    <row r="18519" spans="1:6" x14ac:dyDescent="0.25">
      <c r="A18519" t="str">
        <f>"200019032"</f>
        <v>200019032</v>
      </c>
      <c r="B18519" t="str">
        <f>"1285631275"</f>
        <v>1285631275</v>
      </c>
      <c r="C18519" t="str">
        <f>"363LF0000X"</f>
        <v>363LF0000X</v>
      </c>
      <c r="D18519" t="str">
        <f>"LIGON                    CYNTHIA                  "</f>
        <v xml:space="preserve">LIGON                    CYNTHIA                  </v>
      </c>
      <c r="E18519" t="str">
        <f>"HORN LAKE                 "</f>
        <v xml:space="preserve">HORN LAKE                 </v>
      </c>
      <c r="F18519" t="str">
        <f t="shared" si="452"/>
        <v>MS</v>
      </c>
    </row>
    <row r="18520" spans="1:6" x14ac:dyDescent="0.25">
      <c r="A18520" t="str">
        <f>"200019040"</f>
        <v>200019040</v>
      </c>
      <c r="B18520" t="str">
        <f>"1578920328"</f>
        <v>1578920328</v>
      </c>
      <c r="C18520" t="str">
        <f>"363LG0600X"</f>
        <v>363LG0600X</v>
      </c>
      <c r="D18520" t="str">
        <f>"BOYD                     SHANIKA                  "</f>
        <v xml:space="preserve">BOYD                     SHANIKA                  </v>
      </c>
      <c r="E18520" t="str">
        <f>"FLOWOOD                   "</f>
        <v xml:space="preserve">FLOWOOD                   </v>
      </c>
      <c r="F18520" t="str">
        <f t="shared" si="452"/>
        <v>MS</v>
      </c>
    </row>
    <row r="18521" spans="1:6" x14ac:dyDescent="0.25">
      <c r="A18521" t="str">
        <f>"200019041"</f>
        <v>200019041</v>
      </c>
      <c r="B18521" t="str">
        <f>"1669965505"</f>
        <v>1669965505</v>
      </c>
      <c r="C18521" t="str">
        <f>"367500000X"</f>
        <v>367500000X</v>
      </c>
      <c r="D18521" t="str">
        <f>"JOHNSTON                 KATELYN                  "</f>
        <v xml:space="preserve">JOHNSTON                 KATELYN                  </v>
      </c>
      <c r="E18521" t="str">
        <f>"GULFPORT                  "</f>
        <v xml:space="preserve">GULFPORT                  </v>
      </c>
      <c r="F18521" t="str">
        <f t="shared" si="452"/>
        <v>MS</v>
      </c>
    </row>
    <row r="18522" spans="1:6" x14ac:dyDescent="0.25">
      <c r="A18522" t="str">
        <f>"200019042"</f>
        <v>200019042</v>
      </c>
      <c r="B18522" t="str">
        <f>"1992045538"</f>
        <v>1992045538</v>
      </c>
      <c r="C18522" t="str">
        <f>"363L00000X"</f>
        <v>363L00000X</v>
      </c>
      <c r="D18522" t="str">
        <f>"WILBURN                  MICHELLE     O           "</f>
        <v xml:space="preserve">WILBURN                  MICHELLE     O           </v>
      </c>
      <c r="E18522" t="str">
        <f>"FLOWOOD                   "</f>
        <v xml:space="preserve">FLOWOOD                   </v>
      </c>
      <c r="F18522" t="str">
        <f t="shared" si="452"/>
        <v>MS</v>
      </c>
    </row>
    <row r="18523" spans="1:6" x14ac:dyDescent="0.25">
      <c r="A18523" t="str">
        <f>"200019056"</f>
        <v>200019056</v>
      </c>
      <c r="B18523" t="str">
        <f>"1639983034"</f>
        <v>1639983034</v>
      </c>
      <c r="C18523" t="str">
        <f>"363LP0808X"</f>
        <v>363LP0808X</v>
      </c>
      <c r="D18523" t="str">
        <f>"MOSER                    EMILY                    "</f>
        <v xml:space="preserve">MOSER                    EMILY                    </v>
      </c>
      <c r="E18523" t="str">
        <f>"HOUSTON                   "</f>
        <v xml:space="preserve">HOUSTON                   </v>
      </c>
      <c r="F18523" t="str">
        <f t="shared" si="452"/>
        <v>MS</v>
      </c>
    </row>
    <row r="18524" spans="1:6" x14ac:dyDescent="0.25">
      <c r="A18524" t="str">
        <f>"200019057"</f>
        <v>200019057</v>
      </c>
      <c r="B18524" t="str">
        <f>"1245959915"</f>
        <v>1245959915</v>
      </c>
      <c r="C18524" t="str">
        <f>"363LF0000X"</f>
        <v>363LF0000X</v>
      </c>
      <c r="D18524" t="str">
        <f>"LEWIS                    JOHN                     "</f>
        <v xml:space="preserve">LEWIS                    JOHN                     </v>
      </c>
      <c r="E18524" t="str">
        <f>"OXFORD                    "</f>
        <v xml:space="preserve">OXFORD                    </v>
      </c>
      <c r="F18524" t="str">
        <f t="shared" si="452"/>
        <v>MS</v>
      </c>
    </row>
    <row r="18525" spans="1:6" x14ac:dyDescent="0.25">
      <c r="A18525" t="str">
        <f>"200019061"</f>
        <v>200019061</v>
      </c>
      <c r="B18525" t="str">
        <f>"1427381151"</f>
        <v>1427381151</v>
      </c>
      <c r="C18525" t="str">
        <f>"363L00000X"</f>
        <v>363L00000X</v>
      </c>
      <c r="D18525" t="str">
        <f>"HARRINGTON               ERIN                     "</f>
        <v xml:space="preserve">HARRINGTON               ERIN                     </v>
      </c>
      <c r="E18525" t="str">
        <f>"FLOWOOD                   "</f>
        <v xml:space="preserve">FLOWOOD                   </v>
      </c>
      <c r="F18525" t="str">
        <f t="shared" si="452"/>
        <v>MS</v>
      </c>
    </row>
    <row r="18526" spans="1:6" x14ac:dyDescent="0.25">
      <c r="A18526" t="str">
        <f>"200019062"</f>
        <v>200019062</v>
      </c>
      <c r="B18526" t="str">
        <f>"1609947142"</f>
        <v>1609947142</v>
      </c>
      <c r="C18526" t="str">
        <f>"363L00000X"</f>
        <v>363L00000X</v>
      </c>
      <c r="D18526" t="str">
        <f>"TEW                      LEANNE       L           "</f>
        <v xml:space="preserve">TEW                      LEANNE       L           </v>
      </c>
      <c r="E18526" t="str">
        <f>"MERIDIAN                  "</f>
        <v xml:space="preserve">MERIDIAN                  </v>
      </c>
      <c r="F18526" t="str">
        <f t="shared" si="452"/>
        <v>MS</v>
      </c>
    </row>
    <row r="18527" spans="1:6" x14ac:dyDescent="0.25">
      <c r="A18527" t="str">
        <f>"200019064"</f>
        <v>200019064</v>
      </c>
      <c r="B18527" t="str">
        <f>"1932981149"</f>
        <v>1932981149</v>
      </c>
      <c r="C18527" t="str">
        <f>"363LF0000X"</f>
        <v>363LF0000X</v>
      </c>
      <c r="D18527" t="str">
        <f>"JAMES                    JODINE                   "</f>
        <v xml:space="preserve">JAMES                    JODINE                   </v>
      </c>
      <c r="E18527" t="str">
        <f>"SOUTHAVEN                 "</f>
        <v xml:space="preserve">SOUTHAVEN                 </v>
      </c>
      <c r="F18527" t="str">
        <f t="shared" si="452"/>
        <v>MS</v>
      </c>
    </row>
    <row r="18528" spans="1:6" x14ac:dyDescent="0.25">
      <c r="A18528" t="str">
        <f>"200019069"</f>
        <v>200019069</v>
      </c>
      <c r="B18528" t="str">
        <f>"1205972429"</f>
        <v>1205972429</v>
      </c>
      <c r="C18528" t="str">
        <f>"207L00000X"</f>
        <v>207L00000X</v>
      </c>
      <c r="D18528" t="str">
        <f>"EVANS                    DOUGLAS      A           "</f>
        <v xml:space="preserve">EVANS                    DOUGLAS      A           </v>
      </c>
      <c r="E18528" t="str">
        <f>"FLOWOOD                   "</f>
        <v xml:space="preserve">FLOWOOD                   </v>
      </c>
      <c r="F18528" t="str">
        <f t="shared" si="452"/>
        <v>MS</v>
      </c>
    </row>
    <row r="18529" spans="1:6" x14ac:dyDescent="0.25">
      <c r="A18529" t="str">
        <f>"200019070"</f>
        <v>200019070</v>
      </c>
      <c r="B18529" t="str">
        <f>"1083477210"</f>
        <v>1083477210</v>
      </c>
      <c r="C18529" t="str">
        <f>"363L00000X"</f>
        <v>363L00000X</v>
      </c>
      <c r="D18529" t="str">
        <f>"ENDRIS                   MARY         M           "</f>
        <v xml:space="preserve">ENDRIS                   MARY         M           </v>
      </c>
      <c r="E18529" t="str">
        <f>"FLOWOOD                   "</f>
        <v xml:space="preserve">FLOWOOD                   </v>
      </c>
      <c r="F18529" t="str">
        <f t="shared" si="452"/>
        <v>MS</v>
      </c>
    </row>
    <row r="18530" spans="1:6" x14ac:dyDescent="0.25">
      <c r="A18530" t="str">
        <f>"200019073"</f>
        <v>200019073</v>
      </c>
      <c r="B18530" t="str">
        <f>"1831588201"</f>
        <v>1831588201</v>
      </c>
      <c r="C18530" t="str">
        <f>"363LF0000X"</f>
        <v>363LF0000X</v>
      </c>
      <c r="D18530" t="str">
        <f>"LEE                      JESSICA                  "</f>
        <v xml:space="preserve">LEE                      JESSICA                  </v>
      </c>
      <c r="E18530" t="str">
        <f>"FLOWOOD                   "</f>
        <v xml:space="preserve">FLOWOOD                   </v>
      </c>
      <c r="F18530" t="str">
        <f t="shared" si="452"/>
        <v>MS</v>
      </c>
    </row>
    <row r="18531" spans="1:6" x14ac:dyDescent="0.25">
      <c r="A18531" t="str">
        <f>"200019075"</f>
        <v>200019075</v>
      </c>
      <c r="B18531" t="str">
        <f>"1629263421"</f>
        <v>1629263421</v>
      </c>
      <c r="C18531" t="str">
        <f>"207W00000X"</f>
        <v>207W00000X</v>
      </c>
      <c r="D18531" t="str">
        <f>"OBRIEN                   CHRISTOPHER  0           "</f>
        <v xml:space="preserve">OBRIEN                   CHRISTOPHER  0           </v>
      </c>
      <c r="E18531" t="str">
        <f>"JACKSON                   "</f>
        <v xml:space="preserve">JACKSON                   </v>
      </c>
      <c r="F18531" t="str">
        <f t="shared" si="452"/>
        <v>MS</v>
      </c>
    </row>
    <row r="18532" spans="1:6" x14ac:dyDescent="0.25">
      <c r="A18532" t="str">
        <f>"200019083"</f>
        <v>200019083</v>
      </c>
      <c r="B18532" t="str">
        <f>"1457181315"</f>
        <v>1457181315</v>
      </c>
      <c r="C18532" t="str">
        <f>"261QF0400X"</f>
        <v>261QF0400X</v>
      </c>
      <c r="D18532" t="str">
        <f>"COASTAL FAMILY HEALTH CENTER WIGGINS              "</f>
        <v xml:space="preserve">COASTAL FAMILY HEALTH CENTER WIGGINS              </v>
      </c>
      <c r="E18532" t="str">
        <f>"WIGGINS                   "</f>
        <v xml:space="preserve">WIGGINS                   </v>
      </c>
      <c r="F18532" t="str">
        <f t="shared" si="452"/>
        <v>MS</v>
      </c>
    </row>
    <row r="18533" spans="1:6" x14ac:dyDescent="0.25">
      <c r="A18533" t="str">
        <f>"200019089"</f>
        <v>200019089</v>
      </c>
      <c r="B18533" t="str">
        <f>"1639988520"</f>
        <v>1639988520</v>
      </c>
      <c r="C18533" t="str">
        <f>"363L00000X"</f>
        <v>363L00000X</v>
      </c>
      <c r="D18533" t="str">
        <f>"THOMAS                   LASHONDA                 "</f>
        <v xml:space="preserve">THOMAS                   LASHONDA                 </v>
      </c>
      <c r="E18533" t="str">
        <f>"FLOWOOD                   "</f>
        <v xml:space="preserve">FLOWOOD                   </v>
      </c>
      <c r="F18533" t="str">
        <f t="shared" si="452"/>
        <v>MS</v>
      </c>
    </row>
    <row r="18534" spans="1:6" x14ac:dyDescent="0.25">
      <c r="A18534" t="str">
        <f>"200019091"</f>
        <v>200019091</v>
      </c>
      <c r="B18534" t="str">
        <f>"1245438860"</f>
        <v>1245438860</v>
      </c>
      <c r="C18534" t="str">
        <f>"207RG0100X"</f>
        <v>207RG0100X</v>
      </c>
      <c r="D18534" t="str">
        <f>"MCCRARY                  JEFFREY                  "</f>
        <v xml:space="preserve">MCCRARY                  JEFFREY                  </v>
      </c>
      <c r="E18534" t="str">
        <f>"JACKSON                   "</f>
        <v xml:space="preserve">JACKSON                   </v>
      </c>
      <c r="F18534" t="str">
        <f t="shared" si="452"/>
        <v>MS</v>
      </c>
    </row>
    <row r="18535" spans="1:6" x14ac:dyDescent="0.25">
      <c r="A18535" t="str">
        <f>"200019099"</f>
        <v>200019099</v>
      </c>
      <c r="B18535" t="str">
        <f>"1053570432"</f>
        <v>1053570432</v>
      </c>
      <c r="C18535" t="str">
        <f>"207RG0100X"</f>
        <v>207RG0100X</v>
      </c>
      <c r="D18535" t="str">
        <f>"ALNOAH                   ZAID                     "</f>
        <v xml:space="preserve">ALNOAH                   ZAID                     </v>
      </c>
      <c r="E18535" t="str">
        <f>"OCEAN SPRINGS             "</f>
        <v xml:space="preserve">OCEAN SPRINGS             </v>
      </c>
      <c r="F18535" t="str">
        <f t="shared" si="452"/>
        <v>MS</v>
      </c>
    </row>
    <row r="18536" spans="1:6" x14ac:dyDescent="0.25">
      <c r="A18536" t="str">
        <f>"200019100"</f>
        <v>200019100</v>
      </c>
      <c r="B18536" t="str">
        <f>"1437230679"</f>
        <v>1437230679</v>
      </c>
      <c r="C18536" t="str">
        <f>"363L00000X"</f>
        <v>363L00000X</v>
      </c>
      <c r="D18536" t="str">
        <f>"BOATWRIGHT               NANCY                    "</f>
        <v xml:space="preserve">BOATWRIGHT               NANCY                    </v>
      </c>
      <c r="E18536" t="str">
        <f>"SOUTHAVEN                 "</f>
        <v xml:space="preserve">SOUTHAVEN                 </v>
      </c>
      <c r="F18536" t="str">
        <f t="shared" si="452"/>
        <v>MS</v>
      </c>
    </row>
    <row r="18537" spans="1:6" x14ac:dyDescent="0.25">
      <c r="A18537" t="str">
        <f>"200019106"</f>
        <v>200019106</v>
      </c>
      <c r="B18537" t="str">
        <f>"1124783527"</f>
        <v>1124783527</v>
      </c>
      <c r="C18537" t="str">
        <f>"367500000X"</f>
        <v>367500000X</v>
      </c>
      <c r="D18537" t="str">
        <f>"CONDIT                   BRIAN                    "</f>
        <v xml:space="preserve">CONDIT                   BRIAN                    </v>
      </c>
      <c r="E18537" t="str">
        <f>"TUPELO                    "</f>
        <v xml:space="preserve">TUPELO                    </v>
      </c>
      <c r="F18537" t="str">
        <f t="shared" si="452"/>
        <v>MS</v>
      </c>
    </row>
    <row r="18538" spans="1:6" x14ac:dyDescent="0.25">
      <c r="A18538" t="str">
        <f>"200019121"</f>
        <v>200019121</v>
      </c>
      <c r="B18538" t="str">
        <f>"1548062995"</f>
        <v>1548062995</v>
      </c>
      <c r="C18538" t="str">
        <f>"1223G0001X"</f>
        <v>1223G0001X</v>
      </c>
      <c r="D18538" t="str">
        <f>"HAPPY SMILES - OLIVE BRANCH LLC                   "</f>
        <v xml:space="preserve">HAPPY SMILES - OLIVE BRANCH LLC                   </v>
      </c>
      <c r="E18538" t="str">
        <f>"OLIVE BRANCH              "</f>
        <v xml:space="preserve">OLIVE BRANCH              </v>
      </c>
      <c r="F18538" t="str">
        <f t="shared" si="452"/>
        <v>MS</v>
      </c>
    </row>
    <row r="18539" spans="1:6" x14ac:dyDescent="0.25">
      <c r="A18539" t="str">
        <f>"200019125"</f>
        <v>200019125</v>
      </c>
      <c r="B18539" t="str">
        <f>"1326305483"</f>
        <v>1326305483</v>
      </c>
      <c r="C18539" t="str">
        <f>"2085R0202X"</f>
        <v>2085R0202X</v>
      </c>
      <c r="D18539" t="str">
        <f>"ROEDER                   ZACHARY      S           "</f>
        <v xml:space="preserve">ROEDER                   ZACHARY      S           </v>
      </c>
      <c r="E18539" t="str">
        <f>"MERIDIAN                  "</f>
        <v xml:space="preserve">MERIDIAN                  </v>
      </c>
      <c r="F18539" t="str">
        <f t="shared" si="452"/>
        <v>MS</v>
      </c>
    </row>
    <row r="18540" spans="1:6" x14ac:dyDescent="0.25">
      <c r="A18540" t="str">
        <f>"200019127"</f>
        <v>200019127</v>
      </c>
      <c r="B18540" t="str">
        <f>"1992070825"</f>
        <v>1992070825</v>
      </c>
      <c r="C18540" t="str">
        <f>"363LF0000X"</f>
        <v>363LF0000X</v>
      </c>
      <c r="D18540" t="str">
        <f>"RUSSELL                  MORLYN                   "</f>
        <v xml:space="preserve">RUSSELL                  MORLYN                   </v>
      </c>
      <c r="E18540" t="str">
        <f>"JACKSON                   "</f>
        <v xml:space="preserve">JACKSON                   </v>
      </c>
      <c r="F18540" t="str">
        <f t="shared" si="452"/>
        <v>MS</v>
      </c>
    </row>
    <row r="18541" spans="1:6" x14ac:dyDescent="0.25">
      <c r="A18541" t="str">
        <f>"200019128"</f>
        <v>200019128</v>
      </c>
      <c r="B18541" t="str">
        <f>"1063223287"</f>
        <v>1063223287</v>
      </c>
      <c r="C18541" t="str">
        <f>"363LF0000X"</f>
        <v>363LF0000X</v>
      </c>
      <c r="D18541" t="str">
        <f>"WELLS                    TRACY                    "</f>
        <v xml:space="preserve">WELLS                    TRACY                    </v>
      </c>
      <c r="E18541" t="str">
        <f>"TUPELO                    "</f>
        <v xml:space="preserve">TUPELO                    </v>
      </c>
      <c r="F18541" t="str">
        <f t="shared" si="452"/>
        <v>MS</v>
      </c>
    </row>
    <row r="18542" spans="1:6" x14ac:dyDescent="0.25">
      <c r="A18542" t="str">
        <f>"200019142"</f>
        <v>200019142</v>
      </c>
      <c r="B18542" t="str">
        <f>"1861009714"</f>
        <v>1861009714</v>
      </c>
      <c r="C18542" t="str">
        <f>"363L00000X"</f>
        <v>363L00000X</v>
      </c>
      <c r="D18542" t="str">
        <f>"CORCORAN                 APRIL                    "</f>
        <v xml:space="preserve">CORCORAN                 APRIL                    </v>
      </c>
      <c r="E18542" t="str">
        <f>"FLOWOOD                   "</f>
        <v xml:space="preserve">FLOWOOD                   </v>
      </c>
      <c r="F18542" t="str">
        <f t="shared" si="452"/>
        <v>MS</v>
      </c>
    </row>
    <row r="18543" spans="1:6" x14ac:dyDescent="0.25">
      <c r="A18543" t="str">
        <f>"200019143"</f>
        <v>200019143</v>
      </c>
      <c r="B18543" t="str">
        <f>"1861009714"</f>
        <v>1861009714</v>
      </c>
      <c r="C18543" t="str">
        <f>"363LP0808X"</f>
        <v>363LP0808X</v>
      </c>
      <c r="D18543" t="str">
        <f>"CORCORAN                 APRIL                    "</f>
        <v xml:space="preserve">CORCORAN                 APRIL                    </v>
      </c>
      <c r="E18543" t="str">
        <f>"FLOWOOD                   "</f>
        <v xml:space="preserve">FLOWOOD                   </v>
      </c>
      <c r="F18543" t="str">
        <f t="shared" si="452"/>
        <v>MS</v>
      </c>
    </row>
    <row r="18544" spans="1:6" x14ac:dyDescent="0.25">
      <c r="A18544" t="str">
        <f>"200019144"</f>
        <v>200019144</v>
      </c>
      <c r="B18544" t="str">
        <f>"1639977135"</f>
        <v>1639977135</v>
      </c>
      <c r="C18544" t="str">
        <f>"363LA2100X"</f>
        <v>363LA2100X</v>
      </c>
      <c r="D18544" t="str">
        <f>"POWELL                   PAIGE                    "</f>
        <v xml:space="preserve">POWELL                   PAIGE                    </v>
      </c>
      <c r="E18544" t="str">
        <f>"OCEAN SPRINGS             "</f>
        <v xml:space="preserve">OCEAN SPRINGS             </v>
      </c>
      <c r="F18544" t="str">
        <f t="shared" si="452"/>
        <v>MS</v>
      </c>
    </row>
    <row r="18545" spans="1:6" x14ac:dyDescent="0.25">
      <c r="A18545" t="str">
        <f>"200019145"</f>
        <v>200019145</v>
      </c>
      <c r="B18545" t="str">
        <f>"1215437058"</f>
        <v>1215437058</v>
      </c>
      <c r="C18545" t="str">
        <f>"363L00000X"</f>
        <v>363L00000X</v>
      </c>
      <c r="D18545" t="str">
        <f>"MCCOY                    REKITA                   "</f>
        <v xml:space="preserve">MCCOY                    REKITA                   </v>
      </c>
      <c r="E18545" t="str">
        <f>"FLOWOOD                   "</f>
        <v xml:space="preserve">FLOWOOD                   </v>
      </c>
      <c r="F18545" t="str">
        <f t="shared" si="452"/>
        <v>MS</v>
      </c>
    </row>
    <row r="18546" spans="1:6" x14ac:dyDescent="0.25">
      <c r="A18546" t="str">
        <f>"200019146"</f>
        <v>200019146</v>
      </c>
      <c r="B18546" t="str">
        <f>"1649862335"</f>
        <v>1649862335</v>
      </c>
      <c r="C18546" t="str">
        <f>"363L00000X"</f>
        <v>363L00000X</v>
      </c>
      <c r="D18546" t="str">
        <f>"HOHMAN                   JEANNE                   "</f>
        <v xml:space="preserve">HOHMAN                   JEANNE                   </v>
      </c>
      <c r="E18546" t="str">
        <f>"FLOWOOD                   "</f>
        <v xml:space="preserve">FLOWOOD                   </v>
      </c>
      <c r="F18546" t="str">
        <f t="shared" si="452"/>
        <v>MS</v>
      </c>
    </row>
    <row r="18547" spans="1:6" x14ac:dyDescent="0.25">
      <c r="A18547" t="str">
        <f>"200019147"</f>
        <v>200019147</v>
      </c>
      <c r="B18547" t="str">
        <f>"1194962944"</f>
        <v>1194962944</v>
      </c>
      <c r="C18547" t="str">
        <f>"207XX0801X"</f>
        <v>207XX0801X</v>
      </c>
      <c r="D18547" t="str">
        <f>"BERGIN                   PATRICK                  "</f>
        <v xml:space="preserve">BERGIN                   PATRICK                  </v>
      </c>
      <c r="E18547" t="str">
        <f>"MADISON                   "</f>
        <v xml:space="preserve">MADISON                   </v>
      </c>
      <c r="F18547" t="str">
        <f t="shared" si="452"/>
        <v>MS</v>
      </c>
    </row>
    <row r="18548" spans="1:6" x14ac:dyDescent="0.25">
      <c r="A18548" t="str">
        <f>"200019155"</f>
        <v>200019155</v>
      </c>
      <c r="B18548" t="str">
        <f>"1154872539"</f>
        <v>1154872539</v>
      </c>
      <c r="C18548" t="str">
        <f>"363LF0000X"</f>
        <v>363LF0000X</v>
      </c>
      <c r="D18548" t="str">
        <f>"BORRELLI                 TILLIE                   "</f>
        <v xml:space="preserve">BORRELLI                 TILLIE                   </v>
      </c>
      <c r="E18548" t="str">
        <f>"JACKSON                   "</f>
        <v xml:space="preserve">JACKSON                   </v>
      </c>
      <c r="F18548" t="str">
        <f t="shared" si="452"/>
        <v>MS</v>
      </c>
    </row>
    <row r="18549" spans="1:6" x14ac:dyDescent="0.25">
      <c r="A18549" t="str">
        <f>"200019156"</f>
        <v>200019156</v>
      </c>
      <c r="B18549" t="str">
        <f>"1225699325"</f>
        <v>1225699325</v>
      </c>
      <c r="C18549" t="str">
        <f>"363LP2300X"</f>
        <v>363LP2300X</v>
      </c>
      <c r="D18549" t="str">
        <f>"BAKER                    LAUREN                   "</f>
        <v xml:space="preserve">BAKER                    LAUREN                   </v>
      </c>
      <c r="E18549" t="str">
        <f>"SOUTHAVEN                 "</f>
        <v xml:space="preserve">SOUTHAVEN                 </v>
      </c>
      <c r="F18549" t="str">
        <f t="shared" si="452"/>
        <v>MS</v>
      </c>
    </row>
    <row r="18550" spans="1:6" x14ac:dyDescent="0.25">
      <c r="A18550" t="str">
        <f>"200019161"</f>
        <v>200019161</v>
      </c>
      <c r="B18550" t="str">
        <f>"1114918224"</f>
        <v>1114918224</v>
      </c>
      <c r="C18550" t="str">
        <f>"2081P2900X"</f>
        <v>2081P2900X</v>
      </c>
      <c r="D18550" t="str">
        <f>"KRAUS                    ALAN         J           "</f>
        <v xml:space="preserve">KRAUS                    ALAN         J           </v>
      </c>
      <c r="E18550" t="str">
        <f>"SOUTHAVEN                 "</f>
        <v xml:space="preserve">SOUTHAVEN                 </v>
      </c>
      <c r="F18550" t="str">
        <f t="shared" si="452"/>
        <v>MS</v>
      </c>
    </row>
    <row r="18551" spans="1:6" x14ac:dyDescent="0.25">
      <c r="A18551" t="str">
        <f>"200019167"</f>
        <v>200019167</v>
      </c>
      <c r="B18551" t="str">
        <f>"1285102798"</f>
        <v>1285102798</v>
      </c>
      <c r="C18551" t="str">
        <f>"363LA2100X"</f>
        <v>363LA2100X</v>
      </c>
      <c r="D18551" t="str">
        <f>"JOSLIN                   AMY                      "</f>
        <v xml:space="preserve">JOSLIN                   AMY                      </v>
      </c>
      <c r="E18551" t="str">
        <f>"ABERDEEN                  "</f>
        <v xml:space="preserve">ABERDEEN                  </v>
      </c>
      <c r="F18551" t="str">
        <f t="shared" si="452"/>
        <v>MS</v>
      </c>
    </row>
    <row r="18552" spans="1:6" x14ac:dyDescent="0.25">
      <c r="A18552" t="str">
        <f>"200019174"</f>
        <v>200019174</v>
      </c>
      <c r="B18552" t="str">
        <f>"1336646199"</f>
        <v>1336646199</v>
      </c>
      <c r="C18552" t="str">
        <f>"207R00000X"</f>
        <v>207R00000X</v>
      </c>
      <c r="D18552" t="str">
        <f>"THEKEKARA                JOEL                     "</f>
        <v xml:space="preserve">THEKEKARA                JOEL                     </v>
      </c>
      <c r="E18552" t="str">
        <f>"JACKSON                   "</f>
        <v xml:space="preserve">JACKSON                   </v>
      </c>
      <c r="F18552" t="str">
        <f t="shared" si="452"/>
        <v>MS</v>
      </c>
    </row>
    <row r="18553" spans="1:6" x14ac:dyDescent="0.25">
      <c r="A18553" t="str">
        <f>"200019180"</f>
        <v>200019180</v>
      </c>
      <c r="B18553" t="str">
        <f>"1134945538"</f>
        <v>1134945538</v>
      </c>
      <c r="C18553" t="str">
        <f>"363LA2100X"</f>
        <v>363LA2100X</v>
      </c>
      <c r="D18553" t="str">
        <f>"HAMMOND                  JESSICA                  "</f>
        <v xml:space="preserve">HAMMOND                  JESSICA                  </v>
      </c>
      <c r="E18553" t="str">
        <f>"JACKSON                   "</f>
        <v xml:space="preserve">JACKSON                   </v>
      </c>
      <c r="F18553" t="str">
        <f t="shared" si="452"/>
        <v>MS</v>
      </c>
    </row>
    <row r="18554" spans="1:6" x14ac:dyDescent="0.25">
      <c r="A18554" t="str">
        <f>"200019181"</f>
        <v>200019181</v>
      </c>
      <c r="B18554" t="str">
        <f>"1952866295"</f>
        <v>1952866295</v>
      </c>
      <c r="C18554" t="str">
        <f>"363LF0000X"</f>
        <v>363LF0000X</v>
      </c>
      <c r="D18554" t="str">
        <f>"EAGLEBARGER              JENNIFER                 "</f>
        <v xml:space="preserve">EAGLEBARGER              JENNIFER                 </v>
      </c>
      <c r="E18554" t="str">
        <f>"OCEAN SPRINGS             "</f>
        <v xml:space="preserve">OCEAN SPRINGS             </v>
      </c>
      <c r="F18554" t="str">
        <f t="shared" si="452"/>
        <v>MS</v>
      </c>
    </row>
    <row r="18555" spans="1:6" x14ac:dyDescent="0.25">
      <c r="A18555" t="str">
        <f>"200019183"</f>
        <v>200019183</v>
      </c>
      <c r="B18555" t="str">
        <f>"1518165539"</f>
        <v>1518165539</v>
      </c>
      <c r="C18555" t="str">
        <f>"2084N0400X"</f>
        <v>2084N0400X</v>
      </c>
      <c r="D18555" t="str">
        <f>"KORABATHINA              KALYANI                  "</f>
        <v xml:space="preserve">KORABATHINA              KALYANI                  </v>
      </c>
      <c r="E18555" t="str">
        <f>"TUPELO                    "</f>
        <v xml:space="preserve">TUPELO                    </v>
      </c>
      <c r="F18555" t="str">
        <f t="shared" si="452"/>
        <v>MS</v>
      </c>
    </row>
    <row r="18556" spans="1:6" x14ac:dyDescent="0.25">
      <c r="A18556" t="str">
        <f>"200019189"</f>
        <v>200019189</v>
      </c>
      <c r="B18556" t="str">
        <f>"1043820426"</f>
        <v>1043820426</v>
      </c>
      <c r="C18556" t="str">
        <f>"261QR1300X"</f>
        <v>261QR1300X</v>
      </c>
      <c r="D18556" t="str">
        <f>"HIGHLAND CENTER FOR WOMEN'S HEALTH RHC            "</f>
        <v xml:space="preserve">HIGHLAND CENTER FOR WOMEN'S HEALTH RHC            </v>
      </c>
      <c r="E18556" t="str">
        <f>"PICAYUNE                  "</f>
        <v xml:space="preserve">PICAYUNE                  </v>
      </c>
      <c r="F18556" t="str">
        <f t="shared" si="452"/>
        <v>MS</v>
      </c>
    </row>
    <row r="18557" spans="1:6" x14ac:dyDescent="0.25">
      <c r="A18557" t="str">
        <f>"200019193"</f>
        <v>200019193</v>
      </c>
      <c r="B18557" t="str">
        <f>"1164630117"</f>
        <v>1164630117</v>
      </c>
      <c r="C18557" t="str">
        <f>"2085R0202X"</f>
        <v>2085R0202X</v>
      </c>
      <c r="D18557" t="str">
        <f>"OBEMBE                   OLUFOLAJIMI  O           "</f>
        <v xml:space="preserve">OBEMBE                   OLUFOLAJIMI  O           </v>
      </c>
      <c r="E18557" t="str">
        <f>"MERIDIAN                  "</f>
        <v xml:space="preserve">MERIDIAN                  </v>
      </c>
      <c r="F18557" t="str">
        <f t="shared" si="452"/>
        <v>MS</v>
      </c>
    </row>
    <row r="18558" spans="1:6" x14ac:dyDescent="0.25">
      <c r="A18558" t="str">
        <f>"200019197"</f>
        <v>200019197</v>
      </c>
      <c r="B18558" t="str">
        <f>"1659508612"</f>
        <v>1659508612</v>
      </c>
      <c r="C18558" t="str">
        <f>"363L00000X"</f>
        <v>363L00000X</v>
      </c>
      <c r="D18558" t="str">
        <f>"STONEFIELD               DEBORAH                  "</f>
        <v xml:space="preserve">STONEFIELD               DEBORAH                  </v>
      </c>
      <c r="E18558" t="str">
        <f>"FLOWOOD                   "</f>
        <v xml:space="preserve">FLOWOOD                   </v>
      </c>
      <c r="F18558" t="str">
        <f t="shared" ref="F18558:F18621" si="453">"MS"</f>
        <v>MS</v>
      </c>
    </row>
    <row r="18559" spans="1:6" x14ac:dyDescent="0.25">
      <c r="A18559" t="str">
        <f>"200019204"</f>
        <v>200019204</v>
      </c>
      <c r="B18559" t="str">
        <f>"1932740578"</f>
        <v>1932740578</v>
      </c>
      <c r="C18559" t="str">
        <f>"363LF0000X"</f>
        <v>363LF0000X</v>
      </c>
      <c r="D18559" t="str">
        <f>"HALL                     FELISA                   "</f>
        <v xml:space="preserve">HALL                     FELISA                   </v>
      </c>
      <c r="E18559" t="str">
        <f>"FLOWOOD                   "</f>
        <v xml:space="preserve">FLOWOOD                   </v>
      </c>
      <c r="F18559" t="str">
        <f t="shared" si="453"/>
        <v>MS</v>
      </c>
    </row>
    <row r="18560" spans="1:6" x14ac:dyDescent="0.25">
      <c r="A18560" t="str">
        <f>"200019211"</f>
        <v>200019211</v>
      </c>
      <c r="B18560" t="str">
        <f>"1407621840"</f>
        <v>1407621840</v>
      </c>
      <c r="C18560" t="str">
        <f>"363L00000X"</f>
        <v>363L00000X</v>
      </c>
      <c r="D18560" t="str">
        <f>"BROWN                    JANIKA                   "</f>
        <v xml:space="preserve">BROWN                    JANIKA                   </v>
      </c>
      <c r="E18560" t="str">
        <f>"GREENWOOD                 "</f>
        <v xml:space="preserve">GREENWOOD                 </v>
      </c>
      <c r="F18560" t="str">
        <f t="shared" si="453"/>
        <v>MS</v>
      </c>
    </row>
    <row r="18561" spans="1:6" x14ac:dyDescent="0.25">
      <c r="A18561" t="str">
        <f>"200019219"</f>
        <v>200019219</v>
      </c>
      <c r="B18561" t="str">
        <f>"1174270011"</f>
        <v>1174270011</v>
      </c>
      <c r="C18561" t="str">
        <f>"363L00000X"</f>
        <v>363L00000X</v>
      </c>
      <c r="D18561" t="str">
        <f>"DYE                      MEGHAN                   "</f>
        <v xml:space="preserve">DYE                      MEGHAN                   </v>
      </c>
      <c r="E18561" t="str">
        <f>"BAY ST LOUIS              "</f>
        <v xml:space="preserve">BAY ST LOUIS              </v>
      </c>
      <c r="F18561" t="str">
        <f t="shared" si="453"/>
        <v>MS</v>
      </c>
    </row>
    <row r="18562" spans="1:6" x14ac:dyDescent="0.25">
      <c r="A18562" t="str">
        <f>"200019225"</f>
        <v>200019225</v>
      </c>
      <c r="B18562" t="str">
        <f>"1407147044"</f>
        <v>1407147044</v>
      </c>
      <c r="C18562" t="str">
        <f>"2085R0202X"</f>
        <v>2085R0202X</v>
      </c>
      <c r="D18562" t="str">
        <f>"KOPEC                    MARCIN       A           "</f>
        <v xml:space="preserve">KOPEC                    MARCIN       A           </v>
      </c>
      <c r="E18562" t="str">
        <f>"MERIDIAN                  "</f>
        <v xml:space="preserve">MERIDIAN                  </v>
      </c>
      <c r="F18562" t="str">
        <f t="shared" si="453"/>
        <v>MS</v>
      </c>
    </row>
    <row r="18563" spans="1:6" x14ac:dyDescent="0.25">
      <c r="A18563" t="str">
        <f>"200019227"</f>
        <v>200019227</v>
      </c>
      <c r="B18563" t="str">
        <f>"1922615293"</f>
        <v>1922615293</v>
      </c>
      <c r="C18563" t="str">
        <f>"363LF0000X"</f>
        <v>363LF0000X</v>
      </c>
      <c r="D18563" t="str">
        <f>"TOWNSEND                 MARIA                    "</f>
        <v xml:space="preserve">TOWNSEND                 MARIA                    </v>
      </c>
      <c r="E18563" t="str">
        <f>"RICHLAND                  "</f>
        <v xml:space="preserve">RICHLAND                  </v>
      </c>
      <c r="F18563" t="str">
        <f t="shared" si="453"/>
        <v>MS</v>
      </c>
    </row>
    <row r="18564" spans="1:6" x14ac:dyDescent="0.25">
      <c r="A18564" t="str">
        <f>"200019233"</f>
        <v>200019233</v>
      </c>
      <c r="B18564" t="str">
        <f>"1578124186"</f>
        <v>1578124186</v>
      </c>
      <c r="C18564" t="str">
        <f>"363LA2100X"</f>
        <v>363LA2100X</v>
      </c>
      <c r="D18564" t="str">
        <f>"BARNES                   CASIE        W           "</f>
        <v xml:space="preserve">BARNES                   CASIE        W           </v>
      </c>
      <c r="E18564" t="str">
        <f>"HATTIESBURG               "</f>
        <v xml:space="preserve">HATTIESBURG               </v>
      </c>
      <c r="F18564" t="str">
        <f t="shared" si="453"/>
        <v>MS</v>
      </c>
    </row>
    <row r="18565" spans="1:6" x14ac:dyDescent="0.25">
      <c r="A18565" t="str">
        <f>"200019234"</f>
        <v>200019234</v>
      </c>
      <c r="B18565" t="str">
        <f>"1063733319"</f>
        <v>1063733319</v>
      </c>
      <c r="C18565" t="str">
        <f>"363LF0000X"</f>
        <v>363LF0000X</v>
      </c>
      <c r="D18565" t="str">
        <f>"WEGLINSKI                ARLENE       L           "</f>
        <v xml:space="preserve">WEGLINSKI                ARLENE       L           </v>
      </c>
      <c r="E18565" t="str">
        <f>"JACKSON                   "</f>
        <v xml:space="preserve">JACKSON                   </v>
      </c>
      <c r="F18565" t="str">
        <f t="shared" si="453"/>
        <v>MS</v>
      </c>
    </row>
    <row r="18566" spans="1:6" x14ac:dyDescent="0.25">
      <c r="A18566" t="str">
        <f>"200019239"</f>
        <v>200019239</v>
      </c>
      <c r="B18566" t="str">
        <f>"1194377457"</f>
        <v>1194377457</v>
      </c>
      <c r="C18566" t="str">
        <f>"363L00000X"</f>
        <v>363L00000X</v>
      </c>
      <c r="D18566" t="str">
        <f>"SMITH                    SARAH                    "</f>
        <v xml:space="preserve">SMITH                    SARAH                    </v>
      </c>
      <c r="E18566" t="str">
        <f>"JACKSON                   "</f>
        <v xml:space="preserve">JACKSON                   </v>
      </c>
      <c r="F18566" t="str">
        <f t="shared" si="453"/>
        <v>MS</v>
      </c>
    </row>
    <row r="18567" spans="1:6" x14ac:dyDescent="0.25">
      <c r="A18567" t="str">
        <f>"200019258"</f>
        <v>200019258</v>
      </c>
      <c r="B18567" t="str">
        <f>"1063943884"</f>
        <v>1063943884</v>
      </c>
      <c r="C18567" t="str">
        <f>"2086S0129X"</f>
        <v>2086S0129X</v>
      </c>
      <c r="D18567" t="str">
        <f>"LOTT                     COLTON       A           "</f>
        <v xml:space="preserve">LOTT                     COLTON       A           </v>
      </c>
      <c r="E18567" t="str">
        <f>"HATTIESBURG               "</f>
        <v xml:space="preserve">HATTIESBURG               </v>
      </c>
      <c r="F18567" t="str">
        <f t="shared" si="453"/>
        <v>MS</v>
      </c>
    </row>
    <row r="18568" spans="1:6" x14ac:dyDescent="0.25">
      <c r="A18568" t="str">
        <f>"200019259"</f>
        <v>200019259</v>
      </c>
      <c r="B18568" t="str">
        <f>"1396518726"</f>
        <v>1396518726</v>
      </c>
      <c r="C18568" t="str">
        <f>"122300000X"</f>
        <v>122300000X</v>
      </c>
      <c r="D18568" t="str">
        <f>"HARTLEY                  CHAD                     "</f>
        <v xml:space="preserve">HARTLEY                  CHAD                     </v>
      </c>
      <c r="E18568" t="str">
        <f>"MERIDIAN                  "</f>
        <v xml:space="preserve">MERIDIAN                  </v>
      </c>
      <c r="F18568" t="str">
        <f t="shared" si="453"/>
        <v>MS</v>
      </c>
    </row>
    <row r="18569" spans="1:6" x14ac:dyDescent="0.25">
      <c r="A18569" t="str">
        <f>"200019262"</f>
        <v>200019262</v>
      </c>
      <c r="B18569" t="str">
        <f>"1215435417"</f>
        <v>1215435417</v>
      </c>
      <c r="C18569" t="str">
        <f>"363LF0000X"</f>
        <v>363LF0000X</v>
      </c>
      <c r="D18569" t="str">
        <f>"PADILLA                  VANNA                    "</f>
        <v xml:space="preserve">PADILLA                  VANNA                    </v>
      </c>
      <c r="E18569" t="str">
        <f>"WEST POINT                "</f>
        <v xml:space="preserve">WEST POINT                </v>
      </c>
      <c r="F18569" t="str">
        <f t="shared" si="453"/>
        <v>MS</v>
      </c>
    </row>
    <row r="18570" spans="1:6" x14ac:dyDescent="0.25">
      <c r="A18570" t="str">
        <f>"200019265"</f>
        <v>200019265</v>
      </c>
      <c r="B18570" t="str">
        <f>"1669151817"</f>
        <v>1669151817</v>
      </c>
      <c r="C18570" t="str">
        <f>"363LF0000X"</f>
        <v>363LF0000X</v>
      </c>
      <c r="D18570" t="str">
        <f>"HEITER                   HEATHER                  "</f>
        <v xml:space="preserve">HEITER                   HEATHER                  </v>
      </c>
      <c r="E18570" t="str">
        <f>"JACKSON                   "</f>
        <v xml:space="preserve">JACKSON                   </v>
      </c>
      <c r="F18570" t="str">
        <f t="shared" si="453"/>
        <v>MS</v>
      </c>
    </row>
    <row r="18571" spans="1:6" x14ac:dyDescent="0.25">
      <c r="A18571" t="str">
        <f>"200019270"</f>
        <v>200019270</v>
      </c>
      <c r="B18571" t="str">
        <f>"1962022533"</f>
        <v>1962022533</v>
      </c>
      <c r="C18571" t="str">
        <f>"1223G0001X"</f>
        <v>1223G0001X</v>
      </c>
      <c r="D18571" t="str">
        <f>"BOUNDS                   ALI                      "</f>
        <v xml:space="preserve">BOUNDS                   ALI                      </v>
      </c>
      <c r="E18571" t="str">
        <f>"WAYNESBORO                "</f>
        <v xml:space="preserve">WAYNESBORO                </v>
      </c>
      <c r="F18571" t="str">
        <f t="shared" si="453"/>
        <v>MS</v>
      </c>
    </row>
    <row r="18572" spans="1:6" x14ac:dyDescent="0.25">
      <c r="A18572" t="str">
        <f>"200019277"</f>
        <v>200019277</v>
      </c>
      <c r="B18572" t="str">
        <f>"1962759589"</f>
        <v>1962759589</v>
      </c>
      <c r="C18572" t="str">
        <f>"2085R0202X"</f>
        <v>2085R0202X</v>
      </c>
      <c r="D18572" t="str">
        <f>"CANTRELL                 SARAH        0           "</f>
        <v xml:space="preserve">CANTRELL                 SARAH        0           </v>
      </c>
      <c r="E18572" t="str">
        <f>"JACKSON                   "</f>
        <v xml:space="preserve">JACKSON                   </v>
      </c>
      <c r="F18572" t="str">
        <f t="shared" si="453"/>
        <v>MS</v>
      </c>
    </row>
    <row r="18573" spans="1:6" x14ac:dyDescent="0.25">
      <c r="A18573" t="str">
        <f>"200019280"</f>
        <v>200019280</v>
      </c>
      <c r="B18573" t="str">
        <f>"1891357588"</f>
        <v>1891357588</v>
      </c>
      <c r="C18573" t="str">
        <f>"363LA2100X"</f>
        <v>363LA2100X</v>
      </c>
      <c r="D18573" t="str">
        <f>"BOYD                     DYLAN        W           "</f>
        <v xml:space="preserve">BOYD                     DYLAN        W           </v>
      </c>
      <c r="E18573" t="str">
        <f>"HATTIESBURG               "</f>
        <v xml:space="preserve">HATTIESBURG               </v>
      </c>
      <c r="F18573" t="str">
        <f t="shared" si="453"/>
        <v>MS</v>
      </c>
    </row>
    <row r="18574" spans="1:6" x14ac:dyDescent="0.25">
      <c r="A18574" t="str">
        <f>"200019282"</f>
        <v>200019282</v>
      </c>
      <c r="B18574" t="str">
        <f>"1558603035"</f>
        <v>1558603035</v>
      </c>
      <c r="C18574" t="str">
        <f>"207RI0200X"</f>
        <v>207RI0200X</v>
      </c>
      <c r="D18574" t="str">
        <f>"IOVLEVA                  ALINA                    "</f>
        <v xml:space="preserve">IOVLEVA                  ALINA                    </v>
      </c>
      <c r="E18574" t="str">
        <f>"MERIDIAN                  "</f>
        <v xml:space="preserve">MERIDIAN                  </v>
      </c>
      <c r="F18574" t="str">
        <f t="shared" si="453"/>
        <v>MS</v>
      </c>
    </row>
    <row r="18575" spans="1:6" x14ac:dyDescent="0.25">
      <c r="A18575" t="str">
        <f>"200019284"</f>
        <v>200019284</v>
      </c>
      <c r="B18575" t="str">
        <f>"1295240414"</f>
        <v>1295240414</v>
      </c>
      <c r="C18575" t="str">
        <f>"363LF0000X"</f>
        <v>363LF0000X</v>
      </c>
      <c r="D18575" t="str">
        <f>"SCRUGGS                  JENNA                    "</f>
        <v xml:space="preserve">SCRUGGS                  JENNA                    </v>
      </c>
      <c r="E18575" t="str">
        <f>"SOUTHAVEN                 "</f>
        <v xml:space="preserve">SOUTHAVEN                 </v>
      </c>
      <c r="F18575" t="str">
        <f t="shared" si="453"/>
        <v>MS</v>
      </c>
    </row>
    <row r="18576" spans="1:6" x14ac:dyDescent="0.25">
      <c r="A18576" t="str">
        <f>"200019290"</f>
        <v>200019290</v>
      </c>
      <c r="B18576" t="str">
        <f>"1083421507"</f>
        <v>1083421507</v>
      </c>
      <c r="C18576" t="str">
        <f>"363LF0000X"</f>
        <v>363LF0000X</v>
      </c>
      <c r="D18576" t="str">
        <f>"BONDY                    SHANNEN                  "</f>
        <v xml:space="preserve">BONDY                    SHANNEN                  </v>
      </c>
      <c r="E18576" t="str">
        <f>"MERIDIAN                  "</f>
        <v xml:space="preserve">MERIDIAN                  </v>
      </c>
      <c r="F18576" t="str">
        <f t="shared" si="453"/>
        <v>MS</v>
      </c>
    </row>
    <row r="18577" spans="1:6" x14ac:dyDescent="0.25">
      <c r="A18577" t="str">
        <f>"200019300"</f>
        <v>200019300</v>
      </c>
      <c r="B18577" t="str">
        <f>"1528376894"</f>
        <v>1528376894</v>
      </c>
      <c r="C18577" t="str">
        <f>"363L00000X"</f>
        <v>363L00000X</v>
      </c>
      <c r="D18577" t="str">
        <f>"LOTT                     ELIZABETH                "</f>
        <v xml:space="preserve">LOTT                     ELIZABETH                </v>
      </c>
      <c r="E18577" t="str">
        <f>"FLOWOOD                   "</f>
        <v xml:space="preserve">FLOWOOD                   </v>
      </c>
      <c r="F18577" t="str">
        <f t="shared" si="453"/>
        <v>MS</v>
      </c>
    </row>
    <row r="18578" spans="1:6" x14ac:dyDescent="0.25">
      <c r="A18578" t="str">
        <f>"200019302"</f>
        <v>200019302</v>
      </c>
      <c r="B18578" t="str">
        <f>"1477188332"</f>
        <v>1477188332</v>
      </c>
      <c r="C18578" t="str">
        <f>"363LF0000X"</f>
        <v>363LF0000X</v>
      </c>
      <c r="D18578" t="str">
        <f>"WILLIAMS                 STACY                    "</f>
        <v xml:space="preserve">WILLIAMS                 STACY                    </v>
      </c>
      <c r="E18578" t="str">
        <f>"RICHLAND                  "</f>
        <v xml:space="preserve">RICHLAND                  </v>
      </c>
      <c r="F18578" t="str">
        <f t="shared" si="453"/>
        <v>MS</v>
      </c>
    </row>
    <row r="18579" spans="1:6" x14ac:dyDescent="0.25">
      <c r="A18579" t="str">
        <f>"200019303"</f>
        <v>200019303</v>
      </c>
      <c r="B18579" t="str">
        <f>"1407601891"</f>
        <v>1407601891</v>
      </c>
      <c r="C18579" t="str">
        <f>"363LF0000X"</f>
        <v>363LF0000X</v>
      </c>
      <c r="D18579" t="str">
        <f>"ELFRING                  CHRISTON                 "</f>
        <v xml:space="preserve">ELFRING                  CHRISTON                 </v>
      </c>
      <c r="E18579" t="str">
        <f>"BAY SPRINGS               "</f>
        <v xml:space="preserve">BAY SPRINGS               </v>
      </c>
      <c r="F18579" t="str">
        <f t="shared" si="453"/>
        <v>MS</v>
      </c>
    </row>
    <row r="18580" spans="1:6" x14ac:dyDescent="0.25">
      <c r="A18580" t="str">
        <f>"200019309"</f>
        <v>200019309</v>
      </c>
      <c r="B18580" t="str">
        <f>"1215249016"</f>
        <v>1215249016</v>
      </c>
      <c r="C18580" t="str">
        <f>"2086S0129X"</f>
        <v>2086S0129X</v>
      </c>
      <c r="D18580" t="str">
        <f>"ROY                      RISHI                    "</f>
        <v xml:space="preserve">ROY                      RISHI                    </v>
      </c>
      <c r="E18580" t="str">
        <f>"OCEAN SPRINGS             "</f>
        <v xml:space="preserve">OCEAN SPRINGS             </v>
      </c>
      <c r="F18580" t="str">
        <f t="shared" si="453"/>
        <v>MS</v>
      </c>
    </row>
    <row r="18581" spans="1:6" x14ac:dyDescent="0.25">
      <c r="A18581" t="str">
        <f>"200019310"</f>
        <v>200019310</v>
      </c>
      <c r="B18581" t="str">
        <f>"1720273535"</f>
        <v>1720273535</v>
      </c>
      <c r="C18581" t="str">
        <f>"207V00000X"</f>
        <v>207V00000X</v>
      </c>
      <c r="D18581" t="str">
        <f>"NICOLS                   AMANDA                   "</f>
        <v xml:space="preserve">NICOLS                   AMANDA                   </v>
      </c>
      <c r="E18581" t="str">
        <f>"JACKSON                   "</f>
        <v xml:space="preserve">JACKSON                   </v>
      </c>
      <c r="F18581" t="str">
        <f t="shared" si="453"/>
        <v>MS</v>
      </c>
    </row>
    <row r="18582" spans="1:6" x14ac:dyDescent="0.25">
      <c r="A18582" t="str">
        <f>"200019311"</f>
        <v>200019311</v>
      </c>
      <c r="B18582" t="str">
        <f>"1912934126"</f>
        <v>1912934126</v>
      </c>
      <c r="C18582" t="str">
        <f>"207V00000X"</f>
        <v>207V00000X</v>
      </c>
      <c r="D18582" t="str">
        <f>"DAVEY-SULLIVAN           BARBARA                  "</f>
        <v xml:space="preserve">DAVEY-SULLIVAN           BARBARA                  </v>
      </c>
      <c r="E18582" t="str">
        <f>"JACKSON                   "</f>
        <v xml:space="preserve">JACKSON                   </v>
      </c>
      <c r="F18582" t="str">
        <f t="shared" si="453"/>
        <v>MS</v>
      </c>
    </row>
    <row r="18583" spans="1:6" x14ac:dyDescent="0.25">
      <c r="A18583" t="str">
        <f>"200019319"</f>
        <v>200019319</v>
      </c>
      <c r="B18583" t="str">
        <f>"1881329100"</f>
        <v>1881329100</v>
      </c>
      <c r="C18583" t="str">
        <f>"363L00000X"</f>
        <v>363L00000X</v>
      </c>
      <c r="D18583" t="str">
        <f>"POSEY                    VERONICA                 "</f>
        <v xml:space="preserve">POSEY                    VERONICA                 </v>
      </c>
      <c r="E18583" t="str">
        <f>"PHILADELPHIA              "</f>
        <v xml:space="preserve">PHILADELPHIA              </v>
      </c>
      <c r="F18583" t="str">
        <f t="shared" si="453"/>
        <v>MS</v>
      </c>
    </row>
    <row r="18584" spans="1:6" x14ac:dyDescent="0.25">
      <c r="A18584" t="str">
        <f>"200019329"</f>
        <v>200019329</v>
      </c>
      <c r="B18584" t="str">
        <f>"1295138782"</f>
        <v>1295138782</v>
      </c>
      <c r="C18584" t="str">
        <f>"207P00000X"</f>
        <v>207P00000X</v>
      </c>
      <c r="D18584" t="str">
        <f>"CHARLES                  PATRICK                  "</f>
        <v xml:space="preserve">CHARLES                  PATRICK                  </v>
      </c>
      <c r="E18584" t="str">
        <f>"OLIVE BRANCH              "</f>
        <v xml:space="preserve">OLIVE BRANCH              </v>
      </c>
      <c r="F18584" t="str">
        <f t="shared" si="453"/>
        <v>MS</v>
      </c>
    </row>
    <row r="18585" spans="1:6" x14ac:dyDescent="0.25">
      <c r="A18585" t="str">
        <f>"200019330"</f>
        <v>200019330</v>
      </c>
      <c r="B18585" t="str">
        <f>"1720378169"</f>
        <v>1720378169</v>
      </c>
      <c r="C18585" t="str">
        <f>"207N00000X"</f>
        <v>207N00000X</v>
      </c>
      <c r="D18585" t="str">
        <f>"GUERRERO                 CESAR        E           "</f>
        <v xml:space="preserve">GUERRERO                 CESAR        E           </v>
      </c>
      <c r="E18585" t="str">
        <f>"GRENADA                   "</f>
        <v xml:space="preserve">GRENADA                   </v>
      </c>
      <c r="F18585" t="str">
        <f t="shared" si="453"/>
        <v>MS</v>
      </c>
    </row>
    <row r="18586" spans="1:6" x14ac:dyDescent="0.25">
      <c r="A18586" t="str">
        <f>"200019335"</f>
        <v>200019335</v>
      </c>
      <c r="B18586" t="str">
        <f>"1982218368"</f>
        <v>1982218368</v>
      </c>
      <c r="C18586" t="str">
        <f>"363L00000X"</f>
        <v>363L00000X</v>
      </c>
      <c r="D18586" t="str">
        <f>"FLORES                   ARMAND                   "</f>
        <v xml:space="preserve">FLORES                   ARMAND                   </v>
      </c>
      <c r="E18586" t="str">
        <f>"FLOWOOD                   "</f>
        <v xml:space="preserve">FLOWOOD                   </v>
      </c>
      <c r="F18586" t="str">
        <f t="shared" si="453"/>
        <v>MS</v>
      </c>
    </row>
    <row r="18587" spans="1:6" x14ac:dyDescent="0.25">
      <c r="A18587" t="str">
        <f>"200019336"</f>
        <v>200019336</v>
      </c>
      <c r="B18587" t="str">
        <f>"1124812789"</f>
        <v>1124812789</v>
      </c>
      <c r="C18587" t="str">
        <f>"363L00000X"</f>
        <v>363L00000X</v>
      </c>
      <c r="D18587" t="str">
        <f>"GREEN                    YALAYNA                  "</f>
        <v xml:space="preserve">GREEN                    YALAYNA                  </v>
      </c>
      <c r="E18587" t="str">
        <f>"LONG BEACH                "</f>
        <v xml:space="preserve">LONG BEACH                </v>
      </c>
      <c r="F18587" t="str">
        <f t="shared" si="453"/>
        <v>MS</v>
      </c>
    </row>
    <row r="18588" spans="1:6" x14ac:dyDescent="0.25">
      <c r="A18588" t="str">
        <f>"200019338"</f>
        <v>200019338</v>
      </c>
      <c r="B18588" t="str">
        <f>"1922830421"</f>
        <v>1922830421</v>
      </c>
      <c r="C18588" t="str">
        <f>"363LF0000X"</f>
        <v>363LF0000X</v>
      </c>
      <c r="D18588" t="str">
        <f>"JENKINS-MCCAIN           SHAMEKIA                 "</f>
        <v xml:space="preserve">JENKINS-MCCAIN           SHAMEKIA                 </v>
      </c>
      <c r="E18588" t="str">
        <f>"FLOWOOD                   "</f>
        <v xml:space="preserve">FLOWOOD                   </v>
      </c>
      <c r="F18588" t="str">
        <f t="shared" si="453"/>
        <v>MS</v>
      </c>
    </row>
    <row r="18589" spans="1:6" x14ac:dyDescent="0.25">
      <c r="A18589" t="str">
        <f>"200019343"</f>
        <v>200019343</v>
      </c>
      <c r="B18589" t="str">
        <f>"1265667190"</f>
        <v>1265667190</v>
      </c>
      <c r="C18589" t="str">
        <f>"363LF0000X"</f>
        <v>363LF0000X</v>
      </c>
      <c r="D18589" t="str">
        <f>"YOUNG                    SYLVIA                   "</f>
        <v xml:space="preserve">YOUNG                    SYLVIA                   </v>
      </c>
      <c r="E18589" t="str">
        <f>"JACKSON                   "</f>
        <v xml:space="preserve">JACKSON                   </v>
      </c>
      <c r="F18589" t="str">
        <f t="shared" si="453"/>
        <v>MS</v>
      </c>
    </row>
    <row r="18590" spans="1:6" x14ac:dyDescent="0.25">
      <c r="A18590" t="str">
        <f>"200019344"</f>
        <v>200019344</v>
      </c>
      <c r="B18590" t="str">
        <f>"1356370787"</f>
        <v>1356370787</v>
      </c>
      <c r="C18590" t="str">
        <f>"207X00000X"</f>
        <v>207X00000X</v>
      </c>
      <c r="D18590" t="str">
        <f>"RODRIGUEZ                RAMON        F           "</f>
        <v xml:space="preserve">RODRIGUEZ                RAMON        F           </v>
      </c>
      <c r="E18590" t="str">
        <f>"BILOXI                    "</f>
        <v xml:space="preserve">BILOXI                    </v>
      </c>
      <c r="F18590" t="str">
        <f t="shared" si="453"/>
        <v>MS</v>
      </c>
    </row>
    <row r="18591" spans="1:6" x14ac:dyDescent="0.25">
      <c r="A18591" t="str">
        <f>"200019349"</f>
        <v>200019349</v>
      </c>
      <c r="B18591" t="str">
        <f>"1710115506"</f>
        <v>1710115506</v>
      </c>
      <c r="C18591" t="str">
        <f>"363LF0000X"</f>
        <v>363LF0000X</v>
      </c>
      <c r="D18591" t="str">
        <f>"MCCOLLUM                 LESLIE                   "</f>
        <v xml:space="preserve">MCCOLLUM                 LESLIE                   </v>
      </c>
      <c r="E18591" t="str">
        <f>"FLOWOOD                   "</f>
        <v xml:space="preserve">FLOWOOD                   </v>
      </c>
      <c r="F18591" t="str">
        <f t="shared" si="453"/>
        <v>MS</v>
      </c>
    </row>
    <row r="18592" spans="1:6" x14ac:dyDescent="0.25">
      <c r="A18592" t="str">
        <f>"200019350"</f>
        <v>200019350</v>
      </c>
      <c r="B18592" t="str">
        <f>"1619487303"</f>
        <v>1619487303</v>
      </c>
      <c r="C18592" t="str">
        <f>"363L00000X"</f>
        <v>363L00000X</v>
      </c>
      <c r="D18592" t="str">
        <f>"SMITH                    BERNETTA                 "</f>
        <v xml:space="preserve">SMITH                    BERNETTA                 </v>
      </c>
      <c r="E18592" t="str">
        <f>"JACKSON                   "</f>
        <v xml:space="preserve">JACKSON                   </v>
      </c>
      <c r="F18592" t="str">
        <f t="shared" si="453"/>
        <v>MS</v>
      </c>
    </row>
    <row r="18593" spans="1:6" x14ac:dyDescent="0.25">
      <c r="A18593" t="str">
        <f>"200019354"</f>
        <v>200019354</v>
      </c>
      <c r="B18593" t="str">
        <f>"1558520601"</f>
        <v>1558520601</v>
      </c>
      <c r="C18593" t="str">
        <f>"207RI0200X"</f>
        <v>207RI0200X</v>
      </c>
      <c r="D18593" t="str">
        <f>"NABHA                    LINDA        H           "</f>
        <v xml:space="preserve">NABHA                    LINDA        H           </v>
      </c>
      <c r="E18593" t="str">
        <f>"MERIDIAN                  "</f>
        <v xml:space="preserve">MERIDIAN                  </v>
      </c>
      <c r="F18593" t="str">
        <f t="shared" si="453"/>
        <v>MS</v>
      </c>
    </row>
    <row r="18594" spans="1:6" x14ac:dyDescent="0.25">
      <c r="A18594" t="str">
        <f>"200019358"</f>
        <v>200019358</v>
      </c>
      <c r="B18594" t="str">
        <f>"1235724667"</f>
        <v>1235724667</v>
      </c>
      <c r="C18594" t="str">
        <f>"363A00000X"</f>
        <v>363A00000X</v>
      </c>
      <c r="D18594" t="str">
        <f>"OSTOJ                    REBEKAH                  "</f>
        <v xml:space="preserve">OSTOJ                    REBEKAH                  </v>
      </c>
      <c r="E18594" t="str">
        <f>"JACKSON                   "</f>
        <v xml:space="preserve">JACKSON                   </v>
      </c>
      <c r="F18594" t="str">
        <f t="shared" si="453"/>
        <v>MS</v>
      </c>
    </row>
    <row r="18595" spans="1:6" x14ac:dyDescent="0.25">
      <c r="A18595" t="str">
        <f>"200019362"</f>
        <v>200019362</v>
      </c>
      <c r="B18595" t="str">
        <f>"1114730520"</f>
        <v>1114730520</v>
      </c>
      <c r="C18595" t="str">
        <f>"367A00000X"</f>
        <v>367A00000X</v>
      </c>
      <c r="D18595" t="str">
        <f>"KISNER                   CAITLIN                  "</f>
        <v xml:space="preserve">KISNER                   CAITLIN                  </v>
      </c>
      <c r="E18595" t="str">
        <f>"INDIANOLA                 "</f>
        <v xml:space="preserve">INDIANOLA                 </v>
      </c>
      <c r="F18595" t="str">
        <f t="shared" si="453"/>
        <v>MS</v>
      </c>
    </row>
    <row r="18596" spans="1:6" x14ac:dyDescent="0.25">
      <c r="A18596" t="str">
        <f>"200019370"</f>
        <v>200019370</v>
      </c>
      <c r="B18596" t="str">
        <f>"1760635445"</f>
        <v>1760635445</v>
      </c>
      <c r="C18596" t="str">
        <f>"207P00000X"</f>
        <v>207P00000X</v>
      </c>
      <c r="D18596" t="str">
        <f>"PALMA                    ALEXANDER                "</f>
        <v xml:space="preserve">PALMA                    ALEXANDER                </v>
      </c>
      <c r="E18596" t="str">
        <f>"OCEAN SPRINGS             "</f>
        <v xml:space="preserve">OCEAN SPRINGS             </v>
      </c>
      <c r="F18596" t="str">
        <f t="shared" si="453"/>
        <v>MS</v>
      </c>
    </row>
    <row r="18597" spans="1:6" x14ac:dyDescent="0.25">
      <c r="A18597" t="str">
        <f>"200019373"</f>
        <v>200019373</v>
      </c>
      <c r="B18597" t="str">
        <f>"1437611019"</f>
        <v>1437611019</v>
      </c>
      <c r="C18597" t="str">
        <f>"207R00000X"</f>
        <v>207R00000X</v>
      </c>
      <c r="D18597" t="str">
        <f>"DAVIS                    PAUL         W           "</f>
        <v xml:space="preserve">DAVIS                    PAUL         W           </v>
      </c>
      <c r="E18597" t="str">
        <f>"HATTIESBURG               "</f>
        <v xml:space="preserve">HATTIESBURG               </v>
      </c>
      <c r="F18597" t="str">
        <f t="shared" si="453"/>
        <v>MS</v>
      </c>
    </row>
    <row r="18598" spans="1:6" x14ac:dyDescent="0.25">
      <c r="A18598" t="str">
        <f>"200019385"</f>
        <v>200019385</v>
      </c>
      <c r="B18598" t="str">
        <f>"1013489756"</f>
        <v>1013489756</v>
      </c>
      <c r="C18598" t="str">
        <f>"363LF0000X"</f>
        <v>363LF0000X</v>
      </c>
      <c r="D18598" t="str">
        <f>"FIELD                    CODY                     "</f>
        <v xml:space="preserve">FIELD                    CODY                     </v>
      </c>
      <c r="E18598" t="str">
        <f>"CLEVELAND                 "</f>
        <v xml:space="preserve">CLEVELAND                 </v>
      </c>
      <c r="F18598" t="str">
        <f t="shared" si="453"/>
        <v>MS</v>
      </c>
    </row>
    <row r="18599" spans="1:6" x14ac:dyDescent="0.25">
      <c r="A18599" t="str">
        <f>"200019387"</f>
        <v>200019387</v>
      </c>
      <c r="B18599" t="str">
        <f>"1164771416"</f>
        <v>1164771416</v>
      </c>
      <c r="C18599" t="str">
        <f>"207RI0200X"</f>
        <v>207RI0200X</v>
      </c>
      <c r="D18599" t="str">
        <f>"KAUR                     AMRIT                    "</f>
        <v xml:space="preserve">KAUR                     AMRIT                    </v>
      </c>
      <c r="E18599" t="str">
        <f>"MERIDIAN                  "</f>
        <v xml:space="preserve">MERIDIAN                  </v>
      </c>
      <c r="F18599" t="str">
        <f t="shared" si="453"/>
        <v>MS</v>
      </c>
    </row>
    <row r="18600" spans="1:6" x14ac:dyDescent="0.25">
      <c r="A18600" t="str">
        <f>"200019390"</f>
        <v>200019390</v>
      </c>
      <c r="B18600" t="str">
        <f>"1831651520"</f>
        <v>1831651520</v>
      </c>
      <c r="C18600" t="str">
        <f>"2085R0202X"</f>
        <v>2085R0202X</v>
      </c>
      <c r="D18600" t="str">
        <f>"TIERNEY                  CONNOR                   "</f>
        <v xml:space="preserve">TIERNEY                  CONNOR                   </v>
      </c>
      <c r="E18600" t="str">
        <f>"SOUTHAVEN                 "</f>
        <v xml:space="preserve">SOUTHAVEN                 </v>
      </c>
      <c r="F18600" t="str">
        <f t="shared" si="453"/>
        <v>MS</v>
      </c>
    </row>
    <row r="18601" spans="1:6" x14ac:dyDescent="0.25">
      <c r="A18601" t="str">
        <f>"200019393"</f>
        <v>200019393</v>
      </c>
      <c r="B18601" t="str">
        <f>"1750108981"</f>
        <v>1750108981</v>
      </c>
      <c r="C18601" t="str">
        <f>"363A00000X"</f>
        <v>363A00000X</v>
      </c>
      <c r="D18601" t="str">
        <f>"MCGRAW                   LILLA        S           "</f>
        <v xml:space="preserve">MCGRAW                   LILLA        S           </v>
      </c>
      <c r="E18601" t="str">
        <f>"TUPELO                    "</f>
        <v xml:space="preserve">TUPELO                    </v>
      </c>
      <c r="F18601" t="str">
        <f t="shared" si="453"/>
        <v>MS</v>
      </c>
    </row>
    <row r="18602" spans="1:6" x14ac:dyDescent="0.25">
      <c r="A18602" t="str">
        <f>"200019395"</f>
        <v>200019395</v>
      </c>
      <c r="B18602" t="str">
        <f>"1225529191"</f>
        <v>1225529191</v>
      </c>
      <c r="C18602" t="str">
        <f>"207T00000X"</f>
        <v>207T00000X</v>
      </c>
      <c r="D18602" t="str">
        <f>"KABANGU                  JEAN-LUC                 "</f>
        <v xml:space="preserve">KABANGU                  JEAN-LUC                 </v>
      </c>
      <c r="E18602" t="str">
        <f>"SOUTHAVEN                 "</f>
        <v xml:space="preserve">SOUTHAVEN                 </v>
      </c>
      <c r="F18602" t="str">
        <f t="shared" si="453"/>
        <v>MS</v>
      </c>
    </row>
    <row r="18603" spans="1:6" x14ac:dyDescent="0.25">
      <c r="A18603" t="str">
        <f>"200019408"</f>
        <v>200019408</v>
      </c>
      <c r="B18603" t="str">
        <f>"1770965154"</f>
        <v>1770965154</v>
      </c>
      <c r="C18603" t="str">
        <f>"207V00000X"</f>
        <v>207V00000X</v>
      </c>
      <c r="D18603" t="str">
        <f>"LUO                      EVA                      "</f>
        <v xml:space="preserve">LUO                      EVA                      </v>
      </c>
      <c r="E18603" t="str">
        <f>"RIDGELAND                 "</f>
        <v xml:space="preserve">RIDGELAND                 </v>
      </c>
      <c r="F18603" t="str">
        <f t="shared" si="453"/>
        <v>MS</v>
      </c>
    </row>
    <row r="18604" spans="1:6" x14ac:dyDescent="0.25">
      <c r="A18604" t="str">
        <f>"200019412"</f>
        <v>200019412</v>
      </c>
      <c r="B18604" t="str">
        <f>"1639706963"</f>
        <v>1639706963</v>
      </c>
      <c r="C18604" t="str">
        <f>"207L00000X"</f>
        <v>207L00000X</v>
      </c>
      <c r="D18604" t="str">
        <f>"BURNETT                  CLYDE                    "</f>
        <v xml:space="preserve">BURNETT                  CLYDE                    </v>
      </c>
      <c r="E18604" t="str">
        <f>"JACKSON                   "</f>
        <v xml:space="preserve">JACKSON                   </v>
      </c>
      <c r="F18604" t="str">
        <f t="shared" si="453"/>
        <v>MS</v>
      </c>
    </row>
    <row r="18605" spans="1:6" x14ac:dyDescent="0.25">
      <c r="A18605" t="str">
        <f>"200019413"</f>
        <v>200019413</v>
      </c>
      <c r="B18605" t="str">
        <f>"1821523952"</f>
        <v>1821523952</v>
      </c>
      <c r="C18605" t="str">
        <f>"208M00000X"</f>
        <v>208M00000X</v>
      </c>
      <c r="D18605" t="str">
        <f>"GHOSH                    JEAN                     "</f>
        <v xml:space="preserve">GHOSH                    JEAN                     </v>
      </c>
      <c r="E18605" t="str">
        <f>"OCEAN SPRINGS             "</f>
        <v xml:space="preserve">OCEAN SPRINGS             </v>
      </c>
      <c r="F18605" t="str">
        <f t="shared" si="453"/>
        <v>MS</v>
      </c>
    </row>
    <row r="18606" spans="1:6" x14ac:dyDescent="0.25">
      <c r="A18606" t="str">
        <f>"200019424"</f>
        <v>200019424</v>
      </c>
      <c r="B18606" t="str">
        <f>"1649880832"</f>
        <v>1649880832</v>
      </c>
      <c r="C18606" t="str">
        <f>"363A00000X"</f>
        <v>363A00000X</v>
      </c>
      <c r="D18606" t="str">
        <f>"REYNOLDS                 DANIELLE     R           "</f>
        <v xml:space="preserve">REYNOLDS                 DANIELLE     R           </v>
      </c>
      <c r="E18606" t="str">
        <f>"MERIDIAN                  "</f>
        <v xml:space="preserve">MERIDIAN                  </v>
      </c>
      <c r="F18606" t="str">
        <f t="shared" si="453"/>
        <v>MS</v>
      </c>
    </row>
    <row r="18607" spans="1:6" x14ac:dyDescent="0.25">
      <c r="A18607" t="str">
        <f>"200019429"</f>
        <v>200019429</v>
      </c>
      <c r="B18607" t="str">
        <f>"1649088675"</f>
        <v>1649088675</v>
      </c>
      <c r="C18607" t="str">
        <f>"367500000X"</f>
        <v>367500000X</v>
      </c>
      <c r="D18607" t="str">
        <f>"BRIAN                    BRADY                    "</f>
        <v xml:space="preserve">BRIAN                    BRADY                    </v>
      </c>
      <c r="E18607" t="str">
        <f>"JACKSON                   "</f>
        <v xml:space="preserve">JACKSON                   </v>
      </c>
      <c r="F18607" t="str">
        <f t="shared" si="453"/>
        <v>MS</v>
      </c>
    </row>
    <row r="18608" spans="1:6" x14ac:dyDescent="0.25">
      <c r="A18608" t="str">
        <f>"200019430"</f>
        <v>200019430</v>
      </c>
      <c r="B18608" t="str">
        <f>"1609818657"</f>
        <v>1609818657</v>
      </c>
      <c r="C18608" t="str">
        <f>"207V00000X"</f>
        <v>207V00000X</v>
      </c>
      <c r="D18608" t="str">
        <f>"MESEROW                  JAMES                    "</f>
        <v xml:space="preserve">MESEROW                  JAMES                    </v>
      </c>
      <c r="E18608" t="str">
        <f>"JACKSON                   "</f>
        <v xml:space="preserve">JACKSON                   </v>
      </c>
      <c r="F18608" t="str">
        <f t="shared" si="453"/>
        <v>MS</v>
      </c>
    </row>
    <row r="18609" spans="1:6" x14ac:dyDescent="0.25">
      <c r="A18609" t="str">
        <f>"200019437"</f>
        <v>200019437</v>
      </c>
      <c r="B18609" t="str">
        <f>"1922695964"</f>
        <v>1922695964</v>
      </c>
      <c r="C18609" t="str">
        <f>"363L00000X"</f>
        <v>363L00000X</v>
      </c>
      <c r="D18609" t="str">
        <f>"WOODARD                  MIRACLE                  "</f>
        <v xml:space="preserve">WOODARD                  MIRACLE                  </v>
      </c>
      <c r="E18609" t="str">
        <f>"GAUTIER                   "</f>
        <v xml:space="preserve">GAUTIER                   </v>
      </c>
      <c r="F18609" t="str">
        <f t="shared" si="453"/>
        <v>MS</v>
      </c>
    </row>
    <row r="18610" spans="1:6" x14ac:dyDescent="0.25">
      <c r="A18610" t="str">
        <f>"200019439"</f>
        <v>200019439</v>
      </c>
      <c r="B18610" t="str">
        <f>"1093391351"</f>
        <v>1093391351</v>
      </c>
      <c r="C18610" t="str">
        <f>"207P00000X"</f>
        <v>207P00000X</v>
      </c>
      <c r="D18610" t="str">
        <f>"VAUGHAN                  JARED                    "</f>
        <v xml:space="preserve">VAUGHAN                  JARED                    </v>
      </c>
      <c r="E18610" t="str">
        <f>"OCEAN SPRINGS             "</f>
        <v xml:space="preserve">OCEAN SPRINGS             </v>
      </c>
      <c r="F18610" t="str">
        <f t="shared" si="453"/>
        <v>MS</v>
      </c>
    </row>
    <row r="18611" spans="1:6" x14ac:dyDescent="0.25">
      <c r="A18611" t="str">
        <f>"200019446"</f>
        <v>200019446</v>
      </c>
      <c r="B18611" t="str">
        <f>"1275248460"</f>
        <v>1275248460</v>
      </c>
      <c r="C18611" t="str">
        <f>"363LF0000X"</f>
        <v>363LF0000X</v>
      </c>
      <c r="D18611" t="str">
        <f>"FORD                     MIRANDA                  "</f>
        <v xml:space="preserve">FORD                     MIRANDA                  </v>
      </c>
      <c r="E18611" t="str">
        <f>"BOONEVILLE                "</f>
        <v xml:space="preserve">BOONEVILLE                </v>
      </c>
      <c r="F18611" t="str">
        <f t="shared" si="453"/>
        <v>MS</v>
      </c>
    </row>
    <row r="18612" spans="1:6" x14ac:dyDescent="0.25">
      <c r="A18612" t="str">
        <f>"200019452"</f>
        <v>200019452</v>
      </c>
      <c r="B18612" t="str">
        <f>"1386031813"</f>
        <v>1386031813</v>
      </c>
      <c r="C18612" t="str">
        <f>"363L00000X"</f>
        <v>363L00000X</v>
      </c>
      <c r="D18612" t="str">
        <f>"MCCLINTON                PRINCE                   "</f>
        <v xml:space="preserve">MCCLINTON                PRINCE                   </v>
      </c>
      <c r="E18612" t="str">
        <f>"FLOWOOD                   "</f>
        <v xml:space="preserve">FLOWOOD                   </v>
      </c>
      <c r="F18612" t="str">
        <f t="shared" si="453"/>
        <v>MS</v>
      </c>
    </row>
    <row r="18613" spans="1:6" x14ac:dyDescent="0.25">
      <c r="A18613" t="str">
        <f>"200019458"</f>
        <v>200019458</v>
      </c>
      <c r="B18613" t="str">
        <f>"1295419257"</f>
        <v>1295419257</v>
      </c>
      <c r="C18613" t="str">
        <f>"363LF0000X"</f>
        <v>363LF0000X</v>
      </c>
      <c r="D18613" t="str">
        <f>"MILLER                   ALICIA                   "</f>
        <v xml:space="preserve">MILLER                   ALICIA                   </v>
      </c>
      <c r="E18613" t="str">
        <f>"FLOWOOD                   "</f>
        <v xml:space="preserve">FLOWOOD                   </v>
      </c>
      <c r="F18613" t="str">
        <f t="shared" si="453"/>
        <v>MS</v>
      </c>
    </row>
    <row r="18614" spans="1:6" x14ac:dyDescent="0.25">
      <c r="A18614" t="str">
        <f>"200019465"</f>
        <v>200019465</v>
      </c>
      <c r="B18614" t="str">
        <f>"1689023152"</f>
        <v>1689023152</v>
      </c>
      <c r="C18614" t="str">
        <f>"2084P0800X"</f>
        <v>2084P0800X</v>
      </c>
      <c r="D18614" t="str">
        <f>"TAI                      MUSTAFA                  "</f>
        <v xml:space="preserve">TAI                      MUSTAFA                  </v>
      </c>
      <c r="E18614" t="str">
        <f>"BILOXI                    "</f>
        <v xml:space="preserve">BILOXI                    </v>
      </c>
      <c r="F18614" t="str">
        <f t="shared" si="453"/>
        <v>MS</v>
      </c>
    </row>
    <row r="18615" spans="1:6" x14ac:dyDescent="0.25">
      <c r="A18615" t="str">
        <f>"200019467"</f>
        <v>200019467</v>
      </c>
      <c r="B18615" t="str">
        <f>"1821365511"</f>
        <v>1821365511</v>
      </c>
      <c r="C18615" t="str">
        <f>"363LP0808X"</f>
        <v>363LP0808X</v>
      </c>
      <c r="D18615" t="str">
        <f>"CULLIVER                 STELLA       S           "</f>
        <v xml:space="preserve">CULLIVER                 STELLA       S           </v>
      </c>
      <c r="E18615" t="str">
        <f>"WHITFIELD                 "</f>
        <v xml:space="preserve">WHITFIELD                 </v>
      </c>
      <c r="F18615" t="str">
        <f t="shared" si="453"/>
        <v>MS</v>
      </c>
    </row>
    <row r="18616" spans="1:6" x14ac:dyDescent="0.25">
      <c r="A18616" t="str">
        <f>"200019471"</f>
        <v>200019471</v>
      </c>
      <c r="B18616" t="str">
        <f>"1386396265"</f>
        <v>1386396265</v>
      </c>
      <c r="C18616" t="str">
        <f>"363LF0000X"</f>
        <v>363LF0000X</v>
      </c>
      <c r="D18616" t="str">
        <f>"CALDWELL                 PAULA                    "</f>
        <v xml:space="preserve">CALDWELL                 PAULA                    </v>
      </c>
      <c r="E18616" t="str">
        <f>"JACKSON                   "</f>
        <v xml:space="preserve">JACKSON                   </v>
      </c>
      <c r="F18616" t="str">
        <f t="shared" si="453"/>
        <v>MS</v>
      </c>
    </row>
    <row r="18617" spans="1:6" x14ac:dyDescent="0.25">
      <c r="A18617" t="str">
        <f>"200019472"</f>
        <v>200019472</v>
      </c>
      <c r="B18617" t="str">
        <f>"1043015316"</f>
        <v>1043015316</v>
      </c>
      <c r="C18617" t="str">
        <f>"363LA2100X"</f>
        <v>363LA2100X</v>
      </c>
      <c r="D18617" t="str">
        <f>"SLOVER                   JOHN                     "</f>
        <v xml:space="preserve">SLOVER                   JOHN                     </v>
      </c>
      <c r="E18617" t="str">
        <f>"OCEAN SPRINGS             "</f>
        <v xml:space="preserve">OCEAN SPRINGS             </v>
      </c>
      <c r="F18617" t="str">
        <f t="shared" si="453"/>
        <v>MS</v>
      </c>
    </row>
    <row r="18618" spans="1:6" x14ac:dyDescent="0.25">
      <c r="A18618" t="str">
        <f>"200019474"</f>
        <v>200019474</v>
      </c>
      <c r="B18618" t="str">
        <f>"1669609285"</f>
        <v>1669609285</v>
      </c>
      <c r="C18618" t="str">
        <f>"204E00000X"</f>
        <v>204E00000X</v>
      </c>
      <c r="D18618" t="str">
        <f>"WANG                     JIA-WOEI                 "</f>
        <v xml:space="preserve">WANG                     JIA-WOEI                 </v>
      </c>
      <c r="E18618" t="str">
        <f>"COLUMBUS                  "</f>
        <v xml:space="preserve">COLUMBUS                  </v>
      </c>
      <c r="F18618" t="str">
        <f t="shared" si="453"/>
        <v>MS</v>
      </c>
    </row>
    <row r="18619" spans="1:6" x14ac:dyDescent="0.25">
      <c r="A18619" t="str">
        <f>"200019475"</f>
        <v>200019475</v>
      </c>
      <c r="B18619" t="str">
        <f>"1588333033"</f>
        <v>1588333033</v>
      </c>
      <c r="C18619" t="str">
        <f>"363LF0000X"</f>
        <v>363LF0000X</v>
      </c>
      <c r="D18619" t="str">
        <f>"MANDAMUNA                MUBANGU      M           "</f>
        <v xml:space="preserve">MANDAMUNA                MUBANGU      M           </v>
      </c>
      <c r="E18619" t="str">
        <f>"JACKSON                   "</f>
        <v xml:space="preserve">JACKSON                   </v>
      </c>
      <c r="F18619" t="str">
        <f t="shared" si="453"/>
        <v>MS</v>
      </c>
    </row>
    <row r="18620" spans="1:6" x14ac:dyDescent="0.25">
      <c r="A18620" t="str">
        <f>"200019480"</f>
        <v>200019480</v>
      </c>
      <c r="B18620" t="str">
        <f>"1487883088"</f>
        <v>1487883088</v>
      </c>
      <c r="C18620" t="str">
        <f>"207Q00000X"</f>
        <v>207Q00000X</v>
      </c>
      <c r="D18620" t="str">
        <f>"SUGGS                    BRADLEY      J           "</f>
        <v xml:space="preserve">SUGGS                    BRADLEY      J           </v>
      </c>
      <c r="E18620" t="str">
        <f>"WHITFIELD                 "</f>
        <v xml:space="preserve">WHITFIELD                 </v>
      </c>
      <c r="F18620" t="str">
        <f t="shared" si="453"/>
        <v>MS</v>
      </c>
    </row>
    <row r="18621" spans="1:6" x14ac:dyDescent="0.25">
      <c r="A18621" t="str">
        <f>"200019481"</f>
        <v>200019481</v>
      </c>
      <c r="B18621" t="str">
        <f>"1437969391"</f>
        <v>1437969391</v>
      </c>
      <c r="C18621" t="str">
        <f>"363LF0000X"</f>
        <v>363LF0000X</v>
      </c>
      <c r="D18621" t="str">
        <f>"BAYOUTH-MCINTYRE         SARAH                    "</f>
        <v xml:space="preserve">BAYOUTH-MCINTYRE         SARAH                    </v>
      </c>
      <c r="E18621" t="str">
        <f>"LAUREL                    "</f>
        <v xml:space="preserve">LAUREL                    </v>
      </c>
      <c r="F18621" t="str">
        <f t="shared" si="453"/>
        <v>MS</v>
      </c>
    </row>
    <row r="18622" spans="1:6" x14ac:dyDescent="0.25">
      <c r="A18622" t="str">
        <f>"200019484"</f>
        <v>200019484</v>
      </c>
      <c r="B18622" t="str">
        <f>"1366490617"</f>
        <v>1366490617</v>
      </c>
      <c r="C18622" t="str">
        <f>"2085R0202X"</f>
        <v>2085R0202X</v>
      </c>
      <c r="D18622" t="str">
        <f>"SIMON                    JEFFREY      A           "</f>
        <v xml:space="preserve">SIMON                    JEFFREY      A           </v>
      </c>
      <c r="E18622" t="str">
        <f>"HATTIESBURG               "</f>
        <v xml:space="preserve">HATTIESBURG               </v>
      </c>
      <c r="F18622" t="str">
        <f t="shared" ref="F18622:F18685" si="454">"MS"</f>
        <v>MS</v>
      </c>
    </row>
    <row r="18623" spans="1:6" x14ac:dyDescent="0.25">
      <c r="A18623" t="str">
        <f>"200019492"</f>
        <v>200019492</v>
      </c>
      <c r="B18623" t="str">
        <f>"1679613566"</f>
        <v>1679613566</v>
      </c>
      <c r="C18623" t="str">
        <f>"207P00000X"</f>
        <v>207P00000X</v>
      </c>
      <c r="D18623" t="str">
        <f>"CURTIS                   DALE                     "</f>
        <v xml:space="preserve">CURTIS                   DALE                     </v>
      </c>
      <c r="E18623" t="str">
        <f>"OLIVE BRANCH              "</f>
        <v xml:space="preserve">OLIVE BRANCH              </v>
      </c>
      <c r="F18623" t="str">
        <f t="shared" si="454"/>
        <v>MS</v>
      </c>
    </row>
    <row r="18624" spans="1:6" x14ac:dyDescent="0.25">
      <c r="A18624" t="str">
        <f>"200019507"</f>
        <v>200019507</v>
      </c>
      <c r="B18624" t="str">
        <f>"1376342790"</f>
        <v>1376342790</v>
      </c>
      <c r="C18624" t="str">
        <f>"363L00000X"</f>
        <v>363L00000X</v>
      </c>
      <c r="D18624" t="str">
        <f>"STOVALL                  PRESLEY                  "</f>
        <v xml:space="preserve">STOVALL                  PRESLEY                  </v>
      </c>
      <c r="E18624" t="str">
        <f>"RICHLAND                  "</f>
        <v xml:space="preserve">RICHLAND                  </v>
      </c>
      <c r="F18624" t="str">
        <f t="shared" si="454"/>
        <v>MS</v>
      </c>
    </row>
    <row r="18625" spans="1:6" x14ac:dyDescent="0.25">
      <c r="A18625" t="str">
        <f>"200019513"</f>
        <v>200019513</v>
      </c>
      <c r="B18625" t="str">
        <f>"1912014648"</f>
        <v>1912014648</v>
      </c>
      <c r="C18625" t="str">
        <f>"363L00000X"</f>
        <v>363L00000X</v>
      </c>
      <c r="D18625" t="str">
        <f>"POLK                     SHELBY                   "</f>
        <v xml:space="preserve">POLK                     SHELBY                   </v>
      </c>
      <c r="E18625" t="str">
        <f>"FLOWOOD                   "</f>
        <v xml:space="preserve">FLOWOOD                   </v>
      </c>
      <c r="F18625" t="str">
        <f t="shared" si="454"/>
        <v>MS</v>
      </c>
    </row>
    <row r="18626" spans="1:6" x14ac:dyDescent="0.25">
      <c r="A18626" t="str">
        <f>"200019515"</f>
        <v>200019515</v>
      </c>
      <c r="B18626" t="str">
        <f>"1821809526"</f>
        <v>1821809526</v>
      </c>
      <c r="C18626" t="str">
        <f>"363LF0000X"</f>
        <v>363LF0000X</v>
      </c>
      <c r="D18626" t="str">
        <f>"HELVESTON                CHANCI                   "</f>
        <v xml:space="preserve">HELVESTON                CHANCI                   </v>
      </c>
      <c r="E18626" t="str">
        <f>"JACKSON                   "</f>
        <v xml:space="preserve">JACKSON                   </v>
      </c>
      <c r="F18626" t="str">
        <f t="shared" si="454"/>
        <v>MS</v>
      </c>
    </row>
    <row r="18627" spans="1:6" x14ac:dyDescent="0.25">
      <c r="A18627" t="str">
        <f>"200019516"</f>
        <v>200019516</v>
      </c>
      <c r="B18627" t="str">
        <f>"1629808613"</f>
        <v>1629808613</v>
      </c>
      <c r="C18627" t="str">
        <f>"363LX0001X"</f>
        <v>363LX0001X</v>
      </c>
      <c r="D18627" t="str">
        <f>"YOUNG                    KEWANZA                  "</f>
        <v xml:space="preserve">YOUNG                    KEWANZA                  </v>
      </c>
      <c r="E18627" t="str">
        <f>"RIDGELAND                 "</f>
        <v xml:space="preserve">RIDGELAND                 </v>
      </c>
      <c r="F18627" t="str">
        <f t="shared" si="454"/>
        <v>MS</v>
      </c>
    </row>
    <row r="18628" spans="1:6" x14ac:dyDescent="0.25">
      <c r="A18628" t="str">
        <f>"200019517"</f>
        <v>200019517</v>
      </c>
      <c r="B18628" t="str">
        <f>"1164607701"</f>
        <v>1164607701</v>
      </c>
      <c r="C18628" t="str">
        <f>"207V00000X"</f>
        <v>207V00000X</v>
      </c>
      <c r="D18628" t="str">
        <f>"ORY                      ERICA                    "</f>
        <v xml:space="preserve">ORY                      ERICA                    </v>
      </c>
      <c r="E18628" t="str">
        <f>"JACKSON                   "</f>
        <v xml:space="preserve">JACKSON                   </v>
      </c>
      <c r="F18628" t="str">
        <f t="shared" si="454"/>
        <v>MS</v>
      </c>
    </row>
    <row r="18629" spans="1:6" x14ac:dyDescent="0.25">
      <c r="A18629" t="str">
        <f>"200019520"</f>
        <v>200019520</v>
      </c>
      <c r="B18629" t="str">
        <f>"1194108589"</f>
        <v>1194108589</v>
      </c>
      <c r="C18629" t="str">
        <f>"207ZP0102X"</f>
        <v>207ZP0102X</v>
      </c>
      <c r="D18629" t="str">
        <f>"CAMPBELL                 KATELYNN     K           "</f>
        <v xml:space="preserve">CAMPBELL                 KATELYNN     K           </v>
      </c>
      <c r="E18629" t="str">
        <f>"SOUTHAVEN                 "</f>
        <v xml:space="preserve">SOUTHAVEN                 </v>
      </c>
      <c r="F18629" t="str">
        <f t="shared" si="454"/>
        <v>MS</v>
      </c>
    </row>
    <row r="18630" spans="1:6" x14ac:dyDescent="0.25">
      <c r="A18630" t="str">
        <f>"200019529"</f>
        <v>200019529</v>
      </c>
      <c r="B18630" t="str">
        <f>"1861278798"</f>
        <v>1861278798</v>
      </c>
      <c r="C18630" t="str">
        <f>"363LP0808X"</f>
        <v>363LP0808X</v>
      </c>
      <c r="D18630" t="str">
        <f>"AYCOCK                   MADISON                  "</f>
        <v xml:space="preserve">AYCOCK                   MADISON                  </v>
      </c>
      <c r="E18630" t="str">
        <f>"RIDGELAND                 "</f>
        <v xml:space="preserve">RIDGELAND                 </v>
      </c>
      <c r="F18630" t="str">
        <f t="shared" si="454"/>
        <v>MS</v>
      </c>
    </row>
    <row r="18631" spans="1:6" x14ac:dyDescent="0.25">
      <c r="A18631" t="str">
        <f>"200019544"</f>
        <v>200019544</v>
      </c>
      <c r="B18631" t="str">
        <f>"1891505756"</f>
        <v>1891505756</v>
      </c>
      <c r="C18631" t="str">
        <f>"261QM1300X"</f>
        <v>261QM1300X</v>
      </c>
      <c r="D18631" t="str">
        <f>"BLOOM AND GROW LACTATION                          "</f>
        <v xml:space="preserve">BLOOM AND GROW LACTATION                          </v>
      </c>
      <c r="E18631" t="str">
        <f>"RIDGELAND                 "</f>
        <v xml:space="preserve">RIDGELAND                 </v>
      </c>
      <c r="F18631" t="str">
        <f t="shared" si="454"/>
        <v>MS</v>
      </c>
    </row>
    <row r="18632" spans="1:6" x14ac:dyDescent="0.25">
      <c r="A18632" t="str">
        <f>"200019549"</f>
        <v>200019549</v>
      </c>
      <c r="B18632" t="str">
        <f>"1982235735"</f>
        <v>1982235735</v>
      </c>
      <c r="C18632" t="str">
        <f>"363LF0000X"</f>
        <v>363LF0000X</v>
      </c>
      <c r="D18632" t="str">
        <f>"CHURCH                   ANGELA                   "</f>
        <v xml:space="preserve">CHURCH                   ANGELA                   </v>
      </c>
      <c r="E18632" t="str">
        <f>"SENATOBIA                 "</f>
        <v xml:space="preserve">SENATOBIA                 </v>
      </c>
      <c r="F18632" t="str">
        <f t="shared" si="454"/>
        <v>MS</v>
      </c>
    </row>
    <row r="18633" spans="1:6" x14ac:dyDescent="0.25">
      <c r="A18633" t="str">
        <f>"200019551"</f>
        <v>200019551</v>
      </c>
      <c r="B18633" t="str">
        <f>"1669015764"</f>
        <v>1669015764</v>
      </c>
      <c r="C18633" t="str">
        <f>"363L00000X"</f>
        <v>363L00000X</v>
      </c>
      <c r="D18633" t="str">
        <f>"MHAKTA                   NISHA                    "</f>
        <v xml:space="preserve">MHAKTA                   NISHA                    </v>
      </c>
      <c r="E18633" t="str">
        <f>"FLOWOOD                   "</f>
        <v xml:space="preserve">FLOWOOD                   </v>
      </c>
      <c r="F18633" t="str">
        <f t="shared" si="454"/>
        <v>MS</v>
      </c>
    </row>
    <row r="18634" spans="1:6" x14ac:dyDescent="0.25">
      <c r="A18634" t="str">
        <f>"200019555"</f>
        <v>200019555</v>
      </c>
      <c r="B18634" t="str">
        <f>"1306459516"</f>
        <v>1306459516</v>
      </c>
      <c r="C18634" t="str">
        <f>"363LA2100X"</f>
        <v>363LA2100X</v>
      </c>
      <c r="D18634" t="str">
        <f>"INMAN                    VLADYSLAVA               "</f>
        <v xml:space="preserve">INMAN                    VLADYSLAVA               </v>
      </c>
      <c r="E18634" t="str">
        <f>"SOUTHAVEN                 "</f>
        <v xml:space="preserve">SOUTHAVEN                 </v>
      </c>
      <c r="F18634" t="str">
        <f t="shared" si="454"/>
        <v>MS</v>
      </c>
    </row>
    <row r="18635" spans="1:6" x14ac:dyDescent="0.25">
      <c r="A18635" t="str">
        <f>"200019564"</f>
        <v>200019564</v>
      </c>
      <c r="B18635" t="str">
        <f>"1699372169"</f>
        <v>1699372169</v>
      </c>
      <c r="C18635" t="str">
        <f>"363LF0000X"</f>
        <v>363LF0000X</v>
      </c>
      <c r="D18635" t="str">
        <f>"CHRISTIAN                ALEXIS                   "</f>
        <v xml:space="preserve">CHRISTIAN                ALEXIS                   </v>
      </c>
      <c r="E18635" t="str">
        <f>"NATCHEZ                   "</f>
        <v xml:space="preserve">NATCHEZ                   </v>
      </c>
      <c r="F18635" t="str">
        <f t="shared" si="454"/>
        <v>MS</v>
      </c>
    </row>
    <row r="18636" spans="1:6" x14ac:dyDescent="0.25">
      <c r="A18636" t="str">
        <f>"200019565"</f>
        <v>200019565</v>
      </c>
      <c r="B18636" t="str">
        <f>"1184410425"</f>
        <v>1184410425</v>
      </c>
      <c r="C18636" t="str">
        <f>"363LW0102X"</f>
        <v>363LW0102X</v>
      </c>
      <c r="D18636" t="str">
        <f>"BLOCKER                  JORDAN                   "</f>
        <v xml:space="preserve">BLOCKER                  JORDAN                   </v>
      </c>
      <c r="E18636" t="str">
        <f>"FLOWOOD                   "</f>
        <v xml:space="preserve">FLOWOOD                   </v>
      </c>
      <c r="F18636" t="str">
        <f t="shared" si="454"/>
        <v>MS</v>
      </c>
    </row>
    <row r="18637" spans="1:6" x14ac:dyDescent="0.25">
      <c r="A18637" t="str">
        <f>"200019571"</f>
        <v>200019571</v>
      </c>
      <c r="B18637" t="str">
        <f>"1992740187"</f>
        <v>1992740187</v>
      </c>
      <c r="C18637" t="str">
        <f>"2085R0202X"</f>
        <v>2085R0202X</v>
      </c>
      <c r="D18637" t="str">
        <f>"AHARONIAN                ARTIN                    "</f>
        <v xml:space="preserve">AHARONIAN                ARTIN                    </v>
      </c>
      <c r="E18637" t="str">
        <f>"MERIDIAN                  "</f>
        <v xml:space="preserve">MERIDIAN                  </v>
      </c>
      <c r="F18637" t="str">
        <f t="shared" si="454"/>
        <v>MS</v>
      </c>
    </row>
    <row r="18638" spans="1:6" x14ac:dyDescent="0.25">
      <c r="A18638" t="str">
        <f>"200019585"</f>
        <v>200019585</v>
      </c>
      <c r="B18638" t="str">
        <f>"1750843330"</f>
        <v>1750843330</v>
      </c>
      <c r="C18638" t="str">
        <f>"207RP1001X"</f>
        <v>207RP1001X</v>
      </c>
      <c r="D18638" t="str">
        <f>"GLADFELTER               ANNA         V           "</f>
        <v xml:space="preserve">GLADFELTER               ANNA         V           </v>
      </c>
      <c r="E18638" t="str">
        <f>"HATTIESBURG               "</f>
        <v xml:space="preserve">HATTIESBURG               </v>
      </c>
      <c r="F18638" t="str">
        <f t="shared" si="454"/>
        <v>MS</v>
      </c>
    </row>
    <row r="18639" spans="1:6" x14ac:dyDescent="0.25">
      <c r="A18639" t="str">
        <f>"200019596"</f>
        <v>200019596</v>
      </c>
      <c r="B18639" t="str">
        <f>"1518227180"</f>
        <v>1518227180</v>
      </c>
      <c r="C18639" t="str">
        <f>"2085R0204X"</f>
        <v>2085R0204X</v>
      </c>
      <c r="D18639" t="str">
        <f>"SUR                      BRANDON      W           "</f>
        <v xml:space="preserve">SUR                      BRANDON      W           </v>
      </c>
      <c r="E18639" t="str">
        <f>"MERIDIAN                  "</f>
        <v xml:space="preserve">MERIDIAN                  </v>
      </c>
      <c r="F18639" t="str">
        <f t="shared" si="454"/>
        <v>MS</v>
      </c>
    </row>
    <row r="18640" spans="1:6" x14ac:dyDescent="0.25">
      <c r="A18640" t="str">
        <f>"200019599"</f>
        <v>200019599</v>
      </c>
      <c r="B18640" t="str">
        <f>"1568914505"</f>
        <v>1568914505</v>
      </c>
      <c r="C18640" t="str">
        <f>"363L00000X"</f>
        <v>363L00000X</v>
      </c>
      <c r="D18640" t="str">
        <f>"CARTER-MCREYNOLDS        RITA                     "</f>
        <v xml:space="preserve">CARTER-MCREYNOLDS        RITA                     </v>
      </c>
      <c r="E18640" t="str">
        <f>"FLOWOOD                   "</f>
        <v xml:space="preserve">FLOWOOD                   </v>
      </c>
      <c r="F18640" t="str">
        <f t="shared" si="454"/>
        <v>MS</v>
      </c>
    </row>
    <row r="18641" spans="1:6" x14ac:dyDescent="0.25">
      <c r="A18641" t="str">
        <f>"200019608"</f>
        <v>200019608</v>
      </c>
      <c r="B18641" t="str">
        <f>"1992464648"</f>
        <v>1992464648</v>
      </c>
      <c r="C18641" t="str">
        <f>"363L00000X"</f>
        <v>363L00000X</v>
      </c>
      <c r="D18641" t="str">
        <f>"UPTON                    MACY                     "</f>
        <v xml:space="preserve">UPTON                    MACY                     </v>
      </c>
      <c r="E18641" t="str">
        <f>"FLOWOOD                   "</f>
        <v xml:space="preserve">FLOWOOD                   </v>
      </c>
      <c r="F18641" t="str">
        <f t="shared" si="454"/>
        <v>MS</v>
      </c>
    </row>
    <row r="18642" spans="1:6" x14ac:dyDescent="0.25">
      <c r="A18642" t="str">
        <f>"200019609"</f>
        <v>200019609</v>
      </c>
      <c r="B18642" t="str">
        <f>"1497574479"</f>
        <v>1497574479</v>
      </c>
      <c r="C18642" t="str">
        <f>"1223X0008X"</f>
        <v>1223X0008X</v>
      </c>
      <c r="D18642" t="str">
        <f>"BINNAL                   ALMAS                    "</f>
        <v xml:space="preserve">BINNAL                   ALMAS                    </v>
      </c>
      <c r="E18642" t="str">
        <f>"JACKSON                   "</f>
        <v xml:space="preserve">JACKSON                   </v>
      </c>
      <c r="F18642" t="str">
        <f t="shared" si="454"/>
        <v>MS</v>
      </c>
    </row>
    <row r="18643" spans="1:6" x14ac:dyDescent="0.25">
      <c r="A18643" t="str">
        <f>"200019612"</f>
        <v>200019612</v>
      </c>
      <c r="B18643" t="str">
        <f>"1821780727"</f>
        <v>1821780727</v>
      </c>
      <c r="C18643" t="str">
        <f>"122300000X"</f>
        <v>122300000X</v>
      </c>
      <c r="D18643" t="str">
        <f>"CARACCI                  JORDAN                   "</f>
        <v xml:space="preserve">CARACCI                  JORDAN                   </v>
      </c>
      <c r="E18643" t="str">
        <f>"GRENADA                   "</f>
        <v xml:space="preserve">GRENADA                   </v>
      </c>
      <c r="F18643" t="str">
        <f t="shared" si="454"/>
        <v>MS</v>
      </c>
    </row>
    <row r="18644" spans="1:6" x14ac:dyDescent="0.25">
      <c r="A18644" t="str">
        <f>"200019614"</f>
        <v>200019614</v>
      </c>
      <c r="B18644" t="str">
        <f>"1558002477"</f>
        <v>1558002477</v>
      </c>
      <c r="C18644" t="str">
        <f>"207P00000X"</f>
        <v>207P00000X</v>
      </c>
      <c r="D18644" t="str">
        <f>"KHAN                     OMAR                     "</f>
        <v xml:space="preserve">KHAN                     OMAR                     </v>
      </c>
      <c r="E18644" t="str">
        <f>"COLUMBIA                  "</f>
        <v xml:space="preserve">COLUMBIA                  </v>
      </c>
      <c r="F18644" t="str">
        <f t="shared" si="454"/>
        <v>MS</v>
      </c>
    </row>
    <row r="18645" spans="1:6" x14ac:dyDescent="0.25">
      <c r="A18645" t="str">
        <f>"200019616"</f>
        <v>200019616</v>
      </c>
      <c r="B18645" t="str">
        <f>"1861607962"</f>
        <v>1861607962</v>
      </c>
      <c r="C18645" t="str">
        <f>"207P00000X"</f>
        <v>207P00000X</v>
      </c>
      <c r="D18645" t="str">
        <f>"IRUKE                    BARRINGTON               "</f>
        <v xml:space="preserve">IRUKE                    BARRINGTON               </v>
      </c>
      <c r="E18645" t="str">
        <f>"OCEAN SPRINGS             "</f>
        <v xml:space="preserve">OCEAN SPRINGS             </v>
      </c>
      <c r="F18645" t="str">
        <f t="shared" si="454"/>
        <v>MS</v>
      </c>
    </row>
    <row r="18646" spans="1:6" x14ac:dyDescent="0.25">
      <c r="A18646" t="str">
        <f>"200019620"</f>
        <v>200019620</v>
      </c>
      <c r="B18646" t="str">
        <f>"1033221106"</f>
        <v>1033221106</v>
      </c>
      <c r="C18646" t="str">
        <f>"363L00000X"</f>
        <v>363L00000X</v>
      </c>
      <c r="D18646" t="str">
        <f>"ROBERTSON                REBECCA                  "</f>
        <v xml:space="preserve">ROBERTSON                REBECCA                  </v>
      </c>
      <c r="E18646" t="str">
        <f>"BILOXI                    "</f>
        <v xml:space="preserve">BILOXI                    </v>
      </c>
      <c r="F18646" t="str">
        <f t="shared" si="454"/>
        <v>MS</v>
      </c>
    </row>
    <row r="18647" spans="1:6" x14ac:dyDescent="0.25">
      <c r="A18647" t="str">
        <f>"200019621"</f>
        <v>200019621</v>
      </c>
      <c r="B18647" t="str">
        <f>"1154142735"</f>
        <v>1154142735</v>
      </c>
      <c r="C18647" t="str">
        <f>"363LF0000X"</f>
        <v>363LF0000X</v>
      </c>
      <c r="D18647" t="str">
        <f>"JORDAN                   LABRITTANY               "</f>
        <v xml:space="preserve">JORDAN                   LABRITTANY               </v>
      </c>
      <c r="E18647" t="str">
        <f>"JACKSON                   "</f>
        <v xml:space="preserve">JACKSON                   </v>
      </c>
      <c r="F18647" t="str">
        <f t="shared" si="454"/>
        <v>MS</v>
      </c>
    </row>
    <row r="18648" spans="1:6" x14ac:dyDescent="0.25">
      <c r="A18648" t="str">
        <f>"200019631"</f>
        <v>200019631</v>
      </c>
      <c r="B18648" t="str">
        <f>"1649618190"</f>
        <v>1649618190</v>
      </c>
      <c r="C18648" t="str">
        <f>"208000000X"</f>
        <v>208000000X</v>
      </c>
      <c r="D18648" t="str">
        <f>"KALLEM                   STACEY                   "</f>
        <v xml:space="preserve">KALLEM                   STACEY                   </v>
      </c>
      <c r="E18648" t="str">
        <f>"RIDGELAND                 "</f>
        <v xml:space="preserve">RIDGELAND                 </v>
      </c>
      <c r="F18648" t="str">
        <f t="shared" si="454"/>
        <v>MS</v>
      </c>
    </row>
    <row r="18649" spans="1:6" x14ac:dyDescent="0.25">
      <c r="A18649" t="str">
        <f>"200019633"</f>
        <v>200019633</v>
      </c>
      <c r="B18649" t="str">
        <f>"1235937004"</f>
        <v>1235937004</v>
      </c>
      <c r="C18649" t="str">
        <f>"363LF0000X"</f>
        <v>363LF0000X</v>
      </c>
      <c r="D18649" t="str">
        <f>"MILLER                   CHRISTINA    R           "</f>
        <v xml:space="preserve">MILLER                   CHRISTINA    R           </v>
      </c>
      <c r="E18649" t="str">
        <f>"BROOKHAVEN                "</f>
        <v xml:space="preserve">BROOKHAVEN                </v>
      </c>
      <c r="F18649" t="str">
        <f t="shared" si="454"/>
        <v>MS</v>
      </c>
    </row>
    <row r="18650" spans="1:6" x14ac:dyDescent="0.25">
      <c r="A18650" t="str">
        <f>"200019636"</f>
        <v>200019636</v>
      </c>
      <c r="B18650" t="str">
        <f>"1891950283"</f>
        <v>1891950283</v>
      </c>
      <c r="C18650" t="str">
        <f>"367500000X"</f>
        <v>367500000X</v>
      </c>
      <c r="D18650" t="str">
        <f>"GRAMLING, III            ROBERT                   "</f>
        <v xml:space="preserve">GRAMLING, III            ROBERT                   </v>
      </c>
      <c r="E18650" t="str">
        <f>"ABERDEEN                  "</f>
        <v xml:space="preserve">ABERDEEN                  </v>
      </c>
      <c r="F18650" t="str">
        <f t="shared" si="454"/>
        <v>MS</v>
      </c>
    </row>
    <row r="18651" spans="1:6" x14ac:dyDescent="0.25">
      <c r="A18651" t="str">
        <f>"200019639"</f>
        <v>200019639</v>
      </c>
      <c r="B18651" t="str">
        <f>"1225764285"</f>
        <v>1225764285</v>
      </c>
      <c r="C18651" t="str">
        <f>"363LF0000X"</f>
        <v>363LF0000X</v>
      </c>
      <c r="D18651" t="str">
        <f>"BAKER                    SHERRY                   "</f>
        <v xml:space="preserve">BAKER                    SHERRY                   </v>
      </c>
      <c r="E18651" t="str">
        <f>"BAY SAINT LOUIS           "</f>
        <v xml:space="preserve">BAY SAINT LOUIS           </v>
      </c>
      <c r="F18651" t="str">
        <f t="shared" si="454"/>
        <v>MS</v>
      </c>
    </row>
    <row r="18652" spans="1:6" x14ac:dyDescent="0.25">
      <c r="A18652" t="str">
        <f>"200019641"</f>
        <v>200019641</v>
      </c>
      <c r="B18652" t="str">
        <f>"1740059161"</f>
        <v>1740059161</v>
      </c>
      <c r="C18652" t="str">
        <f>"261QM1300X"</f>
        <v>261QM1300X</v>
      </c>
      <c r="D18652" t="str">
        <f>"HEALING HANDS HEALTHCARE LLC                      "</f>
        <v xml:space="preserve">HEALING HANDS HEALTHCARE LLC                      </v>
      </c>
      <c r="E18652" t="str">
        <f>"CORINTH                   "</f>
        <v xml:space="preserve">CORINTH                   </v>
      </c>
      <c r="F18652" t="str">
        <f t="shared" si="454"/>
        <v>MS</v>
      </c>
    </row>
    <row r="18653" spans="1:6" x14ac:dyDescent="0.25">
      <c r="A18653" t="str">
        <f>"200019643"</f>
        <v>200019643</v>
      </c>
      <c r="B18653" t="str">
        <f>"1306448881"</f>
        <v>1306448881</v>
      </c>
      <c r="C18653" t="str">
        <f>"363L00000X"</f>
        <v>363L00000X</v>
      </c>
      <c r="D18653" t="str">
        <f>"MUSGROVE                 JEANNENE     P           "</f>
        <v xml:space="preserve">MUSGROVE                 JEANNENE     P           </v>
      </c>
      <c r="E18653" t="str">
        <f>"HATTIESBURG               "</f>
        <v xml:space="preserve">HATTIESBURG               </v>
      </c>
      <c r="F18653" t="str">
        <f t="shared" si="454"/>
        <v>MS</v>
      </c>
    </row>
    <row r="18654" spans="1:6" x14ac:dyDescent="0.25">
      <c r="A18654" t="str">
        <f>"200019645"</f>
        <v>200019645</v>
      </c>
      <c r="B18654" t="str">
        <f>"1003137944"</f>
        <v>1003137944</v>
      </c>
      <c r="C18654" t="str">
        <f>"2085R0202X"</f>
        <v>2085R0202X</v>
      </c>
      <c r="D18654" t="str">
        <f>"CROSS                    JONATHAN     C           "</f>
        <v xml:space="preserve">CROSS                    JONATHAN     C           </v>
      </c>
      <c r="E18654" t="str">
        <f>"HATTIESBURG               "</f>
        <v xml:space="preserve">HATTIESBURG               </v>
      </c>
      <c r="F18654" t="str">
        <f t="shared" si="454"/>
        <v>MS</v>
      </c>
    </row>
    <row r="18655" spans="1:6" x14ac:dyDescent="0.25">
      <c r="A18655" t="str">
        <f>"200019650"</f>
        <v>200019650</v>
      </c>
      <c r="B18655" t="str">
        <f>"1053322974"</f>
        <v>1053322974</v>
      </c>
      <c r="C18655" t="str">
        <f>"207V00000X"</f>
        <v>207V00000X</v>
      </c>
      <c r="D18655" t="str">
        <f>"JACKSON                  PAUL                     "</f>
        <v xml:space="preserve">JACKSON                  PAUL                     </v>
      </c>
      <c r="E18655" t="str">
        <f>"GREENVILLE                "</f>
        <v xml:space="preserve">GREENVILLE                </v>
      </c>
      <c r="F18655" t="str">
        <f t="shared" si="454"/>
        <v>MS</v>
      </c>
    </row>
    <row r="18656" spans="1:6" x14ac:dyDescent="0.25">
      <c r="A18656" t="str">
        <f>"200019652"</f>
        <v>200019652</v>
      </c>
      <c r="B18656" t="str">
        <f>"1942871678"</f>
        <v>1942871678</v>
      </c>
      <c r="C18656" t="str">
        <f>"207R00000X"</f>
        <v>207R00000X</v>
      </c>
      <c r="D18656" t="str">
        <f>"SREEMANTULA              HARSHA                   "</f>
        <v xml:space="preserve">SREEMANTULA              HARSHA                   </v>
      </c>
      <c r="E18656" t="str">
        <f>"JACKSON                   "</f>
        <v xml:space="preserve">JACKSON                   </v>
      </c>
      <c r="F18656" t="str">
        <f t="shared" si="454"/>
        <v>MS</v>
      </c>
    </row>
    <row r="18657" spans="1:6" x14ac:dyDescent="0.25">
      <c r="A18657" t="str">
        <f>"200019655"</f>
        <v>200019655</v>
      </c>
      <c r="B18657" t="str">
        <f>"1053554808"</f>
        <v>1053554808</v>
      </c>
      <c r="C18657" t="str">
        <f>"363LF0000X"</f>
        <v>363LF0000X</v>
      </c>
      <c r="D18657" t="str">
        <f>"RICHARDS                 JULIET                   "</f>
        <v xml:space="preserve">RICHARDS                 JULIET                   </v>
      </c>
      <c r="E18657" t="str">
        <f>"JACKSON                   "</f>
        <v xml:space="preserve">JACKSON                   </v>
      </c>
      <c r="F18657" t="str">
        <f t="shared" si="454"/>
        <v>MS</v>
      </c>
    </row>
    <row r="18658" spans="1:6" x14ac:dyDescent="0.25">
      <c r="A18658" t="str">
        <f>"200019657"</f>
        <v>200019657</v>
      </c>
      <c r="B18658" t="str">
        <f>"1609247139"</f>
        <v>1609247139</v>
      </c>
      <c r="C18658" t="str">
        <f>"363LG0600X"</f>
        <v>363LG0600X</v>
      </c>
      <c r="D18658" t="str">
        <f>"SCHERRER                 ELLEN                    "</f>
        <v xml:space="preserve">SCHERRER                 ELLEN                    </v>
      </c>
      <c r="E18658" t="str">
        <f>"COLUMBUS                  "</f>
        <v xml:space="preserve">COLUMBUS                  </v>
      </c>
      <c r="F18658" t="str">
        <f t="shared" si="454"/>
        <v>MS</v>
      </c>
    </row>
    <row r="18659" spans="1:6" x14ac:dyDescent="0.25">
      <c r="A18659" t="str">
        <f>"200019665"</f>
        <v>200019665</v>
      </c>
      <c r="B18659" t="str">
        <f>"1568091973"</f>
        <v>1568091973</v>
      </c>
      <c r="C18659" t="str">
        <f>"207X00000X"</f>
        <v>207X00000X</v>
      </c>
      <c r="D18659" t="str">
        <f>"IRMEGER                  STEVEN                   "</f>
        <v xml:space="preserve">IRMEGER                  STEVEN                   </v>
      </c>
      <c r="E18659" t="str">
        <f>"JACKSON                   "</f>
        <v xml:space="preserve">JACKSON                   </v>
      </c>
      <c r="F18659" t="str">
        <f t="shared" si="454"/>
        <v>MS</v>
      </c>
    </row>
    <row r="18660" spans="1:6" x14ac:dyDescent="0.25">
      <c r="A18660" t="str">
        <f>"200019668"</f>
        <v>200019668</v>
      </c>
      <c r="B18660" t="str">
        <f>"1346891884"</f>
        <v>1346891884</v>
      </c>
      <c r="C18660" t="str">
        <f>"367A00000X"</f>
        <v>367A00000X</v>
      </c>
      <c r="D18660" t="str">
        <f>"EGGEBRECHT               ERICA                    "</f>
        <v xml:space="preserve">EGGEBRECHT               ERICA                    </v>
      </c>
      <c r="E18660" t="str">
        <f>"RIDGELAND                 "</f>
        <v xml:space="preserve">RIDGELAND                 </v>
      </c>
      <c r="F18660" t="str">
        <f t="shared" si="454"/>
        <v>MS</v>
      </c>
    </row>
    <row r="18661" spans="1:6" x14ac:dyDescent="0.25">
      <c r="A18661" t="str">
        <f>"200019677"</f>
        <v>200019677</v>
      </c>
      <c r="B18661" t="str">
        <f>"1316779309"</f>
        <v>1316779309</v>
      </c>
      <c r="C18661" t="str">
        <f>"363LF0000X"</f>
        <v>363LF0000X</v>
      </c>
      <c r="D18661" t="str">
        <f>"DERRICK                  JESSICA                  "</f>
        <v xml:space="preserve">DERRICK                  JESSICA                  </v>
      </c>
      <c r="E18661" t="str">
        <f>"MORTON                    "</f>
        <v xml:space="preserve">MORTON                    </v>
      </c>
      <c r="F18661" t="str">
        <f t="shared" si="454"/>
        <v>MS</v>
      </c>
    </row>
    <row r="18662" spans="1:6" x14ac:dyDescent="0.25">
      <c r="A18662" t="str">
        <f>"200019678"</f>
        <v>200019678</v>
      </c>
      <c r="B18662" t="str">
        <f>"1194519439"</f>
        <v>1194519439</v>
      </c>
      <c r="C18662" t="str">
        <f>"363L00000X"</f>
        <v>363L00000X</v>
      </c>
      <c r="D18662" t="str">
        <f>"ROBERTS                  KELLIE                   "</f>
        <v xml:space="preserve">ROBERTS                  KELLIE                   </v>
      </c>
      <c r="E18662" t="str">
        <f>"HATTIESBURG               "</f>
        <v xml:space="preserve">HATTIESBURG               </v>
      </c>
      <c r="F18662" t="str">
        <f t="shared" si="454"/>
        <v>MS</v>
      </c>
    </row>
    <row r="18663" spans="1:6" x14ac:dyDescent="0.25">
      <c r="A18663" t="str">
        <f>"200019684"</f>
        <v>200019684</v>
      </c>
      <c r="B18663" t="str">
        <f>"1225547185"</f>
        <v>1225547185</v>
      </c>
      <c r="C18663" t="str">
        <f>"363LF0000X"</f>
        <v>363LF0000X</v>
      </c>
      <c r="D18663" t="str">
        <f>"SAINT                    SHEREDA                  "</f>
        <v xml:space="preserve">SAINT                    SHEREDA                  </v>
      </c>
      <c r="E18663" t="str">
        <f>"NEW ALBANY                "</f>
        <v xml:space="preserve">NEW ALBANY                </v>
      </c>
      <c r="F18663" t="str">
        <f t="shared" si="454"/>
        <v>MS</v>
      </c>
    </row>
    <row r="18664" spans="1:6" x14ac:dyDescent="0.25">
      <c r="A18664" t="str">
        <f>"200019687"</f>
        <v>200019687</v>
      </c>
      <c r="B18664" t="str">
        <f>"1366021131"</f>
        <v>1366021131</v>
      </c>
      <c r="C18664" t="str">
        <f>"207R00000X"</f>
        <v>207R00000X</v>
      </c>
      <c r="D18664" t="str">
        <f>"WALLS                    JOSHUA                   "</f>
        <v xml:space="preserve">WALLS                    JOSHUA                   </v>
      </c>
      <c r="E18664" t="str">
        <f>"WHITFIELD                 "</f>
        <v xml:space="preserve">WHITFIELD                 </v>
      </c>
      <c r="F18664" t="str">
        <f t="shared" si="454"/>
        <v>MS</v>
      </c>
    </row>
    <row r="18665" spans="1:6" x14ac:dyDescent="0.25">
      <c r="A18665" t="str">
        <f>"200019690"</f>
        <v>200019690</v>
      </c>
      <c r="B18665" t="str">
        <f>"1245060342"</f>
        <v>1245060342</v>
      </c>
      <c r="C18665" t="str">
        <f>"363A00000X"</f>
        <v>363A00000X</v>
      </c>
      <c r="D18665" t="str">
        <f>"SASSER                   JOHN         R           "</f>
        <v xml:space="preserve">SASSER                   JOHN         R           </v>
      </c>
      <c r="E18665" t="str">
        <f>"LAUREL                    "</f>
        <v xml:space="preserve">LAUREL                    </v>
      </c>
      <c r="F18665" t="str">
        <f t="shared" si="454"/>
        <v>MS</v>
      </c>
    </row>
    <row r="18666" spans="1:6" x14ac:dyDescent="0.25">
      <c r="A18666" t="str">
        <f>"200019691"</f>
        <v>200019691</v>
      </c>
      <c r="B18666" t="str">
        <f>"1134741945"</f>
        <v>1134741945</v>
      </c>
      <c r="C18666" t="str">
        <f>"261QR1300X"</f>
        <v>261QR1300X</v>
      </c>
      <c r="D18666" t="str">
        <f>"EXTENDED CARE CLINICAL SERVICES LLC               "</f>
        <v xml:space="preserve">EXTENDED CARE CLINICAL SERVICES LLC               </v>
      </c>
      <c r="E18666" t="str">
        <f>"BROOKHAVEN                "</f>
        <v xml:space="preserve">BROOKHAVEN                </v>
      </c>
      <c r="F18666" t="str">
        <f t="shared" si="454"/>
        <v>MS</v>
      </c>
    </row>
    <row r="18667" spans="1:6" x14ac:dyDescent="0.25">
      <c r="A18667" t="str">
        <f>"200019692"</f>
        <v>200019692</v>
      </c>
      <c r="B18667" t="str">
        <f>"1851050579"</f>
        <v>1851050579</v>
      </c>
      <c r="C18667" t="str">
        <f>"261QR1300X"</f>
        <v>261QR1300X</v>
      </c>
      <c r="D18667" t="str">
        <f>"FAST PACE HEALTH                                  "</f>
        <v xml:space="preserve">FAST PACE HEALTH                                  </v>
      </c>
      <c r="E18667" t="str">
        <f>"MCCOMB                    "</f>
        <v xml:space="preserve">MCCOMB                    </v>
      </c>
      <c r="F18667" t="str">
        <f t="shared" si="454"/>
        <v>MS</v>
      </c>
    </row>
    <row r="18668" spans="1:6" x14ac:dyDescent="0.25">
      <c r="A18668" t="str">
        <f>"200019694"</f>
        <v>200019694</v>
      </c>
      <c r="B18668" t="str">
        <f>"1154008811"</f>
        <v>1154008811</v>
      </c>
      <c r="C18668" t="str">
        <f>"261QR1300X"</f>
        <v>261QR1300X</v>
      </c>
      <c r="D18668" t="str">
        <f>"SUMMIT FAMILY PRACTICE                            "</f>
        <v xml:space="preserve">SUMMIT FAMILY PRACTICE                            </v>
      </c>
      <c r="E18668" t="str">
        <f>"SUMMIT                    "</f>
        <v xml:space="preserve">SUMMIT                    </v>
      </c>
      <c r="F18668" t="str">
        <f t="shared" si="454"/>
        <v>MS</v>
      </c>
    </row>
    <row r="18669" spans="1:6" x14ac:dyDescent="0.25">
      <c r="A18669" t="str">
        <f>"200019695"</f>
        <v>200019695</v>
      </c>
      <c r="B18669" t="str">
        <f>"1780450619"</f>
        <v>1780450619</v>
      </c>
      <c r="C18669" t="str">
        <f>"261QR1300X"</f>
        <v>261QR1300X</v>
      </c>
      <c r="D18669" t="str">
        <f>"EAST END FAMILY MEDICAL CLINIC                    "</f>
        <v xml:space="preserve">EAST END FAMILY MEDICAL CLINIC                    </v>
      </c>
      <c r="E18669" t="str">
        <f>"CLEVELAND                 "</f>
        <v xml:space="preserve">CLEVELAND                 </v>
      </c>
      <c r="F18669" t="str">
        <f t="shared" si="454"/>
        <v>MS</v>
      </c>
    </row>
    <row r="18670" spans="1:6" x14ac:dyDescent="0.25">
      <c r="A18670" t="str">
        <f>"200019702"</f>
        <v>200019702</v>
      </c>
      <c r="B18670" t="str">
        <f>"1992850036"</f>
        <v>1992850036</v>
      </c>
      <c r="C18670" t="str">
        <f>"207Q00000X"</f>
        <v>207Q00000X</v>
      </c>
      <c r="D18670" t="str">
        <f>"JACKSON                  JOHN                     "</f>
        <v xml:space="preserve">JACKSON                  JOHN                     </v>
      </c>
      <c r="E18670" t="str">
        <f>"CLARKSDALE                "</f>
        <v xml:space="preserve">CLARKSDALE                </v>
      </c>
      <c r="F18670" t="str">
        <f t="shared" si="454"/>
        <v>MS</v>
      </c>
    </row>
    <row r="18671" spans="1:6" x14ac:dyDescent="0.25">
      <c r="A18671" t="str">
        <f>"200019716"</f>
        <v>200019716</v>
      </c>
      <c r="B18671" t="str">
        <f>"1447678081"</f>
        <v>1447678081</v>
      </c>
      <c r="C18671" t="str">
        <f>"363LF0000X"</f>
        <v>363LF0000X</v>
      </c>
      <c r="D18671" t="str">
        <f>"SMITH                    BRENDA                   "</f>
        <v xml:space="preserve">SMITH                    BRENDA                   </v>
      </c>
      <c r="E18671" t="str">
        <f>"JACKSON                   "</f>
        <v xml:space="preserve">JACKSON                   </v>
      </c>
      <c r="F18671" t="str">
        <f t="shared" si="454"/>
        <v>MS</v>
      </c>
    </row>
    <row r="18672" spans="1:6" x14ac:dyDescent="0.25">
      <c r="A18672" t="str">
        <f>"200019717"</f>
        <v>200019717</v>
      </c>
      <c r="B18672" t="str">
        <f>"1457706434"</f>
        <v>1457706434</v>
      </c>
      <c r="C18672" t="str">
        <f>"207N00000X"</f>
        <v>207N00000X</v>
      </c>
      <c r="D18672" t="str">
        <f>"DAGGETT                  AMANDA                   "</f>
        <v xml:space="preserve">DAGGETT                  AMANDA                   </v>
      </c>
      <c r="E18672" t="str">
        <f>"RIDGELAND                 "</f>
        <v xml:space="preserve">RIDGELAND                 </v>
      </c>
      <c r="F18672" t="str">
        <f t="shared" si="454"/>
        <v>MS</v>
      </c>
    </row>
    <row r="18673" spans="1:6" x14ac:dyDescent="0.25">
      <c r="A18673" t="str">
        <f>"200019724"</f>
        <v>200019724</v>
      </c>
      <c r="B18673" t="str">
        <f>"1336973734"</f>
        <v>1336973734</v>
      </c>
      <c r="C18673" t="str">
        <f>"363AM0700X"</f>
        <v>363AM0700X</v>
      </c>
      <c r="D18673" t="str">
        <f>"TENNER                   ROSHEKA                  "</f>
        <v xml:space="preserve">TENNER                   ROSHEKA                  </v>
      </c>
      <c r="E18673" t="str">
        <f>"WAYNESBORO                "</f>
        <v xml:space="preserve">WAYNESBORO                </v>
      </c>
      <c r="F18673" t="str">
        <f t="shared" si="454"/>
        <v>MS</v>
      </c>
    </row>
    <row r="18674" spans="1:6" x14ac:dyDescent="0.25">
      <c r="A18674" t="str">
        <f>"200019730"</f>
        <v>200019730</v>
      </c>
      <c r="B18674" t="str">
        <f>"1487958377"</f>
        <v>1487958377</v>
      </c>
      <c r="C18674" t="str">
        <f>"363A00000X"</f>
        <v>363A00000X</v>
      </c>
      <c r="D18674" t="str">
        <f>"PEARCE                   MERCY                    "</f>
        <v xml:space="preserve">PEARCE                   MERCY                    </v>
      </c>
      <c r="E18674" t="str">
        <f>"HATTIESBURG               "</f>
        <v xml:space="preserve">HATTIESBURG               </v>
      </c>
      <c r="F18674" t="str">
        <f t="shared" si="454"/>
        <v>MS</v>
      </c>
    </row>
    <row r="18675" spans="1:6" x14ac:dyDescent="0.25">
      <c r="A18675" t="str">
        <f>"200019731"</f>
        <v>200019731</v>
      </c>
      <c r="B18675" t="str">
        <f>"1487283495"</f>
        <v>1487283495</v>
      </c>
      <c r="C18675" t="str">
        <f>"207X00000X"</f>
        <v>207X00000X</v>
      </c>
      <c r="D18675" t="str">
        <f>"BEALE                    JACK                     "</f>
        <v xml:space="preserve">BEALE                    JACK                     </v>
      </c>
      <c r="E18675" t="str">
        <f>"JACKSON                   "</f>
        <v xml:space="preserve">JACKSON                   </v>
      </c>
      <c r="F18675" t="str">
        <f t="shared" si="454"/>
        <v>MS</v>
      </c>
    </row>
    <row r="18676" spans="1:6" x14ac:dyDescent="0.25">
      <c r="A18676" t="str">
        <f>"200019732"</f>
        <v>200019732</v>
      </c>
      <c r="B18676" t="str">
        <f>"1962248708"</f>
        <v>1962248708</v>
      </c>
      <c r="C18676" t="str">
        <f>"1223G0001X"</f>
        <v>1223G0001X</v>
      </c>
      <c r="D18676" t="str">
        <f>"MATHER                   ADAM                     "</f>
        <v xml:space="preserve">MATHER                   ADAM                     </v>
      </c>
      <c r="E18676" t="str">
        <f>"GULFPORT                  "</f>
        <v xml:space="preserve">GULFPORT                  </v>
      </c>
      <c r="F18676" t="str">
        <f t="shared" si="454"/>
        <v>MS</v>
      </c>
    </row>
    <row r="18677" spans="1:6" x14ac:dyDescent="0.25">
      <c r="A18677" t="str">
        <f>"200019734"</f>
        <v>200019734</v>
      </c>
      <c r="B18677" t="str">
        <f>"1790548311"</f>
        <v>1790548311</v>
      </c>
      <c r="C18677" t="str">
        <f>"363LF0000X"</f>
        <v>363LF0000X</v>
      </c>
      <c r="D18677" t="str">
        <f>"ANLTE                    KATIE                    "</f>
        <v xml:space="preserve">ANLTE                    KATIE                    </v>
      </c>
      <c r="E18677" t="str">
        <f>"TUPELO                    "</f>
        <v xml:space="preserve">TUPELO                    </v>
      </c>
      <c r="F18677" t="str">
        <f t="shared" si="454"/>
        <v>MS</v>
      </c>
    </row>
    <row r="18678" spans="1:6" x14ac:dyDescent="0.25">
      <c r="A18678" t="str">
        <f>"200019736"</f>
        <v>200019736</v>
      </c>
      <c r="B18678" t="str">
        <f>"1477174282"</f>
        <v>1477174282</v>
      </c>
      <c r="C18678" t="str">
        <f>"207X00000X"</f>
        <v>207X00000X</v>
      </c>
      <c r="D18678" t="str">
        <f>"COUTURE                  ANDREW                   "</f>
        <v xml:space="preserve">COUTURE                  ANDREW                   </v>
      </c>
      <c r="E18678" t="str">
        <f>"JACKSON                   "</f>
        <v xml:space="preserve">JACKSON                   </v>
      </c>
      <c r="F18678" t="str">
        <f t="shared" si="454"/>
        <v>MS</v>
      </c>
    </row>
    <row r="18679" spans="1:6" x14ac:dyDescent="0.25">
      <c r="A18679" t="str">
        <f>"200019742"</f>
        <v>200019742</v>
      </c>
      <c r="B18679" t="str">
        <f>"1417677766"</f>
        <v>1417677766</v>
      </c>
      <c r="C18679" t="str">
        <f>"367500000X"</f>
        <v>367500000X</v>
      </c>
      <c r="D18679" t="str">
        <f>"COBB                     LEIGH                    "</f>
        <v xml:space="preserve">COBB                     LEIGH                    </v>
      </c>
      <c r="E18679" t="str">
        <f>"GULFPORT                  "</f>
        <v xml:space="preserve">GULFPORT                  </v>
      </c>
      <c r="F18679" t="str">
        <f t="shared" si="454"/>
        <v>MS</v>
      </c>
    </row>
    <row r="18680" spans="1:6" x14ac:dyDescent="0.25">
      <c r="A18680" t="str">
        <f>"200019754"</f>
        <v>200019754</v>
      </c>
      <c r="B18680" t="str">
        <f>"1336930528"</f>
        <v>1336930528</v>
      </c>
      <c r="C18680" t="str">
        <f>"122300000X"</f>
        <v>122300000X</v>
      </c>
      <c r="D18680" t="str">
        <f>"MCCARTY CHILDREN'S DENTISTRY                      "</f>
        <v xml:space="preserve">MCCARTY CHILDREN'S DENTISTRY                      </v>
      </c>
      <c r="E18680" t="str">
        <f>"MERIDIAN                  "</f>
        <v xml:space="preserve">MERIDIAN                  </v>
      </c>
      <c r="F18680" t="str">
        <f t="shared" si="454"/>
        <v>MS</v>
      </c>
    </row>
    <row r="18681" spans="1:6" x14ac:dyDescent="0.25">
      <c r="A18681" t="str">
        <f>"200019755"</f>
        <v>200019755</v>
      </c>
      <c r="B18681" t="str">
        <f>"1639313711"</f>
        <v>1639313711</v>
      </c>
      <c r="C18681" t="str">
        <f>"207P00000X"</f>
        <v>207P00000X</v>
      </c>
      <c r="D18681" t="str">
        <f>"CONNER                   DAVID        T           "</f>
        <v xml:space="preserve">CONNER                   DAVID        T           </v>
      </c>
      <c r="E18681" t="str">
        <f>"SOUTHAVEN                 "</f>
        <v xml:space="preserve">SOUTHAVEN                 </v>
      </c>
      <c r="F18681" t="str">
        <f t="shared" si="454"/>
        <v>MS</v>
      </c>
    </row>
    <row r="18682" spans="1:6" x14ac:dyDescent="0.25">
      <c r="A18682" t="str">
        <f>"200019768"</f>
        <v>200019768</v>
      </c>
      <c r="B18682" t="str">
        <f>"1922080522"</f>
        <v>1922080522</v>
      </c>
      <c r="C18682" t="str">
        <f>"208000000X"</f>
        <v>208000000X</v>
      </c>
      <c r="D18682" t="str">
        <f>"GREER                    WILLLIE                  "</f>
        <v xml:space="preserve">GREER                    WILLLIE                  </v>
      </c>
      <c r="E18682" t="str">
        <f>"MERIDIAN                  "</f>
        <v xml:space="preserve">MERIDIAN                  </v>
      </c>
      <c r="F18682" t="str">
        <f t="shared" si="454"/>
        <v>MS</v>
      </c>
    </row>
    <row r="18683" spans="1:6" x14ac:dyDescent="0.25">
      <c r="A18683" t="str">
        <f>"200019771"</f>
        <v>200019771</v>
      </c>
      <c r="B18683" t="str">
        <f>"1194013078"</f>
        <v>1194013078</v>
      </c>
      <c r="C18683" t="str">
        <f>"363LA2100X"</f>
        <v>363LA2100X</v>
      </c>
      <c r="D18683" t="str">
        <f>"SYLVIA                   APRIL                    "</f>
        <v xml:space="preserve">SYLVIA                   APRIL                    </v>
      </c>
      <c r="E18683" t="str">
        <f>"JACKSON                   "</f>
        <v xml:space="preserve">JACKSON                   </v>
      </c>
      <c r="F18683" t="str">
        <f t="shared" si="454"/>
        <v>MS</v>
      </c>
    </row>
    <row r="18684" spans="1:6" x14ac:dyDescent="0.25">
      <c r="A18684" t="str">
        <f>"200019774"</f>
        <v>200019774</v>
      </c>
      <c r="B18684" t="str">
        <f>"1861756595"</f>
        <v>1861756595</v>
      </c>
      <c r="C18684" t="str">
        <f>"207R00000X"</f>
        <v>207R00000X</v>
      </c>
      <c r="D18684" t="str">
        <f>"CRAWFORD                 NICHOLAS     A           "</f>
        <v xml:space="preserve">CRAWFORD                 NICHOLAS     A           </v>
      </c>
      <c r="E18684" t="str">
        <f>"HATTIESBURG               "</f>
        <v xml:space="preserve">HATTIESBURG               </v>
      </c>
      <c r="F18684" t="str">
        <f t="shared" si="454"/>
        <v>MS</v>
      </c>
    </row>
    <row r="18685" spans="1:6" x14ac:dyDescent="0.25">
      <c r="A18685" t="str">
        <f>"200019775"</f>
        <v>200019775</v>
      </c>
      <c r="B18685" t="str">
        <f>"1528868072"</f>
        <v>1528868072</v>
      </c>
      <c r="C18685" t="str">
        <f>"363LF0000X"</f>
        <v>363LF0000X</v>
      </c>
      <c r="D18685" t="str">
        <f>"LONG                     ALISON                   "</f>
        <v xml:space="preserve">LONG                     ALISON                   </v>
      </c>
      <c r="E18685" t="str">
        <f>"GREENVILLE                "</f>
        <v xml:space="preserve">GREENVILLE                </v>
      </c>
      <c r="F18685" t="str">
        <f t="shared" si="454"/>
        <v>MS</v>
      </c>
    </row>
    <row r="18686" spans="1:6" x14ac:dyDescent="0.25">
      <c r="A18686" t="str">
        <f>"200019777"</f>
        <v>200019777</v>
      </c>
      <c r="B18686" t="str">
        <f>"1942862230"</f>
        <v>1942862230</v>
      </c>
      <c r="C18686" t="str">
        <f>"2080P0203X"</f>
        <v>2080P0203X</v>
      </c>
      <c r="D18686" t="str">
        <f>"KHARAYAT                 PRIYANKA                 "</f>
        <v xml:space="preserve">KHARAYAT                 PRIYANKA                 </v>
      </c>
      <c r="E18686" t="str">
        <f>"JACKSON                   "</f>
        <v xml:space="preserve">JACKSON                   </v>
      </c>
      <c r="F18686" t="str">
        <f t="shared" ref="F18686:F18749" si="455">"MS"</f>
        <v>MS</v>
      </c>
    </row>
    <row r="18687" spans="1:6" x14ac:dyDescent="0.25">
      <c r="A18687" t="str">
        <f>"200019779"</f>
        <v>200019779</v>
      </c>
      <c r="B18687" t="str">
        <f>"1417782723"</f>
        <v>1417782723</v>
      </c>
      <c r="C18687" t="str">
        <f>"363LF0000X"</f>
        <v>363LF0000X</v>
      </c>
      <c r="D18687" t="str">
        <f>"PARKER                   PRECIOUS                 "</f>
        <v xml:space="preserve">PARKER                   PRECIOUS                 </v>
      </c>
      <c r="E18687" t="str">
        <f>"COLLINS                   "</f>
        <v xml:space="preserve">COLLINS                   </v>
      </c>
      <c r="F18687" t="str">
        <f t="shared" si="455"/>
        <v>MS</v>
      </c>
    </row>
    <row r="18688" spans="1:6" x14ac:dyDescent="0.25">
      <c r="A18688" t="str">
        <f>"200019783"</f>
        <v>200019783</v>
      </c>
      <c r="B18688" t="str">
        <f>"1104452887"</f>
        <v>1104452887</v>
      </c>
      <c r="C18688" t="str">
        <f>"363LF0000X"</f>
        <v>363LF0000X</v>
      </c>
      <c r="D18688" t="str">
        <f>"SPINOSA-PARKER           VINCENT      L           "</f>
        <v xml:space="preserve">SPINOSA-PARKER           VINCENT      L           </v>
      </c>
      <c r="E18688" t="str">
        <f>"MORTON                    "</f>
        <v xml:space="preserve">MORTON                    </v>
      </c>
      <c r="F18688" t="str">
        <f t="shared" si="455"/>
        <v>MS</v>
      </c>
    </row>
    <row r="18689" spans="1:6" x14ac:dyDescent="0.25">
      <c r="A18689" t="str">
        <f>"200019784"</f>
        <v>200019784</v>
      </c>
      <c r="B18689" t="str">
        <f>"1164250841"</f>
        <v>1164250841</v>
      </c>
      <c r="C18689" t="str">
        <f>"363LW0102X"</f>
        <v>363LW0102X</v>
      </c>
      <c r="D18689" t="str">
        <f>"BLUMENBERG               KIMBERLY                 "</f>
        <v xml:space="preserve">BLUMENBERG               KIMBERLY                 </v>
      </c>
      <c r="E18689" t="str">
        <f>"FLOWOOD                   "</f>
        <v xml:space="preserve">FLOWOOD                   </v>
      </c>
      <c r="F18689" t="str">
        <f t="shared" si="455"/>
        <v>MS</v>
      </c>
    </row>
    <row r="18690" spans="1:6" x14ac:dyDescent="0.25">
      <c r="A18690" t="str">
        <f>"200019787"</f>
        <v>200019787</v>
      </c>
      <c r="B18690" t="str">
        <f>"1003645961"</f>
        <v>1003645961</v>
      </c>
      <c r="C18690" t="str">
        <f>"261QA1903X"</f>
        <v>261QA1903X</v>
      </c>
      <c r="D18690" t="str">
        <f>"GOLDEN TRIANGLE OUTPATIENT CENTER LLC             "</f>
        <v xml:space="preserve">GOLDEN TRIANGLE OUTPATIENT CENTER LLC             </v>
      </c>
      <c r="E18690" t="str">
        <f>"STARKVILLE                "</f>
        <v xml:space="preserve">STARKVILLE                </v>
      </c>
      <c r="F18690" t="str">
        <f t="shared" si="455"/>
        <v>MS</v>
      </c>
    </row>
    <row r="18691" spans="1:6" x14ac:dyDescent="0.25">
      <c r="A18691" t="str">
        <f>"200019789"</f>
        <v>200019789</v>
      </c>
      <c r="B18691" t="str">
        <f>"1508324302"</f>
        <v>1508324302</v>
      </c>
      <c r="C18691" t="str">
        <f>"363L00000X"</f>
        <v>363L00000X</v>
      </c>
      <c r="D18691" t="str">
        <f>"YANG                     ERICA                    "</f>
        <v xml:space="preserve">YANG                     ERICA                    </v>
      </c>
      <c r="E18691" t="str">
        <f>"GULFPORT                  "</f>
        <v xml:space="preserve">GULFPORT                  </v>
      </c>
      <c r="F18691" t="str">
        <f t="shared" si="455"/>
        <v>MS</v>
      </c>
    </row>
    <row r="18692" spans="1:6" x14ac:dyDescent="0.25">
      <c r="A18692" t="str">
        <f>"200019803"</f>
        <v>200019803</v>
      </c>
      <c r="B18692" t="str">
        <f>"1467494179"</f>
        <v>1467494179</v>
      </c>
      <c r="C18692" t="str">
        <f>"207P00000X"</f>
        <v>207P00000X</v>
      </c>
      <c r="D18692" t="str">
        <f>"BUONO                    COLLEEN                  "</f>
        <v xml:space="preserve">BUONO                    COLLEEN                  </v>
      </c>
      <c r="E18692" t="str">
        <f>"JACKSON                   "</f>
        <v xml:space="preserve">JACKSON                   </v>
      </c>
      <c r="F18692" t="str">
        <f t="shared" si="455"/>
        <v>MS</v>
      </c>
    </row>
    <row r="18693" spans="1:6" x14ac:dyDescent="0.25">
      <c r="A18693" t="str">
        <f>"200019806"</f>
        <v>200019806</v>
      </c>
      <c r="B18693" t="str">
        <f>"1013170653"</f>
        <v>1013170653</v>
      </c>
      <c r="C18693" t="str">
        <f>"363LA2100X"</f>
        <v>363LA2100X</v>
      </c>
      <c r="D18693" t="str">
        <f>"WENSTROM                 WILLIAMS                 "</f>
        <v xml:space="preserve">WENSTROM                 WILLIAMS                 </v>
      </c>
      <c r="E18693" t="str">
        <f>"PASCAGOULA                "</f>
        <v xml:space="preserve">PASCAGOULA                </v>
      </c>
      <c r="F18693" t="str">
        <f t="shared" si="455"/>
        <v>MS</v>
      </c>
    </row>
    <row r="18694" spans="1:6" x14ac:dyDescent="0.25">
      <c r="A18694" t="str">
        <f>"200019808"</f>
        <v>200019808</v>
      </c>
      <c r="B18694" t="str">
        <f>"1528366333"</f>
        <v>1528366333</v>
      </c>
      <c r="C18694" t="str">
        <f>"367A00000X"</f>
        <v>367A00000X</v>
      </c>
      <c r="D18694" t="str">
        <f>"RUDOW                    GALIT                    "</f>
        <v xml:space="preserve">RUDOW                    GALIT                    </v>
      </c>
      <c r="E18694" t="str">
        <f>"RIDGELAND                 "</f>
        <v xml:space="preserve">RIDGELAND                 </v>
      </c>
      <c r="F18694" t="str">
        <f t="shared" si="455"/>
        <v>MS</v>
      </c>
    </row>
    <row r="18695" spans="1:6" x14ac:dyDescent="0.25">
      <c r="A18695" t="str">
        <f>"200019818"</f>
        <v>200019818</v>
      </c>
      <c r="B18695" t="str">
        <f>"1821442559"</f>
        <v>1821442559</v>
      </c>
      <c r="C18695" t="str">
        <f>"207R00000X"</f>
        <v>207R00000X</v>
      </c>
      <c r="D18695" t="str">
        <f>"LINDER                   NEIL         M           "</f>
        <v xml:space="preserve">LINDER                   NEIL         M           </v>
      </c>
      <c r="E18695" t="str">
        <f>"HATTIESBURG               "</f>
        <v xml:space="preserve">HATTIESBURG               </v>
      </c>
      <c r="F18695" t="str">
        <f t="shared" si="455"/>
        <v>MS</v>
      </c>
    </row>
    <row r="18696" spans="1:6" x14ac:dyDescent="0.25">
      <c r="A18696" t="str">
        <f>"200019820"</f>
        <v>200019820</v>
      </c>
      <c r="B18696" t="str">
        <f>"1770367716"</f>
        <v>1770367716</v>
      </c>
      <c r="C18696" t="str">
        <f>"363LP0808X"</f>
        <v>363LP0808X</v>
      </c>
      <c r="D18696" t="str">
        <f>"BROOKS                   CHELSEA                  "</f>
        <v xml:space="preserve">BROOKS                   CHELSEA                  </v>
      </c>
      <c r="E18696" t="str">
        <f>"FLOWOOD                   "</f>
        <v xml:space="preserve">FLOWOOD                   </v>
      </c>
      <c r="F18696" t="str">
        <f t="shared" si="455"/>
        <v>MS</v>
      </c>
    </row>
    <row r="18697" spans="1:6" x14ac:dyDescent="0.25">
      <c r="A18697" t="str">
        <f>"200019823"</f>
        <v>200019823</v>
      </c>
      <c r="B18697" t="str">
        <f>"1821442559"</f>
        <v>1821442559</v>
      </c>
      <c r="C18697" t="str">
        <f>"208M00000X"</f>
        <v>208M00000X</v>
      </c>
      <c r="D18697" t="str">
        <f>"LINDER                   NEIL                     "</f>
        <v xml:space="preserve">LINDER                   NEIL                     </v>
      </c>
      <c r="E18697" t="str">
        <f>"HATTIESBURG               "</f>
        <v xml:space="preserve">HATTIESBURG               </v>
      </c>
      <c r="F18697" t="str">
        <f t="shared" si="455"/>
        <v>MS</v>
      </c>
    </row>
    <row r="18698" spans="1:6" x14ac:dyDescent="0.25">
      <c r="A18698" t="str">
        <f>"200019828"</f>
        <v>200019828</v>
      </c>
      <c r="B18698" t="str">
        <f>"1790889178"</f>
        <v>1790889178</v>
      </c>
      <c r="C18698" t="str">
        <f>"207Q00000X"</f>
        <v>207Q00000X</v>
      </c>
      <c r="D18698" t="str">
        <f>"CLARK-BROWN              ANNETTE                  "</f>
        <v xml:space="preserve">CLARK-BROWN              ANNETTE                  </v>
      </c>
      <c r="E18698" t="str">
        <f>"JACKSON                   "</f>
        <v xml:space="preserve">JACKSON                   </v>
      </c>
      <c r="F18698" t="str">
        <f t="shared" si="455"/>
        <v>MS</v>
      </c>
    </row>
    <row r="18699" spans="1:6" x14ac:dyDescent="0.25">
      <c r="A18699" t="str">
        <f>"200019834"</f>
        <v>200019834</v>
      </c>
      <c r="B18699" t="str">
        <f>"1518607431"</f>
        <v>1518607431</v>
      </c>
      <c r="C18699" t="str">
        <f>"207R00000X"</f>
        <v>207R00000X</v>
      </c>
      <c r="D18699" t="str">
        <f>"QUINN                    CHARLOTTE                "</f>
        <v xml:space="preserve">QUINN                    CHARLOTTE                </v>
      </c>
      <c r="E18699" t="str">
        <f>"JACKSON                   "</f>
        <v xml:space="preserve">JACKSON                   </v>
      </c>
      <c r="F18699" t="str">
        <f t="shared" si="455"/>
        <v>MS</v>
      </c>
    </row>
    <row r="18700" spans="1:6" x14ac:dyDescent="0.25">
      <c r="A18700" t="str">
        <f>"200019841"</f>
        <v>200019841</v>
      </c>
      <c r="B18700" t="str">
        <f>"1871504100"</f>
        <v>1871504100</v>
      </c>
      <c r="C18700" t="str">
        <f>"207R00000X"</f>
        <v>207R00000X</v>
      </c>
      <c r="D18700" t="str">
        <f>"FOWLKES                  LISA                     "</f>
        <v xml:space="preserve">FOWLKES                  LISA                     </v>
      </c>
      <c r="E18700" t="str">
        <f>"PASCAGOULA                "</f>
        <v xml:space="preserve">PASCAGOULA                </v>
      </c>
      <c r="F18700" t="str">
        <f t="shared" si="455"/>
        <v>MS</v>
      </c>
    </row>
    <row r="18701" spans="1:6" x14ac:dyDescent="0.25">
      <c r="A18701" t="str">
        <f>"200019843"</f>
        <v>200019843</v>
      </c>
      <c r="B18701" t="str">
        <f>"1205665858"</f>
        <v>1205665858</v>
      </c>
      <c r="C18701" t="str">
        <f>"363A00000X"</f>
        <v>363A00000X</v>
      </c>
      <c r="D18701" t="str">
        <f>"ROLFE DEWEESE            MARY                     "</f>
        <v xml:space="preserve">ROLFE DEWEESE            MARY                     </v>
      </c>
      <c r="E18701" t="str">
        <f>"JACKSON                   "</f>
        <v xml:space="preserve">JACKSON                   </v>
      </c>
      <c r="F18701" t="str">
        <f t="shared" si="455"/>
        <v>MS</v>
      </c>
    </row>
    <row r="18702" spans="1:6" x14ac:dyDescent="0.25">
      <c r="A18702" t="str">
        <f>"200019860"</f>
        <v>200019860</v>
      </c>
      <c r="B18702" t="str">
        <f>"1538374145"</f>
        <v>1538374145</v>
      </c>
      <c r="C18702" t="str">
        <f>"207X00000X"</f>
        <v>207X00000X</v>
      </c>
      <c r="D18702" t="str">
        <f>"TOY                      PATRICK                  "</f>
        <v xml:space="preserve">TOY                      PATRICK                  </v>
      </c>
      <c r="E18702" t="str">
        <f>"CORINTH                   "</f>
        <v xml:space="preserve">CORINTH                   </v>
      </c>
      <c r="F18702" t="str">
        <f t="shared" si="455"/>
        <v>MS</v>
      </c>
    </row>
    <row r="18703" spans="1:6" x14ac:dyDescent="0.25">
      <c r="A18703" t="str">
        <f>"200019864"</f>
        <v>200019864</v>
      </c>
      <c r="B18703" t="str">
        <f>"1841429008"</f>
        <v>1841429008</v>
      </c>
      <c r="C18703" t="str">
        <f>"2085R0202X"</f>
        <v>2085R0202X</v>
      </c>
      <c r="D18703" t="str">
        <f>"SMITH                    BRYAN        S           "</f>
        <v xml:space="preserve">SMITH                    BRYAN        S           </v>
      </c>
      <c r="E18703" t="str">
        <f>"HATTIESBURG               "</f>
        <v xml:space="preserve">HATTIESBURG               </v>
      </c>
      <c r="F18703" t="str">
        <f t="shared" si="455"/>
        <v>MS</v>
      </c>
    </row>
    <row r="18704" spans="1:6" x14ac:dyDescent="0.25">
      <c r="A18704" t="str">
        <f>"200019868"</f>
        <v>200019868</v>
      </c>
      <c r="B18704" t="str">
        <f>"1639631724"</f>
        <v>1639631724</v>
      </c>
      <c r="C18704" t="str">
        <f>"363LW0102X"</f>
        <v>363LW0102X</v>
      </c>
      <c r="D18704" t="str">
        <f>"BLACK                    TONNETTE                 "</f>
        <v xml:space="preserve">BLACK                    TONNETTE                 </v>
      </c>
      <c r="E18704" t="str">
        <f>"RIDGELAND                 "</f>
        <v xml:space="preserve">RIDGELAND                 </v>
      </c>
      <c r="F18704" t="str">
        <f t="shared" si="455"/>
        <v>MS</v>
      </c>
    </row>
    <row r="18705" spans="1:6" x14ac:dyDescent="0.25">
      <c r="A18705" t="str">
        <f>"200019870"</f>
        <v>200019870</v>
      </c>
      <c r="B18705" t="str">
        <f>"1215224563"</f>
        <v>1215224563</v>
      </c>
      <c r="C18705" t="str">
        <f>"207R00000X"</f>
        <v>207R00000X</v>
      </c>
      <c r="D18705" t="str">
        <f>"EDWARDS                  CEDRIC                   "</f>
        <v xml:space="preserve">EDWARDS                  CEDRIC                   </v>
      </c>
      <c r="E18705" t="str">
        <f>"STARKVILLE                "</f>
        <v xml:space="preserve">STARKVILLE                </v>
      </c>
      <c r="F18705" t="str">
        <f t="shared" si="455"/>
        <v>MS</v>
      </c>
    </row>
    <row r="18706" spans="1:6" x14ac:dyDescent="0.25">
      <c r="A18706" t="str">
        <f>"200019874"</f>
        <v>200019874</v>
      </c>
      <c r="B18706" t="str">
        <f>"1174262596"</f>
        <v>1174262596</v>
      </c>
      <c r="C18706" t="str">
        <f>"363LF0000X"</f>
        <v>363LF0000X</v>
      </c>
      <c r="D18706" t="str">
        <f>"HARLESS                  DAVID                    "</f>
        <v xml:space="preserve">HARLESS                  DAVID                    </v>
      </c>
      <c r="E18706" t="str">
        <f>"JACKSON                   "</f>
        <v xml:space="preserve">JACKSON                   </v>
      </c>
      <c r="F18706" t="str">
        <f t="shared" si="455"/>
        <v>MS</v>
      </c>
    </row>
    <row r="18707" spans="1:6" x14ac:dyDescent="0.25">
      <c r="A18707" t="str">
        <f>"200019888"</f>
        <v>200019888</v>
      </c>
      <c r="B18707" t="str">
        <f>"1528454980"</f>
        <v>1528454980</v>
      </c>
      <c r="C18707" t="str">
        <f>"207L00000X"</f>
        <v>207L00000X</v>
      </c>
      <c r="D18707" t="str">
        <f>"SHOLES                   PHILLIP                  "</f>
        <v xml:space="preserve">SHOLES                   PHILLIP                  </v>
      </c>
      <c r="E18707" t="str">
        <f>"JACKSON                   "</f>
        <v xml:space="preserve">JACKSON                   </v>
      </c>
      <c r="F18707" t="str">
        <f t="shared" si="455"/>
        <v>MS</v>
      </c>
    </row>
    <row r="18708" spans="1:6" x14ac:dyDescent="0.25">
      <c r="A18708" t="str">
        <f>"200019893"</f>
        <v>200019893</v>
      </c>
      <c r="B18708" t="str">
        <f>"1275384570"</f>
        <v>1275384570</v>
      </c>
      <c r="C18708" t="str">
        <f>"363LF0000X"</f>
        <v>363LF0000X</v>
      </c>
      <c r="D18708" t="str">
        <f>"NORTON                   KASHONNA                 "</f>
        <v xml:space="preserve">NORTON                   KASHONNA                 </v>
      </c>
      <c r="E18708" t="str">
        <f>"RAYMOND                   "</f>
        <v xml:space="preserve">RAYMOND                   </v>
      </c>
      <c r="F18708" t="str">
        <f t="shared" si="455"/>
        <v>MS</v>
      </c>
    </row>
    <row r="18709" spans="1:6" x14ac:dyDescent="0.25">
      <c r="A18709" t="str">
        <f>"200019896"</f>
        <v>200019896</v>
      </c>
      <c r="B18709" t="str">
        <f>"1740493709"</f>
        <v>1740493709</v>
      </c>
      <c r="C18709" t="str">
        <f>"363LF0000X"</f>
        <v>363LF0000X</v>
      </c>
      <c r="D18709" t="str">
        <f>"COX                      LAURI                    "</f>
        <v xml:space="preserve">COX                      LAURI                    </v>
      </c>
      <c r="E18709" t="str">
        <f>"RIDGELAND                 "</f>
        <v xml:space="preserve">RIDGELAND                 </v>
      </c>
      <c r="F18709" t="str">
        <f t="shared" si="455"/>
        <v>MS</v>
      </c>
    </row>
    <row r="18710" spans="1:6" x14ac:dyDescent="0.25">
      <c r="A18710" t="str">
        <f>"200019899"</f>
        <v>200019899</v>
      </c>
      <c r="B18710" t="str">
        <f>"1902366495"</f>
        <v>1902366495</v>
      </c>
      <c r="C18710" t="str">
        <f>"363L00000X"</f>
        <v>363L00000X</v>
      </c>
      <c r="D18710" t="str">
        <f>"HALL                     MARY                     "</f>
        <v xml:space="preserve">HALL                     MARY                     </v>
      </c>
      <c r="E18710" t="str">
        <f>"FLOWOOD                   "</f>
        <v xml:space="preserve">FLOWOOD                   </v>
      </c>
      <c r="F18710" t="str">
        <f t="shared" si="455"/>
        <v>MS</v>
      </c>
    </row>
    <row r="18711" spans="1:6" x14ac:dyDescent="0.25">
      <c r="A18711" t="str">
        <f>"200019904"</f>
        <v>200019904</v>
      </c>
      <c r="B18711" t="str">
        <f>"1184128449"</f>
        <v>1184128449</v>
      </c>
      <c r="C18711" t="str">
        <f>"367500000X"</f>
        <v>367500000X</v>
      </c>
      <c r="D18711" t="str">
        <f>"BAKER                    AMY                      "</f>
        <v xml:space="preserve">BAKER                    AMY                      </v>
      </c>
      <c r="E18711" t="str">
        <f>"CORINTH                   "</f>
        <v xml:space="preserve">CORINTH                   </v>
      </c>
      <c r="F18711" t="str">
        <f t="shared" si="455"/>
        <v>MS</v>
      </c>
    </row>
    <row r="18712" spans="1:6" x14ac:dyDescent="0.25">
      <c r="A18712" t="str">
        <f>"200019909"</f>
        <v>200019909</v>
      </c>
      <c r="B18712" t="str">
        <f>"1780408658"</f>
        <v>1780408658</v>
      </c>
      <c r="C18712" t="str">
        <f>"1223G0001X"</f>
        <v>1223G0001X</v>
      </c>
      <c r="D18712" t="str">
        <f>"LI                       ANDY                     "</f>
        <v xml:space="preserve">LI                       ANDY                     </v>
      </c>
      <c r="E18712" t="str">
        <f>"HORN LAKE                 "</f>
        <v xml:space="preserve">HORN LAKE                 </v>
      </c>
      <c r="F18712" t="str">
        <f t="shared" si="455"/>
        <v>MS</v>
      </c>
    </row>
    <row r="18713" spans="1:6" x14ac:dyDescent="0.25">
      <c r="A18713" t="str">
        <f>"200019919"</f>
        <v>200019919</v>
      </c>
      <c r="B18713" t="str">
        <f>"1891296232"</f>
        <v>1891296232</v>
      </c>
      <c r="C18713" t="str">
        <f>"363LF0000X"</f>
        <v>363LF0000X</v>
      </c>
      <c r="D18713" t="str">
        <f>"LESTER                   AMBER                    "</f>
        <v xml:space="preserve">LESTER                   AMBER                    </v>
      </c>
      <c r="E18713" t="str">
        <f>"MOSS POINT                "</f>
        <v xml:space="preserve">MOSS POINT                </v>
      </c>
      <c r="F18713" t="str">
        <f t="shared" si="455"/>
        <v>MS</v>
      </c>
    </row>
    <row r="18714" spans="1:6" x14ac:dyDescent="0.25">
      <c r="A18714" t="str">
        <f>"200019920"</f>
        <v>200019920</v>
      </c>
      <c r="B18714" t="str">
        <f>"1457028615"</f>
        <v>1457028615</v>
      </c>
      <c r="C18714" t="str">
        <f>"367A00000X"</f>
        <v>367A00000X</v>
      </c>
      <c r="D18714" t="str">
        <f>"FONTENETTE               KAMESHA                  "</f>
        <v xml:space="preserve">FONTENETTE               KAMESHA                  </v>
      </c>
      <c r="E18714" t="str">
        <f>"RIDGELAND                 "</f>
        <v xml:space="preserve">RIDGELAND                 </v>
      </c>
      <c r="F18714" t="str">
        <f t="shared" si="455"/>
        <v>MS</v>
      </c>
    </row>
    <row r="18715" spans="1:6" x14ac:dyDescent="0.25">
      <c r="A18715" t="str">
        <f>"200019923"</f>
        <v>200019923</v>
      </c>
      <c r="B18715" t="str">
        <f>"1417676271"</f>
        <v>1417676271</v>
      </c>
      <c r="C18715" t="str">
        <f>"363L00000X"</f>
        <v>363L00000X</v>
      </c>
      <c r="D18715" t="str">
        <f>"REDMOND                  STACY                    "</f>
        <v xml:space="preserve">REDMOND                  STACY                    </v>
      </c>
      <c r="E18715" t="str">
        <f>"FLOWOOD                   "</f>
        <v xml:space="preserve">FLOWOOD                   </v>
      </c>
      <c r="F18715" t="str">
        <f t="shared" si="455"/>
        <v>MS</v>
      </c>
    </row>
    <row r="18716" spans="1:6" x14ac:dyDescent="0.25">
      <c r="A18716" t="str">
        <f>"200019937"</f>
        <v>200019937</v>
      </c>
      <c r="B18716" t="str">
        <f>"1073051850"</f>
        <v>1073051850</v>
      </c>
      <c r="C18716" t="str">
        <f>"363LW0102X"</f>
        <v>363LW0102X</v>
      </c>
      <c r="D18716" t="str">
        <f>"SEPOLEN                  FABEOLA                  "</f>
        <v xml:space="preserve">SEPOLEN                  FABEOLA                  </v>
      </c>
      <c r="E18716" t="str">
        <f>"RIDGELAND                 "</f>
        <v xml:space="preserve">RIDGELAND                 </v>
      </c>
      <c r="F18716" t="str">
        <f t="shared" si="455"/>
        <v>MS</v>
      </c>
    </row>
    <row r="18717" spans="1:6" x14ac:dyDescent="0.25">
      <c r="A18717" t="str">
        <f>"200019939"</f>
        <v>200019939</v>
      </c>
      <c r="B18717" t="str">
        <f>"1558165548"</f>
        <v>1558165548</v>
      </c>
      <c r="C18717" t="str">
        <f>"363L00000X"</f>
        <v>363L00000X</v>
      </c>
      <c r="D18717" t="str">
        <f>"YOUNGER                  KALEIGH                  "</f>
        <v xml:space="preserve">YOUNGER                  KALEIGH                  </v>
      </c>
      <c r="E18717" t="str">
        <f>"GULFPORT                  "</f>
        <v xml:space="preserve">GULFPORT                  </v>
      </c>
      <c r="F18717" t="str">
        <f t="shared" si="455"/>
        <v>MS</v>
      </c>
    </row>
    <row r="18718" spans="1:6" x14ac:dyDescent="0.25">
      <c r="A18718" t="str">
        <f>"200019952"</f>
        <v>200019952</v>
      </c>
      <c r="B18718" t="str">
        <f>"1881001568"</f>
        <v>1881001568</v>
      </c>
      <c r="C18718" t="str">
        <f>"363LF0000X"</f>
        <v>363LF0000X</v>
      </c>
      <c r="D18718" t="str">
        <f>"TRAVIS                   WENDY        T           "</f>
        <v xml:space="preserve">TRAVIS                   WENDY        T           </v>
      </c>
      <c r="E18718" t="str">
        <f>"GREENVILLE                "</f>
        <v xml:space="preserve">GREENVILLE                </v>
      </c>
      <c r="F18718" t="str">
        <f t="shared" si="455"/>
        <v>MS</v>
      </c>
    </row>
    <row r="18719" spans="1:6" x14ac:dyDescent="0.25">
      <c r="A18719" t="str">
        <f>"200019958"</f>
        <v>200019958</v>
      </c>
      <c r="B18719" t="str">
        <f>"1598169989"</f>
        <v>1598169989</v>
      </c>
      <c r="C18719" t="str">
        <f>"367A00000X"</f>
        <v>367A00000X</v>
      </c>
      <c r="D18719" t="str">
        <f>"KRESCH                   ILANA                    "</f>
        <v xml:space="preserve">KRESCH                   ILANA                    </v>
      </c>
      <c r="E18719" t="str">
        <f>"RIDGELAND                 "</f>
        <v xml:space="preserve">RIDGELAND                 </v>
      </c>
      <c r="F18719" t="str">
        <f t="shared" si="455"/>
        <v>MS</v>
      </c>
    </row>
    <row r="18720" spans="1:6" x14ac:dyDescent="0.25">
      <c r="A18720" t="str">
        <f>"200019963"</f>
        <v>200019963</v>
      </c>
      <c r="B18720" t="str">
        <f>"1750510962"</f>
        <v>1750510962</v>
      </c>
      <c r="C18720" t="str">
        <f>"207P00000X"</f>
        <v>207P00000X</v>
      </c>
      <c r="D18720" t="str">
        <f>"SCHWANEBECK              JASON                    "</f>
        <v xml:space="preserve">SCHWANEBECK              JASON                    </v>
      </c>
      <c r="E18720" t="str">
        <f>"GREENVILLE                "</f>
        <v xml:space="preserve">GREENVILLE                </v>
      </c>
      <c r="F18720" t="str">
        <f t="shared" si="455"/>
        <v>MS</v>
      </c>
    </row>
    <row r="18721" spans="1:6" x14ac:dyDescent="0.25">
      <c r="A18721" t="str">
        <f>"200019969"</f>
        <v>200019969</v>
      </c>
      <c r="B18721" t="str">
        <f>"1801446000"</f>
        <v>1801446000</v>
      </c>
      <c r="C18721" t="str">
        <f>"363A00000X"</f>
        <v>363A00000X</v>
      </c>
      <c r="D18721" t="str">
        <f>"MCNIEL                   JOSHUA                   "</f>
        <v xml:space="preserve">MCNIEL                   JOSHUA                   </v>
      </c>
      <c r="E18721" t="str">
        <f>"OCEAN SPRINGS             "</f>
        <v xml:space="preserve">OCEAN SPRINGS             </v>
      </c>
      <c r="F18721" t="str">
        <f t="shared" si="455"/>
        <v>MS</v>
      </c>
    </row>
    <row r="18722" spans="1:6" x14ac:dyDescent="0.25">
      <c r="A18722" t="str">
        <f>"200019975"</f>
        <v>200019975</v>
      </c>
      <c r="B18722" t="str">
        <f>"1659905867"</f>
        <v>1659905867</v>
      </c>
      <c r="C18722" t="str">
        <f>"207R00000X"</f>
        <v>207R00000X</v>
      </c>
      <c r="D18722" t="str">
        <f>"CUZZI                    MARIO                    "</f>
        <v xml:space="preserve">CUZZI                    MARIO                    </v>
      </c>
      <c r="E18722" t="str">
        <f>"GULFPORT                  "</f>
        <v xml:space="preserve">GULFPORT                  </v>
      </c>
      <c r="F18722" t="str">
        <f t="shared" si="455"/>
        <v>MS</v>
      </c>
    </row>
    <row r="18723" spans="1:6" x14ac:dyDescent="0.25">
      <c r="A18723" t="str">
        <f>"200019980"</f>
        <v>200019980</v>
      </c>
      <c r="B18723" t="str">
        <f>"1356423271"</f>
        <v>1356423271</v>
      </c>
      <c r="C18723" t="str">
        <f>"207T00000X"</f>
        <v>207T00000X</v>
      </c>
      <c r="D18723" t="str">
        <f>"DEMBNER                  JEFFREY                  "</f>
        <v xml:space="preserve">DEMBNER                  JEFFREY                  </v>
      </c>
      <c r="E18723" t="str">
        <f>"TUPELO                    "</f>
        <v xml:space="preserve">TUPELO                    </v>
      </c>
      <c r="F18723" t="str">
        <f t="shared" si="455"/>
        <v>MS</v>
      </c>
    </row>
    <row r="18724" spans="1:6" x14ac:dyDescent="0.25">
      <c r="A18724" t="str">
        <f>"200019983"</f>
        <v>200019983</v>
      </c>
      <c r="B18724" t="str">
        <f>"1295123867"</f>
        <v>1295123867</v>
      </c>
      <c r="C18724" t="str">
        <f>"363LF0000X"</f>
        <v>363LF0000X</v>
      </c>
      <c r="D18724" t="str">
        <f>"TRISOTTO                 ELIZABETH                "</f>
        <v xml:space="preserve">TRISOTTO                 ELIZABETH                </v>
      </c>
      <c r="E18724" t="str">
        <f>"RIDGELAND                 "</f>
        <v xml:space="preserve">RIDGELAND                 </v>
      </c>
      <c r="F18724" t="str">
        <f t="shared" si="455"/>
        <v>MS</v>
      </c>
    </row>
    <row r="18725" spans="1:6" x14ac:dyDescent="0.25">
      <c r="A18725" t="str">
        <f>"200019985"</f>
        <v>200019985</v>
      </c>
      <c r="B18725" t="str">
        <f>"1699473017"</f>
        <v>1699473017</v>
      </c>
      <c r="C18725" t="str">
        <f>"363L00000X"</f>
        <v>363L00000X</v>
      </c>
      <c r="D18725" t="str">
        <f>"SMITH                    KEANTI                   "</f>
        <v xml:space="preserve">SMITH                    KEANTI                   </v>
      </c>
      <c r="E18725" t="str">
        <f>"CLINTON                   "</f>
        <v xml:space="preserve">CLINTON                   </v>
      </c>
      <c r="F18725" t="str">
        <f t="shared" si="455"/>
        <v>MS</v>
      </c>
    </row>
    <row r="18726" spans="1:6" x14ac:dyDescent="0.25">
      <c r="A18726" t="str">
        <f>"200019989"</f>
        <v>200019989</v>
      </c>
      <c r="B18726" t="str">
        <f>"1942754387"</f>
        <v>1942754387</v>
      </c>
      <c r="C18726" t="str">
        <f>"363LP0200X"</f>
        <v>363LP0200X</v>
      </c>
      <c r="D18726" t="str">
        <f>"BLANCH                   LAURIE                   "</f>
        <v xml:space="preserve">BLANCH                   LAURIE                   </v>
      </c>
      <c r="E18726" t="str">
        <f>"RIDGELAND                 "</f>
        <v xml:space="preserve">RIDGELAND                 </v>
      </c>
      <c r="F18726" t="str">
        <f t="shared" si="455"/>
        <v>MS</v>
      </c>
    </row>
    <row r="18727" spans="1:6" x14ac:dyDescent="0.25">
      <c r="A18727" t="str">
        <f>"200019990"</f>
        <v>200019990</v>
      </c>
      <c r="B18727" t="str">
        <f>"1841686607"</f>
        <v>1841686607</v>
      </c>
      <c r="C18727" t="str">
        <f>"363LW0102X"</f>
        <v>363LW0102X</v>
      </c>
      <c r="D18727" t="str">
        <f>"BORMANN                  LAUREN                   "</f>
        <v xml:space="preserve">BORMANN                  LAUREN                   </v>
      </c>
      <c r="E18727" t="str">
        <f>"RIDGELAND                 "</f>
        <v xml:space="preserve">RIDGELAND                 </v>
      </c>
      <c r="F18727" t="str">
        <f t="shared" si="455"/>
        <v>MS</v>
      </c>
    </row>
    <row r="18728" spans="1:6" x14ac:dyDescent="0.25">
      <c r="A18728" t="str">
        <f>"200019991"</f>
        <v>200019991</v>
      </c>
      <c r="B18728" t="str">
        <f>"1548774037"</f>
        <v>1548774037</v>
      </c>
      <c r="C18728" t="str">
        <f>"363L00000X"</f>
        <v>363L00000X</v>
      </c>
      <c r="D18728" t="str">
        <f>"HUSLEY                   MARANDA                  "</f>
        <v xml:space="preserve">HUSLEY                   MARANDA                  </v>
      </c>
      <c r="E18728" t="str">
        <f>"FLOWOOD                   "</f>
        <v xml:space="preserve">FLOWOOD                   </v>
      </c>
      <c r="F18728" t="str">
        <f t="shared" si="455"/>
        <v>MS</v>
      </c>
    </row>
    <row r="18729" spans="1:6" x14ac:dyDescent="0.25">
      <c r="A18729" t="str">
        <f>"200019993"</f>
        <v>200019993</v>
      </c>
      <c r="B18729" t="str">
        <f>"1619492154"</f>
        <v>1619492154</v>
      </c>
      <c r="C18729" t="str">
        <f>"367A00000X"</f>
        <v>367A00000X</v>
      </c>
      <c r="D18729" t="str">
        <f>"KOOISTRA                 KATHRYN                  "</f>
        <v xml:space="preserve">KOOISTRA                 KATHRYN                  </v>
      </c>
      <c r="E18729" t="str">
        <f>"RIDGELAND                 "</f>
        <v xml:space="preserve">RIDGELAND                 </v>
      </c>
      <c r="F18729" t="str">
        <f t="shared" si="455"/>
        <v>MS</v>
      </c>
    </row>
    <row r="18730" spans="1:6" x14ac:dyDescent="0.25">
      <c r="A18730" t="str">
        <f>"200019995"</f>
        <v>200019995</v>
      </c>
      <c r="B18730" t="str">
        <f>"1639557382"</f>
        <v>1639557382</v>
      </c>
      <c r="C18730" t="str">
        <f>"207RC0000X"</f>
        <v>207RC0000X</v>
      </c>
      <c r="D18730" t="str">
        <f>"SINERI                   CHARLES                  "</f>
        <v xml:space="preserve">SINERI                   CHARLES                  </v>
      </c>
      <c r="E18730" t="str">
        <f>"GULFPORT                  "</f>
        <v xml:space="preserve">GULFPORT                  </v>
      </c>
      <c r="F18730" t="str">
        <f t="shared" si="455"/>
        <v>MS</v>
      </c>
    </row>
    <row r="18731" spans="1:6" x14ac:dyDescent="0.25">
      <c r="A18731" t="str">
        <f>"200020000"</f>
        <v>200020000</v>
      </c>
      <c r="B18731" t="str">
        <f>"1508484437"</f>
        <v>1508484437</v>
      </c>
      <c r="C18731" t="str">
        <f>"207R00000X"</f>
        <v>207R00000X</v>
      </c>
      <c r="D18731" t="str">
        <f>"MASHIANA                 MANJOT                   "</f>
        <v xml:space="preserve">MASHIANA                 MANJOT                   </v>
      </c>
      <c r="E18731" t="str">
        <f>"TUPELO                    "</f>
        <v xml:space="preserve">TUPELO                    </v>
      </c>
      <c r="F18731" t="str">
        <f t="shared" si="455"/>
        <v>MS</v>
      </c>
    </row>
    <row r="18732" spans="1:6" x14ac:dyDescent="0.25">
      <c r="A18732" t="str">
        <f>"200020016"</f>
        <v>200020016</v>
      </c>
      <c r="B18732" t="str">
        <f>"1720695190"</f>
        <v>1720695190</v>
      </c>
      <c r="C18732" t="str">
        <f>"363LF0000X"</f>
        <v>363LF0000X</v>
      </c>
      <c r="D18732" t="str">
        <f>"GOSS                     KIMBERLY                 "</f>
        <v xml:space="preserve">GOSS                     KIMBERLY                 </v>
      </c>
      <c r="E18732" t="str">
        <f>"MOOREVILLE                "</f>
        <v xml:space="preserve">MOOREVILLE                </v>
      </c>
      <c r="F18732" t="str">
        <f t="shared" si="455"/>
        <v>MS</v>
      </c>
    </row>
    <row r="18733" spans="1:6" x14ac:dyDescent="0.25">
      <c r="A18733" t="str">
        <f>"200020017"</f>
        <v>200020017</v>
      </c>
      <c r="B18733" t="str">
        <f>"1003375858"</f>
        <v>1003375858</v>
      </c>
      <c r="C18733" t="str">
        <f>"207R00000X"</f>
        <v>207R00000X</v>
      </c>
      <c r="D18733" t="str">
        <f>"WADSWORTH                MARLEE                   "</f>
        <v xml:space="preserve">WADSWORTH                MARLEE                   </v>
      </c>
      <c r="E18733" t="str">
        <f>"WHITFIELD                 "</f>
        <v xml:space="preserve">WHITFIELD                 </v>
      </c>
      <c r="F18733" t="str">
        <f t="shared" si="455"/>
        <v>MS</v>
      </c>
    </row>
    <row r="18734" spans="1:6" x14ac:dyDescent="0.25">
      <c r="A18734" t="str">
        <f>"200020020"</f>
        <v>200020020</v>
      </c>
      <c r="B18734" t="str">
        <f>"1447047212"</f>
        <v>1447047212</v>
      </c>
      <c r="C18734" t="str">
        <f>"1223G0001X"</f>
        <v>1223G0001X</v>
      </c>
      <c r="D18734" t="str">
        <f>"HOPPER                   LAUREN                   "</f>
        <v xml:space="preserve">HOPPER                   LAUREN                   </v>
      </c>
      <c r="E18734" t="str">
        <f>"HORN LAKE                 "</f>
        <v xml:space="preserve">HORN LAKE                 </v>
      </c>
      <c r="F18734" t="str">
        <f t="shared" si="455"/>
        <v>MS</v>
      </c>
    </row>
    <row r="18735" spans="1:6" x14ac:dyDescent="0.25">
      <c r="A18735" t="str">
        <f>"200020021"</f>
        <v>200020021</v>
      </c>
      <c r="B18735" t="str">
        <f>"1902287444"</f>
        <v>1902287444</v>
      </c>
      <c r="C18735" t="str">
        <f>"367500000X"</f>
        <v>367500000X</v>
      </c>
      <c r="D18735" t="str">
        <f>"GOODRICH                 ERICA                    "</f>
        <v xml:space="preserve">GOODRICH                 ERICA                    </v>
      </c>
      <c r="E18735" t="str">
        <f>"SOUTHAVEN                 "</f>
        <v xml:space="preserve">SOUTHAVEN                 </v>
      </c>
      <c r="F18735" t="str">
        <f t="shared" si="455"/>
        <v>MS</v>
      </c>
    </row>
    <row r="18736" spans="1:6" x14ac:dyDescent="0.25">
      <c r="A18736" t="str">
        <f>"200020024"</f>
        <v>200020024</v>
      </c>
      <c r="B18736" t="str">
        <f>"1003992959"</f>
        <v>1003992959</v>
      </c>
      <c r="C18736" t="str">
        <f>"207PP0204X"</f>
        <v>207PP0204X</v>
      </c>
      <c r="D18736" t="str">
        <f>"TUN                      JOY          L           "</f>
        <v xml:space="preserve">TUN                      JOY          L           </v>
      </c>
      <c r="E18736" t="str">
        <f>"JACKSON                   "</f>
        <v xml:space="preserve">JACKSON                   </v>
      </c>
      <c r="F18736" t="str">
        <f t="shared" si="455"/>
        <v>MS</v>
      </c>
    </row>
    <row r="18737" spans="1:6" x14ac:dyDescent="0.25">
      <c r="A18737" t="str">
        <f>"200020027"</f>
        <v>200020027</v>
      </c>
      <c r="B18737" t="str">
        <f>"1346038205"</f>
        <v>1346038205</v>
      </c>
      <c r="C18737" t="str">
        <f>"363LF0000X"</f>
        <v>363LF0000X</v>
      </c>
      <c r="D18737" t="str">
        <f>"ALLEN                    LAKENDRA                 "</f>
        <v xml:space="preserve">ALLEN                    LAKENDRA                 </v>
      </c>
      <c r="E18737" t="str">
        <f>"SOUTHAVEN                 "</f>
        <v xml:space="preserve">SOUTHAVEN                 </v>
      </c>
      <c r="F18737" t="str">
        <f t="shared" si="455"/>
        <v>MS</v>
      </c>
    </row>
    <row r="18738" spans="1:6" x14ac:dyDescent="0.25">
      <c r="A18738" t="str">
        <f>"200020032"</f>
        <v>200020032</v>
      </c>
      <c r="B18738" t="str">
        <f>"1356840615"</f>
        <v>1356840615</v>
      </c>
      <c r="C18738" t="str">
        <f>"363LF0000X"</f>
        <v>363LF0000X</v>
      </c>
      <c r="D18738" t="str">
        <f>"CORNEJO                  JAMIE                    "</f>
        <v xml:space="preserve">CORNEJO                  JAMIE                    </v>
      </c>
      <c r="E18738" t="str">
        <f>"RIDGELAND                 "</f>
        <v xml:space="preserve">RIDGELAND                 </v>
      </c>
      <c r="F18738" t="str">
        <f t="shared" si="455"/>
        <v>MS</v>
      </c>
    </row>
    <row r="18739" spans="1:6" x14ac:dyDescent="0.25">
      <c r="A18739" t="str">
        <f>"200020046"</f>
        <v>200020046</v>
      </c>
      <c r="B18739" t="str">
        <f>"1558664854"</f>
        <v>1558664854</v>
      </c>
      <c r="C18739" t="str">
        <f>"363LF0000X"</f>
        <v>363LF0000X</v>
      </c>
      <c r="D18739" t="str">
        <f>"DIXON                    TONYA                    "</f>
        <v xml:space="preserve">DIXON                    TONYA                    </v>
      </c>
      <c r="E18739" t="str">
        <f>"HERNANDO                  "</f>
        <v xml:space="preserve">HERNANDO                  </v>
      </c>
      <c r="F18739" t="str">
        <f t="shared" si="455"/>
        <v>MS</v>
      </c>
    </row>
    <row r="18740" spans="1:6" x14ac:dyDescent="0.25">
      <c r="A18740" t="str">
        <f>"200020047"</f>
        <v>200020047</v>
      </c>
      <c r="B18740" t="str">
        <f>"1578923454"</f>
        <v>1578923454</v>
      </c>
      <c r="C18740" t="str">
        <f>"363LF0000X"</f>
        <v>363LF0000X</v>
      </c>
      <c r="D18740" t="str">
        <f>"WORDLAW                  LEASE                    "</f>
        <v xml:space="preserve">WORDLAW                  LEASE                    </v>
      </c>
      <c r="E18740" t="str">
        <f>"MERIDIAN                  "</f>
        <v xml:space="preserve">MERIDIAN                  </v>
      </c>
      <c r="F18740" t="str">
        <f t="shared" si="455"/>
        <v>MS</v>
      </c>
    </row>
    <row r="18741" spans="1:6" x14ac:dyDescent="0.25">
      <c r="A18741" t="str">
        <f>"200020049"</f>
        <v>200020049</v>
      </c>
      <c r="B18741" t="str">
        <f>"1437701885"</f>
        <v>1437701885</v>
      </c>
      <c r="C18741" t="str">
        <f>"363LF0000X"</f>
        <v>363LF0000X</v>
      </c>
      <c r="D18741" t="str">
        <f>"DAVIS                    MIKYLA                   "</f>
        <v xml:space="preserve">DAVIS                    MIKYLA                   </v>
      </c>
      <c r="E18741" t="str">
        <f>"JACKSON                   "</f>
        <v xml:space="preserve">JACKSON                   </v>
      </c>
      <c r="F18741" t="str">
        <f t="shared" si="455"/>
        <v>MS</v>
      </c>
    </row>
    <row r="18742" spans="1:6" x14ac:dyDescent="0.25">
      <c r="A18742" t="str">
        <f>"200020050"</f>
        <v>200020050</v>
      </c>
      <c r="B18742" t="str">
        <f>"1396412953"</f>
        <v>1396412953</v>
      </c>
      <c r="C18742" t="str">
        <f>"367A00000X"</f>
        <v>367A00000X</v>
      </c>
      <c r="D18742" t="str">
        <f>"CONDON                   AMANDA                   "</f>
        <v xml:space="preserve">CONDON                   AMANDA                   </v>
      </c>
      <c r="E18742" t="str">
        <f>"RIDGELAND                 "</f>
        <v xml:space="preserve">RIDGELAND                 </v>
      </c>
      <c r="F18742" t="str">
        <f t="shared" si="455"/>
        <v>MS</v>
      </c>
    </row>
    <row r="18743" spans="1:6" x14ac:dyDescent="0.25">
      <c r="A18743" t="str">
        <f>"200020055"</f>
        <v>200020055</v>
      </c>
      <c r="B18743" t="str">
        <f>"1851101612"</f>
        <v>1851101612</v>
      </c>
      <c r="C18743" t="str">
        <f>"261QM1300X"</f>
        <v>261QM1300X</v>
      </c>
      <c r="D18743" t="str">
        <f>"MISSISSIPPI INFUSION SERVICES                     "</f>
        <v xml:space="preserve">MISSISSIPPI INFUSION SERVICES                     </v>
      </c>
      <c r="E18743" t="str">
        <f>"JACKSON                   "</f>
        <v xml:space="preserve">JACKSON                   </v>
      </c>
      <c r="F18743" t="str">
        <f t="shared" si="455"/>
        <v>MS</v>
      </c>
    </row>
    <row r="18744" spans="1:6" x14ac:dyDescent="0.25">
      <c r="A18744" t="str">
        <f>"200020080"</f>
        <v>200020080</v>
      </c>
      <c r="B18744" t="str">
        <f>"1043002165"</f>
        <v>1043002165</v>
      </c>
      <c r="C18744" t="str">
        <f>"367500000X"</f>
        <v>367500000X</v>
      </c>
      <c r="D18744" t="str">
        <f>"POLLARD                  JAMYE        N           "</f>
        <v xml:space="preserve">POLLARD                  JAMYE        N           </v>
      </c>
      <c r="E18744" t="str">
        <f>"FLOWOOD                   "</f>
        <v xml:space="preserve">FLOWOOD                   </v>
      </c>
      <c r="F18744" t="str">
        <f t="shared" si="455"/>
        <v>MS</v>
      </c>
    </row>
    <row r="18745" spans="1:6" x14ac:dyDescent="0.25">
      <c r="A18745" t="str">
        <f>"200020086"</f>
        <v>200020086</v>
      </c>
      <c r="B18745" t="str">
        <f>"1164918231"</f>
        <v>1164918231</v>
      </c>
      <c r="C18745" t="str">
        <f>"367A00000X"</f>
        <v>367A00000X</v>
      </c>
      <c r="D18745" t="str">
        <f>"HASTINGS                 IMANI                    "</f>
        <v xml:space="preserve">HASTINGS                 IMANI                    </v>
      </c>
      <c r="E18745" t="str">
        <f>"RIDGELAND                 "</f>
        <v xml:space="preserve">RIDGELAND                 </v>
      </c>
      <c r="F18745" t="str">
        <f t="shared" si="455"/>
        <v>MS</v>
      </c>
    </row>
    <row r="18746" spans="1:6" x14ac:dyDescent="0.25">
      <c r="A18746" t="str">
        <f>"200020087"</f>
        <v>200020087</v>
      </c>
      <c r="B18746" t="str">
        <f>"1417776741"</f>
        <v>1417776741</v>
      </c>
      <c r="C18746" t="str">
        <f>"363LF0000X"</f>
        <v>363LF0000X</v>
      </c>
      <c r="D18746" t="str">
        <f>"POU                      LINDSI       D           "</f>
        <v xml:space="preserve">POU                      LINDSI       D           </v>
      </c>
      <c r="E18746" t="str">
        <f>"DIBERVILLE                "</f>
        <v xml:space="preserve">DIBERVILLE                </v>
      </c>
      <c r="F18746" t="str">
        <f t="shared" si="455"/>
        <v>MS</v>
      </c>
    </row>
    <row r="18747" spans="1:6" x14ac:dyDescent="0.25">
      <c r="A18747" t="str">
        <f>"200020089"</f>
        <v>200020089</v>
      </c>
      <c r="B18747" t="str">
        <f>"1174263875"</f>
        <v>1174263875</v>
      </c>
      <c r="C18747" t="str">
        <f>"207P00000X"</f>
        <v>207P00000X</v>
      </c>
      <c r="D18747" t="str">
        <f>"MACNEALY                 LYDIA                    "</f>
        <v xml:space="preserve">MACNEALY                 LYDIA                    </v>
      </c>
      <c r="E18747" t="str">
        <f>"JACKSON                   "</f>
        <v xml:space="preserve">JACKSON                   </v>
      </c>
      <c r="F18747" t="str">
        <f t="shared" si="455"/>
        <v>MS</v>
      </c>
    </row>
    <row r="18748" spans="1:6" x14ac:dyDescent="0.25">
      <c r="A18748" t="str">
        <f>"200020091"</f>
        <v>200020091</v>
      </c>
      <c r="B18748" t="str">
        <f>"1821673658"</f>
        <v>1821673658</v>
      </c>
      <c r="C18748" t="str">
        <f>"363L00000X"</f>
        <v>363L00000X</v>
      </c>
      <c r="D18748" t="str">
        <f>"WOODS                    KIMBERLY                 "</f>
        <v xml:space="preserve">WOODS                    KIMBERLY                 </v>
      </c>
      <c r="E18748" t="str">
        <f>"FLOWOOD                   "</f>
        <v xml:space="preserve">FLOWOOD                   </v>
      </c>
      <c r="F18748" t="str">
        <f t="shared" si="455"/>
        <v>MS</v>
      </c>
    </row>
    <row r="18749" spans="1:6" x14ac:dyDescent="0.25">
      <c r="A18749" t="str">
        <f>"200020094"</f>
        <v>200020094</v>
      </c>
      <c r="B18749" t="str">
        <f>"1275428336"</f>
        <v>1275428336</v>
      </c>
      <c r="C18749" t="str">
        <f>"367500000X"</f>
        <v>367500000X</v>
      </c>
      <c r="D18749" t="str">
        <f>"ORR                      JOSEPH       G           "</f>
        <v xml:space="preserve">ORR                      JOSEPH       G           </v>
      </c>
      <c r="E18749" t="str">
        <f>"FLOWOOD                   "</f>
        <v xml:space="preserve">FLOWOOD                   </v>
      </c>
      <c r="F18749" t="str">
        <f t="shared" si="455"/>
        <v>MS</v>
      </c>
    </row>
    <row r="18750" spans="1:6" x14ac:dyDescent="0.25">
      <c r="A18750" t="str">
        <f>"200020097"</f>
        <v>200020097</v>
      </c>
      <c r="B18750" t="str">
        <f>"1326677337"</f>
        <v>1326677337</v>
      </c>
      <c r="C18750" t="str">
        <f>"207W00000X"</f>
        <v>207W00000X</v>
      </c>
      <c r="D18750" t="str">
        <f>"ADAH                     OSASU        N           "</f>
        <v xml:space="preserve">ADAH                     OSASU        N           </v>
      </c>
      <c r="E18750" t="str">
        <f>"MADISON                   "</f>
        <v xml:space="preserve">MADISON                   </v>
      </c>
      <c r="F18750" t="str">
        <f t="shared" ref="F18750:F18813" si="456">"MS"</f>
        <v>MS</v>
      </c>
    </row>
    <row r="18751" spans="1:6" x14ac:dyDescent="0.25">
      <c r="A18751" t="str">
        <f>"200020107"</f>
        <v>200020107</v>
      </c>
      <c r="B18751" t="str">
        <f>"1366111239"</f>
        <v>1366111239</v>
      </c>
      <c r="C18751" t="str">
        <f>"367A00000X"</f>
        <v>367A00000X</v>
      </c>
      <c r="D18751" t="str">
        <f>"HEDRICK                  KALIE                    "</f>
        <v xml:space="preserve">HEDRICK                  KALIE                    </v>
      </c>
      <c r="E18751" t="str">
        <f>"RIDGELAND                 "</f>
        <v xml:space="preserve">RIDGELAND                 </v>
      </c>
      <c r="F18751" t="str">
        <f t="shared" si="456"/>
        <v>MS</v>
      </c>
    </row>
    <row r="18752" spans="1:6" x14ac:dyDescent="0.25">
      <c r="A18752" t="str">
        <f>"200020110"</f>
        <v>200020110</v>
      </c>
      <c r="B18752" t="str">
        <f>"1477354892"</f>
        <v>1477354892</v>
      </c>
      <c r="C18752" t="str">
        <f>"363LP0808X"</f>
        <v>363LP0808X</v>
      </c>
      <c r="D18752" t="str">
        <f>"PAINTER                  KIMBERLY                 "</f>
        <v xml:space="preserve">PAINTER                  KIMBERLY                 </v>
      </c>
      <c r="E18752" t="str">
        <f>"PONTOTOC                  "</f>
        <v xml:space="preserve">PONTOTOC                  </v>
      </c>
      <c r="F18752" t="str">
        <f t="shared" si="456"/>
        <v>MS</v>
      </c>
    </row>
    <row r="18753" spans="1:6" x14ac:dyDescent="0.25">
      <c r="A18753" t="str">
        <f>"200020111"</f>
        <v>200020111</v>
      </c>
      <c r="B18753" t="str">
        <f>"1669483277"</f>
        <v>1669483277</v>
      </c>
      <c r="C18753" t="str">
        <f>"2085R0202X"</f>
        <v>2085R0202X</v>
      </c>
      <c r="D18753" t="str">
        <f>"DOWLING                  ADAM                     "</f>
        <v xml:space="preserve">DOWLING                  ADAM                     </v>
      </c>
      <c r="E18753" t="str">
        <f>"MERIDIAN                  "</f>
        <v xml:space="preserve">MERIDIAN                  </v>
      </c>
      <c r="F18753" t="str">
        <f t="shared" si="456"/>
        <v>MS</v>
      </c>
    </row>
    <row r="18754" spans="1:6" x14ac:dyDescent="0.25">
      <c r="A18754" t="str">
        <f>"200020112"</f>
        <v>200020112</v>
      </c>
      <c r="B18754" t="str">
        <f>"1760196984"</f>
        <v>1760196984</v>
      </c>
      <c r="C18754" t="str">
        <f>"261QA1903X"</f>
        <v>261QA1903X</v>
      </c>
      <c r="D18754" t="str">
        <f>"JACKSON HEART AND VASCULAR, LLC                   "</f>
        <v xml:space="preserve">JACKSON HEART AND VASCULAR, LLC                   </v>
      </c>
      <c r="E18754" t="str">
        <f>"FLOWOOD                   "</f>
        <v xml:space="preserve">FLOWOOD                   </v>
      </c>
      <c r="F18754" t="str">
        <f t="shared" si="456"/>
        <v>MS</v>
      </c>
    </row>
    <row r="18755" spans="1:6" x14ac:dyDescent="0.25">
      <c r="A18755" t="str">
        <f>"200020119"</f>
        <v>200020119</v>
      </c>
      <c r="B18755" t="str">
        <f>"1417688789"</f>
        <v>1417688789</v>
      </c>
      <c r="C18755" t="str">
        <f>"367A00000X"</f>
        <v>367A00000X</v>
      </c>
      <c r="D18755" t="str">
        <f>"MARTIN                   JESSICA                  "</f>
        <v xml:space="preserve">MARTIN                   JESSICA                  </v>
      </c>
      <c r="E18755" t="str">
        <f>"JACKSON                   "</f>
        <v xml:space="preserve">JACKSON                   </v>
      </c>
      <c r="F18755" t="str">
        <f t="shared" si="456"/>
        <v>MS</v>
      </c>
    </row>
    <row r="18756" spans="1:6" x14ac:dyDescent="0.25">
      <c r="A18756" t="str">
        <f>"200020130"</f>
        <v>200020130</v>
      </c>
      <c r="B18756" t="str">
        <f>"1003347766"</f>
        <v>1003347766</v>
      </c>
      <c r="C18756" t="str">
        <f>"207R00000X"</f>
        <v>207R00000X</v>
      </c>
      <c r="D18756" t="str">
        <f>"WRIGHT                   DARAH                    "</f>
        <v xml:space="preserve">WRIGHT                   DARAH                    </v>
      </c>
      <c r="E18756" t="str">
        <f>"NATCHEZ                   "</f>
        <v xml:space="preserve">NATCHEZ                   </v>
      </c>
      <c r="F18756" t="str">
        <f t="shared" si="456"/>
        <v>MS</v>
      </c>
    </row>
    <row r="18757" spans="1:6" x14ac:dyDescent="0.25">
      <c r="A18757" t="str">
        <f>"200020137"</f>
        <v>200020137</v>
      </c>
      <c r="B18757" t="str">
        <f>"1316706328"</f>
        <v>1316706328</v>
      </c>
      <c r="C18757" t="str">
        <f>"363L00000X"</f>
        <v>363L00000X</v>
      </c>
      <c r="D18757" t="str">
        <f>"LANIER                   OLIVIA                   "</f>
        <v xml:space="preserve">LANIER                   OLIVIA                   </v>
      </c>
      <c r="E18757" t="str">
        <f>"BILOXI                    "</f>
        <v xml:space="preserve">BILOXI                    </v>
      </c>
      <c r="F18757" t="str">
        <f t="shared" si="456"/>
        <v>MS</v>
      </c>
    </row>
    <row r="18758" spans="1:6" x14ac:dyDescent="0.25">
      <c r="A18758" t="str">
        <f>"200020144"</f>
        <v>200020144</v>
      </c>
      <c r="B18758" t="str">
        <f>"1487282745"</f>
        <v>1487282745</v>
      </c>
      <c r="C18758" t="str">
        <f>"207X00000X"</f>
        <v>207X00000X</v>
      </c>
      <c r="D18758" t="str">
        <f>"POWERS                   EVAN                     "</f>
        <v xml:space="preserve">POWERS                   EVAN                     </v>
      </c>
      <c r="E18758" t="str">
        <f>"COLUMBUS                  "</f>
        <v xml:space="preserve">COLUMBUS                  </v>
      </c>
      <c r="F18758" t="str">
        <f t="shared" si="456"/>
        <v>MS</v>
      </c>
    </row>
    <row r="18759" spans="1:6" x14ac:dyDescent="0.25">
      <c r="A18759" t="str">
        <f>"200020146"</f>
        <v>200020146</v>
      </c>
      <c r="B18759" t="str">
        <f>"1447324272"</f>
        <v>1447324272</v>
      </c>
      <c r="C18759" t="str">
        <f>"363LF0000X"</f>
        <v>363LF0000X</v>
      </c>
      <c r="D18759" t="str">
        <f>"WILLIAMS                 GWENDOLYN                "</f>
        <v xml:space="preserve">WILLIAMS                 GWENDOLYN                </v>
      </c>
      <c r="E18759" t="str">
        <f>"TUNICA                    "</f>
        <v xml:space="preserve">TUNICA                    </v>
      </c>
      <c r="F18759" t="str">
        <f t="shared" si="456"/>
        <v>MS</v>
      </c>
    </row>
    <row r="18760" spans="1:6" x14ac:dyDescent="0.25">
      <c r="A18760" t="str">
        <f>"200020147"</f>
        <v>200020147</v>
      </c>
      <c r="B18760" t="str">
        <f>"1023638517"</f>
        <v>1023638517</v>
      </c>
      <c r="C18760" t="str">
        <f>"207X00000X"</f>
        <v>207X00000X</v>
      </c>
      <c r="D18760" t="str">
        <f>"PADUA                    FORTUNATO                "</f>
        <v xml:space="preserve">PADUA                    FORTUNATO                </v>
      </c>
      <c r="E18760" t="str">
        <f>"JACKSON                   "</f>
        <v xml:space="preserve">JACKSON                   </v>
      </c>
      <c r="F18760" t="str">
        <f t="shared" si="456"/>
        <v>MS</v>
      </c>
    </row>
    <row r="18761" spans="1:6" x14ac:dyDescent="0.25">
      <c r="A18761" t="str">
        <f>"200020148"</f>
        <v>200020148</v>
      </c>
      <c r="B18761" t="str">
        <f>"1801966924"</f>
        <v>1801966924</v>
      </c>
      <c r="C18761" t="str">
        <f>"2084P0800X"</f>
        <v>2084P0800X</v>
      </c>
      <c r="D18761" t="str">
        <f>"JIN                      CHARLES      Y           "</f>
        <v xml:space="preserve">JIN                      CHARLES      Y           </v>
      </c>
      <c r="E18761" t="str">
        <f>"GULFPORT                  "</f>
        <v xml:space="preserve">GULFPORT                  </v>
      </c>
      <c r="F18761" t="str">
        <f t="shared" si="456"/>
        <v>MS</v>
      </c>
    </row>
    <row r="18762" spans="1:6" x14ac:dyDescent="0.25">
      <c r="A18762" t="str">
        <f>"200020155"</f>
        <v>200020155</v>
      </c>
      <c r="B18762" t="str">
        <f>"1659387439"</f>
        <v>1659387439</v>
      </c>
      <c r="C18762" t="str">
        <f>"207R00000X"</f>
        <v>207R00000X</v>
      </c>
      <c r="D18762" t="str">
        <f>"LOCK                     RICHARD                  "</f>
        <v xml:space="preserve">LOCK                     RICHARD                  </v>
      </c>
      <c r="E18762" t="str">
        <f>"HATTIESBURG               "</f>
        <v xml:space="preserve">HATTIESBURG               </v>
      </c>
      <c r="F18762" t="str">
        <f t="shared" si="456"/>
        <v>MS</v>
      </c>
    </row>
    <row r="18763" spans="1:6" x14ac:dyDescent="0.25">
      <c r="A18763" t="str">
        <f>"200020156"</f>
        <v>200020156</v>
      </c>
      <c r="B18763" t="str">
        <f>"1043574445"</f>
        <v>1043574445</v>
      </c>
      <c r="C18763" t="str">
        <f>"207LP2900X"</f>
        <v>207LP2900X</v>
      </c>
      <c r="D18763" t="str">
        <f>"TUCKER                   DOUGLS                   "</f>
        <v xml:space="preserve">TUCKER                   DOUGLS                   </v>
      </c>
      <c r="E18763" t="str">
        <f>"MERIDIAN                  "</f>
        <v xml:space="preserve">MERIDIAN                  </v>
      </c>
      <c r="F18763" t="str">
        <f t="shared" si="456"/>
        <v>MS</v>
      </c>
    </row>
    <row r="18764" spans="1:6" x14ac:dyDescent="0.25">
      <c r="A18764" t="str">
        <f>"200020157"</f>
        <v>200020157</v>
      </c>
      <c r="B18764" t="str">
        <f>"1861043531"</f>
        <v>1861043531</v>
      </c>
      <c r="C18764" t="str">
        <f>"367500000X"</f>
        <v>367500000X</v>
      </c>
      <c r="D18764" t="str">
        <f>"CODY                     JESSICA                  "</f>
        <v xml:space="preserve">CODY                     JESSICA                  </v>
      </c>
      <c r="E18764" t="str">
        <f>"JACKSON                   "</f>
        <v xml:space="preserve">JACKSON                   </v>
      </c>
      <c r="F18764" t="str">
        <f t="shared" si="456"/>
        <v>MS</v>
      </c>
    </row>
    <row r="18765" spans="1:6" x14ac:dyDescent="0.25">
      <c r="A18765" t="str">
        <f>"200020167"</f>
        <v>200020167</v>
      </c>
      <c r="B18765" t="str">
        <f>"1598577512"</f>
        <v>1598577512</v>
      </c>
      <c r="C18765" t="str">
        <f>"363LF0000X"</f>
        <v>363LF0000X</v>
      </c>
      <c r="D18765" t="str">
        <f>"MILLER                   JESSICA                  "</f>
        <v xml:space="preserve">MILLER                   JESSICA                  </v>
      </c>
      <c r="E18765" t="str">
        <f>"HATTIESBURG               "</f>
        <v xml:space="preserve">HATTIESBURG               </v>
      </c>
      <c r="F18765" t="str">
        <f t="shared" si="456"/>
        <v>MS</v>
      </c>
    </row>
    <row r="18766" spans="1:6" x14ac:dyDescent="0.25">
      <c r="A18766" t="str">
        <f>"200020168"</f>
        <v>200020168</v>
      </c>
      <c r="B18766" t="str">
        <f>"1750663993"</f>
        <v>1750663993</v>
      </c>
      <c r="C18766" t="str">
        <f>"363LF0000X"</f>
        <v>363LF0000X</v>
      </c>
      <c r="D18766" t="str">
        <f>"NIGAM                    PRATIBHA                 "</f>
        <v xml:space="preserve">NIGAM                    PRATIBHA                 </v>
      </c>
      <c r="E18766" t="str">
        <f>"JACKSON                   "</f>
        <v xml:space="preserve">JACKSON                   </v>
      </c>
      <c r="F18766" t="str">
        <f t="shared" si="456"/>
        <v>MS</v>
      </c>
    </row>
    <row r="18767" spans="1:6" x14ac:dyDescent="0.25">
      <c r="A18767" t="str">
        <f>"200020170"</f>
        <v>200020170</v>
      </c>
      <c r="B18767" t="str">
        <f>"1427206341"</f>
        <v>1427206341</v>
      </c>
      <c r="C18767" t="str">
        <f>"363LW0102X"</f>
        <v>363LW0102X</v>
      </c>
      <c r="D18767" t="str">
        <f>"REGIS                    NADIA                    "</f>
        <v xml:space="preserve">REGIS                    NADIA                    </v>
      </c>
      <c r="E18767" t="str">
        <f>"RIDGELAND                 "</f>
        <v xml:space="preserve">RIDGELAND                 </v>
      </c>
      <c r="F18767" t="str">
        <f t="shared" si="456"/>
        <v>MS</v>
      </c>
    </row>
    <row r="18768" spans="1:6" x14ac:dyDescent="0.25">
      <c r="A18768" t="str">
        <f>"200020171"</f>
        <v>200020171</v>
      </c>
      <c r="B18768" t="str">
        <f>"1891590816"</f>
        <v>1891590816</v>
      </c>
      <c r="C18768" t="str">
        <f>"363LP0808X"</f>
        <v>363LP0808X</v>
      </c>
      <c r="D18768" t="str">
        <f>"HEARD                    BENTRICE                 "</f>
        <v xml:space="preserve">HEARD                    BENTRICE                 </v>
      </c>
      <c r="E18768" t="str">
        <f>"COLUMBUS                  "</f>
        <v xml:space="preserve">COLUMBUS                  </v>
      </c>
      <c r="F18768" t="str">
        <f t="shared" si="456"/>
        <v>MS</v>
      </c>
    </row>
    <row r="18769" spans="1:6" x14ac:dyDescent="0.25">
      <c r="A18769" t="str">
        <f>"200020172"</f>
        <v>200020172</v>
      </c>
      <c r="B18769" t="str">
        <f>"1285261438"</f>
        <v>1285261438</v>
      </c>
      <c r="C18769" t="str">
        <f>"207X00000X"</f>
        <v>207X00000X</v>
      </c>
      <c r="D18769" t="str">
        <f>"HYLAND, JR               SCOTT                    "</f>
        <v xml:space="preserve">HYLAND, JR               SCOTT                    </v>
      </c>
      <c r="E18769" t="str">
        <f>"JACKSON                   "</f>
        <v xml:space="preserve">JACKSON                   </v>
      </c>
      <c r="F18769" t="str">
        <f t="shared" si="456"/>
        <v>MS</v>
      </c>
    </row>
    <row r="18770" spans="1:6" x14ac:dyDescent="0.25">
      <c r="A18770" t="str">
        <f>"200020173"</f>
        <v>200020173</v>
      </c>
      <c r="B18770" t="str">
        <f>"1215564232"</f>
        <v>1215564232</v>
      </c>
      <c r="C18770" t="str">
        <f>"207X00000X"</f>
        <v>207X00000X</v>
      </c>
      <c r="D18770" t="str">
        <f>"ULMER                    MICHAEL                  "</f>
        <v xml:space="preserve">ULMER                    MICHAEL                  </v>
      </c>
      <c r="E18770" t="str">
        <f>"JACKSON                   "</f>
        <v xml:space="preserve">JACKSON                   </v>
      </c>
      <c r="F18770" t="str">
        <f t="shared" si="456"/>
        <v>MS</v>
      </c>
    </row>
    <row r="18771" spans="1:6" x14ac:dyDescent="0.25">
      <c r="A18771" t="str">
        <f>"200020190"</f>
        <v>200020190</v>
      </c>
      <c r="B18771" t="str">
        <f>"1710872312"</f>
        <v>1710872312</v>
      </c>
      <c r="C18771" t="str">
        <f>"363L00000X"</f>
        <v>363L00000X</v>
      </c>
      <c r="D18771" t="str">
        <f>"CHAMBLEE                 ELISE                    "</f>
        <v xml:space="preserve">CHAMBLEE                 ELISE                    </v>
      </c>
      <c r="E18771" t="str">
        <f>"COLUMBUS                  "</f>
        <v xml:space="preserve">COLUMBUS                  </v>
      </c>
      <c r="F18771" t="str">
        <f t="shared" si="456"/>
        <v>MS</v>
      </c>
    </row>
    <row r="18772" spans="1:6" x14ac:dyDescent="0.25">
      <c r="A18772" t="str">
        <f>"200020199"</f>
        <v>200020199</v>
      </c>
      <c r="B18772" t="str">
        <f>"1811631070"</f>
        <v>1811631070</v>
      </c>
      <c r="C18772" t="str">
        <f>"207P00000X"</f>
        <v>207P00000X</v>
      </c>
      <c r="D18772" t="str">
        <f>"SNYDER                   GABRIELLE                "</f>
        <v xml:space="preserve">SNYDER                   GABRIELLE                </v>
      </c>
      <c r="E18772" t="str">
        <f>"JACKSON                   "</f>
        <v xml:space="preserve">JACKSON                   </v>
      </c>
      <c r="F18772" t="str">
        <f t="shared" si="456"/>
        <v>MS</v>
      </c>
    </row>
    <row r="18773" spans="1:6" x14ac:dyDescent="0.25">
      <c r="A18773" t="str">
        <f>"200020217"</f>
        <v>200020217</v>
      </c>
      <c r="B18773" t="str">
        <f>"1245044189"</f>
        <v>1245044189</v>
      </c>
      <c r="C18773" t="str">
        <f>"363LF0000X"</f>
        <v>363LF0000X</v>
      </c>
      <c r="D18773" t="str">
        <f>"METZ                     CHRISTINA                "</f>
        <v xml:space="preserve">METZ                     CHRISTINA                </v>
      </c>
      <c r="E18773" t="str">
        <f>"PASCAGOULA                "</f>
        <v xml:space="preserve">PASCAGOULA                </v>
      </c>
      <c r="F18773" t="str">
        <f t="shared" si="456"/>
        <v>MS</v>
      </c>
    </row>
    <row r="18774" spans="1:6" x14ac:dyDescent="0.25">
      <c r="A18774" t="str">
        <f>"200020222"</f>
        <v>200020222</v>
      </c>
      <c r="B18774" t="str">
        <f>"1164166336"</f>
        <v>1164166336</v>
      </c>
      <c r="C18774" t="str">
        <f>"207Q00000X"</f>
        <v>207Q00000X</v>
      </c>
      <c r="D18774" t="str">
        <f>"ROSS                     CHAD                     "</f>
        <v xml:space="preserve">ROSS                     CHAD                     </v>
      </c>
      <c r="E18774" t="str">
        <f>"SOUTHAVEN                 "</f>
        <v xml:space="preserve">SOUTHAVEN                 </v>
      </c>
      <c r="F18774" t="str">
        <f t="shared" si="456"/>
        <v>MS</v>
      </c>
    </row>
    <row r="18775" spans="1:6" x14ac:dyDescent="0.25">
      <c r="A18775" t="str">
        <f>"200020225"</f>
        <v>200020225</v>
      </c>
      <c r="B18775" t="str">
        <f>"1255565719"</f>
        <v>1255565719</v>
      </c>
      <c r="C18775" t="str">
        <f>"207P00000X"</f>
        <v>207P00000X</v>
      </c>
      <c r="D18775" t="str">
        <f>"TUCCI                    VERONICA                 "</f>
        <v xml:space="preserve">TUCCI                    VERONICA                 </v>
      </c>
      <c r="E18775" t="str">
        <f>"STARKVILLE                "</f>
        <v xml:space="preserve">STARKVILLE                </v>
      </c>
      <c r="F18775" t="str">
        <f t="shared" si="456"/>
        <v>MS</v>
      </c>
    </row>
    <row r="18776" spans="1:6" x14ac:dyDescent="0.25">
      <c r="A18776" t="str">
        <f>"200020226"</f>
        <v>200020226</v>
      </c>
      <c r="B18776" t="str">
        <f>"1639744097"</f>
        <v>1639744097</v>
      </c>
      <c r="C18776" t="str">
        <f>"363LF0000X"</f>
        <v>363LF0000X</v>
      </c>
      <c r="D18776" t="str">
        <f>"SANDERS                  FERRAN                   "</f>
        <v xml:space="preserve">SANDERS                  FERRAN                   </v>
      </c>
      <c r="E18776" t="str">
        <f>"JACKSON                   "</f>
        <v xml:space="preserve">JACKSON                   </v>
      </c>
      <c r="F18776" t="str">
        <f t="shared" si="456"/>
        <v>MS</v>
      </c>
    </row>
    <row r="18777" spans="1:6" x14ac:dyDescent="0.25">
      <c r="A18777" t="str">
        <f>"200020227"</f>
        <v>200020227</v>
      </c>
      <c r="B18777" t="str">
        <f>"1639744097"</f>
        <v>1639744097</v>
      </c>
      <c r="C18777" t="str">
        <f>"363L00000X"</f>
        <v>363L00000X</v>
      </c>
      <c r="D18777" t="str">
        <f>"SANDERS                  FERRAN                   "</f>
        <v xml:space="preserve">SANDERS                  FERRAN                   </v>
      </c>
      <c r="E18777" t="str">
        <f>"JACKSON                   "</f>
        <v xml:space="preserve">JACKSON                   </v>
      </c>
      <c r="F18777" t="str">
        <f t="shared" si="456"/>
        <v>MS</v>
      </c>
    </row>
    <row r="18778" spans="1:6" x14ac:dyDescent="0.25">
      <c r="A18778" t="str">
        <f>"200020230"</f>
        <v>200020230</v>
      </c>
      <c r="B18778" t="str">
        <f>"1225542723"</f>
        <v>1225542723</v>
      </c>
      <c r="C18778" t="str">
        <f>"363LF0000X"</f>
        <v>363LF0000X</v>
      </c>
      <c r="D18778" t="str">
        <f>"WILLIAMS                 ELIZABETH                "</f>
        <v xml:space="preserve">WILLIAMS                 ELIZABETH                </v>
      </c>
      <c r="E18778" t="str">
        <f>"HERNANDO                  "</f>
        <v xml:space="preserve">HERNANDO                  </v>
      </c>
      <c r="F18778" t="str">
        <f t="shared" si="456"/>
        <v>MS</v>
      </c>
    </row>
    <row r="18779" spans="1:6" x14ac:dyDescent="0.25">
      <c r="A18779" t="str">
        <f>"200020235"</f>
        <v>200020235</v>
      </c>
      <c r="B18779" t="str">
        <f>"1720668031"</f>
        <v>1720668031</v>
      </c>
      <c r="C18779" t="str">
        <f>"207P00000X"</f>
        <v>207P00000X</v>
      </c>
      <c r="D18779" t="str">
        <f>"TARTTER                  BENJAMIN                 "</f>
        <v xml:space="preserve">TARTTER                  BENJAMIN                 </v>
      </c>
      <c r="E18779" t="str">
        <f>"OCEAN SPRINGS             "</f>
        <v xml:space="preserve">OCEAN SPRINGS             </v>
      </c>
      <c r="F18779" t="str">
        <f t="shared" si="456"/>
        <v>MS</v>
      </c>
    </row>
    <row r="18780" spans="1:6" x14ac:dyDescent="0.25">
      <c r="A18780" t="str">
        <f>"200020246"</f>
        <v>200020246</v>
      </c>
      <c r="B18780" t="str">
        <f>"1649525015"</f>
        <v>1649525015</v>
      </c>
      <c r="C18780" t="str">
        <f>"152W00000X"</f>
        <v>152W00000X</v>
      </c>
      <c r="D18780" t="str">
        <f>"HIATT                    KARAH                    "</f>
        <v xml:space="preserve">HIATT                    KARAH                    </v>
      </c>
      <c r="E18780" t="str">
        <f>"HATTIESBURG               "</f>
        <v xml:space="preserve">HATTIESBURG               </v>
      </c>
      <c r="F18780" t="str">
        <f t="shared" si="456"/>
        <v>MS</v>
      </c>
    </row>
    <row r="18781" spans="1:6" x14ac:dyDescent="0.25">
      <c r="A18781" t="str">
        <f>"200020247"</f>
        <v>200020247</v>
      </c>
      <c r="B18781" t="str">
        <f>"1508759846"</f>
        <v>1508759846</v>
      </c>
      <c r="C18781" t="str">
        <f>"122300000X"</f>
        <v>122300000X</v>
      </c>
      <c r="D18781" t="str">
        <f>"BRISCOE                  ALICIA                   "</f>
        <v xml:space="preserve">BRISCOE                  ALICIA                   </v>
      </c>
      <c r="E18781" t="str">
        <f>"MERIDIAN                  "</f>
        <v xml:space="preserve">MERIDIAN                  </v>
      </c>
      <c r="F18781" t="str">
        <f t="shared" si="456"/>
        <v>MS</v>
      </c>
    </row>
    <row r="18782" spans="1:6" x14ac:dyDescent="0.25">
      <c r="A18782" t="str">
        <f>"200020248"</f>
        <v>200020248</v>
      </c>
      <c r="B18782" t="str">
        <f>"1477956126"</f>
        <v>1477956126</v>
      </c>
      <c r="C18782" t="str">
        <f>"261QM0801X"</f>
        <v>261QM0801X</v>
      </c>
      <c r="D18782" t="str">
        <f>"BRUCE PROFESSIONAL COUNSELING SERVICES, LLC       "</f>
        <v xml:space="preserve">BRUCE PROFESSIONAL COUNSELING SERVICES, LLC       </v>
      </c>
      <c r="E18782" t="str">
        <f>"HATTIESBURG               "</f>
        <v xml:space="preserve">HATTIESBURG               </v>
      </c>
      <c r="F18782" t="str">
        <f t="shared" si="456"/>
        <v>MS</v>
      </c>
    </row>
    <row r="18783" spans="1:6" x14ac:dyDescent="0.25">
      <c r="A18783" t="str">
        <f>"200020258"</f>
        <v>200020258</v>
      </c>
      <c r="B18783" t="str">
        <f>"1063103596"</f>
        <v>1063103596</v>
      </c>
      <c r="C18783" t="str">
        <f>"363LP0200X"</f>
        <v>363LP0200X</v>
      </c>
      <c r="D18783" t="str">
        <f>"PARKER                   MELANIE                  "</f>
        <v xml:space="preserve">PARKER                   MELANIE                  </v>
      </c>
      <c r="E18783" t="str">
        <f>"LUCEDALE                  "</f>
        <v xml:space="preserve">LUCEDALE                  </v>
      </c>
      <c r="F18783" t="str">
        <f t="shared" si="456"/>
        <v>MS</v>
      </c>
    </row>
    <row r="18784" spans="1:6" x14ac:dyDescent="0.25">
      <c r="A18784" t="str">
        <f>"200020276"</f>
        <v>200020276</v>
      </c>
      <c r="B18784" t="str">
        <f>"1316559479"</f>
        <v>1316559479</v>
      </c>
      <c r="C18784" t="str">
        <f>"363LF0000X"</f>
        <v>363LF0000X</v>
      </c>
      <c r="D18784" t="str">
        <f>"PATEL                    DIMPLEBEN                "</f>
        <v xml:space="preserve">PATEL                    DIMPLEBEN                </v>
      </c>
      <c r="E18784" t="str">
        <f>"HERNANDO                  "</f>
        <v xml:space="preserve">HERNANDO                  </v>
      </c>
      <c r="F18784" t="str">
        <f t="shared" si="456"/>
        <v>MS</v>
      </c>
    </row>
    <row r="18785" spans="1:6" x14ac:dyDescent="0.25">
      <c r="A18785" t="str">
        <f>"200020279"</f>
        <v>200020279</v>
      </c>
      <c r="B18785" t="str">
        <f>"1083981757"</f>
        <v>1083981757</v>
      </c>
      <c r="C18785" t="str">
        <f>"363LP0808X"</f>
        <v>363LP0808X</v>
      </c>
      <c r="D18785" t="str">
        <f>"BULLIE-THOMPSON          BIANCA                   "</f>
        <v xml:space="preserve">BULLIE-THOMPSON          BIANCA                   </v>
      </c>
      <c r="E18785" t="str">
        <f>"RIDGELAND                 "</f>
        <v xml:space="preserve">RIDGELAND                 </v>
      </c>
      <c r="F18785" t="str">
        <f t="shared" si="456"/>
        <v>MS</v>
      </c>
    </row>
    <row r="18786" spans="1:6" x14ac:dyDescent="0.25">
      <c r="A18786" t="str">
        <f>"200020287"</f>
        <v>200020287</v>
      </c>
      <c r="B18786" t="str">
        <f>"1922824259"</f>
        <v>1922824259</v>
      </c>
      <c r="C18786" t="str">
        <f>"122300000X"</f>
        <v>122300000X</v>
      </c>
      <c r="D18786" t="str">
        <f>"HASSAN                   SYED FAZEEL              "</f>
        <v xml:space="preserve">HASSAN                   SYED FAZEEL              </v>
      </c>
      <c r="E18786" t="str">
        <f>"HORN LAKE                 "</f>
        <v xml:space="preserve">HORN LAKE                 </v>
      </c>
      <c r="F18786" t="str">
        <f t="shared" si="456"/>
        <v>MS</v>
      </c>
    </row>
    <row r="18787" spans="1:6" x14ac:dyDescent="0.25">
      <c r="A18787" t="str">
        <f>"200020295"</f>
        <v>200020295</v>
      </c>
      <c r="B18787" t="str">
        <f>"1275970725"</f>
        <v>1275970725</v>
      </c>
      <c r="C18787" t="str">
        <f>"363LP0808X"</f>
        <v>363LP0808X</v>
      </c>
      <c r="D18787" t="str">
        <f>"BENNETT                  SONDRA                   "</f>
        <v xml:space="preserve">BENNETT                  SONDRA                   </v>
      </c>
      <c r="E18787" t="str">
        <f>"TUPELO                    "</f>
        <v xml:space="preserve">TUPELO                    </v>
      </c>
      <c r="F18787" t="str">
        <f t="shared" si="456"/>
        <v>MS</v>
      </c>
    </row>
    <row r="18788" spans="1:6" x14ac:dyDescent="0.25">
      <c r="A18788" t="str">
        <f>"200020299"</f>
        <v>200020299</v>
      </c>
      <c r="B18788" t="str">
        <f>"1073257945"</f>
        <v>1073257945</v>
      </c>
      <c r="C18788" t="str">
        <f>"207Q00000X"</f>
        <v>207Q00000X</v>
      </c>
      <c r="D18788" t="str">
        <f>"STANSBURY                WILLIAM                  "</f>
        <v xml:space="preserve">STANSBURY                WILLIAM                  </v>
      </c>
      <c r="E18788" t="str">
        <f>"TUPELO                    "</f>
        <v xml:space="preserve">TUPELO                    </v>
      </c>
      <c r="F18788" t="str">
        <f t="shared" si="456"/>
        <v>MS</v>
      </c>
    </row>
    <row r="18789" spans="1:6" x14ac:dyDescent="0.25">
      <c r="A18789" t="str">
        <f>"200020301"</f>
        <v>200020301</v>
      </c>
      <c r="B18789" t="str">
        <f>"1467245274"</f>
        <v>1467245274</v>
      </c>
      <c r="C18789" t="str">
        <f>"363LF0000X"</f>
        <v>363LF0000X</v>
      </c>
      <c r="D18789" t="str">
        <f>"CLEGG-ALDERMAN           PAMELA                   "</f>
        <v xml:space="preserve">CLEGG-ALDERMAN           PAMELA                   </v>
      </c>
      <c r="E18789" t="str">
        <f>"THAXTON                   "</f>
        <v xml:space="preserve">THAXTON                   </v>
      </c>
      <c r="F18789" t="str">
        <f t="shared" si="456"/>
        <v>MS</v>
      </c>
    </row>
    <row r="18790" spans="1:6" x14ac:dyDescent="0.25">
      <c r="A18790" t="str">
        <f>"200020303"</f>
        <v>200020303</v>
      </c>
      <c r="B18790" t="str">
        <f>"1760287080"</f>
        <v>1760287080</v>
      </c>
      <c r="C18790" t="str">
        <f>"122300000X"</f>
        <v>122300000X</v>
      </c>
      <c r="D18790" t="str">
        <f>"COLEMAN                  DEVON                    "</f>
        <v xml:space="preserve">COLEMAN                  DEVON                    </v>
      </c>
      <c r="E18790" t="str">
        <f>"PASCAGOULA                "</f>
        <v xml:space="preserve">PASCAGOULA                </v>
      </c>
      <c r="F18790" t="str">
        <f t="shared" si="456"/>
        <v>MS</v>
      </c>
    </row>
    <row r="18791" spans="1:6" x14ac:dyDescent="0.25">
      <c r="A18791" t="str">
        <f>"200020306"</f>
        <v>200020306</v>
      </c>
      <c r="B18791" t="str">
        <f>"1982204590"</f>
        <v>1982204590</v>
      </c>
      <c r="C18791" t="str">
        <f>"363LF0000X"</f>
        <v>363LF0000X</v>
      </c>
      <c r="D18791" t="str">
        <f>"SLEATER LEWIS            GABRIELLE                "</f>
        <v xml:space="preserve">SLEATER LEWIS            GABRIELLE                </v>
      </c>
      <c r="E18791" t="str">
        <f>"JACKSON                   "</f>
        <v xml:space="preserve">JACKSON                   </v>
      </c>
      <c r="F18791" t="str">
        <f t="shared" si="456"/>
        <v>MS</v>
      </c>
    </row>
    <row r="18792" spans="1:6" x14ac:dyDescent="0.25">
      <c r="A18792" t="str">
        <f>"200020309"</f>
        <v>200020309</v>
      </c>
      <c r="B18792" t="str">
        <f>"1942692157"</f>
        <v>1942692157</v>
      </c>
      <c r="C18792" t="str">
        <f>"363LW0102X"</f>
        <v>363LW0102X</v>
      </c>
      <c r="D18792" t="str">
        <f>"WOODALL                  TARA                     "</f>
        <v xml:space="preserve">WOODALL                  TARA                     </v>
      </c>
      <c r="E18792" t="str">
        <f>"RIDGELAND                 "</f>
        <v xml:space="preserve">RIDGELAND                 </v>
      </c>
      <c r="F18792" t="str">
        <f t="shared" si="456"/>
        <v>MS</v>
      </c>
    </row>
    <row r="18793" spans="1:6" x14ac:dyDescent="0.25">
      <c r="A18793" t="str">
        <f>"200020310"</f>
        <v>200020310</v>
      </c>
      <c r="B18793" t="str">
        <f>"1275806564"</f>
        <v>1275806564</v>
      </c>
      <c r="C18793" t="str">
        <f>"363LF0000X"</f>
        <v>363LF0000X</v>
      </c>
      <c r="D18793" t="str">
        <f>"NOBLE                    ANGELA                   "</f>
        <v xml:space="preserve">NOBLE                    ANGELA                   </v>
      </c>
      <c r="E18793" t="str">
        <f>"JACKSON                   "</f>
        <v xml:space="preserve">JACKSON                   </v>
      </c>
      <c r="F18793" t="str">
        <f t="shared" si="456"/>
        <v>MS</v>
      </c>
    </row>
    <row r="18794" spans="1:6" x14ac:dyDescent="0.25">
      <c r="A18794" t="str">
        <f>"200020320"</f>
        <v>200020320</v>
      </c>
      <c r="B18794" t="str">
        <f>"1881210011"</f>
        <v>1881210011</v>
      </c>
      <c r="C18794" t="str">
        <f>"207P00000X"</f>
        <v>207P00000X</v>
      </c>
      <c r="D18794" t="str">
        <f>"KANE                     MYRIAM                   "</f>
        <v xml:space="preserve">KANE                     MYRIAM                   </v>
      </c>
      <c r="E18794" t="str">
        <f>"JACKSON                   "</f>
        <v xml:space="preserve">JACKSON                   </v>
      </c>
      <c r="F18794" t="str">
        <f t="shared" si="456"/>
        <v>MS</v>
      </c>
    </row>
    <row r="18795" spans="1:6" x14ac:dyDescent="0.25">
      <c r="A18795" t="str">
        <f>"200020328"</f>
        <v>200020328</v>
      </c>
      <c r="B18795" t="str">
        <f>"1467185629"</f>
        <v>1467185629</v>
      </c>
      <c r="C18795" t="str">
        <f>"207Q00000X"</f>
        <v>207Q00000X</v>
      </c>
      <c r="D18795" t="str">
        <f>"STEVENS                  GEORGE                   "</f>
        <v xml:space="preserve">STEVENS                  GEORGE                   </v>
      </c>
      <c r="E18795" t="str">
        <f>"GREENVILLE                "</f>
        <v xml:space="preserve">GREENVILLE                </v>
      </c>
      <c r="F18795" t="str">
        <f t="shared" si="456"/>
        <v>MS</v>
      </c>
    </row>
    <row r="18796" spans="1:6" x14ac:dyDescent="0.25">
      <c r="A18796" t="str">
        <f>"200020332"</f>
        <v>200020332</v>
      </c>
      <c r="B18796" t="str">
        <f>"1558742346"</f>
        <v>1558742346</v>
      </c>
      <c r="C18796" t="str">
        <f>"2085R0202X"</f>
        <v>2085R0202X</v>
      </c>
      <c r="D18796" t="str">
        <f>"SYED                     FURQAN                   "</f>
        <v xml:space="preserve">SYED                     FURQAN                   </v>
      </c>
      <c r="E18796" t="str">
        <f>"SOUTHAVEN                 "</f>
        <v xml:space="preserve">SOUTHAVEN                 </v>
      </c>
      <c r="F18796" t="str">
        <f t="shared" si="456"/>
        <v>MS</v>
      </c>
    </row>
    <row r="18797" spans="1:6" x14ac:dyDescent="0.25">
      <c r="A18797" t="str">
        <f>"200020338"</f>
        <v>200020338</v>
      </c>
      <c r="B18797" t="str">
        <f>"1245305341"</f>
        <v>1245305341</v>
      </c>
      <c r="C18797" t="str">
        <f>"207P00000X"</f>
        <v>207P00000X</v>
      </c>
      <c r="D18797" t="str">
        <f>"BOLTON                   THOMAS                   "</f>
        <v xml:space="preserve">BOLTON                   THOMAS                   </v>
      </c>
      <c r="E18797" t="str">
        <f>"TUPELO                    "</f>
        <v xml:space="preserve">TUPELO                    </v>
      </c>
      <c r="F18797" t="str">
        <f t="shared" si="456"/>
        <v>MS</v>
      </c>
    </row>
    <row r="18798" spans="1:6" x14ac:dyDescent="0.25">
      <c r="A18798" t="str">
        <f>"200020340"</f>
        <v>200020340</v>
      </c>
      <c r="B18798" t="str">
        <f>"1528951050"</f>
        <v>1528951050</v>
      </c>
      <c r="C18798" t="str">
        <f>"1223G0001X"</f>
        <v>1223G0001X</v>
      </c>
      <c r="D18798" t="str">
        <f>"QUAVE                    JARED                    "</f>
        <v xml:space="preserve">QUAVE                    JARED                    </v>
      </c>
      <c r="E18798" t="str">
        <f>"SOUTHAVEN                 "</f>
        <v xml:space="preserve">SOUTHAVEN                 </v>
      </c>
      <c r="F18798" t="str">
        <f t="shared" si="456"/>
        <v>MS</v>
      </c>
    </row>
    <row r="18799" spans="1:6" x14ac:dyDescent="0.25">
      <c r="A18799" t="str">
        <f>"200020342"</f>
        <v>200020342</v>
      </c>
      <c r="B18799" t="str">
        <f>"1316027485"</f>
        <v>1316027485</v>
      </c>
      <c r="C18799" t="str">
        <f>"367500000X"</f>
        <v>367500000X</v>
      </c>
      <c r="D18799" t="str">
        <f>"STANCILL                 CAROLE                   "</f>
        <v xml:space="preserve">STANCILL                 CAROLE                   </v>
      </c>
      <c r="E18799" t="str">
        <f>"COLUMBUS                  "</f>
        <v xml:space="preserve">COLUMBUS                  </v>
      </c>
      <c r="F18799" t="str">
        <f t="shared" si="456"/>
        <v>MS</v>
      </c>
    </row>
    <row r="18800" spans="1:6" x14ac:dyDescent="0.25">
      <c r="A18800" t="str">
        <f>"200020343"</f>
        <v>200020343</v>
      </c>
      <c r="B18800" t="str">
        <f>"1598068892"</f>
        <v>1598068892</v>
      </c>
      <c r="C18800" t="str">
        <f>"363LF0000X"</f>
        <v>363LF0000X</v>
      </c>
      <c r="D18800" t="str">
        <f>"JOHNSON                  STEPHEN      D           "</f>
        <v xml:space="preserve">JOHNSON                  STEPHEN      D           </v>
      </c>
      <c r="E18800" t="str">
        <f>"JACKSON                   "</f>
        <v xml:space="preserve">JACKSON                   </v>
      </c>
      <c r="F18800" t="str">
        <f t="shared" si="456"/>
        <v>MS</v>
      </c>
    </row>
    <row r="18801" spans="1:6" x14ac:dyDescent="0.25">
      <c r="A18801" t="str">
        <f>"200020344"</f>
        <v>200020344</v>
      </c>
      <c r="B18801" t="str">
        <f>"1447144365"</f>
        <v>1447144365</v>
      </c>
      <c r="C18801" t="str">
        <f>"363LF0000X"</f>
        <v>363LF0000X</v>
      </c>
      <c r="D18801" t="str">
        <f>"SKEEN                    PENNY                    "</f>
        <v xml:space="preserve">SKEEN                    PENNY                    </v>
      </c>
      <c r="E18801" t="str">
        <f>"OXFORD                    "</f>
        <v xml:space="preserve">OXFORD                    </v>
      </c>
      <c r="F18801" t="str">
        <f t="shared" si="456"/>
        <v>MS</v>
      </c>
    </row>
    <row r="18802" spans="1:6" x14ac:dyDescent="0.25">
      <c r="A18802" t="str">
        <f>"200020346"</f>
        <v>200020346</v>
      </c>
      <c r="B18802" t="str">
        <f>"1760375091"</f>
        <v>1760375091</v>
      </c>
      <c r="C18802" t="str">
        <f>"367500000X"</f>
        <v>367500000X</v>
      </c>
      <c r="D18802" t="str">
        <f>"DUDLEY                   VICTORIA                 "</f>
        <v xml:space="preserve">DUDLEY                   VICTORIA                 </v>
      </c>
      <c r="E18802" t="str">
        <f>"MERIDIAN                  "</f>
        <v xml:space="preserve">MERIDIAN                  </v>
      </c>
      <c r="F18802" t="str">
        <f t="shared" si="456"/>
        <v>MS</v>
      </c>
    </row>
    <row r="18803" spans="1:6" x14ac:dyDescent="0.25">
      <c r="A18803" t="str">
        <f>"200020349"</f>
        <v>200020349</v>
      </c>
      <c r="B18803" t="str">
        <f>"1316736697"</f>
        <v>1316736697</v>
      </c>
      <c r="C18803" t="str">
        <f>"207Q00000X"</f>
        <v>207Q00000X</v>
      </c>
      <c r="D18803" t="str">
        <f>"SIMPSON                  WILLIAM                  "</f>
        <v xml:space="preserve">SIMPSON                  WILLIAM                  </v>
      </c>
      <c r="E18803" t="str">
        <f>"MCCOMB                    "</f>
        <v xml:space="preserve">MCCOMB                    </v>
      </c>
      <c r="F18803" t="str">
        <f t="shared" si="456"/>
        <v>MS</v>
      </c>
    </row>
    <row r="18804" spans="1:6" x14ac:dyDescent="0.25">
      <c r="A18804" t="str">
        <f>"200020351"</f>
        <v>200020351</v>
      </c>
      <c r="B18804" t="str">
        <f>"1902212657"</f>
        <v>1902212657</v>
      </c>
      <c r="C18804" t="str">
        <f>"207P00000X"</f>
        <v>207P00000X</v>
      </c>
      <c r="D18804" t="str">
        <f>"HARTMAN                  TYLER        M           "</f>
        <v xml:space="preserve">HARTMAN                  TYLER        M           </v>
      </c>
      <c r="E18804" t="str">
        <f>"SOUTHAVEN                 "</f>
        <v xml:space="preserve">SOUTHAVEN                 </v>
      </c>
      <c r="F18804" t="str">
        <f t="shared" si="456"/>
        <v>MS</v>
      </c>
    </row>
    <row r="18805" spans="1:6" x14ac:dyDescent="0.25">
      <c r="A18805" t="str">
        <f>"200020359"</f>
        <v>200020359</v>
      </c>
      <c r="B18805" t="str">
        <f>"1013703016"</f>
        <v>1013703016</v>
      </c>
      <c r="C18805" t="str">
        <f>"207Q00000X"</f>
        <v>207Q00000X</v>
      </c>
      <c r="D18805" t="str">
        <f>"ELDRIDGE                 RAVEN        S           "</f>
        <v xml:space="preserve">ELDRIDGE                 RAVEN        S           </v>
      </c>
      <c r="E18805" t="str">
        <f>"TUPELO                    "</f>
        <v xml:space="preserve">TUPELO                    </v>
      </c>
      <c r="F18805" t="str">
        <f t="shared" si="456"/>
        <v>MS</v>
      </c>
    </row>
    <row r="18806" spans="1:6" x14ac:dyDescent="0.25">
      <c r="A18806" t="str">
        <f>"200020365"</f>
        <v>200020365</v>
      </c>
      <c r="B18806" t="str">
        <f>"1942212840"</f>
        <v>1942212840</v>
      </c>
      <c r="C18806" t="str">
        <f>"207L00000X"</f>
        <v>207L00000X</v>
      </c>
      <c r="D18806" t="str">
        <f>"SALMAN                   MICHAEL                  "</f>
        <v xml:space="preserve">SALMAN                   MICHAEL                  </v>
      </c>
      <c r="E18806" t="str">
        <f>"MERIDIAN                  "</f>
        <v xml:space="preserve">MERIDIAN                  </v>
      </c>
      <c r="F18806" t="str">
        <f t="shared" si="456"/>
        <v>MS</v>
      </c>
    </row>
    <row r="18807" spans="1:6" x14ac:dyDescent="0.25">
      <c r="A18807" t="str">
        <f>"200020368"</f>
        <v>200020368</v>
      </c>
      <c r="B18807" t="str">
        <f>"1003671496"</f>
        <v>1003671496</v>
      </c>
      <c r="C18807" t="str">
        <f>"207Q00000X"</f>
        <v>207Q00000X</v>
      </c>
      <c r="D18807" t="str">
        <f>"CHRISTMAN                ATHENA       T           "</f>
        <v xml:space="preserve">CHRISTMAN                ATHENA       T           </v>
      </c>
      <c r="E18807" t="str">
        <f>"TUPELO                    "</f>
        <v xml:space="preserve">TUPELO                    </v>
      </c>
      <c r="F18807" t="str">
        <f t="shared" si="456"/>
        <v>MS</v>
      </c>
    </row>
    <row r="18808" spans="1:6" x14ac:dyDescent="0.25">
      <c r="A18808" t="str">
        <f>"200020372"</f>
        <v>200020372</v>
      </c>
      <c r="B18808" t="str">
        <f>"1003602004"</f>
        <v>1003602004</v>
      </c>
      <c r="C18808" t="str">
        <f>"207Q00000X"</f>
        <v>207Q00000X</v>
      </c>
      <c r="D18808" t="str">
        <f>"CHANG                    YONG         S           "</f>
        <v xml:space="preserve">CHANG                    YONG         S           </v>
      </c>
      <c r="E18808" t="str">
        <f>"TUPELO                    "</f>
        <v xml:space="preserve">TUPELO                    </v>
      </c>
      <c r="F18808" t="str">
        <f t="shared" si="456"/>
        <v>MS</v>
      </c>
    </row>
    <row r="18809" spans="1:6" x14ac:dyDescent="0.25">
      <c r="A18809" t="str">
        <f>"200020376"</f>
        <v>200020376</v>
      </c>
      <c r="B18809" t="str">
        <f>"1972221463"</f>
        <v>1972221463</v>
      </c>
      <c r="C18809" t="str">
        <f>"363L00000X"</f>
        <v>363L00000X</v>
      </c>
      <c r="D18809" t="str">
        <f>"HUDSON                   SHARON                   "</f>
        <v xml:space="preserve">HUDSON                   SHARON                   </v>
      </c>
      <c r="E18809" t="str">
        <f>"PORT GIBSON               "</f>
        <v xml:space="preserve">PORT GIBSON               </v>
      </c>
      <c r="F18809" t="str">
        <f t="shared" si="456"/>
        <v>MS</v>
      </c>
    </row>
    <row r="18810" spans="1:6" x14ac:dyDescent="0.25">
      <c r="A18810" t="str">
        <f>"200020377"</f>
        <v>200020377</v>
      </c>
      <c r="B18810" t="str">
        <f>"1174347702"</f>
        <v>1174347702</v>
      </c>
      <c r="C18810" t="str">
        <f>"363L00000X"</f>
        <v>363L00000X</v>
      </c>
      <c r="D18810" t="str">
        <f>"LARKIN                   BREONKA                  "</f>
        <v xml:space="preserve">LARKIN                   BREONKA                  </v>
      </c>
      <c r="E18810" t="str">
        <f>"FLOWOOD                   "</f>
        <v xml:space="preserve">FLOWOOD                   </v>
      </c>
      <c r="F18810" t="str">
        <f t="shared" si="456"/>
        <v>MS</v>
      </c>
    </row>
    <row r="18811" spans="1:6" x14ac:dyDescent="0.25">
      <c r="A18811" t="str">
        <f>"200020379"</f>
        <v>200020379</v>
      </c>
      <c r="B18811" t="str">
        <f>"1144232893"</f>
        <v>1144232893</v>
      </c>
      <c r="C18811" t="str">
        <f>"2084N0400X"</f>
        <v>2084N0400X</v>
      </c>
      <c r="D18811" t="str">
        <f>"HASKINS                  DANIELLE                 "</f>
        <v xml:space="preserve">HASKINS                  DANIELLE                 </v>
      </c>
      <c r="E18811" t="str">
        <f>"TUPELO                    "</f>
        <v xml:space="preserve">TUPELO                    </v>
      </c>
      <c r="F18811" t="str">
        <f t="shared" si="456"/>
        <v>MS</v>
      </c>
    </row>
    <row r="18812" spans="1:6" x14ac:dyDescent="0.25">
      <c r="A18812" t="str">
        <f>"200020380"</f>
        <v>200020380</v>
      </c>
      <c r="B18812" t="str">
        <f>"1013712884"</f>
        <v>1013712884</v>
      </c>
      <c r="C18812" t="str">
        <f>"363L00000X"</f>
        <v>363L00000X</v>
      </c>
      <c r="D18812" t="str">
        <f>"SMITH                    SARAH                    "</f>
        <v xml:space="preserve">SMITH                    SARAH                    </v>
      </c>
      <c r="E18812" t="str">
        <f>"SUMRALL                   "</f>
        <v xml:space="preserve">SUMRALL                   </v>
      </c>
      <c r="F18812" t="str">
        <f t="shared" si="456"/>
        <v>MS</v>
      </c>
    </row>
    <row r="18813" spans="1:6" x14ac:dyDescent="0.25">
      <c r="A18813" t="str">
        <f>"200020385"</f>
        <v>200020385</v>
      </c>
      <c r="B18813" t="str">
        <f>"1245646314"</f>
        <v>1245646314</v>
      </c>
      <c r="C18813" t="str">
        <f>"367500000X"</f>
        <v>367500000X</v>
      </c>
      <c r="D18813" t="str">
        <f>"BILLINGSLEY              LAURA                    "</f>
        <v xml:space="preserve">BILLINGSLEY              LAURA                    </v>
      </c>
      <c r="E18813" t="str">
        <f>"OXFORD                    "</f>
        <v xml:space="preserve">OXFORD                    </v>
      </c>
      <c r="F18813" t="str">
        <f t="shared" si="456"/>
        <v>MS</v>
      </c>
    </row>
    <row r="18814" spans="1:6" x14ac:dyDescent="0.25">
      <c r="A18814" t="str">
        <f>"200020386"</f>
        <v>200020386</v>
      </c>
      <c r="B18814" t="str">
        <f>"1497557409"</f>
        <v>1497557409</v>
      </c>
      <c r="C18814" t="str">
        <f>"363LF0000X"</f>
        <v>363LF0000X</v>
      </c>
      <c r="D18814" t="str">
        <f>"PITTS                    CHELCE                   "</f>
        <v xml:space="preserve">PITTS                    CHELCE                   </v>
      </c>
      <c r="E18814" t="str">
        <f>"FLOWOOD                   "</f>
        <v xml:space="preserve">FLOWOOD                   </v>
      </c>
      <c r="F18814" t="str">
        <f t="shared" ref="F18814:F18877" si="457">"MS"</f>
        <v>MS</v>
      </c>
    </row>
    <row r="18815" spans="1:6" x14ac:dyDescent="0.25">
      <c r="A18815" t="str">
        <f>"200020387"</f>
        <v>200020387</v>
      </c>
      <c r="B18815" t="str">
        <f>"1922082130"</f>
        <v>1922082130</v>
      </c>
      <c r="C18815" t="str">
        <f>"207RG0100X"</f>
        <v>207RG0100X</v>
      </c>
      <c r="D18815" t="str">
        <f>"PANARA                   NED                      "</f>
        <v xml:space="preserve">PANARA                   NED                      </v>
      </c>
      <c r="E18815" t="str">
        <f>"PASCAGOULA                "</f>
        <v xml:space="preserve">PASCAGOULA                </v>
      </c>
      <c r="F18815" t="str">
        <f t="shared" si="457"/>
        <v>MS</v>
      </c>
    </row>
    <row r="18816" spans="1:6" x14ac:dyDescent="0.25">
      <c r="A18816" t="str">
        <f>"200020390"</f>
        <v>200020390</v>
      </c>
      <c r="B18816" t="str">
        <f>"1467199836"</f>
        <v>1467199836</v>
      </c>
      <c r="C18816" t="str">
        <f>"208000000X"</f>
        <v>208000000X</v>
      </c>
      <c r="D18816" t="str">
        <f>"JONES                    SHANNON                  "</f>
        <v xml:space="preserve">JONES                    SHANNON                  </v>
      </c>
      <c r="E18816" t="str">
        <f>"STARKVILLE                "</f>
        <v xml:space="preserve">STARKVILLE                </v>
      </c>
      <c r="F18816" t="str">
        <f t="shared" si="457"/>
        <v>MS</v>
      </c>
    </row>
    <row r="18817" spans="1:6" x14ac:dyDescent="0.25">
      <c r="A18817" t="str">
        <f>"200020391"</f>
        <v>200020391</v>
      </c>
      <c r="B18817" t="str">
        <f>"1962271015"</f>
        <v>1962271015</v>
      </c>
      <c r="C18817" t="str">
        <f>"363LP0808X"</f>
        <v>363LP0808X</v>
      </c>
      <c r="D18817" t="str">
        <f>"SARITA                   SUBEDI                   "</f>
        <v xml:space="preserve">SARITA                   SUBEDI                   </v>
      </c>
      <c r="E18817" t="str">
        <f>"GRENADA                   "</f>
        <v xml:space="preserve">GRENADA                   </v>
      </c>
      <c r="F18817" t="str">
        <f t="shared" si="457"/>
        <v>MS</v>
      </c>
    </row>
    <row r="18818" spans="1:6" x14ac:dyDescent="0.25">
      <c r="A18818" t="str">
        <f>"200020392"</f>
        <v>200020392</v>
      </c>
      <c r="B18818" t="str">
        <f>"1093344699"</f>
        <v>1093344699</v>
      </c>
      <c r="C18818" t="str">
        <f>"207Y00000X"</f>
        <v>207Y00000X</v>
      </c>
      <c r="D18818" t="str">
        <f>"PALMER                   TRACE                    "</f>
        <v xml:space="preserve">PALMER                   TRACE                    </v>
      </c>
      <c r="E18818" t="str">
        <f>"TUPELO                    "</f>
        <v xml:space="preserve">TUPELO                    </v>
      </c>
      <c r="F18818" t="str">
        <f t="shared" si="457"/>
        <v>MS</v>
      </c>
    </row>
    <row r="18819" spans="1:6" x14ac:dyDescent="0.25">
      <c r="A18819" t="str">
        <f>"200020394"</f>
        <v>200020394</v>
      </c>
      <c r="B18819" t="str">
        <f>"1720314180"</f>
        <v>1720314180</v>
      </c>
      <c r="C18819" t="str">
        <f>"363L00000X"</f>
        <v>363L00000X</v>
      </c>
      <c r="D18819" t="str">
        <f>"HEADLEY                  DEBORAH                  "</f>
        <v xml:space="preserve">HEADLEY                  DEBORAH                  </v>
      </c>
      <c r="E18819" t="str">
        <f>"FLOWOOD                   "</f>
        <v xml:space="preserve">FLOWOOD                   </v>
      </c>
      <c r="F18819" t="str">
        <f t="shared" si="457"/>
        <v>MS</v>
      </c>
    </row>
    <row r="18820" spans="1:6" x14ac:dyDescent="0.25">
      <c r="A18820" t="str">
        <f>"200020395"</f>
        <v>200020395</v>
      </c>
      <c r="B18820" t="str">
        <f>"1871754374"</f>
        <v>1871754374</v>
      </c>
      <c r="C18820" t="str">
        <f>"208000000X"</f>
        <v>208000000X</v>
      </c>
      <c r="D18820" t="str">
        <f>"ELLZEY                   JENNIFER                 "</f>
        <v xml:space="preserve">ELLZEY                   JENNIFER                 </v>
      </c>
      <c r="E18820" t="str">
        <f>"GLUCKSTADT                "</f>
        <v xml:space="preserve">GLUCKSTADT                </v>
      </c>
      <c r="F18820" t="str">
        <f t="shared" si="457"/>
        <v>MS</v>
      </c>
    </row>
    <row r="18821" spans="1:6" x14ac:dyDescent="0.25">
      <c r="A18821" t="str">
        <f>"200020399"</f>
        <v>200020399</v>
      </c>
      <c r="B18821" t="str">
        <f>"1891043519"</f>
        <v>1891043519</v>
      </c>
      <c r="C18821" t="str">
        <f>"207RI0200X"</f>
        <v>207RI0200X</v>
      </c>
      <c r="D18821" t="str">
        <f>"KHEDIMI                  RABEA                    "</f>
        <v xml:space="preserve">KHEDIMI                  RABEA                    </v>
      </c>
      <c r="E18821" t="str">
        <f>"MERIDIAN                  "</f>
        <v xml:space="preserve">MERIDIAN                  </v>
      </c>
      <c r="F18821" t="str">
        <f t="shared" si="457"/>
        <v>MS</v>
      </c>
    </row>
    <row r="18822" spans="1:6" x14ac:dyDescent="0.25">
      <c r="A18822" t="str">
        <f>"200020406"</f>
        <v>200020406</v>
      </c>
      <c r="B18822" t="str">
        <f>"1689613739"</f>
        <v>1689613739</v>
      </c>
      <c r="C18822" t="str">
        <f>"207RP1001X"</f>
        <v>207RP1001X</v>
      </c>
      <c r="D18822" t="str">
        <f>"MORRIS                   FELIX                    "</f>
        <v xml:space="preserve">MORRIS                   FELIX                    </v>
      </c>
      <c r="E18822" t="str">
        <f>"BELMONT                   "</f>
        <v xml:space="preserve">BELMONT                   </v>
      </c>
      <c r="F18822" t="str">
        <f t="shared" si="457"/>
        <v>MS</v>
      </c>
    </row>
    <row r="18823" spans="1:6" x14ac:dyDescent="0.25">
      <c r="A18823" t="str">
        <f>"200020408"</f>
        <v>200020408</v>
      </c>
      <c r="B18823" t="str">
        <f>"1730799578"</f>
        <v>1730799578</v>
      </c>
      <c r="C18823" t="str">
        <f>"363LF0000X"</f>
        <v>363LF0000X</v>
      </c>
      <c r="D18823" t="str">
        <f>"WHITE                    HOLLY                    "</f>
        <v xml:space="preserve">WHITE                    HOLLY                    </v>
      </c>
      <c r="E18823" t="str">
        <f>"LEAKESVILLE               "</f>
        <v xml:space="preserve">LEAKESVILLE               </v>
      </c>
      <c r="F18823" t="str">
        <f t="shared" si="457"/>
        <v>MS</v>
      </c>
    </row>
    <row r="18824" spans="1:6" x14ac:dyDescent="0.25">
      <c r="A18824" t="str">
        <f>"200020412"</f>
        <v>200020412</v>
      </c>
      <c r="B18824" t="str">
        <f>"1750099305"</f>
        <v>1750099305</v>
      </c>
      <c r="C18824" t="str">
        <f>"363LA2100X"</f>
        <v>363LA2100X</v>
      </c>
      <c r="D18824" t="str">
        <f>"BLACKWELL                TAYLOR                   "</f>
        <v xml:space="preserve">BLACKWELL                TAYLOR                   </v>
      </c>
      <c r="E18824" t="str">
        <f>"FLOWOOD                   "</f>
        <v xml:space="preserve">FLOWOOD                   </v>
      </c>
      <c r="F18824" t="str">
        <f t="shared" si="457"/>
        <v>MS</v>
      </c>
    </row>
    <row r="18825" spans="1:6" x14ac:dyDescent="0.25">
      <c r="A18825" t="str">
        <f>"200020413"</f>
        <v>200020413</v>
      </c>
      <c r="B18825" t="str">
        <f>"1902943764"</f>
        <v>1902943764</v>
      </c>
      <c r="C18825" t="str">
        <f>"207R00000X"</f>
        <v>207R00000X</v>
      </c>
      <c r="D18825" t="str">
        <f>"FLEISCHHAUER             THOMAS       F           "</f>
        <v xml:space="preserve">FLEISCHHAUER             THOMAS       F           </v>
      </c>
      <c r="E18825" t="str">
        <f>"BATESVILLE                "</f>
        <v xml:space="preserve">BATESVILLE                </v>
      </c>
      <c r="F18825" t="str">
        <f t="shared" si="457"/>
        <v>MS</v>
      </c>
    </row>
    <row r="18826" spans="1:6" x14ac:dyDescent="0.25">
      <c r="A18826" t="str">
        <f>"200020415"</f>
        <v>200020415</v>
      </c>
      <c r="B18826" t="str">
        <f>"1649068578"</f>
        <v>1649068578</v>
      </c>
      <c r="C18826" t="str">
        <f>"207Q00000X"</f>
        <v>207Q00000X</v>
      </c>
      <c r="D18826" t="str">
        <f>"KAUR                     PRABHJOT                 "</f>
        <v xml:space="preserve">KAUR                     PRABHJOT                 </v>
      </c>
      <c r="E18826" t="str">
        <f>"TUPELO                    "</f>
        <v xml:space="preserve">TUPELO                    </v>
      </c>
      <c r="F18826" t="str">
        <f t="shared" si="457"/>
        <v>MS</v>
      </c>
    </row>
    <row r="18827" spans="1:6" x14ac:dyDescent="0.25">
      <c r="A18827" t="str">
        <f>"200020418"</f>
        <v>200020418</v>
      </c>
      <c r="B18827" t="str">
        <f>"1588427165"</f>
        <v>1588427165</v>
      </c>
      <c r="C18827" t="str">
        <f>"207Q00000X"</f>
        <v>207Q00000X</v>
      </c>
      <c r="D18827" t="str">
        <f>"POWELL                   KATELYN      B           "</f>
        <v xml:space="preserve">POWELL                   KATELYN      B           </v>
      </c>
      <c r="E18827" t="str">
        <f>"TUPELO                    "</f>
        <v xml:space="preserve">TUPELO                    </v>
      </c>
      <c r="F18827" t="str">
        <f t="shared" si="457"/>
        <v>MS</v>
      </c>
    </row>
    <row r="18828" spans="1:6" x14ac:dyDescent="0.25">
      <c r="A18828" t="str">
        <f>"200020430"</f>
        <v>200020430</v>
      </c>
      <c r="B18828" t="str">
        <f>"1770388878"</f>
        <v>1770388878</v>
      </c>
      <c r="C18828" t="str">
        <f>"363LF0000X"</f>
        <v>363LF0000X</v>
      </c>
      <c r="D18828" t="str">
        <f>"WARDLAW                  TAYLOR                   "</f>
        <v xml:space="preserve">WARDLAW                  TAYLOR                   </v>
      </c>
      <c r="E18828" t="str">
        <f>"TUPELO                    "</f>
        <v xml:space="preserve">TUPELO                    </v>
      </c>
      <c r="F18828" t="str">
        <f t="shared" si="457"/>
        <v>MS</v>
      </c>
    </row>
    <row r="18829" spans="1:6" x14ac:dyDescent="0.25">
      <c r="A18829" t="str">
        <f>"200020438"</f>
        <v>200020438</v>
      </c>
      <c r="B18829" t="str">
        <f>"1699504233"</f>
        <v>1699504233</v>
      </c>
      <c r="C18829" t="str">
        <f>"363LF0000X"</f>
        <v>363LF0000X</v>
      </c>
      <c r="D18829" t="str">
        <f>"CARTER                   BRANDI                   "</f>
        <v xml:space="preserve">CARTER                   BRANDI                   </v>
      </c>
      <c r="E18829" t="str">
        <f>"ABERDEEN                  "</f>
        <v xml:space="preserve">ABERDEEN                  </v>
      </c>
      <c r="F18829" t="str">
        <f t="shared" si="457"/>
        <v>MS</v>
      </c>
    </row>
    <row r="18830" spans="1:6" x14ac:dyDescent="0.25">
      <c r="A18830" t="str">
        <f>"200020445"</f>
        <v>200020445</v>
      </c>
      <c r="B18830" t="str">
        <f>"1124382593"</f>
        <v>1124382593</v>
      </c>
      <c r="C18830" t="str">
        <f>"363LF0000X"</f>
        <v>363LF0000X</v>
      </c>
      <c r="D18830" t="str">
        <f>"MIDDLETON                ANGELA                   "</f>
        <v xml:space="preserve">MIDDLETON                ANGELA                   </v>
      </c>
      <c r="E18830" t="str">
        <f>"TUPELO                    "</f>
        <v xml:space="preserve">TUPELO                    </v>
      </c>
      <c r="F18830" t="str">
        <f t="shared" si="457"/>
        <v>MS</v>
      </c>
    </row>
    <row r="18831" spans="1:6" x14ac:dyDescent="0.25">
      <c r="A18831" t="str">
        <f>"200020446"</f>
        <v>200020446</v>
      </c>
      <c r="B18831" t="str">
        <f>"1588491237"</f>
        <v>1588491237</v>
      </c>
      <c r="C18831" t="str">
        <f>"363L00000X"</f>
        <v>363L00000X</v>
      </c>
      <c r="D18831" t="str">
        <f>"BURNS                    CHRISTY                  "</f>
        <v xml:space="preserve">BURNS                    CHRISTY                  </v>
      </c>
      <c r="E18831" t="str">
        <f>"SALTILLO                  "</f>
        <v xml:space="preserve">SALTILLO                  </v>
      </c>
      <c r="F18831" t="str">
        <f t="shared" si="457"/>
        <v>MS</v>
      </c>
    </row>
    <row r="18832" spans="1:6" x14ac:dyDescent="0.25">
      <c r="A18832" t="str">
        <f>"200020449"</f>
        <v>200020449</v>
      </c>
      <c r="B18832" t="str">
        <f>"1700343001"</f>
        <v>1700343001</v>
      </c>
      <c r="C18832" t="str">
        <f>"1223G0001X"</f>
        <v>1223G0001X</v>
      </c>
      <c r="D18832" t="str">
        <f>"MADDOX                   SHANIKA                  "</f>
        <v xml:space="preserve">MADDOX                   SHANIKA                  </v>
      </c>
      <c r="E18832" t="str">
        <f>"RIDGELAND                 "</f>
        <v xml:space="preserve">RIDGELAND                 </v>
      </c>
      <c r="F18832" t="str">
        <f t="shared" si="457"/>
        <v>MS</v>
      </c>
    </row>
    <row r="18833" spans="1:6" x14ac:dyDescent="0.25">
      <c r="A18833" t="str">
        <f>"200020452"</f>
        <v>200020452</v>
      </c>
      <c r="B18833" t="str">
        <f>"1720289424"</f>
        <v>1720289424</v>
      </c>
      <c r="C18833" t="str">
        <f>"207L00000X"</f>
        <v>207L00000X</v>
      </c>
      <c r="D18833" t="str">
        <f>"SEABROOK                 ROBERT                   "</f>
        <v xml:space="preserve">SEABROOK                 ROBERT                   </v>
      </c>
      <c r="E18833" t="str">
        <f>"JACKSON                   "</f>
        <v xml:space="preserve">JACKSON                   </v>
      </c>
      <c r="F18833" t="str">
        <f t="shared" si="457"/>
        <v>MS</v>
      </c>
    </row>
    <row r="18834" spans="1:6" x14ac:dyDescent="0.25">
      <c r="A18834" t="str">
        <f>"200020458"</f>
        <v>200020458</v>
      </c>
      <c r="B18834" t="str">
        <f>"1689489544"</f>
        <v>1689489544</v>
      </c>
      <c r="C18834" t="str">
        <f>"363L00000X"</f>
        <v>363L00000X</v>
      </c>
      <c r="D18834" t="str">
        <f>"BRACKETT                 BLAKLEY                  "</f>
        <v xml:space="preserve">BRACKETT                 BLAKLEY                  </v>
      </c>
      <c r="E18834" t="str">
        <f>"GULFPORT                  "</f>
        <v xml:space="preserve">GULFPORT                  </v>
      </c>
      <c r="F18834" t="str">
        <f t="shared" si="457"/>
        <v>MS</v>
      </c>
    </row>
    <row r="18835" spans="1:6" x14ac:dyDescent="0.25">
      <c r="A18835" t="str">
        <f>"200020461"</f>
        <v>200020461</v>
      </c>
      <c r="B18835" t="str">
        <f>"1457770109"</f>
        <v>1457770109</v>
      </c>
      <c r="C18835" t="str">
        <f>"207P00000X"</f>
        <v>207P00000X</v>
      </c>
      <c r="D18835" t="str">
        <f>"YATES                    ERIC                     "</f>
        <v xml:space="preserve">YATES                    ERIC                     </v>
      </c>
      <c r="E18835" t="str">
        <f>"OXFORD                    "</f>
        <v xml:space="preserve">OXFORD                    </v>
      </c>
      <c r="F18835" t="str">
        <f t="shared" si="457"/>
        <v>MS</v>
      </c>
    </row>
    <row r="18836" spans="1:6" x14ac:dyDescent="0.25">
      <c r="A18836" t="str">
        <f>"200020463"</f>
        <v>200020463</v>
      </c>
      <c r="B18836" t="str">
        <f>"1669368676"</f>
        <v>1669368676</v>
      </c>
      <c r="C18836" t="str">
        <f>"363L00000X"</f>
        <v>363L00000X</v>
      </c>
      <c r="D18836" t="str">
        <f>"GUEDON                   KATHLEEN                 "</f>
        <v xml:space="preserve">GUEDON                   KATHLEEN                 </v>
      </c>
      <c r="E18836" t="str">
        <f>"NATCHEZ                   "</f>
        <v xml:space="preserve">NATCHEZ                   </v>
      </c>
      <c r="F18836" t="str">
        <f t="shared" si="457"/>
        <v>MS</v>
      </c>
    </row>
    <row r="18837" spans="1:6" x14ac:dyDescent="0.25">
      <c r="A18837" t="str">
        <f>"200020464"</f>
        <v>200020464</v>
      </c>
      <c r="B18837" t="str">
        <f>"1770808156"</f>
        <v>1770808156</v>
      </c>
      <c r="C18837" t="str">
        <f>"208M00000X"</f>
        <v>208M00000X</v>
      </c>
      <c r="D18837" t="str">
        <f>"HUSAINY                  RAMY                     "</f>
        <v xml:space="preserve">HUSAINY                  RAMY                     </v>
      </c>
      <c r="E18837" t="str">
        <f>"JACKSON                   "</f>
        <v xml:space="preserve">JACKSON                   </v>
      </c>
      <c r="F18837" t="str">
        <f t="shared" si="457"/>
        <v>MS</v>
      </c>
    </row>
    <row r="18838" spans="1:6" x14ac:dyDescent="0.25">
      <c r="A18838" t="str">
        <f>"200020476"</f>
        <v>200020476</v>
      </c>
      <c r="B18838" t="str">
        <f>"1922397413"</f>
        <v>1922397413</v>
      </c>
      <c r="C18838" t="str">
        <f>"208000000X"</f>
        <v>208000000X</v>
      </c>
      <c r="D18838" t="str">
        <f>"DAIGLE                   JESSICA                  "</f>
        <v xml:space="preserve">DAIGLE                   JESSICA                  </v>
      </c>
      <c r="E18838" t="str">
        <f>"OXFORD                    "</f>
        <v xml:space="preserve">OXFORD                    </v>
      </c>
      <c r="F18838" t="str">
        <f t="shared" si="457"/>
        <v>MS</v>
      </c>
    </row>
    <row r="18839" spans="1:6" x14ac:dyDescent="0.25">
      <c r="A18839" t="str">
        <f>"200020477"</f>
        <v>200020477</v>
      </c>
      <c r="B18839" t="str">
        <f>"1487448270"</f>
        <v>1487448270</v>
      </c>
      <c r="C18839" t="str">
        <f>"207Q00000X"</f>
        <v>207Q00000X</v>
      </c>
      <c r="D18839" t="str">
        <f>"ABBAS                    SHABBER                  "</f>
        <v xml:space="preserve">ABBAS                    SHABBER                  </v>
      </c>
      <c r="E18839" t="str">
        <f>"MCCOMB                    "</f>
        <v xml:space="preserve">MCCOMB                    </v>
      </c>
      <c r="F18839" t="str">
        <f t="shared" si="457"/>
        <v>MS</v>
      </c>
    </row>
    <row r="18840" spans="1:6" x14ac:dyDescent="0.25">
      <c r="A18840" t="str">
        <f>"200020481"</f>
        <v>200020481</v>
      </c>
      <c r="B18840" t="str">
        <f>"1295842300"</f>
        <v>1295842300</v>
      </c>
      <c r="C18840" t="str">
        <f>"2085R0202X"</f>
        <v>2085R0202X</v>
      </c>
      <c r="D18840" t="str">
        <f>"FRANCIOSA                STEFAN                   "</f>
        <v xml:space="preserve">FRANCIOSA                STEFAN                   </v>
      </c>
      <c r="E18840" t="str">
        <f>"MERIDIAN                  "</f>
        <v xml:space="preserve">MERIDIAN                  </v>
      </c>
      <c r="F18840" t="str">
        <f t="shared" si="457"/>
        <v>MS</v>
      </c>
    </row>
    <row r="18841" spans="1:6" x14ac:dyDescent="0.25">
      <c r="A18841" t="str">
        <f>"200020483"</f>
        <v>200020483</v>
      </c>
      <c r="B18841" t="str">
        <f>"1457967226"</f>
        <v>1457967226</v>
      </c>
      <c r="C18841" t="str">
        <f>"363L00000X"</f>
        <v>363L00000X</v>
      </c>
      <c r="D18841" t="str">
        <f>"PRISOCK                  TIFFINE                  "</f>
        <v xml:space="preserve">PRISOCK                  TIFFINE                  </v>
      </c>
      <c r="E18841" t="str">
        <f>"STARKVILLE                "</f>
        <v xml:space="preserve">STARKVILLE                </v>
      </c>
      <c r="F18841" t="str">
        <f t="shared" si="457"/>
        <v>MS</v>
      </c>
    </row>
    <row r="18842" spans="1:6" x14ac:dyDescent="0.25">
      <c r="A18842" t="str">
        <f>"200020484"</f>
        <v>200020484</v>
      </c>
      <c r="B18842" t="str">
        <f>"1588693634"</f>
        <v>1588693634</v>
      </c>
      <c r="C18842" t="str">
        <f>"363LP0808X"</f>
        <v>363LP0808X</v>
      </c>
      <c r="D18842" t="str">
        <f>"RAINES                   KATHERINE                "</f>
        <v xml:space="preserve">RAINES                   KATHERINE                </v>
      </c>
      <c r="E18842" t="str">
        <f>"JACKSON                   "</f>
        <v xml:space="preserve">JACKSON                   </v>
      </c>
      <c r="F18842" t="str">
        <f t="shared" si="457"/>
        <v>MS</v>
      </c>
    </row>
    <row r="18843" spans="1:6" x14ac:dyDescent="0.25">
      <c r="A18843" t="str">
        <f>"200020485"</f>
        <v>200020485</v>
      </c>
      <c r="B18843" t="str">
        <f>"1942837950"</f>
        <v>1942837950</v>
      </c>
      <c r="C18843" t="str">
        <f>"207X00000X"</f>
        <v>207X00000X</v>
      </c>
      <c r="D18843" t="str">
        <f>"SAMPOGNARO               GABRIEL                  "</f>
        <v xml:space="preserve">SAMPOGNARO               GABRIEL                  </v>
      </c>
      <c r="E18843" t="str">
        <f>"JACKSON                   "</f>
        <v xml:space="preserve">JACKSON                   </v>
      </c>
      <c r="F18843" t="str">
        <f t="shared" si="457"/>
        <v>MS</v>
      </c>
    </row>
    <row r="18844" spans="1:6" x14ac:dyDescent="0.25">
      <c r="A18844" t="str">
        <f>"200020487"</f>
        <v>200020487</v>
      </c>
      <c r="B18844" t="str">
        <f>"1558881201"</f>
        <v>1558881201</v>
      </c>
      <c r="C18844" t="str">
        <f>"363LF0000X"</f>
        <v>363LF0000X</v>
      </c>
      <c r="D18844" t="str">
        <f>"CLAYTON                  ADAM                     "</f>
        <v xml:space="preserve">CLAYTON                  ADAM                     </v>
      </c>
      <c r="E18844" t="str">
        <f>"OCEAN SPRINGS             "</f>
        <v xml:space="preserve">OCEAN SPRINGS             </v>
      </c>
      <c r="F18844" t="str">
        <f t="shared" si="457"/>
        <v>MS</v>
      </c>
    </row>
    <row r="18845" spans="1:6" x14ac:dyDescent="0.25">
      <c r="A18845" t="str">
        <f>"200020489"</f>
        <v>200020489</v>
      </c>
      <c r="B18845" t="str">
        <f>"1326079047"</f>
        <v>1326079047</v>
      </c>
      <c r="C18845" t="str">
        <f>"363LF0000X"</f>
        <v>363LF0000X</v>
      </c>
      <c r="D18845" t="str">
        <f>"HUGHES                   KATHERINE    W           "</f>
        <v xml:space="preserve">HUGHES                   KATHERINE    W           </v>
      </c>
      <c r="E18845" t="str">
        <f>"WINONA                    "</f>
        <v xml:space="preserve">WINONA                    </v>
      </c>
      <c r="F18845" t="str">
        <f t="shared" si="457"/>
        <v>MS</v>
      </c>
    </row>
    <row r="18846" spans="1:6" x14ac:dyDescent="0.25">
      <c r="A18846" t="str">
        <f>"200020493"</f>
        <v>200020493</v>
      </c>
      <c r="B18846" t="str">
        <f>"1508678491"</f>
        <v>1508678491</v>
      </c>
      <c r="C18846" t="str">
        <f>"367500000X"</f>
        <v>367500000X</v>
      </c>
      <c r="D18846" t="str">
        <f>"GRAY                     KAITLYN                  "</f>
        <v xml:space="preserve">GRAY                     KAITLYN                  </v>
      </c>
      <c r="E18846" t="str">
        <f>"MERIDIAN                  "</f>
        <v xml:space="preserve">MERIDIAN                  </v>
      </c>
      <c r="F18846" t="str">
        <f t="shared" si="457"/>
        <v>MS</v>
      </c>
    </row>
    <row r="18847" spans="1:6" x14ac:dyDescent="0.25">
      <c r="A18847" t="str">
        <f>"200020494"</f>
        <v>200020494</v>
      </c>
      <c r="B18847" t="str">
        <f>"1760137343"</f>
        <v>1760137343</v>
      </c>
      <c r="C18847" t="str">
        <f>"363L00000X"</f>
        <v>363L00000X</v>
      </c>
      <c r="D18847" t="str">
        <f>"WILLIAMS                 HEATHER                  "</f>
        <v xml:space="preserve">WILLIAMS                 HEATHER                  </v>
      </c>
      <c r="E18847" t="str">
        <f>"JACKSON                   "</f>
        <v xml:space="preserve">JACKSON                   </v>
      </c>
      <c r="F18847" t="str">
        <f t="shared" si="457"/>
        <v>MS</v>
      </c>
    </row>
    <row r="18848" spans="1:6" x14ac:dyDescent="0.25">
      <c r="A18848" t="str">
        <f>"200020495"</f>
        <v>200020495</v>
      </c>
      <c r="B18848" t="str">
        <f>"1669367793"</f>
        <v>1669367793</v>
      </c>
      <c r="C18848" t="str">
        <f>"367500000X"</f>
        <v>367500000X</v>
      </c>
      <c r="D18848" t="str">
        <f>"ROBINSON                 JENNIFER                 "</f>
        <v xml:space="preserve">ROBINSON                 JENNIFER                 </v>
      </c>
      <c r="E18848" t="str">
        <f>"GULFPORT                  "</f>
        <v xml:space="preserve">GULFPORT                  </v>
      </c>
      <c r="F18848" t="str">
        <f t="shared" si="457"/>
        <v>MS</v>
      </c>
    </row>
    <row r="18849" spans="1:6" x14ac:dyDescent="0.25">
      <c r="A18849" t="str">
        <f>"200020502"</f>
        <v>200020502</v>
      </c>
      <c r="B18849" t="str">
        <f>"1952296618"</f>
        <v>1952296618</v>
      </c>
      <c r="C18849" t="str">
        <f>"363LF0000X"</f>
        <v>363LF0000X</v>
      </c>
      <c r="D18849" t="str">
        <f>"NEARY                    ABIGAIL                  "</f>
        <v xml:space="preserve">NEARY                    ABIGAIL                  </v>
      </c>
      <c r="E18849" t="str">
        <f>"JACKSON                   "</f>
        <v xml:space="preserve">JACKSON                   </v>
      </c>
      <c r="F18849" t="str">
        <f t="shared" si="457"/>
        <v>MS</v>
      </c>
    </row>
    <row r="18850" spans="1:6" x14ac:dyDescent="0.25">
      <c r="A18850" t="str">
        <f>"200020504"</f>
        <v>200020504</v>
      </c>
      <c r="B18850" t="str">
        <f>"1083402259"</f>
        <v>1083402259</v>
      </c>
      <c r="C18850" t="str">
        <f>"207Q00000X"</f>
        <v>207Q00000X</v>
      </c>
      <c r="D18850" t="str">
        <f>"SONI                     HANNAH                   "</f>
        <v xml:space="preserve">SONI                     HANNAH                   </v>
      </c>
      <c r="E18850" t="str">
        <f>"TUPELO                    "</f>
        <v xml:space="preserve">TUPELO                    </v>
      </c>
      <c r="F18850" t="str">
        <f t="shared" si="457"/>
        <v>MS</v>
      </c>
    </row>
    <row r="18851" spans="1:6" x14ac:dyDescent="0.25">
      <c r="A18851" t="str">
        <f>"200020507"</f>
        <v>200020507</v>
      </c>
      <c r="B18851" t="str">
        <f>"1043960396"</f>
        <v>1043960396</v>
      </c>
      <c r="C18851" t="str">
        <f>"207P00000X"</f>
        <v>207P00000X</v>
      </c>
      <c r="D18851" t="str">
        <f>"ILLU                     SETH                     "</f>
        <v xml:space="preserve">ILLU                     SETH                     </v>
      </c>
      <c r="E18851" t="str">
        <f>"OCEAN SPRINGS             "</f>
        <v xml:space="preserve">OCEAN SPRINGS             </v>
      </c>
      <c r="F18851" t="str">
        <f t="shared" si="457"/>
        <v>MS</v>
      </c>
    </row>
    <row r="18852" spans="1:6" x14ac:dyDescent="0.25">
      <c r="A18852" t="str">
        <f>"200020520"</f>
        <v>200020520</v>
      </c>
      <c r="B18852" t="str">
        <f>"1225563463"</f>
        <v>1225563463</v>
      </c>
      <c r="C18852" t="str">
        <f>"207RC0001X"</f>
        <v>207RC0001X</v>
      </c>
      <c r="D18852" t="str">
        <f>"CHILCUTT                 BENJAMIN                 "</f>
        <v xml:space="preserve">CHILCUTT                 BENJAMIN                 </v>
      </c>
      <c r="E18852" t="str">
        <f>"JACKSON                   "</f>
        <v xml:space="preserve">JACKSON                   </v>
      </c>
      <c r="F18852" t="str">
        <f t="shared" si="457"/>
        <v>MS</v>
      </c>
    </row>
    <row r="18853" spans="1:6" x14ac:dyDescent="0.25">
      <c r="A18853" t="str">
        <f>"200020531"</f>
        <v>200020531</v>
      </c>
      <c r="B18853" t="str">
        <f>"1558609545"</f>
        <v>1558609545</v>
      </c>
      <c r="C18853" t="str">
        <f>"367500000X"</f>
        <v>367500000X</v>
      </c>
      <c r="D18853" t="str">
        <f>"LEWIS                    JAMES                    "</f>
        <v xml:space="preserve">LEWIS                    JAMES                    </v>
      </c>
      <c r="E18853" t="str">
        <f>"NEW ALBANY                "</f>
        <v xml:space="preserve">NEW ALBANY                </v>
      </c>
      <c r="F18853" t="str">
        <f t="shared" si="457"/>
        <v>MS</v>
      </c>
    </row>
    <row r="18854" spans="1:6" x14ac:dyDescent="0.25">
      <c r="A18854" t="str">
        <f>"200020534"</f>
        <v>200020534</v>
      </c>
      <c r="B18854" t="str">
        <f>"1598811374"</f>
        <v>1598811374</v>
      </c>
      <c r="C18854" t="str">
        <f>"207ZP0102X"</f>
        <v>207ZP0102X</v>
      </c>
      <c r="D18854" t="str">
        <f>"WEBSTER                  JOHN                     "</f>
        <v xml:space="preserve">WEBSTER                  JOHN                     </v>
      </c>
      <c r="E18854" t="str">
        <f>"OCEAN SPRINGS             "</f>
        <v xml:space="preserve">OCEAN SPRINGS             </v>
      </c>
      <c r="F18854" t="str">
        <f t="shared" si="457"/>
        <v>MS</v>
      </c>
    </row>
    <row r="18855" spans="1:6" x14ac:dyDescent="0.25">
      <c r="A18855" t="str">
        <f>"200020538"</f>
        <v>200020538</v>
      </c>
      <c r="B18855" t="str">
        <f>"1730593989"</f>
        <v>1730593989</v>
      </c>
      <c r="C18855" t="str">
        <f>"363LP0200X"</f>
        <v>363LP0200X</v>
      </c>
      <c r="D18855" t="str">
        <f>"LAZENBY                  ERIN                     "</f>
        <v xml:space="preserve">LAZENBY                  ERIN                     </v>
      </c>
      <c r="E18855" t="str">
        <f>"PETAL                     "</f>
        <v xml:space="preserve">PETAL                     </v>
      </c>
      <c r="F18855" t="str">
        <f t="shared" si="457"/>
        <v>MS</v>
      </c>
    </row>
    <row r="18856" spans="1:6" x14ac:dyDescent="0.25">
      <c r="A18856" t="str">
        <f>"200020549"</f>
        <v>200020549</v>
      </c>
      <c r="B18856" t="str">
        <f>"1659718674"</f>
        <v>1659718674</v>
      </c>
      <c r="C18856" t="str">
        <f>"207P00000X"</f>
        <v>207P00000X</v>
      </c>
      <c r="D18856" t="str">
        <f>"HENRIQUES                TRECIA                   "</f>
        <v xml:space="preserve">HENRIQUES                TRECIA                   </v>
      </c>
      <c r="E18856" t="str">
        <f>"OCEAN SPRINGS             "</f>
        <v xml:space="preserve">OCEAN SPRINGS             </v>
      </c>
      <c r="F18856" t="str">
        <f t="shared" si="457"/>
        <v>MS</v>
      </c>
    </row>
    <row r="18857" spans="1:6" x14ac:dyDescent="0.25">
      <c r="A18857" t="str">
        <f>"200020551"</f>
        <v>200020551</v>
      </c>
      <c r="B18857" t="str">
        <f>"1639327059"</f>
        <v>1639327059</v>
      </c>
      <c r="C18857" t="str">
        <f>"208M00000X"</f>
        <v>208M00000X</v>
      </c>
      <c r="D18857" t="str">
        <f>"SARWATE                  DEVADATTA                "</f>
        <v xml:space="preserve">SARWATE                  DEVADATTA                </v>
      </c>
      <c r="E18857" t="str">
        <f>"LEXINGTON                 "</f>
        <v xml:space="preserve">LEXINGTON                 </v>
      </c>
      <c r="F18857" t="str">
        <f t="shared" si="457"/>
        <v>MS</v>
      </c>
    </row>
    <row r="18858" spans="1:6" x14ac:dyDescent="0.25">
      <c r="A18858" t="str">
        <f>"200020560"</f>
        <v>200020560</v>
      </c>
      <c r="B18858" t="str">
        <f>"1760276372"</f>
        <v>1760276372</v>
      </c>
      <c r="C18858" t="str">
        <f>"207P00000X"</f>
        <v>207P00000X</v>
      </c>
      <c r="D18858" t="str">
        <f>"CUTRIGHT                 ZACHARY                  "</f>
        <v xml:space="preserve">CUTRIGHT                 ZACHARY                  </v>
      </c>
      <c r="E18858" t="str">
        <f>"HATTIESBURG               "</f>
        <v xml:space="preserve">HATTIESBURG               </v>
      </c>
      <c r="F18858" t="str">
        <f t="shared" si="457"/>
        <v>MS</v>
      </c>
    </row>
    <row r="18859" spans="1:6" x14ac:dyDescent="0.25">
      <c r="A18859" t="str">
        <f>"200020562"</f>
        <v>200020562</v>
      </c>
      <c r="B18859" t="str">
        <f>"1629759485"</f>
        <v>1629759485</v>
      </c>
      <c r="C18859" t="str">
        <f>"363L00000X"</f>
        <v>363L00000X</v>
      </c>
      <c r="D18859" t="str">
        <f>"FELIX                    KIARA                    "</f>
        <v xml:space="preserve">FELIX                    KIARA                    </v>
      </c>
      <c r="E18859" t="str">
        <f>"FLOWOOD                   "</f>
        <v xml:space="preserve">FLOWOOD                   </v>
      </c>
      <c r="F18859" t="str">
        <f t="shared" si="457"/>
        <v>MS</v>
      </c>
    </row>
    <row r="18860" spans="1:6" x14ac:dyDescent="0.25">
      <c r="A18860" t="str">
        <f>"200020563"</f>
        <v>200020563</v>
      </c>
      <c r="B18860" t="str">
        <f>"1629596168"</f>
        <v>1629596168</v>
      </c>
      <c r="C18860" t="str">
        <f>"363LP0200X"</f>
        <v>363LP0200X</v>
      </c>
      <c r="D18860" t="str">
        <f>"VARGAS                   ALAINA                   "</f>
        <v xml:space="preserve">VARGAS                   ALAINA                   </v>
      </c>
      <c r="E18860" t="str">
        <f>"RIDGELAND                 "</f>
        <v xml:space="preserve">RIDGELAND                 </v>
      </c>
      <c r="F18860" t="str">
        <f t="shared" si="457"/>
        <v>MS</v>
      </c>
    </row>
    <row r="18861" spans="1:6" x14ac:dyDescent="0.25">
      <c r="A18861" t="str">
        <f>"200020569"</f>
        <v>200020569</v>
      </c>
      <c r="B18861" t="str">
        <f>"1134913221"</f>
        <v>1134913221</v>
      </c>
      <c r="C18861" t="str">
        <f>"363L00000X"</f>
        <v>363L00000X</v>
      </c>
      <c r="D18861" t="str">
        <f>"JONES                    CHRISTINA                "</f>
        <v xml:space="preserve">JONES                    CHRISTINA                </v>
      </c>
      <c r="E18861" t="str">
        <f>"GULFPORT                  "</f>
        <v xml:space="preserve">GULFPORT                  </v>
      </c>
      <c r="F18861" t="str">
        <f t="shared" si="457"/>
        <v>MS</v>
      </c>
    </row>
    <row r="18862" spans="1:6" x14ac:dyDescent="0.25">
      <c r="A18862" t="str">
        <f>"200020573"</f>
        <v>200020573</v>
      </c>
      <c r="B18862" t="str">
        <f>"1013652502"</f>
        <v>1013652502</v>
      </c>
      <c r="C18862" t="str">
        <f>"367A00000X"</f>
        <v>367A00000X</v>
      </c>
      <c r="D18862" t="str">
        <f>"MORRIS                   ERIN                     "</f>
        <v xml:space="preserve">MORRIS                   ERIN                     </v>
      </c>
      <c r="E18862" t="str">
        <f>"JACKSON                   "</f>
        <v xml:space="preserve">JACKSON                   </v>
      </c>
      <c r="F18862" t="str">
        <f t="shared" si="457"/>
        <v>MS</v>
      </c>
    </row>
    <row r="18863" spans="1:6" x14ac:dyDescent="0.25">
      <c r="A18863" t="str">
        <f>"200020575"</f>
        <v>200020575</v>
      </c>
      <c r="B18863" t="str">
        <f>"1033626528"</f>
        <v>1033626528</v>
      </c>
      <c r="C18863" t="str">
        <f>"367500000X"</f>
        <v>367500000X</v>
      </c>
      <c r="D18863" t="str">
        <f>"DIEHL                    LINDSEY                  "</f>
        <v xml:space="preserve">DIEHL                    LINDSEY                  </v>
      </c>
      <c r="E18863" t="str">
        <f>"VANCLEAVE                 "</f>
        <v xml:space="preserve">VANCLEAVE                 </v>
      </c>
      <c r="F18863" t="str">
        <f t="shared" si="457"/>
        <v>MS</v>
      </c>
    </row>
    <row r="18864" spans="1:6" x14ac:dyDescent="0.25">
      <c r="A18864" t="str">
        <f>"200020584"</f>
        <v>200020584</v>
      </c>
      <c r="B18864" t="str">
        <f>"1972560654"</f>
        <v>1972560654</v>
      </c>
      <c r="C18864" t="str">
        <f>"261QR0401X"</f>
        <v>261QR0401X</v>
      </c>
      <c r="D18864" t="str">
        <f>"BAPTIST MEMORIAL HOSPITAL DESOTO INC              "</f>
        <v xml:space="preserve">BAPTIST MEMORIAL HOSPITAL DESOTO INC              </v>
      </c>
      <c r="E18864" t="str">
        <f>"SOUTHAVEN                 "</f>
        <v xml:space="preserve">SOUTHAVEN                 </v>
      </c>
      <c r="F18864" t="str">
        <f t="shared" si="457"/>
        <v>MS</v>
      </c>
    </row>
    <row r="18865" spans="1:6" x14ac:dyDescent="0.25">
      <c r="A18865" t="str">
        <f>"200020585"</f>
        <v>200020585</v>
      </c>
      <c r="B18865" t="str">
        <f>"1346876323"</f>
        <v>1346876323</v>
      </c>
      <c r="C18865" t="str">
        <f>"367A00000X"</f>
        <v>367A00000X</v>
      </c>
      <c r="D18865" t="str">
        <f>"DAWSON                   BRITTANY                 "</f>
        <v xml:space="preserve">DAWSON                   BRITTANY                 </v>
      </c>
      <c r="E18865" t="str">
        <f>"RIDGELAND                 "</f>
        <v xml:space="preserve">RIDGELAND                 </v>
      </c>
      <c r="F18865" t="str">
        <f t="shared" si="457"/>
        <v>MS</v>
      </c>
    </row>
    <row r="18866" spans="1:6" x14ac:dyDescent="0.25">
      <c r="A18866" t="str">
        <f>"200020589"</f>
        <v>200020589</v>
      </c>
      <c r="B18866" t="str">
        <f>"1528868015"</f>
        <v>1528868015</v>
      </c>
      <c r="C18866" t="str">
        <f>"122300000X"</f>
        <v>122300000X</v>
      </c>
      <c r="D18866" t="str">
        <f>"COUCH                    CHAD                     "</f>
        <v xml:space="preserve">COUCH                    CHAD                     </v>
      </c>
      <c r="E18866" t="str">
        <f>"HORN LAKE                 "</f>
        <v xml:space="preserve">HORN LAKE                 </v>
      </c>
      <c r="F18866" t="str">
        <f t="shared" si="457"/>
        <v>MS</v>
      </c>
    </row>
    <row r="18867" spans="1:6" x14ac:dyDescent="0.25">
      <c r="A18867" t="str">
        <f>"200020591"</f>
        <v>200020591</v>
      </c>
      <c r="B18867" t="str">
        <f>"1013357615"</f>
        <v>1013357615</v>
      </c>
      <c r="C18867" t="str">
        <f>"363LF0000X"</f>
        <v>363LF0000X</v>
      </c>
      <c r="D18867" t="str">
        <f>"TAYLOR                   JENNIFER     L           "</f>
        <v xml:space="preserve">TAYLOR                   JENNIFER     L           </v>
      </c>
      <c r="E18867" t="str">
        <f>"HOUSTON                   "</f>
        <v xml:space="preserve">HOUSTON                   </v>
      </c>
      <c r="F18867" t="str">
        <f t="shared" si="457"/>
        <v>MS</v>
      </c>
    </row>
    <row r="18868" spans="1:6" x14ac:dyDescent="0.25">
      <c r="A18868" t="str">
        <f>"200020606"</f>
        <v>200020606</v>
      </c>
      <c r="B18868" t="str">
        <f>"1790180107"</f>
        <v>1790180107</v>
      </c>
      <c r="C18868" t="str">
        <f>"363L00000X"</f>
        <v>363L00000X</v>
      </c>
      <c r="D18868" t="str">
        <f>"MARCHIONNA               ANTONELLA                "</f>
        <v xml:space="preserve">MARCHIONNA               ANTONELLA                </v>
      </c>
      <c r="E18868" t="str">
        <f>"JACKSON                   "</f>
        <v xml:space="preserve">JACKSON                   </v>
      </c>
      <c r="F18868" t="str">
        <f t="shared" si="457"/>
        <v>MS</v>
      </c>
    </row>
    <row r="18869" spans="1:6" x14ac:dyDescent="0.25">
      <c r="A18869" t="str">
        <f>"200020608"</f>
        <v>200020608</v>
      </c>
      <c r="B18869" t="str">
        <f>"1467931642"</f>
        <v>1467931642</v>
      </c>
      <c r="C18869" t="str">
        <f>"363L00000X"</f>
        <v>363L00000X</v>
      </c>
      <c r="D18869" t="str">
        <f>"MCCORMICK                SHUNTAY                  "</f>
        <v xml:space="preserve">MCCORMICK                SHUNTAY                  </v>
      </c>
      <c r="E18869" t="str">
        <f>"FLOWOOD                   "</f>
        <v xml:space="preserve">FLOWOOD                   </v>
      </c>
      <c r="F18869" t="str">
        <f t="shared" si="457"/>
        <v>MS</v>
      </c>
    </row>
    <row r="18870" spans="1:6" x14ac:dyDescent="0.25">
      <c r="A18870" t="str">
        <f>"200020609"</f>
        <v>200020609</v>
      </c>
      <c r="B18870" t="str">
        <f>"1366839870"</f>
        <v>1366839870</v>
      </c>
      <c r="C18870" t="str">
        <f>"207R00000X"</f>
        <v>207R00000X</v>
      </c>
      <c r="D18870" t="str">
        <f>"MCKLEMURRY               JULIANNA                 "</f>
        <v xml:space="preserve">MCKLEMURRY               JULIANNA                 </v>
      </c>
      <c r="E18870" t="str">
        <f>"SOUTHAVEN                 "</f>
        <v xml:space="preserve">SOUTHAVEN                 </v>
      </c>
      <c r="F18870" t="str">
        <f t="shared" si="457"/>
        <v>MS</v>
      </c>
    </row>
    <row r="18871" spans="1:6" x14ac:dyDescent="0.25">
      <c r="A18871" t="str">
        <f>"200020615"</f>
        <v>200020615</v>
      </c>
      <c r="B18871" t="str">
        <f>"1710628508"</f>
        <v>1710628508</v>
      </c>
      <c r="C18871" t="str">
        <f>"207R00000X"</f>
        <v>207R00000X</v>
      </c>
      <c r="D18871" t="str">
        <f>"JONES                    KATIE                    "</f>
        <v xml:space="preserve">JONES                    KATIE                    </v>
      </c>
      <c r="E18871" t="str">
        <f>"JACKSON                   "</f>
        <v xml:space="preserve">JACKSON                   </v>
      </c>
      <c r="F18871" t="str">
        <f t="shared" si="457"/>
        <v>MS</v>
      </c>
    </row>
    <row r="18872" spans="1:6" x14ac:dyDescent="0.25">
      <c r="A18872" t="str">
        <f>"200020616"</f>
        <v>200020616</v>
      </c>
      <c r="B18872" t="str">
        <f>"1114097615"</f>
        <v>1114097615</v>
      </c>
      <c r="C18872" t="str">
        <f>"367500000X"</f>
        <v>367500000X</v>
      </c>
      <c r="D18872" t="str">
        <f>"RAY                      TIFFANY      S           "</f>
        <v xml:space="preserve">RAY                      TIFFANY      S           </v>
      </c>
      <c r="E18872" t="str">
        <f>"OXFORD                    "</f>
        <v xml:space="preserve">OXFORD                    </v>
      </c>
      <c r="F18872" t="str">
        <f t="shared" si="457"/>
        <v>MS</v>
      </c>
    </row>
    <row r="18873" spans="1:6" x14ac:dyDescent="0.25">
      <c r="A18873" t="str">
        <f>"200020621"</f>
        <v>200020621</v>
      </c>
      <c r="B18873" t="str">
        <f>"1336285873"</f>
        <v>1336285873</v>
      </c>
      <c r="C18873" t="str">
        <f>"207RC0000X"</f>
        <v>207RC0000X</v>
      </c>
      <c r="D18873" t="str">
        <f>"BELL                     SUSAN                    "</f>
        <v xml:space="preserve">BELL                     SUSAN                    </v>
      </c>
      <c r="E18873" t="str">
        <f>"RIDGELAND                 "</f>
        <v xml:space="preserve">RIDGELAND                 </v>
      </c>
      <c r="F18873" t="str">
        <f t="shared" si="457"/>
        <v>MS</v>
      </c>
    </row>
    <row r="18874" spans="1:6" x14ac:dyDescent="0.25">
      <c r="A18874" t="str">
        <f>"200020626"</f>
        <v>200020626</v>
      </c>
      <c r="B18874" t="str">
        <f>"1720874647"</f>
        <v>1720874647</v>
      </c>
      <c r="C18874" t="str">
        <f>"207R00000X"</f>
        <v>207R00000X</v>
      </c>
      <c r="D18874" t="str">
        <f>"SALLAN                   ONKAR                    "</f>
        <v xml:space="preserve">SALLAN                   ONKAR                    </v>
      </c>
      <c r="E18874" t="str">
        <f>"LAUREL                    "</f>
        <v xml:space="preserve">LAUREL                    </v>
      </c>
      <c r="F18874" t="str">
        <f t="shared" si="457"/>
        <v>MS</v>
      </c>
    </row>
    <row r="18875" spans="1:6" x14ac:dyDescent="0.25">
      <c r="A18875" t="str">
        <f>"200020634"</f>
        <v>200020634</v>
      </c>
      <c r="B18875" t="str">
        <f>"1174543193"</f>
        <v>1174543193</v>
      </c>
      <c r="C18875" t="str">
        <f>"207RN0300X"</f>
        <v>207RN0300X</v>
      </c>
      <c r="D18875" t="str">
        <f>"WILLIAMS                 KIMBERLY                 "</f>
        <v xml:space="preserve">WILLIAMS                 KIMBERLY                 </v>
      </c>
      <c r="E18875" t="str">
        <f>"RIDGELAND                 "</f>
        <v xml:space="preserve">RIDGELAND                 </v>
      </c>
      <c r="F18875" t="str">
        <f t="shared" si="457"/>
        <v>MS</v>
      </c>
    </row>
    <row r="18876" spans="1:6" x14ac:dyDescent="0.25">
      <c r="A18876" t="str">
        <f>"200020636"</f>
        <v>200020636</v>
      </c>
      <c r="B18876" t="str">
        <f>"1447049010"</f>
        <v>1447049010</v>
      </c>
      <c r="C18876" t="str">
        <f>"207R00000X"</f>
        <v>207R00000X</v>
      </c>
      <c r="D18876" t="str">
        <f>"TALAL                    UMER                     "</f>
        <v xml:space="preserve">TALAL                    UMER                     </v>
      </c>
      <c r="E18876" t="str">
        <f>"LAUREL                    "</f>
        <v xml:space="preserve">LAUREL                    </v>
      </c>
      <c r="F18876" t="str">
        <f t="shared" si="457"/>
        <v>MS</v>
      </c>
    </row>
    <row r="18877" spans="1:6" x14ac:dyDescent="0.25">
      <c r="A18877" t="str">
        <f>"200020638"</f>
        <v>200020638</v>
      </c>
      <c r="B18877" t="str">
        <f>"1962290825"</f>
        <v>1962290825</v>
      </c>
      <c r="C18877" t="str">
        <f>"207R00000X"</f>
        <v>207R00000X</v>
      </c>
      <c r="D18877" t="str">
        <f>"KAZMI                    FARWA                    "</f>
        <v xml:space="preserve">KAZMI                    FARWA                    </v>
      </c>
      <c r="E18877" t="str">
        <f>"LAUREL                    "</f>
        <v xml:space="preserve">LAUREL                    </v>
      </c>
      <c r="F18877" t="str">
        <f t="shared" si="457"/>
        <v>MS</v>
      </c>
    </row>
    <row r="18878" spans="1:6" x14ac:dyDescent="0.25">
      <c r="A18878" t="str">
        <f>"200020639"</f>
        <v>200020639</v>
      </c>
      <c r="B18878" t="str">
        <f>"1316697170"</f>
        <v>1316697170</v>
      </c>
      <c r="C18878" t="str">
        <f>"207Q00000X"</f>
        <v>207Q00000X</v>
      </c>
      <c r="D18878" t="str">
        <f>"PHUNG                    SHELBY                   "</f>
        <v xml:space="preserve">PHUNG                    SHELBY                   </v>
      </c>
      <c r="E18878" t="str">
        <f>"PHILADELPHIA              "</f>
        <v xml:space="preserve">PHILADELPHIA              </v>
      </c>
      <c r="F18878" t="str">
        <f t="shared" ref="F18878:F18941" si="458">"MS"</f>
        <v>MS</v>
      </c>
    </row>
    <row r="18879" spans="1:6" x14ac:dyDescent="0.25">
      <c r="A18879" t="str">
        <f>"200020641"</f>
        <v>200020641</v>
      </c>
      <c r="B18879" t="str">
        <f>"1477135986"</f>
        <v>1477135986</v>
      </c>
      <c r="C18879" t="str">
        <f>"363LA2100X"</f>
        <v>363LA2100X</v>
      </c>
      <c r="D18879" t="str">
        <f>"CAWLFIELD                ROBIN                    "</f>
        <v xml:space="preserve">CAWLFIELD                ROBIN                    </v>
      </c>
      <c r="E18879" t="str">
        <f>"GULFPORT                  "</f>
        <v xml:space="preserve">GULFPORT                  </v>
      </c>
      <c r="F18879" t="str">
        <f t="shared" si="458"/>
        <v>MS</v>
      </c>
    </row>
    <row r="18880" spans="1:6" x14ac:dyDescent="0.25">
      <c r="A18880" t="str">
        <f>"200020643"</f>
        <v>200020643</v>
      </c>
      <c r="B18880" t="str">
        <f>"1033833918"</f>
        <v>1033833918</v>
      </c>
      <c r="C18880" t="str">
        <f>"363LP0808X"</f>
        <v>363LP0808X</v>
      </c>
      <c r="D18880" t="str">
        <f>"JONES                    KOURTNEI                 "</f>
        <v xml:space="preserve">JONES                    KOURTNEI                 </v>
      </c>
      <c r="E18880" t="str">
        <f>"HATTIESBURG               "</f>
        <v xml:space="preserve">HATTIESBURG               </v>
      </c>
      <c r="F18880" t="str">
        <f t="shared" si="458"/>
        <v>MS</v>
      </c>
    </row>
    <row r="18881" spans="1:6" x14ac:dyDescent="0.25">
      <c r="A18881" t="str">
        <f>"200020645"</f>
        <v>200020645</v>
      </c>
      <c r="B18881" t="str">
        <f>"1366022246"</f>
        <v>1366022246</v>
      </c>
      <c r="C18881" t="str">
        <f>"363L00000X"</f>
        <v>363L00000X</v>
      </c>
      <c r="D18881" t="str">
        <f>"HOLLINGSWORTH            HEATHER                  "</f>
        <v xml:space="preserve">HOLLINGSWORTH            HEATHER                  </v>
      </c>
      <c r="E18881" t="str">
        <f>"MERIDIAN                  "</f>
        <v xml:space="preserve">MERIDIAN                  </v>
      </c>
      <c r="F18881" t="str">
        <f t="shared" si="458"/>
        <v>MS</v>
      </c>
    </row>
    <row r="18882" spans="1:6" x14ac:dyDescent="0.25">
      <c r="A18882" t="str">
        <f>"200020648"</f>
        <v>200020648</v>
      </c>
      <c r="B18882" t="str">
        <f>"1285486928"</f>
        <v>1285486928</v>
      </c>
      <c r="C18882" t="str">
        <f>"207V00000X"</f>
        <v>207V00000X</v>
      </c>
      <c r="D18882" t="str">
        <f>"BARKHOUSE                JESSICA                  "</f>
        <v xml:space="preserve">BARKHOUSE                JESSICA                  </v>
      </c>
      <c r="E18882" t="str">
        <f>"JACKSON                   "</f>
        <v xml:space="preserve">JACKSON                   </v>
      </c>
      <c r="F18882" t="str">
        <f t="shared" si="458"/>
        <v>MS</v>
      </c>
    </row>
    <row r="18883" spans="1:6" x14ac:dyDescent="0.25">
      <c r="A18883" t="str">
        <f>"200020649"</f>
        <v>200020649</v>
      </c>
      <c r="B18883" t="str">
        <f>"1366866154"</f>
        <v>1366866154</v>
      </c>
      <c r="C18883" t="str">
        <f>"363AS0400X"</f>
        <v>363AS0400X</v>
      </c>
      <c r="D18883" t="str">
        <f>"WRIGHT                   COURTNEY     C           "</f>
        <v xml:space="preserve">WRIGHT                   COURTNEY     C           </v>
      </c>
      <c r="E18883" t="str">
        <f>"JACKSON                   "</f>
        <v xml:space="preserve">JACKSON                   </v>
      </c>
      <c r="F18883" t="str">
        <f t="shared" si="458"/>
        <v>MS</v>
      </c>
    </row>
    <row r="18884" spans="1:6" x14ac:dyDescent="0.25">
      <c r="A18884" t="str">
        <f>"200020650"</f>
        <v>200020650</v>
      </c>
      <c r="B18884" t="str">
        <f>"1417708801"</f>
        <v>1417708801</v>
      </c>
      <c r="C18884" t="str">
        <f>"207R00000X"</f>
        <v>207R00000X</v>
      </c>
      <c r="D18884" t="str">
        <f>"QADREE                   ABDUL                    "</f>
        <v xml:space="preserve">QADREE                   ABDUL                    </v>
      </c>
      <c r="E18884" t="str">
        <f>"LAUREL                    "</f>
        <v xml:space="preserve">LAUREL                    </v>
      </c>
      <c r="F18884" t="str">
        <f t="shared" si="458"/>
        <v>MS</v>
      </c>
    </row>
    <row r="18885" spans="1:6" x14ac:dyDescent="0.25">
      <c r="A18885" t="str">
        <f>"200020651"</f>
        <v>200020651</v>
      </c>
      <c r="B18885" t="str">
        <f>"1184428070"</f>
        <v>1184428070</v>
      </c>
      <c r="C18885" t="str">
        <f>"207R00000X"</f>
        <v>207R00000X</v>
      </c>
      <c r="D18885" t="str">
        <f>"AGOSTINO                 TOMMASO                  "</f>
        <v xml:space="preserve">AGOSTINO                 TOMMASO                  </v>
      </c>
      <c r="E18885" t="str">
        <f>"LAUREL                    "</f>
        <v xml:space="preserve">LAUREL                    </v>
      </c>
      <c r="F18885" t="str">
        <f t="shared" si="458"/>
        <v>MS</v>
      </c>
    </row>
    <row r="18886" spans="1:6" x14ac:dyDescent="0.25">
      <c r="A18886" t="str">
        <f>"200020653"</f>
        <v>200020653</v>
      </c>
      <c r="B18886" t="str">
        <f>"1124912597"</f>
        <v>1124912597</v>
      </c>
      <c r="C18886" t="str">
        <f>"207R00000X"</f>
        <v>207R00000X</v>
      </c>
      <c r="D18886" t="str">
        <f>"PATHIGODA                THILINI                  "</f>
        <v xml:space="preserve">PATHIGODA                THILINI                  </v>
      </c>
      <c r="E18886" t="str">
        <f>"LAUREL                    "</f>
        <v xml:space="preserve">LAUREL                    </v>
      </c>
      <c r="F18886" t="str">
        <f t="shared" si="458"/>
        <v>MS</v>
      </c>
    </row>
    <row r="18887" spans="1:6" x14ac:dyDescent="0.25">
      <c r="A18887" t="str">
        <f>"200020657"</f>
        <v>200020657</v>
      </c>
      <c r="B18887" t="str">
        <f>"1841989498"</f>
        <v>1841989498</v>
      </c>
      <c r="C18887" t="str">
        <f>"207R00000X"</f>
        <v>207R00000X</v>
      </c>
      <c r="D18887" t="str">
        <f>"IMARHIAGBE               LAURA                    "</f>
        <v xml:space="preserve">IMARHIAGBE               LAURA                    </v>
      </c>
      <c r="E18887" t="str">
        <f>"TUPELO                    "</f>
        <v xml:space="preserve">TUPELO                    </v>
      </c>
      <c r="F18887" t="str">
        <f t="shared" si="458"/>
        <v>MS</v>
      </c>
    </row>
    <row r="18888" spans="1:6" x14ac:dyDescent="0.25">
      <c r="A18888" t="str">
        <f>"200020659"</f>
        <v>200020659</v>
      </c>
      <c r="B18888" t="str">
        <f>"1437953379"</f>
        <v>1437953379</v>
      </c>
      <c r="C18888" t="str">
        <f>"207R00000X"</f>
        <v>207R00000X</v>
      </c>
      <c r="D18888" t="str">
        <f>"THOMAS                   ASHLYN                   "</f>
        <v xml:space="preserve">THOMAS                   ASHLYN                   </v>
      </c>
      <c r="E18888" t="str">
        <f>"LAUREL                    "</f>
        <v xml:space="preserve">LAUREL                    </v>
      </c>
      <c r="F18888" t="str">
        <f t="shared" si="458"/>
        <v>MS</v>
      </c>
    </row>
    <row r="18889" spans="1:6" x14ac:dyDescent="0.25">
      <c r="A18889" t="str">
        <f>"200020660"</f>
        <v>200020660</v>
      </c>
      <c r="B18889" t="str">
        <f>"1881268209"</f>
        <v>1881268209</v>
      </c>
      <c r="C18889" t="str">
        <f>"207VM0101X"</f>
        <v>207VM0101X</v>
      </c>
      <c r="D18889" t="str">
        <f>"BUTLER                   BRITTANY                 "</f>
        <v xml:space="preserve">BUTLER                   BRITTANY                 </v>
      </c>
      <c r="E18889" t="str">
        <f>"JACKSON                   "</f>
        <v xml:space="preserve">JACKSON                   </v>
      </c>
      <c r="F18889" t="str">
        <f t="shared" si="458"/>
        <v>MS</v>
      </c>
    </row>
    <row r="18890" spans="1:6" x14ac:dyDescent="0.25">
      <c r="A18890" t="str">
        <f>"200020668"</f>
        <v>200020668</v>
      </c>
      <c r="B18890" t="str">
        <f>"1861287187"</f>
        <v>1861287187</v>
      </c>
      <c r="C18890" t="str">
        <f>"207R00000X"</f>
        <v>207R00000X</v>
      </c>
      <c r="D18890" t="str">
        <f>"KAHLON                   AMRIT                    "</f>
        <v xml:space="preserve">KAHLON                   AMRIT                    </v>
      </c>
      <c r="E18890" t="str">
        <f>"OXFORD                    "</f>
        <v xml:space="preserve">OXFORD                    </v>
      </c>
      <c r="F18890" t="str">
        <f t="shared" si="458"/>
        <v>MS</v>
      </c>
    </row>
    <row r="18891" spans="1:6" x14ac:dyDescent="0.25">
      <c r="A18891" t="str">
        <f>"200020670"</f>
        <v>200020670</v>
      </c>
      <c r="B18891" t="str">
        <f>"1710740378"</f>
        <v>1710740378</v>
      </c>
      <c r="C18891" t="str">
        <f>"207Q00000X"</f>
        <v>207Q00000X</v>
      </c>
      <c r="D18891" t="str">
        <f>"DAVIS                    EMILY        M           "</f>
        <v xml:space="preserve">DAVIS                    EMILY        M           </v>
      </c>
      <c r="E18891" t="str">
        <f>"TUPELO                    "</f>
        <v xml:space="preserve">TUPELO                    </v>
      </c>
      <c r="F18891" t="str">
        <f t="shared" si="458"/>
        <v>MS</v>
      </c>
    </row>
    <row r="18892" spans="1:6" x14ac:dyDescent="0.25">
      <c r="A18892" t="str">
        <f>"200020672"</f>
        <v>200020672</v>
      </c>
      <c r="B18892" t="str">
        <f>"1306630132"</f>
        <v>1306630132</v>
      </c>
      <c r="C18892" t="str">
        <f>"207R00000X"</f>
        <v>207R00000X</v>
      </c>
      <c r="D18892" t="str">
        <f>"ROBERTS                  ASHLEY                   "</f>
        <v xml:space="preserve">ROBERTS                  ASHLEY                   </v>
      </c>
      <c r="E18892" t="str">
        <f>"TUPELO                    "</f>
        <v xml:space="preserve">TUPELO                    </v>
      </c>
      <c r="F18892" t="str">
        <f t="shared" si="458"/>
        <v>MS</v>
      </c>
    </row>
    <row r="18893" spans="1:6" x14ac:dyDescent="0.25">
      <c r="A18893" t="str">
        <f>"200020674"</f>
        <v>200020674</v>
      </c>
      <c r="B18893" t="str">
        <f>"1871960930"</f>
        <v>1871960930</v>
      </c>
      <c r="C18893" t="str">
        <f>"2084P0800X"</f>
        <v>2084P0800X</v>
      </c>
      <c r="D18893" t="str">
        <f>"ABDELAZIZ                ABDELRAHMAN              "</f>
        <v xml:space="preserve">ABDELAZIZ                ABDELRAHMAN              </v>
      </c>
      <c r="E18893" t="str">
        <f>"GULFPORT                  "</f>
        <v xml:space="preserve">GULFPORT                  </v>
      </c>
      <c r="F18893" t="str">
        <f t="shared" si="458"/>
        <v>MS</v>
      </c>
    </row>
    <row r="18894" spans="1:6" x14ac:dyDescent="0.25">
      <c r="A18894" t="str">
        <f>"200020678"</f>
        <v>200020678</v>
      </c>
      <c r="B18894" t="str">
        <f>"1699313650"</f>
        <v>1699313650</v>
      </c>
      <c r="C18894" t="str">
        <f>"363LF0000X"</f>
        <v>363LF0000X</v>
      </c>
      <c r="D18894" t="str">
        <f>"PERKINS                  SHAYNA                   "</f>
        <v xml:space="preserve">PERKINS                  SHAYNA                   </v>
      </c>
      <c r="E18894" t="str">
        <f>"FLOWOOD                   "</f>
        <v xml:space="preserve">FLOWOOD                   </v>
      </c>
      <c r="F18894" t="str">
        <f t="shared" si="458"/>
        <v>MS</v>
      </c>
    </row>
    <row r="18895" spans="1:6" x14ac:dyDescent="0.25">
      <c r="A18895" t="str">
        <f>"200020681"</f>
        <v>200020681</v>
      </c>
      <c r="B18895" t="str">
        <f>"1689692972"</f>
        <v>1689692972</v>
      </c>
      <c r="C18895" t="str">
        <f>"207Q00000X"</f>
        <v>207Q00000X</v>
      </c>
      <c r="D18895" t="str">
        <f>"MAHAFFEY                 EARL                     "</f>
        <v xml:space="preserve">MAHAFFEY                 EARL                     </v>
      </c>
      <c r="E18895" t="str">
        <f>"BILOXI                    "</f>
        <v xml:space="preserve">BILOXI                    </v>
      </c>
      <c r="F18895" t="str">
        <f t="shared" si="458"/>
        <v>MS</v>
      </c>
    </row>
    <row r="18896" spans="1:6" x14ac:dyDescent="0.25">
      <c r="A18896" t="str">
        <f>"200020691"</f>
        <v>200020691</v>
      </c>
      <c r="B18896" t="str">
        <f>"1265725758"</f>
        <v>1265725758</v>
      </c>
      <c r="C18896" t="str">
        <f>"207RG0100X"</f>
        <v>207RG0100X</v>
      </c>
      <c r="D18896" t="str">
        <f>"JONES JR.                OLLIE                    "</f>
        <v xml:space="preserve">JONES JR.                OLLIE                    </v>
      </c>
      <c r="E18896" t="str">
        <f>"JACKSON                   "</f>
        <v xml:space="preserve">JACKSON                   </v>
      </c>
      <c r="F18896" t="str">
        <f t="shared" si="458"/>
        <v>MS</v>
      </c>
    </row>
    <row r="18897" spans="1:6" x14ac:dyDescent="0.25">
      <c r="A18897" t="str">
        <f>"200020697"</f>
        <v>200020697</v>
      </c>
      <c r="B18897" t="str">
        <f>"1932552643"</f>
        <v>1932552643</v>
      </c>
      <c r="C18897" t="str">
        <f>"363LF0000X"</f>
        <v>363LF0000X</v>
      </c>
      <c r="D18897" t="str">
        <f>"HOLCOMB                  HOPE                     "</f>
        <v xml:space="preserve">HOLCOMB                  HOPE                     </v>
      </c>
      <c r="E18897" t="str">
        <f>"JACKSON                   "</f>
        <v xml:space="preserve">JACKSON                   </v>
      </c>
      <c r="F18897" t="str">
        <f t="shared" si="458"/>
        <v>MS</v>
      </c>
    </row>
    <row r="18898" spans="1:6" x14ac:dyDescent="0.25">
      <c r="A18898" t="str">
        <f>"200020699"</f>
        <v>200020699</v>
      </c>
      <c r="B18898" t="str">
        <f>"1679267264"</f>
        <v>1679267264</v>
      </c>
      <c r="C18898" t="str">
        <f>"363LW0102X"</f>
        <v>363LW0102X</v>
      </c>
      <c r="D18898" t="str">
        <f>"ODELL                    CAROLYN                  "</f>
        <v xml:space="preserve">ODELL                    CAROLYN                  </v>
      </c>
      <c r="E18898" t="str">
        <f>"OCEAN SPRINGS             "</f>
        <v xml:space="preserve">OCEAN SPRINGS             </v>
      </c>
      <c r="F18898" t="str">
        <f t="shared" si="458"/>
        <v>MS</v>
      </c>
    </row>
    <row r="18899" spans="1:6" x14ac:dyDescent="0.25">
      <c r="A18899" t="str">
        <f>"200020701"</f>
        <v>200020701</v>
      </c>
      <c r="B18899" t="str">
        <f>"1265924807"</f>
        <v>1265924807</v>
      </c>
      <c r="C18899" t="str">
        <f>"363L00000X"</f>
        <v>363L00000X</v>
      </c>
      <c r="D18899" t="str">
        <f>"PERKINS                  CHRISTINA                "</f>
        <v xml:space="preserve">PERKINS                  CHRISTINA                </v>
      </c>
      <c r="E18899" t="str">
        <f>"FLOWOOD                   "</f>
        <v xml:space="preserve">FLOWOOD                   </v>
      </c>
      <c r="F18899" t="str">
        <f t="shared" si="458"/>
        <v>MS</v>
      </c>
    </row>
    <row r="18900" spans="1:6" x14ac:dyDescent="0.25">
      <c r="A18900" t="str">
        <f>"200020703"</f>
        <v>200020703</v>
      </c>
      <c r="B18900" t="str">
        <f>"1417402736"</f>
        <v>1417402736</v>
      </c>
      <c r="C18900" t="str">
        <f>"207P00000X"</f>
        <v>207P00000X</v>
      </c>
      <c r="D18900" t="str">
        <f>"BARNETT                  PHILLIP                  "</f>
        <v xml:space="preserve">BARNETT                  PHILLIP                  </v>
      </c>
      <c r="E18900" t="str">
        <f>"JACKSON                   "</f>
        <v xml:space="preserve">JACKSON                   </v>
      </c>
      <c r="F18900" t="str">
        <f t="shared" si="458"/>
        <v>MS</v>
      </c>
    </row>
    <row r="18901" spans="1:6" x14ac:dyDescent="0.25">
      <c r="A18901" t="str">
        <f>"200020705"</f>
        <v>200020705</v>
      </c>
      <c r="B18901" t="str">
        <f>"1720856552"</f>
        <v>1720856552</v>
      </c>
      <c r="C18901" t="str">
        <f>"363LF0000X"</f>
        <v>363LF0000X</v>
      </c>
      <c r="D18901" t="str">
        <f>"DEMENT                   KELSEY       M           "</f>
        <v xml:space="preserve">DEMENT                   KELSEY       M           </v>
      </c>
      <c r="E18901" t="str">
        <f>"CALEDONIA                 "</f>
        <v xml:space="preserve">CALEDONIA                 </v>
      </c>
      <c r="F18901" t="str">
        <f t="shared" si="458"/>
        <v>MS</v>
      </c>
    </row>
    <row r="18902" spans="1:6" x14ac:dyDescent="0.25">
      <c r="A18902" t="str">
        <f>"200020706"</f>
        <v>200020706</v>
      </c>
      <c r="B18902" t="str">
        <f>"1568358489"</f>
        <v>1568358489</v>
      </c>
      <c r="C18902" t="str">
        <f>"207R00000X"</f>
        <v>207R00000X</v>
      </c>
      <c r="D18902" t="str">
        <f>"ARIF                     FAQEEHA                  "</f>
        <v xml:space="preserve">ARIF                     FAQEEHA                  </v>
      </c>
      <c r="E18902" t="str">
        <f>"OXFORD                    "</f>
        <v xml:space="preserve">OXFORD                    </v>
      </c>
      <c r="F18902" t="str">
        <f t="shared" si="458"/>
        <v>MS</v>
      </c>
    </row>
    <row r="18903" spans="1:6" x14ac:dyDescent="0.25">
      <c r="A18903" t="str">
        <f>"200020715"</f>
        <v>200020715</v>
      </c>
      <c r="B18903" t="str">
        <f>"1063308997"</f>
        <v>1063308997</v>
      </c>
      <c r="C18903" t="str">
        <f>"207R00000X"</f>
        <v>207R00000X</v>
      </c>
      <c r="D18903" t="str">
        <f>"ELURI                    LAKSHMI                  "</f>
        <v xml:space="preserve">ELURI                    LAKSHMI                  </v>
      </c>
      <c r="E18903" t="str">
        <f>"OXFORD                    "</f>
        <v xml:space="preserve">OXFORD                    </v>
      </c>
      <c r="F18903" t="str">
        <f t="shared" si="458"/>
        <v>MS</v>
      </c>
    </row>
    <row r="18904" spans="1:6" x14ac:dyDescent="0.25">
      <c r="A18904" t="str">
        <f>"200020716"</f>
        <v>200020716</v>
      </c>
      <c r="B18904" t="str">
        <f>"1932097524"</f>
        <v>1932097524</v>
      </c>
      <c r="C18904" t="str">
        <f>"363LF0000X"</f>
        <v>363LF0000X</v>
      </c>
      <c r="D18904" t="str">
        <f>"BAILEY                   ASHLEY                   "</f>
        <v xml:space="preserve">BAILEY                   ASHLEY                   </v>
      </c>
      <c r="E18904" t="str">
        <f>"JACKSON                   "</f>
        <v xml:space="preserve">JACKSON                   </v>
      </c>
      <c r="F18904" t="str">
        <f t="shared" si="458"/>
        <v>MS</v>
      </c>
    </row>
    <row r="18905" spans="1:6" x14ac:dyDescent="0.25">
      <c r="A18905" t="str">
        <f>"200020722"</f>
        <v>200020722</v>
      </c>
      <c r="B18905" t="str">
        <f>"1346990827"</f>
        <v>1346990827</v>
      </c>
      <c r="C18905" t="str">
        <f>"208000000X"</f>
        <v>208000000X</v>
      </c>
      <c r="D18905" t="str">
        <f>"LAWRENCE                 DANIEL                   "</f>
        <v xml:space="preserve">LAWRENCE                 DANIEL                   </v>
      </c>
      <c r="E18905" t="str">
        <f>"GULFPORT                  "</f>
        <v xml:space="preserve">GULFPORT                  </v>
      </c>
      <c r="F18905" t="str">
        <f t="shared" si="458"/>
        <v>MS</v>
      </c>
    </row>
    <row r="18906" spans="1:6" x14ac:dyDescent="0.25">
      <c r="A18906" t="str">
        <f>"200020727"</f>
        <v>200020727</v>
      </c>
      <c r="B18906" t="str">
        <f>"1467270785"</f>
        <v>1467270785</v>
      </c>
      <c r="C18906" t="str">
        <f>"363L00000X"</f>
        <v>363L00000X</v>
      </c>
      <c r="D18906" t="str">
        <f>"MINOR                    MYESHA                   "</f>
        <v xml:space="preserve">MINOR                    MYESHA                   </v>
      </c>
      <c r="E18906" t="str">
        <f>"FLOWOOD                   "</f>
        <v xml:space="preserve">FLOWOOD                   </v>
      </c>
      <c r="F18906" t="str">
        <f t="shared" si="458"/>
        <v>MS</v>
      </c>
    </row>
    <row r="18907" spans="1:6" x14ac:dyDescent="0.25">
      <c r="A18907" t="str">
        <f>"200020729"</f>
        <v>200020729</v>
      </c>
      <c r="B18907" t="str">
        <f>"1740080910"</f>
        <v>1740080910</v>
      </c>
      <c r="C18907" t="str">
        <f>"261QM1300X"</f>
        <v>261QM1300X</v>
      </c>
      <c r="D18907" t="str">
        <f>"ASHLEY L KAREL PLLC DBA LUMINA MENTAL WELLNESS    "</f>
        <v xml:space="preserve">ASHLEY L KAREL PLLC DBA LUMINA MENTAL WELLNESS    </v>
      </c>
      <c r="E18907" t="str">
        <f>"VICKSBURG                 "</f>
        <v xml:space="preserve">VICKSBURG                 </v>
      </c>
      <c r="F18907" t="str">
        <f t="shared" si="458"/>
        <v>MS</v>
      </c>
    </row>
    <row r="18908" spans="1:6" x14ac:dyDescent="0.25">
      <c r="A18908" t="str">
        <f>"200020730"</f>
        <v>200020730</v>
      </c>
      <c r="B18908" t="str">
        <f>"1588552855"</f>
        <v>1588552855</v>
      </c>
      <c r="C18908" t="str">
        <f>"207R00000X"</f>
        <v>207R00000X</v>
      </c>
      <c r="D18908" t="str">
        <f>"SHAH                     PARTH                    "</f>
        <v xml:space="preserve">SHAH                     PARTH                    </v>
      </c>
      <c r="E18908" t="str">
        <f>"OXFORD                    "</f>
        <v xml:space="preserve">OXFORD                    </v>
      </c>
      <c r="F18908" t="str">
        <f t="shared" si="458"/>
        <v>MS</v>
      </c>
    </row>
    <row r="18909" spans="1:6" x14ac:dyDescent="0.25">
      <c r="A18909" t="str">
        <f>"200020731"</f>
        <v>200020731</v>
      </c>
      <c r="B18909" t="str">
        <f>"1104669183"</f>
        <v>1104669183</v>
      </c>
      <c r="C18909" t="str">
        <f>"1223G0001X"</f>
        <v>1223G0001X</v>
      </c>
      <c r="D18909" t="str">
        <f>"BROSKY                   CAITLIN                  "</f>
        <v xml:space="preserve">BROSKY                   CAITLIN                  </v>
      </c>
      <c r="E18909" t="str">
        <f>"MANTACHIE                 "</f>
        <v xml:space="preserve">MANTACHIE                 </v>
      </c>
      <c r="F18909" t="str">
        <f t="shared" si="458"/>
        <v>MS</v>
      </c>
    </row>
    <row r="18910" spans="1:6" x14ac:dyDescent="0.25">
      <c r="A18910" t="str">
        <f>"200020732"</f>
        <v>200020732</v>
      </c>
      <c r="B18910" t="str">
        <f>"1619970506"</f>
        <v>1619970506</v>
      </c>
      <c r="C18910" t="str">
        <f>"2085R0202X"</f>
        <v>2085R0202X</v>
      </c>
      <c r="D18910" t="str">
        <f>"HODGKISS                 LINDA                    "</f>
        <v xml:space="preserve">HODGKISS                 LINDA                    </v>
      </c>
      <c r="E18910" t="str">
        <f>"OLIVE BRANCH              "</f>
        <v xml:space="preserve">OLIVE BRANCH              </v>
      </c>
      <c r="F18910" t="str">
        <f t="shared" si="458"/>
        <v>MS</v>
      </c>
    </row>
    <row r="18911" spans="1:6" x14ac:dyDescent="0.25">
      <c r="A18911" t="str">
        <f>"200020744"</f>
        <v>200020744</v>
      </c>
      <c r="B18911" t="str">
        <f>"1629872049"</f>
        <v>1629872049</v>
      </c>
      <c r="C18911" t="str">
        <f>"207Q00000X"</f>
        <v>207Q00000X</v>
      </c>
      <c r="D18911" t="str">
        <f>"MOORE                    MAKENNA      E           "</f>
        <v xml:space="preserve">MOORE                    MAKENNA      E           </v>
      </c>
      <c r="E18911" t="str">
        <f>"HATTIESBURG               "</f>
        <v xml:space="preserve">HATTIESBURG               </v>
      </c>
      <c r="F18911" t="str">
        <f t="shared" si="458"/>
        <v>MS</v>
      </c>
    </row>
    <row r="18912" spans="1:6" x14ac:dyDescent="0.25">
      <c r="A18912" t="str">
        <f>"200020747"</f>
        <v>200020747</v>
      </c>
      <c r="B18912" t="str">
        <f>"1023802808"</f>
        <v>1023802808</v>
      </c>
      <c r="C18912" t="str">
        <f>"363LG0600X"</f>
        <v>363LG0600X</v>
      </c>
      <c r="D18912" t="str">
        <f>"MONTGOMERY               JESSICA                  "</f>
        <v xml:space="preserve">MONTGOMERY               JESSICA                  </v>
      </c>
      <c r="E18912" t="str">
        <f>"JACKSON                   "</f>
        <v xml:space="preserve">JACKSON                   </v>
      </c>
      <c r="F18912" t="str">
        <f t="shared" si="458"/>
        <v>MS</v>
      </c>
    </row>
    <row r="18913" spans="1:6" x14ac:dyDescent="0.25">
      <c r="A18913" t="str">
        <f>"200020748"</f>
        <v>200020748</v>
      </c>
      <c r="B18913" t="str">
        <f>"1114427515"</f>
        <v>1114427515</v>
      </c>
      <c r="C18913" t="str">
        <f>"363LF0000X"</f>
        <v>363LF0000X</v>
      </c>
      <c r="D18913" t="str">
        <f>"NATWASSIE                TRULY                    "</f>
        <v xml:space="preserve">NATWASSIE                TRULY                    </v>
      </c>
      <c r="E18913" t="str">
        <f>"GAUTIER                   "</f>
        <v xml:space="preserve">GAUTIER                   </v>
      </c>
      <c r="F18913" t="str">
        <f t="shared" si="458"/>
        <v>MS</v>
      </c>
    </row>
    <row r="18914" spans="1:6" x14ac:dyDescent="0.25">
      <c r="A18914" t="str">
        <f>"200020750"</f>
        <v>200020750</v>
      </c>
      <c r="B18914" t="str">
        <f>"1831849124"</f>
        <v>1831849124</v>
      </c>
      <c r="C18914" t="str">
        <f>"208000000X"</f>
        <v>208000000X</v>
      </c>
      <c r="D18914" t="str">
        <f>"BLAND                    ALISHA                   "</f>
        <v xml:space="preserve">BLAND                    ALISHA                   </v>
      </c>
      <c r="E18914" t="str">
        <f>"JACKSON                   "</f>
        <v xml:space="preserve">JACKSON                   </v>
      </c>
      <c r="F18914" t="str">
        <f t="shared" si="458"/>
        <v>MS</v>
      </c>
    </row>
    <row r="18915" spans="1:6" x14ac:dyDescent="0.25">
      <c r="A18915" t="str">
        <f>"200020754"</f>
        <v>200020754</v>
      </c>
      <c r="B18915" t="str">
        <f>"1407492325"</f>
        <v>1407492325</v>
      </c>
      <c r="C18915" t="str">
        <f>"363LF0000X"</f>
        <v>363LF0000X</v>
      </c>
      <c r="D18915" t="str">
        <f>"ROBERTSON                COURTNEY                 "</f>
        <v xml:space="preserve">ROBERTSON                COURTNEY                 </v>
      </c>
      <c r="E18915" t="str">
        <f>"GRENADA                   "</f>
        <v xml:space="preserve">GRENADA                   </v>
      </c>
      <c r="F18915" t="str">
        <f t="shared" si="458"/>
        <v>MS</v>
      </c>
    </row>
    <row r="18916" spans="1:6" x14ac:dyDescent="0.25">
      <c r="A18916" t="str">
        <f>"200020758"</f>
        <v>200020758</v>
      </c>
      <c r="B18916" t="str">
        <f>"1376030395"</f>
        <v>1376030395</v>
      </c>
      <c r="C18916" t="str">
        <f>"207T00000X"</f>
        <v>207T00000X</v>
      </c>
      <c r="D18916" t="str">
        <f>"DURAN                    DANIEL                   "</f>
        <v xml:space="preserve">DURAN                    DANIEL                   </v>
      </c>
      <c r="E18916" t="str">
        <f>"TUPELO                    "</f>
        <v xml:space="preserve">TUPELO                    </v>
      </c>
      <c r="F18916" t="str">
        <f t="shared" si="458"/>
        <v>MS</v>
      </c>
    </row>
    <row r="18917" spans="1:6" x14ac:dyDescent="0.25">
      <c r="A18917" t="str">
        <f>"200020761"</f>
        <v>200020761</v>
      </c>
      <c r="B18917" t="str">
        <f>"1013996586"</f>
        <v>1013996586</v>
      </c>
      <c r="C18917" t="str">
        <f>"208G00000X"</f>
        <v>208G00000X</v>
      </c>
      <c r="D18917" t="str">
        <f>"COCHRAN                  RICHARD                  "</f>
        <v xml:space="preserve">COCHRAN                  RICHARD                  </v>
      </c>
      <c r="E18917" t="str">
        <f>"RIDGELAND                 "</f>
        <v xml:space="preserve">RIDGELAND                 </v>
      </c>
      <c r="F18917" t="str">
        <f t="shared" si="458"/>
        <v>MS</v>
      </c>
    </row>
    <row r="18918" spans="1:6" x14ac:dyDescent="0.25">
      <c r="A18918" t="str">
        <f>"200020767"</f>
        <v>200020767</v>
      </c>
      <c r="B18918" t="str">
        <f>"1457094211"</f>
        <v>1457094211</v>
      </c>
      <c r="C18918" t="str">
        <f>"207P00000X"</f>
        <v>207P00000X</v>
      </c>
      <c r="D18918" t="str">
        <f>"JONES                    RACHEL                   "</f>
        <v xml:space="preserve">JONES                    RACHEL                   </v>
      </c>
      <c r="E18918" t="str">
        <f>"CANTON                    "</f>
        <v xml:space="preserve">CANTON                    </v>
      </c>
      <c r="F18918" t="str">
        <f t="shared" si="458"/>
        <v>MS</v>
      </c>
    </row>
    <row r="18919" spans="1:6" x14ac:dyDescent="0.25">
      <c r="A18919" t="str">
        <f>"200020774"</f>
        <v>200020774</v>
      </c>
      <c r="B18919" t="str">
        <f>"1700346483"</f>
        <v>1700346483</v>
      </c>
      <c r="C18919" t="str">
        <f>"207R00000X"</f>
        <v>207R00000X</v>
      </c>
      <c r="D18919" t="str">
        <f>"BUNOL                    BRANDON                  "</f>
        <v xml:space="preserve">BUNOL                    BRANDON                  </v>
      </c>
      <c r="E18919" t="str">
        <f>"GULFPORT                  "</f>
        <v xml:space="preserve">GULFPORT                  </v>
      </c>
      <c r="F18919" t="str">
        <f t="shared" si="458"/>
        <v>MS</v>
      </c>
    </row>
    <row r="18920" spans="1:6" x14ac:dyDescent="0.25">
      <c r="A18920" t="str">
        <f>"200020780"</f>
        <v>200020780</v>
      </c>
      <c r="B18920" t="str">
        <f>"1366230484"</f>
        <v>1366230484</v>
      </c>
      <c r="C18920" t="str">
        <f>"207Q00000X"</f>
        <v>207Q00000X</v>
      </c>
      <c r="D18920" t="str">
        <f>"GILLEY                   ELIZABETH    G           "</f>
        <v xml:space="preserve">GILLEY                   ELIZABETH    G           </v>
      </c>
      <c r="E18920" t="str">
        <f>"TUPELO                    "</f>
        <v xml:space="preserve">TUPELO                    </v>
      </c>
      <c r="F18920" t="str">
        <f t="shared" si="458"/>
        <v>MS</v>
      </c>
    </row>
    <row r="18921" spans="1:6" x14ac:dyDescent="0.25">
      <c r="A18921" t="str">
        <f>"200020781"</f>
        <v>200020781</v>
      </c>
      <c r="B18921" t="str">
        <f>"1790363976"</f>
        <v>1790363976</v>
      </c>
      <c r="C18921" t="str">
        <f>"2084P0800X"</f>
        <v>2084P0800X</v>
      </c>
      <c r="D18921" t="str">
        <f>"COLLINS                  MICHAEL                  "</f>
        <v xml:space="preserve">COLLINS                  MICHAEL                  </v>
      </c>
      <c r="E18921" t="str">
        <f>"JACKSON                   "</f>
        <v xml:space="preserve">JACKSON                   </v>
      </c>
      <c r="F18921" t="str">
        <f t="shared" si="458"/>
        <v>MS</v>
      </c>
    </row>
    <row r="18922" spans="1:6" x14ac:dyDescent="0.25">
      <c r="A18922" t="str">
        <f>"200020782"</f>
        <v>200020782</v>
      </c>
      <c r="B18922" t="str">
        <f>"1316524838"</f>
        <v>1316524838</v>
      </c>
      <c r="C18922" t="str">
        <f>"2084P0800X"</f>
        <v>2084P0800X</v>
      </c>
      <c r="D18922" t="str">
        <f>"BROWNE                   THEODORA                 "</f>
        <v xml:space="preserve">BROWNE                   THEODORA                 </v>
      </c>
      <c r="E18922" t="str">
        <f>"FLOWOOD                   "</f>
        <v xml:space="preserve">FLOWOOD                   </v>
      </c>
      <c r="F18922" t="str">
        <f t="shared" si="458"/>
        <v>MS</v>
      </c>
    </row>
    <row r="18923" spans="1:6" x14ac:dyDescent="0.25">
      <c r="A18923" t="str">
        <f>"200020787"</f>
        <v>200020787</v>
      </c>
      <c r="B18923" t="str">
        <f>"1528823077"</f>
        <v>1528823077</v>
      </c>
      <c r="C18923" t="str">
        <f>"207Q00000X"</f>
        <v>207Q00000X</v>
      </c>
      <c r="D18923" t="str">
        <f>"STUART                   STEPHEN                  "</f>
        <v xml:space="preserve">STUART                   STEPHEN                  </v>
      </c>
      <c r="E18923" t="str">
        <f>"HATTIESBURG               "</f>
        <v xml:space="preserve">HATTIESBURG               </v>
      </c>
      <c r="F18923" t="str">
        <f t="shared" si="458"/>
        <v>MS</v>
      </c>
    </row>
    <row r="18924" spans="1:6" x14ac:dyDescent="0.25">
      <c r="A18924" t="str">
        <f>"200020794"</f>
        <v>200020794</v>
      </c>
      <c r="B18924" t="str">
        <f>"1386990299"</f>
        <v>1386990299</v>
      </c>
      <c r="C18924" t="str">
        <f>"363L00000X"</f>
        <v>363L00000X</v>
      </c>
      <c r="D18924" t="str">
        <f>"LANDY                    LEIGHANN                 "</f>
        <v xml:space="preserve">LANDY                    LEIGHANN                 </v>
      </c>
      <c r="E18924" t="str">
        <f>"TUPELO                    "</f>
        <v xml:space="preserve">TUPELO                    </v>
      </c>
      <c r="F18924" t="str">
        <f t="shared" si="458"/>
        <v>MS</v>
      </c>
    </row>
    <row r="18925" spans="1:6" x14ac:dyDescent="0.25">
      <c r="A18925" t="str">
        <f>"200020797"</f>
        <v>200020797</v>
      </c>
      <c r="B18925" t="str">
        <f>"1972497469"</f>
        <v>1972497469</v>
      </c>
      <c r="C18925" t="str">
        <f>"207R00000X"</f>
        <v>207R00000X</v>
      </c>
      <c r="D18925" t="str">
        <f>"ANMOL                    KUMAR                    "</f>
        <v xml:space="preserve">ANMOL                    KUMAR                    </v>
      </c>
      <c r="E18925" t="str">
        <f>"OXFORD                    "</f>
        <v xml:space="preserve">OXFORD                    </v>
      </c>
      <c r="F18925" t="str">
        <f t="shared" si="458"/>
        <v>MS</v>
      </c>
    </row>
    <row r="18926" spans="1:6" x14ac:dyDescent="0.25">
      <c r="A18926" t="str">
        <f>"200020798"</f>
        <v>200020798</v>
      </c>
      <c r="B18926" t="str">
        <f>"1801244587"</f>
        <v>1801244587</v>
      </c>
      <c r="C18926" t="str">
        <f>"2085R0202X"</f>
        <v>2085R0202X</v>
      </c>
      <c r="D18926" t="str">
        <f>"SIFRIG                   BRIAN                    "</f>
        <v xml:space="preserve">SIFRIG                   BRIAN                    </v>
      </c>
      <c r="E18926" t="str">
        <f>"JACKSON                   "</f>
        <v xml:space="preserve">JACKSON                   </v>
      </c>
      <c r="F18926" t="str">
        <f t="shared" si="458"/>
        <v>MS</v>
      </c>
    </row>
    <row r="18927" spans="1:6" x14ac:dyDescent="0.25">
      <c r="A18927" t="str">
        <f>"200020801"</f>
        <v>200020801</v>
      </c>
      <c r="B18927" t="str">
        <f>"1720972540"</f>
        <v>1720972540</v>
      </c>
      <c r="C18927" t="str">
        <f>"363LF0000X"</f>
        <v>363LF0000X</v>
      </c>
      <c r="D18927" t="str">
        <f>"DAVIS                    CHAD                     "</f>
        <v xml:space="preserve">DAVIS                    CHAD                     </v>
      </c>
      <c r="E18927" t="str">
        <f>"JACKSON                   "</f>
        <v xml:space="preserve">JACKSON                   </v>
      </c>
      <c r="F18927" t="str">
        <f t="shared" si="458"/>
        <v>MS</v>
      </c>
    </row>
    <row r="18928" spans="1:6" x14ac:dyDescent="0.25">
      <c r="A18928" t="str">
        <f>"200020803"</f>
        <v>200020803</v>
      </c>
      <c r="B18928" t="str">
        <f>"1467566521"</f>
        <v>1467566521</v>
      </c>
      <c r="C18928" t="str">
        <f>"207W00000X"</f>
        <v>207W00000X</v>
      </c>
      <c r="D18928" t="str">
        <f>"SUARES                   ROBERT       N           "</f>
        <v xml:space="preserve">SUARES                   ROBERT       N           </v>
      </c>
      <c r="E18928" t="str">
        <f>"GREENVILLE                "</f>
        <v xml:space="preserve">GREENVILLE                </v>
      </c>
      <c r="F18928" t="str">
        <f t="shared" si="458"/>
        <v>MS</v>
      </c>
    </row>
    <row r="18929" spans="1:6" x14ac:dyDescent="0.25">
      <c r="A18929" t="str">
        <f>"200020804"</f>
        <v>200020804</v>
      </c>
      <c r="B18929" t="str">
        <f>"1801787122"</f>
        <v>1801787122</v>
      </c>
      <c r="C18929" t="str">
        <f>"152W00000X"</f>
        <v>152W00000X</v>
      </c>
      <c r="D18929" t="str">
        <f>"HERRING                  BRANNON                  "</f>
        <v xml:space="preserve">HERRING                  BRANNON                  </v>
      </c>
      <c r="E18929" t="str">
        <f>"COLUMBUS                  "</f>
        <v xml:space="preserve">COLUMBUS                  </v>
      </c>
      <c r="F18929" t="str">
        <f t="shared" si="458"/>
        <v>MS</v>
      </c>
    </row>
    <row r="18930" spans="1:6" x14ac:dyDescent="0.25">
      <c r="A18930" t="str">
        <f>"200020805"</f>
        <v>200020805</v>
      </c>
      <c r="B18930" t="str">
        <f>"1902602303"</f>
        <v>1902602303</v>
      </c>
      <c r="C18930" t="str">
        <f>"363LN0005X"</f>
        <v>363LN0005X</v>
      </c>
      <c r="D18930" t="str">
        <f>"THOMAS                   AMANDA                   "</f>
        <v xml:space="preserve">THOMAS                   AMANDA                   </v>
      </c>
      <c r="E18930" t="str">
        <f>"GULFPORT                  "</f>
        <v xml:space="preserve">GULFPORT                  </v>
      </c>
      <c r="F18930" t="str">
        <f t="shared" si="458"/>
        <v>MS</v>
      </c>
    </row>
    <row r="18931" spans="1:6" x14ac:dyDescent="0.25">
      <c r="A18931" t="str">
        <f>"200020806"</f>
        <v>200020806</v>
      </c>
      <c r="B18931" t="str">
        <f>"1902602303"</f>
        <v>1902602303</v>
      </c>
      <c r="C18931" t="str">
        <f>"363LN0000X"</f>
        <v>363LN0000X</v>
      </c>
      <c r="D18931" t="str">
        <f>"THOMAS                   AMANDA                   "</f>
        <v xml:space="preserve">THOMAS                   AMANDA                   </v>
      </c>
      <c r="E18931" t="str">
        <f>"GULFPORT                  "</f>
        <v xml:space="preserve">GULFPORT                  </v>
      </c>
      <c r="F18931" t="str">
        <f t="shared" si="458"/>
        <v>MS</v>
      </c>
    </row>
    <row r="18932" spans="1:6" x14ac:dyDescent="0.25">
      <c r="A18932" t="str">
        <f>"200020817"</f>
        <v>200020817</v>
      </c>
      <c r="B18932" t="str">
        <f>"1588314355"</f>
        <v>1588314355</v>
      </c>
      <c r="C18932" t="str">
        <f>"208000000X"</f>
        <v>208000000X</v>
      </c>
      <c r="D18932" t="str">
        <f>"WINBORNE                 LINDSEY                  "</f>
        <v xml:space="preserve">WINBORNE                 LINDSEY                  </v>
      </c>
      <c r="E18932" t="str">
        <f>"BROOKHAVEN                "</f>
        <v xml:space="preserve">BROOKHAVEN                </v>
      </c>
      <c r="F18932" t="str">
        <f t="shared" si="458"/>
        <v>MS</v>
      </c>
    </row>
    <row r="18933" spans="1:6" x14ac:dyDescent="0.25">
      <c r="A18933" t="str">
        <f>"200020821"</f>
        <v>200020821</v>
      </c>
      <c r="B18933" t="str">
        <f>"1679461941"</f>
        <v>1679461941</v>
      </c>
      <c r="C18933" t="str">
        <f>"207R00000X"</f>
        <v>207R00000X</v>
      </c>
      <c r="D18933" t="str">
        <f>"BHATT                    KARAN                    "</f>
        <v xml:space="preserve">BHATT                    KARAN                    </v>
      </c>
      <c r="E18933" t="str">
        <f>"OXFORD                    "</f>
        <v xml:space="preserve">OXFORD                    </v>
      </c>
      <c r="F18933" t="str">
        <f t="shared" si="458"/>
        <v>MS</v>
      </c>
    </row>
    <row r="18934" spans="1:6" x14ac:dyDescent="0.25">
      <c r="A18934" t="str">
        <f>"200020822"</f>
        <v>200020822</v>
      </c>
      <c r="B18934" t="str">
        <f>"1720754476"</f>
        <v>1720754476</v>
      </c>
      <c r="C18934" t="str">
        <f>"363LF0000X"</f>
        <v>363LF0000X</v>
      </c>
      <c r="D18934" t="str">
        <f>"HEAVENER                 CANDICE                  "</f>
        <v xml:space="preserve">HEAVENER                 CANDICE                  </v>
      </c>
      <c r="E18934" t="str">
        <f>"TIPLERSVILLE              "</f>
        <v xml:space="preserve">TIPLERSVILLE              </v>
      </c>
      <c r="F18934" t="str">
        <f t="shared" si="458"/>
        <v>MS</v>
      </c>
    </row>
    <row r="18935" spans="1:6" x14ac:dyDescent="0.25">
      <c r="A18935" t="str">
        <f>"200020825"</f>
        <v>200020825</v>
      </c>
      <c r="B18935" t="str">
        <f>"1184661910"</f>
        <v>1184661910</v>
      </c>
      <c r="C18935" t="str">
        <f>"207Q00000X"</f>
        <v>207Q00000X</v>
      </c>
      <c r="D18935" t="str">
        <f>"BOND                     BARBARA                  "</f>
        <v xml:space="preserve">BOND                     BARBARA                  </v>
      </c>
      <c r="E18935" t="str">
        <f>"MCCOMB                    "</f>
        <v xml:space="preserve">MCCOMB                    </v>
      </c>
      <c r="F18935" t="str">
        <f t="shared" si="458"/>
        <v>MS</v>
      </c>
    </row>
    <row r="18936" spans="1:6" x14ac:dyDescent="0.25">
      <c r="A18936" t="str">
        <f>"200020830"</f>
        <v>200020830</v>
      </c>
      <c r="B18936" t="str">
        <f>"1972181196"</f>
        <v>1972181196</v>
      </c>
      <c r="C18936" t="str">
        <f>"207N00000X"</f>
        <v>207N00000X</v>
      </c>
      <c r="D18936" t="str">
        <f>"BURROW                   ROBERT                   "</f>
        <v xml:space="preserve">BURROW                   ROBERT                   </v>
      </c>
      <c r="E18936" t="str">
        <f>"FLOWOOD                   "</f>
        <v xml:space="preserve">FLOWOOD                   </v>
      </c>
      <c r="F18936" t="str">
        <f t="shared" si="458"/>
        <v>MS</v>
      </c>
    </row>
    <row r="18937" spans="1:6" x14ac:dyDescent="0.25">
      <c r="A18937" t="str">
        <f>"200020833"</f>
        <v>200020833</v>
      </c>
      <c r="B18937" t="str">
        <f>"1982980850"</f>
        <v>1982980850</v>
      </c>
      <c r="C18937" t="str">
        <f>"261QM0801X"</f>
        <v>261QM0801X</v>
      </c>
      <c r="D18937" t="str">
        <f>"REGION IV MENTAL HEALTH SERVICES                  "</f>
        <v xml:space="preserve">REGION IV MENTAL HEALTH SERVICES                  </v>
      </c>
      <c r="E18937" t="str">
        <f>"CORINTH                   "</f>
        <v xml:space="preserve">CORINTH                   </v>
      </c>
      <c r="F18937" t="str">
        <f t="shared" si="458"/>
        <v>MS</v>
      </c>
    </row>
    <row r="18938" spans="1:6" x14ac:dyDescent="0.25">
      <c r="A18938" t="str">
        <f>"200020836"</f>
        <v>200020836</v>
      </c>
      <c r="B18938" t="str">
        <f>"1699193086"</f>
        <v>1699193086</v>
      </c>
      <c r="C18938" t="str">
        <f>"207RH0002X"</f>
        <v>207RH0002X</v>
      </c>
      <c r="D18938" t="str">
        <f>"CHIU                     ALAN                     "</f>
        <v xml:space="preserve">CHIU                     ALAN                     </v>
      </c>
      <c r="E18938" t="str">
        <f>"RIDGELAND                 "</f>
        <v xml:space="preserve">RIDGELAND                 </v>
      </c>
      <c r="F18938" t="str">
        <f t="shared" si="458"/>
        <v>MS</v>
      </c>
    </row>
    <row r="18939" spans="1:6" x14ac:dyDescent="0.25">
      <c r="A18939" t="str">
        <f>"200020839"</f>
        <v>200020839</v>
      </c>
      <c r="B18939" t="str">
        <f>"1184887663"</f>
        <v>1184887663</v>
      </c>
      <c r="C18939" t="str">
        <f>"208VP0000X"</f>
        <v>208VP0000X</v>
      </c>
      <c r="D18939" t="str">
        <f>"KLAR                     PATRICK      M           "</f>
        <v xml:space="preserve">KLAR                     PATRICK      M           </v>
      </c>
      <c r="E18939" t="str">
        <f>"JACKSON                   "</f>
        <v xml:space="preserve">JACKSON                   </v>
      </c>
      <c r="F18939" t="str">
        <f t="shared" si="458"/>
        <v>MS</v>
      </c>
    </row>
    <row r="18940" spans="1:6" x14ac:dyDescent="0.25">
      <c r="A18940" t="str">
        <f>"200020840"</f>
        <v>200020840</v>
      </c>
      <c r="B18940" t="str">
        <f>"1790549541"</f>
        <v>1790549541</v>
      </c>
      <c r="C18940" t="str">
        <f>"207V00000X"</f>
        <v>207V00000X</v>
      </c>
      <c r="D18940" t="str">
        <f>"ANDERSON                 BAILEY                   "</f>
        <v xml:space="preserve">ANDERSON                 BAILEY                   </v>
      </c>
      <c r="E18940" t="str">
        <f>"JACKSON                   "</f>
        <v xml:space="preserve">JACKSON                   </v>
      </c>
      <c r="F18940" t="str">
        <f t="shared" si="458"/>
        <v>MS</v>
      </c>
    </row>
    <row r="18941" spans="1:6" x14ac:dyDescent="0.25">
      <c r="A18941" t="str">
        <f>"200020844"</f>
        <v>200020844</v>
      </c>
      <c r="B18941" t="str">
        <f>"1942555438"</f>
        <v>1942555438</v>
      </c>
      <c r="C18941" t="str">
        <f>"207R00000X"</f>
        <v>207R00000X</v>
      </c>
      <c r="D18941" t="str">
        <f>"BENGE                    JENNA                    "</f>
        <v xml:space="preserve">BENGE                    JENNA                    </v>
      </c>
      <c r="E18941" t="str">
        <f>"JACKSON                   "</f>
        <v xml:space="preserve">JACKSON                   </v>
      </c>
      <c r="F18941" t="str">
        <f t="shared" si="458"/>
        <v>MS</v>
      </c>
    </row>
    <row r="18942" spans="1:6" x14ac:dyDescent="0.25">
      <c r="A18942" t="str">
        <f>"200020845"</f>
        <v>200020845</v>
      </c>
      <c r="B18942" t="str">
        <f>"1114657152"</f>
        <v>1114657152</v>
      </c>
      <c r="C18942" t="str">
        <f>"207RH0003X"</f>
        <v>207RH0003X</v>
      </c>
      <c r="D18942" t="str">
        <f>"SE                       BOBBY                    "</f>
        <v xml:space="preserve">SE                       BOBBY                    </v>
      </c>
      <c r="E18942" t="str">
        <f>"JACKSON                   "</f>
        <v xml:space="preserve">JACKSON                   </v>
      </c>
      <c r="F18942" t="str">
        <f t="shared" ref="F18942:F19005" si="459">"MS"</f>
        <v>MS</v>
      </c>
    </row>
    <row r="18943" spans="1:6" x14ac:dyDescent="0.25">
      <c r="A18943" t="str">
        <f>"200020846"</f>
        <v>200020846</v>
      </c>
      <c r="B18943" t="str">
        <f>"1295413318"</f>
        <v>1295413318</v>
      </c>
      <c r="C18943" t="str">
        <f>"207RN0300X"</f>
        <v>207RN0300X</v>
      </c>
      <c r="D18943" t="str">
        <f>"ABRO                     SHEERAZ GUL              "</f>
        <v xml:space="preserve">ABRO                     SHEERAZ GUL              </v>
      </c>
      <c r="E18943" t="str">
        <f>"JACKSON                   "</f>
        <v xml:space="preserve">JACKSON                   </v>
      </c>
      <c r="F18943" t="str">
        <f t="shared" si="459"/>
        <v>MS</v>
      </c>
    </row>
    <row r="18944" spans="1:6" x14ac:dyDescent="0.25">
      <c r="A18944" t="str">
        <f>"200020848"</f>
        <v>200020848</v>
      </c>
      <c r="B18944" t="str">
        <f>"1790549541"</f>
        <v>1790549541</v>
      </c>
      <c r="C18944" t="str">
        <f>"207V00000X"</f>
        <v>207V00000X</v>
      </c>
      <c r="D18944" t="str">
        <f>"ANDERSON                 BAILEY                   "</f>
        <v xml:space="preserve">ANDERSON                 BAILEY                   </v>
      </c>
      <c r="E18944" t="str">
        <f>"GRENADA                   "</f>
        <v xml:space="preserve">GRENADA                   </v>
      </c>
      <c r="F18944" t="str">
        <f t="shared" si="459"/>
        <v>MS</v>
      </c>
    </row>
    <row r="18945" spans="1:6" x14ac:dyDescent="0.25">
      <c r="A18945" t="str">
        <f>"200020863"</f>
        <v>200020863</v>
      </c>
      <c r="B18945" t="str">
        <f>"1447053814"</f>
        <v>1447053814</v>
      </c>
      <c r="C18945" t="str">
        <f>"207Q00000X"</f>
        <v>207Q00000X</v>
      </c>
      <c r="D18945" t="str">
        <f>"BASYOUNY                 AMIRA                    "</f>
        <v xml:space="preserve">BASYOUNY                 AMIRA                    </v>
      </c>
      <c r="E18945" t="str">
        <f>"HATTIESBURG               "</f>
        <v xml:space="preserve">HATTIESBURG               </v>
      </c>
      <c r="F18945" t="str">
        <f t="shared" si="459"/>
        <v>MS</v>
      </c>
    </row>
    <row r="18946" spans="1:6" x14ac:dyDescent="0.25">
      <c r="A18946" t="str">
        <f>"200020864"</f>
        <v>200020864</v>
      </c>
      <c r="B18946" t="str">
        <f>"1104610609"</f>
        <v>1104610609</v>
      </c>
      <c r="C18946" t="str">
        <f>"207P00000X"</f>
        <v>207P00000X</v>
      </c>
      <c r="D18946" t="str">
        <f>"ARON                     JACOB                    "</f>
        <v xml:space="preserve">ARON                     JACOB                    </v>
      </c>
      <c r="E18946" t="str">
        <f>"JACKSON                   "</f>
        <v xml:space="preserve">JACKSON                   </v>
      </c>
      <c r="F18946" t="str">
        <f t="shared" si="459"/>
        <v>MS</v>
      </c>
    </row>
    <row r="18947" spans="1:6" x14ac:dyDescent="0.25">
      <c r="A18947" t="str">
        <f>"200020867"</f>
        <v>200020867</v>
      </c>
      <c r="B18947" t="str">
        <f>"1093327066"</f>
        <v>1093327066</v>
      </c>
      <c r="C18947" t="str">
        <f>"363LF0000X"</f>
        <v>363LF0000X</v>
      </c>
      <c r="D18947" t="str">
        <f>"CORNETT                  JAMISON                  "</f>
        <v xml:space="preserve">CORNETT                  JAMISON                  </v>
      </c>
      <c r="E18947" t="str">
        <f>"BOONEVILLE                "</f>
        <v xml:space="preserve">BOONEVILLE                </v>
      </c>
      <c r="F18947" t="str">
        <f t="shared" si="459"/>
        <v>MS</v>
      </c>
    </row>
    <row r="18948" spans="1:6" x14ac:dyDescent="0.25">
      <c r="A18948" t="str">
        <f>"200020871"</f>
        <v>200020871</v>
      </c>
      <c r="B18948" t="str">
        <f>"1740632371"</f>
        <v>1740632371</v>
      </c>
      <c r="C18948" t="str">
        <f>"208G00000X"</f>
        <v>208G00000X</v>
      </c>
      <c r="D18948" t="str">
        <f>"FRATICELLI ROSADO        RICARDO      J           "</f>
        <v xml:space="preserve">FRATICELLI ROSADO        RICARDO      J           </v>
      </c>
      <c r="E18948" t="str">
        <f>"JACKSON                   "</f>
        <v xml:space="preserve">JACKSON                   </v>
      </c>
      <c r="F18948" t="str">
        <f t="shared" si="459"/>
        <v>MS</v>
      </c>
    </row>
    <row r="18949" spans="1:6" x14ac:dyDescent="0.25">
      <c r="A18949" t="str">
        <f>"200020877"</f>
        <v>200020877</v>
      </c>
      <c r="B18949" t="str">
        <f>"1275396830"</f>
        <v>1275396830</v>
      </c>
      <c r="C18949" t="str">
        <f>"207V00000X"</f>
        <v>207V00000X</v>
      </c>
      <c r="D18949" t="str">
        <f>"ROCRAY                   RACHEL                   "</f>
        <v xml:space="preserve">ROCRAY                   RACHEL                   </v>
      </c>
      <c r="E18949" t="str">
        <f>"JACKSON                   "</f>
        <v xml:space="preserve">JACKSON                   </v>
      </c>
      <c r="F18949" t="str">
        <f t="shared" si="459"/>
        <v>MS</v>
      </c>
    </row>
    <row r="18950" spans="1:6" x14ac:dyDescent="0.25">
      <c r="A18950" t="str">
        <f>"200020883"</f>
        <v>200020883</v>
      </c>
      <c r="B18950" t="str">
        <f>"1801640545"</f>
        <v>1801640545</v>
      </c>
      <c r="C18950" t="str">
        <f>"207R00000X"</f>
        <v>207R00000X</v>
      </c>
      <c r="D18950" t="str">
        <f>"APARICIO                 MARIANA                  "</f>
        <v xml:space="preserve">APARICIO                 MARIANA                  </v>
      </c>
      <c r="E18950" t="str">
        <f>"JACKSON                   "</f>
        <v xml:space="preserve">JACKSON                   </v>
      </c>
      <c r="F18950" t="str">
        <f t="shared" si="459"/>
        <v>MS</v>
      </c>
    </row>
    <row r="18951" spans="1:6" x14ac:dyDescent="0.25">
      <c r="A18951" t="str">
        <f>"200020884"</f>
        <v>200020884</v>
      </c>
      <c r="B18951" t="str">
        <f>"1255178059"</f>
        <v>1255178059</v>
      </c>
      <c r="C18951" t="str">
        <f>"207P00000X"</f>
        <v>207P00000X</v>
      </c>
      <c r="D18951" t="str">
        <f>"AHLRICH                  JAMES        G           "</f>
        <v xml:space="preserve">AHLRICH                  JAMES        G           </v>
      </c>
      <c r="E18951" t="str">
        <f>"JACKSON                   "</f>
        <v xml:space="preserve">JACKSON                   </v>
      </c>
      <c r="F18951" t="str">
        <f t="shared" si="459"/>
        <v>MS</v>
      </c>
    </row>
    <row r="18952" spans="1:6" x14ac:dyDescent="0.25">
      <c r="A18952" t="str">
        <f>"200020887"</f>
        <v>200020887</v>
      </c>
      <c r="B18952" t="str">
        <f>"1245126176"</f>
        <v>1245126176</v>
      </c>
      <c r="C18952" t="str">
        <f>"207R00000X"</f>
        <v>207R00000X</v>
      </c>
      <c r="D18952" t="str">
        <f>"BANDI                    VENKATA                  "</f>
        <v xml:space="preserve">BANDI                    VENKATA                  </v>
      </c>
      <c r="E18952" t="str">
        <f>"OXFORD                    "</f>
        <v xml:space="preserve">OXFORD                    </v>
      </c>
      <c r="F18952" t="str">
        <f t="shared" si="459"/>
        <v>MS</v>
      </c>
    </row>
    <row r="18953" spans="1:6" x14ac:dyDescent="0.25">
      <c r="A18953" t="str">
        <f>"200020888"</f>
        <v>200020888</v>
      </c>
      <c r="B18953" t="str">
        <f>"1124918875"</f>
        <v>1124918875</v>
      </c>
      <c r="C18953" t="str">
        <f>"2084P0800X"</f>
        <v>2084P0800X</v>
      </c>
      <c r="D18953" t="str">
        <f>"WINTERS                  JOSEPH       W           "</f>
        <v xml:space="preserve">WINTERS                  JOSEPH       W           </v>
      </c>
      <c r="E18953" t="str">
        <f>"WHITFIELD                 "</f>
        <v xml:space="preserve">WHITFIELD                 </v>
      </c>
      <c r="F18953" t="str">
        <f t="shared" si="459"/>
        <v>MS</v>
      </c>
    </row>
    <row r="18954" spans="1:6" x14ac:dyDescent="0.25">
      <c r="A18954" t="str">
        <f>"200020889"</f>
        <v>200020889</v>
      </c>
      <c r="B18954" t="str">
        <f>"1467341313"</f>
        <v>1467341313</v>
      </c>
      <c r="C18954" t="str">
        <f>"2084P0800X"</f>
        <v>2084P0800X</v>
      </c>
      <c r="D18954" t="str">
        <f>"BAILEY                   KODY         L           "</f>
        <v xml:space="preserve">BAILEY                   KODY         L           </v>
      </c>
      <c r="E18954" t="str">
        <f>"WHITFIELD                 "</f>
        <v xml:space="preserve">WHITFIELD                 </v>
      </c>
      <c r="F18954" t="str">
        <f t="shared" si="459"/>
        <v>MS</v>
      </c>
    </row>
    <row r="18955" spans="1:6" x14ac:dyDescent="0.25">
      <c r="A18955" t="str">
        <f>"200020890"</f>
        <v>200020890</v>
      </c>
      <c r="B18955" t="str">
        <f>"1194512061"</f>
        <v>1194512061</v>
      </c>
      <c r="C18955" t="str">
        <f>"363A00000X"</f>
        <v>363A00000X</v>
      </c>
      <c r="D18955" t="str">
        <f>"MARY                     KATHARYN     R           "</f>
        <v xml:space="preserve">MARY                     KATHARYN     R           </v>
      </c>
      <c r="E18955" t="str">
        <f>"HATTIESBURG               "</f>
        <v xml:space="preserve">HATTIESBURG               </v>
      </c>
      <c r="F18955" t="str">
        <f t="shared" si="459"/>
        <v>MS</v>
      </c>
    </row>
    <row r="18956" spans="1:6" x14ac:dyDescent="0.25">
      <c r="A18956" t="str">
        <f>"200020893"</f>
        <v>200020893</v>
      </c>
      <c r="B18956" t="str">
        <f>"1508693177"</f>
        <v>1508693177</v>
      </c>
      <c r="C18956" t="str">
        <f>"122300000X"</f>
        <v>122300000X</v>
      </c>
      <c r="D18956" t="str">
        <f>"DICKERSON                CAYLA        L           "</f>
        <v xml:space="preserve">DICKERSON                CAYLA        L           </v>
      </c>
      <c r="E18956" t="str">
        <f>"RALEIGH                   "</f>
        <v xml:space="preserve">RALEIGH                   </v>
      </c>
      <c r="F18956" t="str">
        <f t="shared" si="459"/>
        <v>MS</v>
      </c>
    </row>
    <row r="18957" spans="1:6" x14ac:dyDescent="0.25">
      <c r="A18957" t="str">
        <f>"200020897"</f>
        <v>200020897</v>
      </c>
      <c r="B18957" t="str">
        <f>"1700682739"</f>
        <v>1700682739</v>
      </c>
      <c r="C18957" t="str">
        <f>"363LP0808X"</f>
        <v>363LP0808X</v>
      </c>
      <c r="D18957" t="str">
        <f>"CARMAN                   SYDNI        W           "</f>
        <v xml:space="preserve">CARMAN                   SYDNI        W           </v>
      </c>
      <c r="E18957" t="str">
        <f>"RULEVILLE                 "</f>
        <v xml:space="preserve">RULEVILLE                 </v>
      </c>
      <c r="F18957" t="str">
        <f t="shared" si="459"/>
        <v>MS</v>
      </c>
    </row>
    <row r="18958" spans="1:6" x14ac:dyDescent="0.25">
      <c r="A18958" t="str">
        <f>"200020902"</f>
        <v>200020902</v>
      </c>
      <c r="B18958" t="str">
        <f>"1457533424"</f>
        <v>1457533424</v>
      </c>
      <c r="C18958" t="str">
        <f>"363LF0000X"</f>
        <v>363LF0000X</v>
      </c>
      <c r="D18958" t="str">
        <f>"SMITH                    LORETTA                  "</f>
        <v xml:space="preserve">SMITH                    LORETTA                  </v>
      </c>
      <c r="E18958" t="str">
        <f>"HERNANDO                  "</f>
        <v xml:space="preserve">HERNANDO                  </v>
      </c>
      <c r="F18958" t="str">
        <f t="shared" si="459"/>
        <v>MS</v>
      </c>
    </row>
    <row r="18959" spans="1:6" x14ac:dyDescent="0.25">
      <c r="A18959" t="str">
        <f>"200020904"</f>
        <v>200020904</v>
      </c>
      <c r="B18959" t="str">
        <f>"1043073760"</f>
        <v>1043073760</v>
      </c>
      <c r="C18959" t="str">
        <f>"207Q00000X"</f>
        <v>207Q00000X</v>
      </c>
      <c r="D18959" t="str">
        <f>"MUHAMMAD                 JAHARAH                  "</f>
        <v xml:space="preserve">MUHAMMAD                 JAHARAH                  </v>
      </c>
      <c r="E18959" t="str">
        <f>"MCCOMB                    "</f>
        <v xml:space="preserve">MCCOMB                    </v>
      </c>
      <c r="F18959" t="str">
        <f t="shared" si="459"/>
        <v>MS</v>
      </c>
    </row>
    <row r="18960" spans="1:6" x14ac:dyDescent="0.25">
      <c r="A18960" t="str">
        <f>"200020906"</f>
        <v>200020906</v>
      </c>
      <c r="B18960" t="str">
        <f>"1083791461"</f>
        <v>1083791461</v>
      </c>
      <c r="C18960" t="str">
        <f>"207Q00000X"</f>
        <v>207Q00000X</v>
      </c>
      <c r="D18960" t="str">
        <f>"MCCULLAR                 LINDA                    "</f>
        <v xml:space="preserve">MCCULLAR                 LINDA                    </v>
      </c>
      <c r="E18960" t="str">
        <f>"MERIDIAN                  "</f>
        <v xml:space="preserve">MERIDIAN                  </v>
      </c>
      <c r="F18960" t="str">
        <f t="shared" si="459"/>
        <v>MS</v>
      </c>
    </row>
    <row r="18961" spans="1:6" x14ac:dyDescent="0.25">
      <c r="A18961" t="str">
        <f>"200020908"</f>
        <v>200020908</v>
      </c>
      <c r="B18961" t="str">
        <f>"1477693901"</f>
        <v>1477693901</v>
      </c>
      <c r="C18961" t="str">
        <f>"207R00000X"</f>
        <v>207R00000X</v>
      </c>
      <c r="D18961" t="str">
        <f>"ONEESE                   JUSTIN                   "</f>
        <v xml:space="preserve">ONEESE                   JUSTIN                   </v>
      </c>
      <c r="E18961" t="str">
        <f>"HATTIESBURG               "</f>
        <v xml:space="preserve">HATTIESBURG               </v>
      </c>
      <c r="F18961" t="str">
        <f t="shared" si="459"/>
        <v>MS</v>
      </c>
    </row>
    <row r="18962" spans="1:6" x14ac:dyDescent="0.25">
      <c r="A18962" t="str">
        <f>"200020913"</f>
        <v>200020913</v>
      </c>
      <c r="B18962" t="str">
        <f>"1255713624"</f>
        <v>1255713624</v>
      </c>
      <c r="C18962" t="str">
        <f>"363LP0808X"</f>
        <v>363LP0808X</v>
      </c>
      <c r="D18962" t="str">
        <f>"MOON                     HALEY                    "</f>
        <v xml:space="preserve">MOON                     HALEY                    </v>
      </c>
      <c r="E18962" t="str">
        <f>"BILOXI                    "</f>
        <v xml:space="preserve">BILOXI                    </v>
      </c>
      <c r="F18962" t="str">
        <f t="shared" si="459"/>
        <v>MS</v>
      </c>
    </row>
    <row r="18963" spans="1:6" x14ac:dyDescent="0.25">
      <c r="A18963" t="str">
        <f>"200020914"</f>
        <v>200020914</v>
      </c>
      <c r="B18963" t="str">
        <f>"1083791461"</f>
        <v>1083791461</v>
      </c>
      <c r="C18963" t="str">
        <f>"207Q00000X"</f>
        <v>207Q00000X</v>
      </c>
      <c r="D18963" t="str">
        <f>"MCCULLAR                 LINDA                    "</f>
        <v xml:space="preserve">MCCULLAR                 LINDA                    </v>
      </c>
      <c r="E18963" t="str">
        <f>"DE KALB                   "</f>
        <v xml:space="preserve">DE KALB                   </v>
      </c>
      <c r="F18963" t="str">
        <f t="shared" si="459"/>
        <v>MS</v>
      </c>
    </row>
    <row r="18964" spans="1:6" x14ac:dyDescent="0.25">
      <c r="A18964" t="str">
        <f>"200020918"</f>
        <v>200020918</v>
      </c>
      <c r="B18964" t="str">
        <f>"1720977622"</f>
        <v>1720977622</v>
      </c>
      <c r="C18964" t="str">
        <f>"2084P0800X"</f>
        <v>2084P0800X</v>
      </c>
      <c r="D18964" t="str">
        <f>"COPENHAVER               WILLIAM      K           "</f>
        <v xml:space="preserve">COPENHAVER               WILLIAM      K           </v>
      </c>
      <c r="E18964" t="str">
        <f>"WHITFIELD                 "</f>
        <v xml:space="preserve">WHITFIELD                 </v>
      </c>
      <c r="F18964" t="str">
        <f t="shared" si="459"/>
        <v>MS</v>
      </c>
    </row>
    <row r="18965" spans="1:6" x14ac:dyDescent="0.25">
      <c r="A18965" t="str">
        <f>"200020925"</f>
        <v>200020925</v>
      </c>
      <c r="B18965" t="str">
        <f>"1922829084"</f>
        <v>1922829084</v>
      </c>
      <c r="C18965" t="str">
        <f>"363LP0222X"</f>
        <v>363LP0222X</v>
      </c>
      <c r="D18965" t="str">
        <f>"SYKES                    KAYLA                    "</f>
        <v xml:space="preserve">SYKES                    KAYLA                    </v>
      </c>
      <c r="E18965" t="str">
        <f>"JACKSON                   "</f>
        <v xml:space="preserve">JACKSON                   </v>
      </c>
      <c r="F18965" t="str">
        <f t="shared" si="459"/>
        <v>MS</v>
      </c>
    </row>
    <row r="18966" spans="1:6" x14ac:dyDescent="0.25">
      <c r="A18966" t="str">
        <f>"200020930"</f>
        <v>200020930</v>
      </c>
      <c r="B18966" t="str">
        <f>"1629701149"</f>
        <v>1629701149</v>
      </c>
      <c r="C18966" t="str">
        <f>"207Q00000X"</f>
        <v>207Q00000X</v>
      </c>
      <c r="D18966" t="str">
        <f>"BEARD                    MICHAEL      J           "</f>
        <v xml:space="preserve">BEARD                    MICHAEL      J           </v>
      </c>
      <c r="E18966" t="str">
        <f>"MERIDIAN                  "</f>
        <v xml:space="preserve">MERIDIAN                  </v>
      </c>
      <c r="F18966" t="str">
        <f t="shared" si="459"/>
        <v>MS</v>
      </c>
    </row>
    <row r="18967" spans="1:6" x14ac:dyDescent="0.25">
      <c r="A18967" t="str">
        <f>"200020932"</f>
        <v>200020932</v>
      </c>
      <c r="B18967" t="str">
        <f>"1497645238"</f>
        <v>1497645238</v>
      </c>
      <c r="C18967" t="str">
        <f>"2084P0800X"</f>
        <v>2084P0800X</v>
      </c>
      <c r="D18967" t="str">
        <f>"KILCREASE                DAKOTA                   "</f>
        <v xml:space="preserve">KILCREASE                DAKOTA                   </v>
      </c>
      <c r="E18967" t="str">
        <f>"WHITFIELD                 "</f>
        <v xml:space="preserve">WHITFIELD                 </v>
      </c>
      <c r="F18967" t="str">
        <f t="shared" si="459"/>
        <v>MS</v>
      </c>
    </row>
    <row r="18968" spans="1:6" x14ac:dyDescent="0.25">
      <c r="A18968" t="str">
        <f>"200020933"</f>
        <v>200020933</v>
      </c>
      <c r="B18968" t="str">
        <f>"1255531604"</f>
        <v>1255531604</v>
      </c>
      <c r="C18968" t="str">
        <f>"207V00000X"</f>
        <v>207V00000X</v>
      </c>
      <c r="D18968" t="str">
        <f>"MAYS-DE-PEREZ            KIMBERLY                 "</f>
        <v xml:space="preserve">MAYS-DE-PEREZ            KIMBERLY                 </v>
      </c>
      <c r="E18968" t="str">
        <f>"JACKSON                   "</f>
        <v xml:space="preserve">JACKSON                   </v>
      </c>
      <c r="F18968" t="str">
        <f t="shared" si="459"/>
        <v>MS</v>
      </c>
    </row>
    <row r="18969" spans="1:6" x14ac:dyDescent="0.25">
      <c r="A18969" t="str">
        <f>"200020934"</f>
        <v>200020934</v>
      </c>
      <c r="B18969" t="str">
        <f>"1437042157"</f>
        <v>1437042157</v>
      </c>
      <c r="C18969" t="str">
        <f>"363LF0000X"</f>
        <v>363LF0000X</v>
      </c>
      <c r="D18969" t="str">
        <f>"PENDLETON                KATIE                    "</f>
        <v xml:space="preserve">PENDLETON                KATIE                    </v>
      </c>
      <c r="E18969" t="str">
        <f>"FLOWOOD                   "</f>
        <v xml:space="preserve">FLOWOOD                   </v>
      </c>
      <c r="F18969" t="str">
        <f t="shared" si="459"/>
        <v>MS</v>
      </c>
    </row>
    <row r="18970" spans="1:6" x14ac:dyDescent="0.25">
      <c r="A18970" t="str">
        <f>"200020941"</f>
        <v>200020941</v>
      </c>
      <c r="B18970" t="str">
        <f>"1457245946"</f>
        <v>1457245946</v>
      </c>
      <c r="C18970" t="str">
        <f>"207R00000X"</f>
        <v>207R00000X</v>
      </c>
      <c r="D18970" t="str">
        <f>"SOMASHEKAR EKAMBARANATH  NISHANTH                 "</f>
        <v xml:space="preserve">SOMASHEKAR EKAMBARANATH  NISHANTH                 </v>
      </c>
      <c r="E18970" t="str">
        <f>"OXFORD                    "</f>
        <v xml:space="preserve">OXFORD                    </v>
      </c>
      <c r="F18970" t="str">
        <f t="shared" si="459"/>
        <v>MS</v>
      </c>
    </row>
    <row r="18971" spans="1:6" x14ac:dyDescent="0.25">
      <c r="A18971" t="str">
        <f>"200020952"</f>
        <v>200020952</v>
      </c>
      <c r="B18971" t="str">
        <f>"1780387142"</f>
        <v>1780387142</v>
      </c>
      <c r="C18971" t="str">
        <f>"207P00000X"</f>
        <v>207P00000X</v>
      </c>
      <c r="D18971" t="str">
        <f>"BOEHNKE                  RYLAND                   "</f>
        <v xml:space="preserve">BOEHNKE                  RYLAND                   </v>
      </c>
      <c r="E18971" t="str">
        <f>"GRENADA                   "</f>
        <v xml:space="preserve">GRENADA                   </v>
      </c>
      <c r="F18971" t="str">
        <f t="shared" si="459"/>
        <v>MS</v>
      </c>
    </row>
    <row r="18972" spans="1:6" x14ac:dyDescent="0.25">
      <c r="A18972" t="str">
        <f>"200020953"</f>
        <v>200020953</v>
      </c>
      <c r="B18972" t="str">
        <f>"1255737367"</f>
        <v>1255737367</v>
      </c>
      <c r="C18972" t="str">
        <f>"2084P0800X"</f>
        <v>2084P0800X</v>
      </c>
      <c r="D18972" t="str">
        <f>"ZAMAR                    AREEBA                   "</f>
        <v xml:space="preserve">ZAMAR                    AREEBA                   </v>
      </c>
      <c r="E18972" t="str">
        <f>"LAUREL                    "</f>
        <v xml:space="preserve">LAUREL                    </v>
      </c>
      <c r="F18972" t="str">
        <f t="shared" si="459"/>
        <v>MS</v>
      </c>
    </row>
    <row r="18973" spans="1:6" x14ac:dyDescent="0.25">
      <c r="A18973" t="str">
        <f>"200020954"</f>
        <v>200020954</v>
      </c>
      <c r="B18973" t="str">
        <f>"1396159026"</f>
        <v>1396159026</v>
      </c>
      <c r="C18973" t="str">
        <f>"363L00000X"</f>
        <v>363L00000X</v>
      </c>
      <c r="D18973" t="str">
        <f>"THOMAS                   KATHY                    "</f>
        <v xml:space="preserve">THOMAS                   KATHY                    </v>
      </c>
      <c r="E18973" t="str">
        <f>"OXFORD                    "</f>
        <v xml:space="preserve">OXFORD                    </v>
      </c>
      <c r="F18973" t="str">
        <f t="shared" si="459"/>
        <v>MS</v>
      </c>
    </row>
    <row r="18974" spans="1:6" x14ac:dyDescent="0.25">
      <c r="A18974" t="str">
        <f>"200020961"</f>
        <v>200020961</v>
      </c>
      <c r="B18974" t="str">
        <f>"1568240828"</f>
        <v>1568240828</v>
      </c>
      <c r="C18974" t="str">
        <f>"207P00000X"</f>
        <v>207P00000X</v>
      </c>
      <c r="D18974" t="str">
        <f>"BABEK                    JAY          T           "</f>
        <v xml:space="preserve">BABEK                    JAY          T           </v>
      </c>
      <c r="E18974" t="str">
        <f>"JACKSON                   "</f>
        <v xml:space="preserve">JACKSON                   </v>
      </c>
      <c r="F18974" t="str">
        <f t="shared" si="459"/>
        <v>MS</v>
      </c>
    </row>
    <row r="18975" spans="1:6" x14ac:dyDescent="0.25">
      <c r="A18975" t="str">
        <f>"200020969"</f>
        <v>200020969</v>
      </c>
      <c r="B18975" t="str">
        <f>"1518167832"</f>
        <v>1518167832</v>
      </c>
      <c r="C18975" t="str">
        <f>"207Q00000X"</f>
        <v>207Q00000X</v>
      </c>
      <c r="D18975" t="str">
        <f>"DYESS                    RENEE                    "</f>
        <v xml:space="preserve">DYESS                    RENEE                    </v>
      </c>
      <c r="E18975" t="str">
        <f>"RIDGELAND                 "</f>
        <v xml:space="preserve">RIDGELAND                 </v>
      </c>
      <c r="F18975" t="str">
        <f t="shared" si="459"/>
        <v>MS</v>
      </c>
    </row>
    <row r="18976" spans="1:6" x14ac:dyDescent="0.25">
      <c r="A18976" t="str">
        <f>"200020973"</f>
        <v>200020973</v>
      </c>
      <c r="B18976" t="str">
        <f>"1144706946"</f>
        <v>1144706946</v>
      </c>
      <c r="C18976" t="str">
        <f>"2080P0202X"</f>
        <v>2080P0202X</v>
      </c>
      <c r="D18976" t="str">
        <f>"AL-OMARY                 MOHAMMAD                 "</f>
        <v xml:space="preserve">AL-OMARY                 MOHAMMAD                 </v>
      </c>
      <c r="E18976" t="str">
        <f>"JACKSON                   "</f>
        <v xml:space="preserve">JACKSON                   </v>
      </c>
      <c r="F18976" t="str">
        <f t="shared" si="459"/>
        <v>MS</v>
      </c>
    </row>
    <row r="18977" spans="1:6" x14ac:dyDescent="0.25">
      <c r="A18977" t="str">
        <f>"200020975"</f>
        <v>200020975</v>
      </c>
      <c r="B18977" t="str">
        <f>"1235651498"</f>
        <v>1235651498</v>
      </c>
      <c r="C18977" t="str">
        <f>"363L00000X"</f>
        <v>363L00000X</v>
      </c>
      <c r="D18977" t="str">
        <f>"QUINN                    CARMESHIA                "</f>
        <v xml:space="preserve">QUINN                    CARMESHIA                </v>
      </c>
      <c r="E18977" t="str">
        <f>"FLOWOOD                   "</f>
        <v xml:space="preserve">FLOWOOD                   </v>
      </c>
      <c r="F18977" t="str">
        <f t="shared" si="459"/>
        <v>MS</v>
      </c>
    </row>
    <row r="18978" spans="1:6" x14ac:dyDescent="0.25">
      <c r="A18978" t="str">
        <f>"200020977"</f>
        <v>200020977</v>
      </c>
      <c r="B18978" t="str">
        <f>"1649429119"</f>
        <v>1649429119</v>
      </c>
      <c r="C18978" t="str">
        <f>"363LF0000X"</f>
        <v>363LF0000X</v>
      </c>
      <c r="D18978" t="str">
        <f>"WILLIS                   DAWNA        J           "</f>
        <v xml:space="preserve">WILLIS                   DAWNA        J           </v>
      </c>
      <c r="E18978" t="str">
        <f>"ROBINSONVILLE             "</f>
        <v xml:space="preserve">ROBINSONVILLE             </v>
      </c>
      <c r="F18978" t="str">
        <f t="shared" si="459"/>
        <v>MS</v>
      </c>
    </row>
    <row r="18979" spans="1:6" x14ac:dyDescent="0.25">
      <c r="A18979" t="str">
        <f>"200020978"</f>
        <v>200020978</v>
      </c>
      <c r="B18979" t="str">
        <f>"1922800846"</f>
        <v>1922800846</v>
      </c>
      <c r="C18979" t="str">
        <f>"363LF0000X"</f>
        <v>363LF0000X</v>
      </c>
      <c r="D18979" t="str">
        <f>"HENDERSON                BRANDY       N           "</f>
        <v xml:space="preserve">HENDERSON                BRANDY       N           </v>
      </c>
      <c r="E18979" t="str">
        <f>"BROOKHAVEN                "</f>
        <v xml:space="preserve">BROOKHAVEN                </v>
      </c>
      <c r="F18979" t="str">
        <f t="shared" si="459"/>
        <v>MS</v>
      </c>
    </row>
    <row r="18980" spans="1:6" x14ac:dyDescent="0.25">
      <c r="A18980" t="str">
        <f>"200020981"</f>
        <v>200020981</v>
      </c>
      <c r="B18980" t="str">
        <f>"1497543763"</f>
        <v>1497543763</v>
      </c>
      <c r="C18980" t="str">
        <f>"207R00000X"</f>
        <v>207R00000X</v>
      </c>
      <c r="D18980" t="str">
        <f>"MORADI                   BABAK                    "</f>
        <v xml:space="preserve">MORADI                   BABAK                    </v>
      </c>
      <c r="E18980" t="str">
        <f>"TUPELO                    "</f>
        <v xml:space="preserve">TUPELO                    </v>
      </c>
      <c r="F18980" t="str">
        <f t="shared" si="459"/>
        <v>MS</v>
      </c>
    </row>
    <row r="18981" spans="1:6" x14ac:dyDescent="0.25">
      <c r="A18981" t="str">
        <f>"200020984"</f>
        <v>200020984</v>
      </c>
      <c r="B18981" t="str">
        <f>"1427842152"</f>
        <v>1427842152</v>
      </c>
      <c r="C18981" t="str">
        <f>"207R00000X"</f>
        <v>207R00000X</v>
      </c>
      <c r="D18981" t="str">
        <f>"MAHMOUD                  SABA                     "</f>
        <v xml:space="preserve">MAHMOUD                  SABA                     </v>
      </c>
      <c r="E18981" t="str">
        <f>"TUPELO                    "</f>
        <v xml:space="preserve">TUPELO                    </v>
      </c>
      <c r="F18981" t="str">
        <f t="shared" si="459"/>
        <v>MS</v>
      </c>
    </row>
    <row r="18982" spans="1:6" x14ac:dyDescent="0.25">
      <c r="A18982" t="str">
        <f>"200020986"</f>
        <v>200020986</v>
      </c>
      <c r="B18982" t="str">
        <f>"1477355568"</f>
        <v>1477355568</v>
      </c>
      <c r="C18982" t="str">
        <f>"207X00000X"</f>
        <v>207X00000X</v>
      </c>
      <c r="D18982" t="str">
        <f>"MELANCON                 DREW         P           "</f>
        <v xml:space="preserve">MELANCON                 DREW         P           </v>
      </c>
      <c r="E18982" t="str">
        <f>"JACKSON                   "</f>
        <v xml:space="preserve">JACKSON                   </v>
      </c>
      <c r="F18982" t="str">
        <f t="shared" si="459"/>
        <v>MS</v>
      </c>
    </row>
    <row r="18983" spans="1:6" x14ac:dyDescent="0.25">
      <c r="A18983" t="str">
        <f>"200020994"</f>
        <v>200020994</v>
      </c>
      <c r="B18983" t="str">
        <f>"1508516014"</f>
        <v>1508516014</v>
      </c>
      <c r="C18983" t="str">
        <f>"207R00000X"</f>
        <v>207R00000X</v>
      </c>
      <c r="D18983" t="str">
        <f>"WHIE                     DAKOTA                   "</f>
        <v xml:space="preserve">WHIE                     DAKOTA                   </v>
      </c>
      <c r="E18983" t="str">
        <f>"NEW ALBANY                "</f>
        <v xml:space="preserve">NEW ALBANY                </v>
      </c>
      <c r="F18983" t="str">
        <f t="shared" si="459"/>
        <v>MS</v>
      </c>
    </row>
    <row r="18984" spans="1:6" x14ac:dyDescent="0.25">
      <c r="A18984" t="str">
        <f>"200020995"</f>
        <v>200020995</v>
      </c>
      <c r="B18984" t="str">
        <f>"1477785079"</f>
        <v>1477785079</v>
      </c>
      <c r="C18984" t="str">
        <f>"367500000X"</f>
        <v>367500000X</v>
      </c>
      <c r="D18984" t="str">
        <f>"MCLEOD                   DERRICK      G           "</f>
        <v xml:space="preserve">MCLEOD                   DERRICK      G           </v>
      </c>
      <c r="E18984" t="str">
        <f>"JACKSON                   "</f>
        <v xml:space="preserve">JACKSON                   </v>
      </c>
      <c r="F18984" t="str">
        <f t="shared" si="459"/>
        <v>MS</v>
      </c>
    </row>
    <row r="18985" spans="1:6" x14ac:dyDescent="0.25">
      <c r="A18985" t="str">
        <f>"200020998"</f>
        <v>200020998</v>
      </c>
      <c r="B18985" t="str">
        <f>"1780006866"</f>
        <v>1780006866</v>
      </c>
      <c r="C18985" t="str">
        <f>"363LN0000X"</f>
        <v>363LN0000X</v>
      </c>
      <c r="D18985" t="str">
        <f>"KEY                      SUZANNE                  "</f>
        <v xml:space="preserve">KEY                      SUZANNE                  </v>
      </c>
      <c r="E18985" t="str">
        <f>"MERIDIAN                  "</f>
        <v xml:space="preserve">MERIDIAN                  </v>
      </c>
      <c r="F18985" t="str">
        <f t="shared" si="459"/>
        <v>MS</v>
      </c>
    </row>
    <row r="18986" spans="1:6" x14ac:dyDescent="0.25">
      <c r="A18986" t="str">
        <f>"200021003"</f>
        <v>200021003</v>
      </c>
      <c r="B18986" t="str">
        <f>"1700520822"</f>
        <v>1700520822</v>
      </c>
      <c r="C18986" t="str">
        <f>"207R00000X"</f>
        <v>207R00000X</v>
      </c>
      <c r="D18986" t="str">
        <f>"GILLENTINE               RYAN                     "</f>
        <v xml:space="preserve">GILLENTINE               RYAN                     </v>
      </c>
      <c r="E18986" t="str">
        <f>"TUPELO                    "</f>
        <v xml:space="preserve">TUPELO                    </v>
      </c>
      <c r="F18986" t="str">
        <f t="shared" si="459"/>
        <v>MS</v>
      </c>
    </row>
    <row r="18987" spans="1:6" x14ac:dyDescent="0.25">
      <c r="A18987" t="str">
        <f>"200021010"</f>
        <v>200021010</v>
      </c>
      <c r="B18987" t="str">
        <f>"1124026992"</f>
        <v>1124026992</v>
      </c>
      <c r="C18987" t="str">
        <f>"207Q00000X"</f>
        <v>207Q00000X</v>
      </c>
      <c r="D18987" t="str">
        <f>"SCHLOFF                  JOHN         E           "</f>
        <v xml:space="preserve">SCHLOFF                  JOHN         E           </v>
      </c>
      <c r="E18987" t="str">
        <f>"JACKSON                   "</f>
        <v xml:space="preserve">JACKSON                   </v>
      </c>
      <c r="F18987" t="str">
        <f t="shared" si="459"/>
        <v>MS</v>
      </c>
    </row>
    <row r="18988" spans="1:6" x14ac:dyDescent="0.25">
      <c r="A18988" t="str">
        <f>"200021017"</f>
        <v>200021017</v>
      </c>
      <c r="B18988" t="str">
        <f>"1477784643"</f>
        <v>1477784643</v>
      </c>
      <c r="C18988" t="str">
        <f>"207L00000X"</f>
        <v>207L00000X</v>
      </c>
      <c r="D18988" t="str">
        <f>"MCGEE                    HAMILTON                 "</f>
        <v xml:space="preserve">MCGEE                    HAMILTON                 </v>
      </c>
      <c r="E18988" t="str">
        <f>"GREENVILLE                "</f>
        <v xml:space="preserve">GREENVILLE                </v>
      </c>
      <c r="F18988" t="str">
        <f t="shared" si="459"/>
        <v>MS</v>
      </c>
    </row>
    <row r="18989" spans="1:6" x14ac:dyDescent="0.25">
      <c r="A18989" t="str">
        <f>"200021018"</f>
        <v>200021018</v>
      </c>
      <c r="B18989" t="str">
        <f>"1679376131"</f>
        <v>1679376131</v>
      </c>
      <c r="C18989" t="str">
        <f>"207R00000X"</f>
        <v>207R00000X</v>
      </c>
      <c r="D18989" t="str">
        <f>"MOSTAFA                  REHAM                    "</f>
        <v xml:space="preserve">MOSTAFA                  REHAM                    </v>
      </c>
      <c r="E18989" t="str">
        <f>"OXFORD                    "</f>
        <v xml:space="preserve">OXFORD                    </v>
      </c>
      <c r="F18989" t="str">
        <f t="shared" si="459"/>
        <v>MS</v>
      </c>
    </row>
    <row r="18990" spans="1:6" x14ac:dyDescent="0.25">
      <c r="A18990" t="str">
        <f>"200021021"</f>
        <v>200021021</v>
      </c>
      <c r="B18990" t="str">
        <f>"1336608389"</f>
        <v>1336608389</v>
      </c>
      <c r="C18990" t="str">
        <f>"208000000X"</f>
        <v>208000000X</v>
      </c>
      <c r="D18990" t="str">
        <f>"TURNER                   HELEN        I           "</f>
        <v xml:space="preserve">TURNER                   HELEN        I           </v>
      </c>
      <c r="E18990" t="str">
        <f>"KOSCIUSKO                 "</f>
        <v xml:space="preserve">KOSCIUSKO                 </v>
      </c>
      <c r="F18990" t="str">
        <f t="shared" si="459"/>
        <v>MS</v>
      </c>
    </row>
    <row r="18991" spans="1:6" x14ac:dyDescent="0.25">
      <c r="A18991" t="str">
        <f>"200021022"</f>
        <v>200021022</v>
      </c>
      <c r="B18991" t="str">
        <f>"1336608389"</f>
        <v>1336608389</v>
      </c>
      <c r="C18991" t="str">
        <f>"207R00000X"</f>
        <v>207R00000X</v>
      </c>
      <c r="D18991" t="str">
        <f>"TURNER                   HELEN        I           "</f>
        <v xml:space="preserve">TURNER                   HELEN        I           </v>
      </c>
      <c r="E18991" t="str">
        <f>"KOSCIUSKO                 "</f>
        <v xml:space="preserve">KOSCIUSKO                 </v>
      </c>
      <c r="F18991" t="str">
        <f t="shared" si="459"/>
        <v>MS</v>
      </c>
    </row>
    <row r="18992" spans="1:6" x14ac:dyDescent="0.25">
      <c r="A18992" t="str">
        <f>"200021023"</f>
        <v>200021023</v>
      </c>
      <c r="B18992" t="str">
        <f>"1679916738"</f>
        <v>1679916738</v>
      </c>
      <c r="C18992" t="str">
        <f>"363LF0000X"</f>
        <v>363LF0000X</v>
      </c>
      <c r="D18992" t="str">
        <f>"HARRIS                   ELLEN        D           "</f>
        <v xml:space="preserve">HARRIS                   ELLEN        D           </v>
      </c>
      <c r="E18992" t="str">
        <f>"OSYKA                     "</f>
        <v xml:space="preserve">OSYKA                     </v>
      </c>
      <c r="F18992" t="str">
        <f t="shared" si="459"/>
        <v>MS</v>
      </c>
    </row>
    <row r="18993" spans="1:6" x14ac:dyDescent="0.25">
      <c r="A18993" t="str">
        <f>"200021026"</f>
        <v>200021026</v>
      </c>
      <c r="B18993" t="str">
        <f>"1518954197"</f>
        <v>1518954197</v>
      </c>
      <c r="C18993" t="str">
        <f>"204D00000X"</f>
        <v>204D00000X</v>
      </c>
      <c r="D18993" t="str">
        <f>"HALMA                    KELLY                    "</f>
        <v xml:space="preserve">HALMA                    KELLY                    </v>
      </c>
      <c r="E18993" t="str">
        <f>"SOUTHAVEN                 "</f>
        <v xml:space="preserve">SOUTHAVEN                 </v>
      </c>
      <c r="F18993" t="str">
        <f t="shared" si="459"/>
        <v>MS</v>
      </c>
    </row>
    <row r="18994" spans="1:6" x14ac:dyDescent="0.25">
      <c r="A18994" t="str">
        <f>"200021036"</f>
        <v>200021036</v>
      </c>
      <c r="B18994" t="str">
        <f>"1639795529"</f>
        <v>1639795529</v>
      </c>
      <c r="C18994" t="str">
        <f>"207Y00000X"</f>
        <v>207Y00000X</v>
      </c>
      <c r="D18994" t="str">
        <f>"STOCKTON                 SAVANNAH     M           "</f>
        <v xml:space="preserve">STOCKTON                 SAVANNAH     M           </v>
      </c>
      <c r="E18994" t="str">
        <f>"BROOKHAVEN                "</f>
        <v xml:space="preserve">BROOKHAVEN                </v>
      </c>
      <c r="F18994" t="str">
        <f t="shared" si="459"/>
        <v>MS</v>
      </c>
    </row>
    <row r="18995" spans="1:6" x14ac:dyDescent="0.25">
      <c r="A18995" t="str">
        <f>"200021042"</f>
        <v>200021042</v>
      </c>
      <c r="B18995" t="str">
        <f>"1740714179"</f>
        <v>1740714179</v>
      </c>
      <c r="C18995" t="str">
        <f>"207P00000X"</f>
        <v>207P00000X</v>
      </c>
      <c r="D18995" t="str">
        <f>"YATES                    MARGARET                 "</f>
        <v xml:space="preserve">YATES                    MARGARET                 </v>
      </c>
      <c r="E18995" t="str">
        <f>"OXFORD                    "</f>
        <v xml:space="preserve">OXFORD                    </v>
      </c>
      <c r="F18995" t="str">
        <f t="shared" si="459"/>
        <v>MS</v>
      </c>
    </row>
    <row r="18996" spans="1:6" x14ac:dyDescent="0.25">
      <c r="A18996" t="str">
        <f>"200021067"</f>
        <v>200021067</v>
      </c>
      <c r="B18996" t="str">
        <f>"1992509939"</f>
        <v>1992509939</v>
      </c>
      <c r="C18996" t="str">
        <f>"207Q00000X"</f>
        <v>207Q00000X</v>
      </c>
      <c r="D18996" t="str">
        <f>"AMANUDDIN                SYED MOHAMMED            "</f>
        <v xml:space="preserve">AMANUDDIN                SYED MOHAMMED            </v>
      </c>
      <c r="E18996" t="str">
        <f>"HATTIESBURG               "</f>
        <v xml:space="preserve">HATTIESBURG               </v>
      </c>
      <c r="F18996" t="str">
        <f t="shared" si="459"/>
        <v>MS</v>
      </c>
    </row>
    <row r="18997" spans="1:6" x14ac:dyDescent="0.25">
      <c r="A18997" t="str">
        <f>"200021068"</f>
        <v>200021068</v>
      </c>
      <c r="B18997" t="str">
        <f>"1316737372"</f>
        <v>1316737372</v>
      </c>
      <c r="C18997" t="str">
        <f>"207R00000X"</f>
        <v>207R00000X</v>
      </c>
      <c r="D18997" t="str">
        <f>"GIBLIN                   RONALD                   "</f>
        <v xml:space="preserve">GIBLIN                   RONALD                   </v>
      </c>
      <c r="E18997" t="str">
        <f>"TUPELO                    "</f>
        <v xml:space="preserve">TUPELO                    </v>
      </c>
      <c r="F18997" t="str">
        <f t="shared" si="459"/>
        <v>MS</v>
      </c>
    </row>
    <row r="18998" spans="1:6" x14ac:dyDescent="0.25">
      <c r="A18998" t="str">
        <f>"200021070"</f>
        <v>200021070</v>
      </c>
      <c r="B18998" t="str">
        <f>"1174273726"</f>
        <v>1174273726</v>
      </c>
      <c r="C18998" t="str">
        <f>"208000000X"</f>
        <v>208000000X</v>
      </c>
      <c r="D18998" t="str">
        <f>"HALL                     JASON        T           "</f>
        <v xml:space="preserve">HALL                     JASON        T           </v>
      </c>
      <c r="E18998" t="str">
        <f>"GULFPORT                  "</f>
        <v xml:space="preserve">GULFPORT                  </v>
      </c>
      <c r="F18998" t="str">
        <f t="shared" si="459"/>
        <v>MS</v>
      </c>
    </row>
    <row r="18999" spans="1:6" x14ac:dyDescent="0.25">
      <c r="A18999" t="str">
        <f>"200021071"</f>
        <v>200021071</v>
      </c>
      <c r="B18999" t="str">
        <f>"1699569590"</f>
        <v>1699569590</v>
      </c>
      <c r="C18999" t="str">
        <f>"207Q00000X"</f>
        <v>207Q00000X</v>
      </c>
      <c r="D18999" t="str">
        <f>"EVANS                    TAYLOR                   "</f>
        <v xml:space="preserve">EVANS                    TAYLOR                   </v>
      </c>
      <c r="E18999" t="str">
        <f>"HATTIESBURG               "</f>
        <v xml:space="preserve">HATTIESBURG               </v>
      </c>
      <c r="F18999" t="str">
        <f t="shared" si="459"/>
        <v>MS</v>
      </c>
    </row>
    <row r="19000" spans="1:6" x14ac:dyDescent="0.25">
      <c r="A19000" t="str">
        <f>"200021072"</f>
        <v>200021072</v>
      </c>
      <c r="B19000" t="str">
        <f>"1336171719"</f>
        <v>1336171719</v>
      </c>
      <c r="C19000" t="str">
        <f>"207P00000X"</f>
        <v>207P00000X</v>
      </c>
      <c r="D19000" t="str">
        <f>"CHRISTEN                 NEIL                     "</f>
        <v xml:space="preserve">CHRISTEN                 NEIL                     </v>
      </c>
      <c r="E19000" t="str">
        <f>"STARKVILLE                "</f>
        <v xml:space="preserve">STARKVILLE                </v>
      </c>
      <c r="F19000" t="str">
        <f t="shared" si="459"/>
        <v>MS</v>
      </c>
    </row>
    <row r="19001" spans="1:6" x14ac:dyDescent="0.25">
      <c r="A19001" t="str">
        <f>"200021076"</f>
        <v>200021076</v>
      </c>
      <c r="B19001" t="str">
        <f>"1902536956"</f>
        <v>1902536956</v>
      </c>
      <c r="C19001" t="str">
        <f>"207R00000X"</f>
        <v>207R00000X</v>
      </c>
      <c r="D19001" t="str">
        <f>"DAWOOD                   AMBER                    "</f>
        <v xml:space="preserve">DAWOOD                   AMBER                    </v>
      </c>
      <c r="E19001" t="str">
        <f>"LAUREL                    "</f>
        <v xml:space="preserve">LAUREL                    </v>
      </c>
      <c r="F19001" t="str">
        <f t="shared" si="459"/>
        <v>MS</v>
      </c>
    </row>
    <row r="19002" spans="1:6" x14ac:dyDescent="0.25">
      <c r="A19002" t="str">
        <f>"200021078"</f>
        <v>200021078</v>
      </c>
      <c r="B19002" t="str">
        <f>"1396575049"</f>
        <v>1396575049</v>
      </c>
      <c r="C19002" t="str">
        <f>"363A00000X"</f>
        <v>363A00000X</v>
      </c>
      <c r="D19002" t="str">
        <f>"KAUR                     SIMARJIT                 "</f>
        <v xml:space="preserve">KAUR                     SIMARJIT                 </v>
      </c>
      <c r="E19002" t="str">
        <f>"VICKSBURG                 "</f>
        <v xml:space="preserve">VICKSBURG                 </v>
      </c>
      <c r="F19002" t="str">
        <f t="shared" si="459"/>
        <v>MS</v>
      </c>
    </row>
    <row r="19003" spans="1:6" x14ac:dyDescent="0.25">
      <c r="A19003" t="str">
        <f>"200021081"</f>
        <v>200021081</v>
      </c>
      <c r="B19003" t="str">
        <f>"1467008292"</f>
        <v>1467008292</v>
      </c>
      <c r="C19003" t="str">
        <f>"363LF0000X"</f>
        <v>363LF0000X</v>
      </c>
      <c r="D19003" t="str">
        <f>"FRANCISCO                RACHEL                   "</f>
        <v xml:space="preserve">FRANCISCO                RACHEL                   </v>
      </c>
      <c r="E19003" t="str">
        <f>"JACKSON                   "</f>
        <v xml:space="preserve">JACKSON                   </v>
      </c>
      <c r="F19003" t="str">
        <f t="shared" si="459"/>
        <v>MS</v>
      </c>
    </row>
    <row r="19004" spans="1:6" x14ac:dyDescent="0.25">
      <c r="A19004" t="str">
        <f>"200021094"</f>
        <v>200021094</v>
      </c>
      <c r="B19004" t="str">
        <f>"1669775581"</f>
        <v>1669775581</v>
      </c>
      <c r="C19004" t="str">
        <f>"363LF0000X"</f>
        <v>363LF0000X</v>
      </c>
      <c r="D19004" t="str">
        <f>"BARFIELD                 CYNTHIA                  "</f>
        <v xml:space="preserve">BARFIELD                 CYNTHIA                  </v>
      </c>
      <c r="E19004" t="str">
        <f>"VANCLEAVE                 "</f>
        <v xml:space="preserve">VANCLEAVE                 </v>
      </c>
      <c r="F19004" t="str">
        <f t="shared" si="459"/>
        <v>MS</v>
      </c>
    </row>
    <row r="19005" spans="1:6" x14ac:dyDescent="0.25">
      <c r="A19005" t="str">
        <f>"200021097"</f>
        <v>200021097</v>
      </c>
      <c r="B19005" t="str">
        <f>"1972587418"</f>
        <v>1972587418</v>
      </c>
      <c r="C19005" t="str">
        <f>"207R00000X"</f>
        <v>207R00000X</v>
      </c>
      <c r="D19005" t="str">
        <f>"OWEN                     STANFORD     A           "</f>
        <v xml:space="preserve">OWEN                     STANFORD     A           </v>
      </c>
      <c r="E19005" t="str">
        <f>"GULFPORT                  "</f>
        <v xml:space="preserve">GULFPORT                  </v>
      </c>
      <c r="F19005" t="str">
        <f t="shared" si="459"/>
        <v>MS</v>
      </c>
    </row>
    <row r="19006" spans="1:6" x14ac:dyDescent="0.25">
      <c r="A19006" t="str">
        <f>"200021099"</f>
        <v>200021099</v>
      </c>
      <c r="B19006" t="str">
        <f>"1790417251"</f>
        <v>1790417251</v>
      </c>
      <c r="C19006" t="str">
        <f>"207Q00000X"</f>
        <v>207Q00000X</v>
      </c>
      <c r="D19006" t="str">
        <f>"MILES                    JENNI        K           "</f>
        <v xml:space="preserve">MILES                    JENNI        K           </v>
      </c>
      <c r="E19006" t="str">
        <f>"KOSCIUSKO                 "</f>
        <v xml:space="preserve">KOSCIUSKO                 </v>
      </c>
      <c r="F19006" t="str">
        <f t="shared" ref="F19006:F19069" si="460">"MS"</f>
        <v>MS</v>
      </c>
    </row>
    <row r="19007" spans="1:6" x14ac:dyDescent="0.25">
      <c r="A19007" t="str">
        <f>"200021102"</f>
        <v>200021102</v>
      </c>
      <c r="B19007" t="str">
        <f>"1326556184"</f>
        <v>1326556184</v>
      </c>
      <c r="C19007" t="str">
        <f>"363LF0000X"</f>
        <v>363LF0000X</v>
      </c>
      <c r="D19007" t="str">
        <f>"EALY                     ANGELA       B           "</f>
        <v xml:space="preserve">EALY                     ANGELA       B           </v>
      </c>
      <c r="E19007" t="str">
        <f>"TUNICA                    "</f>
        <v xml:space="preserve">TUNICA                    </v>
      </c>
      <c r="F19007" t="str">
        <f t="shared" si="460"/>
        <v>MS</v>
      </c>
    </row>
    <row r="19008" spans="1:6" x14ac:dyDescent="0.25">
      <c r="A19008" t="str">
        <f>"200021103"</f>
        <v>200021103</v>
      </c>
      <c r="B19008" t="str">
        <f>"1588455109"</f>
        <v>1588455109</v>
      </c>
      <c r="C19008" t="str">
        <f>"207R00000X"</f>
        <v>207R00000X</v>
      </c>
      <c r="D19008" t="str">
        <f>"PRIYA                    ANSHU                    "</f>
        <v xml:space="preserve">PRIYA                    ANSHU                    </v>
      </c>
      <c r="E19008" t="str">
        <f>"TUPELO                    "</f>
        <v xml:space="preserve">TUPELO                    </v>
      </c>
      <c r="F19008" t="str">
        <f t="shared" si="460"/>
        <v>MS</v>
      </c>
    </row>
    <row r="19009" spans="1:6" x14ac:dyDescent="0.25">
      <c r="A19009" t="str">
        <f>"200021105"</f>
        <v>200021105</v>
      </c>
      <c r="B19009" t="str">
        <f>"1891458139"</f>
        <v>1891458139</v>
      </c>
      <c r="C19009" t="str">
        <f>"363L00000X"</f>
        <v>363L00000X</v>
      </c>
      <c r="D19009" t="str">
        <f>"BOOKER                   KATRINA                  "</f>
        <v xml:space="preserve">BOOKER                   KATRINA                  </v>
      </c>
      <c r="E19009" t="str">
        <f>"GULFPORT                  "</f>
        <v xml:space="preserve">GULFPORT                  </v>
      </c>
      <c r="F19009" t="str">
        <f t="shared" si="460"/>
        <v>MS</v>
      </c>
    </row>
    <row r="19010" spans="1:6" x14ac:dyDescent="0.25">
      <c r="A19010" t="str">
        <f>"200021113"</f>
        <v>200021113</v>
      </c>
      <c r="B19010" t="str">
        <f>"1639810310"</f>
        <v>1639810310</v>
      </c>
      <c r="C19010" t="str">
        <f>"207Q00000X"</f>
        <v>207Q00000X</v>
      </c>
      <c r="D19010" t="str">
        <f>"DOAN                     ANDY                     "</f>
        <v xml:space="preserve">DOAN                     ANDY                     </v>
      </c>
      <c r="E19010" t="str">
        <f>"OCEAN SPRINGS             "</f>
        <v xml:space="preserve">OCEAN SPRINGS             </v>
      </c>
      <c r="F19010" t="str">
        <f t="shared" si="460"/>
        <v>MS</v>
      </c>
    </row>
    <row r="19011" spans="1:6" x14ac:dyDescent="0.25">
      <c r="A19011" t="str">
        <f>"200021114"</f>
        <v>200021114</v>
      </c>
      <c r="B19011" t="str">
        <f>"1437956737"</f>
        <v>1437956737</v>
      </c>
      <c r="C19011" t="str">
        <f>"363L00000X"</f>
        <v>363L00000X</v>
      </c>
      <c r="D19011" t="str">
        <f>"COCKRELL                 SARAH                    "</f>
        <v xml:space="preserve">COCKRELL                 SARAH                    </v>
      </c>
      <c r="E19011" t="str">
        <f>"JACKSON                   "</f>
        <v xml:space="preserve">JACKSON                   </v>
      </c>
      <c r="F19011" t="str">
        <f t="shared" si="460"/>
        <v>MS</v>
      </c>
    </row>
    <row r="19012" spans="1:6" x14ac:dyDescent="0.25">
      <c r="A19012" t="str">
        <f>"200021115"</f>
        <v>200021115</v>
      </c>
      <c r="B19012" t="str">
        <f>"1215575956"</f>
        <v>1215575956</v>
      </c>
      <c r="C19012" t="str">
        <f>"363LF0000X"</f>
        <v>363LF0000X</v>
      </c>
      <c r="D19012" t="str">
        <f>"STROBLE                  MIA          D           "</f>
        <v xml:space="preserve">STROBLE                  MIA          D           </v>
      </c>
      <c r="E19012" t="str">
        <f>"FLOWOOD                   "</f>
        <v xml:space="preserve">FLOWOOD                   </v>
      </c>
      <c r="F19012" t="str">
        <f t="shared" si="460"/>
        <v>MS</v>
      </c>
    </row>
    <row r="19013" spans="1:6" x14ac:dyDescent="0.25">
      <c r="A19013" t="str">
        <f>"200021117"</f>
        <v>200021117</v>
      </c>
      <c r="B19013" t="str">
        <f>"1245908607"</f>
        <v>1245908607</v>
      </c>
      <c r="C19013" t="str">
        <f>"367500000X"</f>
        <v>367500000X</v>
      </c>
      <c r="D19013" t="str">
        <f>"LUNCEFORD                CARA                     "</f>
        <v xml:space="preserve">LUNCEFORD                CARA                     </v>
      </c>
      <c r="E19013" t="str">
        <f>"JACKSON                   "</f>
        <v xml:space="preserve">JACKSON                   </v>
      </c>
      <c r="F19013" t="str">
        <f t="shared" si="460"/>
        <v>MS</v>
      </c>
    </row>
    <row r="19014" spans="1:6" x14ac:dyDescent="0.25">
      <c r="A19014" t="str">
        <f>"200021123"</f>
        <v>200021123</v>
      </c>
      <c r="B19014" t="str">
        <f>"1730183401"</f>
        <v>1730183401</v>
      </c>
      <c r="C19014" t="str">
        <f>"207RN0300X"</f>
        <v>207RN0300X</v>
      </c>
      <c r="D19014" t="str">
        <f>"GUPTA                    SHAMINDER                "</f>
        <v xml:space="preserve">GUPTA                    SHAMINDER                </v>
      </c>
      <c r="E19014" t="str">
        <f>"RIDGELAND                 "</f>
        <v xml:space="preserve">RIDGELAND                 </v>
      </c>
      <c r="F19014" t="str">
        <f t="shared" si="460"/>
        <v>MS</v>
      </c>
    </row>
    <row r="19015" spans="1:6" x14ac:dyDescent="0.25">
      <c r="A19015" t="str">
        <f>"200021124"</f>
        <v>200021124</v>
      </c>
      <c r="B19015" t="str">
        <f>"1407413701"</f>
        <v>1407413701</v>
      </c>
      <c r="C19015" t="str">
        <f>"363LF0000X"</f>
        <v>363LF0000X</v>
      </c>
      <c r="D19015" t="str">
        <f>"BOYD                     157018                   "</f>
        <v xml:space="preserve">BOYD                     157018                   </v>
      </c>
      <c r="E19015" t="str">
        <f>"VANCLEAVE                 "</f>
        <v xml:space="preserve">VANCLEAVE                 </v>
      </c>
      <c r="F19015" t="str">
        <f t="shared" si="460"/>
        <v>MS</v>
      </c>
    </row>
    <row r="19016" spans="1:6" x14ac:dyDescent="0.25">
      <c r="A19016" t="str">
        <f>"200021126"</f>
        <v>200021126</v>
      </c>
      <c r="B19016" t="str">
        <f>"1649647256"</f>
        <v>1649647256</v>
      </c>
      <c r="C19016" t="str">
        <f>"363LF0000X"</f>
        <v>363LF0000X</v>
      </c>
      <c r="D19016" t="str">
        <f>"DUNCAN                   JENNIFER                 "</f>
        <v xml:space="preserve">DUNCAN                   JENNIFER                 </v>
      </c>
      <c r="E19016" t="str">
        <f>"VANCLEAVE                 "</f>
        <v xml:space="preserve">VANCLEAVE                 </v>
      </c>
      <c r="F19016" t="str">
        <f t="shared" si="460"/>
        <v>MS</v>
      </c>
    </row>
    <row r="19017" spans="1:6" x14ac:dyDescent="0.25">
      <c r="A19017" t="str">
        <f>"200021131"</f>
        <v>200021131</v>
      </c>
      <c r="B19017" t="str">
        <f>"1851118657"</f>
        <v>1851118657</v>
      </c>
      <c r="C19017" t="str">
        <f>"363LF0000X"</f>
        <v>363LF0000X</v>
      </c>
      <c r="D19017" t="str">
        <f>"MCCRAW                   KAYLEA       A           "</f>
        <v xml:space="preserve">MCCRAW                   KAYLEA       A           </v>
      </c>
      <c r="E19017" t="str">
        <f>"CLARKSDALE                "</f>
        <v xml:space="preserve">CLARKSDALE                </v>
      </c>
      <c r="F19017" t="str">
        <f t="shared" si="460"/>
        <v>MS</v>
      </c>
    </row>
    <row r="19018" spans="1:6" x14ac:dyDescent="0.25">
      <c r="A19018" t="str">
        <f>"200021135"</f>
        <v>200021135</v>
      </c>
      <c r="B19018" t="str">
        <f>"1306635214"</f>
        <v>1306635214</v>
      </c>
      <c r="C19018" t="str">
        <f>"207R00000X"</f>
        <v>207R00000X</v>
      </c>
      <c r="D19018" t="str">
        <f>"ATLA                     AMRUTHA                  "</f>
        <v xml:space="preserve">ATLA                     AMRUTHA                  </v>
      </c>
      <c r="E19018" t="str">
        <f>"TUPELO                    "</f>
        <v xml:space="preserve">TUPELO                    </v>
      </c>
      <c r="F19018" t="str">
        <f t="shared" si="460"/>
        <v>MS</v>
      </c>
    </row>
    <row r="19019" spans="1:6" x14ac:dyDescent="0.25">
      <c r="A19019" t="str">
        <f>"200021136"</f>
        <v>200021136</v>
      </c>
      <c r="B19019" t="str">
        <f>"1306648365"</f>
        <v>1306648365</v>
      </c>
      <c r="C19019" t="str">
        <f>"207P00000X"</f>
        <v>207P00000X</v>
      </c>
      <c r="D19019" t="str">
        <f>"BELL                     HAMPTON                  "</f>
        <v xml:space="preserve">BELL                     HAMPTON                  </v>
      </c>
      <c r="E19019" t="str">
        <f>"JACKSON                   "</f>
        <v xml:space="preserve">JACKSON                   </v>
      </c>
      <c r="F19019" t="str">
        <f t="shared" si="460"/>
        <v>MS</v>
      </c>
    </row>
    <row r="19020" spans="1:6" x14ac:dyDescent="0.25">
      <c r="A19020" t="str">
        <f>"200021140"</f>
        <v>200021140</v>
      </c>
      <c r="B19020" t="str">
        <f>"1255389623"</f>
        <v>1255389623</v>
      </c>
      <c r="C19020" t="str">
        <f>"207Y00000X"</f>
        <v>207Y00000X</v>
      </c>
      <c r="D19020" t="str">
        <f>"CHANDRA                  RAKESH       K           "</f>
        <v xml:space="preserve">CHANDRA                  RAKESH       K           </v>
      </c>
      <c r="E19020" t="str">
        <f>"JACKSON                   "</f>
        <v xml:space="preserve">JACKSON                   </v>
      </c>
      <c r="F19020" t="str">
        <f t="shared" si="460"/>
        <v>MS</v>
      </c>
    </row>
    <row r="19021" spans="1:6" x14ac:dyDescent="0.25">
      <c r="A19021" t="str">
        <f>"200021142"</f>
        <v>200021142</v>
      </c>
      <c r="B19021" t="str">
        <f>"1245970730"</f>
        <v>1245970730</v>
      </c>
      <c r="C19021" t="str">
        <f>"207Q00000X"</f>
        <v>207Q00000X</v>
      </c>
      <c r="D19021" t="str">
        <f>"WEBSTER                  TRAVIS                   "</f>
        <v xml:space="preserve">WEBSTER                  TRAVIS                   </v>
      </c>
      <c r="E19021" t="str">
        <f>"GULFPORT                  "</f>
        <v xml:space="preserve">GULFPORT                  </v>
      </c>
      <c r="F19021" t="str">
        <f t="shared" si="460"/>
        <v>MS</v>
      </c>
    </row>
    <row r="19022" spans="1:6" x14ac:dyDescent="0.25">
      <c r="A19022" t="str">
        <f>"200021145"</f>
        <v>200021145</v>
      </c>
      <c r="B19022" t="str">
        <f>"1942468202"</f>
        <v>1942468202</v>
      </c>
      <c r="C19022" t="str">
        <f>"122300000X"</f>
        <v>122300000X</v>
      </c>
      <c r="D19022" t="str">
        <f>"CARTHAGE FAMILY DENTISTRY                         "</f>
        <v xml:space="preserve">CARTHAGE FAMILY DENTISTRY                         </v>
      </c>
      <c r="E19022" t="str">
        <f>"CARTHAGE                  "</f>
        <v xml:space="preserve">CARTHAGE                  </v>
      </c>
      <c r="F19022" t="str">
        <f t="shared" si="460"/>
        <v>MS</v>
      </c>
    </row>
    <row r="19023" spans="1:6" x14ac:dyDescent="0.25">
      <c r="A19023" t="str">
        <f>"200021149"</f>
        <v>200021149</v>
      </c>
      <c r="B19023" t="str">
        <f>"1821852112"</f>
        <v>1821852112</v>
      </c>
      <c r="C19023" t="str">
        <f>"207R00000X"</f>
        <v>207R00000X</v>
      </c>
      <c r="D19023" t="str">
        <f>"BOUCHILLON               AVERY                    "</f>
        <v xml:space="preserve">BOUCHILLON               AVERY                    </v>
      </c>
      <c r="E19023" t="str">
        <f>"JACKSON                   "</f>
        <v xml:space="preserve">JACKSON                   </v>
      </c>
      <c r="F19023" t="str">
        <f t="shared" si="460"/>
        <v>MS</v>
      </c>
    </row>
    <row r="19024" spans="1:6" x14ac:dyDescent="0.25">
      <c r="A19024" t="str">
        <f>"200021150"</f>
        <v>200021150</v>
      </c>
      <c r="B19024" t="str">
        <f>"1902796824"</f>
        <v>1902796824</v>
      </c>
      <c r="C19024" t="str">
        <f>"2084P0800X"</f>
        <v>2084P0800X</v>
      </c>
      <c r="D19024" t="str">
        <f>"CHEN                     ADAM         Y           "</f>
        <v xml:space="preserve">CHEN                     ADAM         Y           </v>
      </c>
      <c r="E19024" t="str">
        <f>"WHITFIELD                 "</f>
        <v xml:space="preserve">WHITFIELD                 </v>
      </c>
      <c r="F19024" t="str">
        <f t="shared" si="460"/>
        <v>MS</v>
      </c>
    </row>
    <row r="19025" spans="1:6" x14ac:dyDescent="0.25">
      <c r="A19025" t="str">
        <f>"200021151"</f>
        <v>200021151</v>
      </c>
      <c r="B19025" t="str">
        <f>"1730948969"</f>
        <v>1730948969</v>
      </c>
      <c r="C19025" t="str">
        <f>"207R00000X"</f>
        <v>207R00000X</v>
      </c>
      <c r="D19025" t="str">
        <f>"HAWKINS                  WILLIAM                  "</f>
        <v xml:space="preserve">HAWKINS                  WILLIAM                  </v>
      </c>
      <c r="E19025" t="str">
        <f>"TUPELO                    "</f>
        <v xml:space="preserve">TUPELO                    </v>
      </c>
      <c r="F19025" t="str">
        <f t="shared" si="460"/>
        <v>MS</v>
      </c>
    </row>
    <row r="19026" spans="1:6" x14ac:dyDescent="0.25">
      <c r="A19026" t="str">
        <f>"200021153"</f>
        <v>200021153</v>
      </c>
      <c r="B19026" t="str">
        <f>"1952493546"</f>
        <v>1952493546</v>
      </c>
      <c r="C19026" t="str">
        <f>"207Q00000X"</f>
        <v>207Q00000X</v>
      </c>
      <c r="D19026" t="str">
        <f>"PULLIAM                  JOE          S           "</f>
        <v xml:space="preserve">PULLIAM                  JOE          S           </v>
      </c>
      <c r="E19026" t="str">
        <f>"GREENVILLE                "</f>
        <v xml:space="preserve">GREENVILLE                </v>
      </c>
      <c r="F19026" t="str">
        <f t="shared" si="460"/>
        <v>MS</v>
      </c>
    </row>
    <row r="19027" spans="1:6" x14ac:dyDescent="0.25">
      <c r="A19027" t="str">
        <f>"200021154"</f>
        <v>200021154</v>
      </c>
      <c r="B19027" t="str">
        <f>"1578366209"</f>
        <v>1578366209</v>
      </c>
      <c r="C19027" t="str">
        <f>"207L00000X"</f>
        <v>207L00000X</v>
      </c>
      <c r="D19027" t="str">
        <f>"DOUGLAS                  BETHEA                   "</f>
        <v xml:space="preserve">DOUGLAS                  BETHEA                   </v>
      </c>
      <c r="E19027" t="str">
        <f>"JACKSON                   "</f>
        <v xml:space="preserve">JACKSON                   </v>
      </c>
      <c r="F19027" t="str">
        <f t="shared" si="460"/>
        <v>MS</v>
      </c>
    </row>
    <row r="19028" spans="1:6" x14ac:dyDescent="0.25">
      <c r="A19028" t="str">
        <f>"200021155"</f>
        <v>200021155</v>
      </c>
      <c r="B19028" t="str">
        <f>"1700677416"</f>
        <v>1700677416</v>
      </c>
      <c r="C19028" t="str">
        <f>"1223G0001X"</f>
        <v>1223G0001X</v>
      </c>
      <c r="D19028" t="str">
        <f>"MAGNOLIA SMILES OF PURVIS PLLC                    "</f>
        <v xml:space="preserve">MAGNOLIA SMILES OF PURVIS PLLC                    </v>
      </c>
      <c r="E19028" t="str">
        <f>"PURVIS                    "</f>
        <v xml:space="preserve">PURVIS                    </v>
      </c>
      <c r="F19028" t="str">
        <f t="shared" si="460"/>
        <v>MS</v>
      </c>
    </row>
    <row r="19029" spans="1:6" x14ac:dyDescent="0.25">
      <c r="A19029" t="str">
        <f>"200021156"</f>
        <v>200021156</v>
      </c>
      <c r="B19029" t="str">
        <f>"1669610648"</f>
        <v>1669610648</v>
      </c>
      <c r="C19029" t="str">
        <f>"367500000X"</f>
        <v>367500000X</v>
      </c>
      <c r="D19029" t="str">
        <f>"KELLEY                   JOHN                     "</f>
        <v xml:space="preserve">KELLEY                   JOHN                     </v>
      </c>
      <c r="E19029" t="str">
        <f>"TUPELO                    "</f>
        <v xml:space="preserve">TUPELO                    </v>
      </c>
      <c r="F19029" t="str">
        <f t="shared" si="460"/>
        <v>MS</v>
      </c>
    </row>
    <row r="19030" spans="1:6" x14ac:dyDescent="0.25">
      <c r="A19030" t="str">
        <f>"200021157"</f>
        <v>200021157</v>
      </c>
      <c r="B19030" t="str">
        <f>"1265322432"</f>
        <v>1265322432</v>
      </c>
      <c r="C19030" t="str">
        <f>"122300000X"</f>
        <v>122300000X</v>
      </c>
      <c r="D19030" t="str">
        <f>"WATT                     GRADY        D           "</f>
        <v xml:space="preserve">WATT                     GRADY        D           </v>
      </c>
      <c r="E19030" t="str">
        <f>"CLARKSDALE                "</f>
        <v xml:space="preserve">CLARKSDALE                </v>
      </c>
      <c r="F19030" t="str">
        <f t="shared" si="460"/>
        <v>MS</v>
      </c>
    </row>
    <row r="19031" spans="1:6" x14ac:dyDescent="0.25">
      <c r="A19031" t="str">
        <f>"200021159"</f>
        <v>200021159</v>
      </c>
      <c r="B19031" t="str">
        <f>"1467245308"</f>
        <v>1467245308</v>
      </c>
      <c r="C19031" t="str">
        <f>"207R00000X"</f>
        <v>207R00000X</v>
      </c>
      <c r="D19031" t="str">
        <f>"MANISHA                  FNU                      "</f>
        <v xml:space="preserve">MANISHA                  FNU                      </v>
      </c>
      <c r="E19031" t="str">
        <f>"GULFPORT                  "</f>
        <v xml:space="preserve">GULFPORT                  </v>
      </c>
      <c r="F19031" t="str">
        <f t="shared" si="460"/>
        <v>MS</v>
      </c>
    </row>
    <row r="19032" spans="1:6" x14ac:dyDescent="0.25">
      <c r="A19032" t="str">
        <f>"200021162"</f>
        <v>200021162</v>
      </c>
      <c r="B19032" t="str">
        <f>"1194465781"</f>
        <v>1194465781</v>
      </c>
      <c r="C19032" t="str">
        <f>"1223P0221X"</f>
        <v>1223P0221X</v>
      </c>
      <c r="D19032" t="str">
        <f>"HREISH                   ANNE MARIE               "</f>
        <v xml:space="preserve">HREISH                   ANNE MARIE               </v>
      </c>
      <c r="E19032" t="str">
        <f>"MADISON                   "</f>
        <v xml:space="preserve">MADISON                   </v>
      </c>
      <c r="F19032" t="str">
        <f t="shared" si="460"/>
        <v>MS</v>
      </c>
    </row>
    <row r="19033" spans="1:6" x14ac:dyDescent="0.25">
      <c r="A19033" t="str">
        <f>"200021163"</f>
        <v>200021163</v>
      </c>
      <c r="B19033" t="str">
        <f>"1730974544"</f>
        <v>1730974544</v>
      </c>
      <c r="C19033" t="str">
        <f>"207R00000X"</f>
        <v>207R00000X</v>
      </c>
      <c r="D19033" t="str">
        <f>"SCOTT                    CHARLES                  "</f>
        <v xml:space="preserve">SCOTT                    CHARLES                  </v>
      </c>
      <c r="E19033" t="str">
        <f>"TUPELO                    "</f>
        <v xml:space="preserve">TUPELO                    </v>
      </c>
      <c r="F19033" t="str">
        <f t="shared" si="460"/>
        <v>MS</v>
      </c>
    </row>
    <row r="19034" spans="1:6" x14ac:dyDescent="0.25">
      <c r="A19034" t="str">
        <f>"200021164"</f>
        <v>200021164</v>
      </c>
      <c r="B19034" t="str">
        <f>"1053529669"</f>
        <v>1053529669</v>
      </c>
      <c r="C19034" t="str">
        <f>"207R00000X"</f>
        <v>207R00000X</v>
      </c>
      <c r="D19034" t="str">
        <f>"FREEMAN                  JAMES                    "</f>
        <v xml:space="preserve">FREEMAN                  JAMES                    </v>
      </c>
      <c r="E19034" t="str">
        <f>"COLUMBIA                  "</f>
        <v xml:space="preserve">COLUMBIA                  </v>
      </c>
      <c r="F19034" t="str">
        <f t="shared" si="460"/>
        <v>MS</v>
      </c>
    </row>
    <row r="19035" spans="1:6" x14ac:dyDescent="0.25">
      <c r="A19035" t="str">
        <f>"200021171"</f>
        <v>200021171</v>
      </c>
      <c r="B19035" t="str">
        <f>"1720269137"</f>
        <v>1720269137</v>
      </c>
      <c r="C19035" t="str">
        <f>"2085R0202X"</f>
        <v>2085R0202X</v>
      </c>
      <c r="D19035" t="str">
        <f>"STEPHENSON               JASON        W           "</f>
        <v xml:space="preserve">STEPHENSON               JASON        W           </v>
      </c>
      <c r="E19035" t="str">
        <f>"HATTIESBURG               "</f>
        <v xml:space="preserve">HATTIESBURG               </v>
      </c>
      <c r="F19035" t="str">
        <f t="shared" si="460"/>
        <v>MS</v>
      </c>
    </row>
    <row r="19036" spans="1:6" x14ac:dyDescent="0.25">
      <c r="A19036" t="str">
        <f>"200021177"</f>
        <v>200021177</v>
      </c>
      <c r="B19036" t="str">
        <f>"1972012847"</f>
        <v>1972012847</v>
      </c>
      <c r="C19036" t="str">
        <f>"363LF0000X"</f>
        <v>363LF0000X</v>
      </c>
      <c r="D19036" t="str">
        <f>"NELSON                   NATALIE                  "</f>
        <v xml:space="preserve">NELSON                   NATALIE                  </v>
      </c>
      <c r="E19036" t="str">
        <f>"OXFORD                    "</f>
        <v xml:space="preserve">OXFORD                    </v>
      </c>
      <c r="F19036" t="str">
        <f t="shared" si="460"/>
        <v>MS</v>
      </c>
    </row>
    <row r="19037" spans="1:6" x14ac:dyDescent="0.25">
      <c r="A19037" t="str">
        <f>"200021179"</f>
        <v>200021179</v>
      </c>
      <c r="B19037" t="str">
        <f>"1811622665"</f>
        <v>1811622665</v>
      </c>
      <c r="C19037" t="str">
        <f>"208M00000X"</f>
        <v>208M00000X</v>
      </c>
      <c r="D19037" t="str">
        <f>"AL-GHURAIBAWI            MUTHANNA     M           "</f>
        <v xml:space="preserve">AL-GHURAIBAWI            MUTHANNA     M           </v>
      </c>
      <c r="E19037" t="str">
        <f>"HATTIESBURG               "</f>
        <v xml:space="preserve">HATTIESBURG               </v>
      </c>
      <c r="F19037" t="str">
        <f t="shared" si="460"/>
        <v>MS</v>
      </c>
    </row>
    <row r="19038" spans="1:6" x14ac:dyDescent="0.25">
      <c r="A19038" t="str">
        <f>"200021183"</f>
        <v>200021183</v>
      </c>
      <c r="B19038" t="str">
        <f>"1437947405"</f>
        <v>1437947405</v>
      </c>
      <c r="C19038" t="str">
        <f>"207R00000X"</f>
        <v>207R00000X</v>
      </c>
      <c r="D19038" t="str">
        <f>"ZAHRA                    SADAF                    "</f>
        <v xml:space="preserve">ZAHRA                    SADAF                    </v>
      </c>
      <c r="E19038" t="str">
        <f>"GULFPORT                  "</f>
        <v xml:space="preserve">GULFPORT                  </v>
      </c>
      <c r="F19038" t="str">
        <f t="shared" si="460"/>
        <v>MS</v>
      </c>
    </row>
    <row r="19039" spans="1:6" x14ac:dyDescent="0.25">
      <c r="A19039" t="str">
        <f>"200021187"</f>
        <v>200021187</v>
      </c>
      <c r="B19039" t="str">
        <f>"1235920786"</f>
        <v>1235920786</v>
      </c>
      <c r="C19039" t="str">
        <f>"207R00000X"</f>
        <v>207R00000X</v>
      </c>
      <c r="D19039" t="str">
        <f>"CHATHA                   KIRAN                    "</f>
        <v xml:space="preserve">CHATHA                   KIRAN                    </v>
      </c>
      <c r="E19039" t="str">
        <f>"TUPELO                    "</f>
        <v xml:space="preserve">TUPELO                    </v>
      </c>
      <c r="F19039" t="str">
        <f t="shared" si="460"/>
        <v>MS</v>
      </c>
    </row>
    <row r="19040" spans="1:6" x14ac:dyDescent="0.25">
      <c r="A19040" t="str">
        <f>"200021188"</f>
        <v>200021188</v>
      </c>
      <c r="B19040" t="str">
        <f>"1720654999"</f>
        <v>1720654999</v>
      </c>
      <c r="C19040" t="str">
        <f>"208M00000X"</f>
        <v>208M00000X</v>
      </c>
      <c r="D19040" t="str">
        <f>"YANG                     CHIEH                    "</f>
        <v xml:space="preserve">YANG                     CHIEH                    </v>
      </c>
      <c r="E19040" t="str">
        <f>"HATTIESBURG               "</f>
        <v xml:space="preserve">HATTIESBURG               </v>
      </c>
      <c r="F19040" t="str">
        <f t="shared" si="460"/>
        <v>MS</v>
      </c>
    </row>
    <row r="19041" spans="1:6" x14ac:dyDescent="0.25">
      <c r="A19041" t="str">
        <f>"200021190"</f>
        <v>200021190</v>
      </c>
      <c r="B19041" t="str">
        <f>"1437950300"</f>
        <v>1437950300</v>
      </c>
      <c r="C19041" t="str">
        <f>"207P00000X"</f>
        <v>207P00000X</v>
      </c>
      <c r="D19041" t="str">
        <f>"CURLEE                   KYLE                     "</f>
        <v xml:space="preserve">CURLEE                   KYLE                     </v>
      </c>
      <c r="E19041" t="str">
        <f>"JACKSON                   "</f>
        <v xml:space="preserve">JACKSON                   </v>
      </c>
      <c r="F19041" t="str">
        <f t="shared" si="460"/>
        <v>MS</v>
      </c>
    </row>
    <row r="19042" spans="1:6" x14ac:dyDescent="0.25">
      <c r="A19042" t="str">
        <f>"200021191"</f>
        <v>200021191</v>
      </c>
      <c r="B19042" t="str">
        <f>"1619779758"</f>
        <v>1619779758</v>
      </c>
      <c r="C19042" t="str">
        <f>"207P00000X"</f>
        <v>207P00000X</v>
      </c>
      <c r="D19042" t="str">
        <f>"CALLAIS-LAGARDE          CARLIE                   "</f>
        <v xml:space="preserve">CALLAIS-LAGARDE          CARLIE                   </v>
      </c>
      <c r="E19042" t="str">
        <f>"JACKSON                   "</f>
        <v xml:space="preserve">JACKSON                   </v>
      </c>
      <c r="F19042" t="str">
        <f t="shared" si="460"/>
        <v>MS</v>
      </c>
    </row>
    <row r="19043" spans="1:6" x14ac:dyDescent="0.25">
      <c r="A19043" t="str">
        <f>"200021193"</f>
        <v>200021193</v>
      </c>
      <c r="B19043" t="str">
        <f>"1659178507"</f>
        <v>1659178507</v>
      </c>
      <c r="C19043" t="str">
        <f>"207V00000X"</f>
        <v>207V00000X</v>
      </c>
      <c r="D19043" t="str">
        <f>"CARLTON                  MILLER                   "</f>
        <v xml:space="preserve">CARLTON                  MILLER                   </v>
      </c>
      <c r="E19043" t="str">
        <f>"JACKSON                   "</f>
        <v xml:space="preserve">JACKSON                   </v>
      </c>
      <c r="F19043" t="str">
        <f t="shared" si="460"/>
        <v>MS</v>
      </c>
    </row>
    <row r="19044" spans="1:6" x14ac:dyDescent="0.25">
      <c r="A19044" t="str">
        <f>"200021194"</f>
        <v>200021194</v>
      </c>
      <c r="B19044" t="str">
        <f>"1013719202"</f>
        <v>1013719202</v>
      </c>
      <c r="C19044" t="str">
        <f>"207X00000X"</f>
        <v>207X00000X</v>
      </c>
      <c r="D19044" t="str">
        <f>"DUFRENE                  KYLIE                    "</f>
        <v xml:space="preserve">DUFRENE                  KYLIE                    </v>
      </c>
      <c r="E19044" t="str">
        <f>"JACKSON                   "</f>
        <v xml:space="preserve">JACKSON                   </v>
      </c>
      <c r="F19044" t="str">
        <f t="shared" si="460"/>
        <v>MS</v>
      </c>
    </row>
    <row r="19045" spans="1:6" x14ac:dyDescent="0.25">
      <c r="A19045" t="str">
        <f>"200021195"</f>
        <v>200021195</v>
      </c>
      <c r="B19045" t="str">
        <f>"1376339242"</f>
        <v>1376339242</v>
      </c>
      <c r="C19045" t="str">
        <f>"207R00000X"</f>
        <v>207R00000X</v>
      </c>
      <c r="D19045" t="str">
        <f>"CAGLE                    KYLE                     "</f>
        <v xml:space="preserve">CAGLE                    KYLE                     </v>
      </c>
      <c r="E19045" t="str">
        <f>"JACKSON                   "</f>
        <v xml:space="preserve">JACKSON                   </v>
      </c>
      <c r="F19045" t="str">
        <f t="shared" si="460"/>
        <v>MS</v>
      </c>
    </row>
    <row r="19046" spans="1:6" x14ac:dyDescent="0.25">
      <c r="A19046" t="str">
        <f>"200021201"</f>
        <v>200021201</v>
      </c>
      <c r="B19046" t="str">
        <f>"1578903563"</f>
        <v>1578903563</v>
      </c>
      <c r="C19046" t="str">
        <f>"207L00000X"</f>
        <v>207L00000X</v>
      </c>
      <c r="D19046" t="str">
        <f>"POWELL                   RENE                     "</f>
        <v xml:space="preserve">POWELL                   RENE                     </v>
      </c>
      <c r="E19046" t="str">
        <f>"MERIDIAN                  "</f>
        <v xml:space="preserve">MERIDIAN                  </v>
      </c>
      <c r="F19046" t="str">
        <f t="shared" si="460"/>
        <v>MS</v>
      </c>
    </row>
    <row r="19047" spans="1:6" x14ac:dyDescent="0.25">
      <c r="A19047" t="str">
        <f>"200021210"</f>
        <v>200021210</v>
      </c>
      <c r="B19047" t="str">
        <f>"1144023607"</f>
        <v>1144023607</v>
      </c>
      <c r="C19047" t="str">
        <f>"207Q00000X"</f>
        <v>207Q00000X</v>
      </c>
      <c r="D19047" t="str">
        <f>"ESTESS                   STEPHEN                  "</f>
        <v xml:space="preserve">ESTESS                   STEPHEN                  </v>
      </c>
      <c r="E19047" t="str">
        <f>"PETAL                     "</f>
        <v xml:space="preserve">PETAL                     </v>
      </c>
      <c r="F19047" t="str">
        <f t="shared" si="460"/>
        <v>MS</v>
      </c>
    </row>
    <row r="19048" spans="1:6" x14ac:dyDescent="0.25">
      <c r="A19048" t="str">
        <f>"200021211"</f>
        <v>200021211</v>
      </c>
      <c r="B19048" t="str">
        <f>"1093518326"</f>
        <v>1093518326</v>
      </c>
      <c r="C19048" t="str">
        <f>"207P00000X"</f>
        <v>207P00000X</v>
      </c>
      <c r="D19048" t="str">
        <f>"LAND                     JOEL                     "</f>
        <v xml:space="preserve">LAND                     JOEL                     </v>
      </c>
      <c r="E19048" t="str">
        <f>"HATTIESBURG               "</f>
        <v xml:space="preserve">HATTIESBURG               </v>
      </c>
      <c r="F19048" t="str">
        <f t="shared" si="460"/>
        <v>MS</v>
      </c>
    </row>
    <row r="19049" spans="1:6" x14ac:dyDescent="0.25">
      <c r="A19049" t="str">
        <f>"200021213"</f>
        <v>200021213</v>
      </c>
      <c r="B19049" t="str">
        <f>"1720881261"</f>
        <v>1720881261</v>
      </c>
      <c r="C19049" t="str">
        <f>"207P00000X"</f>
        <v>207P00000X</v>
      </c>
      <c r="D19049" t="str">
        <f>"RAJESH                   NIHARIKA                 "</f>
        <v xml:space="preserve">RAJESH                   NIHARIKA                 </v>
      </c>
      <c r="E19049" t="str">
        <f>"HATTIESBURG               "</f>
        <v xml:space="preserve">HATTIESBURG               </v>
      </c>
      <c r="F19049" t="str">
        <f t="shared" si="460"/>
        <v>MS</v>
      </c>
    </row>
    <row r="19050" spans="1:6" x14ac:dyDescent="0.25">
      <c r="A19050" t="str">
        <f>"200021214"</f>
        <v>200021214</v>
      </c>
      <c r="B19050" t="str">
        <f>"1477316123"</f>
        <v>1477316123</v>
      </c>
      <c r="C19050" t="str">
        <f>"207R00000X"</f>
        <v>207R00000X</v>
      </c>
      <c r="D19050" t="str">
        <f>"CASE                     CLINTON                  "</f>
        <v xml:space="preserve">CASE                     CLINTON                  </v>
      </c>
      <c r="E19050" t="str">
        <f>"JACKSON                   "</f>
        <v xml:space="preserve">JACKSON                   </v>
      </c>
      <c r="F19050" t="str">
        <f t="shared" si="460"/>
        <v>MS</v>
      </c>
    </row>
    <row r="19051" spans="1:6" x14ac:dyDescent="0.25">
      <c r="A19051" t="str">
        <f>"200021217"</f>
        <v>200021217</v>
      </c>
      <c r="B19051" t="str">
        <f>"1063207280"</f>
        <v>1063207280</v>
      </c>
      <c r="C19051" t="str">
        <f>"207Q00000X"</f>
        <v>207Q00000X</v>
      </c>
      <c r="D19051" t="str">
        <f>"AHMAD                    ALI                      "</f>
        <v xml:space="preserve">AHMAD                    ALI                      </v>
      </c>
      <c r="E19051" t="str">
        <f>"GULFPORT                  "</f>
        <v xml:space="preserve">GULFPORT                  </v>
      </c>
      <c r="F19051" t="str">
        <f t="shared" si="460"/>
        <v>MS</v>
      </c>
    </row>
    <row r="19052" spans="1:6" x14ac:dyDescent="0.25">
      <c r="A19052" t="str">
        <f>"200021218"</f>
        <v>200021218</v>
      </c>
      <c r="B19052" t="str">
        <f>"1205624517"</f>
        <v>1205624517</v>
      </c>
      <c r="C19052" t="str">
        <f>"207Q00000X"</f>
        <v>207Q00000X</v>
      </c>
      <c r="D19052" t="str">
        <f>"TURNER                   FRANKLIN                 "</f>
        <v xml:space="preserve">TURNER                   FRANKLIN                 </v>
      </c>
      <c r="E19052" t="str">
        <f>"GULFPORT                  "</f>
        <v xml:space="preserve">GULFPORT                  </v>
      </c>
      <c r="F19052" t="str">
        <f t="shared" si="460"/>
        <v>MS</v>
      </c>
    </row>
    <row r="19053" spans="1:6" x14ac:dyDescent="0.25">
      <c r="A19053" t="str">
        <f>"200021221"</f>
        <v>200021221</v>
      </c>
      <c r="B19053" t="str">
        <f>"1285486449"</f>
        <v>1285486449</v>
      </c>
      <c r="C19053" t="str">
        <f>"363A00000X"</f>
        <v>363A00000X</v>
      </c>
      <c r="D19053" t="str">
        <f>"BELL                     DERRICK      M           "</f>
        <v xml:space="preserve">BELL                     DERRICK      M           </v>
      </c>
      <c r="E19053" t="str">
        <f>"HATTIESBURG               "</f>
        <v xml:space="preserve">HATTIESBURG               </v>
      </c>
      <c r="F19053" t="str">
        <f t="shared" si="460"/>
        <v>MS</v>
      </c>
    </row>
    <row r="19054" spans="1:6" x14ac:dyDescent="0.25">
      <c r="A19054" t="str">
        <f>"200021222"</f>
        <v>200021222</v>
      </c>
      <c r="B19054" t="str">
        <f>"1194513598"</f>
        <v>1194513598</v>
      </c>
      <c r="C19054" t="str">
        <f>"208000000X"</f>
        <v>208000000X</v>
      </c>
      <c r="D19054" t="str">
        <f>"BARNARD                  DAREJI                   "</f>
        <v xml:space="preserve">BARNARD                  DAREJI                   </v>
      </c>
      <c r="E19054" t="str">
        <f>"JACKSON                   "</f>
        <v xml:space="preserve">JACKSON                   </v>
      </c>
      <c r="F19054" t="str">
        <f t="shared" si="460"/>
        <v>MS</v>
      </c>
    </row>
    <row r="19055" spans="1:6" x14ac:dyDescent="0.25">
      <c r="A19055" t="str">
        <f>"200021224"</f>
        <v>200021224</v>
      </c>
      <c r="B19055" t="str">
        <f>"1790571156"</f>
        <v>1790571156</v>
      </c>
      <c r="C19055" t="str">
        <f>"207Q00000X"</f>
        <v>207Q00000X</v>
      </c>
      <c r="D19055" t="str">
        <f>"AVNEETA                  SWASHNA                  "</f>
        <v xml:space="preserve">AVNEETA                  SWASHNA                  </v>
      </c>
      <c r="E19055" t="str">
        <f>"GULFPORT                  "</f>
        <v xml:space="preserve">GULFPORT                  </v>
      </c>
      <c r="F19055" t="str">
        <f t="shared" si="460"/>
        <v>MS</v>
      </c>
    </row>
    <row r="19056" spans="1:6" x14ac:dyDescent="0.25">
      <c r="A19056" t="str">
        <f>"200021228"</f>
        <v>200021228</v>
      </c>
      <c r="B19056" t="str">
        <f>"1427945583"</f>
        <v>1427945583</v>
      </c>
      <c r="C19056" t="str">
        <f>"207R00000X"</f>
        <v>207R00000X</v>
      </c>
      <c r="D19056" t="str">
        <f>"BARAL                    BARSHA                   "</f>
        <v xml:space="preserve">BARAL                    BARSHA                   </v>
      </c>
      <c r="E19056" t="str">
        <f>"OXFORD                    "</f>
        <v xml:space="preserve">OXFORD                    </v>
      </c>
      <c r="F19056" t="str">
        <f t="shared" si="460"/>
        <v>MS</v>
      </c>
    </row>
    <row r="19057" spans="1:6" x14ac:dyDescent="0.25">
      <c r="A19057" t="str">
        <f>"200021231"</f>
        <v>200021231</v>
      </c>
      <c r="B19057" t="str">
        <f>"1285601880"</f>
        <v>1285601880</v>
      </c>
      <c r="C19057" t="str">
        <f>"363AS0400X"</f>
        <v>363AS0400X</v>
      </c>
      <c r="D19057" t="str">
        <f>"CRAFT-COFFMAN            BERETTA                  "</f>
        <v xml:space="preserve">CRAFT-COFFMAN            BERETTA                  </v>
      </c>
      <c r="E19057" t="str">
        <f>"JACKSON                   "</f>
        <v xml:space="preserve">JACKSON                   </v>
      </c>
      <c r="F19057" t="str">
        <f t="shared" si="460"/>
        <v>MS</v>
      </c>
    </row>
    <row r="19058" spans="1:6" x14ac:dyDescent="0.25">
      <c r="A19058" t="str">
        <f>"200021234"</f>
        <v>200021234</v>
      </c>
      <c r="B19058" t="str">
        <f>"1386446789"</f>
        <v>1386446789</v>
      </c>
      <c r="C19058" t="str">
        <f>"207P00000X"</f>
        <v>207P00000X</v>
      </c>
      <c r="D19058" t="str">
        <f>"BOYD                     JONATHON                 "</f>
        <v xml:space="preserve">BOYD                     JONATHON                 </v>
      </c>
      <c r="E19058" t="str">
        <f>"HATTIESBURG               "</f>
        <v xml:space="preserve">HATTIESBURG               </v>
      </c>
      <c r="F19058" t="str">
        <f t="shared" si="460"/>
        <v>MS</v>
      </c>
    </row>
    <row r="19059" spans="1:6" x14ac:dyDescent="0.25">
      <c r="A19059" t="str">
        <f>"200021235"</f>
        <v>200021235</v>
      </c>
      <c r="B19059" t="str">
        <f>"1376342675"</f>
        <v>1376342675</v>
      </c>
      <c r="C19059" t="str">
        <f>"2084N0400X"</f>
        <v>2084N0400X</v>
      </c>
      <c r="D19059" t="str">
        <f>"HENDRY                   MATTHEW                  "</f>
        <v xml:space="preserve">HENDRY                   MATTHEW                  </v>
      </c>
      <c r="E19059" t="str">
        <f>"JACKSON                   "</f>
        <v xml:space="preserve">JACKSON                   </v>
      </c>
      <c r="F19059" t="str">
        <f t="shared" si="460"/>
        <v>MS</v>
      </c>
    </row>
    <row r="19060" spans="1:6" x14ac:dyDescent="0.25">
      <c r="A19060" t="str">
        <f>"200021237"</f>
        <v>200021237</v>
      </c>
      <c r="B19060" t="str">
        <f>"1538797410"</f>
        <v>1538797410</v>
      </c>
      <c r="C19060" t="str">
        <f>"207Y00000X"</f>
        <v>207Y00000X</v>
      </c>
      <c r="D19060" t="str">
        <f>"SOBIESK                  JOHN         L           "</f>
        <v xml:space="preserve">SOBIESK                  JOHN         L           </v>
      </c>
      <c r="E19060" t="str">
        <f>"HATTIESBURG               "</f>
        <v xml:space="preserve">HATTIESBURG               </v>
      </c>
      <c r="F19060" t="str">
        <f t="shared" si="460"/>
        <v>MS</v>
      </c>
    </row>
    <row r="19061" spans="1:6" x14ac:dyDescent="0.25">
      <c r="A19061" t="str">
        <f>"200021242"</f>
        <v>200021242</v>
      </c>
      <c r="B19061" t="str">
        <f>"1932099975"</f>
        <v>1932099975</v>
      </c>
      <c r="C19061" t="str">
        <f>"207R00000X"</f>
        <v>207R00000X</v>
      </c>
      <c r="D19061" t="str">
        <f>"VERNA                    ANKITA                   "</f>
        <v xml:space="preserve">VERNA                    ANKITA                   </v>
      </c>
      <c r="E19061" t="str">
        <f>"COLUMBUS                  "</f>
        <v xml:space="preserve">COLUMBUS                  </v>
      </c>
      <c r="F19061" t="str">
        <f t="shared" si="460"/>
        <v>MS</v>
      </c>
    </row>
    <row r="19062" spans="1:6" x14ac:dyDescent="0.25">
      <c r="A19062" t="str">
        <f>"200021254"</f>
        <v>200021254</v>
      </c>
      <c r="B19062" t="str">
        <f>"1376434613"</f>
        <v>1376434613</v>
      </c>
      <c r="C19062" t="str">
        <f>"152W00000X"</f>
        <v>152W00000X</v>
      </c>
      <c r="D19062" t="str">
        <f>"TRAINER                  KRISTEN                  "</f>
        <v xml:space="preserve">TRAINER                  KRISTEN                  </v>
      </c>
      <c r="E19062" t="str">
        <f>"WIGGINS                   "</f>
        <v xml:space="preserve">WIGGINS                   </v>
      </c>
      <c r="F19062" t="str">
        <f t="shared" si="460"/>
        <v>MS</v>
      </c>
    </row>
    <row r="19063" spans="1:6" x14ac:dyDescent="0.25">
      <c r="A19063" t="str">
        <f>"200021255"</f>
        <v>200021255</v>
      </c>
      <c r="B19063" t="str">
        <f>"1366206765"</f>
        <v>1366206765</v>
      </c>
      <c r="C19063" t="str">
        <f>"208000000X"</f>
        <v>208000000X</v>
      </c>
      <c r="D19063" t="str">
        <f>"GATLIN                   ROBIN                    "</f>
        <v xml:space="preserve">GATLIN                   ROBIN                    </v>
      </c>
      <c r="E19063" t="str">
        <f>"JACKSON                   "</f>
        <v xml:space="preserve">JACKSON                   </v>
      </c>
      <c r="F19063" t="str">
        <f t="shared" si="460"/>
        <v>MS</v>
      </c>
    </row>
    <row r="19064" spans="1:6" x14ac:dyDescent="0.25">
      <c r="A19064" t="str">
        <f>"200021256"</f>
        <v>200021256</v>
      </c>
      <c r="B19064" t="str">
        <f>"1639932353"</f>
        <v>1639932353</v>
      </c>
      <c r="C19064" t="str">
        <f>"207R00000X"</f>
        <v>207R00000X</v>
      </c>
      <c r="D19064" t="str">
        <f>"IVAN                     OWEN                     "</f>
        <v xml:space="preserve">IVAN                     OWEN                     </v>
      </c>
      <c r="E19064" t="str">
        <f>"JACKSON                   "</f>
        <v xml:space="preserve">JACKSON                   </v>
      </c>
      <c r="F19064" t="str">
        <f t="shared" si="460"/>
        <v>MS</v>
      </c>
    </row>
    <row r="19065" spans="1:6" x14ac:dyDescent="0.25">
      <c r="A19065" t="str">
        <f>"200021257"</f>
        <v>200021257</v>
      </c>
      <c r="B19065" t="str">
        <f>"1831959030"</f>
        <v>1831959030</v>
      </c>
      <c r="C19065" t="str">
        <f>"207P00000X"</f>
        <v>207P00000X</v>
      </c>
      <c r="D19065" t="str">
        <f>"CHRISTOFIDIS             JAMES                    "</f>
        <v xml:space="preserve">CHRISTOFIDIS             JAMES                    </v>
      </c>
      <c r="E19065" t="str">
        <f>"HATTIESBURG               "</f>
        <v xml:space="preserve">HATTIESBURG               </v>
      </c>
      <c r="F19065" t="str">
        <f t="shared" si="460"/>
        <v>MS</v>
      </c>
    </row>
    <row r="19066" spans="1:6" x14ac:dyDescent="0.25">
      <c r="A19066" t="str">
        <f>"200021258"</f>
        <v>200021258</v>
      </c>
      <c r="B19066" t="str">
        <f>"1922893486"</f>
        <v>1922893486</v>
      </c>
      <c r="C19066" t="str">
        <f>"207R00000X"</f>
        <v>207R00000X</v>
      </c>
      <c r="D19066" t="str">
        <f>"KENDRICK                 STEPHANIE                "</f>
        <v xml:space="preserve">KENDRICK                 STEPHANIE                </v>
      </c>
      <c r="E19066" t="str">
        <f>"TUPELO                    "</f>
        <v xml:space="preserve">TUPELO                    </v>
      </c>
      <c r="F19066" t="str">
        <f t="shared" si="460"/>
        <v>MS</v>
      </c>
    </row>
    <row r="19067" spans="1:6" x14ac:dyDescent="0.25">
      <c r="A19067" t="str">
        <f>"200021259"</f>
        <v>200021259</v>
      </c>
      <c r="B19067" t="str">
        <f>"1669266250"</f>
        <v>1669266250</v>
      </c>
      <c r="C19067" t="str">
        <f>"207Q00000X"</f>
        <v>207Q00000X</v>
      </c>
      <c r="D19067" t="str">
        <f>"JASMIN                   BRANDON                  "</f>
        <v xml:space="preserve">JASMIN                   BRANDON                  </v>
      </c>
      <c r="E19067" t="str">
        <f>"GULFPORT                  "</f>
        <v xml:space="preserve">GULFPORT                  </v>
      </c>
      <c r="F19067" t="str">
        <f t="shared" si="460"/>
        <v>MS</v>
      </c>
    </row>
    <row r="19068" spans="1:6" x14ac:dyDescent="0.25">
      <c r="A19068" t="str">
        <f>"200021261"</f>
        <v>200021261</v>
      </c>
      <c r="B19068" t="str">
        <f>"1063215226"</f>
        <v>1063215226</v>
      </c>
      <c r="C19068" t="str">
        <f>"207P00000X"</f>
        <v>207P00000X</v>
      </c>
      <c r="D19068" t="str">
        <f>"VIJAYEKUMAR              SHALINI                  "</f>
        <v xml:space="preserve">VIJAYEKUMAR              SHALINI                  </v>
      </c>
      <c r="E19068" t="str">
        <f>"HATTIESBURG               "</f>
        <v xml:space="preserve">HATTIESBURG               </v>
      </c>
      <c r="F19068" t="str">
        <f t="shared" si="460"/>
        <v>MS</v>
      </c>
    </row>
    <row r="19069" spans="1:6" x14ac:dyDescent="0.25">
      <c r="A19069" t="str">
        <f>"200021262"</f>
        <v>200021262</v>
      </c>
      <c r="B19069" t="str">
        <f>"1346137932"</f>
        <v>1346137932</v>
      </c>
      <c r="C19069" t="str">
        <f>"152W00000X"</f>
        <v>152W00000X</v>
      </c>
      <c r="D19069" t="str">
        <f>"MISSISSIPPI EYE CARE WEST POINT                   "</f>
        <v xml:space="preserve">MISSISSIPPI EYE CARE WEST POINT                   </v>
      </c>
      <c r="E19069" t="str">
        <f>"WEST POINT                "</f>
        <v xml:space="preserve">WEST POINT                </v>
      </c>
      <c r="F19069" t="str">
        <f t="shared" si="460"/>
        <v>MS</v>
      </c>
    </row>
    <row r="19070" spans="1:6" x14ac:dyDescent="0.25">
      <c r="A19070" t="str">
        <f>"200021263"</f>
        <v>200021263</v>
      </c>
      <c r="B19070" t="str">
        <f>"1780210823"</f>
        <v>1780210823</v>
      </c>
      <c r="C19070" t="str">
        <f>"208800000X"</f>
        <v>208800000X</v>
      </c>
      <c r="D19070" t="str">
        <f>"STRAUGHAN                ROSS                     "</f>
        <v xml:space="preserve">STRAUGHAN                ROSS                     </v>
      </c>
      <c r="E19070" t="str">
        <f>"OXFORD                    "</f>
        <v xml:space="preserve">OXFORD                    </v>
      </c>
      <c r="F19070" t="str">
        <f t="shared" ref="F19070:F19133" si="461">"MS"</f>
        <v>MS</v>
      </c>
    </row>
    <row r="19071" spans="1:6" x14ac:dyDescent="0.25">
      <c r="A19071" t="str">
        <f>"200021265"</f>
        <v>200021265</v>
      </c>
      <c r="B19071" t="str">
        <f>"1700134830"</f>
        <v>1700134830</v>
      </c>
      <c r="C19071" t="str">
        <f>"2086S0129X"</f>
        <v>2086S0129X</v>
      </c>
      <c r="D19071" t="str">
        <f>"KARMUR                   AMIT                     "</f>
        <v xml:space="preserve">KARMUR                   AMIT                     </v>
      </c>
      <c r="E19071" t="str">
        <f>"TUPELO                    "</f>
        <v xml:space="preserve">TUPELO                    </v>
      </c>
      <c r="F19071" t="str">
        <f t="shared" si="461"/>
        <v>MS</v>
      </c>
    </row>
    <row r="19072" spans="1:6" x14ac:dyDescent="0.25">
      <c r="A19072" t="str">
        <f>"200021268"</f>
        <v>200021268</v>
      </c>
      <c r="B19072" t="str">
        <f>"1780497503"</f>
        <v>1780497503</v>
      </c>
      <c r="C19072" t="str">
        <f>"363L00000X"</f>
        <v>363L00000X</v>
      </c>
      <c r="D19072" t="str">
        <f>"ENDRIS                   JOHN         B           "</f>
        <v xml:space="preserve">ENDRIS                   JOHN         B           </v>
      </c>
      <c r="E19072" t="str">
        <f>"BENTONIA                  "</f>
        <v xml:space="preserve">BENTONIA                  </v>
      </c>
      <c r="F19072" t="str">
        <f t="shared" si="461"/>
        <v>MS</v>
      </c>
    </row>
    <row r="19073" spans="1:6" x14ac:dyDescent="0.25">
      <c r="A19073" t="str">
        <f>"200021269"</f>
        <v>200021269</v>
      </c>
      <c r="B19073" t="str">
        <f>"1801579685"</f>
        <v>1801579685</v>
      </c>
      <c r="C19073" t="str">
        <f>"207R00000X"</f>
        <v>207R00000X</v>
      </c>
      <c r="D19073" t="str">
        <f>"PULIMAMIDI               SHRUTHI                  "</f>
        <v xml:space="preserve">PULIMAMIDI               SHRUTHI                  </v>
      </c>
      <c r="E19073" t="str">
        <f>"TUPELO                    "</f>
        <v xml:space="preserve">TUPELO                    </v>
      </c>
      <c r="F19073" t="str">
        <f t="shared" si="461"/>
        <v>MS</v>
      </c>
    </row>
    <row r="19074" spans="1:6" x14ac:dyDescent="0.25">
      <c r="A19074" t="str">
        <f>"200021271"</f>
        <v>200021271</v>
      </c>
      <c r="B19074" t="str">
        <f>"1831986215"</f>
        <v>1831986215</v>
      </c>
      <c r="C19074" t="str">
        <f>"207Q00000X"</f>
        <v>207Q00000X</v>
      </c>
      <c r="D19074" t="str">
        <f>"PHILLIPS                 SARAH                    "</f>
        <v xml:space="preserve">PHILLIPS                 SARAH                    </v>
      </c>
      <c r="E19074" t="str">
        <f>"GULFPORT                  "</f>
        <v xml:space="preserve">GULFPORT                  </v>
      </c>
      <c r="F19074" t="str">
        <f t="shared" si="461"/>
        <v>MS</v>
      </c>
    </row>
    <row r="19075" spans="1:6" x14ac:dyDescent="0.25">
      <c r="A19075" t="str">
        <f>"200021275"</f>
        <v>200021275</v>
      </c>
      <c r="B19075" t="str">
        <f>"1033967930"</f>
        <v>1033967930</v>
      </c>
      <c r="C19075" t="str">
        <f>"207R00000X"</f>
        <v>207R00000X</v>
      </c>
      <c r="D19075" t="str">
        <f>"GATTO                    NICHOLAS                 "</f>
        <v xml:space="preserve">GATTO                    NICHOLAS                 </v>
      </c>
      <c r="E19075" t="str">
        <f>"JACKSON                   "</f>
        <v xml:space="preserve">JACKSON                   </v>
      </c>
      <c r="F19075" t="str">
        <f t="shared" si="461"/>
        <v>MS</v>
      </c>
    </row>
    <row r="19076" spans="1:6" x14ac:dyDescent="0.25">
      <c r="A19076" t="str">
        <f>"200021279"</f>
        <v>200021279</v>
      </c>
      <c r="B19076" t="str">
        <f>"1497541130"</f>
        <v>1497541130</v>
      </c>
      <c r="C19076" t="str">
        <f>"207Q00000X"</f>
        <v>207Q00000X</v>
      </c>
      <c r="D19076" t="str">
        <f>"NGUYEN                   AARON                    "</f>
        <v xml:space="preserve">NGUYEN                   AARON                    </v>
      </c>
      <c r="E19076" t="str">
        <f>"GULFPORT                  "</f>
        <v xml:space="preserve">GULFPORT                  </v>
      </c>
      <c r="F19076" t="str">
        <f t="shared" si="461"/>
        <v>MS</v>
      </c>
    </row>
    <row r="19077" spans="1:6" x14ac:dyDescent="0.25">
      <c r="A19077" t="str">
        <f>"200021282"</f>
        <v>200021282</v>
      </c>
      <c r="B19077" t="str">
        <f>"1316336993"</f>
        <v>1316336993</v>
      </c>
      <c r="C19077" t="str">
        <f>"363L00000X"</f>
        <v>363L00000X</v>
      </c>
      <c r="D19077" t="str">
        <f>"SUTTON                   MARY ALLISON             "</f>
        <v xml:space="preserve">SUTTON                   MARY ALLISON             </v>
      </c>
      <c r="E19077" t="str">
        <f>"VICKSBURG                 "</f>
        <v xml:space="preserve">VICKSBURG                 </v>
      </c>
      <c r="F19077" t="str">
        <f t="shared" si="461"/>
        <v>MS</v>
      </c>
    </row>
    <row r="19078" spans="1:6" x14ac:dyDescent="0.25">
      <c r="A19078" t="str">
        <f>"200021289"</f>
        <v>200021289</v>
      </c>
      <c r="B19078" t="str">
        <f>"1427677079"</f>
        <v>1427677079</v>
      </c>
      <c r="C19078" t="str">
        <f>"2084N0402X"</f>
        <v>2084N0402X</v>
      </c>
      <c r="D19078" t="str">
        <f>"TERRELL                  BETHANY                  "</f>
        <v xml:space="preserve">TERRELL                  BETHANY                  </v>
      </c>
      <c r="E19078" t="str">
        <f>"JACKSON                   "</f>
        <v xml:space="preserve">JACKSON                   </v>
      </c>
      <c r="F19078" t="str">
        <f t="shared" si="461"/>
        <v>MS</v>
      </c>
    </row>
    <row r="19079" spans="1:6" x14ac:dyDescent="0.25">
      <c r="A19079" t="str">
        <f>"200021290"</f>
        <v>200021290</v>
      </c>
      <c r="B19079" t="str">
        <f>"1700689106"</f>
        <v>1700689106</v>
      </c>
      <c r="C19079" t="str">
        <f>"207V00000X"</f>
        <v>207V00000X</v>
      </c>
      <c r="D19079" t="str">
        <f>"BARNETT                  DEVAN                    "</f>
        <v xml:space="preserve">BARNETT                  DEVAN                    </v>
      </c>
      <c r="E19079" t="str">
        <f>"JACKSON                   "</f>
        <v xml:space="preserve">JACKSON                   </v>
      </c>
      <c r="F19079" t="str">
        <f t="shared" si="461"/>
        <v>MS</v>
      </c>
    </row>
    <row r="19080" spans="1:6" x14ac:dyDescent="0.25">
      <c r="A19080" t="str">
        <f>"200021293"</f>
        <v>200021293</v>
      </c>
      <c r="B19080" t="str">
        <f>"1194410225"</f>
        <v>1194410225</v>
      </c>
      <c r="C19080" t="str">
        <f>"207P00000X"</f>
        <v>207P00000X</v>
      </c>
      <c r="D19080" t="str">
        <f>"MALIK                    MAAZ                     "</f>
        <v xml:space="preserve">MALIK                    MAAZ                     </v>
      </c>
      <c r="E19080" t="str">
        <f>"HATTIESBURG               "</f>
        <v xml:space="preserve">HATTIESBURG               </v>
      </c>
      <c r="F19080" t="str">
        <f t="shared" si="461"/>
        <v>MS</v>
      </c>
    </row>
    <row r="19081" spans="1:6" x14ac:dyDescent="0.25">
      <c r="A19081" t="str">
        <f>"200021295"</f>
        <v>200021295</v>
      </c>
      <c r="B19081" t="str">
        <f>"1306675095"</f>
        <v>1306675095</v>
      </c>
      <c r="C19081" t="str">
        <f>"363L00000X"</f>
        <v>363L00000X</v>
      </c>
      <c r="D19081" t="str">
        <f>"POSTON                   ANNA                     "</f>
        <v xml:space="preserve">POSTON                   ANNA                     </v>
      </c>
      <c r="E19081" t="str">
        <f>"SOUTHAVEN                 "</f>
        <v xml:space="preserve">SOUTHAVEN                 </v>
      </c>
      <c r="F19081" t="str">
        <f t="shared" si="461"/>
        <v>MS</v>
      </c>
    </row>
    <row r="19082" spans="1:6" x14ac:dyDescent="0.25">
      <c r="A19082" t="str">
        <f>"200021299"</f>
        <v>200021299</v>
      </c>
      <c r="B19082" t="str">
        <f>"1538924089"</f>
        <v>1538924089</v>
      </c>
      <c r="C19082" t="str">
        <f>"207P00000X"</f>
        <v>207P00000X</v>
      </c>
      <c r="D19082" t="str">
        <f>"DAVIS                    JOEY                     "</f>
        <v xml:space="preserve">DAVIS                    JOEY                     </v>
      </c>
      <c r="E19082" t="str">
        <f>"HATTIESBURG               "</f>
        <v xml:space="preserve">HATTIESBURG               </v>
      </c>
      <c r="F19082" t="str">
        <f t="shared" si="461"/>
        <v>MS</v>
      </c>
    </row>
    <row r="19083" spans="1:6" x14ac:dyDescent="0.25">
      <c r="A19083" t="str">
        <f>"200021300"</f>
        <v>200021300</v>
      </c>
      <c r="B19083" t="str">
        <f>"1811799943"</f>
        <v>1811799943</v>
      </c>
      <c r="C19083" t="str">
        <f>"207R00000X"</f>
        <v>207R00000X</v>
      </c>
      <c r="D19083" t="str">
        <f>"PAYTON                   SAMANTHA                 "</f>
        <v xml:space="preserve">PAYTON                   SAMANTHA                 </v>
      </c>
      <c r="E19083" t="str">
        <f>"JACKSON                   "</f>
        <v xml:space="preserve">JACKSON                   </v>
      </c>
      <c r="F19083" t="str">
        <f t="shared" si="461"/>
        <v>MS</v>
      </c>
    </row>
    <row r="19084" spans="1:6" x14ac:dyDescent="0.25">
      <c r="A19084" t="str">
        <f>"200021303"</f>
        <v>200021303</v>
      </c>
      <c r="B19084" t="str">
        <f>"1225453905"</f>
        <v>1225453905</v>
      </c>
      <c r="C19084" t="str">
        <f>"363LF0000X"</f>
        <v>363LF0000X</v>
      </c>
      <c r="D19084" t="str">
        <f>"NORRIS                   BETH                     "</f>
        <v xml:space="preserve">NORRIS                   BETH                     </v>
      </c>
      <c r="E19084" t="str">
        <f>"JACKSON                   "</f>
        <v xml:space="preserve">JACKSON                   </v>
      </c>
      <c r="F19084" t="str">
        <f t="shared" si="461"/>
        <v>MS</v>
      </c>
    </row>
    <row r="19085" spans="1:6" x14ac:dyDescent="0.25">
      <c r="A19085" t="str">
        <f>"200021310"</f>
        <v>200021310</v>
      </c>
      <c r="B19085" t="str">
        <f>"1518342963"</f>
        <v>1518342963</v>
      </c>
      <c r="C19085" t="str">
        <f>"363LF0000X"</f>
        <v>363LF0000X</v>
      </c>
      <c r="D19085" t="str">
        <f>"PENDLETON                NICHOLAS                 "</f>
        <v xml:space="preserve">PENDLETON                NICHOLAS                 </v>
      </c>
      <c r="E19085" t="str">
        <f>"OCEAN SPRINGS             "</f>
        <v xml:space="preserve">OCEAN SPRINGS             </v>
      </c>
      <c r="F19085" t="str">
        <f t="shared" si="461"/>
        <v>MS</v>
      </c>
    </row>
    <row r="19086" spans="1:6" x14ac:dyDescent="0.25">
      <c r="A19086" t="str">
        <f>"200021312"</f>
        <v>200021312</v>
      </c>
      <c r="B19086" t="str">
        <f>"1659134237"</f>
        <v>1659134237</v>
      </c>
      <c r="C19086" t="str">
        <f>"207R00000X"</f>
        <v>207R00000X</v>
      </c>
      <c r="D19086" t="str">
        <f>"PATTON                   SAMUEL                   "</f>
        <v xml:space="preserve">PATTON                   SAMUEL                   </v>
      </c>
      <c r="E19086" t="str">
        <f>"JACKSON                   "</f>
        <v xml:space="preserve">JACKSON                   </v>
      </c>
      <c r="F19086" t="str">
        <f t="shared" si="461"/>
        <v>MS</v>
      </c>
    </row>
    <row r="19087" spans="1:6" x14ac:dyDescent="0.25">
      <c r="A19087" t="str">
        <f>"200021314"</f>
        <v>200021314</v>
      </c>
      <c r="B19087" t="str">
        <f>"1326784216"</f>
        <v>1326784216</v>
      </c>
      <c r="C19087" t="str">
        <f>"207RR0500X"</f>
        <v>207RR0500X</v>
      </c>
      <c r="D19087" t="str">
        <f>"KAUR                     MANDEEP                  "</f>
        <v xml:space="preserve">KAUR                     MANDEEP                  </v>
      </c>
      <c r="E19087" t="str">
        <f>"JACKSON                   "</f>
        <v xml:space="preserve">JACKSON                   </v>
      </c>
      <c r="F19087" t="str">
        <f t="shared" si="461"/>
        <v>MS</v>
      </c>
    </row>
    <row r="19088" spans="1:6" x14ac:dyDescent="0.25">
      <c r="A19088" t="str">
        <f>"200021319"</f>
        <v>200021319</v>
      </c>
      <c r="B19088" t="str">
        <f>"1306293022"</f>
        <v>1306293022</v>
      </c>
      <c r="C19088" t="str">
        <f>"207Q00000X"</f>
        <v>207Q00000X</v>
      </c>
      <c r="D19088" t="str">
        <f>"THOMPSON                 HAILEY                   "</f>
        <v xml:space="preserve">THOMPSON                 HAILEY                   </v>
      </c>
      <c r="E19088" t="str">
        <f>"PHILADELPHIA              "</f>
        <v xml:space="preserve">PHILADELPHIA              </v>
      </c>
      <c r="F19088" t="str">
        <f t="shared" si="461"/>
        <v>MS</v>
      </c>
    </row>
    <row r="19089" spans="1:6" x14ac:dyDescent="0.25">
      <c r="A19089" t="str">
        <f>"200021320"</f>
        <v>200021320</v>
      </c>
      <c r="B19089" t="str">
        <f>"1992565964"</f>
        <v>1992565964</v>
      </c>
      <c r="C19089" t="str">
        <f>"207P00000X"</f>
        <v>207P00000X</v>
      </c>
      <c r="D19089" t="str">
        <f>"JEFCOATS                 GRANT                    "</f>
        <v xml:space="preserve">JEFCOATS                 GRANT                    </v>
      </c>
      <c r="E19089" t="str">
        <f>"HATTIESBURG               "</f>
        <v xml:space="preserve">HATTIESBURG               </v>
      </c>
      <c r="F19089" t="str">
        <f t="shared" si="461"/>
        <v>MS</v>
      </c>
    </row>
    <row r="19090" spans="1:6" x14ac:dyDescent="0.25">
      <c r="A19090" t="str">
        <f>"200021323"</f>
        <v>200021323</v>
      </c>
      <c r="B19090" t="str">
        <f>"1467242594"</f>
        <v>1467242594</v>
      </c>
      <c r="C19090" t="str">
        <f>"363A00000X"</f>
        <v>363A00000X</v>
      </c>
      <c r="D19090" t="str">
        <f>"NICHOLSON                ANN          E           "</f>
        <v xml:space="preserve">NICHOLSON                ANN          E           </v>
      </c>
      <c r="E19090" t="str">
        <f>"HATTIESBURG               "</f>
        <v xml:space="preserve">HATTIESBURG               </v>
      </c>
      <c r="F19090" t="str">
        <f t="shared" si="461"/>
        <v>MS</v>
      </c>
    </row>
    <row r="19091" spans="1:6" x14ac:dyDescent="0.25">
      <c r="A19091" t="str">
        <f>"200021325"</f>
        <v>200021325</v>
      </c>
      <c r="B19091" t="str">
        <f>"1710789896"</f>
        <v>1710789896</v>
      </c>
      <c r="C19091" t="str">
        <f>"207R00000X"</f>
        <v>207R00000X</v>
      </c>
      <c r="D19091" t="str">
        <f>"HUSSAIN                  MUZAMIL                  "</f>
        <v xml:space="preserve">HUSSAIN                  MUZAMIL                  </v>
      </c>
      <c r="E19091" t="str">
        <f>"JACKSON                   "</f>
        <v xml:space="preserve">JACKSON                   </v>
      </c>
      <c r="F19091" t="str">
        <f t="shared" si="461"/>
        <v>MS</v>
      </c>
    </row>
    <row r="19092" spans="1:6" x14ac:dyDescent="0.25">
      <c r="A19092" t="str">
        <f>"200021326"</f>
        <v>200021326</v>
      </c>
      <c r="B19092" t="str">
        <f>"1538922190"</f>
        <v>1538922190</v>
      </c>
      <c r="C19092" t="str">
        <f>"207R00000X"</f>
        <v>207R00000X</v>
      </c>
      <c r="D19092" t="str">
        <f>"PAXTON                   ALEXANDER                "</f>
        <v xml:space="preserve">PAXTON                   ALEXANDER                </v>
      </c>
      <c r="E19092" t="str">
        <f>"JACKSON                   "</f>
        <v xml:space="preserve">JACKSON                   </v>
      </c>
      <c r="F19092" t="str">
        <f t="shared" si="461"/>
        <v>MS</v>
      </c>
    </row>
    <row r="19093" spans="1:6" x14ac:dyDescent="0.25">
      <c r="A19093" t="str">
        <f>"200021327"</f>
        <v>200021327</v>
      </c>
      <c r="B19093" t="str">
        <f>"1679467971"</f>
        <v>1679467971</v>
      </c>
      <c r="C19093" t="str">
        <f>"363L00000X"</f>
        <v>363L00000X</v>
      </c>
      <c r="D19093" t="str">
        <f>"COOK                     STEPHANIE                "</f>
        <v xml:space="preserve">COOK                     STEPHANIE                </v>
      </c>
      <c r="E19093" t="str">
        <f>"TUPELO                    "</f>
        <v xml:space="preserve">TUPELO                    </v>
      </c>
      <c r="F19093" t="str">
        <f t="shared" si="461"/>
        <v>MS</v>
      </c>
    </row>
    <row r="19094" spans="1:6" x14ac:dyDescent="0.25">
      <c r="A19094" t="str">
        <f>"200021329"</f>
        <v>200021329</v>
      </c>
      <c r="B19094" t="str">
        <f>"1043079122"</f>
        <v>1043079122</v>
      </c>
      <c r="C19094" t="str">
        <f>"207P00000X"</f>
        <v>207P00000X</v>
      </c>
      <c r="D19094" t="str">
        <f>"HOPKINS MCCULLOUGH       RUBY                     "</f>
        <v xml:space="preserve">HOPKINS MCCULLOUGH       RUBY                     </v>
      </c>
      <c r="E19094" t="str">
        <f>"HATTIESBURG               "</f>
        <v xml:space="preserve">HATTIESBURG               </v>
      </c>
      <c r="F19094" t="str">
        <f t="shared" si="461"/>
        <v>MS</v>
      </c>
    </row>
    <row r="19095" spans="1:6" x14ac:dyDescent="0.25">
      <c r="A19095" t="str">
        <f>"200021330"</f>
        <v>200021330</v>
      </c>
      <c r="B19095" t="str">
        <f>"1447065164"</f>
        <v>1447065164</v>
      </c>
      <c r="C19095" t="str">
        <f>"367500000X"</f>
        <v>367500000X</v>
      </c>
      <c r="D19095" t="str">
        <f>"WEAVER                   ASHTON                   "</f>
        <v xml:space="preserve">WEAVER                   ASHTON                   </v>
      </c>
      <c r="E19095" t="str">
        <f>"NEW ALBANY                "</f>
        <v xml:space="preserve">NEW ALBANY                </v>
      </c>
      <c r="F19095" t="str">
        <f t="shared" si="461"/>
        <v>MS</v>
      </c>
    </row>
    <row r="19096" spans="1:6" x14ac:dyDescent="0.25">
      <c r="A19096" t="str">
        <f>"200021331"</f>
        <v>200021331</v>
      </c>
      <c r="B19096" t="str">
        <f>"1093503344"</f>
        <v>1093503344</v>
      </c>
      <c r="C19096" t="str">
        <f>"207R00000X"</f>
        <v>207R00000X</v>
      </c>
      <c r="D19096" t="str">
        <f>"KUMAR                    UMESH                    "</f>
        <v xml:space="preserve">KUMAR                    UMESH                    </v>
      </c>
      <c r="E19096" t="str">
        <f>"TUPELO                    "</f>
        <v xml:space="preserve">TUPELO                    </v>
      </c>
      <c r="F19096" t="str">
        <f t="shared" si="461"/>
        <v>MS</v>
      </c>
    </row>
    <row r="19097" spans="1:6" x14ac:dyDescent="0.25">
      <c r="A19097" t="str">
        <f>"200021333"</f>
        <v>200021333</v>
      </c>
      <c r="B19097" t="str">
        <f>"1457187478"</f>
        <v>1457187478</v>
      </c>
      <c r="C19097" t="str">
        <f>"363A00000X"</f>
        <v>363A00000X</v>
      </c>
      <c r="D19097" t="str">
        <f>"VAN NORMAN               HAYDEN       N           "</f>
        <v xml:space="preserve">VAN NORMAN               HAYDEN       N           </v>
      </c>
      <c r="E19097" t="str">
        <f>"VICKSBURG                 "</f>
        <v xml:space="preserve">VICKSBURG                 </v>
      </c>
      <c r="F19097" t="str">
        <f t="shared" si="461"/>
        <v>MS</v>
      </c>
    </row>
    <row r="19098" spans="1:6" x14ac:dyDescent="0.25">
      <c r="A19098" t="str">
        <f>"200021334"</f>
        <v>200021334</v>
      </c>
      <c r="B19098" t="str">
        <f>"1972397180"</f>
        <v>1972397180</v>
      </c>
      <c r="C19098" t="str">
        <f>"207R00000X"</f>
        <v>207R00000X</v>
      </c>
      <c r="D19098" t="str">
        <f>"WHITEHEAD                ANNA                     "</f>
        <v xml:space="preserve">WHITEHEAD                ANNA                     </v>
      </c>
      <c r="E19098" t="str">
        <f>"JACKSON                   "</f>
        <v xml:space="preserve">JACKSON                   </v>
      </c>
      <c r="F19098" t="str">
        <f t="shared" si="461"/>
        <v>MS</v>
      </c>
    </row>
    <row r="19099" spans="1:6" x14ac:dyDescent="0.25">
      <c r="A19099" t="str">
        <f>"200021336"</f>
        <v>200021336</v>
      </c>
      <c r="B19099" t="str">
        <f>"1427808930"</f>
        <v>1427808930</v>
      </c>
      <c r="C19099" t="str">
        <f>"207V00000X"</f>
        <v>207V00000X</v>
      </c>
      <c r="D19099" t="str">
        <f>"JURACEK                  KALI                     "</f>
        <v xml:space="preserve">JURACEK                  KALI                     </v>
      </c>
      <c r="E19099" t="str">
        <f>"JACKSON                   "</f>
        <v xml:space="preserve">JACKSON                   </v>
      </c>
      <c r="F19099" t="str">
        <f t="shared" si="461"/>
        <v>MS</v>
      </c>
    </row>
    <row r="19100" spans="1:6" x14ac:dyDescent="0.25">
      <c r="A19100" t="str">
        <f>"200021338"</f>
        <v>200021338</v>
      </c>
      <c r="B19100" t="str">
        <f>"1639751035"</f>
        <v>1639751035</v>
      </c>
      <c r="C19100" t="str">
        <f>"1223S0112X"</f>
        <v>1223S0112X</v>
      </c>
      <c r="D19100" t="str">
        <f>"REMLEY                   DAVID        S           "</f>
        <v xml:space="preserve">REMLEY                   DAVID        S           </v>
      </c>
      <c r="E19100" t="str">
        <f>"GULFPORT                  "</f>
        <v xml:space="preserve">GULFPORT                  </v>
      </c>
      <c r="F19100" t="str">
        <f t="shared" si="461"/>
        <v>MS</v>
      </c>
    </row>
    <row r="19101" spans="1:6" x14ac:dyDescent="0.25">
      <c r="A19101" t="str">
        <f>"200021339"</f>
        <v>200021339</v>
      </c>
      <c r="B19101" t="str">
        <f>"1710789995"</f>
        <v>1710789995</v>
      </c>
      <c r="C19101" t="str">
        <f>"207R00000X"</f>
        <v>207R00000X</v>
      </c>
      <c r="D19101" t="str">
        <f>"THOMPSON                 SARAH                    "</f>
        <v xml:space="preserve">THOMPSON                 SARAH                    </v>
      </c>
      <c r="E19101" t="str">
        <f>"JACKSON                   "</f>
        <v xml:space="preserve">JACKSON                   </v>
      </c>
      <c r="F19101" t="str">
        <f t="shared" si="461"/>
        <v>MS</v>
      </c>
    </row>
    <row r="19102" spans="1:6" x14ac:dyDescent="0.25">
      <c r="A19102" t="str">
        <f>"200021341"</f>
        <v>200021341</v>
      </c>
      <c r="B19102" t="str">
        <f>"1326802802"</f>
        <v>1326802802</v>
      </c>
      <c r="C19102" t="str">
        <f>"207R00000X"</f>
        <v>207R00000X</v>
      </c>
      <c r="D19102" t="str">
        <f>"WATSON                   AVERY                    "</f>
        <v xml:space="preserve">WATSON                   AVERY                    </v>
      </c>
      <c r="E19102" t="str">
        <f>"JACKSON                   "</f>
        <v xml:space="preserve">JACKSON                   </v>
      </c>
      <c r="F19102" t="str">
        <f t="shared" si="461"/>
        <v>MS</v>
      </c>
    </row>
    <row r="19103" spans="1:6" x14ac:dyDescent="0.25">
      <c r="A19103" t="str">
        <f>"200021344"</f>
        <v>200021344</v>
      </c>
      <c r="B19103" t="str">
        <f>"1235706128"</f>
        <v>1235706128</v>
      </c>
      <c r="C19103" t="str">
        <f>"207N00000X"</f>
        <v>207N00000X</v>
      </c>
      <c r="D19103" t="str">
        <f>"ALBRECHT                 JOHN                     "</f>
        <v xml:space="preserve">ALBRECHT                 JOHN                     </v>
      </c>
      <c r="E19103" t="str">
        <f>"JACKSON                   "</f>
        <v xml:space="preserve">JACKSON                   </v>
      </c>
      <c r="F19103" t="str">
        <f t="shared" si="461"/>
        <v>MS</v>
      </c>
    </row>
    <row r="19104" spans="1:6" x14ac:dyDescent="0.25">
      <c r="A19104" t="str">
        <f>"200021345"</f>
        <v>200021345</v>
      </c>
      <c r="B19104" t="str">
        <f>"1225879828"</f>
        <v>1225879828</v>
      </c>
      <c r="C19104" t="str">
        <f>"207P00000X"</f>
        <v>207P00000X</v>
      </c>
      <c r="D19104" t="str">
        <f>"DICKSON                  ANNA                     "</f>
        <v xml:space="preserve">DICKSON                  ANNA                     </v>
      </c>
      <c r="E19104" t="str">
        <f>"HATTIESBURG               "</f>
        <v xml:space="preserve">HATTIESBURG               </v>
      </c>
      <c r="F19104" t="str">
        <f t="shared" si="461"/>
        <v>MS</v>
      </c>
    </row>
    <row r="19105" spans="1:6" x14ac:dyDescent="0.25">
      <c r="A19105" t="str">
        <f>"200021347"</f>
        <v>200021347</v>
      </c>
      <c r="B19105" t="str">
        <f>"1629968375"</f>
        <v>1629968375</v>
      </c>
      <c r="C19105" t="str">
        <f>"2084P0800X"</f>
        <v>2084P0800X</v>
      </c>
      <c r="D19105" t="str">
        <f>"KUJAWSKI                 WILLIAM      A           "</f>
        <v xml:space="preserve">KUJAWSKI                 WILLIAM      A           </v>
      </c>
      <c r="E19105" t="str">
        <f>"WHITFIELD                 "</f>
        <v xml:space="preserve">WHITFIELD                 </v>
      </c>
      <c r="F19105" t="str">
        <f t="shared" si="461"/>
        <v>MS</v>
      </c>
    </row>
    <row r="19106" spans="1:6" x14ac:dyDescent="0.25">
      <c r="A19106" t="str">
        <f>"200021348"</f>
        <v>200021348</v>
      </c>
      <c r="B19106" t="str">
        <f>"1538963509"</f>
        <v>1538963509</v>
      </c>
      <c r="C19106" t="str">
        <f>"207Q00000X"</f>
        <v>207Q00000X</v>
      </c>
      <c r="D19106" t="str">
        <f>"EVANS                    TORRYE                   "</f>
        <v xml:space="preserve">EVANS                    TORRYE                   </v>
      </c>
      <c r="E19106" t="str">
        <f>"HATTIESBURG               "</f>
        <v xml:space="preserve">HATTIESBURG               </v>
      </c>
      <c r="F19106" t="str">
        <f t="shared" si="461"/>
        <v>MS</v>
      </c>
    </row>
    <row r="19107" spans="1:6" x14ac:dyDescent="0.25">
      <c r="A19107" t="str">
        <f>"200021351"</f>
        <v>200021351</v>
      </c>
      <c r="B19107" t="str">
        <f>"1447010640"</f>
        <v>1447010640</v>
      </c>
      <c r="C19107" t="str">
        <f>"207L00000X"</f>
        <v>207L00000X</v>
      </c>
      <c r="D19107" t="str">
        <f>"THOMAS                   CHARLES                  "</f>
        <v xml:space="preserve">THOMAS                   CHARLES                  </v>
      </c>
      <c r="E19107" t="str">
        <f>"JACKSON                   "</f>
        <v xml:space="preserve">JACKSON                   </v>
      </c>
      <c r="F19107" t="str">
        <f t="shared" si="461"/>
        <v>MS</v>
      </c>
    </row>
    <row r="19108" spans="1:6" x14ac:dyDescent="0.25">
      <c r="A19108" t="str">
        <f>"200021353"</f>
        <v>200021353</v>
      </c>
      <c r="B19108" t="str">
        <f>"1871395061"</f>
        <v>1871395061</v>
      </c>
      <c r="C19108" t="str">
        <f>"207P00000X"</f>
        <v>207P00000X</v>
      </c>
      <c r="D19108" t="str">
        <f>"HAJI-AMIRI               OMEED                    "</f>
        <v xml:space="preserve">HAJI-AMIRI               OMEED                    </v>
      </c>
      <c r="E19108" t="str">
        <f>"JACKSON                   "</f>
        <v xml:space="preserve">JACKSON                   </v>
      </c>
      <c r="F19108" t="str">
        <f t="shared" si="461"/>
        <v>MS</v>
      </c>
    </row>
    <row r="19109" spans="1:6" x14ac:dyDescent="0.25">
      <c r="A19109" t="str">
        <f>"200021355"</f>
        <v>200021355</v>
      </c>
      <c r="B19109" t="str">
        <f>"1891582946"</f>
        <v>1891582946</v>
      </c>
      <c r="C19109" t="str">
        <f>"207R00000X"</f>
        <v>207R00000X</v>
      </c>
      <c r="D19109" t="str">
        <f>"PRAKASH                  SANJANA                  "</f>
        <v xml:space="preserve">PRAKASH                  SANJANA                  </v>
      </c>
      <c r="E19109" t="str">
        <f>"GULFPORT                  "</f>
        <v xml:space="preserve">GULFPORT                  </v>
      </c>
      <c r="F19109" t="str">
        <f t="shared" si="461"/>
        <v>MS</v>
      </c>
    </row>
    <row r="19110" spans="1:6" x14ac:dyDescent="0.25">
      <c r="A19110" t="str">
        <f>"200021356"</f>
        <v>200021356</v>
      </c>
      <c r="B19110" t="str">
        <f>"1720882624"</f>
        <v>1720882624</v>
      </c>
      <c r="C19110" t="str">
        <f>"207Q00000X"</f>
        <v>207Q00000X</v>
      </c>
      <c r="D19110" t="str">
        <f>"THAKUR                   APOLLO                   "</f>
        <v xml:space="preserve">THAKUR                   APOLLO                   </v>
      </c>
      <c r="E19110" t="str">
        <f>"JACKSON                   "</f>
        <v xml:space="preserve">JACKSON                   </v>
      </c>
      <c r="F19110" t="str">
        <f t="shared" si="461"/>
        <v>MS</v>
      </c>
    </row>
    <row r="19111" spans="1:6" x14ac:dyDescent="0.25">
      <c r="A19111" t="str">
        <f>"200021368"</f>
        <v>200021368</v>
      </c>
      <c r="B19111" t="str">
        <f>"1568248474"</f>
        <v>1568248474</v>
      </c>
      <c r="C19111" t="str">
        <f>"363LF0000X"</f>
        <v>363LF0000X</v>
      </c>
      <c r="D19111" t="str">
        <f>"WHITTEN                  AMANDA                   "</f>
        <v xml:space="preserve">WHITTEN                  AMANDA                   </v>
      </c>
      <c r="E19111" t="str">
        <f>"SOUTHAVEN                 "</f>
        <v xml:space="preserve">SOUTHAVEN                 </v>
      </c>
      <c r="F19111" t="str">
        <f t="shared" si="461"/>
        <v>MS</v>
      </c>
    </row>
    <row r="19112" spans="1:6" x14ac:dyDescent="0.25">
      <c r="A19112" t="str">
        <f>"200021372"</f>
        <v>200021372</v>
      </c>
      <c r="B19112" t="str">
        <f>"1326935776"</f>
        <v>1326935776</v>
      </c>
      <c r="C19112" t="str">
        <f>"207R00000X"</f>
        <v>207R00000X</v>
      </c>
      <c r="D19112" t="str">
        <f>"MOSS                     ASHLA                    "</f>
        <v xml:space="preserve">MOSS                     ASHLA                    </v>
      </c>
      <c r="E19112" t="str">
        <f>"COLUMBUS                  "</f>
        <v xml:space="preserve">COLUMBUS                  </v>
      </c>
      <c r="F19112" t="str">
        <f t="shared" si="461"/>
        <v>MS</v>
      </c>
    </row>
    <row r="19113" spans="1:6" x14ac:dyDescent="0.25">
      <c r="A19113" t="str">
        <f>"200021374"</f>
        <v>200021374</v>
      </c>
      <c r="B19113" t="str">
        <f>"1891500344"</f>
        <v>1891500344</v>
      </c>
      <c r="C19113" t="str">
        <f>"363L00000X"</f>
        <v>363L00000X</v>
      </c>
      <c r="D19113" t="str">
        <f>"TAYLOR COOPER            LATOYA       K           "</f>
        <v xml:space="preserve">TAYLOR COOPER            LATOYA       K           </v>
      </c>
      <c r="E19113" t="str">
        <f>"BENTONIA                  "</f>
        <v xml:space="preserve">BENTONIA                  </v>
      </c>
      <c r="F19113" t="str">
        <f t="shared" si="461"/>
        <v>MS</v>
      </c>
    </row>
    <row r="19114" spans="1:6" x14ac:dyDescent="0.25">
      <c r="A19114" t="str">
        <f>"200021375"</f>
        <v>200021375</v>
      </c>
      <c r="B19114" t="str">
        <f>"1891500344"</f>
        <v>1891500344</v>
      </c>
      <c r="C19114" t="str">
        <f>"363LF0000X"</f>
        <v>363LF0000X</v>
      </c>
      <c r="D19114" t="str">
        <f>"TAYLOR COOPER            LATOYA       K           "</f>
        <v xml:space="preserve">TAYLOR COOPER            LATOYA       K           </v>
      </c>
      <c r="E19114" t="str">
        <f>"BENTONIA                  "</f>
        <v xml:space="preserve">BENTONIA                  </v>
      </c>
      <c r="F19114" t="str">
        <f t="shared" si="461"/>
        <v>MS</v>
      </c>
    </row>
    <row r="19115" spans="1:6" x14ac:dyDescent="0.25">
      <c r="A19115" t="str">
        <f>"200021378"</f>
        <v>200021378</v>
      </c>
      <c r="B19115" t="str">
        <f>"1104628114"</f>
        <v>1104628114</v>
      </c>
      <c r="C19115" t="str">
        <f>"2084N0400X"</f>
        <v>2084N0400X</v>
      </c>
      <c r="D19115" t="str">
        <f>"JACKSON                  JASON                    "</f>
        <v xml:space="preserve">JACKSON                  JASON                    </v>
      </c>
      <c r="E19115" t="str">
        <f>"JACKSON                   "</f>
        <v xml:space="preserve">JACKSON                   </v>
      </c>
      <c r="F19115" t="str">
        <f t="shared" si="461"/>
        <v>MS</v>
      </c>
    </row>
    <row r="19116" spans="1:6" x14ac:dyDescent="0.25">
      <c r="A19116" t="str">
        <f>"200021379"</f>
        <v>200021379</v>
      </c>
      <c r="B19116" t="str">
        <f>"1831086982"</f>
        <v>1831086982</v>
      </c>
      <c r="C19116" t="str">
        <f>"207R00000X"</f>
        <v>207R00000X</v>
      </c>
      <c r="D19116" t="str">
        <f>"KANDEL                   ARJUN                    "</f>
        <v xml:space="preserve">KANDEL                   ARJUN                    </v>
      </c>
      <c r="E19116" t="str">
        <f>"OXFORD                    "</f>
        <v xml:space="preserve">OXFORD                    </v>
      </c>
      <c r="F19116" t="str">
        <f t="shared" si="461"/>
        <v>MS</v>
      </c>
    </row>
    <row r="19117" spans="1:6" x14ac:dyDescent="0.25">
      <c r="A19117" t="str">
        <f>"200021383"</f>
        <v>200021383</v>
      </c>
      <c r="B19117" t="str">
        <f>"1568264828"</f>
        <v>1568264828</v>
      </c>
      <c r="C19117" t="str">
        <f>"207R00000X"</f>
        <v>207R00000X</v>
      </c>
      <c r="D19117" t="str">
        <f>"SHORT                    TREVOR                   "</f>
        <v xml:space="preserve">SHORT                    TREVOR                   </v>
      </c>
      <c r="E19117" t="str">
        <f>"JACKSON                   "</f>
        <v xml:space="preserve">JACKSON                   </v>
      </c>
      <c r="F19117" t="str">
        <f t="shared" si="461"/>
        <v>MS</v>
      </c>
    </row>
    <row r="19118" spans="1:6" x14ac:dyDescent="0.25">
      <c r="A19118" t="str">
        <f>"200021395"</f>
        <v>200021395</v>
      </c>
      <c r="B19118" t="str">
        <f>"1568036184"</f>
        <v>1568036184</v>
      </c>
      <c r="C19118" t="str">
        <f>"2084P0800X"</f>
        <v>2084P0800X</v>
      </c>
      <c r="D19118" t="str">
        <f>"KHAN                     BASIM        A           "</f>
        <v xml:space="preserve">KHAN                     BASIM        A           </v>
      </c>
      <c r="E19118" t="str">
        <f>"FLOWOOD                   "</f>
        <v xml:space="preserve">FLOWOOD                   </v>
      </c>
      <c r="F19118" t="str">
        <f t="shared" si="461"/>
        <v>MS</v>
      </c>
    </row>
    <row r="19119" spans="1:6" x14ac:dyDescent="0.25">
      <c r="A19119" t="str">
        <f>"200021399"</f>
        <v>200021399</v>
      </c>
      <c r="B19119" t="str">
        <f>"1548050198"</f>
        <v>1548050198</v>
      </c>
      <c r="C19119" t="str">
        <f>"207R00000X"</f>
        <v>207R00000X</v>
      </c>
      <c r="D19119" t="str">
        <f>"GHAFFAR                  FARIHA                   "</f>
        <v xml:space="preserve">GHAFFAR                  FARIHA                   </v>
      </c>
      <c r="E19119" t="str">
        <f>"GULFPORT                  "</f>
        <v xml:space="preserve">GULFPORT                  </v>
      </c>
      <c r="F19119" t="str">
        <f t="shared" si="461"/>
        <v>MS</v>
      </c>
    </row>
    <row r="19120" spans="1:6" x14ac:dyDescent="0.25">
      <c r="A19120" t="str">
        <f>"200021401"</f>
        <v>200021401</v>
      </c>
      <c r="B19120" t="str">
        <f>"1588466635"</f>
        <v>1588466635</v>
      </c>
      <c r="C19120" t="str">
        <f>"207P00000X"</f>
        <v>207P00000X</v>
      </c>
      <c r="D19120" t="str">
        <f>"JONES                    DALTON                   "</f>
        <v xml:space="preserve">JONES                    DALTON                   </v>
      </c>
      <c r="E19120" t="str">
        <f>"JACKSON                   "</f>
        <v xml:space="preserve">JACKSON                   </v>
      </c>
      <c r="F19120" t="str">
        <f t="shared" si="461"/>
        <v>MS</v>
      </c>
    </row>
    <row r="19121" spans="1:6" x14ac:dyDescent="0.25">
      <c r="A19121" t="str">
        <f>"200021409"</f>
        <v>200021409</v>
      </c>
      <c r="B19121" t="str">
        <f>"1770346355"</f>
        <v>1770346355</v>
      </c>
      <c r="C19121" t="str">
        <f>"207L00000X"</f>
        <v>207L00000X</v>
      </c>
      <c r="D19121" t="str">
        <f>"KERBY                    ELIZABETH                "</f>
        <v xml:space="preserve">KERBY                    ELIZABETH                </v>
      </c>
      <c r="E19121" t="str">
        <f>"JACKSON                   "</f>
        <v xml:space="preserve">JACKSON                   </v>
      </c>
      <c r="F19121" t="str">
        <f t="shared" si="461"/>
        <v>MS</v>
      </c>
    </row>
    <row r="19122" spans="1:6" x14ac:dyDescent="0.25">
      <c r="A19122" t="str">
        <f>"200021410"</f>
        <v>200021410</v>
      </c>
      <c r="B19122" t="str">
        <f>"1619761798"</f>
        <v>1619761798</v>
      </c>
      <c r="C19122" t="str">
        <f>"207Y00000X"</f>
        <v>207Y00000X</v>
      </c>
      <c r="D19122" t="str">
        <f>"STEINIGER                JACOB                    "</f>
        <v xml:space="preserve">STEINIGER                JACOB                    </v>
      </c>
      <c r="E19122" t="str">
        <f>"JACKSON                   "</f>
        <v xml:space="preserve">JACKSON                   </v>
      </c>
      <c r="F19122" t="str">
        <f t="shared" si="461"/>
        <v>MS</v>
      </c>
    </row>
    <row r="19123" spans="1:6" x14ac:dyDescent="0.25">
      <c r="A19123" t="str">
        <f>"200021413"</f>
        <v>200021413</v>
      </c>
      <c r="B19123" t="str">
        <f>"1033972641"</f>
        <v>1033972641</v>
      </c>
      <c r="C19123" t="str">
        <f>"207R00000X"</f>
        <v>207R00000X</v>
      </c>
      <c r="D19123" t="str">
        <f>"YEN                      CHIN                     "</f>
        <v xml:space="preserve">YEN                      CHIN                     </v>
      </c>
      <c r="E19123" t="str">
        <f>"JACKSON                   "</f>
        <v xml:space="preserve">JACKSON                   </v>
      </c>
      <c r="F19123" t="str">
        <f t="shared" si="461"/>
        <v>MS</v>
      </c>
    </row>
    <row r="19124" spans="1:6" x14ac:dyDescent="0.25">
      <c r="A19124" t="str">
        <f>"200021414"</f>
        <v>200021414</v>
      </c>
      <c r="B19124" t="str">
        <f>"1952292245"</f>
        <v>1952292245</v>
      </c>
      <c r="C19124" t="str">
        <f>"152W00000X"</f>
        <v>152W00000X</v>
      </c>
      <c r="D19124" t="str">
        <f>"COX                      KEELY                    "</f>
        <v xml:space="preserve">COX                      KEELY                    </v>
      </c>
      <c r="E19124" t="str">
        <f>"DIBERVILLE                "</f>
        <v xml:space="preserve">DIBERVILLE                </v>
      </c>
      <c r="F19124" t="str">
        <f t="shared" si="461"/>
        <v>MS</v>
      </c>
    </row>
    <row r="19125" spans="1:6" x14ac:dyDescent="0.25">
      <c r="A19125" t="str">
        <f>"200021416"</f>
        <v>200021416</v>
      </c>
      <c r="B19125" t="str">
        <f>"1215723069"</f>
        <v>1215723069</v>
      </c>
      <c r="C19125" t="str">
        <f>"207R00000X"</f>
        <v>207R00000X</v>
      </c>
      <c r="D19125" t="str">
        <f>"HAMID                    HAFIZA                   "</f>
        <v xml:space="preserve">HAMID                    HAFIZA                   </v>
      </c>
      <c r="E19125" t="str">
        <f>"GULFPORT                  "</f>
        <v xml:space="preserve">GULFPORT                  </v>
      </c>
      <c r="F19125" t="str">
        <f t="shared" si="461"/>
        <v>MS</v>
      </c>
    </row>
    <row r="19126" spans="1:6" x14ac:dyDescent="0.25">
      <c r="A19126" t="str">
        <f>"200021417"</f>
        <v>200021417</v>
      </c>
      <c r="B19126" t="str">
        <f>"1629293691"</f>
        <v>1629293691</v>
      </c>
      <c r="C19126" t="str">
        <f>"261QM1300X"</f>
        <v>261QM1300X</v>
      </c>
      <c r="D19126" t="str">
        <f>"THE GULF COAST FAMILY COUNSELING AGENCY           "</f>
        <v xml:space="preserve">THE GULF COAST FAMILY COUNSELING AGENCY           </v>
      </c>
      <c r="E19126" t="str">
        <f>"PASCAGOULA                "</f>
        <v xml:space="preserve">PASCAGOULA                </v>
      </c>
      <c r="F19126" t="str">
        <f t="shared" si="461"/>
        <v>MS</v>
      </c>
    </row>
    <row r="19127" spans="1:6" x14ac:dyDescent="0.25">
      <c r="A19127" t="str">
        <f>"200021420"</f>
        <v>200021420</v>
      </c>
      <c r="B19127" t="str">
        <f>"1225606270"</f>
        <v>1225606270</v>
      </c>
      <c r="C19127" t="str">
        <f>"367500000X"</f>
        <v>367500000X</v>
      </c>
      <c r="D19127" t="str">
        <f>"MORRIS                   MEREDITH                 "</f>
        <v xml:space="preserve">MORRIS                   MEREDITH                 </v>
      </c>
      <c r="E19127" t="str">
        <f>"GREENVILLE                "</f>
        <v xml:space="preserve">GREENVILLE                </v>
      </c>
      <c r="F19127" t="str">
        <f t="shared" si="461"/>
        <v>MS</v>
      </c>
    </row>
    <row r="19128" spans="1:6" x14ac:dyDescent="0.25">
      <c r="A19128" t="str">
        <f>"200021422"</f>
        <v>200021422</v>
      </c>
      <c r="B19128" t="str">
        <f>"1518761485"</f>
        <v>1518761485</v>
      </c>
      <c r="C19128" t="str">
        <f>"207P00000X"</f>
        <v>207P00000X</v>
      </c>
      <c r="D19128" t="str">
        <f>"KELLAR                   ALEXANDER                "</f>
        <v xml:space="preserve">KELLAR                   ALEXANDER                </v>
      </c>
      <c r="E19128" t="str">
        <f>"JACKSON                   "</f>
        <v xml:space="preserve">JACKSON                   </v>
      </c>
      <c r="F19128" t="str">
        <f t="shared" si="461"/>
        <v>MS</v>
      </c>
    </row>
    <row r="19129" spans="1:6" x14ac:dyDescent="0.25">
      <c r="A19129" t="str">
        <f>"200021423"</f>
        <v>200021423</v>
      </c>
      <c r="B19129" t="str">
        <f>"1851177307"</f>
        <v>1851177307</v>
      </c>
      <c r="C19129" t="str">
        <f>"363L00000X"</f>
        <v>363L00000X</v>
      </c>
      <c r="D19129" t="str">
        <f>"BELL                     LEIGH                    "</f>
        <v xml:space="preserve">BELL                     LEIGH                    </v>
      </c>
      <c r="E19129" t="str">
        <f>"VICKSBURG                 "</f>
        <v xml:space="preserve">VICKSBURG                 </v>
      </c>
      <c r="F19129" t="str">
        <f t="shared" si="461"/>
        <v>MS</v>
      </c>
    </row>
    <row r="19130" spans="1:6" x14ac:dyDescent="0.25">
      <c r="A19130" t="str">
        <f>"200021425"</f>
        <v>200021425</v>
      </c>
      <c r="B19130" t="str">
        <f>"1003375858"</f>
        <v>1003375858</v>
      </c>
      <c r="C19130" t="str">
        <f>"207K00000X"</f>
        <v>207K00000X</v>
      </c>
      <c r="D19130" t="str">
        <f>"WADSWORTH                MARLEE       C           "</f>
        <v xml:space="preserve">WADSWORTH                MARLEE       C           </v>
      </c>
      <c r="E19130" t="str">
        <f>"HATTIESBURG               "</f>
        <v xml:space="preserve">HATTIESBURG               </v>
      </c>
      <c r="F19130" t="str">
        <f t="shared" si="461"/>
        <v>MS</v>
      </c>
    </row>
    <row r="19131" spans="1:6" x14ac:dyDescent="0.25">
      <c r="A19131" t="str">
        <f>"200021427"</f>
        <v>200021427</v>
      </c>
      <c r="B19131" t="str">
        <f>"1043258247"</f>
        <v>1043258247</v>
      </c>
      <c r="C19131" t="str">
        <f>"2085R0202X"</f>
        <v>2085R0202X</v>
      </c>
      <c r="D19131" t="str">
        <f>"VU                       LOI                      "</f>
        <v xml:space="preserve">VU                       LOI                      </v>
      </c>
      <c r="E19131" t="str">
        <f>"SOUTHAVEN                 "</f>
        <v xml:space="preserve">SOUTHAVEN                 </v>
      </c>
      <c r="F19131" t="str">
        <f t="shared" si="461"/>
        <v>MS</v>
      </c>
    </row>
    <row r="19132" spans="1:6" x14ac:dyDescent="0.25">
      <c r="A19132" t="str">
        <f>"200021430"</f>
        <v>200021430</v>
      </c>
      <c r="B19132" t="str">
        <f>"1356238943"</f>
        <v>1356238943</v>
      </c>
      <c r="C19132" t="str">
        <f>"152W00000X"</f>
        <v>152W00000X</v>
      </c>
      <c r="D19132" t="str">
        <f>"MISSISSIPPI EYE CARE EUPORA                       "</f>
        <v xml:space="preserve">MISSISSIPPI EYE CARE EUPORA                       </v>
      </c>
      <c r="E19132" t="str">
        <f>"EUPORA                    "</f>
        <v xml:space="preserve">EUPORA                    </v>
      </c>
      <c r="F19132" t="str">
        <f t="shared" si="461"/>
        <v>MS</v>
      </c>
    </row>
    <row r="19133" spans="1:6" x14ac:dyDescent="0.25">
      <c r="A19133" t="str">
        <f>"200021433"</f>
        <v>200021433</v>
      </c>
      <c r="B19133" t="str">
        <f>"1821527391"</f>
        <v>1821527391</v>
      </c>
      <c r="C19133" t="str">
        <f>"207RI0011X"</f>
        <v>207RI0011X</v>
      </c>
      <c r="D19133" t="str">
        <f>"DAVIS                    ARTHUR       P           "</f>
        <v xml:space="preserve">DAVIS                    ARTHUR       P           </v>
      </c>
      <c r="E19133" t="str">
        <f>"OXFORD                    "</f>
        <v xml:space="preserve">OXFORD                    </v>
      </c>
      <c r="F19133" t="str">
        <f t="shared" si="461"/>
        <v>MS</v>
      </c>
    </row>
    <row r="19134" spans="1:6" x14ac:dyDescent="0.25">
      <c r="A19134" t="str">
        <f>"200021437"</f>
        <v>200021437</v>
      </c>
      <c r="B19134" t="str">
        <f>"1689300501"</f>
        <v>1689300501</v>
      </c>
      <c r="C19134" t="str">
        <f>"1223G0001X"</f>
        <v>1223G0001X</v>
      </c>
      <c r="D19134" t="str">
        <f>"STARNES                  JUSTIN                   "</f>
        <v xml:space="preserve">STARNES                  JUSTIN                   </v>
      </c>
      <c r="E19134" t="str">
        <f>"PURVIS                    "</f>
        <v xml:space="preserve">PURVIS                    </v>
      </c>
      <c r="F19134" t="str">
        <f t="shared" ref="F19134:F19197" si="462">"MS"</f>
        <v>MS</v>
      </c>
    </row>
    <row r="19135" spans="1:6" x14ac:dyDescent="0.25">
      <c r="A19135" t="str">
        <f>"200021442"</f>
        <v>200021442</v>
      </c>
      <c r="B19135" t="str">
        <f>"1376287482"</f>
        <v>1376287482</v>
      </c>
      <c r="C19135" t="str">
        <f>"207P00000X"</f>
        <v>207P00000X</v>
      </c>
      <c r="D19135" t="str">
        <f>"NOWELL                   KARA                     "</f>
        <v xml:space="preserve">NOWELL                   KARA                     </v>
      </c>
      <c r="E19135" t="str">
        <f>"MERIDIAN                  "</f>
        <v xml:space="preserve">MERIDIAN                  </v>
      </c>
      <c r="F19135" t="str">
        <f t="shared" si="462"/>
        <v>MS</v>
      </c>
    </row>
    <row r="19136" spans="1:6" x14ac:dyDescent="0.25">
      <c r="A19136" t="str">
        <f>"200021443"</f>
        <v>200021443</v>
      </c>
      <c r="B19136" t="str">
        <f>"1205446622"</f>
        <v>1205446622</v>
      </c>
      <c r="C19136" t="str">
        <f>"2084N0400X"</f>
        <v>2084N0400X</v>
      </c>
      <c r="D19136" t="str">
        <f>"HUSSAIN                  SYED                     "</f>
        <v xml:space="preserve">HUSSAIN                  SYED                     </v>
      </c>
      <c r="E19136" t="str">
        <f>"RIDGELAND                 "</f>
        <v xml:space="preserve">RIDGELAND                 </v>
      </c>
      <c r="F19136" t="str">
        <f t="shared" si="462"/>
        <v>MS</v>
      </c>
    </row>
    <row r="19137" spans="1:6" x14ac:dyDescent="0.25">
      <c r="A19137" t="str">
        <f>"200021445"</f>
        <v>200021445</v>
      </c>
      <c r="B19137" t="str">
        <f>"1194588707"</f>
        <v>1194588707</v>
      </c>
      <c r="C19137" t="str">
        <f>"208600000X"</f>
        <v>208600000X</v>
      </c>
      <c r="D19137" t="str">
        <f>"MIDDLETON                BRENNEN                  "</f>
        <v xml:space="preserve">MIDDLETON                BRENNEN                  </v>
      </c>
      <c r="E19137" t="str">
        <f>"JACKSON                   "</f>
        <v xml:space="preserve">JACKSON                   </v>
      </c>
      <c r="F19137" t="str">
        <f t="shared" si="462"/>
        <v>MS</v>
      </c>
    </row>
    <row r="19138" spans="1:6" x14ac:dyDescent="0.25">
      <c r="A19138" t="str">
        <f>"200021454"</f>
        <v>200021454</v>
      </c>
      <c r="B19138" t="str">
        <f>"1962015032"</f>
        <v>1962015032</v>
      </c>
      <c r="C19138" t="str">
        <f>"363LF0000X"</f>
        <v>363LF0000X</v>
      </c>
      <c r="D19138" t="str">
        <f>"SONDAG                   SABRINA      J           "</f>
        <v xml:space="preserve">SONDAG                   SABRINA      J           </v>
      </c>
      <c r="E19138" t="str">
        <f>"CALEDONIA                 "</f>
        <v xml:space="preserve">CALEDONIA                 </v>
      </c>
      <c r="F19138" t="str">
        <f t="shared" si="462"/>
        <v>MS</v>
      </c>
    </row>
    <row r="19139" spans="1:6" x14ac:dyDescent="0.25">
      <c r="A19139" t="str">
        <f>"200021455"</f>
        <v>200021455</v>
      </c>
      <c r="B19139" t="str">
        <f>"1164462248"</f>
        <v>1164462248</v>
      </c>
      <c r="C19139" t="str">
        <f>"207P00000X"</f>
        <v>207P00000X</v>
      </c>
      <c r="D19139" t="str">
        <f>"STOCK                    JOSEPH                   "</f>
        <v xml:space="preserve">STOCK                    JOSEPH                   </v>
      </c>
      <c r="E19139" t="str">
        <f>"TUPELO                    "</f>
        <v xml:space="preserve">TUPELO                    </v>
      </c>
      <c r="F19139" t="str">
        <f t="shared" si="462"/>
        <v>MS</v>
      </c>
    </row>
    <row r="19140" spans="1:6" x14ac:dyDescent="0.25">
      <c r="A19140" t="str">
        <f>"200021456"</f>
        <v>200021456</v>
      </c>
      <c r="B19140" t="str">
        <f>"1154184745"</f>
        <v>1154184745</v>
      </c>
      <c r="C19140" t="str">
        <f>"207V00000X"</f>
        <v>207V00000X</v>
      </c>
      <c r="D19140" t="str">
        <f>"LUNA-SUAREZ              EMILIO                   "</f>
        <v xml:space="preserve">LUNA-SUAREZ              EMILIO                   </v>
      </c>
      <c r="E19140" t="str">
        <f>"JACKSON                   "</f>
        <v xml:space="preserve">JACKSON                   </v>
      </c>
      <c r="F19140" t="str">
        <f t="shared" si="462"/>
        <v>MS</v>
      </c>
    </row>
    <row r="19141" spans="1:6" x14ac:dyDescent="0.25">
      <c r="A19141" t="str">
        <f>"200021457"</f>
        <v>200021457</v>
      </c>
      <c r="B19141" t="str">
        <f>"1831571025"</f>
        <v>1831571025</v>
      </c>
      <c r="C19141" t="str">
        <f>"208M00000X"</f>
        <v>208M00000X</v>
      </c>
      <c r="D19141" t="str">
        <f>"PANWALA                  AMRUTA                   "</f>
        <v xml:space="preserve">PANWALA                  AMRUTA                   </v>
      </c>
      <c r="E19141" t="str">
        <f>"JACKSON                   "</f>
        <v xml:space="preserve">JACKSON                   </v>
      </c>
      <c r="F19141" t="str">
        <f t="shared" si="462"/>
        <v>MS</v>
      </c>
    </row>
    <row r="19142" spans="1:6" x14ac:dyDescent="0.25">
      <c r="A19142" t="str">
        <f>"200021462"</f>
        <v>200021462</v>
      </c>
      <c r="B19142" t="str">
        <f>"1679957781"</f>
        <v>1679957781</v>
      </c>
      <c r="C19142" t="str">
        <f>"208000000X"</f>
        <v>208000000X</v>
      </c>
      <c r="D19142" t="str">
        <f>"LUCKHARDT                MARGARITA                "</f>
        <v xml:space="preserve">LUCKHARDT                MARGARITA                </v>
      </c>
      <c r="E19142" t="str">
        <f>"JACKSON                   "</f>
        <v xml:space="preserve">JACKSON                   </v>
      </c>
      <c r="F19142" t="str">
        <f t="shared" si="462"/>
        <v>MS</v>
      </c>
    </row>
    <row r="19143" spans="1:6" x14ac:dyDescent="0.25">
      <c r="A19143" t="str">
        <f>"200021464"</f>
        <v>200021464</v>
      </c>
      <c r="B19143" t="str">
        <f>"1942097977"</f>
        <v>1942097977</v>
      </c>
      <c r="C19143" t="str">
        <f>"207R00000X"</f>
        <v>207R00000X</v>
      </c>
      <c r="D19143" t="str">
        <f>"WOHLWENDER               THOMAS                   "</f>
        <v xml:space="preserve">WOHLWENDER               THOMAS                   </v>
      </c>
      <c r="E19143" t="str">
        <f>"TUPELO                    "</f>
        <v xml:space="preserve">TUPELO                    </v>
      </c>
      <c r="F19143" t="str">
        <f t="shared" si="462"/>
        <v>MS</v>
      </c>
    </row>
    <row r="19144" spans="1:6" x14ac:dyDescent="0.25">
      <c r="A19144" t="str">
        <f>"200021466"</f>
        <v>200021466</v>
      </c>
      <c r="B19144" t="str">
        <f>"1316700032"</f>
        <v>1316700032</v>
      </c>
      <c r="C19144" t="str">
        <f>"207R00000X"</f>
        <v>207R00000X</v>
      </c>
      <c r="D19144" t="str">
        <f>"NEWBAKER                 JASON                    "</f>
        <v xml:space="preserve">NEWBAKER                 JASON                    </v>
      </c>
      <c r="E19144" t="str">
        <f>"JACKSON                   "</f>
        <v xml:space="preserve">JACKSON                   </v>
      </c>
      <c r="F19144" t="str">
        <f t="shared" si="462"/>
        <v>MS</v>
      </c>
    </row>
    <row r="19145" spans="1:6" x14ac:dyDescent="0.25">
      <c r="A19145" t="str">
        <f>"200021470"</f>
        <v>200021470</v>
      </c>
      <c r="B19145" t="str">
        <f>"1598559007"</f>
        <v>1598559007</v>
      </c>
      <c r="C19145" t="str">
        <f>"152W00000X"</f>
        <v>152W00000X</v>
      </c>
      <c r="D19145" t="str">
        <f>"BRIGHT EYES VISION CENTER                         "</f>
        <v xml:space="preserve">BRIGHT EYES VISION CENTER                         </v>
      </c>
      <c r="E19145" t="str">
        <f>"BATESVILLE                "</f>
        <v xml:space="preserve">BATESVILLE                </v>
      </c>
      <c r="F19145" t="str">
        <f t="shared" si="462"/>
        <v>MS</v>
      </c>
    </row>
    <row r="19146" spans="1:6" x14ac:dyDescent="0.25">
      <c r="A19146" t="str">
        <f>"200021471"</f>
        <v>200021471</v>
      </c>
      <c r="B19146" t="str">
        <f>"1285648659"</f>
        <v>1285648659</v>
      </c>
      <c r="C19146" t="str">
        <f>"207P00000X"</f>
        <v>207P00000X</v>
      </c>
      <c r="D19146" t="str">
        <f>"ANDREWS                  LUCIUS       C           "</f>
        <v xml:space="preserve">ANDREWS                  LUCIUS       C           </v>
      </c>
      <c r="E19146" t="str">
        <f>"VANCLEAVE                 "</f>
        <v xml:space="preserve">VANCLEAVE                 </v>
      </c>
      <c r="F19146" t="str">
        <f t="shared" si="462"/>
        <v>MS</v>
      </c>
    </row>
    <row r="19147" spans="1:6" x14ac:dyDescent="0.25">
      <c r="A19147" t="str">
        <f>"200021474"</f>
        <v>200021474</v>
      </c>
      <c r="B19147" t="str">
        <f>"1154017903"</f>
        <v>1154017903</v>
      </c>
      <c r="C19147" t="str">
        <f>"207P00000X"</f>
        <v>207P00000X</v>
      </c>
      <c r="D19147" t="str">
        <f>"EMAMALIE                 HAFFIZ                   "</f>
        <v xml:space="preserve">EMAMALIE                 HAFFIZ                   </v>
      </c>
      <c r="E19147" t="str">
        <f>"HATTIESBURG               "</f>
        <v xml:space="preserve">HATTIESBURG               </v>
      </c>
      <c r="F19147" t="str">
        <f t="shared" si="462"/>
        <v>MS</v>
      </c>
    </row>
    <row r="19148" spans="1:6" x14ac:dyDescent="0.25">
      <c r="A19148" t="str">
        <f>"200021485"</f>
        <v>200021485</v>
      </c>
      <c r="B19148" t="str">
        <f>"1619165511"</f>
        <v>1619165511</v>
      </c>
      <c r="C19148" t="str">
        <f>"207Q00000X"</f>
        <v>207Q00000X</v>
      </c>
      <c r="D19148" t="str">
        <f>"MBAH                     LINDA                    "</f>
        <v xml:space="preserve">MBAH                     LINDA                    </v>
      </c>
      <c r="E19148" t="str">
        <f>"JACKSON                   "</f>
        <v xml:space="preserve">JACKSON                   </v>
      </c>
      <c r="F19148" t="str">
        <f t="shared" si="462"/>
        <v>MS</v>
      </c>
    </row>
    <row r="19149" spans="1:6" x14ac:dyDescent="0.25">
      <c r="A19149" t="str">
        <f>"200021486"</f>
        <v>200021486</v>
      </c>
      <c r="B19149" t="str">
        <f>"1285492694"</f>
        <v>1285492694</v>
      </c>
      <c r="C19149" t="str">
        <f>"207R00000X"</f>
        <v>207R00000X</v>
      </c>
      <c r="D19149" t="str">
        <f>"MOORE                    DANIEL                   "</f>
        <v xml:space="preserve">MOORE                    DANIEL                   </v>
      </c>
      <c r="E19149" t="str">
        <f>"JACKSON                   "</f>
        <v xml:space="preserve">JACKSON                   </v>
      </c>
      <c r="F19149" t="str">
        <f t="shared" si="462"/>
        <v>MS</v>
      </c>
    </row>
    <row r="19150" spans="1:6" x14ac:dyDescent="0.25">
      <c r="A19150" t="str">
        <f>"200021498"</f>
        <v>200021498</v>
      </c>
      <c r="B19150" t="str">
        <f>"1285519405"</f>
        <v>1285519405</v>
      </c>
      <c r="C19150" t="str">
        <f>"363LF0000X"</f>
        <v>363LF0000X</v>
      </c>
      <c r="D19150" t="str">
        <f>"MCDONALD                 LAURA        E           "</f>
        <v xml:space="preserve">MCDONALD                 LAURA        E           </v>
      </c>
      <c r="E19150" t="str">
        <f>"CANTON                    "</f>
        <v xml:space="preserve">CANTON                    </v>
      </c>
      <c r="F19150" t="str">
        <f t="shared" si="462"/>
        <v>MS</v>
      </c>
    </row>
    <row r="19151" spans="1:6" x14ac:dyDescent="0.25">
      <c r="A19151" t="str">
        <f>"200021499"</f>
        <v>200021499</v>
      </c>
      <c r="B19151" t="str">
        <f>"1992508675"</f>
        <v>1992508675</v>
      </c>
      <c r="C19151" t="str">
        <f>"207R00000X"</f>
        <v>207R00000X</v>
      </c>
      <c r="D19151" t="str">
        <f>"NASEER                   LYBA                     "</f>
        <v xml:space="preserve">NASEER                   LYBA                     </v>
      </c>
      <c r="E19151" t="str">
        <f>"JACKSON                   "</f>
        <v xml:space="preserve">JACKSON                   </v>
      </c>
      <c r="F19151" t="str">
        <f t="shared" si="462"/>
        <v>MS</v>
      </c>
    </row>
    <row r="19152" spans="1:6" x14ac:dyDescent="0.25">
      <c r="A19152" t="str">
        <f>"200021500"</f>
        <v>200021500</v>
      </c>
      <c r="B19152" t="str">
        <f>"1841092020"</f>
        <v>1841092020</v>
      </c>
      <c r="C19152" t="str">
        <f>"208000000X"</f>
        <v>208000000X</v>
      </c>
      <c r="D19152" t="str">
        <f>"BOSWELL                  ZACHARY                  "</f>
        <v xml:space="preserve">BOSWELL                  ZACHARY                  </v>
      </c>
      <c r="E19152" t="str">
        <f>"JACKSON                   "</f>
        <v xml:space="preserve">JACKSON                   </v>
      </c>
      <c r="F19152" t="str">
        <f t="shared" si="462"/>
        <v>MS</v>
      </c>
    </row>
    <row r="19153" spans="1:6" x14ac:dyDescent="0.25">
      <c r="A19153" t="str">
        <f>"200021502"</f>
        <v>200021502</v>
      </c>
      <c r="B19153" t="str">
        <f>"1265295992"</f>
        <v>1265295992</v>
      </c>
      <c r="C19153" t="str">
        <f>"207R00000X"</f>
        <v>207R00000X</v>
      </c>
      <c r="D19153" t="str">
        <f>"MCDONALD                 MARY                     "</f>
        <v xml:space="preserve">MCDONALD                 MARY                     </v>
      </c>
      <c r="E19153" t="str">
        <f>"JACKSON                   "</f>
        <v xml:space="preserve">JACKSON                   </v>
      </c>
      <c r="F19153" t="str">
        <f t="shared" si="462"/>
        <v>MS</v>
      </c>
    </row>
    <row r="19154" spans="1:6" x14ac:dyDescent="0.25">
      <c r="A19154" t="str">
        <f>"200021503"</f>
        <v>200021503</v>
      </c>
      <c r="B19154" t="str">
        <f>"1679375851"</f>
        <v>1679375851</v>
      </c>
      <c r="C19154" t="str">
        <f>"207T00000X"</f>
        <v>207T00000X</v>
      </c>
      <c r="D19154" t="str">
        <f>"LAU                      SPENCER                  "</f>
        <v xml:space="preserve">LAU                      SPENCER                  </v>
      </c>
      <c r="E19154" t="str">
        <f>"JACKSON                   "</f>
        <v xml:space="preserve">JACKSON                   </v>
      </c>
      <c r="F19154" t="str">
        <f t="shared" si="462"/>
        <v>MS</v>
      </c>
    </row>
    <row r="19155" spans="1:6" x14ac:dyDescent="0.25">
      <c r="A19155" t="str">
        <f>"200021504"</f>
        <v>200021504</v>
      </c>
      <c r="B19155" t="str">
        <f>"1306630926"</f>
        <v>1306630926</v>
      </c>
      <c r="C19155" t="str">
        <f>"207R00000X"</f>
        <v>207R00000X</v>
      </c>
      <c r="D19155" t="str">
        <f>"GHONIM                   MOHAMED                  "</f>
        <v xml:space="preserve">GHONIM                   MOHAMED                  </v>
      </c>
      <c r="E19155" t="str">
        <f>"JACKSON                   "</f>
        <v xml:space="preserve">JACKSON                   </v>
      </c>
      <c r="F19155" t="str">
        <f t="shared" si="462"/>
        <v>MS</v>
      </c>
    </row>
    <row r="19156" spans="1:6" x14ac:dyDescent="0.25">
      <c r="A19156" t="str">
        <f>"200021507"</f>
        <v>200021507</v>
      </c>
      <c r="B19156" t="str">
        <f>"1205722170"</f>
        <v>1205722170</v>
      </c>
      <c r="C19156" t="str">
        <f>"122300000X"</f>
        <v>122300000X</v>
      </c>
      <c r="D19156" t="str">
        <f>"ANDY                     ANNA KATHRYN A           "</f>
        <v xml:space="preserve">ANDY                     ANNA KATHRYN A           </v>
      </c>
      <c r="E19156" t="str">
        <f>"GULFPORT                  "</f>
        <v xml:space="preserve">GULFPORT                  </v>
      </c>
      <c r="F19156" t="str">
        <f t="shared" si="462"/>
        <v>MS</v>
      </c>
    </row>
    <row r="19157" spans="1:6" x14ac:dyDescent="0.25">
      <c r="A19157" t="str">
        <f>"200021510"</f>
        <v>200021510</v>
      </c>
      <c r="B19157" t="str">
        <f>"1932675154"</f>
        <v>1932675154</v>
      </c>
      <c r="C19157" t="str">
        <f>"207R00000X"</f>
        <v>207R00000X</v>
      </c>
      <c r="D19157" t="str">
        <f>"LANCASTER                FRANCES                  "</f>
        <v xml:space="preserve">LANCASTER                FRANCES                  </v>
      </c>
      <c r="E19157" t="str">
        <f>"JACKSON                   "</f>
        <v xml:space="preserve">JACKSON                   </v>
      </c>
      <c r="F19157" t="str">
        <f t="shared" si="462"/>
        <v>MS</v>
      </c>
    </row>
    <row r="19158" spans="1:6" x14ac:dyDescent="0.25">
      <c r="A19158" t="str">
        <f>"200021511"</f>
        <v>200021511</v>
      </c>
      <c r="B19158" t="str">
        <f>"1871344077"</f>
        <v>1871344077</v>
      </c>
      <c r="C19158" t="str">
        <f>"207Q00000X"</f>
        <v>207Q00000X</v>
      </c>
      <c r="D19158" t="str">
        <f>"SAINI                    SUMIT                    "</f>
        <v xml:space="preserve">SAINI                    SUMIT                    </v>
      </c>
      <c r="E19158" t="str">
        <f>"GREENVILLE                "</f>
        <v xml:space="preserve">GREENVILLE                </v>
      </c>
      <c r="F19158" t="str">
        <f t="shared" si="462"/>
        <v>MS</v>
      </c>
    </row>
    <row r="19159" spans="1:6" x14ac:dyDescent="0.25">
      <c r="A19159" t="str">
        <f>"200021512"</f>
        <v>200021512</v>
      </c>
      <c r="B19159" t="str">
        <f>"1538497334"</f>
        <v>1538497334</v>
      </c>
      <c r="C19159" t="str">
        <f>"363LF0000X"</f>
        <v>363LF0000X</v>
      </c>
      <c r="D19159" t="str">
        <f>"MCKISSACK                MELISSA                  "</f>
        <v xml:space="preserve">MCKISSACK                MELISSA                  </v>
      </c>
      <c r="E19159" t="str">
        <f>"JACKSON                   "</f>
        <v xml:space="preserve">JACKSON                   </v>
      </c>
      <c r="F19159" t="str">
        <f t="shared" si="462"/>
        <v>MS</v>
      </c>
    </row>
    <row r="19160" spans="1:6" x14ac:dyDescent="0.25">
      <c r="A19160" t="str">
        <f>"200021513"</f>
        <v>200021513</v>
      </c>
      <c r="B19160" t="str">
        <f>"1619314705"</f>
        <v>1619314705</v>
      </c>
      <c r="C19160" t="str">
        <f>"2084N0400X"</f>
        <v>2084N0400X</v>
      </c>
      <c r="D19160" t="str">
        <f>"KLEIN                    BRADLEY                  "</f>
        <v xml:space="preserve">KLEIN                    BRADLEY                  </v>
      </c>
      <c r="E19160" t="str">
        <f>"TUPELO                    "</f>
        <v xml:space="preserve">TUPELO                    </v>
      </c>
      <c r="F19160" t="str">
        <f t="shared" si="462"/>
        <v>MS</v>
      </c>
    </row>
    <row r="19161" spans="1:6" x14ac:dyDescent="0.25">
      <c r="A19161" t="str">
        <f>"200021514"</f>
        <v>200021514</v>
      </c>
      <c r="B19161" t="str">
        <f>"1821884925"</f>
        <v>1821884925</v>
      </c>
      <c r="C19161" t="str">
        <f>"2084P0800X"</f>
        <v>2084P0800X</v>
      </c>
      <c r="D19161" t="str">
        <f>"ROYSTON                  SOPHIA                   "</f>
        <v xml:space="preserve">ROYSTON                  SOPHIA                   </v>
      </c>
      <c r="E19161" t="str">
        <f>"JACKSON                   "</f>
        <v xml:space="preserve">JACKSON                   </v>
      </c>
      <c r="F19161" t="str">
        <f t="shared" si="462"/>
        <v>MS</v>
      </c>
    </row>
    <row r="19162" spans="1:6" x14ac:dyDescent="0.25">
      <c r="A19162" t="str">
        <f>"200021515"</f>
        <v>200021515</v>
      </c>
      <c r="B19162" t="str">
        <f>"1467255380"</f>
        <v>1467255380</v>
      </c>
      <c r="C19162" t="str">
        <f>"208000000X"</f>
        <v>208000000X</v>
      </c>
      <c r="D19162" t="str">
        <f>"FULLER                   ROBERT                   "</f>
        <v xml:space="preserve">FULLER                   ROBERT                   </v>
      </c>
      <c r="E19162" t="str">
        <f>"JACKSON                   "</f>
        <v xml:space="preserve">JACKSON                   </v>
      </c>
      <c r="F19162" t="str">
        <f t="shared" si="462"/>
        <v>MS</v>
      </c>
    </row>
    <row r="19163" spans="1:6" x14ac:dyDescent="0.25">
      <c r="A19163" t="str">
        <f>"200021516"</f>
        <v>200021516</v>
      </c>
      <c r="B19163" t="str">
        <f>"1366409104"</f>
        <v>1366409104</v>
      </c>
      <c r="C19163" t="str">
        <f>"2086S0122X"</f>
        <v>2086S0122X</v>
      </c>
      <c r="D19163" t="str">
        <f>"LACHICA                  ROBERTO                  "</f>
        <v xml:space="preserve">LACHICA                  ROBERTO                  </v>
      </c>
      <c r="E19163" t="str">
        <f>"FLOWOOD                   "</f>
        <v xml:space="preserve">FLOWOOD                   </v>
      </c>
      <c r="F19163" t="str">
        <f t="shared" si="462"/>
        <v>MS</v>
      </c>
    </row>
    <row r="19164" spans="1:6" x14ac:dyDescent="0.25">
      <c r="A19164" t="str">
        <f>"200021518"</f>
        <v>200021518</v>
      </c>
      <c r="B19164" t="str">
        <f>"1487440426"</f>
        <v>1487440426</v>
      </c>
      <c r="C19164" t="str">
        <f>"208800000X"</f>
        <v>208800000X</v>
      </c>
      <c r="D19164" t="str">
        <f>"CRAIGHEAD                HENRY                    "</f>
        <v xml:space="preserve">CRAIGHEAD                HENRY                    </v>
      </c>
      <c r="E19164" t="str">
        <f>"JACKSON                   "</f>
        <v xml:space="preserve">JACKSON                   </v>
      </c>
      <c r="F19164" t="str">
        <f t="shared" si="462"/>
        <v>MS</v>
      </c>
    </row>
    <row r="19165" spans="1:6" x14ac:dyDescent="0.25">
      <c r="A19165" t="str">
        <f>"200021523"</f>
        <v>200021523</v>
      </c>
      <c r="B19165" t="str">
        <f>"1952876278"</f>
        <v>1952876278</v>
      </c>
      <c r="C19165" t="str">
        <f>"363LF0000X"</f>
        <v>363LF0000X</v>
      </c>
      <c r="D19165" t="str">
        <f>"SHAW                     CHRISTY                  "</f>
        <v xml:space="preserve">SHAW                     CHRISTY                  </v>
      </c>
      <c r="E19165" t="str">
        <f>"LEAKESVILLE               "</f>
        <v xml:space="preserve">LEAKESVILLE               </v>
      </c>
      <c r="F19165" t="str">
        <f t="shared" si="462"/>
        <v>MS</v>
      </c>
    </row>
    <row r="19166" spans="1:6" x14ac:dyDescent="0.25">
      <c r="A19166" t="str">
        <f>"200021526"</f>
        <v>200021526</v>
      </c>
      <c r="B19166" t="str">
        <f>"1861805087"</f>
        <v>1861805087</v>
      </c>
      <c r="C19166" t="str">
        <f>"367500000X"</f>
        <v>367500000X</v>
      </c>
      <c r="D19166" t="str">
        <f>"HAMPTON                  RICHARD                  "</f>
        <v xml:space="preserve">HAMPTON                  RICHARD                  </v>
      </c>
      <c r="E19166" t="str">
        <f>"JACKSON                   "</f>
        <v xml:space="preserve">JACKSON                   </v>
      </c>
      <c r="F19166" t="str">
        <f t="shared" si="462"/>
        <v>MS</v>
      </c>
    </row>
    <row r="19167" spans="1:6" x14ac:dyDescent="0.25">
      <c r="A19167" t="str">
        <f>"200021527"</f>
        <v>200021527</v>
      </c>
      <c r="B19167" t="str">
        <f>"1619627080"</f>
        <v>1619627080</v>
      </c>
      <c r="C19167" t="str">
        <f>"208000000X"</f>
        <v>208000000X</v>
      </c>
      <c r="D19167" t="str">
        <f>"BURNHAM                  ALEXANDRA    A           "</f>
        <v xml:space="preserve">BURNHAM                  ALEXANDRA    A           </v>
      </c>
      <c r="E19167" t="str">
        <f>"HATTIESBURG               "</f>
        <v xml:space="preserve">HATTIESBURG               </v>
      </c>
      <c r="F19167" t="str">
        <f t="shared" si="462"/>
        <v>MS</v>
      </c>
    </row>
    <row r="19168" spans="1:6" x14ac:dyDescent="0.25">
      <c r="A19168" t="str">
        <f>"200021531"</f>
        <v>200021531</v>
      </c>
      <c r="B19168" t="str">
        <f>"1528321502"</f>
        <v>1528321502</v>
      </c>
      <c r="C19168" t="str">
        <f>"208600000X"</f>
        <v>208600000X</v>
      </c>
      <c r="D19168" t="str">
        <f>"DEBUYSERE                SEAN                     "</f>
        <v xml:space="preserve">DEBUYSERE                SEAN                     </v>
      </c>
      <c r="E19168" t="str">
        <f>"GULFPORT                  "</f>
        <v xml:space="preserve">GULFPORT                  </v>
      </c>
      <c r="F19168" t="str">
        <f t="shared" si="462"/>
        <v>MS</v>
      </c>
    </row>
    <row r="19169" spans="1:6" x14ac:dyDescent="0.25">
      <c r="A19169" t="str">
        <f>"200021533"</f>
        <v>200021533</v>
      </c>
      <c r="B19169" t="str">
        <f>"1366064669"</f>
        <v>1366064669</v>
      </c>
      <c r="C19169" t="str">
        <f>"261QM1300X"</f>
        <v>261QM1300X</v>
      </c>
      <c r="D19169" t="str">
        <f>"NU LEAF THERAPY                                   "</f>
        <v xml:space="preserve">NU LEAF THERAPY                                   </v>
      </c>
      <c r="E19169" t="str">
        <f>"LAUREL                    "</f>
        <v xml:space="preserve">LAUREL                    </v>
      </c>
      <c r="F19169" t="str">
        <f t="shared" si="462"/>
        <v>MS</v>
      </c>
    </row>
    <row r="19170" spans="1:6" x14ac:dyDescent="0.25">
      <c r="A19170" t="str">
        <f>"200021541"</f>
        <v>200021541</v>
      </c>
      <c r="B19170" t="str">
        <f>"1851181176"</f>
        <v>1851181176</v>
      </c>
      <c r="C19170" t="str">
        <f>"207R00000X"</f>
        <v>207R00000X</v>
      </c>
      <c r="D19170" t="str">
        <f>"EADARA                   SAI NIVED                "</f>
        <v xml:space="preserve">EADARA                   SAI NIVED                </v>
      </c>
      <c r="E19170" t="str">
        <f>"LAUREL                    "</f>
        <v xml:space="preserve">LAUREL                    </v>
      </c>
      <c r="F19170" t="str">
        <f t="shared" si="462"/>
        <v>MS</v>
      </c>
    </row>
    <row r="19171" spans="1:6" x14ac:dyDescent="0.25">
      <c r="A19171" t="str">
        <f>"200021544"</f>
        <v>200021544</v>
      </c>
      <c r="B19171" t="str">
        <f>"1780144451"</f>
        <v>1780144451</v>
      </c>
      <c r="C19171" t="str">
        <f>"207RH0003X"</f>
        <v>207RH0003X</v>
      </c>
      <c r="D19171" t="str">
        <f>"NICAUD                   VIBHRA       M           "</f>
        <v xml:space="preserve">NICAUD                   VIBHRA       M           </v>
      </c>
      <c r="E19171" t="str">
        <f>"GULFPORT                  "</f>
        <v xml:space="preserve">GULFPORT                  </v>
      </c>
      <c r="F19171" t="str">
        <f t="shared" si="462"/>
        <v>MS</v>
      </c>
    </row>
    <row r="19172" spans="1:6" x14ac:dyDescent="0.25">
      <c r="A19172" t="str">
        <f>"200021546"</f>
        <v>200021546</v>
      </c>
      <c r="B19172" t="str">
        <f>"1124821764"</f>
        <v>1124821764</v>
      </c>
      <c r="C19172" t="str">
        <f>"2084P0800X"</f>
        <v>2084P0800X</v>
      </c>
      <c r="D19172" t="str">
        <f>"TURNER                   ALEXIS                   "</f>
        <v xml:space="preserve">TURNER                   ALEXIS                   </v>
      </c>
      <c r="E19172" t="str">
        <f>"JACKSON                   "</f>
        <v xml:space="preserve">JACKSON                   </v>
      </c>
      <c r="F19172" t="str">
        <f t="shared" si="462"/>
        <v>MS</v>
      </c>
    </row>
    <row r="19173" spans="1:6" x14ac:dyDescent="0.25">
      <c r="A19173" t="str">
        <f>"200021547"</f>
        <v>200021547</v>
      </c>
      <c r="B19173" t="str">
        <f>"1821611344"</f>
        <v>1821611344</v>
      </c>
      <c r="C19173" t="str">
        <f>"207R00000X"</f>
        <v>207R00000X</v>
      </c>
      <c r="D19173" t="str">
        <f>"WOLF                     RYAN                     "</f>
        <v xml:space="preserve">WOLF                     RYAN                     </v>
      </c>
      <c r="E19173" t="str">
        <f>"JACKSON                   "</f>
        <v xml:space="preserve">JACKSON                   </v>
      </c>
      <c r="F19173" t="str">
        <f t="shared" si="462"/>
        <v>MS</v>
      </c>
    </row>
    <row r="19174" spans="1:6" x14ac:dyDescent="0.25">
      <c r="A19174" t="str">
        <f>"200021551"</f>
        <v>200021551</v>
      </c>
      <c r="B19174" t="str">
        <f>"1316839491"</f>
        <v>1316839491</v>
      </c>
      <c r="C19174" t="str">
        <f>"122300000X"</f>
        <v>122300000X</v>
      </c>
      <c r="D19174" t="str">
        <f>"MOAK                     BRANDON                  "</f>
        <v xml:space="preserve">MOAK                     BRANDON                  </v>
      </c>
      <c r="E19174" t="str">
        <f>"WAYNESBORO                "</f>
        <v xml:space="preserve">WAYNESBORO                </v>
      </c>
      <c r="F19174" t="str">
        <f t="shared" si="462"/>
        <v>MS</v>
      </c>
    </row>
    <row r="19175" spans="1:6" x14ac:dyDescent="0.25">
      <c r="A19175" t="str">
        <f>"200021553"</f>
        <v>200021553</v>
      </c>
      <c r="B19175" t="str">
        <f>"1639932155"</f>
        <v>1639932155</v>
      </c>
      <c r="C19175" t="str">
        <f>"207R00000X"</f>
        <v>207R00000X</v>
      </c>
      <c r="D19175" t="str">
        <f>"BUTLER                   RUSH                     "</f>
        <v xml:space="preserve">BUTLER                   RUSH                     </v>
      </c>
      <c r="E19175" t="str">
        <f>"JACKSON                   "</f>
        <v xml:space="preserve">JACKSON                   </v>
      </c>
      <c r="F19175" t="str">
        <f t="shared" si="462"/>
        <v>MS</v>
      </c>
    </row>
    <row r="19176" spans="1:6" x14ac:dyDescent="0.25">
      <c r="A19176" t="str">
        <f>"200021554"</f>
        <v>200021554</v>
      </c>
      <c r="B19176" t="str">
        <f>"1306609052"</f>
        <v>1306609052</v>
      </c>
      <c r="C19176" t="str">
        <f>"2084N0400X"</f>
        <v>2084N0400X</v>
      </c>
      <c r="D19176" t="str">
        <f>"CAMPASSI                 RACHAEL                  "</f>
        <v xml:space="preserve">CAMPASSI                 RACHAEL                  </v>
      </c>
      <c r="E19176" t="str">
        <f>"JACKSON                   "</f>
        <v xml:space="preserve">JACKSON                   </v>
      </c>
      <c r="F19176" t="str">
        <f t="shared" si="462"/>
        <v>MS</v>
      </c>
    </row>
    <row r="19177" spans="1:6" x14ac:dyDescent="0.25">
      <c r="A19177" t="str">
        <f>"200021555"</f>
        <v>200021555</v>
      </c>
      <c r="B19177" t="str">
        <f>"1801546197"</f>
        <v>1801546197</v>
      </c>
      <c r="C19177" t="str">
        <f>"207R00000X"</f>
        <v>207R00000X</v>
      </c>
      <c r="D19177" t="str">
        <f>"CONNOR                   NATHAN                   "</f>
        <v xml:space="preserve">CONNOR                   NATHAN                   </v>
      </c>
      <c r="E19177" t="str">
        <f>"COLUMBUS                  "</f>
        <v xml:space="preserve">COLUMBUS                  </v>
      </c>
      <c r="F19177" t="str">
        <f t="shared" si="462"/>
        <v>MS</v>
      </c>
    </row>
    <row r="19178" spans="1:6" x14ac:dyDescent="0.25">
      <c r="A19178" t="str">
        <f>"200021556"</f>
        <v>200021556</v>
      </c>
      <c r="B19178" t="str">
        <f>"1306696380"</f>
        <v>1306696380</v>
      </c>
      <c r="C19178" t="str">
        <f>"207R00000X"</f>
        <v>207R00000X</v>
      </c>
      <c r="D19178" t="str">
        <f>"BELL                     HANNAH                   "</f>
        <v xml:space="preserve">BELL                     HANNAH                   </v>
      </c>
      <c r="E19178" t="str">
        <f>"JACKSON                   "</f>
        <v xml:space="preserve">JACKSON                   </v>
      </c>
      <c r="F19178" t="str">
        <f t="shared" si="462"/>
        <v>MS</v>
      </c>
    </row>
    <row r="19179" spans="1:6" x14ac:dyDescent="0.25">
      <c r="A19179" t="str">
        <f>"200021559"</f>
        <v>200021559</v>
      </c>
      <c r="B19179" t="str">
        <f>"1306609029"</f>
        <v>1306609029</v>
      </c>
      <c r="C19179" t="str">
        <f>"207R00000X"</f>
        <v>207R00000X</v>
      </c>
      <c r="D19179" t="str">
        <f>"FRANKLIN                 JOSHUA                   "</f>
        <v xml:space="preserve">FRANKLIN                 JOSHUA                   </v>
      </c>
      <c r="E19179" t="str">
        <f>"JACKSON                   "</f>
        <v xml:space="preserve">JACKSON                   </v>
      </c>
      <c r="F19179" t="str">
        <f t="shared" si="462"/>
        <v>MS</v>
      </c>
    </row>
    <row r="19180" spans="1:6" x14ac:dyDescent="0.25">
      <c r="A19180" t="str">
        <f>"200021562"</f>
        <v>200021562</v>
      </c>
      <c r="B19180" t="str">
        <f>"1770475824"</f>
        <v>1770475824</v>
      </c>
      <c r="C19180" t="str">
        <f>"363L00000X"</f>
        <v>363L00000X</v>
      </c>
      <c r="D19180" t="str">
        <f>"JAMES                    TAYLOR                   "</f>
        <v xml:space="preserve">JAMES                    TAYLOR                   </v>
      </c>
      <c r="E19180" t="str">
        <f>"JACKSON                   "</f>
        <v xml:space="preserve">JACKSON                   </v>
      </c>
      <c r="F19180" t="str">
        <f t="shared" si="462"/>
        <v>MS</v>
      </c>
    </row>
    <row r="19181" spans="1:6" x14ac:dyDescent="0.25">
      <c r="A19181" t="str">
        <f>"200021563"</f>
        <v>200021563</v>
      </c>
      <c r="B19181" t="str">
        <f>"1073251658"</f>
        <v>1073251658</v>
      </c>
      <c r="C19181" t="str">
        <f>"207Q00000X"</f>
        <v>207Q00000X</v>
      </c>
      <c r="D19181" t="str">
        <f>"WARREN                   KAITLYN      R           "</f>
        <v xml:space="preserve">WARREN                   KAITLYN      R           </v>
      </c>
      <c r="E19181" t="str">
        <f>"PURVIS                    "</f>
        <v xml:space="preserve">PURVIS                    </v>
      </c>
      <c r="F19181" t="str">
        <f t="shared" si="462"/>
        <v>MS</v>
      </c>
    </row>
    <row r="19182" spans="1:6" x14ac:dyDescent="0.25">
      <c r="A19182" t="str">
        <f>"200021566"</f>
        <v>200021566</v>
      </c>
      <c r="B19182" t="str">
        <f>"1376306803"</f>
        <v>1376306803</v>
      </c>
      <c r="C19182" t="str">
        <f>"208000000X"</f>
        <v>208000000X</v>
      </c>
      <c r="D19182" t="str">
        <f>"KUESPERT                 RACHEL                   "</f>
        <v xml:space="preserve">KUESPERT                 RACHEL                   </v>
      </c>
      <c r="E19182" t="str">
        <f>"JACKSON                   "</f>
        <v xml:space="preserve">JACKSON                   </v>
      </c>
      <c r="F19182" t="str">
        <f t="shared" si="462"/>
        <v>MS</v>
      </c>
    </row>
    <row r="19183" spans="1:6" x14ac:dyDescent="0.25">
      <c r="A19183" t="str">
        <f>"200021567"</f>
        <v>200021567</v>
      </c>
      <c r="B19183" t="str">
        <f>"1457642647"</f>
        <v>1457642647</v>
      </c>
      <c r="C19183" t="str">
        <f>"207RC0000X"</f>
        <v>207RC0000X</v>
      </c>
      <c r="D19183" t="str">
        <f>"ADESINA                  GEORGE                   "</f>
        <v xml:space="preserve">ADESINA                  GEORGE                   </v>
      </c>
      <c r="E19183" t="str">
        <f>"GULFPORT                  "</f>
        <v xml:space="preserve">GULFPORT                  </v>
      </c>
      <c r="F19183" t="str">
        <f t="shared" si="462"/>
        <v>MS</v>
      </c>
    </row>
    <row r="19184" spans="1:6" x14ac:dyDescent="0.25">
      <c r="A19184" t="str">
        <f>"200021569"</f>
        <v>200021569</v>
      </c>
      <c r="B19184" t="str">
        <f>"1164311205"</f>
        <v>1164311205</v>
      </c>
      <c r="C19184" t="str">
        <f>"363LP0808X"</f>
        <v>363LP0808X</v>
      </c>
      <c r="D19184" t="str">
        <f>"THOMAS                   JULIE                    "</f>
        <v xml:space="preserve">THOMAS                   JULIE                    </v>
      </c>
      <c r="E19184" t="str">
        <f>"MONTICELLO                "</f>
        <v xml:space="preserve">MONTICELLO                </v>
      </c>
      <c r="F19184" t="str">
        <f t="shared" si="462"/>
        <v>MS</v>
      </c>
    </row>
    <row r="19185" spans="1:6" x14ac:dyDescent="0.25">
      <c r="A19185" t="str">
        <f>"200021572"</f>
        <v>200021572</v>
      </c>
      <c r="B19185" t="str">
        <f>"1912591181"</f>
        <v>1912591181</v>
      </c>
      <c r="C19185" t="str">
        <f>"363LW0102X"</f>
        <v>363LW0102X</v>
      </c>
      <c r="D19185" t="str">
        <f>"RICKARD                  KIMBERLY                 "</f>
        <v xml:space="preserve">RICKARD                  KIMBERLY                 </v>
      </c>
      <c r="E19185" t="str">
        <f>"JACKSON                   "</f>
        <v xml:space="preserve">JACKSON                   </v>
      </c>
      <c r="F19185" t="str">
        <f t="shared" si="462"/>
        <v>MS</v>
      </c>
    </row>
    <row r="19186" spans="1:6" x14ac:dyDescent="0.25">
      <c r="A19186" t="str">
        <f>"200021574"</f>
        <v>200021574</v>
      </c>
      <c r="B19186" t="str">
        <f>"1053163345"</f>
        <v>1053163345</v>
      </c>
      <c r="C19186" t="str">
        <f>"207N00000X"</f>
        <v>207N00000X</v>
      </c>
      <c r="D19186" t="str">
        <f>"HICKHAM                  LEIGH                    "</f>
        <v xml:space="preserve">HICKHAM                  LEIGH                    </v>
      </c>
      <c r="E19186" t="str">
        <f>"JACKSON                   "</f>
        <v xml:space="preserve">JACKSON                   </v>
      </c>
      <c r="F19186" t="str">
        <f t="shared" si="462"/>
        <v>MS</v>
      </c>
    </row>
    <row r="19187" spans="1:6" x14ac:dyDescent="0.25">
      <c r="A19187" t="str">
        <f>"200021576"</f>
        <v>200021576</v>
      </c>
      <c r="B19187" t="str">
        <f>"1710771548"</f>
        <v>1710771548</v>
      </c>
      <c r="C19187" t="str">
        <f>"208800000X"</f>
        <v>208800000X</v>
      </c>
      <c r="D19187" t="str">
        <f>"KILLORIN                 COLEMAN                  "</f>
        <v xml:space="preserve">KILLORIN                 COLEMAN                  </v>
      </c>
      <c r="E19187" t="str">
        <f>"JACKSON                   "</f>
        <v xml:space="preserve">JACKSON                   </v>
      </c>
      <c r="F19187" t="str">
        <f t="shared" si="462"/>
        <v>MS</v>
      </c>
    </row>
    <row r="19188" spans="1:6" x14ac:dyDescent="0.25">
      <c r="A19188" t="str">
        <f>"200021579"</f>
        <v>200021579</v>
      </c>
      <c r="B19188" t="str">
        <f>"1457155681"</f>
        <v>1457155681</v>
      </c>
      <c r="C19188" t="str">
        <f>"207L00000X"</f>
        <v>207L00000X</v>
      </c>
      <c r="D19188" t="str">
        <f>"CUNNINGHAM               JULIE                    "</f>
        <v xml:space="preserve">CUNNINGHAM               JULIE                    </v>
      </c>
      <c r="E19188" t="str">
        <f>"JACKSON                   "</f>
        <v xml:space="preserve">JACKSON                   </v>
      </c>
      <c r="F19188" t="str">
        <f t="shared" si="462"/>
        <v>MS</v>
      </c>
    </row>
    <row r="19189" spans="1:6" x14ac:dyDescent="0.25">
      <c r="A19189" t="str">
        <f>"200021580"</f>
        <v>200021580</v>
      </c>
      <c r="B19189" t="str">
        <f>"1043053283"</f>
        <v>1043053283</v>
      </c>
      <c r="C19189" t="str">
        <f>"207P00000X"</f>
        <v>207P00000X</v>
      </c>
      <c r="D19189" t="str">
        <f>"LONGO                    ANNETTE                  "</f>
        <v xml:space="preserve">LONGO                    ANNETTE                  </v>
      </c>
      <c r="E19189" t="str">
        <f>"HATTIESBURG               "</f>
        <v xml:space="preserve">HATTIESBURG               </v>
      </c>
      <c r="F19189" t="str">
        <f t="shared" si="462"/>
        <v>MS</v>
      </c>
    </row>
    <row r="19190" spans="1:6" x14ac:dyDescent="0.25">
      <c r="A19190" t="str">
        <f>"200021581"</f>
        <v>200021581</v>
      </c>
      <c r="B19190" t="str">
        <f>"1225256381"</f>
        <v>1225256381</v>
      </c>
      <c r="C19190" t="str">
        <f>"208D00000X"</f>
        <v>208D00000X</v>
      </c>
      <c r="D19190" t="str">
        <f>"MADDOX                   BILL         F           "</f>
        <v xml:space="preserve">MADDOX                   BILL         F           </v>
      </c>
      <c r="E19190" t="str">
        <f>"GREENVILLE                "</f>
        <v xml:space="preserve">GREENVILLE                </v>
      </c>
      <c r="F19190" t="str">
        <f t="shared" si="462"/>
        <v>MS</v>
      </c>
    </row>
    <row r="19191" spans="1:6" x14ac:dyDescent="0.25">
      <c r="A19191" t="str">
        <f>"200021585"</f>
        <v>200021585</v>
      </c>
      <c r="B19191" t="str">
        <f>"1053157925"</f>
        <v>1053157925</v>
      </c>
      <c r="C19191" t="str">
        <f>"2084P0800X"</f>
        <v>2084P0800X</v>
      </c>
      <c r="D19191" t="str">
        <f>"HALL                     RUBY                     "</f>
        <v xml:space="preserve">HALL                     RUBY                     </v>
      </c>
      <c r="E19191" t="str">
        <f>"JACKSON                   "</f>
        <v xml:space="preserve">JACKSON                   </v>
      </c>
      <c r="F19191" t="str">
        <f t="shared" si="462"/>
        <v>MS</v>
      </c>
    </row>
    <row r="19192" spans="1:6" x14ac:dyDescent="0.25">
      <c r="A19192" t="str">
        <f>"200021593"</f>
        <v>200021593</v>
      </c>
      <c r="B19192" t="str">
        <f>"1992513394"</f>
        <v>1992513394</v>
      </c>
      <c r="C19192" t="str">
        <f>"207R00000X"</f>
        <v>207R00000X</v>
      </c>
      <c r="D19192" t="str">
        <f>"GERALD                   ANNA                     "</f>
        <v xml:space="preserve">GERALD                   ANNA                     </v>
      </c>
      <c r="E19192" t="str">
        <f>"JACKSON                   "</f>
        <v xml:space="preserve">JACKSON                   </v>
      </c>
      <c r="F19192" t="str">
        <f t="shared" si="462"/>
        <v>MS</v>
      </c>
    </row>
    <row r="19193" spans="1:6" x14ac:dyDescent="0.25">
      <c r="A19193" t="str">
        <f>"200021594"</f>
        <v>200021594</v>
      </c>
      <c r="B19193" t="str">
        <f>"1114720588"</f>
        <v>1114720588</v>
      </c>
      <c r="C19193" t="str">
        <f>"207R00000X"</f>
        <v>207R00000X</v>
      </c>
      <c r="D19193" t="str">
        <f>"SCOTT BULLOCH            SCOTT BULLOCH            "</f>
        <v xml:space="preserve">SCOTT BULLOCH            SCOTT BULLOCH            </v>
      </c>
      <c r="E19193" t="str">
        <f>"JACKSON                   "</f>
        <v xml:space="preserve">JACKSON                   </v>
      </c>
      <c r="F19193" t="str">
        <f t="shared" si="462"/>
        <v>MS</v>
      </c>
    </row>
    <row r="19194" spans="1:6" x14ac:dyDescent="0.25">
      <c r="A19194" t="str">
        <f>"200021596"</f>
        <v>200021596</v>
      </c>
      <c r="B19194" t="str">
        <f>"1457114183"</f>
        <v>1457114183</v>
      </c>
      <c r="C19194" t="str">
        <f>"208600000X"</f>
        <v>208600000X</v>
      </c>
      <c r="D19194" t="str">
        <f>"HALL                     SELAH                    "</f>
        <v xml:space="preserve">HALL                     SELAH                    </v>
      </c>
      <c r="E19194" t="str">
        <f>"JACKSON                   "</f>
        <v xml:space="preserve">JACKSON                   </v>
      </c>
      <c r="F19194" t="str">
        <f t="shared" si="462"/>
        <v>MS</v>
      </c>
    </row>
    <row r="19195" spans="1:6" x14ac:dyDescent="0.25">
      <c r="A19195" t="str">
        <f>"200021597"</f>
        <v>200021597</v>
      </c>
      <c r="B19195" t="str">
        <f>"1912761693"</f>
        <v>1912761693</v>
      </c>
      <c r="C19195" t="str">
        <f>"207R00000X"</f>
        <v>207R00000X</v>
      </c>
      <c r="D19195" t="str">
        <f>"ROGER MISHOE             ROGER MISHOE             "</f>
        <v xml:space="preserve">ROGER MISHOE             ROGER MISHOE             </v>
      </c>
      <c r="E19195" t="str">
        <f>"JACKSON                   "</f>
        <v xml:space="preserve">JACKSON                   </v>
      </c>
      <c r="F19195" t="str">
        <f t="shared" si="462"/>
        <v>MS</v>
      </c>
    </row>
    <row r="19196" spans="1:6" x14ac:dyDescent="0.25">
      <c r="A19196" t="str">
        <f>"200021598"</f>
        <v>200021598</v>
      </c>
      <c r="B19196" t="str">
        <f>"1295627388"</f>
        <v>1295627388</v>
      </c>
      <c r="C19196" t="str">
        <f>"1223G0001X"</f>
        <v>1223G0001X</v>
      </c>
      <c r="D19196" t="str">
        <f>"MOAK                     AUBURN                   "</f>
        <v xml:space="preserve">MOAK                     AUBURN                   </v>
      </c>
      <c r="E19196" t="str">
        <f>"WAYNESBORO                "</f>
        <v xml:space="preserve">WAYNESBORO                </v>
      </c>
      <c r="F19196" t="str">
        <f t="shared" si="462"/>
        <v>MS</v>
      </c>
    </row>
    <row r="19197" spans="1:6" x14ac:dyDescent="0.25">
      <c r="A19197" t="str">
        <f>"200021599"</f>
        <v>200021599</v>
      </c>
      <c r="B19197" t="str">
        <f>"1639978380"</f>
        <v>1639978380</v>
      </c>
      <c r="C19197" t="str">
        <f>"363L00000X"</f>
        <v>363L00000X</v>
      </c>
      <c r="D19197" t="str">
        <f>"COLLINS                  MARCELLA                 "</f>
        <v xml:space="preserve">COLLINS                  MARCELLA                 </v>
      </c>
      <c r="E19197" t="str">
        <f>"GREENWOOD                 "</f>
        <v xml:space="preserve">GREENWOOD                 </v>
      </c>
      <c r="F19197" t="str">
        <f t="shared" si="462"/>
        <v>MS</v>
      </c>
    </row>
    <row r="19198" spans="1:6" x14ac:dyDescent="0.25">
      <c r="A19198" t="str">
        <f>"200021601"</f>
        <v>200021601</v>
      </c>
      <c r="B19198" t="str">
        <f>"1689478737"</f>
        <v>1689478737</v>
      </c>
      <c r="C19198" t="str">
        <f>"2084N0400X"</f>
        <v>2084N0400X</v>
      </c>
      <c r="D19198" t="str">
        <f>"MOREIRA                  ELISEU                   "</f>
        <v xml:space="preserve">MOREIRA                  ELISEU                   </v>
      </c>
      <c r="E19198" t="str">
        <f>"JACKSON                   "</f>
        <v xml:space="preserve">JACKSON                   </v>
      </c>
      <c r="F19198" t="str">
        <f t="shared" ref="F19198:F19261" si="463">"MS"</f>
        <v>MS</v>
      </c>
    </row>
    <row r="19199" spans="1:6" x14ac:dyDescent="0.25">
      <c r="A19199" t="str">
        <f>"200021602"</f>
        <v>200021602</v>
      </c>
      <c r="B19199" t="str">
        <f>"1932424595"</f>
        <v>1932424595</v>
      </c>
      <c r="C19199" t="str">
        <f>"207R00000X"</f>
        <v>207R00000X</v>
      </c>
      <c r="D19199" t="str">
        <f>"LO                       VIVIAN                   "</f>
        <v xml:space="preserve">LO                       VIVIAN                   </v>
      </c>
      <c r="E19199" t="str">
        <f>"SOUTHAVEN                 "</f>
        <v xml:space="preserve">SOUTHAVEN                 </v>
      </c>
      <c r="F19199" t="str">
        <f t="shared" si="463"/>
        <v>MS</v>
      </c>
    </row>
    <row r="19200" spans="1:6" x14ac:dyDescent="0.25">
      <c r="A19200" t="str">
        <f>"200021609"</f>
        <v>200021609</v>
      </c>
      <c r="B19200" t="str">
        <f>"1497312664"</f>
        <v>1497312664</v>
      </c>
      <c r="C19200" t="str">
        <f>"2085R0202X"</f>
        <v>2085R0202X</v>
      </c>
      <c r="D19200" t="str">
        <f>"CHAUDHRY                 HAMZA        T           "</f>
        <v xml:space="preserve">CHAUDHRY                 HAMZA        T           </v>
      </c>
      <c r="E19200" t="str">
        <f>"HATTIESBURG               "</f>
        <v xml:space="preserve">HATTIESBURG               </v>
      </c>
      <c r="F19200" t="str">
        <f t="shared" si="463"/>
        <v>MS</v>
      </c>
    </row>
    <row r="19201" spans="1:6" x14ac:dyDescent="0.25">
      <c r="A19201" t="str">
        <f>"200021613"</f>
        <v>200021613</v>
      </c>
      <c r="B19201" t="str">
        <f>"1982336848"</f>
        <v>1982336848</v>
      </c>
      <c r="C19201" t="str">
        <f>"363A00000X"</f>
        <v>363A00000X</v>
      </c>
      <c r="D19201" t="str">
        <f>"WAHLQUIST                LILA         K           "</f>
        <v xml:space="preserve">WAHLQUIST                LILA         K           </v>
      </c>
      <c r="E19201" t="str">
        <f>"SOUTHAVEN                 "</f>
        <v xml:space="preserve">SOUTHAVEN                 </v>
      </c>
      <c r="F19201" t="str">
        <f t="shared" si="463"/>
        <v>MS</v>
      </c>
    </row>
    <row r="19202" spans="1:6" x14ac:dyDescent="0.25">
      <c r="A19202" t="str">
        <f>"200021625"</f>
        <v>200021625</v>
      </c>
      <c r="B19202" t="str">
        <f>"1376664318"</f>
        <v>1376664318</v>
      </c>
      <c r="C19202" t="str">
        <f>"1223X0400X"</f>
        <v>1223X0400X</v>
      </c>
      <c r="D19202" t="str">
        <f>"CALLENDER                RALPH        A           "</f>
        <v xml:space="preserve">CALLENDER                RALPH        A           </v>
      </c>
      <c r="E19202" t="str">
        <f>"BILOXI                    "</f>
        <v xml:space="preserve">BILOXI                    </v>
      </c>
      <c r="F19202" t="str">
        <f t="shared" si="463"/>
        <v>MS</v>
      </c>
    </row>
    <row r="19203" spans="1:6" x14ac:dyDescent="0.25">
      <c r="A19203" t="str">
        <f>"200021629"</f>
        <v>200021629</v>
      </c>
      <c r="B19203" t="str">
        <f>"1346034709"</f>
        <v>1346034709</v>
      </c>
      <c r="C19203" t="str">
        <f>"207Q00000X"</f>
        <v>207Q00000X</v>
      </c>
      <c r="D19203" t="str">
        <f>"ALAMO                    ADAM                     "</f>
        <v xml:space="preserve">ALAMO                    ADAM                     </v>
      </c>
      <c r="E19203" t="str">
        <f>"GULFPORT                  "</f>
        <v xml:space="preserve">GULFPORT                  </v>
      </c>
      <c r="F19203" t="str">
        <f t="shared" si="463"/>
        <v>MS</v>
      </c>
    </row>
    <row r="19204" spans="1:6" x14ac:dyDescent="0.25">
      <c r="A19204" t="str">
        <f>"200021634"</f>
        <v>200021634</v>
      </c>
      <c r="B19204" t="str">
        <f>"1114667433"</f>
        <v>1114667433</v>
      </c>
      <c r="C19204" t="str">
        <f>"207Q00000X"</f>
        <v>207Q00000X</v>
      </c>
      <c r="D19204" t="str">
        <f>"ONI                      OLUWADAMILOLA            "</f>
        <v xml:space="preserve">ONI                      OLUWADAMILOLA            </v>
      </c>
      <c r="E19204" t="str">
        <f>"GLUCKSTADT                "</f>
        <v xml:space="preserve">GLUCKSTADT                </v>
      </c>
      <c r="F19204" t="str">
        <f t="shared" si="463"/>
        <v>MS</v>
      </c>
    </row>
    <row r="19205" spans="1:6" x14ac:dyDescent="0.25">
      <c r="A19205" t="str">
        <f>"200021636"</f>
        <v>200021636</v>
      </c>
      <c r="B19205" t="str">
        <f>"1093133670"</f>
        <v>1093133670</v>
      </c>
      <c r="C19205" t="str">
        <f>"207X00000X"</f>
        <v>207X00000X</v>
      </c>
      <c r="D19205" t="str">
        <f>"SUTTON                   DANIEL       S           "</f>
        <v xml:space="preserve">SUTTON                   DANIEL       S           </v>
      </c>
      <c r="E19205" t="str">
        <f>"MERIDIAN                  "</f>
        <v xml:space="preserve">MERIDIAN                  </v>
      </c>
      <c r="F19205" t="str">
        <f t="shared" si="463"/>
        <v>MS</v>
      </c>
    </row>
    <row r="19206" spans="1:6" x14ac:dyDescent="0.25">
      <c r="A19206" t="str">
        <f>"200021637"</f>
        <v>200021637</v>
      </c>
      <c r="B19206" t="str">
        <f>"1760284483"</f>
        <v>1760284483</v>
      </c>
      <c r="C19206" t="str">
        <f>"363L00000X"</f>
        <v>363L00000X</v>
      </c>
      <c r="D19206" t="str">
        <f>"MCCOLLUM                 LAMONICE                 "</f>
        <v xml:space="preserve">MCCOLLUM                 LAMONICE                 </v>
      </c>
      <c r="E19206" t="str">
        <f>"WAVELAND                  "</f>
        <v xml:space="preserve">WAVELAND                  </v>
      </c>
      <c r="F19206" t="str">
        <f t="shared" si="463"/>
        <v>MS</v>
      </c>
    </row>
    <row r="19207" spans="1:6" x14ac:dyDescent="0.25">
      <c r="A19207" t="str">
        <f>"200021640"</f>
        <v>200021640</v>
      </c>
      <c r="B19207" t="str">
        <f>"1215379706"</f>
        <v>1215379706</v>
      </c>
      <c r="C19207" t="str">
        <f>"363LF0000X"</f>
        <v>363LF0000X</v>
      </c>
      <c r="D19207" t="str">
        <f>"HOLLIDAY                 KRYSTLE                  "</f>
        <v xml:space="preserve">HOLLIDAY                 KRYSTLE                  </v>
      </c>
      <c r="E19207" t="str">
        <f>"HORN LAKE                 "</f>
        <v xml:space="preserve">HORN LAKE                 </v>
      </c>
      <c r="F19207" t="str">
        <f t="shared" si="463"/>
        <v>MS</v>
      </c>
    </row>
    <row r="19208" spans="1:6" x14ac:dyDescent="0.25">
      <c r="A19208" t="str">
        <f>"200021641"</f>
        <v>200021641</v>
      </c>
      <c r="B19208" t="str">
        <f>"1063463420"</f>
        <v>1063463420</v>
      </c>
      <c r="C19208" t="str">
        <f>"367500000X"</f>
        <v>367500000X</v>
      </c>
      <c r="D19208" t="str">
        <f>"SANDERS                  SCOTT        F           "</f>
        <v xml:space="preserve">SANDERS                  SCOTT        F           </v>
      </c>
      <c r="E19208" t="str">
        <f>"PASCAGOULA                "</f>
        <v xml:space="preserve">PASCAGOULA                </v>
      </c>
      <c r="F19208" t="str">
        <f t="shared" si="463"/>
        <v>MS</v>
      </c>
    </row>
    <row r="19209" spans="1:6" x14ac:dyDescent="0.25">
      <c r="A19209" t="str">
        <f>"200021643"</f>
        <v>200021643</v>
      </c>
      <c r="B19209" t="str">
        <f>"1679246813"</f>
        <v>1679246813</v>
      </c>
      <c r="C19209" t="str">
        <f>"207RR0500X"</f>
        <v>207RR0500X</v>
      </c>
      <c r="D19209" t="str">
        <f>"EDUPUGANTI               SRUJAN                   "</f>
        <v xml:space="preserve">EDUPUGANTI               SRUJAN                   </v>
      </c>
      <c r="E19209" t="str">
        <f>"JACKSON                   "</f>
        <v xml:space="preserve">JACKSON                   </v>
      </c>
      <c r="F19209" t="str">
        <f t="shared" si="463"/>
        <v>MS</v>
      </c>
    </row>
    <row r="19210" spans="1:6" x14ac:dyDescent="0.25">
      <c r="A19210" t="str">
        <f>"200021649"</f>
        <v>200021649</v>
      </c>
      <c r="B19210" t="str">
        <f>"1881985695"</f>
        <v>1881985695</v>
      </c>
      <c r="C19210" t="str">
        <f>"207RI0200X"</f>
        <v>207RI0200X</v>
      </c>
      <c r="D19210" t="str">
        <f>"PEREZ                    CHRISTIAN    O           "</f>
        <v xml:space="preserve">PEREZ                    CHRISTIAN    O           </v>
      </c>
      <c r="E19210" t="str">
        <f>"MERIDIAN                  "</f>
        <v xml:space="preserve">MERIDIAN                  </v>
      </c>
      <c r="F19210" t="str">
        <f t="shared" si="463"/>
        <v>MS</v>
      </c>
    </row>
    <row r="19211" spans="1:6" x14ac:dyDescent="0.25">
      <c r="A19211" t="str">
        <f>"200021650"</f>
        <v>200021650</v>
      </c>
      <c r="B19211" t="str">
        <f>"1386456499"</f>
        <v>1386456499</v>
      </c>
      <c r="C19211" t="str">
        <f>"363A00000X"</f>
        <v>363A00000X</v>
      </c>
      <c r="D19211" t="str">
        <f>"RODRIGUEZ                PEDRO                    "</f>
        <v xml:space="preserve">RODRIGUEZ                PEDRO                    </v>
      </c>
      <c r="E19211" t="str">
        <f>"FLOWOOD                   "</f>
        <v xml:space="preserve">FLOWOOD                   </v>
      </c>
      <c r="F19211" t="str">
        <f t="shared" si="463"/>
        <v>MS</v>
      </c>
    </row>
    <row r="19212" spans="1:6" x14ac:dyDescent="0.25">
      <c r="A19212" t="str">
        <f>"200021651"</f>
        <v>200021651</v>
      </c>
      <c r="B19212" t="str">
        <f>"1750064689"</f>
        <v>1750064689</v>
      </c>
      <c r="C19212" t="str">
        <f>"363LA2100X"</f>
        <v>363LA2100X</v>
      </c>
      <c r="D19212" t="str">
        <f>"MILLS                    ERIN                     "</f>
        <v xml:space="preserve">MILLS                    ERIN                     </v>
      </c>
      <c r="E19212" t="str">
        <f>"MERIDIAN                  "</f>
        <v xml:space="preserve">MERIDIAN                  </v>
      </c>
      <c r="F19212" t="str">
        <f t="shared" si="463"/>
        <v>MS</v>
      </c>
    </row>
    <row r="19213" spans="1:6" x14ac:dyDescent="0.25">
      <c r="A19213" t="str">
        <f>"200021652"</f>
        <v>200021652</v>
      </c>
      <c r="B19213" t="str">
        <f>"1366194375"</f>
        <v>1366194375</v>
      </c>
      <c r="C19213" t="str">
        <f>"208600000X"</f>
        <v>208600000X</v>
      </c>
      <c r="D19213" t="str">
        <f>"DANSBY                   KAMARIA                  "</f>
        <v xml:space="preserve">DANSBY                   KAMARIA                  </v>
      </c>
      <c r="E19213" t="str">
        <f>"JACKSON                   "</f>
        <v xml:space="preserve">JACKSON                   </v>
      </c>
      <c r="F19213" t="str">
        <f t="shared" si="463"/>
        <v>MS</v>
      </c>
    </row>
    <row r="19214" spans="1:6" x14ac:dyDescent="0.25">
      <c r="A19214" t="str">
        <f>"200021659"</f>
        <v>200021659</v>
      </c>
      <c r="B19214" t="str">
        <f>"1346238615"</f>
        <v>1346238615</v>
      </c>
      <c r="C19214" t="str">
        <f>"207RG0100X"</f>
        <v>207RG0100X</v>
      </c>
      <c r="D19214" t="str">
        <f>"DOTHEROW                 PIERCE                   "</f>
        <v xml:space="preserve">DOTHEROW                 PIERCE                   </v>
      </c>
      <c r="E19214" t="str">
        <f>"JACKSON                   "</f>
        <v xml:space="preserve">JACKSON                   </v>
      </c>
      <c r="F19214" t="str">
        <f t="shared" si="463"/>
        <v>MS</v>
      </c>
    </row>
    <row r="19215" spans="1:6" x14ac:dyDescent="0.25">
      <c r="A19215" t="str">
        <f>"200021660"</f>
        <v>200021660</v>
      </c>
      <c r="B19215" t="str">
        <f>"1215615455"</f>
        <v>1215615455</v>
      </c>
      <c r="C19215" t="str">
        <f>"261QM0801X"</f>
        <v>261QM0801X</v>
      </c>
      <c r="D19215" t="str">
        <f>"TF COMMUNITY MENTAL HEALTH LLC                    "</f>
        <v xml:space="preserve">TF COMMUNITY MENTAL HEALTH LLC                    </v>
      </c>
      <c r="E19215" t="str">
        <f>"TERRY                     "</f>
        <v xml:space="preserve">TERRY                     </v>
      </c>
      <c r="F19215" t="str">
        <f t="shared" si="463"/>
        <v>MS</v>
      </c>
    </row>
    <row r="19216" spans="1:6" x14ac:dyDescent="0.25">
      <c r="A19216" t="str">
        <f>"200021670"</f>
        <v>200021670</v>
      </c>
      <c r="B19216" t="str">
        <f>"1275804270"</f>
        <v>1275804270</v>
      </c>
      <c r="C19216" t="str">
        <f>"363LF0000X"</f>
        <v>363LF0000X</v>
      </c>
      <c r="D19216" t="str">
        <f>"TANNER                   ANTHONY                  "</f>
        <v xml:space="preserve">TANNER                   ANTHONY                  </v>
      </c>
      <c r="E19216" t="str">
        <f>"PASCAGOULA                "</f>
        <v xml:space="preserve">PASCAGOULA                </v>
      </c>
      <c r="F19216" t="str">
        <f t="shared" si="463"/>
        <v>MS</v>
      </c>
    </row>
    <row r="19217" spans="1:6" x14ac:dyDescent="0.25">
      <c r="A19217" t="str">
        <f>"200021682"</f>
        <v>200021682</v>
      </c>
      <c r="B19217" t="str">
        <f>"1952160582"</f>
        <v>1952160582</v>
      </c>
      <c r="C19217" t="str">
        <f>"2084P0800X"</f>
        <v>2084P0800X</v>
      </c>
      <c r="D19217" t="str">
        <f>"LYNCH                    THOMAS                   "</f>
        <v xml:space="preserve">LYNCH                    THOMAS                   </v>
      </c>
      <c r="E19217" t="str">
        <f>"JACKSON                   "</f>
        <v xml:space="preserve">JACKSON                   </v>
      </c>
      <c r="F19217" t="str">
        <f t="shared" si="463"/>
        <v>MS</v>
      </c>
    </row>
    <row r="19218" spans="1:6" x14ac:dyDescent="0.25">
      <c r="A19218" t="str">
        <f>"200021683"</f>
        <v>200021683</v>
      </c>
      <c r="B19218" t="str">
        <f>"1356106918"</f>
        <v>1356106918</v>
      </c>
      <c r="C19218" t="str">
        <f>"2084N0400X"</f>
        <v>2084N0400X</v>
      </c>
      <c r="D19218" t="str">
        <f>"RAINS, JR                CHRISTOPHER              "</f>
        <v xml:space="preserve">RAINS, JR                CHRISTOPHER              </v>
      </c>
      <c r="E19218" t="str">
        <f>"JACKSON                   "</f>
        <v xml:space="preserve">JACKSON                   </v>
      </c>
      <c r="F19218" t="str">
        <f t="shared" si="463"/>
        <v>MS</v>
      </c>
    </row>
    <row r="19219" spans="1:6" x14ac:dyDescent="0.25">
      <c r="A19219" t="str">
        <f>"200021684"</f>
        <v>200021684</v>
      </c>
      <c r="B19219" t="str">
        <f>"1417759440"</f>
        <v>1417759440</v>
      </c>
      <c r="C19219" t="str">
        <f>"208000000X"</f>
        <v>208000000X</v>
      </c>
      <c r="D19219" t="str">
        <f>"HORTON                   MORGAN                   "</f>
        <v xml:space="preserve">HORTON                   MORGAN                   </v>
      </c>
      <c r="E19219" t="str">
        <f>"JACKSON                   "</f>
        <v xml:space="preserve">JACKSON                   </v>
      </c>
      <c r="F19219" t="str">
        <f t="shared" si="463"/>
        <v>MS</v>
      </c>
    </row>
    <row r="19220" spans="1:6" x14ac:dyDescent="0.25">
      <c r="A19220" t="str">
        <f>"200021690"</f>
        <v>200021690</v>
      </c>
      <c r="B19220" t="str">
        <f>"1063260172"</f>
        <v>1063260172</v>
      </c>
      <c r="C19220" t="str">
        <f>"363LP0808X"</f>
        <v>363LP0808X</v>
      </c>
      <c r="D19220" t="str">
        <f>"SMITH                    JENNIFER                 "</f>
        <v xml:space="preserve">SMITH                    JENNIFER                 </v>
      </c>
      <c r="E19220" t="str">
        <f>"BRANDON                   "</f>
        <v xml:space="preserve">BRANDON                   </v>
      </c>
      <c r="F19220" t="str">
        <f t="shared" si="463"/>
        <v>MS</v>
      </c>
    </row>
    <row r="19221" spans="1:6" x14ac:dyDescent="0.25">
      <c r="A19221" t="str">
        <f>"200021699"</f>
        <v>200021699</v>
      </c>
      <c r="B19221" t="str">
        <f>"1700670650"</f>
        <v>1700670650</v>
      </c>
      <c r="C19221" t="str">
        <f>"207R00000X"</f>
        <v>207R00000X</v>
      </c>
      <c r="D19221" t="str">
        <f>"ABERNATHY                JOHN                     "</f>
        <v xml:space="preserve">ABERNATHY                JOHN                     </v>
      </c>
      <c r="E19221" t="str">
        <f>"JACKSON                   "</f>
        <v xml:space="preserve">JACKSON                   </v>
      </c>
      <c r="F19221" t="str">
        <f t="shared" si="463"/>
        <v>MS</v>
      </c>
    </row>
    <row r="19222" spans="1:6" x14ac:dyDescent="0.25">
      <c r="A19222" t="str">
        <f>"200021702"</f>
        <v>200021702</v>
      </c>
      <c r="B19222" t="str">
        <f>"1003679648"</f>
        <v>1003679648</v>
      </c>
      <c r="C19222" t="str">
        <f>"207R00000X"</f>
        <v>207R00000X</v>
      </c>
      <c r="D19222" t="str">
        <f>"POWELL                   THOMAS                   "</f>
        <v xml:space="preserve">POWELL                   THOMAS                   </v>
      </c>
      <c r="E19222" t="str">
        <f>"JACKSON                   "</f>
        <v xml:space="preserve">JACKSON                   </v>
      </c>
      <c r="F19222" t="str">
        <f t="shared" si="463"/>
        <v>MS</v>
      </c>
    </row>
    <row r="19223" spans="1:6" x14ac:dyDescent="0.25">
      <c r="A19223" t="str">
        <f>"200021710"</f>
        <v>200021710</v>
      </c>
      <c r="B19223" t="str">
        <f>"1811799943"</f>
        <v>1811799943</v>
      </c>
      <c r="C19223" t="str">
        <f>"207ZP0105X"</f>
        <v>207ZP0105X</v>
      </c>
      <c r="D19223" t="str">
        <f>"PAYTON                   SAMANTHA                 "</f>
        <v xml:space="preserve">PAYTON                   SAMANTHA                 </v>
      </c>
      <c r="E19223" t="str">
        <f>"JACKSON                   "</f>
        <v xml:space="preserve">JACKSON                   </v>
      </c>
      <c r="F19223" t="str">
        <f t="shared" si="463"/>
        <v>MS</v>
      </c>
    </row>
    <row r="19224" spans="1:6" x14ac:dyDescent="0.25">
      <c r="A19224" t="str">
        <f>"200021715"</f>
        <v>200021715</v>
      </c>
      <c r="B19224" t="str">
        <f>"1235317496"</f>
        <v>1235317496</v>
      </c>
      <c r="C19224" t="str">
        <f>"2085R0202X"</f>
        <v>2085R0202X</v>
      </c>
      <c r="D19224" t="str">
        <f>"ROY                      NICOLE       A           "</f>
        <v xml:space="preserve">ROY                      NICOLE       A           </v>
      </c>
      <c r="E19224" t="str">
        <f>"SOUTHAVEN                 "</f>
        <v xml:space="preserve">SOUTHAVEN                 </v>
      </c>
      <c r="F19224" t="str">
        <f t="shared" si="463"/>
        <v>MS</v>
      </c>
    </row>
    <row r="19225" spans="1:6" x14ac:dyDescent="0.25">
      <c r="A19225" t="str">
        <f>"200021720"</f>
        <v>200021720</v>
      </c>
      <c r="B19225" t="str">
        <f>"1093155376"</f>
        <v>1093155376</v>
      </c>
      <c r="C19225" t="str">
        <f>"207QG0300X"</f>
        <v>207QG0300X</v>
      </c>
      <c r="D19225" t="str">
        <f>"MARYA                    ANUJ                     "</f>
        <v xml:space="preserve">MARYA                    ANUJ                     </v>
      </c>
      <c r="E19225" t="str">
        <f>"FLOWOOD                   "</f>
        <v xml:space="preserve">FLOWOOD                   </v>
      </c>
      <c r="F19225" t="str">
        <f t="shared" si="463"/>
        <v>MS</v>
      </c>
    </row>
    <row r="19226" spans="1:6" x14ac:dyDescent="0.25">
      <c r="A19226" t="str">
        <f>"200021726"</f>
        <v>200021726</v>
      </c>
      <c r="B19226" t="str">
        <f>"1942461074"</f>
        <v>1942461074</v>
      </c>
      <c r="C19226" t="str">
        <f>"2085R0202X"</f>
        <v>2085R0202X</v>
      </c>
      <c r="D19226" t="str">
        <f>"STENSBY                  JAMES        D           "</f>
        <v xml:space="preserve">STENSBY                  JAMES        D           </v>
      </c>
      <c r="E19226" t="str">
        <f>"HATTIESBURG               "</f>
        <v xml:space="preserve">HATTIESBURG               </v>
      </c>
      <c r="F19226" t="str">
        <f t="shared" si="463"/>
        <v>MS</v>
      </c>
    </row>
    <row r="19227" spans="1:6" x14ac:dyDescent="0.25">
      <c r="A19227" t="str">
        <f>"200021733"</f>
        <v>200021733</v>
      </c>
      <c r="B19227" t="str">
        <f>"1366462939"</f>
        <v>1366462939</v>
      </c>
      <c r="C19227" t="str">
        <f>"207RH0003X"</f>
        <v>207RH0003X</v>
      </c>
      <c r="D19227" t="str">
        <f>"JACOBS                   EDWIN                    "</f>
        <v xml:space="preserve">JACOBS                   EDWIN                    </v>
      </c>
      <c r="E19227" t="str">
        <f>"SOUTHAVEN                 "</f>
        <v xml:space="preserve">SOUTHAVEN                 </v>
      </c>
      <c r="F19227" t="str">
        <f t="shared" si="463"/>
        <v>MS</v>
      </c>
    </row>
    <row r="19228" spans="1:6" x14ac:dyDescent="0.25">
      <c r="A19228" t="str">
        <f>"200021737"</f>
        <v>200021737</v>
      </c>
      <c r="B19228" t="str">
        <f>"1518528769"</f>
        <v>1518528769</v>
      </c>
      <c r="C19228" t="str">
        <f>"1223G0001X"</f>
        <v>1223G0001X</v>
      </c>
      <c r="D19228" t="str">
        <f>"PHILLIPS                 HUEY                     "</f>
        <v xml:space="preserve">PHILLIPS                 HUEY                     </v>
      </c>
      <c r="E19228" t="str">
        <f>"CORINTH                   "</f>
        <v xml:space="preserve">CORINTH                   </v>
      </c>
      <c r="F19228" t="str">
        <f t="shared" si="463"/>
        <v>MS</v>
      </c>
    </row>
    <row r="19229" spans="1:6" x14ac:dyDescent="0.25">
      <c r="A19229" t="str">
        <f>"200021741"</f>
        <v>200021741</v>
      </c>
      <c r="B19229" t="str">
        <f>"1518452648"</f>
        <v>1518452648</v>
      </c>
      <c r="C19229" t="str">
        <f>"2084N0400X"</f>
        <v>2084N0400X</v>
      </c>
      <c r="D19229" t="str">
        <f>"BHAGAVAN                 SACHIN                   "</f>
        <v xml:space="preserve">BHAGAVAN                 SACHIN                   </v>
      </c>
      <c r="E19229" t="str">
        <f>"TUPELO                    "</f>
        <v xml:space="preserve">TUPELO                    </v>
      </c>
      <c r="F19229" t="str">
        <f t="shared" si="463"/>
        <v>MS</v>
      </c>
    </row>
    <row r="19230" spans="1:6" x14ac:dyDescent="0.25">
      <c r="A19230" t="str">
        <f>"200021744"</f>
        <v>200021744</v>
      </c>
      <c r="B19230" t="str">
        <f>"1316741366"</f>
        <v>1316741366</v>
      </c>
      <c r="C19230" t="str">
        <f>"207T00000X"</f>
        <v>207T00000X</v>
      </c>
      <c r="D19230" t="str">
        <f>"MORGAN                   RYAN                     "</f>
        <v xml:space="preserve">MORGAN                   RYAN                     </v>
      </c>
      <c r="E19230" t="str">
        <f t="shared" ref="E19230:E19238" si="464">"JACKSON                   "</f>
        <v xml:space="preserve">JACKSON                   </v>
      </c>
      <c r="F19230" t="str">
        <f t="shared" si="463"/>
        <v>MS</v>
      </c>
    </row>
    <row r="19231" spans="1:6" x14ac:dyDescent="0.25">
      <c r="A19231" t="str">
        <f>"200021745"</f>
        <v>200021745</v>
      </c>
      <c r="B19231" t="str">
        <f>"1487418174"</f>
        <v>1487418174</v>
      </c>
      <c r="C19231" t="str">
        <f>"207P00000X"</f>
        <v>207P00000X</v>
      </c>
      <c r="D19231" t="str">
        <f>"KOTA                     SAI                      "</f>
        <v xml:space="preserve">KOTA                     SAI                      </v>
      </c>
      <c r="E19231" t="str">
        <f t="shared" si="464"/>
        <v xml:space="preserve">JACKSON                   </v>
      </c>
      <c r="F19231" t="str">
        <f t="shared" si="463"/>
        <v>MS</v>
      </c>
    </row>
    <row r="19232" spans="1:6" x14ac:dyDescent="0.25">
      <c r="A19232" t="str">
        <f>"200021747"</f>
        <v>200021747</v>
      </c>
      <c r="B19232" t="str">
        <f>"1184518003"</f>
        <v>1184518003</v>
      </c>
      <c r="C19232" t="str">
        <f>"363LF0000X"</f>
        <v>363LF0000X</v>
      </c>
      <c r="D19232" t="str">
        <f>"SMITH                    RACHEL                   "</f>
        <v xml:space="preserve">SMITH                    RACHEL                   </v>
      </c>
      <c r="E19232" t="str">
        <f t="shared" si="464"/>
        <v xml:space="preserve">JACKSON                   </v>
      </c>
      <c r="F19232" t="str">
        <f t="shared" si="463"/>
        <v>MS</v>
      </c>
    </row>
    <row r="19233" spans="1:6" x14ac:dyDescent="0.25">
      <c r="A19233" t="str">
        <f>"200021748"</f>
        <v>200021748</v>
      </c>
      <c r="B19233" t="str">
        <f>"1891546156"</f>
        <v>1891546156</v>
      </c>
      <c r="C19233" t="str">
        <f>"207R00000X"</f>
        <v>207R00000X</v>
      </c>
      <c r="D19233" t="str">
        <f>"MARTIN                   PETER                    "</f>
        <v xml:space="preserve">MARTIN                   PETER                    </v>
      </c>
      <c r="E19233" t="str">
        <f t="shared" si="464"/>
        <v xml:space="preserve">JACKSON                   </v>
      </c>
      <c r="F19233" t="str">
        <f t="shared" si="463"/>
        <v>MS</v>
      </c>
    </row>
    <row r="19234" spans="1:6" x14ac:dyDescent="0.25">
      <c r="A19234" t="str">
        <f>"200021753"</f>
        <v>200021753</v>
      </c>
      <c r="B19234" t="str">
        <f>"1942060207"</f>
        <v>1942060207</v>
      </c>
      <c r="C19234" t="str">
        <f>"2083X0100X"</f>
        <v>2083X0100X</v>
      </c>
      <c r="D19234" t="str">
        <f>"NASCIMENTO CAMPEDELLI    LUIZ HENRIQUE            "</f>
        <v xml:space="preserve">NASCIMENTO CAMPEDELLI    LUIZ HENRIQUE            </v>
      </c>
      <c r="E19234" t="str">
        <f t="shared" si="464"/>
        <v xml:space="preserve">JACKSON                   </v>
      </c>
      <c r="F19234" t="str">
        <f t="shared" si="463"/>
        <v>MS</v>
      </c>
    </row>
    <row r="19235" spans="1:6" x14ac:dyDescent="0.25">
      <c r="A19235" t="str">
        <f>"200021755"</f>
        <v>200021755</v>
      </c>
      <c r="B19235" t="str">
        <f>"1215730858"</f>
        <v>1215730858</v>
      </c>
      <c r="C19235" t="str">
        <f>"207X00000X"</f>
        <v>207X00000X</v>
      </c>
      <c r="D19235" t="str">
        <f>"MELANCON                 MARY                     "</f>
        <v xml:space="preserve">MELANCON                 MARY                     </v>
      </c>
      <c r="E19235" t="str">
        <f t="shared" si="464"/>
        <v xml:space="preserve">JACKSON                   </v>
      </c>
      <c r="F19235" t="str">
        <f t="shared" si="463"/>
        <v>MS</v>
      </c>
    </row>
    <row r="19236" spans="1:6" x14ac:dyDescent="0.25">
      <c r="A19236" t="str">
        <f>"200021756"</f>
        <v>200021756</v>
      </c>
      <c r="B19236" t="str">
        <f>"1295785145"</f>
        <v>1295785145</v>
      </c>
      <c r="C19236" t="str">
        <f>"2083X0100X"</f>
        <v>2083X0100X</v>
      </c>
      <c r="D19236" t="str">
        <f>"FLATLEY                  PAUL                     "</f>
        <v xml:space="preserve">FLATLEY                  PAUL                     </v>
      </c>
      <c r="E19236" t="str">
        <f t="shared" si="464"/>
        <v xml:space="preserve">JACKSON                   </v>
      </c>
      <c r="F19236" t="str">
        <f t="shared" si="463"/>
        <v>MS</v>
      </c>
    </row>
    <row r="19237" spans="1:6" x14ac:dyDescent="0.25">
      <c r="A19237" t="str">
        <f>"200021760"</f>
        <v>200021760</v>
      </c>
      <c r="B19237" t="str">
        <f>"1619779774"</f>
        <v>1619779774</v>
      </c>
      <c r="C19237" t="str">
        <f>"207R00000X"</f>
        <v>207R00000X</v>
      </c>
      <c r="D19237" t="str">
        <f>"HILL                     SHAWN                    "</f>
        <v xml:space="preserve">HILL                     SHAWN                    </v>
      </c>
      <c r="E19237" t="str">
        <f t="shared" si="464"/>
        <v xml:space="preserve">JACKSON                   </v>
      </c>
      <c r="F19237" t="str">
        <f t="shared" si="463"/>
        <v>MS</v>
      </c>
    </row>
    <row r="19238" spans="1:6" x14ac:dyDescent="0.25">
      <c r="A19238" t="str">
        <f>"200021761"</f>
        <v>200021761</v>
      </c>
      <c r="B19238" t="str">
        <f>"1659174571"</f>
        <v>1659174571</v>
      </c>
      <c r="C19238" t="str">
        <f>"208000000X"</f>
        <v>208000000X</v>
      </c>
      <c r="D19238" t="str">
        <f>"WELLS                    JORDAN                   "</f>
        <v xml:space="preserve">WELLS                    JORDAN                   </v>
      </c>
      <c r="E19238" t="str">
        <f t="shared" si="464"/>
        <v xml:space="preserve">JACKSON                   </v>
      </c>
      <c r="F19238" t="str">
        <f t="shared" si="463"/>
        <v>MS</v>
      </c>
    </row>
    <row r="19239" spans="1:6" x14ac:dyDescent="0.25">
      <c r="A19239" t="str">
        <f>"200021762"</f>
        <v>200021762</v>
      </c>
      <c r="B19239" t="str">
        <f>"1609658830"</f>
        <v>1609658830</v>
      </c>
      <c r="C19239" t="str">
        <f>"363LP0808X"</f>
        <v>363LP0808X</v>
      </c>
      <c r="D19239" t="str">
        <f>"KENNEDY                  TERKITA                  "</f>
        <v xml:space="preserve">KENNEDY                  TERKITA                  </v>
      </c>
      <c r="E19239" t="str">
        <f>"BYHAYLIA                  "</f>
        <v xml:space="preserve">BYHAYLIA                  </v>
      </c>
      <c r="F19239" t="str">
        <f t="shared" si="463"/>
        <v>MS</v>
      </c>
    </row>
    <row r="19240" spans="1:6" x14ac:dyDescent="0.25">
      <c r="A19240" t="str">
        <f>"200021765"</f>
        <v>200021765</v>
      </c>
      <c r="B19240" t="str">
        <f>"1174318075"</f>
        <v>1174318075</v>
      </c>
      <c r="C19240" t="str">
        <f>"363LP0808X"</f>
        <v>363LP0808X</v>
      </c>
      <c r="D19240" t="str">
        <f>"HOOKER                   MELISSA      A           "</f>
        <v xml:space="preserve">HOOKER                   MELISSA      A           </v>
      </c>
      <c r="E19240" t="str">
        <f>"MERIDIAN                  "</f>
        <v xml:space="preserve">MERIDIAN                  </v>
      </c>
      <c r="F19240" t="str">
        <f t="shared" si="463"/>
        <v>MS</v>
      </c>
    </row>
    <row r="19241" spans="1:6" x14ac:dyDescent="0.25">
      <c r="A19241" t="str">
        <f>"200021766"</f>
        <v>200021766</v>
      </c>
      <c r="B19241" t="str">
        <f>"1114547239"</f>
        <v>1114547239</v>
      </c>
      <c r="C19241" t="str">
        <f>"207L00000X"</f>
        <v>207L00000X</v>
      </c>
      <c r="D19241" t="str">
        <f>"EBELING                  JOSEPH                   "</f>
        <v xml:space="preserve">EBELING                  JOSEPH                   </v>
      </c>
      <c r="E19241" t="str">
        <f>"BILOXI                    "</f>
        <v xml:space="preserve">BILOXI                    </v>
      </c>
      <c r="F19241" t="str">
        <f t="shared" si="463"/>
        <v>MS</v>
      </c>
    </row>
    <row r="19242" spans="1:6" x14ac:dyDescent="0.25">
      <c r="A19242" t="str">
        <f>"200021772"</f>
        <v>200021772</v>
      </c>
      <c r="B19242" t="str">
        <f>"1336599927"</f>
        <v>1336599927</v>
      </c>
      <c r="C19242" t="str">
        <f>"207Q00000X"</f>
        <v>207Q00000X</v>
      </c>
      <c r="D19242" t="str">
        <f>"AMIN                     SUMERA                   "</f>
        <v xml:space="preserve">AMIN                     SUMERA                   </v>
      </c>
      <c r="E19242" t="str">
        <f>"JACKSON                   "</f>
        <v xml:space="preserve">JACKSON                   </v>
      </c>
      <c r="F19242" t="str">
        <f t="shared" si="463"/>
        <v>MS</v>
      </c>
    </row>
    <row r="19243" spans="1:6" x14ac:dyDescent="0.25">
      <c r="A19243" t="str">
        <f>"200021779"</f>
        <v>200021779</v>
      </c>
      <c r="B19243" t="str">
        <f>"1760046049"</f>
        <v>1760046049</v>
      </c>
      <c r="C19243" t="str">
        <f>"207Q00000X"</f>
        <v>207Q00000X</v>
      </c>
      <c r="D19243" t="str">
        <f>"LAKHMANI                 PUNEET                   "</f>
        <v xml:space="preserve">LAKHMANI                 PUNEET                   </v>
      </c>
      <c r="E19243" t="str">
        <f>"JACKSON                   "</f>
        <v xml:space="preserve">JACKSON                   </v>
      </c>
      <c r="F19243" t="str">
        <f t="shared" si="463"/>
        <v>MS</v>
      </c>
    </row>
    <row r="19244" spans="1:6" x14ac:dyDescent="0.25">
      <c r="A19244" t="str">
        <f>"200021780"</f>
        <v>200021780</v>
      </c>
      <c r="B19244" t="str">
        <f>"1710741236"</f>
        <v>1710741236</v>
      </c>
      <c r="C19244" t="str">
        <f>"207X00000X"</f>
        <v>207X00000X</v>
      </c>
      <c r="D19244" t="str">
        <f>"KOONS                    ABIGAIL                  "</f>
        <v xml:space="preserve">KOONS                    ABIGAIL                  </v>
      </c>
      <c r="E19244" t="str">
        <f>"JACKSON                   "</f>
        <v xml:space="preserve">JACKSON                   </v>
      </c>
      <c r="F19244" t="str">
        <f t="shared" si="463"/>
        <v>MS</v>
      </c>
    </row>
    <row r="19245" spans="1:6" x14ac:dyDescent="0.25">
      <c r="A19245" t="str">
        <f>"200021784"</f>
        <v>200021784</v>
      </c>
      <c r="B19245" t="str">
        <f>"1548062631"</f>
        <v>1548062631</v>
      </c>
      <c r="C19245" t="str">
        <f>"208000000X"</f>
        <v>208000000X</v>
      </c>
      <c r="D19245" t="str">
        <f>"MURALEEDHARAN            DIVYA                    "</f>
        <v xml:space="preserve">MURALEEDHARAN            DIVYA                    </v>
      </c>
      <c r="E19245" t="str">
        <f>"JACKSON                   "</f>
        <v xml:space="preserve">JACKSON                   </v>
      </c>
      <c r="F19245" t="str">
        <f t="shared" si="463"/>
        <v>MS</v>
      </c>
    </row>
    <row r="19246" spans="1:6" x14ac:dyDescent="0.25">
      <c r="A19246" t="str">
        <f>"200021798"</f>
        <v>200021798</v>
      </c>
      <c r="B19246" t="str">
        <f>"1548569551"</f>
        <v>1548569551</v>
      </c>
      <c r="C19246" t="str">
        <f>"363LF0000X"</f>
        <v>363LF0000X</v>
      </c>
      <c r="D19246" t="str">
        <f>"GEORGE                   NICOLE                   "</f>
        <v xml:space="preserve">GEORGE                   NICOLE                   </v>
      </c>
      <c r="E19246" t="str">
        <f>"SOUTHAVEN                 "</f>
        <v xml:space="preserve">SOUTHAVEN                 </v>
      </c>
      <c r="F19246" t="str">
        <f t="shared" si="463"/>
        <v>MS</v>
      </c>
    </row>
    <row r="19247" spans="1:6" x14ac:dyDescent="0.25">
      <c r="A19247" t="str">
        <f>"200021800"</f>
        <v>200021800</v>
      </c>
      <c r="B19247" t="str">
        <f>"1396591004"</f>
        <v>1396591004</v>
      </c>
      <c r="C19247" t="str">
        <f>"208000000X"</f>
        <v>208000000X</v>
      </c>
      <c r="D19247" t="str">
        <f>"SPEARS                   HANNAH                   "</f>
        <v xml:space="preserve">SPEARS                   HANNAH                   </v>
      </c>
      <c r="E19247" t="str">
        <f>"JACKSON                   "</f>
        <v xml:space="preserve">JACKSON                   </v>
      </c>
      <c r="F19247" t="str">
        <f t="shared" si="463"/>
        <v>MS</v>
      </c>
    </row>
    <row r="19248" spans="1:6" x14ac:dyDescent="0.25">
      <c r="A19248" t="str">
        <f>"200021801"</f>
        <v>200021801</v>
      </c>
      <c r="B19248" t="str">
        <f>"1356106751"</f>
        <v>1356106751</v>
      </c>
      <c r="C19248" t="str">
        <f>"207R00000X"</f>
        <v>207R00000X</v>
      </c>
      <c r="D19248" t="str">
        <f>"MEAGAN CANTRELLE         MEAGAN CANTRE            "</f>
        <v xml:space="preserve">MEAGAN CANTRELLE         MEAGAN CANTRE            </v>
      </c>
      <c r="E19248" t="str">
        <f>"JACKSON                   "</f>
        <v xml:space="preserve">JACKSON                   </v>
      </c>
      <c r="F19248" t="str">
        <f t="shared" si="463"/>
        <v>MS</v>
      </c>
    </row>
    <row r="19249" spans="1:6" x14ac:dyDescent="0.25">
      <c r="A19249" t="str">
        <f>"200021802"</f>
        <v>200021802</v>
      </c>
      <c r="B19249" t="str">
        <f>"1467254680"</f>
        <v>1467254680</v>
      </c>
      <c r="C19249" t="str">
        <f>"207P00000X"</f>
        <v>207P00000X</v>
      </c>
      <c r="D19249" t="str">
        <f>"REED                     JACOB                    "</f>
        <v xml:space="preserve">REED                     JACOB                    </v>
      </c>
      <c r="E19249" t="str">
        <f>"JACKSON                   "</f>
        <v xml:space="preserve">JACKSON                   </v>
      </c>
      <c r="F19249" t="str">
        <f t="shared" si="463"/>
        <v>MS</v>
      </c>
    </row>
    <row r="19250" spans="1:6" x14ac:dyDescent="0.25">
      <c r="A19250" t="str">
        <f>"200021803"</f>
        <v>200021803</v>
      </c>
      <c r="B19250" t="str">
        <f>"1861256307"</f>
        <v>1861256307</v>
      </c>
      <c r="C19250" t="str">
        <f>"208000000X"</f>
        <v>208000000X</v>
      </c>
      <c r="D19250" t="str">
        <f>"WHITE                    JORDAN                   "</f>
        <v xml:space="preserve">WHITE                    JORDAN                   </v>
      </c>
      <c r="E19250" t="str">
        <f>"JACKSON                   "</f>
        <v xml:space="preserve">JACKSON                   </v>
      </c>
      <c r="F19250" t="str">
        <f t="shared" si="463"/>
        <v>MS</v>
      </c>
    </row>
    <row r="19251" spans="1:6" x14ac:dyDescent="0.25">
      <c r="A19251" t="str">
        <f>"200021807"</f>
        <v>200021807</v>
      </c>
      <c r="B19251" t="str">
        <f>"1821060724"</f>
        <v>1821060724</v>
      </c>
      <c r="C19251" t="str">
        <f>"2085R0202X"</f>
        <v>2085R0202X</v>
      </c>
      <c r="D19251" t="str">
        <f>"SCHOELLERMAN             MANAL                    "</f>
        <v xml:space="preserve">SCHOELLERMAN             MANAL                    </v>
      </c>
      <c r="E19251" t="str">
        <f>"MERIDIAN                  "</f>
        <v xml:space="preserve">MERIDIAN                  </v>
      </c>
      <c r="F19251" t="str">
        <f t="shared" si="463"/>
        <v>MS</v>
      </c>
    </row>
    <row r="19252" spans="1:6" x14ac:dyDescent="0.25">
      <c r="A19252" t="str">
        <f>"200021813"</f>
        <v>200021813</v>
      </c>
      <c r="B19252" t="str">
        <f>"1093578742"</f>
        <v>1093578742</v>
      </c>
      <c r="C19252" t="str">
        <f>"207R00000X"</f>
        <v>207R00000X</v>
      </c>
      <c r="D19252" t="str">
        <f>"HUNT                     CAMERON                  "</f>
        <v xml:space="preserve">HUNT                     CAMERON                  </v>
      </c>
      <c r="E19252" t="str">
        <f>"JACKSON                   "</f>
        <v xml:space="preserve">JACKSON                   </v>
      </c>
      <c r="F19252" t="str">
        <f t="shared" si="463"/>
        <v>MS</v>
      </c>
    </row>
    <row r="19253" spans="1:6" x14ac:dyDescent="0.25">
      <c r="A19253" t="str">
        <f>"200021816"</f>
        <v>200021816</v>
      </c>
      <c r="B19253" t="str">
        <f>"1922298868"</f>
        <v>1922298868</v>
      </c>
      <c r="C19253" t="str">
        <f>"207RC0000X"</f>
        <v>207RC0000X</v>
      </c>
      <c r="D19253" t="str">
        <f>"COX                      MARCUS                   "</f>
        <v xml:space="preserve">COX                      MARCUS                   </v>
      </c>
      <c r="E19253" t="str">
        <f>"JACKSON                   "</f>
        <v xml:space="preserve">JACKSON                   </v>
      </c>
      <c r="F19253" t="str">
        <f t="shared" si="463"/>
        <v>MS</v>
      </c>
    </row>
    <row r="19254" spans="1:6" x14ac:dyDescent="0.25">
      <c r="A19254" t="str">
        <f>"200021819"</f>
        <v>200021819</v>
      </c>
      <c r="B19254" t="str">
        <f>"1477293868"</f>
        <v>1477293868</v>
      </c>
      <c r="C19254" t="str">
        <f>"207R00000X"</f>
        <v>207R00000X</v>
      </c>
      <c r="D19254" t="str">
        <f>"VU                       JOHNATHAN                "</f>
        <v xml:space="preserve">VU                       JOHNATHAN                </v>
      </c>
      <c r="E19254" t="str">
        <f>"GULFPORT                  "</f>
        <v xml:space="preserve">GULFPORT                  </v>
      </c>
      <c r="F19254" t="str">
        <f t="shared" si="463"/>
        <v>MS</v>
      </c>
    </row>
    <row r="19255" spans="1:6" x14ac:dyDescent="0.25">
      <c r="A19255" t="str">
        <f>"200021820"</f>
        <v>200021820</v>
      </c>
      <c r="B19255" t="str">
        <f>"1952192627"</f>
        <v>1952192627</v>
      </c>
      <c r="C19255" t="str">
        <f>"363LF0000X"</f>
        <v>363LF0000X</v>
      </c>
      <c r="D19255" t="str">
        <f>"CARPENTER                AVERY                    "</f>
        <v xml:space="preserve">CARPENTER                AVERY                    </v>
      </c>
      <c r="E19255" t="str">
        <f>"GULFPORT                  "</f>
        <v xml:space="preserve">GULFPORT                  </v>
      </c>
      <c r="F19255" t="str">
        <f t="shared" si="463"/>
        <v>MS</v>
      </c>
    </row>
    <row r="19256" spans="1:6" x14ac:dyDescent="0.25">
      <c r="A19256" t="str">
        <f>"200021821"</f>
        <v>200021821</v>
      </c>
      <c r="B19256" t="str">
        <f>"1104635390"</f>
        <v>1104635390</v>
      </c>
      <c r="C19256" t="str">
        <f>"152W00000X"</f>
        <v>152W00000X</v>
      </c>
      <c r="D19256" t="str">
        <f>"JONES                    LESLIE                   "</f>
        <v xml:space="preserve">JONES                    LESLIE                   </v>
      </c>
      <c r="E19256" t="str">
        <f>"BAY SAINT LOUIS           "</f>
        <v xml:space="preserve">BAY SAINT LOUIS           </v>
      </c>
      <c r="F19256" t="str">
        <f t="shared" si="463"/>
        <v>MS</v>
      </c>
    </row>
    <row r="19257" spans="1:6" x14ac:dyDescent="0.25">
      <c r="A19257" t="str">
        <f>"200021827"</f>
        <v>200021827</v>
      </c>
      <c r="B19257" t="str">
        <f>"1326301383"</f>
        <v>1326301383</v>
      </c>
      <c r="C19257" t="str">
        <f>"2085R0202X"</f>
        <v>2085R0202X</v>
      </c>
      <c r="D19257" t="str">
        <f>"BATOULI                  ALI                      "</f>
        <v xml:space="preserve">BATOULI                  ALI                      </v>
      </c>
      <c r="E19257" t="str">
        <f>"MERIDIAN                  "</f>
        <v xml:space="preserve">MERIDIAN                  </v>
      </c>
      <c r="F19257" t="str">
        <f t="shared" si="463"/>
        <v>MS</v>
      </c>
    </row>
    <row r="19258" spans="1:6" x14ac:dyDescent="0.25">
      <c r="A19258" t="str">
        <f>"200021828"</f>
        <v>200021828</v>
      </c>
      <c r="B19258" t="str">
        <f>"1396041679"</f>
        <v>1396041679</v>
      </c>
      <c r="C19258" t="str">
        <f>"207R00000X"</f>
        <v>207R00000X</v>
      </c>
      <c r="D19258" t="str">
        <f>"LAWRENCE                 KELLY                    "</f>
        <v xml:space="preserve">LAWRENCE                 KELLY                    </v>
      </c>
      <c r="E19258" t="str">
        <f>"HATTIESBURG               "</f>
        <v xml:space="preserve">HATTIESBURG               </v>
      </c>
      <c r="F19258" t="str">
        <f t="shared" si="463"/>
        <v>MS</v>
      </c>
    </row>
    <row r="19259" spans="1:6" x14ac:dyDescent="0.25">
      <c r="A19259" t="str">
        <f>"200021833"</f>
        <v>200021833</v>
      </c>
      <c r="B19259" t="str">
        <f>"1891868105"</f>
        <v>1891868105</v>
      </c>
      <c r="C19259" t="str">
        <f>"363LP0808X"</f>
        <v>363LP0808X</v>
      </c>
      <c r="D19259" t="str">
        <f>"OWENS                    GIANNA                   "</f>
        <v xml:space="preserve">OWENS                    GIANNA                   </v>
      </c>
      <c r="E19259" t="str">
        <f>"GRENADA                   "</f>
        <v xml:space="preserve">GRENADA                   </v>
      </c>
      <c r="F19259" t="str">
        <f t="shared" si="463"/>
        <v>MS</v>
      </c>
    </row>
    <row r="19260" spans="1:6" x14ac:dyDescent="0.25">
      <c r="A19260" t="str">
        <f>"200021839"</f>
        <v>200021839</v>
      </c>
      <c r="B19260" t="str">
        <f>"1386388064"</f>
        <v>1386388064</v>
      </c>
      <c r="C19260" t="str">
        <f>"207Q00000X"</f>
        <v>207Q00000X</v>
      </c>
      <c r="D19260" t="str">
        <f>"RAWLS                    JAMIE        G           "</f>
        <v xml:space="preserve">RAWLS                    JAMIE        G           </v>
      </c>
      <c r="E19260" t="str">
        <f>"SUMRALL                   "</f>
        <v xml:space="preserve">SUMRALL                   </v>
      </c>
      <c r="F19260" t="str">
        <f t="shared" si="463"/>
        <v>MS</v>
      </c>
    </row>
    <row r="19261" spans="1:6" x14ac:dyDescent="0.25">
      <c r="A19261" t="str">
        <f>"200021844"</f>
        <v>200021844</v>
      </c>
      <c r="B19261" t="str">
        <f>"1215822598"</f>
        <v>1215822598</v>
      </c>
      <c r="C19261" t="str">
        <f>"363LP0200X"</f>
        <v>363LP0200X</v>
      </c>
      <c r="D19261" t="str">
        <f>"ZANETTI                  RACHAEL                  "</f>
        <v xml:space="preserve">ZANETTI                  RACHAEL                  </v>
      </c>
      <c r="E19261" t="str">
        <f>"PASCAGOULA                "</f>
        <v xml:space="preserve">PASCAGOULA                </v>
      </c>
      <c r="F19261" t="str">
        <f t="shared" si="463"/>
        <v>MS</v>
      </c>
    </row>
    <row r="19262" spans="1:6" x14ac:dyDescent="0.25">
      <c r="A19262" t="str">
        <f>"200021845"</f>
        <v>200021845</v>
      </c>
      <c r="B19262" t="str">
        <f>"1548610926"</f>
        <v>1548610926</v>
      </c>
      <c r="C19262" t="str">
        <f>"1223X0400X"</f>
        <v>1223X0400X</v>
      </c>
      <c r="D19262" t="str">
        <f>"GONDER                   MORGAN       W           "</f>
        <v xml:space="preserve">GONDER                   MORGAN       W           </v>
      </c>
      <c r="E19262" t="str">
        <f>"OXFORD                    "</f>
        <v xml:space="preserve">OXFORD                    </v>
      </c>
      <c r="F19262" t="str">
        <f t="shared" ref="F19262:F19325" si="465">"MS"</f>
        <v>MS</v>
      </c>
    </row>
    <row r="19263" spans="1:6" x14ac:dyDescent="0.25">
      <c r="A19263" t="str">
        <f>"200021847"</f>
        <v>200021847</v>
      </c>
      <c r="B19263" t="str">
        <f>"1437940327"</f>
        <v>1437940327</v>
      </c>
      <c r="C19263" t="str">
        <f>"207RN0300X"</f>
        <v>207RN0300X</v>
      </c>
      <c r="D19263" t="str">
        <f>"SHAHID                   SHAHZAD                  "</f>
        <v xml:space="preserve">SHAHID                   SHAHZAD                  </v>
      </c>
      <c r="E19263" t="str">
        <f>"JACKSON                   "</f>
        <v xml:space="preserve">JACKSON                   </v>
      </c>
      <c r="F19263" t="str">
        <f t="shared" si="465"/>
        <v>MS</v>
      </c>
    </row>
    <row r="19264" spans="1:6" x14ac:dyDescent="0.25">
      <c r="A19264" t="str">
        <f>"200021849"</f>
        <v>200021849</v>
      </c>
      <c r="B19264" t="str">
        <f>"1376284794"</f>
        <v>1376284794</v>
      </c>
      <c r="C19264" t="str">
        <f>"207Q00000X"</f>
        <v>207Q00000X</v>
      </c>
      <c r="D19264" t="str">
        <f>"HAMILTON                 JONATHAN                 "</f>
        <v xml:space="preserve">HAMILTON                 JONATHAN                 </v>
      </c>
      <c r="E19264" t="str">
        <f>"LOUISVILLE                "</f>
        <v xml:space="preserve">LOUISVILLE                </v>
      </c>
      <c r="F19264" t="str">
        <f t="shared" si="465"/>
        <v>MS</v>
      </c>
    </row>
    <row r="19265" spans="1:6" x14ac:dyDescent="0.25">
      <c r="A19265" t="str">
        <f>"200021856"</f>
        <v>200021856</v>
      </c>
      <c r="B19265" t="str">
        <f>"1285900563"</f>
        <v>1285900563</v>
      </c>
      <c r="C19265" t="str">
        <f>"207R00000X"</f>
        <v>207R00000X</v>
      </c>
      <c r="D19265" t="str">
        <f>"ZEGARRA                  CHRISTIAN                "</f>
        <v xml:space="preserve">ZEGARRA                  CHRISTIAN                </v>
      </c>
      <c r="E19265" t="str">
        <f>"JACKSON                   "</f>
        <v xml:space="preserve">JACKSON                   </v>
      </c>
      <c r="F19265" t="str">
        <f t="shared" si="465"/>
        <v>MS</v>
      </c>
    </row>
    <row r="19266" spans="1:6" x14ac:dyDescent="0.25">
      <c r="A19266" t="str">
        <f>"200021857"</f>
        <v>200021857</v>
      </c>
      <c r="B19266" t="str">
        <f>"1750848768"</f>
        <v>1750848768</v>
      </c>
      <c r="C19266" t="str">
        <f>"363LP2300X"</f>
        <v>363LP2300X</v>
      </c>
      <c r="D19266" t="str">
        <f>"FOLES                    RHONDA                   "</f>
        <v xml:space="preserve">FOLES                    RHONDA                   </v>
      </c>
      <c r="E19266" t="str">
        <f>"GULFPORT                  "</f>
        <v xml:space="preserve">GULFPORT                  </v>
      </c>
      <c r="F19266" t="str">
        <f t="shared" si="465"/>
        <v>MS</v>
      </c>
    </row>
    <row r="19267" spans="1:6" x14ac:dyDescent="0.25">
      <c r="A19267" t="str">
        <f>"200021860"</f>
        <v>200021860</v>
      </c>
      <c r="B19267" t="str">
        <f>"1417527847"</f>
        <v>1417527847</v>
      </c>
      <c r="C19267" t="str">
        <f>"208000000X"</f>
        <v>208000000X</v>
      </c>
      <c r="D19267" t="str">
        <f>"NAFFI                    AHMED                    "</f>
        <v xml:space="preserve">NAFFI                    AHMED                    </v>
      </c>
      <c r="E19267" t="str">
        <f>"COLUMBUS                  "</f>
        <v xml:space="preserve">COLUMBUS                  </v>
      </c>
      <c r="F19267" t="str">
        <f t="shared" si="465"/>
        <v>MS</v>
      </c>
    </row>
    <row r="19268" spans="1:6" x14ac:dyDescent="0.25">
      <c r="A19268" t="str">
        <f>"200021862"</f>
        <v>200021862</v>
      </c>
      <c r="B19268" t="str">
        <f>"1114762168"</f>
        <v>1114762168</v>
      </c>
      <c r="C19268" t="str">
        <f>"363A00000X"</f>
        <v>363A00000X</v>
      </c>
      <c r="D19268" t="str">
        <f>"MULLINS                  ALLY                     "</f>
        <v xml:space="preserve">MULLINS                  ALLY                     </v>
      </c>
      <c r="E19268" t="str">
        <f>"JACKSON                   "</f>
        <v xml:space="preserve">JACKSON                   </v>
      </c>
      <c r="F19268" t="str">
        <f t="shared" si="465"/>
        <v>MS</v>
      </c>
    </row>
    <row r="19269" spans="1:6" x14ac:dyDescent="0.25">
      <c r="A19269" t="str">
        <f>"200021863"</f>
        <v>200021863</v>
      </c>
      <c r="B19269" t="str">
        <f>"1417671355"</f>
        <v>1417671355</v>
      </c>
      <c r="C19269" t="str">
        <f>"363LF0000X"</f>
        <v>363LF0000X</v>
      </c>
      <c r="D19269" t="str">
        <f>"KING                     TRIMIYA                  "</f>
        <v xml:space="preserve">KING                     TRIMIYA                  </v>
      </c>
      <c r="E19269" t="str">
        <f>"GULFPORT                  "</f>
        <v xml:space="preserve">GULFPORT                  </v>
      </c>
      <c r="F19269" t="str">
        <f t="shared" si="465"/>
        <v>MS</v>
      </c>
    </row>
    <row r="19270" spans="1:6" x14ac:dyDescent="0.25">
      <c r="A19270" t="str">
        <f>"200021900"</f>
        <v>200021900</v>
      </c>
      <c r="B19270" t="str">
        <f>"1881685220"</f>
        <v>1881685220</v>
      </c>
      <c r="C19270" t="str">
        <f>"152W00000X"</f>
        <v>152W00000X</v>
      </c>
      <c r="D19270" t="str">
        <f>"STRIBLING                GLEN                     "</f>
        <v xml:space="preserve">STRIBLING                GLEN                     </v>
      </c>
      <c r="E19270" t="str">
        <f>"CRYSTAL SPRINGS           "</f>
        <v xml:space="preserve">CRYSTAL SPRINGS           </v>
      </c>
      <c r="F19270" t="str">
        <f t="shared" si="465"/>
        <v>MS</v>
      </c>
    </row>
    <row r="19271" spans="1:6" x14ac:dyDescent="0.25">
      <c r="A19271" t="str">
        <f>"200021902"</f>
        <v>200021902</v>
      </c>
      <c r="B19271" t="str">
        <f>"1609165356"</f>
        <v>1609165356</v>
      </c>
      <c r="C19271" t="str">
        <f>"2085R0202X"</f>
        <v>2085R0202X</v>
      </c>
      <c r="D19271" t="str">
        <f>"YAMAMOTO                 SHOTA                    "</f>
        <v xml:space="preserve">YAMAMOTO                 SHOTA                    </v>
      </c>
      <c r="E19271" t="str">
        <f>"MERIDIAN                  "</f>
        <v xml:space="preserve">MERIDIAN                  </v>
      </c>
      <c r="F19271" t="str">
        <f t="shared" si="465"/>
        <v>MS</v>
      </c>
    </row>
    <row r="19272" spans="1:6" x14ac:dyDescent="0.25">
      <c r="A19272" t="str">
        <f>"200021909"</f>
        <v>200021909</v>
      </c>
      <c r="B19272" t="str">
        <f>"1942093711"</f>
        <v>1942093711</v>
      </c>
      <c r="C19272" t="str">
        <f>"363LP0808X"</f>
        <v>363LP0808X</v>
      </c>
      <c r="D19272" t="str">
        <f>"KILGORE                  VERNISA      J           "</f>
        <v xml:space="preserve">KILGORE                  VERNISA      J           </v>
      </c>
      <c r="E19272" t="str">
        <f>"TUPELO                    "</f>
        <v xml:space="preserve">TUPELO                    </v>
      </c>
      <c r="F19272" t="str">
        <f t="shared" si="465"/>
        <v>MS</v>
      </c>
    </row>
    <row r="19273" spans="1:6" x14ac:dyDescent="0.25">
      <c r="A19273" t="str">
        <f>"200021910"</f>
        <v>200021910</v>
      </c>
      <c r="B19273" t="str">
        <f>"1730220070"</f>
        <v>1730220070</v>
      </c>
      <c r="C19273" t="str">
        <f>"208M00000X"</f>
        <v>208M00000X</v>
      </c>
      <c r="D19273" t="str">
        <f>"MOURAD                   HATEM                    "</f>
        <v xml:space="preserve">MOURAD                   HATEM                    </v>
      </c>
      <c r="E19273" t="str">
        <f>"MERIDIAN                  "</f>
        <v xml:space="preserve">MERIDIAN                  </v>
      </c>
      <c r="F19273" t="str">
        <f t="shared" si="465"/>
        <v>MS</v>
      </c>
    </row>
    <row r="19274" spans="1:6" x14ac:dyDescent="0.25">
      <c r="A19274" t="str">
        <f>"200021912"</f>
        <v>200021912</v>
      </c>
      <c r="B19274" t="str">
        <f>"1992943849"</f>
        <v>1992943849</v>
      </c>
      <c r="C19274" t="str">
        <f>"207R00000X"</f>
        <v>207R00000X</v>
      </c>
      <c r="D19274" t="str">
        <f>"RICHARDSON               ONEKA                    "</f>
        <v xml:space="preserve">RICHARDSON               ONEKA                    </v>
      </c>
      <c r="E19274" t="str">
        <f>"OLIVE BRANCH              "</f>
        <v xml:space="preserve">OLIVE BRANCH              </v>
      </c>
      <c r="F19274" t="str">
        <f t="shared" si="465"/>
        <v>MS</v>
      </c>
    </row>
    <row r="19275" spans="1:6" x14ac:dyDescent="0.25">
      <c r="A19275" t="str">
        <f>"200021913"</f>
        <v>200021913</v>
      </c>
      <c r="B19275" t="str">
        <f>"1225760598"</f>
        <v>1225760598</v>
      </c>
      <c r="C19275" t="str">
        <f>"207Q00000X"</f>
        <v>207Q00000X</v>
      </c>
      <c r="D19275" t="str">
        <f>"BLUNDELL                 KELSEY                   "</f>
        <v xml:space="preserve">BLUNDELL                 KELSEY                   </v>
      </c>
      <c r="E19275" t="str">
        <f>"TUPELO                    "</f>
        <v xml:space="preserve">TUPELO                    </v>
      </c>
      <c r="F19275" t="str">
        <f t="shared" si="465"/>
        <v>MS</v>
      </c>
    </row>
    <row r="19276" spans="1:6" x14ac:dyDescent="0.25">
      <c r="A19276" t="str">
        <f>"200021917"</f>
        <v>200021917</v>
      </c>
      <c r="B19276" t="str">
        <f>"1972491249"</f>
        <v>1972491249</v>
      </c>
      <c r="C19276" t="str">
        <f>"363L00000X"</f>
        <v>363L00000X</v>
      </c>
      <c r="D19276" t="str">
        <f>"SCHMIDT                  SARAH                    "</f>
        <v xml:space="preserve">SCHMIDT                  SARAH                    </v>
      </c>
      <c r="E19276" t="str">
        <f>"CANTON                    "</f>
        <v xml:space="preserve">CANTON                    </v>
      </c>
      <c r="F19276" t="str">
        <f t="shared" si="465"/>
        <v>MS</v>
      </c>
    </row>
    <row r="19277" spans="1:6" x14ac:dyDescent="0.25">
      <c r="A19277" t="str">
        <f>"200021922"</f>
        <v>200021922</v>
      </c>
      <c r="B19277" t="str">
        <f>"1417744046"</f>
        <v>1417744046</v>
      </c>
      <c r="C19277" t="str">
        <f>"363LP0808X"</f>
        <v>363LP0808X</v>
      </c>
      <c r="D19277" t="str">
        <f>"DODDS                    JONATHAN                 "</f>
        <v xml:space="preserve">DODDS                    JONATHAN                 </v>
      </c>
      <c r="E19277" t="str">
        <f>"TUPELO                    "</f>
        <v xml:space="preserve">TUPELO                    </v>
      </c>
      <c r="F19277" t="str">
        <f t="shared" si="465"/>
        <v>MS</v>
      </c>
    </row>
    <row r="19278" spans="1:6" x14ac:dyDescent="0.25">
      <c r="A19278" t="str">
        <f>"200021932"</f>
        <v>200021932</v>
      </c>
      <c r="B19278" t="str">
        <f>"1487244356"</f>
        <v>1487244356</v>
      </c>
      <c r="C19278" t="str">
        <f>"363L00000X"</f>
        <v>363L00000X</v>
      </c>
      <c r="D19278" t="str">
        <f>"THOMAS                   SALLY                    "</f>
        <v xml:space="preserve">THOMAS                   SALLY                    </v>
      </c>
      <c r="E19278" t="str">
        <f>"VICKSBURG                 "</f>
        <v xml:space="preserve">VICKSBURG                 </v>
      </c>
      <c r="F19278" t="str">
        <f t="shared" si="465"/>
        <v>MS</v>
      </c>
    </row>
    <row r="19279" spans="1:6" x14ac:dyDescent="0.25">
      <c r="A19279" t="str">
        <f>"200021933"</f>
        <v>200021933</v>
      </c>
      <c r="B19279" t="str">
        <f>"1720183668"</f>
        <v>1720183668</v>
      </c>
      <c r="C19279" t="str">
        <f>"367500000X"</f>
        <v>367500000X</v>
      </c>
      <c r="D19279" t="str">
        <f>"WELLS                    JOHN                     "</f>
        <v xml:space="preserve">WELLS                    JOHN                     </v>
      </c>
      <c r="E19279" t="str">
        <f>"LAUREL                    "</f>
        <v xml:space="preserve">LAUREL                    </v>
      </c>
      <c r="F19279" t="str">
        <f t="shared" si="465"/>
        <v>MS</v>
      </c>
    </row>
    <row r="19280" spans="1:6" x14ac:dyDescent="0.25">
      <c r="A19280" t="str">
        <f>"200021942"</f>
        <v>200021942</v>
      </c>
      <c r="B19280" t="str">
        <f>"1295449601"</f>
        <v>1295449601</v>
      </c>
      <c r="C19280" t="str">
        <f>"363LF0000X"</f>
        <v>363LF0000X</v>
      </c>
      <c r="D19280" t="str">
        <f>"KRIVANEC                 KARA                     "</f>
        <v xml:space="preserve">KRIVANEC                 KARA                     </v>
      </c>
      <c r="E19280" t="str">
        <f>"JACKSON                   "</f>
        <v xml:space="preserve">JACKSON                   </v>
      </c>
      <c r="F19280" t="str">
        <f t="shared" si="465"/>
        <v>MS</v>
      </c>
    </row>
    <row r="19281" spans="1:6" x14ac:dyDescent="0.25">
      <c r="A19281" t="str">
        <f>"200021961"</f>
        <v>200021961</v>
      </c>
      <c r="B19281" t="str">
        <f>"1508830316"</f>
        <v>1508830316</v>
      </c>
      <c r="C19281" t="str">
        <f>"2084P0800X"</f>
        <v>2084P0800X</v>
      </c>
      <c r="D19281" t="str">
        <f>"MURDOCK                  DAVID                    "</f>
        <v xml:space="preserve">MURDOCK                  DAVID                    </v>
      </c>
      <c r="E19281" t="str">
        <f>"OLIVE BRANCH              "</f>
        <v xml:space="preserve">OLIVE BRANCH              </v>
      </c>
      <c r="F19281" t="str">
        <f t="shared" si="465"/>
        <v>MS</v>
      </c>
    </row>
    <row r="19282" spans="1:6" x14ac:dyDescent="0.25">
      <c r="A19282" t="str">
        <f>"200021969"</f>
        <v>200021969</v>
      </c>
      <c r="B19282" t="str">
        <f>"1922627454"</f>
        <v>1922627454</v>
      </c>
      <c r="C19282" t="str">
        <f>"207R00000X"</f>
        <v>207R00000X</v>
      </c>
      <c r="D19282" t="str">
        <f>"HANDY                    CHALONDA                 "</f>
        <v xml:space="preserve">HANDY                    CHALONDA                 </v>
      </c>
      <c r="E19282" t="str">
        <f>"GULFPORT                  "</f>
        <v xml:space="preserve">GULFPORT                  </v>
      </c>
      <c r="F19282" t="str">
        <f t="shared" si="465"/>
        <v>MS</v>
      </c>
    </row>
    <row r="19283" spans="1:6" x14ac:dyDescent="0.25">
      <c r="A19283" t="str">
        <f>"200021973"</f>
        <v>200021973</v>
      </c>
      <c r="B19283" t="str">
        <f>"1730639139"</f>
        <v>1730639139</v>
      </c>
      <c r="C19283" t="str">
        <f>"363A00000X"</f>
        <v>363A00000X</v>
      </c>
      <c r="D19283" t="str">
        <f>"KROUSE                   GRACE        L           "</f>
        <v xml:space="preserve">KROUSE                   GRACE        L           </v>
      </c>
      <c r="E19283" t="str">
        <f>"SOUTHAVEN                 "</f>
        <v xml:space="preserve">SOUTHAVEN                 </v>
      </c>
      <c r="F19283" t="str">
        <f t="shared" si="465"/>
        <v>MS</v>
      </c>
    </row>
    <row r="19284" spans="1:6" x14ac:dyDescent="0.25">
      <c r="A19284" t="str">
        <f>"200021974"</f>
        <v>200021974</v>
      </c>
      <c r="B19284" t="str">
        <f>"1124813647"</f>
        <v>1124813647</v>
      </c>
      <c r="C19284" t="str">
        <f>"207P00000X"</f>
        <v>207P00000X</v>
      </c>
      <c r="D19284" t="str">
        <f>"FARESS                   SARAH                    "</f>
        <v xml:space="preserve">FARESS                   SARAH                    </v>
      </c>
      <c r="E19284" t="str">
        <f>"HATTIESBURG               "</f>
        <v xml:space="preserve">HATTIESBURG               </v>
      </c>
      <c r="F19284" t="str">
        <f t="shared" si="465"/>
        <v>MS</v>
      </c>
    </row>
    <row r="19285" spans="1:6" x14ac:dyDescent="0.25">
      <c r="A19285" t="str">
        <f>"200021981"</f>
        <v>200021981</v>
      </c>
      <c r="B19285" t="str">
        <f>"1053529669"</f>
        <v>1053529669</v>
      </c>
      <c r="C19285" t="str">
        <f>"207RN0300X"</f>
        <v>207RN0300X</v>
      </c>
      <c r="D19285" t="str">
        <f>"FREEMAN                  JAMES                    "</f>
        <v xml:space="preserve">FREEMAN                  JAMES                    </v>
      </c>
      <c r="E19285" t="str">
        <f>"HAZLEHURST                "</f>
        <v xml:space="preserve">HAZLEHURST                </v>
      </c>
      <c r="F19285" t="str">
        <f t="shared" si="465"/>
        <v>MS</v>
      </c>
    </row>
    <row r="19286" spans="1:6" x14ac:dyDescent="0.25">
      <c r="A19286" t="str">
        <f>"200021985"</f>
        <v>200021985</v>
      </c>
      <c r="B19286" t="str">
        <f>"1891428413"</f>
        <v>1891428413</v>
      </c>
      <c r="C19286" t="str">
        <f>"2084P0800X"</f>
        <v>2084P0800X</v>
      </c>
      <c r="D19286" t="str">
        <f>"BULCHANDANI              DEEWAN                   "</f>
        <v xml:space="preserve">BULCHANDANI              DEEWAN                   </v>
      </c>
      <c r="E19286" t="str">
        <f>"PASCAGOULA                "</f>
        <v xml:space="preserve">PASCAGOULA                </v>
      </c>
      <c r="F19286" t="str">
        <f t="shared" si="465"/>
        <v>MS</v>
      </c>
    </row>
    <row r="19287" spans="1:6" x14ac:dyDescent="0.25">
      <c r="A19287" t="str">
        <f>"200021986"</f>
        <v>200021986</v>
      </c>
      <c r="B19287" t="str">
        <f>"1063264182"</f>
        <v>1063264182</v>
      </c>
      <c r="C19287" t="str">
        <f>"207P00000X"</f>
        <v>207P00000X</v>
      </c>
      <c r="D19287" t="str">
        <f>"UDORO                    AKEMINI                  "</f>
        <v xml:space="preserve">UDORO                    AKEMINI                  </v>
      </c>
      <c r="E19287" t="str">
        <f>"HATTIESBURG               "</f>
        <v xml:space="preserve">HATTIESBURG               </v>
      </c>
      <c r="F19287" t="str">
        <f t="shared" si="465"/>
        <v>MS</v>
      </c>
    </row>
    <row r="19288" spans="1:6" x14ac:dyDescent="0.25">
      <c r="A19288" t="str">
        <f>"200021987"</f>
        <v>200021987</v>
      </c>
      <c r="B19288" t="str">
        <f>"1023104288"</f>
        <v>1023104288</v>
      </c>
      <c r="C19288" t="str">
        <f>"367500000X"</f>
        <v>367500000X</v>
      </c>
      <c r="D19288" t="str">
        <f>"HARRELL                  MOLLIE                   "</f>
        <v xml:space="preserve">HARRELL                  MOLLIE                   </v>
      </c>
      <c r="E19288" t="str">
        <f>"FLOWOOD                   "</f>
        <v xml:space="preserve">FLOWOOD                   </v>
      </c>
      <c r="F19288" t="str">
        <f t="shared" si="465"/>
        <v>MS</v>
      </c>
    </row>
    <row r="19289" spans="1:6" x14ac:dyDescent="0.25">
      <c r="A19289" t="str">
        <f>"200021991"</f>
        <v>200021991</v>
      </c>
      <c r="B19289" t="str">
        <f>"1942862230"</f>
        <v>1942862230</v>
      </c>
      <c r="C19289" t="str">
        <f>"2080P0203X"</f>
        <v>2080P0203X</v>
      </c>
      <c r="D19289" t="str">
        <f>"KHARAYAT                 PRIYANKA                 "</f>
        <v xml:space="preserve">KHARAYAT                 PRIYANKA                 </v>
      </c>
      <c r="E19289" t="str">
        <f>"JACKSON                   "</f>
        <v xml:space="preserve">JACKSON                   </v>
      </c>
      <c r="F19289" t="str">
        <f t="shared" si="465"/>
        <v>MS</v>
      </c>
    </row>
    <row r="19290" spans="1:6" x14ac:dyDescent="0.25">
      <c r="A19290" t="str">
        <f>"200021992"</f>
        <v>200021992</v>
      </c>
      <c r="B19290" t="str">
        <f>"1558386045"</f>
        <v>1558386045</v>
      </c>
      <c r="C19290" t="str">
        <f>"2085R0202X"</f>
        <v>2085R0202X</v>
      </c>
      <c r="D19290" t="str">
        <f>"LEE-VALKOV               PAULA                    "</f>
        <v xml:space="preserve">LEE-VALKOV               PAULA                    </v>
      </c>
      <c r="E19290" t="str">
        <f>"MERIDIAN                  "</f>
        <v xml:space="preserve">MERIDIAN                  </v>
      </c>
      <c r="F19290" t="str">
        <f t="shared" si="465"/>
        <v>MS</v>
      </c>
    </row>
    <row r="19291" spans="1:6" x14ac:dyDescent="0.25">
      <c r="A19291" t="str">
        <f>"200021996"</f>
        <v>200021996</v>
      </c>
      <c r="B19291" t="str">
        <f>"1548472442"</f>
        <v>1548472442</v>
      </c>
      <c r="C19291" t="str">
        <f>"208M00000X"</f>
        <v>208M00000X</v>
      </c>
      <c r="D19291" t="str">
        <f>"HAZARIWALA               AMITA                    "</f>
        <v xml:space="preserve">HAZARIWALA               AMITA                    </v>
      </c>
      <c r="E19291" t="str">
        <f>"PASCAGOULA                "</f>
        <v xml:space="preserve">PASCAGOULA                </v>
      </c>
      <c r="F19291" t="str">
        <f t="shared" si="465"/>
        <v>MS</v>
      </c>
    </row>
    <row r="19292" spans="1:6" x14ac:dyDescent="0.25">
      <c r="A19292" t="str">
        <f>"200021997"</f>
        <v>200021997</v>
      </c>
      <c r="B19292" t="str">
        <f>"1659575348"</f>
        <v>1659575348</v>
      </c>
      <c r="C19292" t="str">
        <f>"208600000X"</f>
        <v>208600000X</v>
      </c>
      <c r="D19292" t="str">
        <f>"SHARP                    COLLIN                   "</f>
        <v xml:space="preserve">SHARP                    COLLIN                   </v>
      </c>
      <c r="E19292" t="str">
        <f>"TUPELO                    "</f>
        <v xml:space="preserve">TUPELO                    </v>
      </c>
      <c r="F19292" t="str">
        <f t="shared" si="465"/>
        <v>MS</v>
      </c>
    </row>
    <row r="19293" spans="1:6" x14ac:dyDescent="0.25">
      <c r="A19293" t="str">
        <f>"200022005"</f>
        <v>200022005</v>
      </c>
      <c r="B19293" t="str">
        <f>"1164483814"</f>
        <v>1164483814</v>
      </c>
      <c r="C19293" t="str">
        <f>"208M00000X"</f>
        <v>208M00000X</v>
      </c>
      <c r="D19293" t="str">
        <f>"HULSEY                   CATHERINE    C           "</f>
        <v xml:space="preserve">HULSEY                   CATHERINE    C           </v>
      </c>
      <c r="E19293" t="str">
        <f>"HATTIESBURG               "</f>
        <v xml:space="preserve">HATTIESBURG               </v>
      </c>
      <c r="F19293" t="str">
        <f t="shared" si="465"/>
        <v>MS</v>
      </c>
    </row>
    <row r="19294" spans="1:6" x14ac:dyDescent="0.25">
      <c r="A19294" t="str">
        <f>"200022006"</f>
        <v>200022006</v>
      </c>
      <c r="B19294" t="str">
        <f>"1851034649"</f>
        <v>1851034649</v>
      </c>
      <c r="C19294" t="str">
        <f>"207R00000X"</f>
        <v>207R00000X</v>
      </c>
      <c r="D19294" t="str">
        <f>"RASH                     MAX                      "</f>
        <v xml:space="preserve">RASH                     MAX                      </v>
      </c>
      <c r="E19294" t="str">
        <f>"TUPELO                    "</f>
        <v xml:space="preserve">TUPELO                    </v>
      </c>
      <c r="F19294" t="str">
        <f t="shared" si="465"/>
        <v>MS</v>
      </c>
    </row>
    <row r="19295" spans="1:6" x14ac:dyDescent="0.25">
      <c r="A19295" t="str">
        <f>"200022008"</f>
        <v>200022008</v>
      </c>
      <c r="B19295" t="str">
        <f>"1336257690"</f>
        <v>1336257690</v>
      </c>
      <c r="C19295" t="str">
        <f>"208M00000X"</f>
        <v>208M00000X</v>
      </c>
      <c r="D19295" t="str">
        <f>"QUELER                   ANDREW       M           "</f>
        <v xml:space="preserve">QUELER                   ANDREW       M           </v>
      </c>
      <c r="E19295" t="str">
        <f>"HATTIESBURG               "</f>
        <v xml:space="preserve">HATTIESBURG               </v>
      </c>
      <c r="F19295" t="str">
        <f t="shared" si="465"/>
        <v>MS</v>
      </c>
    </row>
    <row r="19296" spans="1:6" x14ac:dyDescent="0.25">
      <c r="A19296" t="str">
        <f>"200022011"</f>
        <v>200022011</v>
      </c>
      <c r="B19296" t="str">
        <f>"1033606660"</f>
        <v>1033606660</v>
      </c>
      <c r="C19296" t="str">
        <f>"2084N0400X"</f>
        <v>2084N0400X</v>
      </c>
      <c r="D19296" t="str">
        <f>"GONZALEZ                 PAULO                    "</f>
        <v xml:space="preserve">GONZALEZ                 PAULO                    </v>
      </c>
      <c r="E19296" t="str">
        <f>"TUPELO                    "</f>
        <v xml:space="preserve">TUPELO                    </v>
      </c>
      <c r="F19296" t="str">
        <f t="shared" si="465"/>
        <v>MS</v>
      </c>
    </row>
    <row r="19297" spans="1:6" x14ac:dyDescent="0.25">
      <c r="A19297" t="str">
        <f>"200022015"</f>
        <v>200022015</v>
      </c>
      <c r="B19297" t="str">
        <f>"1871243261"</f>
        <v>1871243261</v>
      </c>
      <c r="C19297" t="str">
        <f>"207R00000X"</f>
        <v>207R00000X</v>
      </c>
      <c r="D19297" t="str">
        <f>"WATTERS                  ZACHARY                  "</f>
        <v xml:space="preserve">WATTERS                  ZACHARY                  </v>
      </c>
      <c r="E19297" t="str">
        <f>"CLEVELAND                 "</f>
        <v xml:space="preserve">CLEVELAND                 </v>
      </c>
      <c r="F19297" t="str">
        <f t="shared" si="465"/>
        <v>MS</v>
      </c>
    </row>
    <row r="19298" spans="1:6" x14ac:dyDescent="0.25">
      <c r="A19298" t="str">
        <f>"200022017"</f>
        <v>200022017</v>
      </c>
      <c r="B19298" t="str">
        <f>"1659722353"</f>
        <v>1659722353</v>
      </c>
      <c r="C19298" t="str">
        <f>"2085R0001X"</f>
        <v>2085R0001X</v>
      </c>
      <c r="D19298" t="str">
        <f>"ANDERSON                 ERIC                     "</f>
        <v xml:space="preserve">ANDERSON                 ERIC                     </v>
      </c>
      <c r="E19298" t="str">
        <f>"GULFPORT                  "</f>
        <v xml:space="preserve">GULFPORT                  </v>
      </c>
      <c r="F19298" t="str">
        <f t="shared" si="465"/>
        <v>MS</v>
      </c>
    </row>
    <row r="19299" spans="1:6" x14ac:dyDescent="0.25">
      <c r="A19299" t="str">
        <f>"200022023"</f>
        <v>200022023</v>
      </c>
      <c r="B19299" t="str">
        <f>"1992194955"</f>
        <v>1992194955</v>
      </c>
      <c r="C19299" t="str">
        <f>"363LF0000X"</f>
        <v>363LF0000X</v>
      </c>
      <c r="D19299" t="str">
        <f>"DRIVER                   WAYNE        J           "</f>
        <v xml:space="preserve">DRIVER                   WAYNE        J           </v>
      </c>
      <c r="E19299" t="str">
        <f>"LONG BEACH                "</f>
        <v xml:space="preserve">LONG BEACH                </v>
      </c>
      <c r="F19299" t="str">
        <f t="shared" si="465"/>
        <v>MS</v>
      </c>
    </row>
    <row r="19300" spans="1:6" x14ac:dyDescent="0.25">
      <c r="A19300" t="str">
        <f>"200022025"</f>
        <v>200022025</v>
      </c>
      <c r="B19300" t="str">
        <f>"1235511874"</f>
        <v>1235511874</v>
      </c>
      <c r="C19300" t="str">
        <f>"208M00000X"</f>
        <v>208M00000X</v>
      </c>
      <c r="D19300" t="str">
        <f>"KHADER                   ASMA                     "</f>
        <v xml:space="preserve">KHADER                   ASMA                     </v>
      </c>
      <c r="E19300" t="str">
        <f>"HATTIESBURG               "</f>
        <v xml:space="preserve">HATTIESBURG               </v>
      </c>
      <c r="F19300" t="str">
        <f t="shared" si="465"/>
        <v>MS</v>
      </c>
    </row>
    <row r="19301" spans="1:6" x14ac:dyDescent="0.25">
      <c r="A19301" t="str">
        <f>"200022027"</f>
        <v>200022027</v>
      </c>
      <c r="B19301" t="str">
        <f>"1861148926"</f>
        <v>1861148926</v>
      </c>
      <c r="C19301" t="str">
        <f>"363LP0200X"</f>
        <v>363LP0200X</v>
      </c>
      <c r="D19301" t="str">
        <f>"ROBERTSON                ANDREW                   "</f>
        <v xml:space="preserve">ROBERTSON                ANDREW                   </v>
      </c>
      <c r="E19301" t="str">
        <f>"TUPELO                    "</f>
        <v xml:space="preserve">TUPELO                    </v>
      </c>
      <c r="F19301" t="str">
        <f t="shared" si="465"/>
        <v>MS</v>
      </c>
    </row>
    <row r="19302" spans="1:6" x14ac:dyDescent="0.25">
      <c r="A19302" t="str">
        <f>"200022028"</f>
        <v>200022028</v>
      </c>
      <c r="B19302" t="str">
        <f>"1942798004"</f>
        <v>1942798004</v>
      </c>
      <c r="C19302" t="str">
        <f>"2084A2900X"</f>
        <v>2084A2900X</v>
      </c>
      <c r="D19302" t="str">
        <f>"ALSBROOK                 DIANA        L           "</f>
        <v xml:space="preserve">ALSBROOK                 DIANA        L           </v>
      </c>
      <c r="E19302" t="str">
        <f>"JACKSON                   "</f>
        <v xml:space="preserve">JACKSON                   </v>
      </c>
      <c r="F19302" t="str">
        <f t="shared" si="465"/>
        <v>MS</v>
      </c>
    </row>
    <row r="19303" spans="1:6" x14ac:dyDescent="0.25">
      <c r="A19303" t="str">
        <f>"200022031"</f>
        <v>200022031</v>
      </c>
      <c r="B19303" t="str">
        <f>"1881259141"</f>
        <v>1881259141</v>
      </c>
      <c r="C19303" t="str">
        <f>"2080P0202X"</f>
        <v>2080P0202X</v>
      </c>
      <c r="D19303" t="str">
        <f>"RUSHING                  MARK                     "</f>
        <v xml:space="preserve">RUSHING                  MARK                     </v>
      </c>
      <c r="E19303" t="str">
        <f>"JACKSON                   "</f>
        <v xml:space="preserve">JACKSON                   </v>
      </c>
      <c r="F19303" t="str">
        <f t="shared" si="465"/>
        <v>MS</v>
      </c>
    </row>
    <row r="19304" spans="1:6" x14ac:dyDescent="0.25">
      <c r="A19304" t="str">
        <f>"200022033"</f>
        <v>200022033</v>
      </c>
      <c r="B19304" t="str">
        <f>"1336767953"</f>
        <v>1336767953</v>
      </c>
      <c r="C19304" t="str">
        <f>"207RN0300X"</f>
        <v>207RN0300X</v>
      </c>
      <c r="D19304" t="str">
        <f>"RAZA                     HAFIZ                    "</f>
        <v xml:space="preserve">RAZA                     HAFIZ                    </v>
      </c>
      <c r="E19304" t="str">
        <f>"JACKSON                   "</f>
        <v xml:space="preserve">JACKSON                   </v>
      </c>
      <c r="F19304" t="str">
        <f t="shared" si="465"/>
        <v>MS</v>
      </c>
    </row>
    <row r="19305" spans="1:6" x14ac:dyDescent="0.25">
      <c r="A19305" t="str">
        <f>"200022053"</f>
        <v>200022053</v>
      </c>
      <c r="B19305" t="str">
        <f>"1174980221"</f>
        <v>1174980221</v>
      </c>
      <c r="C19305" t="str">
        <f>"367500000X"</f>
        <v>367500000X</v>
      </c>
      <c r="D19305" t="str">
        <f>"WHITNEY                  DONALD       L           "</f>
        <v xml:space="preserve">WHITNEY                  DONALD       L           </v>
      </c>
      <c r="E19305" t="str">
        <f>"GRENADA                   "</f>
        <v xml:space="preserve">GRENADA                   </v>
      </c>
      <c r="F19305" t="str">
        <f t="shared" si="465"/>
        <v>MS</v>
      </c>
    </row>
    <row r="19306" spans="1:6" x14ac:dyDescent="0.25">
      <c r="A19306" t="str">
        <f>"200022056"</f>
        <v>200022056</v>
      </c>
      <c r="B19306" t="str">
        <f>"1598564262"</f>
        <v>1598564262</v>
      </c>
      <c r="C19306" t="str">
        <f>"363L00000X"</f>
        <v>363L00000X</v>
      </c>
      <c r="D19306" t="str">
        <f>"WILKINSON                NATALIE                  "</f>
        <v xml:space="preserve">WILKINSON                NATALIE                  </v>
      </c>
      <c r="E19306" t="str">
        <f>"GULFPORT                  "</f>
        <v xml:space="preserve">GULFPORT                  </v>
      </c>
      <c r="F19306" t="str">
        <f t="shared" si="465"/>
        <v>MS</v>
      </c>
    </row>
    <row r="19307" spans="1:6" x14ac:dyDescent="0.25">
      <c r="A19307" t="str">
        <f>"200022057"</f>
        <v>200022057</v>
      </c>
      <c r="B19307" t="str">
        <f>"1255071288"</f>
        <v>1255071288</v>
      </c>
      <c r="C19307" t="str">
        <f>"207Q00000X"</f>
        <v>207Q00000X</v>
      </c>
      <c r="D19307" t="str">
        <f>"ALLEN                    CARRIE                   "</f>
        <v xml:space="preserve">ALLEN                    CARRIE                   </v>
      </c>
      <c r="E19307" t="str">
        <f>"DECATUR                   "</f>
        <v xml:space="preserve">DECATUR                   </v>
      </c>
      <c r="F19307" t="str">
        <f t="shared" si="465"/>
        <v>MS</v>
      </c>
    </row>
    <row r="19308" spans="1:6" x14ac:dyDescent="0.25">
      <c r="A19308" t="str">
        <f>"200022061"</f>
        <v>200022061</v>
      </c>
      <c r="B19308" t="str">
        <f>"1689815888"</f>
        <v>1689815888</v>
      </c>
      <c r="C19308" t="str">
        <f>"2080P0202X"</f>
        <v>2080P0202X</v>
      </c>
      <c r="D19308" t="str">
        <f>"MOIDUDDIN                NASSER                   "</f>
        <v xml:space="preserve">MOIDUDDIN                NASSER                   </v>
      </c>
      <c r="E19308" t="str">
        <f>"JACKSON                   "</f>
        <v xml:space="preserve">JACKSON                   </v>
      </c>
      <c r="F19308" t="str">
        <f t="shared" si="465"/>
        <v>MS</v>
      </c>
    </row>
    <row r="19309" spans="1:6" x14ac:dyDescent="0.25">
      <c r="A19309" t="str">
        <f>"200022062"</f>
        <v>200022062</v>
      </c>
      <c r="B19309" t="str">
        <f>"1356985121"</f>
        <v>1356985121</v>
      </c>
      <c r="C19309" t="str">
        <f>"363L00000X"</f>
        <v>363L00000X</v>
      </c>
      <c r="D19309" t="str">
        <f>"BRITT                    ALLISON      A           "</f>
        <v xml:space="preserve">BRITT                    ALLISON      A           </v>
      </c>
      <c r="E19309" t="str">
        <f>"GREENVILLE                "</f>
        <v xml:space="preserve">GREENVILLE                </v>
      </c>
      <c r="F19309" t="str">
        <f t="shared" si="465"/>
        <v>MS</v>
      </c>
    </row>
    <row r="19310" spans="1:6" x14ac:dyDescent="0.25">
      <c r="A19310" t="str">
        <f>"200022071"</f>
        <v>200022071</v>
      </c>
      <c r="B19310" t="str">
        <f>"1114480944"</f>
        <v>1114480944</v>
      </c>
      <c r="C19310" t="str">
        <f>"207P00000X"</f>
        <v>207P00000X</v>
      </c>
      <c r="D19310" t="str">
        <f>"DESAI                    NINAD                    "</f>
        <v xml:space="preserve">DESAI                    NINAD                    </v>
      </c>
      <c r="E19310" t="str">
        <f>"OCEAN SPRINGS             "</f>
        <v xml:space="preserve">OCEAN SPRINGS             </v>
      </c>
      <c r="F19310" t="str">
        <f t="shared" si="465"/>
        <v>MS</v>
      </c>
    </row>
    <row r="19311" spans="1:6" x14ac:dyDescent="0.25">
      <c r="A19311" t="str">
        <f>"200022072"</f>
        <v>200022072</v>
      </c>
      <c r="B19311" t="str">
        <f>"1306580881"</f>
        <v>1306580881</v>
      </c>
      <c r="C19311" t="str">
        <f>"207Q00000X"</f>
        <v>207Q00000X</v>
      </c>
      <c r="D19311" t="str">
        <f>"SNIDER                   KARAH                    "</f>
        <v xml:space="preserve">SNIDER                   KARAH                    </v>
      </c>
      <c r="E19311" t="str">
        <f>"SOUTHAVEN                 "</f>
        <v xml:space="preserve">SOUTHAVEN                 </v>
      </c>
      <c r="F19311" t="str">
        <f t="shared" si="465"/>
        <v>MS</v>
      </c>
    </row>
    <row r="19312" spans="1:6" x14ac:dyDescent="0.25">
      <c r="A19312" t="str">
        <f>"200022075"</f>
        <v>200022075</v>
      </c>
      <c r="B19312" t="str">
        <f>"1760559025"</f>
        <v>1760559025</v>
      </c>
      <c r="C19312" t="str">
        <f>"1223X0400X"</f>
        <v>1223X0400X</v>
      </c>
      <c r="D19312" t="str">
        <f>"REED                     KENNETH      N           "</f>
        <v xml:space="preserve">REED                     KENNETH      N           </v>
      </c>
      <c r="E19312" t="str">
        <f>"MADISON                   "</f>
        <v xml:space="preserve">MADISON                   </v>
      </c>
      <c r="F19312" t="str">
        <f t="shared" si="465"/>
        <v>MS</v>
      </c>
    </row>
    <row r="19313" spans="1:6" x14ac:dyDescent="0.25">
      <c r="A19313" t="str">
        <f>"200022076"</f>
        <v>200022076</v>
      </c>
      <c r="B19313" t="str">
        <f>"1407289283"</f>
        <v>1407289283</v>
      </c>
      <c r="C19313" t="str">
        <f>"367500000X"</f>
        <v>367500000X</v>
      </c>
      <c r="D19313" t="str">
        <f>"WELBORN                  MICAH                    "</f>
        <v xml:space="preserve">WELBORN                  MICAH                    </v>
      </c>
      <c r="E19313" t="str">
        <f>"WAYNESBORO                "</f>
        <v xml:space="preserve">WAYNESBORO                </v>
      </c>
      <c r="F19313" t="str">
        <f t="shared" si="465"/>
        <v>MS</v>
      </c>
    </row>
    <row r="19314" spans="1:6" x14ac:dyDescent="0.25">
      <c r="A19314" t="str">
        <f>"200022080"</f>
        <v>200022080</v>
      </c>
      <c r="B19314" t="str">
        <f>"1689468738"</f>
        <v>1689468738</v>
      </c>
      <c r="C19314" t="str">
        <f>"367500000X"</f>
        <v>367500000X</v>
      </c>
      <c r="D19314" t="str">
        <f>"SEYMOUR                  GRAY                     "</f>
        <v xml:space="preserve">SEYMOUR                  GRAY                     </v>
      </c>
      <c r="E19314" t="str">
        <f>"OXFORD                    "</f>
        <v xml:space="preserve">OXFORD                    </v>
      </c>
      <c r="F19314" t="str">
        <f t="shared" si="465"/>
        <v>MS</v>
      </c>
    </row>
    <row r="19315" spans="1:6" x14ac:dyDescent="0.25">
      <c r="A19315" t="str">
        <f>"200022083"</f>
        <v>200022083</v>
      </c>
      <c r="B19315" t="str">
        <f>"1871326264"</f>
        <v>1871326264</v>
      </c>
      <c r="C19315" t="str">
        <f>"363LF0000X"</f>
        <v>363LF0000X</v>
      </c>
      <c r="D19315" t="str">
        <f>"RICH                     NOEL                     "</f>
        <v xml:space="preserve">RICH                     NOEL                     </v>
      </c>
      <c r="E19315" t="str">
        <f>"JACKSON                   "</f>
        <v xml:space="preserve">JACKSON                   </v>
      </c>
      <c r="F19315" t="str">
        <f t="shared" si="465"/>
        <v>MS</v>
      </c>
    </row>
    <row r="19316" spans="1:6" x14ac:dyDescent="0.25">
      <c r="A19316" t="str">
        <f>"200022086"</f>
        <v>200022086</v>
      </c>
      <c r="B19316" t="str">
        <f>"1861381808"</f>
        <v>1861381808</v>
      </c>
      <c r="C19316" t="str">
        <f>"363LF0000X"</f>
        <v>363LF0000X</v>
      </c>
      <c r="D19316" t="str">
        <f>"SALLEY                   IRIS                     "</f>
        <v xml:space="preserve">SALLEY                   IRIS                     </v>
      </c>
      <c r="E19316" t="str">
        <f>"OXFORD                    "</f>
        <v xml:space="preserve">OXFORD                    </v>
      </c>
      <c r="F19316" t="str">
        <f t="shared" si="465"/>
        <v>MS</v>
      </c>
    </row>
    <row r="19317" spans="1:6" x14ac:dyDescent="0.25">
      <c r="A19317" t="str">
        <f>"200022091"</f>
        <v>200022091</v>
      </c>
      <c r="B19317" t="str">
        <f>"1659083970"</f>
        <v>1659083970</v>
      </c>
      <c r="C19317" t="str">
        <f>"363LF0000X"</f>
        <v>363LF0000X</v>
      </c>
      <c r="D19317" t="str">
        <f>"DUPLANTIS                CARRILYN                 "</f>
        <v xml:space="preserve">DUPLANTIS                CARRILYN                 </v>
      </c>
      <c r="E19317" t="str">
        <f>"HATTIESBURG               "</f>
        <v xml:space="preserve">HATTIESBURG               </v>
      </c>
      <c r="F19317" t="str">
        <f t="shared" si="465"/>
        <v>MS</v>
      </c>
    </row>
    <row r="19318" spans="1:6" x14ac:dyDescent="0.25">
      <c r="A19318" t="str">
        <f>"200022092"</f>
        <v>200022092</v>
      </c>
      <c r="B19318" t="str">
        <f>"1275837973"</f>
        <v>1275837973</v>
      </c>
      <c r="C19318" t="str">
        <f>"367500000X"</f>
        <v>367500000X</v>
      </c>
      <c r="D19318" t="str">
        <f>"YEAGER                   KACIE                    "</f>
        <v xml:space="preserve">YEAGER                   KACIE                    </v>
      </c>
      <c r="E19318" t="str">
        <f>"LAUREL                    "</f>
        <v xml:space="preserve">LAUREL                    </v>
      </c>
      <c r="F19318" t="str">
        <f t="shared" si="465"/>
        <v>MS</v>
      </c>
    </row>
    <row r="19319" spans="1:6" x14ac:dyDescent="0.25">
      <c r="A19319" t="str">
        <f>"200022093"</f>
        <v>200022093</v>
      </c>
      <c r="B19319" t="str">
        <f>"1922990118"</f>
        <v>1922990118</v>
      </c>
      <c r="C19319" t="str">
        <f>"363L00000X"</f>
        <v>363L00000X</v>
      </c>
      <c r="D19319" t="str">
        <f>"SANDERS                  TIARA        N           "</f>
        <v xml:space="preserve">SANDERS                  TIARA        N           </v>
      </c>
      <c r="E19319" t="str">
        <f>"KOSCIUSKO                 "</f>
        <v xml:space="preserve">KOSCIUSKO                 </v>
      </c>
      <c r="F19319" t="str">
        <f t="shared" si="465"/>
        <v>MS</v>
      </c>
    </row>
    <row r="19320" spans="1:6" x14ac:dyDescent="0.25">
      <c r="A19320" t="str">
        <f>"200022096"</f>
        <v>200022096</v>
      </c>
      <c r="B19320" t="str">
        <f>"1588299572"</f>
        <v>1588299572</v>
      </c>
      <c r="C19320" t="str">
        <f>"363LF0000X"</f>
        <v>363LF0000X</v>
      </c>
      <c r="D19320" t="str">
        <f>"DAVIS                    STACEY                   "</f>
        <v xml:space="preserve">DAVIS                    STACEY                   </v>
      </c>
      <c r="E19320" t="str">
        <f>"MCCOMB                    "</f>
        <v xml:space="preserve">MCCOMB                    </v>
      </c>
      <c r="F19320" t="str">
        <f t="shared" si="465"/>
        <v>MS</v>
      </c>
    </row>
    <row r="19321" spans="1:6" x14ac:dyDescent="0.25">
      <c r="A19321" t="str">
        <f>"200022102"</f>
        <v>200022102</v>
      </c>
      <c r="B19321" t="str">
        <f>"1841188141"</f>
        <v>1841188141</v>
      </c>
      <c r="C19321" t="str">
        <f>"363LA2200X"</f>
        <v>363LA2200X</v>
      </c>
      <c r="D19321" t="str">
        <f>"BLANCHARD                INEZ                     "</f>
        <v xml:space="preserve">BLANCHARD                INEZ                     </v>
      </c>
      <c r="E19321" t="str">
        <f>"TUPELO                    "</f>
        <v xml:space="preserve">TUPELO                    </v>
      </c>
      <c r="F19321" t="str">
        <f t="shared" si="465"/>
        <v>MS</v>
      </c>
    </row>
    <row r="19322" spans="1:6" x14ac:dyDescent="0.25">
      <c r="A19322" t="str">
        <f>"200022103"</f>
        <v>200022103</v>
      </c>
      <c r="B19322" t="str">
        <f>"1609689140"</f>
        <v>1609689140</v>
      </c>
      <c r="C19322" t="str">
        <f>"363LP2300X"</f>
        <v>363LP2300X</v>
      </c>
      <c r="D19322" t="str">
        <f>"GELSTON                  HUNTER                   "</f>
        <v xml:space="preserve">GELSTON                  HUNTER                   </v>
      </c>
      <c r="E19322" t="str">
        <f>"CLINTON                   "</f>
        <v xml:space="preserve">CLINTON                   </v>
      </c>
      <c r="F19322" t="str">
        <f t="shared" si="465"/>
        <v>MS</v>
      </c>
    </row>
    <row r="19323" spans="1:6" x14ac:dyDescent="0.25">
      <c r="A19323" t="str">
        <f>"200022111"</f>
        <v>200022111</v>
      </c>
      <c r="B19323" t="str">
        <f>"1821186909"</f>
        <v>1821186909</v>
      </c>
      <c r="C19323" t="str">
        <f>"2085R0202X"</f>
        <v>2085R0202X</v>
      </c>
      <c r="D19323" t="str">
        <f>"KASAT                    RAVI         S           "</f>
        <v xml:space="preserve">KASAT                    RAVI         S           </v>
      </c>
      <c r="E19323" t="str">
        <f>"MERIDIAN                  "</f>
        <v xml:space="preserve">MERIDIAN                  </v>
      </c>
      <c r="F19323" t="str">
        <f t="shared" si="465"/>
        <v>MS</v>
      </c>
    </row>
    <row r="19324" spans="1:6" x14ac:dyDescent="0.25">
      <c r="A19324" t="str">
        <f>"200022114"</f>
        <v>200022114</v>
      </c>
      <c r="B19324" t="str">
        <f>"1043042625"</f>
        <v>1043042625</v>
      </c>
      <c r="C19324" t="str">
        <f>"363A00000X"</f>
        <v>363A00000X</v>
      </c>
      <c r="D19324" t="str">
        <f>"HAREVEY                  LOREN                    "</f>
        <v xml:space="preserve">HAREVEY                  LOREN                    </v>
      </c>
      <c r="E19324" t="str">
        <f>"CLINTON                   "</f>
        <v xml:space="preserve">CLINTON                   </v>
      </c>
      <c r="F19324" t="str">
        <f t="shared" si="465"/>
        <v>MS</v>
      </c>
    </row>
    <row r="19325" spans="1:6" x14ac:dyDescent="0.25">
      <c r="A19325" t="str">
        <f>"200022115"</f>
        <v>200022115</v>
      </c>
      <c r="B19325" t="str">
        <f>"1275295388"</f>
        <v>1275295388</v>
      </c>
      <c r="C19325" t="str">
        <f>"363LF0000X"</f>
        <v>363LF0000X</v>
      </c>
      <c r="D19325" t="str">
        <f>"WEBB                     DAVID                    "</f>
        <v xml:space="preserve">WEBB                     DAVID                    </v>
      </c>
      <c r="E19325" t="str">
        <f>"WAYNESBORO                "</f>
        <v xml:space="preserve">WAYNESBORO                </v>
      </c>
      <c r="F19325" t="str">
        <f t="shared" si="465"/>
        <v>MS</v>
      </c>
    </row>
    <row r="19326" spans="1:6" x14ac:dyDescent="0.25">
      <c r="A19326" t="str">
        <f>"200022116"</f>
        <v>200022116</v>
      </c>
      <c r="B19326" t="str">
        <f>"1912565763"</f>
        <v>1912565763</v>
      </c>
      <c r="C19326" t="str">
        <f>"207XS0114X"</f>
        <v>207XS0114X</v>
      </c>
      <c r="D19326" t="str">
        <f>"WISE                     JEREMY       A           "</f>
        <v xml:space="preserve">WISE                     JEREMY       A           </v>
      </c>
      <c r="E19326" t="str">
        <f>"HATTIESBURG               "</f>
        <v xml:space="preserve">HATTIESBURG               </v>
      </c>
      <c r="F19326" t="str">
        <f t="shared" ref="F19326:F19389" si="466">"MS"</f>
        <v>MS</v>
      </c>
    </row>
    <row r="19327" spans="1:6" x14ac:dyDescent="0.25">
      <c r="A19327" t="str">
        <f>"200022118"</f>
        <v>200022118</v>
      </c>
      <c r="B19327" t="str">
        <f>"1740761956"</f>
        <v>1740761956</v>
      </c>
      <c r="C19327" t="str">
        <f>"363LF0000X"</f>
        <v>363LF0000X</v>
      </c>
      <c r="D19327" t="str">
        <f>"LANDRUM LOVETT           YAKITTA                  "</f>
        <v xml:space="preserve">LANDRUM LOVETT           YAKITTA                  </v>
      </c>
      <c r="E19327" t="str">
        <f>"GREENVILLE                "</f>
        <v xml:space="preserve">GREENVILLE                </v>
      </c>
      <c r="F19327" t="str">
        <f t="shared" si="466"/>
        <v>MS</v>
      </c>
    </row>
    <row r="19328" spans="1:6" x14ac:dyDescent="0.25">
      <c r="A19328" t="str">
        <f>"200022124"</f>
        <v>200022124</v>
      </c>
      <c r="B19328" t="str">
        <f>"1730746603"</f>
        <v>1730746603</v>
      </c>
      <c r="C19328" t="str">
        <f>"2084N0400X"</f>
        <v>2084N0400X</v>
      </c>
      <c r="D19328" t="str">
        <f>"DUNSTON                  RANDALL                  "</f>
        <v xml:space="preserve">DUNSTON                  RANDALL                  </v>
      </c>
      <c r="E19328" t="str">
        <f>"TUPELO                    "</f>
        <v xml:space="preserve">TUPELO                    </v>
      </c>
      <c r="F19328" t="str">
        <f t="shared" si="466"/>
        <v>MS</v>
      </c>
    </row>
    <row r="19329" spans="1:6" x14ac:dyDescent="0.25">
      <c r="A19329" t="str">
        <f>"200022128"</f>
        <v>200022128</v>
      </c>
      <c r="B19329" t="str">
        <f>"1720617632"</f>
        <v>1720617632</v>
      </c>
      <c r="C19329" t="str">
        <f>"2085R0202X"</f>
        <v>2085R0202X</v>
      </c>
      <c r="D19329" t="str">
        <f>"GOLDOOZ                  MATIN                    "</f>
        <v xml:space="preserve">GOLDOOZ                  MATIN                    </v>
      </c>
      <c r="E19329" t="str">
        <f>"JACKSON                   "</f>
        <v xml:space="preserve">JACKSON                   </v>
      </c>
      <c r="F19329" t="str">
        <f t="shared" si="466"/>
        <v>MS</v>
      </c>
    </row>
    <row r="19330" spans="1:6" x14ac:dyDescent="0.25">
      <c r="A19330" t="str">
        <f>"200022130"</f>
        <v>200022130</v>
      </c>
      <c r="B19330" t="str">
        <f>"1700808821"</f>
        <v>1700808821</v>
      </c>
      <c r="C19330" t="str">
        <f>"367500000X"</f>
        <v>367500000X</v>
      </c>
      <c r="D19330" t="str">
        <f>"MAY                      CAROLYN                  "</f>
        <v xml:space="preserve">MAY                      CAROLYN                  </v>
      </c>
      <c r="E19330" t="str">
        <f>"GULFPORT                  "</f>
        <v xml:space="preserve">GULFPORT                  </v>
      </c>
      <c r="F19330" t="str">
        <f t="shared" si="466"/>
        <v>MS</v>
      </c>
    </row>
    <row r="19331" spans="1:6" x14ac:dyDescent="0.25">
      <c r="A19331" t="str">
        <f>"200022134"</f>
        <v>200022134</v>
      </c>
      <c r="B19331" t="str">
        <f>"1821165895"</f>
        <v>1821165895</v>
      </c>
      <c r="C19331" t="str">
        <f>"2085R0202X"</f>
        <v>2085R0202X</v>
      </c>
      <c r="D19331" t="str">
        <f>"COURTNEY                 RICHARD                  "</f>
        <v xml:space="preserve">COURTNEY                 RICHARD                  </v>
      </c>
      <c r="E19331" t="str">
        <f>"CLEVELAND                 "</f>
        <v xml:space="preserve">CLEVELAND                 </v>
      </c>
      <c r="F19331" t="str">
        <f t="shared" si="466"/>
        <v>MS</v>
      </c>
    </row>
    <row r="19332" spans="1:6" x14ac:dyDescent="0.25">
      <c r="A19332" t="str">
        <f>"200022136"</f>
        <v>200022136</v>
      </c>
      <c r="B19332" t="str">
        <f>"1457091365"</f>
        <v>1457091365</v>
      </c>
      <c r="C19332" t="str">
        <f>"207R00000X"</f>
        <v>207R00000X</v>
      </c>
      <c r="D19332" t="str">
        <f>"OGLETREE                 LEE                      "</f>
        <v xml:space="preserve">OGLETREE                 LEE                      </v>
      </c>
      <c r="E19332" t="str">
        <f>"JACKSON                   "</f>
        <v xml:space="preserve">JACKSON                   </v>
      </c>
      <c r="F19332" t="str">
        <f t="shared" si="466"/>
        <v>MS</v>
      </c>
    </row>
    <row r="19333" spans="1:6" x14ac:dyDescent="0.25">
      <c r="A19333" t="str">
        <f>"200022139"</f>
        <v>200022139</v>
      </c>
      <c r="B19333" t="str">
        <f>"1265060685"</f>
        <v>1265060685</v>
      </c>
      <c r="C19333" t="str">
        <f>"2085R0202X"</f>
        <v>2085R0202X</v>
      </c>
      <c r="D19333" t="str">
        <f>"METILDI                  MARISA                   "</f>
        <v xml:space="preserve">METILDI                  MARISA                   </v>
      </c>
      <c r="E19333" t="str">
        <f>"JACKSON                   "</f>
        <v xml:space="preserve">JACKSON                   </v>
      </c>
      <c r="F19333" t="str">
        <f t="shared" si="466"/>
        <v>MS</v>
      </c>
    </row>
    <row r="19334" spans="1:6" x14ac:dyDescent="0.25">
      <c r="A19334" t="str">
        <f>"200022141"</f>
        <v>200022141</v>
      </c>
      <c r="B19334" t="str">
        <f>"1497702542"</f>
        <v>1497702542</v>
      </c>
      <c r="C19334" t="str">
        <f>"2085R0202X"</f>
        <v>2085R0202X</v>
      </c>
      <c r="D19334" t="str">
        <f>"ADBALLA                  ADEL         A           "</f>
        <v xml:space="preserve">ADBALLA                  ADEL         A           </v>
      </c>
      <c r="E19334" t="str">
        <f>"BATESVILLE                "</f>
        <v xml:space="preserve">BATESVILLE                </v>
      </c>
      <c r="F19334" t="str">
        <f t="shared" si="466"/>
        <v>MS</v>
      </c>
    </row>
    <row r="19335" spans="1:6" x14ac:dyDescent="0.25">
      <c r="A19335" t="str">
        <f>"200022145"</f>
        <v>200022145</v>
      </c>
      <c r="B19335" t="str">
        <f>"1528167699"</f>
        <v>1528167699</v>
      </c>
      <c r="C19335" t="str">
        <f>"207W00000X"</f>
        <v>207W00000X</v>
      </c>
      <c r="D19335" t="str">
        <f>"NUSSBAUM                 JULIAN                   "</f>
        <v xml:space="preserve">NUSSBAUM                 JULIAN                   </v>
      </c>
      <c r="E19335" t="str">
        <f>"JACKSON                   "</f>
        <v xml:space="preserve">JACKSON                   </v>
      </c>
      <c r="F19335" t="str">
        <f t="shared" si="466"/>
        <v>MS</v>
      </c>
    </row>
    <row r="19336" spans="1:6" x14ac:dyDescent="0.25">
      <c r="A19336" t="str">
        <f>"200022152"</f>
        <v>200022152</v>
      </c>
      <c r="B19336" t="str">
        <f>"1285155614"</f>
        <v>1285155614</v>
      </c>
      <c r="C19336" t="str">
        <f>"363LF0000X"</f>
        <v>363LF0000X</v>
      </c>
      <c r="D19336" t="str">
        <f>"NGUYEN                   TROUNG                   "</f>
        <v xml:space="preserve">NGUYEN                   TROUNG                   </v>
      </c>
      <c r="E19336" t="str">
        <f>"BILOXI                    "</f>
        <v xml:space="preserve">BILOXI                    </v>
      </c>
      <c r="F19336" t="str">
        <f t="shared" si="466"/>
        <v>MS</v>
      </c>
    </row>
    <row r="19337" spans="1:6" x14ac:dyDescent="0.25">
      <c r="A19337" t="str">
        <f>"200022157"</f>
        <v>200022157</v>
      </c>
      <c r="B19337" t="str">
        <f>"1891085098"</f>
        <v>1891085098</v>
      </c>
      <c r="C19337" t="str">
        <f>"207Q00000X"</f>
        <v>207Q00000X</v>
      </c>
      <c r="D19337" t="str">
        <f>"RAMSEY                   ADAM                     "</f>
        <v xml:space="preserve">RAMSEY                   ADAM                     </v>
      </c>
      <c r="E19337" t="str">
        <f>"JACKSON                   "</f>
        <v xml:space="preserve">JACKSON                   </v>
      </c>
      <c r="F19337" t="str">
        <f t="shared" si="466"/>
        <v>MS</v>
      </c>
    </row>
    <row r="19338" spans="1:6" x14ac:dyDescent="0.25">
      <c r="A19338" t="str">
        <f>"200022167"</f>
        <v>200022167</v>
      </c>
      <c r="B19338" t="str">
        <f>"1730366824"</f>
        <v>1730366824</v>
      </c>
      <c r="C19338" t="str">
        <f>"261QM0801X"</f>
        <v>261QM0801X</v>
      </c>
      <c r="D19338" t="str">
        <f>"HEALTH CONNECT AMERICA INC                        "</f>
        <v xml:space="preserve">HEALTH CONNECT AMERICA INC                        </v>
      </c>
      <c r="E19338" t="str">
        <f>"AMORY                     "</f>
        <v xml:space="preserve">AMORY                     </v>
      </c>
      <c r="F19338" t="str">
        <f t="shared" si="466"/>
        <v>MS</v>
      </c>
    </row>
    <row r="19339" spans="1:6" x14ac:dyDescent="0.25">
      <c r="A19339" t="str">
        <f>"200022169"</f>
        <v>200022169</v>
      </c>
      <c r="B19339" t="str">
        <f>"1720661887"</f>
        <v>1720661887</v>
      </c>
      <c r="C19339" t="str">
        <f>"363LP0808X"</f>
        <v>363LP0808X</v>
      </c>
      <c r="D19339" t="str">
        <f>"HART                     MARGARET                 "</f>
        <v xml:space="preserve">HART                     MARGARET                 </v>
      </c>
      <c r="E19339" t="str">
        <f>"MCCOMB                    "</f>
        <v xml:space="preserve">MCCOMB                    </v>
      </c>
      <c r="F19339" t="str">
        <f t="shared" si="466"/>
        <v>MS</v>
      </c>
    </row>
    <row r="19340" spans="1:6" x14ac:dyDescent="0.25">
      <c r="A19340" t="str">
        <f>"200022177"</f>
        <v>200022177</v>
      </c>
      <c r="B19340" t="str">
        <f>"1427553882"</f>
        <v>1427553882</v>
      </c>
      <c r="C19340" t="str">
        <f>"207Q00000X"</f>
        <v>207Q00000X</v>
      </c>
      <c r="D19340" t="str">
        <f>"CRITTENDEN               WILLIAM                  "</f>
        <v xml:space="preserve">CRITTENDEN               WILLIAM                  </v>
      </c>
      <c r="E19340" t="str">
        <f>"GULFPORT                  "</f>
        <v xml:space="preserve">GULFPORT                  </v>
      </c>
      <c r="F19340" t="str">
        <f t="shared" si="466"/>
        <v>MS</v>
      </c>
    </row>
    <row r="19341" spans="1:6" x14ac:dyDescent="0.25">
      <c r="A19341" t="str">
        <f>"200022179"</f>
        <v>200022179</v>
      </c>
      <c r="B19341" t="str">
        <f>"1902992894"</f>
        <v>1902992894</v>
      </c>
      <c r="C19341" t="str">
        <f>"207R00000X"</f>
        <v>207R00000X</v>
      </c>
      <c r="D19341" t="str">
        <f>"BUTT                     GLENN                    "</f>
        <v xml:space="preserve">BUTT                     GLENN                    </v>
      </c>
      <c r="E19341" t="str">
        <f>"PICAYUNE                  "</f>
        <v xml:space="preserve">PICAYUNE                  </v>
      </c>
      <c r="F19341" t="str">
        <f t="shared" si="466"/>
        <v>MS</v>
      </c>
    </row>
    <row r="19342" spans="1:6" x14ac:dyDescent="0.25">
      <c r="A19342" t="str">
        <f>"200022180"</f>
        <v>200022180</v>
      </c>
      <c r="B19342" t="str">
        <f>"1124522909"</f>
        <v>1124522909</v>
      </c>
      <c r="C19342" t="str">
        <f>"363LF0000X"</f>
        <v>363LF0000X</v>
      </c>
      <c r="D19342" t="str">
        <f>"MCGEE                    DODIE                    "</f>
        <v xml:space="preserve">MCGEE                    DODIE                    </v>
      </c>
      <c r="E19342" t="str">
        <f>"RAYMOND                   "</f>
        <v xml:space="preserve">RAYMOND                   </v>
      </c>
      <c r="F19342" t="str">
        <f t="shared" si="466"/>
        <v>MS</v>
      </c>
    </row>
    <row r="19343" spans="1:6" x14ac:dyDescent="0.25">
      <c r="A19343" t="str">
        <f>"200022181"</f>
        <v>200022181</v>
      </c>
      <c r="B19343" t="str">
        <f>"1285446096"</f>
        <v>1285446096</v>
      </c>
      <c r="C19343" t="str">
        <f>"363LF0000X"</f>
        <v>363LF0000X</v>
      </c>
      <c r="D19343" t="str">
        <f>"LADNER                   STEPHANIE    W           "</f>
        <v xml:space="preserve">LADNER                   STEPHANIE    W           </v>
      </c>
      <c r="E19343" t="str">
        <f>"LONG BEACH                "</f>
        <v xml:space="preserve">LONG BEACH                </v>
      </c>
      <c r="F19343" t="str">
        <f t="shared" si="466"/>
        <v>MS</v>
      </c>
    </row>
    <row r="19344" spans="1:6" x14ac:dyDescent="0.25">
      <c r="A19344" t="str">
        <f>"200022182"</f>
        <v>200022182</v>
      </c>
      <c r="B19344" t="str">
        <f>"1114600764"</f>
        <v>1114600764</v>
      </c>
      <c r="C19344" t="str">
        <f>"363LF0000X"</f>
        <v>363LF0000X</v>
      </c>
      <c r="D19344" t="str">
        <f>"PRATHER                  NASHELLA                 "</f>
        <v xml:space="preserve">PRATHER                  NASHELLA                 </v>
      </c>
      <c r="E19344" t="str">
        <f>"NEW ALBANY                "</f>
        <v xml:space="preserve">NEW ALBANY                </v>
      </c>
      <c r="F19344" t="str">
        <f t="shared" si="466"/>
        <v>MS</v>
      </c>
    </row>
    <row r="19345" spans="1:6" x14ac:dyDescent="0.25">
      <c r="A19345" t="str">
        <f>"200022184"</f>
        <v>200022184</v>
      </c>
      <c r="B19345" t="str">
        <f>"1437969383"</f>
        <v>1437969383</v>
      </c>
      <c r="C19345" t="str">
        <f>"363A00000X"</f>
        <v>363A00000X</v>
      </c>
      <c r="D19345" t="str">
        <f>"JESTER                   JAYCEE                   "</f>
        <v xml:space="preserve">JESTER                   JAYCEE                   </v>
      </c>
      <c r="E19345" t="str">
        <f>"BENTONIA                  "</f>
        <v xml:space="preserve">BENTONIA                  </v>
      </c>
      <c r="F19345" t="str">
        <f t="shared" si="466"/>
        <v>MS</v>
      </c>
    </row>
    <row r="19346" spans="1:6" x14ac:dyDescent="0.25">
      <c r="A19346" t="str">
        <f>"200022188"</f>
        <v>200022188</v>
      </c>
      <c r="B19346" t="str">
        <f>"1003595703"</f>
        <v>1003595703</v>
      </c>
      <c r="C19346" t="str">
        <f>"363LX0001X"</f>
        <v>363LX0001X</v>
      </c>
      <c r="D19346" t="str">
        <f>"WARREN                   LEAH                     "</f>
        <v xml:space="preserve">WARREN                   LEAH                     </v>
      </c>
      <c r="E19346" t="str">
        <f>"BAY ST LOUIS              "</f>
        <v xml:space="preserve">BAY ST LOUIS              </v>
      </c>
      <c r="F19346" t="str">
        <f t="shared" si="466"/>
        <v>MS</v>
      </c>
    </row>
    <row r="19347" spans="1:6" x14ac:dyDescent="0.25">
      <c r="A19347" t="str">
        <f>"200022199"</f>
        <v>200022199</v>
      </c>
      <c r="B19347" t="str">
        <f>"1720736572"</f>
        <v>1720736572</v>
      </c>
      <c r="C19347" t="str">
        <f>"363LP0200X"</f>
        <v>363LP0200X</v>
      </c>
      <c r="D19347" t="str">
        <f>"STOGNER                  CALEY        C           "</f>
        <v xml:space="preserve">STOGNER                  CALEY        C           </v>
      </c>
      <c r="E19347" t="str">
        <f>"JACKSON                   "</f>
        <v xml:space="preserve">JACKSON                   </v>
      </c>
      <c r="F19347" t="str">
        <f t="shared" si="466"/>
        <v>MS</v>
      </c>
    </row>
    <row r="19348" spans="1:6" x14ac:dyDescent="0.25">
      <c r="A19348" t="str">
        <f>"200022200"</f>
        <v>200022200</v>
      </c>
      <c r="B19348" t="str">
        <f>"1518751288"</f>
        <v>1518751288</v>
      </c>
      <c r="C19348" t="str">
        <f>"261QR1300X"</f>
        <v>261QR1300X</v>
      </c>
      <c r="D19348" t="str">
        <f>"MRHMEDICAL GROUP,WEBB FAMILY MEDICAL CLINIC-OXFORD"</f>
        <v>MRHMEDICAL GROUP,WEBB FAMILY MEDICAL CLINIC-OXFORD</v>
      </c>
      <c r="E19348" t="str">
        <f>"OXFORD                    "</f>
        <v xml:space="preserve">OXFORD                    </v>
      </c>
      <c r="F19348" t="str">
        <f t="shared" si="466"/>
        <v>MS</v>
      </c>
    </row>
    <row r="19349" spans="1:6" x14ac:dyDescent="0.25">
      <c r="A19349" t="str">
        <f>"200022202"</f>
        <v>200022202</v>
      </c>
      <c r="B19349" t="str">
        <f>"1942079413"</f>
        <v>1942079413</v>
      </c>
      <c r="C19349" t="str">
        <f>"363LP0808X"</f>
        <v>363LP0808X</v>
      </c>
      <c r="D19349" t="str">
        <f>"SWEENEY                  STEPHEN                  "</f>
        <v xml:space="preserve">SWEENEY                  STEPHEN                  </v>
      </c>
      <c r="E19349" t="str">
        <f>"RIDGELAND                 "</f>
        <v xml:space="preserve">RIDGELAND                 </v>
      </c>
      <c r="F19349" t="str">
        <f t="shared" si="466"/>
        <v>MS</v>
      </c>
    </row>
    <row r="19350" spans="1:6" x14ac:dyDescent="0.25">
      <c r="A19350" t="str">
        <f>"200022208"</f>
        <v>200022208</v>
      </c>
      <c r="B19350" t="str">
        <f>"1689105819"</f>
        <v>1689105819</v>
      </c>
      <c r="C19350" t="str">
        <f>"2080N0001X"</f>
        <v>2080N0001X</v>
      </c>
      <c r="D19350" t="str">
        <f>"PALMER                   RACHEL                   "</f>
        <v xml:space="preserve">PALMER                   RACHEL                   </v>
      </c>
      <c r="E19350" t="str">
        <f>"WAYNESBORO                "</f>
        <v xml:space="preserve">WAYNESBORO                </v>
      </c>
      <c r="F19350" t="str">
        <f t="shared" si="466"/>
        <v>MS</v>
      </c>
    </row>
    <row r="19351" spans="1:6" x14ac:dyDescent="0.25">
      <c r="A19351" t="str">
        <f>"200022211"</f>
        <v>200022211</v>
      </c>
      <c r="B19351" t="str">
        <f>"1356680573"</f>
        <v>1356680573</v>
      </c>
      <c r="C19351" t="str">
        <f>"363LF0000X"</f>
        <v>363LF0000X</v>
      </c>
      <c r="D19351" t="str">
        <f>"GOODE                    COURTNEY                 "</f>
        <v xml:space="preserve">GOODE                    COURTNEY                 </v>
      </c>
      <c r="E19351" t="str">
        <f>"SOUTHAVEN                 "</f>
        <v xml:space="preserve">SOUTHAVEN                 </v>
      </c>
      <c r="F19351" t="str">
        <f t="shared" si="466"/>
        <v>MS</v>
      </c>
    </row>
    <row r="19352" spans="1:6" x14ac:dyDescent="0.25">
      <c r="A19352" t="str">
        <f>"200022225"</f>
        <v>200022225</v>
      </c>
      <c r="B19352" t="str">
        <f>"1184302291"</f>
        <v>1184302291</v>
      </c>
      <c r="C19352" t="str">
        <f>"207R00000X"</f>
        <v>207R00000X</v>
      </c>
      <c r="D19352" t="str">
        <f>"ELKHODARY                MOHAMED                  "</f>
        <v xml:space="preserve">ELKHODARY                MOHAMED                  </v>
      </c>
      <c r="E19352" t="str">
        <f>"TUPELO                    "</f>
        <v xml:space="preserve">TUPELO                    </v>
      </c>
      <c r="F19352" t="str">
        <f t="shared" si="466"/>
        <v>MS</v>
      </c>
    </row>
    <row r="19353" spans="1:6" x14ac:dyDescent="0.25">
      <c r="A19353" t="str">
        <f>"200022228"</f>
        <v>200022228</v>
      </c>
      <c r="B19353" t="str">
        <f>"1659375392"</f>
        <v>1659375392</v>
      </c>
      <c r="C19353" t="str">
        <f>"207RH0003X"</f>
        <v>207RH0003X</v>
      </c>
      <c r="D19353" t="str">
        <f>"BESH                     STEPHEN                  "</f>
        <v xml:space="preserve">BESH                     STEPHEN                  </v>
      </c>
      <c r="E19353" t="str">
        <f>"SOUTHAVEN                 "</f>
        <v xml:space="preserve">SOUTHAVEN                 </v>
      </c>
      <c r="F19353" t="str">
        <f t="shared" si="466"/>
        <v>MS</v>
      </c>
    </row>
    <row r="19354" spans="1:6" x14ac:dyDescent="0.25">
      <c r="A19354" t="str">
        <f>"200022229"</f>
        <v>200022229</v>
      </c>
      <c r="B19354" t="str">
        <f>"1992332977"</f>
        <v>1992332977</v>
      </c>
      <c r="C19354" t="str">
        <f>"207X00000X"</f>
        <v>207X00000X</v>
      </c>
      <c r="D19354" t="str">
        <f>"TRENT                    JESSE                    "</f>
        <v xml:space="preserve">TRENT                    JESSE                    </v>
      </c>
      <c r="E19354" t="str">
        <f>"SOUTHAVEN                 "</f>
        <v xml:space="preserve">SOUTHAVEN                 </v>
      </c>
      <c r="F19354" t="str">
        <f t="shared" si="466"/>
        <v>MS</v>
      </c>
    </row>
    <row r="19355" spans="1:6" x14ac:dyDescent="0.25">
      <c r="A19355" t="str">
        <f>"200022234"</f>
        <v>200022234</v>
      </c>
      <c r="B19355" t="str">
        <f>"1003629692"</f>
        <v>1003629692</v>
      </c>
      <c r="C19355" t="str">
        <f>"363L00000X"</f>
        <v>363L00000X</v>
      </c>
      <c r="D19355" t="str">
        <f>"REESE                    SAMIMAH                  "</f>
        <v xml:space="preserve">REESE                    SAMIMAH                  </v>
      </c>
      <c r="E19355" t="str">
        <f>"VICKSBURG                 "</f>
        <v xml:space="preserve">VICKSBURG                 </v>
      </c>
      <c r="F19355" t="str">
        <f t="shared" si="466"/>
        <v>MS</v>
      </c>
    </row>
    <row r="19356" spans="1:6" x14ac:dyDescent="0.25">
      <c r="A19356" t="str">
        <f>"200022251"</f>
        <v>200022251</v>
      </c>
      <c r="B19356" t="str">
        <f>"1861547317"</f>
        <v>1861547317</v>
      </c>
      <c r="C19356" t="str">
        <f>"2085R0202X"</f>
        <v>2085R0202X</v>
      </c>
      <c r="D19356" t="str">
        <f>"THALKEN                  GREGORY      L           "</f>
        <v xml:space="preserve">THALKEN                  GREGORY      L           </v>
      </c>
      <c r="E19356" t="str">
        <f>"MERIDIAN                  "</f>
        <v xml:space="preserve">MERIDIAN                  </v>
      </c>
      <c r="F19356" t="str">
        <f t="shared" si="466"/>
        <v>MS</v>
      </c>
    </row>
    <row r="19357" spans="1:6" x14ac:dyDescent="0.25">
      <c r="A19357" t="str">
        <f>"200022254"</f>
        <v>200022254</v>
      </c>
      <c r="B19357" t="str">
        <f>"1972399509"</f>
        <v>1972399509</v>
      </c>
      <c r="C19357" t="str">
        <f>"207R00000X"</f>
        <v>207R00000X</v>
      </c>
      <c r="D19357" t="str">
        <f>"GEORGIOU                 LOUKAS                   "</f>
        <v xml:space="preserve">GEORGIOU                 LOUKAS                   </v>
      </c>
      <c r="E19357" t="str">
        <f>"TUPELO                    "</f>
        <v xml:space="preserve">TUPELO                    </v>
      </c>
      <c r="F19357" t="str">
        <f t="shared" si="466"/>
        <v>MS</v>
      </c>
    </row>
    <row r="19358" spans="1:6" x14ac:dyDescent="0.25">
      <c r="A19358" t="str">
        <f>"200022255"</f>
        <v>200022255</v>
      </c>
      <c r="B19358" t="str">
        <f>"1801698584"</f>
        <v>1801698584</v>
      </c>
      <c r="C19358" t="str">
        <f>"207P00000X"</f>
        <v>207P00000X</v>
      </c>
      <c r="D19358" t="str">
        <f>"STANFORD                 CHRISTOPHER              "</f>
        <v xml:space="preserve">STANFORD                 CHRISTOPHER              </v>
      </c>
      <c r="E19358" t="str">
        <f>"JACKSON                   "</f>
        <v xml:space="preserve">JACKSON                   </v>
      </c>
      <c r="F19358" t="str">
        <f t="shared" si="466"/>
        <v>MS</v>
      </c>
    </row>
    <row r="19359" spans="1:6" x14ac:dyDescent="0.25">
      <c r="A19359" t="str">
        <f>"200022259"</f>
        <v>200022259</v>
      </c>
      <c r="B19359" t="str">
        <f>"1356231732"</f>
        <v>1356231732</v>
      </c>
      <c r="C19359" t="str">
        <f>"363LP0808X"</f>
        <v>363LP0808X</v>
      </c>
      <c r="D19359" t="str">
        <f>"CROWELL                  MEAGAN                   "</f>
        <v xml:space="preserve">CROWELL                  MEAGAN                   </v>
      </c>
      <c r="E19359" t="str">
        <f>"TUPELO                    "</f>
        <v xml:space="preserve">TUPELO                    </v>
      </c>
      <c r="F19359" t="str">
        <f t="shared" si="466"/>
        <v>MS</v>
      </c>
    </row>
    <row r="19360" spans="1:6" x14ac:dyDescent="0.25">
      <c r="A19360" t="str">
        <f>"200022260"</f>
        <v>200022260</v>
      </c>
      <c r="B19360" t="str">
        <f>"1093552713"</f>
        <v>1093552713</v>
      </c>
      <c r="C19360" t="str">
        <f>"207R00000X"</f>
        <v>207R00000X</v>
      </c>
      <c r="D19360" t="str">
        <f>"AHMED                    SAMAH                    "</f>
        <v xml:space="preserve">AHMED                    SAMAH                    </v>
      </c>
      <c r="E19360" t="str">
        <f>"TUPELO                    "</f>
        <v xml:space="preserve">TUPELO                    </v>
      </c>
      <c r="F19360" t="str">
        <f t="shared" si="466"/>
        <v>MS</v>
      </c>
    </row>
    <row r="19361" spans="1:6" x14ac:dyDescent="0.25">
      <c r="A19361" t="str">
        <f>"200022261"</f>
        <v>200022261</v>
      </c>
      <c r="B19361" t="str">
        <f>"1902549769"</f>
        <v>1902549769</v>
      </c>
      <c r="C19361" t="str">
        <f>"207R00000X"</f>
        <v>207R00000X</v>
      </c>
      <c r="D19361" t="str">
        <f>"BAILEY                   JILL         K           "</f>
        <v xml:space="preserve">BAILEY                   JILL         K           </v>
      </c>
      <c r="E19361" t="str">
        <f>"HATTIESBURG               "</f>
        <v xml:space="preserve">HATTIESBURG               </v>
      </c>
      <c r="F19361" t="str">
        <f t="shared" si="466"/>
        <v>MS</v>
      </c>
    </row>
    <row r="19362" spans="1:6" x14ac:dyDescent="0.25">
      <c r="A19362" t="str">
        <f>"200022267"</f>
        <v>200022267</v>
      </c>
      <c r="B19362" t="str">
        <f>"1891598041"</f>
        <v>1891598041</v>
      </c>
      <c r="C19362" t="str">
        <f>"207R00000X"</f>
        <v>207R00000X</v>
      </c>
      <c r="D19362" t="str">
        <f>"BROADFOOT                JACKSON                  "</f>
        <v xml:space="preserve">BROADFOOT                JACKSON                  </v>
      </c>
      <c r="E19362" t="str">
        <f>"JACKSON                   "</f>
        <v xml:space="preserve">JACKSON                   </v>
      </c>
      <c r="F19362" t="str">
        <f t="shared" si="466"/>
        <v>MS</v>
      </c>
    </row>
    <row r="19363" spans="1:6" x14ac:dyDescent="0.25">
      <c r="A19363" t="str">
        <f>"200022270"</f>
        <v>200022270</v>
      </c>
      <c r="B19363" t="str">
        <f>"1972390946"</f>
        <v>1972390946</v>
      </c>
      <c r="C19363" t="str">
        <f>"207R00000X"</f>
        <v>207R00000X</v>
      </c>
      <c r="D19363" t="str">
        <f>"PALYAM                   VISHNU                   "</f>
        <v xml:space="preserve">PALYAM                   VISHNU                   </v>
      </c>
      <c r="E19363" t="str">
        <f>"GULFPORT                  "</f>
        <v xml:space="preserve">GULFPORT                  </v>
      </c>
      <c r="F19363" t="str">
        <f t="shared" si="466"/>
        <v>MS</v>
      </c>
    </row>
    <row r="19364" spans="1:6" x14ac:dyDescent="0.25">
      <c r="A19364" t="str">
        <f>"200022271"</f>
        <v>200022271</v>
      </c>
      <c r="B19364" t="str">
        <f>"1801636873"</f>
        <v>1801636873</v>
      </c>
      <c r="C19364" t="str">
        <f>"363LF0000X"</f>
        <v>363LF0000X</v>
      </c>
      <c r="D19364" t="str">
        <f>"MATHEWS                  MEAGAN                   "</f>
        <v xml:space="preserve">MATHEWS                  MEAGAN                   </v>
      </c>
      <c r="E19364" t="str">
        <f>"MERIDIAN                  "</f>
        <v xml:space="preserve">MERIDIAN                  </v>
      </c>
      <c r="F19364" t="str">
        <f t="shared" si="466"/>
        <v>MS</v>
      </c>
    </row>
    <row r="19365" spans="1:6" x14ac:dyDescent="0.25">
      <c r="A19365" t="str">
        <f>"200022275"</f>
        <v>200022275</v>
      </c>
      <c r="B19365" t="str">
        <f>"1972063865"</f>
        <v>1972063865</v>
      </c>
      <c r="C19365" t="str">
        <f>"207X00000X"</f>
        <v>207X00000X</v>
      </c>
      <c r="D19365" t="str">
        <f>"DYNAKO                   JOSEPH                   "</f>
        <v xml:space="preserve">DYNAKO                   JOSEPH                   </v>
      </c>
      <c r="E19365" t="str">
        <f>"JACKSON                   "</f>
        <v xml:space="preserve">JACKSON                   </v>
      </c>
      <c r="F19365" t="str">
        <f t="shared" si="466"/>
        <v>MS</v>
      </c>
    </row>
    <row r="19366" spans="1:6" x14ac:dyDescent="0.25">
      <c r="A19366" t="str">
        <f>"200022277"</f>
        <v>200022277</v>
      </c>
      <c r="B19366" t="str">
        <f>"1770199523"</f>
        <v>1770199523</v>
      </c>
      <c r="C19366" t="str">
        <f>"363LF0000X"</f>
        <v>363LF0000X</v>
      </c>
      <c r="D19366" t="str">
        <f>"COWAINS                  KENYATTA                 "</f>
        <v xml:space="preserve">COWAINS                  KENYATTA                 </v>
      </c>
      <c r="E19366" t="str">
        <f>"SOUTHAVEN                 "</f>
        <v xml:space="preserve">SOUTHAVEN                 </v>
      </c>
      <c r="F19366" t="str">
        <f t="shared" si="466"/>
        <v>MS</v>
      </c>
    </row>
    <row r="19367" spans="1:6" x14ac:dyDescent="0.25">
      <c r="A19367" t="str">
        <f>"200022280"</f>
        <v>200022280</v>
      </c>
      <c r="B19367" t="str">
        <f>"1205122942"</f>
        <v>1205122942</v>
      </c>
      <c r="C19367" t="str">
        <f>"2083X0100X"</f>
        <v>2083X0100X</v>
      </c>
      <c r="D19367" t="str">
        <f>"TOMAR                    MAHARAJ                  "</f>
        <v xml:space="preserve">TOMAR                    MAHARAJ                  </v>
      </c>
      <c r="E19367" t="str">
        <f>"JACKSON                   "</f>
        <v xml:space="preserve">JACKSON                   </v>
      </c>
      <c r="F19367" t="str">
        <f t="shared" si="466"/>
        <v>MS</v>
      </c>
    </row>
    <row r="19368" spans="1:6" x14ac:dyDescent="0.25">
      <c r="A19368" t="str">
        <f>"200022282"</f>
        <v>200022282</v>
      </c>
      <c r="B19368" t="str">
        <f>"1487115655"</f>
        <v>1487115655</v>
      </c>
      <c r="C19368" t="str">
        <f>"207RP1001X"</f>
        <v>207RP1001X</v>
      </c>
      <c r="D19368" t="str">
        <f>"SESSUMS                  RYAN                     "</f>
        <v xml:space="preserve">SESSUMS                  RYAN                     </v>
      </c>
      <c r="E19368" t="str">
        <f>"TUPELO                    "</f>
        <v xml:space="preserve">TUPELO                    </v>
      </c>
      <c r="F19368" t="str">
        <f t="shared" si="466"/>
        <v>MS</v>
      </c>
    </row>
    <row r="19369" spans="1:6" x14ac:dyDescent="0.25">
      <c r="A19369" t="str">
        <f>"200022290"</f>
        <v>200022290</v>
      </c>
      <c r="B19369" t="str">
        <f>"1295778918"</f>
        <v>1295778918</v>
      </c>
      <c r="C19369" t="str">
        <f>"207RE0101X"</f>
        <v>207RE0101X</v>
      </c>
      <c r="D19369" t="str">
        <f>"DALE                     DANA         E           "</f>
        <v xml:space="preserve">DALE                     DANA         E           </v>
      </c>
      <c r="E19369" t="str">
        <f>"HATTIESBURG               "</f>
        <v xml:space="preserve">HATTIESBURG               </v>
      </c>
      <c r="F19369" t="str">
        <f t="shared" si="466"/>
        <v>MS</v>
      </c>
    </row>
    <row r="19370" spans="1:6" x14ac:dyDescent="0.25">
      <c r="A19370" t="str">
        <f>"200022296"</f>
        <v>200022296</v>
      </c>
      <c r="B19370" t="str">
        <f>"1376284752"</f>
        <v>1376284752</v>
      </c>
      <c r="C19370" t="str">
        <f>"363L00000X"</f>
        <v>363L00000X</v>
      </c>
      <c r="D19370" t="str">
        <f>"WATKINS                  KIMBERLY                 "</f>
        <v xml:space="preserve">WATKINS                  KIMBERLY                 </v>
      </c>
      <c r="E19370" t="str">
        <f>"BENTONIA                  "</f>
        <v xml:space="preserve">BENTONIA                  </v>
      </c>
      <c r="F19370" t="str">
        <f t="shared" si="466"/>
        <v>MS</v>
      </c>
    </row>
    <row r="19371" spans="1:6" x14ac:dyDescent="0.25">
      <c r="A19371" t="str">
        <f>"200022314"</f>
        <v>200022314</v>
      </c>
      <c r="B19371" t="str">
        <f>"1003838699"</f>
        <v>1003838699</v>
      </c>
      <c r="C19371" t="str">
        <f>"207R00000X"</f>
        <v>207R00000X</v>
      </c>
      <c r="D19371" t="str">
        <f>"SAMS                     LUCIUS                   "</f>
        <v xml:space="preserve">SAMS                     LUCIUS                   </v>
      </c>
      <c r="E19371" t="str">
        <f>"PEARL                     "</f>
        <v xml:space="preserve">PEARL                     </v>
      </c>
      <c r="F19371" t="str">
        <f t="shared" si="466"/>
        <v>MS</v>
      </c>
    </row>
    <row r="19372" spans="1:6" x14ac:dyDescent="0.25">
      <c r="A19372" t="str">
        <f>"200022315"</f>
        <v>200022315</v>
      </c>
      <c r="B19372" t="str">
        <f>"1912684036"</f>
        <v>1912684036</v>
      </c>
      <c r="C19372" t="str">
        <f>"363LF0000X"</f>
        <v>363LF0000X</v>
      </c>
      <c r="D19372" t="str">
        <f>"MCCULLEY                 LOGAN                    "</f>
        <v xml:space="preserve">MCCULLEY                 LOGAN                    </v>
      </c>
      <c r="E19372" t="str">
        <f>"SOUTHAVEN                 "</f>
        <v xml:space="preserve">SOUTHAVEN                 </v>
      </c>
      <c r="F19372" t="str">
        <f t="shared" si="466"/>
        <v>MS</v>
      </c>
    </row>
    <row r="19373" spans="1:6" x14ac:dyDescent="0.25">
      <c r="A19373" t="str">
        <f>"200022317"</f>
        <v>200022317</v>
      </c>
      <c r="B19373" t="str">
        <f>"1972131316"</f>
        <v>1972131316</v>
      </c>
      <c r="C19373" t="str">
        <f>"208100000X"</f>
        <v>208100000X</v>
      </c>
      <c r="D19373" t="str">
        <f>"LIU                      KEVIN        Z           "</f>
        <v xml:space="preserve">LIU                      KEVIN        Z           </v>
      </c>
      <c r="E19373" t="str">
        <f>"SOUTHAVEN                 "</f>
        <v xml:space="preserve">SOUTHAVEN                 </v>
      </c>
      <c r="F19373" t="str">
        <f t="shared" si="466"/>
        <v>MS</v>
      </c>
    </row>
    <row r="19374" spans="1:6" x14ac:dyDescent="0.25">
      <c r="A19374" t="str">
        <f>"200022321"</f>
        <v>200022321</v>
      </c>
      <c r="B19374" t="str">
        <f>"1154185551"</f>
        <v>1154185551</v>
      </c>
      <c r="C19374" t="str">
        <f>"207R00000X"</f>
        <v>207R00000X</v>
      </c>
      <c r="D19374" t="str">
        <f>"PATRICK                  BRADY        C           "</f>
        <v xml:space="preserve">PATRICK                  BRADY        C           </v>
      </c>
      <c r="E19374" t="str">
        <f>"TUPELO                    "</f>
        <v xml:space="preserve">TUPELO                    </v>
      </c>
      <c r="F19374" t="str">
        <f t="shared" si="466"/>
        <v>MS</v>
      </c>
    </row>
    <row r="19375" spans="1:6" x14ac:dyDescent="0.25">
      <c r="A19375" t="str">
        <f>"200022322"</f>
        <v>200022322</v>
      </c>
      <c r="B19375" t="str">
        <f>"1013241025"</f>
        <v>1013241025</v>
      </c>
      <c r="C19375" t="str">
        <f>"1223G0001X"</f>
        <v>1223G0001X</v>
      </c>
      <c r="D19375" t="str">
        <f>"M. BERT KEEL JR DMD PA                            "</f>
        <v xml:space="preserve">M. BERT KEEL JR DMD PA                            </v>
      </c>
      <c r="E19375" t="str">
        <f>"BAY SAINT LOUIS           "</f>
        <v xml:space="preserve">BAY SAINT LOUIS           </v>
      </c>
      <c r="F19375" t="str">
        <f t="shared" si="466"/>
        <v>MS</v>
      </c>
    </row>
    <row r="19376" spans="1:6" x14ac:dyDescent="0.25">
      <c r="A19376" t="str">
        <f>"200022328"</f>
        <v>200022328</v>
      </c>
      <c r="B19376" t="str">
        <f>"1407413305"</f>
        <v>1407413305</v>
      </c>
      <c r="C19376" t="str">
        <f>"207X00000X"</f>
        <v>207X00000X</v>
      </c>
      <c r="D19376" t="str">
        <f>"PUNEKY                   GEORGE       A           "</f>
        <v xml:space="preserve">PUNEKY                   GEORGE       A           </v>
      </c>
      <c r="E19376" t="str">
        <f>"HATTIESBURG               "</f>
        <v xml:space="preserve">HATTIESBURG               </v>
      </c>
      <c r="F19376" t="str">
        <f t="shared" si="466"/>
        <v>MS</v>
      </c>
    </row>
    <row r="19377" spans="1:6" x14ac:dyDescent="0.25">
      <c r="A19377" t="str">
        <f>"200022333"</f>
        <v>200022333</v>
      </c>
      <c r="B19377" t="str">
        <f>"1891597969"</f>
        <v>1891597969</v>
      </c>
      <c r="C19377" t="str">
        <f>"207R00000X"</f>
        <v>207R00000X</v>
      </c>
      <c r="D19377" t="str">
        <f>"HARBUCK                  KYLA                     "</f>
        <v xml:space="preserve">HARBUCK                  KYLA                     </v>
      </c>
      <c r="E19377" t="str">
        <f>"JACKSON                   "</f>
        <v xml:space="preserve">JACKSON                   </v>
      </c>
      <c r="F19377" t="str">
        <f t="shared" si="466"/>
        <v>MS</v>
      </c>
    </row>
    <row r="19378" spans="1:6" x14ac:dyDescent="0.25">
      <c r="A19378" t="str">
        <f>"200022334"</f>
        <v>200022334</v>
      </c>
      <c r="B19378" t="str">
        <f>"1679337091"</f>
        <v>1679337091</v>
      </c>
      <c r="C19378" t="str">
        <f>"208000000X"</f>
        <v>208000000X</v>
      </c>
      <c r="D19378" t="str">
        <f>"KEITH                    ANSLEY                   "</f>
        <v xml:space="preserve">KEITH                    ANSLEY                   </v>
      </c>
      <c r="E19378" t="str">
        <f>"JACKSON                   "</f>
        <v xml:space="preserve">JACKSON                   </v>
      </c>
      <c r="F19378" t="str">
        <f t="shared" si="466"/>
        <v>MS</v>
      </c>
    </row>
    <row r="19379" spans="1:6" x14ac:dyDescent="0.25">
      <c r="A19379" t="str">
        <f>"200022338"</f>
        <v>200022338</v>
      </c>
      <c r="B19379" t="str">
        <f>"1366195737"</f>
        <v>1366195737</v>
      </c>
      <c r="C19379" t="str">
        <f>"363LF0000X"</f>
        <v>363LF0000X</v>
      </c>
      <c r="D19379" t="str">
        <f>"TURRI                    LEEZA                    "</f>
        <v xml:space="preserve">TURRI                    LEEZA                    </v>
      </c>
      <c r="E19379" t="str">
        <f>"SOUTHAVEN                 "</f>
        <v xml:space="preserve">SOUTHAVEN                 </v>
      </c>
      <c r="F19379" t="str">
        <f t="shared" si="466"/>
        <v>MS</v>
      </c>
    </row>
    <row r="19380" spans="1:6" x14ac:dyDescent="0.25">
      <c r="A19380" t="str">
        <f>"200022339"</f>
        <v>200022339</v>
      </c>
      <c r="B19380" t="str">
        <f>"1194465682"</f>
        <v>1194465682</v>
      </c>
      <c r="C19380" t="str">
        <f>"207ZH0000X"</f>
        <v>207ZH0000X</v>
      </c>
      <c r="D19380" t="str">
        <f>"TEPFENHART               TYLER                    "</f>
        <v xml:space="preserve">TEPFENHART               TYLER                    </v>
      </c>
      <c r="E19380" t="str">
        <f>"JACKSON                   "</f>
        <v xml:space="preserve">JACKSON                   </v>
      </c>
      <c r="F19380" t="str">
        <f t="shared" si="466"/>
        <v>MS</v>
      </c>
    </row>
    <row r="19381" spans="1:6" x14ac:dyDescent="0.25">
      <c r="A19381" t="str">
        <f>"200022341"</f>
        <v>200022341</v>
      </c>
      <c r="B19381" t="str">
        <f>"1073252649"</f>
        <v>1073252649</v>
      </c>
      <c r="C19381" t="str">
        <f>"207Q00000X"</f>
        <v>207Q00000X</v>
      </c>
      <c r="D19381" t="str">
        <f>"RAMSEY                   HANNAH                   "</f>
        <v xml:space="preserve">RAMSEY                   HANNAH                   </v>
      </c>
      <c r="E19381" t="str">
        <f>"ELLISVILLE                "</f>
        <v xml:space="preserve">ELLISVILLE                </v>
      </c>
      <c r="F19381" t="str">
        <f t="shared" si="466"/>
        <v>MS</v>
      </c>
    </row>
    <row r="19382" spans="1:6" x14ac:dyDescent="0.25">
      <c r="A19382" t="str">
        <f>"200022349"</f>
        <v>200022349</v>
      </c>
      <c r="B19382" t="str">
        <f>"1710992409"</f>
        <v>1710992409</v>
      </c>
      <c r="C19382" t="str">
        <f>"122300000X"</f>
        <v>122300000X</v>
      </c>
      <c r="D19382" t="str">
        <f>"BERUK                    DJUANA       M           "</f>
        <v xml:space="preserve">BERUK                    DJUANA       M           </v>
      </c>
      <c r="E19382" t="str">
        <f>"GREENVILLE                "</f>
        <v xml:space="preserve">GREENVILLE                </v>
      </c>
      <c r="F19382" t="str">
        <f t="shared" si="466"/>
        <v>MS</v>
      </c>
    </row>
    <row r="19383" spans="1:6" x14ac:dyDescent="0.25">
      <c r="A19383" t="str">
        <f>"200022350"</f>
        <v>200022350</v>
      </c>
      <c r="B19383" t="str">
        <f>"1184441321"</f>
        <v>1184441321</v>
      </c>
      <c r="C19383" t="str">
        <f>"363L00000X"</f>
        <v>363L00000X</v>
      </c>
      <c r="D19383" t="str">
        <f>"WYNN                     TEIRRA                   "</f>
        <v xml:space="preserve">WYNN                     TEIRRA                   </v>
      </c>
      <c r="E19383" t="str">
        <f>"VICKSBURG                 "</f>
        <v xml:space="preserve">VICKSBURG                 </v>
      </c>
      <c r="F19383" t="str">
        <f t="shared" si="466"/>
        <v>MS</v>
      </c>
    </row>
    <row r="19384" spans="1:6" x14ac:dyDescent="0.25">
      <c r="A19384" t="str">
        <f>"200022352"</f>
        <v>200022352</v>
      </c>
      <c r="B19384" t="str">
        <f>"1891597100"</f>
        <v>1891597100</v>
      </c>
      <c r="C19384" t="str">
        <f>"208000000X"</f>
        <v>208000000X</v>
      </c>
      <c r="D19384" t="str">
        <f>"VANCE                    DAISHA                   "</f>
        <v xml:space="preserve">VANCE                    DAISHA                   </v>
      </c>
      <c r="E19384" t="str">
        <f>"JACKSON                   "</f>
        <v xml:space="preserve">JACKSON                   </v>
      </c>
      <c r="F19384" t="str">
        <f t="shared" si="466"/>
        <v>MS</v>
      </c>
    </row>
    <row r="19385" spans="1:6" x14ac:dyDescent="0.25">
      <c r="A19385" t="str">
        <f>"200022354"</f>
        <v>200022354</v>
      </c>
      <c r="B19385" t="str">
        <f>"1821988395"</f>
        <v>1821988395</v>
      </c>
      <c r="C19385" t="str">
        <f>"207Q00000X"</f>
        <v>207Q00000X</v>
      </c>
      <c r="D19385" t="str">
        <f>"RASHEED                  AQSA                     "</f>
        <v xml:space="preserve">RASHEED                  AQSA                     </v>
      </c>
      <c r="E19385" t="str">
        <f>"JACKSON                   "</f>
        <v xml:space="preserve">JACKSON                   </v>
      </c>
      <c r="F19385" t="str">
        <f t="shared" si="466"/>
        <v>MS</v>
      </c>
    </row>
    <row r="19386" spans="1:6" x14ac:dyDescent="0.25">
      <c r="A19386" t="str">
        <f>"200022355"</f>
        <v>200022355</v>
      </c>
      <c r="B19386" t="str">
        <f>"1558872663"</f>
        <v>1558872663</v>
      </c>
      <c r="C19386" t="str">
        <f>"363L00000X"</f>
        <v>363L00000X</v>
      </c>
      <c r="D19386" t="str">
        <f>"MCMILLIN                 SHARON                   "</f>
        <v xml:space="preserve">MCMILLIN                 SHARON                   </v>
      </c>
      <c r="E19386" t="str">
        <f>"VICKSBURG                 "</f>
        <v xml:space="preserve">VICKSBURG                 </v>
      </c>
      <c r="F19386" t="str">
        <f t="shared" si="466"/>
        <v>MS</v>
      </c>
    </row>
    <row r="19387" spans="1:6" x14ac:dyDescent="0.25">
      <c r="A19387" t="str">
        <f>"200022356"</f>
        <v>200022356</v>
      </c>
      <c r="B19387" t="str">
        <f>"1861148926"</f>
        <v>1861148926</v>
      </c>
      <c r="C19387" t="str">
        <f>"363LN0000X"</f>
        <v>363LN0000X</v>
      </c>
      <c r="D19387" t="str">
        <f>"ROBERTSON                ANDREW                   "</f>
        <v xml:space="preserve">ROBERTSON                ANDREW                   </v>
      </c>
      <c r="E19387" t="str">
        <f>"JACKSON                   "</f>
        <v xml:space="preserve">JACKSON                   </v>
      </c>
      <c r="F19387" t="str">
        <f t="shared" si="466"/>
        <v>MS</v>
      </c>
    </row>
    <row r="19388" spans="1:6" x14ac:dyDescent="0.25">
      <c r="A19388" t="str">
        <f>"200022359"</f>
        <v>200022359</v>
      </c>
      <c r="B19388" t="str">
        <f>"1598343899"</f>
        <v>1598343899</v>
      </c>
      <c r="C19388" t="str">
        <f>"207V00000X"</f>
        <v>207V00000X</v>
      </c>
      <c r="D19388" t="str">
        <f>"WILKERSON                KAYLIE       B           "</f>
        <v xml:space="preserve">WILKERSON                KAYLIE       B           </v>
      </c>
      <c r="E19388" t="str">
        <f>"HATTIESBURG               "</f>
        <v xml:space="preserve">HATTIESBURG               </v>
      </c>
      <c r="F19388" t="str">
        <f t="shared" si="466"/>
        <v>MS</v>
      </c>
    </row>
    <row r="19389" spans="1:6" x14ac:dyDescent="0.25">
      <c r="A19389" t="str">
        <f>"200022360"</f>
        <v>200022360</v>
      </c>
      <c r="B19389" t="str">
        <f>"1720430374"</f>
        <v>1720430374</v>
      </c>
      <c r="C19389" t="str">
        <f>"207RG0300X"</f>
        <v>207RG0300X</v>
      </c>
      <c r="D19389" t="str">
        <f>"HIDALGO ESPINEL          DIEGO                    "</f>
        <v xml:space="preserve">HIDALGO ESPINEL          DIEGO                    </v>
      </c>
      <c r="E19389" t="str">
        <f>"TUPELO                    "</f>
        <v xml:space="preserve">TUPELO                    </v>
      </c>
      <c r="F19389" t="str">
        <f t="shared" si="466"/>
        <v>MS</v>
      </c>
    </row>
    <row r="19390" spans="1:6" x14ac:dyDescent="0.25">
      <c r="A19390" t="str">
        <f>"200022363"</f>
        <v>200022363</v>
      </c>
      <c r="B19390" t="str">
        <f>"1215772256"</f>
        <v>1215772256</v>
      </c>
      <c r="C19390" t="str">
        <f>"2085R0001X"</f>
        <v>2085R0001X</v>
      </c>
      <c r="D19390" t="str">
        <f>"SANDEEP                  GILL                     "</f>
        <v xml:space="preserve">SANDEEP                  GILL                     </v>
      </c>
      <c r="E19390" t="str">
        <f>"JACKSON                   "</f>
        <v xml:space="preserve">JACKSON                   </v>
      </c>
      <c r="F19390" t="str">
        <f t="shared" ref="F19390:F19453" si="467">"MS"</f>
        <v>MS</v>
      </c>
    </row>
    <row r="19391" spans="1:6" x14ac:dyDescent="0.25">
      <c r="A19391" t="str">
        <f>"200022365"</f>
        <v>200022365</v>
      </c>
      <c r="B19391" t="str">
        <f>"1316419245"</f>
        <v>1316419245</v>
      </c>
      <c r="C19391" t="str">
        <f>"363LF0000X"</f>
        <v>363LF0000X</v>
      </c>
      <c r="D19391" t="str">
        <f>"CREER                    IMARI                    "</f>
        <v xml:space="preserve">CREER                    IMARI                    </v>
      </c>
      <c r="E19391" t="str">
        <f>"BILOXI                    "</f>
        <v xml:space="preserve">BILOXI                    </v>
      </c>
      <c r="F19391" t="str">
        <f t="shared" si="467"/>
        <v>MS</v>
      </c>
    </row>
    <row r="19392" spans="1:6" x14ac:dyDescent="0.25">
      <c r="A19392" t="str">
        <f>"200022366"</f>
        <v>200022366</v>
      </c>
      <c r="B19392" t="str">
        <f>"1841928751"</f>
        <v>1841928751</v>
      </c>
      <c r="C19392" t="str">
        <f>"363L00000X"</f>
        <v>363L00000X</v>
      </c>
      <c r="D19392" t="str">
        <f>"PARRA                    DRIALYS      D           "</f>
        <v xml:space="preserve">PARRA                    DRIALYS      D           </v>
      </c>
      <c r="E19392" t="str">
        <f>"RIDGELAND                 "</f>
        <v xml:space="preserve">RIDGELAND                 </v>
      </c>
      <c r="F19392" t="str">
        <f t="shared" si="467"/>
        <v>MS</v>
      </c>
    </row>
    <row r="19393" spans="1:6" x14ac:dyDescent="0.25">
      <c r="A19393" t="str">
        <f>"200022367"</f>
        <v>200022367</v>
      </c>
      <c r="B19393" t="str">
        <f>"1699971465"</f>
        <v>1699971465</v>
      </c>
      <c r="C19393" t="str">
        <f>"208VP0014X"</f>
        <v>208VP0014X</v>
      </c>
      <c r="D19393" t="str">
        <f>"LEE                      STEVE                    "</f>
        <v xml:space="preserve">LEE                      STEVE                    </v>
      </c>
      <c r="E19393" t="str">
        <f>"BAY ST LOUIS              "</f>
        <v xml:space="preserve">BAY ST LOUIS              </v>
      </c>
      <c r="F19393" t="str">
        <f t="shared" si="467"/>
        <v>MS</v>
      </c>
    </row>
    <row r="19394" spans="1:6" x14ac:dyDescent="0.25">
      <c r="A19394" t="str">
        <f>"200022368"</f>
        <v>200022368</v>
      </c>
      <c r="B19394" t="str">
        <f>"1730127945"</f>
        <v>1730127945</v>
      </c>
      <c r="C19394" t="str">
        <f>"207RN0300X"</f>
        <v>207RN0300X</v>
      </c>
      <c r="D19394" t="str">
        <f>"JEAN-CLAUDE              YVELINE                  "</f>
        <v xml:space="preserve">JEAN-CLAUDE              YVELINE                  </v>
      </c>
      <c r="E19394" t="str">
        <f>"RIDGELAND                 "</f>
        <v xml:space="preserve">RIDGELAND                 </v>
      </c>
      <c r="F19394" t="str">
        <f t="shared" si="467"/>
        <v>MS</v>
      </c>
    </row>
    <row r="19395" spans="1:6" x14ac:dyDescent="0.25">
      <c r="A19395" t="str">
        <f>"200022370"</f>
        <v>200022370</v>
      </c>
      <c r="B19395" t="str">
        <f>"1194911453"</f>
        <v>1194911453</v>
      </c>
      <c r="C19395" t="str">
        <f>"363LP0808X"</f>
        <v>363LP0808X</v>
      </c>
      <c r="D19395" t="str">
        <f>"METTETAL                 KIMBERLY     G           "</f>
        <v xml:space="preserve">METTETAL                 KIMBERLY     G           </v>
      </c>
      <c r="E19395" t="str">
        <f>"SOUTHAVEN                 "</f>
        <v xml:space="preserve">SOUTHAVEN                 </v>
      </c>
      <c r="F19395" t="str">
        <f t="shared" si="467"/>
        <v>MS</v>
      </c>
    </row>
    <row r="19396" spans="1:6" x14ac:dyDescent="0.25">
      <c r="A19396" t="str">
        <f>"200022371"</f>
        <v>200022371</v>
      </c>
      <c r="B19396" t="str">
        <f>"1801612494"</f>
        <v>1801612494</v>
      </c>
      <c r="C19396" t="str">
        <f>"363LF0000X"</f>
        <v>363LF0000X</v>
      </c>
      <c r="D19396" t="str">
        <f>"NESBITT                  SANTANNA                 "</f>
        <v xml:space="preserve">NESBITT                  SANTANNA                 </v>
      </c>
      <c r="E19396" t="str">
        <f>"PONTOTOC                  "</f>
        <v xml:space="preserve">PONTOTOC                  </v>
      </c>
      <c r="F19396" t="str">
        <f t="shared" si="467"/>
        <v>MS</v>
      </c>
    </row>
    <row r="19397" spans="1:6" x14ac:dyDescent="0.25">
      <c r="A19397" t="str">
        <f>"200022375"</f>
        <v>200022375</v>
      </c>
      <c r="B19397" t="str">
        <f>"1316829252"</f>
        <v>1316829252</v>
      </c>
      <c r="C19397" t="str">
        <f>"363LF0000X"</f>
        <v>363LF0000X</v>
      </c>
      <c r="D19397" t="str">
        <f>"NICHOLS                  JADA         K           "</f>
        <v xml:space="preserve">NICHOLS                  JADA         K           </v>
      </c>
      <c r="E19397" t="str">
        <f>"RIDGELAND                 "</f>
        <v xml:space="preserve">RIDGELAND                 </v>
      </c>
      <c r="F19397" t="str">
        <f t="shared" si="467"/>
        <v>MS</v>
      </c>
    </row>
    <row r="19398" spans="1:6" x14ac:dyDescent="0.25">
      <c r="A19398" t="str">
        <f>"200022376"</f>
        <v>200022376</v>
      </c>
      <c r="B19398" t="str">
        <f>"1295998102"</f>
        <v>1295998102</v>
      </c>
      <c r="C19398" t="str">
        <f>"207ZP0102X"</f>
        <v>207ZP0102X</v>
      </c>
      <c r="D19398" t="str">
        <f>"KIP                      NEFIZE                   "</f>
        <v xml:space="preserve">KIP                      NEFIZE                   </v>
      </c>
      <c r="E19398" t="str">
        <f>"OXFORD                    "</f>
        <v xml:space="preserve">OXFORD                    </v>
      </c>
      <c r="F19398" t="str">
        <f t="shared" si="467"/>
        <v>MS</v>
      </c>
    </row>
    <row r="19399" spans="1:6" x14ac:dyDescent="0.25">
      <c r="A19399" t="str">
        <f>"200022379"</f>
        <v>200022379</v>
      </c>
      <c r="B19399" t="str">
        <f>"1790962637"</f>
        <v>1790962637</v>
      </c>
      <c r="C19399" t="str">
        <f>"152W00000X"</f>
        <v>152W00000X</v>
      </c>
      <c r="D19399" t="str">
        <f>"THE VISION CENTER, P.A.                           "</f>
        <v xml:space="preserve">THE VISION CENTER, P.A.                           </v>
      </c>
      <c r="E19399" t="str">
        <f>"LUCEDALE                  "</f>
        <v xml:space="preserve">LUCEDALE                  </v>
      </c>
      <c r="F19399" t="str">
        <f t="shared" si="467"/>
        <v>MS</v>
      </c>
    </row>
    <row r="19400" spans="1:6" x14ac:dyDescent="0.25">
      <c r="A19400" t="str">
        <f>"200022385"</f>
        <v>200022385</v>
      </c>
      <c r="B19400" t="str">
        <f>"1013706951"</f>
        <v>1013706951</v>
      </c>
      <c r="C19400" t="str">
        <f>"363LF0000X"</f>
        <v>363LF0000X</v>
      </c>
      <c r="D19400" t="str">
        <f>"HUNT                     KENNETH                  "</f>
        <v xml:space="preserve">HUNT                     KENNETH                  </v>
      </c>
      <c r="E19400" t="str">
        <f>"WEST POINT                "</f>
        <v xml:space="preserve">WEST POINT                </v>
      </c>
      <c r="F19400" t="str">
        <f t="shared" si="467"/>
        <v>MS</v>
      </c>
    </row>
    <row r="19401" spans="1:6" x14ac:dyDescent="0.25">
      <c r="A19401" t="str">
        <f>"200022387"</f>
        <v>200022387</v>
      </c>
      <c r="B19401" t="str">
        <f>"1417400896"</f>
        <v>1417400896</v>
      </c>
      <c r="C19401" t="str">
        <f>"367500000X"</f>
        <v>367500000X</v>
      </c>
      <c r="D19401" t="str">
        <f>"JOHNSTON                 DAVID                    "</f>
        <v xml:space="preserve">JOHNSTON                 DAVID                    </v>
      </c>
      <c r="E19401" t="str">
        <f>"BILOXI                    "</f>
        <v xml:space="preserve">BILOXI                    </v>
      </c>
      <c r="F19401" t="str">
        <f t="shared" si="467"/>
        <v>MS</v>
      </c>
    </row>
    <row r="19402" spans="1:6" x14ac:dyDescent="0.25">
      <c r="A19402" t="str">
        <f>"200022391"</f>
        <v>200022391</v>
      </c>
      <c r="B19402" t="str">
        <f>"1548720493"</f>
        <v>1548720493</v>
      </c>
      <c r="C19402" t="str">
        <f>"207X00000X"</f>
        <v>207X00000X</v>
      </c>
      <c r="D19402" t="str">
        <f>"SULLIVAN                 BILLY                    "</f>
        <v xml:space="preserve">SULLIVAN                 BILLY                    </v>
      </c>
      <c r="E19402" t="str">
        <f>"TUPELO                    "</f>
        <v xml:space="preserve">TUPELO                    </v>
      </c>
      <c r="F19402" t="str">
        <f t="shared" si="467"/>
        <v>MS</v>
      </c>
    </row>
    <row r="19403" spans="1:6" x14ac:dyDescent="0.25">
      <c r="A19403" t="str">
        <f>"200022392"</f>
        <v>200022392</v>
      </c>
      <c r="B19403" t="str">
        <f>"1386473643"</f>
        <v>1386473643</v>
      </c>
      <c r="C19403" t="str">
        <f>"207R00000X"</f>
        <v>207R00000X</v>
      </c>
      <c r="D19403" t="str">
        <f>"PRICE                    ANDREW                   "</f>
        <v xml:space="preserve">PRICE                    ANDREW                   </v>
      </c>
      <c r="E19403" t="str">
        <f>"JACKSON                   "</f>
        <v xml:space="preserve">JACKSON                   </v>
      </c>
      <c r="F19403" t="str">
        <f t="shared" si="467"/>
        <v>MS</v>
      </c>
    </row>
    <row r="19404" spans="1:6" x14ac:dyDescent="0.25">
      <c r="A19404" t="str">
        <f>"200022393"</f>
        <v>200022393</v>
      </c>
      <c r="B19404" t="str">
        <f>"1396596276"</f>
        <v>1396596276</v>
      </c>
      <c r="C19404" t="str">
        <f>"207P00000X"</f>
        <v>207P00000X</v>
      </c>
      <c r="D19404" t="str">
        <f>"MARCELLINO               JOSIAH                   "</f>
        <v xml:space="preserve">MARCELLINO               JOSIAH                   </v>
      </c>
      <c r="E19404" t="str">
        <f>"HATTIESBURG               "</f>
        <v xml:space="preserve">HATTIESBURG               </v>
      </c>
      <c r="F19404" t="str">
        <f t="shared" si="467"/>
        <v>MS</v>
      </c>
    </row>
    <row r="19405" spans="1:6" x14ac:dyDescent="0.25">
      <c r="A19405" t="str">
        <f>"200022394"</f>
        <v>200022394</v>
      </c>
      <c r="B19405" t="str">
        <f>"1336980952"</f>
        <v>1336980952</v>
      </c>
      <c r="C19405" t="str">
        <f>"363L00000X"</f>
        <v>363L00000X</v>
      </c>
      <c r="D19405" t="str">
        <f>"ROCKETTE                 BRIDGETTE                "</f>
        <v xml:space="preserve">ROCKETTE                 BRIDGETTE                </v>
      </c>
      <c r="E19405" t="str">
        <f>"CLARKSDALE                "</f>
        <v xml:space="preserve">CLARKSDALE                </v>
      </c>
      <c r="F19405" t="str">
        <f t="shared" si="467"/>
        <v>MS</v>
      </c>
    </row>
    <row r="19406" spans="1:6" x14ac:dyDescent="0.25">
      <c r="A19406" t="str">
        <f>"200022395"</f>
        <v>200022395</v>
      </c>
      <c r="B19406" t="str">
        <f>"1063040905"</f>
        <v>1063040905</v>
      </c>
      <c r="C19406" t="str">
        <f>"208600000X"</f>
        <v>208600000X</v>
      </c>
      <c r="D19406" t="str">
        <f>"WARREN                   SETH                     "</f>
        <v xml:space="preserve">WARREN                   SETH                     </v>
      </c>
      <c r="E19406" t="str">
        <f>"JACKSON                   "</f>
        <v xml:space="preserve">JACKSON                   </v>
      </c>
      <c r="F19406" t="str">
        <f t="shared" si="467"/>
        <v>MS</v>
      </c>
    </row>
    <row r="19407" spans="1:6" x14ac:dyDescent="0.25">
      <c r="A19407" t="str">
        <f>"200022400"</f>
        <v>200022400</v>
      </c>
      <c r="B19407" t="str">
        <f>"1558929646"</f>
        <v>1558929646</v>
      </c>
      <c r="C19407" t="str">
        <f>"2084P0800X"</f>
        <v>2084P0800X</v>
      </c>
      <c r="D19407" t="str">
        <f>"HOLLOWELL                CHARQUINCY               "</f>
        <v xml:space="preserve">HOLLOWELL                CHARQUINCY               </v>
      </c>
      <c r="E19407" t="str">
        <f>"BILOXI                    "</f>
        <v xml:space="preserve">BILOXI                    </v>
      </c>
      <c r="F19407" t="str">
        <f t="shared" si="467"/>
        <v>MS</v>
      </c>
    </row>
    <row r="19408" spans="1:6" x14ac:dyDescent="0.25">
      <c r="A19408" t="str">
        <f>"200022405"</f>
        <v>200022405</v>
      </c>
      <c r="B19408" t="str">
        <f>"1376363531"</f>
        <v>1376363531</v>
      </c>
      <c r="C19408" t="str">
        <f>"363LF0000X"</f>
        <v>363LF0000X</v>
      </c>
      <c r="D19408" t="str">
        <f>"BRADLEY                  DORIS                    "</f>
        <v xml:space="preserve">BRADLEY                  DORIS                    </v>
      </c>
      <c r="E19408" t="str">
        <f>"MERIDIAN                  "</f>
        <v xml:space="preserve">MERIDIAN                  </v>
      </c>
      <c r="F19408" t="str">
        <f t="shared" si="467"/>
        <v>MS</v>
      </c>
    </row>
    <row r="19409" spans="1:6" x14ac:dyDescent="0.25">
      <c r="A19409" t="str">
        <f>"200022408"</f>
        <v>200022408</v>
      </c>
      <c r="B19409" t="str">
        <f>"1801780283"</f>
        <v>1801780283</v>
      </c>
      <c r="C19409" t="str">
        <f>"363LF0000X"</f>
        <v>363LF0000X</v>
      </c>
      <c r="D19409" t="str">
        <f>"DAVIS                    JACOB        B           "</f>
        <v xml:space="preserve">DAVIS                    JACOB        B           </v>
      </c>
      <c r="E19409" t="str">
        <f>"HOUSTON                   "</f>
        <v xml:space="preserve">HOUSTON                   </v>
      </c>
      <c r="F19409" t="str">
        <f t="shared" si="467"/>
        <v>MS</v>
      </c>
    </row>
    <row r="19410" spans="1:6" x14ac:dyDescent="0.25">
      <c r="A19410" t="str">
        <f>"200022411"</f>
        <v>200022411</v>
      </c>
      <c r="B19410" t="str">
        <f>"1124758347"</f>
        <v>1124758347</v>
      </c>
      <c r="C19410" t="str">
        <f>"207RI0011X"</f>
        <v>207RI0011X</v>
      </c>
      <c r="D19410" t="str">
        <f>"SULTAN                   FAKHRA                   "</f>
        <v xml:space="preserve">SULTAN                   FAKHRA                   </v>
      </c>
      <c r="E19410" t="str">
        <f>"JACKSON                   "</f>
        <v xml:space="preserve">JACKSON                   </v>
      </c>
      <c r="F19410" t="str">
        <f t="shared" si="467"/>
        <v>MS</v>
      </c>
    </row>
    <row r="19411" spans="1:6" x14ac:dyDescent="0.25">
      <c r="A19411" t="str">
        <f>"200022414"</f>
        <v>200022414</v>
      </c>
      <c r="B19411" t="str">
        <f>"1447053830"</f>
        <v>1447053830</v>
      </c>
      <c r="C19411" t="str">
        <f>"207R00000X"</f>
        <v>207R00000X</v>
      </c>
      <c r="D19411" t="str">
        <f>"MEDAWAR                  NICHOLAS                 "</f>
        <v xml:space="preserve">MEDAWAR                  NICHOLAS                 </v>
      </c>
      <c r="E19411" t="str">
        <f>"JACKSON                   "</f>
        <v xml:space="preserve">JACKSON                   </v>
      </c>
      <c r="F19411" t="str">
        <f t="shared" si="467"/>
        <v>MS</v>
      </c>
    </row>
    <row r="19412" spans="1:6" x14ac:dyDescent="0.25">
      <c r="A19412" t="str">
        <f>"200022415"</f>
        <v>200022415</v>
      </c>
      <c r="B19412" t="str">
        <f>"1679144356"</f>
        <v>1679144356</v>
      </c>
      <c r="C19412" t="str">
        <f>"207Y00000X"</f>
        <v>207Y00000X</v>
      </c>
      <c r="D19412" t="str">
        <f>"STEPHEN                  KENDRA                   "</f>
        <v xml:space="preserve">STEPHEN                  KENDRA                   </v>
      </c>
      <c r="E19412" t="str">
        <f>"JACKSON                   "</f>
        <v xml:space="preserve">JACKSON                   </v>
      </c>
      <c r="F19412" t="str">
        <f t="shared" si="467"/>
        <v>MS</v>
      </c>
    </row>
    <row r="19413" spans="1:6" x14ac:dyDescent="0.25">
      <c r="A19413" t="str">
        <f>"200022416"</f>
        <v>200022416</v>
      </c>
      <c r="B19413" t="str">
        <f>"1528376894"</f>
        <v>1528376894</v>
      </c>
      <c r="C19413" t="str">
        <f>"363LF0000X"</f>
        <v>363LF0000X</v>
      </c>
      <c r="D19413" t="str">
        <f>"LOTT                     ELIZABETH    N           "</f>
        <v xml:space="preserve">LOTT                     ELIZABETH    N           </v>
      </c>
      <c r="E19413" t="str">
        <f>"BELZONI                   "</f>
        <v xml:space="preserve">BELZONI                   </v>
      </c>
      <c r="F19413" t="str">
        <f t="shared" si="467"/>
        <v>MS</v>
      </c>
    </row>
    <row r="19414" spans="1:6" x14ac:dyDescent="0.25">
      <c r="A19414" t="str">
        <f>"200022418"</f>
        <v>200022418</v>
      </c>
      <c r="B19414" t="str">
        <f>"1376545145"</f>
        <v>1376545145</v>
      </c>
      <c r="C19414" t="str">
        <f>"207RN0300X"</f>
        <v>207RN0300X</v>
      </c>
      <c r="D19414" t="str">
        <f>"RIFKIN                   BRIAN        S           "</f>
        <v xml:space="preserve">RIFKIN                   BRIAN        S           </v>
      </c>
      <c r="E19414" t="str">
        <f>"HATTIESBURG               "</f>
        <v xml:space="preserve">HATTIESBURG               </v>
      </c>
      <c r="F19414" t="str">
        <f t="shared" si="467"/>
        <v>MS</v>
      </c>
    </row>
    <row r="19415" spans="1:6" x14ac:dyDescent="0.25">
      <c r="A19415" t="str">
        <f>"200022420"</f>
        <v>200022420</v>
      </c>
      <c r="B19415" t="str">
        <f>"1093515553"</f>
        <v>1093515553</v>
      </c>
      <c r="C19415" t="str">
        <f>"261QM1300X"</f>
        <v>261QM1300X</v>
      </c>
      <c r="D19415" t="str">
        <f>"OKU COUNSELING                                    "</f>
        <v xml:space="preserve">OKU COUNSELING                                    </v>
      </c>
      <c r="E19415" t="str">
        <f>"STARKVILLE                "</f>
        <v xml:space="preserve">STARKVILLE                </v>
      </c>
      <c r="F19415" t="str">
        <f t="shared" si="467"/>
        <v>MS</v>
      </c>
    </row>
    <row r="19416" spans="1:6" x14ac:dyDescent="0.25">
      <c r="A19416" t="str">
        <f>"200022425"</f>
        <v>200022425</v>
      </c>
      <c r="B19416" t="str">
        <f>"1285361253"</f>
        <v>1285361253</v>
      </c>
      <c r="C19416" t="str">
        <f>"363LF0000X"</f>
        <v>363LF0000X</v>
      </c>
      <c r="D19416" t="str">
        <f>"LIEN                     DANA                     "</f>
        <v xml:space="preserve">LIEN                     DANA                     </v>
      </c>
      <c r="E19416" t="str">
        <f>"HOLLY SPRINGS             "</f>
        <v xml:space="preserve">HOLLY SPRINGS             </v>
      </c>
      <c r="F19416" t="str">
        <f t="shared" si="467"/>
        <v>MS</v>
      </c>
    </row>
    <row r="19417" spans="1:6" x14ac:dyDescent="0.25">
      <c r="A19417" t="str">
        <f>"200022426"</f>
        <v>200022426</v>
      </c>
      <c r="B19417" t="str">
        <f>"1275731929"</f>
        <v>1275731929</v>
      </c>
      <c r="C19417" t="str">
        <f>"207V00000X"</f>
        <v>207V00000X</v>
      </c>
      <c r="D19417" t="str">
        <f>"MASON                    LESLIE                   "</f>
        <v xml:space="preserve">MASON                    LESLIE                   </v>
      </c>
      <c r="E19417" t="str">
        <f>"JACKSON                   "</f>
        <v xml:space="preserve">JACKSON                   </v>
      </c>
      <c r="F19417" t="str">
        <f t="shared" si="467"/>
        <v>MS</v>
      </c>
    </row>
    <row r="19418" spans="1:6" x14ac:dyDescent="0.25">
      <c r="A19418" t="str">
        <f>"200022430"</f>
        <v>200022430</v>
      </c>
      <c r="B19418" t="str">
        <f>"1215791975"</f>
        <v>1215791975</v>
      </c>
      <c r="C19418" t="str">
        <f>"207R00000X"</f>
        <v>207R00000X</v>
      </c>
      <c r="D19418" t="str">
        <f>"COOK                     LEAH                     "</f>
        <v xml:space="preserve">COOK                     LEAH                     </v>
      </c>
      <c r="E19418" t="str">
        <f>"JACKSON                   "</f>
        <v xml:space="preserve">JACKSON                   </v>
      </c>
      <c r="F19418" t="str">
        <f t="shared" si="467"/>
        <v>MS</v>
      </c>
    </row>
    <row r="19419" spans="1:6" x14ac:dyDescent="0.25">
      <c r="A19419" t="str">
        <f>"200022431"</f>
        <v>200022431</v>
      </c>
      <c r="B19419" t="str">
        <f>"1215791991"</f>
        <v>1215791991</v>
      </c>
      <c r="C19419" t="str">
        <f>"207N00000X"</f>
        <v>207N00000X</v>
      </c>
      <c r="D19419" t="str">
        <f>"BROWN                    RILEY                    "</f>
        <v xml:space="preserve">BROWN                    RILEY                    </v>
      </c>
      <c r="E19419" t="str">
        <f>"JACKSON                   "</f>
        <v xml:space="preserve">JACKSON                   </v>
      </c>
      <c r="F19419" t="str">
        <f t="shared" si="467"/>
        <v>MS</v>
      </c>
    </row>
    <row r="19420" spans="1:6" x14ac:dyDescent="0.25">
      <c r="A19420" t="str">
        <f>"200022437"</f>
        <v>200022437</v>
      </c>
      <c r="B19420" t="str">
        <f>"1659012805"</f>
        <v>1659012805</v>
      </c>
      <c r="C19420" t="str">
        <f>"207R00000X"</f>
        <v>207R00000X</v>
      </c>
      <c r="D19420" t="str">
        <f>"NEWELL                   TYLER                    "</f>
        <v xml:space="preserve">NEWELL                   TYLER                    </v>
      </c>
      <c r="E19420" t="str">
        <f>"TUPELO                    "</f>
        <v xml:space="preserve">TUPELO                    </v>
      </c>
      <c r="F19420" t="str">
        <f t="shared" si="467"/>
        <v>MS</v>
      </c>
    </row>
    <row r="19421" spans="1:6" x14ac:dyDescent="0.25">
      <c r="A19421" t="str">
        <f>"200022438"</f>
        <v>200022438</v>
      </c>
      <c r="B19421" t="str">
        <f>"1265099105"</f>
        <v>1265099105</v>
      </c>
      <c r="C19421" t="str">
        <f>"207QS0010X"</f>
        <v>207QS0010X</v>
      </c>
      <c r="D19421" t="str">
        <f>"VICENZI                  SCOTT                    "</f>
        <v xml:space="preserve">VICENZI                  SCOTT                    </v>
      </c>
      <c r="E19421" t="str">
        <f>"SOUTHAVEN                 "</f>
        <v xml:space="preserve">SOUTHAVEN                 </v>
      </c>
      <c r="F19421" t="str">
        <f t="shared" si="467"/>
        <v>MS</v>
      </c>
    </row>
    <row r="19422" spans="1:6" x14ac:dyDescent="0.25">
      <c r="A19422" t="str">
        <f>"200022439"</f>
        <v>200022439</v>
      </c>
      <c r="B19422" t="str">
        <f>"1952989675"</f>
        <v>1952989675</v>
      </c>
      <c r="C19422" t="str">
        <f>"208000000X"</f>
        <v>208000000X</v>
      </c>
      <c r="D19422" t="str">
        <f>"LEWIS                    HALLYE                   "</f>
        <v xml:space="preserve">LEWIS                    HALLYE                   </v>
      </c>
      <c r="E19422" t="str">
        <f>"JACKSON                   "</f>
        <v xml:space="preserve">JACKSON                   </v>
      </c>
      <c r="F19422" t="str">
        <f t="shared" si="467"/>
        <v>MS</v>
      </c>
    </row>
    <row r="19423" spans="1:6" x14ac:dyDescent="0.25">
      <c r="A19423" t="str">
        <f>"200022440"</f>
        <v>200022440</v>
      </c>
      <c r="B19423" t="str">
        <f>"1902366560"</f>
        <v>1902366560</v>
      </c>
      <c r="C19423" t="str">
        <f>"2084N0400X"</f>
        <v>2084N0400X</v>
      </c>
      <c r="D19423" t="str">
        <f>"SITZMANN                 ADAM                     "</f>
        <v xml:space="preserve">SITZMANN                 ADAM                     </v>
      </c>
      <c r="E19423" t="str">
        <f>"TUPELO                    "</f>
        <v xml:space="preserve">TUPELO                    </v>
      </c>
      <c r="F19423" t="str">
        <f t="shared" si="467"/>
        <v>MS</v>
      </c>
    </row>
    <row r="19424" spans="1:6" x14ac:dyDescent="0.25">
      <c r="A19424" t="str">
        <f>"200022442"</f>
        <v>200022442</v>
      </c>
      <c r="B19424" t="str">
        <f>"1821103185"</f>
        <v>1821103185</v>
      </c>
      <c r="C19424" t="str">
        <f>"207RI0011X"</f>
        <v>207RI0011X</v>
      </c>
      <c r="D19424" t="str">
        <f>"MARTIN                   ARTHUR       C           "</f>
        <v xml:space="preserve">MARTIN                   ARTHUR       C           </v>
      </c>
      <c r="E19424" t="str">
        <f>"HATTIESBURG               "</f>
        <v xml:space="preserve">HATTIESBURG               </v>
      </c>
      <c r="F19424" t="str">
        <f t="shared" si="467"/>
        <v>MS</v>
      </c>
    </row>
    <row r="19425" spans="1:6" x14ac:dyDescent="0.25">
      <c r="A19425" t="str">
        <f>"200022444"</f>
        <v>200022444</v>
      </c>
      <c r="B19425" t="str">
        <f>"1245129030"</f>
        <v>1245129030</v>
      </c>
      <c r="C19425" t="str">
        <f>"363LF0000X"</f>
        <v>363LF0000X</v>
      </c>
      <c r="D19425" t="str">
        <f>"TILLMAN                  TARA                     "</f>
        <v xml:space="preserve">TILLMAN                  TARA                     </v>
      </c>
      <c r="E19425" t="str">
        <f>"LUCEDALE                  "</f>
        <v xml:space="preserve">LUCEDALE                  </v>
      </c>
      <c r="F19425" t="str">
        <f t="shared" si="467"/>
        <v>MS</v>
      </c>
    </row>
    <row r="19426" spans="1:6" x14ac:dyDescent="0.25">
      <c r="A19426" t="str">
        <f>"200022445"</f>
        <v>200022445</v>
      </c>
      <c r="B19426" t="str">
        <f>"1801364526"</f>
        <v>1801364526</v>
      </c>
      <c r="C19426" t="str">
        <f>"363LF0000X"</f>
        <v>363LF0000X</v>
      </c>
      <c r="D19426" t="str">
        <f>"GATES                    JENNIFER                 "</f>
        <v xml:space="preserve">GATES                    JENNIFER                 </v>
      </c>
      <c r="E19426" t="str">
        <f>"PASCAGOULA                "</f>
        <v xml:space="preserve">PASCAGOULA                </v>
      </c>
      <c r="F19426" t="str">
        <f t="shared" si="467"/>
        <v>MS</v>
      </c>
    </row>
    <row r="19427" spans="1:6" x14ac:dyDescent="0.25">
      <c r="A19427" t="str">
        <f>"200022452"</f>
        <v>200022452</v>
      </c>
      <c r="B19427" t="str">
        <f>"1790674182"</f>
        <v>1790674182</v>
      </c>
      <c r="C19427" t="str">
        <f>"363LF0000X"</f>
        <v>363LF0000X</v>
      </c>
      <c r="D19427" t="str">
        <f>"FOOS                     MAGHAN                   "</f>
        <v xml:space="preserve">FOOS                     MAGHAN                   </v>
      </c>
      <c r="E19427" t="str">
        <f>"BAY SAINT LOUIS           "</f>
        <v xml:space="preserve">BAY SAINT LOUIS           </v>
      </c>
      <c r="F19427" t="str">
        <f t="shared" si="467"/>
        <v>MS</v>
      </c>
    </row>
    <row r="19428" spans="1:6" x14ac:dyDescent="0.25">
      <c r="A19428" t="str">
        <f>"200022457"</f>
        <v>200022457</v>
      </c>
      <c r="B19428" t="str">
        <f>"1336934561"</f>
        <v>1336934561</v>
      </c>
      <c r="C19428" t="str">
        <f>"207R00000X"</f>
        <v>207R00000X</v>
      </c>
      <c r="D19428" t="str">
        <f>"SMITH                    JACK                     "</f>
        <v xml:space="preserve">SMITH                    JACK                     </v>
      </c>
      <c r="E19428" t="str">
        <f>"TUPELO                    "</f>
        <v xml:space="preserve">TUPELO                    </v>
      </c>
      <c r="F19428" t="str">
        <f t="shared" si="467"/>
        <v>MS</v>
      </c>
    </row>
    <row r="19429" spans="1:6" x14ac:dyDescent="0.25">
      <c r="A19429" t="str">
        <f>"200022464"</f>
        <v>200022464</v>
      </c>
      <c r="B19429" t="str">
        <f>"1023074317"</f>
        <v>1023074317</v>
      </c>
      <c r="C19429" t="str">
        <f>"207P00000X"</f>
        <v>207P00000X</v>
      </c>
      <c r="D19429" t="str">
        <f>"DANIELS                  JASON                    "</f>
        <v xml:space="preserve">DANIELS                  JASON                    </v>
      </c>
      <c r="E19429" t="str">
        <f>"OLIVE BRANCH              "</f>
        <v xml:space="preserve">OLIVE BRANCH              </v>
      </c>
      <c r="F19429" t="str">
        <f t="shared" si="467"/>
        <v>MS</v>
      </c>
    </row>
    <row r="19430" spans="1:6" x14ac:dyDescent="0.25">
      <c r="A19430" t="str">
        <f>"200022466"</f>
        <v>200022466</v>
      </c>
      <c r="B19430" t="str">
        <f>"1043014285"</f>
        <v>1043014285</v>
      </c>
      <c r="C19430" t="str">
        <f>"207P00000X"</f>
        <v>207P00000X</v>
      </c>
      <c r="D19430" t="str">
        <f>"FURGURSON                MIA                      "</f>
        <v xml:space="preserve">FURGURSON                MIA                      </v>
      </c>
      <c r="E19430" t="str">
        <f>"JACKSON                   "</f>
        <v xml:space="preserve">JACKSON                   </v>
      </c>
      <c r="F19430" t="str">
        <f t="shared" si="467"/>
        <v>MS</v>
      </c>
    </row>
    <row r="19431" spans="1:6" x14ac:dyDescent="0.25">
      <c r="A19431" t="str">
        <f>"200022472"</f>
        <v>200022472</v>
      </c>
      <c r="B19431" t="str">
        <f>"1992507453"</f>
        <v>1992507453</v>
      </c>
      <c r="C19431" t="str">
        <f>"207L00000X"</f>
        <v>207L00000X</v>
      </c>
      <c r="D19431" t="str">
        <f>"CHEN                     EDWARD                   "</f>
        <v xml:space="preserve">CHEN                     EDWARD                   </v>
      </c>
      <c r="E19431" t="str">
        <f>"JACKSON                   "</f>
        <v xml:space="preserve">JACKSON                   </v>
      </c>
      <c r="F19431" t="str">
        <f t="shared" si="467"/>
        <v>MS</v>
      </c>
    </row>
    <row r="19432" spans="1:6" x14ac:dyDescent="0.25">
      <c r="A19432" t="str">
        <f>"200022479"</f>
        <v>200022479</v>
      </c>
      <c r="B19432" t="str">
        <f>"1720872278"</f>
        <v>1720872278</v>
      </c>
      <c r="C19432" t="str">
        <f>"207R00000X"</f>
        <v>207R00000X</v>
      </c>
      <c r="D19432" t="str">
        <f>"ROBINSON                 HANNAH                   "</f>
        <v xml:space="preserve">ROBINSON                 HANNAH                   </v>
      </c>
      <c r="E19432" t="str">
        <f>"JACKSON                   "</f>
        <v xml:space="preserve">JACKSON                   </v>
      </c>
      <c r="F19432" t="str">
        <f t="shared" si="467"/>
        <v>MS</v>
      </c>
    </row>
    <row r="19433" spans="1:6" x14ac:dyDescent="0.25">
      <c r="A19433" t="str">
        <f>"200022484"</f>
        <v>200022484</v>
      </c>
      <c r="B19433" t="str">
        <f>"1619005394"</f>
        <v>1619005394</v>
      </c>
      <c r="C19433" t="str">
        <f>"1223X0400X"</f>
        <v>1223X0400X</v>
      </c>
      <c r="D19433" t="str">
        <f>"CERVINI                  DENEAN                   "</f>
        <v xml:space="preserve">CERVINI                  DENEAN                   </v>
      </c>
      <c r="E19433" t="str">
        <f>"BAY SAINT LOUIS           "</f>
        <v xml:space="preserve">BAY SAINT LOUIS           </v>
      </c>
      <c r="F19433" t="str">
        <f t="shared" si="467"/>
        <v>MS</v>
      </c>
    </row>
    <row r="19434" spans="1:6" x14ac:dyDescent="0.25">
      <c r="A19434" t="str">
        <f>"200022491"</f>
        <v>200022491</v>
      </c>
      <c r="B19434" t="str">
        <f>"1437034469"</f>
        <v>1437034469</v>
      </c>
      <c r="C19434" t="str">
        <f>"363LF0000X"</f>
        <v>363LF0000X</v>
      </c>
      <c r="D19434" t="str">
        <f>"GENTRY                   BRITTANY                 "</f>
        <v xml:space="preserve">GENTRY                   BRITTANY                 </v>
      </c>
      <c r="E19434" t="str">
        <f>"JACKSON                   "</f>
        <v xml:space="preserve">JACKSON                   </v>
      </c>
      <c r="F19434" t="str">
        <f t="shared" si="467"/>
        <v>MS</v>
      </c>
    </row>
    <row r="19435" spans="1:6" x14ac:dyDescent="0.25">
      <c r="A19435" t="str">
        <f>"200022496"</f>
        <v>200022496</v>
      </c>
      <c r="B19435" t="str">
        <f>"1780166876"</f>
        <v>1780166876</v>
      </c>
      <c r="C19435" t="str">
        <f>"363LF0000X"</f>
        <v>363LF0000X</v>
      </c>
      <c r="D19435" t="str">
        <f>"FORD                     ALESHIA                  "</f>
        <v xml:space="preserve">FORD                     ALESHIA                  </v>
      </c>
      <c r="E19435" t="str">
        <f>"BOONEVILLE                "</f>
        <v xml:space="preserve">BOONEVILLE                </v>
      </c>
      <c r="F19435" t="str">
        <f t="shared" si="467"/>
        <v>MS</v>
      </c>
    </row>
    <row r="19436" spans="1:6" x14ac:dyDescent="0.25">
      <c r="A19436" t="str">
        <f>"200022502"</f>
        <v>200022502</v>
      </c>
      <c r="B19436" t="str">
        <f>"1952727430"</f>
        <v>1952727430</v>
      </c>
      <c r="C19436" t="str">
        <f>"2084B0040X"</f>
        <v>2084B0040X</v>
      </c>
      <c r="D19436" t="str">
        <f>"FARES                    RACHA                    "</f>
        <v xml:space="preserve">FARES                    RACHA                    </v>
      </c>
      <c r="E19436" t="str">
        <f>"BILOXI                    "</f>
        <v xml:space="preserve">BILOXI                    </v>
      </c>
      <c r="F19436" t="str">
        <f t="shared" si="467"/>
        <v>MS</v>
      </c>
    </row>
    <row r="19437" spans="1:6" x14ac:dyDescent="0.25">
      <c r="A19437" t="str">
        <f>"200022506"</f>
        <v>200022506</v>
      </c>
      <c r="B19437" t="str">
        <f>"1598982993"</f>
        <v>1598982993</v>
      </c>
      <c r="C19437" t="str">
        <f>"207R00000X"</f>
        <v>207R00000X</v>
      </c>
      <c r="D19437" t="str">
        <f>"HAMMOND                  ROSALIND                 "</f>
        <v xml:space="preserve">HAMMOND                  ROSALIND                 </v>
      </c>
      <c r="E19437" t="str">
        <f>"PASCAGOULA                "</f>
        <v xml:space="preserve">PASCAGOULA                </v>
      </c>
      <c r="F19437" t="str">
        <f t="shared" si="467"/>
        <v>MS</v>
      </c>
    </row>
    <row r="19438" spans="1:6" x14ac:dyDescent="0.25">
      <c r="A19438" t="str">
        <f>"200022507"</f>
        <v>200022507</v>
      </c>
      <c r="B19438" t="str">
        <f>"1174338891"</f>
        <v>1174338891</v>
      </c>
      <c r="C19438" t="str">
        <f>"363L00000X"</f>
        <v>363L00000X</v>
      </c>
      <c r="D19438" t="str">
        <f>"HOLMES                   DANA                     "</f>
        <v xml:space="preserve">HOLMES                   DANA                     </v>
      </c>
      <c r="E19438" t="str">
        <f>"HATTIESBURG               "</f>
        <v xml:space="preserve">HATTIESBURG               </v>
      </c>
      <c r="F19438" t="str">
        <f t="shared" si="467"/>
        <v>MS</v>
      </c>
    </row>
    <row r="19439" spans="1:6" x14ac:dyDescent="0.25">
      <c r="A19439" t="str">
        <f>"200022512"</f>
        <v>200022512</v>
      </c>
      <c r="B19439" t="str">
        <f>"1902873813"</f>
        <v>1902873813</v>
      </c>
      <c r="C19439" t="str">
        <f>"2085R0202X"</f>
        <v>2085R0202X</v>
      </c>
      <c r="D19439" t="str">
        <f>"SUMMERSGILL              LOUIS                    "</f>
        <v xml:space="preserve">SUMMERSGILL              LOUIS                    </v>
      </c>
      <c r="E19439" t="str">
        <f>"HATTIESBURG               "</f>
        <v xml:space="preserve">HATTIESBURG               </v>
      </c>
      <c r="F19439" t="str">
        <f t="shared" si="467"/>
        <v>MS</v>
      </c>
    </row>
    <row r="19440" spans="1:6" x14ac:dyDescent="0.25">
      <c r="A19440" t="str">
        <f>"200022514"</f>
        <v>200022514</v>
      </c>
      <c r="B19440" t="str">
        <f>"1386474401"</f>
        <v>1386474401</v>
      </c>
      <c r="C19440" t="str">
        <f>"363A00000X"</f>
        <v>363A00000X</v>
      </c>
      <c r="D19440" t="str">
        <f>"BISHOP                   JULIA                    "</f>
        <v xml:space="preserve">BISHOP                   JULIA                    </v>
      </c>
      <c r="E19440" t="str">
        <f>"GULFPORT                  "</f>
        <v xml:space="preserve">GULFPORT                  </v>
      </c>
      <c r="F19440" t="str">
        <f t="shared" si="467"/>
        <v>MS</v>
      </c>
    </row>
    <row r="19441" spans="1:6" x14ac:dyDescent="0.25">
      <c r="A19441" t="str">
        <f>"200022539"</f>
        <v>200022539</v>
      </c>
      <c r="B19441" t="str">
        <f>"1508669284"</f>
        <v>1508669284</v>
      </c>
      <c r="C19441" t="str">
        <f>"207R00000X"</f>
        <v>207R00000X</v>
      </c>
      <c r="D19441" t="str">
        <f>"SPITCHLEY                MATTHEW                  "</f>
        <v xml:space="preserve">SPITCHLEY                MATTHEW                  </v>
      </c>
      <c r="E19441" t="str">
        <f>"JACKSON                   "</f>
        <v xml:space="preserve">JACKSON                   </v>
      </c>
      <c r="F19441" t="str">
        <f t="shared" si="467"/>
        <v>MS</v>
      </c>
    </row>
    <row r="19442" spans="1:6" x14ac:dyDescent="0.25">
      <c r="A19442" t="str">
        <f>"200022544"</f>
        <v>200022544</v>
      </c>
      <c r="B19442" t="str">
        <f>"1295011070"</f>
        <v>1295011070</v>
      </c>
      <c r="C19442" t="str">
        <f>"363AM0700X"</f>
        <v>363AM0700X</v>
      </c>
      <c r="D19442" t="str">
        <f>"CARMONA                  DIEGO        E           "</f>
        <v xml:space="preserve">CARMONA                  DIEGO        E           </v>
      </c>
      <c r="E19442" t="str">
        <f>"SOUTHAVEN                 "</f>
        <v xml:space="preserve">SOUTHAVEN                 </v>
      </c>
      <c r="F19442" t="str">
        <f t="shared" si="467"/>
        <v>MS</v>
      </c>
    </row>
    <row r="19443" spans="1:6" x14ac:dyDescent="0.25">
      <c r="A19443" t="str">
        <f>"200022546"</f>
        <v>200022546</v>
      </c>
      <c r="B19443" t="str">
        <f>"1801436951"</f>
        <v>1801436951</v>
      </c>
      <c r="C19443" t="str">
        <f>"367500000X"</f>
        <v>367500000X</v>
      </c>
      <c r="D19443" t="str">
        <f>"BRIDGES                  CALLIE                   "</f>
        <v xml:space="preserve">BRIDGES                  CALLIE                   </v>
      </c>
      <c r="E19443" t="str">
        <f>"JACKSON                   "</f>
        <v xml:space="preserve">JACKSON                   </v>
      </c>
      <c r="F19443" t="str">
        <f t="shared" si="467"/>
        <v>MS</v>
      </c>
    </row>
    <row r="19444" spans="1:6" x14ac:dyDescent="0.25">
      <c r="A19444" t="str">
        <f>"200022548"</f>
        <v>200022548</v>
      </c>
      <c r="B19444" t="str">
        <f>"1134163314"</f>
        <v>1134163314</v>
      </c>
      <c r="C19444" t="str">
        <f>"2085R0202X"</f>
        <v>2085R0202X</v>
      </c>
      <c r="D19444" t="str">
        <f>"THOMSON                  MATTHEW      J           "</f>
        <v xml:space="preserve">THOMSON                  MATTHEW      J           </v>
      </c>
      <c r="E19444" t="str">
        <f>"MERIDIAN                  "</f>
        <v xml:space="preserve">MERIDIAN                  </v>
      </c>
      <c r="F19444" t="str">
        <f t="shared" si="467"/>
        <v>MS</v>
      </c>
    </row>
    <row r="19445" spans="1:6" x14ac:dyDescent="0.25">
      <c r="A19445" t="str">
        <f>"200022549"</f>
        <v>200022549</v>
      </c>
      <c r="B19445" t="str">
        <f>"1831707553"</f>
        <v>1831707553</v>
      </c>
      <c r="C19445" t="str">
        <f>"152W00000X"</f>
        <v>152W00000X</v>
      </c>
      <c r="D19445" t="str">
        <f>"VIEWPOINT EYECARE                                 "</f>
        <v xml:space="preserve">VIEWPOINT EYECARE                                 </v>
      </c>
      <c r="E19445" t="str">
        <f>"HATTIESBURG               "</f>
        <v xml:space="preserve">HATTIESBURG               </v>
      </c>
      <c r="F19445" t="str">
        <f t="shared" si="467"/>
        <v>MS</v>
      </c>
    </row>
    <row r="19446" spans="1:6" x14ac:dyDescent="0.25">
      <c r="A19446" t="str">
        <f>"200022552"</f>
        <v>200022552</v>
      </c>
      <c r="B19446" t="str">
        <f>"1063771178"</f>
        <v>1063771178</v>
      </c>
      <c r="C19446" t="str">
        <f>"2084N0400X"</f>
        <v>2084N0400X</v>
      </c>
      <c r="D19446" t="str">
        <f>"BELLE                    VAIJAYANTEE              "</f>
        <v xml:space="preserve">BELLE                    VAIJAYANTEE              </v>
      </c>
      <c r="E19446" t="str">
        <f>"TUPELO                    "</f>
        <v xml:space="preserve">TUPELO                    </v>
      </c>
      <c r="F19446" t="str">
        <f t="shared" si="467"/>
        <v>MS</v>
      </c>
    </row>
    <row r="19447" spans="1:6" x14ac:dyDescent="0.25">
      <c r="A19447" t="str">
        <f>"200022553"</f>
        <v>200022553</v>
      </c>
      <c r="B19447" t="str">
        <f>"1356143523"</f>
        <v>1356143523</v>
      </c>
      <c r="C19447" t="str">
        <f>"2084P0800X"</f>
        <v>2084P0800X</v>
      </c>
      <c r="D19447" t="str">
        <f>"WARD                     TAMMIE                   "</f>
        <v xml:space="preserve">WARD                     TAMMIE                   </v>
      </c>
      <c r="E19447" t="str">
        <f>"JACKSON                   "</f>
        <v xml:space="preserve">JACKSON                   </v>
      </c>
      <c r="F19447" t="str">
        <f t="shared" si="467"/>
        <v>MS</v>
      </c>
    </row>
    <row r="19448" spans="1:6" x14ac:dyDescent="0.25">
      <c r="A19448" t="str">
        <f>"200022554"</f>
        <v>200022554</v>
      </c>
      <c r="B19448" t="str">
        <f>"1750903811"</f>
        <v>1750903811</v>
      </c>
      <c r="C19448" t="str">
        <f>"363LF0000X"</f>
        <v>363LF0000X</v>
      </c>
      <c r="D19448" t="str">
        <f>"HOLDREN                  RODNEY       L           "</f>
        <v xml:space="preserve">HOLDREN                  RODNEY       L           </v>
      </c>
      <c r="E19448" t="str">
        <f>"LUCEDALE                  "</f>
        <v xml:space="preserve">LUCEDALE                  </v>
      </c>
      <c r="F19448" t="str">
        <f t="shared" si="467"/>
        <v>MS</v>
      </c>
    </row>
    <row r="19449" spans="1:6" x14ac:dyDescent="0.25">
      <c r="A19449" t="str">
        <f>"200022556"</f>
        <v>200022556</v>
      </c>
      <c r="B19449" t="str">
        <f>"1295467314"</f>
        <v>1295467314</v>
      </c>
      <c r="C19449" t="str">
        <f>"207R00000X"</f>
        <v>207R00000X</v>
      </c>
      <c r="D19449" t="str">
        <f>"ALGHAZO                  HAYA                     "</f>
        <v xml:space="preserve">ALGHAZO                  HAYA                     </v>
      </c>
      <c r="E19449" t="str">
        <f>"TUPELO                    "</f>
        <v xml:space="preserve">TUPELO                    </v>
      </c>
      <c r="F19449" t="str">
        <f t="shared" si="467"/>
        <v>MS</v>
      </c>
    </row>
    <row r="19450" spans="1:6" x14ac:dyDescent="0.25">
      <c r="A19450" t="str">
        <f>"200022575"</f>
        <v>200022575</v>
      </c>
      <c r="B19450" t="str">
        <f>"1952918278"</f>
        <v>1952918278</v>
      </c>
      <c r="C19450" t="str">
        <f>"1223G0001X"</f>
        <v>1223G0001X</v>
      </c>
      <c r="D19450" t="str">
        <f>"LINCOLN DENTAL ARTS                               "</f>
        <v xml:space="preserve">LINCOLN DENTAL ARTS                               </v>
      </c>
      <c r="E19450" t="str">
        <f>"HATTIESBURG               "</f>
        <v xml:space="preserve">HATTIESBURG               </v>
      </c>
      <c r="F19450" t="str">
        <f t="shared" si="467"/>
        <v>MS</v>
      </c>
    </row>
    <row r="19451" spans="1:6" x14ac:dyDescent="0.25">
      <c r="A19451" t="str">
        <f>"200022577"</f>
        <v>200022577</v>
      </c>
      <c r="B19451" t="str">
        <f>"1477059756"</f>
        <v>1477059756</v>
      </c>
      <c r="C19451" t="str">
        <f>"2084N0400X"</f>
        <v>2084N0400X</v>
      </c>
      <c r="D19451" t="str">
        <f>"SAEED                    OMAR                     "</f>
        <v xml:space="preserve">SAEED                    OMAR                     </v>
      </c>
      <c r="E19451" t="str">
        <f>"SOUTHAVEN                 "</f>
        <v xml:space="preserve">SOUTHAVEN                 </v>
      </c>
      <c r="F19451" t="str">
        <f t="shared" si="467"/>
        <v>MS</v>
      </c>
    </row>
    <row r="19452" spans="1:6" x14ac:dyDescent="0.25">
      <c r="A19452" t="str">
        <f>"200022578"</f>
        <v>200022578</v>
      </c>
      <c r="B19452" t="str">
        <f>"1316349863"</f>
        <v>1316349863</v>
      </c>
      <c r="C19452" t="str">
        <f>"367500000X"</f>
        <v>367500000X</v>
      </c>
      <c r="D19452" t="str">
        <f>"WHITE                    MARGARET     M           "</f>
        <v xml:space="preserve">WHITE                    MARGARET     M           </v>
      </c>
      <c r="E19452" t="str">
        <f>"OCEAN SPRINGS             "</f>
        <v xml:space="preserve">OCEAN SPRINGS             </v>
      </c>
      <c r="F19452" t="str">
        <f t="shared" si="467"/>
        <v>MS</v>
      </c>
    </row>
    <row r="19453" spans="1:6" x14ac:dyDescent="0.25">
      <c r="A19453" t="str">
        <f>"200022579"</f>
        <v>200022579</v>
      </c>
      <c r="B19453" t="str">
        <f>"1821849910"</f>
        <v>1821849910</v>
      </c>
      <c r="C19453" t="str">
        <f>"207P00000X"</f>
        <v>207P00000X</v>
      </c>
      <c r="D19453" t="str">
        <f>"POPE                     JACKSON                  "</f>
        <v xml:space="preserve">POPE                     JACKSON                  </v>
      </c>
      <c r="E19453" t="str">
        <f>"JACKSON                   "</f>
        <v xml:space="preserve">JACKSON                   </v>
      </c>
      <c r="F19453" t="str">
        <f t="shared" si="467"/>
        <v>MS</v>
      </c>
    </row>
    <row r="19454" spans="1:6" x14ac:dyDescent="0.25">
      <c r="A19454" t="str">
        <f>"200022582"</f>
        <v>200022582</v>
      </c>
      <c r="B19454" t="str">
        <f>"1275526444"</f>
        <v>1275526444</v>
      </c>
      <c r="C19454" t="str">
        <f>"152W00000X"</f>
        <v>152W00000X</v>
      </c>
      <c r="D19454" t="str">
        <f>"STREIFEL                 NORMAN                   "</f>
        <v xml:space="preserve">STREIFEL                 NORMAN                   </v>
      </c>
      <c r="E19454" t="str">
        <f>"BAY ST LOUIS              "</f>
        <v xml:space="preserve">BAY ST LOUIS              </v>
      </c>
      <c r="F19454" t="str">
        <f t="shared" ref="F19454:F19517" si="468">"MS"</f>
        <v>MS</v>
      </c>
    </row>
    <row r="19455" spans="1:6" x14ac:dyDescent="0.25">
      <c r="A19455" t="str">
        <f>"200022583"</f>
        <v>200022583</v>
      </c>
      <c r="B19455" t="str">
        <f>"1093446049"</f>
        <v>1093446049</v>
      </c>
      <c r="C19455" t="str">
        <f>"207Q00000X"</f>
        <v>207Q00000X</v>
      </c>
      <c r="D19455" t="str">
        <f>"BLANKENSHIP              RAMSI                    "</f>
        <v xml:space="preserve">BLANKENSHIP              RAMSI                    </v>
      </c>
      <c r="E19455" t="str">
        <f>"LAUREL                    "</f>
        <v xml:space="preserve">LAUREL                    </v>
      </c>
      <c r="F19455" t="str">
        <f t="shared" si="468"/>
        <v>MS</v>
      </c>
    </row>
    <row r="19456" spans="1:6" x14ac:dyDescent="0.25">
      <c r="A19456" t="str">
        <f>"200022590"</f>
        <v>200022590</v>
      </c>
      <c r="B19456" t="str">
        <f>"1073791158"</f>
        <v>1073791158</v>
      </c>
      <c r="C19456" t="str">
        <f>"152W00000X"</f>
        <v>152W00000X</v>
      </c>
      <c r="D19456" t="str">
        <f>"SOUTHERN EYE SURGERY CENTER LLC                   "</f>
        <v xml:space="preserve">SOUTHERN EYE SURGERY CENTER LLC                   </v>
      </c>
      <c r="E19456" t="str">
        <f>"HATTIESBURG               "</f>
        <v xml:space="preserve">HATTIESBURG               </v>
      </c>
      <c r="F19456" t="str">
        <f t="shared" si="468"/>
        <v>MS</v>
      </c>
    </row>
    <row r="19457" spans="1:6" x14ac:dyDescent="0.25">
      <c r="A19457" t="str">
        <f>"200022591"</f>
        <v>200022591</v>
      </c>
      <c r="B19457" t="str">
        <f>"1528860673"</f>
        <v>1528860673</v>
      </c>
      <c r="C19457" t="str">
        <f>"208000000X"</f>
        <v>208000000X</v>
      </c>
      <c r="D19457" t="str">
        <f>"MACOY                    ABIGAIL                  "</f>
        <v xml:space="preserve">MACOY                    ABIGAIL                  </v>
      </c>
      <c r="E19457" t="str">
        <f>"JACKSON                   "</f>
        <v xml:space="preserve">JACKSON                   </v>
      </c>
      <c r="F19457" t="str">
        <f t="shared" si="468"/>
        <v>MS</v>
      </c>
    </row>
    <row r="19458" spans="1:6" x14ac:dyDescent="0.25">
      <c r="A19458" t="str">
        <f>"200022594"</f>
        <v>200022594</v>
      </c>
      <c r="B19458" t="str">
        <f>"1205922606"</f>
        <v>1205922606</v>
      </c>
      <c r="C19458" t="str">
        <f>"207RN0300X"</f>
        <v>207RN0300X</v>
      </c>
      <c r="D19458" t="str">
        <f>"NAYEEM                   ANISA                    "</f>
        <v xml:space="preserve">NAYEEM                   ANISA                    </v>
      </c>
      <c r="E19458" t="str">
        <f>"RIDGELAND                 "</f>
        <v xml:space="preserve">RIDGELAND                 </v>
      </c>
      <c r="F19458" t="str">
        <f t="shared" si="468"/>
        <v>MS</v>
      </c>
    </row>
    <row r="19459" spans="1:6" x14ac:dyDescent="0.25">
      <c r="A19459" t="str">
        <f>"200022595"</f>
        <v>200022595</v>
      </c>
      <c r="B19459" t="str">
        <f>"1538160536"</f>
        <v>1538160536</v>
      </c>
      <c r="C19459" t="str">
        <f>"207R00000X"</f>
        <v>207R00000X</v>
      </c>
      <c r="D19459" t="str">
        <f>"MADASU                   RAVI                     "</f>
        <v xml:space="preserve">MADASU                   RAVI                     </v>
      </c>
      <c r="E19459" t="str">
        <f>"SOUTHAVEN                 "</f>
        <v xml:space="preserve">SOUTHAVEN                 </v>
      </c>
      <c r="F19459" t="str">
        <f t="shared" si="468"/>
        <v>MS</v>
      </c>
    </row>
    <row r="19460" spans="1:6" x14ac:dyDescent="0.25">
      <c r="A19460" t="str">
        <f>"200022596"</f>
        <v>200022596</v>
      </c>
      <c r="B19460" t="str">
        <f>"1023812062"</f>
        <v>1023812062</v>
      </c>
      <c r="C19460" t="str">
        <f>"207Y00000X"</f>
        <v>207Y00000X</v>
      </c>
      <c r="D19460" t="str">
        <f>"KELLEY                   ROBERT                   "</f>
        <v xml:space="preserve">KELLEY                   ROBERT                   </v>
      </c>
      <c r="E19460" t="str">
        <f>"JACKSON                   "</f>
        <v xml:space="preserve">JACKSON                   </v>
      </c>
      <c r="F19460" t="str">
        <f t="shared" si="468"/>
        <v>MS</v>
      </c>
    </row>
    <row r="19461" spans="1:6" x14ac:dyDescent="0.25">
      <c r="A19461" t="str">
        <f>"200022598"</f>
        <v>200022598</v>
      </c>
      <c r="B19461" t="str">
        <f>"1952163206"</f>
        <v>1952163206</v>
      </c>
      <c r="C19461" t="str">
        <f>"261QR1300X"</f>
        <v>261QR1300X</v>
      </c>
      <c r="D19461" t="str">
        <f>"PEDIATRIC &amp; ADOLESCENT CLINIC LLC                 "</f>
        <v xml:space="preserve">PEDIATRIC &amp; ADOLESCENT CLINIC LLC                 </v>
      </c>
      <c r="E19461" t="str">
        <f>"NATCHEZ                   "</f>
        <v xml:space="preserve">NATCHEZ                   </v>
      </c>
      <c r="F19461" t="str">
        <f t="shared" si="468"/>
        <v>MS</v>
      </c>
    </row>
    <row r="19462" spans="1:6" x14ac:dyDescent="0.25">
      <c r="A19462" t="str">
        <f>"200022604"</f>
        <v>200022604</v>
      </c>
      <c r="B19462" t="str">
        <f>"1811169501"</f>
        <v>1811169501</v>
      </c>
      <c r="C19462" t="str">
        <f>"2084P0804X"</f>
        <v>2084P0804X</v>
      </c>
      <c r="D19462" t="str">
        <f>"RAZA                     SHAKEEL                  "</f>
        <v xml:space="preserve">RAZA                     SHAKEEL                  </v>
      </c>
      <c r="E19462" t="str">
        <f>"OLIVE BRANCH              "</f>
        <v xml:space="preserve">OLIVE BRANCH              </v>
      </c>
      <c r="F19462" t="str">
        <f t="shared" si="468"/>
        <v>MS</v>
      </c>
    </row>
    <row r="19463" spans="1:6" x14ac:dyDescent="0.25">
      <c r="A19463" t="str">
        <f>"200022605"</f>
        <v>200022605</v>
      </c>
      <c r="B19463" t="str">
        <f>"1639407331"</f>
        <v>1639407331</v>
      </c>
      <c r="C19463" t="str">
        <f>"207N00000X"</f>
        <v>207N00000X</v>
      </c>
      <c r="D19463" t="str">
        <f>"MATTHEWS                 EMILY        K           "</f>
        <v xml:space="preserve">MATTHEWS                 EMILY        K           </v>
      </c>
      <c r="E19463" t="str">
        <f>"MERIDIAN                  "</f>
        <v xml:space="preserve">MERIDIAN                  </v>
      </c>
      <c r="F19463" t="str">
        <f t="shared" si="468"/>
        <v>MS</v>
      </c>
    </row>
    <row r="19464" spans="1:6" x14ac:dyDescent="0.25">
      <c r="A19464" t="str">
        <f>"200022615"</f>
        <v>200022615</v>
      </c>
      <c r="B19464" t="str">
        <f>"1568247658"</f>
        <v>1568247658</v>
      </c>
      <c r="C19464" t="str">
        <f>"363LF0000X"</f>
        <v>363LF0000X</v>
      </c>
      <c r="D19464" t="str">
        <f>"GLADNEY                  TINEKA                   "</f>
        <v xml:space="preserve">GLADNEY                  TINEKA                   </v>
      </c>
      <c r="E19464" t="str">
        <f>"EUPORA                    "</f>
        <v xml:space="preserve">EUPORA                    </v>
      </c>
      <c r="F19464" t="str">
        <f t="shared" si="468"/>
        <v>MS</v>
      </c>
    </row>
    <row r="19465" spans="1:6" x14ac:dyDescent="0.25">
      <c r="A19465" t="str">
        <f>"200022621"</f>
        <v>200022621</v>
      </c>
      <c r="B19465" t="str">
        <f>"1760019962"</f>
        <v>1760019962</v>
      </c>
      <c r="C19465" t="str">
        <f>"207XS0106X"</f>
        <v>207XS0106X</v>
      </c>
      <c r="D19465" t="str">
        <f>"VOLLANT                  MICHAEL                  "</f>
        <v xml:space="preserve">VOLLANT                  MICHAEL                  </v>
      </c>
      <c r="E19465" t="str">
        <f>"JACKSON                   "</f>
        <v xml:space="preserve">JACKSON                   </v>
      </c>
      <c r="F19465" t="str">
        <f t="shared" si="468"/>
        <v>MS</v>
      </c>
    </row>
    <row r="19466" spans="1:6" x14ac:dyDescent="0.25">
      <c r="A19466" t="str">
        <f>"200022627"</f>
        <v>200022627</v>
      </c>
      <c r="B19466" t="str">
        <f>"1871380600"</f>
        <v>1871380600</v>
      </c>
      <c r="C19466" t="str">
        <f>"363LF0000X"</f>
        <v>363LF0000X</v>
      </c>
      <c r="D19466" t="str">
        <f>"KELLOGG                  MARY                     "</f>
        <v xml:space="preserve">KELLOGG                  MARY                     </v>
      </c>
      <c r="E19466" t="str">
        <f>"MERIDIAN                  "</f>
        <v xml:space="preserve">MERIDIAN                  </v>
      </c>
      <c r="F19466" t="str">
        <f t="shared" si="468"/>
        <v>MS</v>
      </c>
    </row>
    <row r="19467" spans="1:6" x14ac:dyDescent="0.25">
      <c r="A19467" t="str">
        <f>"200022632"</f>
        <v>200022632</v>
      </c>
      <c r="B19467" t="str">
        <f>"1487852034"</f>
        <v>1487852034</v>
      </c>
      <c r="C19467" t="str">
        <f>"207RI0011X"</f>
        <v>207RI0011X</v>
      </c>
      <c r="D19467" t="str">
        <f>"REED                     RUSSELL                  "</f>
        <v xml:space="preserve">REED                     RUSSELL                  </v>
      </c>
      <c r="E19467" t="str">
        <f>"COLUMBUS                  "</f>
        <v xml:space="preserve">COLUMBUS                  </v>
      </c>
      <c r="F19467" t="str">
        <f t="shared" si="468"/>
        <v>MS</v>
      </c>
    </row>
    <row r="19468" spans="1:6" x14ac:dyDescent="0.25">
      <c r="A19468" t="str">
        <f>"200022634"</f>
        <v>200022634</v>
      </c>
      <c r="B19468" t="str">
        <f>"1922740786"</f>
        <v>1922740786</v>
      </c>
      <c r="C19468" t="str">
        <f>"1223P0221X"</f>
        <v>1223P0221X</v>
      </c>
      <c r="D19468" t="str">
        <f>"ANDRADE                  JULIANNE                 "</f>
        <v xml:space="preserve">ANDRADE                  JULIANNE                 </v>
      </c>
      <c r="E19468" t="str">
        <f>"HORN LAKE                 "</f>
        <v xml:space="preserve">HORN LAKE                 </v>
      </c>
      <c r="F19468" t="str">
        <f t="shared" si="468"/>
        <v>MS</v>
      </c>
    </row>
    <row r="19469" spans="1:6" x14ac:dyDescent="0.25">
      <c r="A19469" t="str">
        <f>"200022640"</f>
        <v>200022640</v>
      </c>
      <c r="B19469" t="str">
        <f>"1518589027"</f>
        <v>1518589027</v>
      </c>
      <c r="C19469" t="str">
        <f>"363A00000X"</f>
        <v>363A00000X</v>
      </c>
      <c r="D19469" t="str">
        <f>"REES                     ELIANA                   "</f>
        <v xml:space="preserve">REES                     ELIANA                   </v>
      </c>
      <c r="E19469" t="str">
        <f>"BILOXI                    "</f>
        <v xml:space="preserve">BILOXI                    </v>
      </c>
      <c r="F19469" t="str">
        <f t="shared" si="468"/>
        <v>MS</v>
      </c>
    </row>
    <row r="19470" spans="1:6" x14ac:dyDescent="0.25">
      <c r="A19470" t="str">
        <f>"200022645"</f>
        <v>200022645</v>
      </c>
      <c r="B19470" t="str">
        <f>"1700532041"</f>
        <v>1700532041</v>
      </c>
      <c r="C19470" t="str">
        <f>"367500000X"</f>
        <v>367500000X</v>
      </c>
      <c r="D19470" t="str">
        <f>"SEAL                     CLINTON      T           "</f>
        <v xml:space="preserve">SEAL                     CLINTON      T           </v>
      </c>
      <c r="E19470" t="str">
        <f>"GULFPORT                  "</f>
        <v xml:space="preserve">GULFPORT                  </v>
      </c>
      <c r="F19470" t="str">
        <f t="shared" si="468"/>
        <v>MS</v>
      </c>
    </row>
    <row r="19471" spans="1:6" x14ac:dyDescent="0.25">
      <c r="A19471" t="str">
        <f>"200022646"</f>
        <v>200022646</v>
      </c>
      <c r="B19471" t="str">
        <f>"1386447902"</f>
        <v>1386447902</v>
      </c>
      <c r="C19471" t="str">
        <f>"363A00000X"</f>
        <v>363A00000X</v>
      </c>
      <c r="D19471" t="str">
        <f>"STRAWDER                 KARIMAH                  "</f>
        <v xml:space="preserve">STRAWDER                 KARIMAH                  </v>
      </c>
      <c r="E19471" t="str">
        <f>"TUPELO                    "</f>
        <v xml:space="preserve">TUPELO                    </v>
      </c>
      <c r="F19471" t="str">
        <f t="shared" si="468"/>
        <v>MS</v>
      </c>
    </row>
    <row r="19472" spans="1:6" x14ac:dyDescent="0.25">
      <c r="A19472" t="str">
        <f>"200022655"</f>
        <v>200022655</v>
      </c>
      <c r="B19472" t="str">
        <f>"1508328170"</f>
        <v>1508328170</v>
      </c>
      <c r="C19472" t="str">
        <f>"207RG0100X"</f>
        <v>207RG0100X</v>
      </c>
      <c r="D19472" t="str">
        <f>"BRAR                     HIMMAT                   "</f>
        <v xml:space="preserve">BRAR                     HIMMAT                   </v>
      </c>
      <c r="E19472" t="str">
        <f>"JACKSON                   "</f>
        <v xml:space="preserve">JACKSON                   </v>
      </c>
      <c r="F19472" t="str">
        <f t="shared" si="468"/>
        <v>MS</v>
      </c>
    </row>
    <row r="19473" spans="1:6" x14ac:dyDescent="0.25">
      <c r="A19473" t="str">
        <f>"200022656"</f>
        <v>200022656</v>
      </c>
      <c r="B19473" t="str">
        <f>"1487458287"</f>
        <v>1487458287</v>
      </c>
      <c r="C19473" t="str">
        <f>"207X00000X"</f>
        <v>207X00000X</v>
      </c>
      <c r="D19473" t="str">
        <f>"BARRERA                  AIDAN                    "</f>
        <v xml:space="preserve">BARRERA                  AIDAN                    </v>
      </c>
      <c r="E19473" t="str">
        <f>"JACKSON                   "</f>
        <v xml:space="preserve">JACKSON                   </v>
      </c>
      <c r="F19473" t="str">
        <f t="shared" si="468"/>
        <v>MS</v>
      </c>
    </row>
    <row r="19474" spans="1:6" x14ac:dyDescent="0.25">
      <c r="A19474" t="str">
        <f>"200022659"</f>
        <v>200022659</v>
      </c>
      <c r="B19474" t="str">
        <f>"1417849472"</f>
        <v>1417849472</v>
      </c>
      <c r="C19474" t="str">
        <f>"152W00000X"</f>
        <v>152W00000X</v>
      </c>
      <c r="D19474" t="str">
        <f>"WILSON                   MADISON                  "</f>
        <v xml:space="preserve">WILSON                   MADISON                  </v>
      </c>
      <c r="E19474" t="str">
        <f>"NEWTON                    "</f>
        <v xml:space="preserve">NEWTON                    </v>
      </c>
      <c r="F19474" t="str">
        <f t="shared" si="468"/>
        <v>MS</v>
      </c>
    </row>
    <row r="19475" spans="1:6" x14ac:dyDescent="0.25">
      <c r="A19475" t="str">
        <f>"200022662"</f>
        <v>200022662</v>
      </c>
      <c r="B19475" t="str">
        <f>"1992904627"</f>
        <v>1992904627</v>
      </c>
      <c r="C19475" t="str">
        <f>"2085R0202X"</f>
        <v>2085R0202X</v>
      </c>
      <c r="D19475" t="str">
        <f>"REDMOND                  JEFF                     "</f>
        <v xml:space="preserve">REDMOND                  JEFF                     </v>
      </c>
      <c r="E19475" t="str">
        <f>"MERIDIAN                  "</f>
        <v xml:space="preserve">MERIDIAN                  </v>
      </c>
      <c r="F19475" t="str">
        <f t="shared" si="468"/>
        <v>MS</v>
      </c>
    </row>
    <row r="19476" spans="1:6" x14ac:dyDescent="0.25">
      <c r="A19476" t="str">
        <f>"200022663"</f>
        <v>200022663</v>
      </c>
      <c r="B19476" t="str">
        <f>"1184244931"</f>
        <v>1184244931</v>
      </c>
      <c r="C19476" t="str">
        <f>"207R00000X"</f>
        <v>207R00000X</v>
      </c>
      <c r="D19476" t="str">
        <f>"MAGALE                   HUSSEIN      I           "</f>
        <v xml:space="preserve">MAGALE                   HUSSEIN      I           </v>
      </c>
      <c r="E19476" t="str">
        <f>"JACKSON                   "</f>
        <v xml:space="preserve">JACKSON                   </v>
      </c>
      <c r="F19476" t="str">
        <f t="shared" si="468"/>
        <v>MS</v>
      </c>
    </row>
    <row r="19477" spans="1:6" x14ac:dyDescent="0.25">
      <c r="A19477" t="str">
        <f>"200022665"</f>
        <v>200022665</v>
      </c>
      <c r="B19477" t="str">
        <f>"1104249846"</f>
        <v>1104249846</v>
      </c>
      <c r="C19477" t="str">
        <f>"367500000X"</f>
        <v>367500000X</v>
      </c>
      <c r="D19477" t="str">
        <f>"FISACKERLY               MAEGAN                   "</f>
        <v xml:space="preserve">FISACKERLY               MAEGAN                   </v>
      </c>
      <c r="E19477" t="str">
        <f>"GULFPORT                  "</f>
        <v xml:space="preserve">GULFPORT                  </v>
      </c>
      <c r="F19477" t="str">
        <f t="shared" si="468"/>
        <v>MS</v>
      </c>
    </row>
    <row r="19478" spans="1:6" x14ac:dyDescent="0.25">
      <c r="A19478" t="str">
        <f>"200022666"</f>
        <v>200022666</v>
      </c>
      <c r="B19478" t="str">
        <f>"1609631134"</f>
        <v>1609631134</v>
      </c>
      <c r="C19478" t="str">
        <f>"208000000X"</f>
        <v>208000000X</v>
      </c>
      <c r="D19478" t="str">
        <f>"SHERIDAN                 KALLIE                   "</f>
        <v xml:space="preserve">SHERIDAN                 KALLIE                   </v>
      </c>
      <c r="E19478" t="str">
        <f>"JACKSON                   "</f>
        <v xml:space="preserve">JACKSON                   </v>
      </c>
      <c r="F19478" t="str">
        <f t="shared" si="468"/>
        <v>MS</v>
      </c>
    </row>
    <row r="19479" spans="1:6" x14ac:dyDescent="0.25">
      <c r="A19479" t="str">
        <f>"200022669"</f>
        <v>200022669</v>
      </c>
      <c r="B19479" t="str">
        <f>"1366937989"</f>
        <v>1366937989</v>
      </c>
      <c r="C19479" t="str">
        <f>"207RG0100X"</f>
        <v>207RG0100X</v>
      </c>
      <c r="D19479" t="str">
        <f>"BANDARU                  PRANEETH                 "</f>
        <v xml:space="preserve">BANDARU                  PRANEETH                 </v>
      </c>
      <c r="E19479" t="str">
        <f>"JACKSON                   "</f>
        <v xml:space="preserve">JACKSON                   </v>
      </c>
      <c r="F19479" t="str">
        <f t="shared" si="468"/>
        <v>MS</v>
      </c>
    </row>
    <row r="19480" spans="1:6" x14ac:dyDescent="0.25">
      <c r="A19480" t="str">
        <f>"200022674"</f>
        <v>200022674</v>
      </c>
      <c r="B19480" t="str">
        <f>"1205192838"</f>
        <v>1205192838</v>
      </c>
      <c r="C19480" t="str">
        <f>"2084N0400X"</f>
        <v>2084N0400X</v>
      </c>
      <c r="D19480" t="str">
        <f>"ANDRY                    JAMES                    "</f>
        <v xml:space="preserve">ANDRY                    JAMES                    </v>
      </c>
      <c r="E19480" t="str">
        <f>"TUPELO                    "</f>
        <v xml:space="preserve">TUPELO                    </v>
      </c>
      <c r="F19480" t="str">
        <f t="shared" si="468"/>
        <v>MS</v>
      </c>
    </row>
    <row r="19481" spans="1:6" x14ac:dyDescent="0.25">
      <c r="A19481" t="str">
        <f>"200022675"</f>
        <v>200022675</v>
      </c>
      <c r="B19481" t="str">
        <f>"1982448098"</f>
        <v>1982448098</v>
      </c>
      <c r="C19481" t="str">
        <f>"363LP0808X"</f>
        <v>363LP0808X</v>
      </c>
      <c r="D19481" t="str">
        <f>"PAIGE                    JAIMEE                   "</f>
        <v xml:space="preserve">PAIGE                    JAIMEE                   </v>
      </c>
      <c r="E19481" t="str">
        <f>"WAYNESBORO                "</f>
        <v xml:space="preserve">WAYNESBORO                </v>
      </c>
      <c r="F19481" t="str">
        <f t="shared" si="468"/>
        <v>MS</v>
      </c>
    </row>
    <row r="19482" spans="1:6" x14ac:dyDescent="0.25">
      <c r="A19482" t="str">
        <f>"200022676"</f>
        <v>200022676</v>
      </c>
      <c r="B19482" t="str">
        <f>"1972130029"</f>
        <v>1972130029</v>
      </c>
      <c r="C19482" t="str">
        <f>"208600000X"</f>
        <v>208600000X</v>
      </c>
      <c r="D19482" t="str">
        <f>"JAMES                    AMBER                    "</f>
        <v xml:space="preserve">JAMES                    AMBER                    </v>
      </c>
      <c r="E19482" t="str">
        <f>"SOUTHAVEN                 "</f>
        <v xml:space="preserve">SOUTHAVEN                 </v>
      </c>
      <c r="F19482" t="str">
        <f t="shared" si="468"/>
        <v>MS</v>
      </c>
    </row>
    <row r="19483" spans="1:6" x14ac:dyDescent="0.25">
      <c r="A19483" t="str">
        <f>"200022681"</f>
        <v>200022681</v>
      </c>
      <c r="B19483" t="str">
        <f>"1508427394"</f>
        <v>1508427394</v>
      </c>
      <c r="C19483" t="str">
        <f>"367500000X"</f>
        <v>367500000X</v>
      </c>
      <c r="D19483" t="str">
        <f>"REDDIN                   ANTHONY                  "</f>
        <v xml:space="preserve">REDDIN                   ANTHONY                  </v>
      </c>
      <c r="E19483" t="str">
        <f>"VANCLEAVE                 "</f>
        <v xml:space="preserve">VANCLEAVE                 </v>
      </c>
      <c r="F19483" t="str">
        <f t="shared" si="468"/>
        <v>MS</v>
      </c>
    </row>
    <row r="19484" spans="1:6" x14ac:dyDescent="0.25">
      <c r="A19484" t="str">
        <f>"200022683"</f>
        <v>200022683</v>
      </c>
      <c r="B19484" t="str">
        <f>"1003931767"</f>
        <v>1003931767</v>
      </c>
      <c r="C19484" t="str">
        <f>"207Q00000X"</f>
        <v>207Q00000X</v>
      </c>
      <c r="D19484" t="str">
        <f>"GOVIL                    NIRAJ                    "</f>
        <v xml:space="preserve">GOVIL                    NIRAJ                    </v>
      </c>
      <c r="E19484" t="str">
        <f>"JACKSON                   "</f>
        <v xml:space="preserve">JACKSON                   </v>
      </c>
      <c r="F19484" t="str">
        <f t="shared" si="468"/>
        <v>MS</v>
      </c>
    </row>
    <row r="19485" spans="1:6" x14ac:dyDescent="0.25">
      <c r="A19485" t="str">
        <f>"200022684"</f>
        <v>200022684</v>
      </c>
      <c r="B19485" t="str">
        <f>"1700027786"</f>
        <v>1700027786</v>
      </c>
      <c r="C19485" t="str">
        <f>"2085R0202X"</f>
        <v>2085R0202X</v>
      </c>
      <c r="D19485" t="str">
        <f>"SMITH                    CHARLES                  "</f>
        <v xml:space="preserve">SMITH                    CHARLES                  </v>
      </c>
      <c r="E19485" t="str">
        <f>"MERIDIAN                  "</f>
        <v xml:space="preserve">MERIDIAN                  </v>
      </c>
      <c r="F19485" t="str">
        <f t="shared" si="468"/>
        <v>MS</v>
      </c>
    </row>
    <row r="19486" spans="1:6" x14ac:dyDescent="0.25">
      <c r="A19486" t="str">
        <f>"200022688"</f>
        <v>200022688</v>
      </c>
      <c r="B19486" t="str">
        <f>"1235173220"</f>
        <v>1235173220</v>
      </c>
      <c r="C19486" t="str">
        <f>"363L00000X"</f>
        <v>363L00000X</v>
      </c>
      <c r="D19486" t="str">
        <f>"GALE                     STEPHANIE    M           "</f>
        <v xml:space="preserve">GALE                     STEPHANIE    M           </v>
      </c>
      <c r="E19486" t="str">
        <f>"COLUMBUS                  "</f>
        <v xml:space="preserve">COLUMBUS                  </v>
      </c>
      <c r="F19486" t="str">
        <f t="shared" si="468"/>
        <v>MS</v>
      </c>
    </row>
    <row r="19487" spans="1:6" x14ac:dyDescent="0.25">
      <c r="A19487" t="str">
        <f>"200022689"</f>
        <v>200022689</v>
      </c>
      <c r="B19487" t="str">
        <f>"1720047558"</f>
        <v>1720047558</v>
      </c>
      <c r="C19487" t="str">
        <f>"208600000X"</f>
        <v>208600000X</v>
      </c>
      <c r="D19487" t="str">
        <f>"HERBERT                  VIRGINIA                 "</f>
        <v xml:space="preserve">HERBERT                  VIRGINIA                 </v>
      </c>
      <c r="E19487" t="str">
        <f>"VICKSBURG                 "</f>
        <v xml:space="preserve">VICKSBURG                 </v>
      </c>
      <c r="F19487" t="str">
        <f t="shared" si="468"/>
        <v>MS</v>
      </c>
    </row>
    <row r="19488" spans="1:6" x14ac:dyDescent="0.25">
      <c r="A19488" t="str">
        <f>"200022691"</f>
        <v>200022691</v>
      </c>
      <c r="B19488" t="str">
        <f>"1306634662"</f>
        <v>1306634662</v>
      </c>
      <c r="C19488" t="str">
        <f>"207R00000X"</f>
        <v>207R00000X</v>
      </c>
      <c r="D19488" t="str">
        <f>"SHAIK                    FATHIMA                  "</f>
        <v xml:space="preserve">SHAIK                    FATHIMA                  </v>
      </c>
      <c r="E19488" t="str">
        <f>"TUPELO                    "</f>
        <v xml:space="preserve">TUPELO                    </v>
      </c>
      <c r="F19488" t="str">
        <f t="shared" si="468"/>
        <v>MS</v>
      </c>
    </row>
    <row r="19489" spans="1:6" x14ac:dyDescent="0.25">
      <c r="A19489" t="str">
        <f>"200022693"</f>
        <v>200022693</v>
      </c>
      <c r="B19489" t="str">
        <f>"1356920656"</f>
        <v>1356920656</v>
      </c>
      <c r="C19489" t="str">
        <f>"207R00000X"</f>
        <v>207R00000X</v>
      </c>
      <c r="D19489" t="str">
        <f>"VACHERSON                ALBERT                   "</f>
        <v xml:space="preserve">VACHERSON                ALBERT                   </v>
      </c>
      <c r="E19489" t="str">
        <f>"BOONEVILLE                "</f>
        <v xml:space="preserve">BOONEVILLE                </v>
      </c>
      <c r="F19489" t="str">
        <f t="shared" si="468"/>
        <v>MS</v>
      </c>
    </row>
    <row r="19490" spans="1:6" x14ac:dyDescent="0.25">
      <c r="A19490" t="str">
        <f>"200022699"</f>
        <v>200022699</v>
      </c>
      <c r="B19490" t="str">
        <f>"1538388012"</f>
        <v>1538388012</v>
      </c>
      <c r="C19490" t="str">
        <f>"207ZP0102X"</f>
        <v>207ZP0102X</v>
      </c>
      <c r="D19490" t="str">
        <f>"DRESS                    MATTHEW      A           "</f>
        <v xml:space="preserve">DRESS                    MATTHEW      A           </v>
      </c>
      <c r="E19490" t="str">
        <f>"SOUTHAVEN                 "</f>
        <v xml:space="preserve">SOUTHAVEN                 </v>
      </c>
      <c r="F19490" t="str">
        <f t="shared" si="468"/>
        <v>MS</v>
      </c>
    </row>
    <row r="19491" spans="1:6" x14ac:dyDescent="0.25">
      <c r="A19491" t="str">
        <f>"200022702"</f>
        <v>200022702</v>
      </c>
      <c r="B19491" t="str">
        <f>"1942889498"</f>
        <v>1942889498</v>
      </c>
      <c r="C19491" t="str">
        <f>"208000000X"</f>
        <v>208000000X</v>
      </c>
      <c r="D19491" t="str">
        <f>"EBEID                    MARIAM                   "</f>
        <v xml:space="preserve">EBEID                    MARIAM                   </v>
      </c>
      <c r="E19491" t="str">
        <f>"JACKSON                   "</f>
        <v xml:space="preserve">JACKSON                   </v>
      </c>
      <c r="F19491" t="str">
        <f t="shared" si="468"/>
        <v>MS</v>
      </c>
    </row>
    <row r="19492" spans="1:6" x14ac:dyDescent="0.25">
      <c r="A19492" t="str">
        <f>"200022703"</f>
        <v>200022703</v>
      </c>
      <c r="B19492" t="str">
        <f>"1629969829"</f>
        <v>1629969829</v>
      </c>
      <c r="C19492" t="str">
        <f>"363LF0000X"</f>
        <v>363LF0000X</v>
      </c>
      <c r="D19492" t="str">
        <f>"JOHNSON                  KRISTIN                  "</f>
        <v xml:space="preserve">JOHNSON                  KRISTIN                  </v>
      </c>
      <c r="E19492" t="str">
        <f>"OCEAN SPRINGS             "</f>
        <v xml:space="preserve">OCEAN SPRINGS             </v>
      </c>
      <c r="F19492" t="str">
        <f t="shared" si="468"/>
        <v>MS</v>
      </c>
    </row>
    <row r="19493" spans="1:6" x14ac:dyDescent="0.25">
      <c r="A19493" t="str">
        <f>"200022707"</f>
        <v>200022707</v>
      </c>
      <c r="B19493" t="str">
        <f>"1881271351"</f>
        <v>1881271351</v>
      </c>
      <c r="C19493" t="str">
        <f>"208600000X"</f>
        <v>208600000X</v>
      </c>
      <c r="D19493" t="str">
        <f>"SEVERANCE                ALYSCIA                  "</f>
        <v xml:space="preserve">SEVERANCE                ALYSCIA                  </v>
      </c>
      <c r="E19493" t="str">
        <f>"JACKSON                   "</f>
        <v xml:space="preserve">JACKSON                   </v>
      </c>
      <c r="F19493" t="str">
        <f t="shared" si="468"/>
        <v>MS</v>
      </c>
    </row>
    <row r="19494" spans="1:6" x14ac:dyDescent="0.25">
      <c r="A19494" t="str">
        <f>"200022709"</f>
        <v>200022709</v>
      </c>
      <c r="B19494" t="str">
        <f>"1194515965"</f>
        <v>1194515965</v>
      </c>
      <c r="C19494" t="str">
        <f>"122300000X"</f>
        <v>122300000X</v>
      </c>
      <c r="D19494" t="str">
        <f>"EDWARD BROWN SPECIALTY PARTNERS OF MS PLLC        "</f>
        <v xml:space="preserve">EDWARD BROWN SPECIALTY PARTNERS OF MS PLLC        </v>
      </c>
      <c r="E19494" t="str">
        <f>"GULFPORT                  "</f>
        <v xml:space="preserve">GULFPORT                  </v>
      </c>
      <c r="F19494" t="str">
        <f t="shared" si="468"/>
        <v>MS</v>
      </c>
    </row>
    <row r="19495" spans="1:6" x14ac:dyDescent="0.25">
      <c r="A19495" t="str">
        <f>"200022714"</f>
        <v>200022714</v>
      </c>
      <c r="B19495" t="str">
        <f>"1710505425"</f>
        <v>1710505425</v>
      </c>
      <c r="C19495" t="str">
        <f>"363LP0808X"</f>
        <v>363LP0808X</v>
      </c>
      <c r="D19495" t="str">
        <f>"KNIGHT                   LAKIERRIA                "</f>
        <v xml:space="preserve">KNIGHT                   LAKIERRIA                </v>
      </c>
      <c r="E19495" t="str">
        <f>"BILOXI                    "</f>
        <v xml:space="preserve">BILOXI                    </v>
      </c>
      <c r="F19495" t="str">
        <f t="shared" si="468"/>
        <v>MS</v>
      </c>
    </row>
    <row r="19496" spans="1:6" x14ac:dyDescent="0.25">
      <c r="A19496" t="str">
        <f>"200022719"</f>
        <v>200022719</v>
      </c>
      <c r="B19496" t="str">
        <f>"1538059969"</f>
        <v>1538059969</v>
      </c>
      <c r="C19496" t="str">
        <f>"363LF0000X"</f>
        <v>363LF0000X</v>
      </c>
      <c r="D19496" t="str">
        <f>"BIRDSONG                 LESLEY                   "</f>
        <v xml:space="preserve">BIRDSONG                 LESLEY                   </v>
      </c>
      <c r="E19496" t="str">
        <f>"OLIVE BRANCH              "</f>
        <v xml:space="preserve">OLIVE BRANCH              </v>
      </c>
      <c r="F19496" t="str">
        <f t="shared" si="468"/>
        <v>MS</v>
      </c>
    </row>
    <row r="19497" spans="1:6" x14ac:dyDescent="0.25">
      <c r="A19497" t="str">
        <f>"200022721"</f>
        <v>200022721</v>
      </c>
      <c r="B19497" t="str">
        <f>"1487279501"</f>
        <v>1487279501</v>
      </c>
      <c r="C19497" t="str">
        <f>"208800000X"</f>
        <v>208800000X</v>
      </c>
      <c r="D19497" t="str">
        <f>"COATE                    IAN          D           "</f>
        <v xml:space="preserve">COATE                    IAN          D           </v>
      </c>
      <c r="E19497" t="str">
        <f>"OCEAN SPRINGS             "</f>
        <v xml:space="preserve">OCEAN SPRINGS             </v>
      </c>
      <c r="F19497" t="str">
        <f t="shared" si="468"/>
        <v>MS</v>
      </c>
    </row>
    <row r="19498" spans="1:6" x14ac:dyDescent="0.25">
      <c r="A19498" t="str">
        <f>"200022724"</f>
        <v>200022724</v>
      </c>
      <c r="B19498" t="str">
        <f>"1194475962"</f>
        <v>1194475962</v>
      </c>
      <c r="C19498" t="str">
        <f>"208000000X"</f>
        <v>208000000X</v>
      </c>
      <c r="D19498" t="str">
        <f>"CULBERTSON               JOHN                     "</f>
        <v xml:space="preserve">CULBERTSON               JOHN                     </v>
      </c>
      <c r="E19498" t="str">
        <f>"JACKSON                   "</f>
        <v xml:space="preserve">JACKSON                   </v>
      </c>
      <c r="F19498" t="str">
        <f t="shared" si="468"/>
        <v>MS</v>
      </c>
    </row>
    <row r="19499" spans="1:6" x14ac:dyDescent="0.25">
      <c r="A19499" t="str">
        <f>"200022733"</f>
        <v>200022733</v>
      </c>
      <c r="B19499" t="str">
        <f>"1417832171"</f>
        <v>1417832171</v>
      </c>
      <c r="C19499" t="str">
        <f>"363L00000X"</f>
        <v>363L00000X</v>
      </c>
      <c r="D19499" t="str">
        <f>"DOUGHER                  ELIZABETH                "</f>
        <v xml:space="preserve">DOUGHER                  ELIZABETH                </v>
      </c>
      <c r="E19499" t="str">
        <f>"HERNANDO                  "</f>
        <v xml:space="preserve">HERNANDO                  </v>
      </c>
      <c r="F19499" t="str">
        <f t="shared" si="468"/>
        <v>MS</v>
      </c>
    </row>
    <row r="19500" spans="1:6" x14ac:dyDescent="0.25">
      <c r="A19500" t="str">
        <f>"200022734"</f>
        <v>200022734</v>
      </c>
      <c r="B19500" t="str">
        <f>"1427515915"</f>
        <v>1427515915</v>
      </c>
      <c r="C19500" t="str">
        <f>"363L00000X"</f>
        <v>363L00000X</v>
      </c>
      <c r="D19500" t="str">
        <f>"CLIFTON                  JOHN                     "</f>
        <v xml:space="preserve">CLIFTON                  JOHN                     </v>
      </c>
      <c r="E19500" t="str">
        <f>"NATCHEZ                   "</f>
        <v xml:space="preserve">NATCHEZ                   </v>
      </c>
      <c r="F19500" t="str">
        <f t="shared" si="468"/>
        <v>MS</v>
      </c>
    </row>
    <row r="19501" spans="1:6" x14ac:dyDescent="0.25">
      <c r="A19501" t="str">
        <f>"200022739"</f>
        <v>200022739</v>
      </c>
      <c r="B19501" t="str">
        <f>"1639405749"</f>
        <v>1639405749</v>
      </c>
      <c r="C19501" t="str">
        <f>"363A00000X"</f>
        <v>363A00000X</v>
      </c>
      <c r="D19501" t="str">
        <f>"WILLS                    LEAH         M           "</f>
        <v xml:space="preserve">WILLS                    LEAH         M           </v>
      </c>
      <c r="E19501" t="str">
        <f>"HATTIESBURG               "</f>
        <v xml:space="preserve">HATTIESBURG               </v>
      </c>
      <c r="F19501" t="str">
        <f t="shared" si="468"/>
        <v>MS</v>
      </c>
    </row>
    <row r="19502" spans="1:6" x14ac:dyDescent="0.25">
      <c r="A19502" t="str">
        <f>"200022740"</f>
        <v>200022740</v>
      </c>
      <c r="B19502" t="str">
        <f>"1669369062"</f>
        <v>1669369062</v>
      </c>
      <c r="C19502" t="str">
        <f>"363L00000X"</f>
        <v>363L00000X</v>
      </c>
      <c r="D19502" t="str">
        <f>"SHERMAN                  CATHERINE                "</f>
        <v xml:space="preserve">SHERMAN                  CATHERINE                </v>
      </c>
      <c r="E19502" t="str">
        <f>"CANTON                    "</f>
        <v xml:space="preserve">CANTON                    </v>
      </c>
      <c r="F19502" t="str">
        <f t="shared" si="468"/>
        <v>MS</v>
      </c>
    </row>
    <row r="19503" spans="1:6" x14ac:dyDescent="0.25">
      <c r="A19503" t="str">
        <f>"200022743"</f>
        <v>200022743</v>
      </c>
      <c r="B19503" t="str">
        <f>"1205626355"</f>
        <v>1205626355</v>
      </c>
      <c r="C19503" t="str">
        <f>"207R00000X"</f>
        <v>207R00000X</v>
      </c>
      <c r="D19503" t="str">
        <f>"CHOHAN                   HIRA                     "</f>
        <v xml:space="preserve">CHOHAN                   HIRA                     </v>
      </c>
      <c r="E19503" t="str">
        <f>"JACKSON                   "</f>
        <v xml:space="preserve">JACKSON                   </v>
      </c>
      <c r="F19503" t="str">
        <f t="shared" si="468"/>
        <v>MS</v>
      </c>
    </row>
    <row r="19504" spans="1:6" x14ac:dyDescent="0.25">
      <c r="A19504" t="str">
        <f>"200022747"</f>
        <v>200022747</v>
      </c>
      <c r="B19504" t="str">
        <f>"1881458271"</f>
        <v>1881458271</v>
      </c>
      <c r="C19504" t="str">
        <f>"208600000X"</f>
        <v>208600000X</v>
      </c>
      <c r="D19504" t="str">
        <f>"COGGINS                  JORDAN                   "</f>
        <v xml:space="preserve">COGGINS                  JORDAN                   </v>
      </c>
      <c r="E19504" t="str">
        <f>"JACKSON                   "</f>
        <v xml:space="preserve">JACKSON                   </v>
      </c>
      <c r="F19504" t="str">
        <f t="shared" si="468"/>
        <v>MS</v>
      </c>
    </row>
    <row r="19505" spans="1:6" x14ac:dyDescent="0.25">
      <c r="A19505" t="str">
        <f>"200022750"</f>
        <v>200022750</v>
      </c>
      <c r="B19505" t="str">
        <f>"1245871847"</f>
        <v>1245871847</v>
      </c>
      <c r="C19505" t="str">
        <f>"363LA2100X"</f>
        <v>363LA2100X</v>
      </c>
      <c r="D19505" t="str">
        <f>"REED                     TAMMY                    "</f>
        <v xml:space="preserve">REED                     TAMMY                    </v>
      </c>
      <c r="E19505" t="str">
        <f>"SOUTHAVEN                 "</f>
        <v xml:space="preserve">SOUTHAVEN                 </v>
      </c>
      <c r="F19505" t="str">
        <f t="shared" si="468"/>
        <v>MS</v>
      </c>
    </row>
    <row r="19506" spans="1:6" x14ac:dyDescent="0.25">
      <c r="A19506" t="str">
        <f>"200022753"</f>
        <v>200022753</v>
      </c>
      <c r="B19506" t="str">
        <f>"1013901743"</f>
        <v>1013901743</v>
      </c>
      <c r="C19506" t="str">
        <f>"2085R0202X"</f>
        <v>2085R0202X</v>
      </c>
      <c r="D19506" t="str">
        <f>"HIEHLE                   JOHN                     "</f>
        <v xml:space="preserve">HIEHLE                   JOHN                     </v>
      </c>
      <c r="E19506" t="str">
        <f>"JACKSON                   "</f>
        <v xml:space="preserve">JACKSON                   </v>
      </c>
      <c r="F19506" t="str">
        <f t="shared" si="468"/>
        <v>MS</v>
      </c>
    </row>
    <row r="19507" spans="1:6" x14ac:dyDescent="0.25">
      <c r="A19507" t="str">
        <f>"200022754"</f>
        <v>200022754</v>
      </c>
      <c r="B19507" t="str">
        <f>"1083265185"</f>
        <v>1083265185</v>
      </c>
      <c r="C19507" t="str">
        <f>"367500000X"</f>
        <v>367500000X</v>
      </c>
      <c r="D19507" t="str">
        <f>"WEATHERLY                TRINH        T           "</f>
        <v xml:space="preserve">WEATHERLY                TRINH        T           </v>
      </c>
      <c r="E19507" t="str">
        <f>"PASCAGOULA                "</f>
        <v xml:space="preserve">PASCAGOULA                </v>
      </c>
      <c r="F19507" t="str">
        <f t="shared" si="468"/>
        <v>MS</v>
      </c>
    </row>
    <row r="19508" spans="1:6" x14ac:dyDescent="0.25">
      <c r="A19508" t="str">
        <f>"200022761"</f>
        <v>200022761</v>
      </c>
      <c r="B19508" t="str">
        <f>"1285518530"</f>
        <v>1285518530</v>
      </c>
      <c r="C19508" t="str">
        <f>"363L00000X"</f>
        <v>363L00000X</v>
      </c>
      <c r="D19508" t="str">
        <f>"RICE                     CAROLINE                 "</f>
        <v xml:space="preserve">RICE                     CAROLINE                 </v>
      </c>
      <c r="E19508" t="str">
        <f>"OXFORD                    "</f>
        <v xml:space="preserve">OXFORD                    </v>
      </c>
      <c r="F19508" t="str">
        <f t="shared" si="468"/>
        <v>MS</v>
      </c>
    </row>
    <row r="19509" spans="1:6" x14ac:dyDescent="0.25">
      <c r="A19509" t="str">
        <f>"200022764"</f>
        <v>200022764</v>
      </c>
      <c r="B19509" t="str">
        <f>"1619111606"</f>
        <v>1619111606</v>
      </c>
      <c r="C19509" t="str">
        <f>"363LF0000X"</f>
        <v>363LF0000X</v>
      </c>
      <c r="D19509" t="str">
        <f>"OLIVER                   BEVERLY                  "</f>
        <v xml:space="preserve">OLIVER                   BEVERLY                  </v>
      </c>
      <c r="E19509" t="str">
        <f>"JACKSON                   "</f>
        <v xml:space="preserve">JACKSON                   </v>
      </c>
      <c r="F19509" t="str">
        <f t="shared" si="468"/>
        <v>MS</v>
      </c>
    </row>
    <row r="19510" spans="1:6" x14ac:dyDescent="0.25">
      <c r="A19510" t="str">
        <f>"200022766"</f>
        <v>200022766</v>
      </c>
      <c r="B19510" t="str">
        <f>"1639901523"</f>
        <v>1639901523</v>
      </c>
      <c r="C19510" t="str">
        <f>"363LP0808X"</f>
        <v>363LP0808X</v>
      </c>
      <c r="D19510" t="str">
        <f>"PEEPLES                  MERCEDES                 "</f>
        <v xml:space="preserve">PEEPLES                  MERCEDES                 </v>
      </c>
      <c r="E19510" t="str">
        <f>"OXFORD                    "</f>
        <v xml:space="preserve">OXFORD                    </v>
      </c>
      <c r="F19510" t="str">
        <f t="shared" si="468"/>
        <v>MS</v>
      </c>
    </row>
    <row r="19511" spans="1:6" x14ac:dyDescent="0.25">
      <c r="A19511" t="str">
        <f>"200022770"</f>
        <v>200022770</v>
      </c>
      <c r="B19511" t="str">
        <f>"1972059491"</f>
        <v>1972059491</v>
      </c>
      <c r="C19511" t="str">
        <f>"367500000X"</f>
        <v>367500000X</v>
      </c>
      <c r="D19511" t="str">
        <f>"PERKINS                  DESIREE                  "</f>
        <v xml:space="preserve">PERKINS                  DESIREE                  </v>
      </c>
      <c r="E19511" t="str">
        <f>"OLIVE BRANCH              "</f>
        <v xml:space="preserve">OLIVE BRANCH              </v>
      </c>
      <c r="F19511" t="str">
        <f t="shared" si="468"/>
        <v>MS</v>
      </c>
    </row>
    <row r="19512" spans="1:6" x14ac:dyDescent="0.25">
      <c r="A19512" t="str">
        <f>"200022774"</f>
        <v>200022774</v>
      </c>
      <c r="B19512" t="str">
        <f>"1770228330"</f>
        <v>1770228330</v>
      </c>
      <c r="C19512" t="str">
        <f>"363LA2100X"</f>
        <v>363LA2100X</v>
      </c>
      <c r="D19512" t="str">
        <f>"TILLIS                   SHONA                    "</f>
        <v xml:space="preserve">TILLIS                   SHONA                    </v>
      </c>
      <c r="E19512" t="str">
        <f>"HATTIESBURG               "</f>
        <v xml:space="preserve">HATTIESBURG               </v>
      </c>
      <c r="F19512" t="str">
        <f t="shared" si="468"/>
        <v>MS</v>
      </c>
    </row>
    <row r="19513" spans="1:6" x14ac:dyDescent="0.25">
      <c r="A19513" t="str">
        <f>"200022778"</f>
        <v>200022778</v>
      </c>
      <c r="B19513" t="str">
        <f>"1992695571"</f>
        <v>1992695571</v>
      </c>
      <c r="C19513" t="str">
        <f>"1223G0001X"</f>
        <v>1223G0001X</v>
      </c>
      <c r="D19513" t="str">
        <f>"MOORE FAMILY DENTAL                               "</f>
        <v xml:space="preserve">MOORE FAMILY DENTAL                               </v>
      </c>
      <c r="E19513" t="str">
        <f>"COLUMBIA                  "</f>
        <v xml:space="preserve">COLUMBIA                  </v>
      </c>
      <c r="F19513" t="str">
        <f t="shared" si="468"/>
        <v>MS</v>
      </c>
    </row>
    <row r="19514" spans="1:6" x14ac:dyDescent="0.25">
      <c r="A19514" t="str">
        <f>"200022779"</f>
        <v>200022779</v>
      </c>
      <c r="B19514" t="str">
        <f>"1972277440"</f>
        <v>1972277440</v>
      </c>
      <c r="C19514" t="str">
        <f>"363L00000X"</f>
        <v>363L00000X</v>
      </c>
      <c r="D19514" t="str">
        <f>"OSWALT                   CHINAH                   "</f>
        <v xml:space="preserve">OSWALT                   CHINAH                   </v>
      </c>
      <c r="E19514" t="str">
        <f>"SALTILLO                  "</f>
        <v xml:space="preserve">SALTILLO                  </v>
      </c>
      <c r="F19514" t="str">
        <f t="shared" si="468"/>
        <v>MS</v>
      </c>
    </row>
    <row r="19515" spans="1:6" x14ac:dyDescent="0.25">
      <c r="A19515" t="str">
        <f>"200022785"</f>
        <v>200022785</v>
      </c>
      <c r="B19515" t="str">
        <f>"1801779590"</f>
        <v>1801779590</v>
      </c>
      <c r="C19515" t="str">
        <f>"207RN0300X"</f>
        <v>207RN0300X</v>
      </c>
      <c r="D19515" t="str">
        <f>"JARADAT                  RAGHAD                   "</f>
        <v xml:space="preserve">JARADAT                  RAGHAD                   </v>
      </c>
      <c r="E19515" t="str">
        <f>"JACKSON                   "</f>
        <v xml:space="preserve">JACKSON                   </v>
      </c>
      <c r="F19515" t="str">
        <f t="shared" si="468"/>
        <v>MS</v>
      </c>
    </row>
    <row r="19516" spans="1:6" x14ac:dyDescent="0.25">
      <c r="A19516" t="str">
        <f>"200022788"</f>
        <v>200022788</v>
      </c>
      <c r="B19516" t="str">
        <f>"1225495476"</f>
        <v>1225495476</v>
      </c>
      <c r="C19516" t="str">
        <f>"363LA2100X"</f>
        <v>363LA2100X</v>
      </c>
      <c r="D19516" t="str">
        <f>"BURKES                   KRISTEN      B           "</f>
        <v xml:space="preserve">BURKES                   KRISTEN      B           </v>
      </c>
      <c r="E19516" t="str">
        <f>"JACKSON                   "</f>
        <v xml:space="preserve">JACKSON                   </v>
      </c>
      <c r="F19516" t="str">
        <f t="shared" si="468"/>
        <v>MS</v>
      </c>
    </row>
    <row r="19517" spans="1:6" x14ac:dyDescent="0.25">
      <c r="A19517" t="str">
        <f>"200022791"</f>
        <v>200022791</v>
      </c>
      <c r="B19517" t="str">
        <f>"1851000889"</f>
        <v>1851000889</v>
      </c>
      <c r="C19517" t="str">
        <f>"363LP0200X"</f>
        <v>363LP0200X</v>
      </c>
      <c r="D19517" t="str">
        <f>"FLOURNOY                 CHASITY      B           "</f>
        <v xml:space="preserve">FLOURNOY                 CHASITY      B           </v>
      </c>
      <c r="E19517" t="str">
        <f>"COLUMBUS                  "</f>
        <v xml:space="preserve">COLUMBUS                  </v>
      </c>
      <c r="F19517" t="str">
        <f t="shared" si="468"/>
        <v>MS</v>
      </c>
    </row>
    <row r="19518" spans="1:6" x14ac:dyDescent="0.25">
      <c r="A19518" t="str">
        <f>"200022793"</f>
        <v>200022793</v>
      </c>
      <c r="B19518" t="str">
        <f>"1508598376"</f>
        <v>1508598376</v>
      </c>
      <c r="C19518" t="str">
        <f>"363LP0808X"</f>
        <v>363LP0808X</v>
      </c>
      <c r="D19518" t="str">
        <f>"CALCOTE                  LEIGH        H           "</f>
        <v xml:space="preserve">CALCOTE                  LEIGH        H           </v>
      </c>
      <c r="E19518" t="str">
        <f>"HATTIESBURG               "</f>
        <v xml:space="preserve">HATTIESBURG               </v>
      </c>
      <c r="F19518" t="str">
        <f t="shared" ref="F19518:F19581" si="469">"MS"</f>
        <v>MS</v>
      </c>
    </row>
    <row r="19519" spans="1:6" x14ac:dyDescent="0.25">
      <c r="A19519" t="str">
        <f>"200022795"</f>
        <v>200022795</v>
      </c>
      <c r="B19519" t="str">
        <f>"1265694814"</f>
        <v>1265694814</v>
      </c>
      <c r="C19519" t="str">
        <f>"367500000X"</f>
        <v>367500000X</v>
      </c>
      <c r="D19519" t="str">
        <f>"MILLER                   ROBERT       L           "</f>
        <v xml:space="preserve">MILLER                   ROBERT       L           </v>
      </c>
      <c r="E19519" t="str">
        <f>"GULFPORT                  "</f>
        <v xml:space="preserve">GULFPORT                  </v>
      </c>
      <c r="F19519" t="str">
        <f t="shared" si="469"/>
        <v>MS</v>
      </c>
    </row>
    <row r="19520" spans="1:6" x14ac:dyDescent="0.25">
      <c r="A19520" t="str">
        <f>"200022800"</f>
        <v>200022800</v>
      </c>
      <c r="B19520" t="str">
        <f>"1831753227"</f>
        <v>1831753227</v>
      </c>
      <c r="C19520" t="str">
        <f>"2084N0400X"</f>
        <v>2084N0400X</v>
      </c>
      <c r="D19520" t="str">
        <f>"PILLAI                   ARUN                     "</f>
        <v xml:space="preserve">PILLAI                   ARUN                     </v>
      </c>
      <c r="E19520" t="str">
        <f>"TUPELO                    "</f>
        <v xml:space="preserve">TUPELO                    </v>
      </c>
      <c r="F19520" t="str">
        <f t="shared" si="469"/>
        <v>MS</v>
      </c>
    </row>
    <row r="19521" spans="1:6" x14ac:dyDescent="0.25">
      <c r="A19521" t="str">
        <f>"200022802"</f>
        <v>200022802</v>
      </c>
      <c r="B19521" t="str">
        <f>"1669590212"</f>
        <v>1669590212</v>
      </c>
      <c r="C19521" t="str">
        <f>"367500000X"</f>
        <v>367500000X</v>
      </c>
      <c r="D19521" t="str">
        <f>"YARROW                   SARA                     "</f>
        <v xml:space="preserve">YARROW                   SARA                     </v>
      </c>
      <c r="E19521" t="str">
        <f>"SOUTHAVEN                 "</f>
        <v xml:space="preserve">SOUTHAVEN                 </v>
      </c>
      <c r="F19521" t="str">
        <f t="shared" si="469"/>
        <v>MS</v>
      </c>
    </row>
    <row r="19522" spans="1:6" x14ac:dyDescent="0.25">
      <c r="A19522" t="str">
        <f>"200022806"</f>
        <v>200022806</v>
      </c>
      <c r="B19522" t="str">
        <f>"1184882565"</f>
        <v>1184882565</v>
      </c>
      <c r="C19522" t="str">
        <f>"367500000X"</f>
        <v>367500000X</v>
      </c>
      <c r="D19522" t="str">
        <f>"WALTON                   PAMELA                   "</f>
        <v xml:space="preserve">WALTON                   PAMELA                   </v>
      </c>
      <c r="E19522" t="str">
        <f>"OLIVE BRANCH              "</f>
        <v xml:space="preserve">OLIVE BRANCH              </v>
      </c>
      <c r="F19522" t="str">
        <f t="shared" si="469"/>
        <v>MS</v>
      </c>
    </row>
    <row r="19523" spans="1:6" x14ac:dyDescent="0.25">
      <c r="A19523" t="str">
        <f>"200022811"</f>
        <v>200022811</v>
      </c>
      <c r="B19523" t="str">
        <f>"1710499751"</f>
        <v>1710499751</v>
      </c>
      <c r="C19523" t="str">
        <f>"367500000X"</f>
        <v>367500000X</v>
      </c>
      <c r="D19523" t="str">
        <f>"HOLLOWELL                DANIEL                   "</f>
        <v xml:space="preserve">HOLLOWELL                DANIEL                   </v>
      </c>
      <c r="E19523" t="str">
        <f>"PASCAGOULA                "</f>
        <v xml:space="preserve">PASCAGOULA                </v>
      </c>
      <c r="F19523" t="str">
        <f t="shared" si="469"/>
        <v>MS</v>
      </c>
    </row>
    <row r="19524" spans="1:6" x14ac:dyDescent="0.25">
      <c r="A19524" t="str">
        <f>"200022812"</f>
        <v>200022812</v>
      </c>
      <c r="B19524" t="str">
        <f>"1275102295"</f>
        <v>1275102295</v>
      </c>
      <c r="C19524" t="str">
        <f>"2080N0001X"</f>
        <v>2080N0001X</v>
      </c>
      <c r="D19524" t="str">
        <f>"SKOUSEN                  CRAIG                    "</f>
        <v xml:space="preserve">SKOUSEN                  CRAIG                    </v>
      </c>
      <c r="E19524" t="str">
        <f>"JACKSON                   "</f>
        <v xml:space="preserve">JACKSON                   </v>
      </c>
      <c r="F19524" t="str">
        <f t="shared" si="469"/>
        <v>MS</v>
      </c>
    </row>
    <row r="19525" spans="1:6" x14ac:dyDescent="0.25">
      <c r="A19525" t="str">
        <f>"200022814"</f>
        <v>200022814</v>
      </c>
      <c r="B19525" t="str">
        <f>"1821544198"</f>
        <v>1821544198</v>
      </c>
      <c r="C19525" t="str">
        <f>"207Q00000X"</f>
        <v>207Q00000X</v>
      </c>
      <c r="D19525" t="str">
        <f>"MACLEOD                  DAVID        N           "</f>
        <v xml:space="preserve">MACLEOD                  DAVID        N           </v>
      </c>
      <c r="E19525" t="str">
        <f>"VICKSBURG                 "</f>
        <v xml:space="preserve">VICKSBURG                 </v>
      </c>
      <c r="F19525" t="str">
        <f t="shared" si="469"/>
        <v>MS</v>
      </c>
    </row>
    <row r="19526" spans="1:6" x14ac:dyDescent="0.25">
      <c r="A19526" t="str">
        <f>"200022824"</f>
        <v>200022824</v>
      </c>
      <c r="B19526" t="str">
        <f>"1669237988"</f>
        <v>1669237988</v>
      </c>
      <c r="C19526" t="str">
        <f>"2084P0800X"</f>
        <v>2084P0800X</v>
      </c>
      <c r="D19526" t="str">
        <f>"MOLLY NGUYEN             MOLLY NGUYEN             "</f>
        <v xml:space="preserve">MOLLY NGUYEN             MOLLY NGUYEN             </v>
      </c>
      <c r="E19526" t="str">
        <f>"JACKSON                   "</f>
        <v xml:space="preserve">JACKSON                   </v>
      </c>
      <c r="F19526" t="str">
        <f t="shared" si="469"/>
        <v>MS</v>
      </c>
    </row>
    <row r="19527" spans="1:6" x14ac:dyDescent="0.25">
      <c r="A19527" t="str">
        <f>"200022830"</f>
        <v>200022830</v>
      </c>
      <c r="B19527" t="str">
        <f>"1609463413"</f>
        <v>1609463413</v>
      </c>
      <c r="C19527" t="str">
        <f>"363L00000X"</f>
        <v>363L00000X</v>
      </c>
      <c r="D19527" t="str">
        <f>"STONE                    NATHAN                   "</f>
        <v xml:space="preserve">STONE                    NATHAN                   </v>
      </c>
      <c r="E19527" t="str">
        <f>"WAYNESBORO                "</f>
        <v xml:space="preserve">WAYNESBORO                </v>
      </c>
      <c r="F19527" t="str">
        <f t="shared" si="469"/>
        <v>MS</v>
      </c>
    </row>
    <row r="19528" spans="1:6" x14ac:dyDescent="0.25">
      <c r="A19528" t="str">
        <f>"200022842"</f>
        <v>200022842</v>
      </c>
      <c r="B19528" t="str">
        <f>"1609238351"</f>
        <v>1609238351</v>
      </c>
      <c r="C19528" t="str">
        <f>"208000000X"</f>
        <v>208000000X</v>
      </c>
      <c r="D19528" t="str">
        <f>"MULLINS                  DANIEL       C           "</f>
        <v xml:space="preserve">MULLINS                  DANIEL       C           </v>
      </c>
      <c r="E19528" t="str">
        <f>"BROOKHAVEN                "</f>
        <v xml:space="preserve">BROOKHAVEN                </v>
      </c>
      <c r="F19528" t="str">
        <f t="shared" si="469"/>
        <v>MS</v>
      </c>
    </row>
    <row r="19529" spans="1:6" x14ac:dyDescent="0.25">
      <c r="A19529" t="str">
        <f>"200022847"</f>
        <v>200022847</v>
      </c>
      <c r="B19529" t="str">
        <f>"1295326932"</f>
        <v>1295326932</v>
      </c>
      <c r="C19529" t="str">
        <f>"207V00000X"</f>
        <v>207V00000X</v>
      </c>
      <c r="D19529" t="str">
        <f>"DROUILHET                RACHEL                   "</f>
        <v xml:space="preserve">DROUILHET                RACHEL                   </v>
      </c>
      <c r="E19529" t="str">
        <f>"GULFPORT                  "</f>
        <v xml:space="preserve">GULFPORT                  </v>
      </c>
      <c r="F19529" t="str">
        <f t="shared" si="469"/>
        <v>MS</v>
      </c>
    </row>
    <row r="19530" spans="1:6" x14ac:dyDescent="0.25">
      <c r="A19530" t="str">
        <f>"200022848"</f>
        <v>200022848</v>
      </c>
      <c r="B19530" t="str">
        <f>"1780709279"</f>
        <v>1780709279</v>
      </c>
      <c r="C19530" t="str">
        <f>"152W00000X"</f>
        <v>152W00000X</v>
      </c>
      <c r="D19530" t="str">
        <f>"KING JR                  PHILLIP      L           "</f>
        <v xml:space="preserve">KING JR                  PHILLIP      L           </v>
      </c>
      <c r="E19530" t="str">
        <f>"PASCAGOULA                "</f>
        <v xml:space="preserve">PASCAGOULA                </v>
      </c>
      <c r="F19530" t="str">
        <f t="shared" si="469"/>
        <v>MS</v>
      </c>
    </row>
    <row r="19531" spans="1:6" x14ac:dyDescent="0.25">
      <c r="A19531" t="str">
        <f>"200022851"</f>
        <v>200022851</v>
      </c>
      <c r="B19531" t="str">
        <f>"1518690130"</f>
        <v>1518690130</v>
      </c>
      <c r="C19531" t="str">
        <f>"207Q00000X"</f>
        <v>207Q00000X</v>
      </c>
      <c r="D19531" t="str">
        <f>"BEINER                   RAYMOND                  "</f>
        <v xml:space="preserve">BEINER                   RAYMOND                  </v>
      </c>
      <c r="E19531" t="str">
        <f>"BILOXI                    "</f>
        <v xml:space="preserve">BILOXI                    </v>
      </c>
      <c r="F19531" t="str">
        <f t="shared" si="469"/>
        <v>MS</v>
      </c>
    </row>
    <row r="19532" spans="1:6" x14ac:dyDescent="0.25">
      <c r="A19532" t="str">
        <f>"200022855"</f>
        <v>200022855</v>
      </c>
      <c r="B19532" t="str">
        <f>"1669365110"</f>
        <v>1669365110</v>
      </c>
      <c r="C19532" t="str">
        <f>"122300000X"</f>
        <v>122300000X</v>
      </c>
      <c r="D19532" t="str">
        <f>"FANNING                  JACOB        K           "</f>
        <v xml:space="preserve">FANNING                  JACOB        K           </v>
      </c>
      <c r="E19532" t="str">
        <f>"STARKVILLE                "</f>
        <v xml:space="preserve">STARKVILLE                </v>
      </c>
      <c r="F19532" t="str">
        <f t="shared" si="469"/>
        <v>MS</v>
      </c>
    </row>
    <row r="19533" spans="1:6" x14ac:dyDescent="0.25">
      <c r="A19533" t="str">
        <f>"200022858"</f>
        <v>200022858</v>
      </c>
      <c r="B19533" t="str">
        <f>"1104488873"</f>
        <v>1104488873</v>
      </c>
      <c r="C19533" t="str">
        <f>"207R00000X"</f>
        <v>207R00000X</v>
      </c>
      <c r="D19533" t="str">
        <f>"KAUR                     RAMANJIT                 "</f>
        <v xml:space="preserve">KAUR                     RAMANJIT                 </v>
      </c>
      <c r="E19533" t="str">
        <f>"JACKSON                   "</f>
        <v xml:space="preserve">JACKSON                   </v>
      </c>
      <c r="F19533" t="str">
        <f t="shared" si="469"/>
        <v>MS</v>
      </c>
    </row>
    <row r="19534" spans="1:6" x14ac:dyDescent="0.25">
      <c r="A19534" t="str">
        <f>"200022865"</f>
        <v>200022865</v>
      </c>
      <c r="B19534" t="str">
        <f>"1881447860"</f>
        <v>1881447860</v>
      </c>
      <c r="C19534" t="str">
        <f>"363LP0808X"</f>
        <v>363LP0808X</v>
      </c>
      <c r="D19534" t="str">
        <f>"PUGH                     REBECCA      S           "</f>
        <v xml:space="preserve">PUGH                     REBECCA      S           </v>
      </c>
      <c r="E19534" t="str">
        <f>"HATTIESBURG               "</f>
        <v xml:space="preserve">HATTIESBURG               </v>
      </c>
      <c r="F19534" t="str">
        <f t="shared" si="469"/>
        <v>MS</v>
      </c>
    </row>
    <row r="19535" spans="1:6" x14ac:dyDescent="0.25">
      <c r="A19535" t="str">
        <f>"200022866"</f>
        <v>200022866</v>
      </c>
      <c r="B19535" t="str">
        <f>"1689950040"</f>
        <v>1689950040</v>
      </c>
      <c r="C19535" t="str">
        <f>"363LP0808X"</f>
        <v>363LP0808X</v>
      </c>
      <c r="D19535" t="str">
        <f>"DABBS                    LISA         G           "</f>
        <v xml:space="preserve">DABBS                    LISA         G           </v>
      </c>
      <c r="E19535" t="str">
        <f>"HATTIESBURG               "</f>
        <v xml:space="preserve">HATTIESBURG               </v>
      </c>
      <c r="F19535" t="str">
        <f t="shared" si="469"/>
        <v>MS</v>
      </c>
    </row>
    <row r="19536" spans="1:6" x14ac:dyDescent="0.25">
      <c r="A19536" t="str">
        <f>"200022874"</f>
        <v>200022874</v>
      </c>
      <c r="B19536" t="str">
        <f>"1841553120"</f>
        <v>1841553120</v>
      </c>
      <c r="C19536" t="str">
        <f>"1223D0004X"</f>
        <v>1223D0004X</v>
      </c>
      <c r="D19536" t="str">
        <f>"BRADY                    JASON        W           "</f>
        <v xml:space="preserve">BRADY                    JASON        W           </v>
      </c>
      <c r="E19536" t="str">
        <f>"PASCAGOULA                "</f>
        <v xml:space="preserve">PASCAGOULA                </v>
      </c>
      <c r="F19536" t="str">
        <f t="shared" si="469"/>
        <v>MS</v>
      </c>
    </row>
    <row r="19537" spans="1:6" x14ac:dyDescent="0.25">
      <c r="A19537" t="str">
        <f>"200022875"</f>
        <v>200022875</v>
      </c>
      <c r="B19537" t="str">
        <f>"1073377206"</f>
        <v>1073377206</v>
      </c>
      <c r="C19537" t="str">
        <f>"207V00000X"</f>
        <v>207V00000X</v>
      </c>
      <c r="D19537" t="str">
        <f>"OUDOMRATH                ADRIAN                   "</f>
        <v xml:space="preserve">OUDOMRATH                ADRIAN                   </v>
      </c>
      <c r="E19537" t="str">
        <f>"JACKSON                   "</f>
        <v xml:space="preserve">JACKSON                   </v>
      </c>
      <c r="F19537" t="str">
        <f t="shared" si="469"/>
        <v>MS</v>
      </c>
    </row>
    <row r="19538" spans="1:6" x14ac:dyDescent="0.25">
      <c r="A19538" t="str">
        <f>"200022879"</f>
        <v>200022879</v>
      </c>
      <c r="B19538" t="str">
        <f>"1679174403"</f>
        <v>1679174403</v>
      </c>
      <c r="C19538" t="str">
        <f>"363LF0000X"</f>
        <v>363LF0000X</v>
      </c>
      <c r="D19538" t="str">
        <f>"COTTON                   KIMBERLIN                "</f>
        <v xml:space="preserve">COTTON                   KIMBERLIN                </v>
      </c>
      <c r="E19538" t="str">
        <f>"COLUMBUS                  "</f>
        <v xml:space="preserve">COLUMBUS                  </v>
      </c>
      <c r="F19538" t="str">
        <f t="shared" si="469"/>
        <v>MS</v>
      </c>
    </row>
    <row r="19539" spans="1:6" x14ac:dyDescent="0.25">
      <c r="A19539" t="str">
        <f>"200022886"</f>
        <v>200022886</v>
      </c>
      <c r="B19539" t="str">
        <f>"1689553083"</f>
        <v>1689553083</v>
      </c>
      <c r="C19539" t="str">
        <f>"363LF0000X"</f>
        <v>363LF0000X</v>
      </c>
      <c r="D19539" t="str">
        <f>"FREEMAN                  JENNA                    "</f>
        <v xml:space="preserve">FREEMAN                  JENNA                    </v>
      </c>
      <c r="E19539" t="str">
        <f>"MERIDIAN                  "</f>
        <v xml:space="preserve">MERIDIAN                  </v>
      </c>
      <c r="F19539" t="str">
        <f t="shared" si="469"/>
        <v>MS</v>
      </c>
    </row>
    <row r="19540" spans="1:6" x14ac:dyDescent="0.25">
      <c r="A19540" t="str">
        <f>"200022889"</f>
        <v>200022889</v>
      </c>
      <c r="B19540" t="str">
        <f>"1225729601"</f>
        <v>1225729601</v>
      </c>
      <c r="C19540" t="str">
        <f>"122300000X"</f>
        <v>122300000X</v>
      </c>
      <c r="D19540" t="str">
        <f>"DAVIS                    SYDNEY       S           "</f>
        <v xml:space="preserve">DAVIS                    SYDNEY       S           </v>
      </c>
      <c r="E19540" t="str">
        <f>"GULFPORT                  "</f>
        <v xml:space="preserve">GULFPORT                  </v>
      </c>
      <c r="F19540" t="str">
        <f t="shared" si="469"/>
        <v>MS</v>
      </c>
    </row>
    <row r="19541" spans="1:6" x14ac:dyDescent="0.25">
      <c r="A19541" t="str">
        <f>"200022906"</f>
        <v>200022906</v>
      </c>
      <c r="B19541" t="str">
        <f>"1326625369"</f>
        <v>1326625369</v>
      </c>
      <c r="C19541" t="str">
        <f>"207V00000X"</f>
        <v>207V00000X</v>
      </c>
      <c r="D19541" t="str">
        <f>"CLARK                    VICTORIA                 "</f>
        <v xml:space="preserve">CLARK                    VICTORIA                 </v>
      </c>
      <c r="E19541" t="str">
        <f>"BILOXI                    "</f>
        <v xml:space="preserve">BILOXI                    </v>
      </c>
      <c r="F19541" t="str">
        <f t="shared" si="469"/>
        <v>MS</v>
      </c>
    </row>
    <row r="19542" spans="1:6" x14ac:dyDescent="0.25">
      <c r="A19542" t="str">
        <f>"200022907"</f>
        <v>200022907</v>
      </c>
      <c r="B19542" t="str">
        <f>"1215267018"</f>
        <v>1215267018</v>
      </c>
      <c r="C19542" t="str">
        <f>"363LP0808X"</f>
        <v>363LP0808X</v>
      </c>
      <c r="D19542" t="str">
        <f>"HARTZOG                  REBECCA      B           "</f>
        <v xml:space="preserve">HARTZOG                  REBECCA      B           </v>
      </c>
      <c r="E19542" t="str">
        <f>"HATTIESBURG               "</f>
        <v xml:space="preserve">HATTIESBURG               </v>
      </c>
      <c r="F19542" t="str">
        <f t="shared" si="469"/>
        <v>MS</v>
      </c>
    </row>
    <row r="19543" spans="1:6" x14ac:dyDescent="0.25">
      <c r="A19543" t="str">
        <f>"200022908"</f>
        <v>200022908</v>
      </c>
      <c r="B19543" t="str">
        <f>"1073393385"</f>
        <v>1073393385</v>
      </c>
      <c r="C19543" t="str">
        <f>"363LP0808X"</f>
        <v>363LP0808X</v>
      </c>
      <c r="D19543" t="str">
        <f>"RUSH                     ALESHIA                  "</f>
        <v xml:space="preserve">RUSH                     ALESHIA                  </v>
      </c>
      <c r="E19543" t="str">
        <f>"WEST POINT                "</f>
        <v xml:space="preserve">WEST POINT                </v>
      </c>
      <c r="F19543" t="str">
        <f t="shared" si="469"/>
        <v>MS</v>
      </c>
    </row>
    <row r="19544" spans="1:6" x14ac:dyDescent="0.25">
      <c r="A19544" t="str">
        <f>"200022910"</f>
        <v>200022910</v>
      </c>
      <c r="B19544" t="str">
        <f>"1598556466"</f>
        <v>1598556466</v>
      </c>
      <c r="C19544" t="str">
        <f>"207R00000X"</f>
        <v>207R00000X</v>
      </c>
      <c r="D19544" t="str">
        <f>"BATAINEH                 LARA                     "</f>
        <v xml:space="preserve">BATAINEH                 LARA                     </v>
      </c>
      <c r="E19544" t="str">
        <f>"TUPELO                    "</f>
        <v xml:space="preserve">TUPELO                    </v>
      </c>
      <c r="F19544" t="str">
        <f t="shared" si="469"/>
        <v>MS</v>
      </c>
    </row>
    <row r="19545" spans="1:6" x14ac:dyDescent="0.25">
      <c r="A19545" t="str">
        <f>"200022911"</f>
        <v>200022911</v>
      </c>
      <c r="B19545" t="str">
        <f>"1851808794"</f>
        <v>1851808794</v>
      </c>
      <c r="C19545" t="str">
        <f>"152W00000X"</f>
        <v>152W00000X</v>
      </c>
      <c r="D19545" t="str">
        <f>"WILLCOX                  JENNIFER     A           "</f>
        <v xml:space="preserve">WILLCOX                  JENNIFER     A           </v>
      </c>
      <c r="E19545" t="str">
        <f>"SOUTHAVEN                 "</f>
        <v xml:space="preserve">SOUTHAVEN                 </v>
      </c>
      <c r="F19545" t="str">
        <f t="shared" si="469"/>
        <v>MS</v>
      </c>
    </row>
    <row r="19546" spans="1:6" x14ac:dyDescent="0.25">
      <c r="A19546" t="str">
        <f>"200022915"</f>
        <v>200022915</v>
      </c>
      <c r="B19546" t="str">
        <f>"1073929659"</f>
        <v>1073929659</v>
      </c>
      <c r="C19546" t="str">
        <f>"207ZP0102X"</f>
        <v>207ZP0102X</v>
      </c>
      <c r="D19546" t="str">
        <f>"JAMAL                    MOHSIN                   "</f>
        <v xml:space="preserve">JAMAL                    MOHSIN                   </v>
      </c>
      <c r="E19546" t="str">
        <f>"SOUTHAVEN                 "</f>
        <v xml:space="preserve">SOUTHAVEN                 </v>
      </c>
      <c r="F19546" t="str">
        <f t="shared" si="469"/>
        <v>MS</v>
      </c>
    </row>
    <row r="19547" spans="1:6" x14ac:dyDescent="0.25">
      <c r="A19547" t="str">
        <f>"200022916"</f>
        <v>200022916</v>
      </c>
      <c r="B19547" t="str">
        <f>"1306551395"</f>
        <v>1306551395</v>
      </c>
      <c r="C19547" t="str">
        <f>"363LF0000X"</f>
        <v>363LF0000X</v>
      </c>
      <c r="D19547" t="str">
        <f>"MITCHELL                 MARSHA                   "</f>
        <v xml:space="preserve">MITCHELL                 MARSHA                   </v>
      </c>
      <c r="E19547" t="str">
        <f>"CORINTH                   "</f>
        <v xml:space="preserve">CORINTH                   </v>
      </c>
      <c r="F19547" t="str">
        <f t="shared" si="469"/>
        <v>MS</v>
      </c>
    </row>
    <row r="19548" spans="1:6" x14ac:dyDescent="0.25">
      <c r="A19548" t="str">
        <f>"200022917"</f>
        <v>200022917</v>
      </c>
      <c r="B19548" t="str">
        <f>"1720570807"</f>
        <v>1720570807</v>
      </c>
      <c r="C19548" t="str">
        <f>"207X00000X"</f>
        <v>207X00000X</v>
      </c>
      <c r="D19548" t="str">
        <f>"DOVE                     JAMES                    "</f>
        <v xml:space="preserve">DOVE                     JAMES                    </v>
      </c>
      <c r="E19548" t="str">
        <f>"OLIVE BRANCH              "</f>
        <v xml:space="preserve">OLIVE BRANCH              </v>
      </c>
      <c r="F19548" t="str">
        <f t="shared" si="469"/>
        <v>MS</v>
      </c>
    </row>
    <row r="19549" spans="1:6" x14ac:dyDescent="0.25">
      <c r="A19549" t="str">
        <f>"200022922"</f>
        <v>200022922</v>
      </c>
      <c r="B19549" t="str">
        <f>"1295965614"</f>
        <v>1295965614</v>
      </c>
      <c r="C19549" t="str">
        <f>"207R00000X"</f>
        <v>207R00000X</v>
      </c>
      <c r="D19549" t="str">
        <f>"BLALACK                  VIRGINIA                 "</f>
        <v xml:space="preserve">BLALACK                  VIRGINIA                 </v>
      </c>
      <c r="E19549" t="str">
        <f>"GULFPORT                  "</f>
        <v xml:space="preserve">GULFPORT                  </v>
      </c>
      <c r="F19549" t="str">
        <f t="shared" si="469"/>
        <v>MS</v>
      </c>
    </row>
    <row r="19550" spans="1:6" x14ac:dyDescent="0.25">
      <c r="A19550" t="str">
        <f>"200022924"</f>
        <v>200022924</v>
      </c>
      <c r="B19550" t="str">
        <f>"1487463311"</f>
        <v>1487463311</v>
      </c>
      <c r="C19550" t="str">
        <f>"261QM1300X"</f>
        <v>261QM1300X</v>
      </c>
      <c r="D19550" t="str">
        <f>"AUTISM AND DEVELOPMENTAL DISABILITIES CLINIC      "</f>
        <v xml:space="preserve">AUTISM AND DEVELOPMENTAL DISABILITIES CLINIC      </v>
      </c>
      <c r="E19550" t="str">
        <f>"MISSISSIPPI STATE         "</f>
        <v xml:space="preserve">MISSISSIPPI STATE         </v>
      </c>
      <c r="F19550" t="str">
        <f t="shared" si="469"/>
        <v>MS</v>
      </c>
    </row>
    <row r="19551" spans="1:6" x14ac:dyDescent="0.25">
      <c r="A19551" t="str">
        <f>"200022928"</f>
        <v>200022928</v>
      </c>
      <c r="B19551" t="str">
        <f>"1447977202"</f>
        <v>1447977202</v>
      </c>
      <c r="C19551" t="str">
        <f>"363A00000X"</f>
        <v>363A00000X</v>
      </c>
      <c r="D19551" t="str">
        <f>"MOODY                    KYLEE                    "</f>
        <v xml:space="preserve">MOODY                    KYLEE                    </v>
      </c>
      <c r="E19551" t="str">
        <f>"OLIVE BRANCH              "</f>
        <v xml:space="preserve">OLIVE BRANCH              </v>
      </c>
      <c r="F19551" t="str">
        <f t="shared" si="469"/>
        <v>MS</v>
      </c>
    </row>
    <row r="19552" spans="1:6" x14ac:dyDescent="0.25">
      <c r="A19552" t="str">
        <f>"200022931"</f>
        <v>200022931</v>
      </c>
      <c r="B19552" t="str">
        <f>"1386133239"</f>
        <v>1386133239</v>
      </c>
      <c r="C19552" t="str">
        <f>"207RI0011X"</f>
        <v>207RI0011X</v>
      </c>
      <c r="D19552" t="str">
        <f>"PIERSALL                 LAUREN                   "</f>
        <v xml:space="preserve">PIERSALL                 LAUREN                   </v>
      </c>
      <c r="E19552" t="str">
        <f>"SOUTHAVEN                 "</f>
        <v xml:space="preserve">SOUTHAVEN                 </v>
      </c>
      <c r="F19552" t="str">
        <f t="shared" si="469"/>
        <v>MS</v>
      </c>
    </row>
    <row r="19553" spans="1:6" x14ac:dyDescent="0.25">
      <c r="A19553" t="str">
        <f>"200022933"</f>
        <v>200022933</v>
      </c>
      <c r="B19553" t="str">
        <f>"1770232290"</f>
        <v>1770232290</v>
      </c>
      <c r="C19553" t="str">
        <f>"207R00000X"</f>
        <v>207R00000X</v>
      </c>
      <c r="D19553" t="str">
        <f>"BHIKHA                   MIKUL                    "</f>
        <v xml:space="preserve">BHIKHA                   MIKUL                    </v>
      </c>
      <c r="E19553" t="str">
        <f>"SOUTHAVEN                 "</f>
        <v xml:space="preserve">SOUTHAVEN                 </v>
      </c>
      <c r="F19553" t="str">
        <f t="shared" si="469"/>
        <v>MS</v>
      </c>
    </row>
    <row r="19554" spans="1:6" x14ac:dyDescent="0.25">
      <c r="A19554" t="str">
        <f>"200022934"</f>
        <v>200022934</v>
      </c>
      <c r="B19554" t="str">
        <f>"1588647150"</f>
        <v>1588647150</v>
      </c>
      <c r="C19554" t="str">
        <f>"207RG0100X"</f>
        <v>207RG0100X</v>
      </c>
      <c r="D19554" t="str">
        <f>"REMAK                    GEZA                     "</f>
        <v xml:space="preserve">REMAK                    GEZA                     </v>
      </c>
      <c r="E19554" t="str">
        <f>"OXFORD                    "</f>
        <v xml:space="preserve">OXFORD                    </v>
      </c>
      <c r="F19554" t="str">
        <f t="shared" si="469"/>
        <v>MS</v>
      </c>
    </row>
    <row r="19555" spans="1:6" x14ac:dyDescent="0.25">
      <c r="A19555" t="str">
        <f>"200022937"</f>
        <v>200022937</v>
      </c>
      <c r="B19555" t="str">
        <f>"1366329385"</f>
        <v>1366329385</v>
      </c>
      <c r="C19555" t="str">
        <f>"363LF0000X"</f>
        <v>363LF0000X</v>
      </c>
      <c r="D19555" t="str">
        <f>"DRIGGERS                 TRICIA                   "</f>
        <v xml:space="preserve">DRIGGERS                 TRICIA                   </v>
      </c>
      <c r="E19555" t="str">
        <f>"NEWTON                    "</f>
        <v xml:space="preserve">NEWTON                    </v>
      </c>
      <c r="F19555" t="str">
        <f t="shared" si="469"/>
        <v>MS</v>
      </c>
    </row>
    <row r="19556" spans="1:6" x14ac:dyDescent="0.25">
      <c r="A19556" t="str">
        <f>"200022939"</f>
        <v>200022939</v>
      </c>
      <c r="B19556" t="str">
        <f>"1144890526"</f>
        <v>1144890526</v>
      </c>
      <c r="C19556" t="str">
        <f>"207Q00000X"</f>
        <v>207Q00000X</v>
      </c>
      <c r="D19556" t="str">
        <f>"WENDT                    RYAN                     "</f>
        <v xml:space="preserve">WENDT                    RYAN                     </v>
      </c>
      <c r="E19556" t="str">
        <f>"COLUMBUS                  "</f>
        <v xml:space="preserve">COLUMBUS                  </v>
      </c>
      <c r="F19556" t="str">
        <f t="shared" si="469"/>
        <v>MS</v>
      </c>
    </row>
    <row r="19557" spans="1:6" x14ac:dyDescent="0.25">
      <c r="A19557" t="str">
        <f>"200022940"</f>
        <v>200022940</v>
      </c>
      <c r="B19557" t="str">
        <f>"1376775031"</f>
        <v>1376775031</v>
      </c>
      <c r="C19557" t="str">
        <f>"207R00000X"</f>
        <v>207R00000X</v>
      </c>
      <c r="D19557" t="str">
        <f>"FLORIS                   RHASHELIA                "</f>
        <v xml:space="preserve">FLORIS                   RHASHELIA                </v>
      </c>
      <c r="E19557" t="str">
        <f>"SOUTHAVEN                 "</f>
        <v xml:space="preserve">SOUTHAVEN                 </v>
      </c>
      <c r="F19557" t="str">
        <f t="shared" si="469"/>
        <v>MS</v>
      </c>
    </row>
    <row r="19558" spans="1:6" x14ac:dyDescent="0.25">
      <c r="A19558" t="str">
        <f>"200022942"</f>
        <v>200022942</v>
      </c>
      <c r="B19558" t="str">
        <f>"1477341089"</f>
        <v>1477341089</v>
      </c>
      <c r="C19558" t="str">
        <f>"2084P0800X"</f>
        <v>2084P0800X</v>
      </c>
      <c r="D19558" t="str">
        <f>"DORAJI                   ROYA                     "</f>
        <v xml:space="preserve">DORAJI                   ROYA                     </v>
      </c>
      <c r="E19558" t="str">
        <f>"JACKSON                   "</f>
        <v xml:space="preserve">JACKSON                   </v>
      </c>
      <c r="F19558" t="str">
        <f t="shared" si="469"/>
        <v>MS</v>
      </c>
    </row>
    <row r="19559" spans="1:6" x14ac:dyDescent="0.25">
      <c r="A19559" t="str">
        <f>"200022946"</f>
        <v>200022946</v>
      </c>
      <c r="B19559" t="str">
        <f>"1386221844"</f>
        <v>1386221844</v>
      </c>
      <c r="C19559" t="str">
        <f>"207QS0010X"</f>
        <v>207QS0010X</v>
      </c>
      <c r="D19559" t="str">
        <f>"GLENN ETHEREDGE          SAMANTHA                 "</f>
        <v xml:space="preserve">GLENN ETHEREDGE          SAMANTHA                 </v>
      </c>
      <c r="E19559" t="str">
        <f>"PASCAGOULA                "</f>
        <v xml:space="preserve">PASCAGOULA                </v>
      </c>
      <c r="F19559" t="str">
        <f t="shared" si="469"/>
        <v>MS</v>
      </c>
    </row>
    <row r="19560" spans="1:6" x14ac:dyDescent="0.25">
      <c r="A19560" t="str">
        <f>"200022947"</f>
        <v>200022947</v>
      </c>
      <c r="B19560" t="str">
        <f>"1023739539"</f>
        <v>1023739539</v>
      </c>
      <c r="C19560" t="str">
        <f>"363A00000X"</f>
        <v>363A00000X</v>
      </c>
      <c r="D19560" t="str">
        <f>"DAQUIOAG                 EMILY                    "</f>
        <v xml:space="preserve">DAQUIOAG                 EMILY                    </v>
      </c>
      <c r="E19560" t="str">
        <f>"PASCAGOULA                "</f>
        <v xml:space="preserve">PASCAGOULA                </v>
      </c>
      <c r="F19560" t="str">
        <f t="shared" si="469"/>
        <v>MS</v>
      </c>
    </row>
    <row r="19561" spans="1:6" x14ac:dyDescent="0.25">
      <c r="A19561" t="str">
        <f>"200022948"</f>
        <v>200022948</v>
      </c>
      <c r="B19561" t="str">
        <f>"1215927579"</f>
        <v>1215927579</v>
      </c>
      <c r="C19561" t="str">
        <f>"2085R0202X"</f>
        <v>2085R0202X</v>
      </c>
      <c r="D19561" t="str">
        <f>"SINGH                    AJAY                     "</f>
        <v xml:space="preserve">SINGH                    AJAY                     </v>
      </c>
      <c r="E19561" t="str">
        <f>"MERIDIAN                  "</f>
        <v xml:space="preserve">MERIDIAN                  </v>
      </c>
      <c r="F19561" t="str">
        <f t="shared" si="469"/>
        <v>MS</v>
      </c>
    </row>
    <row r="19562" spans="1:6" x14ac:dyDescent="0.25">
      <c r="A19562" t="str">
        <f>"200022949"</f>
        <v>200022949</v>
      </c>
      <c r="B19562" t="str">
        <f>"1497495303"</f>
        <v>1497495303</v>
      </c>
      <c r="C19562" t="str">
        <f>"207RH0003X"</f>
        <v>207RH0003X</v>
      </c>
      <c r="D19562" t="str">
        <f>"PAVY                     MICHAEL                  "</f>
        <v xml:space="preserve">PAVY                     MICHAEL                  </v>
      </c>
      <c r="E19562" t="str">
        <f>"JACKSON                   "</f>
        <v xml:space="preserve">JACKSON                   </v>
      </c>
      <c r="F19562" t="str">
        <f t="shared" si="469"/>
        <v>MS</v>
      </c>
    </row>
    <row r="19563" spans="1:6" x14ac:dyDescent="0.25">
      <c r="A19563" t="str">
        <f>"200022953"</f>
        <v>200022953</v>
      </c>
      <c r="B19563" t="str">
        <f>"1942531611"</f>
        <v>1942531611</v>
      </c>
      <c r="C19563" t="str">
        <f>"367500000X"</f>
        <v>367500000X</v>
      </c>
      <c r="D19563" t="str">
        <f>"NEWMAN                   RICHARD                  "</f>
        <v xml:space="preserve">NEWMAN                   RICHARD                  </v>
      </c>
      <c r="E19563" t="str">
        <f>"CENTREVILLE               "</f>
        <v xml:space="preserve">CENTREVILLE               </v>
      </c>
      <c r="F19563" t="str">
        <f t="shared" si="469"/>
        <v>MS</v>
      </c>
    </row>
    <row r="19564" spans="1:6" x14ac:dyDescent="0.25">
      <c r="A19564" t="str">
        <f>"200022962"</f>
        <v>200022962</v>
      </c>
      <c r="B19564" t="str">
        <f>"1184887663"</f>
        <v>1184887663</v>
      </c>
      <c r="C19564" t="str">
        <f>"207L00000X"</f>
        <v>207L00000X</v>
      </c>
      <c r="D19564" t="str">
        <f>"KLAR                     PATRICK      M           "</f>
        <v xml:space="preserve">KLAR                     PATRICK      M           </v>
      </c>
      <c r="E19564" t="str">
        <f>"FLOWOOD                   "</f>
        <v xml:space="preserve">FLOWOOD                   </v>
      </c>
      <c r="F19564" t="str">
        <f t="shared" si="469"/>
        <v>MS</v>
      </c>
    </row>
    <row r="19565" spans="1:6" x14ac:dyDescent="0.25">
      <c r="A19565" t="str">
        <f>"200022964"</f>
        <v>200022964</v>
      </c>
      <c r="B19565" t="str">
        <f>"1942933452"</f>
        <v>1942933452</v>
      </c>
      <c r="C19565" t="str">
        <f>"207R00000X"</f>
        <v>207R00000X</v>
      </c>
      <c r="D19565" t="str">
        <f>"BEDFORD                  LINDSEY                  "</f>
        <v xml:space="preserve">BEDFORD                  LINDSEY                  </v>
      </c>
      <c r="E19565" t="str">
        <f>"CORINTH                   "</f>
        <v xml:space="preserve">CORINTH                   </v>
      </c>
      <c r="F19565" t="str">
        <f t="shared" si="469"/>
        <v>MS</v>
      </c>
    </row>
    <row r="19566" spans="1:6" x14ac:dyDescent="0.25">
      <c r="A19566" t="str">
        <f>"200022969"</f>
        <v>200022969</v>
      </c>
      <c r="B19566" t="str">
        <f>"1942706593"</f>
        <v>1942706593</v>
      </c>
      <c r="C19566" t="str">
        <f>"208000000X"</f>
        <v>208000000X</v>
      </c>
      <c r="D19566" t="str">
        <f>"LUK                      ADRIA                    "</f>
        <v xml:space="preserve">LUK                      ADRIA                    </v>
      </c>
      <c r="E19566" t="str">
        <f>"GULFPORT                  "</f>
        <v xml:space="preserve">GULFPORT                  </v>
      </c>
      <c r="F19566" t="str">
        <f t="shared" si="469"/>
        <v>MS</v>
      </c>
    </row>
    <row r="19567" spans="1:6" x14ac:dyDescent="0.25">
      <c r="A19567" t="str">
        <f>"200022971"</f>
        <v>200022971</v>
      </c>
      <c r="B19567" t="str">
        <f>"1508837600"</f>
        <v>1508837600</v>
      </c>
      <c r="C19567" t="str">
        <f>"2085R0202X"</f>
        <v>2085R0202X</v>
      </c>
      <c r="D19567" t="str">
        <f>"BESACHIO                 DAVID                    "</f>
        <v xml:space="preserve">BESACHIO                 DAVID                    </v>
      </c>
      <c r="E19567" t="str">
        <f>"TUPELO                    "</f>
        <v xml:space="preserve">TUPELO                    </v>
      </c>
      <c r="F19567" t="str">
        <f t="shared" si="469"/>
        <v>MS</v>
      </c>
    </row>
    <row r="19568" spans="1:6" x14ac:dyDescent="0.25">
      <c r="A19568" t="str">
        <f>"200022974"</f>
        <v>200022974</v>
      </c>
      <c r="B19568" t="str">
        <f>"1487897195"</f>
        <v>1487897195</v>
      </c>
      <c r="C19568" t="str">
        <f>"207RH0002X"</f>
        <v>207RH0002X</v>
      </c>
      <c r="D19568" t="str">
        <f>"GALE                     ALEXA                    "</f>
        <v xml:space="preserve">GALE                     ALEXA                    </v>
      </c>
      <c r="E19568" t="str">
        <f>"RIDGELAND                 "</f>
        <v xml:space="preserve">RIDGELAND                 </v>
      </c>
      <c r="F19568" t="str">
        <f t="shared" si="469"/>
        <v>MS</v>
      </c>
    </row>
    <row r="19569" spans="1:6" x14ac:dyDescent="0.25">
      <c r="A19569" t="str">
        <f>"200022978"</f>
        <v>200022978</v>
      </c>
      <c r="B19569" t="str">
        <f>"1942880646"</f>
        <v>1942880646</v>
      </c>
      <c r="C19569" t="str">
        <f>"2084P0800X"</f>
        <v>2084P0800X</v>
      </c>
      <c r="D19569" t="str">
        <f>"DENNIS                   MALLIE                   "</f>
        <v xml:space="preserve">DENNIS                   MALLIE                   </v>
      </c>
      <c r="E19569" t="str">
        <f>"BOONEVILLE                "</f>
        <v xml:space="preserve">BOONEVILLE                </v>
      </c>
      <c r="F19569" t="str">
        <f t="shared" si="469"/>
        <v>MS</v>
      </c>
    </row>
    <row r="19570" spans="1:6" x14ac:dyDescent="0.25">
      <c r="A19570" t="str">
        <f>"200022984"</f>
        <v>200022984</v>
      </c>
      <c r="B19570" t="str">
        <f>"1679930937"</f>
        <v>1679930937</v>
      </c>
      <c r="C19570" t="str">
        <f>"363LF0000X"</f>
        <v>363LF0000X</v>
      </c>
      <c r="D19570" t="str">
        <f>"FRANKLIN                 LETOYA                   "</f>
        <v xml:space="preserve">FRANKLIN                 LETOYA                   </v>
      </c>
      <c r="E19570" t="str">
        <f>"RIDGELAND                 "</f>
        <v xml:space="preserve">RIDGELAND                 </v>
      </c>
      <c r="F19570" t="str">
        <f t="shared" si="469"/>
        <v>MS</v>
      </c>
    </row>
    <row r="19571" spans="1:6" x14ac:dyDescent="0.25">
      <c r="A19571" t="str">
        <f>"200022985"</f>
        <v>200022985</v>
      </c>
      <c r="B19571" t="str">
        <f>"1255315495"</f>
        <v>1255315495</v>
      </c>
      <c r="C19571" t="str">
        <f>"207RI0011X"</f>
        <v>207RI0011X</v>
      </c>
      <c r="D19571" t="str">
        <f>"EMERICK                  ROBERT                   "</f>
        <v xml:space="preserve">EMERICK                  ROBERT                   </v>
      </c>
      <c r="E19571" t="str">
        <f>"HATTIESBURG               "</f>
        <v xml:space="preserve">HATTIESBURG               </v>
      </c>
      <c r="F19571" t="str">
        <f t="shared" si="469"/>
        <v>MS</v>
      </c>
    </row>
    <row r="19572" spans="1:6" x14ac:dyDescent="0.25">
      <c r="A19572" t="str">
        <f>"200023001"</f>
        <v>200023001</v>
      </c>
      <c r="B19572" t="str">
        <f>"1457233439"</f>
        <v>1457233439</v>
      </c>
      <c r="C19572" t="str">
        <f>"363LF0000X"</f>
        <v>363LF0000X</v>
      </c>
      <c r="D19572" t="str">
        <f>"STRINGER                 ERIN                     "</f>
        <v xml:space="preserve">STRINGER                 ERIN                     </v>
      </c>
      <c r="E19572" t="str">
        <f>"DIBERVILLE                "</f>
        <v xml:space="preserve">DIBERVILLE                </v>
      </c>
      <c r="F19572" t="str">
        <f t="shared" si="469"/>
        <v>MS</v>
      </c>
    </row>
    <row r="19573" spans="1:6" x14ac:dyDescent="0.25">
      <c r="A19573" t="str">
        <f>"200023016"</f>
        <v>200023016</v>
      </c>
      <c r="B19573" t="str">
        <f>"1497408348"</f>
        <v>1497408348</v>
      </c>
      <c r="C19573" t="str">
        <f>"363LF0000X"</f>
        <v>363LF0000X</v>
      </c>
      <c r="D19573" t="str">
        <f>"DUBOIS                   ALEXIS                   "</f>
        <v xml:space="preserve">DUBOIS                   ALEXIS                   </v>
      </c>
      <c r="E19573" t="str">
        <f>"JACKSON                   "</f>
        <v xml:space="preserve">JACKSON                   </v>
      </c>
      <c r="F19573" t="str">
        <f t="shared" si="469"/>
        <v>MS</v>
      </c>
    </row>
    <row r="19574" spans="1:6" x14ac:dyDescent="0.25">
      <c r="A19574" t="str">
        <f>"200023019"</f>
        <v>200023019</v>
      </c>
      <c r="B19574" t="str">
        <f>"1275117350"</f>
        <v>1275117350</v>
      </c>
      <c r="C19574" t="str">
        <f>"207V00000X"</f>
        <v>207V00000X</v>
      </c>
      <c r="D19574" t="str">
        <f>"WATSON                   KATHERINE    A           "</f>
        <v xml:space="preserve">WATSON                   KATHERINE    A           </v>
      </c>
      <c r="E19574" t="str">
        <f>"SOUTHAVEN                 "</f>
        <v xml:space="preserve">SOUTHAVEN                 </v>
      </c>
      <c r="F19574" t="str">
        <f t="shared" si="469"/>
        <v>MS</v>
      </c>
    </row>
    <row r="19575" spans="1:6" x14ac:dyDescent="0.25">
      <c r="A19575" t="str">
        <f>"200023020"</f>
        <v>200023020</v>
      </c>
      <c r="B19575" t="str">
        <f>"1760379499"</f>
        <v>1760379499</v>
      </c>
      <c r="C19575" t="str">
        <f>"363L00000X"</f>
        <v>363L00000X</v>
      </c>
      <c r="D19575" t="str">
        <f>"DUNN                     ANNA                     "</f>
        <v xml:space="preserve">DUNN                     ANNA                     </v>
      </c>
      <c r="E19575" t="str">
        <f>"MERIDIAN                  "</f>
        <v xml:space="preserve">MERIDIAN                  </v>
      </c>
      <c r="F19575" t="str">
        <f t="shared" si="469"/>
        <v>MS</v>
      </c>
    </row>
    <row r="19576" spans="1:6" x14ac:dyDescent="0.25">
      <c r="A19576" t="str">
        <f>"200023026"</f>
        <v>200023026</v>
      </c>
      <c r="B19576" t="str">
        <f>"1326674029"</f>
        <v>1326674029</v>
      </c>
      <c r="C19576" t="str">
        <f>"208800000X"</f>
        <v>208800000X</v>
      </c>
      <c r="D19576" t="str">
        <f>"AKULA                    KOLE                     "</f>
        <v xml:space="preserve">AKULA                    KOLE                     </v>
      </c>
      <c r="E19576" t="str">
        <f>"PASCAGOULA                "</f>
        <v xml:space="preserve">PASCAGOULA                </v>
      </c>
      <c r="F19576" t="str">
        <f t="shared" si="469"/>
        <v>MS</v>
      </c>
    </row>
    <row r="19577" spans="1:6" x14ac:dyDescent="0.25">
      <c r="A19577" t="str">
        <f>"200023028"</f>
        <v>200023028</v>
      </c>
      <c r="B19577" t="str">
        <f>"1588121461"</f>
        <v>1588121461</v>
      </c>
      <c r="C19577" t="str">
        <f>"363LF0000X"</f>
        <v>363LF0000X</v>
      </c>
      <c r="D19577" t="str">
        <f>"ARRINGTON                LAKESHIA                 "</f>
        <v xml:space="preserve">ARRINGTON                LAKESHIA                 </v>
      </c>
      <c r="E19577" t="str">
        <f>"RIDGELAND                 "</f>
        <v xml:space="preserve">RIDGELAND                 </v>
      </c>
      <c r="F19577" t="str">
        <f t="shared" si="469"/>
        <v>MS</v>
      </c>
    </row>
    <row r="19578" spans="1:6" x14ac:dyDescent="0.25">
      <c r="A19578" t="str">
        <f>"200023031"</f>
        <v>200023031</v>
      </c>
      <c r="B19578" t="str">
        <f>"1376744771"</f>
        <v>1376744771</v>
      </c>
      <c r="C19578" t="str">
        <f>"2084P0800X"</f>
        <v>2084P0800X</v>
      </c>
      <c r="D19578" t="str">
        <f>"BROUSSARD                JASON                    "</f>
        <v xml:space="preserve">BROUSSARD                JASON                    </v>
      </c>
      <c r="E19578" t="str">
        <f>"MAGNOLIA                  "</f>
        <v xml:space="preserve">MAGNOLIA                  </v>
      </c>
      <c r="F19578" t="str">
        <f t="shared" si="469"/>
        <v>MS</v>
      </c>
    </row>
    <row r="19579" spans="1:6" x14ac:dyDescent="0.25">
      <c r="A19579" t="str">
        <f>"200023036"</f>
        <v>200023036</v>
      </c>
      <c r="B19579" t="str">
        <f>"1295195105"</f>
        <v>1295195105</v>
      </c>
      <c r="C19579" t="str">
        <f>"363LA2200X"</f>
        <v>363LA2200X</v>
      </c>
      <c r="D19579" t="str">
        <f>"PIERCE                   MARLISIA                 "</f>
        <v xml:space="preserve">PIERCE                   MARLISIA                 </v>
      </c>
      <c r="E19579" t="str">
        <f>"FLOWOOD                   "</f>
        <v xml:space="preserve">FLOWOOD                   </v>
      </c>
      <c r="F19579" t="str">
        <f t="shared" si="469"/>
        <v>MS</v>
      </c>
    </row>
    <row r="19580" spans="1:6" x14ac:dyDescent="0.25">
      <c r="A19580" t="str">
        <f>"200023037"</f>
        <v>200023037</v>
      </c>
      <c r="B19580" t="str">
        <f>"1629892435"</f>
        <v>1629892435</v>
      </c>
      <c r="C19580" t="str">
        <f>"367500000X"</f>
        <v>367500000X</v>
      </c>
      <c r="D19580" t="str">
        <f>"PHILLIPS                 WILLIAM                  "</f>
        <v xml:space="preserve">PHILLIPS                 WILLIAM                  </v>
      </c>
      <c r="E19580" t="str">
        <f>"OXFORD                    "</f>
        <v xml:space="preserve">OXFORD                    </v>
      </c>
      <c r="F19580" t="str">
        <f t="shared" si="469"/>
        <v>MS</v>
      </c>
    </row>
    <row r="19581" spans="1:6" x14ac:dyDescent="0.25">
      <c r="A19581" t="str">
        <f>"200023042"</f>
        <v>200023042</v>
      </c>
      <c r="B19581" t="str">
        <f>"1730676248"</f>
        <v>1730676248</v>
      </c>
      <c r="C19581" t="str">
        <f>"2084P0800X"</f>
        <v>2084P0800X</v>
      </c>
      <c r="D19581" t="str">
        <f>"FERRERA                  ALESSANDRA               "</f>
        <v xml:space="preserve">FERRERA                  ALESSANDRA               </v>
      </c>
      <c r="E19581" t="str">
        <f>"SOUTHAVEN                 "</f>
        <v xml:space="preserve">SOUTHAVEN                 </v>
      </c>
      <c r="F19581" t="str">
        <f t="shared" si="469"/>
        <v>MS</v>
      </c>
    </row>
    <row r="19582" spans="1:6" x14ac:dyDescent="0.25">
      <c r="A19582" t="str">
        <f>"200023056"</f>
        <v>200023056</v>
      </c>
      <c r="B19582" t="str">
        <f>"1861222069"</f>
        <v>1861222069</v>
      </c>
      <c r="C19582" t="str">
        <f>"363LF0000X"</f>
        <v>363LF0000X</v>
      </c>
      <c r="D19582" t="str">
        <f>"WILLIAMS                 SCHENITA                 "</f>
        <v xml:space="preserve">WILLIAMS                 SCHENITA                 </v>
      </c>
      <c r="E19582" t="str">
        <f>"RIDGELAND                 "</f>
        <v xml:space="preserve">RIDGELAND                 </v>
      </c>
      <c r="F19582" t="str">
        <f t="shared" ref="F19582:F19645" si="470">"MS"</f>
        <v>MS</v>
      </c>
    </row>
    <row r="19583" spans="1:6" x14ac:dyDescent="0.25">
      <c r="A19583" t="str">
        <f>"200023062"</f>
        <v>200023062</v>
      </c>
      <c r="B19583" t="str">
        <f>"1184222374"</f>
        <v>1184222374</v>
      </c>
      <c r="C19583" t="str">
        <f>"363LG0600X"</f>
        <v>363LG0600X</v>
      </c>
      <c r="D19583" t="str">
        <f>"JACKSON DORRIS           KIMYUANA                 "</f>
        <v xml:space="preserve">JACKSON DORRIS           KIMYUANA                 </v>
      </c>
      <c r="E19583" t="str">
        <f>"RIDGELAND                 "</f>
        <v xml:space="preserve">RIDGELAND                 </v>
      </c>
      <c r="F19583" t="str">
        <f t="shared" si="470"/>
        <v>MS</v>
      </c>
    </row>
    <row r="19584" spans="1:6" x14ac:dyDescent="0.25">
      <c r="A19584" t="str">
        <f>"200023064"</f>
        <v>200023064</v>
      </c>
      <c r="B19584" t="str">
        <f>"1649000332"</f>
        <v>1649000332</v>
      </c>
      <c r="C19584" t="str">
        <f>"363A00000X"</f>
        <v>363A00000X</v>
      </c>
      <c r="D19584" t="str">
        <f>"DUET                     ALLY                     "</f>
        <v xml:space="preserve">DUET                     ALLY                     </v>
      </c>
      <c r="E19584" t="str">
        <f>"BAY ST LOUIS              "</f>
        <v xml:space="preserve">BAY ST LOUIS              </v>
      </c>
      <c r="F19584" t="str">
        <f t="shared" si="470"/>
        <v>MS</v>
      </c>
    </row>
    <row r="19585" spans="1:6" x14ac:dyDescent="0.25">
      <c r="A19585" t="str">
        <f>"200023069"</f>
        <v>200023069</v>
      </c>
      <c r="B19585" t="str">
        <f>"1467404681"</f>
        <v>1467404681</v>
      </c>
      <c r="C19585" t="str">
        <f>"207R00000X"</f>
        <v>207R00000X</v>
      </c>
      <c r="D19585" t="str">
        <f>"MEADOWS                  RENEE                    "</f>
        <v xml:space="preserve">MEADOWS                  RENEE                    </v>
      </c>
      <c r="E19585" t="str">
        <f>"MERIDIAN                  "</f>
        <v xml:space="preserve">MERIDIAN                  </v>
      </c>
      <c r="F19585" t="str">
        <f t="shared" si="470"/>
        <v>MS</v>
      </c>
    </row>
    <row r="19586" spans="1:6" x14ac:dyDescent="0.25">
      <c r="A19586" t="str">
        <f>"200023074"</f>
        <v>200023074</v>
      </c>
      <c r="B19586" t="str">
        <f>"1275028276"</f>
        <v>1275028276</v>
      </c>
      <c r="C19586" t="str">
        <f>"207RG0100X"</f>
        <v>207RG0100X</v>
      </c>
      <c r="D19586" t="str">
        <f>"CHATHURANGA R. PATHIRANNEDILEEPA                  "</f>
        <v xml:space="preserve">CHATHURANGA R. PATHIRANNEDILEEPA                  </v>
      </c>
      <c r="E19586" t="str">
        <f>"LAUREL                    "</f>
        <v xml:space="preserve">LAUREL                    </v>
      </c>
      <c r="F19586" t="str">
        <f t="shared" si="470"/>
        <v>MS</v>
      </c>
    </row>
    <row r="19587" spans="1:6" x14ac:dyDescent="0.25">
      <c r="A19587" t="str">
        <f>"200023075"</f>
        <v>200023075</v>
      </c>
      <c r="B19587" t="str">
        <f>"1720061880"</f>
        <v>1720061880</v>
      </c>
      <c r="C19587" t="str">
        <f>"207VM0101X"</f>
        <v>207VM0101X</v>
      </c>
      <c r="D19587" t="str">
        <f>"FUNAI                    EDMUND                   "</f>
        <v xml:space="preserve">FUNAI                    EDMUND                   </v>
      </c>
      <c r="E19587" t="str">
        <f>"JACKSON                   "</f>
        <v xml:space="preserve">JACKSON                   </v>
      </c>
      <c r="F19587" t="str">
        <f t="shared" si="470"/>
        <v>MS</v>
      </c>
    </row>
    <row r="19588" spans="1:6" x14ac:dyDescent="0.25">
      <c r="A19588" t="str">
        <f>"200023081"</f>
        <v>200023081</v>
      </c>
      <c r="B19588" t="str">
        <f>"1174410906"</f>
        <v>1174410906</v>
      </c>
      <c r="C19588" t="str">
        <f>"363L00000X"</f>
        <v>363L00000X</v>
      </c>
      <c r="D19588" t="str">
        <f>"LYONS                    KAYLEIGH                 "</f>
        <v xml:space="preserve">LYONS                    KAYLEIGH                 </v>
      </c>
      <c r="E19588" t="str">
        <f>"FLOWOOD                   "</f>
        <v xml:space="preserve">FLOWOOD                   </v>
      </c>
      <c r="F19588" t="str">
        <f t="shared" si="470"/>
        <v>MS</v>
      </c>
    </row>
    <row r="19589" spans="1:6" x14ac:dyDescent="0.25">
      <c r="A19589" t="str">
        <f>"200023083"</f>
        <v>200023083</v>
      </c>
      <c r="B19589" t="str">
        <f>"1689569964"</f>
        <v>1689569964</v>
      </c>
      <c r="C19589" t="str">
        <f>"122300000X"</f>
        <v>122300000X</v>
      </c>
      <c r="D19589" t="str">
        <f>"HERBISON                 WEBER                    "</f>
        <v xml:space="preserve">HERBISON                 WEBER                    </v>
      </c>
      <c r="E19589" t="str">
        <f>"FOREST                    "</f>
        <v xml:space="preserve">FOREST                    </v>
      </c>
      <c r="F19589" t="str">
        <f t="shared" si="470"/>
        <v>MS</v>
      </c>
    </row>
    <row r="19590" spans="1:6" x14ac:dyDescent="0.25">
      <c r="A19590" t="str">
        <f>"200023088"</f>
        <v>200023088</v>
      </c>
      <c r="B19590" t="str">
        <f>"1467957159"</f>
        <v>1467957159</v>
      </c>
      <c r="C19590" t="str">
        <f>"207V00000X"</f>
        <v>207V00000X</v>
      </c>
      <c r="D19590" t="str">
        <f>"MALCOLM                  ANNA         E           "</f>
        <v xml:space="preserve">MALCOLM                  ANNA         E           </v>
      </c>
      <c r="E19590" t="str">
        <f>"HATTIESBURG               "</f>
        <v xml:space="preserve">HATTIESBURG               </v>
      </c>
      <c r="F19590" t="str">
        <f t="shared" si="470"/>
        <v>MS</v>
      </c>
    </row>
    <row r="19591" spans="1:6" x14ac:dyDescent="0.25">
      <c r="A19591" t="str">
        <f>"200023091"</f>
        <v>200023091</v>
      </c>
      <c r="B19591" t="str">
        <f>"1528618121"</f>
        <v>1528618121</v>
      </c>
      <c r="C19591" t="str">
        <f>"363LF0000X"</f>
        <v>363LF0000X</v>
      </c>
      <c r="D19591" t="str">
        <f>"GAGER                    ETHAN                    "</f>
        <v xml:space="preserve">GAGER                    ETHAN                    </v>
      </c>
      <c r="E19591" t="str">
        <f>"JACKSON                   "</f>
        <v xml:space="preserve">JACKSON                   </v>
      </c>
      <c r="F19591" t="str">
        <f t="shared" si="470"/>
        <v>MS</v>
      </c>
    </row>
    <row r="19592" spans="1:6" x14ac:dyDescent="0.25">
      <c r="A19592" t="str">
        <f>"200023095"</f>
        <v>200023095</v>
      </c>
      <c r="B19592" t="str">
        <f>"1962102087"</f>
        <v>1962102087</v>
      </c>
      <c r="C19592" t="str">
        <f>"363LF0000X"</f>
        <v>363LF0000X</v>
      </c>
      <c r="D19592" t="str">
        <f>"SMITH                    LAUREN                   "</f>
        <v xml:space="preserve">SMITH                    LAUREN                   </v>
      </c>
      <c r="E19592" t="str">
        <f>"SOUTHAVEN                 "</f>
        <v xml:space="preserve">SOUTHAVEN                 </v>
      </c>
      <c r="F19592" t="str">
        <f t="shared" si="470"/>
        <v>MS</v>
      </c>
    </row>
    <row r="19593" spans="1:6" x14ac:dyDescent="0.25">
      <c r="A19593" t="str">
        <f>"200023100"</f>
        <v>200023100</v>
      </c>
      <c r="B19593" t="str">
        <f>"1457094948"</f>
        <v>1457094948</v>
      </c>
      <c r="C19593" t="str">
        <f>"207Q00000X"</f>
        <v>207Q00000X</v>
      </c>
      <c r="D19593" t="str">
        <f>"FURBY                    GERALD                   "</f>
        <v xml:space="preserve">FURBY                    GERALD                   </v>
      </c>
      <c r="E19593" t="str">
        <f>"TUPELO                    "</f>
        <v xml:space="preserve">TUPELO                    </v>
      </c>
      <c r="F19593" t="str">
        <f t="shared" si="470"/>
        <v>MS</v>
      </c>
    </row>
    <row r="19594" spans="1:6" x14ac:dyDescent="0.25">
      <c r="A19594" t="str">
        <f>"200023103"</f>
        <v>200023103</v>
      </c>
      <c r="B19594" t="str">
        <f>"1407732183"</f>
        <v>1407732183</v>
      </c>
      <c r="C19594" t="str">
        <f>"363LF0000X"</f>
        <v>363LF0000X</v>
      </c>
      <c r="D19594" t="str">
        <f>"WIGGINS                  BRITTANY                 "</f>
        <v xml:space="preserve">WIGGINS                  BRITTANY                 </v>
      </c>
      <c r="E19594" t="str">
        <f>"BATESVILLE                "</f>
        <v xml:space="preserve">BATESVILLE                </v>
      </c>
      <c r="F19594" t="str">
        <f t="shared" si="470"/>
        <v>MS</v>
      </c>
    </row>
    <row r="19595" spans="1:6" x14ac:dyDescent="0.25">
      <c r="A19595" t="str">
        <f>"200023104"</f>
        <v>200023104</v>
      </c>
      <c r="B19595" t="str">
        <f>"1952906711"</f>
        <v>1952906711</v>
      </c>
      <c r="C19595" t="str">
        <f>"363LF0000X"</f>
        <v>363LF0000X</v>
      </c>
      <c r="D19595" t="str">
        <f>"BROWN                    CASIE                    "</f>
        <v xml:space="preserve">BROWN                    CASIE                    </v>
      </c>
      <c r="E19595" t="str">
        <f>"JACKSON                   "</f>
        <v xml:space="preserve">JACKSON                   </v>
      </c>
      <c r="F19595" t="str">
        <f t="shared" si="470"/>
        <v>MS</v>
      </c>
    </row>
    <row r="19596" spans="1:6" x14ac:dyDescent="0.25">
      <c r="A19596" t="str">
        <f>"200023112"</f>
        <v>200023112</v>
      </c>
      <c r="B19596" t="str">
        <f>"1124778873"</f>
        <v>1124778873</v>
      </c>
      <c r="C19596" t="str">
        <f>"207R00000X"</f>
        <v>207R00000X</v>
      </c>
      <c r="D19596" t="str">
        <f>"ELLIS                    ZACHARY                  "</f>
        <v xml:space="preserve">ELLIS                    ZACHARY                  </v>
      </c>
      <c r="E19596" t="str">
        <f>"TUPELO                    "</f>
        <v xml:space="preserve">TUPELO                    </v>
      </c>
      <c r="F19596" t="str">
        <f t="shared" si="470"/>
        <v>MS</v>
      </c>
    </row>
    <row r="19597" spans="1:6" x14ac:dyDescent="0.25">
      <c r="A19597" t="str">
        <f>"200023119"</f>
        <v>200023119</v>
      </c>
      <c r="B19597" t="str">
        <f>"1982496394"</f>
        <v>1982496394</v>
      </c>
      <c r="C19597" t="str">
        <f>"207LP3000X"</f>
        <v>207LP3000X</v>
      </c>
      <c r="D19597" t="str">
        <f>"VALENTE                  DANIEL                   "</f>
        <v xml:space="preserve">VALENTE                  DANIEL                   </v>
      </c>
      <c r="E19597" t="str">
        <f>"JACKSON                   "</f>
        <v xml:space="preserve">JACKSON                   </v>
      </c>
      <c r="F19597" t="str">
        <f t="shared" si="470"/>
        <v>MS</v>
      </c>
    </row>
    <row r="19598" spans="1:6" x14ac:dyDescent="0.25">
      <c r="A19598" t="str">
        <f>"200023130"</f>
        <v>200023130</v>
      </c>
      <c r="B19598" t="str">
        <f>"1154880904"</f>
        <v>1154880904</v>
      </c>
      <c r="C19598" t="str">
        <f>"2086S0120X"</f>
        <v>2086S0120X</v>
      </c>
      <c r="D19598" t="str">
        <f>"FROEHLICH                MARY                     "</f>
        <v xml:space="preserve">FROEHLICH                MARY                     </v>
      </c>
      <c r="E19598" t="str">
        <f>"JACKSON                   "</f>
        <v xml:space="preserve">JACKSON                   </v>
      </c>
      <c r="F19598" t="str">
        <f t="shared" si="470"/>
        <v>MS</v>
      </c>
    </row>
    <row r="19599" spans="1:6" x14ac:dyDescent="0.25">
      <c r="A19599" t="str">
        <f>"200023131"</f>
        <v>200023131</v>
      </c>
      <c r="B19599" t="str">
        <f>"1538044078"</f>
        <v>1538044078</v>
      </c>
      <c r="C19599" t="str">
        <f>"363L00000X"</f>
        <v>363L00000X</v>
      </c>
      <c r="D19599" t="str">
        <f>"BATTE                    HEATHER                  "</f>
        <v xml:space="preserve">BATTE                    HEATHER                  </v>
      </c>
      <c r="E19599" t="str">
        <f>"JACKSON                   "</f>
        <v xml:space="preserve">JACKSON                   </v>
      </c>
      <c r="F19599" t="str">
        <f t="shared" si="470"/>
        <v>MS</v>
      </c>
    </row>
    <row r="19600" spans="1:6" x14ac:dyDescent="0.25">
      <c r="A19600" t="str">
        <f>"200023136"</f>
        <v>200023136</v>
      </c>
      <c r="B19600" t="str">
        <f>"1467128553"</f>
        <v>1467128553</v>
      </c>
      <c r="C19600" t="str">
        <f>"363LA2100X"</f>
        <v>363LA2100X</v>
      </c>
      <c r="D19600" t="str">
        <f>"SNOW                     CYNTHIA                  "</f>
        <v xml:space="preserve">SNOW                     CYNTHIA                  </v>
      </c>
      <c r="E19600" t="str">
        <f>"WAYNESBORO                "</f>
        <v xml:space="preserve">WAYNESBORO                </v>
      </c>
      <c r="F19600" t="str">
        <f t="shared" si="470"/>
        <v>MS</v>
      </c>
    </row>
    <row r="19601" spans="1:6" x14ac:dyDescent="0.25">
      <c r="A19601" t="str">
        <f>"200023137"</f>
        <v>200023137</v>
      </c>
      <c r="B19601" t="str">
        <f>"1558156968"</f>
        <v>1558156968</v>
      </c>
      <c r="C19601" t="str">
        <f>"207R00000X"</f>
        <v>207R00000X</v>
      </c>
      <c r="D19601" t="str">
        <f>"ELKHIDIR                 ABEER                    "</f>
        <v xml:space="preserve">ELKHIDIR                 ABEER                    </v>
      </c>
      <c r="E19601" t="str">
        <f>"TUPELO                    "</f>
        <v xml:space="preserve">TUPELO                    </v>
      </c>
      <c r="F19601" t="str">
        <f t="shared" si="470"/>
        <v>MS</v>
      </c>
    </row>
    <row r="19602" spans="1:6" x14ac:dyDescent="0.25">
      <c r="A19602" t="str">
        <f>"200023140"</f>
        <v>200023140</v>
      </c>
      <c r="B19602" t="str">
        <f>"1982427563"</f>
        <v>1982427563</v>
      </c>
      <c r="C19602" t="str">
        <f>"367500000X"</f>
        <v>367500000X</v>
      </c>
      <c r="D19602" t="str">
        <f>"FAULK                    LAUREN       T           "</f>
        <v xml:space="preserve">FAULK                    LAUREN       T           </v>
      </c>
      <c r="E19602" t="str">
        <f>"JACKSON                   "</f>
        <v xml:space="preserve">JACKSON                   </v>
      </c>
      <c r="F19602" t="str">
        <f t="shared" si="470"/>
        <v>MS</v>
      </c>
    </row>
    <row r="19603" spans="1:6" x14ac:dyDescent="0.25">
      <c r="A19603" t="str">
        <f>"200023141"</f>
        <v>200023141</v>
      </c>
      <c r="B19603" t="str">
        <f>"1154940229"</f>
        <v>1154940229</v>
      </c>
      <c r="C19603" t="str">
        <f>"208600000X"</f>
        <v>208600000X</v>
      </c>
      <c r="D19603" t="str">
        <f>"JONES-CARR               MAGGIE                   "</f>
        <v xml:space="preserve">JONES-CARR               MAGGIE                   </v>
      </c>
      <c r="E19603" t="str">
        <f>"JACKSON                   "</f>
        <v xml:space="preserve">JACKSON                   </v>
      </c>
      <c r="F19603" t="str">
        <f t="shared" si="470"/>
        <v>MS</v>
      </c>
    </row>
    <row r="19604" spans="1:6" x14ac:dyDescent="0.25">
      <c r="A19604" t="str">
        <f>"200023143"</f>
        <v>200023143</v>
      </c>
      <c r="B19604" t="str">
        <f>"1316000524"</f>
        <v>1316000524</v>
      </c>
      <c r="C19604" t="str">
        <f>"152W00000X"</f>
        <v>152W00000X</v>
      </c>
      <c r="D19604" t="str">
        <f>"SCHLESINGER              JOSEPH                   "</f>
        <v xml:space="preserve">SCHLESINGER              JOSEPH                   </v>
      </c>
      <c r="E19604" t="str">
        <f>"BAY SAINT LOUIS           "</f>
        <v xml:space="preserve">BAY SAINT LOUIS           </v>
      </c>
      <c r="F19604" t="str">
        <f t="shared" si="470"/>
        <v>MS</v>
      </c>
    </row>
    <row r="19605" spans="1:6" x14ac:dyDescent="0.25">
      <c r="A19605" t="str">
        <f>"200023144"</f>
        <v>200023144</v>
      </c>
      <c r="B19605" t="str">
        <f>"1437881992"</f>
        <v>1437881992</v>
      </c>
      <c r="C19605" t="str">
        <f>"207Q00000X"</f>
        <v>207Q00000X</v>
      </c>
      <c r="D19605" t="str">
        <f>"NEWMAN                   DAULTON                  "</f>
        <v xml:space="preserve">NEWMAN                   DAULTON                  </v>
      </c>
      <c r="E19605" t="str">
        <f>"EUPORA                    "</f>
        <v xml:space="preserve">EUPORA                    </v>
      </c>
      <c r="F19605" t="str">
        <f t="shared" si="470"/>
        <v>MS</v>
      </c>
    </row>
    <row r="19606" spans="1:6" x14ac:dyDescent="0.25">
      <c r="A19606" t="str">
        <f>"200023145"</f>
        <v>200023145</v>
      </c>
      <c r="B19606" t="str">
        <f>"1366071037"</f>
        <v>1366071037</v>
      </c>
      <c r="C19606" t="str">
        <f>"207W00000X"</f>
        <v>207W00000X</v>
      </c>
      <c r="D19606" t="str">
        <f>"KWAK                     HAKYONG                  "</f>
        <v xml:space="preserve">KWAK                     HAKYONG                  </v>
      </c>
      <c r="E19606" t="str">
        <f>"SOUTHAVEN                 "</f>
        <v xml:space="preserve">SOUTHAVEN                 </v>
      </c>
      <c r="F19606" t="str">
        <f t="shared" si="470"/>
        <v>MS</v>
      </c>
    </row>
    <row r="19607" spans="1:6" x14ac:dyDescent="0.25">
      <c r="A19607" t="str">
        <f>"200023153"</f>
        <v>200023153</v>
      </c>
      <c r="B19607" t="str">
        <f>"1669096574"</f>
        <v>1669096574</v>
      </c>
      <c r="C19607" t="str">
        <f>"207R00000X"</f>
        <v>207R00000X</v>
      </c>
      <c r="D19607" t="str">
        <f>"SHEHATA                  ANDREW                   "</f>
        <v xml:space="preserve">SHEHATA                  ANDREW                   </v>
      </c>
      <c r="E19607" t="str">
        <f>"JACKSON                   "</f>
        <v xml:space="preserve">JACKSON                   </v>
      </c>
      <c r="F19607" t="str">
        <f t="shared" si="470"/>
        <v>MS</v>
      </c>
    </row>
    <row r="19608" spans="1:6" x14ac:dyDescent="0.25">
      <c r="A19608" t="str">
        <f>"200023154"</f>
        <v>200023154</v>
      </c>
      <c r="B19608" t="str">
        <f>"1699539395"</f>
        <v>1699539395</v>
      </c>
      <c r="C19608" t="str">
        <f>"207R00000X"</f>
        <v>207R00000X</v>
      </c>
      <c r="D19608" t="str">
        <f>"WHITE                    AMBER                    "</f>
        <v xml:space="preserve">WHITE                    AMBER                    </v>
      </c>
      <c r="E19608" t="str">
        <f>"JACKSON                   "</f>
        <v xml:space="preserve">JACKSON                   </v>
      </c>
      <c r="F19608" t="str">
        <f t="shared" si="470"/>
        <v>MS</v>
      </c>
    </row>
    <row r="19609" spans="1:6" x14ac:dyDescent="0.25">
      <c r="A19609" t="str">
        <f>"200023155"</f>
        <v>200023155</v>
      </c>
      <c r="B19609" t="str">
        <f>"1568046464"</f>
        <v>1568046464</v>
      </c>
      <c r="C19609" t="str">
        <f>"207Q00000X"</f>
        <v>207Q00000X</v>
      </c>
      <c r="D19609" t="str">
        <f>"PATEL                    ANISHA                   "</f>
        <v xml:space="preserve">PATEL                    ANISHA                   </v>
      </c>
      <c r="E19609" t="str">
        <f>"VICKSBURG                 "</f>
        <v xml:space="preserve">VICKSBURG                 </v>
      </c>
      <c r="F19609" t="str">
        <f t="shared" si="470"/>
        <v>MS</v>
      </c>
    </row>
    <row r="19610" spans="1:6" x14ac:dyDescent="0.25">
      <c r="A19610" t="str">
        <f>"200023156"</f>
        <v>200023156</v>
      </c>
      <c r="B19610" t="str">
        <f>"1972237022"</f>
        <v>1972237022</v>
      </c>
      <c r="C19610" t="str">
        <f>"363LA2100X"</f>
        <v>363LA2100X</v>
      </c>
      <c r="D19610" t="str">
        <f>"KELLY                    SHELDON      R           "</f>
        <v xml:space="preserve">KELLY                    SHELDON      R           </v>
      </c>
      <c r="E19610" t="str">
        <f>"FLOWOOD                   "</f>
        <v xml:space="preserve">FLOWOOD                   </v>
      </c>
      <c r="F19610" t="str">
        <f t="shared" si="470"/>
        <v>MS</v>
      </c>
    </row>
    <row r="19611" spans="1:6" x14ac:dyDescent="0.25">
      <c r="A19611" t="str">
        <f>"200023157"</f>
        <v>200023157</v>
      </c>
      <c r="B19611" t="str">
        <f>"1750176657"</f>
        <v>1750176657</v>
      </c>
      <c r="C19611" t="str">
        <f>"207ZP0102X"</f>
        <v>207ZP0102X</v>
      </c>
      <c r="D19611" t="str">
        <f>"SIDDIQUI                 ISHAA                    "</f>
        <v xml:space="preserve">SIDDIQUI                 ISHAA                    </v>
      </c>
      <c r="E19611" t="str">
        <f>"JACKSON                   "</f>
        <v xml:space="preserve">JACKSON                   </v>
      </c>
      <c r="F19611" t="str">
        <f t="shared" si="470"/>
        <v>MS</v>
      </c>
    </row>
    <row r="19612" spans="1:6" x14ac:dyDescent="0.25">
      <c r="A19612" t="str">
        <f>"200023158"</f>
        <v>200023158</v>
      </c>
      <c r="B19612" t="str">
        <f>"1689552481"</f>
        <v>1689552481</v>
      </c>
      <c r="C19612" t="str">
        <f>"363L00000X"</f>
        <v>363L00000X</v>
      </c>
      <c r="D19612" t="str">
        <f>"BOX                      ALICIA                   "</f>
        <v xml:space="preserve">BOX                      ALICIA                   </v>
      </c>
      <c r="E19612" t="str">
        <f>"STARKVILLE                "</f>
        <v xml:space="preserve">STARKVILLE                </v>
      </c>
      <c r="F19612" t="str">
        <f t="shared" si="470"/>
        <v>MS</v>
      </c>
    </row>
    <row r="19613" spans="1:6" x14ac:dyDescent="0.25">
      <c r="A19613" t="str">
        <f>"200023159"</f>
        <v>200023159</v>
      </c>
      <c r="B19613" t="str">
        <f>"1558823971"</f>
        <v>1558823971</v>
      </c>
      <c r="C19613" t="str">
        <f>"363L00000X"</f>
        <v>363L00000X</v>
      </c>
      <c r="D19613" t="str">
        <f>"HUTCHINS                 ROSIE                    "</f>
        <v xml:space="preserve">HUTCHINS                 ROSIE                    </v>
      </c>
      <c r="E19613" t="str">
        <f>"FLOWOOD                   "</f>
        <v xml:space="preserve">FLOWOOD                   </v>
      </c>
      <c r="F19613" t="str">
        <f t="shared" si="470"/>
        <v>MS</v>
      </c>
    </row>
    <row r="19614" spans="1:6" x14ac:dyDescent="0.25">
      <c r="A19614" t="str">
        <f>"200023164"</f>
        <v>200023164</v>
      </c>
      <c r="B19614" t="str">
        <f>"1033095310"</f>
        <v>1033095310</v>
      </c>
      <c r="C19614" t="str">
        <f>"363LF0000X"</f>
        <v>363LF0000X</v>
      </c>
      <c r="D19614" t="str">
        <f>"WATSON                   TIFFANY                  "</f>
        <v xml:space="preserve">WATSON                   TIFFANY                  </v>
      </c>
      <c r="E19614" t="str">
        <f>"COLUMBUS                  "</f>
        <v xml:space="preserve">COLUMBUS                  </v>
      </c>
      <c r="F19614" t="str">
        <f t="shared" si="470"/>
        <v>MS</v>
      </c>
    </row>
    <row r="19615" spans="1:6" x14ac:dyDescent="0.25">
      <c r="A19615" t="str">
        <f>"200023166"</f>
        <v>200023166</v>
      </c>
      <c r="B19615" t="str">
        <f>"1467337329"</f>
        <v>1467337329</v>
      </c>
      <c r="C19615" t="str">
        <f>"363LF0000X"</f>
        <v>363LF0000X</v>
      </c>
      <c r="D19615" t="str">
        <f>"COHN                     KAREN                    "</f>
        <v xml:space="preserve">COHN                     KAREN                    </v>
      </c>
      <c r="E19615" t="str">
        <f>"BYRAM                     "</f>
        <v xml:space="preserve">BYRAM                     </v>
      </c>
      <c r="F19615" t="str">
        <f t="shared" si="470"/>
        <v>MS</v>
      </c>
    </row>
    <row r="19616" spans="1:6" x14ac:dyDescent="0.25">
      <c r="A19616" t="str">
        <f>"200023169"</f>
        <v>200023169</v>
      </c>
      <c r="B19616" t="str">
        <f>"1437540325"</f>
        <v>1437540325</v>
      </c>
      <c r="C19616" t="str">
        <f>"363L00000X"</f>
        <v>363L00000X</v>
      </c>
      <c r="D19616" t="str">
        <f>"BOLEWARE                 LAURA                    "</f>
        <v xml:space="preserve">BOLEWARE                 LAURA                    </v>
      </c>
      <c r="E19616" t="str">
        <f>"LAUREL                    "</f>
        <v xml:space="preserve">LAUREL                    </v>
      </c>
      <c r="F19616" t="str">
        <f t="shared" si="470"/>
        <v>MS</v>
      </c>
    </row>
    <row r="19617" spans="1:6" x14ac:dyDescent="0.25">
      <c r="A19617" t="str">
        <f>"200023170"</f>
        <v>200023170</v>
      </c>
      <c r="B19617" t="str">
        <f>"1598086712"</f>
        <v>1598086712</v>
      </c>
      <c r="C19617" t="str">
        <f>"2085R0202X"</f>
        <v>2085R0202X</v>
      </c>
      <c r="D19617" t="str">
        <f>"BERGER                   JONATHAN                 "</f>
        <v xml:space="preserve">BERGER                   JONATHAN                 </v>
      </c>
      <c r="E19617" t="str">
        <f>"BOONEVILLE                "</f>
        <v xml:space="preserve">BOONEVILLE                </v>
      </c>
      <c r="F19617" t="str">
        <f t="shared" si="470"/>
        <v>MS</v>
      </c>
    </row>
    <row r="19618" spans="1:6" x14ac:dyDescent="0.25">
      <c r="A19618" t="str">
        <f>"200023171"</f>
        <v>200023171</v>
      </c>
      <c r="B19618" t="str">
        <f>"1609463413"</f>
        <v>1609463413</v>
      </c>
      <c r="C19618" t="str">
        <f>"363LA2100X"</f>
        <v>363LA2100X</v>
      </c>
      <c r="D19618" t="str">
        <f>"STONE                    NATHAN                   "</f>
        <v xml:space="preserve">STONE                    NATHAN                   </v>
      </c>
      <c r="E19618" t="str">
        <f>"WAYNESBORO                "</f>
        <v xml:space="preserve">WAYNESBORO                </v>
      </c>
      <c r="F19618" t="str">
        <f t="shared" si="470"/>
        <v>MS</v>
      </c>
    </row>
    <row r="19619" spans="1:6" x14ac:dyDescent="0.25">
      <c r="A19619" t="str">
        <f>"200023184"</f>
        <v>200023184</v>
      </c>
      <c r="B19619" t="str">
        <f>"1619863313"</f>
        <v>1619863313</v>
      </c>
      <c r="C19619" t="str">
        <f>"207R00000X"</f>
        <v>207R00000X</v>
      </c>
      <c r="D19619" t="str">
        <f>"SHAH                     JASH                     "</f>
        <v xml:space="preserve">SHAH                     JASH                     </v>
      </c>
      <c r="E19619" t="str">
        <f>"COLUMBUS                  "</f>
        <v xml:space="preserve">COLUMBUS                  </v>
      </c>
      <c r="F19619" t="str">
        <f t="shared" si="470"/>
        <v>MS</v>
      </c>
    </row>
    <row r="19620" spans="1:6" x14ac:dyDescent="0.25">
      <c r="A19620" t="str">
        <f>"200023187"</f>
        <v>200023187</v>
      </c>
      <c r="B19620" t="str">
        <f>"1376658781"</f>
        <v>1376658781</v>
      </c>
      <c r="C19620" t="str">
        <f>"2085R0202X"</f>
        <v>2085R0202X</v>
      </c>
      <c r="D19620" t="str">
        <f>"HORRAS                   RANDY                    "</f>
        <v xml:space="preserve">HORRAS                   RANDY                    </v>
      </c>
      <c r="E19620" t="str">
        <f>"BOONEVILLE                "</f>
        <v xml:space="preserve">BOONEVILLE                </v>
      </c>
      <c r="F19620" t="str">
        <f t="shared" si="470"/>
        <v>MS</v>
      </c>
    </row>
    <row r="19621" spans="1:6" x14ac:dyDescent="0.25">
      <c r="A19621" t="str">
        <f>"200023191"</f>
        <v>200023191</v>
      </c>
      <c r="B19621" t="str">
        <f>"1922521103"</f>
        <v>1922521103</v>
      </c>
      <c r="C19621" t="str">
        <f>"363LA2100X"</f>
        <v>363LA2100X</v>
      </c>
      <c r="D19621" t="str">
        <f>"ADKINS                   COURTNEY                 "</f>
        <v xml:space="preserve">ADKINS                   COURTNEY                 </v>
      </c>
      <c r="E19621" t="str">
        <f>"WAYNESBORO                "</f>
        <v xml:space="preserve">WAYNESBORO                </v>
      </c>
      <c r="F19621" t="str">
        <f t="shared" si="470"/>
        <v>MS</v>
      </c>
    </row>
    <row r="19622" spans="1:6" x14ac:dyDescent="0.25">
      <c r="A19622" t="str">
        <f>"200023195"</f>
        <v>200023195</v>
      </c>
      <c r="B19622" t="str">
        <f>"1194365338"</f>
        <v>1194365338</v>
      </c>
      <c r="C19622" t="str">
        <f>"261QR1300X"</f>
        <v>261QR1300X</v>
      </c>
      <c r="D19622" t="str">
        <f>"BOUNDS FAMILY MEDICAL                             "</f>
        <v xml:space="preserve">BOUNDS FAMILY MEDICAL                             </v>
      </c>
      <c r="E19622" t="str">
        <f>"FAYETTE                   "</f>
        <v xml:space="preserve">FAYETTE                   </v>
      </c>
      <c r="F19622" t="str">
        <f t="shared" si="470"/>
        <v>MS</v>
      </c>
    </row>
    <row r="19623" spans="1:6" x14ac:dyDescent="0.25">
      <c r="A19623" t="str">
        <f>"200023196"</f>
        <v>200023196</v>
      </c>
      <c r="B19623" t="str">
        <f>"1073609574"</f>
        <v>1073609574</v>
      </c>
      <c r="C19623" t="str">
        <f>"122300000X"</f>
        <v>122300000X</v>
      </c>
      <c r="D19623" t="str">
        <f>"FORD                     INGE         B           "</f>
        <v xml:space="preserve">FORD                     INGE         B           </v>
      </c>
      <c r="E19623" t="str">
        <f>"MOUND BAYOU               "</f>
        <v xml:space="preserve">MOUND BAYOU               </v>
      </c>
      <c r="F19623" t="str">
        <f t="shared" si="470"/>
        <v>MS</v>
      </c>
    </row>
    <row r="19624" spans="1:6" x14ac:dyDescent="0.25">
      <c r="A19624" t="str">
        <f>"200023201"</f>
        <v>200023201</v>
      </c>
      <c r="B19624" t="str">
        <f>"1679137525"</f>
        <v>1679137525</v>
      </c>
      <c r="C19624" t="str">
        <f>"208000000X"</f>
        <v>208000000X</v>
      </c>
      <c r="D19624" t="str">
        <f>"PINKARD                  ZACHARY      C           "</f>
        <v xml:space="preserve">PINKARD                  ZACHARY      C           </v>
      </c>
      <c r="E19624" t="str">
        <f>"SOUTHAVEN                 "</f>
        <v xml:space="preserve">SOUTHAVEN                 </v>
      </c>
      <c r="F19624" t="str">
        <f t="shared" si="470"/>
        <v>MS</v>
      </c>
    </row>
    <row r="19625" spans="1:6" x14ac:dyDescent="0.25">
      <c r="A19625" t="str">
        <f>"200023208"</f>
        <v>200023208</v>
      </c>
      <c r="B19625" t="str">
        <f>"1215914619"</f>
        <v>1215914619</v>
      </c>
      <c r="C19625" t="str">
        <f>"2085R0202X"</f>
        <v>2085R0202X</v>
      </c>
      <c r="D19625" t="str">
        <f>"SHAKERI-CEREJO           SHIDROKH     A           "</f>
        <v xml:space="preserve">SHAKERI-CEREJO           SHIDROKH     A           </v>
      </c>
      <c r="E19625" t="str">
        <f>"HATTIESBURG               "</f>
        <v xml:space="preserve">HATTIESBURG               </v>
      </c>
      <c r="F19625" t="str">
        <f t="shared" si="470"/>
        <v>MS</v>
      </c>
    </row>
    <row r="19626" spans="1:6" x14ac:dyDescent="0.25">
      <c r="A19626" t="str">
        <f>"200023212"</f>
        <v>200023212</v>
      </c>
      <c r="B19626" t="str">
        <f>"1184506990"</f>
        <v>1184506990</v>
      </c>
      <c r="C19626" t="str">
        <f>"363L00000X"</f>
        <v>363L00000X</v>
      </c>
      <c r="D19626" t="str">
        <f>"TROXLER                  JOHN         A           "</f>
        <v xml:space="preserve">TROXLER                  JOHN         A           </v>
      </c>
      <c r="E19626" t="str">
        <f>"CALEDONIA                 "</f>
        <v xml:space="preserve">CALEDONIA                 </v>
      </c>
      <c r="F19626" t="str">
        <f t="shared" si="470"/>
        <v>MS</v>
      </c>
    </row>
    <row r="19627" spans="1:6" x14ac:dyDescent="0.25">
      <c r="A19627" t="str">
        <f>"200023214"</f>
        <v>200023214</v>
      </c>
      <c r="B19627" t="str">
        <f>"1396196879"</f>
        <v>1396196879</v>
      </c>
      <c r="C19627" t="str">
        <f>"261QM0801X"</f>
        <v>261QM0801X</v>
      </c>
      <c r="D19627" t="str">
        <f>"MISSISSIPPI BEHAVIORAL HEALTH SERVICES, LLC       "</f>
        <v xml:space="preserve">MISSISSIPPI BEHAVIORAL HEALTH SERVICES, LLC       </v>
      </c>
      <c r="E19627" t="str">
        <f>"CLARKSDALE                "</f>
        <v xml:space="preserve">CLARKSDALE                </v>
      </c>
      <c r="F19627" t="str">
        <f t="shared" si="470"/>
        <v>MS</v>
      </c>
    </row>
    <row r="19628" spans="1:6" x14ac:dyDescent="0.25">
      <c r="A19628" t="str">
        <f>"200023219"</f>
        <v>200023219</v>
      </c>
      <c r="B19628" t="str">
        <f>"1821960683"</f>
        <v>1821960683</v>
      </c>
      <c r="C19628" t="str">
        <f>"122300000X"</f>
        <v>122300000X</v>
      </c>
      <c r="D19628" t="str">
        <f>"PEDIATRIC DENTISTRY OF GLUCKDTADT                 "</f>
        <v xml:space="preserve">PEDIATRIC DENTISTRY OF GLUCKDTADT                 </v>
      </c>
      <c r="E19628" t="str">
        <f>"GLUCKSTADT                "</f>
        <v xml:space="preserve">GLUCKSTADT                </v>
      </c>
      <c r="F19628" t="str">
        <f t="shared" si="470"/>
        <v>MS</v>
      </c>
    </row>
    <row r="19629" spans="1:6" x14ac:dyDescent="0.25">
      <c r="A19629" t="str">
        <f>"200023225"</f>
        <v>200023225</v>
      </c>
      <c r="B19629" t="str">
        <f>"1801392212"</f>
        <v>1801392212</v>
      </c>
      <c r="C19629" t="str">
        <f>"2086S0129X"</f>
        <v>2086S0129X</v>
      </c>
      <c r="D19629" t="str">
        <f>"REED                     HAYLIE                   "</f>
        <v xml:space="preserve">REED                     HAYLIE                   </v>
      </c>
      <c r="E19629" t="str">
        <f>"GULFPORT                  "</f>
        <v xml:space="preserve">GULFPORT                  </v>
      </c>
      <c r="F19629" t="str">
        <f t="shared" si="470"/>
        <v>MS</v>
      </c>
    </row>
    <row r="19630" spans="1:6" x14ac:dyDescent="0.25">
      <c r="A19630" t="str">
        <f>"200023226"</f>
        <v>200023226</v>
      </c>
      <c r="B19630" t="str">
        <f>"1639720550"</f>
        <v>1639720550</v>
      </c>
      <c r="C19630" t="str">
        <f>"363LF0000X"</f>
        <v>363LF0000X</v>
      </c>
      <c r="D19630" t="str">
        <f>"BOLEN                    JENNIFER                 "</f>
        <v xml:space="preserve">BOLEN                    JENNIFER                 </v>
      </c>
      <c r="E19630" t="str">
        <f>"NEW ALBANY                "</f>
        <v xml:space="preserve">NEW ALBANY                </v>
      </c>
      <c r="F19630" t="str">
        <f t="shared" si="470"/>
        <v>MS</v>
      </c>
    </row>
    <row r="19631" spans="1:6" x14ac:dyDescent="0.25">
      <c r="A19631" t="str">
        <f>"200023229"</f>
        <v>200023229</v>
      </c>
      <c r="B19631" t="str">
        <f>"1396196879"</f>
        <v>1396196879</v>
      </c>
      <c r="C19631" t="str">
        <f>"261QM0801X"</f>
        <v>261QM0801X</v>
      </c>
      <c r="D19631" t="str">
        <f>"MISSISSIPPI BEHAVIORAL HEALTH SERVICES, LLC       "</f>
        <v xml:space="preserve">MISSISSIPPI BEHAVIORAL HEALTH SERVICES, LLC       </v>
      </c>
      <c r="E19631" t="str">
        <f>"MERIDIAN                  "</f>
        <v xml:space="preserve">MERIDIAN                  </v>
      </c>
      <c r="F19631" t="str">
        <f t="shared" si="470"/>
        <v>MS</v>
      </c>
    </row>
    <row r="19632" spans="1:6" x14ac:dyDescent="0.25">
      <c r="A19632" t="str">
        <f>"200023233"</f>
        <v>200023233</v>
      </c>
      <c r="B19632" t="str">
        <f>"1316697147"</f>
        <v>1316697147</v>
      </c>
      <c r="C19632" t="str">
        <f>"207R00000X"</f>
        <v>207R00000X</v>
      </c>
      <c r="D19632" t="str">
        <f>"WILLIAMS                 DOUGLAS                  "</f>
        <v xml:space="preserve">WILLIAMS                 DOUGLAS                  </v>
      </c>
      <c r="E19632" t="str">
        <f>"GULFPORT                  "</f>
        <v xml:space="preserve">GULFPORT                  </v>
      </c>
      <c r="F19632" t="str">
        <f t="shared" si="470"/>
        <v>MS</v>
      </c>
    </row>
    <row r="19633" spans="1:6" x14ac:dyDescent="0.25">
      <c r="A19633" t="str">
        <f>"200023234"</f>
        <v>200023234</v>
      </c>
      <c r="B19633" t="str">
        <f>"1912936725"</f>
        <v>1912936725</v>
      </c>
      <c r="C19633" t="str">
        <f>"2084P0804X"</f>
        <v>2084P0804X</v>
      </c>
      <c r="D19633" t="str">
        <f>"ALMIDANI                 MAZEN                    "</f>
        <v xml:space="preserve">ALMIDANI                 MAZEN                    </v>
      </c>
      <c r="E19633" t="str">
        <f>"TUPELO                    "</f>
        <v xml:space="preserve">TUPELO                    </v>
      </c>
      <c r="F19633" t="str">
        <f t="shared" si="470"/>
        <v>MS</v>
      </c>
    </row>
    <row r="19634" spans="1:6" x14ac:dyDescent="0.25">
      <c r="A19634" t="str">
        <f>"200023237"</f>
        <v>200023237</v>
      </c>
      <c r="B19634" t="str">
        <f>"1689923401"</f>
        <v>1689923401</v>
      </c>
      <c r="C19634" t="str">
        <f>"367500000X"</f>
        <v>367500000X</v>
      </c>
      <c r="D19634" t="str">
        <f>"SANDERS                  AMY                      "</f>
        <v xml:space="preserve">SANDERS                  AMY                      </v>
      </c>
      <c r="E19634" t="str">
        <f>"BOONEVILLE                "</f>
        <v xml:space="preserve">BOONEVILLE                </v>
      </c>
      <c r="F19634" t="str">
        <f t="shared" si="470"/>
        <v>MS</v>
      </c>
    </row>
    <row r="19635" spans="1:6" x14ac:dyDescent="0.25">
      <c r="A19635" t="str">
        <f>"200023238"</f>
        <v>200023238</v>
      </c>
      <c r="B19635" t="str">
        <f>"1396196879"</f>
        <v>1396196879</v>
      </c>
      <c r="C19635" t="str">
        <f>"261QM0801X"</f>
        <v>261QM0801X</v>
      </c>
      <c r="D19635" t="str">
        <f>"MISSISSIPPI BEHAVIORAL HEALTH SERVICES, LLC       "</f>
        <v xml:space="preserve">MISSISSIPPI BEHAVIORAL HEALTH SERVICES, LLC       </v>
      </c>
      <c r="E19635" t="str">
        <f>"GREENVILLE                "</f>
        <v xml:space="preserve">GREENVILLE                </v>
      </c>
      <c r="F19635" t="str">
        <f t="shared" si="470"/>
        <v>MS</v>
      </c>
    </row>
    <row r="19636" spans="1:6" x14ac:dyDescent="0.25">
      <c r="A19636" t="str">
        <f>"200023239"</f>
        <v>200023239</v>
      </c>
      <c r="B19636" t="str">
        <f>"1396196879"</f>
        <v>1396196879</v>
      </c>
      <c r="C19636" t="str">
        <f>"261QM0801X"</f>
        <v>261QM0801X</v>
      </c>
      <c r="D19636" t="str">
        <f>"MISSISSIPPI BEHAVIORAL HEALTH SERVICES, LLC       "</f>
        <v xml:space="preserve">MISSISSIPPI BEHAVIORAL HEALTH SERVICES, LLC       </v>
      </c>
      <c r="E19636" t="str">
        <f>"STARKVILLE                "</f>
        <v xml:space="preserve">STARKVILLE                </v>
      </c>
      <c r="F19636" t="str">
        <f t="shared" si="470"/>
        <v>MS</v>
      </c>
    </row>
    <row r="19637" spans="1:6" x14ac:dyDescent="0.25">
      <c r="A19637" t="str">
        <f>"200023245"</f>
        <v>200023245</v>
      </c>
      <c r="B19637" t="str">
        <f>"1992236715"</f>
        <v>1992236715</v>
      </c>
      <c r="C19637" t="str">
        <f>"208G00000X"</f>
        <v>208G00000X</v>
      </c>
      <c r="D19637" t="str">
        <f>"KING                     DAKOTA                   "</f>
        <v xml:space="preserve">KING                     DAKOTA                   </v>
      </c>
      <c r="E19637" t="str">
        <f>"TUPELO                    "</f>
        <v xml:space="preserve">TUPELO                    </v>
      </c>
      <c r="F19637" t="str">
        <f t="shared" si="470"/>
        <v>MS</v>
      </c>
    </row>
    <row r="19638" spans="1:6" x14ac:dyDescent="0.25">
      <c r="A19638" t="str">
        <f>"200023246"</f>
        <v>200023246</v>
      </c>
      <c r="B19638" t="str">
        <f>"1609669365"</f>
        <v>1609669365</v>
      </c>
      <c r="C19638" t="str">
        <f>"261QM1300X"</f>
        <v>261QM1300X</v>
      </c>
      <c r="D19638" t="str">
        <f>"BRAIN GROUP AND ASSOCIATES                        "</f>
        <v xml:space="preserve">BRAIN GROUP AND ASSOCIATES                        </v>
      </c>
      <c r="E19638" t="str">
        <f>"MCCOMB                    "</f>
        <v xml:space="preserve">MCCOMB                    </v>
      </c>
      <c r="F19638" t="str">
        <f t="shared" si="470"/>
        <v>MS</v>
      </c>
    </row>
    <row r="19639" spans="1:6" x14ac:dyDescent="0.25">
      <c r="A19639" t="str">
        <f>"200023247"</f>
        <v>200023247</v>
      </c>
      <c r="B19639" t="str">
        <f>"1396804712"</f>
        <v>1396804712</v>
      </c>
      <c r="C19639" t="str">
        <f>"207R00000X"</f>
        <v>207R00000X</v>
      </c>
      <c r="D19639" t="str">
        <f>"MALIK                    BOBBY                    "</f>
        <v xml:space="preserve">MALIK                    BOBBY                    </v>
      </c>
      <c r="E19639" t="str">
        <f>"RIDGELAND                 "</f>
        <v xml:space="preserve">RIDGELAND                 </v>
      </c>
      <c r="F19639" t="str">
        <f t="shared" si="470"/>
        <v>MS</v>
      </c>
    </row>
    <row r="19640" spans="1:6" x14ac:dyDescent="0.25">
      <c r="A19640" t="str">
        <f>"200023248"</f>
        <v>200023248</v>
      </c>
      <c r="B19640" t="str">
        <f>"1407311798"</f>
        <v>1407311798</v>
      </c>
      <c r="C19640" t="str">
        <f>"363LF0000X"</f>
        <v>363LF0000X</v>
      </c>
      <c r="D19640" t="str">
        <f>"HOPE                     PATRICK                  "</f>
        <v xml:space="preserve">HOPE                     PATRICK                  </v>
      </c>
      <c r="E19640" t="str">
        <f>"FLOWOOD                   "</f>
        <v xml:space="preserve">FLOWOOD                   </v>
      </c>
      <c r="F19640" t="str">
        <f t="shared" si="470"/>
        <v>MS</v>
      </c>
    </row>
    <row r="19641" spans="1:6" x14ac:dyDescent="0.25">
      <c r="A19641" t="str">
        <f>"200023250"</f>
        <v>200023250</v>
      </c>
      <c r="B19641" t="str">
        <f>"1396196879"</f>
        <v>1396196879</v>
      </c>
      <c r="C19641" t="str">
        <f>"261QM0801X"</f>
        <v>261QM0801X</v>
      </c>
      <c r="D19641" t="str">
        <f>"MISSISSIPPI BEHAVIORAL HEALTH SERVICES, LLC       "</f>
        <v xml:space="preserve">MISSISSIPPI BEHAVIORAL HEALTH SERVICES, LLC       </v>
      </c>
      <c r="E19641" t="str">
        <f>"HOLLY SPRINGS             "</f>
        <v xml:space="preserve">HOLLY SPRINGS             </v>
      </c>
      <c r="F19641" t="str">
        <f t="shared" si="470"/>
        <v>MS</v>
      </c>
    </row>
    <row r="19642" spans="1:6" x14ac:dyDescent="0.25">
      <c r="A19642" t="str">
        <f>"200023253"</f>
        <v>200023253</v>
      </c>
      <c r="B19642" t="str">
        <f>"1396196879"</f>
        <v>1396196879</v>
      </c>
      <c r="C19642" t="str">
        <f>"261QM0801X"</f>
        <v>261QM0801X</v>
      </c>
      <c r="D19642" t="str">
        <f>"MISSISSIPPI BEHAVIORAL HEALTH SERVICES, LLC       "</f>
        <v xml:space="preserve">MISSISSIPPI BEHAVIORAL HEALTH SERVICES, LLC       </v>
      </c>
      <c r="E19642" t="str">
        <f>"BAY SAINT LOUIS           "</f>
        <v xml:space="preserve">BAY SAINT LOUIS           </v>
      </c>
      <c r="F19642" t="str">
        <f t="shared" si="470"/>
        <v>MS</v>
      </c>
    </row>
    <row r="19643" spans="1:6" x14ac:dyDescent="0.25">
      <c r="A19643" t="str">
        <f>"200023258"</f>
        <v>200023258</v>
      </c>
      <c r="B19643" t="str">
        <f>"1386200442"</f>
        <v>1386200442</v>
      </c>
      <c r="C19643" t="str">
        <f>"363LP2300X"</f>
        <v>363LP2300X</v>
      </c>
      <c r="D19643" t="str">
        <f>"GILBERT                  KENYADA                  "</f>
        <v xml:space="preserve">GILBERT                  KENYADA                  </v>
      </c>
      <c r="E19643" t="str">
        <f>"JACKSON                   "</f>
        <v xml:space="preserve">JACKSON                   </v>
      </c>
      <c r="F19643" t="str">
        <f t="shared" si="470"/>
        <v>MS</v>
      </c>
    </row>
    <row r="19644" spans="1:6" x14ac:dyDescent="0.25">
      <c r="A19644" t="str">
        <f>"200023262"</f>
        <v>200023262</v>
      </c>
      <c r="B19644" t="str">
        <f>"1730366824"</f>
        <v>1730366824</v>
      </c>
      <c r="C19644" t="str">
        <f>"261QM0801X"</f>
        <v>261QM0801X</v>
      </c>
      <c r="D19644" t="str">
        <f>"HEALTH CONNECT AMERICA INC                        "</f>
        <v xml:space="preserve">HEALTH CONNECT AMERICA INC                        </v>
      </c>
      <c r="E19644" t="str">
        <f>"NEW ALBANY                "</f>
        <v xml:space="preserve">NEW ALBANY                </v>
      </c>
      <c r="F19644" t="str">
        <f t="shared" si="470"/>
        <v>MS</v>
      </c>
    </row>
    <row r="19645" spans="1:6" x14ac:dyDescent="0.25">
      <c r="A19645" t="str">
        <f>"200023263"</f>
        <v>200023263</v>
      </c>
      <c r="B19645" t="str">
        <f>"1730366824"</f>
        <v>1730366824</v>
      </c>
      <c r="C19645" t="str">
        <f>"261QM0801X"</f>
        <v>261QM0801X</v>
      </c>
      <c r="D19645" t="str">
        <f>"HEALTH CONNECT AMERICA INC                        "</f>
        <v xml:space="preserve">HEALTH CONNECT AMERICA INC                        </v>
      </c>
      <c r="E19645" t="str">
        <f>"JACKSON                   "</f>
        <v xml:space="preserve">JACKSON                   </v>
      </c>
      <c r="F19645" t="str">
        <f t="shared" si="470"/>
        <v>MS</v>
      </c>
    </row>
    <row r="19646" spans="1:6" x14ac:dyDescent="0.25">
      <c r="A19646" t="str">
        <f>"200023264"</f>
        <v>200023264</v>
      </c>
      <c r="B19646" t="str">
        <f>"1487543427"</f>
        <v>1487543427</v>
      </c>
      <c r="C19646" t="str">
        <f>"207R00000X"</f>
        <v>207R00000X</v>
      </c>
      <c r="D19646" t="str">
        <f>"CHAUDHARI                RUTA                     "</f>
        <v xml:space="preserve">CHAUDHARI                RUTA                     </v>
      </c>
      <c r="E19646" t="str">
        <f>"COLUMBUS                  "</f>
        <v xml:space="preserve">COLUMBUS                  </v>
      </c>
      <c r="F19646" t="str">
        <f t="shared" ref="F19646:F19709" si="471">"MS"</f>
        <v>MS</v>
      </c>
    </row>
    <row r="19647" spans="1:6" x14ac:dyDescent="0.25">
      <c r="A19647" t="str">
        <f>"200023266"</f>
        <v>200023266</v>
      </c>
      <c r="B19647" t="str">
        <f>"1174073324"</f>
        <v>1174073324</v>
      </c>
      <c r="C19647" t="str">
        <f>"363LP0200X"</f>
        <v>363LP0200X</v>
      </c>
      <c r="D19647" t="str">
        <f>"NICHOLLS                 DANIELLE                 "</f>
        <v xml:space="preserve">NICHOLLS                 DANIELLE                 </v>
      </c>
      <c r="E19647" t="str">
        <f>"RIDGELAND                 "</f>
        <v xml:space="preserve">RIDGELAND                 </v>
      </c>
      <c r="F19647" t="str">
        <f t="shared" si="471"/>
        <v>MS</v>
      </c>
    </row>
    <row r="19648" spans="1:6" x14ac:dyDescent="0.25">
      <c r="A19648" t="str">
        <f>"200023267"</f>
        <v>200023267</v>
      </c>
      <c r="B19648" t="str">
        <f>"1134739626"</f>
        <v>1134739626</v>
      </c>
      <c r="C19648" t="str">
        <f>"363LF0000X"</f>
        <v>363LF0000X</v>
      </c>
      <c r="D19648" t="str">
        <f>"SHANK                    LILLIAN                  "</f>
        <v xml:space="preserve">SHANK                    LILLIAN                  </v>
      </c>
      <c r="E19648" t="str">
        <f>"PHILADELPHIA              "</f>
        <v xml:space="preserve">PHILADELPHIA              </v>
      </c>
      <c r="F19648" t="str">
        <f t="shared" si="471"/>
        <v>MS</v>
      </c>
    </row>
    <row r="19649" spans="1:6" x14ac:dyDescent="0.25">
      <c r="A19649" t="str">
        <f>"200023270"</f>
        <v>200023270</v>
      </c>
      <c r="B19649" t="str">
        <f>"1215914643"</f>
        <v>1215914643</v>
      </c>
      <c r="C19649" t="str">
        <f>"207P00000X"</f>
        <v>207P00000X</v>
      </c>
      <c r="D19649" t="str">
        <f>"ENGLE                    KINDRA                   "</f>
        <v xml:space="preserve">ENGLE                    KINDRA                   </v>
      </c>
      <c r="E19649" t="str">
        <f>"BILOXI                    "</f>
        <v xml:space="preserve">BILOXI                    </v>
      </c>
      <c r="F19649" t="str">
        <f t="shared" si="471"/>
        <v>MS</v>
      </c>
    </row>
    <row r="19650" spans="1:6" x14ac:dyDescent="0.25">
      <c r="A19650" t="str">
        <f>"200023271"</f>
        <v>200023271</v>
      </c>
      <c r="B19650" t="str">
        <f>"1104115492"</f>
        <v>1104115492</v>
      </c>
      <c r="C19650" t="str">
        <f>"2084N0400X"</f>
        <v>2084N0400X</v>
      </c>
      <c r="D19650" t="str">
        <f>"FINE                     ANANDA                   "</f>
        <v xml:space="preserve">FINE                     ANANDA                   </v>
      </c>
      <c r="E19650" t="str">
        <f>"TUPELO                    "</f>
        <v xml:space="preserve">TUPELO                    </v>
      </c>
      <c r="F19650" t="str">
        <f t="shared" si="471"/>
        <v>MS</v>
      </c>
    </row>
    <row r="19651" spans="1:6" x14ac:dyDescent="0.25">
      <c r="A19651" t="str">
        <f>"200023274"</f>
        <v>200023274</v>
      </c>
      <c r="B19651" t="str">
        <f>"1063082279"</f>
        <v>1063082279</v>
      </c>
      <c r="C19651" t="str">
        <f>"363L00000X"</f>
        <v>363L00000X</v>
      </c>
      <c r="D19651" t="str">
        <f>"GARRETT                  LAURI                    "</f>
        <v xml:space="preserve">GARRETT                  LAURI                    </v>
      </c>
      <c r="E19651" t="str">
        <f>"VICKSBURG                 "</f>
        <v xml:space="preserve">VICKSBURG                 </v>
      </c>
      <c r="F19651" t="str">
        <f t="shared" si="471"/>
        <v>MS</v>
      </c>
    </row>
    <row r="19652" spans="1:6" x14ac:dyDescent="0.25">
      <c r="A19652" t="str">
        <f>"200023275"</f>
        <v>200023275</v>
      </c>
      <c r="B19652" t="str">
        <f>"1235532391"</f>
        <v>1235532391</v>
      </c>
      <c r="C19652" t="str">
        <f>"363LF0000X"</f>
        <v>363LF0000X</v>
      </c>
      <c r="D19652" t="str">
        <f>"MAY                      BROOKE                   "</f>
        <v xml:space="preserve">MAY                      BROOKE                   </v>
      </c>
      <c r="E19652" t="str">
        <f>"BYHALIA                   "</f>
        <v xml:space="preserve">BYHALIA                   </v>
      </c>
      <c r="F19652" t="str">
        <f t="shared" si="471"/>
        <v>MS</v>
      </c>
    </row>
    <row r="19653" spans="1:6" x14ac:dyDescent="0.25">
      <c r="A19653" t="str">
        <f>"200023277"</f>
        <v>200023277</v>
      </c>
      <c r="B19653" t="str">
        <f>"1750819561"</f>
        <v>1750819561</v>
      </c>
      <c r="C19653" t="str">
        <f>"1223X0400X"</f>
        <v>1223X0400X</v>
      </c>
      <c r="D19653" t="str">
        <f>"BAILEY                   BRIANNA                  "</f>
        <v xml:space="preserve">BAILEY                   BRIANNA                  </v>
      </c>
      <c r="E19653" t="str">
        <f>"PASCAGOULA                "</f>
        <v xml:space="preserve">PASCAGOULA                </v>
      </c>
      <c r="F19653" t="str">
        <f t="shared" si="471"/>
        <v>MS</v>
      </c>
    </row>
    <row r="19654" spans="1:6" x14ac:dyDescent="0.25">
      <c r="A19654" t="str">
        <f>"200023282"</f>
        <v>200023282</v>
      </c>
      <c r="B19654" t="str">
        <f>"1750718193"</f>
        <v>1750718193</v>
      </c>
      <c r="C19654" t="str">
        <f>"122300000X"</f>
        <v>122300000X</v>
      </c>
      <c r="D19654" t="str">
        <f>"SCOTT                    JOHN         W           "</f>
        <v xml:space="preserve">SCOTT                    JOHN         W           </v>
      </c>
      <c r="E19654" t="str">
        <f>"GULFPORT                  "</f>
        <v xml:space="preserve">GULFPORT                  </v>
      </c>
      <c r="F19654" t="str">
        <f t="shared" si="471"/>
        <v>MS</v>
      </c>
    </row>
    <row r="19655" spans="1:6" x14ac:dyDescent="0.25">
      <c r="A19655" t="str">
        <f>"200023284"</f>
        <v>200023284</v>
      </c>
      <c r="B19655" t="str">
        <f>"1588382915"</f>
        <v>1588382915</v>
      </c>
      <c r="C19655" t="str">
        <f>"363L00000X"</f>
        <v>363L00000X</v>
      </c>
      <c r="D19655" t="str">
        <f>"LANDER                   COLTEN                   "</f>
        <v xml:space="preserve">LANDER                   COLTEN                   </v>
      </c>
      <c r="E19655" t="str">
        <f>"HATTIESBURG               "</f>
        <v xml:space="preserve">HATTIESBURG               </v>
      </c>
      <c r="F19655" t="str">
        <f t="shared" si="471"/>
        <v>MS</v>
      </c>
    </row>
    <row r="19656" spans="1:6" x14ac:dyDescent="0.25">
      <c r="A19656" t="str">
        <f>"200023285"</f>
        <v>200023285</v>
      </c>
      <c r="B19656" t="str">
        <f>"1568086288"</f>
        <v>1568086288</v>
      </c>
      <c r="C19656" t="str">
        <f>"363LP0808X"</f>
        <v>363LP0808X</v>
      </c>
      <c r="D19656" t="str">
        <f>"BLAKER                   WILLIAM                  "</f>
        <v xml:space="preserve">BLAKER                   WILLIAM                  </v>
      </c>
      <c r="E19656" t="str">
        <f>"SENATOBIA                 "</f>
        <v xml:space="preserve">SENATOBIA                 </v>
      </c>
      <c r="F19656" t="str">
        <f t="shared" si="471"/>
        <v>MS</v>
      </c>
    </row>
    <row r="19657" spans="1:6" x14ac:dyDescent="0.25">
      <c r="A19657" t="str">
        <f>"200023286"</f>
        <v>200023286</v>
      </c>
      <c r="B19657" t="str">
        <f>"1043662851"</f>
        <v>1043662851</v>
      </c>
      <c r="C19657" t="str">
        <f>"363LF0000X"</f>
        <v>363LF0000X</v>
      </c>
      <c r="D19657" t="str">
        <f>"IVEY                     SARAH        N           "</f>
        <v xml:space="preserve">IVEY                     SARAH        N           </v>
      </c>
      <c r="E19657" t="str">
        <f>"MERIDIAN                  "</f>
        <v xml:space="preserve">MERIDIAN                  </v>
      </c>
      <c r="F19657" t="str">
        <f t="shared" si="471"/>
        <v>MS</v>
      </c>
    </row>
    <row r="19658" spans="1:6" x14ac:dyDescent="0.25">
      <c r="A19658" t="str">
        <f>"200023288"</f>
        <v>200023288</v>
      </c>
      <c r="B19658" t="str">
        <f>"1659734846"</f>
        <v>1659734846</v>
      </c>
      <c r="C19658" t="str">
        <f>"207R00000X"</f>
        <v>207R00000X</v>
      </c>
      <c r="D19658" t="str">
        <f>"STEPPS                   KRISTOPHER               "</f>
        <v xml:space="preserve">STEPPS                   KRISTOPHER               </v>
      </c>
      <c r="E19658" t="str">
        <f>"HAZLEHURST                "</f>
        <v xml:space="preserve">HAZLEHURST                </v>
      </c>
      <c r="F19658" t="str">
        <f t="shared" si="471"/>
        <v>MS</v>
      </c>
    </row>
    <row r="19659" spans="1:6" x14ac:dyDescent="0.25">
      <c r="A19659" t="str">
        <f>"200023292"</f>
        <v>200023292</v>
      </c>
      <c r="B19659" t="str">
        <f>"1881376606"</f>
        <v>1881376606</v>
      </c>
      <c r="C19659" t="str">
        <f>"363LF0000X"</f>
        <v>363LF0000X</v>
      </c>
      <c r="D19659" t="str">
        <f>"HENDRIX                  CAMBRIDGE                "</f>
        <v xml:space="preserve">HENDRIX                  CAMBRIDGE                </v>
      </c>
      <c r="E19659" t="str">
        <f>"RIDGELAND                 "</f>
        <v xml:space="preserve">RIDGELAND                 </v>
      </c>
      <c r="F19659" t="str">
        <f t="shared" si="471"/>
        <v>MS</v>
      </c>
    </row>
    <row r="19660" spans="1:6" x14ac:dyDescent="0.25">
      <c r="A19660" t="str">
        <f>"200023293"</f>
        <v>200023293</v>
      </c>
      <c r="B19660" t="str">
        <f>"1396196879"</f>
        <v>1396196879</v>
      </c>
      <c r="C19660" t="str">
        <f>"261QM0801X"</f>
        <v>261QM0801X</v>
      </c>
      <c r="D19660" t="str">
        <f>"MISSISSIPPI BEHAVIORAL HEALTH SERVICES, LLC       "</f>
        <v xml:space="preserve">MISSISSIPPI BEHAVIORAL HEALTH SERVICES, LLC       </v>
      </c>
      <c r="E19660" t="str">
        <f>"NATCHEZ                   "</f>
        <v xml:space="preserve">NATCHEZ                   </v>
      </c>
      <c r="F19660" t="str">
        <f t="shared" si="471"/>
        <v>MS</v>
      </c>
    </row>
    <row r="19661" spans="1:6" x14ac:dyDescent="0.25">
      <c r="A19661" t="str">
        <f>"200023298"</f>
        <v>200023298</v>
      </c>
      <c r="B19661" t="str">
        <f>"1285510446"</f>
        <v>1285510446</v>
      </c>
      <c r="C19661" t="str">
        <f>"363LF0000X"</f>
        <v>363LF0000X</v>
      </c>
      <c r="D19661" t="str">
        <f>"WHIGHAM                  MARION                   "</f>
        <v xml:space="preserve">WHIGHAM                  MARION                   </v>
      </c>
      <c r="E19661" t="str">
        <f>"JACKSON                   "</f>
        <v xml:space="preserve">JACKSON                   </v>
      </c>
      <c r="F19661" t="str">
        <f t="shared" si="471"/>
        <v>MS</v>
      </c>
    </row>
    <row r="19662" spans="1:6" x14ac:dyDescent="0.25">
      <c r="A19662" t="str">
        <f>"200023301"</f>
        <v>200023301</v>
      </c>
      <c r="B19662" t="str">
        <f>"1396290607"</f>
        <v>1396290607</v>
      </c>
      <c r="C19662" t="str">
        <f>"363LF0000X"</f>
        <v>363LF0000X</v>
      </c>
      <c r="D19662" t="str">
        <f>"CACIOPPO                 JENNIFER                 "</f>
        <v xml:space="preserve">CACIOPPO                 JENNIFER                 </v>
      </c>
      <c r="E19662" t="str">
        <f>"PICAYUNE                  "</f>
        <v xml:space="preserve">PICAYUNE                  </v>
      </c>
      <c r="F19662" t="str">
        <f t="shared" si="471"/>
        <v>MS</v>
      </c>
    </row>
    <row r="19663" spans="1:6" x14ac:dyDescent="0.25">
      <c r="A19663" t="str">
        <f>"200023307"</f>
        <v>200023307</v>
      </c>
      <c r="B19663" t="str">
        <f>"1619327848"</f>
        <v>1619327848</v>
      </c>
      <c r="C19663" t="str">
        <f>"208600000X"</f>
        <v>208600000X</v>
      </c>
      <c r="D19663" t="str">
        <f>"KOCH                     KELSEY                   "</f>
        <v xml:space="preserve">KOCH                     KELSEY                   </v>
      </c>
      <c r="E19663" t="str">
        <f>"JACKSON                   "</f>
        <v xml:space="preserve">JACKSON                   </v>
      </c>
      <c r="F19663" t="str">
        <f t="shared" si="471"/>
        <v>MS</v>
      </c>
    </row>
    <row r="19664" spans="1:6" x14ac:dyDescent="0.25">
      <c r="A19664" t="str">
        <f>"200023314"</f>
        <v>200023314</v>
      </c>
      <c r="B19664" t="str">
        <f>"1720430572"</f>
        <v>1720430572</v>
      </c>
      <c r="C19664" t="str">
        <f>"363L00000X"</f>
        <v>363L00000X</v>
      </c>
      <c r="D19664" t="str">
        <f>"HICKMAN                  LAUREN                   "</f>
        <v xml:space="preserve">HICKMAN                  LAUREN                   </v>
      </c>
      <c r="E19664" t="str">
        <f>"HATTIESBURG               "</f>
        <v xml:space="preserve">HATTIESBURG               </v>
      </c>
      <c r="F19664" t="str">
        <f t="shared" si="471"/>
        <v>MS</v>
      </c>
    </row>
    <row r="19665" spans="1:6" x14ac:dyDescent="0.25">
      <c r="A19665" t="str">
        <f>"200023318"</f>
        <v>200023318</v>
      </c>
      <c r="B19665" t="str">
        <f>"1083855068"</f>
        <v>1083855068</v>
      </c>
      <c r="C19665" t="str">
        <f>"2085R0202X"</f>
        <v>2085R0202X</v>
      </c>
      <c r="D19665" t="str">
        <f>"JOHNSON                  STEPHEN                  "</f>
        <v xml:space="preserve">JOHNSON                  STEPHEN                  </v>
      </c>
      <c r="E19665" t="str">
        <f>"MERIDIAN                  "</f>
        <v xml:space="preserve">MERIDIAN                  </v>
      </c>
      <c r="F19665" t="str">
        <f t="shared" si="471"/>
        <v>MS</v>
      </c>
    </row>
    <row r="19666" spans="1:6" x14ac:dyDescent="0.25">
      <c r="A19666" t="str">
        <f>"200023328"</f>
        <v>200023328</v>
      </c>
      <c r="B19666" t="str">
        <f>"1972864148"</f>
        <v>1972864148</v>
      </c>
      <c r="C19666" t="str">
        <f>"363LF0000X"</f>
        <v>363LF0000X</v>
      </c>
      <c r="D19666" t="str">
        <f>"BLESSITT                 LACEY                    "</f>
        <v xml:space="preserve">BLESSITT                 LACEY                    </v>
      </c>
      <c r="E19666" t="str">
        <f>"RIDGELAND                 "</f>
        <v xml:space="preserve">RIDGELAND                 </v>
      </c>
      <c r="F19666" t="str">
        <f t="shared" si="471"/>
        <v>MS</v>
      </c>
    </row>
    <row r="19667" spans="1:6" x14ac:dyDescent="0.25">
      <c r="A19667" t="str">
        <f>"200023333"</f>
        <v>200023333</v>
      </c>
      <c r="B19667" t="str">
        <f>"1053290809"</f>
        <v>1053290809</v>
      </c>
      <c r="C19667" t="str">
        <f>"363LF0000X"</f>
        <v>363LF0000X</v>
      </c>
      <c r="D19667" t="str">
        <f>"MCLEMORE                 BERNESHA                 "</f>
        <v xml:space="preserve">MCLEMORE                 BERNESHA                 </v>
      </c>
      <c r="E19667" t="str">
        <f>"JACKSON                   "</f>
        <v xml:space="preserve">JACKSON                   </v>
      </c>
      <c r="F19667" t="str">
        <f t="shared" si="471"/>
        <v>MS</v>
      </c>
    </row>
    <row r="19668" spans="1:6" x14ac:dyDescent="0.25">
      <c r="A19668" t="str">
        <f>"200023341"</f>
        <v>200023341</v>
      </c>
      <c r="B19668" t="str">
        <f>"1467186775"</f>
        <v>1467186775</v>
      </c>
      <c r="C19668" t="str">
        <f>"208M00000X"</f>
        <v>208M00000X</v>
      </c>
      <c r="D19668" t="str">
        <f>"FELIPE                   JODELLE                  "</f>
        <v xml:space="preserve">FELIPE                   JODELLE                  </v>
      </c>
      <c r="E19668" t="str">
        <f>"MCCOMB                    "</f>
        <v xml:space="preserve">MCCOMB                    </v>
      </c>
      <c r="F19668" t="str">
        <f t="shared" si="471"/>
        <v>MS</v>
      </c>
    </row>
    <row r="19669" spans="1:6" x14ac:dyDescent="0.25">
      <c r="A19669" t="str">
        <f>"200023345"</f>
        <v>200023345</v>
      </c>
      <c r="B19669" t="str">
        <f>"1730366824"</f>
        <v>1730366824</v>
      </c>
      <c r="C19669" t="str">
        <f>"261QM0801X"</f>
        <v>261QM0801X</v>
      </c>
      <c r="D19669" t="str">
        <f>"HEALTH CONNECT AMERICA INC                        "</f>
        <v xml:space="preserve">HEALTH CONNECT AMERICA INC                        </v>
      </c>
      <c r="E19669" t="str">
        <f>"GULFPORT                  "</f>
        <v xml:space="preserve">GULFPORT                  </v>
      </c>
      <c r="F19669" t="str">
        <f t="shared" si="471"/>
        <v>MS</v>
      </c>
    </row>
    <row r="19670" spans="1:6" x14ac:dyDescent="0.25">
      <c r="A19670" t="str">
        <f>"200023348"</f>
        <v>200023348</v>
      </c>
      <c r="B19670" t="str">
        <f>"1861981250"</f>
        <v>1861981250</v>
      </c>
      <c r="C19670" t="str">
        <f>"207ZP0102X"</f>
        <v>207ZP0102X</v>
      </c>
      <c r="D19670" t="str">
        <f>"CHAMBERLIN               GREGORY                  "</f>
        <v xml:space="preserve">CHAMBERLIN               GREGORY                  </v>
      </c>
      <c r="E19670" t="str">
        <f>"SOUTHAVEN                 "</f>
        <v xml:space="preserve">SOUTHAVEN                 </v>
      </c>
      <c r="F19670" t="str">
        <f t="shared" si="471"/>
        <v>MS</v>
      </c>
    </row>
    <row r="19671" spans="1:6" x14ac:dyDescent="0.25">
      <c r="A19671" t="str">
        <f>"200023350"</f>
        <v>200023350</v>
      </c>
      <c r="B19671" t="str">
        <f>"1760223275"</f>
        <v>1760223275</v>
      </c>
      <c r="C19671" t="str">
        <f>"363LP0808X"</f>
        <v>363LP0808X</v>
      </c>
      <c r="D19671" t="str">
        <f>"OBEY                     ARLENA                   "</f>
        <v xml:space="preserve">OBEY                     ARLENA                   </v>
      </c>
      <c r="E19671" t="str">
        <f>"OXFORD                    "</f>
        <v xml:space="preserve">OXFORD                    </v>
      </c>
      <c r="F19671" t="str">
        <f t="shared" si="471"/>
        <v>MS</v>
      </c>
    </row>
    <row r="19672" spans="1:6" x14ac:dyDescent="0.25">
      <c r="A19672" t="str">
        <f>"200023355"</f>
        <v>200023355</v>
      </c>
      <c r="B19672" t="str">
        <f>"1063195725"</f>
        <v>1063195725</v>
      </c>
      <c r="C19672" t="str">
        <f>"363LG0600X"</f>
        <v>363LG0600X</v>
      </c>
      <c r="D19672" t="str">
        <f>"CROWE                    EMMA         H           "</f>
        <v xml:space="preserve">CROWE                    EMMA         H           </v>
      </c>
      <c r="E19672" t="str">
        <f>"CLEVELAND                 "</f>
        <v xml:space="preserve">CLEVELAND                 </v>
      </c>
      <c r="F19672" t="str">
        <f t="shared" si="471"/>
        <v>MS</v>
      </c>
    </row>
    <row r="19673" spans="1:6" x14ac:dyDescent="0.25">
      <c r="A19673" t="str">
        <f>"200023367"</f>
        <v>200023367</v>
      </c>
      <c r="B19673" t="str">
        <f>"1225447923"</f>
        <v>1225447923</v>
      </c>
      <c r="C19673" t="str">
        <f>"363LG0600X"</f>
        <v>363LG0600X</v>
      </c>
      <c r="D19673" t="str">
        <f>"TERRELL                  LISA                     "</f>
        <v xml:space="preserve">TERRELL                  LISA                     </v>
      </c>
      <c r="E19673" t="str">
        <f>"RIDGELAND                 "</f>
        <v xml:space="preserve">RIDGELAND                 </v>
      </c>
      <c r="F19673" t="str">
        <f t="shared" si="471"/>
        <v>MS</v>
      </c>
    </row>
    <row r="19674" spans="1:6" x14ac:dyDescent="0.25">
      <c r="A19674" t="str">
        <f>"200023370"</f>
        <v>200023370</v>
      </c>
      <c r="B19674" t="str">
        <f>"1285253229"</f>
        <v>1285253229</v>
      </c>
      <c r="C19674" t="str">
        <f>"207ZP0102X"</f>
        <v>207ZP0102X</v>
      </c>
      <c r="D19674" t="str">
        <f>"AWOBAJO-OTESANYA         MOYOSORE     D           "</f>
        <v xml:space="preserve">AWOBAJO-OTESANYA         MOYOSORE     D           </v>
      </c>
      <c r="E19674" t="str">
        <f>"SOUTHAVEN                 "</f>
        <v xml:space="preserve">SOUTHAVEN                 </v>
      </c>
      <c r="F19674" t="str">
        <f t="shared" si="471"/>
        <v>MS</v>
      </c>
    </row>
    <row r="19675" spans="1:6" x14ac:dyDescent="0.25">
      <c r="A19675" t="str">
        <f>"200023371"</f>
        <v>200023371</v>
      </c>
      <c r="B19675" t="str">
        <f>"1578959631"</f>
        <v>1578959631</v>
      </c>
      <c r="C19675" t="str">
        <f>"208M00000X"</f>
        <v>208M00000X</v>
      </c>
      <c r="D19675" t="str">
        <f>"INGOLIA                  ASHLEY                   "</f>
        <v xml:space="preserve">INGOLIA                  ASHLEY                   </v>
      </c>
      <c r="E19675" t="str">
        <f>"TUPELO                    "</f>
        <v xml:space="preserve">TUPELO                    </v>
      </c>
      <c r="F19675" t="str">
        <f t="shared" si="471"/>
        <v>MS</v>
      </c>
    </row>
    <row r="19676" spans="1:6" x14ac:dyDescent="0.25">
      <c r="A19676" t="str">
        <f>"200023373"</f>
        <v>200023373</v>
      </c>
      <c r="B19676" t="str">
        <f>"1114753092"</f>
        <v>1114753092</v>
      </c>
      <c r="C19676" t="str">
        <f>"367500000X"</f>
        <v>367500000X</v>
      </c>
      <c r="D19676" t="str">
        <f>"EARHART                  BETHANY                  "</f>
        <v xml:space="preserve">EARHART                  BETHANY                  </v>
      </c>
      <c r="E19676" t="str">
        <f>"COLUMBUS                  "</f>
        <v xml:space="preserve">COLUMBUS                  </v>
      </c>
      <c r="F19676" t="str">
        <f t="shared" si="471"/>
        <v>MS</v>
      </c>
    </row>
    <row r="19677" spans="1:6" x14ac:dyDescent="0.25">
      <c r="A19677" t="str">
        <f>"200023374"</f>
        <v>200023374</v>
      </c>
      <c r="B19677" t="str">
        <f>"1063292464"</f>
        <v>1063292464</v>
      </c>
      <c r="C19677" t="str">
        <f>"261QR1300X"</f>
        <v>261QR1300X</v>
      </c>
      <c r="D19677" t="str">
        <f>"SUNFLOWER GREENWOOD CLINIC                        "</f>
        <v xml:space="preserve">SUNFLOWER GREENWOOD CLINIC                        </v>
      </c>
      <c r="E19677" t="str">
        <f>"GREENWOOD                 "</f>
        <v xml:space="preserve">GREENWOOD                 </v>
      </c>
      <c r="F19677" t="str">
        <f t="shared" si="471"/>
        <v>MS</v>
      </c>
    </row>
    <row r="19678" spans="1:6" x14ac:dyDescent="0.25">
      <c r="A19678" t="str">
        <f>"200023378"</f>
        <v>200023378</v>
      </c>
      <c r="B19678" t="str">
        <f>"1114539244"</f>
        <v>1114539244</v>
      </c>
      <c r="C19678" t="str">
        <f>"363LP0808X"</f>
        <v>363LP0808X</v>
      </c>
      <c r="D19678" t="str">
        <f>"SLEDGE                   MARQUITA                 "</f>
        <v xml:space="preserve">SLEDGE                   MARQUITA                 </v>
      </c>
      <c r="E19678" t="str">
        <f>"OXFORD                    "</f>
        <v xml:space="preserve">OXFORD                    </v>
      </c>
      <c r="F19678" t="str">
        <f t="shared" si="471"/>
        <v>MS</v>
      </c>
    </row>
    <row r="19679" spans="1:6" x14ac:dyDescent="0.25">
      <c r="A19679" t="str">
        <f>"200023381"</f>
        <v>200023381</v>
      </c>
      <c r="B19679" t="str">
        <f>"1033106497"</f>
        <v>1033106497</v>
      </c>
      <c r="C19679" t="str">
        <f>"207Q00000X"</f>
        <v>207Q00000X</v>
      </c>
      <c r="D19679" t="str">
        <f>"JENSEN                   SCOTT                    "</f>
        <v xml:space="preserve">JENSEN                   SCOTT                    </v>
      </c>
      <c r="E19679" t="str">
        <f>"RIDGELAND                 "</f>
        <v xml:space="preserve">RIDGELAND                 </v>
      </c>
      <c r="F19679" t="str">
        <f t="shared" si="471"/>
        <v>MS</v>
      </c>
    </row>
    <row r="19680" spans="1:6" x14ac:dyDescent="0.25">
      <c r="A19680" t="str">
        <f>"200023382"</f>
        <v>200023382</v>
      </c>
      <c r="B19680" t="str">
        <f>"1265852115"</f>
        <v>1265852115</v>
      </c>
      <c r="C19680" t="str">
        <f>"208M00000X"</f>
        <v>208M00000X</v>
      </c>
      <c r="D19680" t="str">
        <f>"PETERS                   DANIEL                   "</f>
        <v xml:space="preserve">PETERS                   DANIEL                   </v>
      </c>
      <c r="E19680" t="str">
        <f>"JACKSON                   "</f>
        <v xml:space="preserve">JACKSON                   </v>
      </c>
      <c r="F19680" t="str">
        <f t="shared" si="471"/>
        <v>MS</v>
      </c>
    </row>
    <row r="19681" spans="1:6" x14ac:dyDescent="0.25">
      <c r="A19681" t="str">
        <f>"200023389"</f>
        <v>200023389</v>
      </c>
      <c r="B19681" t="str">
        <f>"1750607313"</f>
        <v>1750607313</v>
      </c>
      <c r="C19681" t="str">
        <f>"207ZP0102X"</f>
        <v>207ZP0102X</v>
      </c>
      <c r="D19681" t="str">
        <f>"BIRSAN                   CHRISTINA                "</f>
        <v xml:space="preserve">BIRSAN                   CHRISTINA                </v>
      </c>
      <c r="E19681" t="str">
        <f>"OXFORD                    "</f>
        <v xml:space="preserve">OXFORD                    </v>
      </c>
      <c r="F19681" t="str">
        <f t="shared" si="471"/>
        <v>MS</v>
      </c>
    </row>
    <row r="19682" spans="1:6" x14ac:dyDescent="0.25">
      <c r="A19682" t="str">
        <f>"200023392"</f>
        <v>200023392</v>
      </c>
      <c r="B19682" t="str">
        <f>"1689560229"</f>
        <v>1689560229</v>
      </c>
      <c r="C19682" t="str">
        <f>"363LF0000X"</f>
        <v>363LF0000X</v>
      </c>
      <c r="D19682" t="str">
        <f>"CASTLEBERRY              CHELSEY                  "</f>
        <v xml:space="preserve">CASTLEBERRY              CHELSEY                  </v>
      </c>
      <c r="E19682" t="str">
        <f>"MERIDIAN                  "</f>
        <v xml:space="preserve">MERIDIAN                  </v>
      </c>
      <c r="F19682" t="str">
        <f t="shared" si="471"/>
        <v>MS</v>
      </c>
    </row>
    <row r="19683" spans="1:6" x14ac:dyDescent="0.25">
      <c r="A19683" t="str">
        <f>"200023396"</f>
        <v>200023396</v>
      </c>
      <c r="B19683" t="str">
        <f>"1124914981"</f>
        <v>1124914981</v>
      </c>
      <c r="C19683" t="str">
        <f>"363LP0808X"</f>
        <v>363LP0808X</v>
      </c>
      <c r="D19683" t="str">
        <f>"DENNIS                   TIFFANY                  "</f>
        <v xml:space="preserve">DENNIS                   TIFFANY                  </v>
      </c>
      <c r="E19683" t="str">
        <f>"PASCAGOULA                "</f>
        <v xml:space="preserve">PASCAGOULA                </v>
      </c>
      <c r="F19683" t="str">
        <f t="shared" si="471"/>
        <v>MS</v>
      </c>
    </row>
    <row r="19684" spans="1:6" x14ac:dyDescent="0.25">
      <c r="A19684" t="str">
        <f>"200023402"</f>
        <v>200023402</v>
      </c>
      <c r="B19684" t="str">
        <f>"1457241408"</f>
        <v>1457241408</v>
      </c>
      <c r="C19684" t="str">
        <f>"363LF0000X"</f>
        <v>363LF0000X</v>
      </c>
      <c r="D19684" t="str">
        <f>"WALKER                   BRITTNEY                 "</f>
        <v xml:space="preserve">WALKER                   BRITTNEY                 </v>
      </c>
      <c r="E19684" t="str">
        <f>"JACKSON                   "</f>
        <v xml:space="preserve">JACKSON                   </v>
      </c>
      <c r="F19684" t="str">
        <f t="shared" si="471"/>
        <v>MS</v>
      </c>
    </row>
    <row r="19685" spans="1:6" x14ac:dyDescent="0.25">
      <c r="A19685" t="str">
        <f>"200023410"</f>
        <v>200023410</v>
      </c>
      <c r="B19685" t="str">
        <f>"1992502272"</f>
        <v>1992502272</v>
      </c>
      <c r="C19685" t="str">
        <f>"363LW0102X"</f>
        <v>363LW0102X</v>
      </c>
      <c r="D19685" t="str">
        <f>"MCDONALD                 ALLISON      D           "</f>
        <v xml:space="preserve">MCDONALD                 ALLISON      D           </v>
      </c>
      <c r="E19685" t="str">
        <f>"MERIDIAN                  "</f>
        <v xml:space="preserve">MERIDIAN                  </v>
      </c>
      <c r="F19685" t="str">
        <f t="shared" si="471"/>
        <v>MS</v>
      </c>
    </row>
    <row r="19686" spans="1:6" x14ac:dyDescent="0.25">
      <c r="A19686" t="str">
        <f>"200023412"</f>
        <v>200023412</v>
      </c>
      <c r="B19686" t="str">
        <f>"1629723101"</f>
        <v>1629723101</v>
      </c>
      <c r="C19686" t="str">
        <f>"363LF0000X"</f>
        <v>363LF0000X</v>
      </c>
      <c r="D19686" t="str">
        <f>"AKIMPAYE                 LILIANE                  "</f>
        <v xml:space="preserve">AKIMPAYE                 LILIANE                  </v>
      </c>
      <c r="E19686" t="str">
        <f>"JACKSON                   "</f>
        <v xml:space="preserve">JACKSON                   </v>
      </c>
      <c r="F19686" t="str">
        <f t="shared" si="471"/>
        <v>MS</v>
      </c>
    </row>
    <row r="19687" spans="1:6" x14ac:dyDescent="0.25">
      <c r="A19687" t="str">
        <f>"200023418"</f>
        <v>200023418</v>
      </c>
      <c r="B19687" t="str">
        <f>"1003466459"</f>
        <v>1003466459</v>
      </c>
      <c r="C19687" t="str">
        <f>"363LF0000X"</f>
        <v>363LF0000X</v>
      </c>
      <c r="D19687" t="str">
        <f>"ASSANI                   NANCY                    "</f>
        <v xml:space="preserve">ASSANI                   NANCY                    </v>
      </c>
      <c r="E19687" t="str">
        <f>"RIDGELAND                 "</f>
        <v xml:space="preserve">RIDGELAND                 </v>
      </c>
      <c r="F19687" t="str">
        <f t="shared" si="471"/>
        <v>MS</v>
      </c>
    </row>
    <row r="19688" spans="1:6" x14ac:dyDescent="0.25">
      <c r="A19688" t="str">
        <f>"200023431"</f>
        <v>200023431</v>
      </c>
      <c r="B19688" t="str">
        <f>"1336032093"</f>
        <v>1336032093</v>
      </c>
      <c r="C19688" t="str">
        <f>"363LF0000X"</f>
        <v>363LF0000X</v>
      </c>
      <c r="D19688" t="str">
        <f>"KAUR                     TARAN                    "</f>
        <v xml:space="preserve">KAUR                     TARAN                    </v>
      </c>
      <c r="E19688" t="str">
        <f>"FLOWOOD                   "</f>
        <v xml:space="preserve">FLOWOOD                   </v>
      </c>
      <c r="F19688" t="str">
        <f t="shared" si="471"/>
        <v>MS</v>
      </c>
    </row>
    <row r="19689" spans="1:6" x14ac:dyDescent="0.25">
      <c r="A19689" t="str">
        <f>"200023436"</f>
        <v>200023436</v>
      </c>
      <c r="B19689" t="str">
        <f>"1508933847"</f>
        <v>1508933847</v>
      </c>
      <c r="C19689" t="str">
        <f>"2085R0202X"</f>
        <v>2085R0202X</v>
      </c>
      <c r="D19689" t="str">
        <f>"AUGUST                   DAVID        L           "</f>
        <v xml:space="preserve">AUGUST                   DAVID        L           </v>
      </c>
      <c r="E19689" t="str">
        <f>"HATTIESBURG               "</f>
        <v xml:space="preserve">HATTIESBURG               </v>
      </c>
      <c r="F19689" t="str">
        <f t="shared" si="471"/>
        <v>MS</v>
      </c>
    </row>
    <row r="19690" spans="1:6" x14ac:dyDescent="0.25">
      <c r="A19690" t="str">
        <f>"200023454"</f>
        <v>200023454</v>
      </c>
      <c r="B19690" t="str">
        <f>"1285427187"</f>
        <v>1285427187</v>
      </c>
      <c r="C19690" t="str">
        <f>"122300000X"</f>
        <v>122300000X</v>
      </c>
      <c r="D19690" t="str">
        <f>"CERVANTES                CHASE                    "</f>
        <v xml:space="preserve">CERVANTES                CHASE                    </v>
      </c>
      <c r="E19690" t="str">
        <f>"TUPELO                    "</f>
        <v xml:space="preserve">TUPELO                    </v>
      </c>
      <c r="F19690" t="str">
        <f t="shared" si="471"/>
        <v>MS</v>
      </c>
    </row>
    <row r="19691" spans="1:6" x14ac:dyDescent="0.25">
      <c r="A19691" t="str">
        <f>"200023458"</f>
        <v>200023458</v>
      </c>
      <c r="B19691" t="str">
        <f>"1619034907"</f>
        <v>1619034907</v>
      </c>
      <c r="C19691" t="str">
        <f>"2084N0400X"</f>
        <v>2084N0400X</v>
      </c>
      <c r="D19691" t="str">
        <f>"GOWDA                    SHAILA                   "</f>
        <v xml:space="preserve">GOWDA                    SHAILA                   </v>
      </c>
      <c r="E19691" t="str">
        <f>"GULFPORT                  "</f>
        <v xml:space="preserve">GULFPORT                  </v>
      </c>
      <c r="F19691" t="str">
        <f t="shared" si="471"/>
        <v>MS</v>
      </c>
    </row>
    <row r="19692" spans="1:6" x14ac:dyDescent="0.25">
      <c r="A19692" t="str">
        <f>"200023461"</f>
        <v>200023461</v>
      </c>
      <c r="B19692" t="str">
        <f>"1912733148"</f>
        <v>1912733148</v>
      </c>
      <c r="C19692" t="str">
        <f>"363LF0000X"</f>
        <v>363LF0000X</v>
      </c>
      <c r="D19692" t="str">
        <f>"HARRIS                   JENNIFER                 "</f>
        <v xml:space="preserve">HARRIS                   JENNIFER                 </v>
      </c>
      <c r="E19692" t="str">
        <f>"SOUTHAVEN                 "</f>
        <v xml:space="preserve">SOUTHAVEN                 </v>
      </c>
      <c r="F19692" t="str">
        <f t="shared" si="471"/>
        <v>MS</v>
      </c>
    </row>
    <row r="19693" spans="1:6" x14ac:dyDescent="0.25">
      <c r="A19693" t="str">
        <f>"200023462"</f>
        <v>200023462</v>
      </c>
      <c r="B19693" t="str">
        <f>"1730366824"</f>
        <v>1730366824</v>
      </c>
      <c r="C19693" t="str">
        <f>"261QM0801X"</f>
        <v>261QM0801X</v>
      </c>
      <c r="D19693" t="str">
        <f>"HEALTH CONNECT AMERICA INC                        "</f>
        <v xml:space="preserve">HEALTH CONNECT AMERICA INC                        </v>
      </c>
      <c r="E19693" t="str">
        <f>"MERIDIAN                  "</f>
        <v xml:space="preserve">MERIDIAN                  </v>
      </c>
      <c r="F19693" t="str">
        <f t="shared" si="471"/>
        <v>MS</v>
      </c>
    </row>
    <row r="19694" spans="1:6" x14ac:dyDescent="0.25">
      <c r="A19694" t="str">
        <f>"200023463"</f>
        <v>200023463</v>
      </c>
      <c r="B19694" t="str">
        <f>"1396196879"</f>
        <v>1396196879</v>
      </c>
      <c r="C19694" t="str">
        <f>"261QM0801X"</f>
        <v>261QM0801X</v>
      </c>
      <c r="D19694" t="str">
        <f>"MISSISSIPPI BEHAVIORAL HEALTH SERVICES, LLC       "</f>
        <v xml:space="preserve">MISSISSIPPI BEHAVIORAL HEALTH SERVICES, LLC       </v>
      </c>
      <c r="E19694" t="str">
        <f>"LAUREL                    "</f>
        <v xml:space="preserve">LAUREL                    </v>
      </c>
      <c r="F19694" t="str">
        <f t="shared" si="471"/>
        <v>MS</v>
      </c>
    </row>
    <row r="19695" spans="1:6" x14ac:dyDescent="0.25">
      <c r="A19695" t="str">
        <f>"200023465"</f>
        <v>200023465</v>
      </c>
      <c r="B19695" t="str">
        <f>"1730366824"</f>
        <v>1730366824</v>
      </c>
      <c r="C19695" t="str">
        <f>"261QM0801X"</f>
        <v>261QM0801X</v>
      </c>
      <c r="D19695" t="str">
        <f>"HEALTH CONNECT AMERICA INC                        "</f>
        <v xml:space="preserve">HEALTH CONNECT AMERICA INC                        </v>
      </c>
      <c r="E19695" t="str">
        <f>"PHILADELPHIA              "</f>
        <v xml:space="preserve">PHILADELPHIA              </v>
      </c>
      <c r="F19695" t="str">
        <f t="shared" si="471"/>
        <v>MS</v>
      </c>
    </row>
    <row r="19696" spans="1:6" x14ac:dyDescent="0.25">
      <c r="A19696" t="str">
        <f>"200023492"</f>
        <v>200023492</v>
      </c>
      <c r="B19696" t="str">
        <f>"1396164802"</f>
        <v>1396164802</v>
      </c>
      <c r="C19696" t="str">
        <f>"207ZP0101X"</f>
        <v>207ZP0101X</v>
      </c>
      <c r="D19696" t="str">
        <f>"MARBURY                  DAVID                    "</f>
        <v xml:space="preserve">MARBURY                  DAVID                    </v>
      </c>
      <c r="E19696" t="str">
        <f>"JACKSON                   "</f>
        <v xml:space="preserve">JACKSON                   </v>
      </c>
      <c r="F19696" t="str">
        <f t="shared" si="471"/>
        <v>MS</v>
      </c>
    </row>
    <row r="19697" spans="1:6" x14ac:dyDescent="0.25">
      <c r="A19697" t="str">
        <f>"200023496"</f>
        <v>200023496</v>
      </c>
      <c r="B19697" t="str">
        <f>"1073212585"</f>
        <v>1073212585</v>
      </c>
      <c r="C19697" t="str">
        <f>"363LF0000X"</f>
        <v>363LF0000X</v>
      </c>
      <c r="D19697" t="str">
        <f>"EDMONDSON                STEPHANIE                "</f>
        <v xml:space="preserve">EDMONDSON                STEPHANIE                </v>
      </c>
      <c r="E19697" t="str">
        <f>"OCEAN SPRINGS             "</f>
        <v xml:space="preserve">OCEAN SPRINGS             </v>
      </c>
      <c r="F19697" t="str">
        <f t="shared" si="471"/>
        <v>MS</v>
      </c>
    </row>
    <row r="19698" spans="1:6" x14ac:dyDescent="0.25">
      <c r="A19698" t="str">
        <f>"200023501"</f>
        <v>200023501</v>
      </c>
      <c r="B19698" t="str">
        <f>"1619941127"</f>
        <v>1619941127</v>
      </c>
      <c r="C19698" t="str">
        <f>"207RG0100X"</f>
        <v>207RG0100X</v>
      </c>
      <c r="D19698" t="str">
        <f>"HOPKINS                  MARC                     "</f>
        <v xml:space="preserve">HOPKINS                  MARC                     </v>
      </c>
      <c r="E19698" t="str">
        <f>"PASCAGOULA                "</f>
        <v xml:space="preserve">PASCAGOULA                </v>
      </c>
      <c r="F19698" t="str">
        <f t="shared" si="471"/>
        <v>MS</v>
      </c>
    </row>
    <row r="19699" spans="1:6" x14ac:dyDescent="0.25">
      <c r="A19699" t="str">
        <f>"200023506"</f>
        <v>200023506</v>
      </c>
      <c r="B19699" t="str">
        <f>"1184214132"</f>
        <v>1184214132</v>
      </c>
      <c r="C19699" t="str">
        <f>"363LP0808X"</f>
        <v>363LP0808X</v>
      </c>
      <c r="D19699" t="str">
        <f>"KING                     YULANDA                  "</f>
        <v xml:space="preserve">KING                     YULANDA                  </v>
      </c>
      <c r="E19699" t="str">
        <f>"PEARL                     "</f>
        <v xml:space="preserve">PEARL                     </v>
      </c>
      <c r="F19699" t="str">
        <f t="shared" si="471"/>
        <v>MS</v>
      </c>
    </row>
    <row r="19700" spans="1:6" x14ac:dyDescent="0.25">
      <c r="A19700" t="str">
        <f>"200023507"</f>
        <v>200023507</v>
      </c>
      <c r="B19700" t="str">
        <f>"1184214132"</f>
        <v>1184214132</v>
      </c>
      <c r="C19700" t="str">
        <f>"363LA2100X"</f>
        <v>363LA2100X</v>
      </c>
      <c r="D19700" t="str">
        <f>"KING                     YULANDA                  "</f>
        <v xml:space="preserve">KING                     YULANDA                  </v>
      </c>
      <c r="E19700" t="str">
        <f>"PEARL                     "</f>
        <v xml:space="preserve">PEARL                     </v>
      </c>
      <c r="F19700" t="str">
        <f t="shared" si="471"/>
        <v>MS</v>
      </c>
    </row>
    <row r="19701" spans="1:6" x14ac:dyDescent="0.25">
      <c r="A19701" t="str">
        <f>"200023508"</f>
        <v>200023508</v>
      </c>
      <c r="B19701" t="str">
        <f>"1497045512"</f>
        <v>1497045512</v>
      </c>
      <c r="C19701" t="str">
        <f>"208M00000X"</f>
        <v>208M00000X</v>
      </c>
      <c r="D19701" t="str">
        <f>"ANAZIA                   GREGG        O           "</f>
        <v xml:space="preserve">ANAZIA                   GREGG        O           </v>
      </c>
      <c r="E19701" t="str">
        <f>"HATTIESBURG               "</f>
        <v xml:space="preserve">HATTIESBURG               </v>
      </c>
      <c r="F19701" t="str">
        <f t="shared" si="471"/>
        <v>MS</v>
      </c>
    </row>
    <row r="19702" spans="1:6" x14ac:dyDescent="0.25">
      <c r="A19702" t="str">
        <f>"200023511"</f>
        <v>200023511</v>
      </c>
      <c r="B19702" t="str">
        <f>"1114184298"</f>
        <v>1114184298</v>
      </c>
      <c r="C19702" t="str">
        <f>"2085R0202X"</f>
        <v>2085R0202X</v>
      </c>
      <c r="D19702" t="str">
        <f>"TONKIN                   KEITH                    "</f>
        <v xml:space="preserve">TONKIN                   KEITH                    </v>
      </c>
      <c r="E19702" t="str">
        <f>"SOUTHAVEN                 "</f>
        <v xml:space="preserve">SOUTHAVEN                 </v>
      </c>
      <c r="F19702" t="str">
        <f t="shared" si="471"/>
        <v>MS</v>
      </c>
    </row>
    <row r="19703" spans="1:6" x14ac:dyDescent="0.25">
      <c r="A19703" t="str">
        <f>"200023513"</f>
        <v>200023513</v>
      </c>
      <c r="B19703" t="str">
        <f>"1821388562"</f>
        <v>1821388562</v>
      </c>
      <c r="C19703" t="str">
        <f>"208100000X"</f>
        <v>208100000X</v>
      </c>
      <c r="D19703" t="str">
        <f>"MCAULIFFE                MATTHEW                  "</f>
        <v xml:space="preserve">MCAULIFFE                MATTHEW                  </v>
      </c>
      <c r="E19703" t="str">
        <f>"GULFPORT                  "</f>
        <v xml:space="preserve">GULFPORT                  </v>
      </c>
      <c r="F19703" t="str">
        <f t="shared" si="471"/>
        <v>MS</v>
      </c>
    </row>
    <row r="19704" spans="1:6" x14ac:dyDescent="0.25">
      <c r="A19704" t="str">
        <f>"200023522"</f>
        <v>200023522</v>
      </c>
      <c r="B19704" t="str">
        <f>"1851407829"</f>
        <v>1851407829</v>
      </c>
      <c r="C19704" t="str">
        <f>"261QM0801X"</f>
        <v>261QM0801X</v>
      </c>
      <c r="D19704" t="str">
        <f>"SINGING RIVER SERVICES GEORGE COUNTY OFFICE       "</f>
        <v xml:space="preserve">SINGING RIVER SERVICES GEORGE COUNTY OFFICE       </v>
      </c>
      <c r="E19704" t="str">
        <f>"LUCEDALE                  "</f>
        <v xml:space="preserve">LUCEDALE                  </v>
      </c>
      <c r="F19704" t="str">
        <f t="shared" si="471"/>
        <v>MS</v>
      </c>
    </row>
    <row r="19705" spans="1:6" x14ac:dyDescent="0.25">
      <c r="A19705" t="str">
        <f>"200023528"</f>
        <v>200023528</v>
      </c>
      <c r="B19705" t="str">
        <f>"1366338121"</f>
        <v>1366338121</v>
      </c>
      <c r="C19705" t="str">
        <f>"261QM0801X"</f>
        <v>261QM0801X</v>
      </c>
      <c r="D19705" t="str">
        <f>"CHILD DEVELOPMENT AND SUPPORT SERVICES            "</f>
        <v xml:space="preserve">CHILD DEVELOPMENT AND SUPPORT SERVICES            </v>
      </c>
      <c r="E19705" t="str">
        <f>"MADISON                   "</f>
        <v xml:space="preserve">MADISON                   </v>
      </c>
      <c r="F19705" t="str">
        <f t="shared" si="471"/>
        <v>MS</v>
      </c>
    </row>
    <row r="19706" spans="1:6" x14ac:dyDescent="0.25">
      <c r="A19706" t="str">
        <f>"200023530"</f>
        <v>200023530</v>
      </c>
      <c r="B19706" t="str">
        <f>"1609510957"</f>
        <v>1609510957</v>
      </c>
      <c r="C19706" t="str">
        <f>"207P00000X"</f>
        <v>207P00000X</v>
      </c>
      <c r="D19706" t="str">
        <f>"MANSOUR                  ALAA                     "</f>
        <v xml:space="preserve">MANSOUR                  ALAA                     </v>
      </c>
      <c r="E19706" t="str">
        <f>"MERIDIAN                  "</f>
        <v xml:space="preserve">MERIDIAN                  </v>
      </c>
      <c r="F19706" t="str">
        <f t="shared" si="471"/>
        <v>MS</v>
      </c>
    </row>
    <row r="19707" spans="1:6" x14ac:dyDescent="0.25">
      <c r="A19707" t="str">
        <f>"200023533"</f>
        <v>200023533</v>
      </c>
      <c r="B19707" t="str">
        <f>"1568212181"</f>
        <v>1568212181</v>
      </c>
      <c r="C19707" t="str">
        <f>"152W00000X"</f>
        <v>152W00000X</v>
      </c>
      <c r="D19707" t="str">
        <f>"KARGO                    BAILEY                   "</f>
        <v xml:space="preserve">KARGO                    BAILEY                   </v>
      </c>
      <c r="E19707" t="str">
        <f>"HERNANDO                  "</f>
        <v xml:space="preserve">HERNANDO                  </v>
      </c>
      <c r="F19707" t="str">
        <f t="shared" si="471"/>
        <v>MS</v>
      </c>
    </row>
    <row r="19708" spans="1:6" x14ac:dyDescent="0.25">
      <c r="A19708" t="str">
        <f>"200023536"</f>
        <v>200023536</v>
      </c>
      <c r="B19708" t="str">
        <f>"1538868955"</f>
        <v>1538868955</v>
      </c>
      <c r="C19708" t="str">
        <f>"363LA2100X"</f>
        <v>363LA2100X</v>
      </c>
      <c r="D19708" t="str">
        <f>"ENFINGER                 TIMOTHY                  "</f>
        <v xml:space="preserve">ENFINGER                 TIMOTHY                  </v>
      </c>
      <c r="E19708" t="str">
        <f>"SOUTHAVEN                 "</f>
        <v xml:space="preserve">SOUTHAVEN                 </v>
      </c>
      <c r="F19708" t="str">
        <f t="shared" si="471"/>
        <v>MS</v>
      </c>
    </row>
    <row r="19709" spans="1:6" x14ac:dyDescent="0.25">
      <c r="A19709" t="str">
        <f>"200023542"</f>
        <v>200023542</v>
      </c>
      <c r="B19709" t="str">
        <f>"1003062605"</f>
        <v>1003062605</v>
      </c>
      <c r="C19709" t="str">
        <f>"207L00000X"</f>
        <v>207L00000X</v>
      </c>
      <c r="D19709" t="str">
        <f>"SAFLEY                   JESSICA                  "</f>
        <v xml:space="preserve">SAFLEY                   JESSICA                  </v>
      </c>
      <c r="E19709" t="str">
        <f>"GULFPORT                  "</f>
        <v xml:space="preserve">GULFPORT                  </v>
      </c>
      <c r="F19709" t="str">
        <f t="shared" si="471"/>
        <v>MS</v>
      </c>
    </row>
    <row r="19710" spans="1:6" x14ac:dyDescent="0.25">
      <c r="A19710" t="str">
        <f>"200023544"</f>
        <v>200023544</v>
      </c>
      <c r="B19710" t="str">
        <f>"1487474813"</f>
        <v>1487474813</v>
      </c>
      <c r="C19710" t="str">
        <f>"363LF0000X"</f>
        <v>363LF0000X</v>
      </c>
      <c r="D19710" t="str">
        <f>"CROWSON                  KERRI        S           "</f>
        <v xml:space="preserve">CROWSON                  KERRI        S           </v>
      </c>
      <c r="E19710" t="str">
        <f>"KOSCIUSKO                 "</f>
        <v xml:space="preserve">KOSCIUSKO                 </v>
      </c>
      <c r="F19710" t="str">
        <f t="shared" ref="F19710:F19773" si="472">"MS"</f>
        <v>MS</v>
      </c>
    </row>
    <row r="19711" spans="1:6" x14ac:dyDescent="0.25">
      <c r="A19711" t="str">
        <f>"200023545"</f>
        <v>200023545</v>
      </c>
      <c r="B19711" t="str">
        <f>"1497542906"</f>
        <v>1497542906</v>
      </c>
      <c r="C19711" t="str">
        <f>"363A00000X"</f>
        <v>363A00000X</v>
      </c>
      <c r="D19711" t="str">
        <f>"COOLEY                   SIERRA                   "</f>
        <v xml:space="preserve">COOLEY                   SIERRA                   </v>
      </c>
      <c r="E19711" t="str">
        <f>"BAY ST LOUIS              "</f>
        <v xml:space="preserve">BAY ST LOUIS              </v>
      </c>
      <c r="F19711" t="str">
        <f t="shared" si="472"/>
        <v>MS</v>
      </c>
    </row>
    <row r="19712" spans="1:6" x14ac:dyDescent="0.25">
      <c r="A19712" t="str">
        <f>"200023551"</f>
        <v>200023551</v>
      </c>
      <c r="B19712" t="str">
        <f>"1427218296"</f>
        <v>1427218296</v>
      </c>
      <c r="C19712" t="str">
        <f>"2085R0202X"</f>
        <v>2085R0202X</v>
      </c>
      <c r="D19712" t="str">
        <f>"MORELLI                  JOHN         N           "</f>
        <v xml:space="preserve">MORELLI                  JOHN         N           </v>
      </c>
      <c r="E19712" t="str">
        <f>"MERIDIAN                  "</f>
        <v xml:space="preserve">MERIDIAN                  </v>
      </c>
      <c r="F19712" t="str">
        <f t="shared" si="472"/>
        <v>MS</v>
      </c>
    </row>
    <row r="19713" spans="1:6" x14ac:dyDescent="0.25">
      <c r="A19713" t="str">
        <f>"200023557"</f>
        <v>200023557</v>
      </c>
      <c r="B19713" t="str">
        <f>"1235371691"</f>
        <v>1235371691</v>
      </c>
      <c r="C19713" t="str">
        <f>"207ZP0102X"</f>
        <v>207ZP0102X</v>
      </c>
      <c r="D19713" t="str">
        <f>"BEAVERS                  CHARLES                  "</f>
        <v xml:space="preserve">BEAVERS                  CHARLES                  </v>
      </c>
      <c r="E19713" t="str">
        <f>"JACKSON                   "</f>
        <v xml:space="preserve">JACKSON                   </v>
      </c>
      <c r="F19713" t="str">
        <f t="shared" si="472"/>
        <v>MS</v>
      </c>
    </row>
    <row r="19714" spans="1:6" x14ac:dyDescent="0.25">
      <c r="A19714" t="str">
        <f>"200023563"</f>
        <v>200023563</v>
      </c>
      <c r="B19714" t="str">
        <f>"1699452359"</f>
        <v>1699452359</v>
      </c>
      <c r="C19714" t="str">
        <f>"2084P0800X"</f>
        <v>2084P0800X</v>
      </c>
      <c r="D19714" t="str">
        <f>"RICHARD                  HANNAH                   "</f>
        <v xml:space="preserve">RICHARD                  HANNAH                   </v>
      </c>
      <c r="E19714" t="str">
        <f>"PASCAGOULA                "</f>
        <v xml:space="preserve">PASCAGOULA                </v>
      </c>
      <c r="F19714" t="str">
        <f t="shared" si="472"/>
        <v>MS</v>
      </c>
    </row>
    <row r="19715" spans="1:6" x14ac:dyDescent="0.25">
      <c r="A19715" t="str">
        <f>"200023564"</f>
        <v>200023564</v>
      </c>
      <c r="B19715" t="str">
        <f>"1487035440"</f>
        <v>1487035440</v>
      </c>
      <c r="C19715" t="str">
        <f>"2085R0202X"</f>
        <v>2085R0202X</v>
      </c>
      <c r="D19715" t="str">
        <f>"KANJ                     POLINA       O           "</f>
        <v xml:space="preserve">KANJ                     POLINA       O           </v>
      </c>
      <c r="E19715" t="str">
        <f>"HATTIESBURG               "</f>
        <v xml:space="preserve">HATTIESBURG               </v>
      </c>
      <c r="F19715" t="str">
        <f t="shared" si="472"/>
        <v>MS</v>
      </c>
    </row>
    <row r="19716" spans="1:6" x14ac:dyDescent="0.25">
      <c r="A19716" t="str">
        <f>"200023573"</f>
        <v>200023573</v>
      </c>
      <c r="B19716" t="str">
        <f>"1477107704"</f>
        <v>1477107704</v>
      </c>
      <c r="C19716" t="str">
        <f>"363L00000X"</f>
        <v>363L00000X</v>
      </c>
      <c r="D19716" t="str">
        <f>"CLARK                    SABRINA                  "</f>
        <v xml:space="preserve">CLARK                    SABRINA                  </v>
      </c>
      <c r="E19716" t="str">
        <f>"RIDGELAND                 "</f>
        <v xml:space="preserve">RIDGELAND                 </v>
      </c>
      <c r="F19716" t="str">
        <f t="shared" si="472"/>
        <v>MS</v>
      </c>
    </row>
    <row r="19717" spans="1:6" x14ac:dyDescent="0.25">
      <c r="A19717" t="str">
        <f>"200023577"</f>
        <v>200023577</v>
      </c>
      <c r="B19717" t="str">
        <f>"1982588661"</f>
        <v>1982588661</v>
      </c>
      <c r="C19717" t="str">
        <f>"363LG0600X"</f>
        <v>363LG0600X</v>
      </c>
      <c r="D19717" t="str">
        <f>"COULTER                  MELISSA                  "</f>
        <v xml:space="preserve">COULTER                  MELISSA                  </v>
      </c>
      <c r="E19717" t="str">
        <f>"OCEAN SPRINGS             "</f>
        <v xml:space="preserve">OCEAN SPRINGS             </v>
      </c>
      <c r="F19717" t="str">
        <f t="shared" si="472"/>
        <v>MS</v>
      </c>
    </row>
    <row r="19718" spans="1:6" x14ac:dyDescent="0.25">
      <c r="A19718" t="str">
        <f>"200023591"</f>
        <v>200023591</v>
      </c>
      <c r="B19718" t="str">
        <f>"1104111442"</f>
        <v>1104111442</v>
      </c>
      <c r="C19718" t="str">
        <f>"2085R0202X"</f>
        <v>2085R0202X</v>
      </c>
      <c r="D19718" t="str">
        <f>"BRUNO                    CHRISTOPHER              "</f>
        <v xml:space="preserve">BRUNO                    CHRISTOPHER              </v>
      </c>
      <c r="E19718" t="str">
        <f>"SOUTHAVEN                 "</f>
        <v xml:space="preserve">SOUTHAVEN                 </v>
      </c>
      <c r="F19718" t="str">
        <f t="shared" si="472"/>
        <v>MS</v>
      </c>
    </row>
    <row r="19719" spans="1:6" x14ac:dyDescent="0.25">
      <c r="A19719" t="str">
        <f>"200023596"</f>
        <v>200023596</v>
      </c>
      <c r="B19719" t="str">
        <f>"1154766905"</f>
        <v>1154766905</v>
      </c>
      <c r="C19719" t="str">
        <f>"2084P0800X"</f>
        <v>2084P0800X</v>
      </c>
      <c r="D19719" t="str">
        <f>"HAMMOND                  JOHN                     "</f>
        <v xml:space="preserve">HAMMOND                  JOHN                     </v>
      </c>
      <c r="E19719" t="str">
        <f>"BILOXI                    "</f>
        <v xml:space="preserve">BILOXI                    </v>
      </c>
      <c r="F19719" t="str">
        <f t="shared" si="472"/>
        <v>MS</v>
      </c>
    </row>
    <row r="19720" spans="1:6" x14ac:dyDescent="0.25">
      <c r="A19720" t="str">
        <f>"200023603"</f>
        <v>200023603</v>
      </c>
      <c r="B19720" t="str">
        <f>"1699564419"</f>
        <v>1699564419</v>
      </c>
      <c r="C19720" t="str">
        <f>"261QM0801X"</f>
        <v>261QM0801X</v>
      </c>
      <c r="D19720" t="str">
        <f>"SOUTH MISSISSIPPI MENTAL HEALTH CENTER            "</f>
        <v xml:space="preserve">SOUTH MISSISSIPPI MENTAL HEALTH CENTER            </v>
      </c>
      <c r="E19720" t="str">
        <f>"PASCAGOULA                "</f>
        <v xml:space="preserve">PASCAGOULA                </v>
      </c>
      <c r="F19720" t="str">
        <f t="shared" si="472"/>
        <v>MS</v>
      </c>
    </row>
    <row r="19721" spans="1:6" x14ac:dyDescent="0.25">
      <c r="A19721" t="str">
        <f>"200023604"</f>
        <v>200023604</v>
      </c>
      <c r="B19721" t="str">
        <f>"1730366824"</f>
        <v>1730366824</v>
      </c>
      <c r="C19721" t="str">
        <f>"261QM0801X"</f>
        <v>261QM0801X</v>
      </c>
      <c r="D19721" t="str">
        <f>"HEALTH CONNECT AMERICA INC                        "</f>
        <v xml:space="preserve">HEALTH CONNECT AMERICA INC                        </v>
      </c>
      <c r="E19721" t="str">
        <f>"HERNANDO                  "</f>
        <v xml:space="preserve">HERNANDO                  </v>
      </c>
      <c r="F19721" t="str">
        <f t="shared" si="472"/>
        <v>MS</v>
      </c>
    </row>
    <row r="19722" spans="1:6" x14ac:dyDescent="0.25">
      <c r="A19722" t="str">
        <f>"200023605"</f>
        <v>200023605</v>
      </c>
      <c r="B19722" t="str">
        <f>"1730366824"</f>
        <v>1730366824</v>
      </c>
      <c r="C19722" t="str">
        <f>"261QM0801X"</f>
        <v>261QM0801X</v>
      </c>
      <c r="D19722" t="str">
        <f>"HEALTH CONNECT AMERICA INC                        "</f>
        <v xml:space="preserve">HEALTH CONNECT AMERICA INC                        </v>
      </c>
      <c r="E19722" t="str">
        <f>"OXFORD                    "</f>
        <v xml:space="preserve">OXFORD                    </v>
      </c>
      <c r="F19722" t="str">
        <f t="shared" si="472"/>
        <v>MS</v>
      </c>
    </row>
    <row r="19723" spans="1:6" x14ac:dyDescent="0.25">
      <c r="A19723" t="str">
        <f>"200023611"</f>
        <v>200023611</v>
      </c>
      <c r="B19723" t="str">
        <f>"1972343754"</f>
        <v>1972343754</v>
      </c>
      <c r="C19723" t="str">
        <f>"363L00000X"</f>
        <v>363L00000X</v>
      </c>
      <c r="D19723" t="str">
        <f>"PATEL                    NIRALIBEN                "</f>
        <v xml:space="preserve">PATEL                    NIRALIBEN                </v>
      </c>
      <c r="E19723" t="str">
        <f>"DIBERVILLE                "</f>
        <v xml:space="preserve">DIBERVILLE                </v>
      </c>
      <c r="F19723" t="str">
        <f t="shared" si="472"/>
        <v>MS</v>
      </c>
    </row>
    <row r="19724" spans="1:6" x14ac:dyDescent="0.25">
      <c r="A19724" t="str">
        <f>"200023612"</f>
        <v>200023612</v>
      </c>
      <c r="B19724" t="str">
        <f>"1366786451"</f>
        <v>1366786451</v>
      </c>
      <c r="C19724" t="str">
        <f>"2084N0400X"</f>
        <v>2084N0400X</v>
      </c>
      <c r="D19724" t="str">
        <f>"ACEVEDO RAMIREZ          NATTASHA                 "</f>
        <v xml:space="preserve">ACEVEDO RAMIREZ          NATTASHA                 </v>
      </c>
      <c r="E19724" t="str">
        <f>"TUPELO                    "</f>
        <v xml:space="preserve">TUPELO                    </v>
      </c>
      <c r="F19724" t="str">
        <f t="shared" si="472"/>
        <v>MS</v>
      </c>
    </row>
    <row r="19725" spans="1:6" x14ac:dyDescent="0.25">
      <c r="A19725" t="str">
        <f>"200023616"</f>
        <v>200023616</v>
      </c>
      <c r="B19725" t="str">
        <f>"1013710631"</f>
        <v>1013710631</v>
      </c>
      <c r="C19725" t="str">
        <f>"261QM1300X"</f>
        <v>261QM1300X</v>
      </c>
      <c r="D19725" t="str">
        <f>"GRACEFUL TALK SPEECH-LANGUAGE PATHOLOGY SERVICES  "</f>
        <v xml:space="preserve">GRACEFUL TALK SPEECH-LANGUAGE PATHOLOGY SERVICES  </v>
      </c>
      <c r="E19725" t="str">
        <f>"HAZLEHURST                "</f>
        <v xml:space="preserve">HAZLEHURST                </v>
      </c>
      <c r="F19725" t="str">
        <f t="shared" si="472"/>
        <v>MS</v>
      </c>
    </row>
    <row r="19726" spans="1:6" x14ac:dyDescent="0.25">
      <c r="A19726" t="str">
        <f>"200023619"</f>
        <v>200023619</v>
      </c>
      <c r="B19726" t="str">
        <f>"1679719496"</f>
        <v>1679719496</v>
      </c>
      <c r="C19726" t="str">
        <f>"363L00000X"</f>
        <v>363L00000X</v>
      </c>
      <c r="D19726" t="str">
        <f>"BONEY                    SHERI                    "</f>
        <v xml:space="preserve">BONEY                    SHERI                    </v>
      </c>
      <c r="E19726" t="str">
        <f>"LAUREL                    "</f>
        <v xml:space="preserve">LAUREL                    </v>
      </c>
      <c r="F19726" t="str">
        <f t="shared" si="472"/>
        <v>MS</v>
      </c>
    </row>
    <row r="19727" spans="1:6" x14ac:dyDescent="0.25">
      <c r="A19727" t="str">
        <f>"200023629"</f>
        <v>200023629</v>
      </c>
      <c r="B19727" t="str">
        <f>"1619154051"</f>
        <v>1619154051</v>
      </c>
      <c r="C19727" t="str">
        <f>"207R00000X"</f>
        <v>207R00000X</v>
      </c>
      <c r="D19727" t="str">
        <f>"MNZAVA                   CHRISTY                  "</f>
        <v xml:space="preserve">MNZAVA                   CHRISTY                  </v>
      </c>
      <c r="E19727" t="str">
        <f>"COLLINSVILLE              "</f>
        <v xml:space="preserve">COLLINSVILLE              </v>
      </c>
      <c r="F19727" t="str">
        <f t="shared" si="472"/>
        <v>MS</v>
      </c>
    </row>
    <row r="19728" spans="1:6" x14ac:dyDescent="0.25">
      <c r="A19728" t="str">
        <f>"200023633"</f>
        <v>200023633</v>
      </c>
      <c r="B19728" t="str">
        <f>"1891183208"</f>
        <v>1891183208</v>
      </c>
      <c r="C19728" t="str">
        <f>"363LF0000X"</f>
        <v>363LF0000X</v>
      </c>
      <c r="D19728" t="str">
        <f>"RUSH                     KATIE                    "</f>
        <v xml:space="preserve">RUSH                     KATIE                    </v>
      </c>
      <c r="E19728" t="str">
        <f>"RIDGELAND                 "</f>
        <v xml:space="preserve">RIDGELAND                 </v>
      </c>
      <c r="F19728" t="str">
        <f t="shared" si="472"/>
        <v>MS</v>
      </c>
    </row>
    <row r="19729" spans="1:6" x14ac:dyDescent="0.25">
      <c r="A19729" t="str">
        <f>"200023638"</f>
        <v>200023638</v>
      </c>
      <c r="B19729" t="str">
        <f>"1821445909"</f>
        <v>1821445909</v>
      </c>
      <c r="C19729" t="str">
        <f>"2085R0202X"</f>
        <v>2085R0202X</v>
      </c>
      <c r="D19729" t="str">
        <f>"NGWANYAM                 REMY         R           "</f>
        <v xml:space="preserve">NGWANYAM                 REMY         R           </v>
      </c>
      <c r="E19729" t="str">
        <f>"MERIDIAN                  "</f>
        <v xml:space="preserve">MERIDIAN                  </v>
      </c>
      <c r="F19729" t="str">
        <f t="shared" si="472"/>
        <v>MS</v>
      </c>
    </row>
    <row r="19730" spans="1:6" x14ac:dyDescent="0.25">
      <c r="A19730" t="str">
        <f>"200023644"</f>
        <v>200023644</v>
      </c>
      <c r="B19730" t="str">
        <f>"1275007510"</f>
        <v>1275007510</v>
      </c>
      <c r="C19730" t="str">
        <f>"363LP0808X"</f>
        <v>363LP0808X</v>
      </c>
      <c r="D19730" t="str">
        <f>"WHITTINGTON              KERRI        R           "</f>
        <v xml:space="preserve">WHITTINGTON              KERRI        R           </v>
      </c>
      <c r="E19730" t="str">
        <f>"STARKVILLE                "</f>
        <v xml:space="preserve">STARKVILLE                </v>
      </c>
      <c r="F19730" t="str">
        <f t="shared" si="472"/>
        <v>MS</v>
      </c>
    </row>
    <row r="19731" spans="1:6" x14ac:dyDescent="0.25">
      <c r="A19731" t="str">
        <f>"200023645"</f>
        <v>200023645</v>
      </c>
      <c r="B19731" t="str">
        <f>"1740415074"</f>
        <v>1740415074</v>
      </c>
      <c r="C19731" t="str">
        <f>"367500000X"</f>
        <v>367500000X</v>
      </c>
      <c r="D19731" t="str">
        <f>"WATERS                   BRET                     "</f>
        <v xml:space="preserve">WATERS                   BRET                     </v>
      </c>
      <c r="E19731" t="str">
        <f>"GULFPORT                  "</f>
        <v xml:space="preserve">GULFPORT                  </v>
      </c>
      <c r="F19731" t="str">
        <f t="shared" si="472"/>
        <v>MS</v>
      </c>
    </row>
    <row r="19732" spans="1:6" x14ac:dyDescent="0.25">
      <c r="A19732" t="str">
        <f>"200023654"</f>
        <v>200023654</v>
      </c>
      <c r="B19732" t="str">
        <f>"1639170723"</f>
        <v>1639170723</v>
      </c>
      <c r="C19732" t="str">
        <f>"363A00000X"</f>
        <v>363A00000X</v>
      </c>
      <c r="D19732" t="str">
        <f>"HITES                    KEVIN        M           "</f>
        <v xml:space="preserve">HITES                    KEVIN        M           </v>
      </c>
      <c r="E19732" t="str">
        <f>"GULFPORT                  "</f>
        <v xml:space="preserve">GULFPORT                  </v>
      </c>
      <c r="F19732" t="str">
        <f t="shared" si="472"/>
        <v>MS</v>
      </c>
    </row>
    <row r="19733" spans="1:6" x14ac:dyDescent="0.25">
      <c r="A19733" t="str">
        <f>"200023664"</f>
        <v>200023664</v>
      </c>
      <c r="B19733" t="str">
        <f>"1891689832"</f>
        <v>1891689832</v>
      </c>
      <c r="C19733" t="str">
        <f>"363A00000X"</f>
        <v>363A00000X</v>
      </c>
      <c r="D19733" t="str">
        <f>"KITTRELL                 MATTHEW                  "</f>
        <v xml:space="preserve">KITTRELL                 MATTHEW                  </v>
      </c>
      <c r="E19733" t="str">
        <f>"TUPELO                    "</f>
        <v xml:space="preserve">TUPELO                    </v>
      </c>
      <c r="F19733" t="str">
        <f t="shared" si="472"/>
        <v>MS</v>
      </c>
    </row>
    <row r="19734" spans="1:6" x14ac:dyDescent="0.25">
      <c r="A19734" t="str">
        <f>"200023666"</f>
        <v>200023666</v>
      </c>
      <c r="B19734" t="str">
        <f>"1346652799"</f>
        <v>1346652799</v>
      </c>
      <c r="C19734" t="str">
        <f>"2083P0901X"</f>
        <v>2083P0901X</v>
      </c>
      <c r="D19734" t="str">
        <f>"MUHAMMAD                 RAAFIA                   "</f>
        <v xml:space="preserve">MUHAMMAD                 RAAFIA                   </v>
      </c>
      <c r="E19734" t="str">
        <f>"RIDGELAND                 "</f>
        <v xml:space="preserve">RIDGELAND                 </v>
      </c>
      <c r="F19734" t="str">
        <f t="shared" si="472"/>
        <v>MS</v>
      </c>
    </row>
    <row r="19735" spans="1:6" x14ac:dyDescent="0.25">
      <c r="A19735" t="str">
        <f>"200023667"</f>
        <v>200023667</v>
      </c>
      <c r="B19735" t="str">
        <f>"1093077356"</f>
        <v>1093077356</v>
      </c>
      <c r="C19735" t="str">
        <f>"2085R0202X"</f>
        <v>2085R0202X</v>
      </c>
      <c r="D19735" t="str">
        <f>"ADDICOTT                 BENJAMIN                 "</f>
        <v xml:space="preserve">ADDICOTT                 BENJAMIN                 </v>
      </c>
      <c r="E19735" t="str">
        <f>"MERIDIAN                  "</f>
        <v xml:space="preserve">MERIDIAN                  </v>
      </c>
      <c r="F19735" t="str">
        <f t="shared" si="472"/>
        <v>MS</v>
      </c>
    </row>
    <row r="19736" spans="1:6" x14ac:dyDescent="0.25">
      <c r="A19736" t="str">
        <f>"200023668"</f>
        <v>200023668</v>
      </c>
      <c r="B19736" t="str">
        <f>"1992445068"</f>
        <v>1992445068</v>
      </c>
      <c r="C19736" t="str">
        <f>"207Q00000X"</f>
        <v>207Q00000X</v>
      </c>
      <c r="D19736" t="str">
        <f>"WILLIAMSON               BARRY        L           "</f>
        <v xml:space="preserve">WILLIAMSON               BARRY        L           </v>
      </c>
      <c r="E19736" t="str">
        <f>"WAYNESBORO                "</f>
        <v xml:space="preserve">WAYNESBORO                </v>
      </c>
      <c r="F19736" t="str">
        <f t="shared" si="472"/>
        <v>MS</v>
      </c>
    </row>
    <row r="19737" spans="1:6" x14ac:dyDescent="0.25">
      <c r="A19737" t="str">
        <f>"200023669"</f>
        <v>200023669</v>
      </c>
      <c r="B19737" t="str">
        <f>"1619327848"</f>
        <v>1619327848</v>
      </c>
      <c r="C19737" t="str">
        <f>"208G00000X"</f>
        <v>208G00000X</v>
      </c>
      <c r="D19737" t="str">
        <f>"KOCH                     KELSEY       E           "</f>
        <v xml:space="preserve">KOCH                     KELSEY       E           </v>
      </c>
      <c r="E19737" t="str">
        <f>"JACKSON                   "</f>
        <v xml:space="preserve">JACKSON                   </v>
      </c>
      <c r="F19737" t="str">
        <f t="shared" si="472"/>
        <v>MS</v>
      </c>
    </row>
    <row r="19738" spans="1:6" x14ac:dyDescent="0.25">
      <c r="A19738" t="str">
        <f>"200023676"</f>
        <v>200023676</v>
      </c>
      <c r="B19738" t="str">
        <f>"1598932915"</f>
        <v>1598932915</v>
      </c>
      <c r="C19738" t="str">
        <f>"208M00000X"</f>
        <v>208M00000X</v>
      </c>
      <c r="D19738" t="str">
        <f>"ZAFAR                    SALMAN                   "</f>
        <v xml:space="preserve">ZAFAR                    SALMAN                   </v>
      </c>
      <c r="E19738" t="str">
        <f>"HATTIESBURG               "</f>
        <v xml:space="preserve">HATTIESBURG               </v>
      </c>
      <c r="F19738" t="str">
        <f t="shared" si="472"/>
        <v>MS</v>
      </c>
    </row>
    <row r="19739" spans="1:6" x14ac:dyDescent="0.25">
      <c r="A19739" t="str">
        <f>"200023687"</f>
        <v>200023687</v>
      </c>
      <c r="B19739" t="str">
        <f>"1629701149"</f>
        <v>1629701149</v>
      </c>
      <c r="C19739" t="str">
        <f>"207R00000X"</f>
        <v>207R00000X</v>
      </c>
      <c r="D19739" t="str">
        <f>"BEARD                    MICHAEL                  "</f>
        <v xml:space="preserve">BEARD                    MICHAEL                  </v>
      </c>
      <c r="E19739" t="str">
        <f>"MERIDIAN                  "</f>
        <v xml:space="preserve">MERIDIAN                  </v>
      </c>
      <c r="F19739" t="str">
        <f t="shared" si="472"/>
        <v>MS</v>
      </c>
    </row>
    <row r="19740" spans="1:6" x14ac:dyDescent="0.25">
      <c r="A19740" t="str">
        <f>"200023698"</f>
        <v>200023698</v>
      </c>
      <c r="B19740" t="str">
        <f>"1205424561"</f>
        <v>1205424561</v>
      </c>
      <c r="C19740" t="str">
        <f>"363L00000X"</f>
        <v>363L00000X</v>
      </c>
      <c r="D19740" t="str">
        <f>"PERRY                    LACHARITY                "</f>
        <v xml:space="preserve">PERRY                    LACHARITY                </v>
      </c>
      <c r="E19740" t="str">
        <f>"GRENADA                   "</f>
        <v xml:space="preserve">GRENADA                   </v>
      </c>
      <c r="F19740" t="str">
        <f t="shared" si="472"/>
        <v>MS</v>
      </c>
    </row>
    <row r="19741" spans="1:6" x14ac:dyDescent="0.25">
      <c r="A19741" t="str">
        <f>"200023699"</f>
        <v>200023699</v>
      </c>
      <c r="B19741" t="str">
        <f>"1114037264"</f>
        <v>1114037264</v>
      </c>
      <c r="C19741" t="str">
        <f>"207Q00000X"</f>
        <v>207Q00000X</v>
      </c>
      <c r="D19741" t="str">
        <f>"CHHIPWADIA               AMISHA                   "</f>
        <v xml:space="preserve">CHHIPWADIA               AMISHA                   </v>
      </c>
      <c r="E19741" t="str">
        <f>"JACKSON                   "</f>
        <v xml:space="preserve">JACKSON                   </v>
      </c>
      <c r="F19741" t="str">
        <f t="shared" si="472"/>
        <v>MS</v>
      </c>
    </row>
    <row r="19742" spans="1:6" x14ac:dyDescent="0.25">
      <c r="A19742" t="str">
        <f>"200023716"</f>
        <v>200023716</v>
      </c>
      <c r="B19742" t="str">
        <f>"1942005749"</f>
        <v>1942005749</v>
      </c>
      <c r="C19742" t="str">
        <f>"363LF0000X"</f>
        <v>363LF0000X</v>
      </c>
      <c r="D19742" t="str">
        <f>"DOUGLAS                  ALANA                    "</f>
        <v xml:space="preserve">DOUGLAS                  ALANA                    </v>
      </c>
      <c r="E19742" t="str">
        <f>"MAGEE                     "</f>
        <v xml:space="preserve">MAGEE                     </v>
      </c>
      <c r="F19742" t="str">
        <f t="shared" si="472"/>
        <v>MS</v>
      </c>
    </row>
    <row r="19743" spans="1:6" x14ac:dyDescent="0.25">
      <c r="A19743" t="str">
        <f>"200023719"</f>
        <v>200023719</v>
      </c>
      <c r="B19743" t="str">
        <f>"1053760595"</f>
        <v>1053760595</v>
      </c>
      <c r="C19743" t="str">
        <f>"367500000X"</f>
        <v>367500000X</v>
      </c>
      <c r="D19743" t="str">
        <f>"LEE                      CURRY                    "</f>
        <v xml:space="preserve">LEE                      CURRY                    </v>
      </c>
      <c r="E19743" t="str">
        <f>"SOUTHAVEN                 "</f>
        <v xml:space="preserve">SOUTHAVEN                 </v>
      </c>
      <c r="F19743" t="str">
        <f t="shared" si="472"/>
        <v>MS</v>
      </c>
    </row>
    <row r="19744" spans="1:6" x14ac:dyDescent="0.25">
      <c r="A19744" t="str">
        <f>"200023725"</f>
        <v>200023725</v>
      </c>
      <c r="B19744" t="str">
        <f>"1356781538"</f>
        <v>1356781538</v>
      </c>
      <c r="C19744" t="str">
        <f>"363LF0000X"</f>
        <v>363LF0000X</v>
      </c>
      <c r="D19744" t="str">
        <f>"HUNT FALKNER             ASHLEY                   "</f>
        <v xml:space="preserve">HUNT FALKNER             ASHLEY                   </v>
      </c>
      <c r="E19744" t="str">
        <f>"SOUTHAVEN                 "</f>
        <v xml:space="preserve">SOUTHAVEN                 </v>
      </c>
      <c r="F19744" t="str">
        <f t="shared" si="472"/>
        <v>MS</v>
      </c>
    </row>
    <row r="19745" spans="1:6" x14ac:dyDescent="0.25">
      <c r="A19745" t="str">
        <f>"200023736"</f>
        <v>200023736</v>
      </c>
      <c r="B19745" t="str">
        <f>"1760353411"</f>
        <v>1760353411</v>
      </c>
      <c r="C19745" t="str">
        <f>"363LF0000X"</f>
        <v>363LF0000X</v>
      </c>
      <c r="D19745" t="str">
        <f>"WOOD                     RIA                      "</f>
        <v xml:space="preserve">WOOD                     RIA                      </v>
      </c>
      <c r="E19745" t="str">
        <f>"IUKA                      "</f>
        <v xml:space="preserve">IUKA                      </v>
      </c>
      <c r="F19745" t="str">
        <f t="shared" si="472"/>
        <v>MS</v>
      </c>
    </row>
    <row r="19746" spans="1:6" x14ac:dyDescent="0.25">
      <c r="A19746" t="str">
        <f>"200023739"</f>
        <v>200023739</v>
      </c>
      <c r="B19746" t="str">
        <f>"1912471939"</f>
        <v>1912471939</v>
      </c>
      <c r="C19746" t="str">
        <f>"363LF0000X"</f>
        <v>363LF0000X</v>
      </c>
      <c r="D19746" t="str">
        <f>"MARTIN-BROWN             ZIPORA                   "</f>
        <v xml:space="preserve">MARTIN-BROWN             ZIPORA                   </v>
      </c>
      <c r="E19746" t="str">
        <f>"JACKSON                   "</f>
        <v xml:space="preserve">JACKSON                   </v>
      </c>
      <c r="F19746" t="str">
        <f t="shared" si="472"/>
        <v>MS</v>
      </c>
    </row>
    <row r="19747" spans="1:6" x14ac:dyDescent="0.25">
      <c r="A19747" t="str">
        <f>"200023743"</f>
        <v>200023743</v>
      </c>
      <c r="B19747" t="str">
        <f>"1538059761"</f>
        <v>1538059761</v>
      </c>
      <c r="C19747" t="str">
        <f>"363L00000X"</f>
        <v>363L00000X</v>
      </c>
      <c r="D19747" t="str">
        <f>"CASE                     ELIZABETH                "</f>
        <v xml:space="preserve">CASE                     ELIZABETH                </v>
      </c>
      <c r="E19747" t="str">
        <f>"BRANDON                   "</f>
        <v xml:space="preserve">BRANDON                   </v>
      </c>
      <c r="F19747" t="str">
        <f t="shared" si="472"/>
        <v>MS</v>
      </c>
    </row>
    <row r="19748" spans="1:6" x14ac:dyDescent="0.25">
      <c r="A19748" t="str">
        <f>"200023749"</f>
        <v>200023749</v>
      </c>
      <c r="B19748" t="str">
        <f>"1871479683"</f>
        <v>1871479683</v>
      </c>
      <c r="C19748" t="str">
        <f>"363LF0000X"</f>
        <v>363LF0000X</v>
      </c>
      <c r="D19748" t="str">
        <f>"BROWN                    BROOKE                   "</f>
        <v xml:space="preserve">BROWN                    BROOKE                   </v>
      </c>
      <c r="E19748" t="str">
        <f>"RIPLEY                    "</f>
        <v xml:space="preserve">RIPLEY                    </v>
      </c>
      <c r="F19748" t="str">
        <f t="shared" si="472"/>
        <v>MS</v>
      </c>
    </row>
    <row r="19749" spans="1:6" x14ac:dyDescent="0.25">
      <c r="A19749" t="str">
        <f>"200023752"</f>
        <v>200023752</v>
      </c>
      <c r="B19749" t="str">
        <f>"1487072062"</f>
        <v>1487072062</v>
      </c>
      <c r="C19749" t="str">
        <f>"207V00000X"</f>
        <v>207V00000X</v>
      </c>
      <c r="D19749" t="str">
        <f>"UNDERWOOD                JENNY                    "</f>
        <v xml:space="preserve">UNDERWOOD                JENNY                    </v>
      </c>
      <c r="E19749" t="str">
        <f>"BROOKHAVEN                "</f>
        <v xml:space="preserve">BROOKHAVEN                </v>
      </c>
      <c r="F19749" t="str">
        <f t="shared" si="472"/>
        <v>MS</v>
      </c>
    </row>
    <row r="19750" spans="1:6" x14ac:dyDescent="0.25">
      <c r="A19750" t="str">
        <f>"200023771"</f>
        <v>200023771</v>
      </c>
      <c r="B19750" t="str">
        <f>"1811349145"</f>
        <v>1811349145</v>
      </c>
      <c r="C19750" t="str">
        <f>"363LF0000X"</f>
        <v>363LF0000X</v>
      </c>
      <c r="D19750" t="str">
        <f>"TURNER                   ERIN                     "</f>
        <v xml:space="preserve">TURNER                   ERIN                     </v>
      </c>
      <c r="E19750" t="str">
        <f>"FLOWOOD                   "</f>
        <v xml:space="preserve">FLOWOOD                   </v>
      </c>
      <c r="F19750" t="str">
        <f t="shared" si="472"/>
        <v>MS</v>
      </c>
    </row>
    <row r="19751" spans="1:6" x14ac:dyDescent="0.25">
      <c r="A19751" t="str">
        <f>"200023772"</f>
        <v>200023772</v>
      </c>
      <c r="B19751" t="str">
        <f>"1609201334"</f>
        <v>1609201334</v>
      </c>
      <c r="C19751" t="str">
        <f>"207RI0200X"</f>
        <v>207RI0200X</v>
      </c>
      <c r="D19751" t="str">
        <f>"MARTY VIGO               HARRY                    "</f>
        <v xml:space="preserve">MARTY VIGO               HARRY                    </v>
      </c>
      <c r="E19751" t="str">
        <f>"TUPELO                    "</f>
        <v xml:space="preserve">TUPELO                    </v>
      </c>
      <c r="F19751" t="str">
        <f t="shared" si="472"/>
        <v>MS</v>
      </c>
    </row>
    <row r="19752" spans="1:6" x14ac:dyDescent="0.25">
      <c r="A19752" t="str">
        <f>"200023773"</f>
        <v>200023773</v>
      </c>
      <c r="B19752" t="str">
        <f>"1225099088"</f>
        <v>1225099088</v>
      </c>
      <c r="C19752" t="str">
        <f>"2084P0800X"</f>
        <v>2084P0800X</v>
      </c>
      <c r="D19752" t="str">
        <f>"BOGDANOVIC-ODABASIC      MARINA                   "</f>
        <v xml:space="preserve">BOGDANOVIC-ODABASIC      MARINA                   </v>
      </c>
      <c r="E19752" t="str">
        <f>"SOUTHAVEN                 "</f>
        <v xml:space="preserve">SOUTHAVEN                 </v>
      </c>
      <c r="F19752" t="str">
        <f t="shared" si="472"/>
        <v>MS</v>
      </c>
    </row>
    <row r="19753" spans="1:6" x14ac:dyDescent="0.25">
      <c r="A19753" t="str">
        <f>"200023777"</f>
        <v>200023777</v>
      </c>
      <c r="B19753" t="str">
        <f>"1477225902"</f>
        <v>1477225902</v>
      </c>
      <c r="C19753" t="str">
        <f>"363LF0000X"</f>
        <v>363LF0000X</v>
      </c>
      <c r="D19753" t="str">
        <f>"WILSON ROBERTS           LATORI                   "</f>
        <v xml:space="preserve">WILSON ROBERTS           LATORI                   </v>
      </c>
      <c r="E19753" t="str">
        <f>"MADISON                   "</f>
        <v xml:space="preserve">MADISON                   </v>
      </c>
      <c r="F19753" t="str">
        <f t="shared" si="472"/>
        <v>MS</v>
      </c>
    </row>
    <row r="19754" spans="1:6" x14ac:dyDescent="0.25">
      <c r="A19754" t="str">
        <f>"200023778"</f>
        <v>200023778</v>
      </c>
      <c r="B19754" t="str">
        <f>"1346694056"</f>
        <v>1346694056</v>
      </c>
      <c r="C19754" t="str">
        <f>"2084N0400X"</f>
        <v>2084N0400X</v>
      </c>
      <c r="D19754" t="str">
        <f>"FOSTER                   FORREST                  "</f>
        <v xml:space="preserve">FOSTER                   FORREST                  </v>
      </c>
      <c r="E19754" t="str">
        <f>"TUPELO                    "</f>
        <v xml:space="preserve">TUPELO                    </v>
      </c>
      <c r="F19754" t="str">
        <f t="shared" si="472"/>
        <v>MS</v>
      </c>
    </row>
    <row r="19755" spans="1:6" x14ac:dyDescent="0.25">
      <c r="A19755" t="str">
        <f>"200023780"</f>
        <v>200023780</v>
      </c>
      <c r="B19755" t="str">
        <f>"1770314973"</f>
        <v>1770314973</v>
      </c>
      <c r="C19755" t="str">
        <f>"363LP0808X"</f>
        <v>363LP0808X</v>
      </c>
      <c r="D19755" t="str">
        <f>"GORDON                   ROBIN        S           "</f>
        <v xml:space="preserve">GORDON                   ROBIN        S           </v>
      </c>
      <c r="E19755" t="str">
        <f>"RIDGELAND                 "</f>
        <v xml:space="preserve">RIDGELAND                 </v>
      </c>
      <c r="F19755" t="str">
        <f t="shared" si="472"/>
        <v>MS</v>
      </c>
    </row>
    <row r="19756" spans="1:6" x14ac:dyDescent="0.25">
      <c r="A19756" t="str">
        <f>"200023782"</f>
        <v>200023782</v>
      </c>
      <c r="B19756" t="str">
        <f>"1508050899"</f>
        <v>1508050899</v>
      </c>
      <c r="C19756" t="str">
        <f>"207Q00000X"</f>
        <v>207Q00000X</v>
      </c>
      <c r="D19756" t="str">
        <f>"MYERS                    TERESA                   "</f>
        <v xml:space="preserve">MYERS                    TERESA                   </v>
      </c>
      <c r="E19756" t="str">
        <f>"RIDGELAND                 "</f>
        <v xml:space="preserve">RIDGELAND                 </v>
      </c>
      <c r="F19756" t="str">
        <f t="shared" si="472"/>
        <v>MS</v>
      </c>
    </row>
    <row r="19757" spans="1:6" x14ac:dyDescent="0.25">
      <c r="A19757" t="str">
        <f>"200023783"</f>
        <v>200023783</v>
      </c>
      <c r="B19757" t="str">
        <f>"1568855179"</f>
        <v>1568855179</v>
      </c>
      <c r="C19757" t="str">
        <f>"363LF0000X"</f>
        <v>363LF0000X</v>
      </c>
      <c r="D19757" t="str">
        <f>"BROWN                    SCHYLER                  "</f>
        <v xml:space="preserve">BROWN                    SCHYLER                  </v>
      </c>
      <c r="E19757" t="str">
        <f>"JACKSON                   "</f>
        <v xml:space="preserve">JACKSON                   </v>
      </c>
      <c r="F19757" t="str">
        <f t="shared" si="472"/>
        <v>MS</v>
      </c>
    </row>
    <row r="19758" spans="1:6" x14ac:dyDescent="0.25">
      <c r="A19758" t="str">
        <f>"200023784"</f>
        <v>200023784</v>
      </c>
      <c r="B19758" t="str">
        <f>"1447543293"</f>
        <v>1447543293</v>
      </c>
      <c r="C19758" t="str">
        <f>"207RP1001X"</f>
        <v>207RP1001X</v>
      </c>
      <c r="D19758" t="str">
        <f>"CASE                     THERESA                  "</f>
        <v xml:space="preserve">CASE                     THERESA                  </v>
      </c>
      <c r="E19758" t="str">
        <f>"GULFPORT                  "</f>
        <v xml:space="preserve">GULFPORT                  </v>
      </c>
      <c r="F19758" t="str">
        <f t="shared" si="472"/>
        <v>MS</v>
      </c>
    </row>
    <row r="19759" spans="1:6" x14ac:dyDescent="0.25">
      <c r="A19759" t="str">
        <f>"200023794"</f>
        <v>200023794</v>
      </c>
      <c r="B19759" t="str">
        <f>"1164536595"</f>
        <v>1164536595</v>
      </c>
      <c r="C19759" t="str">
        <f>"207RN0300X"</f>
        <v>207RN0300X</v>
      </c>
      <c r="D19759" t="str">
        <f>"CURRAN                   KEVIN                    "</f>
        <v xml:space="preserve">CURRAN                   KEVIN                    </v>
      </c>
      <c r="E19759" t="str">
        <f>"RIDGELAND                 "</f>
        <v xml:space="preserve">RIDGELAND                 </v>
      </c>
      <c r="F19759" t="str">
        <f t="shared" si="472"/>
        <v>MS</v>
      </c>
    </row>
    <row r="19760" spans="1:6" x14ac:dyDescent="0.25">
      <c r="A19760" t="str">
        <f>"200023795"</f>
        <v>200023795</v>
      </c>
      <c r="B19760" t="str">
        <f>"1396196879"</f>
        <v>1396196879</v>
      </c>
      <c r="C19760" t="str">
        <f>"261QM0801X"</f>
        <v>261QM0801X</v>
      </c>
      <c r="D19760" t="str">
        <f>"MISSISSIPPI BEHAVIORAL HEALTH SERVICES, LLC       "</f>
        <v xml:space="preserve">MISSISSIPPI BEHAVIORAL HEALTH SERVICES, LLC       </v>
      </c>
      <c r="E19760" t="str">
        <f>"TUPELO                    "</f>
        <v xml:space="preserve">TUPELO                    </v>
      </c>
      <c r="F19760" t="str">
        <f t="shared" si="472"/>
        <v>MS</v>
      </c>
    </row>
    <row r="19761" spans="1:6" x14ac:dyDescent="0.25">
      <c r="A19761" t="str">
        <f>"200023799"</f>
        <v>200023799</v>
      </c>
      <c r="B19761" t="str">
        <f>"1033421383"</f>
        <v>1033421383</v>
      </c>
      <c r="C19761" t="str">
        <f>"2080N0001X"</f>
        <v>2080N0001X</v>
      </c>
      <c r="D19761" t="str">
        <f>"BERG                     KIMBERLEY                "</f>
        <v xml:space="preserve">BERG                     KIMBERLEY                </v>
      </c>
      <c r="E19761" t="str">
        <f>"HATTIESBURG               "</f>
        <v xml:space="preserve">HATTIESBURG               </v>
      </c>
      <c r="F19761" t="str">
        <f t="shared" si="472"/>
        <v>MS</v>
      </c>
    </row>
    <row r="19762" spans="1:6" x14ac:dyDescent="0.25">
      <c r="A19762" t="str">
        <f>"200023800"</f>
        <v>200023800</v>
      </c>
      <c r="B19762" t="str">
        <f>"1710767496"</f>
        <v>1710767496</v>
      </c>
      <c r="C19762" t="str">
        <f>"1223P0221X"</f>
        <v>1223P0221X</v>
      </c>
      <c r="D19762" t="str">
        <f>"STEINLE                  JULIANNA                 "</f>
        <v xml:space="preserve">STEINLE                  JULIANNA                 </v>
      </c>
      <c r="E19762" t="str">
        <f>"GREENVILLE                "</f>
        <v xml:space="preserve">GREENVILLE                </v>
      </c>
      <c r="F19762" t="str">
        <f t="shared" si="472"/>
        <v>MS</v>
      </c>
    </row>
    <row r="19763" spans="1:6" x14ac:dyDescent="0.25">
      <c r="A19763" t="str">
        <f>"200023802"</f>
        <v>200023802</v>
      </c>
      <c r="B19763" t="str">
        <f>"1962768879"</f>
        <v>1962768879</v>
      </c>
      <c r="C19763" t="str">
        <f>"367500000X"</f>
        <v>367500000X</v>
      </c>
      <c r="D19763" t="str">
        <f>"HENDERSON                HUNTER                   "</f>
        <v xml:space="preserve">HENDERSON                HUNTER                   </v>
      </c>
      <c r="E19763" t="str">
        <f>"SOUTHAVEN                 "</f>
        <v xml:space="preserve">SOUTHAVEN                 </v>
      </c>
      <c r="F19763" t="str">
        <f t="shared" si="472"/>
        <v>MS</v>
      </c>
    </row>
    <row r="19764" spans="1:6" x14ac:dyDescent="0.25">
      <c r="A19764" t="str">
        <f>"200023803"</f>
        <v>200023803</v>
      </c>
      <c r="B19764" t="str">
        <f>"1992024459"</f>
        <v>1992024459</v>
      </c>
      <c r="C19764" t="str">
        <f>"207P00000X"</f>
        <v>207P00000X</v>
      </c>
      <c r="D19764" t="str">
        <f>"BERRY                    DAVID                    "</f>
        <v xml:space="preserve">BERRY                    DAVID                    </v>
      </c>
      <c r="E19764" t="str">
        <f>"CHARLESTON                "</f>
        <v xml:space="preserve">CHARLESTON                </v>
      </c>
      <c r="F19764" t="str">
        <f t="shared" si="472"/>
        <v>MS</v>
      </c>
    </row>
    <row r="19765" spans="1:6" x14ac:dyDescent="0.25">
      <c r="A19765" t="str">
        <f>"200023804"</f>
        <v>200023804</v>
      </c>
      <c r="B19765" t="str">
        <f>"1407649882"</f>
        <v>1407649882</v>
      </c>
      <c r="C19765" t="str">
        <f>"363A00000X"</f>
        <v>363A00000X</v>
      </c>
      <c r="D19765" t="str">
        <f>"SMITH                    ANNA                     "</f>
        <v xml:space="preserve">SMITH                    ANNA                     </v>
      </c>
      <c r="E19765" t="str">
        <f>"LAUREL                    "</f>
        <v xml:space="preserve">LAUREL                    </v>
      </c>
      <c r="F19765" t="str">
        <f t="shared" si="472"/>
        <v>MS</v>
      </c>
    </row>
    <row r="19766" spans="1:6" x14ac:dyDescent="0.25">
      <c r="A19766" t="str">
        <f>"200023805"</f>
        <v>200023805</v>
      </c>
      <c r="B19766" t="str">
        <f>"1831204239"</f>
        <v>1831204239</v>
      </c>
      <c r="C19766" t="str">
        <f>"2085R0202X"</f>
        <v>2085R0202X</v>
      </c>
      <c r="D19766" t="str">
        <f>"PARTHASARATHY            RANGANATHAN              "</f>
        <v xml:space="preserve">PARTHASARATHY            RANGANATHAN              </v>
      </c>
      <c r="E19766" t="str">
        <f>"SOUTHAVEN                 "</f>
        <v xml:space="preserve">SOUTHAVEN                 </v>
      </c>
      <c r="F19766" t="str">
        <f t="shared" si="472"/>
        <v>MS</v>
      </c>
    </row>
    <row r="19767" spans="1:6" x14ac:dyDescent="0.25">
      <c r="A19767" t="str">
        <f>"200023820"</f>
        <v>200023820</v>
      </c>
      <c r="B19767" t="str">
        <f>"1548145121"</f>
        <v>1548145121</v>
      </c>
      <c r="C19767" t="str">
        <f>"152W00000X"</f>
        <v>152W00000X</v>
      </c>
      <c r="D19767" t="str">
        <f>"MEDLIN                   KAITLIN                  "</f>
        <v xml:space="preserve">MEDLIN                   KAITLIN                  </v>
      </c>
      <c r="E19767" t="str">
        <f>"CARTHAGE                  "</f>
        <v xml:space="preserve">CARTHAGE                  </v>
      </c>
      <c r="F19767" t="str">
        <f t="shared" si="472"/>
        <v>MS</v>
      </c>
    </row>
    <row r="19768" spans="1:6" x14ac:dyDescent="0.25">
      <c r="A19768" t="str">
        <f>"200023822"</f>
        <v>200023822</v>
      </c>
      <c r="B19768" t="str">
        <f>"1043002199"</f>
        <v>1043002199</v>
      </c>
      <c r="C19768" t="str">
        <f>"363LP0808X"</f>
        <v>363LP0808X</v>
      </c>
      <c r="D19768" t="str">
        <f>"CARTER                   LACEY                    "</f>
        <v xml:space="preserve">CARTER                   LACEY                    </v>
      </c>
      <c r="E19768" t="str">
        <f>"LUCEDALE                  "</f>
        <v xml:space="preserve">LUCEDALE                  </v>
      </c>
      <c r="F19768" t="str">
        <f t="shared" si="472"/>
        <v>MS</v>
      </c>
    </row>
    <row r="19769" spans="1:6" x14ac:dyDescent="0.25">
      <c r="A19769" t="str">
        <f>"200023826"</f>
        <v>200023826</v>
      </c>
      <c r="B19769" t="str">
        <f>"1548528029"</f>
        <v>1548528029</v>
      </c>
      <c r="C19769" t="str">
        <f>"2085R0202X"</f>
        <v>2085R0202X</v>
      </c>
      <c r="D19769" t="str">
        <f>"SALEEM                   UMAIR        N           "</f>
        <v xml:space="preserve">SALEEM                   UMAIR        N           </v>
      </c>
      <c r="E19769" t="str">
        <f>"MERIDIAN                  "</f>
        <v xml:space="preserve">MERIDIAN                  </v>
      </c>
      <c r="F19769" t="str">
        <f t="shared" si="472"/>
        <v>MS</v>
      </c>
    </row>
    <row r="19770" spans="1:6" x14ac:dyDescent="0.25">
      <c r="A19770" t="str">
        <f>"200023828"</f>
        <v>200023828</v>
      </c>
      <c r="B19770" t="str">
        <f>"1336426543"</f>
        <v>1336426543</v>
      </c>
      <c r="C19770" t="str">
        <f>"363LF0000X"</f>
        <v>363LF0000X</v>
      </c>
      <c r="D19770" t="str">
        <f>"MCCLELLAN                ADRIAN                   "</f>
        <v xml:space="preserve">MCCLELLAN                ADRIAN                   </v>
      </c>
      <c r="E19770" t="str">
        <f>"CLINTON                   "</f>
        <v xml:space="preserve">CLINTON                   </v>
      </c>
      <c r="F19770" t="str">
        <f t="shared" si="472"/>
        <v>MS</v>
      </c>
    </row>
    <row r="19771" spans="1:6" x14ac:dyDescent="0.25">
      <c r="A19771" t="str">
        <f>"200023830"</f>
        <v>200023830</v>
      </c>
      <c r="B19771" t="str">
        <f>"1801788005"</f>
        <v>1801788005</v>
      </c>
      <c r="C19771" t="str">
        <f>"152W00000X"</f>
        <v>152W00000X</v>
      </c>
      <c r="D19771" t="str">
        <f>"STASNEY                  DANIELLE     E           "</f>
        <v xml:space="preserve">STASNEY                  DANIELLE     E           </v>
      </c>
      <c r="E19771" t="str">
        <f>"PICAYUNE                  "</f>
        <v xml:space="preserve">PICAYUNE                  </v>
      </c>
      <c r="F19771" t="str">
        <f t="shared" si="472"/>
        <v>MS</v>
      </c>
    </row>
    <row r="19772" spans="1:6" x14ac:dyDescent="0.25">
      <c r="A19772" t="str">
        <f>"200023832"</f>
        <v>200023832</v>
      </c>
      <c r="B19772" t="str">
        <f>"1609409762"</f>
        <v>1609409762</v>
      </c>
      <c r="C19772" t="str">
        <f>"261QM0801X"</f>
        <v>261QM0801X</v>
      </c>
      <c r="D19772" t="str">
        <f>"DEFINING WELLNESS CENTERS LLC                     "</f>
        <v xml:space="preserve">DEFINING WELLNESS CENTERS LLC                     </v>
      </c>
      <c r="E19772" t="str">
        <f>"BRANDON                   "</f>
        <v xml:space="preserve">BRANDON                   </v>
      </c>
      <c r="F19772" t="str">
        <f t="shared" si="472"/>
        <v>MS</v>
      </c>
    </row>
    <row r="19773" spans="1:6" x14ac:dyDescent="0.25">
      <c r="A19773" t="str">
        <f>"200023834"</f>
        <v>200023834</v>
      </c>
      <c r="B19773" t="str">
        <f>"1922306935"</f>
        <v>1922306935</v>
      </c>
      <c r="C19773" t="str">
        <f>"367500000X"</f>
        <v>367500000X</v>
      </c>
      <c r="D19773" t="str">
        <f>"DICKERSON                ALYSON                   "</f>
        <v xml:space="preserve">DICKERSON                ALYSON                   </v>
      </c>
      <c r="E19773" t="str">
        <f>"TUPELO                    "</f>
        <v xml:space="preserve">TUPELO                    </v>
      </c>
      <c r="F19773" t="str">
        <f t="shared" si="472"/>
        <v>MS</v>
      </c>
    </row>
    <row r="19774" spans="1:6" x14ac:dyDescent="0.25">
      <c r="A19774" t="str">
        <f>"200023835"</f>
        <v>200023835</v>
      </c>
      <c r="B19774" t="str">
        <f>"1134002769"</f>
        <v>1134002769</v>
      </c>
      <c r="C19774" t="str">
        <f>"363LF0000X"</f>
        <v>363LF0000X</v>
      </c>
      <c r="D19774" t="str">
        <f>"HOLMES                   CHANDRA      P           "</f>
        <v xml:space="preserve">HOLMES                   CHANDRA      P           </v>
      </c>
      <c r="E19774" t="str">
        <f>"CLARKSDALE                "</f>
        <v xml:space="preserve">CLARKSDALE                </v>
      </c>
      <c r="F19774" t="str">
        <f t="shared" ref="F19774:F19837" si="473">"MS"</f>
        <v>MS</v>
      </c>
    </row>
    <row r="19775" spans="1:6" x14ac:dyDescent="0.25">
      <c r="A19775" t="str">
        <f>"200023839"</f>
        <v>200023839</v>
      </c>
      <c r="B19775" t="str">
        <f>"1427166859"</f>
        <v>1427166859</v>
      </c>
      <c r="C19775" t="str">
        <f>"208M00000X"</f>
        <v>208M00000X</v>
      </c>
      <c r="D19775" t="str">
        <f>"PAPIZAN                  CHERIE                   "</f>
        <v xml:space="preserve">PAPIZAN                  CHERIE                   </v>
      </c>
      <c r="E19775" t="str">
        <f>"HATTIESBURG               "</f>
        <v xml:space="preserve">HATTIESBURG               </v>
      </c>
      <c r="F19775" t="str">
        <f t="shared" si="473"/>
        <v>MS</v>
      </c>
    </row>
    <row r="19776" spans="1:6" x14ac:dyDescent="0.25">
      <c r="A19776" t="str">
        <f>"200023840"</f>
        <v>200023840</v>
      </c>
      <c r="B19776" t="str">
        <f>"1609061167"</f>
        <v>1609061167</v>
      </c>
      <c r="C19776" t="str">
        <f>"208M00000X"</f>
        <v>208M00000X</v>
      </c>
      <c r="D19776" t="str">
        <f>"WEBSTER                  MARILYN      S           "</f>
        <v xml:space="preserve">WEBSTER                  MARILYN      S           </v>
      </c>
      <c r="E19776" t="str">
        <f>"HATTIESBURG               "</f>
        <v xml:space="preserve">HATTIESBURG               </v>
      </c>
      <c r="F19776" t="str">
        <f t="shared" si="473"/>
        <v>MS</v>
      </c>
    </row>
    <row r="19777" spans="1:6" x14ac:dyDescent="0.25">
      <c r="A19777" t="str">
        <f>"200023841"</f>
        <v>200023841</v>
      </c>
      <c r="B19777" t="str">
        <f>"1073116497"</f>
        <v>1073116497</v>
      </c>
      <c r="C19777" t="str">
        <f>"363LF0000X"</f>
        <v>363LF0000X</v>
      </c>
      <c r="D19777" t="str">
        <f>"HENSON                   BRENDA                   "</f>
        <v xml:space="preserve">HENSON                   BRENDA                   </v>
      </c>
      <c r="E19777" t="str">
        <f>"JACKSON                   "</f>
        <v xml:space="preserve">JACKSON                   </v>
      </c>
      <c r="F19777" t="str">
        <f t="shared" si="473"/>
        <v>MS</v>
      </c>
    </row>
    <row r="19778" spans="1:6" x14ac:dyDescent="0.25">
      <c r="A19778" t="str">
        <f>"200023847"</f>
        <v>200023847</v>
      </c>
      <c r="B19778" t="str">
        <f>"1790063857"</f>
        <v>1790063857</v>
      </c>
      <c r="C19778" t="str">
        <f>"208M00000X"</f>
        <v>208M00000X</v>
      </c>
      <c r="D19778" t="str">
        <f>"BANDA                    KEERTHI                  "</f>
        <v xml:space="preserve">BANDA                    KEERTHI                  </v>
      </c>
      <c r="E19778" t="str">
        <f>"HATTIESBURG               "</f>
        <v xml:space="preserve">HATTIESBURG               </v>
      </c>
      <c r="F19778" t="str">
        <f t="shared" si="473"/>
        <v>MS</v>
      </c>
    </row>
    <row r="19779" spans="1:6" x14ac:dyDescent="0.25">
      <c r="A19779" t="str">
        <f>"200023849"</f>
        <v>200023849</v>
      </c>
      <c r="B19779" t="str">
        <f>"1538679238"</f>
        <v>1538679238</v>
      </c>
      <c r="C19779" t="str">
        <f>"261QM1300X"</f>
        <v>261QM1300X</v>
      </c>
      <c r="D19779" t="str">
        <f>"BRIGHTER HORIZONS THERAPY                         "</f>
        <v xml:space="preserve">BRIGHTER HORIZONS THERAPY                         </v>
      </c>
      <c r="E19779" t="str">
        <f>"HATTIESBURG               "</f>
        <v xml:space="preserve">HATTIESBURG               </v>
      </c>
      <c r="F19779" t="str">
        <f t="shared" si="473"/>
        <v>MS</v>
      </c>
    </row>
    <row r="19780" spans="1:6" x14ac:dyDescent="0.25">
      <c r="A19780" t="str">
        <f>"200023850"</f>
        <v>200023850</v>
      </c>
      <c r="B19780" t="str">
        <f>"1154329860"</f>
        <v>1154329860</v>
      </c>
      <c r="C19780" t="str">
        <f>"208600000X"</f>
        <v>208600000X</v>
      </c>
      <c r="D19780" t="str">
        <f>"MASON                    HARVEY                   "</f>
        <v xml:space="preserve">MASON                    HARVEY                   </v>
      </c>
      <c r="E19780" t="str">
        <f>"NEW ALBANY                "</f>
        <v xml:space="preserve">NEW ALBANY                </v>
      </c>
      <c r="F19780" t="str">
        <f t="shared" si="473"/>
        <v>MS</v>
      </c>
    </row>
    <row r="19781" spans="1:6" x14ac:dyDescent="0.25">
      <c r="A19781" t="str">
        <f>"200023866"</f>
        <v>200023866</v>
      </c>
      <c r="B19781" t="str">
        <f>"1780423715"</f>
        <v>1780423715</v>
      </c>
      <c r="C19781" t="str">
        <f>"261QR1300X"</f>
        <v>261QR1300X</v>
      </c>
      <c r="D19781" t="str">
        <f>"NWMRMC - WOMAN'S CLINIC                           "</f>
        <v xml:space="preserve">NWMRMC - WOMAN'S CLINIC                           </v>
      </c>
      <c r="E19781" t="str">
        <f>"CLARKSDALE                "</f>
        <v xml:space="preserve">CLARKSDALE                </v>
      </c>
      <c r="F19781" t="str">
        <f t="shared" si="473"/>
        <v>MS</v>
      </c>
    </row>
    <row r="19782" spans="1:6" x14ac:dyDescent="0.25">
      <c r="A19782" t="str">
        <f>"200023878"</f>
        <v>200023878</v>
      </c>
      <c r="B19782" t="str">
        <f>"1194560029"</f>
        <v>1194560029</v>
      </c>
      <c r="C19782" t="str">
        <f>"207R00000X"</f>
        <v>207R00000X</v>
      </c>
      <c r="D19782" t="str">
        <f>"MARTINEZ VINCENTE        DONALDO                  "</f>
        <v xml:space="preserve">MARTINEZ VINCENTE        DONALDO                  </v>
      </c>
      <c r="E19782" t="str">
        <f>"JACKSON                   "</f>
        <v xml:space="preserve">JACKSON                   </v>
      </c>
      <c r="F19782" t="str">
        <f t="shared" si="473"/>
        <v>MS</v>
      </c>
    </row>
    <row r="19783" spans="1:6" x14ac:dyDescent="0.25">
      <c r="A19783" t="str">
        <f>"200023879"</f>
        <v>200023879</v>
      </c>
      <c r="B19783" t="str">
        <f>"1477354892"</f>
        <v>1477354892</v>
      </c>
      <c r="C19783" t="str">
        <f>"363L00000X"</f>
        <v>363L00000X</v>
      </c>
      <c r="D19783" t="str">
        <f>"PAINTER                  KIMBERLY                 "</f>
        <v xml:space="preserve">PAINTER                  KIMBERLY                 </v>
      </c>
      <c r="E19783" t="str">
        <f>"TUPELO                    "</f>
        <v xml:space="preserve">TUPELO                    </v>
      </c>
      <c r="F19783" t="str">
        <f t="shared" si="473"/>
        <v>MS</v>
      </c>
    </row>
    <row r="19784" spans="1:6" x14ac:dyDescent="0.25">
      <c r="A19784" t="str">
        <f>"200023880"</f>
        <v>200023880</v>
      </c>
      <c r="B19784" t="str">
        <f>"1104351493"</f>
        <v>1104351493</v>
      </c>
      <c r="C19784" t="str">
        <f>"207Q00000X"</f>
        <v>207Q00000X</v>
      </c>
      <c r="D19784" t="str">
        <f>"TYEBJEE                  ZULEIKHA                 "</f>
        <v xml:space="preserve">TYEBJEE                  ZULEIKHA                 </v>
      </c>
      <c r="E19784" t="str">
        <f>"JACKSON                   "</f>
        <v xml:space="preserve">JACKSON                   </v>
      </c>
      <c r="F19784" t="str">
        <f t="shared" si="473"/>
        <v>MS</v>
      </c>
    </row>
    <row r="19785" spans="1:6" x14ac:dyDescent="0.25">
      <c r="A19785" t="str">
        <f>"200023885"</f>
        <v>200023885</v>
      </c>
      <c r="B19785" t="str">
        <f>"1689019929"</f>
        <v>1689019929</v>
      </c>
      <c r="C19785" t="str">
        <f>"367500000X"</f>
        <v>367500000X</v>
      </c>
      <c r="D19785" t="str">
        <f>"MAHARREY                 JOHN         D           "</f>
        <v xml:space="preserve">MAHARREY                 JOHN         D           </v>
      </c>
      <c r="E19785" t="str">
        <f>"OXFORD                    "</f>
        <v xml:space="preserve">OXFORD                    </v>
      </c>
      <c r="F19785" t="str">
        <f t="shared" si="473"/>
        <v>MS</v>
      </c>
    </row>
    <row r="19786" spans="1:6" x14ac:dyDescent="0.25">
      <c r="A19786" t="str">
        <f>"200023900"</f>
        <v>200023900</v>
      </c>
      <c r="B19786" t="str">
        <f>"1134843527"</f>
        <v>1134843527</v>
      </c>
      <c r="C19786" t="str">
        <f>"363LF0000X"</f>
        <v>363LF0000X</v>
      </c>
      <c r="D19786" t="str">
        <f>"HENDERSON                KHACERRIAN               "</f>
        <v xml:space="preserve">HENDERSON                KHACERRIAN               </v>
      </c>
      <c r="E19786" t="str">
        <f>"SOUTHAVEN                 "</f>
        <v xml:space="preserve">SOUTHAVEN                 </v>
      </c>
      <c r="F19786" t="str">
        <f t="shared" si="473"/>
        <v>MS</v>
      </c>
    </row>
    <row r="19787" spans="1:6" x14ac:dyDescent="0.25">
      <c r="A19787" t="str">
        <f>"200023904"</f>
        <v>200023904</v>
      </c>
      <c r="B19787" t="str">
        <f>"1568291672"</f>
        <v>1568291672</v>
      </c>
      <c r="C19787" t="str">
        <f>"363L00000X"</f>
        <v>363L00000X</v>
      </c>
      <c r="D19787" t="str">
        <f>"STATHAM                  SAMANTHA                 "</f>
        <v xml:space="preserve">STATHAM                  SAMANTHA                 </v>
      </c>
      <c r="E19787" t="str">
        <f>"RICHLAND                  "</f>
        <v xml:space="preserve">RICHLAND                  </v>
      </c>
      <c r="F19787" t="str">
        <f t="shared" si="473"/>
        <v>MS</v>
      </c>
    </row>
    <row r="19788" spans="1:6" x14ac:dyDescent="0.25">
      <c r="A19788" t="str">
        <f>"200023906"</f>
        <v>200023906</v>
      </c>
      <c r="B19788" t="str">
        <f>"1881436038"</f>
        <v>1881436038</v>
      </c>
      <c r="C19788" t="str">
        <f>"363LF0000X"</f>
        <v>363LF0000X</v>
      </c>
      <c r="D19788" t="str">
        <f>"HOUSTON                  TIFFANY                  "</f>
        <v xml:space="preserve">HOUSTON                  TIFFANY                  </v>
      </c>
      <c r="E19788" t="str">
        <f>"HERNANDO                  "</f>
        <v xml:space="preserve">HERNANDO                  </v>
      </c>
      <c r="F19788" t="str">
        <f t="shared" si="473"/>
        <v>MS</v>
      </c>
    </row>
    <row r="19789" spans="1:6" x14ac:dyDescent="0.25">
      <c r="A19789" t="str">
        <f>"200023910"</f>
        <v>200023910</v>
      </c>
      <c r="B19789" t="str">
        <f>"1144687583"</f>
        <v>1144687583</v>
      </c>
      <c r="C19789" t="str">
        <f>"363LF0000X"</f>
        <v>363LF0000X</v>
      </c>
      <c r="D19789" t="str">
        <f>"ROBINSON                 JERAD                    "</f>
        <v xml:space="preserve">ROBINSON                 JERAD                    </v>
      </c>
      <c r="E19789" t="str">
        <f>"JACKSON                   "</f>
        <v xml:space="preserve">JACKSON                   </v>
      </c>
      <c r="F19789" t="str">
        <f t="shared" si="473"/>
        <v>MS</v>
      </c>
    </row>
    <row r="19790" spans="1:6" x14ac:dyDescent="0.25">
      <c r="A19790" t="str">
        <f>"200023913"</f>
        <v>200023913</v>
      </c>
      <c r="B19790" t="str">
        <f>"1235943341"</f>
        <v>1235943341</v>
      </c>
      <c r="C19790" t="str">
        <f>"363LF0000X"</f>
        <v>363LF0000X</v>
      </c>
      <c r="D19790" t="str">
        <f>"REUS                     TAMMY                    "</f>
        <v xml:space="preserve">REUS                     TAMMY                    </v>
      </c>
      <c r="E19790" t="str">
        <f>"OCEAN SPRINGS             "</f>
        <v xml:space="preserve">OCEAN SPRINGS             </v>
      </c>
      <c r="F19790" t="str">
        <f t="shared" si="473"/>
        <v>MS</v>
      </c>
    </row>
    <row r="19791" spans="1:6" x14ac:dyDescent="0.25">
      <c r="A19791" t="str">
        <f>"200023920"</f>
        <v>200023920</v>
      </c>
      <c r="B19791" t="str">
        <f>"1588862114"</f>
        <v>1588862114</v>
      </c>
      <c r="C19791" t="str">
        <f>"207L00000X"</f>
        <v>207L00000X</v>
      </c>
      <c r="D19791" t="str">
        <f>"ANDERSON                 COREY                    "</f>
        <v xml:space="preserve">ANDERSON                 COREY                    </v>
      </c>
      <c r="E19791" t="str">
        <f>"CORINTH                   "</f>
        <v xml:space="preserve">CORINTH                   </v>
      </c>
      <c r="F19791" t="str">
        <f t="shared" si="473"/>
        <v>MS</v>
      </c>
    </row>
    <row r="19792" spans="1:6" x14ac:dyDescent="0.25">
      <c r="A19792" t="str">
        <f>"200023921"</f>
        <v>200023921</v>
      </c>
      <c r="B19792" t="str">
        <f>"1396196879"</f>
        <v>1396196879</v>
      </c>
      <c r="C19792" t="str">
        <f>"261QM0801X"</f>
        <v>261QM0801X</v>
      </c>
      <c r="D19792" t="str">
        <f>"MISSISSIPPI BEHAVIORAL HEALTH SERVICES, LLC       "</f>
        <v xml:space="preserve">MISSISSIPPI BEHAVIORAL HEALTH SERVICES, LLC       </v>
      </c>
      <c r="E19792" t="str">
        <f>"BOONEVILLE                "</f>
        <v xml:space="preserve">BOONEVILLE                </v>
      </c>
      <c r="F19792" t="str">
        <f t="shared" si="473"/>
        <v>MS</v>
      </c>
    </row>
    <row r="19793" spans="1:6" x14ac:dyDescent="0.25">
      <c r="A19793" t="str">
        <f>"200023922"</f>
        <v>200023922</v>
      </c>
      <c r="B19793" t="str">
        <f>"1003893785"</f>
        <v>1003893785</v>
      </c>
      <c r="C19793" t="str">
        <f>"207Q00000X"</f>
        <v>207Q00000X</v>
      </c>
      <c r="D19793" t="str">
        <f>"ROWLEY-HERRON            JETUAN                   "</f>
        <v xml:space="preserve">ROWLEY-HERRON            JETUAN                   </v>
      </c>
      <c r="E19793" t="str">
        <f>"RIDGELAND                 "</f>
        <v xml:space="preserve">RIDGELAND                 </v>
      </c>
      <c r="F19793" t="str">
        <f t="shared" si="473"/>
        <v>MS</v>
      </c>
    </row>
    <row r="19794" spans="1:6" x14ac:dyDescent="0.25">
      <c r="A19794" t="str">
        <f>"200023929"</f>
        <v>200023929</v>
      </c>
      <c r="B19794" t="str">
        <f>"1609849553"</f>
        <v>1609849553</v>
      </c>
      <c r="C19794" t="str">
        <f>"367500000X"</f>
        <v>367500000X</v>
      </c>
      <c r="D19794" t="str">
        <f>"BEARD                    KIM                      "</f>
        <v xml:space="preserve">BEARD                    KIM                      </v>
      </c>
      <c r="E19794" t="str">
        <f>"COLUMBUS                  "</f>
        <v xml:space="preserve">COLUMBUS                  </v>
      </c>
      <c r="F19794" t="str">
        <f t="shared" si="473"/>
        <v>MS</v>
      </c>
    </row>
    <row r="19795" spans="1:6" x14ac:dyDescent="0.25">
      <c r="A19795" t="str">
        <f>"200023938"</f>
        <v>200023938</v>
      </c>
      <c r="B19795" t="str">
        <f>"1992111405"</f>
        <v>1992111405</v>
      </c>
      <c r="C19795" t="str">
        <f>"363L00000X"</f>
        <v>363L00000X</v>
      </c>
      <c r="D19795" t="str">
        <f>"EDWARDS                  JULIE                    "</f>
        <v xml:space="preserve">EDWARDS                  JULIE                    </v>
      </c>
      <c r="E19795" t="str">
        <f>"OXFORD                    "</f>
        <v xml:space="preserve">OXFORD                    </v>
      </c>
      <c r="F19795" t="str">
        <f t="shared" si="473"/>
        <v>MS</v>
      </c>
    </row>
    <row r="19796" spans="1:6" x14ac:dyDescent="0.25">
      <c r="A19796" t="str">
        <f>"200023941"</f>
        <v>200023941</v>
      </c>
      <c r="B19796" t="str">
        <f>"1306254255"</f>
        <v>1306254255</v>
      </c>
      <c r="C19796" t="str">
        <f>"207QS0010X"</f>
        <v>207QS0010X</v>
      </c>
      <c r="D19796" t="str">
        <f>"TULLOS                   JESSICA      M           "</f>
        <v xml:space="preserve">TULLOS                   JESSICA      M           </v>
      </c>
      <c r="E19796" t="str">
        <f>"HATTIESBURG               "</f>
        <v xml:space="preserve">HATTIESBURG               </v>
      </c>
      <c r="F19796" t="str">
        <f t="shared" si="473"/>
        <v>MS</v>
      </c>
    </row>
    <row r="19797" spans="1:6" x14ac:dyDescent="0.25">
      <c r="A19797" t="str">
        <f>"200023944"</f>
        <v>200023944</v>
      </c>
      <c r="B19797" t="str">
        <f>"1184374811"</f>
        <v>1184374811</v>
      </c>
      <c r="C19797" t="str">
        <f>"207Q00000X"</f>
        <v>207Q00000X</v>
      </c>
      <c r="D19797" t="str">
        <f>"MCCOY                    ANNA                     "</f>
        <v xml:space="preserve">MCCOY                    ANNA                     </v>
      </c>
      <c r="E19797" t="str">
        <f>"TUPELO                    "</f>
        <v xml:space="preserve">TUPELO                    </v>
      </c>
      <c r="F19797" t="str">
        <f t="shared" si="473"/>
        <v>MS</v>
      </c>
    </row>
    <row r="19798" spans="1:6" x14ac:dyDescent="0.25">
      <c r="A19798" t="str">
        <f>"200023945"</f>
        <v>200023945</v>
      </c>
      <c r="B19798" t="str">
        <f>"1396196879"</f>
        <v>1396196879</v>
      </c>
      <c r="C19798" t="str">
        <f>"261QM0801X"</f>
        <v>261QM0801X</v>
      </c>
      <c r="D19798" t="str">
        <f>"MISSISSIPPI BEHAVIORAL HEALTH SERVICES, LLC       "</f>
        <v xml:space="preserve">MISSISSIPPI BEHAVIORAL HEALTH SERVICES, LLC       </v>
      </c>
      <c r="E19798" t="str">
        <f>"BATESVILLE                "</f>
        <v xml:space="preserve">BATESVILLE                </v>
      </c>
      <c r="F19798" t="str">
        <f t="shared" si="473"/>
        <v>MS</v>
      </c>
    </row>
    <row r="19799" spans="1:6" x14ac:dyDescent="0.25">
      <c r="A19799" t="str">
        <f>"200023946"</f>
        <v>200023946</v>
      </c>
      <c r="B19799" t="str">
        <f>"1023627122"</f>
        <v>1023627122</v>
      </c>
      <c r="C19799" t="str">
        <f>"363LF0000X"</f>
        <v>363LF0000X</v>
      </c>
      <c r="D19799" t="str">
        <f>"ROBERTS                  KRISTEN      C           "</f>
        <v xml:space="preserve">ROBERTS                  KRISTEN      C           </v>
      </c>
      <c r="E19799" t="str">
        <f>"GREENVILLE                "</f>
        <v xml:space="preserve">GREENVILLE                </v>
      </c>
      <c r="F19799" t="str">
        <f t="shared" si="473"/>
        <v>MS</v>
      </c>
    </row>
    <row r="19800" spans="1:6" x14ac:dyDescent="0.25">
      <c r="A19800" t="str">
        <f>"200023947"</f>
        <v>200023947</v>
      </c>
      <c r="B19800" t="str">
        <f>"1396196879"</f>
        <v>1396196879</v>
      </c>
      <c r="C19800" t="str">
        <f>"261QM0801X"</f>
        <v>261QM0801X</v>
      </c>
      <c r="D19800" t="str">
        <f>"MISSISSIPPI BEHAVIORAL HEALTH SERVICES, LLC       "</f>
        <v xml:space="preserve">MISSISSIPPI BEHAVIORAL HEALTH SERVICES, LLC       </v>
      </c>
      <c r="E19800" t="str">
        <f>"HATTIESBURG               "</f>
        <v xml:space="preserve">HATTIESBURG               </v>
      </c>
      <c r="F19800" t="str">
        <f t="shared" si="473"/>
        <v>MS</v>
      </c>
    </row>
    <row r="19801" spans="1:6" x14ac:dyDescent="0.25">
      <c r="A19801" t="str">
        <f>"200023949"</f>
        <v>200023949</v>
      </c>
      <c r="B19801" t="str">
        <f>"1417372400"</f>
        <v>1417372400</v>
      </c>
      <c r="C19801" t="str">
        <f>"363LF0000X"</f>
        <v>363LF0000X</v>
      </c>
      <c r="D19801" t="str">
        <f>"THOMPSON                 PAMELA                   "</f>
        <v xml:space="preserve">THOMPSON                 PAMELA                   </v>
      </c>
      <c r="E19801" t="str">
        <f>"FLOWOOD                   "</f>
        <v xml:space="preserve">FLOWOOD                   </v>
      </c>
      <c r="F19801" t="str">
        <f t="shared" si="473"/>
        <v>MS</v>
      </c>
    </row>
    <row r="19802" spans="1:6" x14ac:dyDescent="0.25">
      <c r="A19802" t="str">
        <f>"200023952"</f>
        <v>200023952</v>
      </c>
      <c r="B19802" t="str">
        <f>"1285866640"</f>
        <v>1285866640</v>
      </c>
      <c r="C19802" t="str">
        <f>"363LF0000X"</f>
        <v>363LF0000X</v>
      </c>
      <c r="D19802" t="str">
        <f>"WATSON                   DONNA                    "</f>
        <v xml:space="preserve">WATSON                   DONNA                    </v>
      </c>
      <c r="E19802" t="str">
        <f>"JACKSON                   "</f>
        <v xml:space="preserve">JACKSON                   </v>
      </c>
      <c r="F19802" t="str">
        <f t="shared" si="473"/>
        <v>MS</v>
      </c>
    </row>
    <row r="19803" spans="1:6" x14ac:dyDescent="0.25">
      <c r="A19803" t="str">
        <f>"200023954"</f>
        <v>200023954</v>
      </c>
      <c r="B19803" t="str">
        <f>"1073008108"</f>
        <v>1073008108</v>
      </c>
      <c r="C19803" t="str">
        <f>"2084N0400X"</f>
        <v>2084N0400X</v>
      </c>
      <c r="D19803" t="str">
        <f>"BELADAKERE RAMASWAMY     SWATHI                   "</f>
        <v xml:space="preserve">BELADAKERE RAMASWAMY     SWATHI                   </v>
      </c>
      <c r="E19803" t="str">
        <f>"TUPELO                    "</f>
        <v xml:space="preserve">TUPELO                    </v>
      </c>
      <c r="F19803" t="str">
        <f t="shared" si="473"/>
        <v>MS</v>
      </c>
    </row>
    <row r="19804" spans="1:6" x14ac:dyDescent="0.25">
      <c r="A19804" t="str">
        <f>"200023955"</f>
        <v>200023955</v>
      </c>
      <c r="B19804" t="str">
        <f>"1255866364"</f>
        <v>1255866364</v>
      </c>
      <c r="C19804" t="str">
        <f>"207RI0011X"</f>
        <v>207RI0011X</v>
      </c>
      <c r="D19804" t="str">
        <f>"DEL CID FRATTI           JUAN                     "</f>
        <v xml:space="preserve">DEL CID FRATTI           JUAN                     </v>
      </c>
      <c r="E19804" t="str">
        <f>"OCEAN SPRINGS             "</f>
        <v xml:space="preserve">OCEAN SPRINGS             </v>
      </c>
      <c r="F19804" t="str">
        <f t="shared" si="473"/>
        <v>MS</v>
      </c>
    </row>
    <row r="19805" spans="1:6" x14ac:dyDescent="0.25">
      <c r="A19805" t="str">
        <f>"200023956"</f>
        <v>200023956</v>
      </c>
      <c r="B19805" t="str">
        <f>"1831416064"</f>
        <v>1831416064</v>
      </c>
      <c r="C19805" t="str">
        <f>"2084N0400X"</f>
        <v>2084N0400X</v>
      </c>
      <c r="D19805" t="str">
        <f>"DHARIA                   ROBIN                    "</f>
        <v xml:space="preserve">DHARIA                   ROBIN                    </v>
      </c>
      <c r="E19805" t="str">
        <f>"TUPELO                    "</f>
        <v xml:space="preserve">TUPELO                    </v>
      </c>
      <c r="F19805" t="str">
        <f t="shared" si="473"/>
        <v>MS</v>
      </c>
    </row>
    <row r="19806" spans="1:6" x14ac:dyDescent="0.25">
      <c r="A19806" t="str">
        <f>"200023957"</f>
        <v>200023957</v>
      </c>
      <c r="B19806" t="str">
        <f>"1508934464"</f>
        <v>1508934464</v>
      </c>
      <c r="C19806" t="str">
        <f>"207LP2900X"</f>
        <v>207LP2900X</v>
      </c>
      <c r="D19806" t="str">
        <f>"EDMISTON                 BART         J           "</f>
        <v xml:space="preserve">EDMISTON                 BART         J           </v>
      </c>
      <c r="E19806" t="str">
        <f>"BILOXI                    "</f>
        <v xml:space="preserve">BILOXI                    </v>
      </c>
      <c r="F19806" t="str">
        <f t="shared" si="473"/>
        <v>MS</v>
      </c>
    </row>
    <row r="19807" spans="1:6" x14ac:dyDescent="0.25">
      <c r="A19807" t="str">
        <f>"200023968"</f>
        <v>200023968</v>
      </c>
      <c r="B19807" t="str">
        <f>"1730061227"</f>
        <v>1730061227</v>
      </c>
      <c r="C19807" t="str">
        <f>"363LF0000X"</f>
        <v>363LF0000X</v>
      </c>
      <c r="D19807" t="str">
        <f>"HORTON                   KAMERON                  "</f>
        <v xml:space="preserve">HORTON                   KAMERON                  </v>
      </c>
      <c r="E19807" t="str">
        <f>"CANTON                    "</f>
        <v xml:space="preserve">CANTON                    </v>
      </c>
      <c r="F19807" t="str">
        <f t="shared" si="473"/>
        <v>MS</v>
      </c>
    </row>
    <row r="19808" spans="1:6" x14ac:dyDescent="0.25">
      <c r="A19808" t="str">
        <f>"200023970"</f>
        <v>200023970</v>
      </c>
      <c r="B19808" t="str">
        <f>"1285809947"</f>
        <v>1285809947</v>
      </c>
      <c r="C19808" t="str">
        <f>"207RG0300X"</f>
        <v>207RG0300X</v>
      </c>
      <c r="D19808" t="str">
        <f>"PEGGS                    KIFFANY                  "</f>
        <v xml:space="preserve">PEGGS                    KIFFANY                  </v>
      </c>
      <c r="E19808" t="str">
        <f>"RIDGELAND                 "</f>
        <v xml:space="preserve">RIDGELAND                 </v>
      </c>
      <c r="F19808" t="str">
        <f t="shared" si="473"/>
        <v>MS</v>
      </c>
    </row>
    <row r="19809" spans="1:6" x14ac:dyDescent="0.25">
      <c r="A19809" t="str">
        <f>"200023976"</f>
        <v>200023976</v>
      </c>
      <c r="B19809" t="str">
        <f>"1356138564"</f>
        <v>1356138564</v>
      </c>
      <c r="C19809" t="str">
        <f>"1223G0001X"</f>
        <v>1223G0001X</v>
      </c>
      <c r="D19809" t="str">
        <f>"MICHAEL MONROE DMD                                "</f>
        <v xml:space="preserve">MICHAEL MONROE DMD                                </v>
      </c>
      <c r="E19809" t="str">
        <f>"TUPELO                    "</f>
        <v xml:space="preserve">TUPELO                    </v>
      </c>
      <c r="F19809" t="str">
        <f t="shared" si="473"/>
        <v>MS</v>
      </c>
    </row>
    <row r="19810" spans="1:6" x14ac:dyDescent="0.25">
      <c r="A19810" t="str">
        <f>"200023978"</f>
        <v>200023978</v>
      </c>
      <c r="B19810" t="str">
        <f>"1427099209"</f>
        <v>1427099209</v>
      </c>
      <c r="C19810" t="str">
        <f>"208M00000X"</f>
        <v>208M00000X</v>
      </c>
      <c r="D19810" t="str">
        <f>"OZDURAN                  VOLKAN                   "</f>
        <v xml:space="preserve">OZDURAN                  VOLKAN                   </v>
      </c>
      <c r="E19810" t="str">
        <f>"HATTIESBURG               "</f>
        <v xml:space="preserve">HATTIESBURG               </v>
      </c>
      <c r="F19810" t="str">
        <f t="shared" si="473"/>
        <v>MS</v>
      </c>
    </row>
    <row r="19811" spans="1:6" x14ac:dyDescent="0.25">
      <c r="A19811" t="str">
        <f>"200023982"</f>
        <v>200023982</v>
      </c>
      <c r="B19811" t="str">
        <f>"1528733862"</f>
        <v>1528733862</v>
      </c>
      <c r="C19811" t="str">
        <f>"363A00000X"</f>
        <v>363A00000X</v>
      </c>
      <c r="D19811" t="str">
        <f>"LAKHA                    VIVEK                    "</f>
        <v xml:space="preserve">LAKHA                    VIVEK                    </v>
      </c>
      <c r="E19811" t="str">
        <f>"SOUTHAVEN                 "</f>
        <v xml:space="preserve">SOUTHAVEN                 </v>
      </c>
      <c r="F19811" t="str">
        <f t="shared" si="473"/>
        <v>MS</v>
      </c>
    </row>
    <row r="19812" spans="1:6" x14ac:dyDescent="0.25">
      <c r="A19812" t="str">
        <f>"200023985"</f>
        <v>200023985</v>
      </c>
      <c r="B19812" t="str">
        <f>"1285477018"</f>
        <v>1285477018</v>
      </c>
      <c r="C19812" t="str">
        <f>"363LF0000X"</f>
        <v>363LF0000X</v>
      </c>
      <c r="D19812" t="str">
        <f>"TELLER                   BRANDON      B           "</f>
        <v xml:space="preserve">TELLER                   BRANDON      B           </v>
      </c>
      <c r="E19812" t="str">
        <f>"VICKSBURG                 "</f>
        <v xml:space="preserve">VICKSBURG                 </v>
      </c>
      <c r="F19812" t="str">
        <f t="shared" si="473"/>
        <v>MS</v>
      </c>
    </row>
    <row r="19813" spans="1:6" x14ac:dyDescent="0.25">
      <c r="A19813" t="str">
        <f>"200023988"</f>
        <v>200023988</v>
      </c>
      <c r="B19813" t="str">
        <f>"1760661821"</f>
        <v>1760661821</v>
      </c>
      <c r="C19813" t="str">
        <f>"363LF0000X"</f>
        <v>363LF0000X</v>
      </c>
      <c r="D19813" t="str">
        <f>"COWAN                    ANESHA                   "</f>
        <v xml:space="preserve">COWAN                    ANESHA                   </v>
      </c>
      <c r="E19813" t="str">
        <f>"RIDGELAND                 "</f>
        <v xml:space="preserve">RIDGELAND                 </v>
      </c>
      <c r="F19813" t="str">
        <f t="shared" si="473"/>
        <v>MS</v>
      </c>
    </row>
    <row r="19814" spans="1:6" x14ac:dyDescent="0.25">
      <c r="A19814" t="str">
        <f>"200023989"</f>
        <v>200023989</v>
      </c>
      <c r="B19814" t="str">
        <f>"1396196879"</f>
        <v>1396196879</v>
      </c>
      <c r="C19814" t="str">
        <f>"261QM0801X"</f>
        <v>261QM0801X</v>
      </c>
      <c r="D19814" t="str">
        <f>"MISSISSIPPI BEHAVIORAL HEALTH SERVICES, LLC       "</f>
        <v xml:space="preserve">MISSISSIPPI BEHAVIORAL HEALTH SERVICES, LLC       </v>
      </c>
      <c r="E19814" t="str">
        <f>"GREENWOOD                 "</f>
        <v xml:space="preserve">GREENWOOD                 </v>
      </c>
      <c r="F19814" t="str">
        <f t="shared" si="473"/>
        <v>MS</v>
      </c>
    </row>
    <row r="19815" spans="1:6" x14ac:dyDescent="0.25">
      <c r="A19815" t="str">
        <f>"200023990"</f>
        <v>200023990</v>
      </c>
      <c r="B19815" t="str">
        <f>"1073830790"</f>
        <v>1073830790</v>
      </c>
      <c r="C19815" t="str">
        <f>"207Q00000X"</f>
        <v>207Q00000X</v>
      </c>
      <c r="D19815" t="str">
        <f>"CHEN                     TIMOTHY                  "</f>
        <v xml:space="preserve">CHEN                     TIMOTHY                  </v>
      </c>
      <c r="E19815" t="str">
        <f>"GLUCKSTADT                "</f>
        <v xml:space="preserve">GLUCKSTADT                </v>
      </c>
      <c r="F19815" t="str">
        <f t="shared" si="473"/>
        <v>MS</v>
      </c>
    </row>
    <row r="19816" spans="1:6" x14ac:dyDescent="0.25">
      <c r="A19816" t="str">
        <f>"200024001"</f>
        <v>200024001</v>
      </c>
      <c r="B19816" t="str">
        <f>"1588084800"</f>
        <v>1588084800</v>
      </c>
      <c r="C19816" t="str">
        <f>"2084N0400X"</f>
        <v>2084N0400X</v>
      </c>
      <c r="D19816" t="str">
        <f>"KOEHN                    TYLER                    "</f>
        <v xml:space="preserve">KOEHN                    TYLER                    </v>
      </c>
      <c r="E19816" t="str">
        <f>"TUPELO                    "</f>
        <v xml:space="preserve">TUPELO                    </v>
      </c>
      <c r="F19816" t="str">
        <f t="shared" si="473"/>
        <v>MS</v>
      </c>
    </row>
    <row r="19817" spans="1:6" x14ac:dyDescent="0.25">
      <c r="A19817" t="str">
        <f>"200024006"</f>
        <v>200024006</v>
      </c>
      <c r="B19817" t="str">
        <f>"1720864796"</f>
        <v>1720864796</v>
      </c>
      <c r="C19817" t="str">
        <f>"261QM0801X"</f>
        <v>261QM0801X</v>
      </c>
      <c r="D19817" t="str">
        <f>"WELLNESS OASIS INC.                               "</f>
        <v xml:space="preserve">WELLNESS OASIS INC.                               </v>
      </c>
      <c r="E19817" t="str">
        <f>"SHELBY                    "</f>
        <v xml:space="preserve">SHELBY                    </v>
      </c>
      <c r="F19817" t="str">
        <f t="shared" si="473"/>
        <v>MS</v>
      </c>
    </row>
    <row r="19818" spans="1:6" x14ac:dyDescent="0.25">
      <c r="A19818" t="str">
        <f>"200024008"</f>
        <v>200024008</v>
      </c>
      <c r="B19818" t="str">
        <f>"1255391728"</f>
        <v>1255391728</v>
      </c>
      <c r="C19818" t="str">
        <f>"208M00000X"</f>
        <v>208M00000X</v>
      </c>
      <c r="D19818" t="str">
        <f>"SHAHSHAHAN               ALI                      "</f>
        <v xml:space="preserve">SHAHSHAHAN               ALI                      </v>
      </c>
      <c r="E19818" t="str">
        <f>"HATTIESBURG               "</f>
        <v xml:space="preserve">HATTIESBURG               </v>
      </c>
      <c r="F19818" t="str">
        <f t="shared" si="473"/>
        <v>MS</v>
      </c>
    </row>
    <row r="19819" spans="1:6" x14ac:dyDescent="0.25">
      <c r="A19819" t="str">
        <f>"200024010"</f>
        <v>200024010</v>
      </c>
      <c r="B19819" t="str">
        <f>"1245818467"</f>
        <v>1245818467</v>
      </c>
      <c r="C19819" t="str">
        <f>"207W00000X"</f>
        <v>207W00000X</v>
      </c>
      <c r="D19819" t="str">
        <f>"SOBIESK                  SARAH        G           "</f>
        <v xml:space="preserve">SOBIESK                  SARAH        G           </v>
      </c>
      <c r="E19819" t="str">
        <f>"HATTIESBURG               "</f>
        <v xml:space="preserve">HATTIESBURG               </v>
      </c>
      <c r="F19819" t="str">
        <f t="shared" si="473"/>
        <v>MS</v>
      </c>
    </row>
    <row r="19820" spans="1:6" x14ac:dyDescent="0.25">
      <c r="A19820" t="str">
        <f>"200024012"</f>
        <v>200024012</v>
      </c>
      <c r="B19820" t="str">
        <f>"1619862166"</f>
        <v>1619862166</v>
      </c>
      <c r="C19820" t="str">
        <f>"363LF0000X"</f>
        <v>363LF0000X</v>
      </c>
      <c r="D19820" t="str">
        <f>"DOSSETT                  MARY                     "</f>
        <v xml:space="preserve">DOSSETT                  MARY                     </v>
      </c>
      <c r="E19820" t="str">
        <f>"MAGEE                     "</f>
        <v xml:space="preserve">MAGEE                     </v>
      </c>
      <c r="F19820" t="str">
        <f t="shared" si="473"/>
        <v>MS</v>
      </c>
    </row>
    <row r="19821" spans="1:6" x14ac:dyDescent="0.25">
      <c r="A19821" t="str">
        <f>"200024014"</f>
        <v>200024014</v>
      </c>
      <c r="B19821" t="str">
        <f>"1801883715"</f>
        <v>1801883715</v>
      </c>
      <c r="C19821" t="str">
        <f>"207V00000X"</f>
        <v>207V00000X</v>
      </c>
      <c r="D19821" t="str">
        <f>"TALLENT                  ERIC                     "</f>
        <v xml:space="preserve">TALLENT                  ERIC                     </v>
      </c>
      <c r="E19821" t="str">
        <f>"MERIDIAN                  "</f>
        <v xml:space="preserve">MERIDIAN                  </v>
      </c>
      <c r="F19821" t="str">
        <f t="shared" si="473"/>
        <v>MS</v>
      </c>
    </row>
    <row r="19822" spans="1:6" x14ac:dyDescent="0.25">
      <c r="A19822" t="str">
        <f>"200024015"</f>
        <v>200024015</v>
      </c>
      <c r="B19822" t="str">
        <f>"1306737663"</f>
        <v>1306737663</v>
      </c>
      <c r="C19822" t="str">
        <f>"363LF0000X"</f>
        <v>363LF0000X</v>
      </c>
      <c r="D19822" t="str">
        <f>"MCINTOSH                 KAMRYN                   "</f>
        <v xml:space="preserve">MCINTOSH                 KAMRYN                   </v>
      </c>
      <c r="E19822" t="str">
        <f>"AMORY                     "</f>
        <v xml:space="preserve">AMORY                     </v>
      </c>
      <c r="F19822" t="str">
        <f t="shared" si="473"/>
        <v>MS</v>
      </c>
    </row>
    <row r="19823" spans="1:6" x14ac:dyDescent="0.25">
      <c r="A19823" t="str">
        <f>"200024016"</f>
        <v>200024016</v>
      </c>
      <c r="B19823" t="str">
        <f>"1164314407"</f>
        <v>1164314407</v>
      </c>
      <c r="C19823" t="str">
        <f>"363A00000X"</f>
        <v>363A00000X</v>
      </c>
      <c r="D19823" t="str">
        <f>"OGILA                    DAISY                    "</f>
        <v xml:space="preserve">OGILA                    DAISY                    </v>
      </c>
      <c r="E19823" t="str">
        <f>"SOUTHAVEN                 "</f>
        <v xml:space="preserve">SOUTHAVEN                 </v>
      </c>
      <c r="F19823" t="str">
        <f t="shared" si="473"/>
        <v>MS</v>
      </c>
    </row>
    <row r="19824" spans="1:6" x14ac:dyDescent="0.25">
      <c r="A19824" t="str">
        <f>"200024020"</f>
        <v>200024020</v>
      </c>
      <c r="B19824" t="str">
        <f>"1639647761"</f>
        <v>1639647761</v>
      </c>
      <c r="C19824" t="str">
        <f>"363LF0000X"</f>
        <v>363LF0000X</v>
      </c>
      <c r="D19824" t="str">
        <f>"MCLENDON                 LEXIE                    "</f>
        <v xml:space="preserve">MCLENDON                 LEXIE                    </v>
      </c>
      <c r="E19824" t="str">
        <f>"JACKSON                   "</f>
        <v xml:space="preserve">JACKSON                   </v>
      </c>
      <c r="F19824" t="str">
        <f t="shared" si="473"/>
        <v>MS</v>
      </c>
    </row>
    <row r="19825" spans="1:6" x14ac:dyDescent="0.25">
      <c r="A19825" t="str">
        <f>"200024025"</f>
        <v>200024025</v>
      </c>
      <c r="B19825" t="str">
        <f>"1881334514"</f>
        <v>1881334514</v>
      </c>
      <c r="C19825" t="str">
        <f>"207Q00000X"</f>
        <v>207Q00000X</v>
      </c>
      <c r="D19825" t="str">
        <f>"BRETT                    CAITLYN                  "</f>
        <v xml:space="preserve">BRETT                    CAITLYN                  </v>
      </c>
      <c r="E19825" t="str">
        <f>"WAYNESBORO                "</f>
        <v xml:space="preserve">WAYNESBORO                </v>
      </c>
      <c r="F19825" t="str">
        <f t="shared" si="473"/>
        <v>MS</v>
      </c>
    </row>
    <row r="19826" spans="1:6" x14ac:dyDescent="0.25">
      <c r="A19826" t="str">
        <f>"200024026"</f>
        <v>200024026</v>
      </c>
      <c r="B19826" t="str">
        <f>"1205719630"</f>
        <v>1205719630</v>
      </c>
      <c r="C19826" t="str">
        <f>"152W00000X"</f>
        <v>152W00000X</v>
      </c>
      <c r="D19826" t="str">
        <f>"KINNEBREW                AIMEE                    "</f>
        <v xml:space="preserve">KINNEBREW                AIMEE                    </v>
      </c>
      <c r="E19826" t="str">
        <f>"VICKSBURG                 "</f>
        <v xml:space="preserve">VICKSBURG                 </v>
      </c>
      <c r="F19826" t="str">
        <f t="shared" si="473"/>
        <v>MS</v>
      </c>
    </row>
    <row r="19827" spans="1:6" x14ac:dyDescent="0.25">
      <c r="A19827" t="str">
        <f>"200024028"</f>
        <v>200024028</v>
      </c>
      <c r="B19827" t="str">
        <f>"1447928148"</f>
        <v>1447928148</v>
      </c>
      <c r="C19827" t="str">
        <f>"363LP0808X"</f>
        <v>363LP0808X</v>
      </c>
      <c r="D19827" t="str">
        <f>"WILLIAMS                 VALINA                   "</f>
        <v xml:space="preserve">WILLIAMS                 VALINA                   </v>
      </c>
      <c r="E19827" t="str">
        <f>"PHILADELPHIA              "</f>
        <v xml:space="preserve">PHILADELPHIA              </v>
      </c>
      <c r="F19827" t="str">
        <f t="shared" si="473"/>
        <v>MS</v>
      </c>
    </row>
    <row r="19828" spans="1:6" x14ac:dyDescent="0.25">
      <c r="A19828" t="str">
        <f>"200024029"</f>
        <v>200024029</v>
      </c>
      <c r="B19828" t="str">
        <f>"1023011137"</f>
        <v>1023011137</v>
      </c>
      <c r="C19828" t="str">
        <f>"2085R0202X"</f>
        <v>2085R0202X</v>
      </c>
      <c r="D19828" t="str">
        <f>"SETTONNI                 LORETTA                  "</f>
        <v xml:space="preserve">SETTONNI                 LORETTA                  </v>
      </c>
      <c r="E19828" t="str">
        <f>"MERIDIAN                  "</f>
        <v xml:space="preserve">MERIDIAN                  </v>
      </c>
      <c r="F19828" t="str">
        <f t="shared" si="473"/>
        <v>MS</v>
      </c>
    </row>
    <row r="19829" spans="1:6" x14ac:dyDescent="0.25">
      <c r="A19829" t="str">
        <f>"200024032"</f>
        <v>200024032</v>
      </c>
      <c r="B19829" t="str">
        <f>"1710759105"</f>
        <v>1710759105</v>
      </c>
      <c r="C19829" t="str">
        <f>"363LF0000X"</f>
        <v>363LF0000X</v>
      </c>
      <c r="D19829" t="str">
        <f>"CARR                     CECILIA                  "</f>
        <v xml:space="preserve">CARR                     CECILIA                  </v>
      </c>
      <c r="E19829" t="str">
        <f>"SALTILLO                  "</f>
        <v xml:space="preserve">SALTILLO                  </v>
      </c>
      <c r="F19829" t="str">
        <f t="shared" si="473"/>
        <v>MS</v>
      </c>
    </row>
    <row r="19830" spans="1:6" x14ac:dyDescent="0.25">
      <c r="A19830" t="str">
        <f>"200024033"</f>
        <v>200024033</v>
      </c>
      <c r="B19830" t="str">
        <f>"1144854498"</f>
        <v>1144854498</v>
      </c>
      <c r="C19830" t="str">
        <f>"363LG0600X"</f>
        <v>363LG0600X</v>
      </c>
      <c r="D19830" t="str">
        <f>"AMASON                   KATLYN       M           "</f>
        <v xml:space="preserve">AMASON                   KATLYN       M           </v>
      </c>
      <c r="E19830" t="str">
        <f>"FLOWOOD                   "</f>
        <v xml:space="preserve">FLOWOOD                   </v>
      </c>
      <c r="F19830" t="str">
        <f t="shared" si="473"/>
        <v>MS</v>
      </c>
    </row>
    <row r="19831" spans="1:6" x14ac:dyDescent="0.25">
      <c r="A19831" t="str">
        <f>"200024035"</f>
        <v>200024035</v>
      </c>
      <c r="B19831" t="str">
        <f>"1114614872"</f>
        <v>1114614872</v>
      </c>
      <c r="C19831" t="str">
        <f>"363LP2300X"</f>
        <v>363LP2300X</v>
      </c>
      <c r="D19831" t="str">
        <f>"SHOWS                    CULLEN       T           "</f>
        <v xml:space="preserve">SHOWS                    CULLEN       T           </v>
      </c>
      <c r="E19831" t="str">
        <f>"JACKSON                   "</f>
        <v xml:space="preserve">JACKSON                   </v>
      </c>
      <c r="F19831" t="str">
        <f t="shared" si="473"/>
        <v>MS</v>
      </c>
    </row>
    <row r="19832" spans="1:6" x14ac:dyDescent="0.25">
      <c r="A19832" t="str">
        <f>"200024036"</f>
        <v>200024036</v>
      </c>
      <c r="B19832" t="str">
        <f>"1063799583"</f>
        <v>1063799583</v>
      </c>
      <c r="C19832" t="str">
        <f>"363LF0000X"</f>
        <v>363LF0000X</v>
      </c>
      <c r="D19832" t="str">
        <f>"EZELL                    SHARON       E           "</f>
        <v xml:space="preserve">EZELL                    SHARON       E           </v>
      </c>
      <c r="E19832" t="str">
        <f>"JACKSON                   "</f>
        <v xml:space="preserve">JACKSON                   </v>
      </c>
      <c r="F19832" t="str">
        <f t="shared" si="473"/>
        <v>MS</v>
      </c>
    </row>
    <row r="19833" spans="1:6" x14ac:dyDescent="0.25">
      <c r="A19833" t="str">
        <f>"200024037"</f>
        <v>200024037</v>
      </c>
      <c r="B19833" t="str">
        <f>"1770191173"</f>
        <v>1770191173</v>
      </c>
      <c r="C19833" t="str">
        <f>"122300000X"</f>
        <v>122300000X</v>
      </c>
      <c r="D19833" t="str">
        <f>"WILKERSON                TRENT                    "</f>
        <v xml:space="preserve">WILKERSON                TRENT                    </v>
      </c>
      <c r="E19833" t="str">
        <f>"HATTIESBURG               "</f>
        <v xml:space="preserve">HATTIESBURG               </v>
      </c>
      <c r="F19833" t="str">
        <f t="shared" si="473"/>
        <v>MS</v>
      </c>
    </row>
    <row r="19834" spans="1:6" x14ac:dyDescent="0.25">
      <c r="A19834" t="str">
        <f>"200024041"</f>
        <v>200024041</v>
      </c>
      <c r="B19834" t="str">
        <f>"1255215018"</f>
        <v>1255215018</v>
      </c>
      <c r="C19834" t="str">
        <f>"363LF0000X"</f>
        <v>363LF0000X</v>
      </c>
      <c r="D19834" t="str">
        <f>"WILLIAMS                 SHAKINAH                 "</f>
        <v xml:space="preserve">WILLIAMS                 SHAKINAH                 </v>
      </c>
      <c r="E19834" t="str">
        <f>"SOUTHAVEN                 "</f>
        <v xml:space="preserve">SOUTHAVEN                 </v>
      </c>
      <c r="F19834" t="str">
        <f t="shared" si="473"/>
        <v>MS</v>
      </c>
    </row>
    <row r="19835" spans="1:6" x14ac:dyDescent="0.25">
      <c r="A19835" t="str">
        <f>"200024042"</f>
        <v>200024042</v>
      </c>
      <c r="B19835" t="str">
        <f>"1861694424"</f>
        <v>1861694424</v>
      </c>
      <c r="C19835" t="str">
        <f>"207Q00000X"</f>
        <v>207Q00000X</v>
      </c>
      <c r="D19835" t="str">
        <f>"HOANG                    LONG                     "</f>
        <v xml:space="preserve">HOANG                    LONG                     </v>
      </c>
      <c r="E19835" t="str">
        <f>"RIDGELAND                 "</f>
        <v xml:space="preserve">RIDGELAND                 </v>
      </c>
      <c r="F19835" t="str">
        <f t="shared" si="473"/>
        <v>MS</v>
      </c>
    </row>
    <row r="19836" spans="1:6" x14ac:dyDescent="0.25">
      <c r="A19836" t="str">
        <f>"200024043"</f>
        <v>200024043</v>
      </c>
      <c r="B19836" t="str">
        <f>"1457772295"</f>
        <v>1457772295</v>
      </c>
      <c r="C19836" t="str">
        <f>"363LF0000X"</f>
        <v>363LF0000X</v>
      </c>
      <c r="D19836" t="str">
        <f>"BRODERICK                ALLISON                  "</f>
        <v xml:space="preserve">BRODERICK                ALLISON                  </v>
      </c>
      <c r="E19836" t="str">
        <f>"JACKSON                   "</f>
        <v xml:space="preserve">JACKSON                   </v>
      </c>
      <c r="F19836" t="str">
        <f t="shared" si="473"/>
        <v>MS</v>
      </c>
    </row>
    <row r="19837" spans="1:6" x14ac:dyDescent="0.25">
      <c r="A19837" t="str">
        <f>"200024044"</f>
        <v>200024044</v>
      </c>
      <c r="B19837" t="str">
        <f>"1437043338"</f>
        <v>1437043338</v>
      </c>
      <c r="C19837" t="str">
        <f>"122300000X"</f>
        <v>122300000X</v>
      </c>
      <c r="D19837" t="str">
        <f>"ROBBINS                  KRISTEN                  "</f>
        <v xml:space="preserve">ROBBINS                  KRISTEN                  </v>
      </c>
      <c r="E19837" t="str">
        <f>"FLORA                     "</f>
        <v xml:space="preserve">FLORA                     </v>
      </c>
      <c r="F19837" t="str">
        <f t="shared" si="473"/>
        <v>MS</v>
      </c>
    </row>
    <row r="19838" spans="1:6" x14ac:dyDescent="0.25">
      <c r="A19838" t="str">
        <f>"200024049"</f>
        <v>200024049</v>
      </c>
      <c r="B19838" t="str">
        <f>"1295621050"</f>
        <v>1295621050</v>
      </c>
      <c r="C19838" t="str">
        <f>"1223G0001X"</f>
        <v>1223G0001X</v>
      </c>
      <c r="D19838" t="str">
        <f>"NGUYEN                   HANG         T           "</f>
        <v xml:space="preserve">NGUYEN                   HANG         T           </v>
      </c>
      <c r="E19838" t="str">
        <f>"BILOXI                    "</f>
        <v xml:space="preserve">BILOXI                    </v>
      </c>
      <c r="F19838" t="str">
        <f t="shared" ref="F19838:F19901" si="474">"MS"</f>
        <v>MS</v>
      </c>
    </row>
    <row r="19839" spans="1:6" x14ac:dyDescent="0.25">
      <c r="A19839" t="str">
        <f>"200024050"</f>
        <v>200024050</v>
      </c>
      <c r="B19839" t="str">
        <f>"1083589477"</f>
        <v>1083589477</v>
      </c>
      <c r="C19839" t="str">
        <f>"363L00000X"</f>
        <v>363L00000X</v>
      </c>
      <c r="D19839" t="str">
        <f>"COOPER                   ANNA                     "</f>
        <v xml:space="preserve">COOPER                   ANNA                     </v>
      </c>
      <c r="E19839" t="str">
        <f>"GRENADA                   "</f>
        <v xml:space="preserve">GRENADA                   </v>
      </c>
      <c r="F19839" t="str">
        <f t="shared" si="474"/>
        <v>MS</v>
      </c>
    </row>
    <row r="19840" spans="1:6" x14ac:dyDescent="0.25">
      <c r="A19840" t="str">
        <f>"200024051"</f>
        <v>200024051</v>
      </c>
      <c r="B19840" t="str">
        <f>"1992882138"</f>
        <v>1992882138</v>
      </c>
      <c r="C19840" t="str">
        <f>"208M00000X"</f>
        <v>208M00000X</v>
      </c>
      <c r="D19840" t="str">
        <f>"NERAVETLA                UJWAL        R           "</f>
        <v xml:space="preserve">NERAVETLA                UJWAL        R           </v>
      </c>
      <c r="E19840" t="str">
        <f>"HATTIESBURG               "</f>
        <v xml:space="preserve">HATTIESBURG               </v>
      </c>
      <c r="F19840" t="str">
        <f t="shared" si="474"/>
        <v>MS</v>
      </c>
    </row>
    <row r="19841" spans="1:6" x14ac:dyDescent="0.25">
      <c r="A19841" t="str">
        <f>"200024052"</f>
        <v>200024052</v>
      </c>
      <c r="B19841" t="str">
        <f>"1295342251"</f>
        <v>1295342251</v>
      </c>
      <c r="C19841" t="str">
        <f>"363LF0000X"</f>
        <v>363LF0000X</v>
      </c>
      <c r="D19841" t="str">
        <f>"WYATT                    JONNECIA                 "</f>
        <v xml:space="preserve">WYATT                    JONNECIA                 </v>
      </c>
      <c r="E19841" t="str">
        <f>"NATCHEZ                   "</f>
        <v xml:space="preserve">NATCHEZ                   </v>
      </c>
      <c r="F19841" t="str">
        <f t="shared" si="474"/>
        <v>MS</v>
      </c>
    </row>
    <row r="19842" spans="1:6" x14ac:dyDescent="0.25">
      <c r="A19842" t="str">
        <f>"200024053"</f>
        <v>200024053</v>
      </c>
      <c r="B19842" t="str">
        <f>"1952957722"</f>
        <v>1952957722</v>
      </c>
      <c r="C19842" t="str">
        <f>"363LF0000X"</f>
        <v>363LF0000X</v>
      </c>
      <c r="D19842" t="str">
        <f>"JOHNSON                  COREEN                   "</f>
        <v xml:space="preserve">JOHNSON                  COREEN                   </v>
      </c>
      <c r="E19842" t="str">
        <f>"FLOWOOD                   "</f>
        <v xml:space="preserve">FLOWOOD                   </v>
      </c>
      <c r="F19842" t="str">
        <f t="shared" si="474"/>
        <v>MS</v>
      </c>
    </row>
    <row r="19843" spans="1:6" x14ac:dyDescent="0.25">
      <c r="A19843" t="str">
        <f>"200024064"</f>
        <v>200024064</v>
      </c>
      <c r="B19843" t="str">
        <f>"1508406802"</f>
        <v>1508406802</v>
      </c>
      <c r="C19843" t="str">
        <f>"363L00000X"</f>
        <v>363L00000X</v>
      </c>
      <c r="D19843" t="str">
        <f>"ANDERSON                 JESSICA                  "</f>
        <v xml:space="preserve">ANDERSON                 JESSICA                  </v>
      </c>
      <c r="E19843" t="str">
        <f>"LAUREL                    "</f>
        <v xml:space="preserve">LAUREL                    </v>
      </c>
      <c r="F19843" t="str">
        <f t="shared" si="474"/>
        <v>MS</v>
      </c>
    </row>
    <row r="19844" spans="1:6" x14ac:dyDescent="0.25">
      <c r="A19844" t="str">
        <f>"200024068"</f>
        <v>200024068</v>
      </c>
      <c r="B19844" t="str">
        <f>"1497640338"</f>
        <v>1497640338</v>
      </c>
      <c r="C19844" t="str">
        <f>"363L00000X"</f>
        <v>363L00000X</v>
      </c>
      <c r="D19844" t="str">
        <f>"HUGHES                   DEBORAH                  "</f>
        <v xml:space="preserve">HUGHES                   DEBORAH                  </v>
      </c>
      <c r="E19844" t="str">
        <f>"JACKSON                   "</f>
        <v xml:space="preserve">JACKSON                   </v>
      </c>
      <c r="F19844" t="str">
        <f t="shared" si="474"/>
        <v>MS</v>
      </c>
    </row>
    <row r="19845" spans="1:6" x14ac:dyDescent="0.25">
      <c r="A19845" t="str">
        <f>"200024071"</f>
        <v>200024071</v>
      </c>
      <c r="B19845" t="str">
        <f>"1457353658"</f>
        <v>1457353658</v>
      </c>
      <c r="C19845" t="str">
        <f>"208600000X"</f>
        <v>208600000X</v>
      </c>
      <c r="D19845" t="str">
        <f>"CARR                     JOHN                     "</f>
        <v xml:space="preserve">CARR                     JOHN                     </v>
      </c>
      <c r="E19845" t="str">
        <f>"CLEVELAND                 "</f>
        <v xml:space="preserve">CLEVELAND                 </v>
      </c>
      <c r="F19845" t="str">
        <f t="shared" si="474"/>
        <v>MS</v>
      </c>
    </row>
    <row r="19846" spans="1:6" x14ac:dyDescent="0.25">
      <c r="A19846" t="str">
        <f>"200024072"</f>
        <v>200024072</v>
      </c>
      <c r="B19846" t="str">
        <f>"1881796571"</f>
        <v>1881796571</v>
      </c>
      <c r="C19846" t="str">
        <f>"367500000X"</f>
        <v>367500000X</v>
      </c>
      <c r="D19846" t="str">
        <f>"SZUBSKI                  JON          A           "</f>
        <v xml:space="preserve">SZUBSKI                  JON          A           </v>
      </c>
      <c r="E19846" t="str">
        <f>"BOONEVILLE                "</f>
        <v xml:space="preserve">BOONEVILLE                </v>
      </c>
      <c r="F19846" t="str">
        <f t="shared" si="474"/>
        <v>MS</v>
      </c>
    </row>
    <row r="19847" spans="1:6" x14ac:dyDescent="0.25">
      <c r="A19847" t="str">
        <f>"200024073"</f>
        <v>200024073</v>
      </c>
      <c r="B19847" t="str">
        <f>"1992758882"</f>
        <v>1992758882</v>
      </c>
      <c r="C19847" t="str">
        <f>"261QM1300X"</f>
        <v>261QM1300X</v>
      </c>
      <c r="D19847" t="str">
        <f>"CONRAD PEARSON CLINIC, PC                         "</f>
        <v xml:space="preserve">CONRAD PEARSON CLINIC, PC                         </v>
      </c>
      <c r="E19847" t="str">
        <f>"SOUTHAVEN                 "</f>
        <v xml:space="preserve">SOUTHAVEN                 </v>
      </c>
      <c r="F19847" t="str">
        <f t="shared" si="474"/>
        <v>MS</v>
      </c>
    </row>
    <row r="19848" spans="1:6" x14ac:dyDescent="0.25">
      <c r="A19848" t="str">
        <f>"200024076"</f>
        <v>200024076</v>
      </c>
      <c r="B19848" t="str">
        <f>"1083250179"</f>
        <v>1083250179</v>
      </c>
      <c r="C19848" t="str">
        <f>"363LF0000X"</f>
        <v>363LF0000X</v>
      </c>
      <c r="D19848" t="str">
        <f>"BENNETT                  MARKEIA                  "</f>
        <v xml:space="preserve">BENNETT                  MARKEIA                  </v>
      </c>
      <c r="E19848" t="str">
        <f>"BRANDON                   "</f>
        <v xml:space="preserve">BRANDON                   </v>
      </c>
      <c r="F19848" t="str">
        <f t="shared" si="474"/>
        <v>MS</v>
      </c>
    </row>
    <row r="19849" spans="1:6" x14ac:dyDescent="0.25">
      <c r="A19849" t="str">
        <f>"200024079"</f>
        <v>200024079</v>
      </c>
      <c r="B19849" t="str">
        <f>"1134543820"</f>
        <v>1134543820</v>
      </c>
      <c r="C19849" t="str">
        <f>"363LF0000X"</f>
        <v>363LF0000X</v>
      </c>
      <c r="D19849" t="str">
        <f>"HOLMES                   VIRGINIA                 "</f>
        <v xml:space="preserve">HOLMES                   VIRGINIA                 </v>
      </c>
      <c r="E19849" t="str">
        <f>"HICKORY FLAT              "</f>
        <v xml:space="preserve">HICKORY FLAT              </v>
      </c>
      <c r="F19849" t="str">
        <f t="shared" si="474"/>
        <v>MS</v>
      </c>
    </row>
    <row r="19850" spans="1:6" x14ac:dyDescent="0.25">
      <c r="A19850" t="str">
        <f>"200024082"</f>
        <v>200024082</v>
      </c>
      <c r="B19850" t="str">
        <f>"1114286390"</f>
        <v>1114286390</v>
      </c>
      <c r="C19850" t="str">
        <f>"2085R0202X"</f>
        <v>2085R0202X</v>
      </c>
      <c r="D19850" t="str">
        <f>"MALAND                   DANIEL       W           "</f>
        <v xml:space="preserve">MALAND                   DANIEL       W           </v>
      </c>
      <c r="E19850" t="str">
        <f>"HATTIESBURG               "</f>
        <v xml:space="preserve">HATTIESBURG               </v>
      </c>
      <c r="F19850" t="str">
        <f t="shared" si="474"/>
        <v>MS</v>
      </c>
    </row>
    <row r="19851" spans="1:6" x14ac:dyDescent="0.25">
      <c r="A19851" t="str">
        <f>"200024086"</f>
        <v>200024086</v>
      </c>
      <c r="B19851" t="str">
        <f>"1083052252"</f>
        <v>1083052252</v>
      </c>
      <c r="C19851" t="str">
        <f>"207RC0000X"</f>
        <v>207RC0000X</v>
      </c>
      <c r="D19851" t="str">
        <f>"HARHASH                  AHMED                    "</f>
        <v xml:space="preserve">HARHASH                  AHMED                    </v>
      </c>
      <c r="E19851" t="str">
        <f>"HATTIESBURG               "</f>
        <v xml:space="preserve">HATTIESBURG               </v>
      </c>
      <c r="F19851" t="str">
        <f t="shared" si="474"/>
        <v>MS</v>
      </c>
    </row>
    <row r="19852" spans="1:6" x14ac:dyDescent="0.25">
      <c r="A19852" t="str">
        <f>"200024088"</f>
        <v>200024088</v>
      </c>
      <c r="B19852" t="str">
        <f>"1932430360"</f>
        <v>1932430360</v>
      </c>
      <c r="C19852" t="str">
        <f>"207RP1001X"</f>
        <v>207RP1001X</v>
      </c>
      <c r="D19852" t="str">
        <f>"UNTISZ                   JOHN                     "</f>
        <v xml:space="preserve">UNTISZ                   JOHN                     </v>
      </c>
      <c r="E19852" t="str">
        <f>"OCEAN SPRINGS             "</f>
        <v xml:space="preserve">OCEAN SPRINGS             </v>
      </c>
      <c r="F19852" t="str">
        <f t="shared" si="474"/>
        <v>MS</v>
      </c>
    </row>
    <row r="19853" spans="1:6" x14ac:dyDescent="0.25">
      <c r="A19853" t="str">
        <f>"200024098"</f>
        <v>200024098</v>
      </c>
      <c r="B19853" t="str">
        <f>"1326544800"</f>
        <v>1326544800</v>
      </c>
      <c r="C19853" t="str">
        <f>"363LF0000X"</f>
        <v>363LF0000X</v>
      </c>
      <c r="D19853" t="str">
        <f>"MCCLINTON                KIMBERLY                 "</f>
        <v xml:space="preserve">MCCLINTON                KIMBERLY                 </v>
      </c>
      <c r="E19853" t="str">
        <f>"BAY SAINT LOUIS           "</f>
        <v xml:space="preserve">BAY SAINT LOUIS           </v>
      </c>
      <c r="F19853" t="str">
        <f t="shared" si="474"/>
        <v>MS</v>
      </c>
    </row>
    <row r="19854" spans="1:6" x14ac:dyDescent="0.25">
      <c r="A19854" t="str">
        <f>"200024099"</f>
        <v>200024099</v>
      </c>
      <c r="B19854" t="str">
        <f>"1881954501"</f>
        <v>1881954501</v>
      </c>
      <c r="C19854" t="str">
        <f>"2085R0202X"</f>
        <v>2085R0202X</v>
      </c>
      <c r="D19854" t="str">
        <f>"THEISEN                  JEREMY       D           "</f>
        <v xml:space="preserve">THEISEN                  JEREMY       D           </v>
      </c>
      <c r="E19854" t="str">
        <f>"MERIDIAN                  "</f>
        <v xml:space="preserve">MERIDIAN                  </v>
      </c>
      <c r="F19854" t="str">
        <f t="shared" si="474"/>
        <v>MS</v>
      </c>
    </row>
    <row r="19855" spans="1:6" x14ac:dyDescent="0.25">
      <c r="A19855" t="str">
        <f>"200024104"</f>
        <v>200024104</v>
      </c>
      <c r="B19855" t="str">
        <f>"1003055617"</f>
        <v>1003055617</v>
      </c>
      <c r="C19855" t="str">
        <f>"363LF0000X"</f>
        <v>363LF0000X</v>
      </c>
      <c r="D19855" t="str">
        <f>"GEORGE                   RACHEL                   "</f>
        <v xml:space="preserve">GEORGE                   RACHEL                   </v>
      </c>
      <c r="E19855" t="str">
        <f>"RIDGELAND                 "</f>
        <v xml:space="preserve">RIDGELAND                 </v>
      </c>
      <c r="F19855" t="str">
        <f t="shared" si="474"/>
        <v>MS</v>
      </c>
    </row>
    <row r="19856" spans="1:6" x14ac:dyDescent="0.25">
      <c r="A19856" t="str">
        <f>"200024107"</f>
        <v>200024107</v>
      </c>
      <c r="B19856" t="str">
        <f>"1720387269"</f>
        <v>1720387269</v>
      </c>
      <c r="C19856" t="str">
        <f>"207RC0000X"</f>
        <v>207RC0000X</v>
      </c>
      <c r="D19856" t="str">
        <f>"DUNBAR                   ANJORI                   "</f>
        <v xml:space="preserve">DUNBAR                   ANJORI                   </v>
      </c>
      <c r="E19856" t="str">
        <f>"GULFPORT                  "</f>
        <v xml:space="preserve">GULFPORT                  </v>
      </c>
      <c r="F19856" t="str">
        <f t="shared" si="474"/>
        <v>MS</v>
      </c>
    </row>
    <row r="19857" spans="1:6" x14ac:dyDescent="0.25">
      <c r="A19857" t="str">
        <f>"200024111"</f>
        <v>200024111</v>
      </c>
      <c r="B19857" t="str">
        <f>"1760213235"</f>
        <v>1760213235</v>
      </c>
      <c r="C19857" t="str">
        <f>"363LP0808X"</f>
        <v>363LP0808X</v>
      </c>
      <c r="D19857" t="str">
        <f>"MOULARD                  KEM                      "</f>
        <v xml:space="preserve">MOULARD                  KEM                      </v>
      </c>
      <c r="E19857" t="str">
        <f>"NATCHEZ                   "</f>
        <v xml:space="preserve">NATCHEZ                   </v>
      </c>
      <c r="F19857" t="str">
        <f t="shared" si="474"/>
        <v>MS</v>
      </c>
    </row>
    <row r="19858" spans="1:6" x14ac:dyDescent="0.25">
      <c r="A19858" t="str">
        <f>"200024117"</f>
        <v>200024117</v>
      </c>
      <c r="B19858" t="str">
        <f>"1922702133"</f>
        <v>1922702133</v>
      </c>
      <c r="C19858" t="str">
        <f>"207P00000X"</f>
        <v>207P00000X</v>
      </c>
      <c r="D19858" t="str">
        <f>"HEATH                    WILSON                   "</f>
        <v xml:space="preserve">HEATH                    WILSON                   </v>
      </c>
      <c r="E19858" t="str">
        <f>"YAZOO CITY                "</f>
        <v xml:space="preserve">YAZOO CITY                </v>
      </c>
      <c r="F19858" t="str">
        <f t="shared" si="474"/>
        <v>MS</v>
      </c>
    </row>
    <row r="19859" spans="1:6" x14ac:dyDescent="0.25">
      <c r="A19859" t="str">
        <f>"200024123"</f>
        <v>200024123</v>
      </c>
      <c r="B19859" t="str">
        <f>"1053724120"</f>
        <v>1053724120</v>
      </c>
      <c r="C19859" t="str">
        <f>"1223G0001X"</f>
        <v>1223G0001X</v>
      </c>
      <c r="D19859" t="str">
        <f>"KHANUM                   SHAMINA                  "</f>
        <v xml:space="preserve">KHANUM                   SHAMINA                  </v>
      </c>
      <c r="E19859" t="str">
        <f>"MOUND BAYOU               "</f>
        <v xml:space="preserve">MOUND BAYOU               </v>
      </c>
      <c r="F19859" t="str">
        <f t="shared" si="474"/>
        <v>MS</v>
      </c>
    </row>
    <row r="19860" spans="1:6" x14ac:dyDescent="0.25">
      <c r="A19860" t="str">
        <f>"200024129"</f>
        <v>200024129</v>
      </c>
      <c r="B19860" t="str">
        <f>"1841753084"</f>
        <v>1841753084</v>
      </c>
      <c r="C19860" t="str">
        <f>"208M00000X"</f>
        <v>208M00000X</v>
      </c>
      <c r="D19860" t="str">
        <f>"FARES                    SERAG        B           "</f>
        <v xml:space="preserve">FARES                    SERAG        B           </v>
      </c>
      <c r="E19860" t="str">
        <f>"HATTIESBURG               "</f>
        <v xml:space="preserve">HATTIESBURG               </v>
      </c>
      <c r="F19860" t="str">
        <f t="shared" si="474"/>
        <v>MS</v>
      </c>
    </row>
    <row r="19861" spans="1:6" x14ac:dyDescent="0.25">
      <c r="A19861" t="str">
        <f>"200024130"</f>
        <v>200024130</v>
      </c>
      <c r="B19861" t="str">
        <f>"1285519637"</f>
        <v>1285519637</v>
      </c>
      <c r="C19861" t="str">
        <f>"363LF0000X"</f>
        <v>363LF0000X</v>
      </c>
      <c r="D19861" t="str">
        <f>"ELKINS                   STACEY                   "</f>
        <v xml:space="preserve">ELKINS                   STACEY                   </v>
      </c>
      <c r="E19861" t="str">
        <f>"KILMICHAEL                "</f>
        <v xml:space="preserve">KILMICHAEL                </v>
      </c>
      <c r="F19861" t="str">
        <f t="shared" si="474"/>
        <v>MS</v>
      </c>
    </row>
    <row r="19862" spans="1:6" x14ac:dyDescent="0.25">
      <c r="A19862" t="str">
        <f>"200024134"</f>
        <v>200024134</v>
      </c>
      <c r="B19862" t="str">
        <f>"1356977557"</f>
        <v>1356977557</v>
      </c>
      <c r="C19862" t="str">
        <f>"363L00000X"</f>
        <v>363L00000X</v>
      </c>
      <c r="D19862" t="str">
        <f>"SHARMA                   POOJA                    "</f>
        <v xml:space="preserve">SHARMA                   POOJA                    </v>
      </c>
      <c r="E19862" t="str">
        <f>"VANCLEAVE                 "</f>
        <v xml:space="preserve">VANCLEAVE                 </v>
      </c>
      <c r="F19862" t="str">
        <f t="shared" si="474"/>
        <v>MS</v>
      </c>
    </row>
    <row r="19863" spans="1:6" x14ac:dyDescent="0.25">
      <c r="A19863" t="str">
        <f>"200024139"</f>
        <v>200024139</v>
      </c>
      <c r="B19863" t="str">
        <f>"1104502798"</f>
        <v>1104502798</v>
      </c>
      <c r="C19863" t="str">
        <f>"363A00000X"</f>
        <v>363A00000X</v>
      </c>
      <c r="D19863" t="str">
        <f>"VAYDA                    PAMELA                   "</f>
        <v xml:space="preserve">VAYDA                    PAMELA                   </v>
      </c>
      <c r="E19863" t="str">
        <f>"WAYNESBORO                "</f>
        <v xml:space="preserve">WAYNESBORO                </v>
      </c>
      <c r="F19863" t="str">
        <f t="shared" si="474"/>
        <v>MS</v>
      </c>
    </row>
    <row r="19864" spans="1:6" x14ac:dyDescent="0.25">
      <c r="A19864" t="str">
        <f>"200024141"</f>
        <v>200024141</v>
      </c>
      <c r="B19864" t="str">
        <f>"1811877905"</f>
        <v>1811877905</v>
      </c>
      <c r="C19864" t="str">
        <f>"363LF0000X"</f>
        <v>363LF0000X</v>
      </c>
      <c r="D19864" t="str">
        <f>"WOOD                     RAQUEL                   "</f>
        <v xml:space="preserve">WOOD                     RAQUEL                   </v>
      </c>
      <c r="E19864" t="str">
        <f>"LAUREL                    "</f>
        <v xml:space="preserve">LAUREL                    </v>
      </c>
      <c r="F19864" t="str">
        <f t="shared" si="474"/>
        <v>MS</v>
      </c>
    </row>
    <row r="19865" spans="1:6" x14ac:dyDescent="0.25">
      <c r="A19865" t="str">
        <f>"200024142"</f>
        <v>200024142</v>
      </c>
      <c r="B19865" t="str">
        <f>"1962024778"</f>
        <v>1962024778</v>
      </c>
      <c r="C19865" t="str">
        <f>"207R00000X"</f>
        <v>207R00000X</v>
      </c>
      <c r="D19865" t="str">
        <f>"MOORTHY                  SHANU        P           "</f>
        <v xml:space="preserve">MOORTHY                  SHANU        P           </v>
      </c>
      <c r="E19865" t="str">
        <f>"FLOWOOD                   "</f>
        <v xml:space="preserve">FLOWOOD                   </v>
      </c>
      <c r="F19865" t="str">
        <f t="shared" si="474"/>
        <v>MS</v>
      </c>
    </row>
    <row r="19866" spans="1:6" x14ac:dyDescent="0.25">
      <c r="A19866" t="str">
        <f>"200024146"</f>
        <v>200024146</v>
      </c>
      <c r="B19866" t="str">
        <f>"1225234446"</f>
        <v>1225234446</v>
      </c>
      <c r="C19866" t="str">
        <f>"207L00000X"</f>
        <v>207L00000X</v>
      </c>
      <c r="D19866" t="str">
        <f>"COLEMAN                  LEE                      "</f>
        <v xml:space="preserve">COLEMAN                  LEE                      </v>
      </c>
      <c r="E19866" t="str">
        <f>"OLIVE BRANCH              "</f>
        <v xml:space="preserve">OLIVE BRANCH              </v>
      </c>
      <c r="F19866" t="str">
        <f t="shared" si="474"/>
        <v>MS</v>
      </c>
    </row>
    <row r="19867" spans="1:6" x14ac:dyDescent="0.25">
      <c r="A19867" t="str">
        <f>"200024149"</f>
        <v>200024149</v>
      </c>
      <c r="B19867" t="str">
        <f>"1447057138"</f>
        <v>1447057138</v>
      </c>
      <c r="C19867" t="str">
        <f>"1223G0001X"</f>
        <v>1223G0001X</v>
      </c>
      <c r="D19867" t="str">
        <f>"DENTISTRYONE OF MISSISSIPPI PC                    "</f>
        <v xml:space="preserve">DENTISTRYONE OF MISSISSIPPI PC                    </v>
      </c>
      <c r="E19867" t="str">
        <f>"HATTIESBURG               "</f>
        <v xml:space="preserve">HATTIESBURG               </v>
      </c>
      <c r="F19867" t="str">
        <f t="shared" si="474"/>
        <v>MS</v>
      </c>
    </row>
    <row r="19868" spans="1:6" x14ac:dyDescent="0.25">
      <c r="A19868" t="str">
        <f>"200024157"</f>
        <v>200024157</v>
      </c>
      <c r="B19868" t="str">
        <f>"1396196879"</f>
        <v>1396196879</v>
      </c>
      <c r="C19868" t="str">
        <f>"261QM0801X"</f>
        <v>261QM0801X</v>
      </c>
      <c r="D19868" t="str">
        <f>"MISSISSIPPI BEHAVIORAL HEALTH SERVICES, LLC       "</f>
        <v xml:space="preserve">MISSISSIPPI BEHAVIORAL HEALTH SERVICES, LLC       </v>
      </c>
      <c r="E19868" t="str">
        <f>"VICKSBURG                 "</f>
        <v xml:space="preserve">VICKSBURG                 </v>
      </c>
      <c r="F19868" t="str">
        <f t="shared" si="474"/>
        <v>MS</v>
      </c>
    </row>
    <row r="19869" spans="1:6" x14ac:dyDescent="0.25">
      <c r="A19869" t="str">
        <f>"200024159"</f>
        <v>200024159</v>
      </c>
      <c r="B19869" t="str">
        <f>"1033950217"</f>
        <v>1033950217</v>
      </c>
      <c r="C19869" t="str">
        <f>"363LF0000X"</f>
        <v>363LF0000X</v>
      </c>
      <c r="D19869" t="str">
        <f>"FRAZIER                  JERRICA                  "</f>
        <v xml:space="preserve">FRAZIER                  JERRICA                  </v>
      </c>
      <c r="E19869" t="str">
        <f>"HEIDELBERG                "</f>
        <v xml:space="preserve">HEIDELBERG                </v>
      </c>
      <c r="F19869" t="str">
        <f t="shared" si="474"/>
        <v>MS</v>
      </c>
    </row>
    <row r="19870" spans="1:6" x14ac:dyDescent="0.25">
      <c r="A19870" t="str">
        <f>"200024166"</f>
        <v>200024166</v>
      </c>
      <c r="B19870" t="str">
        <f>"1861913261"</f>
        <v>1861913261</v>
      </c>
      <c r="C19870" t="str">
        <f>"363LF0000X"</f>
        <v>363LF0000X</v>
      </c>
      <c r="D19870" t="str">
        <f>"UPPERMAN                 DANNI                    "</f>
        <v xml:space="preserve">UPPERMAN                 DANNI                    </v>
      </c>
      <c r="E19870" t="str">
        <f>"WAYNESBORO                "</f>
        <v xml:space="preserve">WAYNESBORO                </v>
      </c>
      <c r="F19870" t="str">
        <f t="shared" si="474"/>
        <v>MS</v>
      </c>
    </row>
    <row r="19871" spans="1:6" x14ac:dyDescent="0.25">
      <c r="A19871" t="str">
        <f>"200024168"</f>
        <v>200024168</v>
      </c>
      <c r="B19871" t="str">
        <f>"1194536201"</f>
        <v>1194536201</v>
      </c>
      <c r="C19871" t="str">
        <f>"261QA1903X"</f>
        <v>261QA1903X</v>
      </c>
      <c r="D19871" t="str">
        <f>"MERIDIAN ORTHOPAEDIC SURGERY CENTER, LLC          "</f>
        <v xml:space="preserve">MERIDIAN ORTHOPAEDIC SURGERY CENTER, LLC          </v>
      </c>
      <c r="E19871" t="str">
        <f>"MERIDIAN                  "</f>
        <v xml:space="preserve">MERIDIAN                  </v>
      </c>
      <c r="F19871" t="str">
        <f t="shared" si="474"/>
        <v>MS</v>
      </c>
    </row>
    <row r="19872" spans="1:6" x14ac:dyDescent="0.25">
      <c r="A19872" t="str">
        <f>"200024173"</f>
        <v>200024173</v>
      </c>
      <c r="B19872" t="str">
        <f>"1710913801"</f>
        <v>1710913801</v>
      </c>
      <c r="C19872" t="str">
        <f>"207P00000X"</f>
        <v>207P00000X</v>
      </c>
      <c r="D19872" t="str">
        <f>"BROWN                    BEVERLY                  "</f>
        <v xml:space="preserve">BROWN                    BEVERLY                  </v>
      </c>
      <c r="E19872" t="str">
        <f>"ABERDEEN                  "</f>
        <v xml:space="preserve">ABERDEEN                  </v>
      </c>
      <c r="F19872" t="str">
        <f t="shared" si="474"/>
        <v>MS</v>
      </c>
    </row>
    <row r="19873" spans="1:6" x14ac:dyDescent="0.25">
      <c r="A19873" t="str">
        <f>"200024177"</f>
        <v>200024177</v>
      </c>
      <c r="B19873" t="str">
        <f>"1730705716"</f>
        <v>1730705716</v>
      </c>
      <c r="C19873" t="str">
        <f>"152W00000X"</f>
        <v>152W00000X</v>
      </c>
      <c r="D19873" t="str">
        <f>"GOVAN                    ANNIE                    "</f>
        <v xml:space="preserve">GOVAN                    ANNIE                    </v>
      </c>
      <c r="E19873" t="str">
        <f>"SOUTHAVEN                 "</f>
        <v xml:space="preserve">SOUTHAVEN                 </v>
      </c>
      <c r="F19873" t="str">
        <f t="shared" si="474"/>
        <v>MS</v>
      </c>
    </row>
    <row r="19874" spans="1:6" x14ac:dyDescent="0.25">
      <c r="A19874" t="str">
        <f>"200024179"</f>
        <v>200024179</v>
      </c>
      <c r="B19874" t="str">
        <f>"1447706379"</f>
        <v>1447706379</v>
      </c>
      <c r="C19874" t="str">
        <f>"363LF0000X"</f>
        <v>363LF0000X</v>
      </c>
      <c r="D19874" t="str">
        <f>"HAWKINS                  GERALDINE                "</f>
        <v xml:space="preserve">HAWKINS                  GERALDINE                </v>
      </c>
      <c r="E19874" t="str">
        <f>"RIDGELAND                 "</f>
        <v xml:space="preserve">RIDGELAND                 </v>
      </c>
      <c r="F19874" t="str">
        <f t="shared" si="474"/>
        <v>MS</v>
      </c>
    </row>
    <row r="19875" spans="1:6" x14ac:dyDescent="0.25">
      <c r="A19875" t="str">
        <f>"200024180"</f>
        <v>200024180</v>
      </c>
      <c r="B19875" t="str">
        <f>"1386006419"</f>
        <v>1386006419</v>
      </c>
      <c r="C19875" t="str">
        <f>"2085R0202X"</f>
        <v>2085R0202X</v>
      </c>
      <c r="D19875" t="str">
        <f>"OLSEN                    ERIK         N           "</f>
        <v xml:space="preserve">OLSEN                    ERIK         N           </v>
      </c>
      <c r="E19875" t="str">
        <f>"MERIDIAN                  "</f>
        <v xml:space="preserve">MERIDIAN                  </v>
      </c>
      <c r="F19875" t="str">
        <f t="shared" si="474"/>
        <v>MS</v>
      </c>
    </row>
    <row r="19876" spans="1:6" x14ac:dyDescent="0.25">
      <c r="A19876" t="str">
        <f>"200024182"</f>
        <v>200024182</v>
      </c>
      <c r="B19876" t="str">
        <f>"          "</f>
        <v xml:space="preserve">          </v>
      </c>
      <c r="C19876" t="str">
        <f>"363LF0000X"</f>
        <v>363LF0000X</v>
      </c>
      <c r="D19876" t="str">
        <f>"LEWIS                    FRANCES                  "</f>
        <v xml:space="preserve">LEWIS                    FRANCES                  </v>
      </c>
      <c r="E19876" t="str">
        <f>"BRANDON                   "</f>
        <v xml:space="preserve">BRANDON                   </v>
      </c>
      <c r="F19876" t="str">
        <f t="shared" si="474"/>
        <v>MS</v>
      </c>
    </row>
    <row r="19877" spans="1:6" x14ac:dyDescent="0.25">
      <c r="A19877" t="str">
        <f>"200024188"</f>
        <v>200024188</v>
      </c>
      <c r="B19877" t="str">
        <f>"1114389541"</f>
        <v>1114389541</v>
      </c>
      <c r="C19877" t="str">
        <f>"207Q00000X"</f>
        <v>207Q00000X</v>
      </c>
      <c r="D19877" t="str">
        <f>"WELCH                    JO'EL                    "</f>
        <v xml:space="preserve">WELCH                    JO'EL                    </v>
      </c>
      <c r="E19877" t="str">
        <f>"OLIVE BRANCH              "</f>
        <v xml:space="preserve">OLIVE BRANCH              </v>
      </c>
      <c r="F19877" t="str">
        <f t="shared" si="474"/>
        <v>MS</v>
      </c>
    </row>
    <row r="19878" spans="1:6" x14ac:dyDescent="0.25">
      <c r="A19878" t="str">
        <f>"200024193"</f>
        <v>200024193</v>
      </c>
      <c r="B19878" t="str">
        <f>"1740016773"</f>
        <v>1740016773</v>
      </c>
      <c r="C19878" t="str">
        <f>"363LF0000X"</f>
        <v>363LF0000X</v>
      </c>
      <c r="D19878" t="str">
        <f>"MONTGOMERY               BRANDY                   "</f>
        <v xml:space="preserve">MONTGOMERY               BRANDY                   </v>
      </c>
      <c r="E19878" t="str">
        <f>"VICKSBURG                 "</f>
        <v xml:space="preserve">VICKSBURG                 </v>
      </c>
      <c r="F19878" t="str">
        <f t="shared" si="474"/>
        <v>MS</v>
      </c>
    </row>
    <row r="19879" spans="1:6" x14ac:dyDescent="0.25">
      <c r="A19879" t="str">
        <f>"200024194"</f>
        <v>200024194</v>
      </c>
      <c r="B19879" t="str">
        <f>"1457557118"</f>
        <v>1457557118</v>
      </c>
      <c r="C19879" t="str">
        <f>"207L00000X"</f>
        <v>207L00000X</v>
      </c>
      <c r="D19879" t="str">
        <f>"QUEEN                    AARIC        L           "</f>
        <v xml:space="preserve">QUEEN                    AARIC        L           </v>
      </c>
      <c r="E19879" t="str">
        <f>"MCCOMB                    "</f>
        <v xml:space="preserve">MCCOMB                    </v>
      </c>
      <c r="F19879" t="str">
        <f t="shared" si="474"/>
        <v>MS</v>
      </c>
    </row>
    <row r="19880" spans="1:6" x14ac:dyDescent="0.25">
      <c r="A19880" t="str">
        <f>"200024196"</f>
        <v>200024196</v>
      </c>
      <c r="B19880" t="str">
        <f>"1811558455"</f>
        <v>1811558455</v>
      </c>
      <c r="C19880" t="str">
        <f>"363L00000X"</f>
        <v>363L00000X</v>
      </c>
      <c r="D19880" t="str">
        <f>"LOWE                     KATRICE                  "</f>
        <v xml:space="preserve">LOWE                     KATRICE                  </v>
      </c>
      <c r="E19880" t="str">
        <f>"BILOXI                    "</f>
        <v xml:space="preserve">BILOXI                    </v>
      </c>
      <c r="F19880" t="str">
        <f t="shared" si="474"/>
        <v>MS</v>
      </c>
    </row>
    <row r="19881" spans="1:6" x14ac:dyDescent="0.25">
      <c r="A19881" t="str">
        <f>"200024205"</f>
        <v>200024205</v>
      </c>
      <c r="B19881" t="str">
        <f>"1467981647"</f>
        <v>1467981647</v>
      </c>
      <c r="C19881" t="str">
        <f>"207X00000X"</f>
        <v>207X00000X</v>
      </c>
      <c r="D19881" t="str">
        <f>"ACKERMAN                 COLIN                    "</f>
        <v xml:space="preserve">ACKERMAN                 COLIN                    </v>
      </c>
      <c r="E19881" t="str">
        <f>"SOUTHAVEN                 "</f>
        <v xml:space="preserve">SOUTHAVEN                 </v>
      </c>
      <c r="F19881" t="str">
        <f t="shared" si="474"/>
        <v>MS</v>
      </c>
    </row>
    <row r="19882" spans="1:6" x14ac:dyDescent="0.25">
      <c r="A19882" t="str">
        <f>"200024209"</f>
        <v>200024209</v>
      </c>
      <c r="B19882" t="str">
        <f>"1235581513"</f>
        <v>1235581513</v>
      </c>
      <c r="C19882" t="str">
        <f>"363LF0000X"</f>
        <v>363LF0000X</v>
      </c>
      <c r="D19882" t="str">
        <f>"COULSON                  MELISSA      B           "</f>
        <v xml:space="preserve">COULSON                  MELISSA      B           </v>
      </c>
      <c r="E19882" t="str">
        <f>"MENDENHALL                "</f>
        <v xml:space="preserve">MENDENHALL                </v>
      </c>
      <c r="F19882" t="str">
        <f t="shared" si="474"/>
        <v>MS</v>
      </c>
    </row>
    <row r="19883" spans="1:6" x14ac:dyDescent="0.25">
      <c r="A19883" t="str">
        <f>"200024212"</f>
        <v>200024212</v>
      </c>
      <c r="B19883" t="str">
        <f>"1730341751"</f>
        <v>1730341751</v>
      </c>
      <c r="C19883" t="str">
        <f>"2085R0202X"</f>
        <v>2085R0202X</v>
      </c>
      <c r="D19883" t="str">
        <f>"PLOTZ                    ZACHARY      J           "</f>
        <v xml:space="preserve">PLOTZ                    ZACHARY      J           </v>
      </c>
      <c r="E19883" t="str">
        <f>"MERIDIAN                  "</f>
        <v xml:space="preserve">MERIDIAN                  </v>
      </c>
      <c r="F19883" t="str">
        <f t="shared" si="474"/>
        <v>MS</v>
      </c>
    </row>
    <row r="19884" spans="1:6" x14ac:dyDescent="0.25">
      <c r="A19884" t="str">
        <f>"200024220"</f>
        <v>200024220</v>
      </c>
      <c r="B19884" t="str">
        <f>"1417770876"</f>
        <v>1417770876</v>
      </c>
      <c r="C19884" t="str">
        <f>"363LF0000X"</f>
        <v>363LF0000X</v>
      </c>
      <c r="D19884" t="str">
        <f>"JOHNSON                  YAMINAH      K           "</f>
        <v xml:space="preserve">JOHNSON                  YAMINAH      K           </v>
      </c>
      <c r="E19884" t="str">
        <f>"BROOKHAVEN                "</f>
        <v xml:space="preserve">BROOKHAVEN                </v>
      </c>
      <c r="F19884" t="str">
        <f t="shared" si="474"/>
        <v>MS</v>
      </c>
    </row>
    <row r="19885" spans="1:6" x14ac:dyDescent="0.25">
      <c r="A19885" t="str">
        <f>"200024221"</f>
        <v>200024221</v>
      </c>
      <c r="B19885" t="str">
        <f>"1447814595"</f>
        <v>1447814595</v>
      </c>
      <c r="C19885" t="str">
        <f>"207R00000X"</f>
        <v>207R00000X</v>
      </c>
      <c r="D19885" t="str">
        <f>"HUAYANAY ESPINOZA        IRMA         E           "</f>
        <v xml:space="preserve">HUAYANAY ESPINOZA        IRMA         E           </v>
      </c>
      <c r="E19885" t="str">
        <f>"HATTIESBURG               "</f>
        <v xml:space="preserve">HATTIESBURG               </v>
      </c>
      <c r="F19885" t="str">
        <f t="shared" si="474"/>
        <v>MS</v>
      </c>
    </row>
    <row r="19886" spans="1:6" x14ac:dyDescent="0.25">
      <c r="A19886" t="str">
        <f>"200024222"</f>
        <v>200024222</v>
      </c>
      <c r="B19886" t="str">
        <f>"1124559976"</f>
        <v>1124559976</v>
      </c>
      <c r="C19886" t="str">
        <f>"261QM1300X"</f>
        <v>261QM1300X</v>
      </c>
      <c r="D19886" t="str">
        <f>"BILOXI TREATMENT CENTER                           "</f>
        <v xml:space="preserve">BILOXI TREATMENT CENTER                           </v>
      </c>
      <c r="E19886" t="str">
        <f>"BILOXI                    "</f>
        <v xml:space="preserve">BILOXI                    </v>
      </c>
      <c r="F19886" t="str">
        <f t="shared" si="474"/>
        <v>MS</v>
      </c>
    </row>
    <row r="19887" spans="1:6" x14ac:dyDescent="0.25">
      <c r="A19887" t="str">
        <f>"200024226"</f>
        <v>200024226</v>
      </c>
      <c r="B19887" t="str">
        <f>"1194385112"</f>
        <v>1194385112</v>
      </c>
      <c r="C19887" t="str">
        <f>"363LW0102X"</f>
        <v>363LW0102X</v>
      </c>
      <c r="D19887" t="str">
        <f>"GRIFFIN                  JASMA                    "</f>
        <v xml:space="preserve">GRIFFIN                  JASMA                    </v>
      </c>
      <c r="E19887" t="str">
        <f>"RIDGELAND                 "</f>
        <v xml:space="preserve">RIDGELAND                 </v>
      </c>
      <c r="F19887" t="str">
        <f t="shared" si="474"/>
        <v>MS</v>
      </c>
    </row>
    <row r="19888" spans="1:6" x14ac:dyDescent="0.25">
      <c r="A19888" t="str">
        <f>"200024238"</f>
        <v>200024238</v>
      </c>
      <c r="B19888" t="str">
        <f>"1083118277"</f>
        <v>1083118277</v>
      </c>
      <c r="C19888" t="str">
        <f>"207Q00000X"</f>
        <v>207Q00000X</v>
      </c>
      <c r="D19888" t="str">
        <f>"BENEFIELD                ANA-MARIE                "</f>
        <v xml:space="preserve">BENEFIELD                ANA-MARIE                </v>
      </c>
      <c r="E19888" t="str">
        <f>"OXFORD                    "</f>
        <v xml:space="preserve">OXFORD                    </v>
      </c>
      <c r="F19888" t="str">
        <f t="shared" si="474"/>
        <v>MS</v>
      </c>
    </row>
    <row r="19889" spans="1:6" x14ac:dyDescent="0.25">
      <c r="A19889" t="str">
        <f>"200024249"</f>
        <v>200024249</v>
      </c>
      <c r="B19889" t="str">
        <f>"1104655851"</f>
        <v>1104655851</v>
      </c>
      <c r="C19889" t="str">
        <f>"363A00000X"</f>
        <v>363A00000X</v>
      </c>
      <c r="D19889" t="str">
        <f>"HALL                     KYNDALL                  "</f>
        <v xml:space="preserve">HALL                     KYNDALL                  </v>
      </c>
      <c r="E19889" t="str">
        <f>"TUPELO                    "</f>
        <v xml:space="preserve">TUPELO                    </v>
      </c>
      <c r="F19889" t="str">
        <f t="shared" si="474"/>
        <v>MS</v>
      </c>
    </row>
    <row r="19890" spans="1:6" x14ac:dyDescent="0.25">
      <c r="A19890" t="str">
        <f>"200024268"</f>
        <v>200024268</v>
      </c>
      <c r="B19890" t="str">
        <f>"1821535113"</f>
        <v>1821535113</v>
      </c>
      <c r="C19890" t="str">
        <f>"363A00000X"</f>
        <v>363A00000X</v>
      </c>
      <c r="D19890" t="str">
        <f>"SHUFELT                  JOSH                     "</f>
        <v xml:space="preserve">SHUFELT                  JOSH                     </v>
      </c>
      <c r="E19890" t="str">
        <f>"JACKSON                   "</f>
        <v xml:space="preserve">JACKSON                   </v>
      </c>
      <c r="F19890" t="str">
        <f t="shared" si="474"/>
        <v>MS</v>
      </c>
    </row>
    <row r="19891" spans="1:6" x14ac:dyDescent="0.25">
      <c r="A19891" t="str">
        <f>"200024269"</f>
        <v>200024269</v>
      </c>
      <c r="B19891" t="str">
        <f>"1811200629"</f>
        <v>1811200629</v>
      </c>
      <c r="C19891" t="str">
        <f>"207R00000X"</f>
        <v>207R00000X</v>
      </c>
      <c r="D19891" t="str">
        <f>"BHATTACHARJEE            POUSHALI                 "</f>
        <v xml:space="preserve">BHATTACHARJEE            POUSHALI                 </v>
      </c>
      <c r="E19891" t="str">
        <f>"MADISON                   "</f>
        <v xml:space="preserve">MADISON                   </v>
      </c>
      <c r="F19891" t="str">
        <f t="shared" si="474"/>
        <v>MS</v>
      </c>
    </row>
    <row r="19892" spans="1:6" x14ac:dyDescent="0.25">
      <c r="A19892" t="str">
        <f>"200024275"</f>
        <v>200024275</v>
      </c>
      <c r="B19892" t="str">
        <f>"1285510727"</f>
        <v>1285510727</v>
      </c>
      <c r="C19892" t="str">
        <f>"363LF0000X"</f>
        <v>363LF0000X</v>
      </c>
      <c r="D19892" t="str">
        <f>"REDDING                  KENDRA                   "</f>
        <v xml:space="preserve">REDDING                  KENDRA                   </v>
      </c>
      <c r="E19892" t="str">
        <f>"CLINTON                   "</f>
        <v xml:space="preserve">CLINTON                   </v>
      </c>
      <c r="F19892" t="str">
        <f t="shared" si="474"/>
        <v>MS</v>
      </c>
    </row>
    <row r="19893" spans="1:6" x14ac:dyDescent="0.25">
      <c r="A19893" t="str">
        <f>"200024278"</f>
        <v>200024278</v>
      </c>
      <c r="B19893" t="str">
        <f>"1518603745"</f>
        <v>1518603745</v>
      </c>
      <c r="C19893" t="str">
        <f>"261QA1903X"</f>
        <v>261QA1903X</v>
      </c>
      <c r="D19893" t="str">
        <f>"GREENVILLE AMBULATORY SURGERY CENTER LLC          "</f>
        <v xml:space="preserve">GREENVILLE AMBULATORY SURGERY CENTER LLC          </v>
      </c>
      <c r="E19893" t="str">
        <f>"GREENVILLE                "</f>
        <v xml:space="preserve">GREENVILLE                </v>
      </c>
      <c r="F19893" t="str">
        <f t="shared" si="474"/>
        <v>MS</v>
      </c>
    </row>
    <row r="19894" spans="1:6" x14ac:dyDescent="0.25">
      <c r="A19894" t="str">
        <f>"200024282"</f>
        <v>200024282</v>
      </c>
      <c r="B19894" t="str">
        <f>"1437192119"</f>
        <v>1437192119</v>
      </c>
      <c r="C19894" t="str">
        <f>"207P00000X"</f>
        <v>207P00000X</v>
      </c>
      <c r="D19894" t="str">
        <f>"MARBLE                   BENJAMIN                 "</f>
        <v xml:space="preserve">MARBLE                   BENJAMIN                 </v>
      </c>
      <c r="E19894" t="str">
        <f>"HAZLEHURST                "</f>
        <v xml:space="preserve">HAZLEHURST                </v>
      </c>
      <c r="F19894" t="str">
        <f t="shared" si="474"/>
        <v>MS</v>
      </c>
    </row>
    <row r="19895" spans="1:6" x14ac:dyDescent="0.25">
      <c r="A19895" t="str">
        <f>"200024288"</f>
        <v>200024288</v>
      </c>
      <c r="B19895" t="str">
        <f>"1043509151"</f>
        <v>1043509151</v>
      </c>
      <c r="C19895" t="str">
        <f>"2085R0202X"</f>
        <v>2085R0202X</v>
      </c>
      <c r="D19895" t="str">
        <f>"YU                       HEI SHUN                 "</f>
        <v xml:space="preserve">YU                       HEI SHUN                 </v>
      </c>
      <c r="E19895" t="str">
        <f>"HATTIESBURG               "</f>
        <v xml:space="preserve">HATTIESBURG               </v>
      </c>
      <c r="F19895" t="str">
        <f t="shared" si="474"/>
        <v>MS</v>
      </c>
    </row>
    <row r="19896" spans="1:6" x14ac:dyDescent="0.25">
      <c r="A19896" t="str">
        <f>"200024290"</f>
        <v>200024290</v>
      </c>
      <c r="B19896" t="str">
        <f>"1093979528"</f>
        <v>1093979528</v>
      </c>
      <c r="C19896" t="str">
        <f>"207Q00000X"</f>
        <v>207Q00000X</v>
      </c>
      <c r="D19896" t="str">
        <f>"CAREWE                   ADAM                     "</f>
        <v xml:space="preserve">CAREWE                   ADAM                     </v>
      </c>
      <c r="E19896" t="str">
        <f>"MADISON                   "</f>
        <v xml:space="preserve">MADISON                   </v>
      </c>
      <c r="F19896" t="str">
        <f t="shared" si="474"/>
        <v>MS</v>
      </c>
    </row>
    <row r="19897" spans="1:6" x14ac:dyDescent="0.25">
      <c r="A19897" t="str">
        <f>"200024295"</f>
        <v>200024295</v>
      </c>
      <c r="B19897" t="str">
        <f>"1073176723"</f>
        <v>1073176723</v>
      </c>
      <c r="C19897" t="str">
        <f>"207P00000X"</f>
        <v>207P00000X</v>
      </c>
      <c r="D19897" t="str">
        <f>"LYNCH                    FREDERICK                "</f>
        <v xml:space="preserve">LYNCH                    FREDERICK                </v>
      </c>
      <c r="E19897" t="str">
        <f>"MADISON                   "</f>
        <v xml:space="preserve">MADISON                   </v>
      </c>
      <c r="F19897" t="str">
        <f t="shared" si="474"/>
        <v>MS</v>
      </c>
    </row>
    <row r="19898" spans="1:6" x14ac:dyDescent="0.25">
      <c r="A19898" t="str">
        <f>"200024298"</f>
        <v>200024298</v>
      </c>
      <c r="B19898" t="str">
        <f>"1457706913"</f>
        <v>1457706913</v>
      </c>
      <c r="C19898" t="str">
        <f>"363LF0000X"</f>
        <v>363LF0000X</v>
      </c>
      <c r="D19898" t="str">
        <f>"ROBERTS                  DANA                     "</f>
        <v xml:space="preserve">ROBERTS                  DANA                     </v>
      </c>
      <c r="E19898" t="str">
        <f>"MADISON                   "</f>
        <v xml:space="preserve">MADISON                   </v>
      </c>
      <c r="F19898" t="str">
        <f t="shared" si="474"/>
        <v>MS</v>
      </c>
    </row>
    <row r="19899" spans="1:6" x14ac:dyDescent="0.25">
      <c r="A19899" t="str">
        <f>"200024304"</f>
        <v>200024304</v>
      </c>
      <c r="B19899" t="str">
        <f>"1518427004"</f>
        <v>1518427004</v>
      </c>
      <c r="C19899" t="str">
        <f>"207P00000X"</f>
        <v>207P00000X</v>
      </c>
      <c r="D19899" t="str">
        <f>"MCCONNELL                DANIEL                   "</f>
        <v xml:space="preserve">MCCONNELL                DANIEL                   </v>
      </c>
      <c r="E19899" t="str">
        <f>"MADISON                   "</f>
        <v xml:space="preserve">MADISON                   </v>
      </c>
      <c r="F19899" t="str">
        <f t="shared" si="474"/>
        <v>MS</v>
      </c>
    </row>
    <row r="19900" spans="1:6" x14ac:dyDescent="0.25">
      <c r="A19900" t="str">
        <f>"200024309"</f>
        <v>200024309</v>
      </c>
      <c r="B19900" t="str">
        <f>"1245889807"</f>
        <v>1245889807</v>
      </c>
      <c r="C19900" t="str">
        <f>"363LF0000X"</f>
        <v>363LF0000X</v>
      </c>
      <c r="D19900" t="str">
        <f>"AGENT                    JAMIE                    "</f>
        <v xml:space="preserve">AGENT                    JAMIE                    </v>
      </c>
      <c r="E19900" t="str">
        <f>"UNION                     "</f>
        <v xml:space="preserve">UNION                     </v>
      </c>
      <c r="F19900" t="str">
        <f t="shared" si="474"/>
        <v>MS</v>
      </c>
    </row>
    <row r="19901" spans="1:6" x14ac:dyDescent="0.25">
      <c r="A19901" t="str">
        <f>"200024311"</f>
        <v>200024311</v>
      </c>
      <c r="B19901" t="str">
        <f>"1285428557"</f>
        <v>1285428557</v>
      </c>
      <c r="C19901" t="str">
        <f>"2086S0122X"</f>
        <v>2086S0122X</v>
      </c>
      <c r="D19901" t="str">
        <f>"LIU                      LANGFEIER                "</f>
        <v xml:space="preserve">LIU                      LANGFEIER                </v>
      </c>
      <c r="E19901" t="str">
        <f>"JACKSON                   "</f>
        <v xml:space="preserve">JACKSON                   </v>
      </c>
      <c r="F19901" t="str">
        <f t="shared" si="474"/>
        <v>MS</v>
      </c>
    </row>
    <row r="19902" spans="1:6" x14ac:dyDescent="0.25">
      <c r="A19902" t="str">
        <f>"200024315"</f>
        <v>200024315</v>
      </c>
      <c r="B19902" t="str">
        <f>"1629331426"</f>
        <v>1629331426</v>
      </c>
      <c r="C19902" t="str">
        <f>"208100000X"</f>
        <v>208100000X</v>
      </c>
      <c r="D19902" t="str">
        <f>"WATERS                   NAJAH                    "</f>
        <v xml:space="preserve">WATERS                   NAJAH                    </v>
      </c>
      <c r="E19902" t="str">
        <f>"TUPELO                    "</f>
        <v xml:space="preserve">TUPELO                    </v>
      </c>
      <c r="F19902" t="str">
        <f t="shared" ref="F19902:F19965" si="475">"MS"</f>
        <v>MS</v>
      </c>
    </row>
    <row r="19903" spans="1:6" x14ac:dyDescent="0.25">
      <c r="A19903" t="str">
        <f>"200024316"</f>
        <v>200024316</v>
      </c>
      <c r="B19903" t="str">
        <f>"1295983906"</f>
        <v>1295983906</v>
      </c>
      <c r="C19903" t="str">
        <f>"207P00000X"</f>
        <v>207P00000X</v>
      </c>
      <c r="D19903" t="str">
        <f>"NADEL                    JENNIFER                 "</f>
        <v xml:space="preserve">NADEL                    JENNIFER                 </v>
      </c>
      <c r="E19903" t="str">
        <f>"MADISON                   "</f>
        <v xml:space="preserve">MADISON                   </v>
      </c>
      <c r="F19903" t="str">
        <f t="shared" si="475"/>
        <v>MS</v>
      </c>
    </row>
    <row r="19904" spans="1:6" x14ac:dyDescent="0.25">
      <c r="A19904" t="str">
        <f>"200024324"</f>
        <v>200024324</v>
      </c>
      <c r="B19904" t="str">
        <f>"1598645053"</f>
        <v>1598645053</v>
      </c>
      <c r="C19904" t="str">
        <f>"363LF0000X"</f>
        <v>363LF0000X</v>
      </c>
      <c r="D19904" t="str">
        <f>"CHANDLER                 MARY                     "</f>
        <v xml:space="preserve">CHANDLER                 MARY                     </v>
      </c>
      <c r="E19904" t="str">
        <f>"OXFORD                    "</f>
        <v xml:space="preserve">OXFORD                    </v>
      </c>
      <c r="F19904" t="str">
        <f t="shared" si="475"/>
        <v>MS</v>
      </c>
    </row>
    <row r="19905" spans="1:6" x14ac:dyDescent="0.25">
      <c r="A19905" t="str">
        <f>"200024327"</f>
        <v>200024327</v>
      </c>
      <c r="B19905" t="str">
        <f>"1437760881"</f>
        <v>1437760881</v>
      </c>
      <c r="C19905" t="str">
        <f>"363LP0200X"</f>
        <v>363LP0200X</v>
      </c>
      <c r="D19905" t="str">
        <f>"SMITH                    ELIZABETH                "</f>
        <v xml:space="preserve">SMITH                    ELIZABETH                </v>
      </c>
      <c r="E19905" t="str">
        <f>"OCEAN SPRINGS             "</f>
        <v xml:space="preserve">OCEAN SPRINGS             </v>
      </c>
      <c r="F19905" t="str">
        <f t="shared" si="475"/>
        <v>MS</v>
      </c>
    </row>
    <row r="19906" spans="1:6" x14ac:dyDescent="0.25">
      <c r="A19906" t="str">
        <f>"200024341"</f>
        <v>200024341</v>
      </c>
      <c r="B19906" t="str">
        <f>"1245222439"</f>
        <v>1245222439</v>
      </c>
      <c r="C19906" t="str">
        <f>"207W00000X"</f>
        <v>207W00000X</v>
      </c>
      <c r="D19906" t="str">
        <f>"AZAR                     SUSAN                    "</f>
        <v xml:space="preserve">AZAR                     SUSAN                    </v>
      </c>
      <c r="E19906" t="str">
        <f>"FLOWOOD                   "</f>
        <v xml:space="preserve">FLOWOOD                   </v>
      </c>
      <c r="F19906" t="str">
        <f t="shared" si="475"/>
        <v>MS</v>
      </c>
    </row>
    <row r="19907" spans="1:6" x14ac:dyDescent="0.25">
      <c r="A19907" t="str">
        <f>"200024342"</f>
        <v>200024342</v>
      </c>
      <c r="B19907" t="str">
        <f>"1003602319"</f>
        <v>1003602319</v>
      </c>
      <c r="C19907" t="str">
        <f>"207R00000X"</f>
        <v>207R00000X</v>
      </c>
      <c r="D19907" t="str">
        <f>"AGARWAL                  NAYAN                    "</f>
        <v xml:space="preserve">AGARWAL                  NAYAN                    </v>
      </c>
      <c r="E19907" t="str">
        <f>"JACKSON                   "</f>
        <v xml:space="preserve">JACKSON                   </v>
      </c>
      <c r="F19907" t="str">
        <f t="shared" si="475"/>
        <v>MS</v>
      </c>
    </row>
    <row r="19908" spans="1:6" x14ac:dyDescent="0.25">
      <c r="A19908" t="str">
        <f>"200024345"</f>
        <v>200024345</v>
      </c>
      <c r="B19908" t="str">
        <f>"1023990710"</f>
        <v>1023990710</v>
      </c>
      <c r="C19908" t="str">
        <f>"363LP0808X"</f>
        <v>363LP0808X</v>
      </c>
      <c r="D19908" t="str">
        <f>"WILLIAMS                 DAFFANY                  "</f>
        <v xml:space="preserve">WILLIAMS                 DAFFANY                  </v>
      </c>
      <c r="E19908" t="str">
        <f>"MOUND BAYOU               "</f>
        <v xml:space="preserve">MOUND BAYOU               </v>
      </c>
      <c r="F19908" t="str">
        <f t="shared" si="475"/>
        <v>MS</v>
      </c>
    </row>
    <row r="19909" spans="1:6" x14ac:dyDescent="0.25">
      <c r="A19909" t="str">
        <f>"200024346"</f>
        <v>200024346</v>
      </c>
      <c r="B19909" t="str">
        <f>"1962030254"</f>
        <v>1962030254</v>
      </c>
      <c r="C19909" t="str">
        <f>"207R00000X"</f>
        <v>207R00000X</v>
      </c>
      <c r="D19909" t="str">
        <f>"PANDRAVADA               SASIREKHA                "</f>
        <v xml:space="preserve">PANDRAVADA               SASIREKHA                </v>
      </c>
      <c r="E19909" t="str">
        <f>"MADISON                   "</f>
        <v xml:space="preserve">MADISON                   </v>
      </c>
      <c r="F19909" t="str">
        <f t="shared" si="475"/>
        <v>MS</v>
      </c>
    </row>
    <row r="19910" spans="1:6" x14ac:dyDescent="0.25">
      <c r="A19910" t="str">
        <f>"200024353"</f>
        <v>200024353</v>
      </c>
      <c r="B19910" t="str">
        <f>"1467649087"</f>
        <v>1467649087</v>
      </c>
      <c r="C19910" t="str">
        <f>"1223G0001X"</f>
        <v>1223G0001X</v>
      </c>
      <c r="D19910" t="str">
        <f>"CREATIVE SMILES                                   "</f>
        <v xml:space="preserve">CREATIVE SMILES                                   </v>
      </c>
      <c r="E19910" t="str">
        <f>"TUPELO                    "</f>
        <v xml:space="preserve">TUPELO                    </v>
      </c>
      <c r="F19910" t="str">
        <f t="shared" si="475"/>
        <v>MS</v>
      </c>
    </row>
    <row r="19911" spans="1:6" x14ac:dyDescent="0.25">
      <c r="A19911" t="str">
        <f>"200024355"</f>
        <v>200024355</v>
      </c>
      <c r="B19911" t="str">
        <f>"1013329465"</f>
        <v>1013329465</v>
      </c>
      <c r="C19911" t="str">
        <f>"367500000X"</f>
        <v>367500000X</v>
      </c>
      <c r="D19911" t="str">
        <f>"DELAUGHTER               CHRISTINA                "</f>
        <v xml:space="preserve">DELAUGHTER               CHRISTINA                </v>
      </c>
      <c r="E19911" t="str">
        <f>"SOUTHAVEN                 "</f>
        <v xml:space="preserve">SOUTHAVEN                 </v>
      </c>
      <c r="F19911" t="str">
        <f t="shared" si="475"/>
        <v>MS</v>
      </c>
    </row>
    <row r="19912" spans="1:6" x14ac:dyDescent="0.25">
      <c r="A19912" t="str">
        <f>"200024369"</f>
        <v>200024369</v>
      </c>
      <c r="B19912" t="str">
        <f>"1780151381"</f>
        <v>1780151381</v>
      </c>
      <c r="C19912" t="str">
        <f>"261QM1300X"</f>
        <v>261QM1300X</v>
      </c>
      <c r="D19912" t="str">
        <f>"EXPRESS CARE OF CLEVELAND                         "</f>
        <v xml:space="preserve">EXPRESS CARE OF CLEVELAND                         </v>
      </c>
      <c r="E19912" t="str">
        <f>"BOONEVILLE                "</f>
        <v xml:space="preserve">BOONEVILLE                </v>
      </c>
      <c r="F19912" t="str">
        <f t="shared" si="475"/>
        <v>MS</v>
      </c>
    </row>
    <row r="19913" spans="1:6" x14ac:dyDescent="0.25">
      <c r="A19913" t="str">
        <f>"200024376"</f>
        <v>200024376</v>
      </c>
      <c r="B19913" t="str">
        <f>"1699560813"</f>
        <v>1699560813</v>
      </c>
      <c r="C19913" t="str">
        <f>"207R00000X"</f>
        <v>207R00000X</v>
      </c>
      <c r="D19913" t="str">
        <f>"PARKER                   JOHN                     "</f>
        <v xml:space="preserve">PARKER                   JOHN                     </v>
      </c>
      <c r="E19913" t="str">
        <f>"JACKSON                   "</f>
        <v xml:space="preserve">JACKSON                   </v>
      </c>
      <c r="F19913" t="str">
        <f t="shared" si="475"/>
        <v>MS</v>
      </c>
    </row>
    <row r="19914" spans="1:6" x14ac:dyDescent="0.25">
      <c r="A19914" t="str">
        <f>"200024377"</f>
        <v>200024377</v>
      </c>
      <c r="B19914" t="str">
        <f>"1932407947"</f>
        <v>1932407947</v>
      </c>
      <c r="C19914" t="str">
        <f>"363L00000X"</f>
        <v>363L00000X</v>
      </c>
      <c r="D19914" t="str">
        <f>"MAGEE                    JESSICA                  "</f>
        <v xml:space="preserve">MAGEE                    JESSICA                  </v>
      </c>
      <c r="E19914" t="str">
        <f>"RICHLAND                  "</f>
        <v xml:space="preserve">RICHLAND                  </v>
      </c>
      <c r="F19914" t="str">
        <f t="shared" si="475"/>
        <v>MS</v>
      </c>
    </row>
    <row r="19915" spans="1:6" x14ac:dyDescent="0.25">
      <c r="A19915" t="str">
        <f>"200024378"</f>
        <v>200024378</v>
      </c>
      <c r="B19915" t="str">
        <f>"1285263376"</f>
        <v>1285263376</v>
      </c>
      <c r="C19915" t="str">
        <f>"208800000X"</f>
        <v>208800000X</v>
      </c>
      <c r="D19915" t="str">
        <f>"CRAIGHEAD                COLE                     "</f>
        <v xml:space="preserve">CRAIGHEAD                COLE                     </v>
      </c>
      <c r="E19915" t="str">
        <f>"BROOKHAVEN                "</f>
        <v xml:space="preserve">BROOKHAVEN                </v>
      </c>
      <c r="F19915" t="str">
        <f t="shared" si="475"/>
        <v>MS</v>
      </c>
    </row>
    <row r="19916" spans="1:6" x14ac:dyDescent="0.25">
      <c r="A19916" t="str">
        <f>"200024382"</f>
        <v>200024382</v>
      </c>
      <c r="B19916" t="str">
        <f>"1124815352"</f>
        <v>1124815352</v>
      </c>
      <c r="C19916" t="str">
        <f>"207Q00000X"</f>
        <v>207Q00000X</v>
      </c>
      <c r="D19916" t="str">
        <f>"AGBETI                   EMMANUEL                 "</f>
        <v xml:space="preserve">AGBETI                   EMMANUEL                 </v>
      </c>
      <c r="E19916" t="str">
        <f>"JACKSON                   "</f>
        <v xml:space="preserve">JACKSON                   </v>
      </c>
      <c r="F19916" t="str">
        <f t="shared" si="475"/>
        <v>MS</v>
      </c>
    </row>
    <row r="19917" spans="1:6" x14ac:dyDescent="0.25">
      <c r="A19917" t="str">
        <f>"200024385"</f>
        <v>200024385</v>
      </c>
      <c r="B19917" t="str">
        <f>"1053205708"</f>
        <v>1053205708</v>
      </c>
      <c r="C19917" t="str">
        <f>"363LF0000X"</f>
        <v>363LF0000X</v>
      </c>
      <c r="D19917" t="str">
        <f>"PREYEAR                  PHYLENGTHIA              "</f>
        <v xml:space="preserve">PREYEAR                  PHYLENGTHIA              </v>
      </c>
      <c r="E19917" t="str">
        <f>"GULFPORT                  "</f>
        <v xml:space="preserve">GULFPORT                  </v>
      </c>
      <c r="F19917" t="str">
        <f t="shared" si="475"/>
        <v>MS</v>
      </c>
    </row>
    <row r="19918" spans="1:6" x14ac:dyDescent="0.25">
      <c r="A19918" t="str">
        <f>"200024395"</f>
        <v>200024395</v>
      </c>
      <c r="B19918" t="str">
        <f>"1902696123"</f>
        <v>1902696123</v>
      </c>
      <c r="C19918" t="str">
        <f>"363A00000X"</f>
        <v>363A00000X</v>
      </c>
      <c r="D19918" t="str">
        <f>"SLAY                     WILLIAM      T           "</f>
        <v xml:space="preserve">SLAY                     WILLIAM      T           </v>
      </c>
      <c r="E19918" t="str">
        <f>"JACKSON                   "</f>
        <v xml:space="preserve">JACKSON                   </v>
      </c>
      <c r="F19918" t="str">
        <f t="shared" si="475"/>
        <v>MS</v>
      </c>
    </row>
    <row r="19919" spans="1:6" x14ac:dyDescent="0.25">
      <c r="A19919" t="str">
        <f>"200024396"</f>
        <v>200024396</v>
      </c>
      <c r="B19919" t="str">
        <f>"1063226074"</f>
        <v>1063226074</v>
      </c>
      <c r="C19919" t="str">
        <f>"363AM0700X"</f>
        <v>363AM0700X</v>
      </c>
      <c r="D19919" t="str">
        <f>"GIBSON                   TYSON                    "</f>
        <v xml:space="preserve">GIBSON                   TYSON                    </v>
      </c>
      <c r="E19919" t="str">
        <f>"OCEAN SPRINGS             "</f>
        <v xml:space="preserve">OCEAN SPRINGS             </v>
      </c>
      <c r="F19919" t="str">
        <f t="shared" si="475"/>
        <v>MS</v>
      </c>
    </row>
    <row r="19920" spans="1:6" x14ac:dyDescent="0.25">
      <c r="A19920" t="str">
        <f>"200024398"</f>
        <v>200024398</v>
      </c>
      <c r="B19920" t="str">
        <f>"1952030199"</f>
        <v>1952030199</v>
      </c>
      <c r="C19920" t="str">
        <f>"207R00000X"</f>
        <v>207R00000X</v>
      </c>
      <c r="D19920" t="str">
        <f>"KIM                      EUIHYUN                  "</f>
        <v xml:space="preserve">KIM                      EUIHYUN                  </v>
      </c>
      <c r="E19920" t="str">
        <f>"FLOWOOD                   "</f>
        <v xml:space="preserve">FLOWOOD                   </v>
      </c>
      <c r="F19920" t="str">
        <f t="shared" si="475"/>
        <v>MS</v>
      </c>
    </row>
    <row r="19921" spans="1:6" x14ac:dyDescent="0.25">
      <c r="A19921" t="str">
        <f>"200024399"</f>
        <v>200024399</v>
      </c>
      <c r="B19921" t="str">
        <f>"1316652621"</f>
        <v>1316652621</v>
      </c>
      <c r="C19921" t="str">
        <f>"363LF0000X"</f>
        <v>363LF0000X</v>
      </c>
      <c r="D19921" t="str">
        <f>"SUBCLIFF                 JODI                     "</f>
        <v xml:space="preserve">SUBCLIFF                 JODI                     </v>
      </c>
      <c r="E19921" t="str">
        <f>"JACKSON                   "</f>
        <v xml:space="preserve">JACKSON                   </v>
      </c>
      <c r="F19921" t="str">
        <f t="shared" si="475"/>
        <v>MS</v>
      </c>
    </row>
    <row r="19922" spans="1:6" x14ac:dyDescent="0.25">
      <c r="A19922" t="str">
        <f>"200024402"</f>
        <v>200024402</v>
      </c>
      <c r="B19922" t="str">
        <f>"1932842861"</f>
        <v>1932842861</v>
      </c>
      <c r="C19922" t="str">
        <f>"207R00000X"</f>
        <v>207R00000X</v>
      </c>
      <c r="D19922" t="str">
        <f>"ONYALI                   CHIKE        B           "</f>
        <v xml:space="preserve">ONYALI                   CHIKE        B           </v>
      </c>
      <c r="E19922" t="str">
        <f>"VICKSBURG                 "</f>
        <v xml:space="preserve">VICKSBURG                 </v>
      </c>
      <c r="F19922" t="str">
        <f t="shared" si="475"/>
        <v>MS</v>
      </c>
    </row>
    <row r="19923" spans="1:6" x14ac:dyDescent="0.25">
      <c r="A19923" t="str">
        <f>"200024407"</f>
        <v>200024407</v>
      </c>
      <c r="B19923" t="str">
        <f>"1205307543"</f>
        <v>1205307543</v>
      </c>
      <c r="C19923" t="str">
        <f>"363L00000X"</f>
        <v>363L00000X</v>
      </c>
      <c r="D19923" t="str">
        <f>"BLANKENSHIP              MEGHAN                   "</f>
        <v xml:space="preserve">BLANKENSHIP              MEGHAN                   </v>
      </c>
      <c r="E19923" t="str">
        <f>"JACKSON                   "</f>
        <v xml:space="preserve">JACKSON                   </v>
      </c>
      <c r="F19923" t="str">
        <f t="shared" si="475"/>
        <v>MS</v>
      </c>
    </row>
    <row r="19924" spans="1:6" x14ac:dyDescent="0.25">
      <c r="A19924" t="str">
        <f>"200024410"</f>
        <v>200024410</v>
      </c>
      <c r="B19924" t="str">
        <f>"1134571458"</f>
        <v>1134571458</v>
      </c>
      <c r="C19924" t="str">
        <f>"363L00000X"</f>
        <v>363L00000X</v>
      </c>
      <c r="D19924" t="str">
        <f>"IRONS                    NICHOLAS                 "</f>
        <v xml:space="preserve">IRONS                    NICHOLAS                 </v>
      </c>
      <c r="E19924" t="str">
        <f>"VICKSBURG                 "</f>
        <v xml:space="preserve">VICKSBURG                 </v>
      </c>
      <c r="F19924" t="str">
        <f t="shared" si="475"/>
        <v>MS</v>
      </c>
    </row>
    <row r="19925" spans="1:6" x14ac:dyDescent="0.25">
      <c r="A19925" t="str">
        <f>"200024416"</f>
        <v>200024416</v>
      </c>
      <c r="B19925" t="str">
        <f>"1235246679"</f>
        <v>1235246679</v>
      </c>
      <c r="C19925" t="str">
        <f>"207Q00000X"</f>
        <v>207Q00000X</v>
      </c>
      <c r="D19925" t="str">
        <f>"AKIN                     SCOTT                    "</f>
        <v xml:space="preserve">AKIN                     SCOTT                    </v>
      </c>
      <c r="E19925" t="str">
        <f>"JACKSON                   "</f>
        <v xml:space="preserve">JACKSON                   </v>
      </c>
      <c r="F19925" t="str">
        <f t="shared" si="475"/>
        <v>MS</v>
      </c>
    </row>
    <row r="19926" spans="1:6" x14ac:dyDescent="0.25">
      <c r="A19926" t="str">
        <f>"200024418"</f>
        <v>200024418</v>
      </c>
      <c r="B19926" t="str">
        <f>"1386290955"</f>
        <v>1386290955</v>
      </c>
      <c r="C19926" t="str">
        <f>"363LF0000X"</f>
        <v>363LF0000X</v>
      </c>
      <c r="D19926" t="str">
        <f>"LOWERY                   BRADY        K           "</f>
        <v xml:space="preserve">LOWERY                   BRADY        K           </v>
      </c>
      <c r="E19926" t="str">
        <f>"JACKSON                   "</f>
        <v xml:space="preserve">JACKSON                   </v>
      </c>
      <c r="F19926" t="str">
        <f t="shared" si="475"/>
        <v>MS</v>
      </c>
    </row>
    <row r="19927" spans="1:6" x14ac:dyDescent="0.25">
      <c r="A19927" t="str">
        <f>"200024419"</f>
        <v>200024419</v>
      </c>
      <c r="B19927" t="str">
        <f>"1912483405"</f>
        <v>1912483405</v>
      </c>
      <c r="C19927" t="str">
        <f>"363L00000X"</f>
        <v>363L00000X</v>
      </c>
      <c r="D19927" t="str">
        <f>"AULTMAN                  TWYLIA                   "</f>
        <v xml:space="preserve">AULTMAN                  TWYLIA                   </v>
      </c>
      <c r="E19927" t="str">
        <f>"RICHLAND                  "</f>
        <v xml:space="preserve">RICHLAND                  </v>
      </c>
      <c r="F19927" t="str">
        <f t="shared" si="475"/>
        <v>MS</v>
      </c>
    </row>
    <row r="19928" spans="1:6" x14ac:dyDescent="0.25">
      <c r="A19928" t="str">
        <f>"200024424"</f>
        <v>200024424</v>
      </c>
      <c r="B19928" t="str">
        <f>"1700415734"</f>
        <v>1700415734</v>
      </c>
      <c r="C19928" t="str">
        <f>"2084N0400X"</f>
        <v>2084N0400X</v>
      </c>
      <c r="D19928" t="str">
        <f>"RICE                     VICTORIA                 "</f>
        <v xml:space="preserve">RICE                     VICTORIA                 </v>
      </c>
      <c r="E19928" t="str">
        <f>"TUPELO                    "</f>
        <v xml:space="preserve">TUPELO                    </v>
      </c>
      <c r="F19928" t="str">
        <f t="shared" si="475"/>
        <v>MS</v>
      </c>
    </row>
    <row r="19929" spans="1:6" x14ac:dyDescent="0.25">
      <c r="A19929" t="str">
        <f>"200024426"</f>
        <v>200024426</v>
      </c>
      <c r="B19929" t="str">
        <f>"1720212350"</f>
        <v>1720212350</v>
      </c>
      <c r="C19929" t="str">
        <f>"207R00000X"</f>
        <v>207R00000X</v>
      </c>
      <c r="D19929" t="str">
        <f>"WILLIAMS                 WANDA                    "</f>
        <v xml:space="preserve">WILLIAMS                 WANDA                    </v>
      </c>
      <c r="E19929" t="str">
        <f>"SOUTHAVEN                 "</f>
        <v xml:space="preserve">SOUTHAVEN                 </v>
      </c>
      <c r="F19929" t="str">
        <f t="shared" si="475"/>
        <v>MS</v>
      </c>
    </row>
    <row r="19930" spans="1:6" x14ac:dyDescent="0.25">
      <c r="A19930" t="str">
        <f>"200024431"</f>
        <v>200024431</v>
      </c>
      <c r="B19930" t="str">
        <f>"1962863514"</f>
        <v>1962863514</v>
      </c>
      <c r="C19930" t="str">
        <f>"207P00000X"</f>
        <v>207P00000X</v>
      </c>
      <c r="D19930" t="str">
        <f>"GRIGGS                   JOSEPH                   "</f>
        <v xml:space="preserve">GRIGGS                   JOSEPH                   </v>
      </c>
      <c r="E19930" t="str">
        <f>"GRENADA                   "</f>
        <v xml:space="preserve">GRENADA                   </v>
      </c>
      <c r="F19930" t="str">
        <f t="shared" si="475"/>
        <v>MS</v>
      </c>
    </row>
    <row r="19931" spans="1:6" x14ac:dyDescent="0.25">
      <c r="A19931" t="str">
        <f>"200024434"</f>
        <v>200024434</v>
      </c>
      <c r="B19931" t="str">
        <f>"1912878141"</f>
        <v>1912878141</v>
      </c>
      <c r="C19931" t="str">
        <f>"367500000X"</f>
        <v>367500000X</v>
      </c>
      <c r="D19931" t="str">
        <f>"SHIRLEY                  TREVOR       P           "</f>
        <v xml:space="preserve">SHIRLEY                  TREVOR       P           </v>
      </c>
      <c r="E19931" t="str">
        <f>"MERIDIAN                  "</f>
        <v xml:space="preserve">MERIDIAN                  </v>
      </c>
      <c r="F19931" t="str">
        <f t="shared" si="475"/>
        <v>MS</v>
      </c>
    </row>
    <row r="19932" spans="1:6" x14ac:dyDescent="0.25">
      <c r="A19932" t="str">
        <f>"200024438"</f>
        <v>200024438</v>
      </c>
      <c r="B19932" t="str">
        <f>"1851554166"</f>
        <v>1851554166</v>
      </c>
      <c r="C19932" t="str">
        <f>"207RN0300X"</f>
        <v>207RN0300X</v>
      </c>
      <c r="D19932" t="str">
        <f>"AURE                     RHODA                    "</f>
        <v xml:space="preserve">AURE                     RHODA                    </v>
      </c>
      <c r="E19932" t="str">
        <f>"GULFPORT                  "</f>
        <v xml:space="preserve">GULFPORT                  </v>
      </c>
      <c r="F19932" t="str">
        <f t="shared" si="475"/>
        <v>MS</v>
      </c>
    </row>
    <row r="19933" spans="1:6" x14ac:dyDescent="0.25">
      <c r="A19933" t="str">
        <f>"200024439"</f>
        <v>200024439</v>
      </c>
      <c r="B19933" t="str">
        <f>"1366321879"</f>
        <v>1366321879</v>
      </c>
      <c r="C19933" t="str">
        <f>"363A00000X"</f>
        <v>363A00000X</v>
      </c>
      <c r="D19933" t="str">
        <f>"DAVIS                    JESSICA                  "</f>
        <v xml:space="preserve">DAVIS                    JESSICA                  </v>
      </c>
      <c r="E19933" t="str">
        <f>"TUPELO                    "</f>
        <v xml:space="preserve">TUPELO                    </v>
      </c>
      <c r="F19933" t="str">
        <f t="shared" si="475"/>
        <v>MS</v>
      </c>
    </row>
    <row r="19934" spans="1:6" x14ac:dyDescent="0.25">
      <c r="A19934" t="str">
        <f>"200024443"</f>
        <v>200024443</v>
      </c>
      <c r="B19934" t="str">
        <f>"1699868471"</f>
        <v>1699868471</v>
      </c>
      <c r="C19934" t="str">
        <f>"207V00000X"</f>
        <v>207V00000X</v>
      </c>
      <c r="D19934" t="str">
        <f>"PRIDJIAN                 GABRIELLA                "</f>
        <v xml:space="preserve">PRIDJIAN                 GABRIELLA                </v>
      </c>
      <c r="E19934" t="str">
        <f>"GULFPORT                  "</f>
        <v xml:space="preserve">GULFPORT                  </v>
      </c>
      <c r="F19934" t="str">
        <f t="shared" si="475"/>
        <v>MS</v>
      </c>
    </row>
    <row r="19935" spans="1:6" x14ac:dyDescent="0.25">
      <c r="A19935" t="str">
        <f>"200024444"</f>
        <v>200024444</v>
      </c>
      <c r="B19935" t="str">
        <f>"1932720109"</f>
        <v>1932720109</v>
      </c>
      <c r="C19935" t="str">
        <f>"207Q00000X"</f>
        <v>207Q00000X</v>
      </c>
      <c r="D19935" t="str">
        <f>"BALLEW                   MATTHEW                  "</f>
        <v xml:space="preserve">BALLEW                   MATTHEW                  </v>
      </c>
      <c r="E19935" t="str">
        <f>"GULFPORT                  "</f>
        <v xml:space="preserve">GULFPORT                  </v>
      </c>
      <c r="F19935" t="str">
        <f t="shared" si="475"/>
        <v>MS</v>
      </c>
    </row>
    <row r="19936" spans="1:6" x14ac:dyDescent="0.25">
      <c r="A19936" t="str">
        <f>"200024445"</f>
        <v>200024445</v>
      </c>
      <c r="B19936" t="str">
        <f>"1740020767"</f>
        <v>1740020767</v>
      </c>
      <c r="C19936" t="str">
        <f>"363L00000X"</f>
        <v>363L00000X</v>
      </c>
      <c r="D19936" t="str">
        <f>"MCINTOSH                 JULIE        A           "</f>
        <v xml:space="preserve">MCINTOSH                 JULIE        A           </v>
      </c>
      <c r="E19936" t="str">
        <f>"TISHOMINGO                "</f>
        <v xml:space="preserve">TISHOMINGO                </v>
      </c>
      <c r="F19936" t="str">
        <f t="shared" si="475"/>
        <v>MS</v>
      </c>
    </row>
    <row r="19937" spans="1:6" x14ac:dyDescent="0.25">
      <c r="A19937" t="str">
        <f>"200024446"</f>
        <v>200024446</v>
      </c>
      <c r="B19937" t="str">
        <f>"1336460807"</f>
        <v>1336460807</v>
      </c>
      <c r="C19937" t="str">
        <f>"207Q00000X"</f>
        <v>207Q00000X</v>
      </c>
      <c r="D19937" t="str">
        <f>"PLACE                    STEPHANIE                "</f>
        <v xml:space="preserve">PLACE                    STEPHANIE                </v>
      </c>
      <c r="E19937" t="str">
        <f>"JACKSON                   "</f>
        <v xml:space="preserve">JACKSON                   </v>
      </c>
      <c r="F19937" t="str">
        <f t="shared" si="475"/>
        <v>MS</v>
      </c>
    </row>
    <row r="19938" spans="1:6" x14ac:dyDescent="0.25">
      <c r="A19938" t="str">
        <f>"200024447"</f>
        <v>200024447</v>
      </c>
      <c r="B19938" t="str">
        <f>"1023346137"</f>
        <v>1023346137</v>
      </c>
      <c r="C19938" t="str">
        <f>"363LF0000X"</f>
        <v>363LF0000X</v>
      </c>
      <c r="D19938" t="str">
        <f>"TOLAR                    MELISSA                  "</f>
        <v xml:space="preserve">TOLAR                    MELISSA                  </v>
      </c>
      <c r="E19938" t="str">
        <f>"RICHLAND                  "</f>
        <v xml:space="preserve">RICHLAND                  </v>
      </c>
      <c r="F19938" t="str">
        <f t="shared" si="475"/>
        <v>MS</v>
      </c>
    </row>
    <row r="19939" spans="1:6" x14ac:dyDescent="0.25">
      <c r="A19939" t="str">
        <f>"200024450"</f>
        <v>200024450</v>
      </c>
      <c r="B19939" t="str">
        <f>"1730741810"</f>
        <v>1730741810</v>
      </c>
      <c r="C19939" t="str">
        <f>"363LF0000X"</f>
        <v>363LF0000X</v>
      </c>
      <c r="D19939" t="str">
        <f>"MARSHALL                 ANNIE                    "</f>
        <v xml:space="preserve">MARSHALL                 ANNIE                    </v>
      </c>
      <c r="E19939" t="str">
        <f>"BYRAM                     "</f>
        <v xml:space="preserve">BYRAM                     </v>
      </c>
      <c r="F19939" t="str">
        <f t="shared" si="475"/>
        <v>MS</v>
      </c>
    </row>
    <row r="19940" spans="1:6" x14ac:dyDescent="0.25">
      <c r="A19940" t="str">
        <f>"200024455"</f>
        <v>200024455</v>
      </c>
      <c r="B19940" t="str">
        <f>"1306632955"</f>
        <v>1306632955</v>
      </c>
      <c r="C19940" t="str">
        <f>"363LP0808X"</f>
        <v>363LP0808X</v>
      </c>
      <c r="D19940" t="str">
        <f>"CAUSEY                   WILLENA                  "</f>
        <v xml:space="preserve">CAUSEY                   WILLENA                  </v>
      </c>
      <c r="E19940" t="str">
        <f>"RICHLAND                  "</f>
        <v xml:space="preserve">RICHLAND                  </v>
      </c>
      <c r="F19940" t="str">
        <f t="shared" si="475"/>
        <v>MS</v>
      </c>
    </row>
    <row r="19941" spans="1:6" x14ac:dyDescent="0.25">
      <c r="A19941" t="str">
        <f>"200024460"</f>
        <v>200024460</v>
      </c>
      <c r="B19941" t="str">
        <f>"1871464040"</f>
        <v>1871464040</v>
      </c>
      <c r="C19941" t="str">
        <f>"363L00000X"</f>
        <v>363L00000X</v>
      </c>
      <c r="D19941" t="str">
        <f>"KOON                     JESSICA                  "</f>
        <v xml:space="preserve">KOON                     JESSICA                  </v>
      </c>
      <c r="E19941" t="str">
        <f>"TUPELO                    "</f>
        <v xml:space="preserve">TUPELO                    </v>
      </c>
      <c r="F19941" t="str">
        <f t="shared" si="475"/>
        <v>MS</v>
      </c>
    </row>
    <row r="19942" spans="1:6" x14ac:dyDescent="0.25">
      <c r="A19942" t="str">
        <f>"200024461"</f>
        <v>200024461</v>
      </c>
      <c r="B19942" t="str">
        <f>"1063038461"</f>
        <v>1063038461</v>
      </c>
      <c r="C19942" t="str">
        <f>"1223G0001X"</f>
        <v>1223G0001X</v>
      </c>
      <c r="D19942" t="str">
        <f>"IBRAHIM                  OMER         M           "</f>
        <v xml:space="preserve">IBRAHIM                  OMER         M           </v>
      </c>
      <c r="E19942" t="str">
        <f>"TUPELO                    "</f>
        <v xml:space="preserve">TUPELO                    </v>
      </c>
      <c r="F19942" t="str">
        <f t="shared" si="475"/>
        <v>MS</v>
      </c>
    </row>
    <row r="19943" spans="1:6" x14ac:dyDescent="0.25">
      <c r="A19943" t="str">
        <f>"200024465"</f>
        <v>200024465</v>
      </c>
      <c r="B19943" t="str">
        <f>"1891746541"</f>
        <v>1891746541</v>
      </c>
      <c r="C19943" t="str">
        <f>"207P00000X"</f>
        <v>207P00000X</v>
      </c>
      <c r="D19943" t="str">
        <f>"HARDERS                  GREGORY      P           "</f>
        <v xml:space="preserve">HARDERS                  GREGORY      P           </v>
      </c>
      <c r="E19943" t="str">
        <f>"RIDGELAND                 "</f>
        <v xml:space="preserve">RIDGELAND                 </v>
      </c>
      <c r="F19943" t="str">
        <f t="shared" si="475"/>
        <v>MS</v>
      </c>
    </row>
    <row r="19944" spans="1:6" x14ac:dyDescent="0.25">
      <c r="A19944" t="str">
        <f>"200024471"</f>
        <v>200024471</v>
      </c>
      <c r="B19944" t="str">
        <f>"1508652330"</f>
        <v>1508652330</v>
      </c>
      <c r="C19944" t="str">
        <f>"261QF0400X"</f>
        <v>261QF0400X</v>
      </c>
      <c r="D19944" t="str">
        <f>"DORSEY FAMILY MEDICAL CLINIC                      "</f>
        <v xml:space="preserve">DORSEY FAMILY MEDICAL CLINIC                      </v>
      </c>
      <c r="E19944" t="str">
        <f>"FULTON                    "</f>
        <v xml:space="preserve">FULTON                    </v>
      </c>
      <c r="F19944" t="str">
        <f t="shared" si="475"/>
        <v>MS</v>
      </c>
    </row>
    <row r="19945" spans="1:6" x14ac:dyDescent="0.25">
      <c r="A19945" t="str">
        <f>"200024475"</f>
        <v>200024475</v>
      </c>
      <c r="B19945" t="str">
        <f>"1477390797"</f>
        <v>1477390797</v>
      </c>
      <c r="C19945" t="str">
        <f>"363L00000X"</f>
        <v>363L00000X</v>
      </c>
      <c r="D19945" t="str">
        <f>"HALES LOVELACE           AUNDREA                  "</f>
        <v xml:space="preserve">HALES LOVELACE           AUNDREA                  </v>
      </c>
      <c r="E19945" t="str">
        <f>"LAUREL                    "</f>
        <v xml:space="preserve">LAUREL                    </v>
      </c>
      <c r="F19945" t="str">
        <f t="shared" si="475"/>
        <v>MS</v>
      </c>
    </row>
    <row r="19946" spans="1:6" x14ac:dyDescent="0.25">
      <c r="A19946" t="str">
        <f>"200024477"</f>
        <v>200024477</v>
      </c>
      <c r="B19946" t="str">
        <f>"1598415374"</f>
        <v>1598415374</v>
      </c>
      <c r="C19946" t="str">
        <f>"207R00000X"</f>
        <v>207R00000X</v>
      </c>
      <c r="D19946" t="str">
        <f>"MARTIN                   CLARK                    "</f>
        <v xml:space="preserve">MARTIN                   CLARK                    </v>
      </c>
      <c r="E19946" t="str">
        <f>"GLUCKSTADT                "</f>
        <v xml:space="preserve">GLUCKSTADT                </v>
      </c>
      <c r="F19946" t="str">
        <f t="shared" si="475"/>
        <v>MS</v>
      </c>
    </row>
    <row r="19947" spans="1:6" x14ac:dyDescent="0.25">
      <c r="A19947" t="str">
        <f>"200024478"</f>
        <v>200024478</v>
      </c>
      <c r="B19947" t="str">
        <f>"1245802040"</f>
        <v>1245802040</v>
      </c>
      <c r="C19947" t="str">
        <f>"363LF0000X"</f>
        <v>363LF0000X</v>
      </c>
      <c r="D19947" t="str">
        <f>"HARP                     ERNEST                   "</f>
        <v xml:space="preserve">HARP                     ERNEST                   </v>
      </c>
      <c r="E19947" t="str">
        <f>"JACKSON                   "</f>
        <v xml:space="preserve">JACKSON                   </v>
      </c>
      <c r="F19947" t="str">
        <f t="shared" si="475"/>
        <v>MS</v>
      </c>
    </row>
    <row r="19948" spans="1:6" x14ac:dyDescent="0.25">
      <c r="A19948" t="str">
        <f>"200024479"</f>
        <v>200024479</v>
      </c>
      <c r="B19948" t="str">
        <f>"1326072620"</f>
        <v>1326072620</v>
      </c>
      <c r="C19948" t="str">
        <f>"363LF0000X"</f>
        <v>363LF0000X</v>
      </c>
      <c r="D19948" t="str">
        <f>"SHEPHERD                 BRENDA       K           "</f>
        <v xml:space="preserve">SHEPHERD                 BRENDA       K           </v>
      </c>
      <c r="E19948" t="str">
        <f>"FLOWOOD                   "</f>
        <v xml:space="preserve">FLOWOOD                   </v>
      </c>
      <c r="F19948" t="str">
        <f t="shared" si="475"/>
        <v>MS</v>
      </c>
    </row>
    <row r="19949" spans="1:6" x14ac:dyDescent="0.25">
      <c r="A19949" t="str">
        <f>"200024483"</f>
        <v>200024483</v>
      </c>
      <c r="B19949" t="str">
        <f>"1659173680"</f>
        <v>1659173680</v>
      </c>
      <c r="C19949" t="str">
        <f>"207Q00000X"</f>
        <v>207Q00000X</v>
      </c>
      <c r="D19949" t="str">
        <f>"BARKER                   JOSEPH       E           "</f>
        <v xml:space="preserve">BARKER                   JOSEPH       E           </v>
      </c>
      <c r="E19949" t="str">
        <f>"JACKSON                   "</f>
        <v xml:space="preserve">JACKSON                   </v>
      </c>
      <c r="F19949" t="str">
        <f t="shared" si="475"/>
        <v>MS</v>
      </c>
    </row>
    <row r="19950" spans="1:6" x14ac:dyDescent="0.25">
      <c r="A19950" t="str">
        <f>"200024487"</f>
        <v>200024487</v>
      </c>
      <c r="B19950" t="str">
        <f>"1235124363"</f>
        <v>1235124363</v>
      </c>
      <c r="C19950" t="str">
        <f>"207ZP0102X"</f>
        <v>207ZP0102X</v>
      </c>
      <c r="D19950" t="str">
        <f>"BALDWIN                  HEATHER                  "</f>
        <v xml:space="preserve">BALDWIN                  HEATHER                  </v>
      </c>
      <c r="E19950" t="str">
        <f>"SOUTHAVEN                 "</f>
        <v xml:space="preserve">SOUTHAVEN                 </v>
      </c>
      <c r="F19950" t="str">
        <f t="shared" si="475"/>
        <v>MS</v>
      </c>
    </row>
    <row r="19951" spans="1:6" x14ac:dyDescent="0.25">
      <c r="A19951" t="str">
        <f>"200024491"</f>
        <v>200024491</v>
      </c>
      <c r="B19951" t="str">
        <f>"1255394797"</f>
        <v>1255394797</v>
      </c>
      <c r="C19951" t="str">
        <f>"363LF0000X"</f>
        <v>363LF0000X</v>
      </c>
      <c r="D19951" t="str">
        <f>"FOLTZ                    TAMARA                   "</f>
        <v xml:space="preserve">FOLTZ                    TAMARA                   </v>
      </c>
      <c r="E19951" t="str">
        <f>"JACKSON                   "</f>
        <v xml:space="preserve">JACKSON                   </v>
      </c>
      <c r="F19951" t="str">
        <f t="shared" si="475"/>
        <v>MS</v>
      </c>
    </row>
    <row r="19952" spans="1:6" x14ac:dyDescent="0.25">
      <c r="A19952" t="str">
        <f>"200024492"</f>
        <v>200024492</v>
      </c>
      <c r="B19952" t="str">
        <f>"1669245411"</f>
        <v>1669245411</v>
      </c>
      <c r="C19952" t="str">
        <f>"363L00000X"</f>
        <v>363L00000X</v>
      </c>
      <c r="D19952" t="str">
        <f>"CREEL                    WARREN                   "</f>
        <v xml:space="preserve">CREEL                    WARREN                   </v>
      </c>
      <c r="E19952" t="str">
        <f>"FLOWOOD                   "</f>
        <v xml:space="preserve">FLOWOOD                   </v>
      </c>
      <c r="F19952" t="str">
        <f t="shared" si="475"/>
        <v>MS</v>
      </c>
    </row>
    <row r="19953" spans="1:6" x14ac:dyDescent="0.25">
      <c r="A19953" t="str">
        <f>"200024496"</f>
        <v>200024496</v>
      </c>
      <c r="B19953" t="str">
        <f>"1699455857"</f>
        <v>1699455857</v>
      </c>
      <c r="C19953" t="str">
        <f>"152W00000X"</f>
        <v>152W00000X</v>
      </c>
      <c r="D19953" t="str">
        <f>"DARBY                    CHARLA                   "</f>
        <v xml:space="preserve">DARBY                    CHARLA                   </v>
      </c>
      <c r="E19953" t="str">
        <f>"BATESVILLE                "</f>
        <v xml:space="preserve">BATESVILLE                </v>
      </c>
      <c r="F19953" t="str">
        <f t="shared" si="475"/>
        <v>MS</v>
      </c>
    </row>
    <row r="19954" spans="1:6" x14ac:dyDescent="0.25">
      <c r="A19954" t="str">
        <f>"200024497"</f>
        <v>200024497</v>
      </c>
      <c r="B19954" t="str">
        <f>"1922987478"</f>
        <v>1922987478</v>
      </c>
      <c r="C19954" t="str">
        <f>"363LF0000X"</f>
        <v>363LF0000X</v>
      </c>
      <c r="D19954" t="str">
        <f>"HAYNES                   MARY                     "</f>
        <v xml:space="preserve">HAYNES                   MARY                     </v>
      </c>
      <c r="E19954" t="str">
        <f>"COLUMBUS                  "</f>
        <v xml:space="preserve">COLUMBUS                  </v>
      </c>
      <c r="F19954" t="str">
        <f t="shared" si="475"/>
        <v>MS</v>
      </c>
    </row>
    <row r="19955" spans="1:6" x14ac:dyDescent="0.25">
      <c r="A19955" t="str">
        <f>"200024498"</f>
        <v>200024498</v>
      </c>
      <c r="B19955" t="str">
        <f>"1265324958"</f>
        <v>1265324958</v>
      </c>
      <c r="C19955" t="str">
        <f>"363LF0000X"</f>
        <v>363LF0000X</v>
      </c>
      <c r="D19955" t="str">
        <f>"MATHIEU                  ABBIGAIL                 "</f>
        <v xml:space="preserve">MATHIEU                  ABBIGAIL                 </v>
      </c>
      <c r="E19955" t="str">
        <f>"BRANDON                   "</f>
        <v xml:space="preserve">BRANDON                   </v>
      </c>
      <c r="F19955" t="str">
        <f t="shared" si="475"/>
        <v>MS</v>
      </c>
    </row>
    <row r="19956" spans="1:6" x14ac:dyDescent="0.25">
      <c r="A19956" t="str">
        <f>"200024502"</f>
        <v>200024502</v>
      </c>
      <c r="B19956" t="str">
        <f>"1548027824"</f>
        <v>1548027824</v>
      </c>
      <c r="C19956" t="str">
        <f>"207L00000X"</f>
        <v>207L00000X</v>
      </c>
      <c r="D19956" t="str">
        <f>"HOLBROOK                 JACOB                    "</f>
        <v xml:space="preserve">HOLBROOK                 JACOB                    </v>
      </c>
      <c r="E19956" t="str">
        <f>"JACKSON                   "</f>
        <v xml:space="preserve">JACKSON                   </v>
      </c>
      <c r="F19956" t="str">
        <f t="shared" si="475"/>
        <v>MS</v>
      </c>
    </row>
    <row r="19957" spans="1:6" x14ac:dyDescent="0.25">
      <c r="A19957" t="str">
        <f>"200024504"</f>
        <v>200024504</v>
      </c>
      <c r="B19957" t="str">
        <f>"1043192982"</f>
        <v>1043192982</v>
      </c>
      <c r="C19957" t="str">
        <f>"363LF0000X"</f>
        <v>363LF0000X</v>
      </c>
      <c r="D19957" t="str">
        <f>"REED                     DEMETRAI                 "</f>
        <v xml:space="preserve">REED                     DEMETRAI                 </v>
      </c>
      <c r="E19957" t="str">
        <f>"CLINTON                   "</f>
        <v xml:space="preserve">CLINTON                   </v>
      </c>
      <c r="F19957" t="str">
        <f t="shared" si="475"/>
        <v>MS</v>
      </c>
    </row>
    <row r="19958" spans="1:6" x14ac:dyDescent="0.25">
      <c r="A19958" t="str">
        <f>"200024505"</f>
        <v>200024505</v>
      </c>
      <c r="B19958" t="str">
        <f>"1316029440"</f>
        <v>1316029440</v>
      </c>
      <c r="C19958" t="str">
        <f>"122300000X"</f>
        <v>122300000X</v>
      </c>
      <c r="D19958" t="str">
        <f>"FORD                     JOHN                     "</f>
        <v xml:space="preserve">FORD                     JOHN                     </v>
      </c>
      <c r="E19958" t="str">
        <f>"WALNUT                    "</f>
        <v xml:space="preserve">WALNUT                    </v>
      </c>
      <c r="F19958" t="str">
        <f t="shared" si="475"/>
        <v>MS</v>
      </c>
    </row>
    <row r="19959" spans="1:6" x14ac:dyDescent="0.25">
      <c r="A19959" t="str">
        <f>"200024511"</f>
        <v>200024511</v>
      </c>
      <c r="B19959" t="str">
        <f>"1619156957"</f>
        <v>1619156957</v>
      </c>
      <c r="C19959" t="str">
        <f>"207RN0300X"</f>
        <v>207RN0300X</v>
      </c>
      <c r="D19959" t="str">
        <f>"BAILEY                   ASHA                     "</f>
        <v xml:space="preserve">BAILEY                   ASHA                     </v>
      </c>
      <c r="E19959" t="str">
        <f>"CANTON                    "</f>
        <v xml:space="preserve">CANTON                    </v>
      </c>
      <c r="F19959" t="str">
        <f t="shared" si="475"/>
        <v>MS</v>
      </c>
    </row>
    <row r="19960" spans="1:6" x14ac:dyDescent="0.25">
      <c r="A19960" t="str">
        <f>"200024513"</f>
        <v>200024513</v>
      </c>
      <c r="B19960" t="str">
        <f>"1699559740"</f>
        <v>1699559740</v>
      </c>
      <c r="C19960" t="str">
        <f>"261QM0801X"</f>
        <v>261QM0801X</v>
      </c>
      <c r="D19960" t="str">
        <f>"HEALE COUNSELING LLC                              "</f>
        <v xml:space="preserve">HEALE COUNSELING LLC                              </v>
      </c>
      <c r="E19960" t="str">
        <f>"TUPELO                    "</f>
        <v xml:space="preserve">TUPELO                    </v>
      </c>
      <c r="F19960" t="str">
        <f t="shared" si="475"/>
        <v>MS</v>
      </c>
    </row>
    <row r="19961" spans="1:6" x14ac:dyDescent="0.25">
      <c r="A19961" t="str">
        <f>"200024525"</f>
        <v>200024525</v>
      </c>
      <c r="B19961" t="str">
        <f>"1609403781"</f>
        <v>1609403781</v>
      </c>
      <c r="C19961" t="str">
        <f>"2084N0400X"</f>
        <v>2084N0400X</v>
      </c>
      <c r="D19961" t="str">
        <f>"MCFARLANE                SPENCER                  "</f>
        <v xml:space="preserve">MCFARLANE                SPENCER                  </v>
      </c>
      <c r="E19961" t="str">
        <f>"TUPELO                    "</f>
        <v xml:space="preserve">TUPELO                    </v>
      </c>
      <c r="F19961" t="str">
        <f t="shared" si="475"/>
        <v>MS</v>
      </c>
    </row>
    <row r="19962" spans="1:6" x14ac:dyDescent="0.25">
      <c r="A19962" t="str">
        <f>"200024526"</f>
        <v>200024526</v>
      </c>
      <c r="B19962" t="str">
        <f>"1629595285"</f>
        <v>1629595285</v>
      </c>
      <c r="C19962" t="str">
        <f>"363LF0000X"</f>
        <v>363LF0000X</v>
      </c>
      <c r="D19962" t="str">
        <f>"CARTER                   TEKONDIA                 "</f>
        <v xml:space="preserve">CARTER                   TEKONDIA                 </v>
      </c>
      <c r="E19962" t="str">
        <f>"JACKSON                   "</f>
        <v xml:space="preserve">JACKSON                   </v>
      </c>
      <c r="F19962" t="str">
        <f t="shared" si="475"/>
        <v>MS</v>
      </c>
    </row>
    <row r="19963" spans="1:6" x14ac:dyDescent="0.25">
      <c r="A19963" t="str">
        <f>"200024529"</f>
        <v>200024529</v>
      </c>
      <c r="B19963" t="str">
        <f>"1184518037"</f>
        <v>1184518037</v>
      </c>
      <c r="C19963" t="str">
        <f>"122300000X"</f>
        <v>122300000X</v>
      </c>
      <c r="D19963" t="str">
        <f>"FORTENBERRY              SHELBY                   "</f>
        <v xml:space="preserve">FORTENBERRY              SHELBY                   </v>
      </c>
      <c r="E19963" t="str">
        <f>"BRANDON                   "</f>
        <v xml:space="preserve">BRANDON                   </v>
      </c>
      <c r="F19963" t="str">
        <f t="shared" si="475"/>
        <v>MS</v>
      </c>
    </row>
    <row r="19964" spans="1:6" x14ac:dyDescent="0.25">
      <c r="A19964" t="str">
        <f>"200024540"</f>
        <v>200024540</v>
      </c>
      <c r="B19964" t="str">
        <f>"1215088984"</f>
        <v>1215088984</v>
      </c>
      <c r="C19964" t="str">
        <f>"207V00000X"</f>
        <v>207V00000X</v>
      </c>
      <c r="D19964" t="str">
        <f>"STONE                    MELANIE                  "</f>
        <v xml:space="preserve">STONE                    MELANIE                  </v>
      </c>
      <c r="E19964" t="str">
        <f>"SOUTHAVEN                 "</f>
        <v xml:space="preserve">SOUTHAVEN                 </v>
      </c>
      <c r="F19964" t="str">
        <f t="shared" si="475"/>
        <v>MS</v>
      </c>
    </row>
    <row r="19965" spans="1:6" x14ac:dyDescent="0.25">
      <c r="A19965" t="str">
        <f>"200024546"</f>
        <v>200024546</v>
      </c>
      <c r="B19965" t="str">
        <f>"1609443571"</f>
        <v>1609443571</v>
      </c>
      <c r="C19965" t="str">
        <f>"207Q00000X"</f>
        <v>207Q00000X</v>
      </c>
      <c r="D19965" t="str">
        <f>"TANAWAN                  JONATHAN                 "</f>
        <v xml:space="preserve">TANAWAN                  JONATHAN                 </v>
      </c>
      <c r="E19965" t="str">
        <f>"JACKSON                   "</f>
        <v xml:space="preserve">JACKSON                   </v>
      </c>
      <c r="F19965" t="str">
        <f t="shared" si="475"/>
        <v>MS</v>
      </c>
    </row>
    <row r="19966" spans="1:6" x14ac:dyDescent="0.25">
      <c r="A19966" t="str">
        <f>"200024548"</f>
        <v>200024548</v>
      </c>
      <c r="B19966" t="str">
        <f>"1033506175"</f>
        <v>1033506175</v>
      </c>
      <c r="C19966" t="str">
        <f>"2084P0800X"</f>
        <v>2084P0800X</v>
      </c>
      <c r="D19966" t="str">
        <f>"LIN                      ANDREW                   "</f>
        <v xml:space="preserve">LIN                      ANDREW                   </v>
      </c>
      <c r="E19966" t="str">
        <f>"TUPELO                    "</f>
        <v xml:space="preserve">TUPELO                    </v>
      </c>
      <c r="F19966" t="str">
        <f t="shared" ref="F19966:F20029" si="476">"MS"</f>
        <v>MS</v>
      </c>
    </row>
    <row r="19967" spans="1:6" x14ac:dyDescent="0.25">
      <c r="A19967" t="str">
        <f>"200024549"</f>
        <v>200024549</v>
      </c>
      <c r="B19967" t="str">
        <f>"1992966485"</f>
        <v>1992966485</v>
      </c>
      <c r="C19967" t="str">
        <f>"208G00000X"</f>
        <v>208G00000X</v>
      </c>
      <c r="D19967" t="str">
        <f>"LEVY                     GAL                      "</f>
        <v xml:space="preserve">LEVY                     GAL                      </v>
      </c>
      <c r="E19967" t="str">
        <f>"JACKSON                   "</f>
        <v xml:space="preserve">JACKSON                   </v>
      </c>
      <c r="F19967" t="str">
        <f t="shared" si="476"/>
        <v>MS</v>
      </c>
    </row>
    <row r="19968" spans="1:6" x14ac:dyDescent="0.25">
      <c r="A19968" t="str">
        <f>"200024551"</f>
        <v>200024551</v>
      </c>
      <c r="B19968" t="str">
        <f>"1588984744"</f>
        <v>1588984744</v>
      </c>
      <c r="C19968" t="str">
        <f>"363LA2100X"</f>
        <v>363LA2100X</v>
      </c>
      <c r="D19968" t="str">
        <f>"GORETH                   DIANNA                   "</f>
        <v xml:space="preserve">GORETH                   DIANNA                   </v>
      </c>
      <c r="E19968" t="str">
        <f>"GLUCKSTADT                "</f>
        <v xml:space="preserve">GLUCKSTADT                </v>
      </c>
      <c r="F19968" t="str">
        <f t="shared" si="476"/>
        <v>MS</v>
      </c>
    </row>
    <row r="19969" spans="1:6" x14ac:dyDescent="0.25">
      <c r="A19969" t="str">
        <f>"200024554"</f>
        <v>200024554</v>
      </c>
      <c r="B19969" t="str">
        <f>"1790548386"</f>
        <v>1790548386</v>
      </c>
      <c r="C19969" t="str">
        <f>"207P00000X"</f>
        <v>207P00000X</v>
      </c>
      <c r="D19969" t="str">
        <f>"HOLLAND                  JEFFREY                  "</f>
        <v xml:space="preserve">HOLLAND                  JEFFREY                  </v>
      </c>
      <c r="E19969" t="str">
        <f>"JACKSON                   "</f>
        <v xml:space="preserve">JACKSON                   </v>
      </c>
      <c r="F19969" t="str">
        <f t="shared" si="476"/>
        <v>MS</v>
      </c>
    </row>
    <row r="19970" spans="1:6" x14ac:dyDescent="0.25">
      <c r="A19970" t="str">
        <f>"200024565"</f>
        <v>200024565</v>
      </c>
      <c r="B19970" t="str">
        <f>"1952595399"</f>
        <v>1952595399</v>
      </c>
      <c r="C19970" t="str">
        <f>"1223X0400X"</f>
        <v>1223X0400X</v>
      </c>
      <c r="D19970" t="str">
        <f>"MONTGOMERY               ERIN         B           "</f>
        <v xml:space="preserve">MONTGOMERY               ERIN         B           </v>
      </c>
      <c r="E19970" t="str">
        <f>"MADISON                   "</f>
        <v xml:space="preserve">MADISON                   </v>
      </c>
      <c r="F19970" t="str">
        <f t="shared" si="476"/>
        <v>MS</v>
      </c>
    </row>
    <row r="19971" spans="1:6" x14ac:dyDescent="0.25">
      <c r="A19971" t="str">
        <f>"200024577"</f>
        <v>200024577</v>
      </c>
      <c r="B19971" t="str">
        <f>"1285511394"</f>
        <v>1285511394</v>
      </c>
      <c r="C19971" t="str">
        <f>"363LF0000X"</f>
        <v>363LF0000X</v>
      </c>
      <c r="D19971" t="str">
        <f>"BUFKIN                   KORI                     "</f>
        <v xml:space="preserve">BUFKIN                   KORI                     </v>
      </c>
      <c r="E19971" t="str">
        <f>"VICKSBURG                 "</f>
        <v xml:space="preserve">VICKSBURG                 </v>
      </c>
      <c r="F19971" t="str">
        <f t="shared" si="476"/>
        <v>MS</v>
      </c>
    </row>
    <row r="19972" spans="1:6" x14ac:dyDescent="0.25">
      <c r="A19972" t="str">
        <f>"200024578"</f>
        <v>200024578</v>
      </c>
      <c r="B19972" t="str">
        <f>"1922237486"</f>
        <v>1922237486</v>
      </c>
      <c r="C19972" t="str">
        <f>"207RH0003X"</f>
        <v>207RH0003X</v>
      </c>
      <c r="D19972" t="str">
        <f>"DAS                      DEVIKA                   "</f>
        <v xml:space="preserve">DAS                      DEVIKA                   </v>
      </c>
      <c r="E19972" t="str">
        <f>"JACKSON                   "</f>
        <v xml:space="preserve">JACKSON                   </v>
      </c>
      <c r="F19972" t="str">
        <f t="shared" si="476"/>
        <v>MS</v>
      </c>
    </row>
    <row r="19973" spans="1:6" x14ac:dyDescent="0.25">
      <c r="A19973" t="str">
        <f>"200024580"</f>
        <v>200024580</v>
      </c>
      <c r="B19973" t="str">
        <f>"1346594942"</f>
        <v>1346594942</v>
      </c>
      <c r="C19973" t="str">
        <f>"207Y00000X"</f>
        <v>207Y00000X</v>
      </c>
      <c r="D19973" t="str">
        <f>"MEHTA                    RAHUL                    "</f>
        <v xml:space="preserve">MEHTA                    RAHUL                    </v>
      </c>
      <c r="E19973" t="str">
        <f>"JACKSON                   "</f>
        <v xml:space="preserve">JACKSON                   </v>
      </c>
      <c r="F19973" t="str">
        <f t="shared" si="476"/>
        <v>MS</v>
      </c>
    </row>
    <row r="19974" spans="1:6" x14ac:dyDescent="0.25">
      <c r="A19974" t="str">
        <f>"200024594"</f>
        <v>200024594</v>
      </c>
      <c r="B19974" t="str">
        <f>"1972320604"</f>
        <v>1972320604</v>
      </c>
      <c r="C19974" t="str">
        <f>"363LF0000X"</f>
        <v>363LF0000X</v>
      </c>
      <c r="D19974" t="str">
        <f>"GILMORE                  CHRISTOPHER              "</f>
        <v xml:space="preserve">GILMORE                  CHRISTOPHER              </v>
      </c>
      <c r="E19974" t="str">
        <f>"MOSS POINT                "</f>
        <v xml:space="preserve">MOSS POINT                </v>
      </c>
      <c r="F19974" t="str">
        <f t="shared" si="476"/>
        <v>MS</v>
      </c>
    </row>
    <row r="19975" spans="1:6" x14ac:dyDescent="0.25">
      <c r="A19975" t="str">
        <f>"200024595"</f>
        <v>200024595</v>
      </c>
      <c r="B19975" t="str">
        <f>"1124764279"</f>
        <v>1124764279</v>
      </c>
      <c r="C19975" t="str">
        <f>"363LF0000X"</f>
        <v>363LF0000X</v>
      </c>
      <c r="D19975" t="str">
        <f>"BRANDON                  BRENDA                   "</f>
        <v xml:space="preserve">BRANDON                  BRENDA                   </v>
      </c>
      <c r="E19975" t="str">
        <f>"EUPORA                    "</f>
        <v xml:space="preserve">EUPORA                    </v>
      </c>
      <c r="F19975" t="str">
        <f t="shared" si="476"/>
        <v>MS</v>
      </c>
    </row>
    <row r="19976" spans="1:6" x14ac:dyDescent="0.25">
      <c r="A19976" t="str">
        <f>"200024596"</f>
        <v>200024596</v>
      </c>
      <c r="B19976" t="str">
        <f>"1154169720"</f>
        <v>1154169720</v>
      </c>
      <c r="C19976" t="str">
        <f>"122300000X"</f>
        <v>122300000X</v>
      </c>
      <c r="D19976" t="str">
        <f>"MOORE                    JOHN                     "</f>
        <v xml:space="preserve">MOORE                    JOHN                     </v>
      </c>
      <c r="E19976" t="str">
        <f>"PEARL                     "</f>
        <v xml:space="preserve">PEARL                     </v>
      </c>
      <c r="F19976" t="str">
        <f t="shared" si="476"/>
        <v>MS</v>
      </c>
    </row>
    <row r="19977" spans="1:6" x14ac:dyDescent="0.25">
      <c r="A19977" t="str">
        <f>"200024599"</f>
        <v>200024599</v>
      </c>
      <c r="B19977" t="str">
        <f>"1528429214"</f>
        <v>1528429214</v>
      </c>
      <c r="C19977" t="str">
        <f>"363LP2300X"</f>
        <v>363LP2300X</v>
      </c>
      <c r="D19977" t="str">
        <f>"MILAM                    CHARITY                  "</f>
        <v xml:space="preserve">MILAM                    CHARITY                  </v>
      </c>
      <c r="E19977" t="str">
        <f>"SOUTHAVEN                 "</f>
        <v xml:space="preserve">SOUTHAVEN                 </v>
      </c>
      <c r="F19977" t="str">
        <f t="shared" si="476"/>
        <v>MS</v>
      </c>
    </row>
    <row r="19978" spans="1:6" x14ac:dyDescent="0.25">
      <c r="A19978" t="str">
        <f>"200024601"</f>
        <v>200024601</v>
      </c>
      <c r="B19978" t="str">
        <f>"1386842490"</f>
        <v>1386842490</v>
      </c>
      <c r="C19978" t="str">
        <f>"207VM0101X"</f>
        <v>207VM0101X</v>
      </c>
      <c r="D19978" t="str">
        <f>"GAMBALA                  CECILIA                  "</f>
        <v xml:space="preserve">GAMBALA                  CECILIA                  </v>
      </c>
      <c r="E19978" t="str">
        <f>"GULFPORT                  "</f>
        <v xml:space="preserve">GULFPORT                  </v>
      </c>
      <c r="F19978" t="str">
        <f t="shared" si="476"/>
        <v>MS</v>
      </c>
    </row>
    <row r="19979" spans="1:6" x14ac:dyDescent="0.25">
      <c r="A19979" t="str">
        <f>"200024608"</f>
        <v>200024608</v>
      </c>
      <c r="B19979" t="str">
        <f>"1568358794"</f>
        <v>1568358794</v>
      </c>
      <c r="C19979" t="str">
        <f>"261QM1300X"</f>
        <v>261QM1300X</v>
      </c>
      <c r="D19979" t="str">
        <f>"NEXT STEPS PEDIATRIC THERAPY                      "</f>
        <v xml:space="preserve">NEXT STEPS PEDIATRIC THERAPY                      </v>
      </c>
      <c r="E19979" t="str">
        <f>"JACKSON                   "</f>
        <v xml:space="preserve">JACKSON                   </v>
      </c>
      <c r="F19979" t="str">
        <f t="shared" si="476"/>
        <v>MS</v>
      </c>
    </row>
    <row r="19980" spans="1:6" x14ac:dyDescent="0.25">
      <c r="A19980" t="str">
        <f>"200024615"</f>
        <v>200024615</v>
      </c>
      <c r="B19980" t="str">
        <f>"1649160813"</f>
        <v>1649160813</v>
      </c>
      <c r="C19980" t="str">
        <f>"207R00000X"</f>
        <v>207R00000X</v>
      </c>
      <c r="D19980" t="str">
        <f>"QAISER                   WARDA        R           "</f>
        <v xml:space="preserve">QAISER                   WARDA        R           </v>
      </c>
      <c r="E19980" t="str">
        <f>"COLUMBUS                  "</f>
        <v xml:space="preserve">COLUMBUS                  </v>
      </c>
      <c r="F19980" t="str">
        <f t="shared" si="476"/>
        <v>MS</v>
      </c>
    </row>
    <row r="19981" spans="1:6" x14ac:dyDescent="0.25">
      <c r="A19981" t="str">
        <f>"200024627"</f>
        <v>200024627</v>
      </c>
      <c r="B19981" t="str">
        <f>"1831063965"</f>
        <v>1831063965</v>
      </c>
      <c r="C19981" t="str">
        <f>"363L00000X"</f>
        <v>363L00000X</v>
      </c>
      <c r="D19981" t="str">
        <f>"CRAWFORD                 ALLISON                  "</f>
        <v xml:space="preserve">CRAWFORD                 ALLISON                  </v>
      </c>
      <c r="E19981" t="str">
        <f>"COLDWATER                 "</f>
        <v xml:space="preserve">COLDWATER                 </v>
      </c>
      <c r="F19981" t="str">
        <f t="shared" si="476"/>
        <v>MS</v>
      </c>
    </row>
    <row r="19982" spans="1:6" x14ac:dyDescent="0.25">
      <c r="A19982" t="str">
        <f>"200024630"</f>
        <v>200024630</v>
      </c>
      <c r="B19982" t="str">
        <f>"1770389744"</f>
        <v>1770389744</v>
      </c>
      <c r="C19982" t="str">
        <f>"363LF0000X"</f>
        <v>363LF0000X</v>
      </c>
      <c r="D19982" t="str">
        <f>"GATEWOOD                 ANNA                     "</f>
        <v xml:space="preserve">GATEWOOD                 ANNA                     </v>
      </c>
      <c r="E19982" t="str">
        <f>"RIDGELAND                 "</f>
        <v xml:space="preserve">RIDGELAND                 </v>
      </c>
      <c r="F19982" t="str">
        <f t="shared" si="476"/>
        <v>MS</v>
      </c>
    </row>
    <row r="19983" spans="1:6" x14ac:dyDescent="0.25">
      <c r="A19983" t="str">
        <f>"200024633"</f>
        <v>200024633</v>
      </c>
      <c r="B19983" t="str">
        <f>"1568456655"</f>
        <v>1568456655</v>
      </c>
      <c r="C19983" t="str">
        <f>"207V00000X"</f>
        <v>207V00000X</v>
      </c>
      <c r="D19983" t="str">
        <f>"KAKANI                   KRISHNA                  "</f>
        <v xml:space="preserve">KAKANI                   KRISHNA                  </v>
      </c>
      <c r="E19983" t="str">
        <f>"CLARKSDALE                "</f>
        <v xml:space="preserve">CLARKSDALE                </v>
      </c>
      <c r="F19983" t="str">
        <f t="shared" si="476"/>
        <v>MS</v>
      </c>
    </row>
    <row r="19984" spans="1:6" x14ac:dyDescent="0.25">
      <c r="A19984" t="str">
        <f>"200024641"</f>
        <v>200024641</v>
      </c>
      <c r="B19984" t="str">
        <f>"1174524185"</f>
        <v>1174524185</v>
      </c>
      <c r="C19984" t="str">
        <f>"2085R0202X"</f>
        <v>2085R0202X</v>
      </c>
      <c r="D19984" t="str">
        <f>"OBLEY                    DAVID        L           "</f>
        <v xml:space="preserve">OBLEY                    DAVID        L           </v>
      </c>
      <c r="E19984" t="str">
        <f>"CANTON                    "</f>
        <v xml:space="preserve">CANTON                    </v>
      </c>
      <c r="F19984" t="str">
        <f t="shared" si="476"/>
        <v>MS</v>
      </c>
    </row>
    <row r="19985" spans="1:6" x14ac:dyDescent="0.25">
      <c r="A19985" t="str">
        <f>"200024642"</f>
        <v>200024642</v>
      </c>
      <c r="B19985" t="str">
        <f>"1730366824"</f>
        <v>1730366824</v>
      </c>
      <c r="C19985" t="str">
        <f>"261QM0801X"</f>
        <v>261QM0801X</v>
      </c>
      <c r="D19985" t="str">
        <f>"HEALTH CONNECT AMERICA INC                        "</f>
        <v xml:space="preserve">HEALTH CONNECT AMERICA INC                        </v>
      </c>
      <c r="E19985" t="str">
        <f>"SALTILLO                  "</f>
        <v xml:space="preserve">SALTILLO                  </v>
      </c>
      <c r="F19985" t="str">
        <f t="shared" si="476"/>
        <v>MS</v>
      </c>
    </row>
    <row r="19986" spans="1:6" x14ac:dyDescent="0.25">
      <c r="A19986" t="str">
        <f>"200024650"</f>
        <v>200024650</v>
      </c>
      <c r="B19986" t="str">
        <f>"1477556942"</f>
        <v>1477556942</v>
      </c>
      <c r="C19986" t="str">
        <f>"2085R0202X"</f>
        <v>2085R0202X</v>
      </c>
      <c r="D19986" t="str">
        <f>"PARIKH                   SALIL                    "</f>
        <v xml:space="preserve">PARIKH                   SALIL                    </v>
      </c>
      <c r="E19986" t="str">
        <f>"OLIVE BRANCH              "</f>
        <v xml:space="preserve">OLIVE BRANCH              </v>
      </c>
      <c r="F19986" t="str">
        <f t="shared" si="476"/>
        <v>MS</v>
      </c>
    </row>
    <row r="19987" spans="1:6" x14ac:dyDescent="0.25">
      <c r="A19987" t="str">
        <f>"200024651"</f>
        <v>200024651</v>
      </c>
      <c r="B19987" t="str">
        <f>"1538162946"</f>
        <v>1538162946</v>
      </c>
      <c r="C19987" t="str">
        <f>"2085R0202X"</f>
        <v>2085R0202X</v>
      </c>
      <c r="D19987" t="str">
        <f>"SELVIDGE                 SIDNEY       D           "</f>
        <v xml:space="preserve">SELVIDGE                 SIDNEY       D           </v>
      </c>
      <c r="E19987" t="str">
        <f>"OLIVE BRANCH              "</f>
        <v xml:space="preserve">OLIVE BRANCH              </v>
      </c>
      <c r="F19987" t="str">
        <f t="shared" si="476"/>
        <v>MS</v>
      </c>
    </row>
    <row r="19988" spans="1:6" x14ac:dyDescent="0.25">
      <c r="A19988" t="str">
        <f>"200024653"</f>
        <v>200024653</v>
      </c>
      <c r="B19988" t="str">
        <f>"1124899372"</f>
        <v>1124899372</v>
      </c>
      <c r="C19988" t="str">
        <f>"363LF0000X"</f>
        <v>363LF0000X</v>
      </c>
      <c r="D19988" t="str">
        <f>"KENNEDY                  SARA                     "</f>
        <v xml:space="preserve">KENNEDY                  SARA                     </v>
      </c>
      <c r="E19988" t="str">
        <f>"GLUCKSTADT                "</f>
        <v xml:space="preserve">GLUCKSTADT                </v>
      </c>
      <c r="F19988" t="str">
        <f t="shared" si="476"/>
        <v>MS</v>
      </c>
    </row>
    <row r="19989" spans="1:6" x14ac:dyDescent="0.25">
      <c r="A19989" t="str">
        <f>"200024654"</f>
        <v>200024654</v>
      </c>
      <c r="B19989" t="str">
        <f>"1114564077"</f>
        <v>1114564077</v>
      </c>
      <c r="C19989" t="str">
        <f>"363L00000X"</f>
        <v>363L00000X</v>
      </c>
      <c r="D19989" t="str">
        <f>"HORTON                   ERICA                    "</f>
        <v xml:space="preserve">HORTON                   ERICA                    </v>
      </c>
      <c r="E19989" t="str">
        <f>"JACKSON                   "</f>
        <v xml:space="preserve">JACKSON                   </v>
      </c>
      <c r="F19989" t="str">
        <f t="shared" si="476"/>
        <v>MS</v>
      </c>
    </row>
    <row r="19990" spans="1:6" x14ac:dyDescent="0.25">
      <c r="A19990" t="str">
        <f>"200024655"</f>
        <v>200024655</v>
      </c>
      <c r="B19990" t="str">
        <f>"1699564419"</f>
        <v>1699564419</v>
      </c>
      <c r="C19990" t="str">
        <f>"261QM0801X"</f>
        <v>261QM0801X</v>
      </c>
      <c r="D19990" t="str">
        <f>"SOUTH MISSISSIPPI MENTAL HEALTH CENTER            "</f>
        <v xml:space="preserve">SOUTH MISSISSIPPI MENTAL HEALTH CENTER            </v>
      </c>
      <c r="E19990" t="str">
        <f>"MOSS POINT                "</f>
        <v xml:space="preserve">MOSS POINT                </v>
      </c>
      <c r="F19990" t="str">
        <f t="shared" si="476"/>
        <v>MS</v>
      </c>
    </row>
    <row r="19991" spans="1:6" x14ac:dyDescent="0.25">
      <c r="A19991" t="str">
        <f>"200024658"</f>
        <v>200024658</v>
      </c>
      <c r="B19991" t="str">
        <f>"1609740406"</f>
        <v>1609740406</v>
      </c>
      <c r="C19991" t="str">
        <f>"363LF0000X"</f>
        <v>363LF0000X</v>
      </c>
      <c r="D19991" t="str">
        <f>"PICKLE                   BRIANNA                  "</f>
        <v xml:space="preserve">PICKLE                   BRIANNA                  </v>
      </c>
      <c r="E19991" t="str">
        <f>"AMORY                     "</f>
        <v xml:space="preserve">AMORY                     </v>
      </c>
      <c r="F19991" t="str">
        <f t="shared" si="476"/>
        <v>MS</v>
      </c>
    </row>
    <row r="19992" spans="1:6" x14ac:dyDescent="0.25">
      <c r="A19992" t="str">
        <f>"200024662"</f>
        <v>200024662</v>
      </c>
      <c r="B19992" t="str">
        <f>"1083591465"</f>
        <v>1083591465</v>
      </c>
      <c r="C19992" t="str">
        <f>"363LF0000X"</f>
        <v>363LF0000X</v>
      </c>
      <c r="D19992" t="str">
        <f>"MCBRIDE                  JEARICA      E           "</f>
        <v xml:space="preserve">MCBRIDE                  JEARICA      E           </v>
      </c>
      <c r="E19992" t="str">
        <f>"GRENADA                   "</f>
        <v xml:space="preserve">GRENADA                   </v>
      </c>
      <c r="F19992" t="str">
        <f t="shared" si="476"/>
        <v>MS</v>
      </c>
    </row>
    <row r="19993" spans="1:6" x14ac:dyDescent="0.25">
      <c r="A19993" t="str">
        <f>"200024675"</f>
        <v>200024675</v>
      </c>
      <c r="B19993" t="str">
        <f>"1790665495"</f>
        <v>1790665495</v>
      </c>
      <c r="C19993" t="str">
        <f>"363L00000X"</f>
        <v>363L00000X</v>
      </c>
      <c r="D19993" t="str">
        <f>"STEWART                  KELLI                    "</f>
        <v xml:space="preserve">STEWART                  KELLI                    </v>
      </c>
      <c r="E19993" t="str">
        <f>"MACON                     "</f>
        <v xml:space="preserve">MACON                     </v>
      </c>
      <c r="F19993" t="str">
        <f t="shared" si="476"/>
        <v>MS</v>
      </c>
    </row>
    <row r="19994" spans="1:6" x14ac:dyDescent="0.25">
      <c r="A19994" t="str">
        <f>"200024677"</f>
        <v>200024677</v>
      </c>
      <c r="B19994" t="str">
        <f>"1245338441"</f>
        <v>1245338441</v>
      </c>
      <c r="C19994" t="str">
        <f>"2084P0800X"</f>
        <v>2084P0800X</v>
      </c>
      <c r="D19994" t="str">
        <f>"THOMAS - TAYLOR          JENNIFER                 "</f>
        <v xml:space="preserve">THOMAS - TAYLOR          JENNIFER                 </v>
      </c>
      <c r="E19994" t="str">
        <f>"JACKSON                   "</f>
        <v xml:space="preserve">JACKSON                   </v>
      </c>
      <c r="F19994" t="str">
        <f t="shared" si="476"/>
        <v>MS</v>
      </c>
    </row>
    <row r="19995" spans="1:6" x14ac:dyDescent="0.25">
      <c r="A19995" t="str">
        <f>"200024688"</f>
        <v>200024688</v>
      </c>
      <c r="B19995" t="str">
        <f>"1699564419"</f>
        <v>1699564419</v>
      </c>
      <c r="C19995" t="str">
        <f>"261QM0801X"</f>
        <v>261QM0801X</v>
      </c>
      <c r="D19995" t="str">
        <f>"SOUTH MISSISSIPPI MENTAL HEALTH CENTER            "</f>
        <v xml:space="preserve">SOUTH MISSISSIPPI MENTAL HEALTH CENTER            </v>
      </c>
      <c r="E19995" t="str">
        <f>"PASCAGOULA                "</f>
        <v xml:space="preserve">PASCAGOULA                </v>
      </c>
      <c r="F19995" t="str">
        <f t="shared" si="476"/>
        <v>MS</v>
      </c>
    </row>
    <row r="19996" spans="1:6" x14ac:dyDescent="0.25">
      <c r="A19996" t="str">
        <f>"200024690"</f>
        <v>200024690</v>
      </c>
      <c r="B19996" t="str">
        <f>"1164213815"</f>
        <v>1164213815</v>
      </c>
      <c r="C19996" t="str">
        <f>"363A00000X"</f>
        <v>363A00000X</v>
      </c>
      <c r="D19996" t="str">
        <f>"JAMILA                   LAILA                    "</f>
        <v xml:space="preserve">JAMILA                   LAILA                    </v>
      </c>
      <c r="E19996" t="str">
        <f>"FLOWOOD                   "</f>
        <v xml:space="preserve">FLOWOOD                   </v>
      </c>
      <c r="F19996" t="str">
        <f t="shared" si="476"/>
        <v>MS</v>
      </c>
    </row>
    <row r="19997" spans="1:6" x14ac:dyDescent="0.25">
      <c r="A19997" t="str">
        <f>"200024697"</f>
        <v>200024697</v>
      </c>
      <c r="B19997" t="str">
        <f>"1447074174"</f>
        <v>1447074174</v>
      </c>
      <c r="C19997" t="str">
        <f>"363LF0000X"</f>
        <v>363LF0000X</v>
      </c>
      <c r="D19997" t="str">
        <f>"FULKERSON                MARGARET                 "</f>
        <v xml:space="preserve">FULKERSON                MARGARET                 </v>
      </c>
      <c r="E19997" t="str">
        <f>"BAY SPRINGS               "</f>
        <v xml:space="preserve">BAY SPRINGS               </v>
      </c>
      <c r="F19997" t="str">
        <f t="shared" si="476"/>
        <v>MS</v>
      </c>
    </row>
    <row r="19998" spans="1:6" x14ac:dyDescent="0.25">
      <c r="A19998" t="str">
        <f>"200024700"</f>
        <v>200024700</v>
      </c>
      <c r="B19998" t="str">
        <f>"1437978103"</f>
        <v>1437978103</v>
      </c>
      <c r="C19998" t="str">
        <f>"363LP0808X"</f>
        <v>363LP0808X</v>
      </c>
      <c r="D19998" t="str">
        <f>"GOOCH                    MADISON      M           "</f>
        <v xml:space="preserve">GOOCH                    MADISON      M           </v>
      </c>
      <c r="E19998" t="str">
        <f>"SOUTHAVEN                 "</f>
        <v xml:space="preserve">SOUTHAVEN                 </v>
      </c>
      <c r="F19998" t="str">
        <f t="shared" si="476"/>
        <v>MS</v>
      </c>
    </row>
    <row r="19999" spans="1:6" x14ac:dyDescent="0.25">
      <c r="A19999" t="str">
        <f>"200024721"</f>
        <v>200024721</v>
      </c>
      <c r="B19999" t="str">
        <f>"1386910933"</f>
        <v>1386910933</v>
      </c>
      <c r="C19999" t="str">
        <f>"207RI0011X"</f>
        <v>207RI0011X</v>
      </c>
      <c r="D19999" t="str">
        <f>"DUDZINSKI                JOHN                     "</f>
        <v xml:space="preserve">DUDZINSKI                JOHN                     </v>
      </c>
      <c r="E19999" t="str">
        <f>"HATTIESBURG               "</f>
        <v xml:space="preserve">HATTIESBURG               </v>
      </c>
      <c r="F19999" t="str">
        <f t="shared" si="476"/>
        <v>MS</v>
      </c>
    </row>
    <row r="20000" spans="1:6" x14ac:dyDescent="0.25">
      <c r="A20000" t="str">
        <f>"200024729"</f>
        <v>200024729</v>
      </c>
      <c r="B20000" t="str">
        <f>"1962389866"</f>
        <v>1962389866</v>
      </c>
      <c r="C20000" t="str">
        <f>"363L00000X"</f>
        <v>363L00000X</v>
      </c>
      <c r="D20000" t="str">
        <f>"SWEARENGEN               KEELAN                   "</f>
        <v xml:space="preserve">SWEARENGEN               KEELAN                   </v>
      </c>
      <c r="E20000" t="str">
        <f>"HATTIESBURG               "</f>
        <v xml:space="preserve">HATTIESBURG               </v>
      </c>
      <c r="F20000" t="str">
        <f t="shared" si="476"/>
        <v>MS</v>
      </c>
    </row>
    <row r="20001" spans="1:6" x14ac:dyDescent="0.25">
      <c r="A20001" t="str">
        <f>"200024733"</f>
        <v>200024733</v>
      </c>
      <c r="B20001" t="str">
        <f>"1952304107"</f>
        <v>1952304107</v>
      </c>
      <c r="C20001" t="str">
        <f>"2085R0204X"</f>
        <v>2085R0204X</v>
      </c>
      <c r="D20001" t="str">
        <f>"FANG                     DAVID                    "</f>
        <v xml:space="preserve">FANG                     DAVID                    </v>
      </c>
      <c r="E20001" t="str">
        <f>"OLIVE BRANCH              "</f>
        <v xml:space="preserve">OLIVE BRANCH              </v>
      </c>
      <c r="F20001" t="str">
        <f t="shared" si="476"/>
        <v>MS</v>
      </c>
    </row>
    <row r="20002" spans="1:6" x14ac:dyDescent="0.25">
      <c r="A20002" t="str">
        <f>"200024734"</f>
        <v>200024734</v>
      </c>
      <c r="B20002" t="str">
        <f>"1295575926"</f>
        <v>1295575926</v>
      </c>
      <c r="C20002" t="str">
        <f>"122300000X"</f>
        <v>122300000X</v>
      </c>
      <c r="D20002" t="str">
        <f>"CORINTH DENTAL                                    "</f>
        <v xml:space="preserve">CORINTH DENTAL                                    </v>
      </c>
      <c r="E20002" t="str">
        <f>"CORINTH                   "</f>
        <v xml:space="preserve">CORINTH                   </v>
      </c>
      <c r="F20002" t="str">
        <f t="shared" si="476"/>
        <v>MS</v>
      </c>
    </row>
    <row r="20003" spans="1:6" x14ac:dyDescent="0.25">
      <c r="A20003" t="str">
        <f>"200024736"</f>
        <v>200024736</v>
      </c>
      <c r="B20003" t="str">
        <f>"1578564076"</f>
        <v>1578564076</v>
      </c>
      <c r="C20003" t="str">
        <f>"207ZP0102X"</f>
        <v>207ZP0102X</v>
      </c>
      <c r="D20003" t="str">
        <f>"CALHOUN                  BENJAMIN     C           "</f>
        <v xml:space="preserve">CALHOUN                  BENJAMIN     C           </v>
      </c>
      <c r="E20003" t="str">
        <f>"SOUTHAVEN                 "</f>
        <v xml:space="preserve">SOUTHAVEN                 </v>
      </c>
      <c r="F20003" t="str">
        <f t="shared" si="476"/>
        <v>MS</v>
      </c>
    </row>
    <row r="20004" spans="1:6" x14ac:dyDescent="0.25">
      <c r="A20004" t="str">
        <f>"200024741"</f>
        <v>200024741</v>
      </c>
      <c r="B20004" t="str">
        <f>"1932570074"</f>
        <v>1932570074</v>
      </c>
      <c r="C20004" t="str">
        <f>"363LF0000X"</f>
        <v>363LF0000X</v>
      </c>
      <c r="D20004" t="str">
        <f>"PITTS                    NATAYLA      R           "</f>
        <v xml:space="preserve">PITTS                    NATAYLA      R           </v>
      </c>
      <c r="E20004" t="str">
        <f>"RULEVILLE                 "</f>
        <v xml:space="preserve">RULEVILLE                 </v>
      </c>
      <c r="F20004" t="str">
        <f t="shared" si="476"/>
        <v>MS</v>
      </c>
    </row>
    <row r="20005" spans="1:6" x14ac:dyDescent="0.25">
      <c r="A20005" t="str">
        <f>"200024742"</f>
        <v>200024742</v>
      </c>
      <c r="B20005" t="str">
        <f>"1780261867"</f>
        <v>1780261867</v>
      </c>
      <c r="C20005" t="str">
        <f>"363LP2300X"</f>
        <v>363LP2300X</v>
      </c>
      <c r="D20005" t="str">
        <f>"AUSTIN                   ERICKA                   "</f>
        <v xml:space="preserve">AUSTIN                   ERICKA                   </v>
      </c>
      <c r="E20005" t="str">
        <f>"SOUTHAVEN                 "</f>
        <v xml:space="preserve">SOUTHAVEN                 </v>
      </c>
      <c r="F20005" t="str">
        <f t="shared" si="476"/>
        <v>MS</v>
      </c>
    </row>
    <row r="20006" spans="1:6" x14ac:dyDescent="0.25">
      <c r="A20006" t="str">
        <f>"200024746"</f>
        <v>200024746</v>
      </c>
      <c r="B20006" t="str">
        <f>"1740755180"</f>
        <v>1740755180</v>
      </c>
      <c r="C20006" t="str">
        <f>"367A00000X"</f>
        <v>367A00000X</v>
      </c>
      <c r="D20006" t="str">
        <f>"BARAHONA                 AMARILY                  "</f>
        <v xml:space="preserve">BARAHONA                 AMARILY                  </v>
      </c>
      <c r="E20006" t="str">
        <f>"RIDGELAND                 "</f>
        <v xml:space="preserve">RIDGELAND                 </v>
      </c>
      <c r="F20006" t="str">
        <f t="shared" si="476"/>
        <v>MS</v>
      </c>
    </row>
    <row r="20007" spans="1:6" x14ac:dyDescent="0.25">
      <c r="A20007" t="str">
        <f>"200024748"</f>
        <v>200024748</v>
      </c>
      <c r="B20007" t="str">
        <f>"1538047949"</f>
        <v>1538047949</v>
      </c>
      <c r="C20007" t="str">
        <f>"363L00000X"</f>
        <v>363L00000X</v>
      </c>
      <c r="D20007" t="str">
        <f>"MITCHELL                 HALEY                    "</f>
        <v xml:space="preserve">MITCHELL                 HALEY                    </v>
      </c>
      <c r="E20007" t="str">
        <f>"BROOKHAVEN                "</f>
        <v xml:space="preserve">BROOKHAVEN                </v>
      </c>
      <c r="F20007" t="str">
        <f t="shared" si="476"/>
        <v>MS</v>
      </c>
    </row>
    <row r="20008" spans="1:6" x14ac:dyDescent="0.25">
      <c r="A20008" t="str">
        <f>"200024749"</f>
        <v>200024749</v>
      </c>
      <c r="B20008" t="str">
        <f>"1760218630"</f>
        <v>1760218630</v>
      </c>
      <c r="C20008" t="str">
        <f>"363LF0000X"</f>
        <v>363LF0000X</v>
      </c>
      <c r="D20008" t="str">
        <f>"BOULTON                  JADE                     "</f>
        <v xml:space="preserve">BOULTON                  JADE                     </v>
      </c>
      <c r="E20008" t="str">
        <f>"SOUTHAVEN                 "</f>
        <v xml:space="preserve">SOUTHAVEN                 </v>
      </c>
      <c r="F20008" t="str">
        <f t="shared" si="476"/>
        <v>MS</v>
      </c>
    </row>
    <row r="20009" spans="1:6" x14ac:dyDescent="0.25">
      <c r="A20009" t="str">
        <f>"200024750"</f>
        <v>200024750</v>
      </c>
      <c r="B20009" t="str">
        <f>"1508498841"</f>
        <v>1508498841</v>
      </c>
      <c r="C20009" t="str">
        <f>"363LP0200X"</f>
        <v>363LP0200X</v>
      </c>
      <c r="D20009" t="str">
        <f>"OCHOA                    SARAH                    "</f>
        <v xml:space="preserve">OCHOA                    SARAH                    </v>
      </c>
      <c r="E20009" t="str">
        <f>"RIDGELAND                 "</f>
        <v xml:space="preserve">RIDGELAND                 </v>
      </c>
      <c r="F20009" t="str">
        <f t="shared" si="476"/>
        <v>MS</v>
      </c>
    </row>
    <row r="20010" spans="1:6" x14ac:dyDescent="0.25">
      <c r="A20010" t="str">
        <f>"200024751"</f>
        <v>200024751</v>
      </c>
      <c r="B20010" t="str">
        <f>"1225620032"</f>
        <v>1225620032</v>
      </c>
      <c r="C20010" t="str">
        <f>"363LF0000X"</f>
        <v>363LF0000X</v>
      </c>
      <c r="D20010" t="str">
        <f>"KRZYSIK                  THEODORE                 "</f>
        <v xml:space="preserve">KRZYSIK                  THEODORE                 </v>
      </c>
      <c r="E20010" t="str">
        <f>"JACKSON                   "</f>
        <v xml:space="preserve">JACKSON                   </v>
      </c>
      <c r="F20010" t="str">
        <f t="shared" si="476"/>
        <v>MS</v>
      </c>
    </row>
    <row r="20011" spans="1:6" x14ac:dyDescent="0.25">
      <c r="A20011" t="str">
        <f>"200024755"</f>
        <v>200024755</v>
      </c>
      <c r="B20011" t="str">
        <f>"1427856152"</f>
        <v>1427856152</v>
      </c>
      <c r="C20011" t="str">
        <f>"363LP0808X"</f>
        <v>363LP0808X</v>
      </c>
      <c r="D20011" t="str">
        <f>"STEWART                  DOROTHY                  "</f>
        <v xml:space="preserve">STEWART                  DOROTHY                  </v>
      </c>
      <c r="E20011" t="str">
        <f>"FLOWOOD                   "</f>
        <v xml:space="preserve">FLOWOOD                   </v>
      </c>
      <c r="F20011" t="str">
        <f t="shared" si="476"/>
        <v>MS</v>
      </c>
    </row>
    <row r="20012" spans="1:6" x14ac:dyDescent="0.25">
      <c r="A20012" t="str">
        <f>"200024756"</f>
        <v>200024756</v>
      </c>
      <c r="B20012" t="str">
        <f>"1033850169"</f>
        <v>1033850169</v>
      </c>
      <c r="C20012" t="str">
        <f>"207R00000X"</f>
        <v>207R00000X</v>
      </c>
      <c r="D20012" t="str">
        <f>"PARIKH                   BHAVYA       A           "</f>
        <v xml:space="preserve">PARIKH                   BHAVYA       A           </v>
      </c>
      <c r="E20012" t="str">
        <f>"VICKSBURG                 "</f>
        <v xml:space="preserve">VICKSBURG                 </v>
      </c>
      <c r="F20012" t="str">
        <f t="shared" si="476"/>
        <v>MS</v>
      </c>
    </row>
    <row r="20013" spans="1:6" x14ac:dyDescent="0.25">
      <c r="A20013" t="str">
        <f>"200024758"</f>
        <v>200024758</v>
      </c>
      <c r="B20013" t="str">
        <f>"1962720136"</f>
        <v>1962720136</v>
      </c>
      <c r="C20013" t="str">
        <f>"207RI0011X"</f>
        <v>207RI0011X</v>
      </c>
      <c r="D20013" t="str">
        <f>"BEKWELEM                 WOBO                     "</f>
        <v xml:space="preserve">BEKWELEM                 WOBO                     </v>
      </c>
      <c r="E20013" t="str">
        <f>"HATTIESBURG               "</f>
        <v xml:space="preserve">HATTIESBURG               </v>
      </c>
      <c r="F20013" t="str">
        <f t="shared" si="476"/>
        <v>MS</v>
      </c>
    </row>
    <row r="20014" spans="1:6" x14ac:dyDescent="0.25">
      <c r="A20014" t="str">
        <f>"200024765"</f>
        <v>200024765</v>
      </c>
      <c r="B20014" t="str">
        <f>"1659509883"</f>
        <v>1659509883</v>
      </c>
      <c r="C20014" t="str">
        <f>"207Q00000X"</f>
        <v>207Q00000X</v>
      </c>
      <c r="D20014" t="str">
        <f>"JIMERSON                 MICHELLE                 "</f>
        <v xml:space="preserve">JIMERSON                 MICHELLE                 </v>
      </c>
      <c r="E20014" t="str">
        <f>"MADISON                   "</f>
        <v xml:space="preserve">MADISON                   </v>
      </c>
      <c r="F20014" t="str">
        <f t="shared" si="476"/>
        <v>MS</v>
      </c>
    </row>
    <row r="20015" spans="1:6" x14ac:dyDescent="0.25">
      <c r="A20015" t="str">
        <f>"200024767"</f>
        <v>200024767</v>
      </c>
      <c r="B20015" t="str">
        <f>"1780551234"</f>
        <v>1780551234</v>
      </c>
      <c r="C20015" t="str">
        <f>"363LF0000X"</f>
        <v>363LF0000X</v>
      </c>
      <c r="D20015" t="str">
        <f>"JOHNSON                  KANDI        M           "</f>
        <v xml:space="preserve">JOHNSON                  KANDI        M           </v>
      </c>
      <c r="E20015" t="str">
        <f>"GREENVILLE                "</f>
        <v xml:space="preserve">GREENVILLE                </v>
      </c>
      <c r="F20015" t="str">
        <f t="shared" si="476"/>
        <v>MS</v>
      </c>
    </row>
    <row r="20016" spans="1:6" x14ac:dyDescent="0.25">
      <c r="A20016" t="str">
        <f>"200024770"</f>
        <v>200024770</v>
      </c>
      <c r="B20016" t="str">
        <f>"1346263753"</f>
        <v>1346263753</v>
      </c>
      <c r="C20016" t="str">
        <f>"207P00000X"</f>
        <v>207P00000X</v>
      </c>
      <c r="D20016" t="str">
        <f>"BYRNES                   EDWARD                   "</f>
        <v xml:space="preserve">BYRNES                   EDWARD                   </v>
      </c>
      <c r="E20016" t="str">
        <f>"HAZLEHURST                "</f>
        <v xml:space="preserve">HAZLEHURST                </v>
      </c>
      <c r="F20016" t="str">
        <f t="shared" si="476"/>
        <v>MS</v>
      </c>
    </row>
    <row r="20017" spans="1:6" x14ac:dyDescent="0.25">
      <c r="A20017" t="str">
        <f>"200024771"</f>
        <v>200024771</v>
      </c>
      <c r="B20017" t="str">
        <f>"1043952161"</f>
        <v>1043952161</v>
      </c>
      <c r="C20017" t="str">
        <f>"207Q00000X"</f>
        <v>207Q00000X</v>
      </c>
      <c r="D20017" t="str">
        <f>"KHORSANDI                DENA                     "</f>
        <v xml:space="preserve">KHORSANDI                DENA                     </v>
      </c>
      <c r="E20017" t="str">
        <f>"JACKSON                   "</f>
        <v xml:space="preserve">JACKSON                   </v>
      </c>
      <c r="F20017" t="str">
        <f t="shared" si="476"/>
        <v>MS</v>
      </c>
    </row>
    <row r="20018" spans="1:6" x14ac:dyDescent="0.25">
      <c r="A20018" t="str">
        <f>"200024777"</f>
        <v>200024777</v>
      </c>
      <c r="B20018" t="str">
        <f>"1487317491"</f>
        <v>1487317491</v>
      </c>
      <c r="C20018" t="str">
        <f>"363LG0600X"</f>
        <v>363LG0600X</v>
      </c>
      <c r="D20018" t="str">
        <f>"NEWSON                   LATONYA      D           "</f>
        <v xml:space="preserve">NEWSON                   LATONYA      D           </v>
      </c>
      <c r="E20018" t="str">
        <f>"GREENVILLE                "</f>
        <v xml:space="preserve">GREENVILLE                </v>
      </c>
      <c r="F20018" t="str">
        <f t="shared" si="476"/>
        <v>MS</v>
      </c>
    </row>
    <row r="20019" spans="1:6" x14ac:dyDescent="0.25">
      <c r="A20019" t="str">
        <f>"200024779"</f>
        <v>200024779</v>
      </c>
      <c r="B20019" t="str">
        <f>"1902216443"</f>
        <v>1902216443</v>
      </c>
      <c r="C20019" t="str">
        <f>"207P00000X"</f>
        <v>207P00000X</v>
      </c>
      <c r="D20019" t="str">
        <f>"SMALE                    LISA                     "</f>
        <v xml:space="preserve">SMALE                    LISA                     </v>
      </c>
      <c r="E20019" t="str">
        <f>"MADISON                   "</f>
        <v xml:space="preserve">MADISON                   </v>
      </c>
      <c r="F20019" t="str">
        <f t="shared" si="476"/>
        <v>MS</v>
      </c>
    </row>
    <row r="20020" spans="1:6" x14ac:dyDescent="0.25">
      <c r="A20020" t="str">
        <f>"200024784"</f>
        <v>200024784</v>
      </c>
      <c r="B20020" t="str">
        <f>"1174006522"</f>
        <v>1174006522</v>
      </c>
      <c r="C20020" t="str">
        <f>"363LF0000X"</f>
        <v>363LF0000X</v>
      </c>
      <c r="D20020" t="str">
        <f>"TISDALE                  DONALD       GREG        "</f>
        <v xml:space="preserve">TISDALE                  DONALD       GREG        </v>
      </c>
      <c r="E20020" t="str">
        <f>"FLOWOOD                   "</f>
        <v xml:space="preserve">FLOWOOD                   </v>
      </c>
      <c r="F20020" t="str">
        <f t="shared" si="476"/>
        <v>MS</v>
      </c>
    </row>
    <row r="20021" spans="1:6" x14ac:dyDescent="0.25">
      <c r="A20021" t="str">
        <f>"200024785"</f>
        <v>200024785</v>
      </c>
      <c r="B20021" t="str">
        <f>"1245124189"</f>
        <v>1245124189</v>
      </c>
      <c r="C20021" t="str">
        <f>"122300000X"</f>
        <v>122300000X</v>
      </c>
      <c r="D20021" t="str">
        <f>"MADDOX                   KARSEN                   "</f>
        <v xml:space="preserve">MADDOX                   KARSEN                   </v>
      </c>
      <c r="E20021" t="str">
        <f>"PEARL                     "</f>
        <v xml:space="preserve">PEARL                     </v>
      </c>
      <c r="F20021" t="str">
        <f t="shared" si="476"/>
        <v>MS</v>
      </c>
    </row>
    <row r="20022" spans="1:6" x14ac:dyDescent="0.25">
      <c r="A20022" t="str">
        <f>"200024794"</f>
        <v>200024794</v>
      </c>
      <c r="B20022" t="str">
        <f>"1609219864"</f>
        <v>1609219864</v>
      </c>
      <c r="C20022" t="str">
        <f>"207RH0002X"</f>
        <v>207RH0002X</v>
      </c>
      <c r="D20022" t="str">
        <f>"KAPADIA                  VISHAL                   "</f>
        <v xml:space="preserve">KAPADIA                  VISHAL                   </v>
      </c>
      <c r="E20022" t="str">
        <f>"RIDGELAND                 "</f>
        <v xml:space="preserve">RIDGELAND                 </v>
      </c>
      <c r="F20022" t="str">
        <f t="shared" si="476"/>
        <v>MS</v>
      </c>
    </row>
    <row r="20023" spans="1:6" x14ac:dyDescent="0.25">
      <c r="A20023" t="str">
        <f>"200024810"</f>
        <v>200024810</v>
      </c>
      <c r="B20023" t="str">
        <f>"1407740467"</f>
        <v>1407740467</v>
      </c>
      <c r="C20023" t="str">
        <f>"122300000X"</f>
        <v>122300000X</v>
      </c>
      <c r="D20023" t="str">
        <f>"NAVARRE                  KATHRYN      B           "</f>
        <v xml:space="preserve">NAVARRE                  KATHRYN      B           </v>
      </c>
      <c r="E20023" t="str">
        <f>"PEARL                     "</f>
        <v xml:space="preserve">PEARL                     </v>
      </c>
      <c r="F20023" t="str">
        <f t="shared" si="476"/>
        <v>MS</v>
      </c>
    </row>
    <row r="20024" spans="1:6" x14ac:dyDescent="0.25">
      <c r="A20024" t="str">
        <f>"200024813"</f>
        <v>200024813</v>
      </c>
      <c r="B20024" t="str">
        <f>"1366445835"</f>
        <v>1366445835</v>
      </c>
      <c r="C20024" t="str">
        <f>"2085R0204X"</f>
        <v>2085R0204X</v>
      </c>
      <c r="D20024" t="str">
        <f>"ROBERTS                  JON                      "</f>
        <v xml:space="preserve">ROBERTS                  JON                      </v>
      </c>
      <c r="E20024" t="str">
        <f>"OLIVE BRANCH              "</f>
        <v xml:space="preserve">OLIVE BRANCH              </v>
      </c>
      <c r="F20024" t="str">
        <f t="shared" si="476"/>
        <v>MS</v>
      </c>
    </row>
    <row r="20025" spans="1:6" x14ac:dyDescent="0.25">
      <c r="A20025" t="str">
        <f>"200024816"</f>
        <v>200024816</v>
      </c>
      <c r="B20025" t="str">
        <f>"1841827532"</f>
        <v>1841827532</v>
      </c>
      <c r="C20025" t="str">
        <f>"207R00000X"</f>
        <v>207R00000X</v>
      </c>
      <c r="D20025" t="str">
        <f>"LOZANO                   MARC                     "</f>
        <v xml:space="preserve">LOZANO                   MARC                     </v>
      </c>
      <c r="E20025" t="str">
        <f>"BILOXI                    "</f>
        <v xml:space="preserve">BILOXI                    </v>
      </c>
      <c r="F20025" t="str">
        <f t="shared" si="476"/>
        <v>MS</v>
      </c>
    </row>
    <row r="20026" spans="1:6" x14ac:dyDescent="0.25">
      <c r="A20026" t="str">
        <f>"200024817"</f>
        <v>200024817</v>
      </c>
      <c r="B20026" t="str">
        <f>"1780244608"</f>
        <v>1780244608</v>
      </c>
      <c r="C20026" t="str">
        <f>"363LP0808X"</f>
        <v>363LP0808X</v>
      </c>
      <c r="D20026" t="str">
        <f>"HENDERSON                JAMES        D           "</f>
        <v xml:space="preserve">HENDERSON                JAMES        D           </v>
      </c>
      <c r="E20026" t="str">
        <f>"STARKVILLE                "</f>
        <v xml:space="preserve">STARKVILLE                </v>
      </c>
      <c r="F20026" t="str">
        <f t="shared" si="476"/>
        <v>MS</v>
      </c>
    </row>
    <row r="20027" spans="1:6" x14ac:dyDescent="0.25">
      <c r="A20027" t="str">
        <f>"200024822"</f>
        <v>200024822</v>
      </c>
      <c r="B20027" t="str">
        <f>"1144103169"</f>
        <v>1144103169</v>
      </c>
      <c r="C20027" t="str">
        <f>"363A00000X"</f>
        <v>363A00000X</v>
      </c>
      <c r="D20027" t="str">
        <f>"BECKER                   MADISON      R           "</f>
        <v xml:space="preserve">BECKER                   MADISON      R           </v>
      </c>
      <c r="E20027" t="str">
        <f>"OXFORD                    "</f>
        <v xml:space="preserve">OXFORD                    </v>
      </c>
      <c r="F20027" t="str">
        <f t="shared" si="476"/>
        <v>MS</v>
      </c>
    </row>
    <row r="20028" spans="1:6" x14ac:dyDescent="0.25">
      <c r="A20028" t="str">
        <f>"200024841"</f>
        <v>200024841</v>
      </c>
      <c r="B20028" t="str">
        <f>"1063428761"</f>
        <v>1063428761</v>
      </c>
      <c r="C20028" t="str">
        <f>"261QM0801X"</f>
        <v>261QM0801X</v>
      </c>
      <c r="D20028" t="str">
        <f>"REGION 8 MENTAL HEALTH MCLAURIN ELEMENTARY        "</f>
        <v xml:space="preserve">REGION 8 MENTAL HEALTH MCLAURIN ELEMENTARY        </v>
      </c>
      <c r="E20028" t="str">
        <f>"FLORENCE                  "</f>
        <v xml:space="preserve">FLORENCE                  </v>
      </c>
      <c r="F20028" t="str">
        <f t="shared" si="476"/>
        <v>MS</v>
      </c>
    </row>
    <row r="20029" spans="1:6" x14ac:dyDescent="0.25">
      <c r="A20029" t="str">
        <f>"200024846"</f>
        <v>200024846</v>
      </c>
      <c r="B20029" t="str">
        <f>"1063428761"</f>
        <v>1063428761</v>
      </c>
      <c r="C20029" t="str">
        <f>"261QM0801X"</f>
        <v>261QM0801X</v>
      </c>
      <c r="D20029" t="str">
        <f>"REGION 8 MENTAL HEALTH CRYSTAL SPRINGS ELEMENTARY "</f>
        <v xml:space="preserve">REGION 8 MENTAL HEALTH CRYSTAL SPRINGS ELEMENTARY </v>
      </c>
      <c r="E20029" t="str">
        <f>"CRYSTAL SPRINGS           "</f>
        <v xml:space="preserve">CRYSTAL SPRINGS           </v>
      </c>
      <c r="F20029" t="str">
        <f t="shared" si="476"/>
        <v>MS</v>
      </c>
    </row>
    <row r="20030" spans="1:6" x14ac:dyDescent="0.25">
      <c r="A20030" t="str">
        <f>"200024848"</f>
        <v>200024848</v>
      </c>
      <c r="B20030" t="str">
        <f>"1063428761"</f>
        <v>1063428761</v>
      </c>
      <c r="C20030" t="str">
        <f>"261QM0801X"</f>
        <v>261QM0801X</v>
      </c>
      <c r="D20030" t="str">
        <f>"REGION 8 MENTAL HEALTH-CRYSTAL SPRINGS MIDDLE I   "</f>
        <v xml:space="preserve">REGION 8 MENTAL HEALTH-CRYSTAL SPRINGS MIDDLE I   </v>
      </c>
      <c r="E20030" t="str">
        <f>"CRYSTAL SPRINGS           "</f>
        <v xml:space="preserve">CRYSTAL SPRINGS           </v>
      </c>
      <c r="F20030" t="str">
        <f t="shared" ref="F20030:F20093" si="477">"MS"</f>
        <v>MS</v>
      </c>
    </row>
    <row r="20031" spans="1:6" x14ac:dyDescent="0.25">
      <c r="A20031" t="str">
        <f>"200024851"</f>
        <v>200024851</v>
      </c>
      <c r="B20031" t="str">
        <f>"1992446785"</f>
        <v>1992446785</v>
      </c>
      <c r="C20031" t="str">
        <f>"207R00000X"</f>
        <v>207R00000X</v>
      </c>
      <c r="D20031" t="str">
        <f>"REID                     KIMBERLY                 "</f>
        <v xml:space="preserve">REID                     KIMBERLY                 </v>
      </c>
      <c r="E20031" t="str">
        <f>"MADISON                   "</f>
        <v xml:space="preserve">MADISON                   </v>
      </c>
      <c r="F20031" t="str">
        <f t="shared" si="477"/>
        <v>MS</v>
      </c>
    </row>
    <row r="20032" spans="1:6" x14ac:dyDescent="0.25">
      <c r="A20032" t="str">
        <f>"200024854"</f>
        <v>200024854</v>
      </c>
      <c r="B20032" t="str">
        <f>"1205632189"</f>
        <v>1205632189</v>
      </c>
      <c r="C20032" t="str">
        <f>"363LA2100X"</f>
        <v>363LA2100X</v>
      </c>
      <c r="D20032" t="str">
        <f>"HUTCHINSON               CASEN        L           "</f>
        <v xml:space="preserve">HUTCHINSON               CASEN        L           </v>
      </c>
      <c r="E20032" t="str">
        <f>"VICKSBURG                 "</f>
        <v xml:space="preserve">VICKSBURG                 </v>
      </c>
      <c r="F20032" t="str">
        <f t="shared" si="477"/>
        <v>MS</v>
      </c>
    </row>
    <row r="20033" spans="1:6" x14ac:dyDescent="0.25">
      <c r="A20033" t="str">
        <f>"200024859"</f>
        <v>200024859</v>
      </c>
      <c r="B20033" t="str">
        <f>"1881119618"</f>
        <v>1881119618</v>
      </c>
      <c r="C20033" t="str">
        <f>"261QM1300X"</f>
        <v>261QM1300X</v>
      </c>
      <c r="D20033" t="str">
        <f>"BAGWELL MEDICAL CLINIC                            "</f>
        <v xml:space="preserve">BAGWELL MEDICAL CLINIC                            </v>
      </c>
      <c r="E20033" t="str">
        <f>"HERNANDO                  "</f>
        <v xml:space="preserve">HERNANDO                  </v>
      </c>
      <c r="F20033" t="str">
        <f t="shared" si="477"/>
        <v>MS</v>
      </c>
    </row>
    <row r="20034" spans="1:6" x14ac:dyDescent="0.25">
      <c r="A20034" t="str">
        <f>"200024860"</f>
        <v>200024860</v>
      </c>
      <c r="B20034" t="str">
        <f>"1619020401"</f>
        <v>1619020401</v>
      </c>
      <c r="C20034" t="str">
        <f>"207LP2900X"</f>
        <v>207LP2900X</v>
      </c>
      <c r="D20034" t="str">
        <f>"DODD                     JOHN         E           "</f>
        <v xml:space="preserve">DODD                     JOHN         E           </v>
      </c>
      <c r="E20034" t="str">
        <f>"FLOWOOD                   "</f>
        <v xml:space="preserve">FLOWOOD                   </v>
      </c>
      <c r="F20034" t="str">
        <f t="shared" si="477"/>
        <v>MS</v>
      </c>
    </row>
    <row r="20035" spans="1:6" x14ac:dyDescent="0.25">
      <c r="A20035" t="str">
        <f>"200024862"</f>
        <v>200024862</v>
      </c>
      <c r="B20035" t="str">
        <f>"1255341947"</f>
        <v>1255341947</v>
      </c>
      <c r="C20035" t="str">
        <f>"208000000X"</f>
        <v>208000000X</v>
      </c>
      <c r="D20035" t="str">
        <f>"NORRIS                   JEANETTE                 "</f>
        <v xml:space="preserve">NORRIS                   JEANETTE                 </v>
      </c>
      <c r="E20035" t="str">
        <f>"OXFORD                    "</f>
        <v xml:space="preserve">OXFORD                    </v>
      </c>
      <c r="F20035" t="str">
        <f t="shared" si="477"/>
        <v>MS</v>
      </c>
    </row>
    <row r="20036" spans="1:6" x14ac:dyDescent="0.25">
      <c r="A20036" t="str">
        <f>"200024868"</f>
        <v>200024868</v>
      </c>
      <c r="B20036" t="str">
        <f>"1851264436"</f>
        <v>1851264436</v>
      </c>
      <c r="C20036" t="str">
        <f>"363L00000X"</f>
        <v>363L00000X</v>
      </c>
      <c r="D20036" t="str">
        <f>"MCMURTERY                REAGAN                   "</f>
        <v xml:space="preserve">MCMURTERY                REAGAN                   </v>
      </c>
      <c r="E20036" t="str">
        <f>"VANCLEAVE                 "</f>
        <v xml:space="preserve">VANCLEAVE                 </v>
      </c>
      <c r="F20036" t="str">
        <f t="shared" si="477"/>
        <v>MS</v>
      </c>
    </row>
    <row r="20037" spans="1:6" x14ac:dyDescent="0.25">
      <c r="A20037" t="str">
        <f>"200024870"</f>
        <v>200024870</v>
      </c>
      <c r="B20037" t="str">
        <f>"1245012293"</f>
        <v>1245012293</v>
      </c>
      <c r="C20037" t="str">
        <f>"363LF0000X"</f>
        <v>363LF0000X</v>
      </c>
      <c r="D20037" t="str">
        <f>"WENGER                   ANGELA                   "</f>
        <v xml:space="preserve">WENGER                   ANGELA                   </v>
      </c>
      <c r="E20037" t="str">
        <f>"JACKSON                   "</f>
        <v xml:space="preserve">JACKSON                   </v>
      </c>
      <c r="F20037" t="str">
        <f t="shared" si="477"/>
        <v>MS</v>
      </c>
    </row>
    <row r="20038" spans="1:6" x14ac:dyDescent="0.25">
      <c r="A20038" t="str">
        <f>"200024871"</f>
        <v>200024871</v>
      </c>
      <c r="B20038" t="str">
        <f>"1124907266"</f>
        <v>1124907266</v>
      </c>
      <c r="C20038" t="str">
        <f>"363LF0000X"</f>
        <v>363LF0000X</v>
      </c>
      <c r="D20038" t="str">
        <f>"GRZYB                    STEVI                    "</f>
        <v xml:space="preserve">GRZYB                    STEVI                    </v>
      </c>
      <c r="E20038" t="str">
        <f>"GULFPORT                  "</f>
        <v xml:space="preserve">GULFPORT                  </v>
      </c>
      <c r="F20038" t="str">
        <f t="shared" si="477"/>
        <v>MS</v>
      </c>
    </row>
    <row r="20039" spans="1:6" x14ac:dyDescent="0.25">
      <c r="A20039" t="str">
        <f>"200024876"</f>
        <v>200024876</v>
      </c>
      <c r="B20039" t="str">
        <f>"1063568699"</f>
        <v>1063568699</v>
      </c>
      <c r="C20039" t="str">
        <f>"207P00000X"</f>
        <v>207P00000X</v>
      </c>
      <c r="D20039" t="str">
        <f>"RIVILIS                  SVETLANA                 "</f>
        <v xml:space="preserve">RIVILIS                  SVETLANA                 </v>
      </c>
      <c r="E20039" t="str">
        <f>"LUCEDALE                  "</f>
        <v xml:space="preserve">LUCEDALE                  </v>
      </c>
      <c r="F20039" t="str">
        <f t="shared" si="477"/>
        <v>MS</v>
      </c>
    </row>
    <row r="20040" spans="1:6" x14ac:dyDescent="0.25">
      <c r="A20040" t="str">
        <f>"200024878"</f>
        <v>200024878</v>
      </c>
      <c r="B20040" t="str">
        <f>"1821550724"</f>
        <v>1821550724</v>
      </c>
      <c r="C20040" t="str">
        <f>"207V00000X"</f>
        <v>207V00000X</v>
      </c>
      <c r="D20040" t="str">
        <f>"CLERICUZIO               NATALIE      L           "</f>
        <v xml:space="preserve">CLERICUZIO               NATALIE      L           </v>
      </c>
      <c r="E20040" t="str">
        <f>"JACKSON                   "</f>
        <v xml:space="preserve">JACKSON                   </v>
      </c>
      <c r="F20040" t="str">
        <f t="shared" si="477"/>
        <v>MS</v>
      </c>
    </row>
    <row r="20041" spans="1:6" x14ac:dyDescent="0.25">
      <c r="A20041" t="str">
        <f>"200024882"</f>
        <v>200024882</v>
      </c>
      <c r="B20041" t="str">
        <f>"1730063637"</f>
        <v>1730063637</v>
      </c>
      <c r="C20041" t="str">
        <f>"1223G0001X"</f>
        <v>1223G0001X</v>
      </c>
      <c r="D20041" t="str">
        <f>"PANO                     GLENDIN                  "</f>
        <v xml:space="preserve">PANO                     GLENDIN                  </v>
      </c>
      <c r="E20041" t="str">
        <f>"OLIVE BRANCH              "</f>
        <v xml:space="preserve">OLIVE BRANCH              </v>
      </c>
      <c r="F20041" t="str">
        <f t="shared" si="477"/>
        <v>MS</v>
      </c>
    </row>
    <row r="20042" spans="1:6" x14ac:dyDescent="0.25">
      <c r="A20042" t="str">
        <f>"200024885"</f>
        <v>200024885</v>
      </c>
      <c r="B20042" t="str">
        <f>"1811771520"</f>
        <v>1811771520</v>
      </c>
      <c r="C20042" t="str">
        <f>"363LF0000X"</f>
        <v>363LF0000X</v>
      </c>
      <c r="D20042" t="str">
        <f>"PATEL                    SHEEL                    "</f>
        <v xml:space="preserve">PATEL                    SHEEL                    </v>
      </c>
      <c r="E20042" t="str">
        <f>"JACKSON                   "</f>
        <v xml:space="preserve">JACKSON                   </v>
      </c>
      <c r="F20042" t="str">
        <f t="shared" si="477"/>
        <v>MS</v>
      </c>
    </row>
    <row r="20043" spans="1:6" x14ac:dyDescent="0.25">
      <c r="A20043" t="str">
        <f>"200024887"</f>
        <v>200024887</v>
      </c>
      <c r="B20043" t="str">
        <f>"1447991310"</f>
        <v>1447991310</v>
      </c>
      <c r="C20043" t="str">
        <f>"2084P0800X"</f>
        <v>2084P0800X</v>
      </c>
      <c r="D20043" t="str">
        <f>"MENZIES                  TYLER                    "</f>
        <v xml:space="preserve">MENZIES                  TYLER                    </v>
      </c>
      <c r="E20043" t="str">
        <f>"PASCAGOULA                "</f>
        <v xml:space="preserve">PASCAGOULA                </v>
      </c>
      <c r="F20043" t="str">
        <f t="shared" si="477"/>
        <v>MS</v>
      </c>
    </row>
    <row r="20044" spans="1:6" x14ac:dyDescent="0.25">
      <c r="A20044" t="str">
        <f>"200024893"</f>
        <v>200024893</v>
      </c>
      <c r="B20044" t="str">
        <f>"1861928541"</f>
        <v>1861928541</v>
      </c>
      <c r="C20044" t="str">
        <f>"261QM1300X"</f>
        <v>261QM1300X</v>
      </c>
      <c r="D20044" t="str">
        <f>"DESOTO COUNTY TREATMENT CENTER                    "</f>
        <v xml:space="preserve">DESOTO COUNTY TREATMENT CENTER                    </v>
      </c>
      <c r="E20044" t="str">
        <f>"WALLS                     "</f>
        <v xml:space="preserve">WALLS                     </v>
      </c>
      <c r="F20044" t="str">
        <f t="shared" si="477"/>
        <v>MS</v>
      </c>
    </row>
    <row r="20045" spans="1:6" x14ac:dyDescent="0.25">
      <c r="A20045" t="str">
        <f>"200024894"</f>
        <v>200024894</v>
      </c>
      <c r="B20045" t="str">
        <f>"1104456656"</f>
        <v>1104456656</v>
      </c>
      <c r="C20045" t="str">
        <f>"363L00000X"</f>
        <v>363L00000X</v>
      </c>
      <c r="D20045" t="str">
        <f>"ROBINSON                 MOLLIE                   "</f>
        <v xml:space="preserve">ROBINSON                 MOLLIE                   </v>
      </c>
      <c r="E20045" t="str">
        <f>"PICAYUNE                  "</f>
        <v xml:space="preserve">PICAYUNE                  </v>
      </c>
      <c r="F20045" t="str">
        <f t="shared" si="477"/>
        <v>MS</v>
      </c>
    </row>
    <row r="20046" spans="1:6" x14ac:dyDescent="0.25">
      <c r="A20046" t="str">
        <f>"200024898"</f>
        <v>200024898</v>
      </c>
      <c r="B20046" t="str">
        <f>"1487177895"</f>
        <v>1487177895</v>
      </c>
      <c r="C20046" t="str">
        <f>"363LF0000X"</f>
        <v>363LF0000X</v>
      </c>
      <c r="D20046" t="str">
        <f>"OSEAN                    JUSTIN                   "</f>
        <v xml:space="preserve">OSEAN                    JUSTIN                   </v>
      </c>
      <c r="E20046" t="str">
        <f>"SOUTHAVEN                 "</f>
        <v xml:space="preserve">SOUTHAVEN                 </v>
      </c>
      <c r="F20046" t="str">
        <f t="shared" si="477"/>
        <v>MS</v>
      </c>
    </row>
    <row r="20047" spans="1:6" x14ac:dyDescent="0.25">
      <c r="A20047" t="str">
        <f>"200024901"</f>
        <v>200024901</v>
      </c>
      <c r="B20047" t="str">
        <f>"1215655915"</f>
        <v>1215655915</v>
      </c>
      <c r="C20047" t="str">
        <f>"152W00000X"</f>
        <v>152W00000X</v>
      </c>
      <c r="D20047" t="str">
        <f>"FULLER VISION, LLC DBA GULF COAST VSIION          "</f>
        <v xml:space="preserve">FULLER VISION, LLC DBA GULF COAST VSIION          </v>
      </c>
      <c r="E20047" t="str">
        <f>"GULFPORT                  "</f>
        <v xml:space="preserve">GULFPORT                  </v>
      </c>
      <c r="F20047" t="str">
        <f t="shared" si="477"/>
        <v>MS</v>
      </c>
    </row>
    <row r="20048" spans="1:6" x14ac:dyDescent="0.25">
      <c r="A20048" t="str">
        <f>"200024907"</f>
        <v>200024907</v>
      </c>
      <c r="B20048" t="str">
        <f>"1750878781"</f>
        <v>1750878781</v>
      </c>
      <c r="C20048" t="str">
        <f>"261QM1300X"</f>
        <v>261QM1300X</v>
      </c>
      <c r="D20048" t="str">
        <f>"PREMIER PROFESSIONAL COUNSELING SERVICES, LLC     "</f>
        <v xml:space="preserve">PREMIER PROFESSIONAL COUNSELING SERVICES, LLC     </v>
      </c>
      <c r="E20048" t="str">
        <f>"PICAYUNE                  "</f>
        <v xml:space="preserve">PICAYUNE                  </v>
      </c>
      <c r="F20048" t="str">
        <f t="shared" si="477"/>
        <v>MS</v>
      </c>
    </row>
    <row r="20049" spans="1:6" x14ac:dyDescent="0.25">
      <c r="A20049" t="str">
        <f>"200024910"</f>
        <v>200024910</v>
      </c>
      <c r="B20049" t="str">
        <f>"1790413227"</f>
        <v>1790413227</v>
      </c>
      <c r="C20049" t="str">
        <f>"363LF0000X"</f>
        <v>363LF0000X</v>
      </c>
      <c r="D20049" t="str">
        <f>"CAMACHO                  BRIANNA      G           "</f>
        <v xml:space="preserve">CAMACHO                  BRIANNA      G           </v>
      </c>
      <c r="E20049" t="str">
        <f>"RIDGELAND                 "</f>
        <v xml:space="preserve">RIDGELAND                 </v>
      </c>
      <c r="F20049" t="str">
        <f t="shared" si="477"/>
        <v>MS</v>
      </c>
    </row>
    <row r="20050" spans="1:6" x14ac:dyDescent="0.25">
      <c r="A20050" t="str">
        <f>"200024914"</f>
        <v>200024914</v>
      </c>
      <c r="B20050" t="str">
        <f>"1376742346"</f>
        <v>1376742346</v>
      </c>
      <c r="C20050" t="str">
        <f>"207VM0101X"</f>
        <v>207VM0101X</v>
      </c>
      <c r="D20050" t="str">
        <f>"PATES                    JASON                    "</f>
        <v xml:space="preserve">PATES                    JASON                    </v>
      </c>
      <c r="E20050" t="str">
        <f>"GULFPORT                  "</f>
        <v xml:space="preserve">GULFPORT                  </v>
      </c>
      <c r="F20050" t="str">
        <f t="shared" si="477"/>
        <v>MS</v>
      </c>
    </row>
    <row r="20051" spans="1:6" x14ac:dyDescent="0.25">
      <c r="A20051" t="str">
        <f>"200024918"</f>
        <v>200024918</v>
      </c>
      <c r="B20051" t="str">
        <f>"1588288484"</f>
        <v>1588288484</v>
      </c>
      <c r="C20051" t="str">
        <f>"2084N0400X"</f>
        <v>2084N0400X</v>
      </c>
      <c r="D20051" t="str">
        <f>"KHALAF                   MUSTAFA                  "</f>
        <v xml:space="preserve">KHALAF                   MUSTAFA                  </v>
      </c>
      <c r="E20051" t="str">
        <f>"CANTON                    "</f>
        <v xml:space="preserve">CANTON                    </v>
      </c>
      <c r="F20051" t="str">
        <f t="shared" si="477"/>
        <v>MS</v>
      </c>
    </row>
    <row r="20052" spans="1:6" x14ac:dyDescent="0.25">
      <c r="A20052" t="str">
        <f>"200024920"</f>
        <v>200024920</v>
      </c>
      <c r="B20052" t="str">
        <f>"1154046084"</f>
        <v>1154046084</v>
      </c>
      <c r="C20052" t="str">
        <f>"363LF0000X"</f>
        <v>363LF0000X</v>
      </c>
      <c r="D20052" t="str">
        <f>"WITHERSPOON              VALENCIA                 "</f>
        <v xml:space="preserve">WITHERSPOON              VALENCIA                 </v>
      </c>
      <c r="E20052" t="str">
        <f>"GRENADA                   "</f>
        <v xml:space="preserve">GRENADA                   </v>
      </c>
      <c r="F20052" t="str">
        <f t="shared" si="477"/>
        <v>MS</v>
      </c>
    </row>
    <row r="20053" spans="1:6" x14ac:dyDescent="0.25">
      <c r="A20053" t="str">
        <f>"200024922"</f>
        <v>200024922</v>
      </c>
      <c r="B20053" t="str">
        <f>"1154618569"</f>
        <v>1154618569</v>
      </c>
      <c r="C20053" t="str">
        <f>"207R00000X"</f>
        <v>207R00000X</v>
      </c>
      <c r="D20053" t="str">
        <f>"MCPHERSON                COURTNEY                 "</f>
        <v xml:space="preserve">MCPHERSON                COURTNEY                 </v>
      </c>
      <c r="E20053" t="str">
        <f>"SOUTHAVEN                 "</f>
        <v xml:space="preserve">SOUTHAVEN                 </v>
      </c>
      <c r="F20053" t="str">
        <f t="shared" si="477"/>
        <v>MS</v>
      </c>
    </row>
    <row r="20054" spans="1:6" x14ac:dyDescent="0.25">
      <c r="A20054" t="str">
        <f>"200024924"</f>
        <v>200024924</v>
      </c>
      <c r="B20054" t="str">
        <f>"1063428761"</f>
        <v>1063428761</v>
      </c>
      <c r="C20054" t="str">
        <f>"261QM0801X"</f>
        <v>261QM0801X</v>
      </c>
      <c r="D20054" t="str">
        <f>"REGION 8 MENTAL HEALTH - COPIAH COUNTY OFFICE     "</f>
        <v xml:space="preserve">REGION 8 MENTAL HEALTH - COPIAH COUNTY OFFICE     </v>
      </c>
      <c r="E20054" t="str">
        <f>"HAZLEHURST                "</f>
        <v xml:space="preserve">HAZLEHURST                </v>
      </c>
      <c r="F20054" t="str">
        <f t="shared" si="477"/>
        <v>MS</v>
      </c>
    </row>
    <row r="20055" spans="1:6" x14ac:dyDescent="0.25">
      <c r="A20055" t="str">
        <f>"200024942"</f>
        <v>200024942</v>
      </c>
      <c r="B20055" t="str">
        <f>"1003694647"</f>
        <v>1003694647</v>
      </c>
      <c r="C20055" t="str">
        <f>"363LA2200X"</f>
        <v>363LA2200X</v>
      </c>
      <c r="D20055" t="str">
        <f>"WEBB                     JENNIFER                 "</f>
        <v xml:space="preserve">WEBB                     JENNIFER                 </v>
      </c>
      <c r="E20055" t="str">
        <f>"JACKSON                   "</f>
        <v xml:space="preserve">JACKSON                   </v>
      </c>
      <c r="F20055" t="str">
        <f t="shared" si="477"/>
        <v>MS</v>
      </c>
    </row>
    <row r="20056" spans="1:6" x14ac:dyDescent="0.25">
      <c r="A20056" t="str">
        <f>"200024951"</f>
        <v>200024951</v>
      </c>
      <c r="B20056" t="str">
        <f>"1386318285"</f>
        <v>1386318285</v>
      </c>
      <c r="C20056" t="str">
        <f>"122300000X"</f>
        <v>122300000X</v>
      </c>
      <c r="D20056" t="str">
        <f>"WILLIS                   BRITTANY                 "</f>
        <v xml:space="preserve">WILLIS                   BRITTANY                 </v>
      </c>
      <c r="E20056" t="str">
        <f>"BATESVILLE                "</f>
        <v xml:space="preserve">BATESVILLE                </v>
      </c>
      <c r="F20056" t="str">
        <f t="shared" si="477"/>
        <v>MS</v>
      </c>
    </row>
    <row r="20057" spans="1:6" x14ac:dyDescent="0.25">
      <c r="A20057" t="str">
        <f>"200024955"</f>
        <v>200024955</v>
      </c>
      <c r="B20057" t="str">
        <f>"1285958249"</f>
        <v>1285958249</v>
      </c>
      <c r="C20057" t="str">
        <f>"363LF0000X"</f>
        <v>363LF0000X</v>
      </c>
      <c r="D20057" t="str">
        <f>"OPARA                    CHINWE                   "</f>
        <v xml:space="preserve">OPARA                    CHINWE                   </v>
      </c>
      <c r="E20057" t="str">
        <f>"JACKSON                   "</f>
        <v xml:space="preserve">JACKSON                   </v>
      </c>
      <c r="F20057" t="str">
        <f t="shared" si="477"/>
        <v>MS</v>
      </c>
    </row>
    <row r="20058" spans="1:6" x14ac:dyDescent="0.25">
      <c r="A20058" t="str">
        <f>"200024960"</f>
        <v>200024960</v>
      </c>
      <c r="B20058" t="str">
        <f>"1912881582"</f>
        <v>1912881582</v>
      </c>
      <c r="C20058" t="str">
        <f>"363LF0000X"</f>
        <v>363LF0000X</v>
      </c>
      <c r="D20058" t="str">
        <f>"DOSSETT                  TIFFANY                  "</f>
        <v xml:space="preserve">DOSSETT                  TIFFANY                  </v>
      </c>
      <c r="E20058" t="str">
        <f>"OCEAN SPRINGS             "</f>
        <v xml:space="preserve">OCEAN SPRINGS             </v>
      </c>
      <c r="F20058" t="str">
        <f t="shared" si="477"/>
        <v>MS</v>
      </c>
    </row>
    <row r="20059" spans="1:6" x14ac:dyDescent="0.25">
      <c r="A20059" t="str">
        <f>"200024964"</f>
        <v>200024964</v>
      </c>
      <c r="B20059" t="str">
        <f>"1982071262"</f>
        <v>1982071262</v>
      </c>
      <c r="C20059" t="str">
        <f>"363L00000X"</f>
        <v>363L00000X</v>
      </c>
      <c r="D20059" t="str">
        <f>"DUPREE                   DAVINA                   "</f>
        <v xml:space="preserve">DUPREE                   DAVINA                   </v>
      </c>
      <c r="E20059" t="str">
        <f>"RIDGELAND                 "</f>
        <v xml:space="preserve">RIDGELAND                 </v>
      </c>
      <c r="F20059" t="str">
        <f t="shared" si="477"/>
        <v>MS</v>
      </c>
    </row>
    <row r="20060" spans="1:6" x14ac:dyDescent="0.25">
      <c r="A20060" t="str">
        <f>"200024967"</f>
        <v>200024967</v>
      </c>
      <c r="B20060" t="str">
        <f>"1063428761"</f>
        <v>1063428761</v>
      </c>
      <c r="C20060" t="str">
        <f>"261QM0801X"</f>
        <v>261QM0801X</v>
      </c>
      <c r="D20060" t="str">
        <f>"REGION 8 MENTAL HEALTH MILLCREEK I                "</f>
        <v xml:space="preserve">REGION 8 MENTAL HEALTH MILLCREEK I                </v>
      </c>
      <c r="E20060" t="str">
        <f>"MAGEE                     "</f>
        <v xml:space="preserve">MAGEE                     </v>
      </c>
      <c r="F20060" t="str">
        <f t="shared" si="477"/>
        <v>MS</v>
      </c>
    </row>
    <row r="20061" spans="1:6" x14ac:dyDescent="0.25">
      <c r="A20061" t="str">
        <f>"200024969"</f>
        <v>200024969</v>
      </c>
      <c r="B20061" t="str">
        <f>"1891875118"</f>
        <v>1891875118</v>
      </c>
      <c r="C20061" t="str">
        <f>"1223G0001X"</f>
        <v>1223G0001X</v>
      </c>
      <c r="D20061" t="str">
        <f>"DAWKINS FAMILY DENTAL CLINIC, PA                  "</f>
        <v xml:space="preserve">DAWKINS FAMILY DENTAL CLINIC, PA                  </v>
      </c>
      <c r="E20061" t="str">
        <f>"OXFORD                    "</f>
        <v xml:space="preserve">OXFORD                    </v>
      </c>
      <c r="F20061" t="str">
        <f t="shared" si="477"/>
        <v>MS</v>
      </c>
    </row>
    <row r="20062" spans="1:6" x14ac:dyDescent="0.25">
      <c r="A20062" t="str">
        <f>"200024970"</f>
        <v>200024970</v>
      </c>
      <c r="B20062" t="str">
        <f>"1144647603"</f>
        <v>1144647603</v>
      </c>
      <c r="C20062" t="str">
        <f>"207X00000X"</f>
        <v>207X00000X</v>
      </c>
      <c r="D20062" t="str">
        <f>"HOFFMANN                 JACOB                    "</f>
        <v xml:space="preserve">HOFFMANN                 JACOB                    </v>
      </c>
      <c r="E20062" t="str">
        <f>"JACKSON                   "</f>
        <v xml:space="preserve">JACKSON                   </v>
      </c>
      <c r="F20062" t="str">
        <f t="shared" si="477"/>
        <v>MS</v>
      </c>
    </row>
    <row r="20063" spans="1:6" x14ac:dyDescent="0.25">
      <c r="A20063" t="str">
        <f>"200024971"</f>
        <v>200024971</v>
      </c>
      <c r="B20063" t="str">
        <f>"1063428761"</f>
        <v>1063428761</v>
      </c>
      <c r="C20063" t="str">
        <f>"261QM0801X"</f>
        <v>261QM0801X</v>
      </c>
      <c r="D20063" t="str">
        <f>"REGION 8 MENTAL HEALTH - OUTWARD BOUND PSR        "</f>
        <v xml:space="preserve">REGION 8 MENTAL HEALTH - OUTWARD BOUND PSR        </v>
      </c>
      <c r="E20063" t="str">
        <f>"BRANDON                   "</f>
        <v xml:space="preserve">BRANDON                   </v>
      </c>
      <c r="F20063" t="str">
        <f t="shared" si="477"/>
        <v>MS</v>
      </c>
    </row>
    <row r="20064" spans="1:6" x14ac:dyDescent="0.25">
      <c r="A20064" t="str">
        <f>"200024973"</f>
        <v>200024973</v>
      </c>
      <c r="B20064" t="str">
        <f>"1699640276"</f>
        <v>1699640276</v>
      </c>
      <c r="C20064" t="str">
        <f>"363LF0000X"</f>
        <v>363LF0000X</v>
      </c>
      <c r="D20064" t="str">
        <f>"FOLEY                    MELANIE                  "</f>
        <v xml:space="preserve">FOLEY                    MELANIE                  </v>
      </c>
      <c r="E20064" t="str">
        <f>"HATTIESBURG               "</f>
        <v xml:space="preserve">HATTIESBURG               </v>
      </c>
      <c r="F20064" t="str">
        <f t="shared" si="477"/>
        <v>MS</v>
      </c>
    </row>
    <row r="20065" spans="1:6" x14ac:dyDescent="0.25">
      <c r="A20065" t="str">
        <f>"200024975"</f>
        <v>200024975</v>
      </c>
      <c r="B20065" t="str">
        <f>"1447958061"</f>
        <v>1447958061</v>
      </c>
      <c r="C20065" t="str">
        <f>"363LF0000X"</f>
        <v>363LF0000X</v>
      </c>
      <c r="D20065" t="str">
        <f>"SISSON                   ELISE                    "</f>
        <v xml:space="preserve">SISSON                   ELISE                    </v>
      </c>
      <c r="E20065" t="str">
        <f>"PASCAGOULA                "</f>
        <v xml:space="preserve">PASCAGOULA                </v>
      </c>
      <c r="F20065" t="str">
        <f t="shared" si="477"/>
        <v>MS</v>
      </c>
    </row>
    <row r="20066" spans="1:6" x14ac:dyDescent="0.25">
      <c r="A20066" t="str">
        <f>"200024976"</f>
        <v>200024976</v>
      </c>
      <c r="B20066" t="str">
        <f>"1851524532"</f>
        <v>1851524532</v>
      </c>
      <c r="C20066" t="str">
        <f>"363LF0000X"</f>
        <v>363LF0000X</v>
      </c>
      <c r="D20066" t="str">
        <f>"BATEMAN                  HEATHER                  "</f>
        <v xml:space="preserve">BATEMAN                  HEATHER                  </v>
      </c>
      <c r="E20066" t="str">
        <f>"OCEAN SPRINGS             "</f>
        <v xml:space="preserve">OCEAN SPRINGS             </v>
      </c>
      <c r="F20066" t="str">
        <f t="shared" si="477"/>
        <v>MS</v>
      </c>
    </row>
    <row r="20067" spans="1:6" x14ac:dyDescent="0.25">
      <c r="A20067" t="str">
        <f>"200024978"</f>
        <v>200024978</v>
      </c>
      <c r="B20067" t="str">
        <f>"1013282961"</f>
        <v>1013282961</v>
      </c>
      <c r="C20067" t="str">
        <f>"1223G0001X"</f>
        <v>1223G0001X</v>
      </c>
      <c r="D20067" t="str">
        <f>"KELLY                    SHENIKA                  "</f>
        <v xml:space="preserve">KELLY                    SHENIKA                  </v>
      </c>
      <c r="E20067" t="str">
        <f>"FLOWOOD                   "</f>
        <v xml:space="preserve">FLOWOOD                   </v>
      </c>
      <c r="F20067" t="str">
        <f t="shared" si="477"/>
        <v>MS</v>
      </c>
    </row>
    <row r="20068" spans="1:6" x14ac:dyDescent="0.25">
      <c r="A20068" t="str">
        <f>"200024979"</f>
        <v>200024979</v>
      </c>
      <c r="B20068" t="str">
        <f>"1275598781"</f>
        <v>1275598781</v>
      </c>
      <c r="C20068" t="str">
        <f>"207RI0200X"</f>
        <v>207RI0200X</v>
      </c>
      <c r="D20068" t="str">
        <f>"NOWAK                    KRISTIE                  "</f>
        <v xml:space="preserve">NOWAK                    KRISTIE                  </v>
      </c>
      <c r="E20068" t="str">
        <f>"TUPELO                    "</f>
        <v xml:space="preserve">TUPELO                    </v>
      </c>
      <c r="F20068" t="str">
        <f t="shared" si="477"/>
        <v>MS</v>
      </c>
    </row>
    <row r="20069" spans="1:6" x14ac:dyDescent="0.25">
      <c r="A20069" t="str">
        <f>"200024987"</f>
        <v>200024987</v>
      </c>
      <c r="B20069" t="str">
        <f>"1811909583"</f>
        <v>1811909583</v>
      </c>
      <c r="C20069" t="str">
        <f>"207Q00000X"</f>
        <v>207Q00000X</v>
      </c>
      <c r="D20069" t="str">
        <f>"ASH                      TOLAND       L           "</f>
        <v xml:space="preserve">ASH                      TOLAND       L           </v>
      </c>
      <c r="E20069" t="str">
        <f>"RIDGELAND                 "</f>
        <v xml:space="preserve">RIDGELAND                 </v>
      </c>
      <c r="F20069" t="str">
        <f t="shared" si="477"/>
        <v>MS</v>
      </c>
    </row>
    <row r="20070" spans="1:6" x14ac:dyDescent="0.25">
      <c r="A20070" t="str">
        <f>"200024991"</f>
        <v>200024991</v>
      </c>
      <c r="B20070" t="str">
        <f>"1831932219"</f>
        <v>1831932219</v>
      </c>
      <c r="C20070" t="str">
        <f>"363L00000X"</f>
        <v>363L00000X</v>
      </c>
      <c r="D20070" t="str">
        <f>"LYLE                     LOGAN                    "</f>
        <v xml:space="preserve">LYLE                     LOGAN                    </v>
      </c>
      <c r="E20070" t="str">
        <f>"TUPELO                    "</f>
        <v xml:space="preserve">TUPELO                    </v>
      </c>
      <c r="F20070" t="str">
        <f t="shared" si="477"/>
        <v>MS</v>
      </c>
    </row>
    <row r="20071" spans="1:6" x14ac:dyDescent="0.25">
      <c r="A20071" t="str">
        <f>"200024994"</f>
        <v>200024994</v>
      </c>
      <c r="B20071" t="str">
        <f>"1801404363"</f>
        <v>1801404363</v>
      </c>
      <c r="C20071" t="str">
        <f>"207RE0101X"</f>
        <v>207RE0101X</v>
      </c>
      <c r="D20071" t="str">
        <f>"KANG                     JANNAT                   "</f>
        <v xml:space="preserve">KANG                     JANNAT                   </v>
      </c>
      <c r="E20071" t="str">
        <f>"JACKSON                   "</f>
        <v xml:space="preserve">JACKSON                   </v>
      </c>
      <c r="F20071" t="str">
        <f t="shared" si="477"/>
        <v>MS</v>
      </c>
    </row>
    <row r="20072" spans="1:6" x14ac:dyDescent="0.25">
      <c r="A20072" t="str">
        <f>"200024997"</f>
        <v>200024997</v>
      </c>
      <c r="B20072" t="str">
        <f>"1679925408"</f>
        <v>1679925408</v>
      </c>
      <c r="C20072" t="str">
        <f>"208M00000X"</f>
        <v>208M00000X</v>
      </c>
      <c r="D20072" t="str">
        <f>"SATTAR                   MUHAMMAD     H           "</f>
        <v xml:space="preserve">SATTAR                   MUHAMMAD     H           </v>
      </c>
      <c r="E20072" t="str">
        <f>"HATTIESBURG               "</f>
        <v xml:space="preserve">HATTIESBURG               </v>
      </c>
      <c r="F20072" t="str">
        <f t="shared" si="477"/>
        <v>MS</v>
      </c>
    </row>
    <row r="20073" spans="1:6" x14ac:dyDescent="0.25">
      <c r="A20073" t="str">
        <f>"200025003"</f>
        <v>200025003</v>
      </c>
      <c r="B20073" t="str">
        <f>"1881569457"</f>
        <v>1881569457</v>
      </c>
      <c r="C20073" t="str">
        <f>"363L00000X"</f>
        <v>363L00000X</v>
      </c>
      <c r="D20073" t="str">
        <f>"PRICE, FNP-C             MEGAN                    "</f>
        <v xml:space="preserve">PRICE, FNP-C             MEGAN                    </v>
      </c>
      <c r="E20073" t="str">
        <f>"BATESVILLE                "</f>
        <v xml:space="preserve">BATESVILLE                </v>
      </c>
      <c r="F20073" t="str">
        <f t="shared" si="477"/>
        <v>MS</v>
      </c>
    </row>
    <row r="20074" spans="1:6" x14ac:dyDescent="0.25">
      <c r="A20074" t="str">
        <f>"200025006"</f>
        <v>200025006</v>
      </c>
      <c r="B20074" t="str">
        <f>"1538792320"</f>
        <v>1538792320</v>
      </c>
      <c r="C20074" t="str">
        <f>"363L00000X"</f>
        <v>363L00000X</v>
      </c>
      <c r="D20074" t="str">
        <f>"BOYD                     MARKESHIA                "</f>
        <v xml:space="preserve">BOYD                     MARKESHIA                </v>
      </c>
      <c r="E20074" t="str">
        <f>"JACKSON                   "</f>
        <v xml:space="preserve">JACKSON                   </v>
      </c>
      <c r="F20074" t="str">
        <f t="shared" si="477"/>
        <v>MS</v>
      </c>
    </row>
    <row r="20075" spans="1:6" x14ac:dyDescent="0.25">
      <c r="A20075" t="str">
        <f>"200025009"</f>
        <v>200025009</v>
      </c>
      <c r="B20075" t="str">
        <f>"1063201804"</f>
        <v>1063201804</v>
      </c>
      <c r="C20075" t="str">
        <f>"363LF0000X"</f>
        <v>363LF0000X</v>
      </c>
      <c r="D20075" t="str">
        <f>"STOROZUK                 VANESSA                  "</f>
        <v xml:space="preserve">STOROZUK                 VANESSA                  </v>
      </c>
      <c r="E20075" t="str">
        <f>"MAGEE                     "</f>
        <v xml:space="preserve">MAGEE                     </v>
      </c>
      <c r="F20075" t="str">
        <f t="shared" si="477"/>
        <v>MS</v>
      </c>
    </row>
    <row r="20076" spans="1:6" x14ac:dyDescent="0.25">
      <c r="A20076" t="str">
        <f>"200025018"</f>
        <v>200025018</v>
      </c>
      <c r="B20076" t="str">
        <f>"1831453091"</f>
        <v>1831453091</v>
      </c>
      <c r="C20076" t="str">
        <f>"363L00000X"</f>
        <v>363L00000X</v>
      </c>
      <c r="D20076" t="str">
        <f>"THOMAS                   AMY MONETTE              "</f>
        <v xml:space="preserve">THOMAS                   AMY MONETTE              </v>
      </c>
      <c r="E20076" t="str">
        <f>"JACKSON                   "</f>
        <v xml:space="preserve">JACKSON                   </v>
      </c>
      <c r="F20076" t="str">
        <f t="shared" si="477"/>
        <v>MS</v>
      </c>
    </row>
    <row r="20077" spans="1:6" x14ac:dyDescent="0.25">
      <c r="A20077" t="str">
        <f>"200025023"</f>
        <v>200025023</v>
      </c>
      <c r="B20077" t="str">
        <f>"1316106891"</f>
        <v>1316106891</v>
      </c>
      <c r="C20077" t="str">
        <f>"2084N0400X"</f>
        <v>2084N0400X</v>
      </c>
      <c r="D20077" t="str">
        <f>"MONROE                   RICHARD                  "</f>
        <v xml:space="preserve">MONROE                   RICHARD                  </v>
      </c>
      <c r="E20077" t="str">
        <f>"TUPELO                    "</f>
        <v xml:space="preserve">TUPELO                    </v>
      </c>
      <c r="F20077" t="str">
        <f t="shared" si="477"/>
        <v>MS</v>
      </c>
    </row>
    <row r="20078" spans="1:6" x14ac:dyDescent="0.25">
      <c r="A20078" t="str">
        <f>"200025025"</f>
        <v>200025025</v>
      </c>
      <c r="B20078" t="str">
        <f>"1689652893"</f>
        <v>1689652893</v>
      </c>
      <c r="C20078" t="str">
        <f>"2086S0129X"</f>
        <v>2086S0129X</v>
      </c>
      <c r="D20078" t="str">
        <f>"ADAMS                    CARLTON      Z           "</f>
        <v xml:space="preserve">ADAMS                    CARLTON      Z           </v>
      </c>
      <c r="E20078" t="str">
        <f>"HOLLY SPRINGS             "</f>
        <v xml:space="preserve">HOLLY SPRINGS             </v>
      </c>
      <c r="F20078" t="str">
        <f t="shared" si="477"/>
        <v>MS</v>
      </c>
    </row>
    <row r="20079" spans="1:6" x14ac:dyDescent="0.25">
      <c r="A20079" t="str">
        <f>"200025027"</f>
        <v>200025027</v>
      </c>
      <c r="B20079" t="str">
        <f>"1306489349"</f>
        <v>1306489349</v>
      </c>
      <c r="C20079" t="str">
        <f>"363LP0808X"</f>
        <v>363LP0808X</v>
      </c>
      <c r="D20079" t="str">
        <f>"MARTIJA                  LUIS                     "</f>
        <v xml:space="preserve">MARTIJA                  LUIS                     </v>
      </c>
      <c r="E20079" t="str">
        <f>"JACKSON                   "</f>
        <v xml:space="preserve">JACKSON                   </v>
      </c>
      <c r="F20079" t="str">
        <f t="shared" si="477"/>
        <v>MS</v>
      </c>
    </row>
    <row r="20080" spans="1:6" x14ac:dyDescent="0.25">
      <c r="A20080" t="str">
        <f>"200025030"</f>
        <v>200025030</v>
      </c>
      <c r="B20080" t="str">
        <f>"1942730684"</f>
        <v>1942730684</v>
      </c>
      <c r="C20080" t="str">
        <f>"363LF0000X"</f>
        <v>363LF0000X</v>
      </c>
      <c r="D20080" t="str">
        <f>"CAFFEY                   HILLARY                  "</f>
        <v xml:space="preserve">CAFFEY                   HILLARY                  </v>
      </c>
      <c r="E20080" t="str">
        <f>"COLDWATER                 "</f>
        <v xml:space="preserve">COLDWATER                 </v>
      </c>
      <c r="F20080" t="str">
        <f t="shared" si="477"/>
        <v>MS</v>
      </c>
    </row>
    <row r="20081" spans="1:6" x14ac:dyDescent="0.25">
      <c r="A20081" t="str">
        <f>"200025032"</f>
        <v>200025032</v>
      </c>
      <c r="B20081" t="str">
        <f>"1275552143"</f>
        <v>1275552143</v>
      </c>
      <c r="C20081" t="str">
        <f>"207Q00000X"</f>
        <v>207Q00000X</v>
      </c>
      <c r="D20081" t="str">
        <f>"PALLAY                   ROBERT                   "</f>
        <v xml:space="preserve">PALLAY                   ROBERT                   </v>
      </c>
      <c r="E20081" t="str">
        <f>"ABERDEEN                  "</f>
        <v xml:space="preserve">ABERDEEN                  </v>
      </c>
      <c r="F20081" t="str">
        <f t="shared" si="477"/>
        <v>MS</v>
      </c>
    </row>
    <row r="20082" spans="1:6" x14ac:dyDescent="0.25">
      <c r="A20082" t="str">
        <f>"200025034"</f>
        <v>200025034</v>
      </c>
      <c r="B20082" t="str">
        <f>"1093680027"</f>
        <v>1093680027</v>
      </c>
      <c r="C20082" t="str">
        <f>"363LF0000X"</f>
        <v>363LF0000X</v>
      </c>
      <c r="D20082" t="str">
        <f>"DAVIS                    APRIL                    "</f>
        <v xml:space="preserve">DAVIS                    APRIL                    </v>
      </c>
      <c r="E20082" t="str">
        <f>"RULEVILLE                 "</f>
        <v xml:space="preserve">RULEVILLE                 </v>
      </c>
      <c r="F20082" t="str">
        <f t="shared" si="477"/>
        <v>MS</v>
      </c>
    </row>
    <row r="20083" spans="1:6" x14ac:dyDescent="0.25">
      <c r="A20083" t="str">
        <f>"200025035"</f>
        <v>200025035</v>
      </c>
      <c r="B20083" t="str">
        <f>"1609557396"</f>
        <v>1609557396</v>
      </c>
      <c r="C20083" t="str">
        <f>"363L00000X"</f>
        <v>363L00000X</v>
      </c>
      <c r="D20083" t="str">
        <f>"WINSTON-BRISTER          WENDY                    "</f>
        <v xml:space="preserve">WINSTON-BRISTER          WENDY                    </v>
      </c>
      <c r="E20083" t="str">
        <f>"JACKSON                   "</f>
        <v xml:space="preserve">JACKSON                   </v>
      </c>
      <c r="F20083" t="str">
        <f t="shared" si="477"/>
        <v>MS</v>
      </c>
    </row>
    <row r="20084" spans="1:6" x14ac:dyDescent="0.25">
      <c r="A20084" t="str">
        <f>"200025036"</f>
        <v>200025036</v>
      </c>
      <c r="B20084" t="str">
        <f>"1639794324"</f>
        <v>1639794324</v>
      </c>
      <c r="C20084" t="str">
        <f>"367500000X"</f>
        <v>367500000X</v>
      </c>
      <c r="D20084" t="str">
        <f>"ABRAHAM                  RYAN                     "</f>
        <v xml:space="preserve">ABRAHAM                  RYAN                     </v>
      </c>
      <c r="E20084" t="str">
        <f>"HATTIESBURG               "</f>
        <v xml:space="preserve">HATTIESBURG               </v>
      </c>
      <c r="F20084" t="str">
        <f t="shared" si="477"/>
        <v>MS</v>
      </c>
    </row>
    <row r="20085" spans="1:6" x14ac:dyDescent="0.25">
      <c r="A20085" t="str">
        <f>"200025045"</f>
        <v>200025045</v>
      </c>
      <c r="B20085" t="str">
        <f>"1811879471"</f>
        <v>1811879471</v>
      </c>
      <c r="C20085" t="str">
        <f>"363LP0808X"</f>
        <v>363LP0808X</v>
      </c>
      <c r="D20085" t="str">
        <f>"GROVE-OVERSTREET         TYLICIA                  "</f>
        <v xml:space="preserve">GROVE-OVERSTREET         TYLICIA                  </v>
      </c>
      <c r="E20085" t="str">
        <f>"FLOWOOD                   "</f>
        <v xml:space="preserve">FLOWOOD                   </v>
      </c>
      <c r="F20085" t="str">
        <f t="shared" si="477"/>
        <v>MS</v>
      </c>
    </row>
    <row r="20086" spans="1:6" x14ac:dyDescent="0.25">
      <c r="A20086" t="str">
        <f>"200025050"</f>
        <v>200025050</v>
      </c>
      <c r="B20086" t="str">
        <f>"1639046261"</f>
        <v>1639046261</v>
      </c>
      <c r="C20086" t="str">
        <f>"363L00000X"</f>
        <v>363L00000X</v>
      </c>
      <c r="D20086" t="str">
        <f>"NEAL                     ANDREA       H           "</f>
        <v xml:space="preserve">NEAL                     ANDREA       H           </v>
      </c>
      <c r="E20086" t="str">
        <f>"JACKSON                   "</f>
        <v xml:space="preserve">JACKSON                   </v>
      </c>
      <c r="F20086" t="str">
        <f t="shared" si="477"/>
        <v>MS</v>
      </c>
    </row>
    <row r="20087" spans="1:6" x14ac:dyDescent="0.25">
      <c r="A20087" t="str">
        <f>"200025051"</f>
        <v>200025051</v>
      </c>
      <c r="B20087" t="str">
        <f>"1225291230"</f>
        <v>1225291230</v>
      </c>
      <c r="C20087" t="str">
        <f>"363LF0000X"</f>
        <v>363LF0000X</v>
      </c>
      <c r="D20087" t="str">
        <f>"JOCHUM                   TARA                     "</f>
        <v xml:space="preserve">JOCHUM                   TARA                     </v>
      </c>
      <c r="E20087" t="str">
        <f>"DIAMONDHEAD               "</f>
        <v xml:space="preserve">DIAMONDHEAD               </v>
      </c>
      <c r="F20087" t="str">
        <f t="shared" si="477"/>
        <v>MS</v>
      </c>
    </row>
    <row r="20088" spans="1:6" x14ac:dyDescent="0.25">
      <c r="A20088" t="str">
        <f>"200025053"</f>
        <v>200025053</v>
      </c>
      <c r="B20088" t="str">
        <f>"1093689978"</f>
        <v>1093689978</v>
      </c>
      <c r="C20088" t="str">
        <f>"363LF0000X"</f>
        <v>363LF0000X</v>
      </c>
      <c r="D20088" t="str">
        <f>"COMER                    KATHRYN                  "</f>
        <v xml:space="preserve">COMER                    KATHRYN                  </v>
      </c>
      <c r="E20088" t="str">
        <f>"CALEDONIA                 "</f>
        <v xml:space="preserve">CALEDONIA                 </v>
      </c>
      <c r="F20088" t="str">
        <f t="shared" si="477"/>
        <v>MS</v>
      </c>
    </row>
    <row r="20089" spans="1:6" x14ac:dyDescent="0.25">
      <c r="A20089" t="str">
        <f>"200025063"</f>
        <v>200025063</v>
      </c>
      <c r="B20089" t="str">
        <f>"1538690995"</f>
        <v>1538690995</v>
      </c>
      <c r="C20089" t="str">
        <f>"2084P0800X"</f>
        <v>2084P0800X</v>
      </c>
      <c r="D20089" t="str">
        <f>"VASSAR                   CODIE                    "</f>
        <v xml:space="preserve">VASSAR                   CODIE                    </v>
      </c>
      <c r="E20089" t="str">
        <f>"GULFPORT                  "</f>
        <v xml:space="preserve">GULFPORT                  </v>
      </c>
      <c r="F20089" t="str">
        <f t="shared" si="477"/>
        <v>MS</v>
      </c>
    </row>
    <row r="20090" spans="1:6" x14ac:dyDescent="0.25">
      <c r="A20090" t="str">
        <f>"200025065"</f>
        <v>200025065</v>
      </c>
      <c r="B20090" t="str">
        <f>"1922067941"</f>
        <v>1922067941</v>
      </c>
      <c r="C20090" t="str">
        <f>"207RH0003X"</f>
        <v>207RH0003X</v>
      </c>
      <c r="D20090" t="str">
        <f>"TAHA                     HESHAM                   "</f>
        <v xml:space="preserve">TAHA                     HESHAM                   </v>
      </c>
      <c r="E20090" t="str">
        <f>"PASCAGOULA                "</f>
        <v xml:space="preserve">PASCAGOULA                </v>
      </c>
      <c r="F20090" t="str">
        <f t="shared" si="477"/>
        <v>MS</v>
      </c>
    </row>
    <row r="20091" spans="1:6" x14ac:dyDescent="0.25">
      <c r="A20091" t="str">
        <f>"200025066"</f>
        <v>200025066</v>
      </c>
      <c r="B20091" t="str">
        <f>"1851654834"</f>
        <v>1851654834</v>
      </c>
      <c r="C20091" t="str">
        <f>"2084N0400X"</f>
        <v>2084N0400X</v>
      </c>
      <c r="D20091" t="str">
        <f>"BARRY                    MEGAN                    "</f>
        <v xml:space="preserve">BARRY                    MEGAN                    </v>
      </c>
      <c r="E20091" t="str">
        <f>"TUPELO                    "</f>
        <v xml:space="preserve">TUPELO                    </v>
      </c>
      <c r="F20091" t="str">
        <f t="shared" si="477"/>
        <v>MS</v>
      </c>
    </row>
    <row r="20092" spans="1:6" x14ac:dyDescent="0.25">
      <c r="A20092" t="str">
        <f>"200025075"</f>
        <v>200025075</v>
      </c>
      <c r="B20092" t="str">
        <f>"1912953092"</f>
        <v>1912953092</v>
      </c>
      <c r="C20092" t="str">
        <f>"2085R0204X"</f>
        <v>2085R0204X</v>
      </c>
      <c r="D20092" t="str">
        <f>"MARTIN                   JAMES                    "</f>
        <v xml:space="preserve">MARTIN                   JAMES                    </v>
      </c>
      <c r="E20092" t="str">
        <f>"GULFPORT                  "</f>
        <v xml:space="preserve">GULFPORT                  </v>
      </c>
      <c r="F20092" t="str">
        <f t="shared" si="477"/>
        <v>MS</v>
      </c>
    </row>
    <row r="20093" spans="1:6" x14ac:dyDescent="0.25">
      <c r="A20093" t="str">
        <f>"200025079"</f>
        <v>200025079</v>
      </c>
      <c r="B20093" t="str">
        <f>"1720794845"</f>
        <v>1720794845</v>
      </c>
      <c r="C20093" t="str">
        <f>"152W00000X"</f>
        <v>152W00000X</v>
      </c>
      <c r="D20093" t="str">
        <f>"JOHNSON EYE CENTER PLLC                           "</f>
        <v xml:space="preserve">JOHNSON EYE CENTER PLLC                           </v>
      </c>
      <c r="E20093" t="str">
        <f>"PHILADELPHIA              "</f>
        <v xml:space="preserve">PHILADELPHIA              </v>
      </c>
      <c r="F20093" t="str">
        <f t="shared" si="477"/>
        <v>MS</v>
      </c>
    </row>
    <row r="20094" spans="1:6" x14ac:dyDescent="0.25">
      <c r="A20094" t="str">
        <f>"200025082"</f>
        <v>200025082</v>
      </c>
      <c r="B20094" t="str">
        <f>"1972243277"</f>
        <v>1972243277</v>
      </c>
      <c r="C20094" t="str">
        <f>"207R00000X"</f>
        <v>207R00000X</v>
      </c>
      <c r="D20094" t="str">
        <f>"IKEBUDU                  KENNY                    "</f>
        <v xml:space="preserve">IKEBUDU                  KENNY                    </v>
      </c>
      <c r="E20094" t="str">
        <f>"JACKSON                   "</f>
        <v xml:space="preserve">JACKSON                   </v>
      </c>
      <c r="F20094" t="str">
        <f t="shared" ref="F20094:F20157" si="478">"MS"</f>
        <v>MS</v>
      </c>
    </row>
    <row r="20095" spans="1:6" x14ac:dyDescent="0.25">
      <c r="A20095" t="str">
        <f>"200025089"</f>
        <v>200025089</v>
      </c>
      <c r="B20095" t="str">
        <f>"1245117845"</f>
        <v>1245117845</v>
      </c>
      <c r="C20095" t="str">
        <f>"363A00000X"</f>
        <v>363A00000X</v>
      </c>
      <c r="D20095" t="str">
        <f>"TERRY                    JESSICA                  "</f>
        <v xml:space="preserve">TERRY                    JESSICA                  </v>
      </c>
      <c r="E20095" t="str">
        <f>"MERIDIAN                  "</f>
        <v xml:space="preserve">MERIDIAN                  </v>
      </c>
      <c r="F20095" t="str">
        <f t="shared" si="478"/>
        <v>MS</v>
      </c>
    </row>
    <row r="20096" spans="1:6" x14ac:dyDescent="0.25">
      <c r="A20096" t="str">
        <f>"200025090"</f>
        <v>200025090</v>
      </c>
      <c r="B20096" t="str">
        <f>"1548697790"</f>
        <v>1548697790</v>
      </c>
      <c r="C20096" t="str">
        <f>"363L00000X"</f>
        <v>363L00000X</v>
      </c>
      <c r="D20096" t="str">
        <f>"LAING                    ARLENE                   "</f>
        <v xml:space="preserve">LAING                    ARLENE                   </v>
      </c>
      <c r="E20096" t="str">
        <f>"RIDGELAND                 "</f>
        <v xml:space="preserve">RIDGELAND                 </v>
      </c>
      <c r="F20096" t="str">
        <f t="shared" si="478"/>
        <v>MS</v>
      </c>
    </row>
    <row r="20097" spans="1:6" x14ac:dyDescent="0.25">
      <c r="A20097" t="str">
        <f>"200025101"</f>
        <v>200025101</v>
      </c>
      <c r="B20097" t="str">
        <f>"1205634037"</f>
        <v>1205634037</v>
      </c>
      <c r="C20097" t="str">
        <f>"261QA1903X"</f>
        <v>261QA1903X</v>
      </c>
      <c r="D20097" t="str">
        <f>"MS EYE SURGERY, PLLC                              "</f>
        <v xml:space="preserve">MS EYE SURGERY, PLLC                              </v>
      </c>
      <c r="E20097" t="str">
        <f>"OXFORD                    "</f>
        <v xml:space="preserve">OXFORD                    </v>
      </c>
      <c r="F20097" t="str">
        <f t="shared" si="478"/>
        <v>MS</v>
      </c>
    </row>
    <row r="20098" spans="1:6" x14ac:dyDescent="0.25">
      <c r="A20098" t="str">
        <f>"200025102"</f>
        <v>200025102</v>
      </c>
      <c r="B20098" t="str">
        <f>"1609430842"</f>
        <v>1609430842</v>
      </c>
      <c r="C20098" t="str">
        <f>"363LA2100X"</f>
        <v>363LA2100X</v>
      </c>
      <c r="D20098" t="str">
        <f>"HARDY                    WILLIAM                  "</f>
        <v xml:space="preserve">HARDY                    WILLIAM                  </v>
      </c>
      <c r="E20098" t="str">
        <f>"SOUTHAVEN                 "</f>
        <v xml:space="preserve">SOUTHAVEN                 </v>
      </c>
      <c r="F20098" t="str">
        <f t="shared" si="478"/>
        <v>MS</v>
      </c>
    </row>
    <row r="20099" spans="1:6" x14ac:dyDescent="0.25">
      <c r="A20099" t="str">
        <f>"200025104"</f>
        <v>200025104</v>
      </c>
      <c r="B20099" t="str">
        <f>"1235025669"</f>
        <v>1235025669</v>
      </c>
      <c r="C20099" t="str">
        <f>"363LF0000X"</f>
        <v>363LF0000X</v>
      </c>
      <c r="D20099" t="str">
        <f>"COLLINS                  JAYLA                    "</f>
        <v xml:space="preserve">COLLINS                  JAYLA                    </v>
      </c>
      <c r="E20099" t="str">
        <f>"GLUCKSTADT                "</f>
        <v xml:space="preserve">GLUCKSTADT                </v>
      </c>
      <c r="F20099" t="str">
        <f t="shared" si="478"/>
        <v>MS</v>
      </c>
    </row>
    <row r="20100" spans="1:6" x14ac:dyDescent="0.25">
      <c r="A20100" t="str">
        <f>"200025105"</f>
        <v>200025105</v>
      </c>
      <c r="B20100" t="str">
        <f>"1134008030"</f>
        <v>1134008030</v>
      </c>
      <c r="C20100" t="str">
        <f>"363LP0808X"</f>
        <v>363LP0808X</v>
      </c>
      <c r="D20100" t="str">
        <f>"HODGE                    HANNAH                   "</f>
        <v xml:space="preserve">HODGE                    HANNAH                   </v>
      </c>
      <c r="E20100" t="str">
        <f>"MADISON                   "</f>
        <v xml:space="preserve">MADISON                   </v>
      </c>
      <c r="F20100" t="str">
        <f t="shared" si="478"/>
        <v>MS</v>
      </c>
    </row>
    <row r="20101" spans="1:6" x14ac:dyDescent="0.25">
      <c r="A20101" t="str">
        <f>"200025110"</f>
        <v>200025110</v>
      </c>
      <c r="B20101" t="str">
        <f>"1215803192"</f>
        <v>1215803192</v>
      </c>
      <c r="C20101" t="str">
        <f>"363LF0000X"</f>
        <v>363LF0000X</v>
      </c>
      <c r="D20101" t="str">
        <f>"DOOLEY                   MERCADES     H           "</f>
        <v xml:space="preserve">DOOLEY                   MERCADES     H           </v>
      </c>
      <c r="E20101" t="str">
        <f>"COLUMBUS                  "</f>
        <v xml:space="preserve">COLUMBUS                  </v>
      </c>
      <c r="F20101" t="str">
        <f t="shared" si="478"/>
        <v>MS</v>
      </c>
    </row>
    <row r="20102" spans="1:6" x14ac:dyDescent="0.25">
      <c r="A20102" t="str">
        <f>"200025116"</f>
        <v>200025116</v>
      </c>
      <c r="B20102" t="str">
        <f>"1114897774"</f>
        <v>1114897774</v>
      </c>
      <c r="C20102" t="str">
        <f>"363LA2100X"</f>
        <v>363LA2100X</v>
      </c>
      <c r="D20102" t="str">
        <f>"HAYES                    ANA PAULA                "</f>
        <v xml:space="preserve">HAYES                    ANA PAULA                </v>
      </c>
      <c r="E20102" t="str">
        <f>"JACKSON                   "</f>
        <v xml:space="preserve">JACKSON                   </v>
      </c>
      <c r="F20102" t="str">
        <f t="shared" si="478"/>
        <v>MS</v>
      </c>
    </row>
    <row r="20103" spans="1:6" x14ac:dyDescent="0.25">
      <c r="A20103" t="str">
        <f>"200025118"</f>
        <v>200025118</v>
      </c>
      <c r="B20103" t="str">
        <f>"1316719826"</f>
        <v>1316719826</v>
      </c>
      <c r="C20103" t="str">
        <f>"363LF0000X"</f>
        <v>363LF0000X</v>
      </c>
      <c r="D20103" t="str">
        <f>"EVANS                    ANNA                     "</f>
        <v xml:space="preserve">EVANS                    ANNA                     </v>
      </c>
      <c r="E20103" t="str">
        <f>"COLUMBUS                  "</f>
        <v xml:space="preserve">COLUMBUS                  </v>
      </c>
      <c r="F20103" t="str">
        <f t="shared" si="478"/>
        <v>MS</v>
      </c>
    </row>
    <row r="20104" spans="1:6" x14ac:dyDescent="0.25">
      <c r="A20104" t="str">
        <f>"200025120"</f>
        <v>200025120</v>
      </c>
      <c r="B20104" t="str">
        <f>"1174344295"</f>
        <v>1174344295</v>
      </c>
      <c r="C20104" t="str">
        <f>"363LP2300X"</f>
        <v>363LP2300X</v>
      </c>
      <c r="D20104" t="str">
        <f>"COLEMAN                  BARBARA                  "</f>
        <v xml:space="preserve">COLEMAN                  BARBARA                  </v>
      </c>
      <c r="E20104" t="str">
        <f>"SOUTHAVEN                 "</f>
        <v xml:space="preserve">SOUTHAVEN                 </v>
      </c>
      <c r="F20104" t="str">
        <f t="shared" si="478"/>
        <v>MS</v>
      </c>
    </row>
    <row r="20105" spans="1:6" x14ac:dyDescent="0.25">
      <c r="A20105" t="str">
        <f>"200025121"</f>
        <v>200025121</v>
      </c>
      <c r="B20105" t="str">
        <f>"1992424279"</f>
        <v>1992424279</v>
      </c>
      <c r="C20105" t="str">
        <f>"363LP0808X"</f>
        <v>363LP0808X</v>
      </c>
      <c r="D20105" t="str">
        <f>"SHARP                    SALLY        D           "</f>
        <v xml:space="preserve">SHARP                    SALLY        D           </v>
      </c>
      <c r="E20105" t="str">
        <f>"FLORENCE                  "</f>
        <v xml:space="preserve">FLORENCE                  </v>
      </c>
      <c r="F20105" t="str">
        <f t="shared" si="478"/>
        <v>MS</v>
      </c>
    </row>
    <row r="20106" spans="1:6" x14ac:dyDescent="0.25">
      <c r="A20106" t="str">
        <f>"200025123"</f>
        <v>200025123</v>
      </c>
      <c r="B20106" t="str">
        <f>"1548153364"</f>
        <v>1548153364</v>
      </c>
      <c r="C20106" t="str">
        <f>"363L00000X"</f>
        <v>363L00000X</v>
      </c>
      <c r="D20106" t="str">
        <f>"SWINNEY                  KIMBERLY     D           "</f>
        <v xml:space="preserve">SWINNEY                  KIMBERLY     D           </v>
      </c>
      <c r="E20106" t="str">
        <f>"SALTILLO                  "</f>
        <v xml:space="preserve">SALTILLO                  </v>
      </c>
      <c r="F20106" t="str">
        <f t="shared" si="478"/>
        <v>MS</v>
      </c>
    </row>
    <row r="20107" spans="1:6" x14ac:dyDescent="0.25">
      <c r="A20107" t="str">
        <f>"200025124"</f>
        <v>200025124</v>
      </c>
      <c r="B20107" t="str">
        <f>"1376187799"</f>
        <v>1376187799</v>
      </c>
      <c r="C20107" t="str">
        <f>"363LF0000X"</f>
        <v>363LF0000X</v>
      </c>
      <c r="D20107" t="str">
        <f>"ALBRITTON                DAVID                    "</f>
        <v xml:space="preserve">ALBRITTON                DAVID                    </v>
      </c>
      <c r="E20107" t="str">
        <f>"MCCOMB                    "</f>
        <v xml:space="preserve">MCCOMB                    </v>
      </c>
      <c r="F20107" t="str">
        <f t="shared" si="478"/>
        <v>MS</v>
      </c>
    </row>
    <row r="20108" spans="1:6" x14ac:dyDescent="0.25">
      <c r="A20108" t="str">
        <f>"200025125"</f>
        <v>200025125</v>
      </c>
      <c r="B20108" t="str">
        <f>"1518763804"</f>
        <v>1518763804</v>
      </c>
      <c r="C20108" t="str">
        <f>"367500000X"</f>
        <v>367500000X</v>
      </c>
      <c r="D20108" t="str">
        <f>"LYNCH                    ASHLEY                   "</f>
        <v xml:space="preserve">LYNCH                    ASHLEY                   </v>
      </c>
      <c r="E20108" t="str">
        <f>"OLIVE BRANCH              "</f>
        <v xml:space="preserve">OLIVE BRANCH              </v>
      </c>
      <c r="F20108" t="str">
        <f t="shared" si="478"/>
        <v>MS</v>
      </c>
    </row>
    <row r="20109" spans="1:6" x14ac:dyDescent="0.25">
      <c r="A20109" t="str">
        <f>"200025126"</f>
        <v>200025126</v>
      </c>
      <c r="B20109" t="str">
        <f>"1922283019"</f>
        <v>1922283019</v>
      </c>
      <c r="C20109" t="str">
        <f>"363LF0000X"</f>
        <v>363LF0000X</v>
      </c>
      <c r="D20109" t="str">
        <f>"DURET                    YOUSELINE                "</f>
        <v xml:space="preserve">DURET                    YOUSELINE                </v>
      </c>
      <c r="E20109" t="str">
        <f>"JACKSON                   "</f>
        <v xml:space="preserve">JACKSON                   </v>
      </c>
      <c r="F20109" t="str">
        <f t="shared" si="478"/>
        <v>MS</v>
      </c>
    </row>
    <row r="20110" spans="1:6" x14ac:dyDescent="0.25">
      <c r="A20110" t="str">
        <f>"200025131"</f>
        <v>200025131</v>
      </c>
      <c r="B20110" t="str">
        <f>"1508284167"</f>
        <v>1508284167</v>
      </c>
      <c r="C20110" t="str">
        <f>"363LN0000X"</f>
        <v>363LN0000X</v>
      </c>
      <c r="D20110" t="str">
        <f>"ROBERTS                  EVELYN                   "</f>
        <v xml:space="preserve">ROBERTS                  EVELYN                   </v>
      </c>
      <c r="E20110" t="str">
        <f>"JACKSON                   "</f>
        <v xml:space="preserve">JACKSON                   </v>
      </c>
      <c r="F20110" t="str">
        <f t="shared" si="478"/>
        <v>MS</v>
      </c>
    </row>
    <row r="20111" spans="1:6" x14ac:dyDescent="0.25">
      <c r="A20111" t="str">
        <f>"200025136"</f>
        <v>200025136</v>
      </c>
      <c r="B20111" t="str">
        <f>"1851980718"</f>
        <v>1851980718</v>
      </c>
      <c r="C20111" t="str">
        <f>"363LF0000X"</f>
        <v>363LF0000X</v>
      </c>
      <c r="D20111" t="str">
        <f>"NASH                     ZA'HARA                  "</f>
        <v xml:space="preserve">NASH                     ZA'HARA                  </v>
      </c>
      <c r="E20111" t="str">
        <f>"VICKSBURG                 "</f>
        <v xml:space="preserve">VICKSBURG                 </v>
      </c>
      <c r="F20111" t="str">
        <f t="shared" si="478"/>
        <v>MS</v>
      </c>
    </row>
    <row r="20112" spans="1:6" x14ac:dyDescent="0.25">
      <c r="A20112" t="str">
        <f>"200025143"</f>
        <v>200025143</v>
      </c>
      <c r="B20112" t="str">
        <f>"1306489349"</f>
        <v>1306489349</v>
      </c>
      <c r="C20112" t="str">
        <f>"363LF0000X"</f>
        <v>363LF0000X</v>
      </c>
      <c r="D20112" t="str">
        <f>"MARTIJA                  LUIS                     "</f>
        <v xml:space="preserve">MARTIJA                  LUIS                     </v>
      </c>
      <c r="E20112" t="str">
        <f>"JACKSON                   "</f>
        <v xml:space="preserve">JACKSON                   </v>
      </c>
      <c r="F20112" t="str">
        <f t="shared" si="478"/>
        <v>MS</v>
      </c>
    </row>
    <row r="20113" spans="1:6" x14ac:dyDescent="0.25">
      <c r="A20113" t="str">
        <f>"200025145"</f>
        <v>200025145</v>
      </c>
      <c r="B20113" t="str">
        <f>"1972982668"</f>
        <v>1972982668</v>
      </c>
      <c r="C20113" t="str">
        <f>"207P00000X"</f>
        <v>207P00000X</v>
      </c>
      <c r="D20113" t="str">
        <f>"LEJEUNE                  MARTY                    "</f>
        <v xml:space="preserve">LEJEUNE                  MARTY                    </v>
      </c>
      <c r="E20113" t="str">
        <f>"BAY SAINT LOUIS           "</f>
        <v xml:space="preserve">BAY SAINT LOUIS           </v>
      </c>
      <c r="F20113" t="str">
        <f t="shared" si="478"/>
        <v>MS</v>
      </c>
    </row>
    <row r="20114" spans="1:6" x14ac:dyDescent="0.25">
      <c r="A20114" t="str">
        <f>"200025147"</f>
        <v>200025147</v>
      </c>
      <c r="B20114" t="str">
        <f>"1174830038"</f>
        <v>1174830038</v>
      </c>
      <c r="C20114" t="str">
        <f>"207V00000X"</f>
        <v>207V00000X</v>
      </c>
      <c r="D20114" t="str">
        <f>"JOHNSON                  ELOSHA                   "</f>
        <v xml:space="preserve">JOHNSON                  ELOSHA                   </v>
      </c>
      <c r="E20114" t="str">
        <f>"SOUTHAVEN                 "</f>
        <v xml:space="preserve">SOUTHAVEN                 </v>
      </c>
      <c r="F20114" t="str">
        <f t="shared" si="478"/>
        <v>MS</v>
      </c>
    </row>
    <row r="20115" spans="1:6" x14ac:dyDescent="0.25">
      <c r="A20115" t="str">
        <f>"200025153"</f>
        <v>200025153</v>
      </c>
      <c r="B20115" t="str">
        <f>"1922283019"</f>
        <v>1922283019</v>
      </c>
      <c r="C20115" t="str">
        <f>"363LP0808X"</f>
        <v>363LP0808X</v>
      </c>
      <c r="D20115" t="str">
        <f>"DURET                    YOUSELINE                "</f>
        <v xml:space="preserve">DURET                    YOUSELINE                </v>
      </c>
      <c r="E20115" t="str">
        <f>"JACKSON                   "</f>
        <v xml:space="preserve">JACKSON                   </v>
      </c>
      <c r="F20115" t="str">
        <f t="shared" si="478"/>
        <v>MS</v>
      </c>
    </row>
    <row r="20116" spans="1:6" x14ac:dyDescent="0.25">
      <c r="A20116" t="str">
        <f>"200025155"</f>
        <v>200025155</v>
      </c>
      <c r="B20116" t="str">
        <f>"1326778267"</f>
        <v>1326778267</v>
      </c>
      <c r="C20116" t="str">
        <f>"207R00000X"</f>
        <v>207R00000X</v>
      </c>
      <c r="D20116" t="str">
        <f>"HIGGINBOTHAM             ROBERT       T           "</f>
        <v xml:space="preserve">HIGGINBOTHAM             ROBERT       T           </v>
      </c>
      <c r="E20116" t="str">
        <f>"JACKSON                   "</f>
        <v xml:space="preserve">JACKSON                   </v>
      </c>
      <c r="F20116" t="str">
        <f t="shared" si="478"/>
        <v>MS</v>
      </c>
    </row>
    <row r="20117" spans="1:6" x14ac:dyDescent="0.25">
      <c r="A20117" t="str">
        <f>"200025162"</f>
        <v>200025162</v>
      </c>
      <c r="B20117" t="str">
        <f>"1538555016"</f>
        <v>1538555016</v>
      </c>
      <c r="C20117" t="str">
        <f>"2084P0800X"</f>
        <v>2084P0800X</v>
      </c>
      <c r="D20117" t="str">
        <f>"PATEL                    KAMAL                    "</f>
        <v xml:space="preserve">PATEL                    KAMAL                    </v>
      </c>
      <c r="E20117" t="str">
        <f>"GULFPORT                  "</f>
        <v xml:space="preserve">GULFPORT                  </v>
      </c>
      <c r="F20117" t="str">
        <f t="shared" si="478"/>
        <v>MS</v>
      </c>
    </row>
    <row r="20118" spans="1:6" x14ac:dyDescent="0.25">
      <c r="A20118" t="str">
        <f>"200025164"</f>
        <v>200025164</v>
      </c>
      <c r="B20118" t="str">
        <f>"1720813363"</f>
        <v>1720813363</v>
      </c>
      <c r="C20118" t="str">
        <f>"363LP0808X"</f>
        <v>363LP0808X</v>
      </c>
      <c r="D20118" t="str">
        <f>"DENNIS                   CARA                     "</f>
        <v xml:space="preserve">DENNIS                   CARA                     </v>
      </c>
      <c r="E20118" t="str">
        <f>"SOUTHAVEN                 "</f>
        <v xml:space="preserve">SOUTHAVEN                 </v>
      </c>
      <c r="F20118" t="str">
        <f t="shared" si="478"/>
        <v>MS</v>
      </c>
    </row>
    <row r="20119" spans="1:6" x14ac:dyDescent="0.25">
      <c r="A20119" t="str">
        <f>"200025170"</f>
        <v>200025170</v>
      </c>
      <c r="B20119" t="str">
        <f>"1265993190"</f>
        <v>1265993190</v>
      </c>
      <c r="C20119" t="str">
        <f>"208600000X"</f>
        <v>208600000X</v>
      </c>
      <c r="D20119" t="str">
        <f>"ZAVALA                   RENNETTE                 "</f>
        <v xml:space="preserve">ZAVALA                   RENNETTE                 </v>
      </c>
      <c r="E20119" t="str">
        <f>"JACKSON                   "</f>
        <v xml:space="preserve">JACKSON                   </v>
      </c>
      <c r="F20119" t="str">
        <f t="shared" si="478"/>
        <v>MS</v>
      </c>
    </row>
    <row r="20120" spans="1:6" x14ac:dyDescent="0.25">
      <c r="A20120" t="str">
        <f>"200025175"</f>
        <v>200025175</v>
      </c>
      <c r="B20120" t="str">
        <f>"1437868924"</f>
        <v>1437868924</v>
      </c>
      <c r="C20120" t="str">
        <f>"363LF0000X"</f>
        <v>363LF0000X</v>
      </c>
      <c r="D20120" t="str">
        <f>"BOELKINS                 CHELSY                   "</f>
        <v xml:space="preserve">BOELKINS                 CHELSY                   </v>
      </c>
      <c r="E20120" t="str">
        <f>"JACKSON                   "</f>
        <v xml:space="preserve">JACKSON                   </v>
      </c>
      <c r="F20120" t="str">
        <f t="shared" si="478"/>
        <v>MS</v>
      </c>
    </row>
    <row r="20121" spans="1:6" x14ac:dyDescent="0.25">
      <c r="A20121" t="str">
        <f>"200025176"</f>
        <v>200025176</v>
      </c>
      <c r="B20121" t="str">
        <f>"1477203362"</f>
        <v>1477203362</v>
      </c>
      <c r="C20121" t="str">
        <f>"2080P0205X"</f>
        <v>2080P0205X</v>
      </c>
      <c r="D20121" t="str">
        <f>"GONZALEZ                 GILBERTO     R           "</f>
        <v xml:space="preserve">GONZALEZ                 GILBERTO     R           </v>
      </c>
      <c r="E20121" t="str">
        <f>"JACKSON                   "</f>
        <v xml:space="preserve">JACKSON                   </v>
      </c>
      <c r="F20121" t="str">
        <f t="shared" si="478"/>
        <v>MS</v>
      </c>
    </row>
    <row r="20122" spans="1:6" x14ac:dyDescent="0.25">
      <c r="A20122" t="str">
        <f>"200025178"</f>
        <v>200025178</v>
      </c>
      <c r="B20122" t="str">
        <f>"1124062930"</f>
        <v>1124062930</v>
      </c>
      <c r="C20122" t="str">
        <f>"363L00000X"</f>
        <v>363L00000X</v>
      </c>
      <c r="D20122" t="str">
        <f>"ARMSTRONG                HOLLY                    "</f>
        <v xml:space="preserve">ARMSTRONG                HOLLY                    </v>
      </c>
      <c r="E20122" t="str">
        <f>"OXFORD                    "</f>
        <v xml:space="preserve">OXFORD                    </v>
      </c>
      <c r="F20122" t="str">
        <f t="shared" si="478"/>
        <v>MS</v>
      </c>
    </row>
    <row r="20123" spans="1:6" x14ac:dyDescent="0.25">
      <c r="A20123" t="str">
        <f>"200025187"</f>
        <v>200025187</v>
      </c>
      <c r="B20123" t="str">
        <f>"1881356574"</f>
        <v>1881356574</v>
      </c>
      <c r="C20123" t="str">
        <f>"363LF0000X"</f>
        <v>363LF0000X</v>
      </c>
      <c r="D20123" t="str">
        <f>"CARTER                   CORETTA                  "</f>
        <v xml:space="preserve">CARTER                   CORETTA                  </v>
      </c>
      <c r="E20123" t="str">
        <f>"YAZOO CITY                "</f>
        <v xml:space="preserve">YAZOO CITY                </v>
      </c>
      <c r="F20123" t="str">
        <f t="shared" si="478"/>
        <v>MS</v>
      </c>
    </row>
    <row r="20124" spans="1:6" x14ac:dyDescent="0.25">
      <c r="A20124" t="str">
        <f>"200025188"</f>
        <v>200025188</v>
      </c>
      <c r="B20124" t="str">
        <f>"1972830750"</f>
        <v>1972830750</v>
      </c>
      <c r="C20124" t="str">
        <f>"1223D0004X"</f>
        <v>1223D0004X</v>
      </c>
      <c r="D20124" t="str">
        <f>"HAPPY SMILES             PASCAGOULA               "</f>
        <v xml:space="preserve">HAPPY SMILES             PASCAGOULA               </v>
      </c>
      <c r="E20124" t="str">
        <f>"PASCAGOULA                "</f>
        <v xml:space="preserve">PASCAGOULA                </v>
      </c>
      <c r="F20124" t="str">
        <f t="shared" si="478"/>
        <v>MS</v>
      </c>
    </row>
    <row r="20125" spans="1:6" x14ac:dyDescent="0.25">
      <c r="A20125" t="str">
        <f>"200025189"</f>
        <v>200025189</v>
      </c>
      <c r="B20125" t="str">
        <f>"1407734452"</f>
        <v>1407734452</v>
      </c>
      <c r="C20125" t="str">
        <f>"363LA2100X"</f>
        <v>363LA2100X</v>
      </c>
      <c r="D20125" t="str">
        <f>"HODA                     DANIELLE                 "</f>
        <v xml:space="preserve">HODA                     DANIELLE                 </v>
      </c>
      <c r="E20125" t="str">
        <f>"GULFPORT                  "</f>
        <v xml:space="preserve">GULFPORT                  </v>
      </c>
      <c r="F20125" t="str">
        <f t="shared" si="478"/>
        <v>MS</v>
      </c>
    </row>
    <row r="20126" spans="1:6" x14ac:dyDescent="0.25">
      <c r="A20126" t="str">
        <f>"200025193"</f>
        <v>200025193</v>
      </c>
      <c r="B20126" t="str">
        <f>"1174840920"</f>
        <v>1174840920</v>
      </c>
      <c r="C20126" t="str">
        <f>"207WX0107X"</f>
        <v>207WX0107X</v>
      </c>
      <c r="D20126" t="str">
        <f>"ODAIBO                   STEPHEN                  "</f>
        <v xml:space="preserve">ODAIBO                   STEPHEN                  </v>
      </c>
      <c r="E20126" t="str">
        <f>"MADISON                   "</f>
        <v xml:space="preserve">MADISON                   </v>
      </c>
      <c r="F20126" t="str">
        <f t="shared" si="478"/>
        <v>MS</v>
      </c>
    </row>
    <row r="20127" spans="1:6" x14ac:dyDescent="0.25">
      <c r="A20127" t="str">
        <f>"200025198"</f>
        <v>200025198</v>
      </c>
      <c r="B20127" t="str">
        <f>"1457331936"</f>
        <v>1457331936</v>
      </c>
      <c r="C20127" t="str">
        <f>"207Q00000X"</f>
        <v>207Q00000X</v>
      </c>
      <c r="D20127" t="str">
        <f>"NOEL                     KARLA                    "</f>
        <v xml:space="preserve">NOEL                     KARLA                    </v>
      </c>
      <c r="E20127" t="str">
        <f>"MADISON                   "</f>
        <v xml:space="preserve">MADISON                   </v>
      </c>
      <c r="F20127" t="str">
        <f t="shared" si="478"/>
        <v>MS</v>
      </c>
    </row>
    <row r="20128" spans="1:6" x14ac:dyDescent="0.25">
      <c r="A20128" t="str">
        <f>"200025199"</f>
        <v>200025199</v>
      </c>
      <c r="B20128" t="str">
        <f>"1841247954"</f>
        <v>1841247954</v>
      </c>
      <c r="C20128" t="str">
        <f>"367500000X"</f>
        <v>367500000X</v>
      </c>
      <c r="D20128" t="str">
        <f>"HURST                    FRED                     "</f>
        <v xml:space="preserve">HURST                    FRED                     </v>
      </c>
      <c r="E20128" t="str">
        <f>"LUCEDALE                  "</f>
        <v xml:space="preserve">LUCEDALE                  </v>
      </c>
      <c r="F20128" t="str">
        <f t="shared" si="478"/>
        <v>MS</v>
      </c>
    </row>
    <row r="20129" spans="1:6" x14ac:dyDescent="0.25">
      <c r="A20129" t="str">
        <f>"200025206"</f>
        <v>200025206</v>
      </c>
      <c r="B20129" t="str">
        <f>"1104555028"</f>
        <v>1104555028</v>
      </c>
      <c r="C20129" t="str">
        <f>"367500000X"</f>
        <v>367500000X</v>
      </c>
      <c r="D20129" t="str">
        <f>"STONER                   LEANNE                   "</f>
        <v xml:space="preserve">STONER                   LEANNE                   </v>
      </c>
      <c r="E20129" t="str">
        <f>"OLIVE BRANCH              "</f>
        <v xml:space="preserve">OLIVE BRANCH              </v>
      </c>
      <c r="F20129" t="str">
        <f t="shared" si="478"/>
        <v>MS</v>
      </c>
    </row>
    <row r="20130" spans="1:6" x14ac:dyDescent="0.25">
      <c r="A20130" t="str">
        <f>"200025210"</f>
        <v>200025210</v>
      </c>
      <c r="B20130" t="str">
        <f>"1164582334"</f>
        <v>1164582334</v>
      </c>
      <c r="C20130" t="str">
        <f>"152W00000X"</f>
        <v>152W00000X</v>
      </c>
      <c r="D20130" t="str">
        <f>"HUNT                     BRIAN        L           "</f>
        <v xml:space="preserve">HUNT                     BRIAN        L           </v>
      </c>
      <c r="E20130" t="str">
        <f>"OCEAN SPRINGS             "</f>
        <v xml:space="preserve">OCEAN SPRINGS             </v>
      </c>
      <c r="F20130" t="str">
        <f t="shared" si="478"/>
        <v>MS</v>
      </c>
    </row>
    <row r="20131" spans="1:6" x14ac:dyDescent="0.25">
      <c r="A20131" t="str">
        <f>"200025211"</f>
        <v>200025211</v>
      </c>
      <c r="B20131" t="str">
        <f>"1427642057"</f>
        <v>1427642057</v>
      </c>
      <c r="C20131" t="str">
        <f>"363L00000X"</f>
        <v>363L00000X</v>
      </c>
      <c r="D20131" t="str">
        <f>"TAYLOR                   SHEMEKA                  "</f>
        <v xml:space="preserve">TAYLOR                   SHEMEKA                  </v>
      </c>
      <c r="E20131" t="str">
        <f>"JACKSON                   "</f>
        <v xml:space="preserve">JACKSON                   </v>
      </c>
      <c r="F20131" t="str">
        <f t="shared" si="478"/>
        <v>MS</v>
      </c>
    </row>
    <row r="20132" spans="1:6" x14ac:dyDescent="0.25">
      <c r="A20132" t="str">
        <f>"200025216"</f>
        <v>200025216</v>
      </c>
      <c r="B20132" t="str">
        <f>"1417196585"</f>
        <v>1417196585</v>
      </c>
      <c r="C20132" t="str">
        <f>"363LN0000X"</f>
        <v>363LN0000X</v>
      </c>
      <c r="D20132" t="str">
        <f>"BREWER                   SHERYL       S           "</f>
        <v xml:space="preserve">BREWER                   SHERYL       S           </v>
      </c>
      <c r="E20132" t="str">
        <f>"JACKSON                   "</f>
        <v xml:space="preserve">JACKSON                   </v>
      </c>
      <c r="F20132" t="str">
        <f t="shared" si="478"/>
        <v>MS</v>
      </c>
    </row>
    <row r="20133" spans="1:6" x14ac:dyDescent="0.25">
      <c r="A20133" t="str">
        <f>"200025227"</f>
        <v>200025227</v>
      </c>
      <c r="B20133" t="str">
        <f>"1932072741"</f>
        <v>1932072741</v>
      </c>
      <c r="C20133" t="str">
        <f>"363LF0000X"</f>
        <v>363LF0000X</v>
      </c>
      <c r="D20133" t="str">
        <f>"CHATHAM                  HALEY        M           "</f>
        <v xml:space="preserve">CHATHAM                  HALEY        M           </v>
      </c>
      <c r="E20133" t="str">
        <f>"JACKSON                   "</f>
        <v xml:space="preserve">JACKSON                   </v>
      </c>
      <c r="F20133" t="str">
        <f t="shared" si="478"/>
        <v>MS</v>
      </c>
    </row>
    <row r="20134" spans="1:6" x14ac:dyDescent="0.25">
      <c r="A20134" t="str">
        <f>"200025232"</f>
        <v>200025232</v>
      </c>
      <c r="B20134" t="str">
        <f>"1871607812"</f>
        <v>1871607812</v>
      </c>
      <c r="C20134" t="str">
        <f>"1223S0112X"</f>
        <v>1223S0112X</v>
      </c>
      <c r="D20134" t="str">
        <f>"ROBERSON                 JOHN         B           "</f>
        <v xml:space="preserve">ROBERSON                 JOHN         B           </v>
      </c>
      <c r="E20134" t="str">
        <f>"HATTIESBURG               "</f>
        <v xml:space="preserve">HATTIESBURG               </v>
      </c>
      <c r="F20134" t="str">
        <f t="shared" si="478"/>
        <v>MS</v>
      </c>
    </row>
    <row r="20135" spans="1:6" x14ac:dyDescent="0.25">
      <c r="A20135" t="str">
        <f>"200025233"</f>
        <v>200025233</v>
      </c>
      <c r="B20135" t="str">
        <f>"1386535557"</f>
        <v>1386535557</v>
      </c>
      <c r="C20135" t="str">
        <f>"363LF0000X"</f>
        <v>363LF0000X</v>
      </c>
      <c r="D20135" t="str">
        <f>"SMITH                    RYAN                     "</f>
        <v xml:space="preserve">SMITH                    RYAN                     </v>
      </c>
      <c r="E20135" t="str">
        <f>"CANTON                    "</f>
        <v xml:space="preserve">CANTON                    </v>
      </c>
      <c r="F20135" t="str">
        <f t="shared" si="478"/>
        <v>MS</v>
      </c>
    </row>
    <row r="20136" spans="1:6" x14ac:dyDescent="0.25">
      <c r="A20136" t="str">
        <f>"200025236"</f>
        <v>200025236</v>
      </c>
      <c r="B20136" t="str">
        <f>"1073953683"</f>
        <v>1073953683</v>
      </c>
      <c r="C20136" t="str">
        <f>"2084N0400X"</f>
        <v>2084N0400X</v>
      </c>
      <c r="D20136" t="str">
        <f>"BOYER                    EDWARD                   "</f>
        <v xml:space="preserve">BOYER                    EDWARD                   </v>
      </c>
      <c r="E20136" t="str">
        <f>"TUPELO                    "</f>
        <v xml:space="preserve">TUPELO                    </v>
      </c>
      <c r="F20136" t="str">
        <f t="shared" si="478"/>
        <v>MS</v>
      </c>
    </row>
    <row r="20137" spans="1:6" x14ac:dyDescent="0.25">
      <c r="A20137" t="str">
        <f>"200025244"</f>
        <v>200025244</v>
      </c>
      <c r="B20137" t="str">
        <f>"1821296476"</f>
        <v>1821296476</v>
      </c>
      <c r="C20137" t="str">
        <f>"207RG0100X"</f>
        <v>207RG0100X</v>
      </c>
      <c r="D20137" t="str">
        <f>"PAINE                    ELIZABETH    R           "</f>
        <v xml:space="preserve">PAINE                    ELIZABETH    R           </v>
      </c>
      <c r="E20137" t="str">
        <f>"RIDGELAND                 "</f>
        <v xml:space="preserve">RIDGELAND                 </v>
      </c>
      <c r="F20137" t="str">
        <f t="shared" si="478"/>
        <v>MS</v>
      </c>
    </row>
    <row r="20138" spans="1:6" x14ac:dyDescent="0.25">
      <c r="A20138" t="str">
        <f>"200025255"</f>
        <v>200025255</v>
      </c>
      <c r="B20138" t="str">
        <f>"1477677458"</f>
        <v>1477677458</v>
      </c>
      <c r="C20138" t="str">
        <f>"207RI0200X"</f>
        <v>207RI0200X</v>
      </c>
      <c r="D20138" t="str">
        <f>"OLUWATADE                OLATUNJI                 "</f>
        <v xml:space="preserve">OLUWATADE                OLATUNJI                 </v>
      </c>
      <c r="E20138" t="str">
        <f>"JACKSON                   "</f>
        <v xml:space="preserve">JACKSON                   </v>
      </c>
      <c r="F20138" t="str">
        <f t="shared" si="478"/>
        <v>MS</v>
      </c>
    </row>
    <row r="20139" spans="1:6" x14ac:dyDescent="0.25">
      <c r="A20139" t="str">
        <f>"200025256"</f>
        <v>200025256</v>
      </c>
      <c r="B20139" t="str">
        <f>"1578097655"</f>
        <v>1578097655</v>
      </c>
      <c r="C20139" t="str">
        <f>"2084P0800X"</f>
        <v>2084P0800X</v>
      </c>
      <c r="D20139" t="str">
        <f>"LOFTON                   JENNIE       K           "</f>
        <v xml:space="preserve">LOFTON                   JENNIE       K           </v>
      </c>
      <c r="E20139" t="str">
        <f>"JACKSON                   "</f>
        <v xml:space="preserve">JACKSON                   </v>
      </c>
      <c r="F20139" t="str">
        <f t="shared" si="478"/>
        <v>MS</v>
      </c>
    </row>
    <row r="20140" spans="1:6" x14ac:dyDescent="0.25">
      <c r="A20140" t="str">
        <f>"200025259"</f>
        <v>200025259</v>
      </c>
      <c r="B20140" t="str">
        <f>"1851283535"</f>
        <v>1851283535</v>
      </c>
      <c r="C20140" t="str">
        <f>"363LF0000X"</f>
        <v>363LF0000X</v>
      </c>
      <c r="D20140" t="str">
        <f>"MCNUTT                   KRISTA                   "</f>
        <v xml:space="preserve">MCNUTT                   KRISTA                   </v>
      </c>
      <c r="E20140" t="str">
        <f>"OXFORD                    "</f>
        <v xml:space="preserve">OXFORD                    </v>
      </c>
      <c r="F20140" t="str">
        <f t="shared" si="478"/>
        <v>MS</v>
      </c>
    </row>
    <row r="20141" spans="1:6" x14ac:dyDescent="0.25">
      <c r="A20141" t="str">
        <f>"200025260"</f>
        <v>200025260</v>
      </c>
      <c r="B20141" t="str">
        <f>"1104900257"</f>
        <v>1104900257</v>
      </c>
      <c r="C20141" t="str">
        <f>"367A00000X"</f>
        <v>367A00000X</v>
      </c>
      <c r="D20141" t="str">
        <f>"MACDONALD                AMY                      "</f>
        <v xml:space="preserve">MACDONALD                AMY                      </v>
      </c>
      <c r="E20141" t="str">
        <f>"RIDGELAND                 "</f>
        <v xml:space="preserve">RIDGELAND                 </v>
      </c>
      <c r="F20141" t="str">
        <f t="shared" si="478"/>
        <v>MS</v>
      </c>
    </row>
    <row r="20142" spans="1:6" x14ac:dyDescent="0.25">
      <c r="A20142" t="str">
        <f>"200025270"</f>
        <v>200025270</v>
      </c>
      <c r="B20142" t="str">
        <f>"1508284167"</f>
        <v>1508284167</v>
      </c>
      <c r="C20142" t="str">
        <f>"363L00000X"</f>
        <v>363L00000X</v>
      </c>
      <c r="D20142" t="str">
        <f>"ROBERTS                  EVELYN                   "</f>
        <v xml:space="preserve">ROBERTS                  EVELYN                   </v>
      </c>
      <c r="E20142" t="str">
        <f>"FLOWOOD                   "</f>
        <v xml:space="preserve">FLOWOOD                   </v>
      </c>
      <c r="F20142" t="str">
        <f t="shared" si="478"/>
        <v>MS</v>
      </c>
    </row>
    <row r="20143" spans="1:6" x14ac:dyDescent="0.25">
      <c r="A20143" t="str">
        <f>"200025271"</f>
        <v>200025271</v>
      </c>
      <c r="B20143" t="str">
        <f>"1861668808"</f>
        <v>1861668808</v>
      </c>
      <c r="C20143" t="str">
        <f>"207N00000X"</f>
        <v>207N00000X</v>
      </c>
      <c r="D20143" t="str">
        <f>"HOLCOMB                  KATHERINE                "</f>
        <v xml:space="preserve">HOLCOMB                  KATHERINE                </v>
      </c>
      <c r="E20143" t="str">
        <f>"BILOXI                    "</f>
        <v xml:space="preserve">BILOXI                    </v>
      </c>
      <c r="F20143" t="str">
        <f t="shared" si="478"/>
        <v>MS</v>
      </c>
    </row>
    <row r="20144" spans="1:6" x14ac:dyDescent="0.25">
      <c r="A20144" t="str">
        <f>"200025280"</f>
        <v>200025280</v>
      </c>
      <c r="B20144" t="str">
        <f>"1750243317"</f>
        <v>1750243317</v>
      </c>
      <c r="C20144" t="str">
        <f>"363L00000X"</f>
        <v>363L00000X</v>
      </c>
      <c r="D20144" t="str">
        <f>"DUKE                     BREANNA                  "</f>
        <v xml:space="preserve">DUKE                     BREANNA                  </v>
      </c>
      <c r="E20144" t="str">
        <f>"JACKSON                   "</f>
        <v xml:space="preserve">JACKSON                   </v>
      </c>
      <c r="F20144" t="str">
        <f t="shared" si="478"/>
        <v>MS</v>
      </c>
    </row>
    <row r="20145" spans="1:6" x14ac:dyDescent="0.25">
      <c r="A20145" t="str">
        <f>"200025281"</f>
        <v>200025281</v>
      </c>
      <c r="B20145" t="str">
        <f>"1790381622"</f>
        <v>1790381622</v>
      </c>
      <c r="C20145" t="str">
        <f>"1223S0112X"</f>
        <v>1223S0112X</v>
      </c>
      <c r="D20145" t="str">
        <f>"WAGNER                   CHAD                     "</f>
        <v xml:space="preserve">WAGNER                   CHAD                     </v>
      </c>
      <c r="E20145" t="str">
        <f>"JACKSON                   "</f>
        <v xml:space="preserve">JACKSON                   </v>
      </c>
      <c r="F20145" t="str">
        <f t="shared" si="478"/>
        <v>MS</v>
      </c>
    </row>
    <row r="20146" spans="1:6" x14ac:dyDescent="0.25">
      <c r="A20146" t="str">
        <f>"200025284"</f>
        <v>200025284</v>
      </c>
      <c r="B20146" t="str">
        <f>"1811865728"</f>
        <v>1811865728</v>
      </c>
      <c r="C20146" t="str">
        <f>"363L00000X"</f>
        <v>363L00000X</v>
      </c>
      <c r="D20146" t="str">
        <f>"OLIVER                   ANN                      "</f>
        <v xml:space="preserve">OLIVER                   ANN                      </v>
      </c>
      <c r="E20146" t="str">
        <f>"JACKSON                   "</f>
        <v xml:space="preserve">JACKSON                   </v>
      </c>
      <c r="F20146" t="str">
        <f t="shared" si="478"/>
        <v>MS</v>
      </c>
    </row>
    <row r="20147" spans="1:6" x14ac:dyDescent="0.25">
      <c r="A20147" t="str">
        <f>"200025286"</f>
        <v>200025286</v>
      </c>
      <c r="B20147" t="str">
        <f>"1992304885"</f>
        <v>1992304885</v>
      </c>
      <c r="C20147" t="str">
        <f>"363L00000X"</f>
        <v>363L00000X</v>
      </c>
      <c r="D20147" t="str">
        <f>"KALEM                    ABBIE                    "</f>
        <v xml:space="preserve">KALEM                    ABBIE                    </v>
      </c>
      <c r="E20147" t="str">
        <f>"FLOWOOD                   "</f>
        <v xml:space="preserve">FLOWOOD                   </v>
      </c>
      <c r="F20147" t="str">
        <f t="shared" si="478"/>
        <v>MS</v>
      </c>
    </row>
    <row r="20148" spans="1:6" x14ac:dyDescent="0.25">
      <c r="A20148" t="str">
        <f>"200025287"</f>
        <v>200025287</v>
      </c>
      <c r="B20148" t="str">
        <f>"1801789870"</f>
        <v>1801789870</v>
      </c>
      <c r="C20148" t="str">
        <f>"363LF0000X"</f>
        <v>363LF0000X</v>
      </c>
      <c r="D20148" t="str">
        <f>"VERNON                   KELSIE                   "</f>
        <v xml:space="preserve">VERNON                   KELSIE                   </v>
      </c>
      <c r="E20148" t="str">
        <f>"LOUISVILLE                "</f>
        <v xml:space="preserve">LOUISVILLE                </v>
      </c>
      <c r="F20148" t="str">
        <f t="shared" si="478"/>
        <v>MS</v>
      </c>
    </row>
    <row r="20149" spans="1:6" x14ac:dyDescent="0.25">
      <c r="A20149" t="str">
        <f>"200025288"</f>
        <v>200025288</v>
      </c>
      <c r="B20149" t="str">
        <f>"1598648487"</f>
        <v>1598648487</v>
      </c>
      <c r="C20149" t="str">
        <f>"363LP0808X"</f>
        <v>363LP0808X</v>
      </c>
      <c r="D20149" t="str">
        <f>"HORNE                    BRIGETT                  "</f>
        <v xml:space="preserve">HORNE                    BRIGETT                  </v>
      </c>
      <c r="E20149" t="str">
        <f>"LUCEDALE                  "</f>
        <v xml:space="preserve">LUCEDALE                  </v>
      </c>
      <c r="F20149" t="str">
        <f t="shared" si="478"/>
        <v>MS</v>
      </c>
    </row>
    <row r="20150" spans="1:6" x14ac:dyDescent="0.25">
      <c r="A20150" t="str">
        <f>"200025289"</f>
        <v>200025289</v>
      </c>
      <c r="B20150" t="str">
        <f>"1093453599"</f>
        <v>1093453599</v>
      </c>
      <c r="C20150" t="str">
        <f>"208M00000X"</f>
        <v>208M00000X</v>
      </c>
      <c r="D20150" t="str">
        <f>"BREDEL                   RENE                     "</f>
        <v xml:space="preserve">BREDEL                   RENE                     </v>
      </c>
      <c r="E20150" t="str">
        <f>"CORINTH                   "</f>
        <v xml:space="preserve">CORINTH                   </v>
      </c>
      <c r="F20150" t="str">
        <f t="shared" si="478"/>
        <v>MS</v>
      </c>
    </row>
    <row r="20151" spans="1:6" x14ac:dyDescent="0.25">
      <c r="A20151" t="str">
        <f>"200025291"</f>
        <v>200025291</v>
      </c>
      <c r="B20151" t="str">
        <f>"1457747933"</f>
        <v>1457747933</v>
      </c>
      <c r="C20151" t="str">
        <f>"2084P0800X"</f>
        <v>2084P0800X</v>
      </c>
      <c r="D20151" t="str">
        <f>"COLLINS                  ASHLEY                   "</f>
        <v xml:space="preserve">COLLINS                  ASHLEY                   </v>
      </c>
      <c r="E20151" t="str">
        <f>"GULFPORT                  "</f>
        <v xml:space="preserve">GULFPORT                  </v>
      </c>
      <c r="F20151" t="str">
        <f t="shared" si="478"/>
        <v>MS</v>
      </c>
    </row>
    <row r="20152" spans="1:6" x14ac:dyDescent="0.25">
      <c r="A20152" t="str">
        <f>"200025292"</f>
        <v>200025292</v>
      </c>
      <c r="B20152" t="str">
        <f>"1295403285"</f>
        <v>1295403285</v>
      </c>
      <c r="C20152" t="str">
        <f>"363LF0000X"</f>
        <v>363LF0000X</v>
      </c>
      <c r="D20152" t="str">
        <f>"MORROW                   MARY         J           "</f>
        <v xml:space="preserve">MORROW                   MARY         J           </v>
      </c>
      <c r="E20152" t="str">
        <f>"FLOWOOD                   "</f>
        <v xml:space="preserve">FLOWOOD                   </v>
      </c>
      <c r="F20152" t="str">
        <f t="shared" si="478"/>
        <v>MS</v>
      </c>
    </row>
    <row r="20153" spans="1:6" x14ac:dyDescent="0.25">
      <c r="A20153" t="str">
        <f>"200025293"</f>
        <v>200025293</v>
      </c>
      <c r="B20153" t="str">
        <f>"1215760079"</f>
        <v>1215760079</v>
      </c>
      <c r="C20153" t="str">
        <f>"363LF0000X"</f>
        <v>363LF0000X</v>
      </c>
      <c r="D20153" t="str">
        <f>"TURNER                   RAMONA       B           "</f>
        <v xml:space="preserve">TURNER                   RAMONA       B           </v>
      </c>
      <c r="E20153" t="str">
        <f>"FLOWOOD                   "</f>
        <v xml:space="preserve">FLOWOOD                   </v>
      </c>
      <c r="F20153" t="str">
        <f t="shared" si="478"/>
        <v>MS</v>
      </c>
    </row>
    <row r="20154" spans="1:6" x14ac:dyDescent="0.25">
      <c r="A20154" t="str">
        <f>"200025296"</f>
        <v>200025296</v>
      </c>
      <c r="B20154" t="str">
        <f>"1346577673"</f>
        <v>1346577673</v>
      </c>
      <c r="C20154" t="str">
        <f>"367500000X"</f>
        <v>367500000X</v>
      </c>
      <c r="D20154" t="str">
        <f>"JOHNSON                  TERESA                   "</f>
        <v xml:space="preserve">JOHNSON                  TERESA                   </v>
      </c>
      <c r="E20154" t="str">
        <f>"OLIVE BRANCH              "</f>
        <v xml:space="preserve">OLIVE BRANCH              </v>
      </c>
      <c r="F20154" t="str">
        <f t="shared" si="478"/>
        <v>MS</v>
      </c>
    </row>
    <row r="20155" spans="1:6" x14ac:dyDescent="0.25">
      <c r="A20155" t="str">
        <f>"200025297"</f>
        <v>200025297</v>
      </c>
      <c r="B20155" t="str">
        <f>"1326914748"</f>
        <v>1326914748</v>
      </c>
      <c r="C20155" t="str">
        <f>"363LF0000X"</f>
        <v>363LF0000X</v>
      </c>
      <c r="D20155" t="str">
        <f>"ROACH                    ADROINE      R           "</f>
        <v xml:space="preserve">ROACH                    ADROINE      R           </v>
      </c>
      <c r="E20155" t="str">
        <f>"JACKSON                   "</f>
        <v xml:space="preserve">JACKSON                   </v>
      </c>
      <c r="F20155" t="str">
        <f t="shared" si="478"/>
        <v>MS</v>
      </c>
    </row>
    <row r="20156" spans="1:6" x14ac:dyDescent="0.25">
      <c r="A20156" t="str">
        <f>"200025298"</f>
        <v>200025298</v>
      </c>
      <c r="B20156" t="str">
        <f>"1639885205"</f>
        <v>1639885205</v>
      </c>
      <c r="C20156" t="str">
        <f>"363LF0000X"</f>
        <v>363LF0000X</v>
      </c>
      <c r="D20156" t="str">
        <f>"FARTHING                 RYAN                     "</f>
        <v xml:space="preserve">FARTHING                 RYAN                     </v>
      </c>
      <c r="E20156" t="str">
        <f>"JACKSON                   "</f>
        <v xml:space="preserve">JACKSON                   </v>
      </c>
      <c r="F20156" t="str">
        <f t="shared" si="478"/>
        <v>MS</v>
      </c>
    </row>
    <row r="20157" spans="1:6" x14ac:dyDescent="0.25">
      <c r="A20157" t="str">
        <f>"200025301"</f>
        <v>200025301</v>
      </c>
      <c r="B20157" t="str">
        <f>"1962208678"</f>
        <v>1962208678</v>
      </c>
      <c r="C20157" t="str">
        <f>"363L00000X"</f>
        <v>363L00000X</v>
      </c>
      <c r="D20157" t="str">
        <f>"PARRETT                  SABRINA                  "</f>
        <v xml:space="preserve">PARRETT                  SABRINA                  </v>
      </c>
      <c r="E20157" t="str">
        <f>"OCEAN SPRINGS             "</f>
        <v xml:space="preserve">OCEAN SPRINGS             </v>
      </c>
      <c r="F20157" t="str">
        <f t="shared" si="478"/>
        <v>MS</v>
      </c>
    </row>
    <row r="20158" spans="1:6" x14ac:dyDescent="0.25">
      <c r="A20158" t="str">
        <f>"200025308"</f>
        <v>200025308</v>
      </c>
      <c r="B20158" t="str">
        <f>"1528947645"</f>
        <v>1528947645</v>
      </c>
      <c r="C20158" t="str">
        <f>"363LF0000X"</f>
        <v>363LF0000X</v>
      </c>
      <c r="D20158" t="str">
        <f>"MORDECAI                 CATHERINE    C           "</f>
        <v xml:space="preserve">MORDECAI                 CATHERINE    C           </v>
      </c>
      <c r="E20158" t="str">
        <f>"JACKSON                   "</f>
        <v xml:space="preserve">JACKSON                   </v>
      </c>
      <c r="F20158" t="str">
        <f t="shared" ref="F20158:F20221" si="479">"MS"</f>
        <v>MS</v>
      </c>
    </row>
    <row r="20159" spans="1:6" x14ac:dyDescent="0.25">
      <c r="A20159" t="str">
        <f>"200025311"</f>
        <v>200025311</v>
      </c>
      <c r="B20159" t="str">
        <f>"1770458630"</f>
        <v>1770458630</v>
      </c>
      <c r="C20159" t="str">
        <f>"363LF0000X"</f>
        <v>363LF0000X</v>
      </c>
      <c r="D20159" t="str">
        <f>"SMITH                    KIMBERLEE    A           "</f>
        <v xml:space="preserve">SMITH                    KIMBERLEE    A           </v>
      </c>
      <c r="E20159" t="str">
        <f>"COLUMBUS                  "</f>
        <v xml:space="preserve">COLUMBUS                  </v>
      </c>
      <c r="F20159" t="str">
        <f t="shared" si="479"/>
        <v>MS</v>
      </c>
    </row>
    <row r="20160" spans="1:6" x14ac:dyDescent="0.25">
      <c r="A20160" t="str">
        <f>"200025312"</f>
        <v>200025312</v>
      </c>
      <c r="B20160" t="str">
        <f>"1083364293"</f>
        <v>1083364293</v>
      </c>
      <c r="C20160" t="str">
        <f>"1223D0004X"</f>
        <v>1223D0004X</v>
      </c>
      <c r="D20160" t="str">
        <f>"WENNERHOLM               CHRISTOPHER              "</f>
        <v xml:space="preserve">WENNERHOLM               CHRISTOPHER              </v>
      </c>
      <c r="E20160" t="str">
        <f>"MERIDIAN                  "</f>
        <v xml:space="preserve">MERIDIAN                  </v>
      </c>
      <c r="F20160" t="str">
        <f t="shared" si="479"/>
        <v>MS</v>
      </c>
    </row>
    <row r="20161" spans="1:6" x14ac:dyDescent="0.25">
      <c r="A20161" t="str">
        <f>"200025314"</f>
        <v>200025314</v>
      </c>
      <c r="B20161" t="str">
        <f>"1790072288"</f>
        <v>1790072288</v>
      </c>
      <c r="C20161" t="str">
        <f>"363LF0000X"</f>
        <v>363LF0000X</v>
      </c>
      <c r="D20161" t="str">
        <f>"WILLIAMS                 RASHEDA      J           "</f>
        <v xml:space="preserve">WILLIAMS                 RASHEDA      J           </v>
      </c>
      <c r="E20161" t="str">
        <f>"JACKSON                   "</f>
        <v xml:space="preserve">JACKSON                   </v>
      </c>
      <c r="F20161" t="str">
        <f t="shared" si="479"/>
        <v>MS</v>
      </c>
    </row>
    <row r="20162" spans="1:6" x14ac:dyDescent="0.25">
      <c r="A20162" t="str">
        <f>"200025316"</f>
        <v>200025316</v>
      </c>
      <c r="B20162" t="str">
        <f>"1174054605"</f>
        <v>1174054605</v>
      </c>
      <c r="C20162" t="str">
        <f>"207RA0002X"</f>
        <v>207RA0002X</v>
      </c>
      <c r="D20162" t="str">
        <f>"SKELTON, JR.             THOMAS       N           "</f>
        <v xml:space="preserve">SKELTON, JR.             THOMAS       N           </v>
      </c>
      <c r="E20162" t="str">
        <f>"JACKSON                   "</f>
        <v xml:space="preserve">JACKSON                   </v>
      </c>
      <c r="F20162" t="str">
        <f t="shared" si="479"/>
        <v>MS</v>
      </c>
    </row>
    <row r="20163" spans="1:6" x14ac:dyDescent="0.25">
      <c r="A20163" t="str">
        <f>"200025318"</f>
        <v>200025318</v>
      </c>
      <c r="B20163" t="str">
        <f>"1063932002"</f>
        <v>1063932002</v>
      </c>
      <c r="C20163" t="str">
        <f>"207Q00000X"</f>
        <v>207Q00000X</v>
      </c>
      <c r="D20163" t="str">
        <f>"HABIBULLAH               AYAAZ                    "</f>
        <v xml:space="preserve">HABIBULLAH               AYAAZ                    </v>
      </c>
      <c r="E20163" t="str">
        <f>"LEXINGTON                 "</f>
        <v xml:space="preserve">LEXINGTON                 </v>
      </c>
      <c r="F20163" t="str">
        <f t="shared" si="479"/>
        <v>MS</v>
      </c>
    </row>
    <row r="20164" spans="1:6" x14ac:dyDescent="0.25">
      <c r="A20164" t="str">
        <f>"200025319"</f>
        <v>200025319</v>
      </c>
      <c r="B20164" t="str">
        <f>"1790762276"</f>
        <v>1790762276</v>
      </c>
      <c r="C20164" t="str">
        <f>"207Q00000X"</f>
        <v>207Q00000X</v>
      </c>
      <c r="D20164" t="str">
        <f>"MURBACH                  CANDACE                  "</f>
        <v xml:space="preserve">MURBACH                  CANDACE                  </v>
      </c>
      <c r="E20164" t="str">
        <f>"ABERDEEN                  "</f>
        <v xml:space="preserve">ABERDEEN                  </v>
      </c>
      <c r="F20164" t="str">
        <f t="shared" si="479"/>
        <v>MS</v>
      </c>
    </row>
    <row r="20165" spans="1:6" x14ac:dyDescent="0.25">
      <c r="A20165" t="str">
        <f>"200025320"</f>
        <v>200025320</v>
      </c>
      <c r="B20165" t="str">
        <f>"1396196879"</f>
        <v>1396196879</v>
      </c>
      <c r="C20165" t="str">
        <f>"261QM0801X"</f>
        <v>261QM0801X</v>
      </c>
      <c r="D20165" t="str">
        <f>"MISSISSIPPI BEHAVIORAL HEALTH SERVICES, LLC       "</f>
        <v xml:space="preserve">MISSISSIPPI BEHAVIORAL HEALTH SERVICES, LLC       </v>
      </c>
      <c r="E20165" t="str">
        <f>"COLUMBUS                  "</f>
        <v xml:space="preserve">COLUMBUS                  </v>
      </c>
      <c r="F20165" t="str">
        <f t="shared" si="479"/>
        <v>MS</v>
      </c>
    </row>
    <row r="20166" spans="1:6" x14ac:dyDescent="0.25">
      <c r="A20166" t="str">
        <f>"200025323"</f>
        <v>200025323</v>
      </c>
      <c r="B20166" t="str">
        <f>"1023828605"</f>
        <v>1023828605</v>
      </c>
      <c r="C20166" t="str">
        <f>"367500000X"</f>
        <v>367500000X</v>
      </c>
      <c r="D20166" t="str">
        <f>"SHARP                    BRIA                     "</f>
        <v xml:space="preserve">SHARP                    BRIA                     </v>
      </c>
      <c r="E20166" t="str">
        <f>"OLIVE BRANCH              "</f>
        <v xml:space="preserve">OLIVE BRANCH              </v>
      </c>
      <c r="F20166" t="str">
        <f t="shared" si="479"/>
        <v>MS</v>
      </c>
    </row>
    <row r="20167" spans="1:6" x14ac:dyDescent="0.25">
      <c r="A20167" t="str">
        <f>"200025324"</f>
        <v>200025324</v>
      </c>
      <c r="B20167" t="str">
        <f>"1275847873"</f>
        <v>1275847873</v>
      </c>
      <c r="C20167" t="str">
        <f>"363LP0808X"</f>
        <v>363LP0808X</v>
      </c>
      <c r="D20167" t="str">
        <f>"ROBERTS                  LASAUNDRA    L           "</f>
        <v xml:space="preserve">ROBERTS                  LASAUNDRA    L           </v>
      </c>
      <c r="E20167" t="str">
        <f>"MERIDIAN                  "</f>
        <v xml:space="preserve">MERIDIAN                  </v>
      </c>
      <c r="F20167" t="str">
        <f t="shared" si="479"/>
        <v>MS</v>
      </c>
    </row>
    <row r="20168" spans="1:6" x14ac:dyDescent="0.25">
      <c r="A20168" t="str">
        <f>"200025326"</f>
        <v>200025326</v>
      </c>
      <c r="B20168" t="str">
        <f>"1154209971"</f>
        <v>1154209971</v>
      </c>
      <c r="C20168" t="str">
        <f>"363L00000X"</f>
        <v>363L00000X</v>
      </c>
      <c r="D20168" t="str">
        <f>"MCCLURE                  STEPHANIE                "</f>
        <v xml:space="preserve">MCCLURE                  STEPHANIE                </v>
      </c>
      <c r="E20168" t="str">
        <f>"FLOWOOD                   "</f>
        <v xml:space="preserve">FLOWOOD                   </v>
      </c>
      <c r="F20168" t="str">
        <f t="shared" si="479"/>
        <v>MS</v>
      </c>
    </row>
    <row r="20169" spans="1:6" x14ac:dyDescent="0.25">
      <c r="A20169" t="str">
        <f>"200025328"</f>
        <v>200025328</v>
      </c>
      <c r="B20169" t="str">
        <f>"1275827354"</f>
        <v>1275827354</v>
      </c>
      <c r="C20169" t="str">
        <f>"363LA2100X"</f>
        <v>363LA2100X</v>
      </c>
      <c r="D20169" t="str">
        <f>"WILKINSON                LAURA                    "</f>
        <v xml:space="preserve">WILKINSON                LAURA                    </v>
      </c>
      <c r="E20169" t="str">
        <f>"GREENVILLE                "</f>
        <v xml:space="preserve">GREENVILLE                </v>
      </c>
      <c r="F20169" t="str">
        <f t="shared" si="479"/>
        <v>MS</v>
      </c>
    </row>
    <row r="20170" spans="1:6" x14ac:dyDescent="0.25">
      <c r="A20170" t="str">
        <f>"200025332"</f>
        <v>200025332</v>
      </c>
      <c r="B20170" t="str">
        <f>"1336171511"</f>
        <v>1336171511</v>
      </c>
      <c r="C20170" t="str">
        <f>"207V00000X"</f>
        <v>207V00000X</v>
      </c>
      <c r="D20170" t="str">
        <f>"WILLIS                   GREGG                    "</f>
        <v xml:space="preserve">WILLIS                   GREGG                    </v>
      </c>
      <c r="E20170" t="str">
        <f>"CLEVELAND                 "</f>
        <v xml:space="preserve">CLEVELAND                 </v>
      </c>
      <c r="F20170" t="str">
        <f t="shared" si="479"/>
        <v>MS</v>
      </c>
    </row>
    <row r="20171" spans="1:6" x14ac:dyDescent="0.25">
      <c r="A20171" t="str">
        <f>"200025334"</f>
        <v>200025334</v>
      </c>
      <c r="B20171" t="str">
        <f>"1700373115"</f>
        <v>1700373115</v>
      </c>
      <c r="C20171" t="str">
        <f>"363LP0808X"</f>
        <v>363LP0808X</v>
      </c>
      <c r="D20171" t="str">
        <f>"MATTOX-RUBIN             TIFFANY                  "</f>
        <v xml:space="preserve">MATTOX-RUBIN             TIFFANY                  </v>
      </c>
      <c r="E20171" t="str">
        <f>"SOUTHAVEN                 "</f>
        <v xml:space="preserve">SOUTHAVEN                 </v>
      </c>
      <c r="F20171" t="str">
        <f t="shared" si="479"/>
        <v>MS</v>
      </c>
    </row>
    <row r="20172" spans="1:6" x14ac:dyDescent="0.25">
      <c r="A20172" t="str">
        <f>"200025335"</f>
        <v>200025335</v>
      </c>
      <c r="B20172" t="str">
        <f>"1992049621"</f>
        <v>1992049621</v>
      </c>
      <c r="C20172" t="str">
        <f>"2085R0202X"</f>
        <v>2085R0202X</v>
      </c>
      <c r="D20172" t="str">
        <f>"SAMARTINE                SILVANO                  "</f>
        <v xml:space="preserve">SAMARTINE                SILVANO                  </v>
      </c>
      <c r="E20172" t="str">
        <f>"HATTIESBURG               "</f>
        <v xml:space="preserve">HATTIESBURG               </v>
      </c>
      <c r="F20172" t="str">
        <f t="shared" si="479"/>
        <v>MS</v>
      </c>
    </row>
    <row r="20173" spans="1:6" x14ac:dyDescent="0.25">
      <c r="A20173" t="str">
        <f>"200025336"</f>
        <v>200025336</v>
      </c>
      <c r="B20173" t="str">
        <f>"1538509385"</f>
        <v>1538509385</v>
      </c>
      <c r="C20173" t="str">
        <f>"207R00000X"</f>
        <v>207R00000X</v>
      </c>
      <c r="D20173" t="str">
        <f>"JAMPALA                  VEMANA                   "</f>
        <v xml:space="preserve">JAMPALA                  VEMANA                   </v>
      </c>
      <c r="E20173" t="str">
        <f>"SOUTHAVEN                 "</f>
        <v xml:space="preserve">SOUTHAVEN                 </v>
      </c>
      <c r="F20173" t="str">
        <f t="shared" si="479"/>
        <v>MS</v>
      </c>
    </row>
    <row r="20174" spans="1:6" x14ac:dyDescent="0.25">
      <c r="A20174" t="str">
        <f>"200025339"</f>
        <v>200025339</v>
      </c>
      <c r="B20174" t="str">
        <f>"1366184210"</f>
        <v>1366184210</v>
      </c>
      <c r="C20174" t="str">
        <f>"207Q00000X"</f>
        <v>207Q00000X</v>
      </c>
      <c r="D20174" t="str">
        <f>"CRANSTON                 KATHERINE                "</f>
        <v xml:space="preserve">CRANSTON                 KATHERINE                </v>
      </c>
      <c r="E20174" t="str">
        <f>"LAUREL                    "</f>
        <v xml:space="preserve">LAUREL                    </v>
      </c>
      <c r="F20174" t="str">
        <f t="shared" si="479"/>
        <v>MS</v>
      </c>
    </row>
    <row r="20175" spans="1:6" x14ac:dyDescent="0.25">
      <c r="A20175" t="str">
        <f>"200025341"</f>
        <v>200025341</v>
      </c>
      <c r="B20175" t="str">
        <f>"1184858680"</f>
        <v>1184858680</v>
      </c>
      <c r="C20175" t="str">
        <f>"363LF0000X"</f>
        <v>363LF0000X</v>
      </c>
      <c r="D20175" t="str">
        <f>"RISHER                   NANCY                    "</f>
        <v xml:space="preserve">RISHER                   NANCY                    </v>
      </c>
      <c r="E20175" t="str">
        <f>"MERIDIAN                  "</f>
        <v xml:space="preserve">MERIDIAN                  </v>
      </c>
      <c r="F20175" t="str">
        <f t="shared" si="479"/>
        <v>MS</v>
      </c>
    </row>
    <row r="20176" spans="1:6" x14ac:dyDescent="0.25">
      <c r="A20176" t="str">
        <f>"200025343"</f>
        <v>200025343</v>
      </c>
      <c r="B20176" t="str">
        <f>"1164953022"</f>
        <v>1164953022</v>
      </c>
      <c r="C20176" t="str">
        <f>"207V00000X"</f>
        <v>207V00000X</v>
      </c>
      <c r="D20176" t="str">
        <f>"MONARD                   MONIQUE                  "</f>
        <v xml:space="preserve">MONARD                   MONIQUE                  </v>
      </c>
      <c r="E20176" t="str">
        <f>"MCCOMB                    "</f>
        <v xml:space="preserve">MCCOMB                    </v>
      </c>
      <c r="F20176" t="str">
        <f t="shared" si="479"/>
        <v>MS</v>
      </c>
    </row>
    <row r="20177" spans="1:6" x14ac:dyDescent="0.25">
      <c r="A20177" t="str">
        <f>"200025345"</f>
        <v>200025345</v>
      </c>
      <c r="B20177" t="str">
        <f>"1205323177"</f>
        <v>1205323177</v>
      </c>
      <c r="C20177" t="str">
        <f>"207RP1001X"</f>
        <v>207RP1001X</v>
      </c>
      <c r="D20177" t="str">
        <f>"FULLER                   WILLIAM                  "</f>
        <v xml:space="preserve">FULLER                   WILLIAM                  </v>
      </c>
      <c r="E20177" t="str">
        <f>"JACKSON                   "</f>
        <v xml:space="preserve">JACKSON                   </v>
      </c>
      <c r="F20177" t="str">
        <f t="shared" si="479"/>
        <v>MS</v>
      </c>
    </row>
    <row r="20178" spans="1:6" x14ac:dyDescent="0.25">
      <c r="A20178" t="str">
        <f>"200025347"</f>
        <v>200025347</v>
      </c>
      <c r="B20178" t="str">
        <f>"1568625804"</f>
        <v>1568625804</v>
      </c>
      <c r="C20178" t="str">
        <f>"207Q00000X"</f>
        <v>207Q00000X</v>
      </c>
      <c r="D20178" t="str">
        <f>"FREIER                   RICHARD                  "</f>
        <v xml:space="preserve">FREIER                   RICHARD                  </v>
      </c>
      <c r="E20178" t="str">
        <f>"JACKSON                   "</f>
        <v xml:space="preserve">JACKSON                   </v>
      </c>
      <c r="F20178" t="str">
        <f t="shared" si="479"/>
        <v>MS</v>
      </c>
    </row>
    <row r="20179" spans="1:6" x14ac:dyDescent="0.25">
      <c r="A20179" t="str">
        <f>"200025350"</f>
        <v>200025350</v>
      </c>
      <c r="B20179" t="str">
        <f>"1811866825"</f>
        <v>1811866825</v>
      </c>
      <c r="C20179" t="str">
        <f>"363LA2200X"</f>
        <v>363LA2200X</v>
      </c>
      <c r="D20179" t="str">
        <f>"DAMPIER                  TASHA                    "</f>
        <v xml:space="preserve">DAMPIER                  TASHA                    </v>
      </c>
      <c r="E20179" t="str">
        <f>"VICKSBURG                 "</f>
        <v xml:space="preserve">VICKSBURG                 </v>
      </c>
      <c r="F20179" t="str">
        <f t="shared" si="479"/>
        <v>MS</v>
      </c>
    </row>
    <row r="20180" spans="1:6" x14ac:dyDescent="0.25">
      <c r="A20180" t="str">
        <f>"200025352"</f>
        <v>200025352</v>
      </c>
      <c r="B20180" t="str">
        <f>"1811869761"</f>
        <v>1811869761</v>
      </c>
      <c r="C20180" t="str">
        <f>"363LF0000X"</f>
        <v>363LF0000X</v>
      </c>
      <c r="D20180" t="str">
        <f>"PAYNE                    KIMBERLY                 "</f>
        <v xml:space="preserve">PAYNE                    KIMBERLY                 </v>
      </c>
      <c r="E20180" t="str">
        <f>"GULFPORT                  "</f>
        <v xml:space="preserve">GULFPORT                  </v>
      </c>
      <c r="F20180" t="str">
        <f t="shared" si="479"/>
        <v>MS</v>
      </c>
    </row>
    <row r="20181" spans="1:6" x14ac:dyDescent="0.25">
      <c r="A20181" t="str">
        <f>"200025361"</f>
        <v>200025361</v>
      </c>
      <c r="B20181" t="str">
        <f>"1245726256"</f>
        <v>1245726256</v>
      </c>
      <c r="C20181" t="str">
        <f>"363LP0808X"</f>
        <v>363LP0808X</v>
      </c>
      <c r="D20181" t="str">
        <f>"YOUNT                    AMANDA                   "</f>
        <v xml:space="preserve">YOUNT                    AMANDA                   </v>
      </c>
      <c r="E20181" t="str">
        <f>"SENATOBIA                 "</f>
        <v xml:space="preserve">SENATOBIA                 </v>
      </c>
      <c r="F20181" t="str">
        <f t="shared" si="479"/>
        <v>MS</v>
      </c>
    </row>
    <row r="20182" spans="1:6" x14ac:dyDescent="0.25">
      <c r="A20182" t="str">
        <f>"200025362"</f>
        <v>200025362</v>
      </c>
      <c r="B20182" t="str">
        <f>"1902361660"</f>
        <v>1902361660</v>
      </c>
      <c r="C20182" t="str">
        <f>"261QM1300X"</f>
        <v>261QM1300X</v>
      </c>
      <c r="D20182" t="str">
        <f>"SOG PHYSICAL THERAPY                              "</f>
        <v xml:space="preserve">SOG PHYSICAL THERAPY                              </v>
      </c>
      <c r="E20182" t="str">
        <f>"STARKVILLE                "</f>
        <v xml:space="preserve">STARKVILLE                </v>
      </c>
      <c r="F20182" t="str">
        <f t="shared" si="479"/>
        <v>MS</v>
      </c>
    </row>
    <row r="20183" spans="1:6" x14ac:dyDescent="0.25">
      <c r="A20183" t="str">
        <f>"200025363"</f>
        <v>200025363</v>
      </c>
      <c r="B20183" t="str">
        <f>"1902361660"</f>
        <v>1902361660</v>
      </c>
      <c r="C20183" t="str">
        <f>"261QM1300X"</f>
        <v>261QM1300X</v>
      </c>
      <c r="D20183" t="str">
        <f>"SOG PHYSICAL THERAPY                              "</f>
        <v xml:space="preserve">SOG PHYSICAL THERAPY                              </v>
      </c>
      <c r="E20183" t="str">
        <f>"OXFORD                    "</f>
        <v xml:space="preserve">OXFORD                    </v>
      </c>
      <c r="F20183" t="str">
        <f t="shared" si="479"/>
        <v>MS</v>
      </c>
    </row>
    <row r="20184" spans="1:6" x14ac:dyDescent="0.25">
      <c r="A20184" t="str">
        <f>"200025387"</f>
        <v>200025387</v>
      </c>
      <c r="B20184" t="str">
        <f>"1598833253"</f>
        <v>1598833253</v>
      </c>
      <c r="C20184" t="str">
        <f>"2084P0800X"</f>
        <v>2084P0800X</v>
      </c>
      <c r="D20184" t="str">
        <f>"NIZIGIYE                 JEANNE                   "</f>
        <v xml:space="preserve">NIZIGIYE                 JEANNE                   </v>
      </c>
      <c r="E20184" t="str">
        <f>"JACKSON                   "</f>
        <v xml:space="preserve">JACKSON                   </v>
      </c>
      <c r="F20184" t="str">
        <f t="shared" si="479"/>
        <v>MS</v>
      </c>
    </row>
    <row r="20185" spans="1:6" x14ac:dyDescent="0.25">
      <c r="A20185" t="str">
        <f>"200025389"</f>
        <v>200025389</v>
      </c>
      <c r="B20185" t="str">
        <f>"1427862457"</f>
        <v>1427862457</v>
      </c>
      <c r="C20185" t="str">
        <f>"363LF0000X"</f>
        <v>363LF0000X</v>
      </c>
      <c r="D20185" t="str">
        <f>"LOVE                     AMBER                    "</f>
        <v xml:space="preserve">LOVE                     AMBER                    </v>
      </c>
      <c r="E20185" t="str">
        <f>"FOREST                    "</f>
        <v xml:space="preserve">FOREST                    </v>
      </c>
      <c r="F20185" t="str">
        <f t="shared" si="479"/>
        <v>MS</v>
      </c>
    </row>
    <row r="20186" spans="1:6" x14ac:dyDescent="0.25">
      <c r="A20186" t="str">
        <f>"200025394"</f>
        <v>200025394</v>
      </c>
      <c r="B20186" t="str">
        <f>"1467733378"</f>
        <v>1467733378</v>
      </c>
      <c r="C20186" t="str">
        <f>"367500000X"</f>
        <v>367500000X</v>
      </c>
      <c r="D20186" t="str">
        <f>"GILLILAND                MARY                     "</f>
        <v xml:space="preserve">GILLILAND                MARY                     </v>
      </c>
      <c r="E20186" t="str">
        <f>"OLIVE BRANCH              "</f>
        <v xml:space="preserve">OLIVE BRANCH              </v>
      </c>
      <c r="F20186" t="str">
        <f t="shared" si="479"/>
        <v>MS</v>
      </c>
    </row>
    <row r="20187" spans="1:6" x14ac:dyDescent="0.25">
      <c r="A20187" t="str">
        <f>"200025395"</f>
        <v>200025395</v>
      </c>
      <c r="B20187" t="str">
        <f>"1902547037"</f>
        <v>1902547037</v>
      </c>
      <c r="C20187" t="str">
        <f>"122300000X"</f>
        <v>122300000X</v>
      </c>
      <c r="D20187" t="str">
        <f>"SHING                    ALEXANDER                "</f>
        <v xml:space="preserve">SHING                    ALEXANDER                </v>
      </c>
      <c r="E20187" t="str">
        <f>"CLEVELAND                 "</f>
        <v xml:space="preserve">CLEVELAND                 </v>
      </c>
      <c r="F20187" t="str">
        <f t="shared" si="479"/>
        <v>MS</v>
      </c>
    </row>
    <row r="20188" spans="1:6" x14ac:dyDescent="0.25">
      <c r="A20188" t="str">
        <f>"200025401"</f>
        <v>200025401</v>
      </c>
      <c r="B20188" t="str">
        <f>"1366303182"</f>
        <v>1366303182</v>
      </c>
      <c r="C20188" t="str">
        <f>"363LF0000X"</f>
        <v>363LF0000X</v>
      </c>
      <c r="D20188" t="str">
        <f>"EDWARDS                  ANA-CLAIRE               "</f>
        <v xml:space="preserve">EDWARDS                  ANA-CLAIRE               </v>
      </c>
      <c r="E20188" t="str">
        <f>"JACKSON                   "</f>
        <v xml:space="preserve">JACKSON                   </v>
      </c>
      <c r="F20188" t="str">
        <f t="shared" si="479"/>
        <v>MS</v>
      </c>
    </row>
    <row r="20189" spans="1:6" x14ac:dyDescent="0.25">
      <c r="A20189" t="str">
        <f>"200025402"</f>
        <v>200025402</v>
      </c>
      <c r="B20189" t="str">
        <f>"1124407382"</f>
        <v>1124407382</v>
      </c>
      <c r="C20189" t="str">
        <f>"207RH0003X"</f>
        <v>207RH0003X</v>
      </c>
      <c r="D20189" t="str">
        <f>"KHANAPARA                DIPEN                    "</f>
        <v xml:space="preserve">KHANAPARA                DIPEN                    </v>
      </c>
      <c r="E20189" t="str">
        <f>"JACKSON                   "</f>
        <v xml:space="preserve">JACKSON                   </v>
      </c>
      <c r="F20189" t="str">
        <f t="shared" si="479"/>
        <v>MS</v>
      </c>
    </row>
    <row r="20190" spans="1:6" x14ac:dyDescent="0.25">
      <c r="A20190" t="str">
        <f>"200025405"</f>
        <v>200025405</v>
      </c>
      <c r="B20190" t="str">
        <f>"1992191472"</f>
        <v>1992191472</v>
      </c>
      <c r="C20190" t="str">
        <f>"2084P0800X"</f>
        <v>2084P0800X</v>
      </c>
      <c r="D20190" t="str">
        <f>"LILLY                    BRANDON                  "</f>
        <v xml:space="preserve">LILLY                    BRANDON                  </v>
      </c>
      <c r="E20190" t="str">
        <f>"GULFPORT                  "</f>
        <v xml:space="preserve">GULFPORT                  </v>
      </c>
      <c r="F20190" t="str">
        <f t="shared" si="479"/>
        <v>MS</v>
      </c>
    </row>
    <row r="20191" spans="1:6" x14ac:dyDescent="0.25">
      <c r="A20191" t="str">
        <f>"200025416"</f>
        <v>200025416</v>
      </c>
      <c r="B20191" t="str">
        <f>"1376772467"</f>
        <v>1376772467</v>
      </c>
      <c r="C20191" t="str">
        <f>"207Q00000X"</f>
        <v>207Q00000X</v>
      </c>
      <c r="D20191" t="str">
        <f>"HODEN                    INGRID                   "</f>
        <v xml:space="preserve">HODEN                    INGRID                   </v>
      </c>
      <c r="E20191" t="str">
        <f>"JACKSON                   "</f>
        <v xml:space="preserve">JACKSON                   </v>
      </c>
      <c r="F20191" t="str">
        <f t="shared" si="479"/>
        <v>MS</v>
      </c>
    </row>
    <row r="20192" spans="1:6" x14ac:dyDescent="0.25">
      <c r="A20192" t="str">
        <f>"200025422"</f>
        <v>200025422</v>
      </c>
      <c r="B20192" t="str">
        <f>"1558468694"</f>
        <v>1558468694</v>
      </c>
      <c r="C20192" t="str">
        <f>"261QM0801X"</f>
        <v>261QM0801X</v>
      </c>
      <c r="D20192" t="str">
        <f>"NORTH MS COMMISSION ON MI/MR DBA COMMUNICARE      "</f>
        <v xml:space="preserve">NORTH MS COMMISSION ON MI/MR DBA COMMUNICARE      </v>
      </c>
      <c r="E20192" t="str">
        <f>"PITTSBORO                 "</f>
        <v xml:space="preserve">PITTSBORO                 </v>
      </c>
      <c r="F20192" t="str">
        <f t="shared" si="479"/>
        <v>MS</v>
      </c>
    </row>
    <row r="20193" spans="1:6" x14ac:dyDescent="0.25">
      <c r="A20193" t="str">
        <f>"200025426"</f>
        <v>200025426</v>
      </c>
      <c r="B20193" t="str">
        <f>"1346869633"</f>
        <v>1346869633</v>
      </c>
      <c r="C20193" t="str">
        <f>"2084N0400X"</f>
        <v>2084N0400X</v>
      </c>
      <c r="D20193" t="str">
        <f>"ARMSTRONG                JORDAN       C           "</f>
        <v xml:space="preserve">ARMSTRONG                JORDAN       C           </v>
      </c>
      <c r="E20193" t="str">
        <f>"JACKSON                   "</f>
        <v xml:space="preserve">JACKSON                   </v>
      </c>
      <c r="F20193" t="str">
        <f t="shared" si="479"/>
        <v>MS</v>
      </c>
    </row>
    <row r="20194" spans="1:6" x14ac:dyDescent="0.25">
      <c r="A20194" t="str">
        <f>"200025427"</f>
        <v>200025427</v>
      </c>
      <c r="B20194" t="str">
        <f>"1518378116"</f>
        <v>1518378116</v>
      </c>
      <c r="C20194" t="str">
        <f>"207Q00000X"</f>
        <v>207Q00000X</v>
      </c>
      <c r="D20194" t="str">
        <f>"CURRIE                   WILLIAM      K           "</f>
        <v xml:space="preserve">CURRIE                   WILLIAM      K           </v>
      </c>
      <c r="E20194" t="str">
        <f>"ELLISVILLE                "</f>
        <v xml:space="preserve">ELLISVILLE                </v>
      </c>
      <c r="F20194" t="str">
        <f t="shared" si="479"/>
        <v>MS</v>
      </c>
    </row>
    <row r="20195" spans="1:6" x14ac:dyDescent="0.25">
      <c r="A20195" t="str">
        <f>"200025430"</f>
        <v>200025430</v>
      </c>
      <c r="B20195" t="str">
        <f>"1720813363"</f>
        <v>1720813363</v>
      </c>
      <c r="C20195" t="str">
        <f>"363LF0000X"</f>
        <v>363LF0000X</v>
      </c>
      <c r="D20195" t="str">
        <f>"DENNIS                   CARA                     "</f>
        <v xml:space="preserve">DENNIS                   CARA                     </v>
      </c>
      <c r="E20195" t="str">
        <f>"HORN LAKE                 "</f>
        <v xml:space="preserve">HORN LAKE                 </v>
      </c>
      <c r="F20195" t="str">
        <f t="shared" si="479"/>
        <v>MS</v>
      </c>
    </row>
    <row r="20196" spans="1:6" x14ac:dyDescent="0.25">
      <c r="A20196" t="str">
        <f>"200025434"</f>
        <v>200025434</v>
      </c>
      <c r="B20196" t="str">
        <f>"1568967594"</f>
        <v>1568967594</v>
      </c>
      <c r="C20196" t="str">
        <f>"207P00000X"</f>
        <v>207P00000X</v>
      </c>
      <c r="D20196" t="str">
        <f>"FUJIHASHI                ALISA                    "</f>
        <v xml:space="preserve">FUJIHASHI                ALISA                    </v>
      </c>
      <c r="E20196" t="str">
        <f>"OCEAN SPRINGS             "</f>
        <v xml:space="preserve">OCEAN SPRINGS             </v>
      </c>
      <c r="F20196" t="str">
        <f t="shared" si="479"/>
        <v>MS</v>
      </c>
    </row>
    <row r="20197" spans="1:6" x14ac:dyDescent="0.25">
      <c r="A20197" t="str">
        <f>"200025444"</f>
        <v>200025444</v>
      </c>
      <c r="B20197" t="str">
        <f>"1922494848"</f>
        <v>1922494848</v>
      </c>
      <c r="C20197" t="str">
        <f>"207R00000X"</f>
        <v>207R00000X</v>
      </c>
      <c r="D20197" t="str">
        <f>"YUAN                     CHIHUI                   "</f>
        <v xml:space="preserve">YUAN                     CHIHUI                   </v>
      </c>
      <c r="E20197" t="str">
        <f>"JACKSON                   "</f>
        <v xml:space="preserve">JACKSON                   </v>
      </c>
      <c r="F20197" t="str">
        <f t="shared" si="479"/>
        <v>MS</v>
      </c>
    </row>
    <row r="20198" spans="1:6" x14ac:dyDescent="0.25">
      <c r="A20198" t="str">
        <f>"200025448"</f>
        <v>200025448</v>
      </c>
      <c r="B20198" t="str">
        <f>"1972042653"</f>
        <v>1972042653</v>
      </c>
      <c r="C20198" t="str">
        <f>"363A00000X"</f>
        <v>363A00000X</v>
      </c>
      <c r="D20198" t="str">
        <f>"HARKNESS                 AMY                      "</f>
        <v xml:space="preserve">HARKNESS                 AMY                      </v>
      </c>
      <c r="E20198" t="str">
        <f>"OLIVE BRANCH              "</f>
        <v xml:space="preserve">OLIVE BRANCH              </v>
      </c>
      <c r="F20198" t="str">
        <f t="shared" si="479"/>
        <v>MS</v>
      </c>
    </row>
    <row r="20199" spans="1:6" x14ac:dyDescent="0.25">
      <c r="A20199" t="str">
        <f>"200025452"</f>
        <v>200025452</v>
      </c>
      <c r="B20199" t="str">
        <f>"1477023596"</f>
        <v>1477023596</v>
      </c>
      <c r="C20199" t="str">
        <f>"363LF0000X"</f>
        <v>363LF0000X</v>
      </c>
      <c r="D20199" t="str">
        <f>"PILLERS                  LAVECHELLE               "</f>
        <v xml:space="preserve">PILLERS                  LAVECHELLE               </v>
      </c>
      <c r="E20199" t="str">
        <f>"PORT GIBSON               "</f>
        <v xml:space="preserve">PORT GIBSON               </v>
      </c>
      <c r="F20199" t="str">
        <f t="shared" si="479"/>
        <v>MS</v>
      </c>
    </row>
    <row r="20200" spans="1:6" x14ac:dyDescent="0.25">
      <c r="A20200" t="str">
        <f>"200025455"</f>
        <v>200025455</v>
      </c>
      <c r="B20200" t="str">
        <f>"1871345090"</f>
        <v>1871345090</v>
      </c>
      <c r="C20200" t="str">
        <f>"363AS0400X"</f>
        <v>363AS0400X</v>
      </c>
      <c r="D20200" t="str">
        <f>"SULLIVAN                 ADRIENNE     C           "</f>
        <v xml:space="preserve">SULLIVAN                 ADRIENNE     C           </v>
      </c>
      <c r="E20200" t="str">
        <f>"SOUTHAVEN                 "</f>
        <v xml:space="preserve">SOUTHAVEN                 </v>
      </c>
      <c r="F20200" t="str">
        <f t="shared" si="479"/>
        <v>MS</v>
      </c>
    </row>
    <row r="20201" spans="1:6" x14ac:dyDescent="0.25">
      <c r="A20201" t="str">
        <f>"200025461"</f>
        <v>200025461</v>
      </c>
      <c r="B20201" t="str">
        <f>"1215553524"</f>
        <v>1215553524</v>
      </c>
      <c r="C20201" t="str">
        <f>"1223G0001X"</f>
        <v>1223G0001X</v>
      </c>
      <c r="D20201" t="str">
        <f>"STEVENS                  WILLIAM      B           "</f>
        <v xml:space="preserve">STEVENS                  WILLIAM      B           </v>
      </c>
      <c r="E20201" t="str">
        <f>"COLUMBIA                  "</f>
        <v xml:space="preserve">COLUMBIA                  </v>
      </c>
      <c r="F20201" t="str">
        <f t="shared" si="479"/>
        <v>MS</v>
      </c>
    </row>
    <row r="20202" spans="1:6" x14ac:dyDescent="0.25">
      <c r="A20202" t="str">
        <f>"200025462"</f>
        <v>200025462</v>
      </c>
      <c r="B20202" t="str">
        <f>"1891233458"</f>
        <v>1891233458</v>
      </c>
      <c r="C20202" t="str">
        <f>"363LF0000X"</f>
        <v>363LF0000X</v>
      </c>
      <c r="D20202" t="str">
        <f>"ROBINSON                 AMANDA                   "</f>
        <v xml:space="preserve">ROBINSON                 AMANDA                   </v>
      </c>
      <c r="E20202" t="str">
        <f>"TUPELO                    "</f>
        <v xml:space="preserve">TUPELO                    </v>
      </c>
      <c r="F20202" t="str">
        <f t="shared" si="479"/>
        <v>MS</v>
      </c>
    </row>
    <row r="20203" spans="1:6" x14ac:dyDescent="0.25">
      <c r="A20203" t="str">
        <f>"200025464"</f>
        <v>200025464</v>
      </c>
      <c r="B20203" t="str">
        <f>"1962399949"</f>
        <v>1962399949</v>
      </c>
      <c r="C20203" t="str">
        <f>"122300000X"</f>
        <v>122300000X</v>
      </c>
      <c r="D20203" t="str">
        <f>"MATTHEWS                 LANDON                   "</f>
        <v xml:space="preserve">MATTHEWS                 LANDON                   </v>
      </c>
      <c r="E20203" t="str">
        <f>"ELLISVILLE                "</f>
        <v xml:space="preserve">ELLISVILLE                </v>
      </c>
      <c r="F20203" t="str">
        <f t="shared" si="479"/>
        <v>MS</v>
      </c>
    </row>
    <row r="20204" spans="1:6" x14ac:dyDescent="0.25">
      <c r="A20204" t="str">
        <f>"200025466"</f>
        <v>200025466</v>
      </c>
      <c r="B20204" t="str">
        <f>"1477500676"</f>
        <v>1477500676</v>
      </c>
      <c r="C20204" t="str">
        <f>"363LP0808X"</f>
        <v>363LP0808X</v>
      </c>
      <c r="D20204" t="str">
        <f>"KOKAISEL                 KERRY                    "</f>
        <v xml:space="preserve">KOKAISEL                 KERRY                    </v>
      </c>
      <c r="E20204" t="str">
        <f>"LUCEDALE                  "</f>
        <v xml:space="preserve">LUCEDALE                  </v>
      </c>
      <c r="F20204" t="str">
        <f t="shared" si="479"/>
        <v>MS</v>
      </c>
    </row>
    <row r="20205" spans="1:6" x14ac:dyDescent="0.25">
      <c r="A20205" t="str">
        <f>"200025471"</f>
        <v>200025471</v>
      </c>
      <c r="B20205" t="str">
        <f>"1497105373"</f>
        <v>1497105373</v>
      </c>
      <c r="C20205" t="str">
        <f>"207R00000X"</f>
        <v>207R00000X</v>
      </c>
      <c r="D20205" t="str">
        <f>"ABBAS                    SAMUEL                   "</f>
        <v xml:space="preserve">ABBAS                    SAMUEL                   </v>
      </c>
      <c r="E20205" t="str">
        <f>"RIDGELAND                 "</f>
        <v xml:space="preserve">RIDGELAND                 </v>
      </c>
      <c r="F20205" t="str">
        <f t="shared" si="479"/>
        <v>MS</v>
      </c>
    </row>
    <row r="20206" spans="1:6" x14ac:dyDescent="0.25">
      <c r="A20206" t="str">
        <f>"200025476"</f>
        <v>200025476</v>
      </c>
      <c r="B20206" t="str">
        <f>"1659258515"</f>
        <v>1659258515</v>
      </c>
      <c r="C20206" t="str">
        <f>"363LF0000X"</f>
        <v>363LF0000X</v>
      </c>
      <c r="D20206" t="str">
        <f>"LONG                     MADISON                  "</f>
        <v xml:space="preserve">LONG                     MADISON                  </v>
      </c>
      <c r="E20206" t="str">
        <f>"TUPELO                    "</f>
        <v xml:space="preserve">TUPELO                    </v>
      </c>
      <c r="F20206" t="str">
        <f t="shared" si="479"/>
        <v>MS</v>
      </c>
    </row>
    <row r="20207" spans="1:6" x14ac:dyDescent="0.25">
      <c r="A20207" t="str">
        <f>"200025477"</f>
        <v>200025477</v>
      </c>
      <c r="B20207" t="str">
        <f>"1801828496"</f>
        <v>1801828496</v>
      </c>
      <c r="C20207" t="str">
        <f>"261QM0801X"</f>
        <v>261QM0801X</v>
      </c>
      <c r="D20207" t="str">
        <f>"LIFECORE HEALTH GROUP CHICKASAW COUNTY OFFICE     "</f>
        <v xml:space="preserve">LIFECORE HEALTH GROUP CHICKASAW COUNTY OFFICE     </v>
      </c>
      <c r="E20207" t="str">
        <f>"HOUSTON                   "</f>
        <v xml:space="preserve">HOUSTON                   </v>
      </c>
      <c r="F20207" t="str">
        <f t="shared" si="479"/>
        <v>MS</v>
      </c>
    </row>
    <row r="20208" spans="1:6" x14ac:dyDescent="0.25">
      <c r="A20208" t="str">
        <f>"200025482"</f>
        <v>200025482</v>
      </c>
      <c r="B20208" t="str">
        <f>"1528562709"</f>
        <v>1528562709</v>
      </c>
      <c r="C20208" t="str">
        <f>"207P00000X"</f>
        <v>207P00000X</v>
      </c>
      <c r="D20208" t="str">
        <f>"YOUNG                    DOUGLAS                  "</f>
        <v xml:space="preserve">YOUNG                    DOUGLAS                  </v>
      </c>
      <c r="E20208" t="str">
        <f>"OCEAN SPRINGS             "</f>
        <v xml:space="preserve">OCEAN SPRINGS             </v>
      </c>
      <c r="F20208" t="str">
        <f t="shared" si="479"/>
        <v>MS</v>
      </c>
    </row>
    <row r="20209" spans="1:6" x14ac:dyDescent="0.25">
      <c r="A20209" t="str">
        <f>"200025487"</f>
        <v>200025487</v>
      </c>
      <c r="B20209" t="str">
        <f>"1073818449"</f>
        <v>1073818449</v>
      </c>
      <c r="C20209" t="str">
        <f>"367500000X"</f>
        <v>367500000X</v>
      </c>
      <c r="D20209" t="str">
        <f>"SPIERS                   RACHEL                   "</f>
        <v xml:space="preserve">SPIERS                   RACHEL                   </v>
      </c>
      <c r="E20209" t="str">
        <f>"HATTIESBURG               "</f>
        <v xml:space="preserve">HATTIESBURG               </v>
      </c>
      <c r="F20209" t="str">
        <f t="shared" si="479"/>
        <v>MS</v>
      </c>
    </row>
    <row r="20210" spans="1:6" x14ac:dyDescent="0.25">
      <c r="A20210" t="str">
        <f>"200025488"</f>
        <v>200025488</v>
      </c>
      <c r="B20210" t="str">
        <f>"1801765250"</f>
        <v>1801765250</v>
      </c>
      <c r="C20210" t="str">
        <f>"363LF0000X"</f>
        <v>363LF0000X</v>
      </c>
      <c r="D20210" t="str">
        <f>"CARTER                   SHANE                    "</f>
        <v xml:space="preserve">CARTER                   SHANE                    </v>
      </c>
      <c r="E20210" t="str">
        <f>"TUPELO                    "</f>
        <v xml:space="preserve">TUPELO                    </v>
      </c>
      <c r="F20210" t="str">
        <f t="shared" si="479"/>
        <v>MS</v>
      </c>
    </row>
    <row r="20211" spans="1:6" x14ac:dyDescent="0.25">
      <c r="A20211" t="str">
        <f>"200025491"</f>
        <v>200025491</v>
      </c>
      <c r="B20211" t="str">
        <f>"1457918658"</f>
        <v>1457918658</v>
      </c>
      <c r="C20211" t="str">
        <f>"367500000X"</f>
        <v>367500000X</v>
      </c>
      <c r="D20211" t="str">
        <f>"SUTTON                   KENNETH                  "</f>
        <v xml:space="preserve">SUTTON                   KENNETH                  </v>
      </c>
      <c r="E20211" t="str">
        <f>"OLIVE BRANCH              "</f>
        <v xml:space="preserve">OLIVE BRANCH              </v>
      </c>
      <c r="F20211" t="str">
        <f t="shared" si="479"/>
        <v>MS</v>
      </c>
    </row>
    <row r="20212" spans="1:6" x14ac:dyDescent="0.25">
      <c r="A20212" t="str">
        <f>"200025497"</f>
        <v>200025497</v>
      </c>
      <c r="B20212" t="str">
        <f>"1508398678"</f>
        <v>1508398678</v>
      </c>
      <c r="C20212" t="str">
        <f>"208M00000X"</f>
        <v>208M00000X</v>
      </c>
      <c r="D20212" t="str">
        <f>"PATANGE                  CHAITANYA                "</f>
        <v xml:space="preserve">PATANGE                  CHAITANYA                </v>
      </c>
      <c r="E20212" t="str">
        <f>"HATTIESBURG               "</f>
        <v xml:space="preserve">HATTIESBURG               </v>
      </c>
      <c r="F20212" t="str">
        <f t="shared" si="479"/>
        <v>MS</v>
      </c>
    </row>
    <row r="20213" spans="1:6" x14ac:dyDescent="0.25">
      <c r="A20213" t="str">
        <f>"200025498"</f>
        <v>200025498</v>
      </c>
      <c r="B20213" t="str">
        <f>"1902268626"</f>
        <v>1902268626</v>
      </c>
      <c r="C20213" t="str">
        <f>"2084N0400X"</f>
        <v>2084N0400X</v>
      </c>
      <c r="D20213" t="str">
        <f>"TEKIELA                  PIOTR                    "</f>
        <v xml:space="preserve">TEKIELA                  PIOTR                    </v>
      </c>
      <c r="E20213" t="str">
        <f>"TUPELO                    "</f>
        <v xml:space="preserve">TUPELO                    </v>
      </c>
      <c r="F20213" t="str">
        <f t="shared" si="479"/>
        <v>MS</v>
      </c>
    </row>
    <row r="20214" spans="1:6" x14ac:dyDescent="0.25">
      <c r="A20214" t="str">
        <f>"200025502"</f>
        <v>200025502</v>
      </c>
      <c r="B20214" t="str">
        <f>"1255828216"</f>
        <v>1255828216</v>
      </c>
      <c r="C20214" t="str">
        <f>"2084N0400X"</f>
        <v>2084N0400X</v>
      </c>
      <c r="D20214" t="str">
        <f>"ELSAYED                  KAREEM                   "</f>
        <v xml:space="preserve">ELSAYED                  KAREEM                   </v>
      </c>
      <c r="E20214" t="str">
        <f>"SOUTHAVEN                 "</f>
        <v xml:space="preserve">SOUTHAVEN                 </v>
      </c>
      <c r="F20214" t="str">
        <f t="shared" si="479"/>
        <v>MS</v>
      </c>
    </row>
    <row r="20215" spans="1:6" x14ac:dyDescent="0.25">
      <c r="A20215" t="str">
        <f>"200025503"</f>
        <v>200025503</v>
      </c>
      <c r="B20215" t="str">
        <f>"1548820210"</f>
        <v>1548820210</v>
      </c>
      <c r="C20215" t="str">
        <f>"2084N0400X"</f>
        <v>2084N0400X</v>
      </c>
      <c r="D20215" t="str">
        <f>"MENELL                   PAUL                     "</f>
        <v xml:space="preserve">MENELL                   PAUL                     </v>
      </c>
      <c r="E20215" t="str">
        <f>"TUPELO                    "</f>
        <v xml:space="preserve">TUPELO                    </v>
      </c>
      <c r="F20215" t="str">
        <f t="shared" si="479"/>
        <v>MS</v>
      </c>
    </row>
    <row r="20216" spans="1:6" x14ac:dyDescent="0.25">
      <c r="A20216" t="str">
        <f>"200025504"</f>
        <v>200025504</v>
      </c>
      <c r="B20216" t="str">
        <f>"1811104961"</f>
        <v>1811104961</v>
      </c>
      <c r="C20216" t="str">
        <f>"207V00000X"</f>
        <v>207V00000X</v>
      </c>
      <c r="D20216" t="str">
        <f>"TAYLOR                   SHERRI                   "</f>
        <v xml:space="preserve">TAYLOR                   SHERRI                   </v>
      </c>
      <c r="E20216" t="str">
        <f>"JACKSON                   "</f>
        <v xml:space="preserve">JACKSON                   </v>
      </c>
      <c r="F20216" t="str">
        <f t="shared" si="479"/>
        <v>MS</v>
      </c>
    </row>
    <row r="20217" spans="1:6" x14ac:dyDescent="0.25">
      <c r="A20217" t="str">
        <f>"200025507"</f>
        <v>200025507</v>
      </c>
      <c r="B20217" t="str">
        <f>"1336887173"</f>
        <v>1336887173</v>
      </c>
      <c r="C20217" t="str">
        <f>"207P00000X"</f>
        <v>207P00000X</v>
      </c>
      <c r="D20217" t="str">
        <f>"MARVELL                  SHAYLYN                  "</f>
        <v xml:space="preserve">MARVELL                  SHAYLYN                  </v>
      </c>
      <c r="E20217" t="str">
        <f>"BOONEVILLE                "</f>
        <v xml:space="preserve">BOONEVILLE                </v>
      </c>
      <c r="F20217" t="str">
        <f t="shared" si="479"/>
        <v>MS</v>
      </c>
    </row>
    <row r="20218" spans="1:6" x14ac:dyDescent="0.25">
      <c r="A20218" t="str">
        <f>"200025512"</f>
        <v>200025512</v>
      </c>
      <c r="B20218" t="str">
        <f>"1659675296"</f>
        <v>1659675296</v>
      </c>
      <c r="C20218" t="str">
        <f>"207RC0200X"</f>
        <v>207RC0200X</v>
      </c>
      <c r="D20218" t="str">
        <f>"SILVA                    CARLOS                   "</f>
        <v xml:space="preserve">SILVA                    CARLOS                   </v>
      </c>
      <c r="E20218" t="str">
        <f>"SOUTHAVEN                 "</f>
        <v xml:space="preserve">SOUTHAVEN                 </v>
      </c>
      <c r="F20218" t="str">
        <f t="shared" si="479"/>
        <v>MS</v>
      </c>
    </row>
    <row r="20219" spans="1:6" x14ac:dyDescent="0.25">
      <c r="A20219" t="str">
        <f>"200025513"</f>
        <v>200025513</v>
      </c>
      <c r="B20219" t="str">
        <f>"1841575032"</f>
        <v>1841575032</v>
      </c>
      <c r="C20219" t="str">
        <f>"2084N0400X"</f>
        <v>2084N0400X</v>
      </c>
      <c r="D20219" t="str">
        <f>"OVERALL                  TRENTON                  "</f>
        <v xml:space="preserve">OVERALL                  TRENTON                  </v>
      </c>
      <c r="E20219" t="str">
        <f>"TUPELO                    "</f>
        <v xml:space="preserve">TUPELO                    </v>
      </c>
      <c r="F20219" t="str">
        <f t="shared" si="479"/>
        <v>MS</v>
      </c>
    </row>
    <row r="20220" spans="1:6" x14ac:dyDescent="0.25">
      <c r="A20220" t="str">
        <f>"200025516"</f>
        <v>200025516</v>
      </c>
      <c r="B20220" t="str">
        <f>"1801828496"</f>
        <v>1801828496</v>
      </c>
      <c r="C20220" t="str">
        <f>"261QM0801X"</f>
        <v>261QM0801X</v>
      </c>
      <c r="D20220" t="str">
        <f>"LIFECORE HEALTH GROUP -MONROE CO OFFICE           "</f>
        <v xml:space="preserve">LIFECORE HEALTH GROUP -MONROE CO OFFICE           </v>
      </c>
      <c r="E20220" t="str">
        <f>"AMORY                     "</f>
        <v xml:space="preserve">AMORY                     </v>
      </c>
      <c r="F20220" t="str">
        <f t="shared" si="479"/>
        <v>MS</v>
      </c>
    </row>
    <row r="20221" spans="1:6" x14ac:dyDescent="0.25">
      <c r="A20221" t="str">
        <f>"200025520"</f>
        <v>200025520</v>
      </c>
      <c r="B20221" t="str">
        <f>"1487852091"</f>
        <v>1487852091</v>
      </c>
      <c r="C20221" t="str">
        <f>"207L00000X"</f>
        <v>207L00000X</v>
      </c>
      <c r="D20221" t="str">
        <f>"WOO                      MACK                     "</f>
        <v xml:space="preserve">WOO                      MACK                     </v>
      </c>
      <c r="E20221" t="str">
        <f>"FLOWOOD                   "</f>
        <v xml:space="preserve">FLOWOOD                   </v>
      </c>
      <c r="F20221" t="str">
        <f t="shared" si="479"/>
        <v>MS</v>
      </c>
    </row>
    <row r="20222" spans="1:6" x14ac:dyDescent="0.25">
      <c r="A20222" t="str">
        <f>"200025524"</f>
        <v>200025524</v>
      </c>
      <c r="B20222" t="str">
        <f>"1376193094"</f>
        <v>1376193094</v>
      </c>
      <c r="C20222" t="str">
        <f>"363L00000X"</f>
        <v>363L00000X</v>
      </c>
      <c r="D20222" t="str">
        <f>"TAIT                     MIA                      "</f>
        <v xml:space="preserve">TAIT                     MIA                      </v>
      </c>
      <c r="E20222" t="str">
        <f>"FLOWOOD                   "</f>
        <v xml:space="preserve">FLOWOOD                   </v>
      </c>
      <c r="F20222" t="str">
        <f t="shared" ref="F20222:F20285" si="480">"MS"</f>
        <v>MS</v>
      </c>
    </row>
    <row r="20223" spans="1:6" x14ac:dyDescent="0.25">
      <c r="A20223" t="str">
        <f>"200025528"</f>
        <v>200025528</v>
      </c>
      <c r="B20223" t="str">
        <f>"1164957452"</f>
        <v>1164957452</v>
      </c>
      <c r="C20223" t="str">
        <f>"2084N0400X"</f>
        <v>2084N0400X</v>
      </c>
      <c r="D20223" t="str">
        <f>"CARDENTEY                AGNELIO                  "</f>
        <v xml:space="preserve">CARDENTEY                AGNELIO                  </v>
      </c>
      <c r="E20223" t="str">
        <f>"TUPELO                    "</f>
        <v xml:space="preserve">TUPELO                    </v>
      </c>
      <c r="F20223" t="str">
        <f t="shared" si="480"/>
        <v>MS</v>
      </c>
    </row>
    <row r="20224" spans="1:6" x14ac:dyDescent="0.25">
      <c r="A20224" t="str">
        <f>"200025535"</f>
        <v>200025535</v>
      </c>
      <c r="B20224" t="str">
        <f>"1063428761"</f>
        <v>1063428761</v>
      </c>
      <c r="C20224" t="str">
        <f>"261QM0801X"</f>
        <v>261QM0801X</v>
      </c>
      <c r="D20224" t="str">
        <f>"REGION 8 MENTAL HEALTH - LINCOLN COUNTY OFFICE    "</f>
        <v xml:space="preserve">REGION 8 MENTAL HEALTH - LINCOLN COUNTY OFFICE    </v>
      </c>
      <c r="E20224" t="str">
        <f>"BROOKHAVEN                "</f>
        <v xml:space="preserve">BROOKHAVEN                </v>
      </c>
      <c r="F20224" t="str">
        <f t="shared" si="480"/>
        <v>MS</v>
      </c>
    </row>
    <row r="20225" spans="1:6" x14ac:dyDescent="0.25">
      <c r="A20225" t="str">
        <f>"200025536"</f>
        <v>200025536</v>
      </c>
      <c r="B20225" t="str">
        <f>"1063428761"</f>
        <v>1063428761</v>
      </c>
      <c r="C20225" t="str">
        <f>"261QM0801X"</f>
        <v>261QM0801X</v>
      </c>
      <c r="D20225" t="str">
        <f>"REGION 8 MENTAL HEALTH - MATURE STEPS             "</f>
        <v xml:space="preserve">REGION 8 MENTAL HEALTH - MATURE STEPS             </v>
      </c>
      <c r="E20225" t="str">
        <f>"HAZLEHURST                "</f>
        <v xml:space="preserve">HAZLEHURST                </v>
      </c>
      <c r="F20225" t="str">
        <f t="shared" si="480"/>
        <v>MS</v>
      </c>
    </row>
    <row r="20226" spans="1:6" x14ac:dyDescent="0.25">
      <c r="A20226" t="str">
        <f>"200025537"</f>
        <v>200025537</v>
      </c>
      <c r="B20226" t="str">
        <f>"1710586094"</f>
        <v>1710586094</v>
      </c>
      <c r="C20226" t="str">
        <f>"363L00000X"</f>
        <v>363L00000X</v>
      </c>
      <c r="D20226" t="str">
        <f>"RYMAN                    ERIN                     "</f>
        <v xml:space="preserve">RYMAN                    ERIN                     </v>
      </c>
      <c r="E20226" t="str">
        <f>"RIDGELAND                 "</f>
        <v xml:space="preserve">RIDGELAND                 </v>
      </c>
      <c r="F20226" t="str">
        <f t="shared" si="480"/>
        <v>MS</v>
      </c>
    </row>
    <row r="20227" spans="1:6" x14ac:dyDescent="0.25">
      <c r="A20227" t="str">
        <f>"200025545"</f>
        <v>200025545</v>
      </c>
      <c r="B20227" t="str">
        <f>"1598648347"</f>
        <v>1598648347</v>
      </c>
      <c r="C20227" t="str">
        <f>"363L00000X"</f>
        <v>363L00000X</v>
      </c>
      <c r="D20227" t="str">
        <f>"PITTMAN                  SHAKIRA                  "</f>
        <v xml:space="preserve">PITTMAN                  SHAKIRA                  </v>
      </c>
      <c r="E20227" t="str">
        <f>"LUCEDALE                  "</f>
        <v xml:space="preserve">LUCEDALE                  </v>
      </c>
      <c r="F20227" t="str">
        <f t="shared" si="480"/>
        <v>MS</v>
      </c>
    </row>
    <row r="20228" spans="1:6" x14ac:dyDescent="0.25">
      <c r="A20228" t="str">
        <f>"200025550"</f>
        <v>200025550</v>
      </c>
      <c r="B20228" t="str">
        <f>"1871160143"</f>
        <v>1871160143</v>
      </c>
      <c r="C20228" t="str">
        <f>"363LA2100X"</f>
        <v>363LA2100X</v>
      </c>
      <c r="D20228" t="str">
        <f>"SMITH                    MICHAEL                  "</f>
        <v xml:space="preserve">SMITH                    MICHAEL                  </v>
      </c>
      <c r="E20228" t="str">
        <f>"JACKSON                   "</f>
        <v xml:space="preserve">JACKSON                   </v>
      </c>
      <c r="F20228" t="str">
        <f t="shared" si="480"/>
        <v>MS</v>
      </c>
    </row>
    <row r="20229" spans="1:6" x14ac:dyDescent="0.25">
      <c r="A20229" t="str">
        <f>"200025552"</f>
        <v>200025552</v>
      </c>
      <c r="B20229" t="str">
        <f>"1891702114"</f>
        <v>1891702114</v>
      </c>
      <c r="C20229" t="str">
        <f>"207RH0002X"</f>
        <v>207RH0002X</v>
      </c>
      <c r="D20229" t="str">
        <f>"ALVAREZ                  VICTOR                   "</f>
        <v xml:space="preserve">ALVAREZ                  VICTOR                   </v>
      </c>
      <c r="E20229" t="str">
        <f>"RIDGELAND                 "</f>
        <v xml:space="preserve">RIDGELAND                 </v>
      </c>
      <c r="F20229" t="str">
        <f t="shared" si="480"/>
        <v>MS</v>
      </c>
    </row>
    <row r="20230" spans="1:6" x14ac:dyDescent="0.25">
      <c r="A20230" t="str">
        <f>"200025555"</f>
        <v>200025555</v>
      </c>
      <c r="B20230" t="str">
        <f>"1063383438"</f>
        <v>1063383438</v>
      </c>
      <c r="C20230" t="str">
        <f>"363L00000X"</f>
        <v>363L00000X</v>
      </c>
      <c r="D20230" t="str">
        <f>"WHITEHORN                AMBER                    "</f>
        <v xml:space="preserve">WHITEHORN                AMBER                    </v>
      </c>
      <c r="E20230" t="str">
        <f>"BRANDON                   "</f>
        <v xml:space="preserve">BRANDON                   </v>
      </c>
      <c r="F20230" t="str">
        <f t="shared" si="480"/>
        <v>MS</v>
      </c>
    </row>
    <row r="20231" spans="1:6" x14ac:dyDescent="0.25">
      <c r="A20231" t="str">
        <f>"200025556"</f>
        <v>200025556</v>
      </c>
      <c r="B20231" t="str">
        <f>"1134004831"</f>
        <v>1134004831</v>
      </c>
      <c r="C20231" t="str">
        <f>"363LF0000X"</f>
        <v>363LF0000X</v>
      </c>
      <c r="D20231" t="str">
        <f>"BOND                     BRITTNEY                 "</f>
        <v xml:space="preserve">BOND                     BRITTNEY                 </v>
      </c>
      <c r="E20231" t="str">
        <f>"BILOXI                    "</f>
        <v xml:space="preserve">BILOXI                    </v>
      </c>
      <c r="F20231" t="str">
        <f t="shared" si="480"/>
        <v>MS</v>
      </c>
    </row>
    <row r="20232" spans="1:6" x14ac:dyDescent="0.25">
      <c r="A20232" t="str">
        <f>"200025563"</f>
        <v>200025563</v>
      </c>
      <c r="B20232" t="str">
        <f>"1487520557"</f>
        <v>1487520557</v>
      </c>
      <c r="C20232" t="str">
        <f>"367500000X"</f>
        <v>367500000X</v>
      </c>
      <c r="D20232" t="str">
        <f>"LADNER                   BAILEE                   "</f>
        <v xml:space="preserve">LADNER                   BAILEE                   </v>
      </c>
      <c r="E20232" t="str">
        <f>"GULFPORT                  "</f>
        <v xml:space="preserve">GULFPORT                  </v>
      </c>
      <c r="F20232" t="str">
        <f t="shared" si="480"/>
        <v>MS</v>
      </c>
    </row>
    <row r="20233" spans="1:6" x14ac:dyDescent="0.25">
      <c r="A20233" t="str">
        <f>"200025565"</f>
        <v>200025565</v>
      </c>
      <c r="B20233" t="str">
        <f>"1619436474"</f>
        <v>1619436474</v>
      </c>
      <c r="C20233" t="str">
        <f>"2084N0400X"</f>
        <v>2084N0400X</v>
      </c>
      <c r="D20233" t="str">
        <f>"SAMBURSKY                JACOB                    "</f>
        <v xml:space="preserve">SAMBURSKY                JACOB                    </v>
      </c>
      <c r="E20233" t="str">
        <f>"TUPELO                    "</f>
        <v xml:space="preserve">TUPELO                    </v>
      </c>
      <c r="F20233" t="str">
        <f t="shared" si="480"/>
        <v>MS</v>
      </c>
    </row>
    <row r="20234" spans="1:6" x14ac:dyDescent="0.25">
      <c r="A20234" t="str">
        <f>"200025568"</f>
        <v>200025568</v>
      </c>
      <c r="B20234" t="str">
        <f>"1598831422"</f>
        <v>1598831422</v>
      </c>
      <c r="C20234" t="str">
        <f>"207R00000X"</f>
        <v>207R00000X</v>
      </c>
      <c r="D20234" t="str">
        <f>"RAY                      KRISTINA                 "</f>
        <v xml:space="preserve">RAY                      KRISTINA                 </v>
      </c>
      <c r="E20234" t="str">
        <f>"JACKSON                   "</f>
        <v xml:space="preserve">JACKSON                   </v>
      </c>
      <c r="F20234" t="str">
        <f t="shared" si="480"/>
        <v>MS</v>
      </c>
    </row>
    <row r="20235" spans="1:6" x14ac:dyDescent="0.25">
      <c r="A20235" t="str">
        <f>"200025572"</f>
        <v>200025572</v>
      </c>
      <c r="B20235" t="str">
        <f>"1003375072"</f>
        <v>1003375072</v>
      </c>
      <c r="C20235" t="str">
        <f>"207X00000X"</f>
        <v>207X00000X</v>
      </c>
      <c r="D20235" t="str">
        <f>"CHEN                     STEPHEN                  "</f>
        <v xml:space="preserve">CHEN                     STEPHEN                  </v>
      </c>
      <c r="E20235" t="str">
        <f>"RIDGELAND                 "</f>
        <v xml:space="preserve">RIDGELAND                 </v>
      </c>
      <c r="F20235" t="str">
        <f t="shared" si="480"/>
        <v>MS</v>
      </c>
    </row>
    <row r="20236" spans="1:6" x14ac:dyDescent="0.25">
      <c r="A20236" t="str">
        <f>"200025579"</f>
        <v>200025579</v>
      </c>
      <c r="B20236" t="str">
        <f>"1730366824"</f>
        <v>1730366824</v>
      </c>
      <c r="C20236" t="str">
        <f>"261QM0801X"</f>
        <v>261QM0801X</v>
      </c>
      <c r="D20236" t="str">
        <f>"HEALTH CONNECT AMERICA INC                        "</f>
        <v xml:space="preserve">HEALTH CONNECT AMERICA INC                        </v>
      </c>
      <c r="E20236" t="str">
        <f>"MOSS POINT                "</f>
        <v xml:space="preserve">MOSS POINT                </v>
      </c>
      <c r="F20236" t="str">
        <f t="shared" si="480"/>
        <v>MS</v>
      </c>
    </row>
    <row r="20237" spans="1:6" x14ac:dyDescent="0.25">
      <c r="A20237" t="str">
        <f>"200025581"</f>
        <v>200025581</v>
      </c>
      <c r="B20237" t="str">
        <f>"1598537771"</f>
        <v>1598537771</v>
      </c>
      <c r="C20237" t="str">
        <f>"363L00000X"</f>
        <v>363L00000X</v>
      </c>
      <c r="D20237" t="str">
        <f>"HARRIS                   APRIL                    "</f>
        <v xml:space="preserve">HARRIS                   APRIL                    </v>
      </c>
      <c r="E20237" t="str">
        <f>"FULTON                    "</f>
        <v xml:space="preserve">FULTON                    </v>
      </c>
      <c r="F20237" t="str">
        <f t="shared" si="480"/>
        <v>MS</v>
      </c>
    </row>
    <row r="20238" spans="1:6" x14ac:dyDescent="0.25">
      <c r="A20238" t="str">
        <f>"200025584"</f>
        <v>200025584</v>
      </c>
      <c r="B20238" t="str">
        <f>"1700769874"</f>
        <v>1700769874</v>
      </c>
      <c r="C20238" t="str">
        <f>"1223G0001X"</f>
        <v>1223G0001X</v>
      </c>
      <c r="D20238" t="str">
        <f>"STUBBS                   JAVELYN                  "</f>
        <v xml:space="preserve">STUBBS                   JAVELYN                  </v>
      </c>
      <c r="E20238" t="str">
        <f>"CHOCTAW                   "</f>
        <v xml:space="preserve">CHOCTAW                   </v>
      </c>
      <c r="F20238" t="str">
        <f t="shared" si="480"/>
        <v>MS</v>
      </c>
    </row>
    <row r="20239" spans="1:6" x14ac:dyDescent="0.25">
      <c r="A20239" t="str">
        <f>"200025585"</f>
        <v>200025585</v>
      </c>
      <c r="B20239" t="str">
        <f>"1366305518"</f>
        <v>1366305518</v>
      </c>
      <c r="C20239" t="str">
        <f>"363L00000X"</f>
        <v>363L00000X</v>
      </c>
      <c r="D20239" t="str">
        <f>"THORNTON                 CHRISTINA                "</f>
        <v xml:space="preserve">THORNTON                 CHRISTINA                </v>
      </c>
      <c r="E20239" t="str">
        <f>"PETAL                     "</f>
        <v xml:space="preserve">PETAL                     </v>
      </c>
      <c r="F20239" t="str">
        <f t="shared" si="480"/>
        <v>MS</v>
      </c>
    </row>
    <row r="20240" spans="1:6" x14ac:dyDescent="0.25">
      <c r="A20240" t="str">
        <f>"200025587"</f>
        <v>200025587</v>
      </c>
      <c r="B20240" t="str">
        <f>"1508177353"</f>
        <v>1508177353</v>
      </c>
      <c r="C20240" t="str">
        <f>"207VM0101X"</f>
        <v>207VM0101X</v>
      </c>
      <c r="D20240" t="str">
        <f>"STRASSBERG               EMMIE                    "</f>
        <v xml:space="preserve">STRASSBERG               EMMIE                    </v>
      </c>
      <c r="E20240" t="str">
        <f>"GULFPORT                  "</f>
        <v xml:space="preserve">GULFPORT                  </v>
      </c>
      <c r="F20240" t="str">
        <f t="shared" si="480"/>
        <v>MS</v>
      </c>
    </row>
    <row r="20241" spans="1:6" x14ac:dyDescent="0.25">
      <c r="A20241" t="str">
        <f>"200025590"</f>
        <v>200025590</v>
      </c>
      <c r="B20241" t="str">
        <f>"1639550452"</f>
        <v>1639550452</v>
      </c>
      <c r="C20241" t="str">
        <f>"2084N0400X"</f>
        <v>2084N0400X</v>
      </c>
      <c r="D20241" t="str">
        <f>"BURKETT                  NINA- SERENA             "</f>
        <v xml:space="preserve">BURKETT                  NINA- SERENA             </v>
      </c>
      <c r="E20241" t="str">
        <f>"TUPELO                    "</f>
        <v xml:space="preserve">TUPELO                    </v>
      </c>
      <c r="F20241" t="str">
        <f t="shared" si="480"/>
        <v>MS</v>
      </c>
    </row>
    <row r="20242" spans="1:6" x14ac:dyDescent="0.25">
      <c r="A20242" t="str">
        <f>"200025591"</f>
        <v>200025591</v>
      </c>
      <c r="B20242" t="str">
        <f>"1902547409"</f>
        <v>1902547409</v>
      </c>
      <c r="C20242" t="str">
        <f>"207R00000X"</f>
        <v>207R00000X</v>
      </c>
      <c r="D20242" t="str">
        <f>"BRIDGES                  MATTHEW                  "</f>
        <v xml:space="preserve">BRIDGES                  MATTHEW                  </v>
      </c>
      <c r="E20242" t="str">
        <f>"JACKSON                   "</f>
        <v xml:space="preserve">JACKSON                   </v>
      </c>
      <c r="F20242" t="str">
        <f t="shared" si="480"/>
        <v>MS</v>
      </c>
    </row>
    <row r="20243" spans="1:6" x14ac:dyDescent="0.25">
      <c r="A20243" t="str">
        <f>"200025592"</f>
        <v>200025592</v>
      </c>
      <c r="B20243" t="str">
        <f>"1184598005"</f>
        <v>1184598005</v>
      </c>
      <c r="C20243" t="str">
        <f>"363LF0000X"</f>
        <v>363LF0000X</v>
      </c>
      <c r="D20243" t="str">
        <f>"TOWNSEND                 SONYA                    "</f>
        <v xml:space="preserve">TOWNSEND                 SONYA                    </v>
      </c>
      <c r="E20243" t="str">
        <f>"TUPELO                    "</f>
        <v xml:space="preserve">TUPELO                    </v>
      </c>
      <c r="F20243" t="str">
        <f t="shared" si="480"/>
        <v>MS</v>
      </c>
    </row>
    <row r="20244" spans="1:6" x14ac:dyDescent="0.25">
      <c r="A20244" t="str">
        <f>"200025598"</f>
        <v>200025598</v>
      </c>
      <c r="B20244" t="str">
        <f>"1902875602"</f>
        <v>1902875602</v>
      </c>
      <c r="C20244" t="str">
        <f>"152W00000X"</f>
        <v>152W00000X</v>
      </c>
      <c r="D20244" t="str">
        <f>"DARBY                    ELIZABETH                "</f>
        <v xml:space="preserve">DARBY                    ELIZABETH                </v>
      </c>
      <c r="E20244" t="str">
        <f>"TUPELO                    "</f>
        <v xml:space="preserve">TUPELO                    </v>
      </c>
      <c r="F20244" t="str">
        <f t="shared" si="480"/>
        <v>MS</v>
      </c>
    </row>
    <row r="20245" spans="1:6" x14ac:dyDescent="0.25">
      <c r="A20245" t="str">
        <f>"200025605"</f>
        <v>200025605</v>
      </c>
      <c r="B20245" t="str">
        <f>"1063375046"</f>
        <v>1063375046</v>
      </c>
      <c r="C20245" t="str">
        <f>"363LF0000X"</f>
        <v>363LF0000X</v>
      </c>
      <c r="D20245" t="str">
        <f>"WILLIAMS                 TERI                     "</f>
        <v xml:space="preserve">WILLIAMS                 TERI                     </v>
      </c>
      <c r="E20245" t="str">
        <f>"CLARKSDALE                "</f>
        <v xml:space="preserve">CLARKSDALE                </v>
      </c>
      <c r="F20245" t="str">
        <f t="shared" si="480"/>
        <v>MS</v>
      </c>
    </row>
    <row r="20246" spans="1:6" x14ac:dyDescent="0.25">
      <c r="A20246" t="str">
        <f>"200025609"</f>
        <v>200025609</v>
      </c>
      <c r="B20246" t="str">
        <f>"1023863321"</f>
        <v>1023863321</v>
      </c>
      <c r="C20246" t="str">
        <f>"363L00000X"</f>
        <v>363L00000X</v>
      </c>
      <c r="D20246" t="str">
        <f>"BOND                     GARETH       W           "</f>
        <v xml:space="preserve">BOND                     GARETH       W           </v>
      </c>
      <c r="E20246" t="str">
        <f>"JACKSON                   "</f>
        <v xml:space="preserve">JACKSON                   </v>
      </c>
      <c r="F20246" t="str">
        <f t="shared" si="480"/>
        <v>MS</v>
      </c>
    </row>
    <row r="20247" spans="1:6" x14ac:dyDescent="0.25">
      <c r="A20247" t="str">
        <f>"200025612"</f>
        <v>200025612</v>
      </c>
      <c r="B20247" t="str">
        <f>"1912901521"</f>
        <v>1912901521</v>
      </c>
      <c r="C20247" t="str">
        <f>"363L00000X"</f>
        <v>363L00000X</v>
      </c>
      <c r="D20247" t="str">
        <f>"NEWSOM                   SANDRA                   "</f>
        <v xml:space="preserve">NEWSOM                   SANDRA                   </v>
      </c>
      <c r="E20247" t="str">
        <f>"HORN LAKE                 "</f>
        <v xml:space="preserve">HORN LAKE                 </v>
      </c>
      <c r="F20247" t="str">
        <f t="shared" si="480"/>
        <v>MS</v>
      </c>
    </row>
    <row r="20248" spans="1:6" x14ac:dyDescent="0.25">
      <c r="A20248" t="str">
        <f>"200025615"</f>
        <v>200025615</v>
      </c>
      <c r="B20248" t="str">
        <f>"1164478962"</f>
        <v>1164478962</v>
      </c>
      <c r="C20248" t="str">
        <f>"207W00000X"</f>
        <v>207W00000X</v>
      </c>
      <c r="D20248" t="str">
        <f>"KHAN                     ABDUL                    "</f>
        <v xml:space="preserve">KHAN                     ABDUL                    </v>
      </c>
      <c r="E20248" t="str">
        <f>"BILOXI                    "</f>
        <v xml:space="preserve">BILOXI                    </v>
      </c>
      <c r="F20248" t="str">
        <f t="shared" si="480"/>
        <v>MS</v>
      </c>
    </row>
    <row r="20249" spans="1:6" x14ac:dyDescent="0.25">
      <c r="A20249" t="str">
        <f>"200025617"</f>
        <v>200025617</v>
      </c>
      <c r="B20249" t="str">
        <f>"1851050579"</f>
        <v>1851050579</v>
      </c>
      <c r="C20249" t="str">
        <f>"261QR1300X"</f>
        <v>261QR1300X</v>
      </c>
      <c r="D20249" t="str">
        <f>"FAST PACE MISSISSIPPI PLLC                        "</f>
        <v xml:space="preserve">FAST PACE MISSISSIPPI PLLC                        </v>
      </c>
      <c r="E20249" t="str">
        <f>"MERIDIAN                  "</f>
        <v xml:space="preserve">MERIDIAN                  </v>
      </c>
      <c r="F20249" t="str">
        <f t="shared" si="480"/>
        <v>MS</v>
      </c>
    </row>
    <row r="20250" spans="1:6" x14ac:dyDescent="0.25">
      <c r="A20250" t="str">
        <f>"200025626"</f>
        <v>200025626</v>
      </c>
      <c r="B20250" t="str">
        <f>"1386272094"</f>
        <v>1386272094</v>
      </c>
      <c r="C20250" t="str">
        <f>"261QM0801X"</f>
        <v>261QM0801X</v>
      </c>
      <c r="D20250" t="str">
        <f>"FAITH CENTER, LLC                                 "</f>
        <v xml:space="preserve">FAITH CENTER, LLC                                 </v>
      </c>
      <c r="E20250" t="str">
        <f>"MCCOMB                    "</f>
        <v xml:space="preserve">MCCOMB                    </v>
      </c>
      <c r="F20250" t="str">
        <f t="shared" si="480"/>
        <v>MS</v>
      </c>
    </row>
    <row r="20251" spans="1:6" x14ac:dyDescent="0.25">
      <c r="A20251" t="str">
        <f>"200025631"</f>
        <v>200025631</v>
      </c>
      <c r="B20251" t="str">
        <f>"1306197348"</f>
        <v>1306197348</v>
      </c>
      <c r="C20251" t="str">
        <f>"367500000X"</f>
        <v>367500000X</v>
      </c>
      <c r="D20251" t="str">
        <f>"CLARK                    JASON        L           "</f>
        <v xml:space="preserve">CLARK                    JASON        L           </v>
      </c>
      <c r="E20251" t="str">
        <f>"OXFORD                    "</f>
        <v xml:space="preserve">OXFORD                    </v>
      </c>
      <c r="F20251" t="str">
        <f t="shared" si="480"/>
        <v>MS</v>
      </c>
    </row>
    <row r="20252" spans="1:6" x14ac:dyDescent="0.25">
      <c r="A20252" t="str">
        <f>"200025636"</f>
        <v>200025636</v>
      </c>
      <c r="B20252" t="str">
        <f>"1083188387"</f>
        <v>1083188387</v>
      </c>
      <c r="C20252" t="str">
        <f>"363L00000X"</f>
        <v>363L00000X</v>
      </c>
      <c r="D20252" t="str">
        <f>"HALL                     CALLIE                   "</f>
        <v xml:space="preserve">HALL                     CALLIE                   </v>
      </c>
      <c r="E20252" t="str">
        <f>"FLOWOOD                   "</f>
        <v xml:space="preserve">FLOWOOD                   </v>
      </c>
      <c r="F20252" t="str">
        <f t="shared" si="480"/>
        <v>MS</v>
      </c>
    </row>
    <row r="20253" spans="1:6" x14ac:dyDescent="0.25">
      <c r="A20253" t="str">
        <f>"200025640"</f>
        <v>200025640</v>
      </c>
      <c r="B20253" t="str">
        <f>"1922025360"</f>
        <v>1922025360</v>
      </c>
      <c r="C20253" t="str">
        <f>"2084P0800X"</f>
        <v>2084P0800X</v>
      </c>
      <c r="D20253" t="str">
        <f>"ARORA                    NAMITA                   "</f>
        <v xml:space="preserve">ARORA                    NAMITA                   </v>
      </c>
      <c r="E20253" t="str">
        <f>"JACKSON                   "</f>
        <v xml:space="preserve">JACKSON                   </v>
      </c>
      <c r="F20253" t="str">
        <f t="shared" si="480"/>
        <v>MS</v>
      </c>
    </row>
    <row r="20254" spans="1:6" x14ac:dyDescent="0.25">
      <c r="A20254" t="str">
        <f>"200025642"</f>
        <v>200025642</v>
      </c>
      <c r="B20254" t="str">
        <f>"1407240732"</f>
        <v>1407240732</v>
      </c>
      <c r="C20254" t="str">
        <f>"363LF0000X"</f>
        <v>363LF0000X</v>
      </c>
      <c r="D20254" t="str">
        <f>"BEASLEY-WILLIAMS         KAJUANDRIA               "</f>
        <v xml:space="preserve">BEASLEY-WILLIAMS         KAJUANDRIA               </v>
      </c>
      <c r="E20254" t="str">
        <f>"FLOWOOD                   "</f>
        <v xml:space="preserve">FLOWOOD                   </v>
      </c>
      <c r="F20254" t="str">
        <f t="shared" si="480"/>
        <v>MS</v>
      </c>
    </row>
    <row r="20255" spans="1:6" x14ac:dyDescent="0.25">
      <c r="A20255" t="str">
        <f>"200025643"</f>
        <v>200025643</v>
      </c>
      <c r="B20255" t="str">
        <f>"1780864033"</f>
        <v>1780864033</v>
      </c>
      <c r="C20255" t="str">
        <f>"2085R0202X"</f>
        <v>2085R0202X</v>
      </c>
      <c r="D20255" t="str">
        <f>"BROWNING                 CAROL ANN    T           "</f>
        <v xml:space="preserve">BROWNING                 CAROL ANN    T           </v>
      </c>
      <c r="E20255" t="str">
        <f>"JACKSON                   "</f>
        <v xml:space="preserve">JACKSON                   </v>
      </c>
      <c r="F20255" t="str">
        <f t="shared" si="480"/>
        <v>MS</v>
      </c>
    </row>
    <row r="20256" spans="1:6" x14ac:dyDescent="0.25">
      <c r="A20256" t="str">
        <f>"200025648"</f>
        <v>200025648</v>
      </c>
      <c r="B20256" t="str">
        <f>"1790197416"</f>
        <v>1790197416</v>
      </c>
      <c r="C20256" t="str">
        <f>"207Q00000X"</f>
        <v>207Q00000X</v>
      </c>
      <c r="D20256" t="str">
        <f>"AGNEW                    SHAWANDA                 "</f>
        <v xml:space="preserve">AGNEW                    SHAWANDA                 </v>
      </c>
      <c r="E20256" t="str">
        <f>"ECRU                      "</f>
        <v xml:space="preserve">ECRU                      </v>
      </c>
      <c r="F20256" t="str">
        <f t="shared" si="480"/>
        <v>MS</v>
      </c>
    </row>
    <row r="20257" spans="1:6" x14ac:dyDescent="0.25">
      <c r="A20257" t="str">
        <f>"200025649"</f>
        <v>200025649</v>
      </c>
      <c r="B20257" t="str">
        <f>"1043553472"</f>
        <v>1043553472</v>
      </c>
      <c r="C20257" t="str">
        <f>"363LF0000X"</f>
        <v>363LF0000X</v>
      </c>
      <c r="D20257" t="str">
        <f>"MITCHELL                 SHANWA                   "</f>
        <v xml:space="preserve">MITCHELL                 SHANWA                   </v>
      </c>
      <c r="E20257" t="str">
        <f>"GULFPORT                  "</f>
        <v xml:space="preserve">GULFPORT                  </v>
      </c>
      <c r="F20257" t="str">
        <f t="shared" si="480"/>
        <v>MS</v>
      </c>
    </row>
    <row r="20258" spans="1:6" x14ac:dyDescent="0.25">
      <c r="A20258" t="str">
        <f>"200025650"</f>
        <v>200025650</v>
      </c>
      <c r="B20258" t="str">
        <f>"1841619301"</f>
        <v>1841619301</v>
      </c>
      <c r="C20258" t="str">
        <f>"367500000X"</f>
        <v>367500000X</v>
      </c>
      <c r="D20258" t="str">
        <f>"DUNGAN                   HAROLD                   "</f>
        <v xml:space="preserve">DUNGAN                   HAROLD                   </v>
      </c>
      <c r="E20258" t="str">
        <f>"FLOWOOD                   "</f>
        <v xml:space="preserve">FLOWOOD                   </v>
      </c>
      <c r="F20258" t="str">
        <f t="shared" si="480"/>
        <v>MS</v>
      </c>
    </row>
    <row r="20259" spans="1:6" x14ac:dyDescent="0.25">
      <c r="A20259" t="str">
        <f>"200025658"</f>
        <v>200025658</v>
      </c>
      <c r="B20259" t="str">
        <f>"1154325959"</f>
        <v>1154325959</v>
      </c>
      <c r="C20259" t="str">
        <f>"208VP0014X"</f>
        <v>208VP0014X</v>
      </c>
      <c r="D20259" t="str">
        <f>"SANAPATI                 MAHENDRA                 "</f>
        <v xml:space="preserve">SANAPATI                 MAHENDRA                 </v>
      </c>
      <c r="E20259" t="str">
        <f>"HORN LAKE                 "</f>
        <v xml:space="preserve">HORN LAKE                 </v>
      </c>
      <c r="F20259" t="str">
        <f t="shared" si="480"/>
        <v>MS</v>
      </c>
    </row>
    <row r="20260" spans="1:6" x14ac:dyDescent="0.25">
      <c r="A20260" t="str">
        <f>"200025668"</f>
        <v>200025668</v>
      </c>
      <c r="B20260" t="str">
        <f>"1528607975"</f>
        <v>1528607975</v>
      </c>
      <c r="C20260" t="str">
        <f>"363LW0102X"</f>
        <v>363LW0102X</v>
      </c>
      <c r="D20260" t="str">
        <f>"RAFFERTY                 HAYLEY                   "</f>
        <v xml:space="preserve">RAFFERTY                 HAYLEY                   </v>
      </c>
      <c r="E20260" t="str">
        <f>"RIDGELAND                 "</f>
        <v xml:space="preserve">RIDGELAND                 </v>
      </c>
      <c r="F20260" t="str">
        <f t="shared" si="480"/>
        <v>MS</v>
      </c>
    </row>
    <row r="20261" spans="1:6" x14ac:dyDescent="0.25">
      <c r="A20261" t="str">
        <f>"200025670"</f>
        <v>200025670</v>
      </c>
      <c r="B20261" t="str">
        <f>"1114576592"</f>
        <v>1114576592</v>
      </c>
      <c r="C20261" t="str">
        <f>"363LF0000X"</f>
        <v>363LF0000X</v>
      </c>
      <c r="D20261" t="str">
        <f>"PHILLIPS                 ELIZABETH    Y           "</f>
        <v xml:space="preserve">PHILLIPS                 ELIZABETH    Y           </v>
      </c>
      <c r="E20261" t="str">
        <f>"SOUTHAVEN                 "</f>
        <v xml:space="preserve">SOUTHAVEN                 </v>
      </c>
      <c r="F20261" t="str">
        <f t="shared" si="480"/>
        <v>MS</v>
      </c>
    </row>
    <row r="20262" spans="1:6" x14ac:dyDescent="0.25">
      <c r="A20262" t="str">
        <f>"200025678"</f>
        <v>200025678</v>
      </c>
      <c r="B20262" t="str">
        <f>"1669508263"</f>
        <v>1669508263</v>
      </c>
      <c r="C20262" t="str">
        <f>"367500000X"</f>
        <v>367500000X</v>
      </c>
      <c r="D20262" t="str">
        <f>"ROBERSON                 MICHAEL                  "</f>
        <v xml:space="preserve">ROBERSON                 MICHAEL                  </v>
      </c>
      <c r="E20262" t="str">
        <f>"FLOWOOD                   "</f>
        <v xml:space="preserve">FLOWOOD                   </v>
      </c>
      <c r="F20262" t="str">
        <f t="shared" si="480"/>
        <v>MS</v>
      </c>
    </row>
    <row r="20263" spans="1:6" x14ac:dyDescent="0.25">
      <c r="A20263" t="str">
        <f>"200025680"</f>
        <v>200025680</v>
      </c>
      <c r="B20263" t="str">
        <f>"1538454426"</f>
        <v>1538454426</v>
      </c>
      <c r="C20263" t="str">
        <f>"208100000X"</f>
        <v>208100000X</v>
      </c>
      <c r="D20263" t="str">
        <f>"KING                     AARON                    "</f>
        <v xml:space="preserve">KING                     AARON                    </v>
      </c>
      <c r="E20263" t="str">
        <f>"TUPELO                    "</f>
        <v xml:space="preserve">TUPELO                    </v>
      </c>
      <c r="F20263" t="str">
        <f t="shared" si="480"/>
        <v>MS</v>
      </c>
    </row>
    <row r="20264" spans="1:6" x14ac:dyDescent="0.25">
      <c r="A20264" t="str">
        <f>"200025689"</f>
        <v>200025689</v>
      </c>
      <c r="B20264" t="str">
        <f>"1588399836"</f>
        <v>1588399836</v>
      </c>
      <c r="C20264" t="str">
        <f>"363LF0000X"</f>
        <v>363LF0000X</v>
      </c>
      <c r="D20264" t="str">
        <f>"WILSON                   NAOMI                    "</f>
        <v xml:space="preserve">WILSON                   NAOMI                    </v>
      </c>
      <c r="E20264" t="str">
        <f>"GULFPORT                  "</f>
        <v xml:space="preserve">GULFPORT                  </v>
      </c>
      <c r="F20264" t="str">
        <f t="shared" si="480"/>
        <v>MS</v>
      </c>
    </row>
    <row r="20265" spans="1:6" x14ac:dyDescent="0.25">
      <c r="A20265" t="str">
        <f>"200025690"</f>
        <v>200025690</v>
      </c>
      <c r="B20265" t="str">
        <f>"1780248740"</f>
        <v>1780248740</v>
      </c>
      <c r="C20265" t="str">
        <f>"208VP0014X"</f>
        <v>208VP0014X</v>
      </c>
      <c r="D20265" t="str">
        <f>"SANAPATI                 JAYA                     "</f>
        <v xml:space="preserve">SANAPATI                 JAYA                     </v>
      </c>
      <c r="E20265" t="str">
        <f>"HORN LAKE                 "</f>
        <v xml:space="preserve">HORN LAKE                 </v>
      </c>
      <c r="F20265" t="str">
        <f t="shared" si="480"/>
        <v>MS</v>
      </c>
    </row>
    <row r="20266" spans="1:6" x14ac:dyDescent="0.25">
      <c r="A20266" t="str">
        <f>"200025695"</f>
        <v>200025695</v>
      </c>
      <c r="B20266" t="str">
        <f>"1891956678"</f>
        <v>1891956678</v>
      </c>
      <c r="C20266" t="str">
        <f>"2084N0400X"</f>
        <v>2084N0400X</v>
      </c>
      <c r="D20266" t="str">
        <f>"ABCEDE                   HERMELINDA               "</f>
        <v xml:space="preserve">ABCEDE                   HERMELINDA               </v>
      </c>
      <c r="E20266" t="str">
        <f>"TUPELO                    "</f>
        <v xml:space="preserve">TUPELO                    </v>
      </c>
      <c r="F20266" t="str">
        <f t="shared" si="480"/>
        <v>MS</v>
      </c>
    </row>
    <row r="20267" spans="1:6" x14ac:dyDescent="0.25">
      <c r="A20267" t="str">
        <f>"200025701"</f>
        <v>200025701</v>
      </c>
      <c r="B20267" t="str">
        <f>"1487072245"</f>
        <v>1487072245</v>
      </c>
      <c r="C20267" t="str">
        <f>"2084N0400X"</f>
        <v>2084N0400X</v>
      </c>
      <c r="D20267" t="str">
        <f>"MOORE                    OMAR                     "</f>
        <v xml:space="preserve">MOORE                    OMAR                     </v>
      </c>
      <c r="E20267" t="str">
        <f>"GULFPORT                  "</f>
        <v xml:space="preserve">GULFPORT                  </v>
      </c>
      <c r="F20267" t="str">
        <f t="shared" si="480"/>
        <v>MS</v>
      </c>
    </row>
    <row r="20268" spans="1:6" x14ac:dyDescent="0.25">
      <c r="A20268" t="str">
        <f>"200025703"</f>
        <v>200025703</v>
      </c>
      <c r="B20268" t="str">
        <f>"1962881896"</f>
        <v>1962881896</v>
      </c>
      <c r="C20268" t="str">
        <f>"208M00000X"</f>
        <v>208M00000X</v>
      </c>
      <c r="D20268" t="str">
        <f>"ANSARI                   DANIYAL                  "</f>
        <v xml:space="preserve">ANSARI                   DANIYAL                  </v>
      </c>
      <c r="E20268" t="str">
        <f>"HATTIESBURG               "</f>
        <v xml:space="preserve">HATTIESBURG               </v>
      </c>
      <c r="F20268" t="str">
        <f t="shared" si="480"/>
        <v>MS</v>
      </c>
    </row>
    <row r="20269" spans="1:6" x14ac:dyDescent="0.25">
      <c r="A20269" t="str">
        <f>"200025709"</f>
        <v>200025709</v>
      </c>
      <c r="B20269" t="str">
        <f>"1811396971"</f>
        <v>1811396971</v>
      </c>
      <c r="C20269" t="str">
        <f>"363L00000X"</f>
        <v>363L00000X</v>
      </c>
      <c r="D20269" t="str">
        <f>"HEARST                   RACHEL                   "</f>
        <v xml:space="preserve">HEARST                   RACHEL                   </v>
      </c>
      <c r="E20269" t="str">
        <f>"MADISON                   "</f>
        <v xml:space="preserve">MADISON                   </v>
      </c>
      <c r="F20269" t="str">
        <f t="shared" si="480"/>
        <v>MS</v>
      </c>
    </row>
    <row r="20270" spans="1:6" x14ac:dyDescent="0.25">
      <c r="A20270" t="str">
        <f>"200025711"</f>
        <v>200025711</v>
      </c>
      <c r="B20270" t="str">
        <f>"1043446834"</f>
        <v>1043446834</v>
      </c>
      <c r="C20270" t="str">
        <f>"2085R0202X"</f>
        <v>2085R0202X</v>
      </c>
      <c r="D20270" t="str">
        <f>"GO                       NEL          R           "</f>
        <v xml:space="preserve">GO                       NEL          R           </v>
      </c>
      <c r="E20270" t="str">
        <f>"JACKSON                   "</f>
        <v xml:space="preserve">JACKSON                   </v>
      </c>
      <c r="F20270" t="str">
        <f t="shared" si="480"/>
        <v>MS</v>
      </c>
    </row>
    <row r="20271" spans="1:6" x14ac:dyDescent="0.25">
      <c r="A20271" t="str">
        <f>"200025713"</f>
        <v>200025713</v>
      </c>
      <c r="B20271" t="str">
        <f>"1144107145"</f>
        <v>1144107145</v>
      </c>
      <c r="C20271" t="str">
        <f>"363LF0000X"</f>
        <v>363LF0000X</v>
      </c>
      <c r="D20271" t="str">
        <f>"HARRIS                   EBONY                    "</f>
        <v xml:space="preserve">HARRIS                   EBONY                    </v>
      </c>
      <c r="E20271" t="str">
        <f>"ABERDEEN                  "</f>
        <v xml:space="preserve">ABERDEEN                  </v>
      </c>
      <c r="F20271" t="str">
        <f t="shared" si="480"/>
        <v>MS</v>
      </c>
    </row>
    <row r="20272" spans="1:6" x14ac:dyDescent="0.25">
      <c r="A20272" t="str">
        <f>"200025721"</f>
        <v>200025721</v>
      </c>
      <c r="B20272" t="str">
        <f>"1568404002"</f>
        <v>1568404002</v>
      </c>
      <c r="C20272" t="str">
        <f>"363A00000X"</f>
        <v>363A00000X</v>
      </c>
      <c r="D20272" t="str">
        <f>"HUDSON                   GRACIA       T           "</f>
        <v xml:space="preserve">HUDSON                   GRACIA       T           </v>
      </c>
      <c r="E20272" t="str">
        <f>"OCEAN SPRINGS             "</f>
        <v xml:space="preserve">OCEAN SPRINGS             </v>
      </c>
      <c r="F20272" t="str">
        <f t="shared" si="480"/>
        <v>MS</v>
      </c>
    </row>
    <row r="20273" spans="1:6" x14ac:dyDescent="0.25">
      <c r="A20273" t="str">
        <f>"200025723"</f>
        <v>200025723</v>
      </c>
      <c r="B20273" t="str">
        <f>"1659607190"</f>
        <v>1659607190</v>
      </c>
      <c r="C20273" t="str">
        <f>"2084N0400X"</f>
        <v>2084N0400X</v>
      </c>
      <c r="D20273" t="str">
        <f>"MOWLA                    ASHKAN                   "</f>
        <v xml:space="preserve">MOWLA                    ASHKAN                   </v>
      </c>
      <c r="E20273" t="str">
        <f>"SOUTHAVEN                 "</f>
        <v xml:space="preserve">SOUTHAVEN                 </v>
      </c>
      <c r="F20273" t="str">
        <f t="shared" si="480"/>
        <v>MS</v>
      </c>
    </row>
    <row r="20274" spans="1:6" x14ac:dyDescent="0.25">
      <c r="A20274" t="str">
        <f>"200025724"</f>
        <v>200025724</v>
      </c>
      <c r="B20274" t="str">
        <f>"1447783717"</f>
        <v>1447783717</v>
      </c>
      <c r="C20274" t="str">
        <f>"2085R0204X"</f>
        <v>2085R0204X</v>
      </c>
      <c r="D20274" t="str">
        <f>"HUTCHISON                MARSHALL                 "</f>
        <v xml:space="preserve">HUTCHISON                MARSHALL                 </v>
      </c>
      <c r="E20274" t="str">
        <f>"HATTIESBURG               "</f>
        <v xml:space="preserve">HATTIESBURG               </v>
      </c>
      <c r="F20274" t="str">
        <f t="shared" si="480"/>
        <v>MS</v>
      </c>
    </row>
    <row r="20275" spans="1:6" x14ac:dyDescent="0.25">
      <c r="A20275" t="str">
        <f>"200025726"</f>
        <v>200025726</v>
      </c>
      <c r="B20275" t="str">
        <f>"1760513204"</f>
        <v>1760513204</v>
      </c>
      <c r="C20275" t="str">
        <f>"207VM0101X"</f>
        <v>207VM0101X</v>
      </c>
      <c r="D20275" t="str">
        <f>"MCCOLGIN                 STERLING     W           "</f>
        <v xml:space="preserve">MCCOLGIN                 STERLING     W           </v>
      </c>
      <c r="E20275" t="str">
        <f>"JACKSON                   "</f>
        <v xml:space="preserve">JACKSON                   </v>
      </c>
      <c r="F20275" t="str">
        <f t="shared" si="480"/>
        <v>MS</v>
      </c>
    </row>
    <row r="20276" spans="1:6" x14ac:dyDescent="0.25">
      <c r="A20276" t="str">
        <f>"200025728"</f>
        <v>200025728</v>
      </c>
      <c r="B20276" t="str">
        <f>"1407293970"</f>
        <v>1407293970</v>
      </c>
      <c r="C20276" t="str">
        <f>"207ZP0102X"</f>
        <v>207ZP0102X</v>
      </c>
      <c r="D20276" t="str">
        <f>"GERTZ                    HENNING                  "</f>
        <v xml:space="preserve">GERTZ                    HENNING                  </v>
      </c>
      <c r="E20276" t="str">
        <f>"SOUTHAVEN                 "</f>
        <v xml:space="preserve">SOUTHAVEN                 </v>
      </c>
      <c r="F20276" t="str">
        <f t="shared" si="480"/>
        <v>MS</v>
      </c>
    </row>
    <row r="20277" spans="1:6" x14ac:dyDescent="0.25">
      <c r="A20277" t="str">
        <f>"200025729"</f>
        <v>200025729</v>
      </c>
      <c r="B20277" t="str">
        <f>"1518468115"</f>
        <v>1518468115</v>
      </c>
      <c r="C20277" t="str">
        <f>"363LP0808X"</f>
        <v>363LP0808X</v>
      </c>
      <c r="D20277" t="str">
        <f>"MCKAMEY                  PANDORA                  "</f>
        <v xml:space="preserve">MCKAMEY                  PANDORA                  </v>
      </c>
      <c r="E20277" t="str">
        <f>"BILOXI                    "</f>
        <v xml:space="preserve">BILOXI                    </v>
      </c>
      <c r="F20277" t="str">
        <f t="shared" si="480"/>
        <v>MS</v>
      </c>
    </row>
    <row r="20278" spans="1:6" x14ac:dyDescent="0.25">
      <c r="A20278" t="str">
        <f>"200025730"</f>
        <v>200025730</v>
      </c>
      <c r="B20278" t="str">
        <f>"1396125159"</f>
        <v>1396125159</v>
      </c>
      <c r="C20278" t="str">
        <f>"363L00000X"</f>
        <v>363L00000X</v>
      </c>
      <c r="D20278" t="str">
        <f>"PETERSON                 SARA                     "</f>
        <v xml:space="preserve">PETERSON                 SARA                     </v>
      </c>
      <c r="E20278" t="str">
        <f>"RIDGELAND                 "</f>
        <v xml:space="preserve">RIDGELAND                 </v>
      </c>
      <c r="F20278" t="str">
        <f t="shared" si="480"/>
        <v>MS</v>
      </c>
    </row>
    <row r="20279" spans="1:6" x14ac:dyDescent="0.25">
      <c r="A20279" t="str">
        <f>"200025734"</f>
        <v>200025734</v>
      </c>
      <c r="B20279" t="str">
        <f>"1578192258"</f>
        <v>1578192258</v>
      </c>
      <c r="C20279" t="str">
        <f>"207R00000X"</f>
        <v>207R00000X</v>
      </c>
      <c r="D20279" t="str">
        <f>"TIDWELL                  CHRISTOPHER              "</f>
        <v xml:space="preserve">TIDWELL                  CHRISTOPHER              </v>
      </c>
      <c r="E20279" t="str">
        <f>"TUPELO                    "</f>
        <v xml:space="preserve">TUPELO                    </v>
      </c>
      <c r="F20279" t="str">
        <f t="shared" si="480"/>
        <v>MS</v>
      </c>
    </row>
    <row r="20280" spans="1:6" x14ac:dyDescent="0.25">
      <c r="A20280" t="str">
        <f>"200025738"</f>
        <v>200025738</v>
      </c>
      <c r="B20280" t="str">
        <f>"1831367390"</f>
        <v>1831367390</v>
      </c>
      <c r="C20280" t="str">
        <f>"207W00000X"</f>
        <v>207W00000X</v>
      </c>
      <c r="D20280" t="str">
        <f>"SOLIMAN                  MOHAMED                  "</f>
        <v xml:space="preserve">SOLIMAN                  MOHAMED                  </v>
      </c>
      <c r="E20280" t="str">
        <f>"JACKSON                   "</f>
        <v xml:space="preserve">JACKSON                   </v>
      </c>
      <c r="F20280" t="str">
        <f t="shared" si="480"/>
        <v>MS</v>
      </c>
    </row>
    <row r="20281" spans="1:6" x14ac:dyDescent="0.25">
      <c r="A20281" t="str">
        <f>"200025741"</f>
        <v>200025741</v>
      </c>
      <c r="B20281" t="str">
        <f>"1528445624"</f>
        <v>1528445624</v>
      </c>
      <c r="C20281" t="str">
        <f>"363LF0000X"</f>
        <v>363LF0000X</v>
      </c>
      <c r="D20281" t="str">
        <f>"TILLMAN                  TAMMIE                   "</f>
        <v xml:space="preserve">TILLMAN                  TAMMIE                   </v>
      </c>
      <c r="E20281" t="str">
        <f>"YAZOO CITY                "</f>
        <v xml:space="preserve">YAZOO CITY                </v>
      </c>
      <c r="F20281" t="str">
        <f t="shared" si="480"/>
        <v>MS</v>
      </c>
    </row>
    <row r="20282" spans="1:6" x14ac:dyDescent="0.25">
      <c r="A20282" t="str">
        <f>"200025742"</f>
        <v>200025742</v>
      </c>
      <c r="B20282" t="str">
        <f>"1154565976"</f>
        <v>1154565976</v>
      </c>
      <c r="C20282" t="str">
        <f>"363LF0000X"</f>
        <v>363LF0000X</v>
      </c>
      <c r="D20282" t="str">
        <f>"MCKAY                    LAURA                    "</f>
        <v xml:space="preserve">MCKAY                    LAURA                    </v>
      </c>
      <c r="E20282" t="str">
        <f>"RIDGELAND                 "</f>
        <v xml:space="preserve">RIDGELAND                 </v>
      </c>
      <c r="F20282" t="str">
        <f t="shared" si="480"/>
        <v>MS</v>
      </c>
    </row>
    <row r="20283" spans="1:6" x14ac:dyDescent="0.25">
      <c r="A20283" t="str">
        <f>"200025745"</f>
        <v>200025745</v>
      </c>
      <c r="B20283" t="str">
        <f>"1194111807"</f>
        <v>1194111807</v>
      </c>
      <c r="C20283" t="str">
        <f>"2084N0400X"</f>
        <v>2084N0400X</v>
      </c>
      <c r="D20283" t="str">
        <f>"KOLIKONDA                MURALI                   "</f>
        <v xml:space="preserve">KOLIKONDA                MURALI                   </v>
      </c>
      <c r="E20283" t="str">
        <f>"BRANDON                   "</f>
        <v xml:space="preserve">BRANDON                   </v>
      </c>
      <c r="F20283" t="str">
        <f t="shared" si="480"/>
        <v>MS</v>
      </c>
    </row>
    <row r="20284" spans="1:6" x14ac:dyDescent="0.25">
      <c r="A20284" t="str">
        <f>"200025752"</f>
        <v>200025752</v>
      </c>
      <c r="B20284" t="str">
        <f>"1992219174"</f>
        <v>1992219174</v>
      </c>
      <c r="C20284" t="str">
        <f>"363LF0000X"</f>
        <v>363LF0000X</v>
      </c>
      <c r="D20284" t="str">
        <f>"LANG                     NOELLE                   "</f>
        <v xml:space="preserve">LANG                     NOELLE                   </v>
      </c>
      <c r="E20284" t="str">
        <f>"RIDGELAND                 "</f>
        <v xml:space="preserve">RIDGELAND                 </v>
      </c>
      <c r="F20284" t="str">
        <f t="shared" si="480"/>
        <v>MS</v>
      </c>
    </row>
    <row r="20285" spans="1:6" x14ac:dyDescent="0.25">
      <c r="A20285" t="str">
        <f>"200025755"</f>
        <v>200025755</v>
      </c>
      <c r="B20285" t="str">
        <f>"1730603721"</f>
        <v>1730603721</v>
      </c>
      <c r="C20285" t="str">
        <f>"363LW0102X"</f>
        <v>363LW0102X</v>
      </c>
      <c r="D20285" t="str">
        <f>"PAHL                     NICOLE                   "</f>
        <v xml:space="preserve">PAHL                     NICOLE                   </v>
      </c>
      <c r="E20285" t="str">
        <f>"RIDGELAND                 "</f>
        <v xml:space="preserve">RIDGELAND                 </v>
      </c>
      <c r="F20285" t="str">
        <f t="shared" si="480"/>
        <v>MS</v>
      </c>
    </row>
    <row r="20286" spans="1:6" x14ac:dyDescent="0.25">
      <c r="A20286" t="str">
        <f>"200025757"</f>
        <v>200025757</v>
      </c>
      <c r="B20286" t="str">
        <f>"1679719017"</f>
        <v>1679719017</v>
      </c>
      <c r="C20286" t="str">
        <f>"207ZP0102X"</f>
        <v>207ZP0102X</v>
      </c>
      <c r="D20286" t="str">
        <f>"OLGAARD                  ERICKA                   "</f>
        <v xml:space="preserve">OLGAARD                  ERICKA                   </v>
      </c>
      <c r="E20286" t="str">
        <f>"JACKSON                   "</f>
        <v xml:space="preserve">JACKSON                   </v>
      </c>
      <c r="F20286" t="str">
        <f t="shared" ref="F20286:F20349" si="481">"MS"</f>
        <v>MS</v>
      </c>
    </row>
    <row r="20287" spans="1:6" x14ac:dyDescent="0.25">
      <c r="A20287" t="str">
        <f>"200025760"</f>
        <v>200025760</v>
      </c>
      <c r="B20287" t="str">
        <f>"1194522144"</f>
        <v>1194522144</v>
      </c>
      <c r="C20287" t="str">
        <f>"363LF0000X"</f>
        <v>363LF0000X</v>
      </c>
      <c r="D20287" t="str">
        <f>"FERRELL                  TAMMY                    "</f>
        <v xml:space="preserve">FERRELL                  TAMMY                    </v>
      </c>
      <c r="E20287" t="str">
        <f>"CARRIERE                  "</f>
        <v xml:space="preserve">CARRIERE                  </v>
      </c>
      <c r="F20287" t="str">
        <f t="shared" si="481"/>
        <v>MS</v>
      </c>
    </row>
    <row r="20288" spans="1:6" x14ac:dyDescent="0.25">
      <c r="A20288" t="str">
        <f>"200025761"</f>
        <v>200025761</v>
      </c>
      <c r="B20288" t="str">
        <f>"1295477123"</f>
        <v>1295477123</v>
      </c>
      <c r="C20288" t="str">
        <f>"207R00000X"</f>
        <v>207R00000X</v>
      </c>
      <c r="D20288" t="str">
        <f>"SOMER                    DURR                     "</f>
        <v xml:space="preserve">SOMER                    DURR                     </v>
      </c>
      <c r="E20288" t="str">
        <f>"JACKSON                   "</f>
        <v xml:space="preserve">JACKSON                   </v>
      </c>
      <c r="F20288" t="str">
        <f t="shared" si="481"/>
        <v>MS</v>
      </c>
    </row>
    <row r="20289" spans="1:6" x14ac:dyDescent="0.25">
      <c r="A20289" t="str">
        <f>"200025762"</f>
        <v>200025762</v>
      </c>
      <c r="B20289" t="str">
        <f>"1275916462"</f>
        <v>1275916462</v>
      </c>
      <c r="C20289" t="str">
        <f>"207P00000X"</f>
        <v>207P00000X</v>
      </c>
      <c r="D20289" t="str">
        <f>"ARYA                     INDRA                    "</f>
        <v xml:space="preserve">ARYA                     INDRA                    </v>
      </c>
      <c r="E20289" t="str">
        <f>"MERIDIAN                  "</f>
        <v xml:space="preserve">MERIDIAN                  </v>
      </c>
      <c r="F20289" t="str">
        <f t="shared" si="481"/>
        <v>MS</v>
      </c>
    </row>
    <row r="20290" spans="1:6" x14ac:dyDescent="0.25">
      <c r="A20290" t="str">
        <f>"200025763"</f>
        <v>200025763</v>
      </c>
      <c r="B20290" t="str">
        <f>"1023851458"</f>
        <v>1023851458</v>
      </c>
      <c r="C20290" t="str">
        <f>"363L00000X"</f>
        <v>363L00000X</v>
      </c>
      <c r="D20290" t="str">
        <f>"DAVIS                    BREANNA      F           "</f>
        <v xml:space="preserve">DAVIS                    BREANNA      F           </v>
      </c>
      <c r="E20290" t="str">
        <f>"NEW ALBANY                "</f>
        <v xml:space="preserve">NEW ALBANY                </v>
      </c>
      <c r="F20290" t="str">
        <f t="shared" si="481"/>
        <v>MS</v>
      </c>
    </row>
    <row r="20291" spans="1:6" x14ac:dyDescent="0.25">
      <c r="A20291" t="str">
        <f>"200025766"</f>
        <v>200025766</v>
      </c>
      <c r="B20291" t="str">
        <f>"1679160915"</f>
        <v>1679160915</v>
      </c>
      <c r="C20291" t="str">
        <f>"363LF0000X"</f>
        <v>363LF0000X</v>
      </c>
      <c r="D20291" t="str">
        <f>"LOGAN                    KRISTINA                 "</f>
        <v xml:space="preserve">LOGAN                    KRISTINA                 </v>
      </c>
      <c r="E20291" t="str">
        <f>"RIDGELAND                 "</f>
        <v xml:space="preserve">RIDGELAND                 </v>
      </c>
      <c r="F20291" t="str">
        <f t="shared" si="481"/>
        <v>MS</v>
      </c>
    </row>
    <row r="20292" spans="1:6" x14ac:dyDescent="0.25">
      <c r="A20292" t="str">
        <f>"200025767"</f>
        <v>200025767</v>
      </c>
      <c r="B20292" t="str">
        <f>"1821047465"</f>
        <v>1821047465</v>
      </c>
      <c r="C20292" t="str">
        <f>"207RX0202X"</f>
        <v>207RX0202X</v>
      </c>
      <c r="D20292" t="str">
        <f>"DEAN-COLOMB              WINDY                    "</f>
        <v xml:space="preserve">DEAN-COLOMB              WINDY                    </v>
      </c>
      <c r="E20292" t="str">
        <f>"STARKVILLE                "</f>
        <v xml:space="preserve">STARKVILLE                </v>
      </c>
      <c r="F20292" t="str">
        <f t="shared" si="481"/>
        <v>MS</v>
      </c>
    </row>
    <row r="20293" spans="1:6" x14ac:dyDescent="0.25">
      <c r="A20293" t="str">
        <f>"200025768"</f>
        <v>200025768</v>
      </c>
      <c r="B20293" t="str">
        <f>"1811194772"</f>
        <v>1811194772</v>
      </c>
      <c r="C20293" t="str">
        <f>"208000000X"</f>
        <v>208000000X</v>
      </c>
      <c r="D20293" t="str">
        <f>"BELL                     JERICHO                  "</f>
        <v xml:space="preserve">BELL                     JERICHO                  </v>
      </c>
      <c r="E20293" t="str">
        <f>"GLUCKSTADT                "</f>
        <v xml:space="preserve">GLUCKSTADT                </v>
      </c>
      <c r="F20293" t="str">
        <f t="shared" si="481"/>
        <v>MS</v>
      </c>
    </row>
    <row r="20294" spans="1:6" x14ac:dyDescent="0.25">
      <c r="A20294" t="str">
        <f>"200025769"</f>
        <v>200025769</v>
      </c>
      <c r="B20294" t="str">
        <f>"1982265088"</f>
        <v>1982265088</v>
      </c>
      <c r="C20294" t="str">
        <f>"363LF0000X"</f>
        <v>363LF0000X</v>
      </c>
      <c r="D20294" t="str">
        <f>"ROANE                    SHAUNTA                  "</f>
        <v xml:space="preserve">ROANE                    SHAUNTA                  </v>
      </c>
      <c r="E20294" t="str">
        <f>"HORN LAKE                 "</f>
        <v xml:space="preserve">HORN LAKE                 </v>
      </c>
      <c r="F20294" t="str">
        <f t="shared" si="481"/>
        <v>MS</v>
      </c>
    </row>
    <row r="20295" spans="1:6" x14ac:dyDescent="0.25">
      <c r="A20295" t="str">
        <f>"200025778"</f>
        <v>200025778</v>
      </c>
      <c r="B20295" t="str">
        <f>"1912864380"</f>
        <v>1912864380</v>
      </c>
      <c r="C20295" t="str">
        <f>"363L00000X"</f>
        <v>363L00000X</v>
      </c>
      <c r="D20295" t="str">
        <f>"TRUSSELL                 MATTHEW                  "</f>
        <v xml:space="preserve">TRUSSELL                 MATTHEW                  </v>
      </c>
      <c r="E20295" t="str">
        <f>"NATCHEZ                   "</f>
        <v xml:space="preserve">NATCHEZ                   </v>
      </c>
      <c r="F20295" t="str">
        <f t="shared" si="481"/>
        <v>MS</v>
      </c>
    </row>
    <row r="20296" spans="1:6" x14ac:dyDescent="0.25">
      <c r="A20296" t="str">
        <f>"200025782"</f>
        <v>200025782</v>
      </c>
      <c r="B20296" t="str">
        <f>"1275114878"</f>
        <v>1275114878</v>
      </c>
      <c r="C20296" t="str">
        <f>"207P00000X"</f>
        <v>207P00000X</v>
      </c>
      <c r="D20296" t="str">
        <f>"SHORTER                  TAJ                      "</f>
        <v xml:space="preserve">SHORTER                  TAJ                      </v>
      </c>
      <c r="E20296" t="str">
        <f>"OCEAN SPRINGS             "</f>
        <v xml:space="preserve">OCEAN SPRINGS             </v>
      </c>
      <c r="F20296" t="str">
        <f t="shared" si="481"/>
        <v>MS</v>
      </c>
    </row>
    <row r="20297" spans="1:6" x14ac:dyDescent="0.25">
      <c r="A20297" t="str">
        <f>"200025786"</f>
        <v>200025786</v>
      </c>
      <c r="B20297" t="str">
        <f>"1790479871"</f>
        <v>1790479871</v>
      </c>
      <c r="C20297" t="str">
        <f>"363L00000X"</f>
        <v>363L00000X</v>
      </c>
      <c r="D20297" t="str">
        <f>"SUMMERS                  MCKENZIE                 "</f>
        <v xml:space="preserve">SUMMERS                  MCKENZIE                 </v>
      </c>
      <c r="E20297" t="str">
        <f>"RIDGELAND                 "</f>
        <v xml:space="preserve">RIDGELAND                 </v>
      </c>
      <c r="F20297" t="str">
        <f t="shared" si="481"/>
        <v>MS</v>
      </c>
    </row>
    <row r="20298" spans="1:6" x14ac:dyDescent="0.25">
      <c r="A20298" t="str">
        <f>"200025789"</f>
        <v>200025789</v>
      </c>
      <c r="B20298" t="str">
        <f>"1902523483"</f>
        <v>1902523483</v>
      </c>
      <c r="C20298" t="str">
        <f>"363LF0000X"</f>
        <v>363LF0000X</v>
      </c>
      <c r="D20298" t="str">
        <f>"LINDSAY                  TAMEKIA                  "</f>
        <v xml:space="preserve">LINDSAY                  TAMEKIA                  </v>
      </c>
      <c r="E20298" t="str">
        <f>"HORN LAKE                 "</f>
        <v xml:space="preserve">HORN LAKE                 </v>
      </c>
      <c r="F20298" t="str">
        <f t="shared" si="481"/>
        <v>MS</v>
      </c>
    </row>
    <row r="20299" spans="1:6" x14ac:dyDescent="0.25">
      <c r="A20299" t="str">
        <f>"200025793"</f>
        <v>200025793</v>
      </c>
      <c r="B20299" t="str">
        <f>"1205630985"</f>
        <v>1205630985</v>
      </c>
      <c r="C20299" t="str">
        <f>"208000000X"</f>
        <v>208000000X</v>
      </c>
      <c r="D20299" t="str">
        <f>"COLLINS                  CORTNEY                  "</f>
        <v xml:space="preserve">COLLINS                  CORTNEY                  </v>
      </c>
      <c r="E20299" t="str">
        <f>"JACKSON                   "</f>
        <v xml:space="preserve">JACKSON                   </v>
      </c>
      <c r="F20299" t="str">
        <f t="shared" si="481"/>
        <v>MS</v>
      </c>
    </row>
    <row r="20300" spans="1:6" x14ac:dyDescent="0.25">
      <c r="A20300" t="str">
        <f>"200025798"</f>
        <v>200025798</v>
      </c>
      <c r="B20300" t="str">
        <f>"1982678017"</f>
        <v>1982678017</v>
      </c>
      <c r="C20300" t="str">
        <f>"207R00000X"</f>
        <v>207R00000X</v>
      </c>
      <c r="D20300" t="str">
        <f>"TU                       JOHN         F           "</f>
        <v xml:space="preserve">TU                       JOHN         F           </v>
      </c>
      <c r="E20300" t="str">
        <f>"RIDGELAND                 "</f>
        <v xml:space="preserve">RIDGELAND                 </v>
      </c>
      <c r="F20300" t="str">
        <f t="shared" si="481"/>
        <v>MS</v>
      </c>
    </row>
    <row r="20301" spans="1:6" x14ac:dyDescent="0.25">
      <c r="A20301" t="str">
        <f>"200025802"</f>
        <v>200025802</v>
      </c>
      <c r="B20301" t="str">
        <f>"1487545554"</f>
        <v>1487545554</v>
      </c>
      <c r="C20301" t="str">
        <f>"363LP0200X"</f>
        <v>363LP0200X</v>
      </c>
      <c r="D20301" t="str">
        <f>"BENAVIDEZ                MARY         K           "</f>
        <v xml:space="preserve">BENAVIDEZ                MARY         K           </v>
      </c>
      <c r="E20301" t="str">
        <f>"SALTILLO                  "</f>
        <v xml:space="preserve">SALTILLO                  </v>
      </c>
      <c r="F20301" t="str">
        <f t="shared" si="481"/>
        <v>MS</v>
      </c>
    </row>
    <row r="20302" spans="1:6" x14ac:dyDescent="0.25">
      <c r="A20302" t="str">
        <f>"200025807"</f>
        <v>200025807</v>
      </c>
      <c r="B20302" t="str">
        <f>"1427890466"</f>
        <v>1427890466</v>
      </c>
      <c r="C20302" t="str">
        <f>"261QA1903X"</f>
        <v>261QA1903X</v>
      </c>
      <c r="D20302" t="str">
        <f>"MISSISSIPPI BAPTIST SURGERY CENTER                "</f>
        <v xml:space="preserve">MISSISSIPPI BAPTIST SURGERY CENTER                </v>
      </c>
      <c r="E20302" t="str">
        <f>"MADISON                   "</f>
        <v xml:space="preserve">MADISON                   </v>
      </c>
      <c r="F20302" t="str">
        <f t="shared" si="481"/>
        <v>MS</v>
      </c>
    </row>
    <row r="20303" spans="1:6" x14ac:dyDescent="0.25">
      <c r="A20303" t="str">
        <f>"200025810"</f>
        <v>200025810</v>
      </c>
      <c r="B20303" t="str">
        <f>"1962372581"</f>
        <v>1962372581</v>
      </c>
      <c r="C20303" t="str">
        <f>"363LP0808X"</f>
        <v>363LP0808X</v>
      </c>
      <c r="D20303" t="str">
        <f>"GOSS                     PAYTON                   "</f>
        <v xml:space="preserve">GOSS                     PAYTON                   </v>
      </c>
      <c r="E20303" t="str">
        <f>"CARROLLTON                "</f>
        <v xml:space="preserve">CARROLLTON                </v>
      </c>
      <c r="F20303" t="str">
        <f t="shared" si="481"/>
        <v>MS</v>
      </c>
    </row>
    <row r="20304" spans="1:6" x14ac:dyDescent="0.25">
      <c r="A20304" t="str">
        <f>"200025812"</f>
        <v>200025812</v>
      </c>
      <c r="B20304" t="str">
        <f>"1053756254"</f>
        <v>1053756254</v>
      </c>
      <c r="C20304" t="str">
        <f>"207Q00000X"</f>
        <v>207Q00000X</v>
      </c>
      <c r="D20304" t="str">
        <f>"FERNANDO                 HARENDRA                 "</f>
        <v xml:space="preserve">FERNANDO                 HARENDRA                 </v>
      </c>
      <c r="E20304" t="str">
        <f>"RIDGELAND                 "</f>
        <v xml:space="preserve">RIDGELAND                 </v>
      </c>
      <c r="F20304" t="str">
        <f t="shared" si="481"/>
        <v>MS</v>
      </c>
    </row>
    <row r="20305" spans="1:6" x14ac:dyDescent="0.25">
      <c r="A20305" t="str">
        <f>"200025814"</f>
        <v>200025814</v>
      </c>
      <c r="B20305" t="str">
        <f>"1659057040"</f>
        <v>1659057040</v>
      </c>
      <c r="C20305" t="str">
        <f>"363LP0808X"</f>
        <v>363LP0808X</v>
      </c>
      <c r="D20305" t="str">
        <f>"DAVIS                    JADA                     "</f>
        <v xml:space="preserve">DAVIS                    JADA                     </v>
      </c>
      <c r="E20305" t="str">
        <f>"VICKSBURG                 "</f>
        <v xml:space="preserve">VICKSBURG                 </v>
      </c>
      <c r="F20305" t="str">
        <f t="shared" si="481"/>
        <v>MS</v>
      </c>
    </row>
    <row r="20306" spans="1:6" x14ac:dyDescent="0.25">
      <c r="A20306" t="str">
        <f>"200025819"</f>
        <v>200025819</v>
      </c>
      <c r="B20306" t="str">
        <f>"1912860032"</f>
        <v>1912860032</v>
      </c>
      <c r="C20306" t="str">
        <f>"367500000X"</f>
        <v>367500000X</v>
      </c>
      <c r="D20306" t="str">
        <f>"CRAVEN                   ASHLEY       M           "</f>
        <v xml:space="preserve">CRAVEN                   ASHLEY       M           </v>
      </c>
      <c r="E20306" t="str">
        <f>"HATTIESBURG               "</f>
        <v xml:space="preserve">HATTIESBURG               </v>
      </c>
      <c r="F20306" t="str">
        <f t="shared" si="481"/>
        <v>MS</v>
      </c>
    </row>
    <row r="20307" spans="1:6" x14ac:dyDescent="0.25">
      <c r="A20307" t="str">
        <f>"200025820"</f>
        <v>200025820</v>
      </c>
      <c r="B20307" t="str">
        <f>"1013433127"</f>
        <v>1013433127</v>
      </c>
      <c r="C20307" t="str">
        <f>"363LF0000X"</f>
        <v>363LF0000X</v>
      </c>
      <c r="D20307" t="str">
        <f>"LEWIS                    MARGARET                 "</f>
        <v xml:space="preserve">LEWIS                    MARGARET                 </v>
      </c>
      <c r="E20307" t="str">
        <f>"RIDGELAND                 "</f>
        <v xml:space="preserve">RIDGELAND                 </v>
      </c>
      <c r="F20307" t="str">
        <f t="shared" si="481"/>
        <v>MS</v>
      </c>
    </row>
    <row r="20308" spans="1:6" x14ac:dyDescent="0.25">
      <c r="A20308" t="str">
        <f>"200025822"</f>
        <v>200025822</v>
      </c>
      <c r="B20308" t="str">
        <f>"1184593931"</f>
        <v>1184593931</v>
      </c>
      <c r="C20308" t="str">
        <f>"367500000X"</f>
        <v>367500000X</v>
      </c>
      <c r="D20308" t="str">
        <f>"SYKES                    MICHAEL                  "</f>
        <v xml:space="preserve">SYKES                    MICHAEL                  </v>
      </c>
      <c r="E20308" t="str">
        <f>"GREENWOOD                 "</f>
        <v xml:space="preserve">GREENWOOD                 </v>
      </c>
      <c r="F20308" t="str">
        <f t="shared" si="481"/>
        <v>MS</v>
      </c>
    </row>
    <row r="20309" spans="1:6" x14ac:dyDescent="0.25">
      <c r="A20309" t="str">
        <f>"200025825"</f>
        <v>200025825</v>
      </c>
      <c r="B20309" t="str">
        <f>"1982610572"</f>
        <v>1982610572</v>
      </c>
      <c r="C20309" t="str">
        <f>"261QM0801X"</f>
        <v>261QM0801X</v>
      </c>
      <c r="D20309" t="str">
        <f>"PINE BELT MENTAL HEALTHCARE RESOURCES             "</f>
        <v xml:space="preserve">PINE BELT MENTAL HEALTHCARE RESOURCES             </v>
      </c>
      <c r="E20309" t="str">
        <f>"MONTICELLO                "</f>
        <v xml:space="preserve">MONTICELLO                </v>
      </c>
      <c r="F20309" t="str">
        <f t="shared" si="481"/>
        <v>MS</v>
      </c>
    </row>
    <row r="20310" spans="1:6" x14ac:dyDescent="0.25">
      <c r="A20310" t="str">
        <f>"200025829"</f>
        <v>200025829</v>
      </c>
      <c r="B20310" t="str">
        <f>"1134330822"</f>
        <v>1134330822</v>
      </c>
      <c r="C20310" t="str">
        <f>"207RG0100X"</f>
        <v>207RG0100X</v>
      </c>
      <c r="D20310" t="str">
        <f>"WEEKS                    ERNEST                   "</f>
        <v xml:space="preserve">WEEKS                    ERNEST                   </v>
      </c>
      <c r="E20310" t="str">
        <f>"JACKSON                   "</f>
        <v xml:space="preserve">JACKSON                   </v>
      </c>
      <c r="F20310" t="str">
        <f t="shared" si="481"/>
        <v>MS</v>
      </c>
    </row>
    <row r="20311" spans="1:6" x14ac:dyDescent="0.25">
      <c r="A20311" t="str">
        <f>"200025832"</f>
        <v>200025832</v>
      </c>
      <c r="B20311" t="str">
        <f>"1982610572"</f>
        <v>1982610572</v>
      </c>
      <c r="C20311" t="str">
        <f>"261QM0801X"</f>
        <v>261QM0801X</v>
      </c>
      <c r="D20311" t="str">
        <f>"PINE BELT MENTAL HEALTHCARE RESOURCES             "</f>
        <v xml:space="preserve">PINE BELT MENTAL HEALTHCARE RESOURCES             </v>
      </c>
      <c r="E20311" t="str">
        <f>"COLUMBIA                  "</f>
        <v xml:space="preserve">COLUMBIA                  </v>
      </c>
      <c r="F20311" t="str">
        <f t="shared" si="481"/>
        <v>MS</v>
      </c>
    </row>
    <row r="20312" spans="1:6" x14ac:dyDescent="0.25">
      <c r="A20312" t="str">
        <f>"200025833"</f>
        <v>200025833</v>
      </c>
      <c r="B20312" t="str">
        <f>"1982610572"</f>
        <v>1982610572</v>
      </c>
      <c r="C20312" t="str">
        <f>"261QM0801X"</f>
        <v>261QM0801X</v>
      </c>
      <c r="D20312" t="str">
        <f>"PINE BELT MENTAL HEALTHCARE RESOURCES             "</f>
        <v xml:space="preserve">PINE BELT MENTAL HEALTHCARE RESOURCES             </v>
      </c>
      <c r="E20312" t="str">
        <f>"MOSELLE                   "</f>
        <v xml:space="preserve">MOSELLE                   </v>
      </c>
      <c r="F20312" t="str">
        <f t="shared" si="481"/>
        <v>MS</v>
      </c>
    </row>
    <row r="20313" spans="1:6" x14ac:dyDescent="0.25">
      <c r="A20313" t="str">
        <f>"200025836"</f>
        <v>200025836</v>
      </c>
      <c r="B20313" t="str">
        <f>"1982610572"</f>
        <v>1982610572</v>
      </c>
      <c r="C20313" t="str">
        <f>"261QM0801X"</f>
        <v>261QM0801X</v>
      </c>
      <c r="D20313" t="str">
        <f>"PINE BELT MENTAL HEALTHCARE RESOURCES             "</f>
        <v xml:space="preserve">PINE BELT MENTAL HEALTHCARE RESOURCES             </v>
      </c>
      <c r="E20313" t="str">
        <f>"LAUREL                    "</f>
        <v xml:space="preserve">LAUREL                    </v>
      </c>
      <c r="F20313" t="str">
        <f t="shared" si="481"/>
        <v>MS</v>
      </c>
    </row>
    <row r="20314" spans="1:6" x14ac:dyDescent="0.25">
      <c r="A20314" t="str">
        <f>"200025837"</f>
        <v>200025837</v>
      </c>
      <c r="B20314" t="str">
        <f>"1982610572"</f>
        <v>1982610572</v>
      </c>
      <c r="C20314" t="str">
        <f>"261QM0801X"</f>
        <v>261QM0801X</v>
      </c>
      <c r="D20314" t="str">
        <f>"PINE BELT MENTAL HEALTHCARE RESOURCES             "</f>
        <v xml:space="preserve">PINE BELT MENTAL HEALTHCARE RESOURCES             </v>
      </c>
      <c r="E20314" t="str">
        <f>"LEAKESVILLE               "</f>
        <v xml:space="preserve">LEAKESVILLE               </v>
      </c>
      <c r="F20314" t="str">
        <f t="shared" si="481"/>
        <v>MS</v>
      </c>
    </row>
    <row r="20315" spans="1:6" x14ac:dyDescent="0.25">
      <c r="A20315" t="str">
        <f>"200025838"</f>
        <v>200025838</v>
      </c>
      <c r="B20315" t="str">
        <f>"1982610572"</f>
        <v>1982610572</v>
      </c>
      <c r="C20315" t="str">
        <f>"261QM0801X"</f>
        <v>261QM0801X</v>
      </c>
      <c r="D20315" t="str">
        <f>"PINE BELT MENTAL HEALTHCARE RESOURCES             "</f>
        <v xml:space="preserve">PINE BELT MENTAL HEALTHCARE RESOURCES             </v>
      </c>
      <c r="E20315" t="str">
        <f>"ELLISVILLE                "</f>
        <v xml:space="preserve">ELLISVILLE                </v>
      </c>
      <c r="F20315" t="str">
        <f t="shared" si="481"/>
        <v>MS</v>
      </c>
    </row>
    <row r="20316" spans="1:6" x14ac:dyDescent="0.25">
      <c r="A20316" t="str">
        <f>"200025848"</f>
        <v>200025848</v>
      </c>
      <c r="B20316" t="str">
        <f>"1932095718"</f>
        <v>1932095718</v>
      </c>
      <c r="C20316" t="str">
        <f>"261QF0400X"</f>
        <v>261QF0400X</v>
      </c>
      <c r="D20316" t="str">
        <f>"G A CARMICHAEL FAMILY HEALTH CENTER               "</f>
        <v xml:space="preserve">G A CARMICHAEL FAMILY HEALTH CENTER               </v>
      </c>
      <c r="E20316" t="str">
        <f>"GREENWOOD                 "</f>
        <v xml:space="preserve">GREENWOOD                 </v>
      </c>
      <c r="F20316" t="str">
        <f t="shared" si="481"/>
        <v>MS</v>
      </c>
    </row>
    <row r="20317" spans="1:6" x14ac:dyDescent="0.25">
      <c r="A20317" t="str">
        <f>"200025851"</f>
        <v>200025851</v>
      </c>
      <c r="B20317" t="str">
        <f>"1790102788"</f>
        <v>1790102788</v>
      </c>
      <c r="C20317" t="str">
        <f>"2080P0006X"</f>
        <v>2080P0006X</v>
      </c>
      <c r="D20317" t="str">
        <f>"ROSSOW                   KATELYN                  "</f>
        <v xml:space="preserve">ROSSOW                   KATELYN                  </v>
      </c>
      <c r="E20317" t="str">
        <f>"JACKSON                   "</f>
        <v xml:space="preserve">JACKSON                   </v>
      </c>
      <c r="F20317" t="str">
        <f t="shared" si="481"/>
        <v>MS</v>
      </c>
    </row>
    <row r="20318" spans="1:6" x14ac:dyDescent="0.25">
      <c r="A20318" t="str">
        <f>"200025854"</f>
        <v>200025854</v>
      </c>
      <c r="B20318" t="str">
        <f>"1154135911"</f>
        <v>1154135911</v>
      </c>
      <c r="C20318" t="str">
        <f>"261QE0700X"</f>
        <v>261QE0700X</v>
      </c>
      <c r="D20318" t="str">
        <f>"FRESENIUS MEDICAL CARE GREENVILLE HOME LLC        "</f>
        <v xml:space="preserve">FRESENIUS MEDICAL CARE GREENVILLE HOME LLC        </v>
      </c>
      <c r="E20318" t="str">
        <f>"GREENVILLE                "</f>
        <v xml:space="preserve">GREENVILLE                </v>
      </c>
      <c r="F20318" t="str">
        <f t="shared" si="481"/>
        <v>MS</v>
      </c>
    </row>
    <row r="20319" spans="1:6" x14ac:dyDescent="0.25">
      <c r="A20319" t="str">
        <f>"200025855"</f>
        <v>200025855</v>
      </c>
      <c r="B20319" t="str">
        <f>"1669248522"</f>
        <v>1669248522</v>
      </c>
      <c r="C20319" t="str">
        <f>"363L00000X"</f>
        <v>363L00000X</v>
      </c>
      <c r="D20319" t="str">
        <f>"AGOSTINELLI              LAUREN                   "</f>
        <v xml:space="preserve">AGOSTINELLI              LAUREN                   </v>
      </c>
      <c r="E20319" t="str">
        <f>"CLARKSDALE                "</f>
        <v xml:space="preserve">CLARKSDALE                </v>
      </c>
      <c r="F20319" t="str">
        <f t="shared" si="481"/>
        <v>MS</v>
      </c>
    </row>
    <row r="20320" spans="1:6" x14ac:dyDescent="0.25">
      <c r="A20320" t="str">
        <f>"200025859"</f>
        <v>200025859</v>
      </c>
      <c r="B20320" t="str">
        <f>"1053280305"</f>
        <v>1053280305</v>
      </c>
      <c r="C20320" t="str">
        <f>"363L00000X"</f>
        <v>363L00000X</v>
      </c>
      <c r="D20320" t="str">
        <f>"TAYLOR-ROSS              AQUARIUS                 "</f>
        <v xml:space="preserve">TAYLOR-ROSS              AQUARIUS                 </v>
      </c>
      <c r="E20320" t="str">
        <f>"HERNANDO                  "</f>
        <v xml:space="preserve">HERNANDO                  </v>
      </c>
      <c r="F20320" t="str">
        <f t="shared" si="481"/>
        <v>MS</v>
      </c>
    </row>
    <row r="20321" spans="1:6" x14ac:dyDescent="0.25">
      <c r="A20321" t="str">
        <f>"200025867"</f>
        <v>200025867</v>
      </c>
      <c r="B20321" t="str">
        <f>"1861856668"</f>
        <v>1861856668</v>
      </c>
      <c r="C20321" t="str">
        <f>"207RC0000X"</f>
        <v>207RC0000X</v>
      </c>
      <c r="D20321" t="str">
        <f>"SABHARWAL                ADITYA                   "</f>
        <v xml:space="preserve">SABHARWAL                ADITYA                   </v>
      </c>
      <c r="E20321" t="str">
        <f>"JACKSON                   "</f>
        <v xml:space="preserve">JACKSON                   </v>
      </c>
      <c r="F20321" t="str">
        <f t="shared" si="481"/>
        <v>MS</v>
      </c>
    </row>
    <row r="20322" spans="1:6" x14ac:dyDescent="0.25">
      <c r="A20322" t="str">
        <f>"200025868"</f>
        <v>200025868</v>
      </c>
      <c r="B20322" t="str">
        <f>"1912205998"</f>
        <v>1912205998</v>
      </c>
      <c r="C20322" t="str">
        <f>"363LN0000X"</f>
        <v>363LN0000X</v>
      </c>
      <c r="D20322" t="str">
        <f>"ANZOLA                   YAKELIS                  "</f>
        <v xml:space="preserve">ANZOLA                   YAKELIS                  </v>
      </c>
      <c r="E20322" t="str">
        <f>"JACKSON                   "</f>
        <v xml:space="preserve">JACKSON                   </v>
      </c>
      <c r="F20322" t="str">
        <f t="shared" si="481"/>
        <v>MS</v>
      </c>
    </row>
    <row r="20323" spans="1:6" x14ac:dyDescent="0.25">
      <c r="A20323" t="str">
        <f>"200025870"</f>
        <v>200025870</v>
      </c>
      <c r="B20323" t="str">
        <f>"1982610572"</f>
        <v>1982610572</v>
      </c>
      <c r="C20323" t="str">
        <f>"261QM0801X"</f>
        <v>261QM0801X</v>
      </c>
      <c r="D20323" t="str">
        <f>"PINE BELT MENTAL HEALTHCARE RESOURCES             "</f>
        <v xml:space="preserve">PINE BELT MENTAL HEALTHCARE RESOURCES             </v>
      </c>
      <c r="E20323" t="str">
        <f>"WAYNESBORO                "</f>
        <v xml:space="preserve">WAYNESBORO                </v>
      </c>
      <c r="F20323" t="str">
        <f t="shared" si="481"/>
        <v>MS</v>
      </c>
    </row>
    <row r="20324" spans="1:6" x14ac:dyDescent="0.25">
      <c r="A20324" t="str">
        <f>"200025872"</f>
        <v>200025872</v>
      </c>
      <c r="B20324" t="str">
        <f>"1982610572"</f>
        <v>1982610572</v>
      </c>
      <c r="C20324" t="str">
        <f>"261QM0801X"</f>
        <v>261QM0801X</v>
      </c>
      <c r="D20324" t="str">
        <f>"PINE BELT MENTAL HEALTHCARE RESOURCES             "</f>
        <v xml:space="preserve">PINE BELT MENTAL HEALTHCARE RESOURCES             </v>
      </c>
      <c r="E20324" t="str">
        <f>"LAUREL                    "</f>
        <v xml:space="preserve">LAUREL                    </v>
      </c>
      <c r="F20324" t="str">
        <f t="shared" si="481"/>
        <v>MS</v>
      </c>
    </row>
    <row r="20325" spans="1:6" x14ac:dyDescent="0.25">
      <c r="A20325" t="str">
        <f>"200025880"</f>
        <v>200025880</v>
      </c>
      <c r="B20325" t="str">
        <f>"1851824700"</f>
        <v>1851824700</v>
      </c>
      <c r="C20325" t="str">
        <f>"208M00000X"</f>
        <v>208M00000X</v>
      </c>
      <c r="D20325" t="str">
        <f>"BENOIT                   JANEEKA                  "</f>
        <v xml:space="preserve">BENOIT                   JANEEKA                  </v>
      </c>
      <c r="E20325" t="str">
        <f>"HATTIESBURG               "</f>
        <v xml:space="preserve">HATTIESBURG               </v>
      </c>
      <c r="F20325" t="str">
        <f t="shared" si="481"/>
        <v>MS</v>
      </c>
    </row>
    <row r="20326" spans="1:6" x14ac:dyDescent="0.25">
      <c r="A20326" t="str">
        <f>"200025881"</f>
        <v>200025881</v>
      </c>
      <c r="B20326" t="str">
        <f>"1437012556"</f>
        <v>1437012556</v>
      </c>
      <c r="C20326" t="str">
        <f>"367500000X"</f>
        <v>367500000X</v>
      </c>
      <c r="D20326" t="str">
        <f>"GRAY                     MARLI        M           "</f>
        <v xml:space="preserve">GRAY                     MARLI        M           </v>
      </c>
      <c r="E20326" t="str">
        <f>"HATTIESBURG               "</f>
        <v xml:space="preserve">HATTIESBURG               </v>
      </c>
      <c r="F20326" t="str">
        <f t="shared" si="481"/>
        <v>MS</v>
      </c>
    </row>
    <row r="20327" spans="1:6" x14ac:dyDescent="0.25">
      <c r="A20327" t="str">
        <f>"200025891"</f>
        <v>200025891</v>
      </c>
      <c r="B20327" t="str">
        <f>"1760026561"</f>
        <v>1760026561</v>
      </c>
      <c r="C20327" t="str">
        <f>"367A00000X"</f>
        <v>367A00000X</v>
      </c>
      <c r="D20327" t="str">
        <f>"HALL                     MONICA                   "</f>
        <v xml:space="preserve">HALL                     MONICA                   </v>
      </c>
      <c r="E20327" t="str">
        <f>"RIDGELAND                 "</f>
        <v xml:space="preserve">RIDGELAND                 </v>
      </c>
      <c r="F20327" t="str">
        <f t="shared" si="481"/>
        <v>MS</v>
      </c>
    </row>
    <row r="20328" spans="1:6" x14ac:dyDescent="0.25">
      <c r="A20328" t="str">
        <f>"200025893"</f>
        <v>200025893</v>
      </c>
      <c r="B20328" t="str">
        <f>"1861957631"</f>
        <v>1861957631</v>
      </c>
      <c r="C20328" t="str">
        <f>"363LF0000X"</f>
        <v>363LF0000X</v>
      </c>
      <c r="D20328" t="str">
        <f>"DEDEAUX                  TOMIKA                   "</f>
        <v xml:space="preserve">DEDEAUX                  TOMIKA                   </v>
      </c>
      <c r="E20328" t="str">
        <f>"BILOXI                    "</f>
        <v xml:space="preserve">BILOXI                    </v>
      </c>
      <c r="F20328" t="str">
        <f t="shared" si="481"/>
        <v>MS</v>
      </c>
    </row>
    <row r="20329" spans="1:6" x14ac:dyDescent="0.25">
      <c r="A20329" t="str">
        <f>"200025909"</f>
        <v>200025909</v>
      </c>
      <c r="B20329" t="str">
        <f>"1487236295"</f>
        <v>1487236295</v>
      </c>
      <c r="C20329" t="str">
        <f>"208000000X"</f>
        <v>208000000X</v>
      </c>
      <c r="D20329" t="str">
        <f>"JOHNSON                  KELLY                    "</f>
        <v xml:space="preserve">JOHNSON                  KELLY                    </v>
      </c>
      <c r="E20329" t="str">
        <f>"LONG BEACH                "</f>
        <v xml:space="preserve">LONG BEACH                </v>
      </c>
      <c r="F20329" t="str">
        <f t="shared" si="481"/>
        <v>MS</v>
      </c>
    </row>
    <row r="20330" spans="1:6" x14ac:dyDescent="0.25">
      <c r="A20330" t="str">
        <f>"200025915"</f>
        <v>200025915</v>
      </c>
      <c r="B20330" t="str">
        <f>"1780180471"</f>
        <v>1780180471</v>
      </c>
      <c r="C20330" t="str">
        <f>"207P00000X"</f>
        <v>207P00000X</v>
      </c>
      <c r="D20330" t="str">
        <f>"WESTON                   STUART                   "</f>
        <v xml:space="preserve">WESTON                   STUART                   </v>
      </c>
      <c r="E20330" t="str">
        <f>"GULFPORT                  "</f>
        <v xml:space="preserve">GULFPORT                  </v>
      </c>
      <c r="F20330" t="str">
        <f t="shared" si="481"/>
        <v>MS</v>
      </c>
    </row>
    <row r="20331" spans="1:6" x14ac:dyDescent="0.25">
      <c r="A20331" t="str">
        <f>"200025919"</f>
        <v>200025919</v>
      </c>
      <c r="B20331" t="str">
        <f>"1689925893"</f>
        <v>1689925893</v>
      </c>
      <c r="C20331" t="str">
        <f>"363L00000X"</f>
        <v>363L00000X</v>
      </c>
      <c r="D20331" t="str">
        <f>"LEE                      REGINA                   "</f>
        <v xml:space="preserve">LEE                      REGINA                   </v>
      </c>
      <c r="E20331" t="str">
        <f>"COLLINS                   "</f>
        <v xml:space="preserve">COLLINS                   </v>
      </c>
      <c r="F20331" t="str">
        <f t="shared" si="481"/>
        <v>MS</v>
      </c>
    </row>
    <row r="20332" spans="1:6" x14ac:dyDescent="0.25">
      <c r="A20332" t="str">
        <f>"200025921"</f>
        <v>200025921</v>
      </c>
      <c r="B20332" t="str">
        <f>"1427565076"</f>
        <v>1427565076</v>
      </c>
      <c r="C20332" t="str">
        <f>"363LF0000X"</f>
        <v>363LF0000X</v>
      </c>
      <c r="D20332" t="str">
        <f>"GLOVER                   JESSICA                  "</f>
        <v xml:space="preserve">GLOVER                   JESSICA                  </v>
      </c>
      <c r="E20332" t="str">
        <f>"IUKA                      "</f>
        <v xml:space="preserve">IUKA                      </v>
      </c>
      <c r="F20332" t="str">
        <f t="shared" si="481"/>
        <v>MS</v>
      </c>
    </row>
    <row r="20333" spans="1:6" x14ac:dyDescent="0.25">
      <c r="A20333" t="str">
        <f>"200025923"</f>
        <v>200025923</v>
      </c>
      <c r="B20333" t="str">
        <f>"1386518603"</f>
        <v>1386518603</v>
      </c>
      <c r="C20333" t="str">
        <f>"363LF0000X"</f>
        <v>363LF0000X</v>
      </c>
      <c r="D20333" t="str">
        <f>"HOOKER                   AMY                      "</f>
        <v xml:space="preserve">HOOKER                   AMY                      </v>
      </c>
      <c r="E20333" t="str">
        <f>"PEARL                     "</f>
        <v xml:space="preserve">PEARL                     </v>
      </c>
      <c r="F20333" t="str">
        <f t="shared" si="481"/>
        <v>MS</v>
      </c>
    </row>
    <row r="20334" spans="1:6" x14ac:dyDescent="0.25">
      <c r="A20334" t="str">
        <f>"200025924"</f>
        <v>200025924</v>
      </c>
      <c r="B20334" t="str">
        <f>"1215975792"</f>
        <v>1215975792</v>
      </c>
      <c r="C20334" t="str">
        <f>"207Q00000X"</f>
        <v>207Q00000X</v>
      </c>
      <c r="D20334" t="str">
        <f>"BIBB                     MICHAEL                  "</f>
        <v xml:space="preserve">BIBB                     MICHAEL                  </v>
      </c>
      <c r="E20334" t="str">
        <f>"NEW ALBANY                "</f>
        <v xml:space="preserve">NEW ALBANY                </v>
      </c>
      <c r="F20334" t="str">
        <f t="shared" si="481"/>
        <v>MS</v>
      </c>
    </row>
    <row r="20335" spans="1:6" x14ac:dyDescent="0.25">
      <c r="A20335" t="str">
        <f>"200025932"</f>
        <v>200025932</v>
      </c>
      <c r="B20335" t="str">
        <f>"1558381228"</f>
        <v>1558381228</v>
      </c>
      <c r="C20335" t="str">
        <f>"367A00000X"</f>
        <v>367A00000X</v>
      </c>
      <c r="D20335" t="str">
        <f>"TATE                     EBONY                    "</f>
        <v xml:space="preserve">TATE                     EBONY                    </v>
      </c>
      <c r="E20335" t="str">
        <f>"RIDGELAND                 "</f>
        <v xml:space="preserve">RIDGELAND                 </v>
      </c>
      <c r="F20335" t="str">
        <f t="shared" si="481"/>
        <v>MS</v>
      </c>
    </row>
    <row r="20336" spans="1:6" x14ac:dyDescent="0.25">
      <c r="A20336" t="str">
        <f>"200025937"</f>
        <v>200025937</v>
      </c>
      <c r="B20336" t="str">
        <f>"1982610572"</f>
        <v>1982610572</v>
      </c>
      <c r="C20336" t="str">
        <f>"261QM0801X"</f>
        <v>261QM0801X</v>
      </c>
      <c r="D20336" t="str">
        <f>"PINE BELT MENTAL HEALTHCARE RESOURCES             "</f>
        <v xml:space="preserve">PINE BELT MENTAL HEALTHCARE RESOURCES             </v>
      </c>
      <c r="E20336" t="str">
        <f>"LAUREL                    "</f>
        <v xml:space="preserve">LAUREL                    </v>
      </c>
      <c r="F20336" t="str">
        <f t="shared" si="481"/>
        <v>MS</v>
      </c>
    </row>
    <row r="20337" spans="1:6" x14ac:dyDescent="0.25">
      <c r="A20337" t="str">
        <f>"200025939"</f>
        <v>200025939</v>
      </c>
      <c r="B20337" t="str">
        <f>"1437590882"</f>
        <v>1437590882</v>
      </c>
      <c r="C20337" t="str">
        <f>"207X00000X"</f>
        <v>207X00000X</v>
      </c>
      <c r="D20337" t="str">
        <f>"JOHNSON                  NATHAN                   "</f>
        <v xml:space="preserve">JOHNSON                  NATHAN                   </v>
      </c>
      <c r="E20337" t="str">
        <f>"MADISON                   "</f>
        <v xml:space="preserve">MADISON                   </v>
      </c>
      <c r="F20337" t="str">
        <f t="shared" si="481"/>
        <v>MS</v>
      </c>
    </row>
    <row r="20338" spans="1:6" x14ac:dyDescent="0.25">
      <c r="A20338" t="str">
        <f>"200025944"</f>
        <v>200025944</v>
      </c>
      <c r="B20338" t="str">
        <f>"1477373512"</f>
        <v>1477373512</v>
      </c>
      <c r="C20338" t="str">
        <f>"363LP0808X"</f>
        <v>363LP0808X</v>
      </c>
      <c r="D20338" t="str">
        <f>"HILDEBRANT               HEATHER                  "</f>
        <v xml:space="preserve">HILDEBRANT               HEATHER                  </v>
      </c>
      <c r="E20338" t="str">
        <f>"OLIVE BRANCH              "</f>
        <v xml:space="preserve">OLIVE BRANCH              </v>
      </c>
      <c r="F20338" t="str">
        <f t="shared" si="481"/>
        <v>MS</v>
      </c>
    </row>
    <row r="20339" spans="1:6" x14ac:dyDescent="0.25">
      <c r="A20339" t="str">
        <f>"200025950"</f>
        <v>200025950</v>
      </c>
      <c r="B20339" t="str">
        <f>"1063428761"</f>
        <v>1063428761</v>
      </c>
      <c r="C20339" t="str">
        <f>"261QM0801X"</f>
        <v>261QM0801X</v>
      </c>
      <c r="D20339" t="str">
        <f>"REGION 8 MENTAL HEALTH - FEMALE A&amp;D RTC           "</f>
        <v xml:space="preserve">REGION 8 MENTAL HEALTH - FEMALE A&amp;D RTC           </v>
      </c>
      <c r="E20339" t="str">
        <f>"HAZLEHURST                "</f>
        <v xml:space="preserve">HAZLEHURST                </v>
      </c>
      <c r="F20339" t="str">
        <f t="shared" si="481"/>
        <v>MS</v>
      </c>
    </row>
    <row r="20340" spans="1:6" x14ac:dyDescent="0.25">
      <c r="A20340" t="str">
        <f>"200025951"</f>
        <v>200025951</v>
      </c>
      <c r="B20340" t="str">
        <f>"1528856960"</f>
        <v>1528856960</v>
      </c>
      <c r="C20340" t="str">
        <f>"363A00000X"</f>
        <v>363A00000X</v>
      </c>
      <c r="D20340" t="str">
        <f>"DICKINSON                DEAN                     "</f>
        <v xml:space="preserve">DICKINSON                DEAN                     </v>
      </c>
      <c r="E20340" t="str">
        <f>"JACKSON                   "</f>
        <v xml:space="preserve">JACKSON                   </v>
      </c>
      <c r="F20340" t="str">
        <f t="shared" si="481"/>
        <v>MS</v>
      </c>
    </row>
    <row r="20341" spans="1:6" x14ac:dyDescent="0.25">
      <c r="A20341" t="str">
        <f>"200025954"</f>
        <v>200025954</v>
      </c>
      <c r="B20341" t="str">
        <f>"1659165157"</f>
        <v>1659165157</v>
      </c>
      <c r="C20341" t="str">
        <f>"261QF0400X"</f>
        <v>261QF0400X</v>
      </c>
      <c r="D20341" t="str">
        <f>"COASTAL FAMILY HEALTH CENTER                      "</f>
        <v xml:space="preserve">COASTAL FAMILY HEALTH CENTER                      </v>
      </c>
      <c r="E20341" t="str">
        <f>"LUCEDALE                  "</f>
        <v xml:space="preserve">LUCEDALE                  </v>
      </c>
      <c r="F20341" t="str">
        <f t="shared" si="481"/>
        <v>MS</v>
      </c>
    </row>
    <row r="20342" spans="1:6" x14ac:dyDescent="0.25">
      <c r="A20342" t="str">
        <f>"200025955"</f>
        <v>200025955</v>
      </c>
      <c r="B20342" t="str">
        <f>"1982610572"</f>
        <v>1982610572</v>
      </c>
      <c r="C20342" t="str">
        <f>"261QM0801X"</f>
        <v>261QM0801X</v>
      </c>
      <c r="D20342" t="str">
        <f>"PINE BELT MENTAL HEALTHCARE RESOURCES             "</f>
        <v xml:space="preserve">PINE BELT MENTAL HEALTHCARE RESOURCES             </v>
      </c>
      <c r="E20342" t="str">
        <f>"HATTIESBURG               "</f>
        <v xml:space="preserve">HATTIESBURG               </v>
      </c>
      <c r="F20342" t="str">
        <f t="shared" si="481"/>
        <v>MS</v>
      </c>
    </row>
    <row r="20343" spans="1:6" x14ac:dyDescent="0.25">
      <c r="A20343" t="str">
        <f>"200025957"</f>
        <v>200025957</v>
      </c>
      <c r="B20343" t="str">
        <f>"1467286468"</f>
        <v>1467286468</v>
      </c>
      <c r="C20343" t="str">
        <f>"261QF0400X"</f>
        <v>261QF0400X</v>
      </c>
      <c r="D20343" t="str">
        <f>"NMPHC HOLLY SPRINGS                               "</f>
        <v xml:space="preserve">NMPHC HOLLY SPRINGS                               </v>
      </c>
      <c r="E20343" t="str">
        <f>"HOLLY SPRINGS             "</f>
        <v xml:space="preserve">HOLLY SPRINGS             </v>
      </c>
      <c r="F20343" t="str">
        <f t="shared" si="481"/>
        <v>MS</v>
      </c>
    </row>
    <row r="20344" spans="1:6" x14ac:dyDescent="0.25">
      <c r="A20344" t="str">
        <f>"200025961"</f>
        <v>200025961</v>
      </c>
      <c r="B20344" t="str">
        <f>"1114892627"</f>
        <v>1114892627</v>
      </c>
      <c r="C20344" t="str">
        <f>"363LP0200X"</f>
        <v>363LP0200X</v>
      </c>
      <c r="D20344" t="str">
        <f>"HANSFORD                 BRANDI                   "</f>
        <v xml:space="preserve">HANSFORD                 BRANDI                   </v>
      </c>
      <c r="E20344" t="str">
        <f>"MERIDIAN                  "</f>
        <v xml:space="preserve">MERIDIAN                  </v>
      </c>
      <c r="F20344" t="str">
        <f t="shared" si="481"/>
        <v>MS</v>
      </c>
    </row>
    <row r="20345" spans="1:6" x14ac:dyDescent="0.25">
      <c r="A20345" t="str">
        <f>"200025976"</f>
        <v>200025976</v>
      </c>
      <c r="B20345" t="str">
        <f>"1831359512"</f>
        <v>1831359512</v>
      </c>
      <c r="C20345" t="str">
        <f>"2085R0202X"</f>
        <v>2085R0202X</v>
      </c>
      <c r="D20345" t="str">
        <f>"CHABAK                   MICKEY       S           "</f>
        <v xml:space="preserve">CHABAK                   MICKEY       S           </v>
      </c>
      <c r="E20345" t="str">
        <f>"HATTIESBURG               "</f>
        <v xml:space="preserve">HATTIESBURG               </v>
      </c>
      <c r="F20345" t="str">
        <f t="shared" si="481"/>
        <v>MS</v>
      </c>
    </row>
    <row r="20346" spans="1:6" x14ac:dyDescent="0.25">
      <c r="A20346" t="str">
        <f>"200025977"</f>
        <v>200025977</v>
      </c>
      <c r="B20346" t="str">
        <f>"1356203129"</f>
        <v>1356203129</v>
      </c>
      <c r="C20346" t="str">
        <f>"363LF0000X"</f>
        <v>363LF0000X</v>
      </c>
      <c r="D20346" t="str">
        <f>"FOLLOWELL                JESSICA                  "</f>
        <v xml:space="preserve">FOLLOWELL                JESSICA                  </v>
      </c>
      <c r="E20346" t="str">
        <f>"BYRAM                     "</f>
        <v xml:space="preserve">BYRAM                     </v>
      </c>
      <c r="F20346" t="str">
        <f t="shared" si="481"/>
        <v>MS</v>
      </c>
    </row>
    <row r="20347" spans="1:6" x14ac:dyDescent="0.25">
      <c r="A20347" t="str">
        <f>"200025983"</f>
        <v>200025983</v>
      </c>
      <c r="B20347" t="str">
        <f>"1922242635"</f>
        <v>1922242635</v>
      </c>
      <c r="C20347" t="str">
        <f>"2084N0400X"</f>
        <v>2084N0400X</v>
      </c>
      <c r="D20347" t="str">
        <f>"NAJAMUDDIN               SADIA                    "</f>
        <v xml:space="preserve">NAJAMUDDIN               SADIA                    </v>
      </c>
      <c r="E20347" t="str">
        <f>"GULFPORT                  "</f>
        <v xml:space="preserve">GULFPORT                  </v>
      </c>
      <c r="F20347" t="str">
        <f t="shared" si="481"/>
        <v>MS</v>
      </c>
    </row>
    <row r="20348" spans="1:6" x14ac:dyDescent="0.25">
      <c r="A20348" t="str">
        <f>"200025990"</f>
        <v>200025990</v>
      </c>
      <c r="B20348" t="str">
        <f>"1689440588"</f>
        <v>1689440588</v>
      </c>
      <c r="C20348" t="str">
        <f>"363LF0000X"</f>
        <v>363LF0000X</v>
      </c>
      <c r="D20348" t="str">
        <f>"EDWARDS                  ALEXANDRA                "</f>
        <v xml:space="preserve">EDWARDS                  ALEXANDRA                </v>
      </c>
      <c r="E20348" t="str">
        <f>"LAUREL                    "</f>
        <v xml:space="preserve">LAUREL                    </v>
      </c>
      <c r="F20348" t="str">
        <f t="shared" si="481"/>
        <v>MS</v>
      </c>
    </row>
    <row r="20349" spans="1:6" x14ac:dyDescent="0.25">
      <c r="A20349" t="str">
        <f>"200026002"</f>
        <v>200026002</v>
      </c>
      <c r="B20349" t="str">
        <f>"1043604333"</f>
        <v>1043604333</v>
      </c>
      <c r="C20349" t="str">
        <f>"207P00000X"</f>
        <v>207P00000X</v>
      </c>
      <c r="D20349" t="str">
        <f>"HOLSTEIN                 HEATHER                  "</f>
        <v xml:space="preserve">HOLSTEIN                 HEATHER                  </v>
      </c>
      <c r="E20349" t="str">
        <f>"OCEAN SPRINGS             "</f>
        <v xml:space="preserve">OCEAN SPRINGS             </v>
      </c>
      <c r="F20349" t="str">
        <f t="shared" si="481"/>
        <v>MS</v>
      </c>
    </row>
    <row r="20350" spans="1:6" x14ac:dyDescent="0.25">
      <c r="A20350" t="str">
        <f>"200026004"</f>
        <v>200026004</v>
      </c>
      <c r="B20350" t="str">
        <f>"1457093312"</f>
        <v>1457093312</v>
      </c>
      <c r="C20350" t="str">
        <f>"208000000X"</f>
        <v>208000000X</v>
      </c>
      <c r="D20350" t="str">
        <f>"SAHAROVICI               MARGO                    "</f>
        <v xml:space="preserve">SAHAROVICI               MARGO                    </v>
      </c>
      <c r="E20350" t="str">
        <f>"SOUTHAVEN                 "</f>
        <v xml:space="preserve">SOUTHAVEN                 </v>
      </c>
      <c r="F20350" t="str">
        <f t="shared" ref="F20350:F20413" si="482">"MS"</f>
        <v>MS</v>
      </c>
    </row>
    <row r="20351" spans="1:6" x14ac:dyDescent="0.25">
      <c r="A20351" t="str">
        <f>"200026008"</f>
        <v>200026008</v>
      </c>
      <c r="B20351" t="str">
        <f>"1770465924"</f>
        <v>1770465924</v>
      </c>
      <c r="C20351" t="str">
        <f>"363LF0000X"</f>
        <v>363LF0000X</v>
      </c>
      <c r="D20351" t="str">
        <f>"DAY                      KARLEE       L           "</f>
        <v xml:space="preserve">DAY                      KARLEE       L           </v>
      </c>
      <c r="E20351" t="str">
        <f>"ACKERMAN                  "</f>
        <v xml:space="preserve">ACKERMAN                  </v>
      </c>
      <c r="F20351" t="str">
        <f t="shared" si="482"/>
        <v>MS</v>
      </c>
    </row>
    <row r="20352" spans="1:6" x14ac:dyDescent="0.25">
      <c r="A20352" t="str">
        <f>"200026011"</f>
        <v>200026011</v>
      </c>
      <c r="B20352" t="str">
        <f>"1770323180"</f>
        <v>1770323180</v>
      </c>
      <c r="C20352" t="str">
        <f>"363LF0000X"</f>
        <v>363LF0000X</v>
      </c>
      <c r="D20352" t="str">
        <f>"PIPKINS                  BRITTANY                 "</f>
        <v xml:space="preserve">PIPKINS                  BRITTANY                 </v>
      </c>
      <c r="E20352" t="str">
        <f>"OCEAN SPRINGS             "</f>
        <v xml:space="preserve">OCEAN SPRINGS             </v>
      </c>
      <c r="F20352" t="str">
        <f t="shared" si="482"/>
        <v>MS</v>
      </c>
    </row>
    <row r="20353" spans="1:6" x14ac:dyDescent="0.25">
      <c r="A20353" t="str">
        <f>"200026013"</f>
        <v>200026013</v>
      </c>
      <c r="B20353" t="str">
        <f>"1073964946"</f>
        <v>1073964946</v>
      </c>
      <c r="C20353" t="str">
        <f>"363L00000X"</f>
        <v>363L00000X</v>
      </c>
      <c r="D20353" t="str">
        <f>"ROBERTS                  BRITTANY                 "</f>
        <v xml:space="preserve">ROBERTS                  BRITTANY                 </v>
      </c>
      <c r="E20353" t="str">
        <f>"RICHLAND                  "</f>
        <v xml:space="preserve">RICHLAND                  </v>
      </c>
      <c r="F20353" t="str">
        <f t="shared" si="482"/>
        <v>MS</v>
      </c>
    </row>
    <row r="20354" spans="1:6" x14ac:dyDescent="0.25">
      <c r="A20354" t="str">
        <f>"200026018"</f>
        <v>200026018</v>
      </c>
      <c r="B20354" t="str">
        <f>"1861805913"</f>
        <v>1861805913</v>
      </c>
      <c r="C20354" t="str">
        <f>"2085R0202X"</f>
        <v>2085R0202X</v>
      </c>
      <c r="D20354" t="str">
        <f>"MONTGOMERY               JAMES                    "</f>
        <v xml:space="preserve">MONTGOMERY               JAMES                    </v>
      </c>
      <c r="E20354" t="str">
        <f>"HATTIESBURG               "</f>
        <v xml:space="preserve">HATTIESBURG               </v>
      </c>
      <c r="F20354" t="str">
        <f t="shared" si="482"/>
        <v>MS</v>
      </c>
    </row>
    <row r="20355" spans="1:6" x14ac:dyDescent="0.25">
      <c r="A20355" t="str">
        <f>"200026022"</f>
        <v>200026022</v>
      </c>
      <c r="B20355" t="str">
        <f>"1053562439"</f>
        <v>1053562439</v>
      </c>
      <c r="C20355" t="str">
        <f>"2084P0800X"</f>
        <v>2084P0800X</v>
      </c>
      <c r="D20355" t="str">
        <f>"DOSSETT                  EMILY        C           "</f>
        <v xml:space="preserve">DOSSETT                  EMILY        C           </v>
      </c>
      <c r="E20355" t="str">
        <f>"JACKSON                   "</f>
        <v xml:space="preserve">JACKSON                   </v>
      </c>
      <c r="F20355" t="str">
        <f t="shared" si="482"/>
        <v>MS</v>
      </c>
    </row>
    <row r="20356" spans="1:6" x14ac:dyDescent="0.25">
      <c r="A20356" t="str">
        <f>"200026024"</f>
        <v>200026024</v>
      </c>
      <c r="B20356" t="str">
        <f>"1508988775"</f>
        <v>1508988775</v>
      </c>
      <c r="C20356" t="str">
        <f>"2085R0202X"</f>
        <v>2085R0202X</v>
      </c>
      <c r="D20356" t="str">
        <f>"KUEBLER                  RICHARD                  "</f>
        <v xml:space="preserve">KUEBLER                  RICHARD                  </v>
      </c>
      <c r="E20356" t="str">
        <f>"MADISON                   "</f>
        <v xml:space="preserve">MADISON                   </v>
      </c>
      <c r="F20356" t="str">
        <f t="shared" si="482"/>
        <v>MS</v>
      </c>
    </row>
    <row r="20357" spans="1:6" x14ac:dyDescent="0.25">
      <c r="A20357" t="str">
        <f>"200026025"</f>
        <v>200026025</v>
      </c>
      <c r="B20357" t="str">
        <f>"1710328737"</f>
        <v>1710328737</v>
      </c>
      <c r="C20357" t="str">
        <f>"207L00000X"</f>
        <v>207L00000X</v>
      </c>
      <c r="D20357" t="str">
        <f>"MCCANN                   ANDRES                   "</f>
        <v xml:space="preserve">MCCANN                   ANDRES                   </v>
      </c>
      <c r="E20357" t="str">
        <f>"GREENVILLE                "</f>
        <v xml:space="preserve">GREENVILLE                </v>
      </c>
      <c r="F20357" t="str">
        <f t="shared" si="482"/>
        <v>MS</v>
      </c>
    </row>
    <row r="20358" spans="1:6" x14ac:dyDescent="0.25">
      <c r="A20358" t="str">
        <f>"200026029"</f>
        <v>200026029</v>
      </c>
      <c r="B20358" t="str">
        <f>"1194762740"</f>
        <v>1194762740</v>
      </c>
      <c r="C20358" t="str">
        <f>"367500000X"</f>
        <v>367500000X</v>
      </c>
      <c r="D20358" t="str">
        <f>"JONES                    RANSOM                   "</f>
        <v xml:space="preserve">JONES                    RANSOM                   </v>
      </c>
      <c r="E20358" t="str">
        <f>"MERIDIAN                  "</f>
        <v xml:space="preserve">MERIDIAN                  </v>
      </c>
      <c r="F20358" t="str">
        <f t="shared" si="482"/>
        <v>MS</v>
      </c>
    </row>
    <row r="20359" spans="1:6" x14ac:dyDescent="0.25">
      <c r="A20359" t="str">
        <f>"200026031"</f>
        <v>200026031</v>
      </c>
      <c r="B20359" t="str">
        <f>"1124651708"</f>
        <v>1124651708</v>
      </c>
      <c r="C20359" t="str">
        <f>"363L00000X"</f>
        <v>363L00000X</v>
      </c>
      <c r="D20359" t="str">
        <f>"LEWIS                    FRANCES                  "</f>
        <v xml:space="preserve">LEWIS                    FRANCES                  </v>
      </c>
      <c r="E20359" t="str">
        <f>"MADISON                   "</f>
        <v xml:space="preserve">MADISON                   </v>
      </c>
      <c r="F20359" t="str">
        <f t="shared" si="482"/>
        <v>MS</v>
      </c>
    </row>
    <row r="20360" spans="1:6" x14ac:dyDescent="0.25">
      <c r="A20360" t="str">
        <f>"200026032"</f>
        <v>200026032</v>
      </c>
      <c r="B20360" t="str">
        <f>"1871310383"</f>
        <v>1871310383</v>
      </c>
      <c r="C20360" t="str">
        <f>"261QA1903X"</f>
        <v>261QA1903X</v>
      </c>
      <c r="D20360" t="str">
        <f>"SOG SURGERY CENTER                                "</f>
        <v xml:space="preserve">SOG SURGERY CENTER                                </v>
      </c>
      <c r="E20360" t="str">
        <f>"OXFORD                    "</f>
        <v xml:space="preserve">OXFORD                    </v>
      </c>
      <c r="F20360" t="str">
        <f t="shared" si="482"/>
        <v>MS</v>
      </c>
    </row>
    <row r="20361" spans="1:6" x14ac:dyDescent="0.25">
      <c r="A20361" t="str">
        <f>"200026041"</f>
        <v>200026041</v>
      </c>
      <c r="B20361" t="str">
        <f>"1801828496"</f>
        <v>1801828496</v>
      </c>
      <c r="C20361" t="str">
        <f>"261QM0801X"</f>
        <v>261QM0801X</v>
      </c>
      <c r="D20361" t="str">
        <f>"LIFECORE HEALTH GROUP- G GLOSTER CREEK LOSTER     "</f>
        <v xml:space="preserve">LIFECORE HEALTH GROUP- G GLOSTER CREEK LOSTER     </v>
      </c>
      <c r="E20361" t="str">
        <f>"TUPELO                    "</f>
        <v xml:space="preserve">TUPELO                    </v>
      </c>
      <c r="F20361" t="str">
        <f t="shared" si="482"/>
        <v>MS</v>
      </c>
    </row>
    <row r="20362" spans="1:6" x14ac:dyDescent="0.25">
      <c r="A20362" t="str">
        <f>"200026043"</f>
        <v>200026043</v>
      </c>
      <c r="B20362" t="str">
        <f>"1487041505"</f>
        <v>1487041505</v>
      </c>
      <c r="C20362" t="str">
        <f>"363LF0000X"</f>
        <v>363LF0000X</v>
      </c>
      <c r="D20362" t="str">
        <f>"GOUSSET                  SARAH                    "</f>
        <v xml:space="preserve">GOUSSET                  SARAH                    </v>
      </c>
      <c r="E20362" t="str">
        <f>"NATCHEZ                   "</f>
        <v xml:space="preserve">NATCHEZ                   </v>
      </c>
      <c r="F20362" t="str">
        <f t="shared" si="482"/>
        <v>MS</v>
      </c>
    </row>
    <row r="20363" spans="1:6" x14ac:dyDescent="0.25">
      <c r="A20363" t="str">
        <f>"200026044"</f>
        <v>200026044</v>
      </c>
      <c r="B20363" t="str">
        <f>"1154515294"</f>
        <v>1154515294</v>
      </c>
      <c r="C20363" t="str">
        <f>"2085R0202X"</f>
        <v>2085R0202X</v>
      </c>
      <c r="D20363" t="str">
        <f>"PULITZER                 STEVEN       B           "</f>
        <v xml:space="preserve">PULITZER                 STEVEN       B           </v>
      </c>
      <c r="E20363" t="str">
        <f>"MERIDIAN                  "</f>
        <v xml:space="preserve">MERIDIAN                  </v>
      </c>
      <c r="F20363" t="str">
        <f t="shared" si="482"/>
        <v>MS</v>
      </c>
    </row>
    <row r="20364" spans="1:6" x14ac:dyDescent="0.25">
      <c r="A20364" t="str">
        <f>"200026046"</f>
        <v>200026046</v>
      </c>
      <c r="B20364" t="str">
        <f>"1639043920"</f>
        <v>1639043920</v>
      </c>
      <c r="C20364" t="str">
        <f>"363LP0808X"</f>
        <v>363LP0808X</v>
      </c>
      <c r="D20364" t="str">
        <f>"WADKINS                  JONATHAN                 "</f>
        <v xml:space="preserve">WADKINS                  JONATHAN                 </v>
      </c>
      <c r="E20364" t="str">
        <f>"BURNSVILLE                "</f>
        <v xml:space="preserve">BURNSVILLE                </v>
      </c>
      <c r="F20364" t="str">
        <f t="shared" si="482"/>
        <v>MS</v>
      </c>
    </row>
    <row r="20365" spans="1:6" x14ac:dyDescent="0.25">
      <c r="A20365" t="str">
        <f>"200026047"</f>
        <v>200026047</v>
      </c>
      <c r="B20365" t="str">
        <f>"1639031545"</f>
        <v>1639031545</v>
      </c>
      <c r="C20365" t="str">
        <f>"152W00000X"</f>
        <v>152W00000X</v>
      </c>
      <c r="D20365" t="str">
        <f>"OFF THE SQUARE EYECARE PLLC                       "</f>
        <v xml:space="preserve">OFF THE SQUARE EYECARE PLLC                       </v>
      </c>
      <c r="E20365" t="str">
        <f>"BRUCE                     "</f>
        <v xml:space="preserve">BRUCE                     </v>
      </c>
      <c r="F20365" t="str">
        <f t="shared" si="482"/>
        <v>MS</v>
      </c>
    </row>
    <row r="20366" spans="1:6" x14ac:dyDescent="0.25">
      <c r="A20366" t="str">
        <f>"200026048"</f>
        <v>200026048</v>
      </c>
      <c r="B20366" t="str">
        <f>"1053347823"</f>
        <v>1053347823</v>
      </c>
      <c r="C20366" t="str">
        <f>"208VP0014X"</f>
        <v>208VP0014X</v>
      </c>
      <c r="D20366" t="str">
        <f>"COCKRELL                 WAYNE                    "</f>
        <v xml:space="preserve">COCKRELL                 WAYNE                    </v>
      </c>
      <c r="E20366" t="str">
        <f>"PASCAGOULA                "</f>
        <v xml:space="preserve">PASCAGOULA                </v>
      </c>
      <c r="F20366" t="str">
        <f t="shared" si="482"/>
        <v>MS</v>
      </c>
    </row>
    <row r="20367" spans="1:6" x14ac:dyDescent="0.25">
      <c r="A20367" t="str">
        <f>"200026050"</f>
        <v>200026050</v>
      </c>
      <c r="B20367" t="str">
        <f>"1912214792"</f>
        <v>1912214792</v>
      </c>
      <c r="C20367" t="str">
        <f>"261QM1300X"</f>
        <v>261QM1300X</v>
      </c>
      <c r="D20367" t="str">
        <f>"DESOTO FAMILY COUNSELING CENTER, PLLC             "</f>
        <v xml:space="preserve">DESOTO FAMILY COUNSELING CENTER, PLLC             </v>
      </c>
      <c r="E20367" t="str">
        <f>"SENATOBIA                 "</f>
        <v xml:space="preserve">SENATOBIA                 </v>
      </c>
      <c r="F20367" t="str">
        <f t="shared" si="482"/>
        <v>MS</v>
      </c>
    </row>
    <row r="20368" spans="1:6" x14ac:dyDescent="0.25">
      <c r="A20368" t="str">
        <f>"200026054"</f>
        <v>200026054</v>
      </c>
      <c r="B20368" t="str">
        <f>"1023389210"</f>
        <v>1023389210</v>
      </c>
      <c r="C20368" t="str">
        <f>"363LF0000X"</f>
        <v>363LF0000X</v>
      </c>
      <c r="D20368" t="str">
        <f>"PROFFITT                 SALLY                    "</f>
        <v xml:space="preserve">PROFFITT                 SALLY                    </v>
      </c>
      <c r="E20368" t="str">
        <f>"GULFPORT                  "</f>
        <v xml:space="preserve">GULFPORT                  </v>
      </c>
      <c r="F20368" t="str">
        <f t="shared" si="482"/>
        <v>MS</v>
      </c>
    </row>
    <row r="20369" spans="1:6" x14ac:dyDescent="0.25">
      <c r="A20369" t="str">
        <f>"200026055"</f>
        <v>200026055</v>
      </c>
      <c r="B20369" t="str">
        <f>"1386239150"</f>
        <v>1386239150</v>
      </c>
      <c r="C20369" t="str">
        <f>"207L00000X"</f>
        <v>207L00000X</v>
      </c>
      <c r="D20369" t="str">
        <f>"REEHL                    DAVID                    "</f>
        <v xml:space="preserve">REEHL                    DAVID                    </v>
      </c>
      <c r="E20369" t="str">
        <f>"BILOXI                    "</f>
        <v xml:space="preserve">BILOXI                    </v>
      </c>
      <c r="F20369" t="str">
        <f t="shared" si="482"/>
        <v>MS</v>
      </c>
    </row>
    <row r="20370" spans="1:6" x14ac:dyDescent="0.25">
      <c r="A20370" t="str">
        <f>"200026056"</f>
        <v>200026056</v>
      </c>
      <c r="B20370" t="str">
        <f>"1629336573"</f>
        <v>1629336573</v>
      </c>
      <c r="C20370" t="str">
        <f>"2085R0202X"</f>
        <v>2085R0202X</v>
      </c>
      <c r="D20370" t="str">
        <f>"BARKER                   CHAD                     "</f>
        <v xml:space="preserve">BARKER                   CHAD                     </v>
      </c>
      <c r="E20370" t="str">
        <f>"HATTIESBURG               "</f>
        <v xml:space="preserve">HATTIESBURG               </v>
      </c>
      <c r="F20370" t="str">
        <f t="shared" si="482"/>
        <v>MS</v>
      </c>
    </row>
    <row r="20371" spans="1:6" x14ac:dyDescent="0.25">
      <c r="A20371" t="str">
        <f>"200026059"</f>
        <v>200026059</v>
      </c>
      <c r="B20371" t="str">
        <f>"1477203131"</f>
        <v>1477203131</v>
      </c>
      <c r="C20371" t="str">
        <f>"2084P0800X"</f>
        <v>2084P0800X</v>
      </c>
      <c r="D20371" t="str">
        <f>"JILANI                   AHMAD                    "</f>
        <v xml:space="preserve">JILANI                   AHMAD                    </v>
      </c>
      <c r="E20371" t="str">
        <f>"BILOXI                    "</f>
        <v xml:space="preserve">BILOXI                    </v>
      </c>
      <c r="F20371" t="str">
        <f t="shared" si="482"/>
        <v>MS</v>
      </c>
    </row>
    <row r="20372" spans="1:6" x14ac:dyDescent="0.25">
      <c r="A20372" t="str">
        <f>"200026068"</f>
        <v>200026068</v>
      </c>
      <c r="B20372" t="str">
        <f>"1912214792"</f>
        <v>1912214792</v>
      </c>
      <c r="C20372" t="str">
        <f>"261QM1300X"</f>
        <v>261QM1300X</v>
      </c>
      <c r="D20372" t="str">
        <f>"DESOTO FAMILY COUNSELING CENTER, PLLC             "</f>
        <v xml:space="preserve">DESOTO FAMILY COUNSELING CENTER, PLLC             </v>
      </c>
      <c r="E20372" t="str">
        <f>"OXFORD                    "</f>
        <v xml:space="preserve">OXFORD                    </v>
      </c>
      <c r="F20372" t="str">
        <f t="shared" si="482"/>
        <v>MS</v>
      </c>
    </row>
    <row r="20373" spans="1:6" x14ac:dyDescent="0.25">
      <c r="A20373" t="str">
        <f>"200026073"</f>
        <v>200026073</v>
      </c>
      <c r="B20373" t="str">
        <f>"1982610572"</f>
        <v>1982610572</v>
      </c>
      <c r="C20373" t="str">
        <f>"261QM0801X"</f>
        <v>261QM0801X</v>
      </c>
      <c r="D20373" t="str">
        <f>"PINE BELT MENTAL HEALTHCARE RESOURCES             "</f>
        <v xml:space="preserve">PINE BELT MENTAL HEALTHCARE RESOURCES             </v>
      </c>
      <c r="E20373" t="str">
        <f>"POPLARVILLE               "</f>
        <v xml:space="preserve">POPLARVILLE               </v>
      </c>
      <c r="F20373" t="str">
        <f t="shared" si="482"/>
        <v>MS</v>
      </c>
    </row>
    <row r="20374" spans="1:6" x14ac:dyDescent="0.25">
      <c r="A20374" t="str">
        <f>"200026081"</f>
        <v>200026081</v>
      </c>
      <c r="B20374" t="str">
        <f>"1689019804"</f>
        <v>1689019804</v>
      </c>
      <c r="C20374" t="str">
        <f>"2085R0202X"</f>
        <v>2085R0202X</v>
      </c>
      <c r="D20374" t="str">
        <f>"HUR                      JANE                     "</f>
        <v xml:space="preserve">HUR                      JANE                     </v>
      </c>
      <c r="E20374" t="str">
        <f>"MERIDIAN                  "</f>
        <v xml:space="preserve">MERIDIAN                  </v>
      </c>
      <c r="F20374" t="str">
        <f t="shared" si="482"/>
        <v>MS</v>
      </c>
    </row>
    <row r="20375" spans="1:6" x14ac:dyDescent="0.25">
      <c r="A20375" t="str">
        <f>"200026083"</f>
        <v>200026083</v>
      </c>
      <c r="B20375" t="str">
        <f>"1568911527"</f>
        <v>1568911527</v>
      </c>
      <c r="C20375" t="str">
        <f>"363LG0600X"</f>
        <v>363LG0600X</v>
      </c>
      <c r="D20375" t="str">
        <f>"HARPER                   JENNA                    "</f>
        <v xml:space="preserve">HARPER                   JENNA                    </v>
      </c>
      <c r="E20375" t="str">
        <f>"MERIDIAN                  "</f>
        <v xml:space="preserve">MERIDIAN                  </v>
      </c>
      <c r="F20375" t="str">
        <f t="shared" si="482"/>
        <v>MS</v>
      </c>
    </row>
    <row r="20376" spans="1:6" x14ac:dyDescent="0.25">
      <c r="A20376" t="str">
        <f>"200026086"</f>
        <v>200026086</v>
      </c>
      <c r="B20376" t="str">
        <f>"1780683508"</f>
        <v>1780683508</v>
      </c>
      <c r="C20376" t="str">
        <f>"2085R0202X"</f>
        <v>2085R0202X</v>
      </c>
      <c r="D20376" t="str">
        <f>"CHUNG                    HANNAH                   "</f>
        <v xml:space="preserve">CHUNG                    HANNAH                   </v>
      </c>
      <c r="E20376" t="str">
        <f>"JACKSON                   "</f>
        <v xml:space="preserve">JACKSON                   </v>
      </c>
      <c r="F20376" t="str">
        <f t="shared" si="482"/>
        <v>MS</v>
      </c>
    </row>
    <row r="20377" spans="1:6" x14ac:dyDescent="0.25">
      <c r="A20377" t="str">
        <f>"200026102"</f>
        <v>200026102</v>
      </c>
      <c r="B20377" t="str">
        <f>"1982610572"</f>
        <v>1982610572</v>
      </c>
      <c r="C20377" t="str">
        <f>"261QM0801X"</f>
        <v>261QM0801X</v>
      </c>
      <c r="D20377" t="str">
        <f>"PINE BELT MENTAL HEALTHCARE RESOURCES             "</f>
        <v xml:space="preserve">PINE BELT MENTAL HEALTHCARE RESOURCES             </v>
      </c>
      <c r="E20377" t="str">
        <f>"MEADVILLE                 "</f>
        <v xml:space="preserve">MEADVILLE                 </v>
      </c>
      <c r="F20377" t="str">
        <f t="shared" si="482"/>
        <v>MS</v>
      </c>
    </row>
    <row r="20378" spans="1:6" x14ac:dyDescent="0.25">
      <c r="A20378" t="str">
        <f>"200026103"</f>
        <v>200026103</v>
      </c>
      <c r="B20378" t="str">
        <f>"1982610572"</f>
        <v>1982610572</v>
      </c>
      <c r="C20378" t="str">
        <f>"261QM0801X"</f>
        <v>261QM0801X</v>
      </c>
      <c r="D20378" t="str">
        <f>"PINE BELT MENTAL HEALTHCARE RESOURCES             "</f>
        <v xml:space="preserve">PINE BELT MENTAL HEALTHCARE RESOURCES             </v>
      </c>
      <c r="E20378" t="str">
        <f>"PRENTISS                  "</f>
        <v xml:space="preserve">PRENTISS                  </v>
      </c>
      <c r="F20378" t="str">
        <f t="shared" si="482"/>
        <v>MS</v>
      </c>
    </row>
    <row r="20379" spans="1:6" x14ac:dyDescent="0.25">
      <c r="A20379" t="str">
        <f>"200026105"</f>
        <v>200026105</v>
      </c>
      <c r="B20379" t="str">
        <f>"1982610572"</f>
        <v>1982610572</v>
      </c>
      <c r="C20379" t="str">
        <f>"261QM0801X"</f>
        <v>261QM0801X</v>
      </c>
      <c r="D20379" t="str">
        <f>"PINE BELT MENTAL HEALTHCARE RESOURCES             "</f>
        <v xml:space="preserve">PINE BELT MENTAL HEALTHCARE RESOURCES             </v>
      </c>
      <c r="E20379" t="str">
        <f>"LEAKESVILLE               "</f>
        <v xml:space="preserve">LEAKESVILLE               </v>
      </c>
      <c r="F20379" t="str">
        <f t="shared" si="482"/>
        <v>MS</v>
      </c>
    </row>
    <row r="20380" spans="1:6" x14ac:dyDescent="0.25">
      <c r="A20380" t="str">
        <f>"200026107"</f>
        <v>200026107</v>
      </c>
      <c r="B20380" t="str">
        <f>"1609019165"</f>
        <v>1609019165</v>
      </c>
      <c r="C20380" t="str">
        <f>"207Q00000X"</f>
        <v>207Q00000X</v>
      </c>
      <c r="D20380" t="str">
        <f>"TRIMM                    KRISTI                   "</f>
        <v xml:space="preserve">TRIMM                    KRISTI                   </v>
      </c>
      <c r="E20380" t="str">
        <f>"MADISON                   "</f>
        <v xml:space="preserve">MADISON                   </v>
      </c>
      <c r="F20380" t="str">
        <f t="shared" si="482"/>
        <v>MS</v>
      </c>
    </row>
    <row r="20381" spans="1:6" x14ac:dyDescent="0.25">
      <c r="A20381" t="str">
        <f>"200026112"</f>
        <v>200026112</v>
      </c>
      <c r="B20381" t="str">
        <f>"1598585523"</f>
        <v>1598585523</v>
      </c>
      <c r="C20381" t="str">
        <f>"363LA2200X"</f>
        <v>363LA2200X</v>
      </c>
      <c r="D20381" t="str">
        <f>"SHOEMAKER                STACIE       D           "</f>
        <v xml:space="preserve">SHOEMAKER                STACIE       D           </v>
      </c>
      <c r="E20381" t="str">
        <f>"EUPORA                    "</f>
        <v xml:space="preserve">EUPORA                    </v>
      </c>
      <c r="F20381" t="str">
        <f t="shared" si="482"/>
        <v>MS</v>
      </c>
    </row>
    <row r="20382" spans="1:6" x14ac:dyDescent="0.25">
      <c r="A20382" t="str">
        <f>"200026114"</f>
        <v>200026114</v>
      </c>
      <c r="B20382" t="str">
        <f>"1023012010"</f>
        <v>1023012010</v>
      </c>
      <c r="C20382" t="str">
        <f>"2085R0202X"</f>
        <v>2085R0202X</v>
      </c>
      <c r="D20382" t="str">
        <f>"BRITT                    PETER                    "</f>
        <v xml:space="preserve">BRITT                    PETER                    </v>
      </c>
      <c r="E20382" t="str">
        <f>"HATTIESBURG               "</f>
        <v xml:space="preserve">HATTIESBURG               </v>
      </c>
      <c r="F20382" t="str">
        <f t="shared" si="482"/>
        <v>MS</v>
      </c>
    </row>
    <row r="20383" spans="1:6" x14ac:dyDescent="0.25">
      <c r="A20383" t="str">
        <f>"200026116"</f>
        <v>200026116</v>
      </c>
      <c r="B20383" t="str">
        <f>"1295097970"</f>
        <v>1295097970</v>
      </c>
      <c r="C20383" t="str">
        <f>"2085R0202X"</f>
        <v>2085R0202X</v>
      </c>
      <c r="D20383" t="str">
        <f>"HARVIN                   ALEXANDER                "</f>
        <v xml:space="preserve">HARVIN                   ALEXANDER                </v>
      </c>
      <c r="E20383" t="str">
        <f>"HATTIESBURG               "</f>
        <v xml:space="preserve">HATTIESBURG               </v>
      </c>
      <c r="F20383" t="str">
        <f t="shared" si="482"/>
        <v>MS</v>
      </c>
    </row>
    <row r="20384" spans="1:6" x14ac:dyDescent="0.25">
      <c r="A20384" t="str">
        <f>"200026117"</f>
        <v>200026117</v>
      </c>
      <c r="B20384" t="str">
        <f>"1801915384"</f>
        <v>1801915384</v>
      </c>
      <c r="C20384" t="str">
        <f>"2085R0202X"</f>
        <v>2085R0202X</v>
      </c>
      <c r="D20384" t="str">
        <f>"LOPEZ                    JUAN                     "</f>
        <v xml:space="preserve">LOPEZ                    JUAN                     </v>
      </c>
      <c r="E20384" t="str">
        <f>"HATTIESBURG               "</f>
        <v xml:space="preserve">HATTIESBURG               </v>
      </c>
      <c r="F20384" t="str">
        <f t="shared" si="482"/>
        <v>MS</v>
      </c>
    </row>
    <row r="20385" spans="1:6" x14ac:dyDescent="0.25">
      <c r="A20385" t="str">
        <f>"200026124"</f>
        <v>200026124</v>
      </c>
      <c r="B20385" t="str">
        <f>"1285780718"</f>
        <v>1285780718</v>
      </c>
      <c r="C20385" t="str">
        <f>"2084N0400X"</f>
        <v>2084N0400X</v>
      </c>
      <c r="D20385" t="str">
        <f>"BROWN                    WENDY                    "</f>
        <v xml:space="preserve">BROWN                    WENDY                    </v>
      </c>
      <c r="E20385" t="str">
        <f>"TUPELO                    "</f>
        <v xml:space="preserve">TUPELO                    </v>
      </c>
      <c r="F20385" t="str">
        <f t="shared" si="482"/>
        <v>MS</v>
      </c>
    </row>
    <row r="20386" spans="1:6" x14ac:dyDescent="0.25">
      <c r="A20386" t="str">
        <f>"200026125"</f>
        <v>200026125</v>
      </c>
      <c r="B20386" t="str">
        <f>"1205942984"</f>
        <v>1205942984</v>
      </c>
      <c r="C20386" t="str">
        <f>"207L00000X"</f>
        <v>207L00000X</v>
      </c>
      <c r="D20386" t="str">
        <f>"HINES                    SARAH                    "</f>
        <v xml:space="preserve">HINES                    SARAH                    </v>
      </c>
      <c r="E20386" t="str">
        <f>"FLOWOOD                   "</f>
        <v xml:space="preserve">FLOWOOD                   </v>
      </c>
      <c r="F20386" t="str">
        <f t="shared" si="482"/>
        <v>MS</v>
      </c>
    </row>
    <row r="20387" spans="1:6" x14ac:dyDescent="0.25">
      <c r="A20387" t="str">
        <f>"200026126"</f>
        <v>200026126</v>
      </c>
      <c r="B20387" t="str">
        <f>"1659231298"</f>
        <v>1659231298</v>
      </c>
      <c r="C20387" t="str">
        <f>"363A00000X"</f>
        <v>363A00000X</v>
      </c>
      <c r="D20387" t="str">
        <f>"MCMANUS                  ZACHARY                  "</f>
        <v xml:space="preserve">MCMANUS                  ZACHARY                  </v>
      </c>
      <c r="E20387" t="str">
        <f>"VICKSBURG                 "</f>
        <v xml:space="preserve">VICKSBURG                 </v>
      </c>
      <c r="F20387" t="str">
        <f t="shared" si="482"/>
        <v>MS</v>
      </c>
    </row>
    <row r="20388" spans="1:6" x14ac:dyDescent="0.25">
      <c r="A20388" t="str">
        <f>"200026128"</f>
        <v>200026128</v>
      </c>
      <c r="B20388" t="str">
        <f>"1063428761"</f>
        <v>1063428761</v>
      </c>
      <c r="C20388" t="str">
        <f>"261QM0801X"</f>
        <v>261QM0801X</v>
      </c>
      <c r="D20388" t="str">
        <f>"REGION 8 MENTAL HEALTH - MALE A&amp;D RTC             "</f>
        <v xml:space="preserve">REGION 8 MENTAL HEALTH - MALE A&amp;D RTC             </v>
      </c>
      <c r="E20388" t="str">
        <f>"MENDENHALL                "</f>
        <v xml:space="preserve">MENDENHALL                </v>
      </c>
      <c r="F20388" t="str">
        <f t="shared" si="482"/>
        <v>MS</v>
      </c>
    </row>
    <row r="20389" spans="1:6" x14ac:dyDescent="0.25">
      <c r="A20389" t="str">
        <f>"200026129"</f>
        <v>200026129</v>
      </c>
      <c r="B20389" t="str">
        <f>"1972912897"</f>
        <v>1972912897</v>
      </c>
      <c r="C20389" t="str">
        <f>"363LF0000X"</f>
        <v>363LF0000X</v>
      </c>
      <c r="D20389" t="str">
        <f>"MURPHY                   CHANEL                   "</f>
        <v xml:space="preserve">MURPHY                   CHANEL                   </v>
      </c>
      <c r="E20389" t="str">
        <f>"RIDGELAND                 "</f>
        <v xml:space="preserve">RIDGELAND                 </v>
      </c>
      <c r="F20389" t="str">
        <f t="shared" si="482"/>
        <v>MS</v>
      </c>
    </row>
    <row r="20390" spans="1:6" x14ac:dyDescent="0.25">
      <c r="A20390" t="str">
        <f>"200026130"</f>
        <v>200026130</v>
      </c>
      <c r="B20390" t="str">
        <f>"1982610572"</f>
        <v>1982610572</v>
      </c>
      <c r="C20390" t="str">
        <f>"261QM0801X"</f>
        <v>261QM0801X</v>
      </c>
      <c r="D20390" t="str">
        <f>"PINE BELT MENTAL HEALTHCARE RESOURCES             "</f>
        <v xml:space="preserve">PINE BELT MENTAL HEALTHCARE RESOURCES             </v>
      </c>
      <c r="E20390" t="str">
        <f>"RICHTON                   "</f>
        <v xml:space="preserve">RICHTON                   </v>
      </c>
      <c r="F20390" t="str">
        <f t="shared" si="482"/>
        <v>MS</v>
      </c>
    </row>
    <row r="20391" spans="1:6" x14ac:dyDescent="0.25">
      <c r="A20391" t="str">
        <f>"200026131"</f>
        <v>200026131</v>
      </c>
      <c r="B20391" t="str">
        <f>"1982610572"</f>
        <v>1982610572</v>
      </c>
      <c r="C20391" t="str">
        <f>"261QM0801X"</f>
        <v>261QM0801X</v>
      </c>
      <c r="D20391" t="str">
        <f>"PINE BELT MENTAL HEALTHCARE RESOURCES             "</f>
        <v xml:space="preserve">PINE BELT MENTAL HEALTHCARE RESOURCES             </v>
      </c>
      <c r="E20391" t="str">
        <f>"WAYNESBORO                "</f>
        <v xml:space="preserve">WAYNESBORO                </v>
      </c>
      <c r="F20391" t="str">
        <f t="shared" si="482"/>
        <v>MS</v>
      </c>
    </row>
    <row r="20392" spans="1:6" x14ac:dyDescent="0.25">
      <c r="A20392" t="str">
        <f>"200026133"</f>
        <v>200026133</v>
      </c>
      <c r="B20392" t="str">
        <f>"1982610572"</f>
        <v>1982610572</v>
      </c>
      <c r="C20392" t="str">
        <f>"261QM0801X"</f>
        <v>261QM0801X</v>
      </c>
      <c r="D20392" t="str">
        <f>"PINE BELT MENTAL HEALTHCARE RESOURCES             "</f>
        <v xml:space="preserve">PINE BELT MENTAL HEALTHCARE RESOURCES             </v>
      </c>
      <c r="E20392" t="str">
        <f>"PRENTISS                  "</f>
        <v xml:space="preserve">PRENTISS                  </v>
      </c>
      <c r="F20392" t="str">
        <f t="shared" si="482"/>
        <v>MS</v>
      </c>
    </row>
    <row r="20393" spans="1:6" x14ac:dyDescent="0.25">
      <c r="A20393" t="str">
        <f>"200026135"</f>
        <v>200026135</v>
      </c>
      <c r="B20393" t="str">
        <f>"1982610572"</f>
        <v>1982610572</v>
      </c>
      <c r="C20393" t="str">
        <f>"261QM0801X"</f>
        <v>261QM0801X</v>
      </c>
      <c r="D20393" t="str">
        <f>"PINE BELT MENTAL HEALTHCARE RESOURCES             "</f>
        <v xml:space="preserve">PINE BELT MENTAL HEALTHCARE RESOURCES             </v>
      </c>
      <c r="E20393" t="str">
        <f>"HATTIESBURG               "</f>
        <v xml:space="preserve">HATTIESBURG               </v>
      </c>
      <c r="F20393" t="str">
        <f t="shared" si="482"/>
        <v>MS</v>
      </c>
    </row>
    <row r="20394" spans="1:6" x14ac:dyDescent="0.25">
      <c r="A20394" t="str">
        <f>"200026138"</f>
        <v>200026138</v>
      </c>
      <c r="B20394" t="str">
        <f>"1689545626"</f>
        <v>1689545626</v>
      </c>
      <c r="C20394" t="str">
        <f>"363LF0000X"</f>
        <v>363LF0000X</v>
      </c>
      <c r="D20394" t="str">
        <f>"HEADLEY                  JACQUELYN                "</f>
        <v xml:space="preserve">HEADLEY                  JACQUELYN                </v>
      </c>
      <c r="E20394" t="str">
        <f>"JACKSON                   "</f>
        <v xml:space="preserve">JACKSON                   </v>
      </c>
      <c r="F20394" t="str">
        <f t="shared" si="482"/>
        <v>MS</v>
      </c>
    </row>
    <row r="20395" spans="1:6" x14ac:dyDescent="0.25">
      <c r="A20395" t="str">
        <f>"200026140"</f>
        <v>200026140</v>
      </c>
      <c r="B20395" t="str">
        <f>"1982155057"</f>
        <v>1982155057</v>
      </c>
      <c r="C20395" t="str">
        <f>"363LF0000X"</f>
        <v>363LF0000X</v>
      </c>
      <c r="D20395" t="str">
        <f>"LAMBERT                  VICKIE       L           "</f>
        <v xml:space="preserve">LAMBERT                  VICKIE       L           </v>
      </c>
      <c r="E20395" t="str">
        <f>"CORINTH                   "</f>
        <v xml:space="preserve">CORINTH                   </v>
      </c>
      <c r="F20395" t="str">
        <f t="shared" si="482"/>
        <v>MS</v>
      </c>
    </row>
    <row r="20396" spans="1:6" x14ac:dyDescent="0.25">
      <c r="A20396" t="str">
        <f>"200026148"</f>
        <v>200026148</v>
      </c>
      <c r="B20396" t="str">
        <f>"1346107588"</f>
        <v>1346107588</v>
      </c>
      <c r="C20396" t="str">
        <f>"367500000X"</f>
        <v>367500000X</v>
      </c>
      <c r="D20396" t="str">
        <f>"JOHNSON                  MARY         E           "</f>
        <v xml:space="preserve">JOHNSON                  MARY         E           </v>
      </c>
      <c r="E20396" t="str">
        <f>"JACKSON                   "</f>
        <v xml:space="preserve">JACKSON                   </v>
      </c>
      <c r="F20396" t="str">
        <f t="shared" si="482"/>
        <v>MS</v>
      </c>
    </row>
    <row r="20397" spans="1:6" x14ac:dyDescent="0.25">
      <c r="A20397" t="str">
        <f>"200026155"</f>
        <v>200026155</v>
      </c>
      <c r="B20397" t="str">
        <f>"1104052661"</f>
        <v>1104052661</v>
      </c>
      <c r="C20397" t="str">
        <f>"2080P0214X"</f>
        <v>2080P0214X</v>
      </c>
      <c r="D20397" t="str">
        <f>"HOLMBLAD                 KRISTEL                  "</f>
        <v xml:space="preserve">HOLMBLAD                 KRISTEL                  </v>
      </c>
      <c r="E20397" t="str">
        <f>"JACKSON                   "</f>
        <v xml:space="preserve">JACKSON                   </v>
      </c>
      <c r="F20397" t="str">
        <f t="shared" si="482"/>
        <v>MS</v>
      </c>
    </row>
    <row r="20398" spans="1:6" x14ac:dyDescent="0.25">
      <c r="A20398" t="str">
        <f>"200026156"</f>
        <v>200026156</v>
      </c>
      <c r="B20398" t="str">
        <f>"1548138936"</f>
        <v>1548138936</v>
      </c>
      <c r="C20398" t="str">
        <f>"363LP0200X"</f>
        <v>363LP0200X</v>
      </c>
      <c r="D20398" t="str">
        <f>"GOLDEN                   KAREN                    "</f>
        <v xml:space="preserve">GOLDEN                   KAREN                    </v>
      </c>
      <c r="E20398" t="str">
        <f>"MADISON                   "</f>
        <v xml:space="preserve">MADISON                   </v>
      </c>
      <c r="F20398" t="str">
        <f t="shared" si="482"/>
        <v>MS</v>
      </c>
    </row>
    <row r="20399" spans="1:6" x14ac:dyDescent="0.25">
      <c r="A20399" t="str">
        <f>"200026161"</f>
        <v>200026161</v>
      </c>
      <c r="B20399" t="str">
        <f>"1881037240"</f>
        <v>1881037240</v>
      </c>
      <c r="C20399" t="str">
        <f>"2084N0400X"</f>
        <v>2084N0400X</v>
      </c>
      <c r="D20399" t="str">
        <f>"NAGY                     ADAM                     "</f>
        <v xml:space="preserve">NAGY                     ADAM                     </v>
      </c>
      <c r="E20399" t="str">
        <f>"TUPELO                    "</f>
        <v xml:space="preserve">TUPELO                    </v>
      </c>
      <c r="F20399" t="str">
        <f t="shared" si="482"/>
        <v>MS</v>
      </c>
    </row>
    <row r="20400" spans="1:6" x14ac:dyDescent="0.25">
      <c r="A20400" t="str">
        <f>"200026178"</f>
        <v>200026178</v>
      </c>
      <c r="B20400" t="str">
        <f>"1336599927"</f>
        <v>1336599927</v>
      </c>
      <c r="C20400" t="str">
        <f>"207Q00000X"</f>
        <v>207Q00000X</v>
      </c>
      <c r="D20400" t="str">
        <f>"AMIN                     SUMERA                   "</f>
        <v xml:space="preserve">AMIN                     SUMERA                   </v>
      </c>
      <c r="E20400" t="str">
        <f>"RIDGELAND                 "</f>
        <v xml:space="preserve">RIDGELAND                 </v>
      </c>
      <c r="F20400" t="str">
        <f t="shared" si="482"/>
        <v>MS</v>
      </c>
    </row>
    <row r="20401" spans="1:6" x14ac:dyDescent="0.25">
      <c r="A20401" t="str">
        <f>"200026180"</f>
        <v>200026180</v>
      </c>
      <c r="B20401" t="str">
        <f>"1568435626"</f>
        <v>1568435626</v>
      </c>
      <c r="C20401" t="str">
        <f>"2085R0202X"</f>
        <v>2085R0202X</v>
      </c>
      <c r="D20401" t="str">
        <f>"MURPHY                   MICHAEL                  "</f>
        <v xml:space="preserve">MURPHY                   MICHAEL                  </v>
      </c>
      <c r="E20401" t="str">
        <f>"HATTIESBURG               "</f>
        <v xml:space="preserve">HATTIESBURG               </v>
      </c>
      <c r="F20401" t="str">
        <f t="shared" si="482"/>
        <v>MS</v>
      </c>
    </row>
    <row r="20402" spans="1:6" x14ac:dyDescent="0.25">
      <c r="A20402" t="str">
        <f>"200026189"</f>
        <v>200026189</v>
      </c>
      <c r="B20402" t="str">
        <f>"1194604652"</f>
        <v>1194604652</v>
      </c>
      <c r="C20402" t="str">
        <f>"363LP0808X"</f>
        <v>363LP0808X</v>
      </c>
      <c r="D20402" t="str">
        <f>"HAYES                    CLARENCE                 "</f>
        <v xml:space="preserve">HAYES                    CLARENCE                 </v>
      </c>
      <c r="E20402" t="str">
        <f>"JACKSON                   "</f>
        <v xml:space="preserve">JACKSON                   </v>
      </c>
      <c r="F20402" t="str">
        <f t="shared" si="482"/>
        <v>MS</v>
      </c>
    </row>
    <row r="20403" spans="1:6" x14ac:dyDescent="0.25">
      <c r="A20403" t="str">
        <f>"200026192"</f>
        <v>200026192</v>
      </c>
      <c r="B20403" t="str">
        <f>"1245990118"</f>
        <v>1245990118</v>
      </c>
      <c r="C20403" t="str">
        <f>"363LF0000X"</f>
        <v>363LF0000X</v>
      </c>
      <c r="D20403" t="str">
        <f>"DOTSON                   PATRICIA                 "</f>
        <v xml:space="preserve">DOTSON                   PATRICIA                 </v>
      </c>
      <c r="E20403" t="str">
        <f>"JACKSON                   "</f>
        <v xml:space="preserve">JACKSON                   </v>
      </c>
      <c r="F20403" t="str">
        <f t="shared" si="482"/>
        <v>MS</v>
      </c>
    </row>
    <row r="20404" spans="1:6" x14ac:dyDescent="0.25">
      <c r="A20404" t="str">
        <f>"200026202"</f>
        <v>200026202</v>
      </c>
      <c r="B20404" t="str">
        <f>"1780569137"</f>
        <v>1780569137</v>
      </c>
      <c r="C20404" t="str">
        <f>"363LF0000X"</f>
        <v>363LF0000X</v>
      </c>
      <c r="D20404" t="str">
        <f>"REYNOLDS                 MOLLIE                   "</f>
        <v xml:space="preserve">REYNOLDS                 MOLLIE                   </v>
      </c>
      <c r="E20404" t="str">
        <f>"JACKSON                   "</f>
        <v xml:space="preserve">JACKSON                   </v>
      </c>
      <c r="F20404" t="str">
        <f t="shared" si="482"/>
        <v>MS</v>
      </c>
    </row>
    <row r="20405" spans="1:6" x14ac:dyDescent="0.25">
      <c r="A20405" t="str">
        <f>"200026210"</f>
        <v>200026210</v>
      </c>
      <c r="B20405" t="str">
        <f>"1306968540"</f>
        <v>1306968540</v>
      </c>
      <c r="C20405" t="str">
        <f>"363LF0000X"</f>
        <v>363LF0000X</v>
      </c>
      <c r="D20405" t="str">
        <f>"WILDEBRANDT              MONICA                   "</f>
        <v xml:space="preserve">WILDEBRANDT              MONICA                   </v>
      </c>
      <c r="E20405" t="str">
        <f>"TYLERTOWN                 "</f>
        <v xml:space="preserve">TYLERTOWN                 </v>
      </c>
      <c r="F20405" t="str">
        <f t="shared" si="482"/>
        <v>MS</v>
      </c>
    </row>
    <row r="20406" spans="1:6" x14ac:dyDescent="0.25">
      <c r="A20406" t="str">
        <f>"200026213"</f>
        <v>200026213</v>
      </c>
      <c r="B20406" t="str">
        <f>"1700736451"</f>
        <v>1700736451</v>
      </c>
      <c r="C20406" t="str">
        <f>"363L00000X"</f>
        <v>363L00000X</v>
      </c>
      <c r="D20406" t="str">
        <f>"CARTER                   WILLIAM      G           "</f>
        <v xml:space="preserve">CARTER                   WILLIAM      G           </v>
      </c>
      <c r="E20406" t="str">
        <f>"BROOKHAVEN                "</f>
        <v xml:space="preserve">BROOKHAVEN                </v>
      </c>
      <c r="F20406" t="str">
        <f t="shared" si="482"/>
        <v>MS</v>
      </c>
    </row>
    <row r="20407" spans="1:6" x14ac:dyDescent="0.25">
      <c r="A20407" t="str">
        <f>"200026215"</f>
        <v>200026215</v>
      </c>
      <c r="B20407" t="str">
        <f>"1225902844"</f>
        <v>1225902844</v>
      </c>
      <c r="C20407" t="str">
        <f>"363L00000X"</f>
        <v>363L00000X</v>
      </c>
      <c r="D20407" t="str">
        <f>"LENTZ                    CYNTHIA                  "</f>
        <v xml:space="preserve">LENTZ                    CYNTHIA                  </v>
      </c>
      <c r="E20407" t="str">
        <f>"NEW ALBANY                "</f>
        <v xml:space="preserve">NEW ALBANY                </v>
      </c>
      <c r="F20407" t="str">
        <f t="shared" si="482"/>
        <v>MS</v>
      </c>
    </row>
    <row r="20408" spans="1:6" x14ac:dyDescent="0.25">
      <c r="A20408" t="str">
        <f>"200026216"</f>
        <v>200026216</v>
      </c>
      <c r="B20408" t="str">
        <f>"1063428761"</f>
        <v>1063428761</v>
      </c>
      <c r="C20408" t="str">
        <f>"261QM0801X"</f>
        <v>261QM0801X</v>
      </c>
      <c r="D20408" t="str">
        <f>"REGION 8 MENTAL HEALTH - JAQUITH NH BUILD 28,33,78"</f>
        <v>REGION 8 MENTAL HEALTH - JAQUITH NH BUILD 28,33,78</v>
      </c>
      <c r="E20408" t="str">
        <f>"WHITFIELD                 "</f>
        <v xml:space="preserve">WHITFIELD                 </v>
      </c>
      <c r="F20408" t="str">
        <f t="shared" si="482"/>
        <v>MS</v>
      </c>
    </row>
    <row r="20409" spans="1:6" x14ac:dyDescent="0.25">
      <c r="A20409" t="str">
        <f>"200026218"</f>
        <v>200026218</v>
      </c>
      <c r="B20409" t="str">
        <f>"1710598230"</f>
        <v>1710598230</v>
      </c>
      <c r="C20409" t="str">
        <f>"363LF0000X"</f>
        <v>363LF0000X</v>
      </c>
      <c r="D20409" t="str">
        <f>"EPTING                   DESTINY                  "</f>
        <v xml:space="preserve">EPTING                   DESTINY                  </v>
      </c>
      <c r="E20409" t="str">
        <f>"MERIDIAN                  "</f>
        <v xml:space="preserve">MERIDIAN                  </v>
      </c>
      <c r="F20409" t="str">
        <f t="shared" si="482"/>
        <v>MS</v>
      </c>
    </row>
    <row r="20410" spans="1:6" x14ac:dyDescent="0.25">
      <c r="A20410" t="str">
        <f>"200026220"</f>
        <v>200026220</v>
      </c>
      <c r="B20410" t="str">
        <f>"1174317663"</f>
        <v>1174317663</v>
      </c>
      <c r="C20410" t="str">
        <f>"261QF0400X"</f>
        <v>261QF0400X</v>
      </c>
      <c r="D20410" t="str">
        <f>"COASTAL FAMILY HEALTH CENTER, INC                 "</f>
        <v xml:space="preserve">COASTAL FAMILY HEALTH CENTER, INC                 </v>
      </c>
      <c r="E20410" t="str">
        <f>"LUCEDALE                  "</f>
        <v xml:space="preserve">LUCEDALE                  </v>
      </c>
      <c r="F20410" t="str">
        <f t="shared" si="482"/>
        <v>MS</v>
      </c>
    </row>
    <row r="20411" spans="1:6" x14ac:dyDescent="0.25">
      <c r="A20411" t="str">
        <f>"200026223"</f>
        <v>200026223</v>
      </c>
      <c r="B20411" t="str">
        <f>"1295729598"</f>
        <v>1295729598</v>
      </c>
      <c r="C20411" t="str">
        <f>"2085R0202X"</f>
        <v>2085R0202X</v>
      </c>
      <c r="D20411" t="str">
        <f>"SNYDER                   RANDALL                  "</f>
        <v xml:space="preserve">SNYDER                   RANDALL                  </v>
      </c>
      <c r="E20411" t="str">
        <f>"HATTIESBURG               "</f>
        <v xml:space="preserve">HATTIESBURG               </v>
      </c>
      <c r="F20411" t="str">
        <f t="shared" si="482"/>
        <v>MS</v>
      </c>
    </row>
    <row r="20412" spans="1:6" x14ac:dyDescent="0.25">
      <c r="A20412" t="str">
        <f>"200026231"</f>
        <v>200026231</v>
      </c>
      <c r="B20412" t="str">
        <f>"1184686933"</f>
        <v>1184686933</v>
      </c>
      <c r="C20412" t="str">
        <f>"2085R0202X"</f>
        <v>2085R0202X</v>
      </c>
      <c r="D20412" t="str">
        <f>"SUCHECKI                 BRYAN                    "</f>
        <v xml:space="preserve">SUCHECKI                 BRYAN                    </v>
      </c>
      <c r="E20412" t="str">
        <f>"HATTIESBURG               "</f>
        <v xml:space="preserve">HATTIESBURG               </v>
      </c>
      <c r="F20412" t="str">
        <f t="shared" si="482"/>
        <v>MS</v>
      </c>
    </row>
    <row r="20413" spans="1:6" x14ac:dyDescent="0.25">
      <c r="A20413" t="str">
        <f>"200026232"</f>
        <v>200026232</v>
      </c>
      <c r="B20413" t="str">
        <f>"1922637784"</f>
        <v>1922637784</v>
      </c>
      <c r="C20413" t="str">
        <f>"2085R0202X"</f>
        <v>2085R0202X</v>
      </c>
      <c r="D20413" t="str">
        <f>"LANDIS                   MICHAEL                  "</f>
        <v xml:space="preserve">LANDIS                   MICHAEL                  </v>
      </c>
      <c r="E20413" t="str">
        <f>"HATTIESBURG               "</f>
        <v xml:space="preserve">HATTIESBURG               </v>
      </c>
      <c r="F20413" t="str">
        <f t="shared" si="482"/>
        <v>MS</v>
      </c>
    </row>
    <row r="20414" spans="1:6" x14ac:dyDescent="0.25">
      <c r="A20414" t="str">
        <f>"200026242"</f>
        <v>200026242</v>
      </c>
      <c r="B20414" t="str">
        <f>"1811511819"</f>
        <v>1811511819</v>
      </c>
      <c r="C20414" t="str">
        <f>"363LP0808X"</f>
        <v>363LP0808X</v>
      </c>
      <c r="D20414" t="str">
        <f>"NORTHINGTON              ARETHA                   "</f>
        <v xml:space="preserve">NORTHINGTON              ARETHA                   </v>
      </c>
      <c r="E20414" t="str">
        <f>"TUPELO                    "</f>
        <v xml:space="preserve">TUPELO                    </v>
      </c>
      <c r="F20414" t="str">
        <f t="shared" ref="F20414:F20477" si="483">"MS"</f>
        <v>MS</v>
      </c>
    </row>
    <row r="20415" spans="1:6" x14ac:dyDescent="0.25">
      <c r="A20415" t="str">
        <f>"200026243"</f>
        <v>200026243</v>
      </c>
      <c r="B20415" t="str">
        <f>"1932065141"</f>
        <v>1932065141</v>
      </c>
      <c r="C20415" t="str">
        <f>"261QM1300X"</f>
        <v>261QM1300X</v>
      </c>
      <c r="D20415" t="str">
        <f>"SUNFLOWER BOYLE CLINIC                            "</f>
        <v xml:space="preserve">SUNFLOWER BOYLE CLINIC                            </v>
      </c>
      <c r="E20415" t="str">
        <f>"BOYLE                     "</f>
        <v xml:space="preserve">BOYLE                     </v>
      </c>
      <c r="F20415" t="str">
        <f t="shared" si="483"/>
        <v>MS</v>
      </c>
    </row>
    <row r="20416" spans="1:6" x14ac:dyDescent="0.25">
      <c r="A20416" t="str">
        <f>"200026245"</f>
        <v>200026245</v>
      </c>
      <c r="B20416" t="str">
        <f>"1063222362"</f>
        <v>1063222362</v>
      </c>
      <c r="C20416" t="str">
        <f>"363LP0808X"</f>
        <v>363LP0808X</v>
      </c>
      <c r="D20416" t="str">
        <f>"MAYS                     STEPHANIE                "</f>
        <v xml:space="preserve">MAYS                     STEPHANIE                </v>
      </c>
      <c r="E20416" t="str">
        <f>"SOUTHAVEN                 "</f>
        <v xml:space="preserve">SOUTHAVEN                 </v>
      </c>
      <c r="F20416" t="str">
        <f t="shared" si="483"/>
        <v>MS</v>
      </c>
    </row>
    <row r="20417" spans="1:6" x14ac:dyDescent="0.25">
      <c r="A20417" t="str">
        <f>"200026256"</f>
        <v>200026256</v>
      </c>
      <c r="B20417" t="str">
        <f>"1114307287"</f>
        <v>1114307287</v>
      </c>
      <c r="C20417" t="str">
        <f>"2085R0202X"</f>
        <v>2085R0202X</v>
      </c>
      <c r="D20417" t="str">
        <f>"LEWIS                    TREVOR                   "</f>
        <v xml:space="preserve">LEWIS                    TREVOR                   </v>
      </c>
      <c r="E20417" t="str">
        <f>"HATTIESBURG               "</f>
        <v xml:space="preserve">HATTIESBURG               </v>
      </c>
      <c r="F20417" t="str">
        <f t="shared" si="483"/>
        <v>MS</v>
      </c>
    </row>
    <row r="20418" spans="1:6" x14ac:dyDescent="0.25">
      <c r="A20418" t="str">
        <f>"200026258"</f>
        <v>200026258</v>
      </c>
      <c r="B20418" t="str">
        <f>"1245523380"</f>
        <v>1245523380</v>
      </c>
      <c r="C20418" t="str">
        <f>"2085R0202X"</f>
        <v>2085R0202X</v>
      </c>
      <c r="D20418" t="str">
        <f>"NELSON                   RACHEL                   "</f>
        <v xml:space="preserve">NELSON                   RACHEL                   </v>
      </c>
      <c r="E20418" t="str">
        <f>"HATTIESBURG               "</f>
        <v xml:space="preserve">HATTIESBURG               </v>
      </c>
      <c r="F20418" t="str">
        <f t="shared" si="483"/>
        <v>MS</v>
      </c>
    </row>
    <row r="20419" spans="1:6" x14ac:dyDescent="0.25">
      <c r="A20419" t="str">
        <f>"200026262"</f>
        <v>200026262</v>
      </c>
      <c r="B20419" t="str">
        <f>"1912199779"</f>
        <v>1912199779</v>
      </c>
      <c r="C20419" t="str">
        <f>"2085R0202X"</f>
        <v>2085R0202X</v>
      </c>
      <c r="D20419" t="str">
        <f>"FARGIANO                 ANTONIO                  "</f>
        <v xml:space="preserve">FARGIANO                 ANTONIO                  </v>
      </c>
      <c r="E20419" t="str">
        <f>"HATTIESBURG               "</f>
        <v xml:space="preserve">HATTIESBURG               </v>
      </c>
      <c r="F20419" t="str">
        <f t="shared" si="483"/>
        <v>MS</v>
      </c>
    </row>
    <row r="20420" spans="1:6" x14ac:dyDescent="0.25">
      <c r="A20420" t="str">
        <f>"200026278"</f>
        <v>200026278</v>
      </c>
      <c r="B20420" t="str">
        <f>"1710463856"</f>
        <v>1710463856</v>
      </c>
      <c r="C20420" t="str">
        <f>"363LF0000X"</f>
        <v>363LF0000X</v>
      </c>
      <c r="D20420" t="str">
        <f>"MIKELL                   LUCY         R           "</f>
        <v xml:space="preserve">MIKELL                   LUCY         R           </v>
      </c>
      <c r="E20420" t="str">
        <f>"MCCOMB                    "</f>
        <v xml:space="preserve">MCCOMB                    </v>
      </c>
      <c r="F20420" t="str">
        <f t="shared" si="483"/>
        <v>MS</v>
      </c>
    </row>
    <row r="20421" spans="1:6" x14ac:dyDescent="0.25">
      <c r="A20421" t="str">
        <f>"200026282"</f>
        <v>200026282</v>
      </c>
      <c r="B20421" t="str">
        <f>"1316566441"</f>
        <v>1316566441</v>
      </c>
      <c r="C20421" t="str">
        <f>"2085R0202X"</f>
        <v>2085R0202X</v>
      </c>
      <c r="D20421" t="str">
        <f>"CASPER                   DAVID                    "</f>
        <v xml:space="preserve">CASPER                   DAVID                    </v>
      </c>
      <c r="E20421" t="str">
        <f>"HATTIESBURG               "</f>
        <v xml:space="preserve">HATTIESBURG               </v>
      </c>
      <c r="F20421" t="str">
        <f t="shared" si="483"/>
        <v>MS</v>
      </c>
    </row>
    <row r="20422" spans="1:6" x14ac:dyDescent="0.25">
      <c r="A20422" t="str">
        <f>"200026285"</f>
        <v>200026285</v>
      </c>
      <c r="B20422" t="str">
        <f>"1558604876"</f>
        <v>1558604876</v>
      </c>
      <c r="C20422" t="str">
        <f>"2085R0202X"</f>
        <v>2085R0202X</v>
      </c>
      <c r="D20422" t="str">
        <f>"DIVITO                   JASON                    "</f>
        <v xml:space="preserve">DIVITO                   JASON                    </v>
      </c>
      <c r="E20422" t="str">
        <f>"HATTIESBURG               "</f>
        <v xml:space="preserve">HATTIESBURG               </v>
      </c>
      <c r="F20422" t="str">
        <f t="shared" si="483"/>
        <v>MS</v>
      </c>
    </row>
    <row r="20423" spans="1:6" x14ac:dyDescent="0.25">
      <c r="A20423" t="str">
        <f>"200026296"</f>
        <v>200026296</v>
      </c>
      <c r="B20423" t="str">
        <f>"1457214728"</f>
        <v>1457214728</v>
      </c>
      <c r="C20423" t="str">
        <f>"367500000X"</f>
        <v>367500000X</v>
      </c>
      <c r="D20423" t="str">
        <f>"REED                     ASHANTI                  "</f>
        <v xml:space="preserve">REED                     ASHANTI                  </v>
      </c>
      <c r="E20423" t="str">
        <f>"HATTIESBURG               "</f>
        <v xml:space="preserve">HATTIESBURG               </v>
      </c>
      <c r="F20423" t="str">
        <f t="shared" si="483"/>
        <v>MS</v>
      </c>
    </row>
    <row r="20424" spans="1:6" x14ac:dyDescent="0.25">
      <c r="A20424" t="str">
        <f>"200026298"</f>
        <v>200026298</v>
      </c>
      <c r="B20424" t="str">
        <f>"1598104929"</f>
        <v>1598104929</v>
      </c>
      <c r="C20424" t="str">
        <f>"2085R0202X"</f>
        <v>2085R0202X</v>
      </c>
      <c r="D20424" t="str">
        <f>"BAHL                     SUMEET                   "</f>
        <v xml:space="preserve">BAHL                     SUMEET                   </v>
      </c>
      <c r="E20424" t="str">
        <f>"HATTIESBURG               "</f>
        <v xml:space="preserve">HATTIESBURG               </v>
      </c>
      <c r="F20424" t="str">
        <f t="shared" si="483"/>
        <v>MS</v>
      </c>
    </row>
    <row r="20425" spans="1:6" x14ac:dyDescent="0.25">
      <c r="A20425" t="str">
        <f>"200026303"</f>
        <v>200026303</v>
      </c>
      <c r="B20425" t="str">
        <f>"1184583080"</f>
        <v>1184583080</v>
      </c>
      <c r="C20425" t="str">
        <f>"363A00000X"</f>
        <v>363A00000X</v>
      </c>
      <c r="D20425" t="str">
        <f>"HARDIN                   ELIZABETH                "</f>
        <v xml:space="preserve">HARDIN                   ELIZABETH                </v>
      </c>
      <c r="E20425" t="str">
        <f>"JACKSON                   "</f>
        <v xml:space="preserve">JACKSON                   </v>
      </c>
      <c r="F20425" t="str">
        <f t="shared" si="483"/>
        <v>MS</v>
      </c>
    </row>
    <row r="20426" spans="1:6" x14ac:dyDescent="0.25">
      <c r="A20426" t="str">
        <f>"200026308"</f>
        <v>200026308</v>
      </c>
      <c r="B20426" t="str">
        <f>"1942588983"</f>
        <v>1942588983</v>
      </c>
      <c r="C20426" t="str">
        <f>"2084N0400X"</f>
        <v>2084N0400X</v>
      </c>
      <c r="D20426" t="str">
        <f>"ZAFAR                    ATIF                     "</f>
        <v xml:space="preserve">ZAFAR                    ATIF                     </v>
      </c>
      <c r="E20426" t="str">
        <f>"TUPELO                    "</f>
        <v xml:space="preserve">TUPELO                    </v>
      </c>
      <c r="F20426" t="str">
        <f t="shared" si="483"/>
        <v>MS</v>
      </c>
    </row>
    <row r="20427" spans="1:6" x14ac:dyDescent="0.25">
      <c r="A20427" t="str">
        <f>"200026310"</f>
        <v>200026310</v>
      </c>
      <c r="B20427" t="str">
        <f>"1033903547"</f>
        <v>1033903547</v>
      </c>
      <c r="C20427" t="str">
        <f>"261QR1300X"</f>
        <v>261QR1300X</v>
      </c>
      <c r="D20427" t="str">
        <f>"SOUTH CENTRAL URGENT CARE AND INDUSTRIAL MEDICINE "</f>
        <v xml:space="preserve">SOUTH CENTRAL URGENT CARE AND INDUSTRIAL MEDICINE </v>
      </c>
      <c r="E20427" t="str">
        <f>"LAUREL                    "</f>
        <v xml:space="preserve">LAUREL                    </v>
      </c>
      <c r="F20427" t="str">
        <f t="shared" si="483"/>
        <v>MS</v>
      </c>
    </row>
    <row r="20428" spans="1:6" x14ac:dyDescent="0.25">
      <c r="A20428" t="str">
        <f>"200026319"</f>
        <v>200026319</v>
      </c>
      <c r="B20428" t="str">
        <f>"1275270878"</f>
        <v>1275270878</v>
      </c>
      <c r="C20428" t="str">
        <f>"208000000X"</f>
        <v>208000000X</v>
      </c>
      <c r="D20428" t="str">
        <f>"BIRD                     KAYLA                    "</f>
        <v xml:space="preserve">BIRD                     KAYLA                    </v>
      </c>
      <c r="E20428" t="str">
        <f>"PASCAGOULA                "</f>
        <v xml:space="preserve">PASCAGOULA                </v>
      </c>
      <c r="F20428" t="str">
        <f t="shared" si="483"/>
        <v>MS</v>
      </c>
    </row>
    <row r="20429" spans="1:6" x14ac:dyDescent="0.25">
      <c r="A20429" t="str">
        <f>"200026320"</f>
        <v>200026320</v>
      </c>
      <c r="B20429" t="str">
        <f>"1194284430"</f>
        <v>1194284430</v>
      </c>
      <c r="C20429" t="str">
        <f>"363LG0600X"</f>
        <v>363LG0600X</v>
      </c>
      <c r="D20429" t="str">
        <f>"TALTON                   MADISON      C           "</f>
        <v xml:space="preserve">TALTON                   MADISON      C           </v>
      </c>
      <c r="E20429" t="str">
        <f>"JACKSON                   "</f>
        <v xml:space="preserve">JACKSON                   </v>
      </c>
      <c r="F20429" t="str">
        <f t="shared" si="483"/>
        <v>MS</v>
      </c>
    </row>
    <row r="20430" spans="1:6" x14ac:dyDescent="0.25">
      <c r="A20430" t="str">
        <f>"200026323"</f>
        <v>200026323</v>
      </c>
      <c r="B20430" t="str">
        <f>"1497560718"</f>
        <v>1497560718</v>
      </c>
      <c r="C20430" t="str">
        <f>"363LF0000X"</f>
        <v>363LF0000X</v>
      </c>
      <c r="D20430" t="str">
        <f>"GILLIAM                  MARTINA                  "</f>
        <v xml:space="preserve">GILLIAM                  MARTINA                  </v>
      </c>
      <c r="E20430" t="str">
        <f>"TUPELO                    "</f>
        <v xml:space="preserve">TUPELO                    </v>
      </c>
      <c r="F20430" t="str">
        <f t="shared" si="483"/>
        <v>MS</v>
      </c>
    </row>
    <row r="20431" spans="1:6" x14ac:dyDescent="0.25">
      <c r="A20431" t="str">
        <f>"200026326"</f>
        <v>200026326</v>
      </c>
      <c r="B20431" t="str">
        <f>"1871387373"</f>
        <v>1871387373</v>
      </c>
      <c r="C20431" t="str">
        <f>"261QF0400X"</f>
        <v>261QF0400X</v>
      </c>
      <c r="D20431" t="str">
        <f>"COASTAL FAMILY HEALTH CENTER                      "</f>
        <v xml:space="preserve">COASTAL FAMILY HEALTH CENTER                      </v>
      </c>
      <c r="E20431" t="str">
        <f>"LUCEDALE                  "</f>
        <v xml:space="preserve">LUCEDALE                  </v>
      </c>
      <c r="F20431" t="str">
        <f t="shared" si="483"/>
        <v>MS</v>
      </c>
    </row>
    <row r="20432" spans="1:6" x14ac:dyDescent="0.25">
      <c r="A20432" t="str">
        <f>"200026328"</f>
        <v>200026328</v>
      </c>
      <c r="B20432" t="str">
        <f>"1700896156"</f>
        <v>1700896156</v>
      </c>
      <c r="C20432" t="str">
        <f>"207R00000X"</f>
        <v>207R00000X</v>
      </c>
      <c r="D20432" t="str">
        <f>"GIBBS                    J.           C           "</f>
        <v xml:space="preserve">GIBBS                    J.           C           </v>
      </c>
      <c r="E20432" t="str">
        <f>"JACKSON                   "</f>
        <v xml:space="preserve">JACKSON                   </v>
      </c>
      <c r="F20432" t="str">
        <f t="shared" si="483"/>
        <v>MS</v>
      </c>
    </row>
    <row r="20433" spans="1:6" x14ac:dyDescent="0.25">
      <c r="A20433" t="str">
        <f>"200026330"</f>
        <v>200026330</v>
      </c>
      <c r="B20433" t="str">
        <f>"1972397461"</f>
        <v>1972397461</v>
      </c>
      <c r="C20433" t="str">
        <f>"207Q00000X"</f>
        <v>207Q00000X</v>
      </c>
      <c r="D20433" t="str">
        <f>"MITCHELL                 JON-DAVIS    W           "</f>
        <v xml:space="preserve">MITCHELL                 JON-DAVIS    W           </v>
      </c>
      <c r="E20433" t="str">
        <f>"MCCOMB                    "</f>
        <v xml:space="preserve">MCCOMB                    </v>
      </c>
      <c r="F20433" t="str">
        <f t="shared" si="483"/>
        <v>MS</v>
      </c>
    </row>
    <row r="20434" spans="1:6" x14ac:dyDescent="0.25">
      <c r="A20434" t="str">
        <f>"200026335"</f>
        <v>200026335</v>
      </c>
      <c r="B20434" t="str">
        <f>"1003892928"</f>
        <v>1003892928</v>
      </c>
      <c r="C20434" t="str">
        <f>"2085R0202X"</f>
        <v>2085R0202X</v>
      </c>
      <c r="D20434" t="str">
        <f>"GREENBERG                ODED                     "</f>
        <v xml:space="preserve">GREENBERG                ODED                     </v>
      </c>
      <c r="E20434" t="str">
        <f>"HATTIESBURG               "</f>
        <v xml:space="preserve">HATTIESBURG               </v>
      </c>
      <c r="F20434" t="str">
        <f t="shared" si="483"/>
        <v>MS</v>
      </c>
    </row>
    <row r="20435" spans="1:6" x14ac:dyDescent="0.25">
      <c r="A20435" t="str">
        <f>"200026339"</f>
        <v>200026339</v>
      </c>
      <c r="B20435" t="str">
        <f>"1104117522"</f>
        <v>1104117522</v>
      </c>
      <c r="C20435" t="str">
        <f>"208000000X"</f>
        <v>208000000X</v>
      </c>
      <c r="D20435" t="str">
        <f>"EGBELAKIN                AKINBODE                 "</f>
        <v xml:space="preserve">EGBELAKIN                AKINBODE                 </v>
      </c>
      <c r="E20435" t="str">
        <f>"PASCAGOULA                "</f>
        <v xml:space="preserve">PASCAGOULA                </v>
      </c>
      <c r="F20435" t="str">
        <f t="shared" si="483"/>
        <v>MS</v>
      </c>
    </row>
    <row r="20436" spans="1:6" x14ac:dyDescent="0.25">
      <c r="A20436" t="str">
        <f>"200026340"</f>
        <v>200026340</v>
      </c>
      <c r="B20436" t="str">
        <f>"1215511480"</f>
        <v>1215511480</v>
      </c>
      <c r="C20436" t="str">
        <f>"207Q00000X"</f>
        <v>207Q00000X</v>
      </c>
      <c r="D20436" t="str">
        <f>"SALAZAR                  AARON                    "</f>
        <v xml:space="preserve">SALAZAR                  AARON                    </v>
      </c>
      <c r="E20436" t="str">
        <f>"WEST POINT                "</f>
        <v xml:space="preserve">WEST POINT                </v>
      </c>
      <c r="F20436" t="str">
        <f t="shared" si="483"/>
        <v>MS</v>
      </c>
    </row>
    <row r="20437" spans="1:6" x14ac:dyDescent="0.25">
      <c r="A20437" t="str">
        <f>"200026343"</f>
        <v>200026343</v>
      </c>
      <c r="B20437" t="str">
        <f>"1912937459"</f>
        <v>1912937459</v>
      </c>
      <c r="C20437" t="str">
        <f>"207T00000X"</f>
        <v>207T00000X</v>
      </c>
      <c r="D20437" t="str">
        <f>"MORRIS                   GABRIELLE                "</f>
        <v xml:space="preserve">MORRIS                   GABRIELLE                </v>
      </c>
      <c r="E20437" t="str">
        <f>"COLUMBIA                  "</f>
        <v xml:space="preserve">COLUMBIA                  </v>
      </c>
      <c r="F20437" t="str">
        <f t="shared" si="483"/>
        <v>MS</v>
      </c>
    </row>
    <row r="20438" spans="1:6" x14ac:dyDescent="0.25">
      <c r="A20438" t="str">
        <f>"200026358"</f>
        <v>200026358</v>
      </c>
      <c r="B20438" t="str">
        <f>"1144782996"</f>
        <v>1144782996</v>
      </c>
      <c r="C20438" t="str">
        <f>"207Q00000X"</f>
        <v>207Q00000X</v>
      </c>
      <c r="D20438" t="str">
        <f>"BILLINGS                 ASHLEY                   "</f>
        <v xml:space="preserve">BILLINGS                 ASHLEY                   </v>
      </c>
      <c r="E20438" t="str">
        <f>"SOUTHAVEN                 "</f>
        <v xml:space="preserve">SOUTHAVEN                 </v>
      </c>
      <c r="F20438" t="str">
        <f t="shared" si="483"/>
        <v>MS</v>
      </c>
    </row>
    <row r="20439" spans="1:6" x14ac:dyDescent="0.25">
      <c r="A20439" t="str">
        <f>"200026362"</f>
        <v>200026362</v>
      </c>
      <c r="B20439" t="str">
        <f>"1053635391"</f>
        <v>1053635391</v>
      </c>
      <c r="C20439" t="str">
        <f>"363L00000X"</f>
        <v>363L00000X</v>
      </c>
      <c r="D20439" t="str">
        <f>"CAMERON                  TRACI                    "</f>
        <v xml:space="preserve">CAMERON                  TRACI                    </v>
      </c>
      <c r="E20439" t="str">
        <f>"RIDGELAND                 "</f>
        <v xml:space="preserve">RIDGELAND                 </v>
      </c>
      <c r="F20439" t="str">
        <f t="shared" si="483"/>
        <v>MS</v>
      </c>
    </row>
    <row r="20440" spans="1:6" x14ac:dyDescent="0.25">
      <c r="A20440" t="str">
        <f>"200026363"</f>
        <v>200026363</v>
      </c>
      <c r="B20440" t="str">
        <f>"1710601885"</f>
        <v>1710601885</v>
      </c>
      <c r="C20440" t="str">
        <f>"363LF0000X"</f>
        <v>363LF0000X</v>
      </c>
      <c r="D20440" t="str">
        <f>"LINSON                   WHITLEY                  "</f>
        <v xml:space="preserve">LINSON                   WHITLEY                  </v>
      </c>
      <c r="E20440" t="str">
        <f>"CANTON                    "</f>
        <v xml:space="preserve">CANTON                    </v>
      </c>
      <c r="F20440" t="str">
        <f t="shared" si="483"/>
        <v>MS</v>
      </c>
    </row>
    <row r="20441" spans="1:6" x14ac:dyDescent="0.25">
      <c r="A20441" t="str">
        <f>"200026366"</f>
        <v>200026366</v>
      </c>
      <c r="B20441" t="str">
        <f>"1740672112"</f>
        <v>1740672112</v>
      </c>
      <c r="C20441" t="str">
        <f>"207R00000X"</f>
        <v>207R00000X</v>
      </c>
      <c r="D20441" t="str">
        <f>"WU                       EDWIN                    "</f>
        <v xml:space="preserve">WU                       EDWIN                    </v>
      </c>
      <c r="E20441" t="str">
        <f>"RIDGELAND                 "</f>
        <v xml:space="preserve">RIDGELAND                 </v>
      </c>
      <c r="F20441" t="str">
        <f t="shared" si="483"/>
        <v>MS</v>
      </c>
    </row>
    <row r="20442" spans="1:6" x14ac:dyDescent="0.25">
      <c r="A20442" t="str">
        <f>"200026380"</f>
        <v>200026380</v>
      </c>
      <c r="B20442" t="str">
        <f>"1598064099"</f>
        <v>1598064099</v>
      </c>
      <c r="C20442" t="str">
        <f>"2085R0202X"</f>
        <v>2085R0202X</v>
      </c>
      <c r="D20442" t="str">
        <f>"RAO                      BALAJI                   "</f>
        <v xml:space="preserve">RAO                      BALAJI                   </v>
      </c>
      <c r="E20442" t="str">
        <f>"HATTIESBURG               "</f>
        <v xml:space="preserve">HATTIESBURG               </v>
      </c>
      <c r="F20442" t="str">
        <f t="shared" si="483"/>
        <v>MS</v>
      </c>
    </row>
    <row r="20443" spans="1:6" x14ac:dyDescent="0.25">
      <c r="A20443" t="str">
        <f>"200026382"</f>
        <v>200026382</v>
      </c>
      <c r="B20443" t="str">
        <f>"1164000543"</f>
        <v>1164000543</v>
      </c>
      <c r="C20443" t="str">
        <f>"207L00000X"</f>
        <v>207L00000X</v>
      </c>
      <c r="D20443" t="str">
        <f>"ROBISON                  JOHN                     "</f>
        <v xml:space="preserve">ROBISON                  JOHN                     </v>
      </c>
      <c r="E20443" t="str">
        <f>"TUPELO                    "</f>
        <v xml:space="preserve">TUPELO                    </v>
      </c>
      <c r="F20443" t="str">
        <f t="shared" si="483"/>
        <v>MS</v>
      </c>
    </row>
    <row r="20444" spans="1:6" x14ac:dyDescent="0.25">
      <c r="A20444" t="str">
        <f>"200026390"</f>
        <v>200026390</v>
      </c>
      <c r="B20444" t="str">
        <f>"1750901328"</f>
        <v>1750901328</v>
      </c>
      <c r="C20444" t="str">
        <f>"363LF0000X"</f>
        <v>363LF0000X</v>
      </c>
      <c r="D20444" t="str">
        <f>"DALTON                   CHANDLER                 "</f>
        <v xml:space="preserve">DALTON                   CHANDLER                 </v>
      </c>
      <c r="E20444" t="str">
        <f>"FLOWOOD                   "</f>
        <v xml:space="preserve">FLOWOOD                   </v>
      </c>
      <c r="F20444" t="str">
        <f t="shared" si="483"/>
        <v>MS</v>
      </c>
    </row>
    <row r="20445" spans="1:6" x14ac:dyDescent="0.25">
      <c r="A20445" t="str">
        <f>"200026401"</f>
        <v>200026401</v>
      </c>
      <c r="B20445" t="str">
        <f>"1518120575"</f>
        <v>1518120575</v>
      </c>
      <c r="C20445" t="str">
        <f>"2085R0202X"</f>
        <v>2085R0202X</v>
      </c>
      <c r="D20445" t="str">
        <f>"ROWE                     ANTHONY                  "</f>
        <v xml:space="preserve">ROWE                     ANTHONY                  </v>
      </c>
      <c r="E20445" t="str">
        <f>"HATTIESBURG               "</f>
        <v xml:space="preserve">HATTIESBURG               </v>
      </c>
      <c r="F20445" t="str">
        <f t="shared" si="483"/>
        <v>MS</v>
      </c>
    </row>
    <row r="20446" spans="1:6" x14ac:dyDescent="0.25">
      <c r="A20446" t="str">
        <f>"200026404"</f>
        <v>200026404</v>
      </c>
      <c r="B20446" t="str">
        <f>"1407893738"</f>
        <v>1407893738</v>
      </c>
      <c r="C20446" t="str">
        <f>"2085R0202X"</f>
        <v>2085R0202X</v>
      </c>
      <c r="D20446" t="str">
        <f>"CICCARELLI               ANDREW                   "</f>
        <v xml:space="preserve">CICCARELLI               ANDREW                   </v>
      </c>
      <c r="E20446" t="str">
        <f>"HATTIESBURG               "</f>
        <v xml:space="preserve">HATTIESBURG               </v>
      </c>
      <c r="F20446" t="str">
        <f t="shared" si="483"/>
        <v>MS</v>
      </c>
    </row>
    <row r="20447" spans="1:6" x14ac:dyDescent="0.25">
      <c r="A20447" t="str">
        <f>"200026412"</f>
        <v>200026412</v>
      </c>
      <c r="B20447" t="str">
        <f>"1083598080"</f>
        <v>1083598080</v>
      </c>
      <c r="C20447" t="str">
        <f>"363LF0000X"</f>
        <v>363LF0000X</v>
      </c>
      <c r="D20447" t="str">
        <f>"EDWARDS                  LAUREN       E           "</f>
        <v xml:space="preserve">EDWARDS                  LAUREN       E           </v>
      </c>
      <c r="E20447" t="str">
        <f>"COLUMBUS                  "</f>
        <v xml:space="preserve">COLUMBUS                  </v>
      </c>
      <c r="F20447" t="str">
        <f t="shared" si="483"/>
        <v>MS</v>
      </c>
    </row>
    <row r="20448" spans="1:6" x14ac:dyDescent="0.25">
      <c r="A20448" t="str">
        <f>"200026414"</f>
        <v>200026414</v>
      </c>
      <c r="B20448" t="str">
        <f>"1982610572"</f>
        <v>1982610572</v>
      </c>
      <c r="C20448" t="str">
        <f>"261QM0801X"</f>
        <v>261QM0801X</v>
      </c>
      <c r="D20448" t="str">
        <f>"PINE BELT MENTAL HEALTHCARE RESOURCES             "</f>
        <v xml:space="preserve">PINE BELT MENTAL HEALTHCARE RESOURCES             </v>
      </c>
      <c r="E20448" t="str">
        <f>"MCCOMB                    "</f>
        <v xml:space="preserve">MCCOMB                    </v>
      </c>
      <c r="F20448" t="str">
        <f t="shared" si="483"/>
        <v>MS</v>
      </c>
    </row>
    <row r="20449" spans="1:6" x14ac:dyDescent="0.25">
      <c r="A20449" t="str">
        <f>"200026419"</f>
        <v>200026419</v>
      </c>
      <c r="B20449" t="str">
        <f>"1164837241"</f>
        <v>1164837241</v>
      </c>
      <c r="C20449" t="str">
        <f>"2080N0001X"</f>
        <v>2080N0001X</v>
      </c>
      <c r="D20449" t="str">
        <f>"AHMED                    IMTIAZ                   "</f>
        <v xml:space="preserve">AHMED                    IMTIAZ                   </v>
      </c>
      <c r="E20449" t="str">
        <f>"SOUTHAVEN                 "</f>
        <v xml:space="preserve">SOUTHAVEN                 </v>
      </c>
      <c r="F20449" t="str">
        <f t="shared" si="483"/>
        <v>MS</v>
      </c>
    </row>
    <row r="20450" spans="1:6" x14ac:dyDescent="0.25">
      <c r="A20450" t="str">
        <f>"200026421"</f>
        <v>200026421</v>
      </c>
      <c r="B20450" t="str">
        <f>"1992776363"</f>
        <v>1992776363</v>
      </c>
      <c r="C20450" t="str">
        <f>"2084P0800X"</f>
        <v>2084P0800X</v>
      </c>
      <c r="D20450" t="str">
        <f>"KUDISCH                  ALEJANDRO                "</f>
        <v xml:space="preserve">KUDISCH                  ALEJANDRO                </v>
      </c>
      <c r="E20450" t="str">
        <f>"RIDGELAND                 "</f>
        <v xml:space="preserve">RIDGELAND                 </v>
      </c>
      <c r="F20450" t="str">
        <f t="shared" si="483"/>
        <v>MS</v>
      </c>
    </row>
    <row r="20451" spans="1:6" x14ac:dyDescent="0.25">
      <c r="A20451" t="str">
        <f>"200026424"</f>
        <v>200026424</v>
      </c>
      <c r="B20451" t="str">
        <f>"1609236900"</f>
        <v>1609236900</v>
      </c>
      <c r="C20451" t="str">
        <f>"363LF0000X"</f>
        <v>363LF0000X</v>
      </c>
      <c r="D20451" t="str">
        <f>"NIXON                    LINDSAY                  "</f>
        <v xml:space="preserve">NIXON                    LINDSAY                  </v>
      </c>
      <c r="E20451" t="str">
        <f>"BATESVILLE                "</f>
        <v xml:space="preserve">BATESVILLE                </v>
      </c>
      <c r="F20451" t="str">
        <f t="shared" si="483"/>
        <v>MS</v>
      </c>
    </row>
    <row r="20452" spans="1:6" x14ac:dyDescent="0.25">
      <c r="A20452" t="str">
        <f>"200026426"</f>
        <v>200026426</v>
      </c>
      <c r="B20452" t="str">
        <f>"1043872948"</f>
        <v>1043872948</v>
      </c>
      <c r="C20452" t="str">
        <f>"2086S0122X"</f>
        <v>2086S0122X</v>
      </c>
      <c r="D20452" t="str">
        <f>"SULLIVAN                 JOHN         M           "</f>
        <v xml:space="preserve">SULLIVAN                 JOHN         M           </v>
      </c>
      <c r="E20452" t="str">
        <f>"HATTIESBURG               "</f>
        <v xml:space="preserve">HATTIESBURG               </v>
      </c>
      <c r="F20452" t="str">
        <f t="shared" si="483"/>
        <v>MS</v>
      </c>
    </row>
    <row r="20453" spans="1:6" x14ac:dyDescent="0.25">
      <c r="A20453" t="str">
        <f>"200026433"</f>
        <v>200026433</v>
      </c>
      <c r="B20453" t="str">
        <f>"1982610572"</f>
        <v>1982610572</v>
      </c>
      <c r="C20453" t="str">
        <f>"261QM0801X"</f>
        <v>261QM0801X</v>
      </c>
      <c r="D20453" t="str">
        <f>"PINE BELT MENTAL HEALTHCARE RESOURCES             "</f>
        <v xml:space="preserve">PINE BELT MENTAL HEALTHCARE RESOURCES             </v>
      </c>
      <c r="E20453" t="str">
        <f>"PURVIS                    "</f>
        <v xml:space="preserve">PURVIS                    </v>
      </c>
      <c r="F20453" t="str">
        <f t="shared" si="483"/>
        <v>MS</v>
      </c>
    </row>
    <row r="20454" spans="1:6" x14ac:dyDescent="0.25">
      <c r="A20454" t="str">
        <f>"200026435"</f>
        <v>200026435</v>
      </c>
      <c r="B20454" t="str">
        <f>"1245248053"</f>
        <v>1245248053</v>
      </c>
      <c r="C20454" t="str">
        <f>"207P00000X"</f>
        <v>207P00000X</v>
      </c>
      <c r="D20454" t="str">
        <f>"DOLAN                    TERESA                   "</f>
        <v xml:space="preserve">DOLAN                    TERESA                   </v>
      </c>
      <c r="E20454" t="str">
        <f>"RIDGELAND                 "</f>
        <v xml:space="preserve">RIDGELAND                 </v>
      </c>
      <c r="F20454" t="str">
        <f t="shared" si="483"/>
        <v>MS</v>
      </c>
    </row>
    <row r="20455" spans="1:6" x14ac:dyDescent="0.25">
      <c r="A20455" t="str">
        <f>"200026436"</f>
        <v>200026436</v>
      </c>
      <c r="B20455" t="str">
        <f>"1982610572"</f>
        <v>1982610572</v>
      </c>
      <c r="C20455" t="str">
        <f>"261QM0801X"</f>
        <v>261QM0801X</v>
      </c>
      <c r="D20455" t="str">
        <f>"PINE BELT MENTAL HEALTHCARE RESOURCES             "</f>
        <v xml:space="preserve">PINE BELT MENTAL HEALTHCARE RESOURCES             </v>
      </c>
      <c r="E20455" t="str">
        <f>"HATTIESBURG               "</f>
        <v xml:space="preserve">HATTIESBURG               </v>
      </c>
      <c r="F20455" t="str">
        <f t="shared" si="483"/>
        <v>MS</v>
      </c>
    </row>
    <row r="20456" spans="1:6" x14ac:dyDescent="0.25">
      <c r="A20456" t="str">
        <f>"200026441"</f>
        <v>200026441</v>
      </c>
      <c r="B20456" t="str">
        <f>"1285454413"</f>
        <v>1285454413</v>
      </c>
      <c r="C20456" t="str">
        <f>"363LF0000X"</f>
        <v>363LF0000X</v>
      </c>
      <c r="D20456" t="str">
        <f>"HALL                     DANIELLE                 "</f>
        <v xml:space="preserve">HALL                     DANIELLE                 </v>
      </c>
      <c r="E20456" t="str">
        <f>"OLIVE BRANCH              "</f>
        <v xml:space="preserve">OLIVE BRANCH              </v>
      </c>
      <c r="F20456" t="str">
        <f t="shared" si="483"/>
        <v>MS</v>
      </c>
    </row>
    <row r="20457" spans="1:6" x14ac:dyDescent="0.25">
      <c r="A20457" t="str">
        <f>"200026442"</f>
        <v>200026442</v>
      </c>
      <c r="B20457" t="str">
        <f>"1295356400"</f>
        <v>1295356400</v>
      </c>
      <c r="C20457" t="str">
        <f>"2084N0400X"</f>
        <v>2084N0400X</v>
      </c>
      <c r="D20457" t="str">
        <f>"BOWERS                   JEFFREY                  "</f>
        <v xml:space="preserve">BOWERS                   JEFFREY                  </v>
      </c>
      <c r="E20457" t="str">
        <f>"TUPELO                    "</f>
        <v xml:space="preserve">TUPELO                    </v>
      </c>
      <c r="F20457" t="str">
        <f t="shared" si="483"/>
        <v>MS</v>
      </c>
    </row>
    <row r="20458" spans="1:6" x14ac:dyDescent="0.25">
      <c r="A20458" t="str">
        <f>"200026448"</f>
        <v>200026448</v>
      </c>
      <c r="B20458" t="str">
        <f>"1912581257"</f>
        <v>1912581257</v>
      </c>
      <c r="C20458" t="str">
        <f>"363LF0000X"</f>
        <v>363LF0000X</v>
      </c>
      <c r="D20458" t="str">
        <f>"HARPER                   SHELBY                   "</f>
        <v xml:space="preserve">HARPER                   SHELBY                   </v>
      </c>
      <c r="E20458" t="str">
        <f>"FLOWOOD                   "</f>
        <v xml:space="preserve">FLOWOOD                   </v>
      </c>
      <c r="F20458" t="str">
        <f t="shared" si="483"/>
        <v>MS</v>
      </c>
    </row>
    <row r="20459" spans="1:6" x14ac:dyDescent="0.25">
      <c r="A20459" t="str">
        <f>"200026449"</f>
        <v>200026449</v>
      </c>
      <c r="B20459" t="str">
        <f>"1982610572"</f>
        <v>1982610572</v>
      </c>
      <c r="C20459" t="str">
        <f>"261QM0801X"</f>
        <v>261QM0801X</v>
      </c>
      <c r="D20459" t="str">
        <f>"PINE BELT MENTAL HEALTHCARE RESOURCES             "</f>
        <v xml:space="preserve">PINE BELT MENTAL HEALTHCARE RESOURCES             </v>
      </c>
      <c r="E20459" t="str">
        <f>"MCCOMB                    "</f>
        <v xml:space="preserve">MCCOMB                    </v>
      </c>
      <c r="F20459" t="str">
        <f t="shared" si="483"/>
        <v>MS</v>
      </c>
    </row>
    <row r="20460" spans="1:6" x14ac:dyDescent="0.25">
      <c r="A20460" t="str">
        <f>"200026451"</f>
        <v>200026451</v>
      </c>
      <c r="B20460" t="str">
        <f>"1982610572"</f>
        <v>1982610572</v>
      </c>
      <c r="C20460" t="str">
        <f>"261QM0801X"</f>
        <v>261QM0801X</v>
      </c>
      <c r="D20460" t="str">
        <f>"PINE BELT MENTAL HEALTHCARE RESOURCES             "</f>
        <v xml:space="preserve">PINE BELT MENTAL HEALTHCARE RESOURCES             </v>
      </c>
      <c r="E20460" t="str">
        <f>"SUMMIT                    "</f>
        <v xml:space="preserve">SUMMIT                    </v>
      </c>
      <c r="F20460" t="str">
        <f t="shared" si="483"/>
        <v>MS</v>
      </c>
    </row>
    <row r="20461" spans="1:6" x14ac:dyDescent="0.25">
      <c r="A20461" t="str">
        <f>"200026456"</f>
        <v>200026456</v>
      </c>
      <c r="B20461" t="str">
        <f>"1407957632"</f>
        <v>1407957632</v>
      </c>
      <c r="C20461" t="str">
        <f>"207Q00000X"</f>
        <v>207Q00000X</v>
      </c>
      <c r="D20461" t="str">
        <f>"KIRK                     KECIA        K           "</f>
        <v xml:space="preserve">KIRK                     KECIA        K           </v>
      </c>
      <c r="E20461" t="str">
        <f>"OXFORD                    "</f>
        <v xml:space="preserve">OXFORD                    </v>
      </c>
      <c r="F20461" t="str">
        <f t="shared" si="483"/>
        <v>MS</v>
      </c>
    </row>
    <row r="20462" spans="1:6" x14ac:dyDescent="0.25">
      <c r="A20462" t="str">
        <f>"200026458"</f>
        <v>200026458</v>
      </c>
      <c r="B20462" t="str">
        <f>"1154110575"</f>
        <v>1154110575</v>
      </c>
      <c r="C20462" t="str">
        <f>"261QM1300X"</f>
        <v>261QM1300X</v>
      </c>
      <c r="D20462" t="str">
        <f>"TIPLERSVILLE FAMILY MEDICAL CLINIC                "</f>
        <v xml:space="preserve">TIPLERSVILLE FAMILY MEDICAL CLINIC                </v>
      </c>
      <c r="E20462" t="str">
        <f>"TIPLERSVILLE              "</f>
        <v xml:space="preserve">TIPLERSVILLE              </v>
      </c>
      <c r="F20462" t="str">
        <f t="shared" si="483"/>
        <v>MS</v>
      </c>
    </row>
    <row r="20463" spans="1:6" x14ac:dyDescent="0.25">
      <c r="A20463" t="str">
        <f>"200026459"</f>
        <v>200026459</v>
      </c>
      <c r="B20463" t="str">
        <f>"1235424284"</f>
        <v>1235424284</v>
      </c>
      <c r="C20463" t="str">
        <f>"2085R0202X"</f>
        <v>2085R0202X</v>
      </c>
      <c r="D20463" t="str">
        <f>"KATO                     KAMBRIE      Y           "</f>
        <v xml:space="preserve">KATO                     KAMBRIE      Y           </v>
      </c>
      <c r="E20463" t="str">
        <f>"MERIDIAN                  "</f>
        <v xml:space="preserve">MERIDIAN                  </v>
      </c>
      <c r="F20463" t="str">
        <f t="shared" si="483"/>
        <v>MS</v>
      </c>
    </row>
    <row r="20464" spans="1:6" x14ac:dyDescent="0.25">
      <c r="A20464" t="str">
        <f>"200026461"</f>
        <v>200026461</v>
      </c>
      <c r="B20464" t="str">
        <f>"1902162597"</f>
        <v>1902162597</v>
      </c>
      <c r="C20464" t="str">
        <f>"207Q00000X"</f>
        <v>207Q00000X</v>
      </c>
      <c r="D20464" t="str">
        <f>"WATSON                   ERIN                     "</f>
        <v xml:space="preserve">WATSON                   ERIN                     </v>
      </c>
      <c r="E20464" t="str">
        <f>"OLIVE BRANCH              "</f>
        <v xml:space="preserve">OLIVE BRANCH              </v>
      </c>
      <c r="F20464" t="str">
        <f t="shared" si="483"/>
        <v>MS</v>
      </c>
    </row>
    <row r="20465" spans="1:6" x14ac:dyDescent="0.25">
      <c r="A20465" t="str">
        <f>"200026462"</f>
        <v>200026462</v>
      </c>
      <c r="B20465" t="str">
        <f>"1962707745"</f>
        <v>1962707745</v>
      </c>
      <c r="C20465" t="str">
        <f>"207ZP0102X"</f>
        <v>207ZP0102X</v>
      </c>
      <c r="D20465" t="str">
        <f>"LACEY                    SULLIVAN                 "</f>
        <v xml:space="preserve">LACEY                    SULLIVAN                 </v>
      </c>
      <c r="E20465" t="str">
        <f>"PASCAGOULA                "</f>
        <v xml:space="preserve">PASCAGOULA                </v>
      </c>
      <c r="F20465" t="str">
        <f t="shared" si="483"/>
        <v>MS</v>
      </c>
    </row>
    <row r="20466" spans="1:6" x14ac:dyDescent="0.25">
      <c r="A20466" t="str">
        <f>"200026465"</f>
        <v>200026465</v>
      </c>
      <c r="B20466" t="str">
        <f>"1568676948"</f>
        <v>1568676948</v>
      </c>
      <c r="C20466" t="str">
        <f>"2085R0202X"</f>
        <v>2085R0202X</v>
      </c>
      <c r="D20466" t="str">
        <f>"WELTE                    FRANK                    "</f>
        <v xml:space="preserve">WELTE                    FRANK                    </v>
      </c>
      <c r="E20466" t="str">
        <f>"HATTIESBURG               "</f>
        <v xml:space="preserve">HATTIESBURG               </v>
      </c>
      <c r="F20466" t="str">
        <f t="shared" si="483"/>
        <v>MS</v>
      </c>
    </row>
    <row r="20467" spans="1:6" x14ac:dyDescent="0.25">
      <c r="A20467" t="str">
        <f>"200026467"</f>
        <v>200026467</v>
      </c>
      <c r="B20467" t="str">
        <f>"1487455036"</f>
        <v>1487455036</v>
      </c>
      <c r="C20467" t="str">
        <f>"363LF0000X"</f>
        <v>363LF0000X</v>
      </c>
      <c r="D20467" t="str">
        <f>"WALLACE                  CIJI                     "</f>
        <v xml:space="preserve">WALLACE                  CIJI                     </v>
      </c>
      <c r="E20467" t="str">
        <f>"GULFPORT                  "</f>
        <v xml:space="preserve">GULFPORT                  </v>
      </c>
      <c r="F20467" t="str">
        <f t="shared" si="483"/>
        <v>MS</v>
      </c>
    </row>
    <row r="20468" spans="1:6" x14ac:dyDescent="0.25">
      <c r="A20468" t="str">
        <f>"200026468"</f>
        <v>200026468</v>
      </c>
      <c r="B20468" t="str">
        <f>"1386269629"</f>
        <v>1386269629</v>
      </c>
      <c r="C20468" t="str">
        <f>"363LF0000X"</f>
        <v>363LF0000X</v>
      </c>
      <c r="D20468" t="str">
        <f>"WELLS                    MICHAELA     C           "</f>
        <v xml:space="preserve">WELLS                    MICHAELA     C           </v>
      </c>
      <c r="E20468" t="str">
        <f>"GULFPORT                  "</f>
        <v xml:space="preserve">GULFPORT                  </v>
      </c>
      <c r="F20468" t="str">
        <f t="shared" si="483"/>
        <v>MS</v>
      </c>
    </row>
    <row r="20469" spans="1:6" x14ac:dyDescent="0.25">
      <c r="A20469" t="str">
        <f>"200026471"</f>
        <v>200026471</v>
      </c>
      <c r="B20469" t="str">
        <f>"1902906787"</f>
        <v>1902906787</v>
      </c>
      <c r="C20469" t="str">
        <f>"207RC0000X"</f>
        <v>207RC0000X</v>
      </c>
      <c r="D20469" t="str">
        <f>"DERBES                   LAWRENCE                 "</f>
        <v xml:space="preserve">DERBES                   LAWRENCE                 </v>
      </c>
      <c r="E20469" t="str">
        <f>"BAY SAINT LOUIS           "</f>
        <v xml:space="preserve">BAY SAINT LOUIS           </v>
      </c>
      <c r="F20469" t="str">
        <f t="shared" si="483"/>
        <v>MS</v>
      </c>
    </row>
    <row r="20470" spans="1:6" x14ac:dyDescent="0.25">
      <c r="A20470" t="str">
        <f>"200026473"</f>
        <v>200026473</v>
      </c>
      <c r="B20470" t="str">
        <f>"1154272409"</f>
        <v>1154272409</v>
      </c>
      <c r="C20470" t="str">
        <f>"363L00000X"</f>
        <v>363L00000X</v>
      </c>
      <c r="D20470" t="str">
        <f>"SMITH                    JAMES        M           "</f>
        <v xml:space="preserve">SMITH                    JAMES        M           </v>
      </c>
      <c r="E20470" t="str">
        <f>"HATTIESBURG               "</f>
        <v xml:space="preserve">HATTIESBURG               </v>
      </c>
      <c r="F20470" t="str">
        <f t="shared" si="483"/>
        <v>MS</v>
      </c>
    </row>
    <row r="20471" spans="1:6" x14ac:dyDescent="0.25">
      <c r="A20471" t="str">
        <f>"200026480"</f>
        <v>200026480</v>
      </c>
      <c r="B20471" t="str">
        <f>"1497614952"</f>
        <v>1497614952</v>
      </c>
      <c r="C20471" t="str">
        <f>"363LP0808X"</f>
        <v>363LP0808X</v>
      </c>
      <c r="D20471" t="str">
        <f>"BURNS                    CHARLES      N           "</f>
        <v xml:space="preserve">BURNS                    CHARLES      N           </v>
      </c>
      <c r="E20471" t="str">
        <f>"BROOKHAVEN                "</f>
        <v xml:space="preserve">BROOKHAVEN                </v>
      </c>
      <c r="F20471" t="str">
        <f t="shared" si="483"/>
        <v>MS</v>
      </c>
    </row>
    <row r="20472" spans="1:6" x14ac:dyDescent="0.25">
      <c r="A20472" t="str">
        <f>"200026486"</f>
        <v>200026486</v>
      </c>
      <c r="B20472" t="str">
        <f>"1972860211"</f>
        <v>1972860211</v>
      </c>
      <c r="C20472" t="str">
        <f>"207V00000X"</f>
        <v>207V00000X</v>
      </c>
      <c r="D20472" t="str">
        <f>"REIFF                    EMILY                    "</f>
        <v xml:space="preserve">REIFF                    EMILY                    </v>
      </c>
      <c r="E20472" t="str">
        <f>"RIDGELAND                 "</f>
        <v xml:space="preserve">RIDGELAND                 </v>
      </c>
      <c r="F20472" t="str">
        <f t="shared" si="483"/>
        <v>MS</v>
      </c>
    </row>
    <row r="20473" spans="1:6" x14ac:dyDescent="0.25">
      <c r="A20473" t="str">
        <f>"200026489"</f>
        <v>200026489</v>
      </c>
      <c r="B20473" t="str">
        <f>"1033382122"</f>
        <v>1033382122</v>
      </c>
      <c r="C20473" t="str">
        <f>"2086S0129X"</f>
        <v>2086S0129X</v>
      </c>
      <c r="D20473" t="str">
        <f>"COREY                    MICHAEL      R           "</f>
        <v xml:space="preserve">COREY                    MICHAEL      R           </v>
      </c>
      <c r="E20473" t="str">
        <f>"SOUTHAVEN                 "</f>
        <v xml:space="preserve">SOUTHAVEN                 </v>
      </c>
      <c r="F20473" t="str">
        <f t="shared" si="483"/>
        <v>MS</v>
      </c>
    </row>
    <row r="20474" spans="1:6" x14ac:dyDescent="0.25">
      <c r="A20474" t="str">
        <f>"200026493"</f>
        <v>200026493</v>
      </c>
      <c r="B20474" t="str">
        <f>"1588514772"</f>
        <v>1588514772</v>
      </c>
      <c r="C20474" t="str">
        <f>"363L00000X"</f>
        <v>363L00000X</v>
      </c>
      <c r="D20474" t="str">
        <f>"WHITE                    ELIZABETH                "</f>
        <v xml:space="preserve">WHITE                    ELIZABETH                </v>
      </c>
      <c r="E20474" t="str">
        <f>"RIDGELAND                 "</f>
        <v xml:space="preserve">RIDGELAND                 </v>
      </c>
      <c r="F20474" t="str">
        <f t="shared" si="483"/>
        <v>MS</v>
      </c>
    </row>
    <row r="20475" spans="1:6" x14ac:dyDescent="0.25">
      <c r="A20475" t="str">
        <f>"200026505"</f>
        <v>200026505</v>
      </c>
      <c r="B20475" t="str">
        <f>"1619501293"</f>
        <v>1619501293</v>
      </c>
      <c r="C20475" t="str">
        <f>"207N00000X"</f>
        <v>207N00000X</v>
      </c>
      <c r="D20475" t="str">
        <f>"GADAROWSKI               MARY         B           "</f>
        <v xml:space="preserve">GADAROWSKI               MARY         B           </v>
      </c>
      <c r="E20475" t="str">
        <f>"GULFPORT                  "</f>
        <v xml:space="preserve">GULFPORT                  </v>
      </c>
      <c r="F20475" t="str">
        <f t="shared" si="483"/>
        <v>MS</v>
      </c>
    </row>
    <row r="20476" spans="1:6" x14ac:dyDescent="0.25">
      <c r="A20476" t="str">
        <f>"200026509"</f>
        <v>200026509</v>
      </c>
      <c r="B20476" t="str">
        <f>"1689731242"</f>
        <v>1689731242</v>
      </c>
      <c r="C20476" t="str">
        <f>"207P00000X"</f>
        <v>207P00000X</v>
      </c>
      <c r="D20476" t="str">
        <f>"ELLIS                    THOMAS                   "</f>
        <v xml:space="preserve">ELLIS                    THOMAS                   </v>
      </c>
      <c r="E20476" t="str">
        <f>"OCEAN SPRINGS             "</f>
        <v xml:space="preserve">OCEAN SPRINGS             </v>
      </c>
      <c r="F20476" t="str">
        <f t="shared" si="483"/>
        <v>MS</v>
      </c>
    </row>
    <row r="20477" spans="1:6" x14ac:dyDescent="0.25">
      <c r="A20477" t="str">
        <f>"200026513"</f>
        <v>200026513</v>
      </c>
      <c r="B20477" t="str">
        <f>"1386509628"</f>
        <v>1386509628</v>
      </c>
      <c r="C20477" t="str">
        <f>"367500000X"</f>
        <v>367500000X</v>
      </c>
      <c r="D20477" t="str">
        <f>"PARKER                   JORDAN                   "</f>
        <v xml:space="preserve">PARKER                   JORDAN                   </v>
      </c>
      <c r="E20477" t="str">
        <f>"MERIDIAN                  "</f>
        <v xml:space="preserve">MERIDIAN                  </v>
      </c>
      <c r="F20477" t="str">
        <f t="shared" si="483"/>
        <v>MS</v>
      </c>
    </row>
    <row r="20478" spans="1:6" x14ac:dyDescent="0.25">
      <c r="A20478" t="str">
        <f>"200026524"</f>
        <v>200026524</v>
      </c>
      <c r="B20478" t="str">
        <f>"1780538264"</f>
        <v>1780538264</v>
      </c>
      <c r="C20478" t="str">
        <f>"367500000X"</f>
        <v>367500000X</v>
      </c>
      <c r="D20478" t="str">
        <f>"POWELL                   JOSHUA                   "</f>
        <v xml:space="preserve">POWELL                   JOSHUA                   </v>
      </c>
      <c r="E20478" t="str">
        <f>"GULFPORT                  "</f>
        <v xml:space="preserve">GULFPORT                  </v>
      </c>
      <c r="F20478" t="str">
        <f t="shared" ref="F20478:F20541" si="484">"MS"</f>
        <v>MS</v>
      </c>
    </row>
    <row r="20479" spans="1:6" x14ac:dyDescent="0.25">
      <c r="A20479" t="str">
        <f>"200026525"</f>
        <v>200026525</v>
      </c>
      <c r="B20479" t="str">
        <f>"1669420873"</f>
        <v>1669420873</v>
      </c>
      <c r="C20479" t="str">
        <f>"2080N0001X"</f>
        <v>2080N0001X</v>
      </c>
      <c r="D20479" t="str">
        <f>"RASKIND                  CRAIG                    "</f>
        <v xml:space="preserve">RASKIND                  CRAIG                    </v>
      </c>
      <c r="E20479" t="str">
        <f>"HATTIESBURG               "</f>
        <v xml:space="preserve">HATTIESBURG               </v>
      </c>
      <c r="F20479" t="str">
        <f t="shared" si="484"/>
        <v>MS</v>
      </c>
    </row>
    <row r="20480" spans="1:6" x14ac:dyDescent="0.25">
      <c r="A20480" t="str">
        <f>"200026527"</f>
        <v>200026527</v>
      </c>
      <c r="B20480" t="str">
        <f>"1841629375"</f>
        <v>1841629375</v>
      </c>
      <c r="C20480" t="str">
        <f>"207P00000X"</f>
        <v>207P00000X</v>
      </c>
      <c r="D20480" t="str">
        <f>"PARR                     JOHN                     "</f>
        <v xml:space="preserve">PARR                     JOHN                     </v>
      </c>
      <c r="E20480" t="str">
        <f>"MERIDIAN                  "</f>
        <v xml:space="preserve">MERIDIAN                  </v>
      </c>
      <c r="F20480" t="str">
        <f t="shared" si="484"/>
        <v>MS</v>
      </c>
    </row>
    <row r="20481" spans="1:6" x14ac:dyDescent="0.25">
      <c r="A20481" t="str">
        <f>"200026528"</f>
        <v>200026528</v>
      </c>
      <c r="B20481" t="str">
        <f>"1982610572"</f>
        <v>1982610572</v>
      </c>
      <c r="C20481" t="str">
        <f>"261QM0801X"</f>
        <v>261QM0801X</v>
      </c>
      <c r="D20481" t="str">
        <f>"PINE BELT MENTAL HEALTHCARE RESOURCES             "</f>
        <v xml:space="preserve">PINE BELT MENTAL HEALTHCARE RESOURCES             </v>
      </c>
      <c r="E20481" t="str">
        <f>"GULFPORT                  "</f>
        <v xml:space="preserve">GULFPORT                  </v>
      </c>
      <c r="F20481" t="str">
        <f t="shared" si="484"/>
        <v>MS</v>
      </c>
    </row>
    <row r="20482" spans="1:6" x14ac:dyDescent="0.25">
      <c r="A20482" t="str">
        <f>"200026530"</f>
        <v>200026530</v>
      </c>
      <c r="B20482" t="str">
        <f>"1528623212"</f>
        <v>1528623212</v>
      </c>
      <c r="C20482" t="str">
        <f>"208M00000X"</f>
        <v>208M00000X</v>
      </c>
      <c r="D20482" t="str">
        <f>"JAGDEV                   NAVKIRAN     S           "</f>
        <v xml:space="preserve">JAGDEV                   NAVKIRAN     S           </v>
      </c>
      <c r="E20482" t="str">
        <f>"HATTIESBURG               "</f>
        <v xml:space="preserve">HATTIESBURG               </v>
      </c>
      <c r="F20482" t="str">
        <f t="shared" si="484"/>
        <v>MS</v>
      </c>
    </row>
    <row r="20483" spans="1:6" x14ac:dyDescent="0.25">
      <c r="A20483" t="str">
        <f>"200026531"</f>
        <v>200026531</v>
      </c>
      <c r="B20483" t="str">
        <f>"1619338761"</f>
        <v>1619338761</v>
      </c>
      <c r="C20483" t="str">
        <f>"122300000X"</f>
        <v>122300000X</v>
      </c>
      <c r="D20483" t="str">
        <f>"KELLY FAMILY DENTISTRY                            "</f>
        <v xml:space="preserve">KELLY FAMILY DENTISTRY                            </v>
      </c>
      <c r="E20483" t="str">
        <f>"FLOWOOD                   "</f>
        <v xml:space="preserve">FLOWOOD                   </v>
      </c>
      <c r="F20483" t="str">
        <f t="shared" si="484"/>
        <v>MS</v>
      </c>
    </row>
    <row r="20484" spans="1:6" x14ac:dyDescent="0.25">
      <c r="A20484" t="str">
        <f>"200026532"</f>
        <v>200026532</v>
      </c>
      <c r="B20484" t="str">
        <f>"1023577848"</f>
        <v>1023577848</v>
      </c>
      <c r="C20484" t="str">
        <f>"207R00000X"</f>
        <v>207R00000X</v>
      </c>
      <c r="D20484" t="str">
        <f>"LAM                      KHANG                    "</f>
        <v xml:space="preserve">LAM                      KHANG                    </v>
      </c>
      <c r="E20484" t="str">
        <f>"SOUTHAVEN                 "</f>
        <v xml:space="preserve">SOUTHAVEN                 </v>
      </c>
      <c r="F20484" t="str">
        <f t="shared" si="484"/>
        <v>MS</v>
      </c>
    </row>
    <row r="20485" spans="1:6" x14ac:dyDescent="0.25">
      <c r="A20485" t="str">
        <f>"200026537"</f>
        <v>200026537</v>
      </c>
      <c r="B20485" t="str">
        <f>"1144183740"</f>
        <v>1144183740</v>
      </c>
      <c r="C20485" t="str">
        <f>"363L00000X"</f>
        <v>363L00000X</v>
      </c>
      <c r="D20485" t="str">
        <f>"PENNY                    CAMERON                  "</f>
        <v xml:space="preserve">PENNY                    CAMERON                  </v>
      </c>
      <c r="E20485" t="str">
        <f>"OCEAN SPRINGS             "</f>
        <v xml:space="preserve">OCEAN SPRINGS             </v>
      </c>
      <c r="F20485" t="str">
        <f t="shared" si="484"/>
        <v>MS</v>
      </c>
    </row>
    <row r="20486" spans="1:6" x14ac:dyDescent="0.25">
      <c r="A20486" t="str">
        <f>"200026542"</f>
        <v>200026542</v>
      </c>
      <c r="B20486" t="str">
        <f>"1932050218"</f>
        <v>1932050218</v>
      </c>
      <c r="C20486" t="str">
        <f>"363AS0400X"</f>
        <v>363AS0400X</v>
      </c>
      <c r="D20486" t="str">
        <f>"LE                       XUAN TRUC    B           "</f>
        <v xml:space="preserve">LE                       XUAN TRUC    B           </v>
      </c>
      <c r="E20486" t="str">
        <f>"SOUTHAVEN                 "</f>
        <v xml:space="preserve">SOUTHAVEN                 </v>
      </c>
      <c r="F20486" t="str">
        <f t="shared" si="484"/>
        <v>MS</v>
      </c>
    </row>
    <row r="20487" spans="1:6" x14ac:dyDescent="0.25">
      <c r="A20487" t="str">
        <f>"200026554"</f>
        <v>200026554</v>
      </c>
      <c r="B20487" t="str">
        <f>"1043264864"</f>
        <v>1043264864</v>
      </c>
      <c r="C20487" t="str">
        <f>"367500000X"</f>
        <v>367500000X</v>
      </c>
      <c r="D20487" t="str">
        <f>"ANDERSON                 WARREN                   "</f>
        <v xml:space="preserve">ANDERSON                 WARREN                   </v>
      </c>
      <c r="E20487" t="str">
        <f>"SOUTHAVEN                 "</f>
        <v xml:space="preserve">SOUTHAVEN                 </v>
      </c>
      <c r="F20487" t="str">
        <f t="shared" si="484"/>
        <v>MS</v>
      </c>
    </row>
    <row r="20488" spans="1:6" x14ac:dyDescent="0.25">
      <c r="A20488" t="str">
        <f>"200026564"</f>
        <v>200026564</v>
      </c>
      <c r="B20488" t="str">
        <f>"1073055877"</f>
        <v>1073055877</v>
      </c>
      <c r="C20488" t="str">
        <f>"363L00000X"</f>
        <v>363L00000X</v>
      </c>
      <c r="D20488" t="str">
        <f>"BAILEY                   CUOI         S           "</f>
        <v xml:space="preserve">BAILEY                   CUOI         S           </v>
      </c>
      <c r="E20488" t="str">
        <f>"RIDGELAND                 "</f>
        <v xml:space="preserve">RIDGELAND                 </v>
      </c>
      <c r="F20488" t="str">
        <f t="shared" si="484"/>
        <v>MS</v>
      </c>
    </row>
    <row r="20489" spans="1:6" x14ac:dyDescent="0.25">
      <c r="A20489" t="str">
        <f>"200026572"</f>
        <v>200026572</v>
      </c>
      <c r="B20489" t="str">
        <f>"1336559079"</f>
        <v>1336559079</v>
      </c>
      <c r="C20489" t="str">
        <f>"207Q00000X"</f>
        <v>207Q00000X</v>
      </c>
      <c r="D20489" t="str">
        <f>"PATEL                    DEPEN                    "</f>
        <v xml:space="preserve">PATEL                    DEPEN                    </v>
      </c>
      <c r="E20489" t="str">
        <f>"MADISON                   "</f>
        <v xml:space="preserve">MADISON                   </v>
      </c>
      <c r="F20489" t="str">
        <f t="shared" si="484"/>
        <v>MS</v>
      </c>
    </row>
    <row r="20490" spans="1:6" x14ac:dyDescent="0.25">
      <c r="A20490" t="str">
        <f>"200026576"</f>
        <v>200026576</v>
      </c>
      <c r="B20490" t="str">
        <f>"1447091475"</f>
        <v>1447091475</v>
      </c>
      <c r="C20490" t="str">
        <f>"363A00000X"</f>
        <v>363A00000X</v>
      </c>
      <c r="D20490" t="str">
        <f>"LANE                     JORDAN                   "</f>
        <v xml:space="preserve">LANE                     JORDAN                   </v>
      </c>
      <c r="E20490" t="str">
        <f>"HORN LAKE                 "</f>
        <v xml:space="preserve">HORN LAKE                 </v>
      </c>
      <c r="F20490" t="str">
        <f t="shared" si="484"/>
        <v>MS</v>
      </c>
    </row>
    <row r="20491" spans="1:6" x14ac:dyDescent="0.25">
      <c r="A20491" t="str">
        <f>"200026578"</f>
        <v>200026578</v>
      </c>
      <c r="B20491" t="str">
        <f>"1437779170"</f>
        <v>1437779170</v>
      </c>
      <c r="C20491" t="str">
        <f>"2084N0400X"</f>
        <v>2084N0400X</v>
      </c>
      <c r="D20491" t="str">
        <f>"JAVADZADEH               ASHKAN                   "</f>
        <v xml:space="preserve">JAVADZADEH               ASHKAN                   </v>
      </c>
      <c r="E20491" t="str">
        <f>"TUPELO                    "</f>
        <v xml:space="preserve">TUPELO                    </v>
      </c>
      <c r="F20491" t="str">
        <f t="shared" si="484"/>
        <v>MS</v>
      </c>
    </row>
    <row r="20492" spans="1:6" x14ac:dyDescent="0.25">
      <c r="A20492" t="str">
        <f>"200026581"</f>
        <v>200026581</v>
      </c>
      <c r="B20492" t="str">
        <f>"1215965595"</f>
        <v>1215965595</v>
      </c>
      <c r="C20492" t="str">
        <f>"2080P0210X"</f>
        <v>2080P0210X</v>
      </c>
      <c r="D20492" t="str">
        <f>"MATHIAS                  ROBERT                   "</f>
        <v xml:space="preserve">MATHIAS                  ROBERT                   </v>
      </c>
      <c r="E20492" t="str">
        <f>"JACKSON                   "</f>
        <v xml:space="preserve">JACKSON                   </v>
      </c>
      <c r="F20492" t="str">
        <f t="shared" si="484"/>
        <v>MS</v>
      </c>
    </row>
    <row r="20493" spans="1:6" x14ac:dyDescent="0.25">
      <c r="A20493" t="str">
        <f>"200026583"</f>
        <v>200026583</v>
      </c>
      <c r="B20493" t="str">
        <f>"1104883693"</f>
        <v>1104883693</v>
      </c>
      <c r="C20493" t="str">
        <f>"2085R0202X"</f>
        <v>2085R0202X</v>
      </c>
      <c r="D20493" t="str">
        <f>"MARTIN                   ANDREW       J           "</f>
        <v xml:space="preserve">MARTIN                   ANDREW       J           </v>
      </c>
      <c r="E20493" t="str">
        <f>"MERIDIAN                  "</f>
        <v xml:space="preserve">MERIDIAN                  </v>
      </c>
      <c r="F20493" t="str">
        <f t="shared" si="484"/>
        <v>MS</v>
      </c>
    </row>
    <row r="20494" spans="1:6" x14ac:dyDescent="0.25">
      <c r="A20494" t="str">
        <f>"200026587"</f>
        <v>200026587</v>
      </c>
      <c r="B20494" t="str">
        <f>"1932150984"</f>
        <v>1932150984</v>
      </c>
      <c r="C20494" t="str">
        <f>"207P00000X"</f>
        <v>207P00000X</v>
      </c>
      <c r="D20494" t="str">
        <f>"GUOTH                    PAMELA                   "</f>
        <v xml:space="preserve">GUOTH                    PAMELA                   </v>
      </c>
      <c r="E20494" t="str">
        <f>"OLIVE BRANCH              "</f>
        <v xml:space="preserve">OLIVE BRANCH              </v>
      </c>
      <c r="F20494" t="str">
        <f t="shared" si="484"/>
        <v>MS</v>
      </c>
    </row>
    <row r="20495" spans="1:6" x14ac:dyDescent="0.25">
      <c r="A20495" t="str">
        <f>"200026588"</f>
        <v>200026588</v>
      </c>
      <c r="B20495" t="str">
        <f>"1629855747"</f>
        <v>1629855747</v>
      </c>
      <c r="C20495" t="str">
        <f>"363LF0000X"</f>
        <v>363LF0000X</v>
      </c>
      <c r="D20495" t="str">
        <f>"READ                     ALISHA                   "</f>
        <v xml:space="preserve">READ                     ALISHA                   </v>
      </c>
      <c r="E20495" t="str">
        <f>"TUPELO                    "</f>
        <v xml:space="preserve">TUPELO                    </v>
      </c>
      <c r="F20495" t="str">
        <f t="shared" si="484"/>
        <v>MS</v>
      </c>
    </row>
    <row r="20496" spans="1:6" x14ac:dyDescent="0.25">
      <c r="A20496" t="str">
        <f>"200026590"</f>
        <v>200026590</v>
      </c>
      <c r="B20496" t="str">
        <f>"1669704318"</f>
        <v>1669704318</v>
      </c>
      <c r="C20496" t="str">
        <f>"367500000X"</f>
        <v>367500000X</v>
      </c>
      <c r="D20496" t="str">
        <f>"RUSHING                  COURTNEY                 "</f>
        <v xml:space="preserve">RUSHING                  COURTNEY                 </v>
      </c>
      <c r="E20496" t="str">
        <f>"SOUTHAVEN                 "</f>
        <v xml:space="preserve">SOUTHAVEN                 </v>
      </c>
      <c r="F20496" t="str">
        <f t="shared" si="484"/>
        <v>MS</v>
      </c>
    </row>
    <row r="20497" spans="1:6" x14ac:dyDescent="0.25">
      <c r="A20497" t="str">
        <f>"200026592"</f>
        <v>200026592</v>
      </c>
      <c r="B20497" t="str">
        <f>"1487814133"</f>
        <v>1487814133</v>
      </c>
      <c r="C20497" t="str">
        <f>"367500000X"</f>
        <v>367500000X</v>
      </c>
      <c r="D20497" t="str">
        <f>"BOERS                    MARY                     "</f>
        <v xml:space="preserve">BOERS                    MARY                     </v>
      </c>
      <c r="E20497" t="str">
        <f>"SOUTHAVEN                 "</f>
        <v xml:space="preserve">SOUTHAVEN                 </v>
      </c>
      <c r="F20497" t="str">
        <f t="shared" si="484"/>
        <v>MS</v>
      </c>
    </row>
    <row r="20498" spans="1:6" x14ac:dyDescent="0.25">
      <c r="A20498" t="str">
        <f>"200026593"</f>
        <v>200026593</v>
      </c>
      <c r="B20498" t="str">
        <f>"1003225400"</f>
        <v>1003225400</v>
      </c>
      <c r="C20498" t="str">
        <f>"207P00000X"</f>
        <v>207P00000X</v>
      </c>
      <c r="D20498" t="str">
        <f>"FOX                      MELANIE                  "</f>
        <v xml:space="preserve">FOX                      MELANIE                  </v>
      </c>
      <c r="E20498" t="str">
        <f>"HATTIESBURG               "</f>
        <v xml:space="preserve">HATTIESBURG               </v>
      </c>
      <c r="F20498" t="str">
        <f t="shared" si="484"/>
        <v>MS</v>
      </c>
    </row>
    <row r="20499" spans="1:6" x14ac:dyDescent="0.25">
      <c r="A20499" t="str">
        <f>"200026606"</f>
        <v>200026606</v>
      </c>
      <c r="B20499" t="str">
        <f>"1083925119"</f>
        <v>1083925119</v>
      </c>
      <c r="C20499" t="str">
        <f>"207V00000X"</f>
        <v>207V00000X</v>
      </c>
      <c r="D20499" t="str">
        <f>"KAUFMANN                 KENNETH                  "</f>
        <v xml:space="preserve">KAUFMANN                 KENNETH                  </v>
      </c>
      <c r="E20499" t="str">
        <f>"MERIDIAN                  "</f>
        <v xml:space="preserve">MERIDIAN                  </v>
      </c>
      <c r="F20499" t="str">
        <f t="shared" si="484"/>
        <v>MS</v>
      </c>
    </row>
    <row r="20500" spans="1:6" x14ac:dyDescent="0.25">
      <c r="A20500" t="str">
        <f>"200026610"</f>
        <v>200026610</v>
      </c>
      <c r="B20500" t="str">
        <f>"1326012949"</f>
        <v>1326012949</v>
      </c>
      <c r="C20500" t="str">
        <f>"2084P0800X"</f>
        <v>2084P0800X</v>
      </c>
      <c r="D20500" t="str">
        <f>"FEENEY                   DANIEL       J           "</f>
        <v xml:space="preserve">FEENEY                   DANIEL       J           </v>
      </c>
      <c r="E20500" t="str">
        <f>"JACKSON                   "</f>
        <v xml:space="preserve">JACKSON                   </v>
      </c>
      <c r="F20500" t="str">
        <f t="shared" si="484"/>
        <v>MS</v>
      </c>
    </row>
    <row r="20501" spans="1:6" x14ac:dyDescent="0.25">
      <c r="A20501" t="str">
        <f>"200026611"</f>
        <v>200026611</v>
      </c>
      <c r="B20501" t="str">
        <f>"1124902432"</f>
        <v>1124902432</v>
      </c>
      <c r="C20501" t="str">
        <f>"363LP2300X"</f>
        <v>363LP2300X</v>
      </c>
      <c r="D20501" t="str">
        <f>"ROBINSON                 KIMBERLY                 "</f>
        <v xml:space="preserve">ROBINSON                 KIMBERLY                 </v>
      </c>
      <c r="E20501" t="str">
        <f>"SHAW                      "</f>
        <v xml:space="preserve">SHAW                      </v>
      </c>
      <c r="F20501" t="str">
        <f t="shared" si="484"/>
        <v>MS</v>
      </c>
    </row>
    <row r="20502" spans="1:6" x14ac:dyDescent="0.25">
      <c r="A20502" t="str">
        <f>"200026617"</f>
        <v>200026617</v>
      </c>
      <c r="B20502" t="str">
        <f>"1639728744"</f>
        <v>1639728744</v>
      </c>
      <c r="C20502" t="str">
        <f>"363L00000X"</f>
        <v>363L00000X</v>
      </c>
      <c r="D20502" t="str">
        <f>"HENSON                   GRACE                    "</f>
        <v xml:space="preserve">HENSON                   GRACE                    </v>
      </c>
      <c r="E20502" t="str">
        <f>"TUPELO                    "</f>
        <v xml:space="preserve">TUPELO                    </v>
      </c>
      <c r="F20502" t="str">
        <f t="shared" si="484"/>
        <v>MS</v>
      </c>
    </row>
    <row r="20503" spans="1:6" x14ac:dyDescent="0.25">
      <c r="A20503" t="str">
        <f>"200026618"</f>
        <v>200026618</v>
      </c>
      <c r="B20503" t="str">
        <f>"1447710223"</f>
        <v>1447710223</v>
      </c>
      <c r="C20503" t="str">
        <f>"363LP0808X"</f>
        <v>363LP0808X</v>
      </c>
      <c r="D20503" t="str">
        <f>"BERRY                    MARCUS                   "</f>
        <v xml:space="preserve">BERRY                    MARCUS                   </v>
      </c>
      <c r="E20503" t="str">
        <f>"JACKSON                   "</f>
        <v xml:space="preserve">JACKSON                   </v>
      </c>
      <c r="F20503" t="str">
        <f t="shared" si="484"/>
        <v>MS</v>
      </c>
    </row>
    <row r="20504" spans="1:6" x14ac:dyDescent="0.25">
      <c r="A20504" t="str">
        <f>"200026619"</f>
        <v>200026619</v>
      </c>
      <c r="B20504" t="str">
        <f>"1750258653"</f>
        <v>1750258653</v>
      </c>
      <c r="C20504" t="str">
        <f>"367500000X"</f>
        <v>367500000X</v>
      </c>
      <c r="D20504" t="str">
        <f>"JORDAN                   TREVOR                   "</f>
        <v xml:space="preserve">JORDAN                   TREVOR                   </v>
      </c>
      <c r="E20504" t="str">
        <f>"OXFORD                    "</f>
        <v xml:space="preserve">OXFORD                    </v>
      </c>
      <c r="F20504" t="str">
        <f t="shared" si="484"/>
        <v>MS</v>
      </c>
    </row>
    <row r="20505" spans="1:6" x14ac:dyDescent="0.25">
      <c r="A20505" t="str">
        <f>"200026622"</f>
        <v>200026622</v>
      </c>
      <c r="B20505" t="str">
        <f>"1689067837"</f>
        <v>1689067837</v>
      </c>
      <c r="C20505" t="str">
        <f>"363L00000X"</f>
        <v>363L00000X</v>
      </c>
      <c r="D20505" t="str">
        <f>"BRAUER                   KRISTINE                 "</f>
        <v xml:space="preserve">BRAUER                   KRISTINE                 </v>
      </c>
      <c r="E20505" t="str">
        <f>"RIDGELAND                 "</f>
        <v xml:space="preserve">RIDGELAND                 </v>
      </c>
      <c r="F20505" t="str">
        <f t="shared" si="484"/>
        <v>MS</v>
      </c>
    </row>
    <row r="20506" spans="1:6" x14ac:dyDescent="0.25">
      <c r="A20506" t="str">
        <f>"200026624"</f>
        <v>200026624</v>
      </c>
      <c r="B20506" t="str">
        <f>"1720883689"</f>
        <v>1720883689</v>
      </c>
      <c r="C20506" t="str">
        <f>"363L00000X"</f>
        <v>363L00000X</v>
      </c>
      <c r="D20506" t="str">
        <f>"HANCOCK                  RACHEL                   "</f>
        <v xml:space="preserve">HANCOCK                  RACHEL                   </v>
      </c>
      <c r="E20506" t="str">
        <f>"TUPELO                    "</f>
        <v xml:space="preserve">TUPELO                    </v>
      </c>
      <c r="F20506" t="str">
        <f t="shared" si="484"/>
        <v>MS</v>
      </c>
    </row>
    <row r="20507" spans="1:6" x14ac:dyDescent="0.25">
      <c r="A20507" t="str">
        <f>"200026629"</f>
        <v>200026629</v>
      </c>
      <c r="B20507" t="str">
        <f>"1083592620"</f>
        <v>1083592620</v>
      </c>
      <c r="C20507" t="str">
        <f>"363LF0000X"</f>
        <v>363LF0000X</v>
      </c>
      <c r="D20507" t="str">
        <f>"MOORE                    ANNA         C           "</f>
        <v xml:space="preserve">MOORE                    ANNA         C           </v>
      </c>
      <c r="E20507" t="str">
        <f>"ACKERMAN                  "</f>
        <v xml:space="preserve">ACKERMAN                  </v>
      </c>
      <c r="F20507" t="str">
        <f t="shared" si="484"/>
        <v>MS</v>
      </c>
    </row>
    <row r="20508" spans="1:6" x14ac:dyDescent="0.25">
      <c r="A20508" t="str">
        <f>"200026632"</f>
        <v>200026632</v>
      </c>
      <c r="B20508" t="str">
        <f>"1669664876"</f>
        <v>1669664876</v>
      </c>
      <c r="C20508" t="str">
        <f>"363LF0000X"</f>
        <v>363LF0000X</v>
      </c>
      <c r="D20508" t="str">
        <f>"YOUNG                    ROCHELLE                 "</f>
        <v xml:space="preserve">YOUNG                    ROCHELLE                 </v>
      </c>
      <c r="E20508" t="str">
        <f>"JACKSON                   "</f>
        <v xml:space="preserve">JACKSON                   </v>
      </c>
      <c r="F20508" t="str">
        <f t="shared" si="484"/>
        <v>MS</v>
      </c>
    </row>
    <row r="20509" spans="1:6" x14ac:dyDescent="0.25">
      <c r="A20509" t="str">
        <f>"200026635"</f>
        <v>200026635</v>
      </c>
      <c r="B20509" t="str">
        <f>"1811855463"</f>
        <v>1811855463</v>
      </c>
      <c r="C20509" t="str">
        <f>"363A00000X"</f>
        <v>363A00000X</v>
      </c>
      <c r="D20509" t="str">
        <f>"BUSH                     JARED                    "</f>
        <v xml:space="preserve">BUSH                     JARED                    </v>
      </c>
      <c r="E20509" t="str">
        <f>"HATTIESBURG               "</f>
        <v xml:space="preserve">HATTIESBURG               </v>
      </c>
      <c r="F20509" t="str">
        <f t="shared" si="484"/>
        <v>MS</v>
      </c>
    </row>
    <row r="20510" spans="1:6" x14ac:dyDescent="0.25">
      <c r="A20510" t="str">
        <f>"200026636"</f>
        <v>200026636</v>
      </c>
      <c r="B20510" t="str">
        <f>"1912509555"</f>
        <v>1912509555</v>
      </c>
      <c r="C20510" t="str">
        <f>"363LW0102X"</f>
        <v>363LW0102X</v>
      </c>
      <c r="D20510" t="str">
        <f>"MARTIN                   RACHEL                   "</f>
        <v xml:space="preserve">MARTIN                   RACHEL                   </v>
      </c>
      <c r="E20510" t="str">
        <f>"RIDGELAND                 "</f>
        <v xml:space="preserve">RIDGELAND                 </v>
      </c>
      <c r="F20510" t="str">
        <f t="shared" si="484"/>
        <v>MS</v>
      </c>
    </row>
    <row r="20511" spans="1:6" x14ac:dyDescent="0.25">
      <c r="A20511" t="str">
        <f>"200026638"</f>
        <v>200026638</v>
      </c>
      <c r="B20511" t="str">
        <f>"1154701670"</f>
        <v>1154701670</v>
      </c>
      <c r="C20511" t="str">
        <f>"207X00000X"</f>
        <v>207X00000X</v>
      </c>
      <c r="D20511" t="str">
        <f>"BARRAZUETA               GUSTAVO                  "</f>
        <v xml:space="preserve">BARRAZUETA               GUSTAVO                  </v>
      </c>
      <c r="E20511" t="str">
        <f>"VICKSBURG                 "</f>
        <v xml:space="preserve">VICKSBURG                 </v>
      </c>
      <c r="F20511" t="str">
        <f t="shared" si="484"/>
        <v>MS</v>
      </c>
    </row>
    <row r="20512" spans="1:6" x14ac:dyDescent="0.25">
      <c r="A20512" t="str">
        <f>"200026644"</f>
        <v>200026644</v>
      </c>
      <c r="B20512" t="str">
        <f>"1003393166"</f>
        <v>1003393166</v>
      </c>
      <c r="C20512" t="str">
        <f>"367A00000X"</f>
        <v>367A00000X</v>
      </c>
      <c r="D20512" t="str">
        <f>"RAPP                     WHITNEY                  "</f>
        <v xml:space="preserve">RAPP                     WHITNEY                  </v>
      </c>
      <c r="E20512" t="str">
        <f>"RIDGELAND                 "</f>
        <v xml:space="preserve">RIDGELAND                 </v>
      </c>
      <c r="F20512" t="str">
        <f t="shared" si="484"/>
        <v>MS</v>
      </c>
    </row>
    <row r="20513" spans="1:6" x14ac:dyDescent="0.25">
      <c r="A20513" t="str">
        <f>"200026646"</f>
        <v>200026646</v>
      </c>
      <c r="B20513" t="str">
        <f>"1255771101"</f>
        <v>1255771101</v>
      </c>
      <c r="C20513" t="str">
        <f>"367A00000X"</f>
        <v>367A00000X</v>
      </c>
      <c r="D20513" t="str">
        <f>"SANDER                   JENNA                    "</f>
        <v xml:space="preserve">SANDER                   JENNA                    </v>
      </c>
      <c r="E20513" t="str">
        <f>"RIDGELAND                 "</f>
        <v xml:space="preserve">RIDGELAND                 </v>
      </c>
      <c r="F20513" t="str">
        <f t="shared" si="484"/>
        <v>MS</v>
      </c>
    </row>
    <row r="20514" spans="1:6" x14ac:dyDescent="0.25">
      <c r="A20514" t="str">
        <f>"200026647"</f>
        <v>200026647</v>
      </c>
      <c r="B20514" t="str">
        <f>"1215195631"</f>
        <v>1215195631</v>
      </c>
      <c r="C20514" t="str">
        <f>"363LW0102X"</f>
        <v>363LW0102X</v>
      </c>
      <c r="D20514" t="str">
        <f>"FAVA                     KIMBERLY                 "</f>
        <v xml:space="preserve">FAVA                     KIMBERLY                 </v>
      </c>
      <c r="E20514" t="str">
        <f>"OXFORD                    "</f>
        <v xml:space="preserve">OXFORD                    </v>
      </c>
      <c r="F20514" t="str">
        <f t="shared" si="484"/>
        <v>MS</v>
      </c>
    </row>
    <row r="20515" spans="1:6" x14ac:dyDescent="0.25">
      <c r="A20515" t="str">
        <f>"200026648"</f>
        <v>200026648</v>
      </c>
      <c r="B20515" t="str">
        <f>"1639150444"</f>
        <v>1639150444</v>
      </c>
      <c r="C20515" t="str">
        <f>"207R00000X"</f>
        <v>207R00000X</v>
      </c>
      <c r="D20515" t="str">
        <f>"BALDWIN                  VICKI                    "</f>
        <v xml:space="preserve">BALDWIN                  VICKI                    </v>
      </c>
      <c r="E20515" t="str">
        <f>"GULFPORT                  "</f>
        <v xml:space="preserve">GULFPORT                  </v>
      </c>
      <c r="F20515" t="str">
        <f t="shared" si="484"/>
        <v>MS</v>
      </c>
    </row>
    <row r="20516" spans="1:6" x14ac:dyDescent="0.25">
      <c r="A20516" t="str">
        <f>"200026651"</f>
        <v>200026651</v>
      </c>
      <c r="B20516" t="str">
        <f>"1760374227"</f>
        <v>1760374227</v>
      </c>
      <c r="C20516" t="str">
        <f>"363LG0600X"</f>
        <v>363LG0600X</v>
      </c>
      <c r="D20516" t="str">
        <f>"WOOD                     MIA          0           "</f>
        <v xml:space="preserve">WOOD                     MIA          0           </v>
      </c>
      <c r="E20516" t="str">
        <f>"JACKSON                   "</f>
        <v xml:space="preserve">JACKSON                   </v>
      </c>
      <c r="F20516" t="str">
        <f t="shared" si="484"/>
        <v>MS</v>
      </c>
    </row>
    <row r="20517" spans="1:6" x14ac:dyDescent="0.25">
      <c r="A20517" t="str">
        <f>"200026656"</f>
        <v>200026656</v>
      </c>
      <c r="B20517" t="str">
        <f>"1366027260"</f>
        <v>1366027260</v>
      </c>
      <c r="C20517" t="str">
        <f>"207L00000X"</f>
        <v>207L00000X</v>
      </c>
      <c r="D20517" t="str">
        <f>"WITT                     FORREST                  "</f>
        <v xml:space="preserve">WITT                     FORREST                  </v>
      </c>
      <c r="E20517" t="str">
        <f>"GULFPORT                  "</f>
        <v xml:space="preserve">GULFPORT                  </v>
      </c>
      <c r="F20517" t="str">
        <f t="shared" si="484"/>
        <v>MS</v>
      </c>
    </row>
    <row r="20518" spans="1:6" x14ac:dyDescent="0.25">
      <c r="A20518" t="str">
        <f>"200026659"</f>
        <v>200026659</v>
      </c>
      <c r="B20518" t="str">
        <f>"1407944002"</f>
        <v>1407944002</v>
      </c>
      <c r="C20518" t="str">
        <f>"2084N0400X"</f>
        <v>2084N0400X</v>
      </c>
      <c r="D20518" t="str">
        <f>"DE SILVA                 NEELANTHA                "</f>
        <v xml:space="preserve">DE SILVA                 NEELANTHA                </v>
      </c>
      <c r="E20518" t="str">
        <f>"TUPELO                    "</f>
        <v xml:space="preserve">TUPELO                    </v>
      </c>
      <c r="F20518" t="str">
        <f t="shared" si="484"/>
        <v>MS</v>
      </c>
    </row>
    <row r="20519" spans="1:6" x14ac:dyDescent="0.25">
      <c r="A20519" t="str">
        <f>"200026661"</f>
        <v>200026661</v>
      </c>
      <c r="B20519" t="str">
        <f>"1174935803"</f>
        <v>1174935803</v>
      </c>
      <c r="C20519" t="str">
        <f>"363LP0200X"</f>
        <v>363LP0200X</v>
      </c>
      <c r="D20519" t="str">
        <f>"EDWARDS                  TENNISHA                 "</f>
        <v xml:space="preserve">EDWARDS                  TENNISHA                 </v>
      </c>
      <c r="E20519" t="str">
        <f>"RIDGELAND                 "</f>
        <v xml:space="preserve">RIDGELAND                 </v>
      </c>
      <c r="F20519" t="str">
        <f t="shared" si="484"/>
        <v>MS</v>
      </c>
    </row>
    <row r="20520" spans="1:6" x14ac:dyDescent="0.25">
      <c r="A20520" t="str">
        <f>"200026663"</f>
        <v>200026663</v>
      </c>
      <c r="B20520" t="str">
        <f>"1245796044"</f>
        <v>1245796044</v>
      </c>
      <c r="C20520" t="str">
        <f>"363LW0102X"</f>
        <v>363LW0102X</v>
      </c>
      <c r="D20520" t="str">
        <f>"LANEY                    LAURA                    "</f>
        <v xml:space="preserve">LANEY                    LAURA                    </v>
      </c>
      <c r="E20520" t="str">
        <f>"RIDGELAND                 "</f>
        <v xml:space="preserve">RIDGELAND                 </v>
      </c>
      <c r="F20520" t="str">
        <f t="shared" si="484"/>
        <v>MS</v>
      </c>
    </row>
    <row r="20521" spans="1:6" x14ac:dyDescent="0.25">
      <c r="A20521" t="str">
        <f>"200026670"</f>
        <v>200026670</v>
      </c>
      <c r="B20521" t="str">
        <f>"1295396661"</f>
        <v>1295396661</v>
      </c>
      <c r="C20521" t="str">
        <f>"363LF0000X"</f>
        <v>363LF0000X</v>
      </c>
      <c r="D20521" t="str">
        <f>"CROOM                    ASHLEY       T           "</f>
        <v xml:space="preserve">CROOM                    ASHLEY       T           </v>
      </c>
      <c r="E20521" t="str">
        <f>"JACKSON                   "</f>
        <v xml:space="preserve">JACKSON                   </v>
      </c>
      <c r="F20521" t="str">
        <f t="shared" si="484"/>
        <v>MS</v>
      </c>
    </row>
    <row r="20522" spans="1:6" x14ac:dyDescent="0.25">
      <c r="A20522" t="str">
        <f>"200026672"</f>
        <v>200026672</v>
      </c>
      <c r="B20522" t="str">
        <f>"1851080154"</f>
        <v>1851080154</v>
      </c>
      <c r="C20522" t="str">
        <f>"207R00000X"</f>
        <v>207R00000X</v>
      </c>
      <c r="D20522" t="str">
        <f>"ROGERS                   TAYLOR                   "</f>
        <v xml:space="preserve">ROGERS                   TAYLOR                   </v>
      </c>
      <c r="E20522" t="str">
        <f>"GULFPORT                  "</f>
        <v xml:space="preserve">GULFPORT                  </v>
      </c>
      <c r="F20522" t="str">
        <f t="shared" si="484"/>
        <v>MS</v>
      </c>
    </row>
    <row r="20523" spans="1:6" x14ac:dyDescent="0.25">
      <c r="A20523" t="str">
        <f>"200026674"</f>
        <v>200026674</v>
      </c>
      <c r="B20523" t="str">
        <f>"1114928512"</f>
        <v>1114928512</v>
      </c>
      <c r="C20523" t="str">
        <f>"207R00000X"</f>
        <v>207R00000X</v>
      </c>
      <c r="D20523" t="str">
        <f>"JUNKINS                  JASON                    "</f>
        <v xml:space="preserve">JUNKINS                  JASON                    </v>
      </c>
      <c r="E20523" t="str">
        <f>"CARTHAGE                  "</f>
        <v xml:space="preserve">CARTHAGE                  </v>
      </c>
      <c r="F20523" t="str">
        <f t="shared" si="484"/>
        <v>MS</v>
      </c>
    </row>
    <row r="20524" spans="1:6" x14ac:dyDescent="0.25">
      <c r="A20524" t="str">
        <f>"200026679"</f>
        <v>200026679</v>
      </c>
      <c r="B20524" t="str">
        <f>"1194979385"</f>
        <v>1194979385</v>
      </c>
      <c r="C20524" t="str">
        <f>"363L00000X"</f>
        <v>363L00000X</v>
      </c>
      <c r="D20524" t="str">
        <f>"COLLINS                  ROBIN        R           "</f>
        <v xml:space="preserve">COLLINS                  ROBIN        R           </v>
      </c>
      <c r="E20524" t="str">
        <f>"RIDGELAND                 "</f>
        <v xml:space="preserve">RIDGELAND                 </v>
      </c>
      <c r="F20524" t="str">
        <f t="shared" si="484"/>
        <v>MS</v>
      </c>
    </row>
    <row r="20525" spans="1:6" x14ac:dyDescent="0.25">
      <c r="A20525" t="str">
        <f>"200026685"</f>
        <v>200026685</v>
      </c>
      <c r="B20525" t="str">
        <f>"1275858599"</f>
        <v>1275858599</v>
      </c>
      <c r="C20525" t="str">
        <f>"363LF0000X"</f>
        <v>363LF0000X</v>
      </c>
      <c r="D20525" t="str">
        <f>"WILBURN                  CATHY                    "</f>
        <v xml:space="preserve">WILBURN                  CATHY                    </v>
      </c>
      <c r="E20525" t="str">
        <f>"OXFORD                    "</f>
        <v xml:space="preserve">OXFORD                    </v>
      </c>
      <c r="F20525" t="str">
        <f t="shared" si="484"/>
        <v>MS</v>
      </c>
    </row>
    <row r="20526" spans="1:6" x14ac:dyDescent="0.25">
      <c r="A20526" t="str">
        <f>"200026688"</f>
        <v>200026688</v>
      </c>
      <c r="B20526" t="str">
        <f>"1548587256"</f>
        <v>1548587256</v>
      </c>
      <c r="C20526" t="str">
        <f>"207R00000X"</f>
        <v>207R00000X</v>
      </c>
      <c r="D20526" t="str">
        <f>"PINK                     JOCHEBED                 "</f>
        <v xml:space="preserve">PINK                     JOCHEBED                 </v>
      </c>
      <c r="E20526" t="str">
        <f>"RIDGELAND                 "</f>
        <v xml:space="preserve">RIDGELAND                 </v>
      </c>
      <c r="F20526" t="str">
        <f t="shared" si="484"/>
        <v>MS</v>
      </c>
    </row>
    <row r="20527" spans="1:6" x14ac:dyDescent="0.25">
      <c r="A20527" t="str">
        <f>"200026690"</f>
        <v>200026690</v>
      </c>
      <c r="B20527" t="str">
        <f>"1174751093"</f>
        <v>1174751093</v>
      </c>
      <c r="C20527" t="str">
        <f>"363LF0000X"</f>
        <v>363LF0000X</v>
      </c>
      <c r="D20527" t="str">
        <f>"VANCE                    LINDA                    "</f>
        <v xml:space="preserve">VANCE                    LINDA                    </v>
      </c>
      <c r="E20527" t="str">
        <f>"RIDGELAND                 "</f>
        <v xml:space="preserve">RIDGELAND                 </v>
      </c>
      <c r="F20527" t="str">
        <f t="shared" si="484"/>
        <v>MS</v>
      </c>
    </row>
    <row r="20528" spans="1:6" x14ac:dyDescent="0.25">
      <c r="A20528" t="str">
        <f>"200026692"</f>
        <v>200026692</v>
      </c>
      <c r="B20528" t="str">
        <f>"1063428761"</f>
        <v>1063428761</v>
      </c>
      <c r="C20528" t="str">
        <f>"261QM0801X"</f>
        <v>261QM0801X</v>
      </c>
      <c r="D20528" t="str">
        <f>"REGION 8 MENTAL HEALTH-LARRY WADE SWALES CSU      "</f>
        <v xml:space="preserve">REGION 8 MENTAL HEALTH-LARRY WADE SWALES CSU      </v>
      </c>
      <c r="E20528" t="str">
        <f>"BRANDON                   "</f>
        <v xml:space="preserve">BRANDON                   </v>
      </c>
      <c r="F20528" t="str">
        <f t="shared" si="484"/>
        <v>MS</v>
      </c>
    </row>
    <row r="20529" spans="1:6" x14ac:dyDescent="0.25">
      <c r="A20529" t="str">
        <f>"200026693"</f>
        <v>200026693</v>
      </c>
      <c r="B20529" t="str">
        <f>"1982610572"</f>
        <v>1982610572</v>
      </c>
      <c r="C20529" t="str">
        <f>"261QM0801X"</f>
        <v>261QM0801X</v>
      </c>
      <c r="D20529" t="str">
        <f>"PINE BELT MENTAL HEALTHCARE RESOURCES             "</f>
        <v xml:space="preserve">PINE BELT MENTAL HEALTHCARE RESOURCES             </v>
      </c>
      <c r="E20529" t="str">
        <f>"RICHTON                   "</f>
        <v xml:space="preserve">RICHTON                   </v>
      </c>
      <c r="F20529" t="str">
        <f t="shared" si="484"/>
        <v>MS</v>
      </c>
    </row>
    <row r="20530" spans="1:6" x14ac:dyDescent="0.25">
      <c r="A20530" t="str">
        <f>"200026694"</f>
        <v>200026694</v>
      </c>
      <c r="B20530" t="str">
        <f>"1942616560"</f>
        <v>1942616560</v>
      </c>
      <c r="C20530" t="str">
        <f>"2084N0400X"</f>
        <v>2084N0400X</v>
      </c>
      <c r="D20530" t="str">
        <f>"SABRA                    MARK                     "</f>
        <v xml:space="preserve">SABRA                    MARK                     </v>
      </c>
      <c r="E20530" t="str">
        <f>"TUPELO                    "</f>
        <v xml:space="preserve">TUPELO                    </v>
      </c>
      <c r="F20530" t="str">
        <f t="shared" si="484"/>
        <v>MS</v>
      </c>
    </row>
    <row r="20531" spans="1:6" x14ac:dyDescent="0.25">
      <c r="A20531" t="str">
        <f>"200026695"</f>
        <v>200026695</v>
      </c>
      <c r="B20531" t="str">
        <f>"1780983148"</f>
        <v>1780983148</v>
      </c>
      <c r="C20531" t="str">
        <f>"207RE0101X"</f>
        <v>207RE0101X</v>
      </c>
      <c r="D20531" t="str">
        <f>"GOMBERG                  MONICA                   "</f>
        <v xml:space="preserve">GOMBERG                  MONICA                   </v>
      </c>
      <c r="E20531" t="str">
        <f>"GULFPORT                  "</f>
        <v xml:space="preserve">GULFPORT                  </v>
      </c>
      <c r="F20531" t="str">
        <f t="shared" si="484"/>
        <v>MS</v>
      </c>
    </row>
    <row r="20532" spans="1:6" x14ac:dyDescent="0.25">
      <c r="A20532" t="str">
        <f>"200026698"</f>
        <v>200026698</v>
      </c>
      <c r="B20532" t="str">
        <f>"1063428761"</f>
        <v>1063428761</v>
      </c>
      <c r="C20532" t="str">
        <f>"261QM0801X"</f>
        <v>261QM0801X</v>
      </c>
      <c r="D20532" t="str">
        <f>"REGION 8 MENTAL HEALTH - RANKIN CO I,II,IV,V,VII  "</f>
        <v xml:space="preserve">REGION 8 MENTAL HEALTH - RANKIN CO I,II,IV,V,VII  </v>
      </c>
      <c r="E20532" t="str">
        <f>"BRANDON                   "</f>
        <v xml:space="preserve">BRANDON                   </v>
      </c>
      <c r="F20532" t="str">
        <f t="shared" si="484"/>
        <v>MS</v>
      </c>
    </row>
    <row r="20533" spans="1:6" x14ac:dyDescent="0.25">
      <c r="A20533" t="str">
        <f>"200026700"</f>
        <v>200026700</v>
      </c>
      <c r="B20533" t="str">
        <f>"1982610572"</f>
        <v>1982610572</v>
      </c>
      <c r="C20533" t="str">
        <f>"261QM0801X"</f>
        <v>261QM0801X</v>
      </c>
      <c r="D20533" t="str">
        <f>"PINE BELT MENTAL HEALTHCARE RESOURCES             "</f>
        <v xml:space="preserve">PINE BELT MENTAL HEALTHCARE RESOURCES             </v>
      </c>
      <c r="E20533" t="str">
        <f>"BAY ST LOUIS              "</f>
        <v xml:space="preserve">BAY ST LOUIS              </v>
      </c>
      <c r="F20533" t="str">
        <f t="shared" si="484"/>
        <v>MS</v>
      </c>
    </row>
    <row r="20534" spans="1:6" x14ac:dyDescent="0.25">
      <c r="A20534" t="str">
        <f>"200026710"</f>
        <v>200026710</v>
      </c>
      <c r="B20534" t="str">
        <f>"1700685021"</f>
        <v>1700685021</v>
      </c>
      <c r="C20534" t="str">
        <f>"261QA1903X"</f>
        <v>261QA1903X</v>
      </c>
      <c r="D20534" t="str">
        <f>"MAGNOLIA SURGERY CENTER, LLC                      "</f>
        <v xml:space="preserve">MAGNOLIA SURGERY CENTER, LLC                      </v>
      </c>
      <c r="E20534" t="str">
        <f>"SOUTHAVEN                 "</f>
        <v xml:space="preserve">SOUTHAVEN                 </v>
      </c>
      <c r="F20534" t="str">
        <f t="shared" si="484"/>
        <v>MS</v>
      </c>
    </row>
    <row r="20535" spans="1:6" x14ac:dyDescent="0.25">
      <c r="A20535" t="str">
        <f>"200026711"</f>
        <v>200026711</v>
      </c>
      <c r="B20535" t="str">
        <f>"1679980072"</f>
        <v>1679980072</v>
      </c>
      <c r="C20535" t="str">
        <f>"208M00000X"</f>
        <v>208M00000X</v>
      </c>
      <c r="D20535" t="str">
        <f>"JABBOUR                  RAMI                     "</f>
        <v xml:space="preserve">JABBOUR                  RAMI                     </v>
      </c>
      <c r="E20535" t="str">
        <f>"HATTIESBURG               "</f>
        <v xml:space="preserve">HATTIESBURG               </v>
      </c>
      <c r="F20535" t="str">
        <f t="shared" si="484"/>
        <v>MS</v>
      </c>
    </row>
    <row r="20536" spans="1:6" x14ac:dyDescent="0.25">
      <c r="A20536" t="str">
        <f>"200026714"</f>
        <v>200026714</v>
      </c>
      <c r="B20536" t="str">
        <f>"1538953195"</f>
        <v>1538953195</v>
      </c>
      <c r="C20536" t="str">
        <f>"207Q00000X"</f>
        <v>207Q00000X</v>
      </c>
      <c r="D20536" t="str">
        <f>"GEORGE                   MELVIN                   "</f>
        <v xml:space="preserve">GEORGE                   MELVIN                   </v>
      </c>
      <c r="E20536" t="str">
        <f>"MCCOMB                    "</f>
        <v xml:space="preserve">MCCOMB                    </v>
      </c>
      <c r="F20536" t="str">
        <f t="shared" si="484"/>
        <v>MS</v>
      </c>
    </row>
    <row r="20537" spans="1:6" x14ac:dyDescent="0.25">
      <c r="A20537" t="str">
        <f>"200026719"</f>
        <v>200026719</v>
      </c>
      <c r="B20537" t="str">
        <f>"1982610572"</f>
        <v>1982610572</v>
      </c>
      <c r="C20537" t="str">
        <f>"261QM0801X"</f>
        <v>261QM0801X</v>
      </c>
      <c r="D20537" t="str">
        <f>"PINE BELT MENTAL HEALTHCARE RESOURCES             "</f>
        <v xml:space="preserve">PINE BELT MENTAL HEALTHCARE RESOURCES             </v>
      </c>
      <c r="E20537" t="str">
        <f>"LAUREL                    "</f>
        <v xml:space="preserve">LAUREL                    </v>
      </c>
      <c r="F20537" t="str">
        <f t="shared" si="484"/>
        <v>MS</v>
      </c>
    </row>
    <row r="20538" spans="1:6" x14ac:dyDescent="0.25">
      <c r="A20538" t="str">
        <f>"200026721"</f>
        <v>200026721</v>
      </c>
      <c r="B20538" t="str">
        <f>"1720752751"</f>
        <v>1720752751</v>
      </c>
      <c r="C20538" t="str">
        <f>"363A00000X"</f>
        <v>363A00000X</v>
      </c>
      <c r="D20538" t="str">
        <f>"KIMBERLY                 MICHELLE     D           "</f>
        <v xml:space="preserve">KIMBERLY                 MICHELLE     D           </v>
      </c>
      <c r="E20538" t="str">
        <f>"NATCHEZ                   "</f>
        <v xml:space="preserve">NATCHEZ                   </v>
      </c>
      <c r="F20538" t="str">
        <f t="shared" si="484"/>
        <v>MS</v>
      </c>
    </row>
    <row r="20539" spans="1:6" x14ac:dyDescent="0.25">
      <c r="A20539" t="str">
        <f>"200026723"</f>
        <v>200026723</v>
      </c>
      <c r="B20539" t="str">
        <f>"1083034771"</f>
        <v>1083034771</v>
      </c>
      <c r="C20539" t="str">
        <f>"207Q00000X"</f>
        <v>207Q00000X</v>
      </c>
      <c r="D20539" t="str">
        <f>"PATEL                    RUCHITA                  "</f>
        <v xml:space="preserve">PATEL                    RUCHITA                  </v>
      </c>
      <c r="E20539" t="str">
        <f>"SOUTHAVEN                 "</f>
        <v xml:space="preserve">SOUTHAVEN                 </v>
      </c>
      <c r="F20539" t="str">
        <f t="shared" si="484"/>
        <v>MS</v>
      </c>
    </row>
    <row r="20540" spans="1:6" x14ac:dyDescent="0.25">
      <c r="A20540" t="str">
        <f>"200026724"</f>
        <v>200026724</v>
      </c>
      <c r="B20540" t="str">
        <f>"1770449332"</f>
        <v>1770449332</v>
      </c>
      <c r="C20540" t="str">
        <f>"367500000X"</f>
        <v>367500000X</v>
      </c>
      <c r="D20540" t="str">
        <f>"RIGBY                    PARKER                   "</f>
        <v xml:space="preserve">RIGBY                    PARKER                   </v>
      </c>
      <c r="E20540" t="str">
        <f>"MERIDIAN                  "</f>
        <v xml:space="preserve">MERIDIAN                  </v>
      </c>
      <c r="F20540" t="str">
        <f t="shared" si="484"/>
        <v>MS</v>
      </c>
    </row>
    <row r="20541" spans="1:6" x14ac:dyDescent="0.25">
      <c r="A20541" t="str">
        <f>"200026727"</f>
        <v>200026727</v>
      </c>
      <c r="B20541" t="str">
        <f>"1316961139"</f>
        <v>1316961139</v>
      </c>
      <c r="C20541" t="str">
        <f>"2084P0800X"</f>
        <v>2084P0800X</v>
      </c>
      <c r="D20541" t="str">
        <f>"MAJITHIA                 DEEPIKA                  "</f>
        <v xml:space="preserve">MAJITHIA                 DEEPIKA                  </v>
      </c>
      <c r="E20541" t="str">
        <f>"JACKSON                   "</f>
        <v xml:space="preserve">JACKSON                   </v>
      </c>
      <c r="F20541" t="str">
        <f t="shared" si="484"/>
        <v>MS</v>
      </c>
    </row>
    <row r="20542" spans="1:6" x14ac:dyDescent="0.25">
      <c r="A20542" t="str">
        <f>"200026728"</f>
        <v>200026728</v>
      </c>
      <c r="B20542" t="str">
        <f>"1538168398"</f>
        <v>1538168398</v>
      </c>
      <c r="C20542" t="str">
        <f>"363LF0000X"</f>
        <v>363LF0000X</v>
      </c>
      <c r="D20542" t="str">
        <f>"SPENCER                  LEIGH        W           "</f>
        <v xml:space="preserve">SPENCER                  LEIGH        W           </v>
      </c>
      <c r="E20542" t="str">
        <f>"OXFORD                    "</f>
        <v xml:space="preserve">OXFORD                    </v>
      </c>
      <c r="F20542" t="str">
        <f t="shared" ref="F20542:F20605" si="485">"MS"</f>
        <v>MS</v>
      </c>
    </row>
    <row r="20543" spans="1:6" x14ac:dyDescent="0.25">
      <c r="A20543" t="str">
        <f>"200026729"</f>
        <v>200026729</v>
      </c>
      <c r="B20543" t="str">
        <f>"1750247292"</f>
        <v>1750247292</v>
      </c>
      <c r="C20543" t="str">
        <f>"367500000X"</f>
        <v>367500000X</v>
      </c>
      <c r="D20543" t="str">
        <f>"KILPATRICK               DAKOTA                   "</f>
        <v xml:space="preserve">KILPATRICK               DAKOTA                   </v>
      </c>
      <c r="E20543" t="str">
        <f>"MERIDIAN                  "</f>
        <v xml:space="preserve">MERIDIAN                  </v>
      </c>
      <c r="F20543" t="str">
        <f t="shared" si="485"/>
        <v>MS</v>
      </c>
    </row>
    <row r="20544" spans="1:6" x14ac:dyDescent="0.25">
      <c r="A20544" t="str">
        <f>"200026731"</f>
        <v>200026731</v>
      </c>
      <c r="B20544" t="str">
        <f>"1538679238"</f>
        <v>1538679238</v>
      </c>
      <c r="C20544" t="str">
        <f>"261QM1300X"</f>
        <v>261QM1300X</v>
      </c>
      <c r="D20544" t="str">
        <f>"BRIGHTER HORIZONS THERAPY, LLC                    "</f>
        <v xml:space="preserve">BRIGHTER HORIZONS THERAPY, LLC                    </v>
      </c>
      <c r="E20544" t="str">
        <f>"PICAYUNE                  "</f>
        <v xml:space="preserve">PICAYUNE                  </v>
      </c>
      <c r="F20544" t="str">
        <f t="shared" si="485"/>
        <v>MS</v>
      </c>
    </row>
    <row r="20545" spans="1:6" x14ac:dyDescent="0.25">
      <c r="A20545" t="str">
        <f>"200026732"</f>
        <v>200026732</v>
      </c>
      <c r="B20545" t="str">
        <f>"1417142324"</f>
        <v>1417142324</v>
      </c>
      <c r="C20545" t="str">
        <f>"207Q00000X"</f>
        <v>207Q00000X</v>
      </c>
      <c r="D20545" t="str">
        <f>"YALDEN                   LAURALEE                 "</f>
        <v xml:space="preserve">YALDEN                   LAURALEE                 </v>
      </c>
      <c r="E20545" t="str">
        <f>"MADISON                   "</f>
        <v xml:space="preserve">MADISON                   </v>
      </c>
      <c r="F20545" t="str">
        <f t="shared" si="485"/>
        <v>MS</v>
      </c>
    </row>
    <row r="20546" spans="1:6" x14ac:dyDescent="0.25">
      <c r="A20546" t="str">
        <f>"200026733"</f>
        <v>200026733</v>
      </c>
      <c r="B20546" t="str">
        <f>"1215461801"</f>
        <v>1215461801</v>
      </c>
      <c r="C20546" t="str">
        <f>"207R00000X"</f>
        <v>207R00000X</v>
      </c>
      <c r="D20546" t="str">
        <f>"MORGAN                   ANDRE                    "</f>
        <v xml:space="preserve">MORGAN                   ANDRE                    </v>
      </c>
      <c r="E20546" t="str">
        <f>"SOUTHAVEN                 "</f>
        <v xml:space="preserve">SOUTHAVEN                 </v>
      </c>
      <c r="F20546" t="str">
        <f t="shared" si="485"/>
        <v>MS</v>
      </c>
    </row>
    <row r="20547" spans="1:6" x14ac:dyDescent="0.25">
      <c r="A20547" t="str">
        <f>"200026736"</f>
        <v>200026736</v>
      </c>
      <c r="B20547" t="str">
        <f>"1730892076"</f>
        <v>1730892076</v>
      </c>
      <c r="C20547" t="str">
        <f>"367A00000X"</f>
        <v>367A00000X</v>
      </c>
      <c r="D20547" t="str">
        <f>"HUMBERT                  SARA         J           "</f>
        <v xml:space="preserve">HUMBERT                  SARA         J           </v>
      </c>
      <c r="E20547" t="str">
        <f>"JACKSON                   "</f>
        <v xml:space="preserve">JACKSON                   </v>
      </c>
      <c r="F20547" t="str">
        <f t="shared" si="485"/>
        <v>MS</v>
      </c>
    </row>
    <row r="20548" spans="1:6" x14ac:dyDescent="0.25">
      <c r="A20548" t="str">
        <f>"200026739"</f>
        <v>200026739</v>
      </c>
      <c r="B20548" t="str">
        <f>"1124766563"</f>
        <v>1124766563</v>
      </c>
      <c r="C20548" t="str">
        <f>"367500000X"</f>
        <v>367500000X</v>
      </c>
      <c r="D20548" t="str">
        <f>"BLAKE                    LINDSEY                  "</f>
        <v xml:space="preserve">BLAKE                    LINDSEY                  </v>
      </c>
      <c r="E20548" t="str">
        <f>"GULFPORT                  "</f>
        <v xml:space="preserve">GULFPORT                  </v>
      </c>
      <c r="F20548" t="str">
        <f t="shared" si="485"/>
        <v>MS</v>
      </c>
    </row>
    <row r="20549" spans="1:6" x14ac:dyDescent="0.25">
      <c r="A20549" t="str">
        <f>"200026742"</f>
        <v>200026742</v>
      </c>
      <c r="B20549" t="str">
        <f>"1407174626"</f>
        <v>1407174626</v>
      </c>
      <c r="C20549" t="str">
        <f>"208M00000X"</f>
        <v>208M00000X</v>
      </c>
      <c r="D20549" t="str">
        <f>"NOSSER                   CASSANDRA                "</f>
        <v xml:space="preserve">NOSSER                   CASSANDRA                </v>
      </c>
      <c r="E20549" t="str">
        <f>"OXFORD                    "</f>
        <v xml:space="preserve">OXFORD                    </v>
      </c>
      <c r="F20549" t="str">
        <f t="shared" si="485"/>
        <v>MS</v>
      </c>
    </row>
    <row r="20550" spans="1:6" x14ac:dyDescent="0.25">
      <c r="A20550" t="str">
        <f>"200026747"</f>
        <v>200026747</v>
      </c>
      <c r="B20550" t="str">
        <f>"1134822299"</f>
        <v>1134822299</v>
      </c>
      <c r="C20550" t="str">
        <f>"207P00000X"</f>
        <v>207P00000X</v>
      </c>
      <c r="D20550" t="str">
        <f>"BATISTA                  LINDSAY                  "</f>
        <v xml:space="preserve">BATISTA                  LINDSAY                  </v>
      </c>
      <c r="E20550" t="str">
        <f>"HATTIESBURG               "</f>
        <v xml:space="preserve">HATTIESBURG               </v>
      </c>
      <c r="F20550" t="str">
        <f t="shared" si="485"/>
        <v>MS</v>
      </c>
    </row>
    <row r="20551" spans="1:6" x14ac:dyDescent="0.25">
      <c r="A20551" t="str">
        <f>"200026749"</f>
        <v>200026749</v>
      </c>
      <c r="B20551" t="str">
        <f>"1730047689"</f>
        <v>1730047689</v>
      </c>
      <c r="C20551" t="str">
        <f>"363LF0000X"</f>
        <v>363LF0000X</v>
      </c>
      <c r="D20551" t="str">
        <f>"GILBERT                  AUSTIN                   "</f>
        <v xml:space="preserve">GILBERT                  AUSTIN                   </v>
      </c>
      <c r="E20551" t="str">
        <f>"TUPELO                    "</f>
        <v xml:space="preserve">TUPELO                    </v>
      </c>
      <c r="F20551" t="str">
        <f t="shared" si="485"/>
        <v>MS</v>
      </c>
    </row>
    <row r="20552" spans="1:6" x14ac:dyDescent="0.25">
      <c r="A20552" t="str">
        <f>"200026754"</f>
        <v>200026754</v>
      </c>
      <c r="B20552" t="str">
        <f>"1285587634"</f>
        <v>1285587634</v>
      </c>
      <c r="C20552" t="str">
        <f>"363L00000X"</f>
        <v>363L00000X</v>
      </c>
      <c r="D20552" t="str">
        <f>"REYNOLDS                 MICHAELA                 "</f>
        <v xml:space="preserve">REYNOLDS                 MICHAELA                 </v>
      </c>
      <c r="E20552" t="str">
        <f>"WAYNESBORO                "</f>
        <v xml:space="preserve">WAYNESBORO                </v>
      </c>
      <c r="F20552" t="str">
        <f t="shared" si="485"/>
        <v>MS</v>
      </c>
    </row>
    <row r="20553" spans="1:6" x14ac:dyDescent="0.25">
      <c r="A20553" t="str">
        <f>"200026755"</f>
        <v>200026755</v>
      </c>
      <c r="B20553" t="str">
        <f>"1306818133"</f>
        <v>1306818133</v>
      </c>
      <c r="C20553" t="str">
        <f>"207VM0101X"</f>
        <v>207VM0101X</v>
      </c>
      <c r="D20553" t="str">
        <f>"STANLEY-CHRISTIAN        HEATHER                  "</f>
        <v xml:space="preserve">STANLEY-CHRISTIAN        HEATHER                  </v>
      </c>
      <c r="E20553" t="str">
        <f>"JACKSON                   "</f>
        <v xml:space="preserve">JACKSON                   </v>
      </c>
      <c r="F20553" t="str">
        <f t="shared" si="485"/>
        <v>MS</v>
      </c>
    </row>
    <row r="20554" spans="1:6" x14ac:dyDescent="0.25">
      <c r="A20554" t="str">
        <f>"200026761"</f>
        <v>200026761</v>
      </c>
      <c r="B20554" t="str">
        <f>"1235421165"</f>
        <v>1235421165</v>
      </c>
      <c r="C20554" t="str">
        <f>"363LF0000X"</f>
        <v>363LF0000X</v>
      </c>
      <c r="D20554" t="str">
        <f>"LAKES                    CLAIRE                   "</f>
        <v xml:space="preserve">LAKES                    CLAIRE                   </v>
      </c>
      <c r="E20554" t="str">
        <f>"PASCAGOULA                "</f>
        <v xml:space="preserve">PASCAGOULA                </v>
      </c>
      <c r="F20554" t="str">
        <f t="shared" si="485"/>
        <v>MS</v>
      </c>
    </row>
    <row r="20555" spans="1:6" x14ac:dyDescent="0.25">
      <c r="A20555" t="str">
        <f>"200026762"</f>
        <v>200026762</v>
      </c>
      <c r="B20555" t="str">
        <f>"1003253378"</f>
        <v>1003253378</v>
      </c>
      <c r="C20555" t="str">
        <f>"207P00000X"</f>
        <v>207P00000X</v>
      </c>
      <c r="D20555" t="str">
        <f>"RASIWALA                 AZIMA                    "</f>
        <v xml:space="preserve">RASIWALA                 AZIMA                    </v>
      </c>
      <c r="E20555" t="str">
        <f>"VICKSBURG                 "</f>
        <v xml:space="preserve">VICKSBURG                 </v>
      </c>
      <c r="F20555" t="str">
        <f t="shared" si="485"/>
        <v>MS</v>
      </c>
    </row>
    <row r="20556" spans="1:6" x14ac:dyDescent="0.25">
      <c r="A20556" t="str">
        <f>"200026766"</f>
        <v>200026766</v>
      </c>
      <c r="B20556" t="str">
        <f>"1376407221"</f>
        <v>1376407221</v>
      </c>
      <c r="C20556" t="str">
        <f>"363A00000X"</f>
        <v>363A00000X</v>
      </c>
      <c r="D20556" t="str">
        <f>"SANABIA                  BRIGETTE                 "</f>
        <v xml:space="preserve">SANABIA                  BRIGETTE                 </v>
      </c>
      <c r="E20556" t="str">
        <f>"JACKSON                   "</f>
        <v xml:space="preserve">JACKSON                   </v>
      </c>
      <c r="F20556" t="str">
        <f t="shared" si="485"/>
        <v>MS</v>
      </c>
    </row>
    <row r="20557" spans="1:6" x14ac:dyDescent="0.25">
      <c r="A20557" t="str">
        <f>"200026769"</f>
        <v>200026769</v>
      </c>
      <c r="B20557" t="str">
        <f>"1629929880"</f>
        <v>1629929880</v>
      </c>
      <c r="C20557" t="str">
        <f>"363LF0000X"</f>
        <v>363LF0000X</v>
      </c>
      <c r="D20557" t="str">
        <f>"GARRIGA                  BAILEY       M           "</f>
        <v xml:space="preserve">GARRIGA                  BAILEY       M           </v>
      </c>
      <c r="E20557" t="str">
        <f>"VANCLEAVE                 "</f>
        <v xml:space="preserve">VANCLEAVE                 </v>
      </c>
      <c r="F20557" t="str">
        <f t="shared" si="485"/>
        <v>MS</v>
      </c>
    </row>
    <row r="20558" spans="1:6" x14ac:dyDescent="0.25">
      <c r="A20558" t="str">
        <f>"200026774"</f>
        <v>200026774</v>
      </c>
      <c r="B20558" t="str">
        <f>"1225323090"</f>
        <v>1225323090</v>
      </c>
      <c r="C20558" t="str">
        <f>"363LF0000X"</f>
        <v>363LF0000X</v>
      </c>
      <c r="D20558" t="str">
        <f>"SMITH                    LORA                     "</f>
        <v xml:space="preserve">SMITH                    LORA                     </v>
      </c>
      <c r="E20558" t="str">
        <f>"OLIVE BRANCH              "</f>
        <v xml:space="preserve">OLIVE BRANCH              </v>
      </c>
      <c r="F20558" t="str">
        <f t="shared" si="485"/>
        <v>MS</v>
      </c>
    </row>
    <row r="20559" spans="1:6" x14ac:dyDescent="0.25">
      <c r="A20559" t="str">
        <f>"200026777"</f>
        <v>200026777</v>
      </c>
      <c r="B20559" t="str">
        <f>"1699035782"</f>
        <v>1699035782</v>
      </c>
      <c r="C20559" t="str">
        <f>"2080N0001X"</f>
        <v>2080N0001X</v>
      </c>
      <c r="D20559" t="str">
        <f>"STABIN                   LAURA                    "</f>
        <v xml:space="preserve">STABIN                   LAURA                    </v>
      </c>
      <c r="E20559" t="str">
        <f>"HATTIESBURG               "</f>
        <v xml:space="preserve">HATTIESBURG               </v>
      </c>
      <c r="F20559" t="str">
        <f t="shared" si="485"/>
        <v>MS</v>
      </c>
    </row>
    <row r="20560" spans="1:6" x14ac:dyDescent="0.25">
      <c r="A20560" t="str">
        <f>"200026778"</f>
        <v>200026778</v>
      </c>
      <c r="B20560" t="str">
        <f>"1982107595"</f>
        <v>1982107595</v>
      </c>
      <c r="C20560" t="str">
        <f>"207R00000X"</f>
        <v>207R00000X</v>
      </c>
      <c r="D20560" t="str">
        <f>"NZEAKO                   TOCHUKWU                 "</f>
        <v xml:space="preserve">NZEAKO                   TOCHUKWU                 </v>
      </c>
      <c r="E20560" t="str">
        <f>"MERIDIAN                  "</f>
        <v xml:space="preserve">MERIDIAN                  </v>
      </c>
      <c r="F20560" t="str">
        <f t="shared" si="485"/>
        <v>MS</v>
      </c>
    </row>
    <row r="20561" spans="1:6" x14ac:dyDescent="0.25">
      <c r="A20561" t="str">
        <f>"200026797"</f>
        <v>200026797</v>
      </c>
      <c r="B20561" t="str">
        <f>"1962360107"</f>
        <v>1962360107</v>
      </c>
      <c r="C20561" t="str">
        <f>"363A00000X"</f>
        <v>363A00000X</v>
      </c>
      <c r="D20561" t="str">
        <f>"BRATCHER                 HANNAH                   "</f>
        <v xml:space="preserve">BRATCHER                 HANNAH                   </v>
      </c>
      <c r="E20561" t="str">
        <f>"JACKSON                   "</f>
        <v xml:space="preserve">JACKSON                   </v>
      </c>
      <c r="F20561" t="str">
        <f t="shared" si="485"/>
        <v>MS</v>
      </c>
    </row>
    <row r="20562" spans="1:6" x14ac:dyDescent="0.25">
      <c r="A20562" t="str">
        <f>"200026799"</f>
        <v>200026799</v>
      </c>
      <c r="B20562" t="str">
        <f>"1659865632"</f>
        <v>1659865632</v>
      </c>
      <c r="C20562" t="str">
        <f>"207R00000X"</f>
        <v>207R00000X</v>
      </c>
      <c r="D20562" t="str">
        <f>"RORABAUGH                JACOB                    "</f>
        <v xml:space="preserve">RORABAUGH                JACOB                    </v>
      </c>
      <c r="E20562" t="str">
        <f>"JACKSON                   "</f>
        <v xml:space="preserve">JACKSON                   </v>
      </c>
      <c r="F20562" t="str">
        <f t="shared" si="485"/>
        <v>MS</v>
      </c>
    </row>
    <row r="20563" spans="1:6" x14ac:dyDescent="0.25">
      <c r="A20563" t="str">
        <f>"200026800"</f>
        <v>200026800</v>
      </c>
      <c r="B20563" t="str">
        <f>"1669460085"</f>
        <v>1669460085</v>
      </c>
      <c r="C20563" t="str">
        <f>"207Q00000X"</f>
        <v>207Q00000X</v>
      </c>
      <c r="D20563" t="str">
        <f>"HAQ                      SABA                     "</f>
        <v xml:space="preserve">HAQ                      SABA                     </v>
      </c>
      <c r="E20563" t="str">
        <f>"RIDGELAND                 "</f>
        <v xml:space="preserve">RIDGELAND                 </v>
      </c>
      <c r="F20563" t="str">
        <f t="shared" si="485"/>
        <v>MS</v>
      </c>
    </row>
    <row r="20564" spans="1:6" x14ac:dyDescent="0.25">
      <c r="A20564" t="str">
        <f>"200026801"</f>
        <v>200026801</v>
      </c>
      <c r="B20564" t="str">
        <f>"1831868728"</f>
        <v>1831868728</v>
      </c>
      <c r="C20564" t="str">
        <f>"363LF0000X"</f>
        <v>363LF0000X</v>
      </c>
      <c r="D20564" t="str">
        <f>"NEAL                     DEANA        K           "</f>
        <v xml:space="preserve">NEAL                     DEANA        K           </v>
      </c>
      <c r="E20564" t="str">
        <f>"OXFORD                    "</f>
        <v xml:space="preserve">OXFORD                    </v>
      </c>
      <c r="F20564" t="str">
        <f t="shared" si="485"/>
        <v>MS</v>
      </c>
    </row>
    <row r="20565" spans="1:6" x14ac:dyDescent="0.25">
      <c r="A20565" t="str">
        <f>"200026802"</f>
        <v>200026802</v>
      </c>
      <c r="B20565" t="str">
        <f>"1023092897"</f>
        <v>1023092897</v>
      </c>
      <c r="C20565" t="str">
        <f>"2080N0001X"</f>
        <v>2080N0001X</v>
      </c>
      <c r="D20565" t="str">
        <f>"POTTER                   CHARLES                  "</f>
        <v xml:space="preserve">POTTER                   CHARLES                  </v>
      </c>
      <c r="E20565" t="str">
        <f>"MERIDIAN                  "</f>
        <v xml:space="preserve">MERIDIAN                  </v>
      </c>
      <c r="F20565" t="str">
        <f t="shared" si="485"/>
        <v>MS</v>
      </c>
    </row>
    <row r="20566" spans="1:6" x14ac:dyDescent="0.25">
      <c r="A20566" t="str">
        <f>"200026818"</f>
        <v>200026818</v>
      </c>
      <c r="B20566" t="str">
        <f>"1972767143"</f>
        <v>1972767143</v>
      </c>
      <c r="C20566" t="str">
        <f>"122300000X"</f>
        <v>122300000X</v>
      </c>
      <c r="D20566" t="str">
        <f>"MOSAL                    SETH                     "</f>
        <v xml:space="preserve">MOSAL                    SETH                     </v>
      </c>
      <c r="E20566" t="str">
        <f>"FLOWOOD                   "</f>
        <v xml:space="preserve">FLOWOOD                   </v>
      </c>
      <c r="F20566" t="str">
        <f t="shared" si="485"/>
        <v>MS</v>
      </c>
    </row>
    <row r="20567" spans="1:6" x14ac:dyDescent="0.25">
      <c r="A20567" t="str">
        <f>"200026820"</f>
        <v>200026820</v>
      </c>
      <c r="B20567" t="str">
        <f>"1114545464"</f>
        <v>1114545464</v>
      </c>
      <c r="C20567" t="str">
        <f>"363LF0000X"</f>
        <v>363LF0000X</v>
      </c>
      <c r="D20567" t="str">
        <f>"HARRIS                   KAYLA                    "</f>
        <v xml:space="preserve">HARRIS                   KAYLA                    </v>
      </c>
      <c r="E20567" t="str">
        <f>"RIDGELAND                 "</f>
        <v xml:space="preserve">RIDGELAND                 </v>
      </c>
      <c r="F20567" t="str">
        <f t="shared" si="485"/>
        <v>MS</v>
      </c>
    </row>
    <row r="20568" spans="1:6" x14ac:dyDescent="0.25">
      <c r="A20568" t="str">
        <f>"200026824"</f>
        <v>200026824</v>
      </c>
      <c r="B20568" t="str">
        <f>"1760350680"</f>
        <v>1760350680</v>
      </c>
      <c r="C20568" t="str">
        <f>"363LP0808X"</f>
        <v>363LP0808X</v>
      </c>
      <c r="D20568" t="str">
        <f>"ONYIA                    ADAEZE                   "</f>
        <v xml:space="preserve">ONYIA                    ADAEZE                   </v>
      </c>
      <c r="E20568" t="str">
        <f>"SOUTHAVEN                 "</f>
        <v xml:space="preserve">SOUTHAVEN                 </v>
      </c>
      <c r="F20568" t="str">
        <f t="shared" si="485"/>
        <v>MS</v>
      </c>
    </row>
    <row r="20569" spans="1:6" x14ac:dyDescent="0.25">
      <c r="A20569" t="str">
        <f>"200026843"</f>
        <v>200026843</v>
      </c>
      <c r="B20569" t="str">
        <f>"1063428761"</f>
        <v>1063428761</v>
      </c>
      <c r="C20569" t="str">
        <f>"261QM0801X"</f>
        <v>261QM0801X</v>
      </c>
      <c r="D20569" t="str">
        <f>"REGION 8 MENTAL HEALTH - SIMPSON COUNTY OFFICE    "</f>
        <v xml:space="preserve">REGION 8 MENTAL HEALTH - SIMPSON COUNTY OFFICE    </v>
      </c>
      <c r="E20569" t="str">
        <f>"MENDENHALL                "</f>
        <v xml:space="preserve">MENDENHALL                </v>
      </c>
      <c r="F20569" t="str">
        <f t="shared" si="485"/>
        <v>MS</v>
      </c>
    </row>
    <row r="20570" spans="1:6" x14ac:dyDescent="0.25">
      <c r="A20570" t="str">
        <f>"200026847"</f>
        <v>200026847</v>
      </c>
      <c r="B20570" t="str">
        <f>"1992782304"</f>
        <v>1992782304</v>
      </c>
      <c r="C20570" t="str">
        <f>"363LF0000X"</f>
        <v>363LF0000X</v>
      </c>
      <c r="D20570" t="str">
        <f>"RAYBOURN                 TERESA                   "</f>
        <v xml:space="preserve">RAYBOURN                 TERESA                   </v>
      </c>
      <c r="E20570" t="str">
        <f>"COLLINS                   "</f>
        <v xml:space="preserve">COLLINS                   </v>
      </c>
      <c r="F20570" t="str">
        <f t="shared" si="485"/>
        <v>MS</v>
      </c>
    </row>
    <row r="20571" spans="1:6" x14ac:dyDescent="0.25">
      <c r="A20571" t="str">
        <f>"200026848"</f>
        <v>200026848</v>
      </c>
      <c r="B20571" t="str">
        <f>"1467940734"</f>
        <v>1467940734</v>
      </c>
      <c r="C20571" t="str">
        <f>"207K00000X"</f>
        <v>207K00000X</v>
      </c>
      <c r="D20571" t="str">
        <f>"PATEL                    PRIYA                    "</f>
        <v xml:space="preserve">PATEL                    PRIYA                    </v>
      </c>
      <c r="E20571" t="str">
        <f>"JACKSON                   "</f>
        <v xml:space="preserve">JACKSON                   </v>
      </c>
      <c r="F20571" t="str">
        <f t="shared" si="485"/>
        <v>MS</v>
      </c>
    </row>
    <row r="20572" spans="1:6" x14ac:dyDescent="0.25">
      <c r="A20572" t="str">
        <f>"200026849"</f>
        <v>200026849</v>
      </c>
      <c r="B20572" t="str">
        <f>"1205899267"</f>
        <v>1205899267</v>
      </c>
      <c r="C20572" t="str">
        <f>"207Q00000X"</f>
        <v>207Q00000X</v>
      </c>
      <c r="D20572" t="str">
        <f>"TURNER                   JACKEY       D           "</f>
        <v xml:space="preserve">TURNER                   JACKEY       D           </v>
      </c>
      <c r="E20572" t="str">
        <f>"OXFORD                    "</f>
        <v xml:space="preserve">OXFORD                    </v>
      </c>
      <c r="F20572" t="str">
        <f t="shared" si="485"/>
        <v>MS</v>
      </c>
    </row>
    <row r="20573" spans="1:6" x14ac:dyDescent="0.25">
      <c r="A20573" t="str">
        <f>"200026850"</f>
        <v>200026850</v>
      </c>
      <c r="B20573" t="str">
        <f>"1861217317"</f>
        <v>1861217317</v>
      </c>
      <c r="C20573" t="str">
        <f>"363LF0000X"</f>
        <v>363LF0000X</v>
      </c>
      <c r="D20573" t="str">
        <f>"DAWKINS                  SYDNEY                   "</f>
        <v xml:space="preserve">DAWKINS                  SYDNEY                   </v>
      </c>
      <c r="E20573" t="str">
        <f>"RIDGELAND                 "</f>
        <v xml:space="preserve">RIDGELAND                 </v>
      </c>
      <c r="F20573" t="str">
        <f t="shared" si="485"/>
        <v>MS</v>
      </c>
    </row>
    <row r="20574" spans="1:6" x14ac:dyDescent="0.25">
      <c r="A20574" t="str">
        <f>"200026851"</f>
        <v>200026851</v>
      </c>
      <c r="B20574" t="str">
        <f>"1003114257"</f>
        <v>1003114257</v>
      </c>
      <c r="C20574" t="str">
        <f>"363LF0000X"</f>
        <v>363LF0000X</v>
      </c>
      <c r="D20574" t="str">
        <f>"SLEDGE                   RACHEL       J           "</f>
        <v xml:space="preserve">SLEDGE                   RACHEL       J           </v>
      </c>
      <c r="E20574" t="str">
        <f>"OXFORD                    "</f>
        <v xml:space="preserve">OXFORD                    </v>
      </c>
      <c r="F20574" t="str">
        <f t="shared" si="485"/>
        <v>MS</v>
      </c>
    </row>
    <row r="20575" spans="1:6" x14ac:dyDescent="0.25">
      <c r="A20575" t="str">
        <f>"200026853"</f>
        <v>200026853</v>
      </c>
      <c r="B20575" t="str">
        <f>"1003775842"</f>
        <v>1003775842</v>
      </c>
      <c r="C20575" t="str">
        <f>"363L00000X"</f>
        <v>363L00000X</v>
      </c>
      <c r="D20575" t="str">
        <f>"DUNGAN                   WENDI                    "</f>
        <v xml:space="preserve">DUNGAN                   WENDI                    </v>
      </c>
      <c r="E20575" t="str">
        <f>"LAUREL                    "</f>
        <v xml:space="preserve">LAUREL                    </v>
      </c>
      <c r="F20575" t="str">
        <f t="shared" si="485"/>
        <v>MS</v>
      </c>
    </row>
    <row r="20576" spans="1:6" x14ac:dyDescent="0.25">
      <c r="A20576" t="str">
        <f>"200026856"</f>
        <v>200026856</v>
      </c>
      <c r="B20576" t="str">
        <f>"1922394139"</f>
        <v>1922394139</v>
      </c>
      <c r="C20576" t="str">
        <f>"2080P0210X"</f>
        <v>2080P0210X</v>
      </c>
      <c r="D20576" t="str">
        <f>"ABU MAZIAD               ASMAA                    "</f>
        <v xml:space="preserve">ABU MAZIAD               ASMAA                    </v>
      </c>
      <c r="E20576" t="str">
        <f>"JACKSON                   "</f>
        <v xml:space="preserve">JACKSON                   </v>
      </c>
      <c r="F20576" t="str">
        <f t="shared" si="485"/>
        <v>MS</v>
      </c>
    </row>
    <row r="20577" spans="1:6" x14ac:dyDescent="0.25">
      <c r="A20577" t="str">
        <f>"200026860"</f>
        <v>200026860</v>
      </c>
      <c r="B20577" t="str">
        <f>"1073840773"</f>
        <v>1073840773</v>
      </c>
      <c r="C20577" t="str">
        <f>"207R00000X"</f>
        <v>207R00000X</v>
      </c>
      <c r="D20577" t="str">
        <f>"KOBAISY                  LIBABAH                  "</f>
        <v xml:space="preserve">KOBAISY                  LIBABAH                  </v>
      </c>
      <c r="E20577" t="str">
        <f>"SOUTHAVEN                 "</f>
        <v xml:space="preserve">SOUTHAVEN                 </v>
      </c>
      <c r="F20577" t="str">
        <f t="shared" si="485"/>
        <v>MS</v>
      </c>
    </row>
    <row r="20578" spans="1:6" x14ac:dyDescent="0.25">
      <c r="A20578" t="str">
        <f>"200026861"</f>
        <v>200026861</v>
      </c>
      <c r="B20578" t="str">
        <f>"1376613323"</f>
        <v>1376613323</v>
      </c>
      <c r="C20578" t="str">
        <f>"207P00000X"</f>
        <v>207P00000X</v>
      </c>
      <c r="D20578" t="str">
        <f>"TSENG                    I-WEN                    "</f>
        <v xml:space="preserve">TSENG                    I-WEN                    </v>
      </c>
      <c r="E20578" t="str">
        <f>"STARKVILLE                "</f>
        <v xml:space="preserve">STARKVILLE                </v>
      </c>
      <c r="F20578" t="str">
        <f t="shared" si="485"/>
        <v>MS</v>
      </c>
    </row>
    <row r="20579" spans="1:6" x14ac:dyDescent="0.25">
      <c r="A20579" t="str">
        <f>"200026862"</f>
        <v>200026862</v>
      </c>
      <c r="B20579" t="str">
        <f>"1518182625"</f>
        <v>1518182625</v>
      </c>
      <c r="C20579" t="str">
        <f>"207Q00000X"</f>
        <v>207Q00000X</v>
      </c>
      <c r="D20579" t="str">
        <f>"PETERSON-CORNETT         PEARLIE                  "</f>
        <v xml:space="preserve">PETERSON-CORNETT         PEARLIE                  </v>
      </c>
      <c r="E20579" t="str">
        <f>"WINONA                    "</f>
        <v xml:space="preserve">WINONA                    </v>
      </c>
      <c r="F20579" t="str">
        <f t="shared" si="485"/>
        <v>MS</v>
      </c>
    </row>
    <row r="20580" spans="1:6" x14ac:dyDescent="0.25">
      <c r="A20580" t="str">
        <f>"200026867"</f>
        <v>200026867</v>
      </c>
      <c r="B20580" t="str">
        <f>"1982610572"</f>
        <v>1982610572</v>
      </c>
      <c r="C20580" t="str">
        <f>"261QM0801X"</f>
        <v>261QM0801X</v>
      </c>
      <c r="D20580" t="str">
        <f>"PINE BELT MENTAL HEALTHCARE RESOURCES             "</f>
        <v xml:space="preserve">PINE BELT MENTAL HEALTHCARE RESOURCES             </v>
      </c>
      <c r="E20580" t="str">
        <f>"LONG BEACH                "</f>
        <v xml:space="preserve">LONG BEACH                </v>
      </c>
      <c r="F20580" t="str">
        <f t="shared" si="485"/>
        <v>MS</v>
      </c>
    </row>
    <row r="20581" spans="1:6" x14ac:dyDescent="0.25">
      <c r="A20581" t="str">
        <f>"200026869"</f>
        <v>200026869</v>
      </c>
      <c r="B20581" t="str">
        <f>"1982610572"</f>
        <v>1982610572</v>
      </c>
      <c r="C20581" t="str">
        <f>"261QM0801X"</f>
        <v>261QM0801X</v>
      </c>
      <c r="D20581" t="str">
        <f>"PINE BELT MENTAL HEALTHCARE RESOURCES             "</f>
        <v xml:space="preserve">PINE BELT MENTAL HEALTHCARE RESOURCES             </v>
      </c>
      <c r="E20581" t="str">
        <f>"WAYNESBORO                "</f>
        <v xml:space="preserve">WAYNESBORO                </v>
      </c>
      <c r="F20581" t="str">
        <f t="shared" si="485"/>
        <v>MS</v>
      </c>
    </row>
    <row r="20582" spans="1:6" x14ac:dyDescent="0.25">
      <c r="A20582" t="str">
        <f>"200026870"</f>
        <v>200026870</v>
      </c>
      <c r="B20582" t="str">
        <f>"1982610572"</f>
        <v>1982610572</v>
      </c>
      <c r="C20582" t="str">
        <f>"261QM0801X"</f>
        <v>261QM0801X</v>
      </c>
      <c r="D20582" t="str">
        <f>"PINE BELT MENTAL HEALTHCARE RESOURCES             "</f>
        <v xml:space="preserve">PINE BELT MENTAL HEALTHCARE RESOURCES             </v>
      </c>
      <c r="E20582" t="str">
        <f>"WAVELAND                  "</f>
        <v xml:space="preserve">WAVELAND                  </v>
      </c>
      <c r="F20582" t="str">
        <f t="shared" si="485"/>
        <v>MS</v>
      </c>
    </row>
    <row r="20583" spans="1:6" x14ac:dyDescent="0.25">
      <c r="A20583" t="str">
        <f>"200026872"</f>
        <v>200026872</v>
      </c>
      <c r="B20583" t="str">
        <f>"1447974159"</f>
        <v>1447974159</v>
      </c>
      <c r="C20583" t="str">
        <f>"363LF0000X"</f>
        <v>363LF0000X</v>
      </c>
      <c r="D20583" t="str">
        <f>"RUDMAN                   ELIZABETH                "</f>
        <v xml:space="preserve">RUDMAN                   ELIZABETH                </v>
      </c>
      <c r="E20583" t="str">
        <f>"OLIVE BRANCH              "</f>
        <v xml:space="preserve">OLIVE BRANCH              </v>
      </c>
      <c r="F20583" t="str">
        <f t="shared" si="485"/>
        <v>MS</v>
      </c>
    </row>
    <row r="20584" spans="1:6" x14ac:dyDescent="0.25">
      <c r="A20584" t="str">
        <f>"200026879"</f>
        <v>200026879</v>
      </c>
      <c r="B20584" t="str">
        <f>"1790453249"</f>
        <v>1790453249</v>
      </c>
      <c r="C20584" t="str">
        <f>"363LF0000X"</f>
        <v>363LF0000X</v>
      </c>
      <c r="D20584" t="str">
        <f>"BYRD                     MARIMICHAEL  H           "</f>
        <v xml:space="preserve">BYRD                     MARIMICHAEL  H           </v>
      </c>
      <c r="E20584" t="str">
        <f>"SOUTHAVEN                 "</f>
        <v xml:space="preserve">SOUTHAVEN                 </v>
      </c>
      <c r="F20584" t="str">
        <f t="shared" si="485"/>
        <v>MS</v>
      </c>
    </row>
    <row r="20585" spans="1:6" x14ac:dyDescent="0.25">
      <c r="A20585" t="str">
        <f>"200026881"</f>
        <v>200026881</v>
      </c>
      <c r="B20585" t="str">
        <f>"1407820616"</f>
        <v>1407820616</v>
      </c>
      <c r="C20585" t="str">
        <f>"1223G0001X"</f>
        <v>1223G0001X</v>
      </c>
      <c r="D20585" t="str">
        <f>"PESIS                    SOLOMON                  "</f>
        <v xml:space="preserve">PESIS                    SOLOMON                  </v>
      </c>
      <c r="E20585" t="str">
        <f>"RIDGELAND                 "</f>
        <v xml:space="preserve">RIDGELAND                 </v>
      </c>
      <c r="F20585" t="str">
        <f t="shared" si="485"/>
        <v>MS</v>
      </c>
    </row>
    <row r="20586" spans="1:6" x14ac:dyDescent="0.25">
      <c r="A20586" t="str">
        <f>"200026885"</f>
        <v>200026885</v>
      </c>
      <c r="B20586" t="str">
        <f>"1497645535"</f>
        <v>1497645535</v>
      </c>
      <c r="C20586" t="str">
        <f>"367500000X"</f>
        <v>367500000X</v>
      </c>
      <c r="D20586" t="str">
        <f>"FREUND                   MEGAN                    "</f>
        <v xml:space="preserve">FREUND                   MEGAN                    </v>
      </c>
      <c r="E20586" t="str">
        <f>"BILOXI                    "</f>
        <v xml:space="preserve">BILOXI                    </v>
      </c>
      <c r="F20586" t="str">
        <f t="shared" si="485"/>
        <v>MS</v>
      </c>
    </row>
    <row r="20587" spans="1:6" x14ac:dyDescent="0.25">
      <c r="A20587" t="str">
        <f>"200026888"</f>
        <v>200026888</v>
      </c>
      <c r="B20587" t="str">
        <f>"1396157913"</f>
        <v>1396157913</v>
      </c>
      <c r="C20587" t="str">
        <f>"207Q00000X"</f>
        <v>207Q00000X</v>
      </c>
      <c r="D20587" t="str">
        <f>"PEREZ                    ERICA                    "</f>
        <v xml:space="preserve">PEREZ                    ERICA                    </v>
      </c>
      <c r="E20587" t="str">
        <f>"MADISON                   "</f>
        <v xml:space="preserve">MADISON                   </v>
      </c>
      <c r="F20587" t="str">
        <f t="shared" si="485"/>
        <v>MS</v>
      </c>
    </row>
    <row r="20588" spans="1:6" x14ac:dyDescent="0.25">
      <c r="A20588" t="str">
        <f>"200026891"</f>
        <v>200026891</v>
      </c>
      <c r="B20588" t="str">
        <f>"1861255614"</f>
        <v>1861255614</v>
      </c>
      <c r="C20588" t="str">
        <f>"363LF0000X"</f>
        <v>363LF0000X</v>
      </c>
      <c r="D20588" t="str">
        <f>"PASSMAN                  ADDISON                  "</f>
        <v xml:space="preserve">PASSMAN                  ADDISON                  </v>
      </c>
      <c r="E20588" t="str">
        <f>"CLINTON                   "</f>
        <v xml:space="preserve">CLINTON                   </v>
      </c>
      <c r="F20588" t="str">
        <f t="shared" si="485"/>
        <v>MS</v>
      </c>
    </row>
    <row r="20589" spans="1:6" x14ac:dyDescent="0.25">
      <c r="A20589" t="str">
        <f>"200026899"</f>
        <v>200026899</v>
      </c>
      <c r="B20589" t="str">
        <f>"1982610572"</f>
        <v>1982610572</v>
      </c>
      <c r="C20589" t="str">
        <f>"261QM0801X"</f>
        <v>261QM0801X</v>
      </c>
      <c r="D20589" t="str">
        <f>"PINE BELT MENTAL HEALTHCARE RESOURCES             "</f>
        <v xml:space="preserve">PINE BELT MENTAL HEALTHCARE RESOURCES             </v>
      </c>
      <c r="E20589" t="str">
        <f>"LEAKESVILLE               "</f>
        <v xml:space="preserve">LEAKESVILLE               </v>
      </c>
      <c r="F20589" t="str">
        <f t="shared" si="485"/>
        <v>MS</v>
      </c>
    </row>
    <row r="20590" spans="1:6" x14ac:dyDescent="0.25">
      <c r="A20590" t="str">
        <f>"200026902"</f>
        <v>200026902</v>
      </c>
      <c r="B20590" t="str">
        <f>"1386649598"</f>
        <v>1386649598</v>
      </c>
      <c r="C20590" t="str">
        <f>"2085R0202X"</f>
        <v>2085R0202X</v>
      </c>
      <c r="D20590" t="str">
        <f>"DHILLON                  GURMEET      S           "</f>
        <v xml:space="preserve">DHILLON                  GURMEET      S           </v>
      </c>
      <c r="E20590" t="str">
        <f>"TUPELO                    "</f>
        <v xml:space="preserve">TUPELO                    </v>
      </c>
      <c r="F20590" t="str">
        <f t="shared" si="485"/>
        <v>MS</v>
      </c>
    </row>
    <row r="20591" spans="1:6" x14ac:dyDescent="0.25">
      <c r="A20591" t="str">
        <f>"200026914"</f>
        <v>200026914</v>
      </c>
      <c r="B20591" t="str">
        <f>"1134772304"</f>
        <v>1134772304</v>
      </c>
      <c r="C20591" t="str">
        <f>"363LA2200X"</f>
        <v>363LA2200X</v>
      </c>
      <c r="D20591" t="str">
        <f>"BULLARD                  COURTNEY                 "</f>
        <v xml:space="preserve">BULLARD                  COURTNEY                 </v>
      </c>
      <c r="E20591" t="str">
        <f>"JACKSON                   "</f>
        <v xml:space="preserve">JACKSON                   </v>
      </c>
      <c r="F20591" t="str">
        <f t="shared" si="485"/>
        <v>MS</v>
      </c>
    </row>
    <row r="20592" spans="1:6" x14ac:dyDescent="0.25">
      <c r="A20592" t="str">
        <f>"200026918"</f>
        <v>200026918</v>
      </c>
      <c r="B20592" t="str">
        <f>"1205350410"</f>
        <v>1205350410</v>
      </c>
      <c r="C20592" t="str">
        <f>"363LP0808X"</f>
        <v>363LP0808X</v>
      </c>
      <c r="D20592" t="str">
        <f>"JOHNSON                  CYNTHIA                  "</f>
        <v xml:space="preserve">JOHNSON                  CYNTHIA                  </v>
      </c>
      <c r="E20592" t="str">
        <f>"BILOXI                    "</f>
        <v xml:space="preserve">BILOXI                    </v>
      </c>
      <c r="F20592" t="str">
        <f t="shared" si="485"/>
        <v>MS</v>
      </c>
    </row>
    <row r="20593" spans="1:6" x14ac:dyDescent="0.25">
      <c r="A20593" t="str">
        <f>"200026919"</f>
        <v>200026919</v>
      </c>
      <c r="B20593" t="str">
        <f>"1174248843"</f>
        <v>1174248843</v>
      </c>
      <c r="C20593" t="str">
        <f>"363LP0808X"</f>
        <v>363LP0808X</v>
      </c>
      <c r="D20593" t="str">
        <f>"MCLAIN                   MOLLY                    "</f>
        <v xml:space="preserve">MCLAIN                   MOLLY                    </v>
      </c>
      <c r="E20593" t="str">
        <f>"IUKA                      "</f>
        <v xml:space="preserve">IUKA                      </v>
      </c>
      <c r="F20593" t="str">
        <f t="shared" si="485"/>
        <v>MS</v>
      </c>
    </row>
    <row r="20594" spans="1:6" x14ac:dyDescent="0.25">
      <c r="A20594" t="str">
        <f>"200026920"</f>
        <v>200026920</v>
      </c>
      <c r="B20594" t="str">
        <f>"1831367390"</f>
        <v>1831367390</v>
      </c>
      <c r="C20594" t="str">
        <f>"207WX0107X"</f>
        <v>207WX0107X</v>
      </c>
      <c r="D20594" t="str">
        <f>"SOLIMAN                  MOHAMED                  "</f>
        <v xml:space="preserve">SOLIMAN                  MOHAMED                  </v>
      </c>
      <c r="E20594" t="str">
        <f>"MADISON                   "</f>
        <v xml:space="preserve">MADISON                   </v>
      </c>
      <c r="F20594" t="str">
        <f t="shared" si="485"/>
        <v>MS</v>
      </c>
    </row>
    <row r="20595" spans="1:6" x14ac:dyDescent="0.25">
      <c r="A20595" t="str">
        <f>"200026922"</f>
        <v>200026922</v>
      </c>
      <c r="B20595" t="str">
        <f>"1821192204"</f>
        <v>1821192204</v>
      </c>
      <c r="C20595" t="str">
        <f>"207ZP0102X"</f>
        <v>207ZP0102X</v>
      </c>
      <c r="D20595" t="str">
        <f>"ROSE                     THOMAS                   "</f>
        <v xml:space="preserve">ROSE                     THOMAS                   </v>
      </c>
      <c r="E20595" t="str">
        <f>"JACKSON                   "</f>
        <v xml:space="preserve">JACKSON                   </v>
      </c>
      <c r="F20595" t="str">
        <f t="shared" si="485"/>
        <v>MS</v>
      </c>
    </row>
    <row r="20596" spans="1:6" x14ac:dyDescent="0.25">
      <c r="A20596" t="str">
        <f>"200026929"</f>
        <v>200026929</v>
      </c>
      <c r="B20596" t="str">
        <f>"1669240891"</f>
        <v>1669240891</v>
      </c>
      <c r="C20596" t="str">
        <f>"2084P0800X"</f>
        <v>2084P0800X</v>
      </c>
      <c r="D20596" t="str">
        <f>"PARADA RAMIREZ           ROXANA                   "</f>
        <v xml:space="preserve">PARADA RAMIREZ           ROXANA                   </v>
      </c>
      <c r="E20596" t="str">
        <f>"JACKSON                   "</f>
        <v xml:space="preserve">JACKSON                   </v>
      </c>
      <c r="F20596" t="str">
        <f t="shared" si="485"/>
        <v>MS</v>
      </c>
    </row>
    <row r="20597" spans="1:6" x14ac:dyDescent="0.25">
      <c r="A20597" t="str">
        <f>"200026930"</f>
        <v>200026930</v>
      </c>
      <c r="B20597" t="str">
        <f>"1457172405"</f>
        <v>1457172405</v>
      </c>
      <c r="C20597" t="str">
        <f>"363LF0000X"</f>
        <v>363LF0000X</v>
      </c>
      <c r="D20597" t="str">
        <f>"STEPHENS                 NATASHA      L           "</f>
        <v xml:space="preserve">STEPHENS                 NATASHA      L           </v>
      </c>
      <c r="E20597" t="str">
        <f>"CALHOUN CITY              "</f>
        <v xml:space="preserve">CALHOUN CITY              </v>
      </c>
      <c r="F20597" t="str">
        <f t="shared" si="485"/>
        <v>MS</v>
      </c>
    </row>
    <row r="20598" spans="1:6" x14ac:dyDescent="0.25">
      <c r="A20598" t="str">
        <f>"200026938"</f>
        <v>200026938</v>
      </c>
      <c r="B20598" t="str">
        <f>"1184594152"</f>
        <v>1184594152</v>
      </c>
      <c r="C20598" t="str">
        <f>"363LP0808X"</f>
        <v>363LP0808X</v>
      </c>
      <c r="D20598" t="str">
        <f>"SMITH                    CORBAN                   "</f>
        <v xml:space="preserve">SMITH                    CORBAN                   </v>
      </c>
      <c r="E20598" t="str">
        <f>"WIGGINS                   "</f>
        <v xml:space="preserve">WIGGINS                   </v>
      </c>
      <c r="F20598" t="str">
        <f t="shared" si="485"/>
        <v>MS</v>
      </c>
    </row>
    <row r="20599" spans="1:6" x14ac:dyDescent="0.25">
      <c r="A20599" t="str">
        <f>"200026940"</f>
        <v>200026940</v>
      </c>
      <c r="B20599" t="str">
        <f>"1700240264"</f>
        <v>1700240264</v>
      </c>
      <c r="C20599" t="str">
        <f>"207RH0003X"</f>
        <v>207RH0003X</v>
      </c>
      <c r="D20599" t="str">
        <f>"BARLOW                   BRETT                    "</f>
        <v xml:space="preserve">BARLOW                   BRETT                    </v>
      </c>
      <c r="E20599" t="str">
        <f>"LAUREL                    "</f>
        <v xml:space="preserve">LAUREL                    </v>
      </c>
      <c r="F20599" t="str">
        <f t="shared" si="485"/>
        <v>MS</v>
      </c>
    </row>
    <row r="20600" spans="1:6" x14ac:dyDescent="0.25">
      <c r="A20600" t="str">
        <f>"200026949"</f>
        <v>200026949</v>
      </c>
      <c r="B20600" t="str">
        <f>"1568836815"</f>
        <v>1568836815</v>
      </c>
      <c r="C20600" t="str">
        <f>"363LA2200X"</f>
        <v>363LA2200X</v>
      </c>
      <c r="D20600" t="str">
        <f>"DAVIS                    SHELBY                   "</f>
        <v xml:space="preserve">DAVIS                    SHELBY                   </v>
      </c>
      <c r="E20600" t="str">
        <f>"RICHLAND                  "</f>
        <v xml:space="preserve">RICHLAND                  </v>
      </c>
      <c r="F20600" t="str">
        <f t="shared" si="485"/>
        <v>MS</v>
      </c>
    </row>
    <row r="20601" spans="1:6" x14ac:dyDescent="0.25">
      <c r="A20601" t="str">
        <f>"200026955"</f>
        <v>200026955</v>
      </c>
      <c r="B20601" t="str">
        <f>"1467303776"</f>
        <v>1467303776</v>
      </c>
      <c r="C20601" t="str">
        <f>"363L00000X"</f>
        <v>363L00000X</v>
      </c>
      <c r="D20601" t="str">
        <f>"NATIONS                  ETHAN        E           "</f>
        <v xml:space="preserve">NATIONS                  ETHAN        E           </v>
      </c>
      <c r="E20601" t="str">
        <f>"HATTIESBURG               "</f>
        <v xml:space="preserve">HATTIESBURG               </v>
      </c>
      <c r="F20601" t="str">
        <f t="shared" si="485"/>
        <v>MS</v>
      </c>
    </row>
    <row r="20602" spans="1:6" x14ac:dyDescent="0.25">
      <c r="A20602" t="str">
        <f>"200026969"</f>
        <v>200026969</v>
      </c>
      <c r="B20602" t="str">
        <f>"1982610572"</f>
        <v>1982610572</v>
      </c>
      <c r="C20602" t="str">
        <f>"261QM0801X"</f>
        <v>261QM0801X</v>
      </c>
      <c r="D20602" t="str">
        <f>"PINE BELT MENTAL HEALTHCARE RESOURCES             "</f>
        <v xml:space="preserve">PINE BELT MENTAL HEALTHCARE RESOURCES             </v>
      </c>
      <c r="E20602" t="str">
        <f>"WIGGINS                   "</f>
        <v xml:space="preserve">WIGGINS                   </v>
      </c>
      <c r="F20602" t="str">
        <f t="shared" si="485"/>
        <v>MS</v>
      </c>
    </row>
    <row r="20603" spans="1:6" x14ac:dyDescent="0.25">
      <c r="A20603" t="str">
        <f>"200026970"</f>
        <v>200026970</v>
      </c>
      <c r="B20603" t="str">
        <f>"1982610572"</f>
        <v>1982610572</v>
      </c>
      <c r="C20603" t="str">
        <f>"261QM0801X"</f>
        <v>261QM0801X</v>
      </c>
      <c r="D20603" t="str">
        <f>"PINE BELT MENTAL HEALTHCARE RESOURCES             "</f>
        <v xml:space="preserve">PINE BELT MENTAL HEALTHCARE RESOURCES             </v>
      </c>
      <c r="E20603" t="str">
        <f>"RICHTON                   "</f>
        <v xml:space="preserve">RICHTON                   </v>
      </c>
      <c r="F20603" t="str">
        <f t="shared" si="485"/>
        <v>MS</v>
      </c>
    </row>
    <row r="20604" spans="1:6" x14ac:dyDescent="0.25">
      <c r="A20604" t="str">
        <f>"200026972"</f>
        <v>200026972</v>
      </c>
      <c r="B20604" t="str">
        <f>"1982610572"</f>
        <v>1982610572</v>
      </c>
      <c r="C20604" t="str">
        <f>"261QM0801X"</f>
        <v>261QM0801X</v>
      </c>
      <c r="D20604" t="str">
        <f>"PINE BELT MENTAL HEALTHCARE RESOURCES             "</f>
        <v xml:space="preserve">PINE BELT MENTAL HEALTHCARE RESOURCES             </v>
      </c>
      <c r="E20604" t="str">
        <f>"COLUMBIA                  "</f>
        <v xml:space="preserve">COLUMBIA                  </v>
      </c>
      <c r="F20604" t="str">
        <f t="shared" si="485"/>
        <v>MS</v>
      </c>
    </row>
    <row r="20605" spans="1:6" x14ac:dyDescent="0.25">
      <c r="A20605" t="str">
        <f>"200026973"</f>
        <v>200026973</v>
      </c>
      <c r="B20605" t="str">
        <f>"1982610572"</f>
        <v>1982610572</v>
      </c>
      <c r="C20605" t="str">
        <f>"261QM0801X"</f>
        <v>261QM0801X</v>
      </c>
      <c r="D20605" t="str">
        <f>"PINE BELT MENTAL HEALTHCARE RESOURCES             "</f>
        <v xml:space="preserve">PINE BELT MENTAL HEALTHCARE RESOURCES             </v>
      </c>
      <c r="E20605" t="str">
        <f>"COLUMBIA                  "</f>
        <v xml:space="preserve">COLUMBIA                  </v>
      </c>
      <c r="F20605" t="str">
        <f t="shared" si="485"/>
        <v>MS</v>
      </c>
    </row>
    <row r="20606" spans="1:6" x14ac:dyDescent="0.25">
      <c r="A20606" t="str">
        <f>"200026974"</f>
        <v>200026974</v>
      </c>
      <c r="B20606" t="str">
        <f>"1689542581"</f>
        <v>1689542581</v>
      </c>
      <c r="C20606" t="str">
        <f>"363LF0000X"</f>
        <v>363LF0000X</v>
      </c>
      <c r="D20606" t="str">
        <f>"SECRIST                  SHEENA                   "</f>
        <v xml:space="preserve">SECRIST                  SHEENA                   </v>
      </c>
      <c r="E20606" t="str">
        <f>"MERIDIAN                  "</f>
        <v xml:space="preserve">MERIDIAN                  </v>
      </c>
      <c r="F20606" t="str">
        <f t="shared" ref="F20606:F20669" si="486">"MS"</f>
        <v>MS</v>
      </c>
    </row>
    <row r="20607" spans="1:6" x14ac:dyDescent="0.25">
      <c r="A20607" t="str">
        <f>"200026976"</f>
        <v>200026976</v>
      </c>
      <c r="B20607" t="str">
        <f>"1487332649"</f>
        <v>1487332649</v>
      </c>
      <c r="C20607" t="str">
        <f>"367500000X"</f>
        <v>367500000X</v>
      </c>
      <c r="D20607" t="str">
        <f>"PRICE                    RACHEL                   "</f>
        <v xml:space="preserve">PRICE                    RACHEL                   </v>
      </c>
      <c r="E20607" t="str">
        <f>"HATTIESBURG               "</f>
        <v xml:space="preserve">HATTIESBURG               </v>
      </c>
      <c r="F20607" t="str">
        <f t="shared" si="486"/>
        <v>MS</v>
      </c>
    </row>
    <row r="20608" spans="1:6" x14ac:dyDescent="0.25">
      <c r="A20608" t="str">
        <f>"200026988"</f>
        <v>200026988</v>
      </c>
      <c r="B20608" t="str">
        <f>"1326521048"</f>
        <v>1326521048</v>
      </c>
      <c r="C20608" t="str">
        <f>"363LA2200X"</f>
        <v>363LA2200X</v>
      </c>
      <c r="D20608" t="str">
        <f>"BECKWITH                 HAILEY       P           "</f>
        <v xml:space="preserve">BECKWITH                 HAILEY       P           </v>
      </c>
      <c r="E20608" t="str">
        <f>"VICKSBURG                 "</f>
        <v xml:space="preserve">VICKSBURG                 </v>
      </c>
      <c r="F20608" t="str">
        <f t="shared" si="486"/>
        <v>MS</v>
      </c>
    </row>
    <row r="20609" spans="1:6" x14ac:dyDescent="0.25">
      <c r="A20609" t="str">
        <f>"200026991"</f>
        <v>200026991</v>
      </c>
      <c r="B20609" t="str">
        <f>"1144629510"</f>
        <v>1144629510</v>
      </c>
      <c r="C20609" t="str">
        <f>"363LF0000X"</f>
        <v>363LF0000X</v>
      </c>
      <c r="D20609" t="str">
        <f>"JONES STEWART            ANGELA                   "</f>
        <v xml:space="preserve">JONES STEWART            ANGELA                   </v>
      </c>
      <c r="E20609" t="str">
        <f>"CANTON                    "</f>
        <v xml:space="preserve">CANTON                    </v>
      </c>
      <c r="F20609" t="str">
        <f t="shared" si="486"/>
        <v>MS</v>
      </c>
    </row>
    <row r="20610" spans="1:6" x14ac:dyDescent="0.25">
      <c r="A20610" t="str">
        <f>"200026992"</f>
        <v>200026992</v>
      </c>
      <c r="B20610" t="str">
        <f>"1942763867"</f>
        <v>1942763867</v>
      </c>
      <c r="C20610" t="str">
        <f>"2080P0206X"</f>
        <v>2080P0206X</v>
      </c>
      <c r="D20610" t="str">
        <f>"GIROUX                   PARKER                   "</f>
        <v xml:space="preserve">GIROUX                   PARKER                   </v>
      </c>
      <c r="E20610" t="str">
        <f>"JACKSON                   "</f>
        <v xml:space="preserve">JACKSON                   </v>
      </c>
      <c r="F20610" t="str">
        <f t="shared" si="486"/>
        <v>MS</v>
      </c>
    </row>
    <row r="20611" spans="1:6" x14ac:dyDescent="0.25">
      <c r="A20611" t="str">
        <f>"200026993"</f>
        <v>200026993</v>
      </c>
      <c r="B20611" t="str">
        <f>"1659017549"</f>
        <v>1659017549</v>
      </c>
      <c r="C20611" t="str">
        <f>"207R00000X"</f>
        <v>207R00000X</v>
      </c>
      <c r="D20611" t="str">
        <f>"SALEEM                   NOMAN                    "</f>
        <v xml:space="preserve">SALEEM                   NOMAN                    </v>
      </c>
      <c r="E20611" t="str">
        <f>"JACKSON                   "</f>
        <v xml:space="preserve">JACKSON                   </v>
      </c>
      <c r="F20611" t="str">
        <f t="shared" si="486"/>
        <v>MS</v>
      </c>
    </row>
    <row r="20612" spans="1:6" x14ac:dyDescent="0.25">
      <c r="A20612" t="str">
        <f>"200026998"</f>
        <v>200026998</v>
      </c>
      <c r="B20612" t="str">
        <f>"1801242367"</f>
        <v>1801242367</v>
      </c>
      <c r="C20612" t="str">
        <f>"2080N0001X"</f>
        <v>2080N0001X</v>
      </c>
      <c r="D20612" t="str">
        <f>"FREEMAN                  ELIZABETH                "</f>
        <v xml:space="preserve">FREEMAN                  ELIZABETH                </v>
      </c>
      <c r="E20612" t="str">
        <f>"JACKSON                   "</f>
        <v xml:space="preserve">JACKSON                   </v>
      </c>
      <c r="F20612" t="str">
        <f t="shared" si="486"/>
        <v>MS</v>
      </c>
    </row>
    <row r="20613" spans="1:6" x14ac:dyDescent="0.25">
      <c r="A20613" t="str">
        <f>"200027001"</f>
        <v>200027001</v>
      </c>
      <c r="B20613" t="str">
        <f>"1255187506"</f>
        <v>1255187506</v>
      </c>
      <c r="C20613" t="str">
        <f>"207L00000X"</f>
        <v>207L00000X</v>
      </c>
      <c r="D20613" t="str">
        <f>"BABIKIR                  HAZIM                    "</f>
        <v xml:space="preserve">BABIKIR                  HAZIM                    </v>
      </c>
      <c r="E20613" t="str">
        <f>"JACKSON                   "</f>
        <v xml:space="preserve">JACKSON                   </v>
      </c>
      <c r="F20613" t="str">
        <f t="shared" si="486"/>
        <v>MS</v>
      </c>
    </row>
    <row r="20614" spans="1:6" x14ac:dyDescent="0.25">
      <c r="A20614" t="str">
        <f>"200027006"</f>
        <v>200027006</v>
      </c>
      <c r="B20614" t="str">
        <f>"1912893322"</f>
        <v>1912893322</v>
      </c>
      <c r="C20614" t="str">
        <f>"261QU0200X"</f>
        <v>261QU0200X</v>
      </c>
      <c r="D20614" t="str">
        <f>"WEBSTER URGENT CARE CALEDONIA LLC                 "</f>
        <v xml:space="preserve">WEBSTER URGENT CARE CALEDONIA LLC                 </v>
      </c>
      <c r="E20614" t="str">
        <f>"CALEDONIA                 "</f>
        <v xml:space="preserve">CALEDONIA                 </v>
      </c>
      <c r="F20614" t="str">
        <f t="shared" si="486"/>
        <v>MS</v>
      </c>
    </row>
    <row r="20615" spans="1:6" x14ac:dyDescent="0.25">
      <c r="A20615" t="str">
        <f>"200027010"</f>
        <v>200027010</v>
      </c>
      <c r="B20615" t="str">
        <f>"1114155249"</f>
        <v>1114155249</v>
      </c>
      <c r="C20615" t="str">
        <f>"363LF0000X"</f>
        <v>363LF0000X</v>
      </c>
      <c r="D20615" t="str">
        <f>"PREVOST                  NATASHA                  "</f>
        <v xml:space="preserve">PREVOST                  NATASHA                  </v>
      </c>
      <c r="E20615" t="str">
        <f>"FLOWOOD                   "</f>
        <v xml:space="preserve">FLOWOOD                   </v>
      </c>
      <c r="F20615" t="str">
        <f t="shared" si="486"/>
        <v>MS</v>
      </c>
    </row>
    <row r="20616" spans="1:6" x14ac:dyDescent="0.25">
      <c r="A20616" t="str">
        <f>"200027012"</f>
        <v>200027012</v>
      </c>
      <c r="B20616" t="str">
        <f>"1063428761"</f>
        <v>1063428761</v>
      </c>
      <c r="C20616" t="str">
        <f>"261QM0801X"</f>
        <v>261QM0801X</v>
      </c>
      <c r="D20616" t="str">
        <f>"REGION 8 MENTAL HEALTH - MADISON COUNTY OFFICE    "</f>
        <v xml:space="preserve">REGION 8 MENTAL HEALTH - MADISON COUNTY OFFICE    </v>
      </c>
      <c r="E20616" t="str">
        <f>"CANTON                    "</f>
        <v xml:space="preserve">CANTON                    </v>
      </c>
      <c r="F20616" t="str">
        <f t="shared" si="486"/>
        <v>MS</v>
      </c>
    </row>
    <row r="20617" spans="1:6" x14ac:dyDescent="0.25">
      <c r="A20617" t="str">
        <f>"200027013"</f>
        <v>200027013</v>
      </c>
      <c r="B20617" t="str">
        <f>"1043324809"</f>
        <v>1043324809</v>
      </c>
      <c r="C20617" t="str">
        <f>"208M00000X"</f>
        <v>208M00000X</v>
      </c>
      <c r="D20617" t="str">
        <f>"KING, III                THOMAS       E           "</f>
        <v xml:space="preserve">KING, III                THOMAS       E           </v>
      </c>
      <c r="E20617" t="str">
        <f>"HATTIESBURG               "</f>
        <v xml:space="preserve">HATTIESBURG               </v>
      </c>
      <c r="F20617" t="str">
        <f t="shared" si="486"/>
        <v>MS</v>
      </c>
    </row>
    <row r="20618" spans="1:6" x14ac:dyDescent="0.25">
      <c r="A20618" t="str">
        <f>"200027018"</f>
        <v>200027018</v>
      </c>
      <c r="B20618" t="str">
        <f>"1982610572"</f>
        <v>1982610572</v>
      </c>
      <c r="C20618" t="str">
        <f>"261QM0801X"</f>
        <v>261QM0801X</v>
      </c>
      <c r="D20618" t="str">
        <f>"PINE BELT MENTAL HEALTHCARE RESOURCES             "</f>
        <v xml:space="preserve">PINE BELT MENTAL HEALTHCARE RESOURCES             </v>
      </c>
      <c r="E20618" t="str">
        <f>"PRENTISS                  "</f>
        <v xml:space="preserve">PRENTISS                  </v>
      </c>
      <c r="F20618" t="str">
        <f t="shared" si="486"/>
        <v>MS</v>
      </c>
    </row>
    <row r="20619" spans="1:6" x14ac:dyDescent="0.25">
      <c r="A20619" t="str">
        <f>"200027019"</f>
        <v>200027019</v>
      </c>
      <c r="B20619" t="str">
        <f>"1982610572"</f>
        <v>1982610572</v>
      </c>
      <c r="C20619" t="str">
        <f>"261QM0801X"</f>
        <v>261QM0801X</v>
      </c>
      <c r="D20619" t="str">
        <f>"PINE BELT MENTAL HEALTHCARE RESOURCES             "</f>
        <v xml:space="preserve">PINE BELT MENTAL HEALTHCARE RESOURCES             </v>
      </c>
      <c r="E20619" t="str">
        <f>"ELLISVILLE                "</f>
        <v xml:space="preserve">ELLISVILLE                </v>
      </c>
      <c r="F20619" t="str">
        <f t="shared" si="486"/>
        <v>MS</v>
      </c>
    </row>
    <row r="20620" spans="1:6" x14ac:dyDescent="0.25">
      <c r="A20620" t="str">
        <f>"200027020"</f>
        <v>200027020</v>
      </c>
      <c r="B20620" t="str">
        <f>"1982610572"</f>
        <v>1982610572</v>
      </c>
      <c r="C20620" t="str">
        <f>"261QM0801X"</f>
        <v>261QM0801X</v>
      </c>
      <c r="D20620" t="str">
        <f>"PINE BELT MENTAL HEALTHCARE RESOURCES             "</f>
        <v xml:space="preserve">PINE BELT MENTAL HEALTHCARE RESOURCES             </v>
      </c>
      <c r="E20620" t="str">
        <f>"GULFPORT                  "</f>
        <v xml:space="preserve">GULFPORT                  </v>
      </c>
      <c r="F20620" t="str">
        <f t="shared" si="486"/>
        <v>MS</v>
      </c>
    </row>
    <row r="20621" spans="1:6" x14ac:dyDescent="0.25">
      <c r="A20621" t="str">
        <f>"200027021"</f>
        <v>200027021</v>
      </c>
      <c r="B20621" t="str">
        <f>"1982610572"</f>
        <v>1982610572</v>
      </c>
      <c r="C20621" t="str">
        <f>"261QM0801X"</f>
        <v>261QM0801X</v>
      </c>
      <c r="D20621" t="str">
        <f>"PINE BELT MENTAL HEALTHCARE RESOURCES             "</f>
        <v xml:space="preserve">PINE BELT MENTAL HEALTHCARE RESOURCES             </v>
      </c>
      <c r="E20621" t="str">
        <f>"GULFPORT                  "</f>
        <v xml:space="preserve">GULFPORT                  </v>
      </c>
      <c r="F20621" t="str">
        <f t="shared" si="486"/>
        <v>MS</v>
      </c>
    </row>
    <row r="20622" spans="1:6" x14ac:dyDescent="0.25">
      <c r="A20622" t="str">
        <f>"200027025"</f>
        <v>200027025</v>
      </c>
      <c r="B20622" t="str">
        <f>"1871850438"</f>
        <v>1871850438</v>
      </c>
      <c r="C20622" t="str">
        <f>"2085R0202X"</f>
        <v>2085R0202X</v>
      </c>
      <c r="D20622" t="str">
        <f>"ONDERI                   SIMON        P           "</f>
        <v xml:space="preserve">ONDERI                   SIMON        P           </v>
      </c>
      <c r="E20622" t="str">
        <f>"HATTIESBURG               "</f>
        <v xml:space="preserve">HATTIESBURG               </v>
      </c>
      <c r="F20622" t="str">
        <f t="shared" si="486"/>
        <v>MS</v>
      </c>
    </row>
    <row r="20623" spans="1:6" x14ac:dyDescent="0.25">
      <c r="A20623" t="str">
        <f>"200027026"</f>
        <v>200027026</v>
      </c>
      <c r="B20623" t="str">
        <f>"1548941669"</f>
        <v>1548941669</v>
      </c>
      <c r="C20623" t="str">
        <f>"363LF0000X"</f>
        <v>363LF0000X</v>
      </c>
      <c r="D20623" t="str">
        <f>"BURNSIDE                 GWENDOLYN                "</f>
        <v xml:space="preserve">BURNSIDE                 GWENDOLYN                </v>
      </c>
      <c r="E20623" t="str">
        <f>"CHOCTAW                   "</f>
        <v xml:space="preserve">CHOCTAW                   </v>
      </c>
      <c r="F20623" t="str">
        <f t="shared" si="486"/>
        <v>MS</v>
      </c>
    </row>
    <row r="20624" spans="1:6" x14ac:dyDescent="0.25">
      <c r="A20624" t="str">
        <f>"200027046"</f>
        <v>200027046</v>
      </c>
      <c r="B20624" t="str">
        <f>"1396478830"</f>
        <v>1396478830</v>
      </c>
      <c r="C20624" t="str">
        <f>"363LG0600X"</f>
        <v>363LG0600X</v>
      </c>
      <c r="D20624" t="str">
        <f>"RANDALL                  VICTORIA                 "</f>
        <v xml:space="preserve">RANDALL                  VICTORIA                 </v>
      </c>
      <c r="E20624" t="str">
        <f>"FLOWOOD                   "</f>
        <v xml:space="preserve">FLOWOOD                   </v>
      </c>
      <c r="F20624" t="str">
        <f t="shared" si="486"/>
        <v>MS</v>
      </c>
    </row>
    <row r="20625" spans="1:6" x14ac:dyDescent="0.25">
      <c r="A20625" t="str">
        <f>"200027047"</f>
        <v>200027047</v>
      </c>
      <c r="B20625" t="str">
        <f>"1205709466"</f>
        <v>1205709466</v>
      </c>
      <c r="C20625" t="str">
        <f>"363LF0000X"</f>
        <v>363LF0000X</v>
      </c>
      <c r="D20625" t="str">
        <f>"SHAVERS                  VALENZIA     M           "</f>
        <v xml:space="preserve">SHAVERS                  VALENZIA     M           </v>
      </c>
      <c r="E20625" t="str">
        <f>"CANTON                    "</f>
        <v xml:space="preserve">CANTON                    </v>
      </c>
      <c r="F20625" t="str">
        <f t="shared" si="486"/>
        <v>MS</v>
      </c>
    </row>
    <row r="20626" spans="1:6" x14ac:dyDescent="0.25">
      <c r="A20626" t="str">
        <f>"200027051"</f>
        <v>200027051</v>
      </c>
      <c r="B20626" t="str">
        <f>"1447879556"</f>
        <v>1447879556</v>
      </c>
      <c r="C20626" t="str">
        <f>"208600000X"</f>
        <v>208600000X</v>
      </c>
      <c r="D20626" t="str">
        <f>"LITTLEJOHN               JAMES        B           "</f>
        <v xml:space="preserve">LITTLEJOHN               JAMES        B           </v>
      </c>
      <c r="E20626" t="str">
        <f>"JACKSON                   "</f>
        <v xml:space="preserve">JACKSON                   </v>
      </c>
      <c r="F20626" t="str">
        <f t="shared" si="486"/>
        <v>MS</v>
      </c>
    </row>
    <row r="20627" spans="1:6" x14ac:dyDescent="0.25">
      <c r="A20627" t="str">
        <f>"200027052"</f>
        <v>200027052</v>
      </c>
      <c r="B20627" t="str">
        <f>"1063414902"</f>
        <v>1063414902</v>
      </c>
      <c r="C20627" t="str">
        <f>"207P00000X"</f>
        <v>207P00000X</v>
      </c>
      <c r="D20627" t="str">
        <f>"BROWN                    CLYDE                    "</f>
        <v xml:space="preserve">BROWN                    CLYDE                    </v>
      </c>
      <c r="E20627" t="str">
        <f>"OLIVE BRANCH              "</f>
        <v xml:space="preserve">OLIVE BRANCH              </v>
      </c>
      <c r="F20627" t="str">
        <f t="shared" si="486"/>
        <v>MS</v>
      </c>
    </row>
    <row r="20628" spans="1:6" x14ac:dyDescent="0.25">
      <c r="A20628" t="str">
        <f>"200027053"</f>
        <v>200027053</v>
      </c>
      <c r="B20628" t="str">
        <f>"1861121485"</f>
        <v>1861121485</v>
      </c>
      <c r="C20628" t="str">
        <f>"122300000X"</f>
        <v>122300000X</v>
      </c>
      <c r="D20628" t="str">
        <f>"HALL                     GARRETT                  "</f>
        <v xml:space="preserve">HALL                     GARRETT                  </v>
      </c>
      <c r="E20628" t="str">
        <f>"PEARL                     "</f>
        <v xml:space="preserve">PEARL                     </v>
      </c>
      <c r="F20628" t="str">
        <f t="shared" si="486"/>
        <v>MS</v>
      </c>
    </row>
    <row r="20629" spans="1:6" x14ac:dyDescent="0.25">
      <c r="A20629" t="str">
        <f>"200027057"</f>
        <v>200027057</v>
      </c>
      <c r="B20629" t="str">
        <f>"1538248794"</f>
        <v>1538248794</v>
      </c>
      <c r="C20629" t="str">
        <f>"367500000X"</f>
        <v>367500000X</v>
      </c>
      <c r="D20629" t="str">
        <f>"SPAHR                    MAE          D           "</f>
        <v xml:space="preserve">SPAHR                    MAE          D           </v>
      </c>
      <c r="E20629" t="str">
        <f>"GULFPORT                  "</f>
        <v xml:space="preserve">GULFPORT                  </v>
      </c>
      <c r="F20629" t="str">
        <f t="shared" si="486"/>
        <v>MS</v>
      </c>
    </row>
    <row r="20630" spans="1:6" x14ac:dyDescent="0.25">
      <c r="A20630" t="str">
        <f>"200027068"</f>
        <v>200027068</v>
      </c>
      <c r="B20630" t="str">
        <f>"1366399172"</f>
        <v>1366399172</v>
      </c>
      <c r="C20630" t="str">
        <f>"363LF0000X"</f>
        <v>363LF0000X</v>
      </c>
      <c r="D20630" t="str">
        <f>"COOLEY                   DANA         M           "</f>
        <v xml:space="preserve">COOLEY                   DANA         M           </v>
      </c>
      <c r="E20630" t="str">
        <f>"LAUREL                    "</f>
        <v xml:space="preserve">LAUREL                    </v>
      </c>
      <c r="F20630" t="str">
        <f t="shared" si="486"/>
        <v>MS</v>
      </c>
    </row>
    <row r="20631" spans="1:6" x14ac:dyDescent="0.25">
      <c r="A20631" t="str">
        <f>"200027069"</f>
        <v>200027069</v>
      </c>
      <c r="B20631" t="str">
        <f>"1972460152"</f>
        <v>1972460152</v>
      </c>
      <c r="C20631" t="str">
        <f>"363LF0000X"</f>
        <v>363LF0000X</v>
      </c>
      <c r="D20631" t="str">
        <f>"MACDONALD                BROOKE       E           "</f>
        <v xml:space="preserve">MACDONALD                BROOKE       E           </v>
      </c>
      <c r="E20631" t="str">
        <f>"HATTIESBURG               "</f>
        <v xml:space="preserve">HATTIESBURG               </v>
      </c>
      <c r="F20631" t="str">
        <f t="shared" si="486"/>
        <v>MS</v>
      </c>
    </row>
    <row r="20632" spans="1:6" x14ac:dyDescent="0.25">
      <c r="A20632" t="str">
        <f>"200027072"</f>
        <v>200027072</v>
      </c>
      <c r="B20632" t="str">
        <f>"1629968094"</f>
        <v>1629968094</v>
      </c>
      <c r="C20632" t="str">
        <f>"363LA2100X"</f>
        <v>363LA2100X</v>
      </c>
      <c r="D20632" t="str">
        <f>"SUDDUTH                  MORGAN                   "</f>
        <v xml:space="preserve">SUDDUTH                  MORGAN                   </v>
      </c>
      <c r="E20632" t="str">
        <f>"JACKSON                   "</f>
        <v xml:space="preserve">JACKSON                   </v>
      </c>
      <c r="F20632" t="str">
        <f t="shared" si="486"/>
        <v>MS</v>
      </c>
    </row>
    <row r="20633" spans="1:6" x14ac:dyDescent="0.25">
      <c r="A20633" t="str">
        <f>"200027077"</f>
        <v>200027077</v>
      </c>
      <c r="B20633" t="str">
        <f>"1982610572"</f>
        <v>1982610572</v>
      </c>
      <c r="C20633" t="str">
        <f>"261QM0801X"</f>
        <v>261QM0801X</v>
      </c>
      <c r="D20633" t="str">
        <f>"PINE BELT MENTAL HEALTHCARE RESOURCES             "</f>
        <v xml:space="preserve">PINE BELT MENTAL HEALTHCARE RESOURCES             </v>
      </c>
      <c r="E20633" t="str">
        <f>"PURVIS                    "</f>
        <v xml:space="preserve">PURVIS                    </v>
      </c>
      <c r="F20633" t="str">
        <f t="shared" si="486"/>
        <v>MS</v>
      </c>
    </row>
    <row r="20634" spans="1:6" x14ac:dyDescent="0.25">
      <c r="A20634" t="str">
        <f>"200027080"</f>
        <v>200027080</v>
      </c>
      <c r="B20634" t="str">
        <f>"1265395198"</f>
        <v>1265395198</v>
      </c>
      <c r="C20634" t="str">
        <f>"363L00000X"</f>
        <v>363L00000X</v>
      </c>
      <c r="D20634" t="str">
        <f>"HUNT                     LAUREN                   "</f>
        <v xml:space="preserve">HUNT                     LAUREN                   </v>
      </c>
      <c r="E20634" t="str">
        <f>"GULFPORT                  "</f>
        <v xml:space="preserve">GULFPORT                  </v>
      </c>
      <c r="F20634" t="str">
        <f t="shared" si="486"/>
        <v>MS</v>
      </c>
    </row>
    <row r="20635" spans="1:6" x14ac:dyDescent="0.25">
      <c r="A20635" t="str">
        <f>"200027082"</f>
        <v>200027082</v>
      </c>
      <c r="B20635" t="str">
        <f>"1861805913"</f>
        <v>1861805913</v>
      </c>
      <c r="C20635" t="str">
        <f>"2085R0204X"</f>
        <v>2085R0204X</v>
      </c>
      <c r="D20635" t="str">
        <f>"MONTGOMERY               JAMES        A           "</f>
        <v xml:space="preserve">MONTGOMERY               JAMES        A           </v>
      </c>
      <c r="E20635" t="str">
        <f>"HATTIESBURG               "</f>
        <v xml:space="preserve">HATTIESBURG               </v>
      </c>
      <c r="F20635" t="str">
        <f t="shared" si="486"/>
        <v>MS</v>
      </c>
    </row>
    <row r="20636" spans="1:6" x14ac:dyDescent="0.25">
      <c r="A20636" t="str">
        <f>"200027083"</f>
        <v>200027083</v>
      </c>
      <c r="B20636" t="str">
        <f>"1487041505"</f>
        <v>1487041505</v>
      </c>
      <c r="C20636" t="str">
        <f>"363LF0000X"</f>
        <v>363LF0000X</v>
      </c>
      <c r="D20636" t="str">
        <f>"GOUSSET                  SARAH                    "</f>
        <v xml:space="preserve">GOUSSET                  SARAH                    </v>
      </c>
      <c r="E20636" t="str">
        <f>"NATCHEZ                   "</f>
        <v xml:space="preserve">NATCHEZ                   </v>
      </c>
      <c r="F20636" t="str">
        <f t="shared" si="486"/>
        <v>MS</v>
      </c>
    </row>
    <row r="20637" spans="1:6" x14ac:dyDescent="0.25">
      <c r="A20637" t="str">
        <f>"200027086"</f>
        <v>200027086</v>
      </c>
      <c r="B20637" t="str">
        <f>"1770107005"</f>
        <v>1770107005</v>
      </c>
      <c r="C20637" t="str">
        <f>"367500000X"</f>
        <v>367500000X</v>
      </c>
      <c r="D20637" t="str">
        <f>"CHIAPPETTI               RANDALL                  "</f>
        <v xml:space="preserve">CHIAPPETTI               RANDALL                  </v>
      </c>
      <c r="E20637" t="str">
        <f>"OLIVE BRANCH              "</f>
        <v xml:space="preserve">OLIVE BRANCH              </v>
      </c>
      <c r="F20637" t="str">
        <f t="shared" si="486"/>
        <v>MS</v>
      </c>
    </row>
    <row r="20638" spans="1:6" x14ac:dyDescent="0.25">
      <c r="A20638" t="str">
        <f>"200027088"</f>
        <v>200027088</v>
      </c>
      <c r="B20638" t="str">
        <f>"1578836748"</f>
        <v>1578836748</v>
      </c>
      <c r="C20638" t="str">
        <f>"363A00000X"</f>
        <v>363A00000X</v>
      </c>
      <c r="D20638" t="str">
        <f>"BROWNHILL                BRIANA       A           "</f>
        <v xml:space="preserve">BROWNHILL                BRIANA       A           </v>
      </c>
      <c r="E20638" t="str">
        <f>"RIDGELAND                 "</f>
        <v xml:space="preserve">RIDGELAND                 </v>
      </c>
      <c r="F20638" t="str">
        <f t="shared" si="486"/>
        <v>MS</v>
      </c>
    </row>
    <row r="20639" spans="1:6" x14ac:dyDescent="0.25">
      <c r="A20639" t="str">
        <f>"200027091"</f>
        <v>200027091</v>
      </c>
      <c r="B20639" t="str">
        <f>"1689965428"</f>
        <v>1689965428</v>
      </c>
      <c r="C20639" t="str">
        <f>"2085R0202X"</f>
        <v>2085R0202X</v>
      </c>
      <c r="D20639" t="str">
        <f>"PATEL                    UJVAL                    "</f>
        <v xml:space="preserve">PATEL                    UJVAL                    </v>
      </c>
      <c r="E20639" t="str">
        <f>"HATTIESBURG               "</f>
        <v xml:space="preserve">HATTIESBURG               </v>
      </c>
      <c r="F20639" t="str">
        <f t="shared" si="486"/>
        <v>MS</v>
      </c>
    </row>
    <row r="20640" spans="1:6" x14ac:dyDescent="0.25">
      <c r="A20640" t="str">
        <f>"200027092"</f>
        <v>200027092</v>
      </c>
      <c r="B20640" t="str">
        <f>"1962866004"</f>
        <v>1962866004</v>
      </c>
      <c r="C20640" t="str">
        <f>"207RI0011X"</f>
        <v>207RI0011X</v>
      </c>
      <c r="D20640" t="str">
        <f>"DAUPHIN                  PATRICK      D           "</f>
        <v xml:space="preserve">DAUPHIN                  PATRICK      D           </v>
      </c>
      <c r="E20640" t="str">
        <f>"HATTIESBURG               "</f>
        <v xml:space="preserve">HATTIESBURG               </v>
      </c>
      <c r="F20640" t="str">
        <f t="shared" si="486"/>
        <v>MS</v>
      </c>
    </row>
    <row r="20641" spans="1:6" x14ac:dyDescent="0.25">
      <c r="A20641" t="str">
        <f>"200027094"</f>
        <v>200027094</v>
      </c>
      <c r="B20641" t="str">
        <f>"1790295400"</f>
        <v>1790295400</v>
      </c>
      <c r="C20641" t="str">
        <f>"363LF0000X"</f>
        <v>363LF0000X</v>
      </c>
      <c r="D20641" t="str">
        <f>"CARTER                   APRIL                    "</f>
        <v xml:space="preserve">CARTER                   APRIL                    </v>
      </c>
      <c r="E20641" t="str">
        <f>"RIDGELAND                 "</f>
        <v xml:space="preserve">RIDGELAND                 </v>
      </c>
      <c r="F20641" t="str">
        <f t="shared" si="486"/>
        <v>MS</v>
      </c>
    </row>
    <row r="20642" spans="1:6" x14ac:dyDescent="0.25">
      <c r="A20642" t="str">
        <f>"200027097"</f>
        <v>200027097</v>
      </c>
      <c r="B20642" t="str">
        <f>"1447540943"</f>
        <v>1447540943</v>
      </c>
      <c r="C20642" t="str">
        <f>"208M00000X"</f>
        <v>208M00000X</v>
      </c>
      <c r="D20642" t="str">
        <f>"CHOUDHURY                SAIF                     "</f>
        <v xml:space="preserve">CHOUDHURY                SAIF                     </v>
      </c>
      <c r="E20642" t="str">
        <f>"MADISON                   "</f>
        <v xml:space="preserve">MADISON                   </v>
      </c>
      <c r="F20642" t="str">
        <f t="shared" si="486"/>
        <v>MS</v>
      </c>
    </row>
    <row r="20643" spans="1:6" x14ac:dyDescent="0.25">
      <c r="A20643" t="str">
        <f>"200027099"</f>
        <v>200027099</v>
      </c>
      <c r="B20643" t="str">
        <f>"1700751302"</f>
        <v>1700751302</v>
      </c>
      <c r="C20643" t="str">
        <f>"363LF0000X"</f>
        <v>363LF0000X</v>
      </c>
      <c r="D20643" t="str">
        <f>"WESTERFIELD              KITSY                    "</f>
        <v xml:space="preserve">WESTERFIELD              KITSY                    </v>
      </c>
      <c r="E20643" t="str">
        <f>"RIDGELAND                 "</f>
        <v xml:space="preserve">RIDGELAND                 </v>
      </c>
      <c r="F20643" t="str">
        <f t="shared" si="486"/>
        <v>MS</v>
      </c>
    </row>
    <row r="20644" spans="1:6" x14ac:dyDescent="0.25">
      <c r="A20644" t="str">
        <f>"200027101"</f>
        <v>200027101</v>
      </c>
      <c r="B20644" t="str">
        <f>"1659523934"</f>
        <v>1659523934</v>
      </c>
      <c r="C20644" t="str">
        <f>"208M00000X"</f>
        <v>208M00000X</v>
      </c>
      <c r="D20644" t="str">
        <f>"ODUNUSI                  OLUYEMI      O           "</f>
        <v xml:space="preserve">ODUNUSI                  OLUYEMI      O           </v>
      </c>
      <c r="E20644" t="str">
        <f>"HATTIESBURG               "</f>
        <v xml:space="preserve">HATTIESBURG               </v>
      </c>
      <c r="F20644" t="str">
        <f t="shared" si="486"/>
        <v>MS</v>
      </c>
    </row>
    <row r="20645" spans="1:6" x14ac:dyDescent="0.25">
      <c r="A20645" t="str">
        <f>"200027102"</f>
        <v>200027102</v>
      </c>
      <c r="B20645" t="str">
        <f>"1124640420"</f>
        <v>1124640420</v>
      </c>
      <c r="C20645" t="str">
        <f>"207X00000X"</f>
        <v>207X00000X</v>
      </c>
      <c r="D20645" t="str">
        <f>"FERRERA                  FERNANDO                 "</f>
        <v xml:space="preserve">FERRERA                  FERNANDO                 </v>
      </c>
      <c r="E20645" t="str">
        <f>"GULFPORT                  "</f>
        <v xml:space="preserve">GULFPORT                  </v>
      </c>
      <c r="F20645" t="str">
        <f t="shared" si="486"/>
        <v>MS</v>
      </c>
    </row>
    <row r="20646" spans="1:6" x14ac:dyDescent="0.25">
      <c r="A20646" t="str">
        <f>"200027103"</f>
        <v>200027103</v>
      </c>
      <c r="B20646" t="str">
        <f>"1730070293"</f>
        <v>1730070293</v>
      </c>
      <c r="C20646" t="str">
        <f>"363LF0000X"</f>
        <v>363LF0000X</v>
      </c>
      <c r="D20646" t="str">
        <f>"UTROSKA                  ASHLYN                   "</f>
        <v xml:space="preserve">UTROSKA                  ASHLYN                   </v>
      </c>
      <c r="E20646" t="str">
        <f>"ACKERMAN                  "</f>
        <v xml:space="preserve">ACKERMAN                  </v>
      </c>
      <c r="F20646" t="str">
        <f t="shared" si="486"/>
        <v>MS</v>
      </c>
    </row>
    <row r="20647" spans="1:6" x14ac:dyDescent="0.25">
      <c r="A20647" t="str">
        <f>"200027104"</f>
        <v>200027104</v>
      </c>
      <c r="B20647" t="str">
        <f>"1982610572"</f>
        <v>1982610572</v>
      </c>
      <c r="C20647" t="str">
        <f>"261QM0801X"</f>
        <v>261QM0801X</v>
      </c>
      <c r="D20647" t="str">
        <f>"PINE BELT MENTAL HEALTHCARE RESOURCES             "</f>
        <v xml:space="preserve">PINE BELT MENTAL HEALTHCARE RESOURCES             </v>
      </c>
      <c r="E20647" t="str">
        <f>"HATTIESBURG               "</f>
        <v xml:space="preserve">HATTIESBURG               </v>
      </c>
      <c r="F20647" t="str">
        <f t="shared" si="486"/>
        <v>MS</v>
      </c>
    </row>
    <row r="20648" spans="1:6" x14ac:dyDescent="0.25">
      <c r="A20648" t="str">
        <f>"200027105"</f>
        <v>200027105</v>
      </c>
      <c r="B20648" t="str">
        <f>"1932562519"</f>
        <v>1932562519</v>
      </c>
      <c r="C20648" t="str">
        <f>"208100000X"</f>
        <v>208100000X</v>
      </c>
      <c r="D20648" t="str">
        <f>"HANKENSON                JENNIFER                 "</f>
        <v xml:space="preserve">HANKENSON                JENNIFER                 </v>
      </c>
      <c r="E20648" t="str">
        <f>"JACKSON                   "</f>
        <v xml:space="preserve">JACKSON                   </v>
      </c>
      <c r="F20648" t="str">
        <f t="shared" si="486"/>
        <v>MS</v>
      </c>
    </row>
    <row r="20649" spans="1:6" x14ac:dyDescent="0.25">
      <c r="A20649" t="str">
        <f>"200027106"</f>
        <v>200027106</v>
      </c>
      <c r="B20649" t="str">
        <f>"1982610572"</f>
        <v>1982610572</v>
      </c>
      <c r="C20649" t="str">
        <f>"261QM0801X"</f>
        <v>261QM0801X</v>
      </c>
      <c r="D20649" t="str">
        <f>"PINE BELT MENTAL HEALTHCARE RESOURCES             "</f>
        <v xml:space="preserve">PINE BELT MENTAL HEALTHCARE RESOURCES             </v>
      </c>
      <c r="E20649" t="str">
        <f>"PICAYUNE                  "</f>
        <v xml:space="preserve">PICAYUNE                  </v>
      </c>
      <c r="F20649" t="str">
        <f t="shared" si="486"/>
        <v>MS</v>
      </c>
    </row>
    <row r="20650" spans="1:6" x14ac:dyDescent="0.25">
      <c r="A20650" t="str">
        <f>"200027107"</f>
        <v>200027107</v>
      </c>
      <c r="B20650" t="str">
        <f>"1508068750"</f>
        <v>1508068750</v>
      </c>
      <c r="C20650" t="str">
        <f>"2084N0400X"</f>
        <v>2084N0400X</v>
      </c>
      <c r="D20650" t="str">
        <f>"MEISEL                   KARL                     "</f>
        <v xml:space="preserve">MEISEL                   KARL                     </v>
      </c>
      <c r="E20650" t="str">
        <f>"TUPELO                    "</f>
        <v xml:space="preserve">TUPELO                    </v>
      </c>
      <c r="F20650" t="str">
        <f t="shared" si="486"/>
        <v>MS</v>
      </c>
    </row>
    <row r="20651" spans="1:6" x14ac:dyDescent="0.25">
      <c r="A20651" t="str">
        <f>"200027108"</f>
        <v>200027108</v>
      </c>
      <c r="B20651" t="str">
        <f>"1801828496"</f>
        <v>1801828496</v>
      </c>
      <c r="C20651" t="str">
        <f>"261QM0801X"</f>
        <v>261QM0801X</v>
      </c>
      <c r="D20651" t="str">
        <f>"LIFECORE HEALTH GROUP - PONTOTOC CO. OFFICE       "</f>
        <v xml:space="preserve">LIFECORE HEALTH GROUP - PONTOTOC CO. OFFICE       </v>
      </c>
      <c r="E20651" t="str">
        <f>"PONTOTOC                  "</f>
        <v xml:space="preserve">PONTOTOC                  </v>
      </c>
      <c r="F20651" t="str">
        <f t="shared" si="486"/>
        <v>MS</v>
      </c>
    </row>
    <row r="20652" spans="1:6" x14ac:dyDescent="0.25">
      <c r="A20652" t="str">
        <f>"200027109"</f>
        <v>200027109</v>
      </c>
      <c r="B20652" t="str">
        <f>"1982610572"</f>
        <v>1982610572</v>
      </c>
      <c r="C20652" t="str">
        <f>"261QM0801X"</f>
        <v>261QM0801X</v>
      </c>
      <c r="D20652" t="str">
        <f>"PINE BELT MENTAL HEALTHCARE RESOURCES             "</f>
        <v xml:space="preserve">PINE BELT MENTAL HEALTHCARE RESOURCES             </v>
      </c>
      <c r="E20652" t="str">
        <f>"LAUREL                    "</f>
        <v xml:space="preserve">LAUREL                    </v>
      </c>
      <c r="F20652" t="str">
        <f t="shared" si="486"/>
        <v>MS</v>
      </c>
    </row>
    <row r="20653" spans="1:6" x14ac:dyDescent="0.25">
      <c r="A20653" t="str">
        <f>"200027112"</f>
        <v>200027112</v>
      </c>
      <c r="B20653" t="str">
        <f>"1528932092"</f>
        <v>1528932092</v>
      </c>
      <c r="C20653" t="str">
        <f>"363L00000X"</f>
        <v>363L00000X</v>
      </c>
      <c r="D20653" t="str">
        <f>"GREER                    BRANDY                   "</f>
        <v xml:space="preserve">GREER                    BRANDY                   </v>
      </c>
      <c r="E20653" t="str">
        <f>"RIDGELAND                 "</f>
        <v xml:space="preserve">RIDGELAND                 </v>
      </c>
      <c r="F20653" t="str">
        <f t="shared" si="486"/>
        <v>MS</v>
      </c>
    </row>
    <row r="20654" spans="1:6" x14ac:dyDescent="0.25">
      <c r="A20654" t="str">
        <f>"200027113"</f>
        <v>200027113</v>
      </c>
      <c r="B20654" t="str">
        <f>"1124980768"</f>
        <v>1124980768</v>
      </c>
      <c r="C20654" t="str">
        <f>"363LF0000X"</f>
        <v>363LF0000X</v>
      </c>
      <c r="D20654" t="str">
        <f>"MCREYNOLDS               ASHLEY                   "</f>
        <v xml:space="preserve">MCREYNOLDS               ASHLEY                   </v>
      </c>
      <c r="E20654" t="str">
        <f>"COLUMBUS                  "</f>
        <v xml:space="preserve">COLUMBUS                  </v>
      </c>
      <c r="F20654" t="str">
        <f t="shared" si="486"/>
        <v>MS</v>
      </c>
    </row>
    <row r="20655" spans="1:6" x14ac:dyDescent="0.25">
      <c r="A20655" t="str">
        <f>"200027114"</f>
        <v>200027114</v>
      </c>
      <c r="B20655" t="str">
        <f>"1548098163"</f>
        <v>1548098163</v>
      </c>
      <c r="C20655" t="str">
        <f>"367500000X"</f>
        <v>367500000X</v>
      </c>
      <c r="D20655" t="str">
        <f>"TROLLINGER               JACK                     "</f>
        <v xml:space="preserve">TROLLINGER               JACK                     </v>
      </c>
      <c r="E20655" t="str">
        <f>"TUPELO                    "</f>
        <v xml:space="preserve">TUPELO                    </v>
      </c>
      <c r="F20655" t="str">
        <f t="shared" si="486"/>
        <v>MS</v>
      </c>
    </row>
    <row r="20656" spans="1:6" x14ac:dyDescent="0.25">
      <c r="A20656" t="str">
        <f>"200027117"</f>
        <v>200027117</v>
      </c>
      <c r="B20656" t="str">
        <f>"1801828496"</f>
        <v>1801828496</v>
      </c>
      <c r="C20656" t="str">
        <f>"261QM0801X"</f>
        <v>261QM0801X</v>
      </c>
      <c r="D20656" t="str">
        <f>"LIFECORE HEALTH GROUP- BENTON CO OFFICE           "</f>
        <v xml:space="preserve">LIFECORE HEALTH GROUP- BENTON CO OFFICE           </v>
      </c>
      <c r="E20656" t="str">
        <f>"ASHLAND                   "</f>
        <v xml:space="preserve">ASHLAND                   </v>
      </c>
      <c r="F20656" t="str">
        <f t="shared" si="486"/>
        <v>MS</v>
      </c>
    </row>
    <row r="20657" spans="1:6" x14ac:dyDescent="0.25">
      <c r="A20657" t="str">
        <f>"200027118"</f>
        <v>200027118</v>
      </c>
      <c r="B20657" t="str">
        <f>"1801828496"</f>
        <v>1801828496</v>
      </c>
      <c r="C20657" t="str">
        <f>"261QM0801X"</f>
        <v>261QM0801X</v>
      </c>
      <c r="D20657" t="str">
        <f>"LIFECORE HEALTH GROUP ADDICTION SERVICES          "</f>
        <v xml:space="preserve">LIFECORE HEALTH GROUP ADDICTION SERVICES          </v>
      </c>
      <c r="E20657" t="str">
        <f>"TUPELO                    "</f>
        <v xml:space="preserve">TUPELO                    </v>
      </c>
      <c r="F20657" t="str">
        <f t="shared" si="486"/>
        <v>MS</v>
      </c>
    </row>
    <row r="20658" spans="1:6" x14ac:dyDescent="0.25">
      <c r="A20658" t="str">
        <f>"200027119"</f>
        <v>200027119</v>
      </c>
      <c r="B20658" t="str">
        <f>"1801828496"</f>
        <v>1801828496</v>
      </c>
      <c r="C20658" t="str">
        <f>"261QM0801X"</f>
        <v>261QM0801X</v>
      </c>
      <c r="D20658" t="str">
        <f>"LIFECORE HEALTH GROUP- ITAWAMBA CO. OFFICE        "</f>
        <v xml:space="preserve">LIFECORE HEALTH GROUP- ITAWAMBA CO. OFFICE        </v>
      </c>
      <c r="E20658" t="str">
        <f>"FULTON                    "</f>
        <v xml:space="preserve">FULTON                    </v>
      </c>
      <c r="F20658" t="str">
        <f t="shared" si="486"/>
        <v>MS</v>
      </c>
    </row>
    <row r="20659" spans="1:6" x14ac:dyDescent="0.25">
      <c r="A20659" t="str">
        <f>"200027120"</f>
        <v>200027120</v>
      </c>
      <c r="B20659" t="str">
        <f>"1104781079"</f>
        <v>1104781079</v>
      </c>
      <c r="C20659" t="str">
        <f>"363LP0200X"</f>
        <v>363LP0200X</v>
      </c>
      <c r="D20659" t="str">
        <f>"COOPER                   ANNA                     "</f>
        <v xml:space="preserve">COOPER                   ANNA                     </v>
      </c>
      <c r="E20659" t="str">
        <f>"OXFORD                    "</f>
        <v xml:space="preserve">OXFORD                    </v>
      </c>
      <c r="F20659" t="str">
        <f t="shared" si="486"/>
        <v>MS</v>
      </c>
    </row>
    <row r="20660" spans="1:6" x14ac:dyDescent="0.25">
      <c r="A20660" t="str">
        <f>"200027123"</f>
        <v>200027123</v>
      </c>
      <c r="B20660" t="str">
        <f>"1376658872"</f>
        <v>1376658872</v>
      </c>
      <c r="C20660" t="str">
        <f>"208M00000X"</f>
        <v>208M00000X</v>
      </c>
      <c r="D20660" t="str">
        <f>"EVANS                    SHAWN        T           "</f>
        <v xml:space="preserve">EVANS                    SHAWN        T           </v>
      </c>
      <c r="E20660" t="str">
        <f>"HATTIESBURG               "</f>
        <v xml:space="preserve">HATTIESBURG               </v>
      </c>
      <c r="F20660" t="str">
        <f t="shared" si="486"/>
        <v>MS</v>
      </c>
    </row>
    <row r="20661" spans="1:6" x14ac:dyDescent="0.25">
      <c r="A20661" t="str">
        <f>"200027125"</f>
        <v>200027125</v>
      </c>
      <c r="B20661" t="str">
        <f>"1003234006"</f>
        <v>1003234006</v>
      </c>
      <c r="C20661" t="str">
        <f>"208M00000X"</f>
        <v>208M00000X</v>
      </c>
      <c r="D20661" t="str">
        <f>"ADEMOSU                  MOSUNMOLA                "</f>
        <v xml:space="preserve">ADEMOSU                  MOSUNMOLA                </v>
      </c>
      <c r="E20661" t="str">
        <f>"HATTIESBURG               "</f>
        <v xml:space="preserve">HATTIESBURG               </v>
      </c>
      <c r="F20661" t="str">
        <f t="shared" si="486"/>
        <v>MS</v>
      </c>
    </row>
    <row r="20662" spans="1:6" x14ac:dyDescent="0.25">
      <c r="A20662" t="str">
        <f>"200027128"</f>
        <v>200027128</v>
      </c>
      <c r="B20662" t="str">
        <f>"1982610572"</f>
        <v>1982610572</v>
      </c>
      <c r="C20662" t="str">
        <f>"261QM0801X"</f>
        <v>261QM0801X</v>
      </c>
      <c r="D20662" t="str">
        <f>"PINE BELT MENTAL HEALTHCARE RESOURCES             "</f>
        <v xml:space="preserve">PINE BELT MENTAL HEALTHCARE RESOURCES             </v>
      </c>
      <c r="E20662" t="str">
        <f>"COLLINS                   "</f>
        <v xml:space="preserve">COLLINS                   </v>
      </c>
      <c r="F20662" t="str">
        <f t="shared" si="486"/>
        <v>MS</v>
      </c>
    </row>
    <row r="20663" spans="1:6" x14ac:dyDescent="0.25">
      <c r="A20663" t="str">
        <f>"200027129"</f>
        <v>200027129</v>
      </c>
      <c r="B20663" t="str">
        <f>"1982610572"</f>
        <v>1982610572</v>
      </c>
      <c r="C20663" t="str">
        <f>"261QM0801X"</f>
        <v>261QM0801X</v>
      </c>
      <c r="D20663" t="str">
        <f>"PINE BELT MENTAL HEALTHCARE RESOURCES             "</f>
        <v xml:space="preserve">PINE BELT MENTAL HEALTHCARE RESOURCES             </v>
      </c>
      <c r="E20663" t="str">
        <f>"LAUREL                    "</f>
        <v xml:space="preserve">LAUREL                    </v>
      </c>
      <c r="F20663" t="str">
        <f t="shared" si="486"/>
        <v>MS</v>
      </c>
    </row>
    <row r="20664" spans="1:6" x14ac:dyDescent="0.25">
      <c r="A20664" t="str">
        <f>"200027130"</f>
        <v>200027130</v>
      </c>
      <c r="B20664" t="str">
        <f>"1982610572"</f>
        <v>1982610572</v>
      </c>
      <c r="C20664" t="str">
        <f>"261QM0801X"</f>
        <v>261QM0801X</v>
      </c>
      <c r="D20664" t="str">
        <f>"PINE BELT MENTAL HEALTHCARE RESOURCES             "</f>
        <v xml:space="preserve">PINE BELT MENTAL HEALTHCARE RESOURCES             </v>
      </c>
      <c r="E20664" t="str">
        <f>"TYLERTOWN                 "</f>
        <v xml:space="preserve">TYLERTOWN                 </v>
      </c>
      <c r="F20664" t="str">
        <f t="shared" si="486"/>
        <v>MS</v>
      </c>
    </row>
    <row r="20665" spans="1:6" x14ac:dyDescent="0.25">
      <c r="A20665" t="str">
        <f>"200027131"</f>
        <v>200027131</v>
      </c>
      <c r="B20665" t="str">
        <f>"1982610572"</f>
        <v>1982610572</v>
      </c>
      <c r="C20665" t="str">
        <f>"261QM0801X"</f>
        <v>261QM0801X</v>
      </c>
      <c r="D20665" t="str">
        <f>"PINE BELT MENTAL HEALTHCARE RESOURCES             "</f>
        <v xml:space="preserve">PINE BELT MENTAL HEALTHCARE RESOURCES             </v>
      </c>
      <c r="E20665" t="str">
        <f>"GULFPORT                  "</f>
        <v xml:space="preserve">GULFPORT                  </v>
      </c>
      <c r="F20665" t="str">
        <f t="shared" si="486"/>
        <v>MS</v>
      </c>
    </row>
    <row r="20666" spans="1:6" x14ac:dyDescent="0.25">
      <c r="A20666" t="str">
        <f>"200027132"</f>
        <v>200027132</v>
      </c>
      <c r="B20666" t="str">
        <f>"1518322700"</f>
        <v>1518322700</v>
      </c>
      <c r="C20666" t="str">
        <f>"363L00000X"</f>
        <v>363L00000X</v>
      </c>
      <c r="D20666" t="str">
        <f>"ROUNTREE                 KYLE                     "</f>
        <v xml:space="preserve">ROUNTREE                 KYLE                     </v>
      </c>
      <c r="E20666" t="str">
        <f>"LEAKESVILLE               "</f>
        <v xml:space="preserve">LEAKESVILLE               </v>
      </c>
      <c r="F20666" t="str">
        <f t="shared" si="486"/>
        <v>MS</v>
      </c>
    </row>
    <row r="20667" spans="1:6" x14ac:dyDescent="0.25">
      <c r="A20667" t="str">
        <f>"200027133"</f>
        <v>200027133</v>
      </c>
      <c r="B20667" t="str">
        <f>"1821223595"</f>
        <v>1821223595</v>
      </c>
      <c r="C20667" t="str">
        <f>"207Q00000X"</f>
        <v>207Q00000X</v>
      </c>
      <c r="D20667" t="str">
        <f>"ESPINEL                  ALFONSO                  "</f>
        <v xml:space="preserve">ESPINEL                  ALFONSO                  </v>
      </c>
      <c r="E20667" t="str">
        <f>"NEW ALBANY                "</f>
        <v xml:space="preserve">NEW ALBANY                </v>
      </c>
      <c r="F20667" t="str">
        <f t="shared" si="486"/>
        <v>MS</v>
      </c>
    </row>
    <row r="20668" spans="1:6" x14ac:dyDescent="0.25">
      <c r="A20668" t="str">
        <f>"200027136"</f>
        <v>200027136</v>
      </c>
      <c r="B20668" t="str">
        <f>"1881408508"</f>
        <v>1881408508</v>
      </c>
      <c r="C20668" t="str">
        <f>"363LF0000X"</f>
        <v>363LF0000X</v>
      </c>
      <c r="D20668" t="str">
        <f>"EVANS                    SHANEKA      L           "</f>
        <v xml:space="preserve">EVANS                    SHANEKA      L           </v>
      </c>
      <c r="E20668" t="str">
        <f>"BILOXI                    "</f>
        <v xml:space="preserve">BILOXI                    </v>
      </c>
      <c r="F20668" t="str">
        <f t="shared" si="486"/>
        <v>MS</v>
      </c>
    </row>
    <row r="20669" spans="1:6" x14ac:dyDescent="0.25">
      <c r="A20669" t="str">
        <f>"200027137"</f>
        <v>200027137</v>
      </c>
      <c r="B20669" t="str">
        <f>"1437988508"</f>
        <v>1437988508</v>
      </c>
      <c r="C20669" t="str">
        <f>"363A00000X"</f>
        <v>363A00000X</v>
      </c>
      <c r="D20669" t="str">
        <f>"OWEN                     JACLYN                   "</f>
        <v xml:space="preserve">OWEN                     JACLYN                   </v>
      </c>
      <c r="E20669" t="str">
        <f>"LUCEDALE                  "</f>
        <v xml:space="preserve">LUCEDALE                  </v>
      </c>
      <c r="F20669" t="str">
        <f t="shared" si="486"/>
        <v>MS</v>
      </c>
    </row>
    <row r="20670" spans="1:6" x14ac:dyDescent="0.25">
      <c r="A20670" t="str">
        <f>"200027138"</f>
        <v>200027138</v>
      </c>
      <c r="B20670" t="str">
        <f>"1053630806"</f>
        <v>1053630806</v>
      </c>
      <c r="C20670" t="str">
        <f>"363L00000X"</f>
        <v>363L00000X</v>
      </c>
      <c r="D20670" t="str">
        <f>"JAYNES                   JOANNE                   "</f>
        <v xml:space="preserve">JAYNES                   JOANNE                   </v>
      </c>
      <c r="E20670" t="str">
        <f>"RIDGELAND                 "</f>
        <v xml:space="preserve">RIDGELAND                 </v>
      </c>
      <c r="F20670" t="str">
        <f t="shared" ref="F20670:F20733" si="487">"MS"</f>
        <v>MS</v>
      </c>
    </row>
    <row r="20671" spans="1:6" x14ac:dyDescent="0.25">
      <c r="A20671" t="str">
        <f>"200027145"</f>
        <v>200027145</v>
      </c>
      <c r="B20671" t="str">
        <f>"1356077150"</f>
        <v>1356077150</v>
      </c>
      <c r="C20671" t="str">
        <f>"363LP0808X"</f>
        <v>363LP0808X</v>
      </c>
      <c r="D20671" t="str">
        <f>"MCFARLAND                MARIE                    "</f>
        <v xml:space="preserve">MCFARLAND                MARIE                    </v>
      </c>
      <c r="E20671" t="str">
        <f>"CALHOUN CITY              "</f>
        <v xml:space="preserve">CALHOUN CITY              </v>
      </c>
      <c r="F20671" t="str">
        <f t="shared" si="487"/>
        <v>MS</v>
      </c>
    </row>
    <row r="20672" spans="1:6" x14ac:dyDescent="0.25">
      <c r="A20672" t="str">
        <f>"200027149"</f>
        <v>200027149</v>
      </c>
      <c r="B20672" t="str">
        <f>"1316567415"</f>
        <v>1316567415</v>
      </c>
      <c r="C20672" t="str">
        <f>"207Q00000X"</f>
        <v>207Q00000X</v>
      </c>
      <c r="D20672" t="str">
        <f>"HELSEL                   TESSA                    "</f>
        <v xml:space="preserve">HELSEL                   TESSA                    </v>
      </c>
      <c r="E20672" t="str">
        <f>"BAY ST LOUIS              "</f>
        <v xml:space="preserve">BAY ST LOUIS              </v>
      </c>
      <c r="F20672" t="str">
        <f t="shared" si="487"/>
        <v>MS</v>
      </c>
    </row>
    <row r="20673" spans="1:6" x14ac:dyDescent="0.25">
      <c r="A20673" t="str">
        <f>"200027152"</f>
        <v>200027152</v>
      </c>
      <c r="B20673" t="str">
        <f>"1982563912"</f>
        <v>1982563912</v>
      </c>
      <c r="C20673" t="str">
        <f>"363LP0808X"</f>
        <v>363LP0808X</v>
      </c>
      <c r="D20673" t="str">
        <f>"CUMMINGS                 ERICA                    "</f>
        <v xml:space="preserve">CUMMINGS                 ERICA                    </v>
      </c>
      <c r="E20673" t="str">
        <f>"CLEVELAND                 "</f>
        <v xml:space="preserve">CLEVELAND                 </v>
      </c>
      <c r="F20673" t="str">
        <f t="shared" si="487"/>
        <v>MS</v>
      </c>
    </row>
    <row r="20674" spans="1:6" x14ac:dyDescent="0.25">
      <c r="A20674" t="str">
        <f>"200027157"</f>
        <v>200027157</v>
      </c>
      <c r="B20674" t="str">
        <f>"1982610572"</f>
        <v>1982610572</v>
      </c>
      <c r="C20674" t="str">
        <f>"261QM0801X"</f>
        <v>261QM0801X</v>
      </c>
      <c r="D20674" t="str">
        <f>"PINE BELT MENTAL HEALTHCARE RESOURCES             "</f>
        <v xml:space="preserve">PINE BELT MENTAL HEALTHCARE RESOURCES             </v>
      </c>
      <c r="E20674" t="str">
        <f>"COLLINS                   "</f>
        <v xml:space="preserve">COLLINS                   </v>
      </c>
      <c r="F20674" t="str">
        <f t="shared" si="487"/>
        <v>MS</v>
      </c>
    </row>
    <row r="20675" spans="1:6" x14ac:dyDescent="0.25">
      <c r="A20675" t="str">
        <f>"200027158"</f>
        <v>200027158</v>
      </c>
      <c r="B20675" t="str">
        <f>"1780813311"</f>
        <v>1780813311</v>
      </c>
      <c r="C20675" t="str">
        <f>"208600000X"</f>
        <v>208600000X</v>
      </c>
      <c r="D20675" t="str">
        <f>"SHORT                    TRACEE                   "</f>
        <v xml:space="preserve">SHORT                    TRACEE                   </v>
      </c>
      <c r="E20675" t="str">
        <f>"JACKSON                   "</f>
        <v xml:space="preserve">JACKSON                   </v>
      </c>
      <c r="F20675" t="str">
        <f t="shared" si="487"/>
        <v>MS</v>
      </c>
    </row>
    <row r="20676" spans="1:6" x14ac:dyDescent="0.25">
      <c r="A20676" t="str">
        <f>"200027159"</f>
        <v>200027159</v>
      </c>
      <c r="B20676" t="str">
        <f>"1457939605"</f>
        <v>1457939605</v>
      </c>
      <c r="C20676" t="str">
        <f>"207R00000X"</f>
        <v>207R00000X</v>
      </c>
      <c r="D20676" t="str">
        <f>"KINGSLEY                 KELTON                   "</f>
        <v xml:space="preserve">KINGSLEY                 KELTON                   </v>
      </c>
      <c r="E20676" t="str">
        <f>"JACKSON                   "</f>
        <v xml:space="preserve">JACKSON                   </v>
      </c>
      <c r="F20676" t="str">
        <f t="shared" si="487"/>
        <v>MS</v>
      </c>
    </row>
    <row r="20677" spans="1:6" x14ac:dyDescent="0.25">
      <c r="A20677" t="str">
        <f>"200027160"</f>
        <v>200027160</v>
      </c>
      <c r="B20677" t="str">
        <f>"1013866003"</f>
        <v>1013866003</v>
      </c>
      <c r="C20677" t="str">
        <f>"363L00000X"</f>
        <v>363L00000X</v>
      </c>
      <c r="D20677" t="str">
        <f>"THOMPSON                 SHANETTA                 "</f>
        <v xml:space="preserve">THOMPSON                 SHANETTA                 </v>
      </c>
      <c r="E20677" t="str">
        <f>"STARKVILLE                "</f>
        <v xml:space="preserve">STARKVILLE                </v>
      </c>
      <c r="F20677" t="str">
        <f t="shared" si="487"/>
        <v>MS</v>
      </c>
    </row>
    <row r="20678" spans="1:6" x14ac:dyDescent="0.25">
      <c r="A20678" t="str">
        <f>"200027166"</f>
        <v>200027166</v>
      </c>
      <c r="B20678" t="str">
        <f>"1982610572"</f>
        <v>1982610572</v>
      </c>
      <c r="C20678" t="str">
        <f>"261QM0801X"</f>
        <v>261QM0801X</v>
      </c>
      <c r="D20678" t="str">
        <f>"PINE BELT MENTAL HEALTHCARE RESOURCES             "</f>
        <v xml:space="preserve">PINE BELT MENTAL HEALTHCARE RESOURCES             </v>
      </c>
      <c r="E20678" t="str">
        <f>"LIBERTY                   "</f>
        <v xml:space="preserve">LIBERTY                   </v>
      </c>
      <c r="F20678" t="str">
        <f t="shared" si="487"/>
        <v>MS</v>
      </c>
    </row>
    <row r="20679" spans="1:6" x14ac:dyDescent="0.25">
      <c r="A20679" t="str">
        <f>"200027167"</f>
        <v>200027167</v>
      </c>
      <c r="B20679" t="str">
        <f>"1083572291"</f>
        <v>1083572291</v>
      </c>
      <c r="C20679" t="str">
        <f>"363LF0000X"</f>
        <v>363LF0000X</v>
      </c>
      <c r="D20679" t="str">
        <f>"KILGORE                  CHARITY                  "</f>
        <v xml:space="preserve">KILGORE                  CHARITY                  </v>
      </c>
      <c r="E20679" t="str">
        <f>"GREENVILLE                "</f>
        <v xml:space="preserve">GREENVILLE                </v>
      </c>
      <c r="F20679" t="str">
        <f t="shared" si="487"/>
        <v>MS</v>
      </c>
    </row>
    <row r="20680" spans="1:6" x14ac:dyDescent="0.25">
      <c r="A20680" t="str">
        <f>"200027168"</f>
        <v>200027168</v>
      </c>
      <c r="B20680" t="str">
        <f>"1982610572"</f>
        <v>1982610572</v>
      </c>
      <c r="C20680" t="str">
        <f>"261QM0801X"</f>
        <v>261QM0801X</v>
      </c>
      <c r="D20680" t="str">
        <f>"PINE BELT MENTAL HEALTHCARE RESOURCES             "</f>
        <v xml:space="preserve">PINE BELT MENTAL HEALTHCARE RESOURCES             </v>
      </c>
      <c r="E20680" t="str">
        <f>"COLLINS                   "</f>
        <v xml:space="preserve">COLLINS                   </v>
      </c>
      <c r="F20680" t="str">
        <f t="shared" si="487"/>
        <v>MS</v>
      </c>
    </row>
    <row r="20681" spans="1:6" x14ac:dyDescent="0.25">
      <c r="A20681" t="str">
        <f>"200027169"</f>
        <v>200027169</v>
      </c>
      <c r="B20681" t="str">
        <f>"1144176728"</f>
        <v>1144176728</v>
      </c>
      <c r="C20681" t="str">
        <f>"363LP0808X"</f>
        <v>363LP0808X</v>
      </c>
      <c r="D20681" t="str">
        <f>"JOHNSON                  COURTENEY                "</f>
        <v xml:space="preserve">JOHNSON                  COURTENEY                </v>
      </c>
      <c r="E20681" t="str">
        <f>"LAUREL                    "</f>
        <v xml:space="preserve">LAUREL                    </v>
      </c>
      <c r="F20681" t="str">
        <f t="shared" si="487"/>
        <v>MS</v>
      </c>
    </row>
    <row r="20682" spans="1:6" x14ac:dyDescent="0.25">
      <c r="A20682" t="str">
        <f>"200027171"</f>
        <v>200027171</v>
      </c>
      <c r="B20682" t="str">
        <f>"1801608021"</f>
        <v>1801608021</v>
      </c>
      <c r="C20682" t="str">
        <f>"207L00000X"</f>
        <v>207L00000X</v>
      </c>
      <c r="D20682" t="str">
        <f>"SHARMA                   RUBINA                   "</f>
        <v xml:space="preserve">SHARMA                   RUBINA                   </v>
      </c>
      <c r="E20682" t="str">
        <f>"JACKSON                   "</f>
        <v xml:space="preserve">JACKSON                   </v>
      </c>
      <c r="F20682" t="str">
        <f t="shared" si="487"/>
        <v>MS</v>
      </c>
    </row>
    <row r="20683" spans="1:6" x14ac:dyDescent="0.25">
      <c r="A20683" t="str">
        <f>"200027172"</f>
        <v>200027172</v>
      </c>
      <c r="B20683" t="str">
        <f>"1356113187"</f>
        <v>1356113187</v>
      </c>
      <c r="C20683" t="str">
        <f>"363LF0000X"</f>
        <v>363LF0000X</v>
      </c>
      <c r="D20683" t="str">
        <f>"GAY                      NATASHA                  "</f>
        <v xml:space="preserve">GAY                      NATASHA                  </v>
      </c>
      <c r="E20683" t="str">
        <f>"NATCHEZ                   "</f>
        <v xml:space="preserve">NATCHEZ                   </v>
      </c>
      <c r="F20683" t="str">
        <f t="shared" si="487"/>
        <v>MS</v>
      </c>
    </row>
    <row r="20684" spans="1:6" x14ac:dyDescent="0.25">
      <c r="A20684" t="str">
        <f>"200027174"</f>
        <v>200027174</v>
      </c>
      <c r="B20684" t="str">
        <f>"1477712230"</f>
        <v>1477712230</v>
      </c>
      <c r="C20684" t="str">
        <f>"207R00000X"</f>
        <v>207R00000X</v>
      </c>
      <c r="D20684" t="str">
        <f>"CHA FONG                 COLIN        D           "</f>
        <v xml:space="preserve">CHA FONG                 COLIN        D           </v>
      </c>
      <c r="E20684" t="str">
        <f>"CORINTH                   "</f>
        <v xml:space="preserve">CORINTH                   </v>
      </c>
      <c r="F20684" t="str">
        <f t="shared" si="487"/>
        <v>MS</v>
      </c>
    </row>
    <row r="20685" spans="1:6" x14ac:dyDescent="0.25">
      <c r="A20685" t="str">
        <f>"200027176"</f>
        <v>200027176</v>
      </c>
      <c r="B20685" t="str">
        <f>"1528558061"</f>
        <v>1528558061</v>
      </c>
      <c r="C20685" t="str">
        <f>"363LF0000X"</f>
        <v>363LF0000X</v>
      </c>
      <c r="D20685" t="str">
        <f>"WARREN                   DEERA                    "</f>
        <v xml:space="preserve">WARREN                   DEERA                    </v>
      </c>
      <c r="E20685" t="str">
        <f>"OLIVE BRANCH              "</f>
        <v xml:space="preserve">OLIVE BRANCH              </v>
      </c>
      <c r="F20685" t="str">
        <f t="shared" si="487"/>
        <v>MS</v>
      </c>
    </row>
    <row r="20686" spans="1:6" x14ac:dyDescent="0.25">
      <c r="A20686" t="str">
        <f>"200027180"</f>
        <v>200027180</v>
      </c>
      <c r="B20686" t="str">
        <f>"1245762574"</f>
        <v>1245762574</v>
      </c>
      <c r="C20686" t="str">
        <f>"207P00000X"</f>
        <v>207P00000X</v>
      </c>
      <c r="D20686" t="str">
        <f>"BREMANG                  DERRICK                  "</f>
        <v xml:space="preserve">BREMANG                  DERRICK                  </v>
      </c>
      <c r="E20686" t="str">
        <f>"OCEAN SPRINGS             "</f>
        <v xml:space="preserve">OCEAN SPRINGS             </v>
      </c>
      <c r="F20686" t="str">
        <f t="shared" si="487"/>
        <v>MS</v>
      </c>
    </row>
    <row r="20687" spans="1:6" x14ac:dyDescent="0.25">
      <c r="A20687" t="str">
        <f>"200027185"</f>
        <v>200027185</v>
      </c>
      <c r="B20687" t="str">
        <f>"1801828496"</f>
        <v>1801828496</v>
      </c>
      <c r="C20687" t="str">
        <f>"261QM0801X"</f>
        <v>261QM0801X</v>
      </c>
      <c r="D20687" t="str">
        <f>"LIFECORE HEALTH GROUP -CSU                        "</f>
        <v xml:space="preserve">LIFECORE HEALTH GROUP -CSU                        </v>
      </c>
      <c r="E20687" t="str">
        <f>"TUPELO                    "</f>
        <v xml:space="preserve">TUPELO                    </v>
      </c>
      <c r="F20687" t="str">
        <f t="shared" si="487"/>
        <v>MS</v>
      </c>
    </row>
    <row r="20688" spans="1:6" x14ac:dyDescent="0.25">
      <c r="A20688" t="str">
        <f>"200027186"</f>
        <v>200027186</v>
      </c>
      <c r="B20688" t="str">
        <f>"1730160037"</f>
        <v>1730160037</v>
      </c>
      <c r="C20688" t="str">
        <f>"207VM0101X"</f>
        <v>207VM0101X</v>
      </c>
      <c r="D20688" t="str">
        <f>"CHAPA                    JEFF                     "</f>
        <v xml:space="preserve">CHAPA                    JEFF                     </v>
      </c>
      <c r="E20688" t="str">
        <f>"GULFPORT                  "</f>
        <v xml:space="preserve">GULFPORT                  </v>
      </c>
      <c r="F20688" t="str">
        <f t="shared" si="487"/>
        <v>MS</v>
      </c>
    </row>
    <row r="20689" spans="1:6" x14ac:dyDescent="0.25">
      <c r="A20689" t="str">
        <f>"200027187"</f>
        <v>200027187</v>
      </c>
      <c r="B20689" t="str">
        <f>"1013541820"</f>
        <v>1013541820</v>
      </c>
      <c r="C20689" t="str">
        <f>"363LF0000X"</f>
        <v>363LF0000X</v>
      </c>
      <c r="D20689" t="str">
        <f>"KIDDER                   CELIA                    "</f>
        <v xml:space="preserve">KIDDER                   CELIA                    </v>
      </c>
      <c r="E20689" t="str">
        <f>"COLUMBUS                  "</f>
        <v xml:space="preserve">COLUMBUS                  </v>
      </c>
      <c r="F20689" t="str">
        <f t="shared" si="487"/>
        <v>MS</v>
      </c>
    </row>
    <row r="20690" spans="1:6" x14ac:dyDescent="0.25">
      <c r="A20690" t="str">
        <f>"200027189"</f>
        <v>200027189</v>
      </c>
      <c r="B20690" t="str">
        <f>"1659660512"</f>
        <v>1659660512</v>
      </c>
      <c r="C20690" t="str">
        <f>"363L00000X"</f>
        <v>363L00000X</v>
      </c>
      <c r="D20690" t="str">
        <f>"HARRIS-COCROFT           GWENDOLYN    D           "</f>
        <v xml:space="preserve">HARRIS-COCROFT           GWENDOLYN    D           </v>
      </c>
      <c r="E20690" t="str">
        <f>"MAGEE                     "</f>
        <v xml:space="preserve">MAGEE                     </v>
      </c>
      <c r="F20690" t="str">
        <f t="shared" si="487"/>
        <v>MS</v>
      </c>
    </row>
    <row r="20691" spans="1:6" x14ac:dyDescent="0.25">
      <c r="A20691" t="str">
        <f>"200027191"</f>
        <v>200027191</v>
      </c>
      <c r="B20691" t="str">
        <f>"1477381598"</f>
        <v>1477381598</v>
      </c>
      <c r="C20691" t="str">
        <f>"363A00000X"</f>
        <v>363A00000X</v>
      </c>
      <c r="D20691" t="str">
        <f>"SCLATER                  SHANNA                   "</f>
        <v xml:space="preserve">SCLATER                  SHANNA                   </v>
      </c>
      <c r="E20691" t="str">
        <f>"JACKSON                   "</f>
        <v xml:space="preserve">JACKSON                   </v>
      </c>
      <c r="F20691" t="str">
        <f t="shared" si="487"/>
        <v>MS</v>
      </c>
    </row>
    <row r="20692" spans="1:6" x14ac:dyDescent="0.25">
      <c r="A20692" t="str">
        <f>"200027192"</f>
        <v>200027192</v>
      </c>
      <c r="B20692" t="str">
        <f>"1376415851"</f>
        <v>1376415851</v>
      </c>
      <c r="C20692" t="str">
        <f>"363LF0000X"</f>
        <v>363LF0000X</v>
      </c>
      <c r="D20692" t="str">
        <f>"WALTERS                  JILLIAN                  "</f>
        <v xml:space="preserve">WALTERS                  JILLIAN                  </v>
      </c>
      <c r="E20692" t="str">
        <f>"GULFPORT                  "</f>
        <v xml:space="preserve">GULFPORT                  </v>
      </c>
      <c r="F20692" t="str">
        <f t="shared" si="487"/>
        <v>MS</v>
      </c>
    </row>
    <row r="20693" spans="1:6" x14ac:dyDescent="0.25">
      <c r="A20693" t="str">
        <f>"200027199"</f>
        <v>200027199</v>
      </c>
      <c r="B20693" t="str">
        <f>"1114178563"</f>
        <v>1114178563</v>
      </c>
      <c r="C20693" t="str">
        <f>"2085R0202X"</f>
        <v>2085R0202X</v>
      </c>
      <c r="D20693" t="str">
        <f>"KHANAN                   LOKESH                   "</f>
        <v xml:space="preserve">KHANAN                   LOKESH                   </v>
      </c>
      <c r="E20693" t="str">
        <f>"GULFPORT                  "</f>
        <v xml:space="preserve">GULFPORT                  </v>
      </c>
      <c r="F20693" t="str">
        <f t="shared" si="487"/>
        <v>MS</v>
      </c>
    </row>
    <row r="20694" spans="1:6" x14ac:dyDescent="0.25">
      <c r="A20694" t="str">
        <f>"200027204"</f>
        <v>200027204</v>
      </c>
      <c r="B20694" t="str">
        <f>"1861420978"</f>
        <v>1861420978</v>
      </c>
      <c r="C20694" t="str">
        <f>"363LF0000X"</f>
        <v>363LF0000X</v>
      </c>
      <c r="D20694" t="str">
        <f>"KING                     MADELYN                  "</f>
        <v xml:space="preserve">KING                     MADELYN                  </v>
      </c>
      <c r="E20694" t="str">
        <f>"COLUMBUS                  "</f>
        <v xml:space="preserve">COLUMBUS                  </v>
      </c>
      <c r="F20694" t="str">
        <f t="shared" si="487"/>
        <v>MS</v>
      </c>
    </row>
    <row r="20695" spans="1:6" x14ac:dyDescent="0.25">
      <c r="A20695" t="str">
        <f>"200027205"</f>
        <v>200027205</v>
      </c>
      <c r="B20695" t="str">
        <f>"1902317969"</f>
        <v>1902317969</v>
      </c>
      <c r="C20695" t="str">
        <f>"363LF0000X"</f>
        <v>363LF0000X</v>
      </c>
      <c r="D20695" t="str">
        <f>"ALBIN                    JENNIFER                 "</f>
        <v xml:space="preserve">ALBIN                    JENNIFER                 </v>
      </c>
      <c r="E20695" t="str">
        <f>"FLOWOOD                   "</f>
        <v xml:space="preserve">FLOWOOD                   </v>
      </c>
      <c r="F20695" t="str">
        <f t="shared" si="487"/>
        <v>MS</v>
      </c>
    </row>
    <row r="20696" spans="1:6" x14ac:dyDescent="0.25">
      <c r="A20696" t="str">
        <f>"200027206"</f>
        <v>200027206</v>
      </c>
      <c r="B20696" t="str">
        <f>"1386938058"</f>
        <v>1386938058</v>
      </c>
      <c r="C20696" t="str">
        <f>"207Q00000X"</f>
        <v>207Q00000X</v>
      </c>
      <c r="D20696" t="str">
        <f>"AGBANYIM                 GABRIEL      N           "</f>
        <v xml:space="preserve">AGBANYIM                 GABRIEL      N           </v>
      </c>
      <c r="E20696" t="str">
        <f>"PHILADELPHIA              "</f>
        <v xml:space="preserve">PHILADELPHIA              </v>
      </c>
      <c r="F20696" t="str">
        <f t="shared" si="487"/>
        <v>MS</v>
      </c>
    </row>
    <row r="20697" spans="1:6" x14ac:dyDescent="0.25">
      <c r="A20697" t="str">
        <f>"200027210"</f>
        <v>200027210</v>
      </c>
      <c r="B20697" t="str">
        <f>"1932188349"</f>
        <v>1932188349</v>
      </c>
      <c r="C20697" t="str">
        <f>"363A00000X"</f>
        <v>363A00000X</v>
      </c>
      <c r="D20697" t="str">
        <f>"LADNER                   WAYNE                    "</f>
        <v xml:space="preserve">LADNER                   WAYNE                    </v>
      </c>
      <c r="E20697" t="str">
        <f>"SOUTHAVEN                 "</f>
        <v xml:space="preserve">SOUTHAVEN                 </v>
      </c>
      <c r="F20697" t="str">
        <f t="shared" si="487"/>
        <v>MS</v>
      </c>
    </row>
    <row r="20698" spans="1:6" x14ac:dyDescent="0.25">
      <c r="A20698" t="str">
        <f>"200027212"</f>
        <v>200027212</v>
      </c>
      <c r="B20698" t="str">
        <f>"1578886669"</f>
        <v>1578886669</v>
      </c>
      <c r="C20698" t="str">
        <f>"367500000X"</f>
        <v>367500000X</v>
      </c>
      <c r="D20698" t="str">
        <f>"GRIGGS                   MICHELLE                 "</f>
        <v xml:space="preserve">GRIGGS                   MICHELLE                 </v>
      </c>
      <c r="E20698" t="str">
        <f>"JACKSON                   "</f>
        <v xml:space="preserve">JACKSON                   </v>
      </c>
      <c r="F20698" t="str">
        <f t="shared" si="487"/>
        <v>MS</v>
      </c>
    </row>
    <row r="20699" spans="1:6" x14ac:dyDescent="0.25">
      <c r="A20699" t="str">
        <f>"200027214"</f>
        <v>200027214</v>
      </c>
      <c r="B20699" t="str">
        <f>"1104241660"</f>
        <v>1104241660</v>
      </c>
      <c r="C20699" t="str">
        <f>"207Q00000X"</f>
        <v>207Q00000X</v>
      </c>
      <c r="D20699" t="str">
        <f>"GILLIAM PIERRE           ARDARIAN                 "</f>
        <v xml:space="preserve">GILLIAM PIERRE           ARDARIAN                 </v>
      </c>
      <c r="E20699" t="str">
        <f>"JACKSON                   "</f>
        <v xml:space="preserve">JACKSON                   </v>
      </c>
      <c r="F20699" t="str">
        <f t="shared" si="487"/>
        <v>MS</v>
      </c>
    </row>
    <row r="20700" spans="1:6" x14ac:dyDescent="0.25">
      <c r="A20700" t="str">
        <f>"200027215"</f>
        <v>200027215</v>
      </c>
      <c r="B20700" t="str">
        <f>"1699724294"</f>
        <v>1699724294</v>
      </c>
      <c r="C20700" t="str">
        <f>"207RC0000X"</f>
        <v>207RC0000X</v>
      </c>
      <c r="D20700" t="str">
        <f>"MALHOTRA                 AMIT                     "</f>
        <v xml:space="preserve">MALHOTRA                 AMIT                     </v>
      </c>
      <c r="E20700" t="str">
        <f>"SOUTHAVEN                 "</f>
        <v xml:space="preserve">SOUTHAVEN                 </v>
      </c>
      <c r="F20700" t="str">
        <f t="shared" si="487"/>
        <v>MS</v>
      </c>
    </row>
    <row r="20701" spans="1:6" x14ac:dyDescent="0.25">
      <c r="A20701" t="str">
        <f>"200027218"</f>
        <v>200027218</v>
      </c>
      <c r="B20701" t="str">
        <f>"1376407882"</f>
        <v>1376407882</v>
      </c>
      <c r="C20701" t="str">
        <f>"363A00000X"</f>
        <v>363A00000X</v>
      </c>
      <c r="D20701" t="str">
        <f>"FARRINGTON               JANE                     "</f>
        <v xml:space="preserve">FARRINGTON               JANE                     </v>
      </c>
      <c r="E20701" t="str">
        <f>"OXFORD                    "</f>
        <v xml:space="preserve">OXFORD                    </v>
      </c>
      <c r="F20701" t="str">
        <f t="shared" si="487"/>
        <v>MS</v>
      </c>
    </row>
    <row r="20702" spans="1:6" x14ac:dyDescent="0.25">
      <c r="A20702" t="str">
        <f>"200027222"</f>
        <v>200027222</v>
      </c>
      <c r="B20702" t="str">
        <f>"1124002738"</f>
        <v>1124002738</v>
      </c>
      <c r="C20702" t="str">
        <f>"207RC0000X"</f>
        <v>207RC0000X</v>
      </c>
      <c r="D20702" t="str">
        <f>"MARSHALL                 STEPHANIE    D           "</f>
        <v xml:space="preserve">MARSHALL                 STEPHANIE    D           </v>
      </c>
      <c r="E20702" t="str">
        <f>"MERIDIAN                  "</f>
        <v xml:space="preserve">MERIDIAN                  </v>
      </c>
      <c r="F20702" t="str">
        <f t="shared" si="487"/>
        <v>MS</v>
      </c>
    </row>
    <row r="20703" spans="1:6" x14ac:dyDescent="0.25">
      <c r="A20703" t="str">
        <f>"200027224"</f>
        <v>200027224</v>
      </c>
      <c r="B20703" t="str">
        <f>"1508671066"</f>
        <v>1508671066</v>
      </c>
      <c r="C20703" t="str">
        <f>"363A00000X"</f>
        <v>363A00000X</v>
      </c>
      <c r="D20703" t="str">
        <f>"OTLEY                    BRYAN                    "</f>
        <v xml:space="preserve">OTLEY                    BRYAN                    </v>
      </c>
      <c r="E20703" t="str">
        <f>"JACKSON                   "</f>
        <v xml:space="preserve">JACKSON                   </v>
      </c>
      <c r="F20703" t="str">
        <f t="shared" si="487"/>
        <v>MS</v>
      </c>
    </row>
    <row r="20704" spans="1:6" x14ac:dyDescent="0.25">
      <c r="A20704" t="str">
        <f>"200027225"</f>
        <v>200027225</v>
      </c>
      <c r="B20704" t="str">
        <f>"1265859375"</f>
        <v>1265859375</v>
      </c>
      <c r="C20704" t="str">
        <f>"2080P0202X"</f>
        <v>2080P0202X</v>
      </c>
      <c r="D20704" t="str">
        <f>"FRANDSEN                 ERIK         L           "</f>
        <v xml:space="preserve">FRANDSEN                 ERIK         L           </v>
      </c>
      <c r="E20704" t="str">
        <f>"JACKSON                   "</f>
        <v xml:space="preserve">JACKSON                   </v>
      </c>
      <c r="F20704" t="str">
        <f t="shared" si="487"/>
        <v>MS</v>
      </c>
    </row>
    <row r="20705" spans="1:6" x14ac:dyDescent="0.25">
      <c r="A20705" t="str">
        <f>"200027226"</f>
        <v>200027226</v>
      </c>
      <c r="B20705" t="str">
        <f>"1578301735"</f>
        <v>1578301735</v>
      </c>
      <c r="C20705" t="str">
        <f>"363A00000X"</f>
        <v>363A00000X</v>
      </c>
      <c r="D20705" t="str">
        <f>"ANDERSON                 ELLIE                    "</f>
        <v xml:space="preserve">ANDERSON                 ELLIE                    </v>
      </c>
      <c r="E20705" t="str">
        <f>"GULFPORT                  "</f>
        <v xml:space="preserve">GULFPORT                  </v>
      </c>
      <c r="F20705" t="str">
        <f t="shared" si="487"/>
        <v>MS</v>
      </c>
    </row>
    <row r="20706" spans="1:6" x14ac:dyDescent="0.25">
      <c r="A20706" t="str">
        <f>"200027231"</f>
        <v>200027231</v>
      </c>
      <c r="B20706" t="str">
        <f>"1992650204"</f>
        <v>1992650204</v>
      </c>
      <c r="C20706" t="str">
        <f>"363LF0000X"</f>
        <v>363LF0000X</v>
      </c>
      <c r="D20706" t="str">
        <f>"JERNIGAN                 PEYTON                   "</f>
        <v xml:space="preserve">JERNIGAN                 PEYTON                   </v>
      </c>
      <c r="E20706" t="str">
        <f>"GREENVILLE                "</f>
        <v xml:space="preserve">GREENVILLE                </v>
      </c>
      <c r="F20706" t="str">
        <f t="shared" si="487"/>
        <v>MS</v>
      </c>
    </row>
    <row r="20707" spans="1:6" x14ac:dyDescent="0.25">
      <c r="A20707" t="str">
        <f>"200027232"</f>
        <v>200027232</v>
      </c>
      <c r="B20707" t="str">
        <f>"1699151464"</f>
        <v>1699151464</v>
      </c>
      <c r="C20707" t="str">
        <f>"363LF0000X"</f>
        <v>363LF0000X</v>
      </c>
      <c r="D20707" t="str">
        <f>"DAVIS                    JESSICA                  "</f>
        <v xml:space="preserve">DAVIS                    JESSICA                  </v>
      </c>
      <c r="E20707" t="str">
        <f>"JACKSON                   "</f>
        <v xml:space="preserve">JACKSON                   </v>
      </c>
      <c r="F20707" t="str">
        <f t="shared" si="487"/>
        <v>MS</v>
      </c>
    </row>
    <row r="20708" spans="1:6" x14ac:dyDescent="0.25">
      <c r="A20708" t="str">
        <f>"200027235"</f>
        <v>200027235</v>
      </c>
      <c r="B20708" t="str">
        <f>"1689109605"</f>
        <v>1689109605</v>
      </c>
      <c r="C20708" t="str">
        <f>"207P00000X"</f>
        <v>207P00000X</v>
      </c>
      <c r="D20708" t="str">
        <f>"NELSON                   JOSHUA                   "</f>
        <v xml:space="preserve">NELSON                   JOSHUA                   </v>
      </c>
      <c r="E20708" t="str">
        <f>"MERIDIAN                  "</f>
        <v xml:space="preserve">MERIDIAN                  </v>
      </c>
      <c r="F20708" t="str">
        <f t="shared" si="487"/>
        <v>MS</v>
      </c>
    </row>
    <row r="20709" spans="1:6" x14ac:dyDescent="0.25">
      <c r="A20709" t="str">
        <f>"200027237"</f>
        <v>200027237</v>
      </c>
      <c r="B20709" t="str">
        <f>"1730048794"</f>
        <v>1730048794</v>
      </c>
      <c r="C20709" t="str">
        <f>"363L00000X"</f>
        <v>363L00000X</v>
      </c>
      <c r="D20709" t="str">
        <f>"TISDALE                  ZACHARY                  "</f>
        <v xml:space="preserve">TISDALE                  ZACHARY                  </v>
      </c>
      <c r="E20709" t="str">
        <f>"UNION                     "</f>
        <v xml:space="preserve">UNION                     </v>
      </c>
      <c r="F20709" t="str">
        <f t="shared" si="487"/>
        <v>MS</v>
      </c>
    </row>
    <row r="20710" spans="1:6" x14ac:dyDescent="0.25">
      <c r="A20710" t="str">
        <f>"200027240"</f>
        <v>200027240</v>
      </c>
      <c r="B20710" t="str">
        <f>"1174596548"</f>
        <v>1174596548</v>
      </c>
      <c r="C20710" t="str">
        <f>"208600000X"</f>
        <v>208600000X</v>
      </c>
      <c r="D20710" t="str">
        <f>"MILHOLEN                 LINDA                    "</f>
        <v xml:space="preserve">MILHOLEN                 LINDA                    </v>
      </c>
      <c r="E20710" t="str">
        <f>"CLARKSDALE                "</f>
        <v xml:space="preserve">CLARKSDALE                </v>
      </c>
      <c r="F20710" t="str">
        <f t="shared" si="487"/>
        <v>MS</v>
      </c>
    </row>
    <row r="20711" spans="1:6" x14ac:dyDescent="0.25">
      <c r="A20711" t="str">
        <f>"200027241"</f>
        <v>200027241</v>
      </c>
      <c r="B20711" t="str">
        <f>"1487873428"</f>
        <v>1487873428</v>
      </c>
      <c r="C20711" t="str">
        <f>"207V00000X"</f>
        <v>207V00000X</v>
      </c>
      <c r="D20711" t="str">
        <f>"ANDRE                    MICHELLE     M           "</f>
        <v xml:space="preserve">ANDRE                    MICHELLE     M           </v>
      </c>
      <c r="E20711" t="str">
        <f>"BROOKHAVEN                "</f>
        <v xml:space="preserve">BROOKHAVEN                </v>
      </c>
      <c r="F20711" t="str">
        <f t="shared" si="487"/>
        <v>MS</v>
      </c>
    </row>
    <row r="20712" spans="1:6" x14ac:dyDescent="0.25">
      <c r="A20712" t="str">
        <f>"200027242"</f>
        <v>200027242</v>
      </c>
      <c r="B20712" t="str">
        <f>"1225472483"</f>
        <v>1225472483</v>
      </c>
      <c r="C20712" t="str">
        <f>"363LF0000X"</f>
        <v>363LF0000X</v>
      </c>
      <c r="D20712" t="str">
        <f>"BROWN                    VALERIE                  "</f>
        <v xml:space="preserve">BROWN                    VALERIE                  </v>
      </c>
      <c r="E20712" t="str">
        <f>"STARKVILLE                "</f>
        <v xml:space="preserve">STARKVILLE                </v>
      </c>
      <c r="F20712" t="str">
        <f t="shared" si="487"/>
        <v>MS</v>
      </c>
    </row>
    <row r="20713" spans="1:6" x14ac:dyDescent="0.25">
      <c r="A20713" t="str">
        <f>"200027244"</f>
        <v>200027244</v>
      </c>
      <c r="B20713" t="str">
        <f>"1194285056"</f>
        <v>1194285056</v>
      </c>
      <c r="C20713" t="str">
        <f>"2085R0202X"</f>
        <v>2085R0202X</v>
      </c>
      <c r="D20713" t="str">
        <f>"SU                       ANGEL        J           "</f>
        <v xml:space="preserve">SU                       ANGEL        J           </v>
      </c>
      <c r="E20713" t="str">
        <f>"HATTIESBURG               "</f>
        <v xml:space="preserve">HATTIESBURG               </v>
      </c>
      <c r="F20713" t="str">
        <f t="shared" si="487"/>
        <v>MS</v>
      </c>
    </row>
    <row r="20714" spans="1:6" x14ac:dyDescent="0.25">
      <c r="A20714" t="str">
        <f>"200027251"</f>
        <v>200027251</v>
      </c>
      <c r="B20714" t="str">
        <f>"1184571010"</f>
        <v>1184571010</v>
      </c>
      <c r="C20714" t="str">
        <f>"363LF0000X"</f>
        <v>363LF0000X</v>
      </c>
      <c r="D20714" t="str">
        <f>"RUSHING                  KAYLA                    "</f>
        <v xml:space="preserve">RUSHING                  KAYLA                    </v>
      </c>
      <c r="E20714" t="str">
        <f>"LAUREL                    "</f>
        <v xml:space="preserve">LAUREL                    </v>
      </c>
      <c r="F20714" t="str">
        <f t="shared" si="487"/>
        <v>MS</v>
      </c>
    </row>
    <row r="20715" spans="1:6" x14ac:dyDescent="0.25">
      <c r="A20715" t="str">
        <f>"200027256"</f>
        <v>200027256</v>
      </c>
      <c r="B20715" t="str">
        <f>"1720726946"</f>
        <v>1720726946</v>
      </c>
      <c r="C20715" t="str">
        <f>"367A00000X"</f>
        <v>367A00000X</v>
      </c>
      <c r="D20715" t="str">
        <f>"NGEWA                    REBEKAH                  "</f>
        <v xml:space="preserve">NGEWA                    REBEKAH                  </v>
      </c>
      <c r="E20715" t="str">
        <f>"RIDGELAND                 "</f>
        <v xml:space="preserve">RIDGELAND                 </v>
      </c>
      <c r="F20715" t="str">
        <f t="shared" si="487"/>
        <v>MS</v>
      </c>
    </row>
    <row r="20716" spans="1:6" x14ac:dyDescent="0.25">
      <c r="A20716" t="str">
        <f>"200027261"</f>
        <v>200027261</v>
      </c>
      <c r="B20716" t="str">
        <f>"1578656005"</f>
        <v>1578656005</v>
      </c>
      <c r="C20716" t="str">
        <f>"207RH0003X"</f>
        <v>207RH0003X</v>
      </c>
      <c r="D20716" t="str">
        <f>"RIFKIND                  JOSHUA                   "</f>
        <v xml:space="preserve">RIFKIND                  JOSHUA                   </v>
      </c>
      <c r="E20716" t="str">
        <f>"GULFPORT                  "</f>
        <v xml:space="preserve">GULFPORT                  </v>
      </c>
      <c r="F20716" t="str">
        <f t="shared" si="487"/>
        <v>MS</v>
      </c>
    </row>
    <row r="20717" spans="1:6" x14ac:dyDescent="0.25">
      <c r="A20717" t="str">
        <f>"200027267"</f>
        <v>200027267</v>
      </c>
      <c r="B20717" t="str">
        <f>"1366992083"</f>
        <v>1366992083</v>
      </c>
      <c r="C20717" t="str">
        <f>"363L00000X"</f>
        <v>363L00000X</v>
      </c>
      <c r="D20717" t="str">
        <f>"MAFFETT                  JESSICA                  "</f>
        <v xml:space="preserve">MAFFETT                  JESSICA                  </v>
      </c>
      <c r="E20717" t="str">
        <f>"TUPELO                    "</f>
        <v xml:space="preserve">TUPELO                    </v>
      </c>
      <c r="F20717" t="str">
        <f t="shared" si="487"/>
        <v>MS</v>
      </c>
    </row>
    <row r="20718" spans="1:6" x14ac:dyDescent="0.25">
      <c r="A20718" t="str">
        <f>"200027268"</f>
        <v>200027268</v>
      </c>
      <c r="B20718" t="str">
        <f>"1003768102"</f>
        <v>1003768102</v>
      </c>
      <c r="C20718" t="str">
        <f>"363LF0000X"</f>
        <v>363LF0000X</v>
      </c>
      <c r="D20718" t="str">
        <f>"OSBORN                   JESSICA                  "</f>
        <v xml:space="preserve">OSBORN                   JESSICA                  </v>
      </c>
      <c r="E20718" t="str">
        <f>"IUKA                      "</f>
        <v xml:space="preserve">IUKA                      </v>
      </c>
      <c r="F20718" t="str">
        <f t="shared" si="487"/>
        <v>MS</v>
      </c>
    </row>
    <row r="20719" spans="1:6" x14ac:dyDescent="0.25">
      <c r="A20719" t="str">
        <f>"200027270"</f>
        <v>200027270</v>
      </c>
      <c r="B20719" t="str">
        <f>"1780264457"</f>
        <v>1780264457</v>
      </c>
      <c r="C20719" t="str">
        <f>"207Q00000X"</f>
        <v>207Q00000X</v>
      </c>
      <c r="D20719" t="str">
        <f>"HAMMOND                  RYAN                     "</f>
        <v xml:space="preserve">HAMMOND                  RYAN                     </v>
      </c>
      <c r="E20719" t="str">
        <f>"SOUTHAVEN                 "</f>
        <v xml:space="preserve">SOUTHAVEN                 </v>
      </c>
      <c r="F20719" t="str">
        <f t="shared" si="487"/>
        <v>MS</v>
      </c>
    </row>
    <row r="20720" spans="1:6" x14ac:dyDescent="0.25">
      <c r="A20720" t="str">
        <f>"200027272"</f>
        <v>200027272</v>
      </c>
      <c r="B20720" t="str">
        <f>"1881216216"</f>
        <v>1881216216</v>
      </c>
      <c r="C20720" t="str">
        <f>"207RN0300X"</f>
        <v>207RN0300X</v>
      </c>
      <c r="D20720" t="str">
        <f>"JABER                    MOHAMMAD                 "</f>
        <v xml:space="preserve">JABER                    MOHAMMAD                 </v>
      </c>
      <c r="E20720" t="str">
        <f>"GULFPORT                  "</f>
        <v xml:space="preserve">GULFPORT                  </v>
      </c>
      <c r="F20720" t="str">
        <f t="shared" si="487"/>
        <v>MS</v>
      </c>
    </row>
    <row r="20721" spans="1:6" x14ac:dyDescent="0.25">
      <c r="A20721" t="str">
        <f>"200027273"</f>
        <v>200027273</v>
      </c>
      <c r="B20721" t="str">
        <f>"1295052264"</f>
        <v>1295052264</v>
      </c>
      <c r="C20721" t="str">
        <f>"2085R0001X"</f>
        <v>2085R0001X</v>
      </c>
      <c r="D20721" t="str">
        <f>"WEINBERG                 BENJAMIN                 "</f>
        <v xml:space="preserve">WEINBERG                 BENJAMIN                 </v>
      </c>
      <c r="E20721" t="str">
        <f>"JACKSON                   "</f>
        <v xml:space="preserve">JACKSON                   </v>
      </c>
      <c r="F20721" t="str">
        <f t="shared" si="487"/>
        <v>MS</v>
      </c>
    </row>
    <row r="20722" spans="1:6" x14ac:dyDescent="0.25">
      <c r="A20722" t="str">
        <f>"200027281"</f>
        <v>200027281</v>
      </c>
      <c r="B20722" t="str">
        <f>"1437017050"</f>
        <v>1437017050</v>
      </c>
      <c r="C20722" t="str">
        <f>"363LF0000X"</f>
        <v>363LF0000X</v>
      </c>
      <c r="D20722" t="str">
        <f>"RICO                     CLARISSA                 "</f>
        <v xml:space="preserve">RICO                     CLARISSA                 </v>
      </c>
      <c r="E20722" t="str">
        <f>"OCEAN SPRINGS             "</f>
        <v xml:space="preserve">OCEAN SPRINGS             </v>
      </c>
      <c r="F20722" t="str">
        <f t="shared" si="487"/>
        <v>MS</v>
      </c>
    </row>
    <row r="20723" spans="1:6" x14ac:dyDescent="0.25">
      <c r="A20723" t="str">
        <f>"200027291"</f>
        <v>200027291</v>
      </c>
      <c r="B20723" t="str">
        <f>"1982610572"</f>
        <v>1982610572</v>
      </c>
      <c r="C20723" t="str">
        <f>"261QM0801X"</f>
        <v>261QM0801X</v>
      </c>
      <c r="D20723" t="str">
        <f>"PINE BELT MENTAL HEALTHCARE RESOURCES             "</f>
        <v xml:space="preserve">PINE BELT MENTAL HEALTHCARE RESOURCES             </v>
      </c>
      <c r="E20723" t="str">
        <f>"LIBERTY                   "</f>
        <v xml:space="preserve">LIBERTY                   </v>
      </c>
      <c r="F20723" t="str">
        <f t="shared" si="487"/>
        <v>MS</v>
      </c>
    </row>
    <row r="20724" spans="1:6" x14ac:dyDescent="0.25">
      <c r="A20724" t="str">
        <f>"200027293"</f>
        <v>200027293</v>
      </c>
      <c r="B20724" t="str">
        <f>"1407705189"</f>
        <v>1407705189</v>
      </c>
      <c r="C20724" t="str">
        <f>"367500000X"</f>
        <v>367500000X</v>
      </c>
      <c r="D20724" t="str">
        <f>"POUSSON                  MADELINE                 "</f>
        <v xml:space="preserve">POUSSON                  MADELINE                 </v>
      </c>
      <c r="E20724" t="str">
        <f>"OXFORD                    "</f>
        <v xml:space="preserve">OXFORD                    </v>
      </c>
      <c r="F20724" t="str">
        <f t="shared" si="487"/>
        <v>MS</v>
      </c>
    </row>
    <row r="20725" spans="1:6" x14ac:dyDescent="0.25">
      <c r="A20725" t="str">
        <f>"200027295"</f>
        <v>200027295</v>
      </c>
      <c r="B20725" t="str">
        <f>"1891426656"</f>
        <v>1891426656</v>
      </c>
      <c r="C20725" t="str">
        <f>"363LW0102X"</f>
        <v>363LW0102X</v>
      </c>
      <c r="D20725" t="str">
        <f>"HARDEMAN                 MAKAYLA                  "</f>
        <v xml:space="preserve">HARDEMAN                 MAKAYLA                  </v>
      </c>
      <c r="E20725" t="str">
        <f>"RIDGELAND                 "</f>
        <v xml:space="preserve">RIDGELAND                 </v>
      </c>
      <c r="F20725" t="str">
        <f t="shared" si="487"/>
        <v>MS</v>
      </c>
    </row>
    <row r="20726" spans="1:6" x14ac:dyDescent="0.25">
      <c r="A20726" t="str">
        <f>"200027305"</f>
        <v>200027305</v>
      </c>
      <c r="B20726" t="str">
        <f>"1871450197"</f>
        <v>1871450197</v>
      </c>
      <c r="C20726" t="str">
        <f>"363L00000X"</f>
        <v>363L00000X</v>
      </c>
      <c r="D20726" t="str">
        <f>"IREY                     LAUREN                   "</f>
        <v xml:space="preserve">IREY                     LAUREN                   </v>
      </c>
      <c r="E20726" t="str">
        <f>"OCEAN SPRINGS             "</f>
        <v xml:space="preserve">OCEAN SPRINGS             </v>
      </c>
      <c r="F20726" t="str">
        <f t="shared" si="487"/>
        <v>MS</v>
      </c>
    </row>
    <row r="20727" spans="1:6" x14ac:dyDescent="0.25">
      <c r="A20727" t="str">
        <f>"200027310"</f>
        <v>200027310</v>
      </c>
      <c r="B20727" t="str">
        <f>"1770440398"</f>
        <v>1770440398</v>
      </c>
      <c r="C20727" t="str">
        <f>"363LF0000X"</f>
        <v>363LF0000X</v>
      </c>
      <c r="D20727" t="str">
        <f>"LADNER                   DESTYN                   "</f>
        <v xml:space="preserve">LADNER                   DESTYN                   </v>
      </c>
      <c r="E20727" t="str">
        <f>"JACKSON                   "</f>
        <v xml:space="preserve">JACKSON                   </v>
      </c>
      <c r="F20727" t="str">
        <f t="shared" si="487"/>
        <v>MS</v>
      </c>
    </row>
    <row r="20728" spans="1:6" x14ac:dyDescent="0.25">
      <c r="A20728" t="str">
        <f>"200027313"</f>
        <v>200027313</v>
      </c>
      <c r="B20728" t="str">
        <f>"1891324513"</f>
        <v>1891324513</v>
      </c>
      <c r="C20728" t="str">
        <f>"207R00000X"</f>
        <v>207R00000X</v>
      </c>
      <c r="D20728" t="str">
        <f>"GRIFFITH                 ALEXIS                   "</f>
        <v xml:space="preserve">GRIFFITH                 ALEXIS                   </v>
      </c>
      <c r="E20728" t="str">
        <f>"HATTIESBURG               "</f>
        <v xml:space="preserve">HATTIESBURG               </v>
      </c>
      <c r="F20728" t="str">
        <f t="shared" si="487"/>
        <v>MS</v>
      </c>
    </row>
    <row r="20729" spans="1:6" x14ac:dyDescent="0.25">
      <c r="A20729" t="str">
        <f>"200027324"</f>
        <v>200027324</v>
      </c>
      <c r="B20729" t="str">
        <f>"1982610572"</f>
        <v>1982610572</v>
      </c>
      <c r="C20729" t="str">
        <f>"261QM0801X"</f>
        <v>261QM0801X</v>
      </c>
      <c r="D20729" t="str">
        <f>"PINE BELT MENTAL HEALTHCARE RESOURCES             "</f>
        <v xml:space="preserve">PINE BELT MENTAL HEALTHCARE RESOURCES             </v>
      </c>
      <c r="E20729" t="str">
        <f>"HATTIESBURG               "</f>
        <v xml:space="preserve">HATTIESBURG               </v>
      </c>
      <c r="F20729" t="str">
        <f t="shared" si="487"/>
        <v>MS</v>
      </c>
    </row>
    <row r="20730" spans="1:6" x14ac:dyDescent="0.25">
      <c r="A20730" t="str">
        <f>"200027328"</f>
        <v>200027328</v>
      </c>
      <c r="B20730" t="str">
        <f>"1245528868"</f>
        <v>1245528868</v>
      </c>
      <c r="C20730" t="str">
        <f>"207K00000X"</f>
        <v>207K00000X</v>
      </c>
      <c r="D20730" t="str">
        <f>"LEE                      JENNI                    "</f>
        <v xml:space="preserve">LEE                      JENNI                    </v>
      </c>
      <c r="E20730" t="str">
        <f>"RIDGELAND                 "</f>
        <v xml:space="preserve">RIDGELAND                 </v>
      </c>
      <c r="F20730" t="str">
        <f t="shared" si="487"/>
        <v>MS</v>
      </c>
    </row>
    <row r="20731" spans="1:6" x14ac:dyDescent="0.25">
      <c r="A20731" t="str">
        <f>"200027330"</f>
        <v>200027330</v>
      </c>
      <c r="B20731" t="str">
        <f>"1992236822"</f>
        <v>1992236822</v>
      </c>
      <c r="C20731" t="str">
        <f>"2084P0800X"</f>
        <v>2084P0800X</v>
      </c>
      <c r="D20731" t="str">
        <f>"AYANKOLA                 OLUSOLA      J           "</f>
        <v xml:space="preserve">AYANKOLA                 OLUSOLA      J           </v>
      </c>
      <c r="E20731" t="str">
        <f>"RIDGELAND                 "</f>
        <v xml:space="preserve">RIDGELAND                 </v>
      </c>
      <c r="F20731" t="str">
        <f t="shared" si="487"/>
        <v>MS</v>
      </c>
    </row>
    <row r="20732" spans="1:6" x14ac:dyDescent="0.25">
      <c r="A20732" t="str">
        <f>"200027331"</f>
        <v>200027331</v>
      </c>
      <c r="B20732" t="str">
        <f>"1689407538"</f>
        <v>1689407538</v>
      </c>
      <c r="C20732" t="str">
        <f>"363LF0000X"</f>
        <v>363LF0000X</v>
      </c>
      <c r="D20732" t="str">
        <f>"BROOKS                   RACHELLE                 "</f>
        <v xml:space="preserve">BROOKS                   RACHELLE                 </v>
      </c>
      <c r="E20732" t="str">
        <f>"SOUTHAVEN                 "</f>
        <v xml:space="preserve">SOUTHAVEN                 </v>
      </c>
      <c r="F20732" t="str">
        <f t="shared" si="487"/>
        <v>MS</v>
      </c>
    </row>
    <row r="20733" spans="1:6" x14ac:dyDescent="0.25">
      <c r="A20733" t="str">
        <f>"200027333"</f>
        <v>200027333</v>
      </c>
      <c r="B20733" t="str">
        <f>"1861470239"</f>
        <v>1861470239</v>
      </c>
      <c r="C20733" t="str">
        <f>"2080P0202X"</f>
        <v>2080P0202X</v>
      </c>
      <c r="D20733" t="str">
        <f>"ROCA                     THERESA      P           "</f>
        <v xml:space="preserve">ROCA                     THERESA      P           </v>
      </c>
      <c r="E20733" t="str">
        <f>"GULFPORT                  "</f>
        <v xml:space="preserve">GULFPORT                  </v>
      </c>
      <c r="F20733" t="str">
        <f t="shared" si="487"/>
        <v>MS</v>
      </c>
    </row>
    <row r="20734" spans="1:6" x14ac:dyDescent="0.25">
      <c r="A20734" t="str">
        <f>"200027335"</f>
        <v>200027335</v>
      </c>
      <c r="B20734" t="str">
        <f>"1073992566"</f>
        <v>1073992566</v>
      </c>
      <c r="C20734" t="str">
        <f>"2085R0202X"</f>
        <v>2085R0202X</v>
      </c>
      <c r="D20734" t="str">
        <f>"JORDAN JR                ROGER                    "</f>
        <v xml:space="preserve">JORDAN JR                ROGER                    </v>
      </c>
      <c r="E20734" t="str">
        <f>"HATTIESBURG               "</f>
        <v xml:space="preserve">HATTIESBURG               </v>
      </c>
      <c r="F20734" t="str">
        <f t="shared" ref="F20734:F20797" si="488">"MS"</f>
        <v>MS</v>
      </c>
    </row>
    <row r="20735" spans="1:6" x14ac:dyDescent="0.25">
      <c r="A20735" t="str">
        <f>"200027337"</f>
        <v>200027337</v>
      </c>
      <c r="B20735" t="str">
        <f>"1568320232"</f>
        <v>1568320232</v>
      </c>
      <c r="C20735" t="str">
        <f>"363L00000X"</f>
        <v>363L00000X</v>
      </c>
      <c r="D20735" t="str">
        <f>"RODRIGUEZ                LESLIE                   "</f>
        <v xml:space="preserve">RODRIGUEZ                LESLIE                   </v>
      </c>
      <c r="E20735" t="str">
        <f>"TUPELO                    "</f>
        <v xml:space="preserve">TUPELO                    </v>
      </c>
      <c r="F20735" t="str">
        <f t="shared" si="488"/>
        <v>MS</v>
      </c>
    </row>
    <row r="20736" spans="1:6" x14ac:dyDescent="0.25">
      <c r="A20736" t="str">
        <f>"200027339"</f>
        <v>200027339</v>
      </c>
      <c r="B20736" t="str">
        <f>"1972223915"</f>
        <v>1972223915</v>
      </c>
      <c r="C20736" t="str">
        <f>"363LP0808X"</f>
        <v>363LP0808X</v>
      </c>
      <c r="D20736" t="str">
        <f>"BALL                     BETHANY                  "</f>
        <v xml:space="preserve">BALL                     BETHANY                  </v>
      </c>
      <c r="E20736" t="str">
        <f>"OXFORD                    "</f>
        <v xml:space="preserve">OXFORD                    </v>
      </c>
      <c r="F20736" t="str">
        <f t="shared" si="488"/>
        <v>MS</v>
      </c>
    </row>
    <row r="20737" spans="1:6" x14ac:dyDescent="0.25">
      <c r="A20737" t="str">
        <f>"200027348"</f>
        <v>200027348</v>
      </c>
      <c r="B20737" t="str">
        <f>"1548013592"</f>
        <v>1548013592</v>
      </c>
      <c r="C20737" t="str">
        <f>"363LF0000X"</f>
        <v>363LF0000X</v>
      </c>
      <c r="D20737" t="str">
        <f>"CAROTHERS                LATASHA                  "</f>
        <v xml:space="preserve">CAROTHERS                LATASHA                  </v>
      </c>
      <c r="E20737" t="str">
        <f>"STARKVILLE                "</f>
        <v xml:space="preserve">STARKVILLE                </v>
      </c>
      <c r="F20737" t="str">
        <f t="shared" si="488"/>
        <v>MS</v>
      </c>
    </row>
    <row r="20738" spans="1:6" x14ac:dyDescent="0.25">
      <c r="A20738" t="str">
        <f>"200027356"</f>
        <v>200027356</v>
      </c>
      <c r="B20738" t="str">
        <f>"1609808369"</f>
        <v>1609808369</v>
      </c>
      <c r="C20738" t="str">
        <f>"2085R0202X"</f>
        <v>2085R0202X</v>
      </c>
      <c r="D20738" t="str">
        <f>"BLACK                    STEVEN                   "</f>
        <v xml:space="preserve">BLACK                    STEVEN                   </v>
      </c>
      <c r="E20738" t="str">
        <f>"HATTIESBURG               "</f>
        <v xml:space="preserve">HATTIESBURG               </v>
      </c>
      <c r="F20738" t="str">
        <f t="shared" si="488"/>
        <v>MS</v>
      </c>
    </row>
    <row r="20739" spans="1:6" x14ac:dyDescent="0.25">
      <c r="A20739" t="str">
        <f>"200027365"</f>
        <v>200027365</v>
      </c>
      <c r="B20739" t="str">
        <f>"1992145304"</f>
        <v>1992145304</v>
      </c>
      <c r="C20739" t="str">
        <f>"207RR0500X"</f>
        <v>207RR0500X</v>
      </c>
      <c r="D20739" t="str">
        <f>"KUNNATH                  TINA         P           "</f>
        <v xml:space="preserve">KUNNATH                  TINA         P           </v>
      </c>
      <c r="E20739" t="str">
        <f>"OLIVE BRANCH              "</f>
        <v xml:space="preserve">OLIVE BRANCH              </v>
      </c>
      <c r="F20739" t="str">
        <f t="shared" si="488"/>
        <v>MS</v>
      </c>
    </row>
    <row r="20740" spans="1:6" x14ac:dyDescent="0.25">
      <c r="A20740" t="str">
        <f>"200027377"</f>
        <v>200027377</v>
      </c>
      <c r="B20740" t="str">
        <f>"1902161573"</f>
        <v>1902161573</v>
      </c>
      <c r="C20740" t="str">
        <f>"207Q00000X"</f>
        <v>207Q00000X</v>
      </c>
      <c r="D20740" t="str">
        <f>"LEVINE                   BRETT                    "</f>
        <v xml:space="preserve">LEVINE                   BRETT                    </v>
      </c>
      <c r="E20740" t="str">
        <f>"JACKSON                   "</f>
        <v xml:space="preserve">JACKSON                   </v>
      </c>
      <c r="F20740" t="str">
        <f t="shared" si="488"/>
        <v>MS</v>
      </c>
    </row>
    <row r="20741" spans="1:6" x14ac:dyDescent="0.25">
      <c r="A20741" t="str">
        <f>"200027380"</f>
        <v>200027380</v>
      </c>
      <c r="B20741" t="str">
        <f>"1952282097"</f>
        <v>1952282097</v>
      </c>
      <c r="C20741" t="str">
        <f>"363LF0000X"</f>
        <v>363LF0000X</v>
      </c>
      <c r="D20741" t="str">
        <f>"GHAFARIANPOOR            MITRA                    "</f>
        <v xml:space="preserve">GHAFARIANPOOR            MITRA                    </v>
      </c>
      <c r="E20741" t="str">
        <f>"MADISON                   "</f>
        <v xml:space="preserve">MADISON                   </v>
      </c>
      <c r="F20741" t="str">
        <f t="shared" si="488"/>
        <v>MS</v>
      </c>
    </row>
    <row r="20742" spans="1:6" x14ac:dyDescent="0.25">
      <c r="A20742" t="str">
        <f>"200027386"</f>
        <v>200027386</v>
      </c>
      <c r="B20742" t="str">
        <f>"1396771044"</f>
        <v>1396771044</v>
      </c>
      <c r="C20742" t="str">
        <f>"2084P0800X"</f>
        <v>2084P0800X</v>
      </c>
      <c r="D20742" t="str">
        <f>"AUJLA                    BIMAL                    "</f>
        <v xml:space="preserve">AUJLA                    BIMAL                    </v>
      </c>
      <c r="E20742" t="str">
        <f>"JACKSON                   "</f>
        <v xml:space="preserve">JACKSON                   </v>
      </c>
      <c r="F20742" t="str">
        <f t="shared" si="488"/>
        <v>MS</v>
      </c>
    </row>
    <row r="20743" spans="1:6" x14ac:dyDescent="0.25">
      <c r="A20743" t="str">
        <f>"200027387"</f>
        <v>200027387</v>
      </c>
      <c r="B20743" t="str">
        <f>"1962451757"</f>
        <v>1962451757</v>
      </c>
      <c r="C20743" t="str">
        <f>"208M00000X"</f>
        <v>208M00000X</v>
      </c>
      <c r="D20743" t="str">
        <f>"OTUSESO                  ENIOLA       O           "</f>
        <v xml:space="preserve">OTUSESO                  ENIOLA       O           </v>
      </c>
      <c r="E20743" t="str">
        <f>"HATTIESBURG               "</f>
        <v xml:space="preserve">HATTIESBURG               </v>
      </c>
      <c r="F20743" t="str">
        <f t="shared" si="488"/>
        <v>MS</v>
      </c>
    </row>
    <row r="20744" spans="1:6" x14ac:dyDescent="0.25">
      <c r="A20744" t="str">
        <f>"200027392"</f>
        <v>200027392</v>
      </c>
      <c r="B20744" t="str">
        <f>"1053041251"</f>
        <v>1053041251</v>
      </c>
      <c r="C20744" t="str">
        <f>"363LP0808X"</f>
        <v>363LP0808X</v>
      </c>
      <c r="D20744" t="str">
        <f>"BEGNER                   DAWN                     "</f>
        <v xml:space="preserve">BEGNER                   DAWN                     </v>
      </c>
      <c r="E20744" t="str">
        <f>"TUPELO                    "</f>
        <v xml:space="preserve">TUPELO                    </v>
      </c>
      <c r="F20744" t="str">
        <f t="shared" si="488"/>
        <v>MS</v>
      </c>
    </row>
    <row r="20745" spans="1:6" x14ac:dyDescent="0.25">
      <c r="A20745" t="str">
        <f>"200027396"</f>
        <v>200027396</v>
      </c>
      <c r="B20745" t="str">
        <f>"1831268374"</f>
        <v>1831268374</v>
      </c>
      <c r="C20745" t="str">
        <f>"122300000X"</f>
        <v>122300000X</v>
      </c>
      <c r="D20745" t="str">
        <f>"STONE DENTAL CLINIC                               "</f>
        <v xml:space="preserve">STONE DENTAL CLINIC                               </v>
      </c>
      <c r="E20745" t="str">
        <f>"WIGGINS                   "</f>
        <v xml:space="preserve">WIGGINS                   </v>
      </c>
      <c r="F20745" t="str">
        <f t="shared" si="488"/>
        <v>MS</v>
      </c>
    </row>
    <row r="20746" spans="1:6" x14ac:dyDescent="0.25">
      <c r="A20746" t="str">
        <f>"200027397"</f>
        <v>200027397</v>
      </c>
      <c r="B20746" t="str">
        <f>"1932149523"</f>
        <v>1932149523</v>
      </c>
      <c r="C20746" t="str">
        <f>"207RH0002X"</f>
        <v>207RH0002X</v>
      </c>
      <c r="D20746" t="str">
        <f>"HIMEL                    AMY                      "</f>
        <v xml:space="preserve">HIMEL                    AMY                      </v>
      </c>
      <c r="E20746" t="str">
        <f>"GULFPORT                  "</f>
        <v xml:space="preserve">GULFPORT                  </v>
      </c>
      <c r="F20746" t="str">
        <f t="shared" si="488"/>
        <v>MS</v>
      </c>
    </row>
    <row r="20747" spans="1:6" x14ac:dyDescent="0.25">
      <c r="A20747" t="str">
        <f>"200027398"</f>
        <v>200027398</v>
      </c>
      <c r="B20747" t="str">
        <f>"1023727864"</f>
        <v>1023727864</v>
      </c>
      <c r="C20747" t="str">
        <f>"363LP0808X"</f>
        <v>363LP0808X</v>
      </c>
      <c r="D20747" t="str">
        <f>"DE LA RIVA               LADONNA                  "</f>
        <v xml:space="preserve">DE LA RIVA               LADONNA                  </v>
      </c>
      <c r="E20747" t="str">
        <f>"BRANDON                   "</f>
        <v xml:space="preserve">BRANDON                   </v>
      </c>
      <c r="F20747" t="str">
        <f t="shared" si="488"/>
        <v>MS</v>
      </c>
    </row>
    <row r="20748" spans="1:6" x14ac:dyDescent="0.25">
      <c r="A20748" t="str">
        <f>"200027399"</f>
        <v>200027399</v>
      </c>
      <c r="B20748" t="str">
        <f>"1780610444"</f>
        <v>1780610444</v>
      </c>
      <c r="C20748" t="str">
        <f>"208M00000X"</f>
        <v>208M00000X</v>
      </c>
      <c r="D20748" t="str">
        <f>"CISSE                    SALOUM                   "</f>
        <v xml:space="preserve">CISSE                    SALOUM                   </v>
      </c>
      <c r="E20748" t="str">
        <f>"BROOKHAVEN                "</f>
        <v xml:space="preserve">BROOKHAVEN                </v>
      </c>
      <c r="F20748" t="str">
        <f t="shared" si="488"/>
        <v>MS</v>
      </c>
    </row>
    <row r="20749" spans="1:6" x14ac:dyDescent="0.25">
      <c r="A20749" t="str">
        <f>"200027407"</f>
        <v>200027407</v>
      </c>
      <c r="B20749" t="str">
        <f>"1578982526"</f>
        <v>1578982526</v>
      </c>
      <c r="C20749" t="str">
        <f>"2085R0202X"</f>
        <v>2085R0202X</v>
      </c>
      <c r="D20749" t="str">
        <f>"FAIRCLOTH                JOHN                     "</f>
        <v xml:space="preserve">FAIRCLOTH                JOHN                     </v>
      </c>
      <c r="E20749" t="str">
        <f>"OXFORD                    "</f>
        <v xml:space="preserve">OXFORD                    </v>
      </c>
      <c r="F20749" t="str">
        <f t="shared" si="488"/>
        <v>MS</v>
      </c>
    </row>
    <row r="20750" spans="1:6" x14ac:dyDescent="0.25">
      <c r="A20750" t="str">
        <f>"200027412"</f>
        <v>200027412</v>
      </c>
      <c r="B20750" t="str">
        <f>"1467670349"</f>
        <v>1467670349</v>
      </c>
      <c r="C20750" t="str">
        <f>"1223G0001X"</f>
        <v>1223G0001X</v>
      </c>
      <c r="D20750" t="str">
        <f>"WESTMORELAND             DARYL                    "</f>
        <v xml:space="preserve">WESTMORELAND             DARYL                    </v>
      </c>
      <c r="E20750" t="str">
        <f>"MADISON                   "</f>
        <v xml:space="preserve">MADISON                   </v>
      </c>
      <c r="F20750" t="str">
        <f t="shared" si="488"/>
        <v>MS</v>
      </c>
    </row>
    <row r="20751" spans="1:6" x14ac:dyDescent="0.25">
      <c r="A20751" t="str">
        <f>"200027413"</f>
        <v>200027413</v>
      </c>
      <c r="B20751" t="str">
        <f>"1083851026"</f>
        <v>1083851026</v>
      </c>
      <c r="C20751" t="str">
        <f>"363L00000X"</f>
        <v>363L00000X</v>
      </c>
      <c r="D20751" t="str">
        <f>"KNAPP                    CHARLA                   "</f>
        <v xml:space="preserve">KNAPP                    CHARLA                   </v>
      </c>
      <c r="E20751" t="str">
        <f>"NATCHEZ                   "</f>
        <v xml:space="preserve">NATCHEZ                   </v>
      </c>
      <c r="F20751" t="str">
        <f t="shared" si="488"/>
        <v>MS</v>
      </c>
    </row>
    <row r="20752" spans="1:6" x14ac:dyDescent="0.25">
      <c r="A20752" t="str">
        <f>"200027421"</f>
        <v>200027421</v>
      </c>
      <c r="B20752" t="str">
        <f>"1063360667"</f>
        <v>1063360667</v>
      </c>
      <c r="C20752" t="str">
        <f>"363LF0000X"</f>
        <v>363LF0000X</v>
      </c>
      <c r="D20752" t="str">
        <f>"GRIFFIN                  HALEY        J           "</f>
        <v xml:space="preserve">GRIFFIN                  HALEY        J           </v>
      </c>
      <c r="E20752" t="str">
        <f>"BILOXI                    "</f>
        <v xml:space="preserve">BILOXI                    </v>
      </c>
      <c r="F20752" t="str">
        <f t="shared" si="488"/>
        <v>MS</v>
      </c>
    </row>
    <row r="20753" spans="1:6" x14ac:dyDescent="0.25">
      <c r="A20753" t="str">
        <f>"200027429"</f>
        <v>200027429</v>
      </c>
      <c r="B20753" t="str">
        <f>"1780719294"</f>
        <v>1780719294</v>
      </c>
      <c r="C20753" t="str">
        <f>"2084P0800X"</f>
        <v>2084P0800X</v>
      </c>
      <c r="D20753" t="str">
        <f>"COFFEY                   MICHAEL                  "</f>
        <v xml:space="preserve">COFFEY                   MICHAEL                  </v>
      </c>
      <c r="E20753" t="str">
        <f>"JACKSON                   "</f>
        <v xml:space="preserve">JACKSON                   </v>
      </c>
      <c r="F20753" t="str">
        <f t="shared" si="488"/>
        <v>MS</v>
      </c>
    </row>
    <row r="20754" spans="1:6" x14ac:dyDescent="0.25">
      <c r="A20754" t="str">
        <f>"200027434"</f>
        <v>200027434</v>
      </c>
      <c r="B20754" t="str">
        <f>"1922836576"</f>
        <v>1922836576</v>
      </c>
      <c r="C20754" t="str">
        <f>"367500000X"</f>
        <v>367500000X</v>
      </c>
      <c r="D20754" t="str">
        <f>"AYCOX                    HANNAH                   "</f>
        <v xml:space="preserve">AYCOX                    HANNAH                   </v>
      </c>
      <c r="E20754" t="str">
        <f>"TUPELO                    "</f>
        <v xml:space="preserve">TUPELO                    </v>
      </c>
      <c r="F20754" t="str">
        <f t="shared" si="488"/>
        <v>MS</v>
      </c>
    </row>
    <row r="20755" spans="1:6" x14ac:dyDescent="0.25">
      <c r="A20755" t="str">
        <f>"200027435"</f>
        <v>200027435</v>
      </c>
      <c r="B20755" t="str">
        <f>"1063398725"</f>
        <v>1063398725</v>
      </c>
      <c r="C20755" t="str">
        <f>"363LF0000X"</f>
        <v>363LF0000X</v>
      </c>
      <c r="D20755" t="str">
        <f>"MAGEE                    SAMANTHA                 "</f>
        <v xml:space="preserve">MAGEE                    SAMANTHA                 </v>
      </c>
      <c r="E20755" t="str">
        <f>"GLOSTER                   "</f>
        <v xml:space="preserve">GLOSTER                   </v>
      </c>
      <c r="F20755" t="str">
        <f t="shared" si="488"/>
        <v>MS</v>
      </c>
    </row>
    <row r="20756" spans="1:6" x14ac:dyDescent="0.25">
      <c r="A20756" t="str">
        <f>"200027436"</f>
        <v>200027436</v>
      </c>
      <c r="B20756" t="str">
        <f>"1538422506"</f>
        <v>1538422506</v>
      </c>
      <c r="C20756" t="str">
        <f>"363LW0102X"</f>
        <v>363LW0102X</v>
      </c>
      <c r="D20756" t="str">
        <f>"ROISINBLIT               KATIE                    "</f>
        <v xml:space="preserve">ROISINBLIT               KATIE                    </v>
      </c>
      <c r="E20756" t="str">
        <f>"RIDGELAND                 "</f>
        <v xml:space="preserve">RIDGELAND                 </v>
      </c>
      <c r="F20756" t="str">
        <f t="shared" si="488"/>
        <v>MS</v>
      </c>
    </row>
    <row r="20757" spans="1:6" x14ac:dyDescent="0.25">
      <c r="A20757" t="str">
        <f>"200027452"</f>
        <v>200027452</v>
      </c>
      <c r="B20757" t="str">
        <f>"1841796745"</f>
        <v>1841796745</v>
      </c>
      <c r="C20757" t="str">
        <f>"208M00000X"</f>
        <v>208M00000X</v>
      </c>
      <c r="D20757" t="str">
        <f>"ISMAIL                   YUSSUF                   "</f>
        <v xml:space="preserve">ISMAIL                   YUSSUF                   </v>
      </c>
      <c r="E20757" t="str">
        <f>"SOUTHAVEN                 "</f>
        <v xml:space="preserve">SOUTHAVEN                 </v>
      </c>
      <c r="F20757" t="str">
        <f t="shared" si="488"/>
        <v>MS</v>
      </c>
    </row>
    <row r="20758" spans="1:6" x14ac:dyDescent="0.25">
      <c r="A20758" t="str">
        <f>"200027465"</f>
        <v>200027465</v>
      </c>
      <c r="B20758" t="str">
        <f>"1366398398"</f>
        <v>1366398398</v>
      </c>
      <c r="C20758" t="str">
        <f>"363LF0000X"</f>
        <v>363LF0000X</v>
      </c>
      <c r="D20758" t="str">
        <f>"DARDEN WINDHAM           TAYLOR                   "</f>
        <v xml:space="preserve">DARDEN WINDHAM           TAYLOR                   </v>
      </c>
      <c r="E20758" t="str">
        <f>"OCEAN SPRINGS             "</f>
        <v xml:space="preserve">OCEAN SPRINGS             </v>
      </c>
      <c r="F20758" t="str">
        <f t="shared" si="488"/>
        <v>MS</v>
      </c>
    </row>
    <row r="20759" spans="1:6" x14ac:dyDescent="0.25">
      <c r="A20759" t="str">
        <f>"200027467"</f>
        <v>200027467</v>
      </c>
      <c r="B20759" t="str">
        <f>"1750237509"</f>
        <v>1750237509</v>
      </c>
      <c r="C20759" t="str">
        <f>"363LF0000X"</f>
        <v>363LF0000X</v>
      </c>
      <c r="D20759" t="str">
        <f>"WALLACE                  HANA         R           "</f>
        <v xml:space="preserve">WALLACE                  HANA         R           </v>
      </c>
      <c r="E20759" t="str">
        <f>"RIPLEY                    "</f>
        <v xml:space="preserve">RIPLEY                    </v>
      </c>
      <c r="F20759" t="str">
        <f t="shared" si="488"/>
        <v>MS</v>
      </c>
    </row>
    <row r="20760" spans="1:6" x14ac:dyDescent="0.25">
      <c r="A20760" t="str">
        <f>"200027472"</f>
        <v>200027472</v>
      </c>
      <c r="B20760" t="str">
        <f>"1285591354"</f>
        <v>1285591354</v>
      </c>
      <c r="C20760" t="str">
        <f>"363A00000X"</f>
        <v>363A00000X</v>
      </c>
      <c r="D20760" t="str">
        <f>"EASTERLING SOWELL        EMERSON CARYS            "</f>
        <v xml:space="preserve">EASTERLING SOWELL        EMERSON CARYS            </v>
      </c>
      <c r="E20760" t="str">
        <f>"TUPELO                    "</f>
        <v xml:space="preserve">TUPELO                    </v>
      </c>
      <c r="F20760" t="str">
        <f t="shared" si="488"/>
        <v>MS</v>
      </c>
    </row>
    <row r="20761" spans="1:6" x14ac:dyDescent="0.25">
      <c r="A20761" t="str">
        <f>"200027474"</f>
        <v>200027474</v>
      </c>
      <c r="B20761" t="str">
        <f>"1306664685"</f>
        <v>1306664685</v>
      </c>
      <c r="C20761" t="str">
        <f>"207L00000X"</f>
        <v>207L00000X</v>
      </c>
      <c r="D20761" t="str">
        <f>"KHAN                     FAREENA                  "</f>
        <v xml:space="preserve">KHAN                     FAREENA                  </v>
      </c>
      <c r="E20761" t="str">
        <f>"JACKSON                   "</f>
        <v xml:space="preserve">JACKSON                   </v>
      </c>
      <c r="F20761" t="str">
        <f t="shared" si="488"/>
        <v>MS</v>
      </c>
    </row>
    <row r="20762" spans="1:6" x14ac:dyDescent="0.25">
      <c r="A20762" t="str">
        <f>"200027484"</f>
        <v>200027484</v>
      </c>
      <c r="B20762" t="str">
        <f>"1699659730"</f>
        <v>1699659730</v>
      </c>
      <c r="C20762" t="str">
        <f>"363LG0600X"</f>
        <v>363LG0600X</v>
      </c>
      <c r="D20762" t="str">
        <f>"SANDERS                  DONNA                    "</f>
        <v xml:space="preserve">SANDERS                  DONNA                    </v>
      </c>
      <c r="E20762" t="str">
        <f>"JACKSON                   "</f>
        <v xml:space="preserve">JACKSON                   </v>
      </c>
      <c r="F20762" t="str">
        <f t="shared" si="488"/>
        <v>MS</v>
      </c>
    </row>
    <row r="20763" spans="1:6" x14ac:dyDescent="0.25">
      <c r="A20763" t="str">
        <f>"200027485"</f>
        <v>200027485</v>
      </c>
      <c r="B20763" t="str">
        <f>"1730369356"</f>
        <v>1730369356</v>
      </c>
      <c r="C20763" t="str">
        <f>"363LP0808X"</f>
        <v>363LP0808X</v>
      </c>
      <c r="D20763" t="str">
        <f>"THOM                     FRANCES                  "</f>
        <v xml:space="preserve">THOM                     FRANCES                  </v>
      </c>
      <c r="E20763" t="str">
        <f>"GRENADA                   "</f>
        <v xml:space="preserve">GRENADA                   </v>
      </c>
      <c r="F20763" t="str">
        <f t="shared" si="488"/>
        <v>MS</v>
      </c>
    </row>
    <row r="20764" spans="1:6" x14ac:dyDescent="0.25">
      <c r="A20764" t="str">
        <f>"200027486"</f>
        <v>200027486</v>
      </c>
      <c r="B20764" t="str">
        <f>"1942659735"</f>
        <v>1942659735</v>
      </c>
      <c r="C20764" t="str">
        <f>"363LA2200X"</f>
        <v>363LA2200X</v>
      </c>
      <c r="D20764" t="str">
        <f>"RIGDON                   LINDSEY                  "</f>
        <v xml:space="preserve">RIGDON                   LINDSEY                  </v>
      </c>
      <c r="E20764" t="str">
        <f>"JACKSON                   "</f>
        <v xml:space="preserve">JACKSON                   </v>
      </c>
      <c r="F20764" t="str">
        <f t="shared" si="488"/>
        <v>MS</v>
      </c>
    </row>
    <row r="20765" spans="1:6" x14ac:dyDescent="0.25">
      <c r="A20765" t="str">
        <f>"200027488"</f>
        <v>200027488</v>
      </c>
      <c r="B20765" t="str">
        <f>"1235943341"</f>
        <v>1235943341</v>
      </c>
      <c r="C20765" t="str">
        <f>"363L00000X"</f>
        <v>363L00000X</v>
      </c>
      <c r="D20765" t="str">
        <f>"REUS                     TAMMY                    "</f>
        <v xml:space="preserve">REUS                     TAMMY                    </v>
      </c>
      <c r="E20765" t="str">
        <f>"BILOXI                    "</f>
        <v xml:space="preserve">BILOXI                    </v>
      </c>
      <c r="F20765" t="str">
        <f t="shared" si="488"/>
        <v>MS</v>
      </c>
    </row>
    <row r="20766" spans="1:6" x14ac:dyDescent="0.25">
      <c r="A20766" t="str">
        <f>"200027491"</f>
        <v>200027491</v>
      </c>
      <c r="B20766" t="str">
        <f>"1790638773"</f>
        <v>1790638773</v>
      </c>
      <c r="C20766" t="str">
        <f>"363LP0808X"</f>
        <v>363LP0808X</v>
      </c>
      <c r="D20766" t="str">
        <f>"TURNER                   GARRETT                  "</f>
        <v xml:space="preserve">TURNER                   GARRETT                  </v>
      </c>
      <c r="E20766" t="str">
        <f>"OCEAN SPRINGS             "</f>
        <v xml:space="preserve">OCEAN SPRINGS             </v>
      </c>
      <c r="F20766" t="str">
        <f t="shared" si="488"/>
        <v>MS</v>
      </c>
    </row>
    <row r="20767" spans="1:6" x14ac:dyDescent="0.25">
      <c r="A20767" t="str">
        <f>"200027494"</f>
        <v>200027494</v>
      </c>
      <c r="B20767" t="str">
        <f>"1841029865"</f>
        <v>1841029865</v>
      </c>
      <c r="C20767" t="str">
        <f>"367500000X"</f>
        <v>367500000X</v>
      </c>
      <c r="D20767" t="str">
        <f>"GUNDERMAN                LEAH                     "</f>
        <v xml:space="preserve">GUNDERMAN                LEAH                     </v>
      </c>
      <c r="E20767" t="str">
        <f>"TUPELO                    "</f>
        <v xml:space="preserve">TUPELO                    </v>
      </c>
      <c r="F20767" t="str">
        <f t="shared" si="488"/>
        <v>MS</v>
      </c>
    </row>
    <row r="20768" spans="1:6" x14ac:dyDescent="0.25">
      <c r="A20768" t="str">
        <f>"200027497"</f>
        <v>200027497</v>
      </c>
      <c r="B20768" t="str">
        <f>"1164050605"</f>
        <v>1164050605</v>
      </c>
      <c r="C20768" t="str">
        <f>"2084N0400X"</f>
        <v>2084N0400X</v>
      </c>
      <c r="D20768" t="str">
        <f>"BURNETT                  ANNIE                    "</f>
        <v xml:space="preserve">BURNETT                  ANNIE                    </v>
      </c>
      <c r="E20768" t="str">
        <f>"TUPELO                    "</f>
        <v xml:space="preserve">TUPELO                    </v>
      </c>
      <c r="F20768" t="str">
        <f t="shared" si="488"/>
        <v>MS</v>
      </c>
    </row>
    <row r="20769" spans="1:6" x14ac:dyDescent="0.25">
      <c r="A20769" t="str">
        <f>"200027502"</f>
        <v>200027502</v>
      </c>
      <c r="B20769" t="str">
        <f>"1558802215"</f>
        <v>1558802215</v>
      </c>
      <c r="C20769" t="str">
        <f>"261QM1300X"</f>
        <v>261QM1300X</v>
      </c>
      <c r="D20769" t="str">
        <f>"LORITA HARRIS                                     "</f>
        <v xml:space="preserve">LORITA HARRIS                                     </v>
      </c>
      <c r="E20769" t="str">
        <f>"MOUND BAYOU               "</f>
        <v xml:space="preserve">MOUND BAYOU               </v>
      </c>
      <c r="F20769" t="str">
        <f t="shared" si="488"/>
        <v>MS</v>
      </c>
    </row>
    <row r="20770" spans="1:6" x14ac:dyDescent="0.25">
      <c r="A20770" t="str">
        <f>"200027508"</f>
        <v>200027508</v>
      </c>
      <c r="B20770" t="str">
        <f>"1518995208"</f>
        <v>1518995208</v>
      </c>
      <c r="C20770" t="str">
        <f>"2084P0800X"</f>
        <v>2084P0800X</v>
      </c>
      <c r="D20770" t="str">
        <f>"TURNER                   KEVIN                    "</f>
        <v xml:space="preserve">TURNER                   KEVIN                    </v>
      </c>
      <c r="E20770" t="str">
        <f>"OLIVE BRANCH              "</f>
        <v xml:space="preserve">OLIVE BRANCH              </v>
      </c>
      <c r="F20770" t="str">
        <f t="shared" si="488"/>
        <v>MS</v>
      </c>
    </row>
    <row r="20771" spans="1:6" x14ac:dyDescent="0.25">
      <c r="A20771" t="str">
        <f>"200027513"</f>
        <v>200027513</v>
      </c>
      <c r="B20771" t="str">
        <f>"1952780066"</f>
        <v>1952780066</v>
      </c>
      <c r="C20771" t="str">
        <f>"207RI0011X"</f>
        <v>207RI0011X</v>
      </c>
      <c r="D20771" t="str">
        <f>"HINSON                   CHRISTOPHER  M           "</f>
        <v xml:space="preserve">HINSON                   CHRISTOPHER  M           </v>
      </c>
      <c r="E20771" t="str">
        <f>"HATTIESBURG               "</f>
        <v xml:space="preserve">HATTIESBURG               </v>
      </c>
      <c r="F20771" t="str">
        <f t="shared" si="488"/>
        <v>MS</v>
      </c>
    </row>
    <row r="20772" spans="1:6" x14ac:dyDescent="0.25">
      <c r="A20772" t="str">
        <f>"200027517"</f>
        <v>200027517</v>
      </c>
      <c r="B20772" t="str">
        <f>"1871459495"</f>
        <v>1871459495</v>
      </c>
      <c r="C20772" t="str">
        <f>"367500000X"</f>
        <v>367500000X</v>
      </c>
      <c r="D20772" t="str">
        <f>"BEECH                    BRAXTON                  "</f>
        <v xml:space="preserve">BEECH                    BRAXTON                  </v>
      </c>
      <c r="E20772" t="str">
        <f>"MERIDIAN                  "</f>
        <v xml:space="preserve">MERIDIAN                  </v>
      </c>
      <c r="F20772" t="str">
        <f t="shared" si="488"/>
        <v>MS</v>
      </c>
    </row>
    <row r="20773" spans="1:6" x14ac:dyDescent="0.25">
      <c r="A20773" t="str">
        <f>"200027520"</f>
        <v>200027520</v>
      </c>
      <c r="B20773" t="str">
        <f>"1114289675"</f>
        <v>1114289675</v>
      </c>
      <c r="C20773" t="str">
        <f>"207VM0101X"</f>
        <v>207VM0101X</v>
      </c>
      <c r="D20773" t="str">
        <f>"CUFF                     RYAN                     "</f>
        <v xml:space="preserve">CUFF                     RYAN                     </v>
      </c>
      <c r="E20773" t="str">
        <f>"GULFPORT                  "</f>
        <v xml:space="preserve">GULFPORT                  </v>
      </c>
      <c r="F20773" t="str">
        <f t="shared" si="488"/>
        <v>MS</v>
      </c>
    </row>
    <row r="20774" spans="1:6" x14ac:dyDescent="0.25">
      <c r="A20774" t="str">
        <f>"200027531"</f>
        <v>200027531</v>
      </c>
      <c r="B20774" t="str">
        <f>"1346090644"</f>
        <v>1346090644</v>
      </c>
      <c r="C20774" t="str">
        <f>"207P00000X"</f>
        <v>207P00000X</v>
      </c>
      <c r="D20774" t="str">
        <f>"HOPPER                   LAUREN       P           "</f>
        <v xml:space="preserve">HOPPER                   LAUREN       P           </v>
      </c>
      <c r="E20774" t="str">
        <f>"BROOKHAVEN                "</f>
        <v xml:space="preserve">BROOKHAVEN                </v>
      </c>
      <c r="F20774" t="str">
        <f t="shared" si="488"/>
        <v>MS</v>
      </c>
    </row>
    <row r="20775" spans="1:6" x14ac:dyDescent="0.25">
      <c r="A20775" t="str">
        <f>"200027533"</f>
        <v>200027533</v>
      </c>
      <c r="B20775" t="str">
        <f>"1851050579"</f>
        <v>1851050579</v>
      </c>
      <c r="C20775" t="str">
        <f>"261QR1300X"</f>
        <v>261QR1300X</v>
      </c>
      <c r="D20775" t="str">
        <f>"FAST PACE MISSISSIPPI PLLC                        "</f>
        <v xml:space="preserve">FAST PACE MISSISSIPPI PLLC                        </v>
      </c>
      <c r="E20775" t="str">
        <f>"CANTON                    "</f>
        <v xml:space="preserve">CANTON                    </v>
      </c>
      <c r="F20775" t="str">
        <f t="shared" si="488"/>
        <v>MS</v>
      </c>
    </row>
    <row r="20776" spans="1:6" x14ac:dyDescent="0.25">
      <c r="A20776" t="str">
        <f>"200027538"</f>
        <v>200027538</v>
      </c>
      <c r="B20776" t="str">
        <f>"1144223256"</f>
        <v>1144223256</v>
      </c>
      <c r="C20776" t="str">
        <f>"207X00000X"</f>
        <v>207X00000X</v>
      </c>
      <c r="D20776" t="str">
        <f>"COLE                     ROBERT       J           "</f>
        <v xml:space="preserve">COLE                     ROBERT       J           </v>
      </c>
      <c r="E20776" t="str">
        <f>"SOUTHAVEN                 "</f>
        <v xml:space="preserve">SOUTHAVEN                 </v>
      </c>
      <c r="F20776" t="str">
        <f t="shared" si="488"/>
        <v>MS</v>
      </c>
    </row>
    <row r="20777" spans="1:6" x14ac:dyDescent="0.25">
      <c r="A20777" t="str">
        <f>"200027545"</f>
        <v>200027545</v>
      </c>
      <c r="B20777" t="str">
        <f>"1841274917"</f>
        <v>1841274917</v>
      </c>
      <c r="C20777" t="str">
        <f>"207L00000X"</f>
        <v>207L00000X</v>
      </c>
      <c r="D20777" t="str">
        <f>"TABAKIN                  NEIL                     "</f>
        <v xml:space="preserve">TABAKIN                  NEIL                     </v>
      </c>
      <c r="E20777" t="str">
        <f>"FLOWOOD                   "</f>
        <v xml:space="preserve">FLOWOOD                   </v>
      </c>
      <c r="F20777" t="str">
        <f t="shared" si="488"/>
        <v>MS</v>
      </c>
    </row>
    <row r="20778" spans="1:6" x14ac:dyDescent="0.25">
      <c r="A20778" t="str">
        <f>"200027553"</f>
        <v>200027553</v>
      </c>
      <c r="B20778" t="str">
        <f>"1528333887"</f>
        <v>1528333887</v>
      </c>
      <c r="C20778" t="str">
        <f>"2085R0202X"</f>
        <v>2085R0202X</v>
      </c>
      <c r="D20778" t="str">
        <f>"MAWN                     JOHN                     "</f>
        <v xml:space="preserve">MAWN                     JOHN                     </v>
      </c>
      <c r="E20778" t="str">
        <f>"HATTIESBURG               "</f>
        <v xml:space="preserve">HATTIESBURG               </v>
      </c>
      <c r="F20778" t="str">
        <f t="shared" si="488"/>
        <v>MS</v>
      </c>
    </row>
    <row r="20779" spans="1:6" x14ac:dyDescent="0.25">
      <c r="A20779" t="str">
        <f>"200027555"</f>
        <v>200027555</v>
      </c>
      <c r="B20779" t="str">
        <f>"1497414213"</f>
        <v>1497414213</v>
      </c>
      <c r="C20779" t="str">
        <f>"363LF0000X"</f>
        <v>363LF0000X</v>
      </c>
      <c r="D20779" t="str">
        <f>"WALLACE                  ANDREA                   "</f>
        <v xml:space="preserve">WALLACE                  ANDREA                   </v>
      </c>
      <c r="E20779" t="str">
        <f>"TUPELO                    "</f>
        <v xml:space="preserve">TUPELO                    </v>
      </c>
      <c r="F20779" t="str">
        <f t="shared" si="488"/>
        <v>MS</v>
      </c>
    </row>
    <row r="20780" spans="1:6" x14ac:dyDescent="0.25">
      <c r="A20780" t="str">
        <f>"200027556"</f>
        <v>200027556</v>
      </c>
      <c r="B20780" t="str">
        <f>"1750386066"</f>
        <v>1750386066</v>
      </c>
      <c r="C20780" t="str">
        <f>"208200000X"</f>
        <v>208200000X</v>
      </c>
      <c r="D20780" t="str">
        <f>"ADCOCK                   DAVID        W           "</f>
        <v xml:space="preserve">ADCOCK                   DAVID        W           </v>
      </c>
      <c r="E20780" t="str">
        <f>"JACKSON                   "</f>
        <v xml:space="preserve">JACKSON                   </v>
      </c>
      <c r="F20780" t="str">
        <f t="shared" si="488"/>
        <v>MS</v>
      </c>
    </row>
    <row r="20781" spans="1:6" x14ac:dyDescent="0.25">
      <c r="A20781" t="str">
        <f>"200027558"</f>
        <v>200027558</v>
      </c>
      <c r="B20781" t="str">
        <f>"1033346499"</f>
        <v>1033346499</v>
      </c>
      <c r="C20781" t="str">
        <f>"2085R0202X"</f>
        <v>2085R0202X</v>
      </c>
      <c r="D20781" t="str">
        <f>"PIERCE                   DREW                     "</f>
        <v xml:space="preserve">PIERCE                   DREW                     </v>
      </c>
      <c r="E20781" t="str">
        <f>"JACKSON                   "</f>
        <v xml:space="preserve">JACKSON                   </v>
      </c>
      <c r="F20781" t="str">
        <f t="shared" si="488"/>
        <v>MS</v>
      </c>
    </row>
    <row r="20782" spans="1:6" x14ac:dyDescent="0.25">
      <c r="A20782" t="str">
        <f>"200027567"</f>
        <v>200027567</v>
      </c>
      <c r="B20782" t="str">
        <f>"1306080510"</f>
        <v>1306080510</v>
      </c>
      <c r="C20782" t="str">
        <f>"207Q00000X"</f>
        <v>207Q00000X</v>
      </c>
      <c r="D20782" t="str">
        <f>"GHANNAM                  WASEEM                   "</f>
        <v xml:space="preserve">GHANNAM                  WASEEM                   </v>
      </c>
      <c r="E20782" t="str">
        <f>"JACKSON                   "</f>
        <v xml:space="preserve">JACKSON                   </v>
      </c>
      <c r="F20782" t="str">
        <f t="shared" si="488"/>
        <v>MS</v>
      </c>
    </row>
    <row r="20783" spans="1:6" x14ac:dyDescent="0.25">
      <c r="A20783" t="str">
        <f>"200027570"</f>
        <v>200027570</v>
      </c>
      <c r="B20783" t="str">
        <f>"1982595625"</f>
        <v>1982595625</v>
      </c>
      <c r="C20783" t="str">
        <f>"261QF0400X"</f>
        <v>261QF0400X</v>
      </c>
      <c r="D20783" t="str">
        <f>"DELTA HEALTH CENTER                               "</f>
        <v xml:space="preserve">DELTA HEALTH CENTER                               </v>
      </c>
      <c r="E20783" t="str">
        <f>"MOUND BAYOU               "</f>
        <v xml:space="preserve">MOUND BAYOU               </v>
      </c>
      <c r="F20783" t="str">
        <f t="shared" si="488"/>
        <v>MS</v>
      </c>
    </row>
    <row r="20784" spans="1:6" x14ac:dyDescent="0.25">
      <c r="A20784" t="str">
        <f>"200027577"</f>
        <v>200027577</v>
      </c>
      <c r="B20784" t="str">
        <f>"1831076751"</f>
        <v>1831076751</v>
      </c>
      <c r="C20784" t="str">
        <f>"363LF0000X"</f>
        <v>363LF0000X</v>
      </c>
      <c r="D20784" t="str">
        <f>"BROOKS                   PAIGE                    "</f>
        <v xml:space="preserve">BROOKS                   PAIGE                    </v>
      </c>
      <c r="E20784" t="str">
        <f>"NEW ALBANY                "</f>
        <v xml:space="preserve">NEW ALBANY                </v>
      </c>
      <c r="F20784" t="str">
        <f t="shared" si="488"/>
        <v>MS</v>
      </c>
    </row>
    <row r="20785" spans="1:6" x14ac:dyDescent="0.25">
      <c r="A20785" t="str">
        <f>"200027586"</f>
        <v>200027586</v>
      </c>
      <c r="B20785" t="str">
        <f>"1174472609"</f>
        <v>1174472609</v>
      </c>
      <c r="C20785" t="str">
        <f>"363L00000X"</f>
        <v>363L00000X</v>
      </c>
      <c r="D20785" t="str">
        <f>"WALTERS                  ANNA                     "</f>
        <v xml:space="preserve">WALTERS                  ANNA                     </v>
      </c>
      <c r="E20785" t="str">
        <f>"LAUREL                    "</f>
        <v xml:space="preserve">LAUREL                    </v>
      </c>
      <c r="F20785" t="str">
        <f t="shared" si="488"/>
        <v>MS</v>
      </c>
    </row>
    <row r="20786" spans="1:6" x14ac:dyDescent="0.25">
      <c r="A20786" t="str">
        <f>"200027589"</f>
        <v>200027589</v>
      </c>
      <c r="B20786" t="str">
        <f>"1407346901"</f>
        <v>1407346901</v>
      </c>
      <c r="C20786" t="str">
        <f>"122300000X"</f>
        <v>122300000X</v>
      </c>
      <c r="D20786" t="str">
        <f>"LOUISVILLE DENTAL ASSOCIATES                      "</f>
        <v xml:space="preserve">LOUISVILLE DENTAL ASSOCIATES                      </v>
      </c>
      <c r="E20786" t="str">
        <f>"LOUISVILLE                "</f>
        <v xml:space="preserve">LOUISVILLE                </v>
      </c>
      <c r="F20786" t="str">
        <f t="shared" si="488"/>
        <v>MS</v>
      </c>
    </row>
    <row r="20787" spans="1:6" x14ac:dyDescent="0.25">
      <c r="A20787" t="str">
        <f>"200027593"</f>
        <v>200027593</v>
      </c>
      <c r="B20787" t="str">
        <f>"1821222308"</f>
        <v>1821222308</v>
      </c>
      <c r="C20787" t="str">
        <f>"2086S0122X"</f>
        <v>2086S0122X</v>
      </c>
      <c r="D20787" t="str">
        <f>"CHENG                    ANGELA                   "</f>
        <v xml:space="preserve">CHENG                    ANGELA                   </v>
      </c>
      <c r="E20787" t="str">
        <f>"JACKSON                   "</f>
        <v xml:space="preserve">JACKSON                   </v>
      </c>
      <c r="F20787" t="str">
        <f t="shared" si="488"/>
        <v>MS</v>
      </c>
    </row>
    <row r="20788" spans="1:6" x14ac:dyDescent="0.25">
      <c r="A20788" t="str">
        <f>"200027596"</f>
        <v>200027596</v>
      </c>
      <c r="B20788" t="str">
        <f>"1801819594"</f>
        <v>1801819594</v>
      </c>
      <c r="C20788" t="str">
        <f>"207R00000X"</f>
        <v>207R00000X</v>
      </c>
      <c r="D20788" t="str">
        <f>"JOHNSON-PITTS            ENDIA                    "</f>
        <v xml:space="preserve">JOHNSON-PITTS            ENDIA                    </v>
      </c>
      <c r="E20788" t="str">
        <f>"JACKSON                   "</f>
        <v xml:space="preserve">JACKSON                   </v>
      </c>
      <c r="F20788" t="str">
        <f t="shared" si="488"/>
        <v>MS</v>
      </c>
    </row>
    <row r="20789" spans="1:6" x14ac:dyDescent="0.25">
      <c r="A20789" t="str">
        <f>"200027598"</f>
        <v>200027598</v>
      </c>
      <c r="B20789" t="str">
        <f>"1265390918"</f>
        <v>1265390918</v>
      </c>
      <c r="C20789" t="str">
        <f>"363LF0000X"</f>
        <v>363LF0000X</v>
      </c>
      <c r="D20789" t="str">
        <f>"BAILEY                   HOLLY                    "</f>
        <v xml:space="preserve">BAILEY                   HOLLY                    </v>
      </c>
      <c r="E20789" t="str">
        <f>"HERNANDO                  "</f>
        <v xml:space="preserve">HERNANDO                  </v>
      </c>
      <c r="F20789" t="str">
        <f t="shared" si="488"/>
        <v>MS</v>
      </c>
    </row>
    <row r="20790" spans="1:6" x14ac:dyDescent="0.25">
      <c r="A20790" t="str">
        <f>"200027599"</f>
        <v>200027599</v>
      </c>
      <c r="B20790" t="str">
        <f>"1558802215"</f>
        <v>1558802215</v>
      </c>
      <c r="C20790" t="str">
        <f>"261QM1300X"</f>
        <v>261QM1300X</v>
      </c>
      <c r="D20790" t="str">
        <f>"LORITA HARRIS                                     "</f>
        <v xml:space="preserve">LORITA HARRIS                                     </v>
      </c>
      <c r="E20790" t="str">
        <f>"CLEVELAND                 "</f>
        <v xml:space="preserve">CLEVELAND                 </v>
      </c>
      <c r="F20790" t="str">
        <f t="shared" si="488"/>
        <v>MS</v>
      </c>
    </row>
    <row r="20791" spans="1:6" x14ac:dyDescent="0.25">
      <c r="A20791" t="str">
        <f>"200027603"</f>
        <v>200027603</v>
      </c>
      <c r="B20791" t="str">
        <f>"1811260540"</f>
        <v>1811260540</v>
      </c>
      <c r="C20791" t="str">
        <f>"363LP0808X"</f>
        <v>363LP0808X</v>
      </c>
      <c r="D20791" t="str">
        <f>"PETERSON                 MEGHAN                   "</f>
        <v xml:space="preserve">PETERSON                 MEGHAN                   </v>
      </c>
      <c r="E20791" t="str">
        <f>"RIDGELAND                 "</f>
        <v xml:space="preserve">RIDGELAND                 </v>
      </c>
      <c r="F20791" t="str">
        <f t="shared" si="488"/>
        <v>MS</v>
      </c>
    </row>
    <row r="20792" spans="1:6" x14ac:dyDescent="0.25">
      <c r="A20792" t="str">
        <f>"200027629"</f>
        <v>200027629</v>
      </c>
      <c r="B20792" t="str">
        <f>"1629025416"</f>
        <v>1629025416</v>
      </c>
      <c r="C20792" t="str">
        <f>"2085R0202X"</f>
        <v>2085R0202X</v>
      </c>
      <c r="D20792" t="str">
        <f>"TODOROV                  ASSEN                    "</f>
        <v xml:space="preserve">TODOROV                  ASSEN                    </v>
      </c>
      <c r="E20792" t="str">
        <f>"HATTIESBURG               "</f>
        <v xml:space="preserve">HATTIESBURG               </v>
      </c>
      <c r="F20792" t="str">
        <f t="shared" si="488"/>
        <v>MS</v>
      </c>
    </row>
    <row r="20793" spans="1:6" x14ac:dyDescent="0.25">
      <c r="A20793" t="str">
        <f>"200027634"</f>
        <v>200027634</v>
      </c>
      <c r="B20793" t="str">
        <f>"1447674049"</f>
        <v>1447674049</v>
      </c>
      <c r="C20793" t="str">
        <f>"363L00000X"</f>
        <v>363L00000X</v>
      </c>
      <c r="D20793" t="str">
        <f>"ROOT                     JEANINE                  "</f>
        <v xml:space="preserve">ROOT                     JEANINE                  </v>
      </c>
      <c r="E20793" t="str">
        <f>"FLOWOOD                   "</f>
        <v xml:space="preserve">FLOWOOD                   </v>
      </c>
      <c r="F20793" t="str">
        <f t="shared" si="488"/>
        <v>MS</v>
      </c>
    </row>
    <row r="20794" spans="1:6" x14ac:dyDescent="0.25">
      <c r="A20794" t="str">
        <f>"200027637"</f>
        <v>200027637</v>
      </c>
      <c r="B20794" t="str">
        <f>"1851312086"</f>
        <v>1851312086</v>
      </c>
      <c r="C20794" t="str">
        <f>"367500000X"</f>
        <v>367500000X</v>
      </c>
      <c r="D20794" t="str">
        <f>"WIER                     ALEXANDRA                "</f>
        <v xml:space="preserve">WIER                     ALEXANDRA                </v>
      </c>
      <c r="E20794" t="str">
        <f>"JACKSON                   "</f>
        <v xml:space="preserve">JACKSON                   </v>
      </c>
      <c r="F20794" t="str">
        <f t="shared" si="488"/>
        <v>MS</v>
      </c>
    </row>
    <row r="20795" spans="1:6" x14ac:dyDescent="0.25">
      <c r="A20795" t="str">
        <f>"200027647"</f>
        <v>200027647</v>
      </c>
      <c r="B20795" t="str">
        <f>"1215886742"</f>
        <v>1215886742</v>
      </c>
      <c r="C20795" t="str">
        <f>"363LN0000X"</f>
        <v>363LN0000X</v>
      </c>
      <c r="D20795" t="str">
        <f>"NECAISE                  JOELLE       W           "</f>
        <v xml:space="preserve">NECAISE                  JOELLE       W           </v>
      </c>
      <c r="E20795" t="str">
        <f>"GULFPORT                  "</f>
        <v xml:space="preserve">GULFPORT                  </v>
      </c>
      <c r="F20795" t="str">
        <f t="shared" si="488"/>
        <v>MS</v>
      </c>
    </row>
    <row r="20796" spans="1:6" x14ac:dyDescent="0.25">
      <c r="A20796" t="str">
        <f>"200027650"</f>
        <v>200027650</v>
      </c>
      <c r="B20796" t="str">
        <f>"1710962568"</f>
        <v>1710962568</v>
      </c>
      <c r="C20796" t="str">
        <f>"2085R0202X"</f>
        <v>2085R0202X</v>
      </c>
      <c r="D20796" t="str">
        <f>"STELLA                   MICHAEL                  "</f>
        <v xml:space="preserve">STELLA                   MICHAEL                  </v>
      </c>
      <c r="E20796" t="str">
        <f>"HATTIESBURG               "</f>
        <v xml:space="preserve">HATTIESBURG               </v>
      </c>
      <c r="F20796" t="str">
        <f t="shared" si="488"/>
        <v>MS</v>
      </c>
    </row>
    <row r="20797" spans="1:6" x14ac:dyDescent="0.25">
      <c r="A20797" t="str">
        <f>"200027652"</f>
        <v>200027652</v>
      </c>
      <c r="B20797" t="str">
        <f>"1285593210"</f>
        <v>1285593210</v>
      </c>
      <c r="C20797" t="str">
        <f>"363LF0000X"</f>
        <v>363LF0000X</v>
      </c>
      <c r="D20797" t="str">
        <f>"THORNTON                 TYLER                    "</f>
        <v xml:space="preserve">THORNTON                 TYLER                    </v>
      </c>
      <c r="E20797" t="str">
        <f>"OCEAN SPRINGS             "</f>
        <v xml:space="preserve">OCEAN SPRINGS             </v>
      </c>
      <c r="F20797" t="str">
        <f t="shared" si="488"/>
        <v>MS</v>
      </c>
    </row>
    <row r="20798" spans="1:6" x14ac:dyDescent="0.25">
      <c r="A20798" t="str">
        <f>"200027655"</f>
        <v>200027655</v>
      </c>
      <c r="B20798" t="str">
        <f>"1245505478"</f>
        <v>1245505478</v>
      </c>
      <c r="C20798" t="str">
        <f>"207VM0101X"</f>
        <v>207VM0101X</v>
      </c>
      <c r="D20798" t="str">
        <f>"TONISMAE                 TIFFANY                  "</f>
        <v xml:space="preserve">TONISMAE                 TIFFANY                  </v>
      </c>
      <c r="E20798" t="str">
        <f>"GULFPORT                  "</f>
        <v xml:space="preserve">GULFPORT                  </v>
      </c>
      <c r="F20798" t="str">
        <f t="shared" ref="F20798:F20861" si="489">"MS"</f>
        <v>MS</v>
      </c>
    </row>
    <row r="20799" spans="1:6" x14ac:dyDescent="0.25">
      <c r="A20799" t="str">
        <f>"200027658"</f>
        <v>200027658</v>
      </c>
      <c r="B20799" t="str">
        <f>"1811457898"</f>
        <v>1811457898</v>
      </c>
      <c r="C20799" t="str">
        <f>"2084P0800X"</f>
        <v>2084P0800X</v>
      </c>
      <c r="D20799" t="str">
        <f>"AJANAKU                  DOLANI                   "</f>
        <v xml:space="preserve">AJANAKU                  DOLANI                   </v>
      </c>
      <c r="E20799" t="str">
        <f>"SOUTHAVEN                 "</f>
        <v xml:space="preserve">SOUTHAVEN                 </v>
      </c>
      <c r="F20799" t="str">
        <f t="shared" si="489"/>
        <v>MS</v>
      </c>
    </row>
    <row r="20800" spans="1:6" x14ac:dyDescent="0.25">
      <c r="A20800" t="str">
        <f>"200027661"</f>
        <v>200027661</v>
      </c>
      <c r="B20800" t="str">
        <f>"1124553888"</f>
        <v>1124553888</v>
      </c>
      <c r="C20800" t="str">
        <f>"363L00000X"</f>
        <v>363L00000X</v>
      </c>
      <c r="D20800" t="str">
        <f>"TURNER MIMS              JADA                     "</f>
        <v xml:space="preserve">TURNER MIMS              JADA                     </v>
      </c>
      <c r="E20800" t="str">
        <f>"PASCAGOULA                "</f>
        <v xml:space="preserve">PASCAGOULA                </v>
      </c>
      <c r="F20800" t="str">
        <f t="shared" si="489"/>
        <v>MS</v>
      </c>
    </row>
    <row r="20801" spans="1:6" x14ac:dyDescent="0.25">
      <c r="A20801" t="str">
        <f>"200027662"</f>
        <v>200027662</v>
      </c>
      <c r="B20801" t="str">
        <f>"1710532239"</f>
        <v>1710532239</v>
      </c>
      <c r="C20801" t="str">
        <f>"363LP0808X"</f>
        <v>363LP0808X</v>
      </c>
      <c r="D20801" t="str">
        <f>"HALL                     SABRINA                  "</f>
        <v xml:space="preserve">HALL                     SABRINA                  </v>
      </c>
      <c r="E20801" t="str">
        <f>"TUPELO                    "</f>
        <v xml:space="preserve">TUPELO                    </v>
      </c>
      <c r="F20801" t="str">
        <f t="shared" si="489"/>
        <v>MS</v>
      </c>
    </row>
    <row r="20802" spans="1:6" x14ac:dyDescent="0.25">
      <c r="A20802" t="str">
        <f>"200027666"</f>
        <v>200027666</v>
      </c>
      <c r="B20802" t="str">
        <f>"1558468694"</f>
        <v>1558468694</v>
      </c>
      <c r="C20802" t="str">
        <f>"261QM0801X"</f>
        <v>261QM0801X</v>
      </c>
      <c r="D20802" t="str">
        <f>"NORTH MS COMMISSION ON MI/MR DBA COMMUNICARE      "</f>
        <v xml:space="preserve">NORTH MS COMMISSION ON MI/MR DBA COMMUNICARE      </v>
      </c>
      <c r="E20802" t="str">
        <f>"SENATOBIA                 "</f>
        <v xml:space="preserve">SENATOBIA                 </v>
      </c>
      <c r="F20802" t="str">
        <f t="shared" si="489"/>
        <v>MS</v>
      </c>
    </row>
    <row r="20803" spans="1:6" x14ac:dyDescent="0.25">
      <c r="A20803" t="str">
        <f>"200027669"</f>
        <v>200027669</v>
      </c>
      <c r="B20803" t="str">
        <f>"1184565772"</f>
        <v>1184565772</v>
      </c>
      <c r="C20803" t="str">
        <f>"363LP0808X"</f>
        <v>363LP0808X</v>
      </c>
      <c r="D20803" t="str">
        <f>"DERRICK                  SARA                     "</f>
        <v xml:space="preserve">DERRICK                  SARA                     </v>
      </c>
      <c r="E20803" t="str">
        <f>"NEW ALBANY                "</f>
        <v xml:space="preserve">NEW ALBANY                </v>
      </c>
      <c r="F20803" t="str">
        <f t="shared" si="489"/>
        <v>MS</v>
      </c>
    </row>
    <row r="20804" spans="1:6" x14ac:dyDescent="0.25">
      <c r="A20804" t="str">
        <f>"200027675"</f>
        <v>200027675</v>
      </c>
      <c r="B20804" t="str">
        <f>"1053259457"</f>
        <v>1053259457</v>
      </c>
      <c r="C20804" t="str">
        <f>"363LF0000X"</f>
        <v>363LF0000X</v>
      </c>
      <c r="D20804" t="str">
        <f>"MILNER                   CARRIE                   "</f>
        <v xml:space="preserve">MILNER                   CARRIE                   </v>
      </c>
      <c r="E20804" t="str">
        <f>"OXFORD                    "</f>
        <v xml:space="preserve">OXFORD                    </v>
      </c>
      <c r="F20804" t="str">
        <f t="shared" si="489"/>
        <v>MS</v>
      </c>
    </row>
    <row r="20805" spans="1:6" x14ac:dyDescent="0.25">
      <c r="A20805" t="str">
        <f>"200027680"</f>
        <v>200027680</v>
      </c>
      <c r="B20805" t="str">
        <f>"1558352138"</f>
        <v>1558352138</v>
      </c>
      <c r="C20805" t="str">
        <f>"2085R0202X"</f>
        <v>2085R0202X</v>
      </c>
      <c r="D20805" t="str">
        <f>"SELLERS                  RANDALL                  "</f>
        <v xml:space="preserve">SELLERS                  RANDALL                  </v>
      </c>
      <c r="E20805" t="str">
        <f>"HATTIESBURG               "</f>
        <v xml:space="preserve">HATTIESBURG               </v>
      </c>
      <c r="F20805" t="str">
        <f t="shared" si="489"/>
        <v>MS</v>
      </c>
    </row>
    <row r="20806" spans="1:6" x14ac:dyDescent="0.25">
      <c r="A20806" t="str">
        <f>"200027681"</f>
        <v>200027681</v>
      </c>
      <c r="B20806" t="str">
        <f>"1558468694"</f>
        <v>1558468694</v>
      </c>
      <c r="C20806" t="str">
        <f>"261QM0801X"</f>
        <v>261QM0801X</v>
      </c>
      <c r="D20806" t="str">
        <f>"NORTH MS COMMISSION ON MI/MR DBA COMMUNICARE      "</f>
        <v xml:space="preserve">NORTH MS COMMISSION ON MI/MR DBA COMMUNICARE      </v>
      </c>
      <c r="E20806" t="str">
        <f>"SARDIS                    "</f>
        <v xml:space="preserve">SARDIS                    </v>
      </c>
      <c r="F20806" t="str">
        <f t="shared" si="489"/>
        <v>MS</v>
      </c>
    </row>
    <row r="20807" spans="1:6" x14ac:dyDescent="0.25">
      <c r="A20807" t="str">
        <f>"200027691"</f>
        <v>200027691</v>
      </c>
      <c r="B20807" t="str">
        <f>"1235004227"</f>
        <v>1235004227</v>
      </c>
      <c r="C20807" t="str">
        <f>"363L00000X"</f>
        <v>363L00000X</v>
      </c>
      <c r="D20807" t="str">
        <f>"PAIGE                    TWILAH                   "</f>
        <v xml:space="preserve">PAIGE                    TWILAH                   </v>
      </c>
      <c r="E20807" t="str">
        <f>"JACKSON                   "</f>
        <v xml:space="preserve">JACKSON                   </v>
      </c>
      <c r="F20807" t="str">
        <f t="shared" si="489"/>
        <v>MS</v>
      </c>
    </row>
    <row r="20808" spans="1:6" x14ac:dyDescent="0.25">
      <c r="A20808" t="str">
        <f>"200027705"</f>
        <v>200027705</v>
      </c>
      <c r="B20808" t="str">
        <f>"1669851697"</f>
        <v>1669851697</v>
      </c>
      <c r="C20808" t="str">
        <f>"207RP1001X"</f>
        <v>207RP1001X</v>
      </c>
      <c r="D20808" t="str">
        <f>"NETTLOW                  DARRELL                  "</f>
        <v xml:space="preserve">NETTLOW                  DARRELL                  </v>
      </c>
      <c r="E20808" t="str">
        <f>"OCEAN SPRINGS             "</f>
        <v xml:space="preserve">OCEAN SPRINGS             </v>
      </c>
      <c r="F20808" t="str">
        <f t="shared" si="489"/>
        <v>MS</v>
      </c>
    </row>
    <row r="20809" spans="1:6" x14ac:dyDescent="0.25">
      <c r="A20809" t="str">
        <f>"200027706"</f>
        <v>200027706</v>
      </c>
      <c r="B20809" t="str">
        <f>"1265983316"</f>
        <v>1265983316</v>
      </c>
      <c r="C20809" t="str">
        <f>"363LF0000X"</f>
        <v>363LF0000X</v>
      </c>
      <c r="D20809" t="str">
        <f>"SULLIVAN                 MOLLY                    "</f>
        <v xml:space="preserve">SULLIVAN                 MOLLY                    </v>
      </c>
      <c r="E20809" t="str">
        <f>"HORN LAKE                 "</f>
        <v xml:space="preserve">HORN LAKE                 </v>
      </c>
      <c r="F20809" t="str">
        <f t="shared" si="489"/>
        <v>MS</v>
      </c>
    </row>
    <row r="20810" spans="1:6" x14ac:dyDescent="0.25">
      <c r="A20810" t="str">
        <f>"200027707"</f>
        <v>200027707</v>
      </c>
      <c r="B20810" t="str">
        <f>"1942953419"</f>
        <v>1942953419</v>
      </c>
      <c r="C20810" t="str">
        <f>"363LP0808X"</f>
        <v>363LP0808X</v>
      </c>
      <c r="D20810" t="str">
        <f>"AVANT                    MALLORY                  "</f>
        <v xml:space="preserve">AVANT                    MALLORY                  </v>
      </c>
      <c r="E20810" t="str">
        <f>"GRENADA                   "</f>
        <v xml:space="preserve">GRENADA                   </v>
      </c>
      <c r="F20810" t="str">
        <f t="shared" si="489"/>
        <v>MS</v>
      </c>
    </row>
    <row r="20811" spans="1:6" x14ac:dyDescent="0.25">
      <c r="A20811" t="str">
        <f>"200027710"</f>
        <v>200027710</v>
      </c>
      <c r="B20811" t="str">
        <f>"1396622023"</f>
        <v>1396622023</v>
      </c>
      <c r="C20811" t="str">
        <f>"363LF0000X"</f>
        <v>363LF0000X</v>
      </c>
      <c r="D20811" t="str">
        <f>"PATTERSON                CONSUELO                 "</f>
        <v xml:space="preserve">PATTERSON                CONSUELO                 </v>
      </c>
      <c r="E20811" t="str">
        <f>"FLOWOOD                   "</f>
        <v xml:space="preserve">FLOWOOD                   </v>
      </c>
      <c r="F20811" t="str">
        <f t="shared" si="489"/>
        <v>MS</v>
      </c>
    </row>
    <row r="20812" spans="1:6" x14ac:dyDescent="0.25">
      <c r="A20812" t="str">
        <f>"200027713"</f>
        <v>200027713</v>
      </c>
      <c r="B20812" t="str">
        <f>"1992332043"</f>
        <v>1992332043</v>
      </c>
      <c r="C20812" t="str">
        <f>"207L00000X"</f>
        <v>207L00000X</v>
      </c>
      <c r="D20812" t="str">
        <f>"ROBINSON                 KAYLA                    "</f>
        <v xml:space="preserve">ROBINSON                 KAYLA                    </v>
      </c>
      <c r="E20812" t="str">
        <f>"JACKSON                   "</f>
        <v xml:space="preserve">JACKSON                   </v>
      </c>
      <c r="F20812" t="str">
        <f t="shared" si="489"/>
        <v>MS</v>
      </c>
    </row>
    <row r="20813" spans="1:6" x14ac:dyDescent="0.25">
      <c r="A20813" t="str">
        <f>"200027716"</f>
        <v>200027716</v>
      </c>
      <c r="B20813" t="str">
        <f>"1164376927"</f>
        <v>1164376927</v>
      </c>
      <c r="C20813" t="str">
        <f>"363LF0000X"</f>
        <v>363LF0000X</v>
      </c>
      <c r="D20813" t="str">
        <f>"TROSCLAIR                SKYLAR                   "</f>
        <v xml:space="preserve">TROSCLAIR                SKYLAR                   </v>
      </c>
      <c r="E20813" t="str">
        <f>"OCEAN SPRINGS             "</f>
        <v xml:space="preserve">OCEAN SPRINGS             </v>
      </c>
      <c r="F20813" t="str">
        <f t="shared" si="489"/>
        <v>MS</v>
      </c>
    </row>
    <row r="20814" spans="1:6" x14ac:dyDescent="0.25">
      <c r="A20814" t="str">
        <f>"200027718"</f>
        <v>200027718</v>
      </c>
      <c r="B20814" t="str">
        <f>"1720676992"</f>
        <v>1720676992</v>
      </c>
      <c r="C20814" t="str">
        <f>"363LF0000X"</f>
        <v>363LF0000X</v>
      </c>
      <c r="D20814" t="str">
        <f>"NORTH                    ANDERSON                 "</f>
        <v xml:space="preserve">NORTH                    ANDERSON                 </v>
      </c>
      <c r="E20814" t="str">
        <f>"OXFORD                    "</f>
        <v xml:space="preserve">OXFORD                    </v>
      </c>
      <c r="F20814" t="str">
        <f t="shared" si="489"/>
        <v>MS</v>
      </c>
    </row>
    <row r="20815" spans="1:6" x14ac:dyDescent="0.25">
      <c r="A20815" t="str">
        <f>"200027719"</f>
        <v>200027719</v>
      </c>
      <c r="B20815" t="str">
        <f>"1689201733"</f>
        <v>1689201733</v>
      </c>
      <c r="C20815" t="str">
        <f>"207R00000X"</f>
        <v>207R00000X</v>
      </c>
      <c r="D20815" t="str">
        <f>"OKPOLOA                  EHIMEN                   "</f>
        <v xml:space="preserve">OKPOLOA                  EHIMEN                   </v>
      </c>
      <c r="E20815" t="str">
        <f>"SOUTHAVEN                 "</f>
        <v xml:space="preserve">SOUTHAVEN                 </v>
      </c>
      <c r="F20815" t="str">
        <f t="shared" si="489"/>
        <v>MS</v>
      </c>
    </row>
    <row r="20816" spans="1:6" x14ac:dyDescent="0.25">
      <c r="A20816" t="str">
        <f>"200027720"</f>
        <v>200027720</v>
      </c>
      <c r="B20816" t="str">
        <f>"1295795854"</f>
        <v>1295795854</v>
      </c>
      <c r="C20816" t="str">
        <f>"207VM0101X"</f>
        <v>207VM0101X</v>
      </c>
      <c r="D20816" t="str">
        <f>"HEAD                     BARBARA                  "</f>
        <v xml:space="preserve">HEAD                     BARBARA                  </v>
      </c>
      <c r="E20816" t="str">
        <f>"GULFPORT                  "</f>
        <v xml:space="preserve">GULFPORT                  </v>
      </c>
      <c r="F20816" t="str">
        <f t="shared" si="489"/>
        <v>MS</v>
      </c>
    </row>
    <row r="20817" spans="1:6" x14ac:dyDescent="0.25">
      <c r="A20817" t="str">
        <f>"200027728"</f>
        <v>200027728</v>
      </c>
      <c r="B20817" t="str">
        <f>"1568099810"</f>
        <v>1568099810</v>
      </c>
      <c r="C20817" t="str">
        <f>"207X00000X"</f>
        <v>207X00000X</v>
      </c>
      <c r="D20817" t="str">
        <f>"POIRIER                  SARAH                    "</f>
        <v xml:space="preserve">POIRIER                  SARAH                    </v>
      </c>
      <c r="E20817" t="str">
        <f>"BILOXI                    "</f>
        <v xml:space="preserve">BILOXI                    </v>
      </c>
      <c r="F20817" t="str">
        <f t="shared" si="489"/>
        <v>MS</v>
      </c>
    </row>
    <row r="20818" spans="1:6" x14ac:dyDescent="0.25">
      <c r="A20818" t="str">
        <f>"200027732"</f>
        <v>200027732</v>
      </c>
      <c r="B20818" t="str">
        <f>"1124986583"</f>
        <v>1124986583</v>
      </c>
      <c r="C20818" t="str">
        <f>"367500000X"</f>
        <v>367500000X</v>
      </c>
      <c r="D20818" t="str">
        <f>"PEYTON                   SHELL                    "</f>
        <v xml:space="preserve">PEYTON                   SHELL                    </v>
      </c>
      <c r="E20818" t="str">
        <f>"FLOWOOD                   "</f>
        <v xml:space="preserve">FLOWOOD                   </v>
      </c>
      <c r="F20818" t="str">
        <f t="shared" si="489"/>
        <v>MS</v>
      </c>
    </row>
    <row r="20819" spans="1:6" x14ac:dyDescent="0.25">
      <c r="A20819" t="str">
        <f>"200027736"</f>
        <v>200027736</v>
      </c>
      <c r="B20819" t="str">
        <f>"1588004261"</f>
        <v>1588004261</v>
      </c>
      <c r="C20819" t="str">
        <f>"363LF0000X"</f>
        <v>363LF0000X</v>
      </c>
      <c r="D20819" t="str">
        <f>"MILLER                   JAMES                    "</f>
        <v xml:space="preserve">MILLER                   JAMES                    </v>
      </c>
      <c r="E20819" t="str">
        <f>"RIDGELAND                 "</f>
        <v xml:space="preserve">RIDGELAND                 </v>
      </c>
      <c r="F20819" t="str">
        <f t="shared" si="489"/>
        <v>MS</v>
      </c>
    </row>
    <row r="20820" spans="1:6" x14ac:dyDescent="0.25">
      <c r="A20820" t="str">
        <f>"200027737"</f>
        <v>200027737</v>
      </c>
      <c r="B20820" t="str">
        <f>"1437647278"</f>
        <v>1437647278</v>
      </c>
      <c r="C20820" t="str">
        <f>"207Q00000X"</f>
        <v>207Q00000X</v>
      </c>
      <c r="D20820" t="str">
        <f>"SAPPINGTON               JONATHAN                 "</f>
        <v xml:space="preserve">SAPPINGTON               JONATHAN                 </v>
      </c>
      <c r="E20820" t="str">
        <f>"CLARKSDALE                "</f>
        <v xml:space="preserve">CLARKSDALE                </v>
      </c>
      <c r="F20820" t="str">
        <f t="shared" si="489"/>
        <v>MS</v>
      </c>
    </row>
    <row r="20821" spans="1:6" x14ac:dyDescent="0.25">
      <c r="A20821" t="str">
        <f>"200027741"</f>
        <v>200027741</v>
      </c>
      <c r="B20821" t="str">
        <f>"1922582345"</f>
        <v>1922582345</v>
      </c>
      <c r="C20821" t="str">
        <f>"363L00000X"</f>
        <v>363L00000X</v>
      </c>
      <c r="D20821" t="str">
        <f>"DYCUS                    BILLY                    "</f>
        <v xml:space="preserve">DYCUS                    BILLY                    </v>
      </c>
      <c r="E20821" t="str">
        <f>"MOSS POINT                "</f>
        <v xml:space="preserve">MOSS POINT                </v>
      </c>
      <c r="F20821" t="str">
        <f t="shared" si="489"/>
        <v>MS</v>
      </c>
    </row>
    <row r="20822" spans="1:6" x14ac:dyDescent="0.25">
      <c r="A20822" t="str">
        <f>"200027744"</f>
        <v>200027744</v>
      </c>
      <c r="B20822" t="str">
        <f>"1851490841"</f>
        <v>1851490841</v>
      </c>
      <c r="C20822" t="str">
        <f>"261QU0200X"</f>
        <v>261QU0200X</v>
      </c>
      <c r="D20822" t="str">
        <f>"CONVENIENT CARE CLINIC LLC                        "</f>
        <v xml:space="preserve">CONVENIENT CARE CLINIC LLC                        </v>
      </c>
      <c r="E20822" t="str">
        <f>"OLIVE BRANCH              "</f>
        <v xml:space="preserve">OLIVE BRANCH              </v>
      </c>
      <c r="F20822" t="str">
        <f t="shared" si="489"/>
        <v>MS</v>
      </c>
    </row>
    <row r="20823" spans="1:6" x14ac:dyDescent="0.25">
      <c r="A20823" t="str">
        <f>"200027746"</f>
        <v>200027746</v>
      </c>
      <c r="B20823" t="str">
        <f>"1467046581"</f>
        <v>1467046581</v>
      </c>
      <c r="C20823" t="str">
        <f>"363LG0600X"</f>
        <v>363LG0600X</v>
      </c>
      <c r="D20823" t="str">
        <f>"DEAN                     SHERRIE                  "</f>
        <v xml:space="preserve">DEAN                     SHERRIE                  </v>
      </c>
      <c r="E20823" t="str">
        <f>"PASCAGOULA                "</f>
        <v xml:space="preserve">PASCAGOULA                </v>
      </c>
      <c r="F20823" t="str">
        <f t="shared" si="489"/>
        <v>MS</v>
      </c>
    </row>
    <row r="20824" spans="1:6" x14ac:dyDescent="0.25">
      <c r="A20824" t="str">
        <f>"200027747"</f>
        <v>200027747</v>
      </c>
      <c r="B20824" t="str">
        <f>"1093070682"</f>
        <v>1093070682</v>
      </c>
      <c r="C20824" t="str">
        <f>"367500000X"</f>
        <v>367500000X</v>
      </c>
      <c r="D20824" t="str">
        <f>"WHITE                    ARMANCE                  "</f>
        <v xml:space="preserve">WHITE                    ARMANCE                  </v>
      </c>
      <c r="E20824" t="str">
        <f>"SOUTHAVEN                 "</f>
        <v xml:space="preserve">SOUTHAVEN                 </v>
      </c>
      <c r="F20824" t="str">
        <f t="shared" si="489"/>
        <v>MS</v>
      </c>
    </row>
    <row r="20825" spans="1:6" x14ac:dyDescent="0.25">
      <c r="A20825" t="str">
        <f>"200027757"</f>
        <v>200027757</v>
      </c>
      <c r="B20825" t="str">
        <f>"1952085417"</f>
        <v>1952085417</v>
      </c>
      <c r="C20825" t="str">
        <f>"261QM1300X"</f>
        <v>261QM1300X</v>
      </c>
      <c r="D20825" t="str">
        <f>"POWERFUL MINDS COUNSELING                         "</f>
        <v xml:space="preserve">POWERFUL MINDS COUNSELING                         </v>
      </c>
      <c r="E20825" t="str">
        <f>"GULFPORT                  "</f>
        <v xml:space="preserve">GULFPORT                  </v>
      </c>
      <c r="F20825" t="str">
        <f t="shared" si="489"/>
        <v>MS</v>
      </c>
    </row>
    <row r="20826" spans="1:6" x14ac:dyDescent="0.25">
      <c r="A20826" t="str">
        <f>"200027759"</f>
        <v>200027759</v>
      </c>
      <c r="B20826" t="str">
        <f>"1053318857"</f>
        <v>1053318857</v>
      </c>
      <c r="C20826" t="str">
        <f>"207R00000X"</f>
        <v>207R00000X</v>
      </c>
      <c r="D20826" t="str">
        <f>"SHOUKRY                  EMAD                     "</f>
        <v xml:space="preserve">SHOUKRY                  EMAD                     </v>
      </c>
      <c r="E20826" t="str">
        <f>"SOUTHAVEN                 "</f>
        <v xml:space="preserve">SOUTHAVEN                 </v>
      </c>
      <c r="F20826" t="str">
        <f t="shared" si="489"/>
        <v>MS</v>
      </c>
    </row>
    <row r="20827" spans="1:6" x14ac:dyDescent="0.25">
      <c r="A20827" t="str">
        <f>"200027760"</f>
        <v>200027760</v>
      </c>
      <c r="B20827" t="str">
        <f>"1588676597"</f>
        <v>1588676597</v>
      </c>
      <c r="C20827" t="str">
        <f>"207P00000X"</f>
        <v>207P00000X</v>
      </c>
      <c r="D20827" t="str">
        <f>"HENDERSON                JAMES                    "</f>
        <v xml:space="preserve">HENDERSON                JAMES                    </v>
      </c>
      <c r="E20827" t="str">
        <f>"COLUMBIA                  "</f>
        <v xml:space="preserve">COLUMBIA                  </v>
      </c>
      <c r="F20827" t="str">
        <f t="shared" si="489"/>
        <v>MS</v>
      </c>
    </row>
    <row r="20828" spans="1:6" x14ac:dyDescent="0.25">
      <c r="A20828" t="str">
        <f>"200027772"</f>
        <v>200027772</v>
      </c>
      <c r="B20828" t="str">
        <f>"1154158947"</f>
        <v>1154158947</v>
      </c>
      <c r="C20828" t="str">
        <f>"261QR1300X"</f>
        <v>261QR1300X</v>
      </c>
      <c r="D20828" t="str">
        <f>"MAGNOLIA REGIONAL HEALTH CENTER                   "</f>
        <v xml:space="preserve">MAGNOLIA REGIONAL HEALTH CENTER                   </v>
      </c>
      <c r="E20828" t="str">
        <f>"CORINTH                   "</f>
        <v xml:space="preserve">CORINTH                   </v>
      </c>
      <c r="F20828" t="str">
        <f t="shared" si="489"/>
        <v>MS</v>
      </c>
    </row>
    <row r="20829" spans="1:6" x14ac:dyDescent="0.25">
      <c r="A20829" t="str">
        <f>"200027776"</f>
        <v>200027776</v>
      </c>
      <c r="B20829" t="str">
        <f>"1386500486"</f>
        <v>1386500486</v>
      </c>
      <c r="C20829" t="str">
        <f>"363LF0000X"</f>
        <v>363LF0000X</v>
      </c>
      <c r="D20829" t="str">
        <f>"HARRIS                   WILLIAM                  "</f>
        <v xml:space="preserve">HARRIS                   WILLIAM                  </v>
      </c>
      <c r="E20829" t="str">
        <f>"GUNTOWN                   "</f>
        <v xml:space="preserve">GUNTOWN                   </v>
      </c>
      <c r="F20829" t="str">
        <f t="shared" si="489"/>
        <v>MS</v>
      </c>
    </row>
    <row r="20830" spans="1:6" x14ac:dyDescent="0.25">
      <c r="A20830" t="str">
        <f>"200027783"</f>
        <v>200027783</v>
      </c>
      <c r="B20830" t="str">
        <f>"1184171423"</f>
        <v>1184171423</v>
      </c>
      <c r="C20830" t="str">
        <f>"152W00000X"</f>
        <v>152W00000X</v>
      </c>
      <c r="D20830" t="str">
        <f>"SYKES                    KELSEY                   "</f>
        <v xml:space="preserve">SYKES                    KELSEY                   </v>
      </c>
      <c r="E20830" t="str">
        <f>"CLINTON                   "</f>
        <v xml:space="preserve">CLINTON                   </v>
      </c>
      <c r="F20830" t="str">
        <f t="shared" si="489"/>
        <v>MS</v>
      </c>
    </row>
    <row r="20831" spans="1:6" x14ac:dyDescent="0.25">
      <c r="A20831" t="str">
        <f>"200027786"</f>
        <v>200027786</v>
      </c>
      <c r="B20831" t="str">
        <f>"1093419061"</f>
        <v>1093419061</v>
      </c>
      <c r="C20831" t="str">
        <f>"207P00000X"</f>
        <v>207P00000X</v>
      </c>
      <c r="D20831" t="str">
        <f>"POWELL                   JOEL                     "</f>
        <v xml:space="preserve">POWELL                   JOEL                     </v>
      </c>
      <c r="E20831" t="str">
        <f>"AMORY                     "</f>
        <v xml:space="preserve">AMORY                     </v>
      </c>
      <c r="F20831" t="str">
        <f t="shared" si="489"/>
        <v>MS</v>
      </c>
    </row>
    <row r="20832" spans="1:6" x14ac:dyDescent="0.25">
      <c r="A20832" t="str">
        <f>"200027788"</f>
        <v>200027788</v>
      </c>
      <c r="B20832" t="str">
        <f>"1376754077"</f>
        <v>1376754077</v>
      </c>
      <c r="C20832" t="str">
        <f>"207R00000X"</f>
        <v>207R00000X</v>
      </c>
      <c r="D20832" t="str">
        <f>"WOODS                    AMY          R           "</f>
        <v xml:space="preserve">WOODS                    AMY          R           </v>
      </c>
      <c r="E20832" t="str">
        <f>"BYHALIA                   "</f>
        <v xml:space="preserve">BYHALIA                   </v>
      </c>
      <c r="F20832" t="str">
        <f t="shared" si="489"/>
        <v>MS</v>
      </c>
    </row>
    <row r="20833" spans="1:6" x14ac:dyDescent="0.25">
      <c r="A20833" t="str">
        <f>"200027789"</f>
        <v>200027789</v>
      </c>
      <c r="B20833" t="str">
        <f>"1932996758"</f>
        <v>1932996758</v>
      </c>
      <c r="C20833" t="str">
        <f>"363L00000X"</f>
        <v>363L00000X</v>
      </c>
      <c r="D20833" t="str">
        <f>"CASTLE                   MARY                     "</f>
        <v xml:space="preserve">CASTLE                   MARY                     </v>
      </c>
      <c r="E20833" t="str">
        <f>"OXFORD                    "</f>
        <v xml:space="preserve">OXFORD                    </v>
      </c>
      <c r="F20833" t="str">
        <f t="shared" si="489"/>
        <v>MS</v>
      </c>
    </row>
    <row r="20834" spans="1:6" x14ac:dyDescent="0.25">
      <c r="A20834" t="str">
        <f>"200027795"</f>
        <v>200027795</v>
      </c>
      <c r="B20834" t="str">
        <f>"1073469342"</f>
        <v>1073469342</v>
      </c>
      <c r="C20834" t="str">
        <f>"363L00000X"</f>
        <v>363L00000X</v>
      </c>
      <c r="D20834" t="str">
        <f>"BRUCE                    ASHLEY                   "</f>
        <v xml:space="preserve">BRUCE                    ASHLEY                   </v>
      </c>
      <c r="E20834" t="str">
        <f>"RICHLAND                  "</f>
        <v xml:space="preserve">RICHLAND                  </v>
      </c>
      <c r="F20834" t="str">
        <f t="shared" si="489"/>
        <v>MS</v>
      </c>
    </row>
    <row r="20835" spans="1:6" x14ac:dyDescent="0.25">
      <c r="A20835" t="str">
        <f>"200027804"</f>
        <v>200027804</v>
      </c>
      <c r="B20835" t="str">
        <f>"1932055530"</f>
        <v>1932055530</v>
      </c>
      <c r="C20835" t="str">
        <f>"363LA2100X"</f>
        <v>363LA2100X</v>
      </c>
      <c r="D20835" t="str">
        <f>"JACKSON                  KIRSTEN                  "</f>
        <v xml:space="preserve">JACKSON                  KIRSTEN                  </v>
      </c>
      <c r="E20835" t="str">
        <f>"HATTIESBURG               "</f>
        <v xml:space="preserve">HATTIESBURG               </v>
      </c>
      <c r="F20835" t="str">
        <f t="shared" si="489"/>
        <v>MS</v>
      </c>
    </row>
    <row r="20836" spans="1:6" x14ac:dyDescent="0.25">
      <c r="A20836" t="str">
        <f>"200027806"</f>
        <v>200027806</v>
      </c>
      <c r="B20836" t="str">
        <f>"1760437404"</f>
        <v>1760437404</v>
      </c>
      <c r="C20836" t="str">
        <f>"363LF0000X"</f>
        <v>363LF0000X</v>
      </c>
      <c r="D20836" t="str">
        <f>"COOK                     ANGELA                   "</f>
        <v xml:space="preserve">COOK                     ANGELA                   </v>
      </c>
      <c r="E20836" t="str">
        <f>"ECRU                      "</f>
        <v xml:space="preserve">ECRU                      </v>
      </c>
      <c r="F20836" t="str">
        <f t="shared" si="489"/>
        <v>MS</v>
      </c>
    </row>
    <row r="20837" spans="1:6" x14ac:dyDescent="0.25">
      <c r="A20837" t="str">
        <f>"200027811"</f>
        <v>200027811</v>
      </c>
      <c r="B20837" t="str">
        <f>"1982082392"</f>
        <v>1982082392</v>
      </c>
      <c r="C20837" t="str">
        <f>"207R00000X"</f>
        <v>207R00000X</v>
      </c>
      <c r="D20837" t="str">
        <f>"STOCKDALL                CHANDRA                  "</f>
        <v xml:space="preserve">STOCKDALL                CHANDRA                  </v>
      </c>
      <c r="E20837" t="str">
        <f>"HATTIESBURG               "</f>
        <v xml:space="preserve">HATTIESBURG               </v>
      </c>
      <c r="F20837" t="str">
        <f t="shared" si="489"/>
        <v>MS</v>
      </c>
    </row>
    <row r="20838" spans="1:6" x14ac:dyDescent="0.25">
      <c r="A20838" t="str">
        <f>"200027822"</f>
        <v>200027822</v>
      </c>
      <c r="B20838" t="str">
        <f>"1861613077"</f>
        <v>1861613077</v>
      </c>
      <c r="C20838" t="str">
        <f>"207L00000X"</f>
        <v>207L00000X</v>
      </c>
      <c r="D20838" t="str">
        <f>"WYATT                    CHRISTOPHER              "</f>
        <v xml:space="preserve">WYATT                    CHRISTOPHER              </v>
      </c>
      <c r="E20838" t="str">
        <f>"GULFPORT                  "</f>
        <v xml:space="preserve">GULFPORT                  </v>
      </c>
      <c r="F20838" t="str">
        <f t="shared" si="489"/>
        <v>MS</v>
      </c>
    </row>
    <row r="20839" spans="1:6" x14ac:dyDescent="0.25">
      <c r="A20839" t="str">
        <f>"200027823"</f>
        <v>200027823</v>
      </c>
      <c r="B20839" t="str">
        <f>"1457083503"</f>
        <v>1457083503</v>
      </c>
      <c r="C20839" t="str">
        <f>"363L00000X"</f>
        <v>363L00000X</v>
      </c>
      <c r="D20839" t="str">
        <f>"DRAPER                   MICHELLE                 "</f>
        <v xml:space="preserve">DRAPER                   MICHELLE                 </v>
      </c>
      <c r="E20839" t="str">
        <f>"EUPORA                    "</f>
        <v xml:space="preserve">EUPORA                    </v>
      </c>
      <c r="F20839" t="str">
        <f t="shared" si="489"/>
        <v>MS</v>
      </c>
    </row>
    <row r="20840" spans="1:6" x14ac:dyDescent="0.25">
      <c r="A20840" t="str">
        <f>"200027826"</f>
        <v>200027826</v>
      </c>
      <c r="B20840" t="str">
        <f>"1427237858"</f>
        <v>1427237858</v>
      </c>
      <c r="C20840" t="str">
        <f>"2085R0202X"</f>
        <v>2085R0202X</v>
      </c>
      <c r="D20840" t="str">
        <f>"PATEL                    TEJAL                    "</f>
        <v xml:space="preserve">PATEL                    TEJAL                    </v>
      </c>
      <c r="E20840" t="str">
        <f>"MERIDIAN                  "</f>
        <v xml:space="preserve">MERIDIAN                  </v>
      </c>
      <c r="F20840" t="str">
        <f t="shared" si="489"/>
        <v>MS</v>
      </c>
    </row>
    <row r="20841" spans="1:6" x14ac:dyDescent="0.25">
      <c r="A20841" t="str">
        <f>"200027827"</f>
        <v>200027827</v>
      </c>
      <c r="B20841" t="str">
        <f>"1851774814"</f>
        <v>1851774814</v>
      </c>
      <c r="C20841" t="str">
        <f>"363LF0000X"</f>
        <v>363LF0000X</v>
      </c>
      <c r="D20841" t="str">
        <f>"SHEEHAN                  ELENI                    "</f>
        <v xml:space="preserve">SHEEHAN                  ELENI                    </v>
      </c>
      <c r="E20841" t="str">
        <f>"GULFPORT                  "</f>
        <v xml:space="preserve">GULFPORT                  </v>
      </c>
      <c r="F20841" t="str">
        <f t="shared" si="489"/>
        <v>MS</v>
      </c>
    </row>
    <row r="20842" spans="1:6" x14ac:dyDescent="0.25">
      <c r="A20842" t="str">
        <f>"200027829"</f>
        <v>200027829</v>
      </c>
      <c r="B20842" t="str">
        <f>"1073370441"</f>
        <v>1073370441</v>
      </c>
      <c r="C20842" t="str">
        <f>"1223G0001X"</f>
        <v>1223G0001X</v>
      </c>
      <c r="D20842" t="str">
        <f>"O'BRIEN                  KENNEDY      L           "</f>
        <v xml:space="preserve">O'BRIEN                  KENNEDY      L           </v>
      </c>
      <c r="E20842" t="str">
        <f>"BATESVILLE                "</f>
        <v xml:space="preserve">BATESVILLE                </v>
      </c>
      <c r="F20842" t="str">
        <f t="shared" si="489"/>
        <v>MS</v>
      </c>
    </row>
    <row r="20843" spans="1:6" x14ac:dyDescent="0.25">
      <c r="A20843" t="str">
        <f>"200027832"</f>
        <v>200027832</v>
      </c>
      <c r="B20843" t="str">
        <f>"1184428427"</f>
        <v>1184428427</v>
      </c>
      <c r="C20843" t="str">
        <f>"208200000X"</f>
        <v>208200000X</v>
      </c>
      <c r="D20843" t="str">
        <f>"KUHRAU                   CHRISTINA    R           "</f>
        <v xml:space="preserve">KUHRAU                   CHRISTINA    R           </v>
      </c>
      <c r="E20843" t="str">
        <f>"JACKSON                   "</f>
        <v xml:space="preserve">JACKSON                   </v>
      </c>
      <c r="F20843" t="str">
        <f t="shared" si="489"/>
        <v>MS</v>
      </c>
    </row>
    <row r="20844" spans="1:6" x14ac:dyDescent="0.25">
      <c r="A20844" t="str">
        <f>"200027838"</f>
        <v>200027838</v>
      </c>
      <c r="B20844" t="str">
        <f>"1386598613"</f>
        <v>1386598613</v>
      </c>
      <c r="C20844" t="str">
        <f>"363LP0808X"</f>
        <v>363LP0808X</v>
      </c>
      <c r="D20844" t="str">
        <f>"COKER                    SHANNON                  "</f>
        <v xml:space="preserve">COKER                    SHANNON                  </v>
      </c>
      <c r="E20844" t="str">
        <f>"COLUMBUS                  "</f>
        <v xml:space="preserve">COLUMBUS                  </v>
      </c>
      <c r="F20844" t="str">
        <f t="shared" si="489"/>
        <v>MS</v>
      </c>
    </row>
    <row r="20845" spans="1:6" x14ac:dyDescent="0.25">
      <c r="A20845" t="str">
        <f>"200027841"</f>
        <v>200027841</v>
      </c>
      <c r="B20845" t="str">
        <f>"1740609684"</f>
        <v>1740609684</v>
      </c>
      <c r="C20845" t="str">
        <f>"2085R0202X"</f>
        <v>2085R0202X</v>
      </c>
      <c r="D20845" t="str">
        <f>"COLE                     STEPHEN                  "</f>
        <v xml:space="preserve">COLE                     STEPHEN                  </v>
      </c>
      <c r="E20845" t="str">
        <f>"OXFORD                    "</f>
        <v xml:space="preserve">OXFORD                    </v>
      </c>
      <c r="F20845" t="str">
        <f t="shared" si="489"/>
        <v>MS</v>
      </c>
    </row>
    <row r="20846" spans="1:6" x14ac:dyDescent="0.25">
      <c r="A20846" t="str">
        <f>"200027844"</f>
        <v>200027844</v>
      </c>
      <c r="B20846" t="str">
        <f>"1205527934"</f>
        <v>1205527934</v>
      </c>
      <c r="C20846" t="str">
        <f>"363LF0000X"</f>
        <v>363LF0000X</v>
      </c>
      <c r="D20846" t="str">
        <f>"BOSWELL                  LINDSEY                  "</f>
        <v xml:space="preserve">BOSWELL                  LINDSEY                  </v>
      </c>
      <c r="E20846" t="str">
        <f>"MAGEE                     "</f>
        <v xml:space="preserve">MAGEE                     </v>
      </c>
      <c r="F20846" t="str">
        <f t="shared" si="489"/>
        <v>MS</v>
      </c>
    </row>
    <row r="20847" spans="1:6" x14ac:dyDescent="0.25">
      <c r="A20847" t="str">
        <f>"200027847"</f>
        <v>200027847</v>
      </c>
      <c r="B20847" t="str">
        <f>"1164717633"</f>
        <v>1164717633</v>
      </c>
      <c r="C20847" t="str">
        <f>"207L00000X"</f>
        <v>207L00000X</v>
      </c>
      <c r="D20847" t="str">
        <f>"TOLAND                   BRENT                    "</f>
        <v xml:space="preserve">TOLAND                   BRENT                    </v>
      </c>
      <c r="E20847" t="str">
        <f>"MERIDIAN                  "</f>
        <v xml:space="preserve">MERIDIAN                  </v>
      </c>
      <c r="F20847" t="str">
        <f t="shared" si="489"/>
        <v>MS</v>
      </c>
    </row>
    <row r="20848" spans="1:6" x14ac:dyDescent="0.25">
      <c r="A20848" t="str">
        <f>"200027848"</f>
        <v>200027848</v>
      </c>
      <c r="B20848" t="str">
        <f>"1356239362"</f>
        <v>1356239362</v>
      </c>
      <c r="C20848" t="str">
        <f>"363LP0808X"</f>
        <v>363LP0808X</v>
      </c>
      <c r="D20848" t="str">
        <f>"CUBBAGE                  HARMONY                  "</f>
        <v xml:space="preserve">CUBBAGE                  HARMONY                  </v>
      </c>
      <c r="E20848" t="str">
        <f>"PASCAGOULA                "</f>
        <v xml:space="preserve">PASCAGOULA                </v>
      </c>
      <c r="F20848" t="str">
        <f t="shared" si="489"/>
        <v>MS</v>
      </c>
    </row>
    <row r="20849" spans="1:6" x14ac:dyDescent="0.25">
      <c r="A20849" t="str">
        <f>"200027850"</f>
        <v>200027850</v>
      </c>
      <c r="B20849" t="str">
        <f>"1407319064"</f>
        <v>1407319064</v>
      </c>
      <c r="C20849" t="str">
        <f>"2085R0202X"</f>
        <v>2085R0202X</v>
      </c>
      <c r="D20849" t="str">
        <f>"SHOUJAA                  ADHAM                    "</f>
        <v xml:space="preserve">SHOUJAA                  ADHAM                    </v>
      </c>
      <c r="E20849" t="str">
        <f>"HATTIESBURG               "</f>
        <v xml:space="preserve">HATTIESBURG               </v>
      </c>
      <c r="F20849" t="str">
        <f t="shared" si="489"/>
        <v>MS</v>
      </c>
    </row>
    <row r="20850" spans="1:6" x14ac:dyDescent="0.25">
      <c r="A20850" t="str">
        <f>"200027851"</f>
        <v>200027851</v>
      </c>
      <c r="B20850" t="str">
        <f>"1447605704"</f>
        <v>1447605704</v>
      </c>
      <c r="C20850" t="str">
        <f>"2085R0202X"</f>
        <v>2085R0202X</v>
      </c>
      <c r="D20850" t="str">
        <f>"AGGARWAL                 ABHIMANYU                "</f>
        <v xml:space="preserve">AGGARWAL                 ABHIMANYU                </v>
      </c>
      <c r="E20850" t="str">
        <f>"OXFORD                    "</f>
        <v xml:space="preserve">OXFORD                    </v>
      </c>
      <c r="F20850" t="str">
        <f t="shared" si="489"/>
        <v>MS</v>
      </c>
    </row>
    <row r="20851" spans="1:6" x14ac:dyDescent="0.25">
      <c r="A20851" t="str">
        <f>"200027853"</f>
        <v>200027853</v>
      </c>
      <c r="B20851" t="str">
        <f>"1902225295"</f>
        <v>1902225295</v>
      </c>
      <c r="C20851" t="str">
        <f>"2085R0202X"</f>
        <v>2085R0202X</v>
      </c>
      <c r="D20851" t="str">
        <f>"LAMBERT                  NICHOLAS                 "</f>
        <v xml:space="preserve">LAMBERT                  NICHOLAS                 </v>
      </c>
      <c r="E20851" t="str">
        <f>"OXFORD                    "</f>
        <v xml:space="preserve">OXFORD                    </v>
      </c>
      <c r="F20851" t="str">
        <f t="shared" si="489"/>
        <v>MS</v>
      </c>
    </row>
    <row r="20852" spans="1:6" x14ac:dyDescent="0.25">
      <c r="A20852" t="str">
        <f>"200027854"</f>
        <v>200027854</v>
      </c>
      <c r="B20852" t="str">
        <f>"1376438556"</f>
        <v>1376438556</v>
      </c>
      <c r="C20852" t="str">
        <f>"207Q00000X"</f>
        <v>207Q00000X</v>
      </c>
      <c r="D20852" t="str">
        <f>"KUMARI                   DAYA                     "</f>
        <v xml:space="preserve">KUMARI                   DAYA                     </v>
      </c>
      <c r="E20852" t="str">
        <f>"JACKSON                   "</f>
        <v xml:space="preserve">JACKSON                   </v>
      </c>
      <c r="F20852" t="str">
        <f t="shared" si="489"/>
        <v>MS</v>
      </c>
    </row>
    <row r="20853" spans="1:6" x14ac:dyDescent="0.25">
      <c r="A20853" t="str">
        <f>"200027855"</f>
        <v>200027855</v>
      </c>
      <c r="B20853" t="str">
        <f>"1083659684"</f>
        <v>1083659684</v>
      </c>
      <c r="C20853" t="str">
        <f>"152W00000X"</f>
        <v>152W00000X</v>
      </c>
      <c r="D20853" t="str">
        <f>"BOWLAN                   MICHAEL                  "</f>
        <v xml:space="preserve">BOWLAN                   MICHAEL                  </v>
      </c>
      <c r="E20853" t="str">
        <f>"SOUTHAVEN                 "</f>
        <v xml:space="preserve">SOUTHAVEN                 </v>
      </c>
      <c r="F20853" t="str">
        <f t="shared" si="489"/>
        <v>MS</v>
      </c>
    </row>
    <row r="20854" spans="1:6" x14ac:dyDescent="0.25">
      <c r="A20854" t="str">
        <f>"200027867"</f>
        <v>200027867</v>
      </c>
      <c r="B20854" t="str">
        <f>"1184034118"</f>
        <v>1184034118</v>
      </c>
      <c r="C20854" t="str">
        <f>"2085R0202X"</f>
        <v>2085R0202X</v>
      </c>
      <c r="D20854" t="str">
        <f>"CONTRERAS                FRANCISCO                "</f>
        <v xml:space="preserve">CONTRERAS                FRANCISCO                </v>
      </c>
      <c r="E20854" t="str">
        <f>"OXFORD                    "</f>
        <v xml:space="preserve">OXFORD                    </v>
      </c>
      <c r="F20854" t="str">
        <f t="shared" si="489"/>
        <v>MS</v>
      </c>
    </row>
    <row r="20855" spans="1:6" x14ac:dyDescent="0.25">
      <c r="A20855" t="str">
        <f>"200027868"</f>
        <v>200027868</v>
      </c>
      <c r="B20855" t="str">
        <f>"1851825731"</f>
        <v>1851825731</v>
      </c>
      <c r="C20855" t="str">
        <f>"2085R0202X"</f>
        <v>2085R0202X</v>
      </c>
      <c r="D20855" t="str">
        <f>"CRONAN                   JULIE                    "</f>
        <v xml:space="preserve">CRONAN                   JULIE                    </v>
      </c>
      <c r="E20855" t="str">
        <f>"MERIDIAN                  "</f>
        <v xml:space="preserve">MERIDIAN                  </v>
      </c>
      <c r="F20855" t="str">
        <f t="shared" si="489"/>
        <v>MS</v>
      </c>
    </row>
    <row r="20856" spans="1:6" x14ac:dyDescent="0.25">
      <c r="A20856" t="str">
        <f>"200027870"</f>
        <v>200027870</v>
      </c>
      <c r="B20856" t="str">
        <f>"1699083998"</f>
        <v>1699083998</v>
      </c>
      <c r="C20856" t="str">
        <f>"363L00000X"</f>
        <v>363L00000X</v>
      </c>
      <c r="D20856" t="str">
        <f>"COLE                     SHARITA                  "</f>
        <v xml:space="preserve">COLE                     SHARITA                  </v>
      </c>
      <c r="E20856" t="str">
        <f>"FLOWOOD                   "</f>
        <v xml:space="preserve">FLOWOOD                   </v>
      </c>
      <c r="F20856" t="str">
        <f t="shared" si="489"/>
        <v>MS</v>
      </c>
    </row>
    <row r="20857" spans="1:6" x14ac:dyDescent="0.25">
      <c r="A20857" t="str">
        <f>"200027876"</f>
        <v>200027876</v>
      </c>
      <c r="B20857" t="str">
        <f>"1922319417"</f>
        <v>1922319417</v>
      </c>
      <c r="C20857" t="str">
        <f>"367500000X"</f>
        <v>367500000X</v>
      </c>
      <c r="D20857" t="str">
        <f>"VIZIER                   TRAVIS                   "</f>
        <v xml:space="preserve">VIZIER                   TRAVIS                   </v>
      </c>
      <c r="E20857" t="str">
        <f>"JACKSON                   "</f>
        <v xml:space="preserve">JACKSON                   </v>
      </c>
      <c r="F20857" t="str">
        <f t="shared" si="489"/>
        <v>MS</v>
      </c>
    </row>
    <row r="20858" spans="1:6" x14ac:dyDescent="0.25">
      <c r="A20858" t="str">
        <f>"200027879"</f>
        <v>200027879</v>
      </c>
      <c r="B20858" t="str">
        <f>"1194205823"</f>
        <v>1194205823</v>
      </c>
      <c r="C20858" t="str">
        <f>"363LA2100X"</f>
        <v>363LA2100X</v>
      </c>
      <c r="D20858" t="str">
        <f>"MOSEBY-FOWLER            KIMALA                   "</f>
        <v xml:space="preserve">MOSEBY-FOWLER            KIMALA                   </v>
      </c>
      <c r="E20858" t="str">
        <f>"SOUTHAVEN                 "</f>
        <v xml:space="preserve">SOUTHAVEN                 </v>
      </c>
      <c r="F20858" t="str">
        <f t="shared" si="489"/>
        <v>MS</v>
      </c>
    </row>
    <row r="20859" spans="1:6" x14ac:dyDescent="0.25">
      <c r="A20859" t="str">
        <f>"200027882"</f>
        <v>200027882</v>
      </c>
      <c r="B20859" t="str">
        <f>"1275895559"</f>
        <v>1275895559</v>
      </c>
      <c r="C20859" t="str">
        <f>"2080P0202X"</f>
        <v>2080P0202X</v>
      </c>
      <c r="D20859" t="str">
        <f>"OSAKWE                   ONYEKACHUKWU             "</f>
        <v xml:space="preserve">OSAKWE                   ONYEKACHUKWU             </v>
      </c>
      <c r="E20859" t="str">
        <f>"JACKSON                   "</f>
        <v xml:space="preserve">JACKSON                   </v>
      </c>
      <c r="F20859" t="str">
        <f t="shared" si="489"/>
        <v>MS</v>
      </c>
    </row>
    <row r="20860" spans="1:6" x14ac:dyDescent="0.25">
      <c r="A20860" t="str">
        <f>"200027889"</f>
        <v>200027889</v>
      </c>
      <c r="B20860" t="str">
        <f>"1023243292"</f>
        <v>1023243292</v>
      </c>
      <c r="C20860" t="str">
        <f>"207Q00000X"</f>
        <v>207Q00000X</v>
      </c>
      <c r="D20860" t="str">
        <f>"HSIUNG                   LESLIE                   "</f>
        <v xml:space="preserve">HSIUNG                   LESLIE                   </v>
      </c>
      <c r="E20860" t="str">
        <f>"MADISON                   "</f>
        <v xml:space="preserve">MADISON                   </v>
      </c>
      <c r="F20860" t="str">
        <f t="shared" si="489"/>
        <v>MS</v>
      </c>
    </row>
    <row r="20861" spans="1:6" x14ac:dyDescent="0.25">
      <c r="A20861" t="str">
        <f>"200027890"</f>
        <v>200027890</v>
      </c>
      <c r="B20861" t="str">
        <f>"1659123784"</f>
        <v>1659123784</v>
      </c>
      <c r="C20861" t="str">
        <f>"363A00000X"</f>
        <v>363A00000X</v>
      </c>
      <c r="D20861" t="str">
        <f>"BOURLAND                 MAKENNA                  "</f>
        <v xml:space="preserve">BOURLAND                 MAKENNA                  </v>
      </c>
      <c r="E20861" t="str">
        <f>"TUPELO                    "</f>
        <v xml:space="preserve">TUPELO                    </v>
      </c>
      <c r="F20861" t="str">
        <f t="shared" si="489"/>
        <v>MS</v>
      </c>
    </row>
    <row r="20862" spans="1:6" x14ac:dyDescent="0.25">
      <c r="A20862" t="str">
        <f>"200027894"</f>
        <v>200027894</v>
      </c>
      <c r="B20862" t="str">
        <f>"1275477341"</f>
        <v>1275477341</v>
      </c>
      <c r="C20862" t="str">
        <f>"363LX0001X"</f>
        <v>363LX0001X</v>
      </c>
      <c r="D20862" t="str">
        <f>"BROOKS                   TAMERA                   "</f>
        <v xml:space="preserve">BROOKS                   TAMERA                   </v>
      </c>
      <c r="E20862" t="str">
        <f>"STARKVILLE                "</f>
        <v xml:space="preserve">STARKVILLE                </v>
      </c>
      <c r="F20862" t="str">
        <f t="shared" ref="F20862:F20925" si="490">"MS"</f>
        <v>MS</v>
      </c>
    </row>
    <row r="20863" spans="1:6" x14ac:dyDescent="0.25">
      <c r="A20863" t="str">
        <f>"200027898"</f>
        <v>200027898</v>
      </c>
      <c r="B20863" t="str">
        <f>"1457576878"</f>
        <v>1457576878</v>
      </c>
      <c r="C20863" t="str">
        <f>"208000000X"</f>
        <v>208000000X</v>
      </c>
      <c r="D20863" t="str">
        <f>"ROHMAN                   KRISTIE                  "</f>
        <v xml:space="preserve">ROHMAN                   KRISTIE                  </v>
      </c>
      <c r="E20863" t="str">
        <f>"MADISON                   "</f>
        <v xml:space="preserve">MADISON                   </v>
      </c>
      <c r="F20863" t="str">
        <f t="shared" si="490"/>
        <v>MS</v>
      </c>
    </row>
    <row r="20864" spans="1:6" x14ac:dyDescent="0.25">
      <c r="A20864" t="str">
        <f>"200027902"</f>
        <v>200027902</v>
      </c>
      <c r="B20864" t="str">
        <f>"1750182119"</f>
        <v>1750182119</v>
      </c>
      <c r="C20864" t="str">
        <f>"367500000X"</f>
        <v>367500000X</v>
      </c>
      <c r="D20864" t="str">
        <f>"DAVIS                    RAVEN                    "</f>
        <v xml:space="preserve">DAVIS                    RAVEN                    </v>
      </c>
      <c r="E20864" t="str">
        <f>"JACKSON                   "</f>
        <v xml:space="preserve">JACKSON                   </v>
      </c>
      <c r="F20864" t="str">
        <f t="shared" si="490"/>
        <v>MS</v>
      </c>
    </row>
    <row r="20865" spans="1:6" x14ac:dyDescent="0.25">
      <c r="A20865" t="str">
        <f>"200027904"</f>
        <v>200027904</v>
      </c>
      <c r="B20865" t="str">
        <f>"1225973803"</f>
        <v>1225973803</v>
      </c>
      <c r="C20865" t="str">
        <f>"363LP0808X"</f>
        <v>363LP0808X</v>
      </c>
      <c r="D20865" t="str">
        <f>"MIKELL                   KANISHA                  "</f>
        <v xml:space="preserve">MIKELL                   KANISHA                  </v>
      </c>
      <c r="E20865" t="str">
        <f>"BILOXI                    "</f>
        <v xml:space="preserve">BILOXI                    </v>
      </c>
      <c r="F20865" t="str">
        <f t="shared" si="490"/>
        <v>MS</v>
      </c>
    </row>
    <row r="20866" spans="1:6" x14ac:dyDescent="0.25">
      <c r="A20866" t="str">
        <f>"200027906"</f>
        <v>200027906</v>
      </c>
      <c r="B20866" t="str">
        <f>"1598349938"</f>
        <v>1598349938</v>
      </c>
      <c r="C20866" t="str">
        <f>"367A00000X"</f>
        <v>367A00000X</v>
      </c>
      <c r="D20866" t="str">
        <f>"EWELL                    TARA                     "</f>
        <v xml:space="preserve">EWELL                    TARA                     </v>
      </c>
      <c r="E20866" t="str">
        <f>"RIDGELAND                 "</f>
        <v xml:space="preserve">RIDGELAND                 </v>
      </c>
      <c r="F20866" t="str">
        <f t="shared" si="490"/>
        <v>MS</v>
      </c>
    </row>
    <row r="20867" spans="1:6" x14ac:dyDescent="0.25">
      <c r="A20867" t="str">
        <f>"200027907"</f>
        <v>200027907</v>
      </c>
      <c r="B20867" t="str">
        <f>"1285269639"</f>
        <v>1285269639</v>
      </c>
      <c r="C20867" t="str">
        <f>"367A00000X"</f>
        <v>367A00000X</v>
      </c>
      <c r="D20867" t="str">
        <f>"MCNEIL                   JESSICA                  "</f>
        <v xml:space="preserve">MCNEIL                   JESSICA                  </v>
      </c>
      <c r="E20867" t="str">
        <f>"RIDGELAND                 "</f>
        <v xml:space="preserve">RIDGELAND                 </v>
      </c>
      <c r="F20867" t="str">
        <f t="shared" si="490"/>
        <v>MS</v>
      </c>
    </row>
    <row r="20868" spans="1:6" x14ac:dyDescent="0.25">
      <c r="A20868" t="str">
        <f>"200027909"</f>
        <v>200027909</v>
      </c>
      <c r="B20868" t="str">
        <f>"1770305542"</f>
        <v>1770305542</v>
      </c>
      <c r="C20868" t="str">
        <f>"363L00000X"</f>
        <v>363L00000X</v>
      </c>
      <c r="D20868" t="str">
        <f>"NICHOLS-COLLINS          SHAMEKA      L           "</f>
        <v xml:space="preserve">NICHOLS-COLLINS          SHAMEKA      L           </v>
      </c>
      <c r="E20868" t="str">
        <f>"FLOWOOD                   "</f>
        <v xml:space="preserve">FLOWOOD                   </v>
      </c>
      <c r="F20868" t="str">
        <f t="shared" si="490"/>
        <v>MS</v>
      </c>
    </row>
    <row r="20869" spans="1:6" x14ac:dyDescent="0.25">
      <c r="A20869" t="str">
        <f>"200027912"</f>
        <v>200027912</v>
      </c>
      <c r="B20869" t="str">
        <f>"1215279237"</f>
        <v>1215279237</v>
      </c>
      <c r="C20869" t="str">
        <f>"207Q00000X"</f>
        <v>207Q00000X</v>
      </c>
      <c r="D20869" t="str">
        <f>"FREEMAN                  BRIAN                    "</f>
        <v xml:space="preserve">FREEMAN                  BRIAN                    </v>
      </c>
      <c r="E20869" t="str">
        <f>"RIDGELAND                 "</f>
        <v xml:space="preserve">RIDGELAND                 </v>
      </c>
      <c r="F20869" t="str">
        <f t="shared" si="490"/>
        <v>MS</v>
      </c>
    </row>
    <row r="20870" spans="1:6" x14ac:dyDescent="0.25">
      <c r="A20870" t="str">
        <f>"200027914"</f>
        <v>200027914</v>
      </c>
      <c r="B20870" t="str">
        <f>"1689113250"</f>
        <v>1689113250</v>
      </c>
      <c r="C20870" t="str">
        <f>"363A00000X"</f>
        <v>363A00000X</v>
      </c>
      <c r="D20870" t="str">
        <f>"VAUGHN                   BRENNAN                  "</f>
        <v xml:space="preserve">VAUGHN                   BRENNAN                  </v>
      </c>
      <c r="E20870" t="str">
        <f>"RIDGELAND                 "</f>
        <v xml:space="preserve">RIDGELAND                 </v>
      </c>
      <c r="F20870" t="str">
        <f t="shared" si="490"/>
        <v>MS</v>
      </c>
    </row>
    <row r="20871" spans="1:6" x14ac:dyDescent="0.25">
      <c r="A20871" t="str">
        <f>"200027916"</f>
        <v>200027916</v>
      </c>
      <c r="B20871" t="str">
        <f>"1235421777"</f>
        <v>1235421777</v>
      </c>
      <c r="C20871" t="str">
        <f>"207VM0101X"</f>
        <v>207VM0101X</v>
      </c>
      <c r="D20871" t="str">
        <f>"BOYLE                    ANNELEE                  "</f>
        <v xml:space="preserve">BOYLE                    ANNELEE                  </v>
      </c>
      <c r="E20871" t="str">
        <f>"GULFPORT                  "</f>
        <v xml:space="preserve">GULFPORT                  </v>
      </c>
      <c r="F20871" t="str">
        <f t="shared" si="490"/>
        <v>MS</v>
      </c>
    </row>
    <row r="20872" spans="1:6" x14ac:dyDescent="0.25">
      <c r="A20872" t="str">
        <f>"200027917"</f>
        <v>200027917</v>
      </c>
      <c r="B20872" t="str">
        <f>"1982316311"</f>
        <v>1982316311</v>
      </c>
      <c r="C20872" t="str">
        <f>"363L00000X"</f>
        <v>363L00000X</v>
      </c>
      <c r="D20872" t="str">
        <f>"COX                      CHELSI       L           "</f>
        <v xml:space="preserve">COX                      CHELSI       L           </v>
      </c>
      <c r="E20872" t="str">
        <f>"FLOWOOD                   "</f>
        <v xml:space="preserve">FLOWOOD                   </v>
      </c>
      <c r="F20872" t="str">
        <f t="shared" si="490"/>
        <v>MS</v>
      </c>
    </row>
    <row r="20873" spans="1:6" x14ac:dyDescent="0.25">
      <c r="A20873" t="str">
        <f>"200027919"</f>
        <v>200027919</v>
      </c>
      <c r="B20873" t="str">
        <f>"1508896770"</f>
        <v>1508896770</v>
      </c>
      <c r="C20873" t="str">
        <f>"367500000X"</f>
        <v>367500000X</v>
      </c>
      <c r="D20873" t="str">
        <f>"ELLIS                    ROBIN                    "</f>
        <v xml:space="preserve">ELLIS                    ROBIN                    </v>
      </c>
      <c r="E20873" t="str">
        <f>"JACKSON                   "</f>
        <v xml:space="preserve">JACKSON                   </v>
      </c>
      <c r="F20873" t="str">
        <f t="shared" si="490"/>
        <v>MS</v>
      </c>
    </row>
    <row r="20874" spans="1:6" x14ac:dyDescent="0.25">
      <c r="A20874" t="str">
        <f>"200027920"</f>
        <v>200027920</v>
      </c>
      <c r="B20874" t="str">
        <f>"1578402020"</f>
        <v>1578402020</v>
      </c>
      <c r="C20874" t="str">
        <f>"363LF0000X"</f>
        <v>363LF0000X</v>
      </c>
      <c r="D20874" t="str">
        <f>"TERRY                    RAELYNNE                 "</f>
        <v xml:space="preserve">TERRY                    RAELYNNE                 </v>
      </c>
      <c r="E20874" t="str">
        <f>"TUPELO                    "</f>
        <v xml:space="preserve">TUPELO                    </v>
      </c>
      <c r="F20874" t="str">
        <f t="shared" si="490"/>
        <v>MS</v>
      </c>
    </row>
    <row r="20875" spans="1:6" x14ac:dyDescent="0.25">
      <c r="A20875" t="str">
        <f>"200027942"</f>
        <v>200027942</v>
      </c>
      <c r="B20875" t="str">
        <f>"1588491377"</f>
        <v>1588491377</v>
      </c>
      <c r="C20875" t="str">
        <f>"261QR1300X"</f>
        <v>261QR1300X</v>
      </c>
      <c r="D20875" t="str">
        <f>"MAGNOLIA REGIONAL HEALTH CENTER DBA MAGNOLIA PED  "</f>
        <v xml:space="preserve">MAGNOLIA REGIONAL HEALTH CENTER DBA MAGNOLIA PED  </v>
      </c>
      <c r="E20875" t="str">
        <f>"CORINTH                   "</f>
        <v xml:space="preserve">CORINTH                   </v>
      </c>
      <c r="F20875" t="str">
        <f t="shared" si="490"/>
        <v>MS</v>
      </c>
    </row>
    <row r="20876" spans="1:6" x14ac:dyDescent="0.25">
      <c r="A20876" t="str">
        <f>"200027943"</f>
        <v>200027943</v>
      </c>
      <c r="B20876" t="str">
        <f>"1710708904"</f>
        <v>1710708904</v>
      </c>
      <c r="C20876" t="str">
        <f>"261QR1300X"</f>
        <v>261QR1300X</v>
      </c>
      <c r="D20876" t="str">
        <f>"MONTICELLO FAMILY PRACTICE RURAL HEALTH CLINIC    "</f>
        <v xml:space="preserve">MONTICELLO FAMILY PRACTICE RURAL HEALTH CLINIC    </v>
      </c>
      <c r="E20876" t="str">
        <f>"MONTICELLO                "</f>
        <v xml:space="preserve">MONTICELLO                </v>
      </c>
      <c r="F20876" t="str">
        <f t="shared" si="490"/>
        <v>MS</v>
      </c>
    </row>
    <row r="20877" spans="1:6" x14ac:dyDescent="0.25">
      <c r="A20877" t="str">
        <f>"200027944"</f>
        <v>200027944</v>
      </c>
      <c r="B20877" t="str">
        <f>"1194803312"</f>
        <v>1194803312</v>
      </c>
      <c r="C20877" t="str">
        <f>"207Q00000X"</f>
        <v>207Q00000X</v>
      </c>
      <c r="D20877" t="str">
        <f>"HAIDER                   TAUSEEF                  "</f>
        <v xml:space="preserve">HAIDER                   TAUSEEF                  </v>
      </c>
      <c r="E20877" t="str">
        <f>"SOUTHAVEN                 "</f>
        <v xml:space="preserve">SOUTHAVEN                 </v>
      </c>
      <c r="F20877" t="str">
        <f t="shared" si="490"/>
        <v>MS</v>
      </c>
    </row>
    <row r="20878" spans="1:6" x14ac:dyDescent="0.25">
      <c r="A20878" t="str">
        <f>"200027946"</f>
        <v>200027946</v>
      </c>
      <c r="B20878" t="str">
        <f>"1437945094"</f>
        <v>1437945094</v>
      </c>
      <c r="C20878" t="str">
        <f>"207Q00000X"</f>
        <v>207Q00000X</v>
      </c>
      <c r="D20878" t="str">
        <f>"TIU                      ALEXIS JALEA S           "</f>
        <v xml:space="preserve">TIU                      ALEXIS JALEA S           </v>
      </c>
      <c r="E20878" t="str">
        <f>"JACKSON                   "</f>
        <v xml:space="preserve">JACKSON                   </v>
      </c>
      <c r="F20878" t="str">
        <f t="shared" si="490"/>
        <v>MS</v>
      </c>
    </row>
    <row r="20879" spans="1:6" x14ac:dyDescent="0.25">
      <c r="A20879" t="str">
        <f>"200027948"</f>
        <v>200027948</v>
      </c>
      <c r="B20879" t="str">
        <f>"1376643486"</f>
        <v>1376643486</v>
      </c>
      <c r="C20879" t="str">
        <f>"207Q00000X"</f>
        <v>207Q00000X</v>
      </c>
      <c r="D20879" t="str">
        <f>"MORRIS                   KENNETH                  "</f>
        <v xml:space="preserve">MORRIS                   KENNETH                  </v>
      </c>
      <c r="E20879" t="str">
        <f>"PEARL                     "</f>
        <v xml:space="preserve">PEARL                     </v>
      </c>
      <c r="F20879" t="str">
        <f t="shared" si="490"/>
        <v>MS</v>
      </c>
    </row>
    <row r="20880" spans="1:6" x14ac:dyDescent="0.25">
      <c r="A20880" t="str">
        <f>"200027950"</f>
        <v>200027950</v>
      </c>
      <c r="B20880" t="str">
        <f>"1326556424"</f>
        <v>1326556424</v>
      </c>
      <c r="C20880" t="str">
        <f>"367500000X"</f>
        <v>367500000X</v>
      </c>
      <c r="D20880" t="str">
        <f>"STEVENS                  WILL                     "</f>
        <v xml:space="preserve">STEVENS                  WILL                     </v>
      </c>
      <c r="E20880" t="str">
        <f>"JACKSON                   "</f>
        <v xml:space="preserve">JACKSON                   </v>
      </c>
      <c r="F20880" t="str">
        <f t="shared" si="490"/>
        <v>MS</v>
      </c>
    </row>
    <row r="20881" spans="1:6" x14ac:dyDescent="0.25">
      <c r="A20881" t="str">
        <f>"200027957"</f>
        <v>200027957</v>
      </c>
      <c r="B20881" t="str">
        <f>"1003253857"</f>
        <v>1003253857</v>
      </c>
      <c r="C20881" t="str">
        <f>"2084N0400X"</f>
        <v>2084N0400X</v>
      </c>
      <c r="D20881" t="str">
        <f>"WILT                     ERICA                    "</f>
        <v xml:space="preserve">WILT                     ERICA                    </v>
      </c>
      <c r="E20881" t="str">
        <f>"TUPELO                    "</f>
        <v xml:space="preserve">TUPELO                    </v>
      </c>
      <c r="F20881" t="str">
        <f t="shared" si="490"/>
        <v>MS</v>
      </c>
    </row>
    <row r="20882" spans="1:6" x14ac:dyDescent="0.25">
      <c r="A20882" t="str">
        <f>"200027958"</f>
        <v>200027958</v>
      </c>
      <c r="B20882" t="str">
        <f>"1114546637"</f>
        <v>1114546637</v>
      </c>
      <c r="C20882" t="str">
        <f>"2085R0202X"</f>
        <v>2085R0202X</v>
      </c>
      <c r="D20882" t="str">
        <f>"HANTHORN                 JOSEPH                   "</f>
        <v xml:space="preserve">HANTHORN                 JOSEPH                   </v>
      </c>
      <c r="E20882" t="str">
        <f>"SOUTHAVEN                 "</f>
        <v xml:space="preserve">SOUTHAVEN                 </v>
      </c>
      <c r="F20882" t="str">
        <f t="shared" si="490"/>
        <v>MS</v>
      </c>
    </row>
    <row r="20883" spans="1:6" x14ac:dyDescent="0.25">
      <c r="A20883" t="str">
        <f>"200027960"</f>
        <v>200027960</v>
      </c>
      <c r="B20883" t="str">
        <f>"1740539212"</f>
        <v>1740539212</v>
      </c>
      <c r="C20883" t="str">
        <f>"2084N0400X"</f>
        <v>2084N0400X</v>
      </c>
      <c r="D20883" t="str">
        <f>"AUNG                     THANDAR                  "</f>
        <v xml:space="preserve">AUNG                     THANDAR                  </v>
      </c>
      <c r="E20883" t="str">
        <f>"HATTIESBURG               "</f>
        <v xml:space="preserve">HATTIESBURG               </v>
      </c>
      <c r="F20883" t="str">
        <f t="shared" si="490"/>
        <v>MS</v>
      </c>
    </row>
    <row r="20884" spans="1:6" x14ac:dyDescent="0.25">
      <c r="A20884" t="str">
        <f>"200027961"</f>
        <v>200027961</v>
      </c>
      <c r="B20884" t="str">
        <f>"1205097409"</f>
        <v>1205097409</v>
      </c>
      <c r="C20884" t="str">
        <f>"367500000X"</f>
        <v>367500000X</v>
      </c>
      <c r="D20884" t="str">
        <f>"PHELPS                   EDWARD       L           "</f>
        <v xml:space="preserve">PHELPS                   EDWARD       L           </v>
      </c>
      <c r="E20884" t="str">
        <f>"MERIDIAN                  "</f>
        <v xml:space="preserve">MERIDIAN                  </v>
      </c>
      <c r="F20884" t="str">
        <f t="shared" si="490"/>
        <v>MS</v>
      </c>
    </row>
    <row r="20885" spans="1:6" x14ac:dyDescent="0.25">
      <c r="A20885" t="str">
        <f>"200027963"</f>
        <v>200027963</v>
      </c>
      <c r="B20885" t="str">
        <f>"1053562678"</f>
        <v>1053562678</v>
      </c>
      <c r="C20885" t="str">
        <f>"207RH0003X"</f>
        <v>207RH0003X</v>
      </c>
      <c r="D20885" t="str">
        <f>"KHAJA                    FASEEH                   "</f>
        <v xml:space="preserve">KHAJA                    FASEEH                   </v>
      </c>
      <c r="E20885" t="str">
        <f>"STARKVILLE                "</f>
        <v xml:space="preserve">STARKVILLE                </v>
      </c>
      <c r="F20885" t="str">
        <f t="shared" si="490"/>
        <v>MS</v>
      </c>
    </row>
    <row r="20886" spans="1:6" x14ac:dyDescent="0.25">
      <c r="A20886" t="str">
        <f>"200027969"</f>
        <v>200027969</v>
      </c>
      <c r="B20886" t="str">
        <f>"1700779105"</f>
        <v>1700779105</v>
      </c>
      <c r="C20886" t="str">
        <f>"363L00000X"</f>
        <v>363L00000X</v>
      </c>
      <c r="D20886" t="str">
        <f>"GANDENBERGER             EMILY                    "</f>
        <v xml:space="preserve">GANDENBERGER             EMILY                    </v>
      </c>
      <c r="E20886" t="str">
        <f>"BROOKHAVEN                "</f>
        <v xml:space="preserve">BROOKHAVEN                </v>
      </c>
      <c r="F20886" t="str">
        <f t="shared" si="490"/>
        <v>MS</v>
      </c>
    </row>
    <row r="20887" spans="1:6" x14ac:dyDescent="0.25">
      <c r="A20887" t="str">
        <f>"200027977"</f>
        <v>200027977</v>
      </c>
      <c r="B20887" t="str">
        <f>"1346714391"</f>
        <v>1346714391</v>
      </c>
      <c r="C20887" t="str">
        <f>"363LF0000X"</f>
        <v>363LF0000X</v>
      </c>
      <c r="D20887" t="str">
        <f>"DAVIS                    JENNA                    "</f>
        <v xml:space="preserve">DAVIS                    JENNA                    </v>
      </c>
      <c r="E20887" t="str">
        <f>"JACKSON                   "</f>
        <v xml:space="preserve">JACKSON                   </v>
      </c>
      <c r="F20887" t="str">
        <f t="shared" si="490"/>
        <v>MS</v>
      </c>
    </row>
    <row r="20888" spans="1:6" x14ac:dyDescent="0.25">
      <c r="A20888" t="str">
        <f>"200027979"</f>
        <v>200027979</v>
      </c>
      <c r="B20888" t="str">
        <f>"1609049857"</f>
        <v>1609049857</v>
      </c>
      <c r="C20888" t="str">
        <f>"367500000X"</f>
        <v>367500000X</v>
      </c>
      <c r="D20888" t="str">
        <f>"MOLLERE                  JAMES                    "</f>
        <v xml:space="preserve">MOLLERE                  JAMES                    </v>
      </c>
      <c r="E20888" t="str">
        <f>"JACKSON                   "</f>
        <v xml:space="preserve">JACKSON                   </v>
      </c>
      <c r="F20888" t="str">
        <f t="shared" si="490"/>
        <v>MS</v>
      </c>
    </row>
    <row r="20889" spans="1:6" x14ac:dyDescent="0.25">
      <c r="A20889" t="str">
        <f>"200027982"</f>
        <v>200027982</v>
      </c>
      <c r="B20889" t="str">
        <f>"1982496212"</f>
        <v>1982496212</v>
      </c>
      <c r="C20889" t="str">
        <f>"207Q00000X"</f>
        <v>207Q00000X</v>
      </c>
      <c r="D20889" t="str">
        <f>"VAN HEERDE               WILLIE       S           "</f>
        <v xml:space="preserve">VAN HEERDE               WILLIE       S           </v>
      </c>
      <c r="E20889" t="str">
        <f>"JACKSON                   "</f>
        <v xml:space="preserve">JACKSON                   </v>
      </c>
      <c r="F20889" t="str">
        <f t="shared" si="490"/>
        <v>MS</v>
      </c>
    </row>
    <row r="20890" spans="1:6" x14ac:dyDescent="0.25">
      <c r="A20890" t="str">
        <f>"200027983"</f>
        <v>200027983</v>
      </c>
      <c r="B20890" t="str">
        <f>"1346794260"</f>
        <v>1346794260</v>
      </c>
      <c r="C20890" t="str">
        <f>"363LF0000X"</f>
        <v>363LF0000X</v>
      </c>
      <c r="D20890" t="str">
        <f>"HALL                     LISA                     "</f>
        <v xml:space="preserve">HALL                     LISA                     </v>
      </c>
      <c r="E20890" t="str">
        <f>"CORINTH                   "</f>
        <v xml:space="preserve">CORINTH                   </v>
      </c>
      <c r="F20890" t="str">
        <f t="shared" si="490"/>
        <v>MS</v>
      </c>
    </row>
    <row r="20891" spans="1:6" x14ac:dyDescent="0.25">
      <c r="A20891" t="str">
        <f>"200027989"</f>
        <v>200027989</v>
      </c>
      <c r="B20891" t="str">
        <f>"1407714124"</f>
        <v>1407714124</v>
      </c>
      <c r="C20891" t="str">
        <f>"363LF0000X"</f>
        <v>363LF0000X</v>
      </c>
      <c r="D20891" t="str">
        <f>"PAYTON                   JASMINE      B           "</f>
        <v xml:space="preserve">PAYTON                   JASMINE      B           </v>
      </c>
      <c r="E20891" t="str">
        <f>"HATTIESBURG               "</f>
        <v xml:space="preserve">HATTIESBURG               </v>
      </c>
      <c r="F20891" t="str">
        <f t="shared" si="490"/>
        <v>MS</v>
      </c>
    </row>
    <row r="20892" spans="1:6" x14ac:dyDescent="0.25">
      <c r="A20892" t="str">
        <f>"200027990"</f>
        <v>200027990</v>
      </c>
      <c r="B20892" t="str">
        <f>"1356359632"</f>
        <v>1356359632</v>
      </c>
      <c r="C20892" t="str">
        <f>"261QA1903X"</f>
        <v>261QA1903X</v>
      </c>
      <c r="D20892" t="str">
        <f>"ENDOSCOPY CENTER OF NORTH MISSISSIPPI, LLC        "</f>
        <v xml:space="preserve">ENDOSCOPY CENTER OF NORTH MISSISSIPPI, LLC        </v>
      </c>
      <c r="E20892" t="str">
        <f>"OXFORD                    "</f>
        <v xml:space="preserve">OXFORD                    </v>
      </c>
      <c r="F20892" t="str">
        <f t="shared" si="490"/>
        <v>MS</v>
      </c>
    </row>
    <row r="20893" spans="1:6" x14ac:dyDescent="0.25">
      <c r="A20893" t="str">
        <f>"200027993"</f>
        <v>200027993</v>
      </c>
      <c r="B20893" t="str">
        <f>"1447679501"</f>
        <v>1447679501</v>
      </c>
      <c r="C20893" t="str">
        <f>"2085R0202X"</f>
        <v>2085R0202X</v>
      </c>
      <c r="D20893" t="str">
        <f>"HOSS                     MICHAEL                  "</f>
        <v xml:space="preserve">HOSS                     MICHAEL                  </v>
      </c>
      <c r="E20893" t="str">
        <f>"OXFORD                    "</f>
        <v xml:space="preserve">OXFORD                    </v>
      </c>
      <c r="F20893" t="str">
        <f t="shared" si="490"/>
        <v>MS</v>
      </c>
    </row>
    <row r="20894" spans="1:6" x14ac:dyDescent="0.25">
      <c r="A20894" t="str">
        <f>"200028004"</f>
        <v>200028004</v>
      </c>
      <c r="B20894" t="str">
        <f>"1851465520"</f>
        <v>1851465520</v>
      </c>
      <c r="C20894" t="str">
        <f>"207Q00000X"</f>
        <v>207Q00000X</v>
      </c>
      <c r="D20894" t="str">
        <f>"LIVINGSTON               ROBERT                   "</f>
        <v xml:space="preserve">LIVINGSTON               ROBERT                   </v>
      </c>
      <c r="E20894" t="str">
        <f>"JACKSON                   "</f>
        <v xml:space="preserve">JACKSON                   </v>
      </c>
      <c r="F20894" t="str">
        <f t="shared" si="490"/>
        <v>MS</v>
      </c>
    </row>
    <row r="20895" spans="1:6" x14ac:dyDescent="0.25">
      <c r="A20895" t="str">
        <f>"200028018"</f>
        <v>200028018</v>
      </c>
      <c r="B20895" t="str">
        <f>"1225087588"</f>
        <v>1225087588</v>
      </c>
      <c r="C20895" t="str">
        <f>"207Q00000X"</f>
        <v>207Q00000X</v>
      </c>
      <c r="D20895" t="str">
        <f>"JOHNSON                  WAYNE                    "</f>
        <v xml:space="preserve">JOHNSON                  WAYNE                    </v>
      </c>
      <c r="E20895" t="str">
        <f>"JACKSON                   "</f>
        <v xml:space="preserve">JACKSON                   </v>
      </c>
      <c r="F20895" t="str">
        <f t="shared" si="490"/>
        <v>MS</v>
      </c>
    </row>
    <row r="20896" spans="1:6" x14ac:dyDescent="0.25">
      <c r="A20896" t="str">
        <f>"200028021"</f>
        <v>200028021</v>
      </c>
      <c r="B20896" t="str">
        <f>"1528430410"</f>
        <v>1528430410</v>
      </c>
      <c r="C20896" t="str">
        <f>"367A00000X"</f>
        <v>367A00000X</v>
      </c>
      <c r="D20896" t="str">
        <f>"ALVARADO                 JACQUELYN                "</f>
        <v xml:space="preserve">ALVARADO                 JACQUELYN                </v>
      </c>
      <c r="E20896" t="str">
        <f>"RIDGELAND                 "</f>
        <v xml:space="preserve">RIDGELAND                 </v>
      </c>
      <c r="F20896" t="str">
        <f t="shared" si="490"/>
        <v>MS</v>
      </c>
    </row>
    <row r="20897" spans="1:6" x14ac:dyDescent="0.25">
      <c r="A20897" t="str">
        <f>"200028023"</f>
        <v>200028023</v>
      </c>
      <c r="B20897" t="str">
        <f>"1043858053"</f>
        <v>1043858053</v>
      </c>
      <c r="C20897" t="str">
        <f>"261QM1300X"</f>
        <v>261QM1300X</v>
      </c>
      <c r="D20897" t="str">
        <f>"PEDIATRIC HAVEN                                   "</f>
        <v xml:space="preserve">PEDIATRIC HAVEN                                   </v>
      </c>
      <c r="E20897" t="str">
        <f>"RIDGELAND                 "</f>
        <v xml:space="preserve">RIDGELAND                 </v>
      </c>
      <c r="F20897" t="str">
        <f t="shared" si="490"/>
        <v>MS</v>
      </c>
    </row>
    <row r="20898" spans="1:6" x14ac:dyDescent="0.25">
      <c r="A20898" t="str">
        <f>"200028025"</f>
        <v>200028025</v>
      </c>
      <c r="B20898" t="str">
        <f>"1316812217"</f>
        <v>1316812217</v>
      </c>
      <c r="C20898" t="str">
        <f>"363L00000X"</f>
        <v>363L00000X</v>
      </c>
      <c r="D20898" t="str">
        <f>"YOUNG                    MELISSA                  "</f>
        <v xml:space="preserve">YOUNG                    MELISSA                  </v>
      </c>
      <c r="E20898" t="str">
        <f>"SOUTHAVEN                 "</f>
        <v xml:space="preserve">SOUTHAVEN                 </v>
      </c>
      <c r="F20898" t="str">
        <f t="shared" si="490"/>
        <v>MS</v>
      </c>
    </row>
    <row r="20899" spans="1:6" x14ac:dyDescent="0.25">
      <c r="A20899" t="str">
        <f>"200028026"</f>
        <v>200028026</v>
      </c>
      <c r="B20899" t="str">
        <f>"1770006108"</f>
        <v>1770006108</v>
      </c>
      <c r="C20899" t="str">
        <f>"367A00000X"</f>
        <v>367A00000X</v>
      </c>
      <c r="D20899" t="str">
        <f>"MAZUCH                   KATELYN                  "</f>
        <v xml:space="preserve">MAZUCH                   KATELYN                  </v>
      </c>
      <c r="E20899" t="str">
        <f>"RIDGELAND                 "</f>
        <v xml:space="preserve">RIDGELAND                 </v>
      </c>
      <c r="F20899" t="str">
        <f t="shared" si="490"/>
        <v>MS</v>
      </c>
    </row>
    <row r="20900" spans="1:6" x14ac:dyDescent="0.25">
      <c r="A20900" t="str">
        <f>"200028030"</f>
        <v>200028030</v>
      </c>
      <c r="B20900" t="str">
        <f>"1568924900"</f>
        <v>1568924900</v>
      </c>
      <c r="C20900" t="str">
        <f>"207Q00000X"</f>
        <v>207Q00000X</v>
      </c>
      <c r="D20900" t="str">
        <f>"NABERS                   STEVEN                   "</f>
        <v xml:space="preserve">NABERS                   STEVEN                   </v>
      </c>
      <c r="E20900" t="str">
        <f>"AMORY                     "</f>
        <v xml:space="preserve">AMORY                     </v>
      </c>
      <c r="F20900" t="str">
        <f t="shared" si="490"/>
        <v>MS</v>
      </c>
    </row>
    <row r="20901" spans="1:6" x14ac:dyDescent="0.25">
      <c r="A20901" t="str">
        <f>"200028033"</f>
        <v>200028033</v>
      </c>
      <c r="B20901" t="str">
        <f>"1972657252"</f>
        <v>1972657252</v>
      </c>
      <c r="C20901" t="str">
        <f>"207T00000X"</f>
        <v>207T00000X</v>
      </c>
      <c r="D20901" t="str">
        <f>"WEAVER                   JASON        A           "</f>
        <v xml:space="preserve">WEAVER                   JASON        A           </v>
      </c>
      <c r="E20901" t="str">
        <f>"SOUTHAVEN                 "</f>
        <v xml:space="preserve">SOUTHAVEN                 </v>
      </c>
      <c r="F20901" t="str">
        <f t="shared" si="490"/>
        <v>MS</v>
      </c>
    </row>
    <row r="20902" spans="1:6" x14ac:dyDescent="0.25">
      <c r="A20902" t="str">
        <f>"200028041"</f>
        <v>200028041</v>
      </c>
      <c r="B20902" t="str">
        <f>"1336595974"</f>
        <v>1336595974</v>
      </c>
      <c r="C20902" t="str">
        <f>"2085R0202X"</f>
        <v>2085R0202X</v>
      </c>
      <c r="D20902" t="str">
        <f>"DEV ARWIKAR              KRISHNESHWAR             "</f>
        <v xml:space="preserve">DEV ARWIKAR              KRISHNESHWAR             </v>
      </c>
      <c r="E20902" t="str">
        <f>"OXFORD                    "</f>
        <v xml:space="preserve">OXFORD                    </v>
      </c>
      <c r="F20902" t="str">
        <f t="shared" si="490"/>
        <v>MS</v>
      </c>
    </row>
    <row r="20903" spans="1:6" x14ac:dyDescent="0.25">
      <c r="A20903" t="str">
        <f>"200028042"</f>
        <v>200028042</v>
      </c>
      <c r="B20903" t="str">
        <f>"1427685361"</f>
        <v>1427685361</v>
      </c>
      <c r="C20903" t="str">
        <f>"363LN0000X"</f>
        <v>363LN0000X</v>
      </c>
      <c r="D20903" t="str">
        <f>"BURRIS                   JENNIFER     C           "</f>
        <v xml:space="preserve">BURRIS                   JENNIFER     C           </v>
      </c>
      <c r="E20903" t="str">
        <f>"JACKSON                   "</f>
        <v xml:space="preserve">JACKSON                   </v>
      </c>
      <c r="F20903" t="str">
        <f t="shared" si="490"/>
        <v>MS</v>
      </c>
    </row>
    <row r="20904" spans="1:6" x14ac:dyDescent="0.25">
      <c r="A20904" t="str">
        <f>"200028048"</f>
        <v>200028048</v>
      </c>
      <c r="B20904" t="str">
        <f>"1215804588"</f>
        <v>1215804588</v>
      </c>
      <c r="C20904" t="str">
        <f>"122300000X"</f>
        <v>122300000X</v>
      </c>
      <c r="D20904" t="str">
        <f>"NORTHEAST MS PEDIATRIC DENTAL ASSOCIATES, LLC     "</f>
        <v xml:space="preserve">NORTHEAST MS PEDIATRIC DENTAL ASSOCIATES, LLC     </v>
      </c>
      <c r="E20904" t="str">
        <f>"CORINTH                   "</f>
        <v xml:space="preserve">CORINTH                   </v>
      </c>
      <c r="F20904" t="str">
        <f t="shared" si="490"/>
        <v>MS</v>
      </c>
    </row>
    <row r="20905" spans="1:6" x14ac:dyDescent="0.25">
      <c r="A20905" t="str">
        <f>"200028055"</f>
        <v>200028055</v>
      </c>
      <c r="B20905" t="str">
        <f>"1235109059"</f>
        <v>1235109059</v>
      </c>
      <c r="C20905" t="str">
        <f>"2084N0400X"</f>
        <v>2084N0400X</v>
      </c>
      <c r="D20905" t="str">
        <f>"ALEXIANU                 MARIA                    "</f>
        <v xml:space="preserve">ALEXIANU                 MARIA                    </v>
      </c>
      <c r="E20905" t="str">
        <f>"TUPELO                    "</f>
        <v xml:space="preserve">TUPELO                    </v>
      </c>
      <c r="F20905" t="str">
        <f t="shared" si="490"/>
        <v>MS</v>
      </c>
    </row>
    <row r="20906" spans="1:6" x14ac:dyDescent="0.25">
      <c r="A20906" t="str">
        <f>"200028063"</f>
        <v>200028063</v>
      </c>
      <c r="B20906" t="str">
        <f>"1982149209"</f>
        <v>1982149209</v>
      </c>
      <c r="C20906" t="str">
        <f>"363LF0000X"</f>
        <v>363LF0000X</v>
      </c>
      <c r="D20906" t="str">
        <f>"PATEL                    YESHA                    "</f>
        <v xml:space="preserve">PATEL                    YESHA                    </v>
      </c>
      <c r="E20906" t="str">
        <f>"FLOWOOD                   "</f>
        <v xml:space="preserve">FLOWOOD                   </v>
      </c>
      <c r="F20906" t="str">
        <f t="shared" si="490"/>
        <v>MS</v>
      </c>
    </row>
    <row r="20907" spans="1:6" x14ac:dyDescent="0.25">
      <c r="A20907" t="str">
        <f>"200028065"</f>
        <v>200028065</v>
      </c>
      <c r="B20907" t="str">
        <f>"1023538139"</f>
        <v>1023538139</v>
      </c>
      <c r="C20907" t="str">
        <f>"363L00000X"</f>
        <v>363L00000X</v>
      </c>
      <c r="D20907" t="str">
        <f>"BENKO                    DARRELL      E           "</f>
        <v xml:space="preserve">BENKO                    DARRELL      E           </v>
      </c>
      <c r="E20907" t="str">
        <f>"FLOWOOD                   "</f>
        <v xml:space="preserve">FLOWOOD                   </v>
      </c>
      <c r="F20907" t="str">
        <f t="shared" si="490"/>
        <v>MS</v>
      </c>
    </row>
    <row r="20908" spans="1:6" x14ac:dyDescent="0.25">
      <c r="A20908" t="str">
        <f>"200028067"</f>
        <v>200028067</v>
      </c>
      <c r="B20908" t="str">
        <f>"1124730569"</f>
        <v>1124730569</v>
      </c>
      <c r="C20908" t="str">
        <f>"363L00000X"</f>
        <v>363L00000X</v>
      </c>
      <c r="D20908" t="str">
        <f>"BLACKMAN                 BRITTANY     M           "</f>
        <v xml:space="preserve">BLACKMAN                 BRITTANY     M           </v>
      </c>
      <c r="E20908" t="str">
        <f>"FLOWOOD                   "</f>
        <v xml:space="preserve">FLOWOOD                   </v>
      </c>
      <c r="F20908" t="str">
        <f t="shared" si="490"/>
        <v>MS</v>
      </c>
    </row>
    <row r="20909" spans="1:6" x14ac:dyDescent="0.25">
      <c r="A20909" t="str">
        <f>"200028068"</f>
        <v>200028068</v>
      </c>
      <c r="B20909" t="str">
        <f>"1790274603"</f>
        <v>1790274603</v>
      </c>
      <c r="C20909" t="str">
        <f>"122300000X"</f>
        <v>122300000X</v>
      </c>
      <c r="D20909" t="str">
        <f>"GO ORTHODONTICS                                   "</f>
        <v xml:space="preserve">GO ORTHODONTICS                                   </v>
      </c>
      <c r="E20909" t="str">
        <f>"SOUTHAVEN                 "</f>
        <v xml:space="preserve">SOUTHAVEN                 </v>
      </c>
      <c r="F20909" t="str">
        <f t="shared" si="490"/>
        <v>MS</v>
      </c>
    </row>
    <row r="20910" spans="1:6" x14ac:dyDescent="0.25">
      <c r="A20910" t="str">
        <f>"200028073"</f>
        <v>200028073</v>
      </c>
      <c r="B20910" t="str">
        <f>"1194967349"</f>
        <v>1194967349</v>
      </c>
      <c r="C20910" t="str">
        <f>"207Q00000X"</f>
        <v>207Q00000X</v>
      </c>
      <c r="D20910" t="str">
        <f>"COLEMAN- DODD            SHELLI                   "</f>
        <v xml:space="preserve">COLEMAN- DODD            SHELLI                   </v>
      </c>
      <c r="E20910" t="str">
        <f>"NEW ALBANY                "</f>
        <v xml:space="preserve">NEW ALBANY                </v>
      </c>
      <c r="F20910" t="str">
        <f t="shared" si="490"/>
        <v>MS</v>
      </c>
    </row>
    <row r="20911" spans="1:6" x14ac:dyDescent="0.25">
      <c r="A20911" t="str">
        <f>"200028081"</f>
        <v>200028081</v>
      </c>
      <c r="B20911" t="str">
        <f>"1710664420"</f>
        <v>1710664420</v>
      </c>
      <c r="C20911" t="str">
        <f>"207R00000X"</f>
        <v>207R00000X</v>
      </c>
      <c r="D20911" t="str">
        <f>"ALZEGHOUL                ALI                      "</f>
        <v xml:space="preserve">ALZEGHOUL                ALI                      </v>
      </c>
      <c r="E20911" t="str">
        <f>"SOUTHAVEN                 "</f>
        <v xml:space="preserve">SOUTHAVEN                 </v>
      </c>
      <c r="F20911" t="str">
        <f t="shared" si="490"/>
        <v>MS</v>
      </c>
    </row>
    <row r="20912" spans="1:6" x14ac:dyDescent="0.25">
      <c r="A20912" t="str">
        <f>"200028083"</f>
        <v>200028083</v>
      </c>
      <c r="B20912" t="str">
        <f>"1508702762"</f>
        <v>1508702762</v>
      </c>
      <c r="C20912" t="str">
        <f>"363L00000X"</f>
        <v>363L00000X</v>
      </c>
      <c r="D20912" t="str">
        <f>"POTTER                   ANNACOLE                 "</f>
        <v xml:space="preserve">POTTER                   ANNACOLE                 </v>
      </c>
      <c r="E20912" t="str">
        <f>"YAZOO CITY                "</f>
        <v xml:space="preserve">YAZOO CITY                </v>
      </c>
      <c r="F20912" t="str">
        <f t="shared" si="490"/>
        <v>MS</v>
      </c>
    </row>
    <row r="20913" spans="1:6" x14ac:dyDescent="0.25">
      <c r="A20913" t="str">
        <f>"200028084"</f>
        <v>200028084</v>
      </c>
      <c r="B20913" t="str">
        <f>"1790274603"</f>
        <v>1790274603</v>
      </c>
      <c r="C20913" t="str">
        <f>"122300000X"</f>
        <v>122300000X</v>
      </c>
      <c r="D20913" t="str">
        <f>"GO ORTHODONTICS                                   "</f>
        <v xml:space="preserve">GO ORTHODONTICS                                   </v>
      </c>
      <c r="E20913" t="str">
        <f>"CORINTH                   "</f>
        <v xml:space="preserve">CORINTH                   </v>
      </c>
      <c r="F20913" t="str">
        <f t="shared" si="490"/>
        <v>MS</v>
      </c>
    </row>
    <row r="20914" spans="1:6" x14ac:dyDescent="0.25">
      <c r="A20914" t="str">
        <f>"200028085"</f>
        <v>200028085</v>
      </c>
      <c r="B20914" t="str">
        <f>"1255409173"</f>
        <v>1255409173</v>
      </c>
      <c r="C20914" t="str">
        <f>"363LF0000X"</f>
        <v>363LF0000X</v>
      </c>
      <c r="D20914" t="str">
        <f>"ROBINSON                 DELETHA                  "</f>
        <v xml:space="preserve">ROBINSON                 DELETHA                  </v>
      </c>
      <c r="E20914" t="str">
        <f>"FLOWOOD                   "</f>
        <v xml:space="preserve">FLOWOOD                   </v>
      </c>
      <c r="F20914" t="str">
        <f t="shared" si="490"/>
        <v>MS</v>
      </c>
    </row>
    <row r="20915" spans="1:6" x14ac:dyDescent="0.25">
      <c r="A20915" t="str">
        <f>"200028086"</f>
        <v>200028086</v>
      </c>
      <c r="B20915" t="str">
        <f>"1659494557"</f>
        <v>1659494557</v>
      </c>
      <c r="C20915" t="str">
        <f>"207P00000X"</f>
        <v>207P00000X</v>
      </c>
      <c r="D20915" t="str">
        <f>"LUECKER                  STEPHANI                 "</f>
        <v xml:space="preserve">LUECKER                  STEPHANI                 </v>
      </c>
      <c r="E20915" t="str">
        <f>"JACKSON                   "</f>
        <v xml:space="preserve">JACKSON                   </v>
      </c>
      <c r="F20915" t="str">
        <f t="shared" si="490"/>
        <v>MS</v>
      </c>
    </row>
    <row r="20916" spans="1:6" x14ac:dyDescent="0.25">
      <c r="A20916" t="str">
        <f>"200028089"</f>
        <v>200028089</v>
      </c>
      <c r="B20916" t="str">
        <f>"1225591019"</f>
        <v>1225591019</v>
      </c>
      <c r="C20916" t="str">
        <f>"207P00000X"</f>
        <v>207P00000X</v>
      </c>
      <c r="D20916" t="str">
        <f>"HUDGENS                  JEFFREY                  "</f>
        <v xml:space="preserve">HUDGENS                  JEFFREY                  </v>
      </c>
      <c r="E20916" t="str">
        <f>"CORINTH                   "</f>
        <v xml:space="preserve">CORINTH                   </v>
      </c>
      <c r="F20916" t="str">
        <f t="shared" si="490"/>
        <v>MS</v>
      </c>
    </row>
    <row r="20917" spans="1:6" x14ac:dyDescent="0.25">
      <c r="A20917" t="str">
        <f>"200028093"</f>
        <v>200028093</v>
      </c>
      <c r="B20917" t="str">
        <f>"1033196035"</f>
        <v>1033196035</v>
      </c>
      <c r="C20917" t="str">
        <f>"207L00000X"</f>
        <v>207L00000X</v>
      </c>
      <c r="D20917" t="str">
        <f>"JONES                    FREDERICK    D           "</f>
        <v xml:space="preserve">JONES                    FREDERICK    D           </v>
      </c>
      <c r="E20917" t="str">
        <f>"SOUTHAVEN                 "</f>
        <v xml:space="preserve">SOUTHAVEN                 </v>
      </c>
      <c r="F20917" t="str">
        <f t="shared" si="490"/>
        <v>MS</v>
      </c>
    </row>
    <row r="20918" spans="1:6" x14ac:dyDescent="0.25">
      <c r="A20918" t="str">
        <f>"200028096"</f>
        <v>200028096</v>
      </c>
      <c r="B20918" t="str">
        <f>"1588524755"</f>
        <v>1588524755</v>
      </c>
      <c r="C20918" t="str">
        <f>"122300000X"</f>
        <v>122300000X</v>
      </c>
      <c r="D20918" t="str">
        <f>"ORAL SURGERY AND WISDOM TEETH OF MISSISSIPPI      "</f>
        <v xml:space="preserve">ORAL SURGERY AND WISDOM TEETH OF MISSISSIPPI      </v>
      </c>
      <c r="E20918" t="str">
        <f>"MERIDIAN                  "</f>
        <v xml:space="preserve">MERIDIAN                  </v>
      </c>
      <c r="F20918" t="str">
        <f t="shared" si="490"/>
        <v>MS</v>
      </c>
    </row>
    <row r="20919" spans="1:6" x14ac:dyDescent="0.25">
      <c r="A20919" t="str">
        <f>"200028098"</f>
        <v>200028098</v>
      </c>
      <c r="B20919" t="str">
        <f>"1497020697"</f>
        <v>1497020697</v>
      </c>
      <c r="C20919" t="str">
        <f>"207V00000X"</f>
        <v>207V00000X</v>
      </c>
      <c r="D20919" t="str">
        <f>"STEVENSON                ADRIENNE                 "</f>
        <v xml:space="preserve">STEVENSON                ADRIENNE                 </v>
      </c>
      <c r="E20919" t="str">
        <f>"RIDGELAND                 "</f>
        <v xml:space="preserve">RIDGELAND                 </v>
      </c>
      <c r="F20919" t="str">
        <f t="shared" si="490"/>
        <v>MS</v>
      </c>
    </row>
    <row r="20920" spans="1:6" x14ac:dyDescent="0.25">
      <c r="A20920" t="str">
        <f>"200028099"</f>
        <v>200028099</v>
      </c>
      <c r="B20920" t="str">
        <f>"1790274603"</f>
        <v>1790274603</v>
      </c>
      <c r="C20920" t="str">
        <f>"122300000X"</f>
        <v>122300000X</v>
      </c>
      <c r="D20920" t="str">
        <f>"GO ORTHODONTICS                                   "</f>
        <v xml:space="preserve">GO ORTHODONTICS                                   </v>
      </c>
      <c r="E20920" t="str">
        <f>"SALTILLO                  "</f>
        <v xml:space="preserve">SALTILLO                  </v>
      </c>
      <c r="F20920" t="str">
        <f t="shared" si="490"/>
        <v>MS</v>
      </c>
    </row>
    <row r="20921" spans="1:6" x14ac:dyDescent="0.25">
      <c r="A20921" t="str">
        <f>"200028100"</f>
        <v>200028100</v>
      </c>
      <c r="B20921" t="str">
        <f>"1205441979"</f>
        <v>1205441979</v>
      </c>
      <c r="C20921" t="str">
        <f>"367500000X"</f>
        <v>367500000X</v>
      </c>
      <c r="D20921" t="str">
        <f>"BUNDT                    ANDREW                   "</f>
        <v xml:space="preserve">BUNDT                    ANDREW                   </v>
      </c>
      <c r="E20921" t="str">
        <f>"JACKSON                   "</f>
        <v xml:space="preserve">JACKSON                   </v>
      </c>
      <c r="F20921" t="str">
        <f t="shared" si="490"/>
        <v>MS</v>
      </c>
    </row>
    <row r="20922" spans="1:6" x14ac:dyDescent="0.25">
      <c r="A20922" t="str">
        <f>"200028103"</f>
        <v>200028103</v>
      </c>
      <c r="B20922" t="str">
        <f>"1235624966"</f>
        <v>1235624966</v>
      </c>
      <c r="C20922" t="str">
        <f>"122300000X"</f>
        <v>122300000X</v>
      </c>
      <c r="D20922" t="str">
        <f>"BLAKENEY                 CHAUNCEY                 "</f>
        <v xml:space="preserve">BLAKENEY                 CHAUNCEY                 </v>
      </c>
      <c r="E20922" t="str">
        <f>"PETAL                     "</f>
        <v xml:space="preserve">PETAL                     </v>
      </c>
      <c r="F20922" t="str">
        <f t="shared" si="490"/>
        <v>MS</v>
      </c>
    </row>
    <row r="20923" spans="1:6" x14ac:dyDescent="0.25">
      <c r="A20923" t="str">
        <f>"200028106"</f>
        <v>200028106</v>
      </c>
      <c r="B20923" t="str">
        <f>"1609508167"</f>
        <v>1609508167</v>
      </c>
      <c r="C20923" t="str">
        <f>"207Q00000X"</f>
        <v>207Q00000X</v>
      </c>
      <c r="D20923" t="str">
        <f>"HUTTON                   DANA                     "</f>
        <v xml:space="preserve">HUTTON                   DANA                     </v>
      </c>
      <c r="E20923" t="str">
        <f>"TUPELO                    "</f>
        <v xml:space="preserve">TUPELO                    </v>
      </c>
      <c r="F20923" t="str">
        <f t="shared" si="490"/>
        <v>MS</v>
      </c>
    </row>
    <row r="20924" spans="1:6" x14ac:dyDescent="0.25">
      <c r="A20924" t="str">
        <f>"200028109"</f>
        <v>200028109</v>
      </c>
      <c r="B20924" t="str">
        <f>"1548821333"</f>
        <v>1548821333</v>
      </c>
      <c r="C20924" t="str">
        <f>"363L00000X"</f>
        <v>363L00000X</v>
      </c>
      <c r="D20924" t="str">
        <f>"DOUGLAS                  SUMNER                   "</f>
        <v xml:space="preserve">DOUGLAS                  SUMNER                   </v>
      </c>
      <c r="E20924" t="str">
        <f>"JACKSON                   "</f>
        <v xml:space="preserve">JACKSON                   </v>
      </c>
      <c r="F20924" t="str">
        <f t="shared" si="490"/>
        <v>MS</v>
      </c>
    </row>
    <row r="20925" spans="1:6" x14ac:dyDescent="0.25">
      <c r="A20925" t="str">
        <f>"200028113"</f>
        <v>200028113</v>
      </c>
      <c r="B20925" t="str">
        <f>"1972186849"</f>
        <v>1972186849</v>
      </c>
      <c r="C20925" t="str">
        <f>"207P00000X"</f>
        <v>207P00000X</v>
      </c>
      <c r="D20925" t="str">
        <f>"UPTON                    ARIEL                    "</f>
        <v xml:space="preserve">UPTON                    ARIEL                    </v>
      </c>
      <c r="E20925" t="str">
        <f>"SOUTHAVEN                 "</f>
        <v xml:space="preserve">SOUTHAVEN                 </v>
      </c>
      <c r="F20925" t="str">
        <f t="shared" si="490"/>
        <v>MS</v>
      </c>
    </row>
    <row r="20926" spans="1:6" x14ac:dyDescent="0.25">
      <c r="A20926" t="str">
        <f>"200028117"</f>
        <v>200028117</v>
      </c>
      <c r="B20926" t="str">
        <f>"1770221640"</f>
        <v>1770221640</v>
      </c>
      <c r="C20926" t="str">
        <f>"363LF0000X"</f>
        <v>363LF0000X</v>
      </c>
      <c r="D20926" t="str">
        <f>"CAMPBELL                 KIMBERLY                 "</f>
        <v xml:space="preserve">CAMPBELL                 KIMBERLY                 </v>
      </c>
      <c r="E20926" t="str">
        <f>"FLOWOOD                   "</f>
        <v xml:space="preserve">FLOWOOD                   </v>
      </c>
      <c r="F20926" t="str">
        <f t="shared" ref="F20926:F20989" si="491">"MS"</f>
        <v>MS</v>
      </c>
    </row>
    <row r="20927" spans="1:6" x14ac:dyDescent="0.25">
      <c r="A20927" t="str">
        <f>"200028118"</f>
        <v>200028118</v>
      </c>
      <c r="B20927" t="str">
        <f>"1841619731"</f>
        <v>1841619731</v>
      </c>
      <c r="C20927" t="str">
        <f>"261QM1300X"</f>
        <v>261QM1300X</v>
      </c>
      <c r="D20927" t="str">
        <f>"PAIN TREATMENT CENTERS OF AMERICA PLLC            "</f>
        <v xml:space="preserve">PAIN TREATMENT CENTERS OF AMERICA PLLC            </v>
      </c>
      <c r="E20927" t="str">
        <f>"GREENWOOD                 "</f>
        <v xml:space="preserve">GREENWOOD                 </v>
      </c>
      <c r="F20927" t="str">
        <f t="shared" si="491"/>
        <v>MS</v>
      </c>
    </row>
    <row r="20928" spans="1:6" x14ac:dyDescent="0.25">
      <c r="A20928" t="str">
        <f>"200028119"</f>
        <v>200028119</v>
      </c>
      <c r="B20928" t="str">
        <f>"1538954938"</f>
        <v>1538954938</v>
      </c>
      <c r="C20928" t="str">
        <f>"261QM1300X"</f>
        <v>261QM1300X</v>
      </c>
      <c r="D20928" t="str">
        <f>"IVX HEALTH OF MISSISSIPPI PC                      "</f>
        <v xml:space="preserve">IVX HEALTH OF MISSISSIPPI PC                      </v>
      </c>
      <c r="E20928" t="str">
        <f>"OLIVE BRANCH              "</f>
        <v xml:space="preserve">OLIVE BRANCH              </v>
      </c>
      <c r="F20928" t="str">
        <f t="shared" si="491"/>
        <v>MS</v>
      </c>
    </row>
    <row r="20929" spans="1:6" x14ac:dyDescent="0.25">
      <c r="A20929" t="str">
        <f>"200028122"</f>
        <v>200028122</v>
      </c>
      <c r="B20929" t="str">
        <f>"1801026604"</f>
        <v>1801026604</v>
      </c>
      <c r="C20929" t="str">
        <f>"363LA2200X"</f>
        <v>363LA2200X</v>
      </c>
      <c r="D20929" t="str">
        <f>"WAITS                    ALICIA                   "</f>
        <v xml:space="preserve">WAITS                    ALICIA                   </v>
      </c>
      <c r="E20929" t="str">
        <f>"FLOWOOD                   "</f>
        <v xml:space="preserve">FLOWOOD                   </v>
      </c>
      <c r="F20929" t="str">
        <f t="shared" si="491"/>
        <v>MS</v>
      </c>
    </row>
    <row r="20930" spans="1:6" x14ac:dyDescent="0.25">
      <c r="A20930" t="str">
        <f>"200028123"</f>
        <v>200028123</v>
      </c>
      <c r="B20930" t="str">
        <f>"1255383147"</f>
        <v>1255383147</v>
      </c>
      <c r="C20930" t="str">
        <f>"207V00000X"</f>
        <v>207V00000X</v>
      </c>
      <c r="D20930" t="str">
        <f>"CHAMPLIN                 STEPHEN                  "</f>
        <v xml:space="preserve">CHAMPLIN                 STEPHEN                  </v>
      </c>
      <c r="E20930" t="str">
        <f>"GULFPORT                  "</f>
        <v xml:space="preserve">GULFPORT                  </v>
      </c>
      <c r="F20930" t="str">
        <f t="shared" si="491"/>
        <v>MS</v>
      </c>
    </row>
    <row r="20931" spans="1:6" x14ac:dyDescent="0.25">
      <c r="A20931" t="str">
        <f>"200028126"</f>
        <v>200028126</v>
      </c>
      <c r="B20931" t="str">
        <f>"1427568229"</f>
        <v>1427568229</v>
      </c>
      <c r="C20931" t="str">
        <f>"363A00000X"</f>
        <v>363A00000X</v>
      </c>
      <c r="D20931" t="str">
        <f>"HOLLINGSWORTH            BRIEN                    "</f>
        <v xml:space="preserve">HOLLINGSWORTH            BRIEN                    </v>
      </c>
      <c r="E20931" t="str">
        <f>"SOUTHAVEN                 "</f>
        <v xml:space="preserve">SOUTHAVEN                 </v>
      </c>
      <c r="F20931" t="str">
        <f t="shared" si="491"/>
        <v>MS</v>
      </c>
    </row>
    <row r="20932" spans="1:6" x14ac:dyDescent="0.25">
      <c r="A20932" t="str">
        <f>"200028127"</f>
        <v>200028127</v>
      </c>
      <c r="B20932" t="str">
        <f>"1144942129"</f>
        <v>1144942129</v>
      </c>
      <c r="C20932" t="str">
        <f>"363LF0000X"</f>
        <v>363LF0000X</v>
      </c>
      <c r="D20932" t="str">
        <f>"COLE                     MELODY                   "</f>
        <v xml:space="preserve">COLE                     MELODY                   </v>
      </c>
      <c r="E20932" t="str">
        <f>"BOONEVILLE                "</f>
        <v xml:space="preserve">BOONEVILLE                </v>
      </c>
      <c r="F20932" t="str">
        <f t="shared" si="491"/>
        <v>MS</v>
      </c>
    </row>
    <row r="20933" spans="1:6" x14ac:dyDescent="0.25">
      <c r="A20933" t="str">
        <f>"200028128"</f>
        <v>200028128</v>
      </c>
      <c r="B20933" t="str">
        <f>"1730628140"</f>
        <v>1730628140</v>
      </c>
      <c r="C20933" t="str">
        <f>"363A00000X"</f>
        <v>363A00000X</v>
      </c>
      <c r="D20933" t="str">
        <f>"RUFFIN                   CEDRIC                   "</f>
        <v xml:space="preserve">RUFFIN                   CEDRIC                   </v>
      </c>
      <c r="E20933" t="str">
        <f>"RIDGELAND                 "</f>
        <v xml:space="preserve">RIDGELAND                 </v>
      </c>
      <c r="F20933" t="str">
        <f t="shared" si="491"/>
        <v>MS</v>
      </c>
    </row>
    <row r="20934" spans="1:6" x14ac:dyDescent="0.25">
      <c r="A20934" t="str">
        <f>"200028129"</f>
        <v>200028129</v>
      </c>
      <c r="B20934" t="str">
        <f>"1710839543"</f>
        <v>1710839543</v>
      </c>
      <c r="C20934" t="str">
        <f>"363A00000X"</f>
        <v>363A00000X</v>
      </c>
      <c r="D20934" t="str">
        <f>"MCLAURIN                 ERIN                     "</f>
        <v xml:space="preserve">MCLAURIN                 ERIN                     </v>
      </c>
      <c r="E20934" t="str">
        <f>"JACKSON                   "</f>
        <v xml:space="preserve">JACKSON                   </v>
      </c>
      <c r="F20934" t="str">
        <f t="shared" si="491"/>
        <v>MS</v>
      </c>
    </row>
    <row r="20935" spans="1:6" x14ac:dyDescent="0.25">
      <c r="A20935" t="str">
        <f>"200028133"</f>
        <v>200028133</v>
      </c>
      <c r="B20935" t="str">
        <f>"1598077034"</f>
        <v>1598077034</v>
      </c>
      <c r="C20935" t="str">
        <f>"207RH0005X"</f>
        <v>207RH0005X</v>
      </c>
      <c r="D20935" t="str">
        <f>"STEWART                  JAWAUNA                  "</f>
        <v xml:space="preserve">STEWART                  JAWAUNA                  </v>
      </c>
      <c r="E20935" t="str">
        <f>"HATTIESBURG               "</f>
        <v xml:space="preserve">HATTIESBURG               </v>
      </c>
      <c r="F20935" t="str">
        <f t="shared" si="491"/>
        <v>MS</v>
      </c>
    </row>
    <row r="20936" spans="1:6" x14ac:dyDescent="0.25">
      <c r="A20936" t="str">
        <f>"200028137"</f>
        <v>200028137</v>
      </c>
      <c r="B20936" t="str">
        <f>"1033061221"</f>
        <v>1033061221</v>
      </c>
      <c r="C20936" t="str">
        <f>"363LA2100X"</f>
        <v>363LA2100X</v>
      </c>
      <c r="D20936" t="str">
        <f>"MILLER                   TONI-ANN                 "</f>
        <v xml:space="preserve">MILLER                   TONI-ANN                 </v>
      </c>
      <c r="E20936" t="str">
        <f>"GULFPORT                  "</f>
        <v xml:space="preserve">GULFPORT                  </v>
      </c>
      <c r="F20936" t="str">
        <f t="shared" si="491"/>
        <v>MS</v>
      </c>
    </row>
    <row r="20937" spans="1:6" x14ac:dyDescent="0.25">
      <c r="A20937" t="str">
        <f>"200028138"</f>
        <v>200028138</v>
      </c>
      <c r="B20937" t="str">
        <f>"1578858080"</f>
        <v>1578858080</v>
      </c>
      <c r="C20937" t="str">
        <f>"1223X0400X"</f>
        <v>1223X0400X</v>
      </c>
      <c r="D20937" t="str">
        <f>"PING CHEW                LI                       "</f>
        <v xml:space="preserve">PING CHEW                LI                       </v>
      </c>
      <c r="E20937" t="str">
        <f>"SOUTHAVEN                 "</f>
        <v xml:space="preserve">SOUTHAVEN                 </v>
      </c>
      <c r="F20937" t="str">
        <f t="shared" si="491"/>
        <v>MS</v>
      </c>
    </row>
    <row r="20938" spans="1:6" x14ac:dyDescent="0.25">
      <c r="A20938" t="str">
        <f>"200028143"</f>
        <v>200028143</v>
      </c>
      <c r="B20938" t="str">
        <f>"1851062335"</f>
        <v>1851062335</v>
      </c>
      <c r="C20938" t="str">
        <f>"363L00000X"</f>
        <v>363L00000X</v>
      </c>
      <c r="D20938" t="str">
        <f>"VU                       HANH         T           "</f>
        <v xml:space="preserve">VU                       HANH         T           </v>
      </c>
      <c r="E20938" t="str">
        <f>"FLOWOOD                   "</f>
        <v xml:space="preserve">FLOWOOD                   </v>
      </c>
      <c r="F20938" t="str">
        <f t="shared" si="491"/>
        <v>MS</v>
      </c>
    </row>
    <row r="20939" spans="1:6" x14ac:dyDescent="0.25">
      <c r="A20939" t="str">
        <f>"200028144"</f>
        <v>200028144</v>
      </c>
      <c r="B20939" t="str">
        <f>"1891663761"</f>
        <v>1891663761</v>
      </c>
      <c r="C20939" t="str">
        <f>"261QA1903X"</f>
        <v>261QA1903X</v>
      </c>
      <c r="D20939" t="str">
        <f>"TRISTATE PAIN SURGERY CENTER LLC                  "</f>
        <v xml:space="preserve">TRISTATE PAIN SURGERY CENTER LLC                  </v>
      </c>
      <c r="E20939" t="str">
        <f>"HORN LAKE                 "</f>
        <v xml:space="preserve">HORN LAKE                 </v>
      </c>
      <c r="F20939" t="str">
        <f t="shared" si="491"/>
        <v>MS</v>
      </c>
    </row>
    <row r="20940" spans="1:6" x14ac:dyDescent="0.25">
      <c r="A20940" t="str">
        <f>"200028147"</f>
        <v>200028147</v>
      </c>
      <c r="B20940" t="str">
        <f>"1295536910"</f>
        <v>1295536910</v>
      </c>
      <c r="C20940" t="str">
        <f>"363L00000X"</f>
        <v>363L00000X</v>
      </c>
      <c r="D20940" t="str">
        <f>"BRADFORD                 SHARON       A           "</f>
        <v xml:space="preserve">BRADFORD                 SHARON       A           </v>
      </c>
      <c r="E20940" t="str">
        <f>"FLOWOOD                   "</f>
        <v xml:space="preserve">FLOWOOD                   </v>
      </c>
      <c r="F20940" t="str">
        <f t="shared" si="491"/>
        <v>MS</v>
      </c>
    </row>
    <row r="20941" spans="1:6" x14ac:dyDescent="0.25">
      <c r="A20941" t="str">
        <f>"200028149"</f>
        <v>200028149</v>
      </c>
      <c r="B20941" t="str">
        <f>"1124999206"</f>
        <v>1124999206</v>
      </c>
      <c r="C20941" t="str">
        <f>"261QM1300X"</f>
        <v>261QM1300X</v>
      </c>
      <c r="D20941" t="str">
        <f>"HARMONY HEALTH SERVICES LLC                       "</f>
        <v xml:space="preserve">HARMONY HEALTH SERVICES LLC                       </v>
      </c>
      <c r="E20941" t="str">
        <f>"MERIDIAN                  "</f>
        <v xml:space="preserve">MERIDIAN                  </v>
      </c>
      <c r="F20941" t="str">
        <f t="shared" si="491"/>
        <v>MS</v>
      </c>
    </row>
    <row r="20942" spans="1:6" x14ac:dyDescent="0.25">
      <c r="A20942" t="str">
        <f>"200028150"</f>
        <v>200028150</v>
      </c>
      <c r="B20942" t="str">
        <f>"1609668540"</f>
        <v>1609668540</v>
      </c>
      <c r="C20942" t="str">
        <f>"363LP2300X"</f>
        <v>363LP2300X</v>
      </c>
      <c r="D20942" t="str">
        <f>"LAIRD                    LATOSHA                  "</f>
        <v xml:space="preserve">LAIRD                    LATOSHA                  </v>
      </c>
      <c r="E20942" t="str">
        <f>"BYRAM                     "</f>
        <v xml:space="preserve">BYRAM                     </v>
      </c>
      <c r="F20942" t="str">
        <f t="shared" si="491"/>
        <v>MS</v>
      </c>
    </row>
    <row r="20943" spans="1:6" x14ac:dyDescent="0.25">
      <c r="A20943" t="str">
        <f>"200028152"</f>
        <v>200028152</v>
      </c>
      <c r="B20943" t="str">
        <f>"1528621190"</f>
        <v>1528621190</v>
      </c>
      <c r="C20943" t="str">
        <f>"208600000X"</f>
        <v>208600000X</v>
      </c>
      <c r="D20943" t="str">
        <f>"KOKOREV                  LEO                      "</f>
        <v xml:space="preserve">KOKOREV                  LEO                      </v>
      </c>
      <c r="E20943" t="str">
        <f>"JACKSON                   "</f>
        <v xml:space="preserve">JACKSON                   </v>
      </c>
      <c r="F20943" t="str">
        <f t="shared" si="491"/>
        <v>MS</v>
      </c>
    </row>
    <row r="20944" spans="1:6" x14ac:dyDescent="0.25">
      <c r="A20944" t="str">
        <f>"200028155"</f>
        <v>200028155</v>
      </c>
      <c r="B20944" t="str">
        <f>"1255920245"</f>
        <v>1255920245</v>
      </c>
      <c r="C20944" t="str">
        <f>"363LP0808X"</f>
        <v>363LP0808X</v>
      </c>
      <c r="D20944" t="str">
        <f>"GREEN-MORRIS             GLORIA                   "</f>
        <v xml:space="preserve">GREEN-MORRIS             GLORIA                   </v>
      </c>
      <c r="E20944" t="str">
        <f>"VICKSBURG                 "</f>
        <v xml:space="preserve">VICKSBURG                 </v>
      </c>
      <c r="F20944" t="str">
        <f t="shared" si="491"/>
        <v>MS</v>
      </c>
    </row>
    <row r="20945" spans="1:6" x14ac:dyDescent="0.25">
      <c r="A20945" t="str">
        <f>"200028156"</f>
        <v>200028156</v>
      </c>
      <c r="B20945" t="str">
        <f>"1225589310"</f>
        <v>1225589310</v>
      </c>
      <c r="C20945" t="str">
        <f>"363LP0222X"</f>
        <v>363LP0222X</v>
      </c>
      <c r="D20945" t="str">
        <f>"FRENCH                   KRISTI                   "</f>
        <v xml:space="preserve">FRENCH                   KRISTI                   </v>
      </c>
      <c r="E20945" t="str">
        <f>"JACKSON                   "</f>
        <v xml:space="preserve">JACKSON                   </v>
      </c>
      <c r="F20945" t="str">
        <f t="shared" si="491"/>
        <v>MS</v>
      </c>
    </row>
    <row r="20946" spans="1:6" x14ac:dyDescent="0.25">
      <c r="A20946" t="str">
        <f>"200028158"</f>
        <v>200028158</v>
      </c>
      <c r="B20946" t="str">
        <f>"1437031028"</f>
        <v>1437031028</v>
      </c>
      <c r="C20946" t="str">
        <f>"363L00000X"</f>
        <v>363L00000X</v>
      </c>
      <c r="D20946" t="str">
        <f>"BOYTE                    ASHLEY                   "</f>
        <v xml:space="preserve">BOYTE                    ASHLEY                   </v>
      </c>
      <c r="E20946" t="str">
        <f>"JACKSON                   "</f>
        <v xml:space="preserve">JACKSON                   </v>
      </c>
      <c r="F20946" t="str">
        <f t="shared" si="491"/>
        <v>MS</v>
      </c>
    </row>
    <row r="20947" spans="1:6" x14ac:dyDescent="0.25">
      <c r="A20947" t="str">
        <f>"200028161"</f>
        <v>200028161</v>
      </c>
      <c r="B20947" t="str">
        <f>"1396488011"</f>
        <v>1396488011</v>
      </c>
      <c r="C20947" t="str">
        <f>"207P00000X"</f>
        <v>207P00000X</v>
      </c>
      <c r="D20947" t="str">
        <f>"HERVOL                   BRANDEN                  "</f>
        <v xml:space="preserve">HERVOL                   BRANDEN                  </v>
      </c>
      <c r="E20947" t="str">
        <f>"HATTIESBURG               "</f>
        <v xml:space="preserve">HATTIESBURG               </v>
      </c>
      <c r="F20947" t="str">
        <f t="shared" si="491"/>
        <v>MS</v>
      </c>
    </row>
    <row r="20948" spans="1:6" x14ac:dyDescent="0.25">
      <c r="A20948" t="str">
        <f>"200028162"</f>
        <v>200028162</v>
      </c>
      <c r="B20948" t="str">
        <f>"1154314839"</f>
        <v>1154314839</v>
      </c>
      <c r="C20948" t="str">
        <f>"207RI0200X"</f>
        <v>207RI0200X</v>
      </c>
      <c r="D20948" t="str">
        <f>"PAINTER                  BENEDICT                 "</f>
        <v xml:space="preserve">PAINTER                  BENEDICT                 </v>
      </c>
      <c r="E20948" t="str">
        <f>"HATTIESBURG               "</f>
        <v xml:space="preserve">HATTIESBURG               </v>
      </c>
      <c r="F20948" t="str">
        <f t="shared" si="491"/>
        <v>MS</v>
      </c>
    </row>
    <row r="20949" spans="1:6" x14ac:dyDescent="0.25">
      <c r="A20949" t="str">
        <f>"200028164"</f>
        <v>200028164</v>
      </c>
      <c r="B20949" t="str">
        <f>"1790315638"</f>
        <v>1790315638</v>
      </c>
      <c r="C20949" t="str">
        <f>"363L00000X"</f>
        <v>363L00000X</v>
      </c>
      <c r="D20949" t="str">
        <f>"LINDSAY                  KAYLA                    "</f>
        <v xml:space="preserve">LINDSAY                  KAYLA                    </v>
      </c>
      <c r="E20949" t="str">
        <f>"JACKSON                   "</f>
        <v xml:space="preserve">JACKSON                   </v>
      </c>
      <c r="F20949" t="str">
        <f t="shared" si="491"/>
        <v>MS</v>
      </c>
    </row>
    <row r="20950" spans="1:6" x14ac:dyDescent="0.25">
      <c r="A20950" t="str">
        <f>"200028165"</f>
        <v>200028165</v>
      </c>
      <c r="B20950" t="str">
        <f>"1831534957"</f>
        <v>1831534957</v>
      </c>
      <c r="C20950" t="str">
        <f>"207Q00000X"</f>
        <v>207Q00000X</v>
      </c>
      <c r="D20950" t="str">
        <f>"PATEL                    BHAVESH                  "</f>
        <v xml:space="preserve">PATEL                    BHAVESH                  </v>
      </c>
      <c r="E20950" t="str">
        <f>"MADISON                   "</f>
        <v xml:space="preserve">MADISON                   </v>
      </c>
      <c r="F20950" t="str">
        <f t="shared" si="491"/>
        <v>MS</v>
      </c>
    </row>
    <row r="20951" spans="1:6" x14ac:dyDescent="0.25">
      <c r="A20951" t="str">
        <f>"200028170"</f>
        <v>200028170</v>
      </c>
      <c r="B20951" t="str">
        <f>"1669539391"</f>
        <v>1669539391</v>
      </c>
      <c r="C20951" t="str">
        <f>"363L00000X"</f>
        <v>363L00000X</v>
      </c>
      <c r="D20951" t="str">
        <f>"BRYANT                   SUZANNE      M           "</f>
        <v xml:space="preserve">BRYANT                   SUZANNE      M           </v>
      </c>
      <c r="E20951" t="str">
        <f>"FLOWOOD                   "</f>
        <v xml:space="preserve">FLOWOOD                   </v>
      </c>
      <c r="F20951" t="str">
        <f t="shared" si="491"/>
        <v>MS</v>
      </c>
    </row>
    <row r="20952" spans="1:6" x14ac:dyDescent="0.25">
      <c r="A20952" t="str">
        <f>"200028171"</f>
        <v>200028171</v>
      </c>
      <c r="B20952" t="str">
        <f>"1497220214"</f>
        <v>1497220214</v>
      </c>
      <c r="C20952" t="str">
        <f>"363L00000X"</f>
        <v>363L00000X</v>
      </c>
      <c r="D20952" t="str">
        <f>"BOURGEOIS                MELANIE      C           "</f>
        <v xml:space="preserve">BOURGEOIS                MELANIE      C           </v>
      </c>
      <c r="E20952" t="str">
        <f>"FLOWOOD                   "</f>
        <v xml:space="preserve">FLOWOOD                   </v>
      </c>
      <c r="F20952" t="str">
        <f t="shared" si="491"/>
        <v>MS</v>
      </c>
    </row>
    <row r="20953" spans="1:6" x14ac:dyDescent="0.25">
      <c r="A20953" t="str">
        <f>"200028173"</f>
        <v>200028173</v>
      </c>
      <c r="B20953" t="str">
        <f>"1316142029"</f>
        <v>1316142029</v>
      </c>
      <c r="C20953" t="str">
        <f>"2085R0202X"</f>
        <v>2085R0202X</v>
      </c>
      <c r="D20953" t="str">
        <f>"BUTROS                   PAUL                     "</f>
        <v xml:space="preserve">BUTROS                   PAUL                     </v>
      </c>
      <c r="E20953" t="str">
        <f>"HATTIESBURG               "</f>
        <v xml:space="preserve">HATTIESBURG               </v>
      </c>
      <c r="F20953" t="str">
        <f t="shared" si="491"/>
        <v>MS</v>
      </c>
    </row>
    <row r="20954" spans="1:6" x14ac:dyDescent="0.25">
      <c r="A20954" t="str">
        <f>"200028174"</f>
        <v>200028174</v>
      </c>
      <c r="B20954" t="str">
        <f>"1922074194"</f>
        <v>1922074194</v>
      </c>
      <c r="C20954" t="str">
        <f>"207Q00000X"</f>
        <v>207Q00000X</v>
      </c>
      <c r="D20954" t="str">
        <f>"BERLEY                   NANCY                    "</f>
        <v xml:space="preserve">BERLEY                   NANCY                    </v>
      </c>
      <c r="E20954" t="str">
        <f>"MADISON                   "</f>
        <v xml:space="preserve">MADISON                   </v>
      </c>
      <c r="F20954" t="str">
        <f t="shared" si="491"/>
        <v>MS</v>
      </c>
    </row>
    <row r="20955" spans="1:6" x14ac:dyDescent="0.25">
      <c r="A20955" t="str">
        <f>"200028176"</f>
        <v>200028176</v>
      </c>
      <c r="B20955" t="str">
        <f>"1669250262"</f>
        <v>1669250262</v>
      </c>
      <c r="C20955" t="str">
        <f>"152W00000X"</f>
        <v>152W00000X</v>
      </c>
      <c r="D20955" t="str">
        <f>"PHAN                     JENNY                    "</f>
        <v xml:space="preserve">PHAN                     JENNY                    </v>
      </c>
      <c r="E20955" t="str">
        <f>"WIGGINS                   "</f>
        <v xml:space="preserve">WIGGINS                   </v>
      </c>
      <c r="F20955" t="str">
        <f t="shared" si="491"/>
        <v>MS</v>
      </c>
    </row>
    <row r="20956" spans="1:6" x14ac:dyDescent="0.25">
      <c r="A20956" t="str">
        <f>"200028177"</f>
        <v>200028177</v>
      </c>
      <c r="B20956" t="str">
        <f>"1912326604"</f>
        <v>1912326604</v>
      </c>
      <c r="C20956" t="str">
        <f>"207P00000X"</f>
        <v>207P00000X</v>
      </c>
      <c r="D20956" t="str">
        <f>"SHERER                   JOSEPH                   "</f>
        <v xml:space="preserve">SHERER                   JOSEPH                   </v>
      </c>
      <c r="E20956" t="str">
        <f>"MADISON                   "</f>
        <v xml:space="preserve">MADISON                   </v>
      </c>
      <c r="F20956" t="str">
        <f t="shared" si="491"/>
        <v>MS</v>
      </c>
    </row>
    <row r="20957" spans="1:6" x14ac:dyDescent="0.25">
      <c r="A20957" t="str">
        <f>"200028179"</f>
        <v>200028179</v>
      </c>
      <c r="B20957" t="str">
        <f>"1639176472"</f>
        <v>1639176472</v>
      </c>
      <c r="C20957" t="str">
        <f>"208G00000X"</f>
        <v>208G00000X</v>
      </c>
      <c r="D20957" t="str">
        <f>"KELLER                   VERN                     "</f>
        <v xml:space="preserve">KELLER                   VERN                     </v>
      </c>
      <c r="E20957" t="str">
        <f>"JACKSON                   "</f>
        <v xml:space="preserve">JACKSON                   </v>
      </c>
      <c r="F20957" t="str">
        <f t="shared" si="491"/>
        <v>MS</v>
      </c>
    </row>
    <row r="20958" spans="1:6" x14ac:dyDescent="0.25">
      <c r="A20958" t="str">
        <f>"200028183"</f>
        <v>200028183</v>
      </c>
      <c r="B20958" t="str">
        <f>"1417383399"</f>
        <v>1417383399</v>
      </c>
      <c r="C20958" t="str">
        <f>"363LN0000X"</f>
        <v>363LN0000X</v>
      </c>
      <c r="D20958" t="str">
        <f>"LIONBERGER               JILL                     "</f>
        <v xml:space="preserve">LIONBERGER               JILL                     </v>
      </c>
      <c r="E20958" t="str">
        <f>"JACKSON                   "</f>
        <v xml:space="preserve">JACKSON                   </v>
      </c>
      <c r="F20958" t="str">
        <f t="shared" si="491"/>
        <v>MS</v>
      </c>
    </row>
    <row r="20959" spans="1:6" x14ac:dyDescent="0.25">
      <c r="A20959" t="str">
        <f>"200028189"</f>
        <v>200028189</v>
      </c>
      <c r="B20959" t="str">
        <f>"1508647538"</f>
        <v>1508647538</v>
      </c>
      <c r="C20959" t="str">
        <f>"363L00000X"</f>
        <v>363L00000X</v>
      </c>
      <c r="D20959" t="str">
        <f>"COOKS                    RUBY         S           "</f>
        <v xml:space="preserve">COOKS                    RUBY         S           </v>
      </c>
      <c r="E20959" t="str">
        <f>"FLOWOOD                   "</f>
        <v xml:space="preserve">FLOWOOD                   </v>
      </c>
      <c r="F20959" t="str">
        <f t="shared" si="491"/>
        <v>MS</v>
      </c>
    </row>
    <row r="20960" spans="1:6" x14ac:dyDescent="0.25">
      <c r="A20960" t="str">
        <f>"200028199"</f>
        <v>200028199</v>
      </c>
      <c r="B20960" t="str">
        <f>"1497389902"</f>
        <v>1497389902</v>
      </c>
      <c r="C20960" t="str">
        <f>"363L00000X"</f>
        <v>363L00000X</v>
      </c>
      <c r="D20960" t="str">
        <f>"RICE                     LYDIA                    "</f>
        <v xml:space="preserve">RICE                     LYDIA                    </v>
      </c>
      <c r="E20960" t="str">
        <f>"JACKSON                   "</f>
        <v xml:space="preserve">JACKSON                   </v>
      </c>
      <c r="F20960" t="str">
        <f t="shared" si="491"/>
        <v>MS</v>
      </c>
    </row>
    <row r="20961" spans="1:6" x14ac:dyDescent="0.25">
      <c r="A20961" t="str">
        <f>"200028201"</f>
        <v>200028201</v>
      </c>
      <c r="B20961" t="str">
        <f>"1508701426"</f>
        <v>1508701426</v>
      </c>
      <c r="C20961" t="str">
        <f>"261QA0600X"</f>
        <v>261QA0600X</v>
      </c>
      <c r="D20961" t="str">
        <f>"AT HOME ADULT DAYCARE INC.                        "</f>
        <v xml:space="preserve">AT HOME ADULT DAYCARE INC.                        </v>
      </c>
      <c r="E20961" t="str">
        <f>"PORT GIBSON               "</f>
        <v xml:space="preserve">PORT GIBSON               </v>
      </c>
      <c r="F20961" t="str">
        <f t="shared" si="491"/>
        <v>MS</v>
      </c>
    </row>
    <row r="20962" spans="1:6" x14ac:dyDescent="0.25">
      <c r="A20962" t="str">
        <f>"200028202"</f>
        <v>200028202</v>
      </c>
      <c r="B20962" t="str">
        <f>"1821045980"</f>
        <v>1821045980</v>
      </c>
      <c r="C20962" t="str">
        <f>"207Q00000X"</f>
        <v>207Q00000X</v>
      </c>
      <c r="D20962" t="str">
        <f>"SWART                    CYNTHIA                  "</f>
        <v xml:space="preserve">SWART                    CYNTHIA                  </v>
      </c>
      <c r="E20962" t="str">
        <f>"MADISON                   "</f>
        <v xml:space="preserve">MADISON                   </v>
      </c>
      <c r="F20962" t="str">
        <f t="shared" si="491"/>
        <v>MS</v>
      </c>
    </row>
    <row r="20963" spans="1:6" x14ac:dyDescent="0.25">
      <c r="A20963" t="str">
        <f>"200028209"</f>
        <v>200028209</v>
      </c>
      <c r="B20963" t="str">
        <f>"1457342388"</f>
        <v>1457342388</v>
      </c>
      <c r="C20963" t="str">
        <f>"208000000X"</f>
        <v>208000000X</v>
      </c>
      <c r="D20963" t="str">
        <f>"AZOMANI                  HOSAN        M           "</f>
        <v xml:space="preserve">AZOMANI                  HOSAN        M           </v>
      </c>
      <c r="E20963" t="str">
        <f>"JACKSON                   "</f>
        <v xml:space="preserve">JACKSON                   </v>
      </c>
      <c r="F20963" t="str">
        <f t="shared" si="491"/>
        <v>MS</v>
      </c>
    </row>
    <row r="20964" spans="1:6" x14ac:dyDescent="0.25">
      <c r="A20964" t="str">
        <f>"200028213"</f>
        <v>200028213</v>
      </c>
      <c r="B20964" t="str">
        <f>"1447804463"</f>
        <v>1447804463</v>
      </c>
      <c r="C20964" t="str">
        <f>"363L00000X"</f>
        <v>363L00000X</v>
      </c>
      <c r="D20964" t="str">
        <f>"COCKRELL                 CHELSEA                  "</f>
        <v xml:space="preserve">COCKRELL                 CHELSEA                  </v>
      </c>
      <c r="E20964" t="str">
        <f>"JACKSON                   "</f>
        <v xml:space="preserve">JACKSON                   </v>
      </c>
      <c r="F20964" t="str">
        <f t="shared" si="491"/>
        <v>MS</v>
      </c>
    </row>
    <row r="20965" spans="1:6" x14ac:dyDescent="0.25">
      <c r="A20965" t="str">
        <f>"200028223"</f>
        <v>200028223</v>
      </c>
      <c r="B20965" t="str">
        <f>"1659160745"</f>
        <v>1659160745</v>
      </c>
      <c r="C20965" t="str">
        <f>"261QU0200X"</f>
        <v>261QU0200X</v>
      </c>
      <c r="D20965" t="str">
        <f>"MEDWELL PLUS, LLC                                 "</f>
        <v xml:space="preserve">MEDWELL PLUS, LLC                                 </v>
      </c>
      <c r="E20965" t="str">
        <f>"BOONEVILLE                "</f>
        <v xml:space="preserve">BOONEVILLE                </v>
      </c>
      <c r="F20965" t="str">
        <f t="shared" si="491"/>
        <v>MS</v>
      </c>
    </row>
    <row r="20966" spans="1:6" x14ac:dyDescent="0.25">
      <c r="A20966" t="str">
        <f>"200028230"</f>
        <v>200028230</v>
      </c>
      <c r="B20966" t="str">
        <f>"1871443762"</f>
        <v>1871443762</v>
      </c>
      <c r="C20966" t="str">
        <f>"261QM1300X"</f>
        <v>261QM1300X</v>
      </c>
      <c r="D20966" t="str">
        <f>"UNIFIED FAMILY CARE                               "</f>
        <v xml:space="preserve">UNIFIED FAMILY CARE                               </v>
      </c>
      <c r="E20966" t="str">
        <f>"GREENVILLE                "</f>
        <v xml:space="preserve">GREENVILLE                </v>
      </c>
      <c r="F20966" t="str">
        <f t="shared" si="491"/>
        <v>MS</v>
      </c>
    </row>
    <row r="20967" spans="1:6" x14ac:dyDescent="0.25">
      <c r="A20967" t="str">
        <f>"200028231"</f>
        <v>200028231</v>
      </c>
      <c r="B20967" t="str">
        <f>"1740438399"</f>
        <v>1740438399</v>
      </c>
      <c r="C20967" t="str">
        <f>"367500000X"</f>
        <v>367500000X</v>
      </c>
      <c r="D20967" t="str">
        <f>"CARROLL                  SCOTT                    "</f>
        <v xml:space="preserve">CARROLL                  SCOTT                    </v>
      </c>
      <c r="E20967" t="str">
        <f>"PICAYUNE                  "</f>
        <v xml:space="preserve">PICAYUNE                  </v>
      </c>
      <c r="F20967" t="str">
        <f t="shared" si="491"/>
        <v>MS</v>
      </c>
    </row>
    <row r="20968" spans="1:6" x14ac:dyDescent="0.25">
      <c r="A20968" t="str">
        <f>"200028232"</f>
        <v>200028232</v>
      </c>
      <c r="B20968" t="str">
        <f>"1366885840"</f>
        <v>1366885840</v>
      </c>
      <c r="C20968" t="str">
        <f>"2085R0202X"</f>
        <v>2085R0202X</v>
      </c>
      <c r="D20968" t="str">
        <f>"ROGERS                   JASON                    "</f>
        <v xml:space="preserve">ROGERS                   JASON                    </v>
      </c>
      <c r="E20968" t="str">
        <f>"OXFORD                    "</f>
        <v xml:space="preserve">OXFORD                    </v>
      </c>
      <c r="F20968" t="str">
        <f t="shared" si="491"/>
        <v>MS</v>
      </c>
    </row>
    <row r="20969" spans="1:6" x14ac:dyDescent="0.25">
      <c r="A20969" t="str">
        <f>"200028233"</f>
        <v>200028233</v>
      </c>
      <c r="B20969" t="str">
        <f>"1639620883"</f>
        <v>1639620883</v>
      </c>
      <c r="C20969" t="str">
        <f>"367500000X"</f>
        <v>367500000X</v>
      </c>
      <c r="D20969" t="str">
        <f>"SEYMOUR                  JARED        S           "</f>
        <v xml:space="preserve">SEYMOUR                  JARED        S           </v>
      </c>
      <c r="E20969" t="str">
        <f>"GULFPORT                  "</f>
        <v xml:space="preserve">GULFPORT                  </v>
      </c>
      <c r="F20969" t="str">
        <f t="shared" si="491"/>
        <v>MS</v>
      </c>
    </row>
    <row r="20970" spans="1:6" x14ac:dyDescent="0.25">
      <c r="A20970" t="str">
        <f>"200028234"</f>
        <v>200028234</v>
      </c>
      <c r="B20970" t="str">
        <f>"1194556944"</f>
        <v>1194556944</v>
      </c>
      <c r="C20970" t="str">
        <f>"363L00000X"</f>
        <v>363L00000X</v>
      </c>
      <c r="D20970" t="str">
        <f>"SANZIN                   APRIL                    "</f>
        <v xml:space="preserve">SANZIN                   APRIL                    </v>
      </c>
      <c r="E20970" t="str">
        <f>"GULFPORT                  "</f>
        <v xml:space="preserve">GULFPORT                  </v>
      </c>
      <c r="F20970" t="str">
        <f t="shared" si="491"/>
        <v>MS</v>
      </c>
    </row>
    <row r="20971" spans="1:6" x14ac:dyDescent="0.25">
      <c r="A20971" t="str">
        <f>"200028236"</f>
        <v>200028236</v>
      </c>
      <c r="B20971" t="str">
        <f>"1174139455"</f>
        <v>1174139455</v>
      </c>
      <c r="C20971" t="str">
        <f>"363L00000X"</f>
        <v>363L00000X</v>
      </c>
      <c r="D20971" t="str">
        <f>"GRANGER                  JASMINE      P           "</f>
        <v xml:space="preserve">GRANGER                  JASMINE      P           </v>
      </c>
      <c r="E20971" t="str">
        <f>"FLOWOOD                   "</f>
        <v xml:space="preserve">FLOWOOD                   </v>
      </c>
      <c r="F20971" t="str">
        <f t="shared" si="491"/>
        <v>MS</v>
      </c>
    </row>
    <row r="20972" spans="1:6" x14ac:dyDescent="0.25">
      <c r="A20972" t="str">
        <f>"200028238"</f>
        <v>200028238</v>
      </c>
      <c r="B20972" t="str">
        <f>"1013021781"</f>
        <v>1013021781</v>
      </c>
      <c r="C20972" t="str">
        <f>"207R00000X"</f>
        <v>207R00000X</v>
      </c>
      <c r="D20972" t="str">
        <f>"OLIGA                    JOHN                     "</f>
        <v xml:space="preserve">OLIGA                    JOHN                     </v>
      </c>
      <c r="E20972" t="str">
        <f>"JACKSON                   "</f>
        <v xml:space="preserve">JACKSON                   </v>
      </c>
      <c r="F20972" t="str">
        <f t="shared" si="491"/>
        <v>MS</v>
      </c>
    </row>
    <row r="20973" spans="1:6" x14ac:dyDescent="0.25">
      <c r="A20973" t="str">
        <f>"200028242"</f>
        <v>200028242</v>
      </c>
      <c r="B20973" t="str">
        <f>"1962784165"</f>
        <v>1962784165</v>
      </c>
      <c r="C20973" t="str">
        <f>"207R00000X"</f>
        <v>207R00000X</v>
      </c>
      <c r="D20973" t="str">
        <f>"BEG                      RANA                     "</f>
        <v xml:space="preserve">BEG                      RANA                     </v>
      </c>
      <c r="E20973" t="str">
        <f>"MERIDIAN                  "</f>
        <v xml:space="preserve">MERIDIAN                  </v>
      </c>
      <c r="F20973" t="str">
        <f t="shared" si="491"/>
        <v>MS</v>
      </c>
    </row>
    <row r="20974" spans="1:6" x14ac:dyDescent="0.25">
      <c r="A20974" t="str">
        <f>"200028243"</f>
        <v>200028243</v>
      </c>
      <c r="B20974" t="str">
        <f>"1184302762"</f>
        <v>1184302762</v>
      </c>
      <c r="C20974" t="str">
        <f>"363LF0000X"</f>
        <v>363LF0000X</v>
      </c>
      <c r="D20974" t="str">
        <f>"HOUZAH                   KIMBERLY                 "</f>
        <v xml:space="preserve">HOUZAH                   KIMBERLY                 </v>
      </c>
      <c r="E20974" t="str">
        <f>"MOUND BAYOU               "</f>
        <v xml:space="preserve">MOUND BAYOU               </v>
      </c>
      <c r="F20974" t="str">
        <f t="shared" si="491"/>
        <v>MS</v>
      </c>
    </row>
    <row r="20975" spans="1:6" x14ac:dyDescent="0.25">
      <c r="A20975" t="str">
        <f>"200028245"</f>
        <v>200028245</v>
      </c>
      <c r="B20975" t="str">
        <f>"1285092593"</f>
        <v>1285092593</v>
      </c>
      <c r="C20975" t="str">
        <f>"363L00000X"</f>
        <v>363L00000X</v>
      </c>
      <c r="D20975" t="str">
        <f>"JACKSON                  RUTH         E           "</f>
        <v xml:space="preserve">JACKSON                  RUTH         E           </v>
      </c>
      <c r="E20975" t="str">
        <f>"FLOWOOD                   "</f>
        <v xml:space="preserve">FLOWOOD                   </v>
      </c>
      <c r="F20975" t="str">
        <f t="shared" si="491"/>
        <v>MS</v>
      </c>
    </row>
    <row r="20976" spans="1:6" x14ac:dyDescent="0.25">
      <c r="A20976" t="str">
        <f>"200028246"</f>
        <v>200028246</v>
      </c>
      <c r="B20976" t="str">
        <f>"1164525309"</f>
        <v>1164525309</v>
      </c>
      <c r="C20976" t="str">
        <f>"207ZP0102X"</f>
        <v>207ZP0102X</v>
      </c>
      <c r="D20976" t="str">
        <f>"REIMUND                  ERIC                     "</f>
        <v xml:space="preserve">REIMUND                  ERIC                     </v>
      </c>
      <c r="E20976" t="str">
        <f>"GREENVILLE                "</f>
        <v xml:space="preserve">GREENVILLE                </v>
      </c>
      <c r="F20976" t="str">
        <f t="shared" si="491"/>
        <v>MS</v>
      </c>
    </row>
    <row r="20977" spans="1:6" x14ac:dyDescent="0.25">
      <c r="A20977" t="str">
        <f>"200028248"</f>
        <v>200028248</v>
      </c>
      <c r="B20977" t="str">
        <f>"1578329199"</f>
        <v>1578329199</v>
      </c>
      <c r="C20977" t="str">
        <f>"208600000X"</f>
        <v>208600000X</v>
      </c>
      <c r="D20977" t="str">
        <f>"HOLLAND                  PETER        J           "</f>
        <v xml:space="preserve">HOLLAND                  PETER        J           </v>
      </c>
      <c r="E20977" t="str">
        <f>"JACKSON                   "</f>
        <v xml:space="preserve">JACKSON                   </v>
      </c>
      <c r="F20977" t="str">
        <f t="shared" si="491"/>
        <v>MS</v>
      </c>
    </row>
    <row r="20978" spans="1:6" x14ac:dyDescent="0.25">
      <c r="A20978" t="str">
        <f>"200028249"</f>
        <v>200028249</v>
      </c>
      <c r="B20978" t="str">
        <f>"1174052062"</f>
        <v>1174052062</v>
      </c>
      <c r="C20978" t="str">
        <f>"363A00000X"</f>
        <v>363A00000X</v>
      </c>
      <c r="D20978" t="str">
        <f>"STROMEYER                AMANDA                   "</f>
        <v xml:space="preserve">STROMEYER                AMANDA                   </v>
      </c>
      <c r="E20978" t="str">
        <f>"DIAMONDHEAD               "</f>
        <v xml:space="preserve">DIAMONDHEAD               </v>
      </c>
      <c r="F20978" t="str">
        <f t="shared" si="491"/>
        <v>MS</v>
      </c>
    </row>
    <row r="20979" spans="1:6" x14ac:dyDescent="0.25">
      <c r="A20979" t="str">
        <f>"200028250"</f>
        <v>200028250</v>
      </c>
      <c r="B20979" t="str">
        <f>"1699740381"</f>
        <v>1699740381</v>
      </c>
      <c r="C20979" t="str">
        <f>"208000000X"</f>
        <v>208000000X</v>
      </c>
      <c r="D20979" t="str">
        <f>"EKAMBARAM                YAMUNA                   "</f>
        <v xml:space="preserve">EKAMBARAM                YAMUNA                   </v>
      </c>
      <c r="E20979" t="str">
        <f>"CLARKSDALE                "</f>
        <v xml:space="preserve">CLARKSDALE                </v>
      </c>
      <c r="F20979" t="str">
        <f t="shared" si="491"/>
        <v>MS</v>
      </c>
    </row>
    <row r="20980" spans="1:6" x14ac:dyDescent="0.25">
      <c r="A20980" t="str">
        <f>"200028251"</f>
        <v>200028251</v>
      </c>
      <c r="B20980" t="str">
        <f>"1952733677"</f>
        <v>1952733677</v>
      </c>
      <c r="C20980" t="str">
        <f>"363L00000X"</f>
        <v>363L00000X</v>
      </c>
      <c r="D20980" t="str">
        <f>"MOYA                     KATE                     "</f>
        <v xml:space="preserve">MOYA                     KATE                     </v>
      </c>
      <c r="E20980" t="str">
        <f>"FLOWOOD                   "</f>
        <v xml:space="preserve">FLOWOOD                   </v>
      </c>
      <c r="F20980" t="str">
        <f t="shared" si="491"/>
        <v>MS</v>
      </c>
    </row>
    <row r="20981" spans="1:6" x14ac:dyDescent="0.25">
      <c r="A20981" t="str">
        <f>"200028254"</f>
        <v>200028254</v>
      </c>
      <c r="B20981" t="str">
        <f>"1558257816"</f>
        <v>1558257816</v>
      </c>
      <c r="C20981" t="str">
        <f>"363A00000X"</f>
        <v>363A00000X</v>
      </c>
      <c r="D20981" t="str">
        <f>"BRYANT                   HANNAH                   "</f>
        <v xml:space="preserve">BRYANT                   HANNAH                   </v>
      </c>
      <c r="E20981" t="str">
        <f>"STARKVILLE                "</f>
        <v xml:space="preserve">STARKVILLE                </v>
      </c>
      <c r="F20981" t="str">
        <f t="shared" si="491"/>
        <v>MS</v>
      </c>
    </row>
    <row r="20982" spans="1:6" x14ac:dyDescent="0.25">
      <c r="A20982" t="str">
        <f>"200028255"</f>
        <v>200028255</v>
      </c>
      <c r="B20982" t="str">
        <f>"1669245031"</f>
        <v>1669245031</v>
      </c>
      <c r="C20982" t="str">
        <f>"363LP0808X"</f>
        <v>363LP0808X</v>
      </c>
      <c r="D20982" t="str">
        <f>"BENSON                   ANITRA                   "</f>
        <v xml:space="preserve">BENSON                   ANITRA                   </v>
      </c>
      <c r="E20982" t="str">
        <f>"JACKSON                   "</f>
        <v xml:space="preserve">JACKSON                   </v>
      </c>
      <c r="F20982" t="str">
        <f t="shared" si="491"/>
        <v>MS</v>
      </c>
    </row>
    <row r="20983" spans="1:6" x14ac:dyDescent="0.25">
      <c r="A20983" t="str">
        <f>"200028256"</f>
        <v>200028256</v>
      </c>
      <c r="B20983" t="str">
        <f>"1538196936"</f>
        <v>1538196936</v>
      </c>
      <c r="C20983" t="str">
        <f>"363LN0000X"</f>
        <v>363LN0000X</v>
      </c>
      <c r="D20983" t="str">
        <f>"CLARKE                   MARCY                    "</f>
        <v xml:space="preserve">CLARKE                   MARCY                    </v>
      </c>
      <c r="E20983" t="str">
        <f>"FLOWOOD                   "</f>
        <v xml:space="preserve">FLOWOOD                   </v>
      </c>
      <c r="F20983" t="str">
        <f t="shared" si="491"/>
        <v>MS</v>
      </c>
    </row>
    <row r="20984" spans="1:6" x14ac:dyDescent="0.25">
      <c r="A20984" t="str">
        <f>"200028258"</f>
        <v>200028258</v>
      </c>
      <c r="B20984" t="str">
        <f>"1568163236"</f>
        <v>1568163236</v>
      </c>
      <c r="C20984" t="str">
        <f>"363LF0000X"</f>
        <v>363LF0000X</v>
      </c>
      <c r="D20984" t="str">
        <f>"BEARD                    KRISTY                   "</f>
        <v xml:space="preserve">BEARD                    KRISTY                   </v>
      </c>
      <c r="E20984" t="str">
        <f>"GAUTIER                   "</f>
        <v xml:space="preserve">GAUTIER                   </v>
      </c>
      <c r="F20984" t="str">
        <f t="shared" si="491"/>
        <v>MS</v>
      </c>
    </row>
    <row r="20985" spans="1:6" x14ac:dyDescent="0.25">
      <c r="A20985" t="str">
        <f>"200028259"</f>
        <v>200028259</v>
      </c>
      <c r="B20985" t="str">
        <f>"1881734366"</f>
        <v>1881734366</v>
      </c>
      <c r="C20985" t="str">
        <f>"363L00000X"</f>
        <v>363L00000X</v>
      </c>
      <c r="D20985" t="str">
        <f>"HELIN                    MARIANNA                 "</f>
        <v xml:space="preserve">HELIN                    MARIANNA                 </v>
      </c>
      <c r="E20985" t="str">
        <f>"PETAL                     "</f>
        <v xml:space="preserve">PETAL                     </v>
      </c>
      <c r="F20985" t="str">
        <f t="shared" si="491"/>
        <v>MS</v>
      </c>
    </row>
    <row r="20986" spans="1:6" x14ac:dyDescent="0.25">
      <c r="A20986" t="str">
        <f>"200028262"</f>
        <v>200028262</v>
      </c>
      <c r="B20986" t="str">
        <f>"1609541358"</f>
        <v>1609541358</v>
      </c>
      <c r="C20986" t="str">
        <f>"363LF0000X"</f>
        <v>363LF0000X</v>
      </c>
      <c r="D20986" t="str">
        <f>"FERNANDO                 KIMBERLY                 "</f>
        <v xml:space="preserve">FERNANDO                 KIMBERLY                 </v>
      </c>
      <c r="E20986" t="str">
        <f>"BRUCE                     "</f>
        <v xml:space="preserve">BRUCE                     </v>
      </c>
      <c r="F20986" t="str">
        <f t="shared" si="491"/>
        <v>MS</v>
      </c>
    </row>
    <row r="20987" spans="1:6" x14ac:dyDescent="0.25">
      <c r="A20987" t="str">
        <f>"200028267"</f>
        <v>200028267</v>
      </c>
      <c r="B20987" t="str">
        <f>"1720945892"</f>
        <v>1720945892</v>
      </c>
      <c r="C20987" t="str">
        <f>"367500000X"</f>
        <v>367500000X</v>
      </c>
      <c r="D20987" t="str">
        <f>"PRIMEAUX                 ANA          E           "</f>
        <v xml:space="preserve">PRIMEAUX                 ANA          E           </v>
      </c>
      <c r="E20987" t="str">
        <f>"MERIDIAN                  "</f>
        <v xml:space="preserve">MERIDIAN                  </v>
      </c>
      <c r="F20987" t="str">
        <f t="shared" si="491"/>
        <v>MS</v>
      </c>
    </row>
    <row r="20988" spans="1:6" x14ac:dyDescent="0.25">
      <c r="A20988" t="str">
        <f>"200028268"</f>
        <v>200028268</v>
      </c>
      <c r="B20988" t="str">
        <f>"1518803238"</f>
        <v>1518803238</v>
      </c>
      <c r="C20988" t="str">
        <f>"261QU0200X"</f>
        <v>261QU0200X</v>
      </c>
      <c r="D20988" t="str">
        <f>"BALANCED MINDS AND WELLNESS PLLC                  "</f>
        <v xml:space="preserve">BALANCED MINDS AND WELLNESS PLLC                  </v>
      </c>
      <c r="E20988" t="str">
        <f>"SOUTHAVEN                 "</f>
        <v xml:space="preserve">SOUTHAVEN                 </v>
      </c>
      <c r="F20988" t="str">
        <f t="shared" si="491"/>
        <v>MS</v>
      </c>
    </row>
    <row r="20989" spans="1:6" x14ac:dyDescent="0.25">
      <c r="A20989" t="str">
        <f>"200028273"</f>
        <v>200028273</v>
      </c>
      <c r="B20989" t="str">
        <f>"1841949930"</f>
        <v>1841949930</v>
      </c>
      <c r="C20989" t="str">
        <f>"207P00000X"</f>
        <v>207P00000X</v>
      </c>
      <c r="D20989" t="str">
        <f>"ODERINDE                 ADEBANKE                 "</f>
        <v xml:space="preserve">ODERINDE                 ADEBANKE                 </v>
      </c>
      <c r="E20989" t="str">
        <f>"OCEAN SPRINGS             "</f>
        <v xml:space="preserve">OCEAN SPRINGS             </v>
      </c>
      <c r="F20989" t="str">
        <f t="shared" si="491"/>
        <v>MS</v>
      </c>
    </row>
    <row r="20990" spans="1:6" x14ac:dyDescent="0.25">
      <c r="A20990" t="str">
        <f>"200028275"</f>
        <v>200028275</v>
      </c>
      <c r="B20990" t="str">
        <f>"1578480372"</f>
        <v>1578480372</v>
      </c>
      <c r="C20990" t="str">
        <f>"261QM0801X"</f>
        <v>261QM0801X</v>
      </c>
      <c r="D20990" t="str">
        <f>"NORTH MS COMMISSION ON MI/MR DBA COMMUNICARE      "</f>
        <v xml:space="preserve">NORTH MS COMMISSION ON MI/MR DBA COMMUNICARE      </v>
      </c>
      <c r="E20990" t="str">
        <f>"OXFORD                    "</f>
        <v xml:space="preserve">OXFORD                    </v>
      </c>
      <c r="F20990" t="str">
        <f t="shared" ref="F20990:F21053" si="492">"MS"</f>
        <v>MS</v>
      </c>
    </row>
    <row r="20991" spans="1:6" x14ac:dyDescent="0.25">
      <c r="A20991" t="str">
        <f>"200028276"</f>
        <v>200028276</v>
      </c>
      <c r="B20991" t="str">
        <f>"1376669135"</f>
        <v>1376669135</v>
      </c>
      <c r="C20991" t="str">
        <f>"261QM0801X"</f>
        <v>261QM0801X</v>
      </c>
      <c r="D20991" t="str">
        <f>"STOKES BEARD ELEMENATARY I                        "</f>
        <v xml:space="preserve">STOKES BEARD ELEMENATARY I                        </v>
      </c>
      <c r="E20991" t="str">
        <f>"COLUMBUS                  "</f>
        <v xml:space="preserve">COLUMBUS                  </v>
      </c>
      <c r="F20991" t="str">
        <f t="shared" si="492"/>
        <v>MS</v>
      </c>
    </row>
    <row r="20992" spans="1:6" x14ac:dyDescent="0.25">
      <c r="A20992" t="str">
        <f>"200028278"</f>
        <v>200028278</v>
      </c>
      <c r="B20992" t="str">
        <f>"1194745638"</f>
        <v>1194745638</v>
      </c>
      <c r="C20992" t="str">
        <f>"363LF0000X"</f>
        <v>363LF0000X</v>
      </c>
      <c r="D20992" t="str">
        <f>"TROY                     LINDA                    "</f>
        <v xml:space="preserve">TROY                     LINDA                    </v>
      </c>
      <c r="E20992" t="str">
        <f>"BATESVILLE                "</f>
        <v xml:space="preserve">BATESVILLE                </v>
      </c>
      <c r="F20992" t="str">
        <f t="shared" si="492"/>
        <v>MS</v>
      </c>
    </row>
    <row r="20993" spans="1:6" x14ac:dyDescent="0.25">
      <c r="A20993" t="str">
        <f>"200028287"</f>
        <v>200028287</v>
      </c>
      <c r="B20993" t="str">
        <f>"1649731688"</f>
        <v>1649731688</v>
      </c>
      <c r="C20993" t="str">
        <f>"363LF0000X"</f>
        <v>363LF0000X</v>
      </c>
      <c r="D20993" t="str">
        <f>"PITTS                    TAYLOR                   "</f>
        <v xml:space="preserve">PITTS                    TAYLOR                   </v>
      </c>
      <c r="E20993" t="str">
        <f>"RIDGELAND                 "</f>
        <v xml:space="preserve">RIDGELAND                 </v>
      </c>
      <c r="F20993" t="str">
        <f t="shared" si="492"/>
        <v>MS</v>
      </c>
    </row>
    <row r="20994" spans="1:6" x14ac:dyDescent="0.25">
      <c r="A20994" t="str">
        <f>"200028288"</f>
        <v>200028288</v>
      </c>
      <c r="B20994" t="str">
        <f>"1649520446"</f>
        <v>1649520446</v>
      </c>
      <c r="C20994" t="str">
        <f>"367500000X"</f>
        <v>367500000X</v>
      </c>
      <c r="D20994" t="str">
        <f>"GARRISON                 KATHERINE                "</f>
        <v xml:space="preserve">GARRISON                 KATHERINE                </v>
      </c>
      <c r="E20994" t="str">
        <f>"FLOWOOD                   "</f>
        <v xml:space="preserve">FLOWOOD                   </v>
      </c>
      <c r="F20994" t="str">
        <f t="shared" si="492"/>
        <v>MS</v>
      </c>
    </row>
    <row r="20995" spans="1:6" x14ac:dyDescent="0.25">
      <c r="A20995" t="str">
        <f>"200028293"</f>
        <v>200028293</v>
      </c>
      <c r="B20995" t="str">
        <f>"1437867066"</f>
        <v>1437867066</v>
      </c>
      <c r="C20995" t="str">
        <f>"363LW0102X"</f>
        <v>363LW0102X</v>
      </c>
      <c r="D20995" t="str">
        <f>"RANDLE                   HAYLEE       T           "</f>
        <v xml:space="preserve">RANDLE                   HAYLEE       T           </v>
      </c>
      <c r="E20995" t="str">
        <f>"RIDGELAND                 "</f>
        <v xml:space="preserve">RIDGELAND                 </v>
      </c>
      <c r="F20995" t="str">
        <f t="shared" si="492"/>
        <v>MS</v>
      </c>
    </row>
    <row r="20996" spans="1:6" x14ac:dyDescent="0.25">
      <c r="A20996" t="str">
        <f>"200028294"</f>
        <v>200028294</v>
      </c>
      <c r="B20996" t="str">
        <f>"1023845195"</f>
        <v>1023845195</v>
      </c>
      <c r="C20996" t="str">
        <f>"363LP0808X"</f>
        <v>363LP0808X</v>
      </c>
      <c r="D20996" t="str">
        <f>"JONES                    JOSEPH       D           "</f>
        <v xml:space="preserve">JONES                    JOSEPH       D           </v>
      </c>
      <c r="E20996" t="str">
        <f>"JACKSON                   "</f>
        <v xml:space="preserve">JACKSON                   </v>
      </c>
      <c r="F20996" t="str">
        <f t="shared" si="492"/>
        <v>MS</v>
      </c>
    </row>
    <row r="20997" spans="1:6" x14ac:dyDescent="0.25">
      <c r="A20997" t="str">
        <f>"200028297"</f>
        <v>200028297</v>
      </c>
      <c r="B20997" t="str">
        <f>"1790503563"</f>
        <v>1790503563</v>
      </c>
      <c r="C20997" t="str">
        <f>"363LA2100X"</f>
        <v>363LA2100X</v>
      </c>
      <c r="D20997" t="str">
        <f>"KILBURN                  ANDREW                   "</f>
        <v xml:space="preserve">KILBURN                  ANDREW                   </v>
      </c>
      <c r="E20997" t="str">
        <f>"STARKVILLE                "</f>
        <v xml:space="preserve">STARKVILLE                </v>
      </c>
      <c r="F20997" t="str">
        <f t="shared" si="492"/>
        <v>MS</v>
      </c>
    </row>
    <row r="20998" spans="1:6" x14ac:dyDescent="0.25">
      <c r="A20998" t="str">
        <f>"200028298"</f>
        <v>200028298</v>
      </c>
      <c r="B20998" t="str">
        <f>"1376669135"</f>
        <v>1376669135</v>
      </c>
      <c r="C20998" t="str">
        <f>"261QM0801X"</f>
        <v>261QM0801X</v>
      </c>
      <c r="D20998" t="str">
        <f>"WEST LOWNDES ELEMENTARY I, II                     "</f>
        <v xml:space="preserve">WEST LOWNDES ELEMENTARY I, II                     </v>
      </c>
      <c r="E20998" t="str">
        <f>"COLUMBUS                  "</f>
        <v xml:space="preserve">COLUMBUS                  </v>
      </c>
      <c r="F20998" t="str">
        <f t="shared" si="492"/>
        <v>MS</v>
      </c>
    </row>
    <row r="20999" spans="1:6" x14ac:dyDescent="0.25">
      <c r="A20999" t="str">
        <f>"200028299"</f>
        <v>200028299</v>
      </c>
      <c r="B20999" t="str">
        <f>"1376669135"</f>
        <v>1376669135</v>
      </c>
      <c r="C20999" t="str">
        <f>"261QM0801X"</f>
        <v>261QM0801X</v>
      </c>
      <c r="D20999" t="str">
        <f>"COMMUNITY COUNSELING SERVICES                     "</f>
        <v xml:space="preserve">COMMUNITY COUNSELING SERVICES                     </v>
      </c>
      <c r="E20999" t="str">
        <f>"COLUMBUS                  "</f>
        <v xml:space="preserve">COLUMBUS                  </v>
      </c>
      <c r="F20999" t="str">
        <f t="shared" si="492"/>
        <v>MS</v>
      </c>
    </row>
    <row r="21000" spans="1:6" x14ac:dyDescent="0.25">
      <c r="A21000" t="str">
        <f>"200028300"</f>
        <v>200028300</v>
      </c>
      <c r="B21000" t="str">
        <f>"1376669135"</f>
        <v>1376669135</v>
      </c>
      <c r="C21000" t="str">
        <f>"261QM0801X"</f>
        <v>261QM0801X</v>
      </c>
      <c r="D21000" t="str">
        <f>"CALEDONIA ELEMENTARY I                            "</f>
        <v xml:space="preserve">CALEDONIA ELEMENTARY I                            </v>
      </c>
      <c r="E21000" t="str">
        <f>"CALEDONIA                 "</f>
        <v xml:space="preserve">CALEDONIA                 </v>
      </c>
      <c r="F21000" t="str">
        <f t="shared" si="492"/>
        <v>MS</v>
      </c>
    </row>
    <row r="21001" spans="1:6" x14ac:dyDescent="0.25">
      <c r="A21001" t="str">
        <f>"200028301"</f>
        <v>200028301</v>
      </c>
      <c r="B21001" t="str">
        <f>"1376669135"</f>
        <v>1376669135</v>
      </c>
      <c r="C21001" t="str">
        <f>"261QM0801X"</f>
        <v>261QM0801X</v>
      </c>
      <c r="D21001" t="str">
        <f>"COMMUNITY COUNSELING SERVICES                     "</f>
        <v xml:space="preserve">COMMUNITY COUNSELING SERVICES                     </v>
      </c>
      <c r="E21001" t="str">
        <f>"COLUMBUS                  "</f>
        <v xml:space="preserve">COLUMBUS                  </v>
      </c>
      <c r="F21001" t="str">
        <f t="shared" si="492"/>
        <v>MS</v>
      </c>
    </row>
    <row r="21002" spans="1:6" x14ac:dyDescent="0.25">
      <c r="A21002" t="str">
        <f>"200028304"</f>
        <v>200028304</v>
      </c>
      <c r="B21002" t="str">
        <f>"1235134925"</f>
        <v>1235134925</v>
      </c>
      <c r="C21002" t="str">
        <f>"363L00000X"</f>
        <v>363L00000X</v>
      </c>
      <c r="D21002" t="str">
        <f>"PEREZ WEISS              VANESSA      M           "</f>
        <v xml:space="preserve">PEREZ WEISS              VANESSA      M           </v>
      </c>
      <c r="E21002" t="str">
        <f>"FLOWOOD                   "</f>
        <v xml:space="preserve">FLOWOOD                   </v>
      </c>
      <c r="F21002" t="str">
        <f t="shared" si="492"/>
        <v>MS</v>
      </c>
    </row>
    <row r="21003" spans="1:6" x14ac:dyDescent="0.25">
      <c r="A21003" t="str">
        <f>"200028306"</f>
        <v>200028306</v>
      </c>
      <c r="B21003" t="str">
        <f>"1821852922"</f>
        <v>1821852922</v>
      </c>
      <c r="C21003" t="str">
        <f>"363LF0000X"</f>
        <v>363LF0000X</v>
      </c>
      <c r="D21003" t="str">
        <f>"WALTERS                  MANDY        J           "</f>
        <v xml:space="preserve">WALTERS                  MANDY        J           </v>
      </c>
      <c r="E21003" t="str">
        <f>"FLOWOOD                   "</f>
        <v xml:space="preserve">FLOWOOD                   </v>
      </c>
      <c r="F21003" t="str">
        <f t="shared" si="492"/>
        <v>MS</v>
      </c>
    </row>
    <row r="21004" spans="1:6" x14ac:dyDescent="0.25">
      <c r="A21004" t="str">
        <f>"200028307"</f>
        <v>200028307</v>
      </c>
      <c r="B21004" t="str">
        <f>"1548142565"</f>
        <v>1548142565</v>
      </c>
      <c r="C21004" t="str">
        <f>"363LF0000X"</f>
        <v>363LF0000X</v>
      </c>
      <c r="D21004" t="str">
        <f>"LACEFIELD                ANNAH                    "</f>
        <v xml:space="preserve">LACEFIELD                ANNAH                    </v>
      </c>
      <c r="E21004" t="str">
        <f>"HERNANDO                  "</f>
        <v xml:space="preserve">HERNANDO                  </v>
      </c>
      <c r="F21004" t="str">
        <f t="shared" si="492"/>
        <v>MS</v>
      </c>
    </row>
    <row r="21005" spans="1:6" x14ac:dyDescent="0.25">
      <c r="A21005" t="str">
        <f>"200028313"</f>
        <v>200028313</v>
      </c>
      <c r="B21005" t="str">
        <f>"1245580364"</f>
        <v>1245580364</v>
      </c>
      <c r="C21005" t="str">
        <f>"363L00000X"</f>
        <v>363L00000X</v>
      </c>
      <c r="D21005" t="str">
        <f>"DYKIE                    BARBARA      A           "</f>
        <v xml:space="preserve">DYKIE                    BARBARA      A           </v>
      </c>
      <c r="E21005" t="str">
        <f>"FLOWOOD                   "</f>
        <v xml:space="preserve">FLOWOOD                   </v>
      </c>
      <c r="F21005" t="str">
        <f t="shared" si="492"/>
        <v>MS</v>
      </c>
    </row>
    <row r="21006" spans="1:6" x14ac:dyDescent="0.25">
      <c r="A21006" t="str">
        <f>"200028314"</f>
        <v>200028314</v>
      </c>
      <c r="B21006" t="str">
        <f>"1114440625"</f>
        <v>1114440625</v>
      </c>
      <c r="C21006" t="str">
        <f>"363LF0000X"</f>
        <v>363LF0000X</v>
      </c>
      <c r="D21006" t="str">
        <f>"ELKIN                    SARAH        E           "</f>
        <v xml:space="preserve">ELKIN                    SARAH        E           </v>
      </c>
      <c r="E21006" t="str">
        <f>"JACKSON                   "</f>
        <v xml:space="preserve">JACKSON                   </v>
      </c>
      <c r="F21006" t="str">
        <f t="shared" si="492"/>
        <v>MS</v>
      </c>
    </row>
    <row r="21007" spans="1:6" x14ac:dyDescent="0.25">
      <c r="A21007" t="str">
        <f>"200028319"</f>
        <v>200028319</v>
      </c>
      <c r="B21007" t="str">
        <f>"1790567378"</f>
        <v>1790567378</v>
      </c>
      <c r="C21007" t="str">
        <f>"363L00000X"</f>
        <v>363L00000X</v>
      </c>
      <c r="D21007" t="str">
        <f>"MCBETH                   ANTONIO                  "</f>
        <v xml:space="preserve">MCBETH                   ANTONIO                  </v>
      </c>
      <c r="E21007" t="str">
        <f>"SOUTHAVEN                 "</f>
        <v xml:space="preserve">SOUTHAVEN                 </v>
      </c>
      <c r="F21007" t="str">
        <f t="shared" si="492"/>
        <v>MS</v>
      </c>
    </row>
    <row r="21008" spans="1:6" x14ac:dyDescent="0.25">
      <c r="A21008" t="str">
        <f>"200028320"</f>
        <v>200028320</v>
      </c>
      <c r="B21008" t="str">
        <f>"1790274603"</f>
        <v>1790274603</v>
      </c>
      <c r="C21008" t="str">
        <f>"122300000X"</f>
        <v>122300000X</v>
      </c>
      <c r="D21008" t="str">
        <f>"GO ORTHODONTICS                                   "</f>
        <v xml:space="preserve">GO ORTHODONTICS                                   </v>
      </c>
      <c r="E21008" t="str">
        <f>"STARKVILLE                "</f>
        <v xml:space="preserve">STARKVILLE                </v>
      </c>
      <c r="F21008" t="str">
        <f t="shared" si="492"/>
        <v>MS</v>
      </c>
    </row>
    <row r="21009" spans="1:6" x14ac:dyDescent="0.25">
      <c r="A21009" t="str">
        <f>"200028321"</f>
        <v>200028321</v>
      </c>
      <c r="B21009" t="str">
        <f>"1750467809"</f>
        <v>1750467809</v>
      </c>
      <c r="C21009" t="str">
        <f>"363L00000X"</f>
        <v>363L00000X</v>
      </c>
      <c r="D21009" t="str">
        <f>"LANG                     BETTY        H           "</f>
        <v xml:space="preserve">LANG                     BETTY        H           </v>
      </c>
      <c r="E21009" t="str">
        <f>"FLOWOOD                   "</f>
        <v xml:space="preserve">FLOWOOD                   </v>
      </c>
      <c r="F21009" t="str">
        <f t="shared" si="492"/>
        <v>MS</v>
      </c>
    </row>
    <row r="21010" spans="1:6" x14ac:dyDescent="0.25">
      <c r="A21010" t="str">
        <f>"200028322"</f>
        <v>200028322</v>
      </c>
      <c r="B21010" t="str">
        <f>"1790274603"</f>
        <v>1790274603</v>
      </c>
      <c r="C21010" t="str">
        <f>"122300000X"</f>
        <v>122300000X</v>
      </c>
      <c r="D21010" t="str">
        <f>"GO ORTHODONTICS                                   "</f>
        <v xml:space="preserve">GO ORTHODONTICS                                   </v>
      </c>
      <c r="E21010" t="str">
        <f>"COLUMBUS                  "</f>
        <v xml:space="preserve">COLUMBUS                  </v>
      </c>
      <c r="F21010" t="str">
        <f t="shared" si="492"/>
        <v>MS</v>
      </c>
    </row>
    <row r="21011" spans="1:6" x14ac:dyDescent="0.25">
      <c r="A21011" t="str">
        <f>"200028323"</f>
        <v>200028323</v>
      </c>
      <c r="B21011" t="str">
        <f>"1598078115"</f>
        <v>1598078115</v>
      </c>
      <c r="C21011" t="str">
        <f>"207RE0101X"</f>
        <v>207RE0101X</v>
      </c>
      <c r="D21011" t="str">
        <f>"FALS                     ZAHILY                   "</f>
        <v xml:space="preserve">FALS                     ZAHILY                   </v>
      </c>
      <c r="E21011" t="str">
        <f>"RIDGELAND                 "</f>
        <v xml:space="preserve">RIDGELAND                 </v>
      </c>
      <c r="F21011" t="str">
        <f t="shared" si="492"/>
        <v>MS</v>
      </c>
    </row>
    <row r="21012" spans="1:6" x14ac:dyDescent="0.25">
      <c r="A21012" t="str">
        <f>"200028325"</f>
        <v>200028325</v>
      </c>
      <c r="B21012" t="str">
        <f>"1336510437"</f>
        <v>1336510437</v>
      </c>
      <c r="C21012" t="str">
        <f>"363L00000X"</f>
        <v>363L00000X</v>
      </c>
      <c r="D21012" t="str">
        <f>"SHIRLEY                  KARLYE       A           "</f>
        <v xml:space="preserve">SHIRLEY                  KARLYE       A           </v>
      </c>
      <c r="E21012" t="str">
        <f>"FLOWOOD                   "</f>
        <v xml:space="preserve">FLOWOOD                   </v>
      </c>
      <c r="F21012" t="str">
        <f t="shared" si="492"/>
        <v>MS</v>
      </c>
    </row>
    <row r="21013" spans="1:6" x14ac:dyDescent="0.25">
      <c r="A21013" t="str">
        <f>"200028326"</f>
        <v>200028326</v>
      </c>
      <c r="B21013" t="str">
        <f>"1013302082"</f>
        <v>1013302082</v>
      </c>
      <c r="C21013" t="str">
        <f>"363LP0808X"</f>
        <v>363LP0808X</v>
      </c>
      <c r="D21013" t="str">
        <f>"GRIFFIN                  TIFFANY                  "</f>
        <v xml:space="preserve">GRIFFIN                  TIFFANY                  </v>
      </c>
      <c r="E21013" t="str">
        <f>"JACKSON                   "</f>
        <v xml:space="preserve">JACKSON                   </v>
      </c>
      <c r="F21013" t="str">
        <f t="shared" si="492"/>
        <v>MS</v>
      </c>
    </row>
    <row r="21014" spans="1:6" x14ac:dyDescent="0.25">
      <c r="A21014" t="str">
        <f>"200028328"</f>
        <v>200028328</v>
      </c>
      <c r="B21014" t="str">
        <f>"1306347307"</f>
        <v>1306347307</v>
      </c>
      <c r="C21014" t="str">
        <f>"363LF0000X"</f>
        <v>363LF0000X</v>
      </c>
      <c r="D21014" t="str">
        <f>"BERRY                    KIMBERLY     G           "</f>
        <v xml:space="preserve">BERRY                    KIMBERLY     G           </v>
      </c>
      <c r="E21014" t="str">
        <f>"FLOWOOD                   "</f>
        <v xml:space="preserve">FLOWOOD                   </v>
      </c>
      <c r="F21014" t="str">
        <f t="shared" si="492"/>
        <v>MS</v>
      </c>
    </row>
    <row r="21015" spans="1:6" x14ac:dyDescent="0.25">
      <c r="A21015" t="str">
        <f>"200028330"</f>
        <v>200028330</v>
      </c>
      <c r="B21015" t="str">
        <f>"1336382548"</f>
        <v>1336382548</v>
      </c>
      <c r="C21015" t="str">
        <f>"207P00000X"</f>
        <v>207P00000X</v>
      </c>
      <c r="D21015" t="str">
        <f>"TYSON                    JEREMIAH                 "</f>
        <v xml:space="preserve">TYSON                    JEREMIAH                 </v>
      </c>
      <c r="E21015" t="str">
        <f>"SOUTHAVEN                 "</f>
        <v xml:space="preserve">SOUTHAVEN                 </v>
      </c>
      <c r="F21015" t="str">
        <f t="shared" si="492"/>
        <v>MS</v>
      </c>
    </row>
    <row r="21016" spans="1:6" x14ac:dyDescent="0.25">
      <c r="A21016" t="str">
        <f>"200028333"</f>
        <v>200028333</v>
      </c>
      <c r="B21016" t="str">
        <f>"1235669995"</f>
        <v>1235669995</v>
      </c>
      <c r="C21016" t="str">
        <f>"363LP2300X"</f>
        <v>363LP2300X</v>
      </c>
      <c r="D21016" t="str">
        <f>"ROJEMANN                 NATHANIEL                "</f>
        <v xml:space="preserve">ROJEMANN                 NATHANIEL                </v>
      </c>
      <c r="E21016" t="str">
        <f>"PASS CHRISTIAN            "</f>
        <v xml:space="preserve">PASS CHRISTIAN            </v>
      </c>
      <c r="F21016" t="str">
        <f t="shared" si="492"/>
        <v>MS</v>
      </c>
    </row>
    <row r="21017" spans="1:6" x14ac:dyDescent="0.25">
      <c r="A21017" t="str">
        <f>"200028342"</f>
        <v>200028342</v>
      </c>
      <c r="B21017" t="str">
        <f>"1790274603"</f>
        <v>1790274603</v>
      </c>
      <c r="C21017" t="str">
        <f>"122300000X"</f>
        <v>122300000X</v>
      </c>
      <c r="D21017" t="str">
        <f>"GO ORTHODONTICS                                   "</f>
        <v xml:space="preserve">GO ORTHODONTICS                                   </v>
      </c>
      <c r="E21017" t="str">
        <f>"OXFORD                    "</f>
        <v xml:space="preserve">OXFORD                    </v>
      </c>
      <c r="F21017" t="str">
        <f t="shared" si="492"/>
        <v>MS</v>
      </c>
    </row>
    <row r="21018" spans="1:6" x14ac:dyDescent="0.25">
      <c r="A21018" t="str">
        <f>"200028347"</f>
        <v>200028347</v>
      </c>
      <c r="B21018" t="str">
        <f>"1104321611"</f>
        <v>1104321611</v>
      </c>
      <c r="C21018" t="str">
        <f>"207Q00000X"</f>
        <v>207Q00000X</v>
      </c>
      <c r="D21018" t="str">
        <f>"SOJAN                    JERRY                    "</f>
        <v xml:space="preserve">SOJAN                    JERRY                    </v>
      </c>
      <c r="E21018" t="str">
        <f>"RIDGELAND                 "</f>
        <v xml:space="preserve">RIDGELAND                 </v>
      </c>
      <c r="F21018" t="str">
        <f t="shared" si="492"/>
        <v>MS</v>
      </c>
    </row>
    <row r="21019" spans="1:6" x14ac:dyDescent="0.25">
      <c r="A21019" t="str">
        <f>"200028348"</f>
        <v>200028348</v>
      </c>
      <c r="B21019" t="str">
        <f>"1922638824"</f>
        <v>1922638824</v>
      </c>
      <c r="C21019" t="str">
        <f>"363A00000X"</f>
        <v>363A00000X</v>
      </c>
      <c r="D21019" t="str">
        <f>"JOHNSON                  SARA         B           "</f>
        <v xml:space="preserve">JOHNSON                  SARA         B           </v>
      </c>
      <c r="E21019" t="str">
        <f>"GULFPORT                  "</f>
        <v xml:space="preserve">GULFPORT                  </v>
      </c>
      <c r="F21019" t="str">
        <f t="shared" si="492"/>
        <v>MS</v>
      </c>
    </row>
    <row r="21020" spans="1:6" x14ac:dyDescent="0.25">
      <c r="A21020" t="str">
        <f>"200028350"</f>
        <v>200028350</v>
      </c>
      <c r="B21020" t="str">
        <f>"1104321967"</f>
        <v>1104321967</v>
      </c>
      <c r="C21020" t="str">
        <f>"207RH0003X"</f>
        <v>207RH0003X</v>
      </c>
      <c r="D21020" t="str">
        <f>"JACOCKS                  CHARLES                  "</f>
        <v xml:space="preserve">JACOCKS                  CHARLES                  </v>
      </c>
      <c r="E21020" t="str">
        <f>"GULFPORT                  "</f>
        <v xml:space="preserve">GULFPORT                  </v>
      </c>
      <c r="F21020" t="str">
        <f t="shared" si="492"/>
        <v>MS</v>
      </c>
    </row>
    <row r="21021" spans="1:6" x14ac:dyDescent="0.25">
      <c r="A21021" t="str">
        <f>"200028351"</f>
        <v>200028351</v>
      </c>
      <c r="B21021" t="str">
        <f>"1770597882"</f>
        <v>1770597882</v>
      </c>
      <c r="C21021" t="str">
        <f>"207R00000X"</f>
        <v>207R00000X</v>
      </c>
      <c r="D21021" t="str">
        <f>"DOBBS                    THOMAS       E           "</f>
        <v xml:space="preserve">DOBBS                    THOMAS       E           </v>
      </c>
      <c r="E21021" t="str">
        <f>"JACKSON                   "</f>
        <v xml:space="preserve">JACKSON                   </v>
      </c>
      <c r="F21021" t="str">
        <f t="shared" si="492"/>
        <v>MS</v>
      </c>
    </row>
    <row r="21022" spans="1:6" x14ac:dyDescent="0.25">
      <c r="A21022" t="str">
        <f>"200028352"</f>
        <v>200028352</v>
      </c>
      <c r="B21022" t="str">
        <f>"1316259195"</f>
        <v>1316259195</v>
      </c>
      <c r="C21022" t="str">
        <f>"207ZP0102X"</f>
        <v>207ZP0102X</v>
      </c>
      <c r="D21022" t="str">
        <f>"HU                       LULIN                    "</f>
        <v xml:space="preserve">HU                       LULIN                    </v>
      </c>
      <c r="E21022" t="str">
        <f>"TUPELO                    "</f>
        <v xml:space="preserve">TUPELO                    </v>
      </c>
      <c r="F21022" t="str">
        <f t="shared" si="492"/>
        <v>MS</v>
      </c>
    </row>
    <row r="21023" spans="1:6" x14ac:dyDescent="0.25">
      <c r="A21023" t="str">
        <f>"200028354"</f>
        <v>200028354</v>
      </c>
      <c r="B21023" t="str">
        <f>"1700572419"</f>
        <v>1700572419</v>
      </c>
      <c r="C21023" t="str">
        <f>"207P00000X"</f>
        <v>207P00000X</v>
      </c>
      <c r="D21023" t="str">
        <f>"ABDEEN                   COREY                    "</f>
        <v xml:space="preserve">ABDEEN                   COREY                    </v>
      </c>
      <c r="E21023" t="str">
        <f>"JACKSON                   "</f>
        <v xml:space="preserve">JACKSON                   </v>
      </c>
      <c r="F21023" t="str">
        <f t="shared" si="492"/>
        <v>MS</v>
      </c>
    </row>
    <row r="21024" spans="1:6" x14ac:dyDescent="0.25">
      <c r="A21024" t="str">
        <f>"200028357"</f>
        <v>200028357</v>
      </c>
      <c r="B21024" t="str">
        <f>"1073469722"</f>
        <v>1073469722</v>
      </c>
      <c r="C21024" t="str">
        <f>"363LF0000X"</f>
        <v>363LF0000X</v>
      </c>
      <c r="D21024" t="str">
        <f>"GOFF                     WILLIAM                  "</f>
        <v xml:space="preserve">GOFF                     WILLIAM                  </v>
      </c>
      <c r="E21024" t="str">
        <f>"GULFPORT                  "</f>
        <v xml:space="preserve">GULFPORT                  </v>
      </c>
      <c r="F21024" t="str">
        <f t="shared" si="492"/>
        <v>MS</v>
      </c>
    </row>
    <row r="21025" spans="1:6" x14ac:dyDescent="0.25">
      <c r="A21025" t="str">
        <f>"200028358"</f>
        <v>200028358</v>
      </c>
      <c r="B21025" t="str">
        <f>"1376669135"</f>
        <v>1376669135</v>
      </c>
      <c r="C21025" t="str">
        <f>"261QM0801X"</f>
        <v>261QM0801X</v>
      </c>
      <c r="D21025" t="str">
        <f>"JOE COOK ELEMENTARY I                             "</f>
        <v xml:space="preserve">JOE COOK ELEMENTARY I                             </v>
      </c>
      <c r="E21025" t="str">
        <f>"COLUMBUS                  "</f>
        <v xml:space="preserve">COLUMBUS                  </v>
      </c>
      <c r="F21025" t="str">
        <f t="shared" si="492"/>
        <v>MS</v>
      </c>
    </row>
    <row r="21026" spans="1:6" x14ac:dyDescent="0.25">
      <c r="A21026" t="str">
        <f>"200028359"</f>
        <v>200028359</v>
      </c>
      <c r="B21026" t="str">
        <f>"1376669135"</f>
        <v>1376669135</v>
      </c>
      <c r="C21026" t="str">
        <f>"261QM0801X"</f>
        <v>261QM0801X</v>
      </c>
      <c r="D21026" t="str">
        <f>"FRANKLIN ACADEMY ELEMENTARY I, II, III            "</f>
        <v xml:space="preserve">FRANKLIN ACADEMY ELEMENTARY I, II, III            </v>
      </c>
      <c r="E21026" t="str">
        <f>"COLUMBUS                  "</f>
        <v xml:space="preserve">COLUMBUS                  </v>
      </c>
      <c r="F21026" t="str">
        <f t="shared" si="492"/>
        <v>MS</v>
      </c>
    </row>
    <row r="21027" spans="1:6" x14ac:dyDescent="0.25">
      <c r="A21027" t="str">
        <f>"200028360"</f>
        <v>200028360</v>
      </c>
      <c r="B21027" t="str">
        <f>"1376669135"</f>
        <v>1376669135</v>
      </c>
      <c r="C21027" t="str">
        <f>"261QM0801X"</f>
        <v>261QM0801X</v>
      </c>
      <c r="D21027" t="str">
        <f>"COMMUNITY COUNSELING SERVICES                     "</f>
        <v xml:space="preserve">COMMUNITY COUNSELING SERVICES                     </v>
      </c>
      <c r="E21027" t="str">
        <f>"COLUMBUS                  "</f>
        <v xml:space="preserve">COLUMBUS                  </v>
      </c>
      <c r="F21027" t="str">
        <f t="shared" si="492"/>
        <v>MS</v>
      </c>
    </row>
    <row r="21028" spans="1:6" x14ac:dyDescent="0.25">
      <c r="A21028" t="str">
        <f>"200028361"</f>
        <v>200028361</v>
      </c>
      <c r="B21028" t="str">
        <f>"1376669135"</f>
        <v>1376669135</v>
      </c>
      <c r="C21028" t="str">
        <f>"261QM0801X"</f>
        <v>261QM0801X</v>
      </c>
      <c r="D21028" t="str">
        <f>"COMMUNITY COUNSELING SERVICES                     "</f>
        <v xml:space="preserve">COMMUNITY COUNSELING SERVICES                     </v>
      </c>
      <c r="E21028" t="str">
        <f>"COLUMBUS                  "</f>
        <v xml:space="preserve">COLUMBUS                  </v>
      </c>
      <c r="F21028" t="str">
        <f t="shared" si="492"/>
        <v>MS</v>
      </c>
    </row>
    <row r="21029" spans="1:6" x14ac:dyDescent="0.25">
      <c r="A21029" t="str">
        <f>"200028362"</f>
        <v>200028362</v>
      </c>
      <c r="B21029" t="str">
        <f>"1003146689"</f>
        <v>1003146689</v>
      </c>
      <c r="C21029" t="str">
        <f>"367500000X"</f>
        <v>367500000X</v>
      </c>
      <c r="D21029" t="str">
        <f>"STEWARD                  GARY         B           "</f>
        <v xml:space="preserve">STEWARD                  GARY         B           </v>
      </c>
      <c r="E21029" t="str">
        <f>"OCEAN SPRINGS             "</f>
        <v xml:space="preserve">OCEAN SPRINGS             </v>
      </c>
      <c r="F21029" t="str">
        <f t="shared" si="492"/>
        <v>MS</v>
      </c>
    </row>
    <row r="21030" spans="1:6" x14ac:dyDescent="0.25">
      <c r="A21030" t="str">
        <f>"200028364"</f>
        <v>200028364</v>
      </c>
      <c r="B21030" t="str">
        <f>"1801107032"</f>
        <v>1801107032</v>
      </c>
      <c r="C21030" t="str">
        <f>"207R00000X"</f>
        <v>207R00000X</v>
      </c>
      <c r="D21030" t="str">
        <f>"HARPOOL                  EBONY                    "</f>
        <v xml:space="preserve">HARPOOL                  EBONY                    </v>
      </c>
      <c r="E21030" t="str">
        <f>"RIDGELAND                 "</f>
        <v xml:space="preserve">RIDGELAND                 </v>
      </c>
      <c r="F21030" t="str">
        <f t="shared" si="492"/>
        <v>MS</v>
      </c>
    </row>
    <row r="21031" spans="1:6" x14ac:dyDescent="0.25">
      <c r="A21031" t="str">
        <f>"200028367"</f>
        <v>200028367</v>
      </c>
      <c r="B21031" t="str">
        <f>"1790996544"</f>
        <v>1790996544</v>
      </c>
      <c r="C21031" t="str">
        <f>"207N00000X"</f>
        <v>207N00000X</v>
      </c>
      <c r="D21031" t="str">
        <f>"JACKSON                  JEREMY                   "</f>
        <v xml:space="preserve">JACKSON                  JEREMY                   </v>
      </c>
      <c r="E21031" t="str">
        <f>"JACKSON                   "</f>
        <v xml:space="preserve">JACKSON                   </v>
      </c>
      <c r="F21031" t="str">
        <f t="shared" si="492"/>
        <v>MS</v>
      </c>
    </row>
    <row r="21032" spans="1:6" x14ac:dyDescent="0.25">
      <c r="A21032" t="str">
        <f>"200028370"</f>
        <v>200028370</v>
      </c>
      <c r="B21032" t="str">
        <f>"1720300734"</f>
        <v>1720300734</v>
      </c>
      <c r="C21032" t="str">
        <f>"363L00000X"</f>
        <v>363L00000X</v>
      </c>
      <c r="D21032" t="str">
        <f>"WALLEY                   JENNIFER     N           "</f>
        <v xml:space="preserve">WALLEY                   JENNIFER     N           </v>
      </c>
      <c r="E21032" t="str">
        <f>"FLOWOOD                   "</f>
        <v xml:space="preserve">FLOWOOD                   </v>
      </c>
      <c r="F21032" t="str">
        <f t="shared" si="492"/>
        <v>MS</v>
      </c>
    </row>
    <row r="21033" spans="1:6" x14ac:dyDescent="0.25">
      <c r="A21033" t="str">
        <f>"200028371"</f>
        <v>200028371</v>
      </c>
      <c r="B21033" t="str">
        <f>"1710034509"</f>
        <v>1710034509</v>
      </c>
      <c r="C21033" t="str">
        <f>"208600000X"</f>
        <v>208600000X</v>
      </c>
      <c r="D21033" t="str">
        <f>"EARL                     TRUMAN                   "</f>
        <v xml:space="preserve">EARL                     TRUMAN                   </v>
      </c>
      <c r="E21033" t="str">
        <f>"JACKSON                   "</f>
        <v xml:space="preserve">JACKSON                   </v>
      </c>
      <c r="F21033" t="str">
        <f t="shared" si="492"/>
        <v>MS</v>
      </c>
    </row>
    <row r="21034" spans="1:6" x14ac:dyDescent="0.25">
      <c r="A21034" t="str">
        <f>"200028372"</f>
        <v>200028372</v>
      </c>
      <c r="B21034" t="str">
        <f>"1588974364"</f>
        <v>1588974364</v>
      </c>
      <c r="C21034" t="str">
        <f>"363L00000X"</f>
        <v>363L00000X</v>
      </c>
      <c r="D21034" t="str">
        <f>"FORTHNER                 LAKENYA      B           "</f>
        <v xml:space="preserve">FORTHNER                 LAKENYA      B           </v>
      </c>
      <c r="E21034" t="str">
        <f>"FLOWOOD                   "</f>
        <v xml:space="preserve">FLOWOOD                   </v>
      </c>
      <c r="F21034" t="str">
        <f t="shared" si="492"/>
        <v>MS</v>
      </c>
    </row>
    <row r="21035" spans="1:6" x14ac:dyDescent="0.25">
      <c r="A21035" t="str">
        <f>"200028374"</f>
        <v>200028374</v>
      </c>
      <c r="B21035" t="str">
        <f>"1386986172"</f>
        <v>1386986172</v>
      </c>
      <c r="C21035" t="str">
        <f>"2085R0202X"</f>
        <v>2085R0202X</v>
      </c>
      <c r="D21035" t="str">
        <f>"CASON                    DANIEL                   "</f>
        <v xml:space="preserve">CASON                    DANIEL                   </v>
      </c>
      <c r="E21035" t="str">
        <f>"FLOWOOD                   "</f>
        <v xml:space="preserve">FLOWOOD                   </v>
      </c>
      <c r="F21035" t="str">
        <f t="shared" si="492"/>
        <v>MS</v>
      </c>
    </row>
    <row r="21036" spans="1:6" x14ac:dyDescent="0.25">
      <c r="A21036" t="str">
        <f>"200028376"</f>
        <v>200028376</v>
      </c>
      <c r="B21036" t="str">
        <f>"1629288089"</f>
        <v>1629288089</v>
      </c>
      <c r="C21036" t="str">
        <f>"207RN0300X"</f>
        <v>207RN0300X</v>
      </c>
      <c r="D21036" t="str">
        <f>"LATACK                   WAYNE                    "</f>
        <v xml:space="preserve">LATACK                   WAYNE                    </v>
      </c>
      <c r="E21036" t="str">
        <f>"GULFPORT                  "</f>
        <v xml:space="preserve">GULFPORT                  </v>
      </c>
      <c r="F21036" t="str">
        <f t="shared" si="492"/>
        <v>MS</v>
      </c>
    </row>
    <row r="21037" spans="1:6" x14ac:dyDescent="0.25">
      <c r="A21037" t="str">
        <f>"200028378"</f>
        <v>200028378</v>
      </c>
      <c r="B21037" t="str">
        <f>"1215013552"</f>
        <v>1215013552</v>
      </c>
      <c r="C21037" t="str">
        <f>"207X00000X"</f>
        <v>207X00000X</v>
      </c>
      <c r="D21037" t="str">
        <f>"HOLLIS                   MINOO        H           "</f>
        <v xml:space="preserve">HOLLIS                   MINOO        H           </v>
      </c>
      <c r="E21037" t="str">
        <f>"CORINTH                   "</f>
        <v xml:space="preserve">CORINTH                   </v>
      </c>
      <c r="F21037" t="str">
        <f t="shared" si="492"/>
        <v>MS</v>
      </c>
    </row>
    <row r="21038" spans="1:6" x14ac:dyDescent="0.25">
      <c r="A21038" t="str">
        <f>"200028387"</f>
        <v>200028387</v>
      </c>
      <c r="B21038" t="str">
        <f>"1235540691"</f>
        <v>1235540691</v>
      </c>
      <c r="C21038" t="str">
        <f>"207V00000X"</f>
        <v>207V00000X</v>
      </c>
      <c r="D21038" t="str">
        <f>"JEROME                   KATHRYN                  "</f>
        <v xml:space="preserve">JEROME                   KATHRYN                  </v>
      </c>
      <c r="E21038" t="str">
        <f>"JACKSON                   "</f>
        <v xml:space="preserve">JACKSON                   </v>
      </c>
      <c r="F21038" t="str">
        <f t="shared" si="492"/>
        <v>MS</v>
      </c>
    </row>
    <row r="21039" spans="1:6" x14ac:dyDescent="0.25">
      <c r="A21039" t="str">
        <f>"200028388"</f>
        <v>200028388</v>
      </c>
      <c r="B21039" t="str">
        <f>"1609579101"</f>
        <v>1609579101</v>
      </c>
      <c r="C21039" t="str">
        <f>"207P00000X"</f>
        <v>207P00000X</v>
      </c>
      <c r="D21039" t="str">
        <f>"MORGAN                   KELSEY       M           "</f>
        <v xml:space="preserve">MORGAN                   KELSEY       M           </v>
      </c>
      <c r="E21039" t="str">
        <f>"JACKSON                   "</f>
        <v xml:space="preserve">JACKSON                   </v>
      </c>
      <c r="F21039" t="str">
        <f t="shared" si="492"/>
        <v>MS</v>
      </c>
    </row>
    <row r="21040" spans="1:6" x14ac:dyDescent="0.25">
      <c r="A21040" t="str">
        <f>"200028390"</f>
        <v>200028390</v>
      </c>
      <c r="B21040" t="str">
        <f>"1457513376"</f>
        <v>1457513376</v>
      </c>
      <c r="C21040" t="str">
        <f>"207Q00000X"</f>
        <v>207Q00000X</v>
      </c>
      <c r="D21040" t="str">
        <f>"RICE                     AMANDA       R           "</f>
        <v xml:space="preserve">RICE                     AMANDA       R           </v>
      </c>
      <c r="E21040" t="str">
        <f>"JACKSON                   "</f>
        <v xml:space="preserve">JACKSON                   </v>
      </c>
      <c r="F21040" t="str">
        <f t="shared" si="492"/>
        <v>MS</v>
      </c>
    </row>
    <row r="21041" spans="1:6" x14ac:dyDescent="0.25">
      <c r="A21041" t="str">
        <f>"200028392"</f>
        <v>200028392</v>
      </c>
      <c r="B21041" t="str">
        <f>"1194844001"</f>
        <v>1194844001</v>
      </c>
      <c r="C21041" t="str">
        <f>"207R00000X"</f>
        <v>207R00000X</v>
      </c>
      <c r="D21041" t="str">
        <f>"MADISON                  GUL                      "</f>
        <v xml:space="preserve">MADISON                  GUL                      </v>
      </c>
      <c r="E21041" t="str">
        <f>"CORINTH                   "</f>
        <v xml:space="preserve">CORINTH                   </v>
      </c>
      <c r="F21041" t="str">
        <f t="shared" si="492"/>
        <v>MS</v>
      </c>
    </row>
    <row r="21042" spans="1:6" x14ac:dyDescent="0.25">
      <c r="A21042" t="str">
        <f>"200028396"</f>
        <v>200028396</v>
      </c>
      <c r="B21042" t="str">
        <f>"1669836540"</f>
        <v>1669836540</v>
      </c>
      <c r="C21042" t="str">
        <f>"207Q00000X"</f>
        <v>207Q00000X</v>
      </c>
      <c r="D21042" t="str">
        <f>"JOHNSON                  JEREMY                   "</f>
        <v xml:space="preserve">JOHNSON                  JEREMY                   </v>
      </c>
      <c r="E21042" t="str">
        <f>"ABERDEEN                  "</f>
        <v xml:space="preserve">ABERDEEN                  </v>
      </c>
      <c r="F21042" t="str">
        <f t="shared" si="492"/>
        <v>MS</v>
      </c>
    </row>
    <row r="21043" spans="1:6" x14ac:dyDescent="0.25">
      <c r="A21043" t="str">
        <f>"200028400"</f>
        <v>200028400</v>
      </c>
      <c r="B21043" t="str">
        <f>"1164902482"</f>
        <v>1164902482</v>
      </c>
      <c r="C21043" t="str">
        <f>"363L00000X"</f>
        <v>363L00000X</v>
      </c>
      <c r="D21043" t="str">
        <f>"VILLES                   LETISHA      A           "</f>
        <v xml:space="preserve">VILLES                   LETISHA      A           </v>
      </c>
      <c r="E21043" t="str">
        <f>"FLOWOOD                   "</f>
        <v xml:space="preserve">FLOWOOD                   </v>
      </c>
      <c r="F21043" t="str">
        <f t="shared" si="492"/>
        <v>MS</v>
      </c>
    </row>
    <row r="21044" spans="1:6" x14ac:dyDescent="0.25">
      <c r="A21044" t="str">
        <f>"200028402"</f>
        <v>200028402</v>
      </c>
      <c r="B21044" t="str">
        <f>"1588228449"</f>
        <v>1588228449</v>
      </c>
      <c r="C21044" t="str">
        <f>"207ZP0102X"</f>
        <v>207ZP0102X</v>
      </c>
      <c r="D21044" t="str">
        <f>"JONES                    JEREMY                   "</f>
        <v xml:space="preserve">JONES                    JEREMY                   </v>
      </c>
      <c r="E21044" t="str">
        <f>"SOUTHAVEN                 "</f>
        <v xml:space="preserve">SOUTHAVEN                 </v>
      </c>
      <c r="F21044" t="str">
        <f t="shared" si="492"/>
        <v>MS</v>
      </c>
    </row>
    <row r="21045" spans="1:6" x14ac:dyDescent="0.25">
      <c r="A21045" t="str">
        <f>"200028404"</f>
        <v>200028404</v>
      </c>
      <c r="B21045" t="str">
        <f>"1821318825"</f>
        <v>1821318825</v>
      </c>
      <c r="C21045" t="str">
        <f>"363L00000X"</f>
        <v>363L00000X</v>
      </c>
      <c r="D21045" t="str">
        <f>"VIDEAU                   LISA         T           "</f>
        <v xml:space="preserve">VIDEAU                   LISA         T           </v>
      </c>
      <c r="E21045" t="str">
        <f>"FLOWOOD                   "</f>
        <v xml:space="preserve">FLOWOOD                   </v>
      </c>
      <c r="F21045" t="str">
        <f t="shared" si="492"/>
        <v>MS</v>
      </c>
    </row>
    <row r="21046" spans="1:6" x14ac:dyDescent="0.25">
      <c r="A21046" t="str">
        <f>"200028408"</f>
        <v>200028408</v>
      </c>
      <c r="B21046" t="str">
        <f>"1497686885"</f>
        <v>1497686885</v>
      </c>
      <c r="C21046" t="str">
        <f>"122300000X"</f>
        <v>122300000X</v>
      </c>
      <c r="D21046" t="str">
        <f>"BITESIZE SMILES, LLC                              "</f>
        <v xml:space="preserve">BITESIZE SMILES, LLC                              </v>
      </c>
      <c r="E21046" t="str">
        <f>"NATCHEZ                   "</f>
        <v xml:space="preserve">NATCHEZ                   </v>
      </c>
      <c r="F21046" t="str">
        <f t="shared" si="492"/>
        <v>MS</v>
      </c>
    </row>
    <row r="21047" spans="1:6" x14ac:dyDescent="0.25">
      <c r="A21047" t="str">
        <f>"200028410"</f>
        <v>200028410</v>
      </c>
      <c r="B21047" t="str">
        <f>"1477556371"</f>
        <v>1477556371</v>
      </c>
      <c r="C21047" t="str">
        <f>"208G00000X"</f>
        <v>208G00000X</v>
      </c>
      <c r="D21047" t="str">
        <f>"BALL                     STEPHEN                  "</f>
        <v xml:space="preserve">BALL                     STEPHEN                  </v>
      </c>
      <c r="E21047" t="str">
        <f>"FLOWOOD                   "</f>
        <v xml:space="preserve">FLOWOOD                   </v>
      </c>
      <c r="F21047" t="str">
        <f t="shared" si="492"/>
        <v>MS</v>
      </c>
    </row>
    <row r="21048" spans="1:6" x14ac:dyDescent="0.25">
      <c r="A21048" t="str">
        <f>"200028413"</f>
        <v>200028413</v>
      </c>
      <c r="B21048" t="str">
        <f>"1154651461"</f>
        <v>1154651461</v>
      </c>
      <c r="C21048" t="str">
        <f>"367500000X"</f>
        <v>367500000X</v>
      </c>
      <c r="D21048" t="str">
        <f>"THOMAS                   WILLIAM      H           "</f>
        <v xml:space="preserve">THOMAS                   WILLIAM      H           </v>
      </c>
      <c r="E21048" t="str">
        <f>"HATTIESBURG               "</f>
        <v xml:space="preserve">HATTIESBURG               </v>
      </c>
      <c r="F21048" t="str">
        <f t="shared" si="492"/>
        <v>MS</v>
      </c>
    </row>
    <row r="21049" spans="1:6" x14ac:dyDescent="0.25">
      <c r="A21049" t="str">
        <f>"200028421"</f>
        <v>200028421</v>
      </c>
      <c r="B21049" t="str">
        <f>"1548293079"</f>
        <v>1548293079</v>
      </c>
      <c r="C21049" t="str">
        <f>"207L00000X"</f>
        <v>207L00000X</v>
      </c>
      <c r="D21049" t="str">
        <f>"DALSANIA                 JIVANLAL                 "</f>
        <v xml:space="preserve">DALSANIA                 JIVANLAL                 </v>
      </c>
      <c r="E21049" t="str">
        <f>"OXFORD                    "</f>
        <v xml:space="preserve">OXFORD                    </v>
      </c>
      <c r="F21049" t="str">
        <f t="shared" si="492"/>
        <v>MS</v>
      </c>
    </row>
    <row r="21050" spans="1:6" x14ac:dyDescent="0.25">
      <c r="A21050" t="str">
        <f>"200028422"</f>
        <v>200028422</v>
      </c>
      <c r="B21050" t="str">
        <f>"1114941838"</f>
        <v>1114941838</v>
      </c>
      <c r="C21050" t="str">
        <f>"367500000X"</f>
        <v>367500000X</v>
      </c>
      <c r="D21050" t="str">
        <f>"MAY                      LARRY                    "</f>
        <v xml:space="preserve">MAY                      LARRY                    </v>
      </c>
      <c r="E21050" t="str">
        <f>"BILOXI                    "</f>
        <v xml:space="preserve">BILOXI                    </v>
      </c>
      <c r="F21050" t="str">
        <f t="shared" si="492"/>
        <v>MS</v>
      </c>
    </row>
    <row r="21051" spans="1:6" x14ac:dyDescent="0.25">
      <c r="A21051" t="str">
        <f>"200028423"</f>
        <v>200028423</v>
      </c>
      <c r="B21051" t="str">
        <f>"1730024803"</f>
        <v>1730024803</v>
      </c>
      <c r="C21051" t="str">
        <f>"363LF0000X"</f>
        <v>363LF0000X</v>
      </c>
      <c r="D21051" t="str">
        <f>"MONTROY                  CARMEN                   "</f>
        <v xml:space="preserve">MONTROY                  CARMEN                   </v>
      </c>
      <c r="E21051" t="str">
        <f>"TUPELO                    "</f>
        <v xml:space="preserve">TUPELO                    </v>
      </c>
      <c r="F21051" t="str">
        <f t="shared" si="492"/>
        <v>MS</v>
      </c>
    </row>
    <row r="21052" spans="1:6" x14ac:dyDescent="0.25">
      <c r="A21052" t="str">
        <f>"200028425"</f>
        <v>200028425</v>
      </c>
      <c r="B21052" t="str">
        <f>"1376415174"</f>
        <v>1376415174</v>
      </c>
      <c r="C21052" t="str">
        <f>"363LP2300X"</f>
        <v>363LP2300X</v>
      </c>
      <c r="D21052" t="str">
        <f>"DUKE                     KARMESHA                 "</f>
        <v xml:space="preserve">DUKE                     KARMESHA                 </v>
      </c>
      <c r="E21052" t="str">
        <f>"LAMBERT                   "</f>
        <v xml:space="preserve">LAMBERT                   </v>
      </c>
      <c r="F21052" t="str">
        <f t="shared" si="492"/>
        <v>MS</v>
      </c>
    </row>
    <row r="21053" spans="1:6" x14ac:dyDescent="0.25">
      <c r="A21053" t="str">
        <f>"200028427"</f>
        <v>200028427</v>
      </c>
      <c r="B21053" t="str">
        <f>"1467102368"</f>
        <v>1467102368</v>
      </c>
      <c r="C21053" t="str">
        <f>"207P00000X"</f>
        <v>207P00000X</v>
      </c>
      <c r="D21053" t="str">
        <f>"DANIEL                   LUTHER                   "</f>
        <v xml:space="preserve">DANIEL                   LUTHER                   </v>
      </c>
      <c r="E21053" t="str">
        <f>"CORINTH                   "</f>
        <v xml:space="preserve">CORINTH                   </v>
      </c>
      <c r="F21053" t="str">
        <f t="shared" si="492"/>
        <v>MS</v>
      </c>
    </row>
    <row r="21054" spans="1:6" x14ac:dyDescent="0.25">
      <c r="A21054" t="str">
        <f>"200028428"</f>
        <v>200028428</v>
      </c>
      <c r="B21054" t="str">
        <f>"1114008950"</f>
        <v>1114008950</v>
      </c>
      <c r="C21054" t="str">
        <f>"207V00000X"</f>
        <v>207V00000X</v>
      </c>
      <c r="D21054" t="str">
        <f>"LOTT                     CHESTER      C           "</f>
        <v xml:space="preserve">LOTT                     CHESTER      C           </v>
      </c>
      <c r="E21054" t="str">
        <f>"JACKSON                   "</f>
        <v xml:space="preserve">JACKSON                   </v>
      </c>
      <c r="F21054" t="str">
        <f t="shared" ref="F21054:F21117" si="493">"MS"</f>
        <v>MS</v>
      </c>
    </row>
    <row r="21055" spans="1:6" x14ac:dyDescent="0.25">
      <c r="A21055" t="str">
        <f>"200028431"</f>
        <v>200028431</v>
      </c>
      <c r="B21055" t="str">
        <f>"1891119715"</f>
        <v>1891119715</v>
      </c>
      <c r="C21055" t="str">
        <f>"363LF0000X"</f>
        <v>363LF0000X</v>
      </c>
      <c r="D21055" t="str">
        <f>"THOMPSON-LEE             DEBORAH                  "</f>
        <v xml:space="preserve">THOMPSON-LEE             DEBORAH                  </v>
      </c>
      <c r="E21055" t="str">
        <f>"PASCAGOULA                "</f>
        <v xml:space="preserve">PASCAGOULA                </v>
      </c>
      <c r="F21055" t="str">
        <f t="shared" si="493"/>
        <v>MS</v>
      </c>
    </row>
    <row r="21056" spans="1:6" x14ac:dyDescent="0.25">
      <c r="A21056" t="str">
        <f>"200028434"</f>
        <v>200028434</v>
      </c>
      <c r="B21056" t="str">
        <f>"1578689337"</f>
        <v>1578689337</v>
      </c>
      <c r="C21056" t="str">
        <f>"261QM0801X"</f>
        <v>261QM0801X</v>
      </c>
      <c r="D21056" t="str">
        <f>"COMMUNITY COUNSELING SERVICES                     "</f>
        <v xml:space="preserve">COMMUNITY COUNSELING SERVICES                     </v>
      </c>
      <c r="E21056" t="str">
        <f>"EUPORA                    "</f>
        <v xml:space="preserve">EUPORA                    </v>
      </c>
      <c r="F21056" t="str">
        <f t="shared" si="493"/>
        <v>MS</v>
      </c>
    </row>
    <row r="21057" spans="1:6" x14ac:dyDescent="0.25">
      <c r="A21057" t="str">
        <f>"200028436"</f>
        <v>200028436</v>
      </c>
      <c r="B21057" t="str">
        <f>"1982283560"</f>
        <v>1982283560</v>
      </c>
      <c r="C21057" t="str">
        <f>"207Q00000X"</f>
        <v>207Q00000X</v>
      </c>
      <c r="D21057" t="str">
        <f>"MOTA-MARTINEZ            SAMUEL                   "</f>
        <v xml:space="preserve">MOTA-MARTINEZ            SAMUEL                   </v>
      </c>
      <c r="E21057" t="str">
        <f>"JACKSON                   "</f>
        <v xml:space="preserve">JACKSON                   </v>
      </c>
      <c r="F21057" t="str">
        <f t="shared" si="493"/>
        <v>MS</v>
      </c>
    </row>
    <row r="21058" spans="1:6" x14ac:dyDescent="0.25">
      <c r="A21058" t="str">
        <f>"200028437"</f>
        <v>200028437</v>
      </c>
      <c r="B21058" t="str">
        <f>"1710621925"</f>
        <v>1710621925</v>
      </c>
      <c r="C21058" t="str">
        <f>"2085R0202X"</f>
        <v>2085R0202X</v>
      </c>
      <c r="D21058" t="str">
        <f>"TRAN                     LUAN                     "</f>
        <v xml:space="preserve">TRAN                     LUAN                     </v>
      </c>
      <c r="E21058" t="str">
        <f>"SOUTHAVEN                 "</f>
        <v xml:space="preserve">SOUTHAVEN                 </v>
      </c>
      <c r="F21058" t="str">
        <f t="shared" si="493"/>
        <v>MS</v>
      </c>
    </row>
    <row r="21059" spans="1:6" x14ac:dyDescent="0.25">
      <c r="A21059" t="str">
        <f>"200028438"</f>
        <v>200028438</v>
      </c>
      <c r="B21059" t="str">
        <f>"1548515505"</f>
        <v>1548515505</v>
      </c>
      <c r="C21059" t="str">
        <f>"207RN0300X"</f>
        <v>207RN0300X</v>
      </c>
      <c r="D21059" t="str">
        <f>"WEI                      KAVITA                   "</f>
        <v xml:space="preserve">WEI                      KAVITA                   </v>
      </c>
      <c r="E21059" t="str">
        <f>"RIDGELAND                 "</f>
        <v xml:space="preserve">RIDGELAND                 </v>
      </c>
      <c r="F21059" t="str">
        <f t="shared" si="493"/>
        <v>MS</v>
      </c>
    </row>
    <row r="21060" spans="1:6" x14ac:dyDescent="0.25">
      <c r="A21060" t="str">
        <f>"200028439"</f>
        <v>200028439</v>
      </c>
      <c r="B21060" t="str">
        <f>"1184161457"</f>
        <v>1184161457</v>
      </c>
      <c r="C21060" t="str">
        <f>"363LF0000X"</f>
        <v>363LF0000X</v>
      </c>
      <c r="D21060" t="str">
        <f>"KELLAR                   CHRISTIE                 "</f>
        <v xml:space="preserve">KELLAR                   CHRISTIE                 </v>
      </c>
      <c r="E21060" t="str">
        <f>"PICAYUNE                  "</f>
        <v xml:space="preserve">PICAYUNE                  </v>
      </c>
      <c r="F21060" t="str">
        <f t="shared" si="493"/>
        <v>MS</v>
      </c>
    </row>
    <row r="21061" spans="1:6" x14ac:dyDescent="0.25">
      <c r="A21061" t="str">
        <f>"200028440"</f>
        <v>200028440</v>
      </c>
      <c r="B21061" t="str">
        <f>"1285298547"</f>
        <v>1285298547</v>
      </c>
      <c r="C21061" t="str">
        <f>"2085R0202X"</f>
        <v>2085R0202X</v>
      </c>
      <c r="D21061" t="str">
        <f>"PANDE                    NISHA                    "</f>
        <v xml:space="preserve">PANDE                    NISHA                    </v>
      </c>
      <c r="E21061" t="str">
        <f>"OLIVE BRANCH              "</f>
        <v xml:space="preserve">OLIVE BRANCH              </v>
      </c>
      <c r="F21061" t="str">
        <f t="shared" si="493"/>
        <v>MS</v>
      </c>
    </row>
    <row r="21062" spans="1:6" x14ac:dyDescent="0.25">
      <c r="A21062" t="str">
        <f>"200028442"</f>
        <v>200028442</v>
      </c>
      <c r="B21062" t="str">
        <f>"1841583705"</f>
        <v>1841583705</v>
      </c>
      <c r="C21062" t="str">
        <f>"207RG0300X"</f>
        <v>207RG0300X</v>
      </c>
      <c r="D21062" t="str">
        <f>"WALTON                   LYLE                     "</f>
        <v xml:space="preserve">WALTON                   LYLE                     </v>
      </c>
      <c r="E21062" t="str">
        <f>"RIDGELAND                 "</f>
        <v xml:space="preserve">RIDGELAND                 </v>
      </c>
      <c r="F21062" t="str">
        <f t="shared" si="493"/>
        <v>MS</v>
      </c>
    </row>
    <row r="21063" spans="1:6" x14ac:dyDescent="0.25">
      <c r="A21063" t="str">
        <f>"200028443"</f>
        <v>200028443</v>
      </c>
      <c r="B21063" t="str">
        <f>"1750229118"</f>
        <v>1750229118</v>
      </c>
      <c r="C21063" t="str">
        <f>"363LF0000X"</f>
        <v>363LF0000X</v>
      </c>
      <c r="D21063" t="str">
        <f>"COUEY                    ERIN                     "</f>
        <v xml:space="preserve">COUEY                    ERIN                     </v>
      </c>
      <c r="E21063" t="str">
        <f>"WIGGINS                   "</f>
        <v xml:space="preserve">WIGGINS                   </v>
      </c>
      <c r="F21063" t="str">
        <f t="shared" si="493"/>
        <v>MS</v>
      </c>
    </row>
    <row r="21064" spans="1:6" x14ac:dyDescent="0.25">
      <c r="A21064" t="str">
        <f>"200028447"</f>
        <v>200028447</v>
      </c>
      <c r="B21064" t="str">
        <f>"1861103400"</f>
        <v>1861103400</v>
      </c>
      <c r="C21064" t="str">
        <f>"261QM1300X"</f>
        <v>261QM1300X</v>
      </c>
      <c r="D21064" t="str">
        <f>"SAGE HEALTH MISSISSIPPI                           "</f>
        <v xml:space="preserve">SAGE HEALTH MISSISSIPPI                           </v>
      </c>
      <c r="E21064" t="str">
        <f>"GULFPORT                  "</f>
        <v xml:space="preserve">GULFPORT                  </v>
      </c>
      <c r="F21064" t="str">
        <f t="shared" si="493"/>
        <v>MS</v>
      </c>
    </row>
    <row r="21065" spans="1:6" x14ac:dyDescent="0.25">
      <c r="A21065" t="str">
        <f>"200028448"</f>
        <v>200028448</v>
      </c>
      <c r="B21065" t="str">
        <f>"1558468694"</f>
        <v>1558468694</v>
      </c>
      <c r="C21065" t="str">
        <f>"261QM0801X"</f>
        <v>261QM0801X</v>
      </c>
      <c r="D21065" t="str">
        <f>"NORTH MS COMMISSION ON MI/MR DBA COMMUNICARE      "</f>
        <v xml:space="preserve">NORTH MS COMMISSION ON MI/MR DBA COMMUNICARE      </v>
      </c>
      <c r="E21065" t="str">
        <f>"BATESVILLE                "</f>
        <v xml:space="preserve">BATESVILLE                </v>
      </c>
      <c r="F21065" t="str">
        <f t="shared" si="493"/>
        <v>MS</v>
      </c>
    </row>
    <row r="21066" spans="1:6" x14ac:dyDescent="0.25">
      <c r="A21066" t="str">
        <f>"200028451"</f>
        <v>200028451</v>
      </c>
      <c r="B21066" t="str">
        <f>"1700823697"</f>
        <v>1700823697</v>
      </c>
      <c r="C21066" t="str">
        <f>"208M00000X"</f>
        <v>208M00000X</v>
      </c>
      <c r="D21066" t="str">
        <f>"HENDRICKS                MALCOLM                  "</f>
        <v xml:space="preserve">HENDRICKS                MALCOLM                  </v>
      </c>
      <c r="E21066" t="str">
        <f>"MADISON                   "</f>
        <v xml:space="preserve">MADISON                   </v>
      </c>
      <c r="F21066" t="str">
        <f t="shared" si="493"/>
        <v>MS</v>
      </c>
    </row>
    <row r="21067" spans="1:6" x14ac:dyDescent="0.25">
      <c r="A21067" t="str">
        <f>"200028453"</f>
        <v>200028453</v>
      </c>
      <c r="B21067" t="str">
        <f>"1194065797"</f>
        <v>1194065797</v>
      </c>
      <c r="C21067" t="str">
        <f>"363LF0000X"</f>
        <v>363LF0000X</v>
      </c>
      <c r="D21067" t="str">
        <f>"SABINS                   BETHANY      B           "</f>
        <v xml:space="preserve">SABINS                   BETHANY      B           </v>
      </c>
      <c r="E21067" t="str">
        <f>"JACKSON                   "</f>
        <v xml:space="preserve">JACKSON                   </v>
      </c>
      <c r="F21067" t="str">
        <f t="shared" si="493"/>
        <v>MS</v>
      </c>
    </row>
    <row r="21068" spans="1:6" x14ac:dyDescent="0.25">
      <c r="A21068" t="str">
        <f>"200028455"</f>
        <v>200028455</v>
      </c>
      <c r="B21068" t="str">
        <f>"1326401514"</f>
        <v>1326401514</v>
      </c>
      <c r="C21068" t="str">
        <f>"2085R0202X"</f>
        <v>2085R0202X</v>
      </c>
      <c r="D21068" t="str">
        <f>"VOGLER                   JAMES                    "</f>
        <v xml:space="preserve">VOGLER                   JAMES                    </v>
      </c>
      <c r="E21068" t="str">
        <f>"OXFORD                    "</f>
        <v xml:space="preserve">OXFORD                    </v>
      </c>
      <c r="F21068" t="str">
        <f t="shared" si="493"/>
        <v>MS</v>
      </c>
    </row>
    <row r="21069" spans="1:6" x14ac:dyDescent="0.25">
      <c r="A21069" t="str">
        <f>"200028457"</f>
        <v>200028457</v>
      </c>
      <c r="B21069" t="str">
        <f>"1124868898"</f>
        <v>1124868898</v>
      </c>
      <c r="C21069" t="str">
        <f>"363L00000X"</f>
        <v>363L00000X</v>
      </c>
      <c r="D21069" t="str">
        <f>"WILLIAMS                 DIAMOND      D           "</f>
        <v xml:space="preserve">WILLIAMS                 DIAMOND      D           </v>
      </c>
      <c r="E21069" t="str">
        <f>"FLOWOOD                   "</f>
        <v xml:space="preserve">FLOWOOD                   </v>
      </c>
      <c r="F21069" t="str">
        <f t="shared" si="493"/>
        <v>MS</v>
      </c>
    </row>
    <row r="21070" spans="1:6" x14ac:dyDescent="0.25">
      <c r="A21070" t="str">
        <f>"200028458"</f>
        <v>200028458</v>
      </c>
      <c r="B21070" t="str">
        <f>"1952783003"</f>
        <v>1952783003</v>
      </c>
      <c r="C21070" t="str">
        <f>"367500000X"</f>
        <v>367500000X</v>
      </c>
      <c r="D21070" t="str">
        <f>"JAMES                    ALEXANDER                "</f>
        <v xml:space="preserve">JAMES                    ALEXANDER                </v>
      </c>
      <c r="E21070" t="str">
        <f>"OXFORD                    "</f>
        <v xml:space="preserve">OXFORD                    </v>
      </c>
      <c r="F21070" t="str">
        <f t="shared" si="493"/>
        <v>MS</v>
      </c>
    </row>
    <row r="21071" spans="1:6" x14ac:dyDescent="0.25">
      <c r="A21071" t="str">
        <f>"200028459"</f>
        <v>200028459</v>
      </c>
      <c r="B21071" t="str">
        <f>"1114052552"</f>
        <v>1114052552</v>
      </c>
      <c r="C21071" t="str">
        <f>"367500000X"</f>
        <v>367500000X</v>
      </c>
      <c r="D21071" t="str">
        <f>"BROWN                    MICHEL       R           "</f>
        <v xml:space="preserve">BROWN                    MICHEL       R           </v>
      </c>
      <c r="E21071" t="str">
        <f>"GULFPORT                  "</f>
        <v xml:space="preserve">GULFPORT                  </v>
      </c>
      <c r="F21071" t="str">
        <f t="shared" si="493"/>
        <v>MS</v>
      </c>
    </row>
    <row r="21072" spans="1:6" x14ac:dyDescent="0.25">
      <c r="A21072" t="str">
        <f>"200028460"</f>
        <v>200028460</v>
      </c>
      <c r="B21072" t="str">
        <f>"1073193124"</f>
        <v>1073193124</v>
      </c>
      <c r="C21072" t="str">
        <f>"207R00000X"</f>
        <v>207R00000X</v>
      </c>
      <c r="D21072" t="str">
        <f>"JOHNSTON                 SAMUEL                   "</f>
        <v xml:space="preserve">JOHNSTON                 SAMUEL                   </v>
      </c>
      <c r="E21072" t="str">
        <f>"TUPELO                    "</f>
        <v xml:space="preserve">TUPELO                    </v>
      </c>
      <c r="F21072" t="str">
        <f t="shared" si="493"/>
        <v>MS</v>
      </c>
    </row>
    <row r="21073" spans="1:6" x14ac:dyDescent="0.25">
      <c r="A21073" t="str">
        <f>"200028462"</f>
        <v>200028462</v>
      </c>
      <c r="B21073" t="str">
        <f>"1356178149"</f>
        <v>1356178149</v>
      </c>
      <c r="C21073" t="str">
        <f>"261QR1300X"</f>
        <v>261QR1300X</v>
      </c>
      <c r="D21073" t="str">
        <f>"MAGNOLIA REGIONAL HEALTH CENTER DBA MAGNOLIA WOMEN"</f>
        <v>MAGNOLIA REGIONAL HEALTH CENTER DBA MAGNOLIA WOMEN</v>
      </c>
      <c r="E21073" t="str">
        <f>"CORINTH                   "</f>
        <v xml:space="preserve">CORINTH                   </v>
      </c>
      <c r="F21073" t="str">
        <f t="shared" si="493"/>
        <v>MS</v>
      </c>
    </row>
    <row r="21074" spans="1:6" x14ac:dyDescent="0.25">
      <c r="A21074" t="str">
        <f>"200028463"</f>
        <v>200028463</v>
      </c>
      <c r="B21074" t="str">
        <f>"1134056617"</f>
        <v>1134056617</v>
      </c>
      <c r="C21074" t="str">
        <f>"363LP0808X"</f>
        <v>363LP0808X</v>
      </c>
      <c r="D21074" t="str">
        <f>"GUEST                    KATHARINE                "</f>
        <v xml:space="preserve">GUEST                    KATHARINE                </v>
      </c>
      <c r="E21074" t="str">
        <f>"LELAND                    "</f>
        <v xml:space="preserve">LELAND                    </v>
      </c>
      <c r="F21074" t="str">
        <f t="shared" si="493"/>
        <v>MS</v>
      </c>
    </row>
    <row r="21075" spans="1:6" x14ac:dyDescent="0.25">
      <c r="A21075" t="str">
        <f>"200028464"</f>
        <v>200028464</v>
      </c>
      <c r="B21075" t="str">
        <f>"1508601527"</f>
        <v>1508601527</v>
      </c>
      <c r="C21075" t="str">
        <f>"207P00000X"</f>
        <v>207P00000X</v>
      </c>
      <c r="D21075" t="str">
        <f>"CHASE                    DENISA                   "</f>
        <v xml:space="preserve">CHASE                    DENISA                   </v>
      </c>
      <c r="E21075" t="str">
        <f>"NEW ALBANY                "</f>
        <v xml:space="preserve">NEW ALBANY                </v>
      </c>
      <c r="F21075" t="str">
        <f t="shared" si="493"/>
        <v>MS</v>
      </c>
    </row>
    <row r="21076" spans="1:6" x14ac:dyDescent="0.25">
      <c r="A21076" t="str">
        <f>"200028465"</f>
        <v>200028465</v>
      </c>
      <c r="B21076" t="str">
        <f>"1912249087"</f>
        <v>1912249087</v>
      </c>
      <c r="C21076" t="str">
        <f>"207RP1001X"</f>
        <v>207RP1001X</v>
      </c>
      <c r="D21076" t="str">
        <f>"SWAMY                    LAKSHMANA                "</f>
        <v xml:space="preserve">SWAMY                    LAKSHMANA                </v>
      </c>
      <c r="E21076" t="str">
        <f>"RIDGELAND                 "</f>
        <v xml:space="preserve">RIDGELAND                 </v>
      </c>
      <c r="F21076" t="str">
        <f t="shared" si="493"/>
        <v>MS</v>
      </c>
    </row>
    <row r="21077" spans="1:6" x14ac:dyDescent="0.25">
      <c r="A21077" t="str">
        <f>"200028472"</f>
        <v>200028472</v>
      </c>
      <c r="B21077" t="str">
        <f>"1568942324"</f>
        <v>1568942324</v>
      </c>
      <c r="C21077" t="str">
        <f>"363LP0808X"</f>
        <v>363LP0808X</v>
      </c>
      <c r="D21077" t="str">
        <f>"GRIFFIN                  CATINA                   "</f>
        <v xml:space="preserve">GRIFFIN                  CATINA                   </v>
      </c>
      <c r="E21077" t="str">
        <f>"GULFPORT                  "</f>
        <v xml:space="preserve">GULFPORT                  </v>
      </c>
      <c r="F21077" t="str">
        <f t="shared" si="493"/>
        <v>MS</v>
      </c>
    </row>
    <row r="21078" spans="1:6" x14ac:dyDescent="0.25">
      <c r="A21078" t="str">
        <f>"200028473"</f>
        <v>200028473</v>
      </c>
      <c r="B21078" t="str">
        <f>"1720589070"</f>
        <v>1720589070</v>
      </c>
      <c r="C21078" t="str">
        <f>"261QF0400X"</f>
        <v>261QF0400X</v>
      </c>
      <c r="D21078" t="str">
        <f>"MANTACHIE RURAL HEALTH CARE, INC                  "</f>
        <v xml:space="preserve">MANTACHIE RURAL HEALTH CARE, INC                  </v>
      </c>
      <c r="E21078" t="str">
        <f>"MANTACHIE                 "</f>
        <v xml:space="preserve">MANTACHIE                 </v>
      </c>
      <c r="F21078" t="str">
        <f t="shared" si="493"/>
        <v>MS</v>
      </c>
    </row>
    <row r="21079" spans="1:6" x14ac:dyDescent="0.25">
      <c r="A21079" t="str">
        <f>"200028476"</f>
        <v>200028476</v>
      </c>
      <c r="B21079" t="str">
        <f>"1912134503"</f>
        <v>1912134503</v>
      </c>
      <c r="C21079" t="str">
        <f>"207Q00000X"</f>
        <v>207Q00000X</v>
      </c>
      <c r="D21079" t="str">
        <f>"ROBINSON-PARKS           ASHA                     "</f>
        <v xml:space="preserve">ROBINSON-PARKS           ASHA                     </v>
      </c>
      <c r="E21079" t="str">
        <f>"MADISON                   "</f>
        <v xml:space="preserve">MADISON                   </v>
      </c>
      <c r="F21079" t="str">
        <f t="shared" si="493"/>
        <v>MS</v>
      </c>
    </row>
    <row r="21080" spans="1:6" x14ac:dyDescent="0.25">
      <c r="A21080" t="str">
        <f>"200028477"</f>
        <v>200028477</v>
      </c>
      <c r="B21080" t="str">
        <f>"1083615520"</f>
        <v>1083615520</v>
      </c>
      <c r="C21080" t="str">
        <f>"207RN0300X"</f>
        <v>207RN0300X</v>
      </c>
      <c r="D21080" t="str">
        <f>"JOHNSON                  MARISA                   "</f>
        <v xml:space="preserve">JOHNSON                  MARISA                   </v>
      </c>
      <c r="E21080" t="str">
        <f>"RIDGELAND                 "</f>
        <v xml:space="preserve">RIDGELAND                 </v>
      </c>
      <c r="F21080" t="str">
        <f t="shared" si="493"/>
        <v>MS</v>
      </c>
    </row>
    <row r="21081" spans="1:6" x14ac:dyDescent="0.25">
      <c r="A21081" t="str">
        <f>"200028480"</f>
        <v>200028480</v>
      </c>
      <c r="B21081" t="str">
        <f>"1407204233"</f>
        <v>1407204233</v>
      </c>
      <c r="C21081" t="str">
        <f>"207RP1001X"</f>
        <v>207RP1001X</v>
      </c>
      <c r="D21081" t="str">
        <f>"WHITTON                  THOMAS                   "</f>
        <v xml:space="preserve">WHITTON                  THOMAS                   </v>
      </c>
      <c r="E21081" t="str">
        <f>"LAUREL                    "</f>
        <v xml:space="preserve">LAUREL                    </v>
      </c>
      <c r="F21081" t="str">
        <f t="shared" si="493"/>
        <v>MS</v>
      </c>
    </row>
    <row r="21082" spans="1:6" x14ac:dyDescent="0.25">
      <c r="A21082" t="str">
        <f>"200028481"</f>
        <v>200028481</v>
      </c>
      <c r="B21082" t="str">
        <f>"1578680005"</f>
        <v>1578680005</v>
      </c>
      <c r="C21082" t="str">
        <f>"261QM0801X"</f>
        <v>261QM0801X</v>
      </c>
      <c r="D21082" t="str">
        <f>"COMMUNITY COUNSELING SERVICES                     "</f>
        <v xml:space="preserve">COMMUNITY COUNSELING SERVICES                     </v>
      </c>
      <c r="E21082" t="str">
        <f>"MACON                     "</f>
        <v xml:space="preserve">MACON                     </v>
      </c>
      <c r="F21082" t="str">
        <f t="shared" si="493"/>
        <v>MS</v>
      </c>
    </row>
    <row r="21083" spans="1:6" x14ac:dyDescent="0.25">
      <c r="A21083" t="str">
        <f>"200028486"</f>
        <v>200028486</v>
      </c>
      <c r="B21083" t="str">
        <f>"1154374957"</f>
        <v>1154374957</v>
      </c>
      <c r="C21083" t="str">
        <f>"207V00000X"</f>
        <v>207V00000X</v>
      </c>
      <c r="D21083" t="str">
        <f>"CREWS                    JAMES        H           "</f>
        <v xml:space="preserve">CREWS                    JAMES        H           </v>
      </c>
      <c r="E21083" t="str">
        <f>"JACKSON                   "</f>
        <v xml:space="preserve">JACKSON                   </v>
      </c>
      <c r="F21083" t="str">
        <f t="shared" si="493"/>
        <v>MS</v>
      </c>
    </row>
    <row r="21084" spans="1:6" x14ac:dyDescent="0.25">
      <c r="A21084" t="str">
        <f>"200028492"</f>
        <v>200028492</v>
      </c>
      <c r="B21084" t="str">
        <f>"1558468694"</f>
        <v>1558468694</v>
      </c>
      <c r="C21084" t="str">
        <f>"261QM0801X"</f>
        <v>261QM0801X</v>
      </c>
      <c r="D21084" t="str">
        <f>"NORTH MS COMMISSION ON MI/MR DBA COMMUNICARE      "</f>
        <v xml:space="preserve">NORTH MS COMMISSION ON MI/MR DBA COMMUNICARE      </v>
      </c>
      <c r="E21084" t="str">
        <f>"WATER VALLEY              "</f>
        <v xml:space="preserve">WATER VALLEY              </v>
      </c>
      <c r="F21084" t="str">
        <f t="shared" si="493"/>
        <v>MS</v>
      </c>
    </row>
    <row r="21085" spans="1:6" x14ac:dyDescent="0.25">
      <c r="A21085" t="str">
        <f>"200028495"</f>
        <v>200028495</v>
      </c>
      <c r="B21085" t="str">
        <f>"1871575373"</f>
        <v>1871575373</v>
      </c>
      <c r="C21085" t="str">
        <f>"363AM0700X"</f>
        <v>363AM0700X</v>
      </c>
      <c r="D21085" t="str">
        <f>"SHOWS                    DARELL       E           "</f>
        <v xml:space="preserve">SHOWS                    DARELL       E           </v>
      </c>
      <c r="E21085" t="str">
        <f>"MERIDIAN                  "</f>
        <v xml:space="preserve">MERIDIAN                  </v>
      </c>
      <c r="F21085" t="str">
        <f t="shared" si="493"/>
        <v>MS</v>
      </c>
    </row>
    <row r="21086" spans="1:6" x14ac:dyDescent="0.25">
      <c r="A21086" t="str">
        <f>"200028499"</f>
        <v>200028499</v>
      </c>
      <c r="B21086" t="str">
        <f>"1164268314"</f>
        <v>1164268314</v>
      </c>
      <c r="C21086" t="str">
        <f>"363LF0000X"</f>
        <v>363LF0000X</v>
      </c>
      <c r="D21086" t="str">
        <f>"SEAL                     JAMES                    "</f>
        <v xml:space="preserve">SEAL                     JAMES                    </v>
      </c>
      <c r="E21086" t="str">
        <f>"PICAYUNE                  "</f>
        <v xml:space="preserve">PICAYUNE                  </v>
      </c>
      <c r="F21086" t="str">
        <f t="shared" si="493"/>
        <v>MS</v>
      </c>
    </row>
    <row r="21087" spans="1:6" x14ac:dyDescent="0.25">
      <c r="A21087" t="str">
        <f>"200028501"</f>
        <v>200028501</v>
      </c>
      <c r="B21087" t="str">
        <f>"1487484135"</f>
        <v>1487484135</v>
      </c>
      <c r="C21087" t="str">
        <f>"363A00000X"</f>
        <v>363A00000X</v>
      </c>
      <c r="D21087" t="str">
        <f>"MATTHEWS                 AMANDA                   "</f>
        <v xml:space="preserve">MATTHEWS                 AMANDA                   </v>
      </c>
      <c r="E21087" t="str">
        <f>"JACKSON                   "</f>
        <v xml:space="preserve">JACKSON                   </v>
      </c>
      <c r="F21087" t="str">
        <f t="shared" si="493"/>
        <v>MS</v>
      </c>
    </row>
    <row r="21088" spans="1:6" x14ac:dyDescent="0.25">
      <c r="A21088" t="str">
        <f>"200028504"</f>
        <v>200028504</v>
      </c>
      <c r="B21088" t="str">
        <f>"1801098611"</f>
        <v>1801098611</v>
      </c>
      <c r="C21088" t="str">
        <f>"207L00000X"</f>
        <v>207L00000X</v>
      </c>
      <c r="D21088" t="str">
        <f>"VILLANI                  JUAN                     "</f>
        <v xml:space="preserve">VILLANI                  JUAN                     </v>
      </c>
      <c r="E21088" t="str">
        <f>"JACKSON                   "</f>
        <v xml:space="preserve">JACKSON                   </v>
      </c>
      <c r="F21088" t="str">
        <f t="shared" si="493"/>
        <v>MS</v>
      </c>
    </row>
    <row r="21089" spans="1:6" x14ac:dyDescent="0.25">
      <c r="A21089" t="str">
        <f>"200028505"</f>
        <v>200028505</v>
      </c>
      <c r="B21089" t="str">
        <f>"1114979184"</f>
        <v>1114979184</v>
      </c>
      <c r="C21089" t="str">
        <f>"207RN0300X"</f>
        <v>207RN0300X</v>
      </c>
      <c r="D21089" t="str">
        <f>"CLAYTON                  CHERYL                   "</f>
        <v xml:space="preserve">CLAYTON                  CHERYL                   </v>
      </c>
      <c r="E21089" t="str">
        <f>"RIDGELAND                 "</f>
        <v xml:space="preserve">RIDGELAND                 </v>
      </c>
      <c r="F21089" t="str">
        <f t="shared" si="493"/>
        <v>MS</v>
      </c>
    </row>
    <row r="21090" spans="1:6" x14ac:dyDescent="0.25">
      <c r="A21090" t="str">
        <f>"200028508"</f>
        <v>200028508</v>
      </c>
      <c r="B21090" t="str">
        <f>"1013515980"</f>
        <v>1013515980</v>
      </c>
      <c r="C21090" t="str">
        <f>"363LF0000X"</f>
        <v>363LF0000X</v>
      </c>
      <c r="D21090" t="str">
        <f>"MCDOUGAL                 AARRIN                   "</f>
        <v xml:space="preserve">MCDOUGAL                 AARRIN                   </v>
      </c>
      <c r="E21090" t="str">
        <f>"BATESVILLE                "</f>
        <v xml:space="preserve">BATESVILLE                </v>
      </c>
      <c r="F21090" t="str">
        <f t="shared" si="493"/>
        <v>MS</v>
      </c>
    </row>
    <row r="21091" spans="1:6" x14ac:dyDescent="0.25">
      <c r="A21091" t="str">
        <f>"200028513"</f>
        <v>200028513</v>
      </c>
      <c r="B21091" t="str">
        <f>"1750345005"</f>
        <v>1750345005</v>
      </c>
      <c r="C21091" t="str">
        <f>"367500000X"</f>
        <v>367500000X</v>
      </c>
      <c r="D21091" t="str">
        <f>"KEEL                     KIMBERLY     A           "</f>
        <v xml:space="preserve">KEEL                     KIMBERLY     A           </v>
      </c>
      <c r="E21091" t="str">
        <f>"GULFPORT                  "</f>
        <v xml:space="preserve">GULFPORT                  </v>
      </c>
      <c r="F21091" t="str">
        <f t="shared" si="493"/>
        <v>MS</v>
      </c>
    </row>
    <row r="21092" spans="1:6" x14ac:dyDescent="0.25">
      <c r="A21092" t="str">
        <f>"200028514"</f>
        <v>200028514</v>
      </c>
      <c r="B21092" t="str">
        <f>"1346337623"</f>
        <v>1346337623</v>
      </c>
      <c r="C21092" t="str">
        <f>"363LF0000X"</f>
        <v>363LF0000X</v>
      </c>
      <c r="D21092" t="str">
        <f>"FARNER                   KELLEY                   "</f>
        <v xml:space="preserve">FARNER                   KELLEY                   </v>
      </c>
      <c r="E21092" t="str">
        <f>"JACKSON                   "</f>
        <v xml:space="preserve">JACKSON                   </v>
      </c>
      <c r="F21092" t="str">
        <f t="shared" si="493"/>
        <v>MS</v>
      </c>
    </row>
    <row r="21093" spans="1:6" x14ac:dyDescent="0.25">
      <c r="A21093" t="str">
        <f>"200028522"</f>
        <v>200028522</v>
      </c>
      <c r="B21093" t="str">
        <f>"1306192612"</f>
        <v>1306192612</v>
      </c>
      <c r="C21093" t="str">
        <f>"367500000X"</f>
        <v>367500000X</v>
      </c>
      <c r="D21093" t="str">
        <f>"BLANKS                   LAURA        S           "</f>
        <v xml:space="preserve">BLANKS                   LAURA        S           </v>
      </c>
      <c r="E21093" t="str">
        <f>"GULFPORT                  "</f>
        <v xml:space="preserve">GULFPORT                  </v>
      </c>
      <c r="F21093" t="str">
        <f t="shared" si="493"/>
        <v>MS</v>
      </c>
    </row>
    <row r="21094" spans="1:6" x14ac:dyDescent="0.25">
      <c r="A21094" t="str">
        <f>"200028524"</f>
        <v>200028524</v>
      </c>
      <c r="B21094" t="str">
        <f>"1184574451"</f>
        <v>1184574451</v>
      </c>
      <c r="C21094" t="str">
        <f>"363LG0600X"</f>
        <v>363LG0600X</v>
      </c>
      <c r="D21094" t="str">
        <f>"HARKINS III              THOMAS       M           "</f>
        <v xml:space="preserve">HARKINS III              THOMAS       M           </v>
      </c>
      <c r="E21094" t="str">
        <f>"JACKSON                   "</f>
        <v xml:space="preserve">JACKSON                   </v>
      </c>
      <c r="F21094" t="str">
        <f t="shared" si="493"/>
        <v>MS</v>
      </c>
    </row>
    <row r="21095" spans="1:6" x14ac:dyDescent="0.25">
      <c r="A21095" t="str">
        <f>"200028526"</f>
        <v>200028526</v>
      </c>
      <c r="B21095" t="str">
        <f>"1003435678"</f>
        <v>1003435678</v>
      </c>
      <c r="C21095" t="str">
        <f>"367500000X"</f>
        <v>367500000X</v>
      </c>
      <c r="D21095" t="str">
        <f>"PITTMAN                  KATHRYN                  "</f>
        <v xml:space="preserve">PITTMAN                  KATHRYN                  </v>
      </c>
      <c r="E21095" t="str">
        <f>"GULFPORT                  "</f>
        <v xml:space="preserve">GULFPORT                  </v>
      </c>
      <c r="F21095" t="str">
        <f t="shared" si="493"/>
        <v>MS</v>
      </c>
    </row>
    <row r="21096" spans="1:6" x14ac:dyDescent="0.25">
      <c r="A21096" t="str">
        <f>"200028529"</f>
        <v>200028529</v>
      </c>
      <c r="B21096" t="str">
        <f>"1023357274"</f>
        <v>1023357274</v>
      </c>
      <c r="C21096" t="str">
        <f>"363L00000X"</f>
        <v>363L00000X</v>
      </c>
      <c r="D21096" t="str">
        <f>"GARRETT                  DONALD                   "</f>
        <v xml:space="preserve">GARRETT                  DONALD                   </v>
      </c>
      <c r="E21096" t="str">
        <f>"BRANDON                   "</f>
        <v xml:space="preserve">BRANDON                   </v>
      </c>
      <c r="F21096" t="str">
        <f t="shared" si="493"/>
        <v>MS</v>
      </c>
    </row>
    <row r="21097" spans="1:6" x14ac:dyDescent="0.25">
      <c r="A21097" t="str">
        <f>"200028537"</f>
        <v>200028537</v>
      </c>
      <c r="B21097" t="str">
        <f>"1063633576"</f>
        <v>1063633576</v>
      </c>
      <c r="C21097" t="str">
        <f>"207RC0000X"</f>
        <v>207RC0000X</v>
      </c>
      <c r="D21097" t="str">
        <f>"BALFOUR                  PELBRETON                "</f>
        <v xml:space="preserve">BALFOUR                  PELBRETON                </v>
      </c>
      <c r="E21097" t="str">
        <f>"RIDGELAND                 "</f>
        <v xml:space="preserve">RIDGELAND                 </v>
      </c>
      <c r="F21097" t="str">
        <f t="shared" si="493"/>
        <v>MS</v>
      </c>
    </row>
    <row r="21098" spans="1:6" x14ac:dyDescent="0.25">
      <c r="A21098" t="str">
        <f>"200028538"</f>
        <v>200028538</v>
      </c>
      <c r="B21098" t="str">
        <f>"1497629448"</f>
        <v>1497629448</v>
      </c>
      <c r="C21098" t="str">
        <f>"363L00000X"</f>
        <v>363L00000X</v>
      </c>
      <c r="D21098" t="str">
        <f>"BENNETT                  CHRISTOPHER              "</f>
        <v xml:space="preserve">BENNETT                  CHRISTOPHER              </v>
      </c>
      <c r="E21098" t="str">
        <f>"SOUTHAVEN                 "</f>
        <v xml:space="preserve">SOUTHAVEN                 </v>
      </c>
      <c r="F21098" t="str">
        <f t="shared" si="493"/>
        <v>MS</v>
      </c>
    </row>
    <row r="21099" spans="1:6" x14ac:dyDescent="0.25">
      <c r="A21099" t="str">
        <f>"200028541"</f>
        <v>200028541</v>
      </c>
      <c r="B21099" t="str">
        <f>"1578126546"</f>
        <v>1578126546</v>
      </c>
      <c r="C21099" t="str">
        <f>"207RC0000X"</f>
        <v>207RC0000X</v>
      </c>
      <c r="D21099" t="str">
        <f>"JEHANGIR                 QASIM                    "</f>
        <v xml:space="preserve">JEHANGIR                 QASIM                    </v>
      </c>
      <c r="E21099" t="str">
        <f>"HATTIESBURG               "</f>
        <v xml:space="preserve">HATTIESBURG               </v>
      </c>
      <c r="F21099" t="str">
        <f t="shared" si="493"/>
        <v>MS</v>
      </c>
    </row>
    <row r="21100" spans="1:6" x14ac:dyDescent="0.25">
      <c r="A21100" t="str">
        <f>"200028542"</f>
        <v>200028542</v>
      </c>
      <c r="B21100" t="str">
        <f>"1063897155"</f>
        <v>1063897155</v>
      </c>
      <c r="C21100" t="str">
        <f>"363L00000X"</f>
        <v>363L00000X</v>
      </c>
      <c r="D21100" t="str">
        <f>"JOHNSON                  NNEBUIFE     N           "</f>
        <v xml:space="preserve">JOHNSON                  NNEBUIFE     N           </v>
      </c>
      <c r="E21100" t="str">
        <f>"FLOWOOD                   "</f>
        <v xml:space="preserve">FLOWOOD                   </v>
      </c>
      <c r="F21100" t="str">
        <f t="shared" si="493"/>
        <v>MS</v>
      </c>
    </row>
    <row r="21101" spans="1:6" x14ac:dyDescent="0.25">
      <c r="A21101" t="str">
        <f>"200028548"</f>
        <v>200028548</v>
      </c>
      <c r="B21101" t="str">
        <f>"1750223814"</f>
        <v>1750223814</v>
      </c>
      <c r="C21101" t="str">
        <f>"122300000X"</f>
        <v>122300000X</v>
      </c>
      <c r="D21101" t="str">
        <f>"FEI                      TIANYUN                  "</f>
        <v xml:space="preserve">FEI                      TIANYUN                  </v>
      </c>
      <c r="E21101" t="str">
        <f>"JACKSON                   "</f>
        <v xml:space="preserve">JACKSON                   </v>
      </c>
      <c r="F21101" t="str">
        <f t="shared" si="493"/>
        <v>MS</v>
      </c>
    </row>
    <row r="21102" spans="1:6" x14ac:dyDescent="0.25">
      <c r="A21102" t="str">
        <f>"200028550"</f>
        <v>200028550</v>
      </c>
      <c r="B21102" t="str">
        <f>"1831763820"</f>
        <v>1831763820</v>
      </c>
      <c r="C21102" t="str">
        <f>"207RC0000X"</f>
        <v>207RC0000X</v>
      </c>
      <c r="D21102" t="str">
        <f>"SHARMA                   MANJARI                  "</f>
        <v xml:space="preserve">SHARMA                   MANJARI                  </v>
      </c>
      <c r="E21102" t="str">
        <f>"OCEAN SPRINGS             "</f>
        <v xml:space="preserve">OCEAN SPRINGS             </v>
      </c>
      <c r="F21102" t="str">
        <f t="shared" si="493"/>
        <v>MS</v>
      </c>
    </row>
    <row r="21103" spans="1:6" x14ac:dyDescent="0.25">
      <c r="A21103" t="str">
        <f>"200028552"</f>
        <v>200028552</v>
      </c>
      <c r="B21103" t="str">
        <f>"1811578529"</f>
        <v>1811578529</v>
      </c>
      <c r="C21103" t="str">
        <f>"1223P0221X"</f>
        <v>1223P0221X</v>
      </c>
      <c r="D21103" t="str">
        <f>"LANGFORD                 DAVID                    "</f>
        <v xml:space="preserve">LANGFORD                 DAVID                    </v>
      </c>
      <c r="E21103" t="str">
        <f>"JACKSON                   "</f>
        <v xml:space="preserve">JACKSON                   </v>
      </c>
      <c r="F21103" t="str">
        <f t="shared" si="493"/>
        <v>MS</v>
      </c>
    </row>
    <row r="21104" spans="1:6" x14ac:dyDescent="0.25">
      <c r="A21104" t="str">
        <f>"200028554"</f>
        <v>200028554</v>
      </c>
      <c r="B21104" t="str">
        <f>"1043288541"</f>
        <v>1043288541</v>
      </c>
      <c r="C21104" t="str">
        <f>"367500000X"</f>
        <v>367500000X</v>
      </c>
      <c r="D21104" t="str">
        <f>"CAVALIER                 GLEN         M           "</f>
        <v xml:space="preserve">CAVALIER                 GLEN         M           </v>
      </c>
      <c r="E21104" t="str">
        <f>"GULFPORT                  "</f>
        <v xml:space="preserve">GULFPORT                  </v>
      </c>
      <c r="F21104" t="str">
        <f t="shared" si="493"/>
        <v>MS</v>
      </c>
    </row>
    <row r="21105" spans="1:6" x14ac:dyDescent="0.25">
      <c r="A21105" t="str">
        <f>"200028555"</f>
        <v>200028555</v>
      </c>
      <c r="B21105" t="str">
        <f>"1790617850"</f>
        <v>1790617850</v>
      </c>
      <c r="C21105" t="str">
        <f>"367500000X"</f>
        <v>367500000X</v>
      </c>
      <c r="D21105" t="str">
        <f>"JOHNSON                  WESLEY                   "</f>
        <v xml:space="preserve">JOHNSON                  WESLEY                   </v>
      </c>
      <c r="E21105" t="str">
        <f>"HATTIESBURG               "</f>
        <v xml:space="preserve">HATTIESBURG               </v>
      </c>
      <c r="F21105" t="str">
        <f t="shared" si="493"/>
        <v>MS</v>
      </c>
    </row>
    <row r="21106" spans="1:6" x14ac:dyDescent="0.25">
      <c r="A21106" t="str">
        <f>"200028561"</f>
        <v>200028561</v>
      </c>
      <c r="B21106" t="str">
        <f>"1518655679"</f>
        <v>1518655679</v>
      </c>
      <c r="C21106" t="str">
        <f>"122300000X"</f>
        <v>122300000X</v>
      </c>
      <c r="D21106" t="str">
        <f>"BURNHAM                  ANDREW                   "</f>
        <v xml:space="preserve">BURNHAM                  ANDREW                   </v>
      </c>
      <c r="E21106" t="str">
        <f>"HATTIESBURG               "</f>
        <v xml:space="preserve">HATTIESBURG               </v>
      </c>
      <c r="F21106" t="str">
        <f t="shared" si="493"/>
        <v>MS</v>
      </c>
    </row>
    <row r="21107" spans="1:6" x14ac:dyDescent="0.25">
      <c r="A21107" t="str">
        <f>"200028569"</f>
        <v>200028569</v>
      </c>
      <c r="B21107" t="str">
        <f>"1053706721"</f>
        <v>1053706721</v>
      </c>
      <c r="C21107" t="str">
        <f>"207P00000X"</f>
        <v>207P00000X</v>
      </c>
      <c r="D21107" t="str">
        <f>"BARRY                    CHRISTIN                 "</f>
        <v xml:space="preserve">BARRY                    CHRISTIN                 </v>
      </c>
      <c r="E21107" t="str">
        <f>"JACKSON                   "</f>
        <v xml:space="preserve">JACKSON                   </v>
      </c>
      <c r="F21107" t="str">
        <f t="shared" si="493"/>
        <v>MS</v>
      </c>
    </row>
    <row r="21108" spans="1:6" x14ac:dyDescent="0.25">
      <c r="A21108" t="str">
        <f>"200028579"</f>
        <v>200028579</v>
      </c>
      <c r="B21108" t="str">
        <f>"1891850921"</f>
        <v>1891850921</v>
      </c>
      <c r="C21108" t="str">
        <f>"207RI0200X"</f>
        <v>207RI0200X</v>
      </c>
      <c r="D21108" t="str">
        <f>"FATTEH                   NAAZ                     "</f>
        <v xml:space="preserve">FATTEH                   NAAZ                     </v>
      </c>
      <c r="E21108" t="str">
        <f>"HATTIESBURG               "</f>
        <v xml:space="preserve">HATTIESBURG               </v>
      </c>
      <c r="F21108" t="str">
        <f t="shared" si="493"/>
        <v>MS</v>
      </c>
    </row>
    <row r="21109" spans="1:6" x14ac:dyDescent="0.25">
      <c r="A21109" t="str">
        <f>"200028582"</f>
        <v>200028582</v>
      </c>
      <c r="B21109" t="str">
        <f>"1023581436"</f>
        <v>1023581436</v>
      </c>
      <c r="C21109" t="str">
        <f>"363LF0000X"</f>
        <v>363LF0000X</v>
      </c>
      <c r="D21109" t="str">
        <f>"TILLETT                  JENNA        L           "</f>
        <v xml:space="preserve">TILLETT                  JENNA        L           </v>
      </c>
      <c r="E21109" t="str">
        <f>"FLOWOOD                   "</f>
        <v xml:space="preserve">FLOWOOD                   </v>
      </c>
      <c r="F21109" t="str">
        <f t="shared" si="493"/>
        <v>MS</v>
      </c>
    </row>
    <row r="21110" spans="1:6" x14ac:dyDescent="0.25">
      <c r="A21110" t="str">
        <f>"200028583"</f>
        <v>200028583</v>
      </c>
      <c r="B21110" t="str">
        <f>"1942822168"</f>
        <v>1942822168</v>
      </c>
      <c r="C21110" t="str">
        <f>"207R00000X"</f>
        <v>207R00000X</v>
      </c>
      <c r="D21110" t="str">
        <f>"IQBAL                    ALI                      "</f>
        <v xml:space="preserve">IQBAL                    ALI                      </v>
      </c>
      <c r="E21110" t="str">
        <f>"SOUTHAVEN                 "</f>
        <v xml:space="preserve">SOUTHAVEN                 </v>
      </c>
      <c r="F21110" t="str">
        <f t="shared" si="493"/>
        <v>MS</v>
      </c>
    </row>
    <row r="21111" spans="1:6" x14ac:dyDescent="0.25">
      <c r="A21111" t="str">
        <f>"200028585"</f>
        <v>200028585</v>
      </c>
      <c r="B21111" t="str">
        <f>"1700440930"</f>
        <v>1700440930</v>
      </c>
      <c r="C21111" t="str">
        <f>"207W00000X"</f>
        <v>207W00000X</v>
      </c>
      <c r="D21111" t="str">
        <f>"FITZPATRICK              JOHN         C           "</f>
        <v xml:space="preserve">FITZPATRICK              JOHN         C           </v>
      </c>
      <c r="E21111" t="str">
        <f>"HATTIESBURG               "</f>
        <v xml:space="preserve">HATTIESBURG               </v>
      </c>
      <c r="F21111" t="str">
        <f t="shared" si="493"/>
        <v>MS</v>
      </c>
    </row>
    <row r="21112" spans="1:6" x14ac:dyDescent="0.25">
      <c r="A21112" t="str">
        <f>"200028588"</f>
        <v>200028588</v>
      </c>
      <c r="B21112" t="str">
        <f>"1407167547"</f>
        <v>1407167547</v>
      </c>
      <c r="C21112" t="str">
        <f>"208000000X"</f>
        <v>208000000X</v>
      </c>
      <c r="D21112" t="str">
        <f>"SIMPSON                  LAUREN                   "</f>
        <v xml:space="preserve">SIMPSON                  LAUREN                   </v>
      </c>
      <c r="E21112" t="str">
        <f>"NEW ALBANY                "</f>
        <v xml:space="preserve">NEW ALBANY                </v>
      </c>
      <c r="F21112" t="str">
        <f t="shared" si="493"/>
        <v>MS</v>
      </c>
    </row>
    <row r="21113" spans="1:6" x14ac:dyDescent="0.25">
      <c r="A21113" t="str">
        <f>"200028589"</f>
        <v>200028589</v>
      </c>
      <c r="B21113" t="str">
        <f>"1053624742"</f>
        <v>1053624742</v>
      </c>
      <c r="C21113" t="str">
        <f>"367500000X"</f>
        <v>367500000X</v>
      </c>
      <c r="D21113" t="str">
        <f>"STOKES                   HEATHER      G           "</f>
        <v xml:space="preserve">STOKES                   HEATHER      G           </v>
      </c>
      <c r="E21113" t="str">
        <f>"JACKSON                   "</f>
        <v xml:space="preserve">JACKSON                   </v>
      </c>
      <c r="F21113" t="str">
        <f t="shared" si="493"/>
        <v>MS</v>
      </c>
    </row>
    <row r="21114" spans="1:6" x14ac:dyDescent="0.25">
      <c r="A21114" t="str">
        <f>"200028604"</f>
        <v>200028604</v>
      </c>
      <c r="B21114" t="str">
        <f>"1295479822"</f>
        <v>1295479822</v>
      </c>
      <c r="C21114" t="str">
        <f>"208M00000X"</f>
        <v>208M00000X</v>
      </c>
      <c r="D21114" t="str">
        <f>"POTTER                   TERRELL                  "</f>
        <v xml:space="preserve">POTTER                   TERRELL                  </v>
      </c>
      <c r="E21114" t="str">
        <f>"TUPELO                    "</f>
        <v xml:space="preserve">TUPELO                    </v>
      </c>
      <c r="F21114" t="str">
        <f t="shared" si="493"/>
        <v>MS</v>
      </c>
    </row>
    <row r="21115" spans="1:6" x14ac:dyDescent="0.25">
      <c r="A21115" t="str">
        <f>"200028605"</f>
        <v>200028605</v>
      </c>
      <c r="B21115" t="str">
        <f>"1700141074"</f>
        <v>1700141074</v>
      </c>
      <c r="C21115" t="str">
        <f>"363LF0000X"</f>
        <v>363LF0000X</v>
      </c>
      <c r="D21115" t="str">
        <f>"CALDWELL                 JENNIFER     M           "</f>
        <v xml:space="preserve">CALDWELL                 JENNIFER     M           </v>
      </c>
      <c r="E21115" t="str">
        <f>"TUPELO                    "</f>
        <v xml:space="preserve">TUPELO                    </v>
      </c>
      <c r="F21115" t="str">
        <f t="shared" si="493"/>
        <v>MS</v>
      </c>
    </row>
    <row r="21116" spans="1:6" x14ac:dyDescent="0.25">
      <c r="A21116" t="str">
        <f>"200028610"</f>
        <v>200028610</v>
      </c>
      <c r="B21116" t="str">
        <f>"1639858772"</f>
        <v>1639858772</v>
      </c>
      <c r="C21116" t="str">
        <f>"367500000X"</f>
        <v>367500000X</v>
      </c>
      <c r="D21116" t="str">
        <f>"THERIOT                  EMILY        K           "</f>
        <v xml:space="preserve">THERIOT                  EMILY        K           </v>
      </c>
      <c r="E21116" t="str">
        <f>"GULFPORT                  "</f>
        <v xml:space="preserve">GULFPORT                  </v>
      </c>
      <c r="F21116" t="str">
        <f t="shared" si="493"/>
        <v>MS</v>
      </c>
    </row>
    <row r="21117" spans="1:6" x14ac:dyDescent="0.25">
      <c r="A21117" t="str">
        <f>"200028620"</f>
        <v>200028620</v>
      </c>
      <c r="B21117" t="str">
        <f>"1689046104"</f>
        <v>1689046104</v>
      </c>
      <c r="C21117" t="str">
        <f>"363LP0808X"</f>
        <v>363LP0808X</v>
      </c>
      <c r="D21117" t="str">
        <f>"HERVEY                   KRISNA       A           "</f>
        <v xml:space="preserve">HERVEY                   KRISNA       A           </v>
      </c>
      <c r="E21117" t="str">
        <f>"OXFORD                    "</f>
        <v xml:space="preserve">OXFORD                    </v>
      </c>
      <c r="F21117" t="str">
        <f t="shared" si="493"/>
        <v>MS</v>
      </c>
    </row>
    <row r="21118" spans="1:6" x14ac:dyDescent="0.25">
      <c r="A21118" t="str">
        <f>"200028621"</f>
        <v>200028621</v>
      </c>
      <c r="B21118" t="str">
        <f>"1578406260"</f>
        <v>1578406260</v>
      </c>
      <c r="C21118" t="str">
        <f>"363L00000X"</f>
        <v>363L00000X</v>
      </c>
      <c r="D21118" t="str">
        <f>"LEE                      ALEXIS                   "</f>
        <v xml:space="preserve">LEE                      ALEXIS                   </v>
      </c>
      <c r="E21118" t="str">
        <f>"EUPORA                    "</f>
        <v xml:space="preserve">EUPORA                    </v>
      </c>
      <c r="F21118" t="str">
        <f t="shared" ref="F21118:F21181" si="494">"MS"</f>
        <v>MS</v>
      </c>
    </row>
    <row r="21119" spans="1:6" x14ac:dyDescent="0.25">
      <c r="A21119" t="str">
        <f>"200028626"</f>
        <v>200028626</v>
      </c>
      <c r="B21119" t="str">
        <f>"1467432906"</f>
        <v>1467432906</v>
      </c>
      <c r="C21119" t="str">
        <f>"207L00000X"</f>
        <v>207L00000X</v>
      </c>
      <c r="D21119" t="str">
        <f>"WATSON                   ROBERT                   "</f>
        <v xml:space="preserve">WATSON                   ROBERT                   </v>
      </c>
      <c r="E21119" t="str">
        <f>"TUPELO                    "</f>
        <v xml:space="preserve">TUPELO                    </v>
      </c>
      <c r="F21119" t="str">
        <f t="shared" si="494"/>
        <v>MS</v>
      </c>
    </row>
    <row r="21120" spans="1:6" x14ac:dyDescent="0.25">
      <c r="A21120" t="str">
        <f>"200028628"</f>
        <v>200028628</v>
      </c>
      <c r="B21120" t="str">
        <f>"1629430376"</f>
        <v>1629430376</v>
      </c>
      <c r="C21120" t="str">
        <f>"2085R0001X"</f>
        <v>2085R0001X</v>
      </c>
      <c r="D21120" t="str">
        <f>"AGARWAL                  ANKIT                    "</f>
        <v xml:space="preserve">AGARWAL                  ANKIT                    </v>
      </c>
      <c r="E21120" t="str">
        <f>"TUPELO                    "</f>
        <v xml:space="preserve">TUPELO                    </v>
      </c>
      <c r="F21120" t="str">
        <f t="shared" si="494"/>
        <v>MS</v>
      </c>
    </row>
    <row r="21121" spans="1:6" x14ac:dyDescent="0.25">
      <c r="A21121" t="str">
        <f>"200028629"</f>
        <v>200028629</v>
      </c>
      <c r="B21121" t="str">
        <f>"1083177133"</f>
        <v>1083177133</v>
      </c>
      <c r="C21121" t="str">
        <f>"207R00000X"</f>
        <v>207R00000X</v>
      </c>
      <c r="D21121" t="str">
        <f>"NDEBBIO                  UTIBE                    "</f>
        <v xml:space="preserve">NDEBBIO                  UTIBE                    </v>
      </c>
      <c r="E21121" t="str">
        <f>"SOUTHAVEN                 "</f>
        <v xml:space="preserve">SOUTHAVEN                 </v>
      </c>
      <c r="F21121" t="str">
        <f t="shared" si="494"/>
        <v>MS</v>
      </c>
    </row>
    <row r="21122" spans="1:6" x14ac:dyDescent="0.25">
      <c r="A21122" t="str">
        <f>"200028631"</f>
        <v>200028631</v>
      </c>
      <c r="B21122" t="str">
        <f>"1659687788"</f>
        <v>1659687788</v>
      </c>
      <c r="C21122" t="str">
        <f>"207R00000X"</f>
        <v>207R00000X</v>
      </c>
      <c r="D21122" t="str">
        <f>"AGARWAL                  RAJENDER                 "</f>
        <v xml:space="preserve">AGARWAL                  RAJENDER                 </v>
      </c>
      <c r="E21122" t="str">
        <f>"SOUTHAVEN                 "</f>
        <v xml:space="preserve">SOUTHAVEN                 </v>
      </c>
      <c r="F21122" t="str">
        <f t="shared" si="494"/>
        <v>MS</v>
      </c>
    </row>
    <row r="21123" spans="1:6" x14ac:dyDescent="0.25">
      <c r="A21123" t="str">
        <f>"200028633"</f>
        <v>200028633</v>
      </c>
      <c r="B21123" t="str">
        <f>"1861378804"</f>
        <v>1861378804</v>
      </c>
      <c r="C21123" t="str">
        <f>"363A00000X"</f>
        <v>363A00000X</v>
      </c>
      <c r="D21123" t="str">
        <f>"SCARBER                  CHELSEA                  "</f>
        <v xml:space="preserve">SCARBER                  CHELSEA                  </v>
      </c>
      <c r="E21123" t="str">
        <f>"STARKVILLE                "</f>
        <v xml:space="preserve">STARKVILLE                </v>
      </c>
      <c r="F21123" t="str">
        <f t="shared" si="494"/>
        <v>MS</v>
      </c>
    </row>
    <row r="21124" spans="1:6" x14ac:dyDescent="0.25">
      <c r="A21124" t="str">
        <f>"200028635"</f>
        <v>200028635</v>
      </c>
      <c r="B21124" t="str">
        <f>"1114918851"</f>
        <v>1114918851</v>
      </c>
      <c r="C21124" t="str">
        <f>"2085R0001X"</f>
        <v>2085R0001X</v>
      </c>
      <c r="D21124" t="str">
        <f>"KURTZMAN                 STEVEN                   "</f>
        <v xml:space="preserve">KURTZMAN                 STEVEN                   </v>
      </c>
      <c r="E21124" t="str">
        <f>"TUPELO                    "</f>
        <v xml:space="preserve">TUPELO                    </v>
      </c>
      <c r="F21124" t="str">
        <f t="shared" si="494"/>
        <v>MS</v>
      </c>
    </row>
    <row r="21125" spans="1:6" x14ac:dyDescent="0.25">
      <c r="A21125" t="str">
        <f>"200028637"</f>
        <v>200028637</v>
      </c>
      <c r="B21125" t="str">
        <f>"1124323555"</f>
        <v>1124323555</v>
      </c>
      <c r="C21125" t="str">
        <f>"363LA2100X"</f>
        <v>363LA2100X</v>
      </c>
      <c r="D21125" t="str">
        <f>"MAYO                     NINA         N           "</f>
        <v xml:space="preserve">MAYO                     NINA         N           </v>
      </c>
      <c r="E21125" t="str">
        <f>"JACKSON                   "</f>
        <v xml:space="preserve">JACKSON                   </v>
      </c>
      <c r="F21125" t="str">
        <f t="shared" si="494"/>
        <v>MS</v>
      </c>
    </row>
    <row r="21126" spans="1:6" x14ac:dyDescent="0.25">
      <c r="A21126" t="str">
        <f>"200028639"</f>
        <v>200028639</v>
      </c>
      <c r="B21126" t="str">
        <f>"1730899782"</f>
        <v>1730899782</v>
      </c>
      <c r="C21126" t="str">
        <f>"363LF0000X"</f>
        <v>363LF0000X</v>
      </c>
      <c r="D21126" t="str">
        <f>"PERTUIT                  JENNA                    "</f>
        <v xml:space="preserve">PERTUIT                  JENNA                    </v>
      </c>
      <c r="E21126" t="str">
        <f>"BILOXI                    "</f>
        <v xml:space="preserve">BILOXI                    </v>
      </c>
      <c r="F21126" t="str">
        <f t="shared" si="494"/>
        <v>MS</v>
      </c>
    </row>
    <row r="21127" spans="1:6" x14ac:dyDescent="0.25">
      <c r="A21127" t="str">
        <f>"200028642"</f>
        <v>200028642</v>
      </c>
      <c r="B21127" t="str">
        <f>"1225641483"</f>
        <v>1225641483</v>
      </c>
      <c r="C21127" t="str">
        <f>"363L00000X"</f>
        <v>363L00000X</v>
      </c>
      <c r="D21127" t="str">
        <f>"BRANNAGAN                PAIGE        N           "</f>
        <v xml:space="preserve">BRANNAGAN                PAIGE        N           </v>
      </c>
      <c r="E21127" t="str">
        <f>"FLOWOOD                   "</f>
        <v xml:space="preserve">FLOWOOD                   </v>
      </c>
      <c r="F21127" t="str">
        <f t="shared" si="494"/>
        <v>MS</v>
      </c>
    </row>
    <row r="21128" spans="1:6" x14ac:dyDescent="0.25">
      <c r="A21128" t="str">
        <f>"200028650"</f>
        <v>200028650</v>
      </c>
      <c r="B21128" t="str">
        <f>"1376492041"</f>
        <v>1376492041</v>
      </c>
      <c r="C21128" t="str">
        <f>"261QM1300X"</f>
        <v>261QM1300X</v>
      </c>
      <c r="D21128" t="str">
        <f>"THE PUZZLE BOX                                    "</f>
        <v xml:space="preserve">THE PUZZLE BOX                                    </v>
      </c>
      <c r="E21128" t="str">
        <f>"COLUMBUS                  "</f>
        <v xml:space="preserve">COLUMBUS                  </v>
      </c>
      <c r="F21128" t="str">
        <f t="shared" si="494"/>
        <v>MS</v>
      </c>
    </row>
    <row r="21129" spans="1:6" x14ac:dyDescent="0.25">
      <c r="A21129" t="str">
        <f>"200028653"</f>
        <v>200028653</v>
      </c>
      <c r="B21129" t="str">
        <f>"1063852457"</f>
        <v>1063852457</v>
      </c>
      <c r="C21129" t="str">
        <f>"207P00000X"</f>
        <v>207P00000X</v>
      </c>
      <c r="D21129" t="str">
        <f>"CARSON                   MICHELLE                 "</f>
        <v xml:space="preserve">CARSON                   MICHELLE                 </v>
      </c>
      <c r="E21129" t="str">
        <f>"BOONEVILLE                "</f>
        <v xml:space="preserve">BOONEVILLE                </v>
      </c>
      <c r="F21129" t="str">
        <f t="shared" si="494"/>
        <v>MS</v>
      </c>
    </row>
    <row r="21130" spans="1:6" x14ac:dyDescent="0.25">
      <c r="A21130" t="str">
        <f>"200028658"</f>
        <v>200028658</v>
      </c>
      <c r="B21130" t="str">
        <f>"1265935027"</f>
        <v>1265935027</v>
      </c>
      <c r="C21130" t="str">
        <f>"2085R0001X"</f>
        <v>2085R0001X</v>
      </c>
      <c r="D21130" t="str">
        <f>"SHUMWAY                  JOHN                     "</f>
        <v xml:space="preserve">SHUMWAY                  JOHN                     </v>
      </c>
      <c r="E21130" t="str">
        <f>"TUPELO                    "</f>
        <v xml:space="preserve">TUPELO                    </v>
      </c>
      <c r="F21130" t="str">
        <f t="shared" si="494"/>
        <v>MS</v>
      </c>
    </row>
    <row r="21131" spans="1:6" x14ac:dyDescent="0.25">
      <c r="A21131" t="str">
        <f>"200028659"</f>
        <v>200028659</v>
      </c>
      <c r="B21131" t="str">
        <f>"1194458612"</f>
        <v>1194458612</v>
      </c>
      <c r="C21131" t="str">
        <f>"207W00000X"</f>
        <v>207W00000X</v>
      </c>
      <c r="D21131" t="str">
        <f>"SHAH                     JONAH                    "</f>
        <v xml:space="preserve">SHAH                     JONAH                    </v>
      </c>
      <c r="E21131" t="str">
        <f>"OXFORD                    "</f>
        <v xml:space="preserve">OXFORD                    </v>
      </c>
      <c r="F21131" t="str">
        <f t="shared" si="494"/>
        <v>MS</v>
      </c>
    </row>
    <row r="21132" spans="1:6" x14ac:dyDescent="0.25">
      <c r="A21132" t="str">
        <f>"200028675"</f>
        <v>200028675</v>
      </c>
      <c r="B21132" t="str">
        <f>"1427282854"</f>
        <v>1427282854</v>
      </c>
      <c r="C21132" t="str">
        <f>"363LF0000X"</f>
        <v>363LF0000X</v>
      </c>
      <c r="D21132" t="str">
        <f>"LEWIS                    MELODY                   "</f>
        <v xml:space="preserve">LEWIS                    MELODY                   </v>
      </c>
      <c r="E21132" t="str">
        <f>"FLOWOOD                   "</f>
        <v xml:space="preserve">FLOWOOD                   </v>
      </c>
      <c r="F21132" t="str">
        <f t="shared" si="494"/>
        <v>MS</v>
      </c>
    </row>
    <row r="21133" spans="1:6" x14ac:dyDescent="0.25">
      <c r="A21133" t="str">
        <f>"200028676"</f>
        <v>200028676</v>
      </c>
      <c r="B21133" t="str">
        <f>"1447304324"</f>
        <v>1447304324</v>
      </c>
      <c r="C21133" t="str">
        <f>"122300000X"</f>
        <v>122300000X</v>
      </c>
      <c r="D21133" t="str">
        <f>"CARROLL D PIERCE                                  "</f>
        <v xml:space="preserve">CARROLL D PIERCE                                  </v>
      </c>
      <c r="E21133" t="str">
        <f>"ELLISVILLE                "</f>
        <v xml:space="preserve">ELLISVILLE                </v>
      </c>
      <c r="F21133" t="str">
        <f t="shared" si="494"/>
        <v>MS</v>
      </c>
    </row>
    <row r="21134" spans="1:6" x14ac:dyDescent="0.25">
      <c r="A21134" t="str">
        <f>"200028680"</f>
        <v>200028680</v>
      </c>
      <c r="B21134" t="str">
        <f>"1083452189"</f>
        <v>1083452189</v>
      </c>
      <c r="C21134" t="str">
        <f>"363LP0808X"</f>
        <v>363LP0808X</v>
      </c>
      <c r="D21134" t="str">
        <f>"BRENNER                  HANNAH                   "</f>
        <v xml:space="preserve">BRENNER                  HANNAH                   </v>
      </c>
      <c r="E21134" t="str">
        <f>"HERNANDO                  "</f>
        <v xml:space="preserve">HERNANDO                  </v>
      </c>
      <c r="F21134" t="str">
        <f t="shared" si="494"/>
        <v>MS</v>
      </c>
    </row>
    <row r="21135" spans="1:6" x14ac:dyDescent="0.25">
      <c r="A21135" t="str">
        <f>"200028685"</f>
        <v>200028685</v>
      </c>
      <c r="B21135" t="str">
        <f>"1992346076"</f>
        <v>1992346076</v>
      </c>
      <c r="C21135" t="str">
        <f>"363L00000X"</f>
        <v>363L00000X</v>
      </c>
      <c r="D21135" t="str">
        <f>"COX                      ADRAINE                  "</f>
        <v xml:space="preserve">COX                      ADRAINE                  </v>
      </c>
      <c r="E21135" t="str">
        <f>"JACKSON                   "</f>
        <v xml:space="preserve">JACKSON                   </v>
      </c>
      <c r="F21135" t="str">
        <f t="shared" si="494"/>
        <v>MS</v>
      </c>
    </row>
    <row r="21136" spans="1:6" x14ac:dyDescent="0.25">
      <c r="A21136" t="str">
        <f>"200028688"</f>
        <v>200028688</v>
      </c>
      <c r="B21136" t="str">
        <f>"1528869096"</f>
        <v>1528869096</v>
      </c>
      <c r="C21136" t="str">
        <f>"363A00000X"</f>
        <v>363A00000X</v>
      </c>
      <c r="D21136" t="str">
        <f>"NELSON                   CAITLYN                  "</f>
        <v xml:space="preserve">NELSON                   CAITLYN                  </v>
      </c>
      <c r="E21136" t="str">
        <f>"FLOWOOD                   "</f>
        <v xml:space="preserve">FLOWOOD                   </v>
      </c>
      <c r="F21136" t="str">
        <f t="shared" si="494"/>
        <v>MS</v>
      </c>
    </row>
    <row r="21137" spans="1:6" x14ac:dyDescent="0.25">
      <c r="A21137" t="str">
        <f>"200028691"</f>
        <v>200028691</v>
      </c>
      <c r="B21137" t="str">
        <f>"1013966068"</f>
        <v>1013966068</v>
      </c>
      <c r="C21137" t="str">
        <f>"367500000X"</f>
        <v>367500000X</v>
      </c>
      <c r="D21137" t="str">
        <f>"STARR                    BILLY                    "</f>
        <v xml:space="preserve">STARR                    BILLY                    </v>
      </c>
      <c r="E21137" t="str">
        <f>"NATCHEZ                   "</f>
        <v xml:space="preserve">NATCHEZ                   </v>
      </c>
      <c r="F21137" t="str">
        <f t="shared" si="494"/>
        <v>MS</v>
      </c>
    </row>
    <row r="21138" spans="1:6" x14ac:dyDescent="0.25">
      <c r="A21138" t="str">
        <f>"200028693"</f>
        <v>200028693</v>
      </c>
      <c r="B21138" t="str">
        <f>"1508699729"</f>
        <v>1508699729</v>
      </c>
      <c r="C21138" t="str">
        <f>"363LF0000X"</f>
        <v>363LF0000X</v>
      </c>
      <c r="D21138" t="str">
        <f>"SOWARD                   TANIKA       N           "</f>
        <v xml:space="preserve">SOWARD                   TANIKA       N           </v>
      </c>
      <c r="E21138" t="str">
        <f>"FLOWOOD                   "</f>
        <v xml:space="preserve">FLOWOOD                   </v>
      </c>
      <c r="F21138" t="str">
        <f t="shared" si="494"/>
        <v>MS</v>
      </c>
    </row>
    <row r="21139" spans="1:6" x14ac:dyDescent="0.25">
      <c r="A21139" t="str">
        <f>"200028694"</f>
        <v>200028694</v>
      </c>
      <c r="B21139" t="str">
        <f>"1841273729"</f>
        <v>1841273729</v>
      </c>
      <c r="C21139" t="str">
        <f>"207R00000X"</f>
        <v>207R00000X</v>
      </c>
      <c r="D21139" t="str">
        <f>"SRINIVASAN               VENKAT                   "</f>
        <v xml:space="preserve">SRINIVASAN               VENKAT                   </v>
      </c>
      <c r="E21139" t="str">
        <f>"RIDGELAND                 "</f>
        <v xml:space="preserve">RIDGELAND                 </v>
      </c>
      <c r="F21139" t="str">
        <f t="shared" si="494"/>
        <v>MS</v>
      </c>
    </row>
    <row r="21140" spans="1:6" x14ac:dyDescent="0.25">
      <c r="A21140" t="str">
        <f>"200028695"</f>
        <v>200028695</v>
      </c>
      <c r="B21140" t="str">
        <f>"1699891358"</f>
        <v>1699891358</v>
      </c>
      <c r="C21140" t="str">
        <f>"261QM0801X"</f>
        <v>261QM0801X</v>
      </c>
      <c r="D21140" t="str">
        <f>"CHURCH STREET APARTMENTS                          "</f>
        <v xml:space="preserve">CHURCH STREET APARTMENTS                          </v>
      </c>
      <c r="E21140" t="str">
        <f>"LOUISVILLE                "</f>
        <v xml:space="preserve">LOUISVILLE                </v>
      </c>
      <c r="F21140" t="str">
        <f t="shared" si="494"/>
        <v>MS</v>
      </c>
    </row>
    <row r="21141" spans="1:6" x14ac:dyDescent="0.25">
      <c r="A21141" t="str">
        <f>"200028696"</f>
        <v>200028696</v>
      </c>
      <c r="B21141" t="str">
        <f>"1578689048"</f>
        <v>1578689048</v>
      </c>
      <c r="C21141" t="str">
        <f>"261QM0801X"</f>
        <v>261QM0801X</v>
      </c>
      <c r="D21141" t="str">
        <f>"COMMUNITY COUNSELING SERVICES                     "</f>
        <v xml:space="preserve">COMMUNITY COUNSELING SERVICES                     </v>
      </c>
      <c r="E21141" t="str">
        <f>"WEST POINT                "</f>
        <v xml:space="preserve">WEST POINT                </v>
      </c>
      <c r="F21141" t="str">
        <f t="shared" si="494"/>
        <v>MS</v>
      </c>
    </row>
    <row r="21142" spans="1:6" x14ac:dyDescent="0.25">
      <c r="A21142" t="str">
        <f>"200028699"</f>
        <v>200028699</v>
      </c>
      <c r="B21142" t="str">
        <f>"1851955074"</f>
        <v>1851955074</v>
      </c>
      <c r="C21142" t="str">
        <f>"367500000X"</f>
        <v>367500000X</v>
      </c>
      <c r="D21142" t="str">
        <f>"PARKER                   BRITTANY                 "</f>
        <v xml:space="preserve">PARKER                   BRITTANY                 </v>
      </c>
      <c r="E21142" t="str">
        <f>"FLOWOOD                   "</f>
        <v xml:space="preserve">FLOWOOD                   </v>
      </c>
      <c r="F21142" t="str">
        <f t="shared" si="494"/>
        <v>MS</v>
      </c>
    </row>
    <row r="21143" spans="1:6" x14ac:dyDescent="0.25">
      <c r="A21143" t="str">
        <f>"200028701"</f>
        <v>200028701</v>
      </c>
      <c r="B21143" t="str">
        <f>"1982663209"</f>
        <v>1982663209</v>
      </c>
      <c r="C21143" t="str">
        <f>"367500000X"</f>
        <v>367500000X</v>
      </c>
      <c r="D21143" t="str">
        <f>"BANKSTON                 SUSAN                    "</f>
        <v xml:space="preserve">BANKSTON                 SUSAN                    </v>
      </c>
      <c r="E21143" t="str">
        <f>"OCEAN SPRINGS             "</f>
        <v xml:space="preserve">OCEAN SPRINGS             </v>
      </c>
      <c r="F21143" t="str">
        <f t="shared" si="494"/>
        <v>MS</v>
      </c>
    </row>
    <row r="21144" spans="1:6" x14ac:dyDescent="0.25">
      <c r="A21144" t="str">
        <f>"200028702"</f>
        <v>200028702</v>
      </c>
      <c r="B21144" t="str">
        <f>"1902961055"</f>
        <v>1902961055</v>
      </c>
      <c r="C21144" t="str">
        <f>"367500000X"</f>
        <v>367500000X</v>
      </c>
      <c r="D21144" t="str">
        <f>"JOHNSON                  JUANITA      S           "</f>
        <v xml:space="preserve">JOHNSON                  JUANITA      S           </v>
      </c>
      <c r="E21144" t="str">
        <f>"GULFPORT                  "</f>
        <v xml:space="preserve">GULFPORT                  </v>
      </c>
      <c r="F21144" t="str">
        <f t="shared" si="494"/>
        <v>MS</v>
      </c>
    </row>
    <row r="21145" spans="1:6" x14ac:dyDescent="0.25">
      <c r="A21145" t="str">
        <f>"200028705"</f>
        <v>200028705</v>
      </c>
      <c r="B21145" t="str">
        <f>"1982109526"</f>
        <v>1982109526</v>
      </c>
      <c r="C21145" t="str">
        <f>"363L00000X"</f>
        <v>363L00000X</v>
      </c>
      <c r="D21145" t="str">
        <f>"RANDLE                   MIA                      "</f>
        <v xml:space="preserve">RANDLE                   MIA                      </v>
      </c>
      <c r="E21145" t="str">
        <f>"COLUMBUS                  "</f>
        <v xml:space="preserve">COLUMBUS                  </v>
      </c>
      <c r="F21145" t="str">
        <f t="shared" si="494"/>
        <v>MS</v>
      </c>
    </row>
    <row r="21146" spans="1:6" x14ac:dyDescent="0.25">
      <c r="A21146" t="str">
        <f>"200028706"</f>
        <v>200028706</v>
      </c>
      <c r="B21146" t="str">
        <f>"1942732342"</f>
        <v>1942732342</v>
      </c>
      <c r="C21146" t="str">
        <f>"2085R0202X"</f>
        <v>2085R0202X</v>
      </c>
      <c r="D21146" t="str">
        <f>"HANSEN                   JACOB                    "</f>
        <v xml:space="preserve">HANSEN                   JACOB                    </v>
      </c>
      <c r="E21146" t="str">
        <f>"HATTIESBURG               "</f>
        <v xml:space="preserve">HATTIESBURG               </v>
      </c>
      <c r="F21146" t="str">
        <f t="shared" si="494"/>
        <v>MS</v>
      </c>
    </row>
    <row r="21147" spans="1:6" x14ac:dyDescent="0.25">
      <c r="A21147" t="str">
        <f>"200028710"</f>
        <v>200028710</v>
      </c>
      <c r="B21147" t="str">
        <f>"1053330381"</f>
        <v>1053330381</v>
      </c>
      <c r="C21147" t="str">
        <f>"367500000X"</f>
        <v>367500000X</v>
      </c>
      <c r="D21147" t="str">
        <f>"ISHEE                    JAMES                    "</f>
        <v xml:space="preserve">ISHEE                    JAMES                    </v>
      </c>
      <c r="E21147" t="str">
        <f>"FLOWOOD                   "</f>
        <v xml:space="preserve">FLOWOOD                   </v>
      </c>
      <c r="F21147" t="str">
        <f t="shared" si="494"/>
        <v>MS</v>
      </c>
    </row>
    <row r="21148" spans="1:6" x14ac:dyDescent="0.25">
      <c r="A21148" t="str">
        <f>"200028717"</f>
        <v>200028717</v>
      </c>
      <c r="B21148" t="str">
        <f>"1578689048"</f>
        <v>1578689048</v>
      </c>
      <c r="C21148" t="str">
        <f>"261QM0801X"</f>
        <v>261QM0801X</v>
      </c>
      <c r="D21148" t="str">
        <f>"COMMUNITY COUNSELING SERVICES                     "</f>
        <v xml:space="preserve">COMMUNITY COUNSELING SERVICES                     </v>
      </c>
      <c r="E21148" t="str">
        <f>"WEST POINT                "</f>
        <v xml:space="preserve">WEST POINT                </v>
      </c>
      <c r="F21148" t="str">
        <f t="shared" si="494"/>
        <v>MS</v>
      </c>
    </row>
    <row r="21149" spans="1:6" x14ac:dyDescent="0.25">
      <c r="A21149" t="str">
        <f>"200028719"</f>
        <v>200028719</v>
      </c>
      <c r="B21149" t="str">
        <f>"1699891358"</f>
        <v>1699891358</v>
      </c>
      <c r="C21149" t="str">
        <f>"261QM0801X"</f>
        <v>261QM0801X</v>
      </c>
      <c r="D21149" t="str">
        <f>"ANCHOR HOUSE                                      "</f>
        <v xml:space="preserve">ANCHOR HOUSE                                      </v>
      </c>
      <c r="E21149" t="str">
        <f>"LOUISVILLE                "</f>
        <v xml:space="preserve">LOUISVILLE                </v>
      </c>
      <c r="F21149" t="str">
        <f t="shared" si="494"/>
        <v>MS</v>
      </c>
    </row>
    <row r="21150" spans="1:6" x14ac:dyDescent="0.25">
      <c r="A21150" t="str">
        <f>"200028720"</f>
        <v>200028720</v>
      </c>
      <c r="B21150" t="str">
        <f>"1699891358"</f>
        <v>1699891358</v>
      </c>
      <c r="C21150" t="str">
        <f>"261QM0801X"</f>
        <v>261QM0801X</v>
      </c>
      <c r="D21150" t="str">
        <f>"COMMUNITY COUNSELING SERVICES                     "</f>
        <v xml:space="preserve">COMMUNITY COUNSELING SERVICES                     </v>
      </c>
      <c r="E21150" t="str">
        <f>"LOUISVILLE                "</f>
        <v xml:space="preserve">LOUISVILLE                </v>
      </c>
      <c r="F21150" t="str">
        <f t="shared" si="494"/>
        <v>MS</v>
      </c>
    </row>
    <row r="21151" spans="1:6" x14ac:dyDescent="0.25">
      <c r="A21151" t="str">
        <f>"200028722"</f>
        <v>200028722</v>
      </c>
      <c r="B21151" t="str">
        <f>"1043522444"</f>
        <v>1043522444</v>
      </c>
      <c r="C21151" t="str">
        <f>"367500000X"</f>
        <v>367500000X</v>
      </c>
      <c r="D21151" t="str">
        <f>"KLESTER                  JULIE                    "</f>
        <v xml:space="preserve">KLESTER                  JULIE                    </v>
      </c>
      <c r="E21151" t="str">
        <f>"GULFPORT                  "</f>
        <v xml:space="preserve">GULFPORT                  </v>
      </c>
      <c r="F21151" t="str">
        <f t="shared" si="494"/>
        <v>MS</v>
      </c>
    </row>
    <row r="21152" spans="1:6" x14ac:dyDescent="0.25">
      <c r="A21152" t="str">
        <f>"200028724"</f>
        <v>200028724</v>
      </c>
      <c r="B21152" t="str">
        <f>"1780324764"</f>
        <v>1780324764</v>
      </c>
      <c r="C21152" t="str">
        <f>"207L00000X"</f>
        <v>207L00000X</v>
      </c>
      <c r="D21152" t="str">
        <f>"ROTH                     HUNTER                   "</f>
        <v xml:space="preserve">ROTH                     HUNTER                   </v>
      </c>
      <c r="E21152" t="str">
        <f>"TUPELO                    "</f>
        <v xml:space="preserve">TUPELO                    </v>
      </c>
      <c r="F21152" t="str">
        <f t="shared" si="494"/>
        <v>MS</v>
      </c>
    </row>
    <row r="21153" spans="1:6" x14ac:dyDescent="0.25">
      <c r="A21153" t="str">
        <f>"200028726"</f>
        <v>200028726</v>
      </c>
      <c r="B21153" t="str">
        <f>"1700419199"</f>
        <v>1700419199</v>
      </c>
      <c r="C21153" t="str">
        <f>"363L00000X"</f>
        <v>363L00000X</v>
      </c>
      <c r="D21153" t="str">
        <f>"DAVIS                    EMILY                    "</f>
        <v xml:space="preserve">DAVIS                    EMILY                    </v>
      </c>
      <c r="E21153" t="str">
        <f>"FLOWOOD                   "</f>
        <v xml:space="preserve">FLOWOOD                   </v>
      </c>
      <c r="F21153" t="str">
        <f t="shared" si="494"/>
        <v>MS</v>
      </c>
    </row>
    <row r="21154" spans="1:6" x14ac:dyDescent="0.25">
      <c r="A21154" t="str">
        <f>"200028727"</f>
        <v>200028727</v>
      </c>
      <c r="B21154" t="str">
        <f>"1003070533"</f>
        <v>1003070533</v>
      </c>
      <c r="C21154" t="str">
        <f>"152W00000X"</f>
        <v>152W00000X</v>
      </c>
      <c r="D21154" t="str">
        <f>"SMITH EYECARE, P.C.                               "</f>
        <v xml:space="preserve">SMITH EYECARE, P.C.                               </v>
      </c>
      <c r="E21154" t="str">
        <f>"BROOKHAVEN                "</f>
        <v xml:space="preserve">BROOKHAVEN                </v>
      </c>
      <c r="F21154" t="str">
        <f t="shared" si="494"/>
        <v>MS</v>
      </c>
    </row>
    <row r="21155" spans="1:6" x14ac:dyDescent="0.25">
      <c r="A21155" t="str">
        <f>"200028729"</f>
        <v>200028729</v>
      </c>
      <c r="B21155" t="str">
        <f>"1003977281"</f>
        <v>1003977281</v>
      </c>
      <c r="C21155" t="str">
        <f>"122300000X"</f>
        <v>122300000X</v>
      </c>
      <c r="D21155" t="str">
        <f>"PULLEN                   BARNEY       L           "</f>
        <v xml:space="preserve">PULLEN                   BARNEY       L           </v>
      </c>
      <c r="E21155" t="str">
        <f>"BRUCE                     "</f>
        <v xml:space="preserve">BRUCE                     </v>
      </c>
      <c r="F21155" t="str">
        <f t="shared" si="494"/>
        <v>MS</v>
      </c>
    </row>
    <row r="21156" spans="1:6" x14ac:dyDescent="0.25">
      <c r="A21156" t="str">
        <f>"200028731"</f>
        <v>200028731</v>
      </c>
      <c r="B21156" t="str">
        <f>"1912889296"</f>
        <v>1912889296</v>
      </c>
      <c r="C21156" t="str">
        <f>"261QF0400X"</f>
        <v>261QF0400X</v>
      </c>
      <c r="D21156" t="str">
        <f>"ARCARE132                                         "</f>
        <v xml:space="preserve">ARCARE132                                         </v>
      </c>
      <c r="E21156" t="str">
        <f>"OXFORD                    "</f>
        <v xml:space="preserve">OXFORD                    </v>
      </c>
      <c r="F21156" t="str">
        <f t="shared" si="494"/>
        <v>MS</v>
      </c>
    </row>
    <row r="21157" spans="1:6" x14ac:dyDescent="0.25">
      <c r="A21157" t="str">
        <f>"200028733"</f>
        <v>200028733</v>
      </c>
      <c r="B21157" t="str">
        <f>"1437436599"</f>
        <v>1437436599</v>
      </c>
      <c r="C21157" t="str">
        <f>"152W00000X"</f>
        <v>152W00000X</v>
      </c>
      <c r="D21157" t="str">
        <f>"ARIA EYE CARE, LLC DBA ARIA EYE CARE, PLLC        "</f>
        <v xml:space="preserve">ARIA EYE CARE, LLC DBA ARIA EYE CARE, PLLC        </v>
      </c>
      <c r="E21157" t="str">
        <f>"BAY SAINT LOUIS           "</f>
        <v xml:space="preserve">BAY SAINT LOUIS           </v>
      </c>
      <c r="F21157" t="str">
        <f t="shared" si="494"/>
        <v>MS</v>
      </c>
    </row>
    <row r="21158" spans="1:6" x14ac:dyDescent="0.25">
      <c r="A21158" t="str">
        <f>"200028736"</f>
        <v>200028736</v>
      </c>
      <c r="B21158" t="str">
        <f>"1982498481"</f>
        <v>1982498481</v>
      </c>
      <c r="C21158" t="str">
        <f>"261QF0400X"</f>
        <v>261QF0400X</v>
      </c>
      <c r="D21158" t="str">
        <f>"COASTAL FAMILY HEALTH CENTER -ROCKY CREEK ELEMENTA"</f>
        <v>COASTAL FAMILY HEALTH CENTER -ROCKY CREEK ELEMENTA</v>
      </c>
      <c r="E21158" t="str">
        <f>"LUCEDALE                  "</f>
        <v xml:space="preserve">LUCEDALE                  </v>
      </c>
      <c r="F21158" t="str">
        <f t="shared" si="494"/>
        <v>MS</v>
      </c>
    </row>
    <row r="21159" spans="1:6" x14ac:dyDescent="0.25">
      <c r="A21159" t="str">
        <f>"200028737"</f>
        <v>200028737</v>
      </c>
      <c r="B21159" t="str">
        <f>"1639063233"</f>
        <v>1639063233</v>
      </c>
      <c r="C21159" t="str">
        <f>"207R00000X"</f>
        <v>207R00000X</v>
      </c>
      <c r="D21159" t="str">
        <f>"RAJ                      ROHAN                    "</f>
        <v xml:space="preserve">RAJ                      ROHAN                    </v>
      </c>
      <c r="E21159" t="str">
        <f>"GULFPORT                  "</f>
        <v xml:space="preserve">GULFPORT                  </v>
      </c>
      <c r="F21159" t="str">
        <f t="shared" si="494"/>
        <v>MS</v>
      </c>
    </row>
    <row r="21160" spans="1:6" x14ac:dyDescent="0.25">
      <c r="A21160" t="str">
        <f>"200028739"</f>
        <v>200028739</v>
      </c>
      <c r="B21160" t="str">
        <f>"1104529551"</f>
        <v>1104529551</v>
      </c>
      <c r="C21160" t="str">
        <f>"207P00000X"</f>
        <v>207P00000X</v>
      </c>
      <c r="D21160" t="str">
        <f>"BLACKWELL                AMANDA       D           "</f>
        <v xml:space="preserve">BLACKWELL                AMANDA       D           </v>
      </c>
      <c r="E21160" t="str">
        <f>"JACKSON                   "</f>
        <v xml:space="preserve">JACKSON                   </v>
      </c>
      <c r="F21160" t="str">
        <f t="shared" si="494"/>
        <v>MS</v>
      </c>
    </row>
    <row r="21161" spans="1:6" x14ac:dyDescent="0.25">
      <c r="A21161" t="str">
        <f>"200028742"</f>
        <v>200028742</v>
      </c>
      <c r="B21161" t="str">
        <f>"1285663591"</f>
        <v>1285663591</v>
      </c>
      <c r="C21161" t="str">
        <f>"207Q00000X"</f>
        <v>207Q00000X</v>
      </c>
      <c r="D21161" t="str">
        <f>"SMITH                    ROBERT                   "</f>
        <v xml:space="preserve">SMITH                    ROBERT                   </v>
      </c>
      <c r="E21161" t="str">
        <f>"JACKSON                   "</f>
        <v xml:space="preserve">JACKSON                   </v>
      </c>
      <c r="F21161" t="str">
        <f t="shared" si="494"/>
        <v>MS</v>
      </c>
    </row>
    <row r="21162" spans="1:6" x14ac:dyDescent="0.25">
      <c r="A21162" t="str">
        <f>"200028743"</f>
        <v>200028743</v>
      </c>
      <c r="B21162" t="str">
        <f>"1538789664"</f>
        <v>1538789664</v>
      </c>
      <c r="C21162" t="str">
        <f>"2084N0400X"</f>
        <v>2084N0400X</v>
      </c>
      <c r="D21162" t="str">
        <f>"TONG                     BRIAN        A           "</f>
        <v xml:space="preserve">TONG                     BRIAN        A           </v>
      </c>
      <c r="E21162" t="str">
        <f>"SOUTHAVEN                 "</f>
        <v xml:space="preserve">SOUTHAVEN                 </v>
      </c>
      <c r="F21162" t="str">
        <f t="shared" si="494"/>
        <v>MS</v>
      </c>
    </row>
    <row r="21163" spans="1:6" x14ac:dyDescent="0.25">
      <c r="A21163" t="str">
        <f>"200028746"</f>
        <v>200028746</v>
      </c>
      <c r="B21163" t="str">
        <f>"1942467337"</f>
        <v>1942467337</v>
      </c>
      <c r="C21163" t="str">
        <f>"363L00000X"</f>
        <v>363L00000X</v>
      </c>
      <c r="D21163" t="str">
        <f>"PRATHER                  SUSAN                    "</f>
        <v xml:space="preserve">PRATHER                  SUSAN                    </v>
      </c>
      <c r="E21163" t="str">
        <f>"CLEVELAND                 "</f>
        <v xml:space="preserve">CLEVELAND                 </v>
      </c>
      <c r="F21163" t="str">
        <f t="shared" si="494"/>
        <v>MS</v>
      </c>
    </row>
    <row r="21164" spans="1:6" x14ac:dyDescent="0.25">
      <c r="A21164" t="str">
        <f>"200028754"</f>
        <v>200028754</v>
      </c>
      <c r="B21164" t="str">
        <f>"1851243299"</f>
        <v>1851243299</v>
      </c>
      <c r="C21164" t="str">
        <f>"1223G0001X"</f>
        <v>1223G0001X</v>
      </c>
      <c r="D21164" t="str">
        <f>"SOUTH MISSISSIPPI DENTAL CARE                     "</f>
        <v xml:space="preserve">SOUTH MISSISSIPPI DENTAL CARE                     </v>
      </c>
      <c r="E21164" t="str">
        <f>"HATTIESBURG               "</f>
        <v xml:space="preserve">HATTIESBURG               </v>
      </c>
      <c r="F21164" t="str">
        <f t="shared" si="494"/>
        <v>MS</v>
      </c>
    </row>
    <row r="21165" spans="1:6" x14ac:dyDescent="0.25">
      <c r="A21165" t="str">
        <f>"200028762"</f>
        <v>200028762</v>
      </c>
      <c r="B21165" t="str">
        <f>"1548332224"</f>
        <v>1548332224</v>
      </c>
      <c r="C21165" t="str">
        <f>"367500000X"</f>
        <v>367500000X</v>
      </c>
      <c r="D21165" t="str">
        <f>"ROBINSON                 CHEYNE                   "</f>
        <v xml:space="preserve">ROBINSON                 CHEYNE                   </v>
      </c>
      <c r="E21165" t="str">
        <f>"JACKSON                   "</f>
        <v xml:space="preserve">JACKSON                   </v>
      </c>
      <c r="F21165" t="str">
        <f t="shared" si="494"/>
        <v>MS</v>
      </c>
    </row>
    <row r="21166" spans="1:6" x14ac:dyDescent="0.25">
      <c r="A21166" t="str">
        <f>"200028763"</f>
        <v>200028763</v>
      </c>
      <c r="B21166" t="str">
        <f>"1205527140"</f>
        <v>1205527140</v>
      </c>
      <c r="C21166" t="str">
        <f>"122300000X"</f>
        <v>122300000X</v>
      </c>
      <c r="D21166" t="str">
        <f>"GANT                     MEGAN        E           "</f>
        <v xml:space="preserve">GANT                     MEGAN        E           </v>
      </c>
      <c r="E21166" t="str">
        <f>"GREENVILLE                "</f>
        <v xml:space="preserve">GREENVILLE                </v>
      </c>
      <c r="F21166" t="str">
        <f t="shared" si="494"/>
        <v>MS</v>
      </c>
    </row>
    <row r="21167" spans="1:6" x14ac:dyDescent="0.25">
      <c r="A21167" t="str">
        <f>"200028766"</f>
        <v>200028766</v>
      </c>
      <c r="B21167" t="str">
        <f>"1598338014"</f>
        <v>1598338014</v>
      </c>
      <c r="C21167" t="str">
        <f>"207RN0300X"</f>
        <v>207RN0300X</v>
      </c>
      <c r="D21167" t="str">
        <f>"ABID                     FAREEHA                  "</f>
        <v xml:space="preserve">ABID                     FAREEHA                  </v>
      </c>
      <c r="E21167" t="str">
        <f>"SOUTHAVEN                 "</f>
        <v xml:space="preserve">SOUTHAVEN                 </v>
      </c>
      <c r="F21167" t="str">
        <f t="shared" si="494"/>
        <v>MS</v>
      </c>
    </row>
    <row r="21168" spans="1:6" x14ac:dyDescent="0.25">
      <c r="A21168" t="str">
        <f>"200028767"</f>
        <v>200028767</v>
      </c>
      <c r="B21168" t="str">
        <f>"1134078736"</f>
        <v>1134078736</v>
      </c>
      <c r="C21168" t="str">
        <f>"363LF0000X"</f>
        <v>363LF0000X</v>
      </c>
      <c r="D21168" t="str">
        <f>"BROWN                    HALEIGH                  "</f>
        <v xml:space="preserve">BROWN                    HALEIGH                  </v>
      </c>
      <c r="E21168" t="str">
        <f>"SEMINARY                  "</f>
        <v xml:space="preserve">SEMINARY                  </v>
      </c>
      <c r="F21168" t="str">
        <f t="shared" si="494"/>
        <v>MS</v>
      </c>
    </row>
    <row r="21169" spans="1:6" x14ac:dyDescent="0.25">
      <c r="A21169" t="str">
        <f>"200028772"</f>
        <v>200028772</v>
      </c>
      <c r="B21169" t="str">
        <f>"1003034380"</f>
        <v>1003034380</v>
      </c>
      <c r="C21169" t="str">
        <f>"152W00000X"</f>
        <v>152W00000X</v>
      </c>
      <c r="D21169" t="str">
        <f>"SHAPPLEY                 ROBERT       W           "</f>
        <v xml:space="preserve">SHAPPLEY                 ROBERT       W           </v>
      </c>
      <c r="E21169" t="str">
        <f>"MADISON                   "</f>
        <v xml:space="preserve">MADISON                   </v>
      </c>
      <c r="F21169" t="str">
        <f t="shared" si="494"/>
        <v>MS</v>
      </c>
    </row>
    <row r="21170" spans="1:6" x14ac:dyDescent="0.25">
      <c r="A21170" t="str">
        <f>"200028776"</f>
        <v>200028776</v>
      </c>
      <c r="B21170" t="str">
        <f>"1780893602"</f>
        <v>1780893602</v>
      </c>
      <c r="C21170" t="str">
        <f>"207Q00000X"</f>
        <v>207Q00000X</v>
      </c>
      <c r="D21170" t="str">
        <f>"TRULY                    WILLIAM                  "</f>
        <v xml:space="preserve">TRULY                    WILLIAM                  </v>
      </c>
      <c r="E21170" t="str">
        <f>"GAUTIER                   "</f>
        <v xml:space="preserve">GAUTIER                   </v>
      </c>
      <c r="F21170" t="str">
        <f t="shared" si="494"/>
        <v>MS</v>
      </c>
    </row>
    <row r="21171" spans="1:6" x14ac:dyDescent="0.25">
      <c r="A21171" t="str">
        <f>"200028778"</f>
        <v>200028778</v>
      </c>
      <c r="B21171" t="str">
        <f>"1558864561"</f>
        <v>1558864561</v>
      </c>
      <c r="C21171" t="str">
        <f>"363LW0102X"</f>
        <v>363LW0102X</v>
      </c>
      <c r="D21171" t="str">
        <f>"TRAN                     CYNTHIA                  "</f>
        <v xml:space="preserve">TRAN                     CYNTHIA                  </v>
      </c>
      <c r="E21171" t="str">
        <f>"RIDGELAND                 "</f>
        <v xml:space="preserve">RIDGELAND                 </v>
      </c>
      <c r="F21171" t="str">
        <f t="shared" si="494"/>
        <v>MS</v>
      </c>
    </row>
    <row r="21172" spans="1:6" x14ac:dyDescent="0.25">
      <c r="A21172" t="str">
        <f>"200028780"</f>
        <v>200028780</v>
      </c>
      <c r="B21172" t="str">
        <f>"1447209218"</f>
        <v>1447209218</v>
      </c>
      <c r="C21172" t="str">
        <f>"207R00000X"</f>
        <v>207R00000X</v>
      </c>
      <c r="D21172" t="str">
        <f>"MEOLI                    AMY                      "</f>
        <v xml:space="preserve">MEOLI                    AMY                      </v>
      </c>
      <c r="E21172" t="str">
        <f>"JACKSON                   "</f>
        <v xml:space="preserve">JACKSON                   </v>
      </c>
      <c r="F21172" t="str">
        <f t="shared" si="494"/>
        <v>MS</v>
      </c>
    </row>
    <row r="21173" spans="1:6" x14ac:dyDescent="0.25">
      <c r="A21173" t="str">
        <f>"200028781"</f>
        <v>200028781</v>
      </c>
      <c r="B21173" t="str">
        <f>"1477180107"</f>
        <v>1477180107</v>
      </c>
      <c r="C21173" t="str">
        <f>"207R00000X"</f>
        <v>207R00000X</v>
      </c>
      <c r="D21173" t="str">
        <f>"KIRK                     MARK                     "</f>
        <v xml:space="preserve">KIRK                     MARK                     </v>
      </c>
      <c r="E21173" t="str">
        <f>"HATTIESBURG               "</f>
        <v xml:space="preserve">HATTIESBURG               </v>
      </c>
      <c r="F21173" t="str">
        <f t="shared" si="494"/>
        <v>MS</v>
      </c>
    </row>
    <row r="21174" spans="1:6" x14ac:dyDescent="0.25">
      <c r="A21174" t="str">
        <f>"200028783"</f>
        <v>200028783</v>
      </c>
      <c r="B21174" t="str">
        <f>"1659213338"</f>
        <v>1659213338</v>
      </c>
      <c r="C21174" t="str">
        <f>"122300000X"</f>
        <v>122300000X</v>
      </c>
      <c r="D21174" t="str">
        <f>"EVERS                    JENNA                    "</f>
        <v xml:space="preserve">EVERS                    JENNA                    </v>
      </c>
      <c r="E21174" t="str">
        <f>"HORN LAKE                 "</f>
        <v xml:space="preserve">HORN LAKE                 </v>
      </c>
      <c r="F21174" t="str">
        <f t="shared" si="494"/>
        <v>MS</v>
      </c>
    </row>
    <row r="21175" spans="1:6" x14ac:dyDescent="0.25">
      <c r="A21175" t="str">
        <f>"200028784"</f>
        <v>200028784</v>
      </c>
      <c r="B21175" t="str">
        <f>"1902307366"</f>
        <v>1902307366</v>
      </c>
      <c r="C21175" t="str">
        <f>"367A00000X"</f>
        <v>367A00000X</v>
      </c>
      <c r="D21175" t="str">
        <f>"FANAKOS                  CHERISH                  "</f>
        <v xml:space="preserve">FANAKOS                  CHERISH                  </v>
      </c>
      <c r="E21175" t="str">
        <f>"RIDGELAND                 "</f>
        <v xml:space="preserve">RIDGELAND                 </v>
      </c>
      <c r="F21175" t="str">
        <f t="shared" si="494"/>
        <v>MS</v>
      </c>
    </row>
    <row r="21176" spans="1:6" x14ac:dyDescent="0.25">
      <c r="A21176" t="str">
        <f>"200028787"</f>
        <v>200028787</v>
      </c>
      <c r="B21176" t="str">
        <f>"1558786673"</f>
        <v>1558786673</v>
      </c>
      <c r="C21176" t="str">
        <f>"367500000X"</f>
        <v>367500000X</v>
      </c>
      <c r="D21176" t="str">
        <f>"MCMURPHY                 KENDALL                  "</f>
        <v xml:space="preserve">MCMURPHY                 KENDALL                  </v>
      </c>
      <c r="E21176" t="str">
        <f>"VANCLEAVE                 "</f>
        <v xml:space="preserve">VANCLEAVE                 </v>
      </c>
      <c r="F21176" t="str">
        <f t="shared" si="494"/>
        <v>MS</v>
      </c>
    </row>
    <row r="21177" spans="1:6" x14ac:dyDescent="0.25">
      <c r="A21177" t="str">
        <f>"200028792"</f>
        <v>200028792</v>
      </c>
      <c r="B21177" t="str">
        <f>"1114043924"</f>
        <v>1114043924</v>
      </c>
      <c r="C21177" t="str">
        <f>"261QM0801X"</f>
        <v>261QM0801X</v>
      </c>
      <c r="D21177" t="str">
        <f>"ACKERMAN ELEMENTARY I                             "</f>
        <v xml:space="preserve">ACKERMAN ELEMENTARY I                             </v>
      </c>
      <c r="E21177" t="str">
        <f>"ACKERMAN                  "</f>
        <v xml:space="preserve">ACKERMAN                  </v>
      </c>
      <c r="F21177" t="str">
        <f t="shared" si="494"/>
        <v>MS</v>
      </c>
    </row>
    <row r="21178" spans="1:6" x14ac:dyDescent="0.25">
      <c r="A21178" t="str">
        <f>"200028794"</f>
        <v>200028794</v>
      </c>
      <c r="B21178" t="str">
        <f>"1073764056"</f>
        <v>1073764056</v>
      </c>
      <c r="C21178" t="str">
        <f>"2085R0202X"</f>
        <v>2085R0202X</v>
      </c>
      <c r="D21178" t="str">
        <f>"STAMATIS                 TOM                      "</f>
        <v xml:space="preserve">STAMATIS                 TOM                      </v>
      </c>
      <c r="E21178" t="str">
        <f>"FLOWOOD                   "</f>
        <v xml:space="preserve">FLOWOOD                   </v>
      </c>
      <c r="F21178" t="str">
        <f t="shared" si="494"/>
        <v>MS</v>
      </c>
    </row>
    <row r="21179" spans="1:6" x14ac:dyDescent="0.25">
      <c r="A21179" t="str">
        <f>"200028796"</f>
        <v>200028796</v>
      </c>
      <c r="B21179" t="str">
        <f>"1386196277"</f>
        <v>1386196277</v>
      </c>
      <c r="C21179" t="str">
        <f>"363LF0000X"</f>
        <v>363LF0000X</v>
      </c>
      <c r="D21179" t="str">
        <f>"DAY                      KELLY                    "</f>
        <v xml:space="preserve">DAY                      KELLY                    </v>
      </c>
      <c r="E21179" t="str">
        <f>"PICAYUNE                  "</f>
        <v xml:space="preserve">PICAYUNE                  </v>
      </c>
      <c r="F21179" t="str">
        <f t="shared" si="494"/>
        <v>MS</v>
      </c>
    </row>
    <row r="21180" spans="1:6" x14ac:dyDescent="0.25">
      <c r="A21180" t="str">
        <f>"200028800"</f>
        <v>200028800</v>
      </c>
      <c r="B21180" t="str">
        <f>"1952626541"</f>
        <v>1952626541</v>
      </c>
      <c r="C21180" t="str">
        <f>"207U00000X"</f>
        <v>207U00000X</v>
      </c>
      <c r="D21180" t="str">
        <f>"COOK                     BARBARA                  "</f>
        <v xml:space="preserve">COOK                     BARBARA                  </v>
      </c>
      <c r="E21180" t="str">
        <f>"JACKSON                   "</f>
        <v xml:space="preserve">JACKSON                   </v>
      </c>
      <c r="F21180" t="str">
        <f t="shared" si="494"/>
        <v>MS</v>
      </c>
    </row>
    <row r="21181" spans="1:6" x14ac:dyDescent="0.25">
      <c r="A21181" t="str">
        <f>"200028803"</f>
        <v>200028803</v>
      </c>
      <c r="B21181" t="str">
        <f>"1588334924"</f>
        <v>1588334924</v>
      </c>
      <c r="C21181" t="str">
        <f>"363LF0000X"</f>
        <v>363LF0000X</v>
      </c>
      <c r="D21181" t="str">
        <f>"KISNER                   JENNIFER                 "</f>
        <v xml:space="preserve">KISNER                   JENNIFER                 </v>
      </c>
      <c r="E21181" t="str">
        <f>"RIDGELAND                 "</f>
        <v xml:space="preserve">RIDGELAND                 </v>
      </c>
      <c r="F21181" t="str">
        <f t="shared" si="494"/>
        <v>MS</v>
      </c>
    </row>
    <row r="21182" spans="1:6" x14ac:dyDescent="0.25">
      <c r="A21182" t="str">
        <f>"200028804"</f>
        <v>200028804</v>
      </c>
      <c r="B21182" t="str">
        <f>"1851137582"</f>
        <v>1851137582</v>
      </c>
      <c r="C21182" t="str">
        <f>"207P00000X"</f>
        <v>207P00000X</v>
      </c>
      <c r="D21182" t="str">
        <f>"JOHNSON                  JEFFREY                  "</f>
        <v xml:space="preserve">JOHNSON                  JEFFREY                  </v>
      </c>
      <c r="E21182" t="str">
        <f>"BOONEVILLE                "</f>
        <v xml:space="preserve">BOONEVILLE                </v>
      </c>
      <c r="F21182" t="str">
        <f t="shared" ref="F21182:F21245" si="495">"MS"</f>
        <v>MS</v>
      </c>
    </row>
    <row r="21183" spans="1:6" x14ac:dyDescent="0.25">
      <c r="A21183" t="str">
        <f>"200028805"</f>
        <v>200028805</v>
      </c>
      <c r="B21183" t="str">
        <f>"1639178064"</f>
        <v>1639178064</v>
      </c>
      <c r="C21183" t="str">
        <f>"207P00000X"</f>
        <v>207P00000X</v>
      </c>
      <c r="D21183" t="str">
        <f>"BEATTY                   TIMOTHY                  "</f>
        <v xml:space="preserve">BEATTY                   TIMOTHY                  </v>
      </c>
      <c r="E21183" t="str">
        <f>"RIDGELAND                 "</f>
        <v xml:space="preserve">RIDGELAND                 </v>
      </c>
      <c r="F21183" t="str">
        <f t="shared" si="495"/>
        <v>MS</v>
      </c>
    </row>
    <row r="21184" spans="1:6" x14ac:dyDescent="0.25">
      <c r="A21184" t="str">
        <f>"200028808"</f>
        <v>200028808</v>
      </c>
      <c r="B21184" t="str">
        <f>"1184576688"</f>
        <v>1184576688</v>
      </c>
      <c r="C21184" t="str">
        <f>"363LF0000X"</f>
        <v>363LF0000X</v>
      </c>
      <c r="D21184" t="str">
        <f>"TABB                     CHEKISHA                 "</f>
        <v xml:space="preserve">TABB                     CHEKISHA                 </v>
      </c>
      <c r="E21184" t="str">
        <f>"RIDGELAND                 "</f>
        <v xml:space="preserve">RIDGELAND                 </v>
      </c>
      <c r="F21184" t="str">
        <f t="shared" si="495"/>
        <v>MS</v>
      </c>
    </row>
    <row r="21185" spans="1:6" x14ac:dyDescent="0.25">
      <c r="A21185" t="str">
        <f>"200028813"</f>
        <v>200028813</v>
      </c>
      <c r="B21185" t="str">
        <f>"1316874431"</f>
        <v>1316874431</v>
      </c>
      <c r="C21185" t="str">
        <f>"363LF0000X"</f>
        <v>363LF0000X</v>
      </c>
      <c r="D21185" t="str">
        <f>"GIBBS                    VANESSA                  "</f>
        <v xml:space="preserve">GIBBS                    VANESSA                  </v>
      </c>
      <c r="E21185" t="str">
        <f>"LUMBERTON                 "</f>
        <v xml:space="preserve">LUMBERTON                 </v>
      </c>
      <c r="F21185" t="str">
        <f t="shared" si="495"/>
        <v>MS</v>
      </c>
    </row>
    <row r="21186" spans="1:6" x14ac:dyDescent="0.25">
      <c r="A21186" t="str">
        <f>"200028816"</f>
        <v>200028816</v>
      </c>
      <c r="B21186" t="str">
        <f>"1588668057"</f>
        <v>1588668057</v>
      </c>
      <c r="C21186" t="str">
        <f>"207V00000X"</f>
        <v>207V00000X</v>
      </c>
      <c r="D21186" t="str">
        <f>"SANCHEZ                  APRIL                    "</f>
        <v xml:space="preserve">SANCHEZ                  APRIL                    </v>
      </c>
      <c r="E21186" t="str">
        <f>"JACKSON                   "</f>
        <v xml:space="preserve">JACKSON                   </v>
      </c>
      <c r="F21186" t="str">
        <f t="shared" si="495"/>
        <v>MS</v>
      </c>
    </row>
    <row r="21187" spans="1:6" x14ac:dyDescent="0.25">
      <c r="A21187" t="str">
        <f>"200028818"</f>
        <v>200028818</v>
      </c>
      <c r="B21187" t="str">
        <f>"1669963518"</f>
        <v>1669963518</v>
      </c>
      <c r="C21187" t="str">
        <f>"122300000X"</f>
        <v>122300000X</v>
      </c>
      <c r="D21187" t="str">
        <f>"AL-FADHLI                FAHAD                    "</f>
        <v xml:space="preserve">AL-FADHLI                FAHAD                    </v>
      </c>
      <c r="E21187" t="str">
        <f>"LOUISVILLE                "</f>
        <v xml:space="preserve">LOUISVILLE                </v>
      </c>
      <c r="F21187" t="str">
        <f t="shared" si="495"/>
        <v>MS</v>
      </c>
    </row>
    <row r="21188" spans="1:6" x14ac:dyDescent="0.25">
      <c r="A21188" t="str">
        <f>"200028820"</f>
        <v>200028820</v>
      </c>
      <c r="B21188" t="str">
        <f>"1003943945"</f>
        <v>1003943945</v>
      </c>
      <c r="C21188" t="str">
        <f>"367500000X"</f>
        <v>367500000X</v>
      </c>
      <c r="D21188" t="str">
        <f>"WEIMAN                   KATHLEEN     B           "</f>
        <v xml:space="preserve">WEIMAN                   KATHLEEN     B           </v>
      </c>
      <c r="E21188" t="str">
        <f>"SENATOBIA                 "</f>
        <v xml:space="preserve">SENATOBIA                 </v>
      </c>
      <c r="F21188" t="str">
        <f t="shared" si="495"/>
        <v>MS</v>
      </c>
    </row>
    <row r="21189" spans="1:6" x14ac:dyDescent="0.25">
      <c r="A21189" t="str">
        <f>"200028822"</f>
        <v>200028822</v>
      </c>
      <c r="B21189" t="str">
        <f>"1477149870"</f>
        <v>1477149870</v>
      </c>
      <c r="C21189" t="str">
        <f>"367500000X"</f>
        <v>367500000X</v>
      </c>
      <c r="D21189" t="str">
        <f>"JAMISON                  LORYN                    "</f>
        <v xml:space="preserve">JAMISON                  LORYN                    </v>
      </c>
      <c r="E21189" t="str">
        <f>"OLIVE BRANCH              "</f>
        <v xml:space="preserve">OLIVE BRANCH              </v>
      </c>
      <c r="F21189" t="str">
        <f t="shared" si="495"/>
        <v>MS</v>
      </c>
    </row>
    <row r="21190" spans="1:6" x14ac:dyDescent="0.25">
      <c r="A21190" t="str">
        <f>"200028823"</f>
        <v>200028823</v>
      </c>
      <c r="B21190" t="str">
        <f>"1558992792"</f>
        <v>1558992792</v>
      </c>
      <c r="C21190" t="str">
        <f>"363LF0000X"</f>
        <v>363LF0000X</v>
      </c>
      <c r="D21190" t="str">
        <f>"JOHNSON                  STEPHANIE    J           "</f>
        <v xml:space="preserve">JOHNSON                  STEPHANIE    J           </v>
      </c>
      <c r="E21190" t="str">
        <f>"FLOWOOD                   "</f>
        <v xml:space="preserve">FLOWOOD                   </v>
      </c>
      <c r="F21190" t="str">
        <f t="shared" si="495"/>
        <v>MS</v>
      </c>
    </row>
    <row r="21191" spans="1:6" x14ac:dyDescent="0.25">
      <c r="A21191" t="str">
        <f>"200028824"</f>
        <v>200028824</v>
      </c>
      <c r="B21191" t="str">
        <f>"1215741442"</f>
        <v>1215741442</v>
      </c>
      <c r="C21191" t="str">
        <f>"367500000X"</f>
        <v>367500000X</v>
      </c>
      <c r="D21191" t="str">
        <f>"VOTAW                    LINDSAY                  "</f>
        <v xml:space="preserve">VOTAW                    LINDSAY                  </v>
      </c>
      <c r="E21191" t="str">
        <f>"JACKSON                   "</f>
        <v xml:space="preserve">JACKSON                   </v>
      </c>
      <c r="F21191" t="str">
        <f t="shared" si="495"/>
        <v>MS</v>
      </c>
    </row>
    <row r="21192" spans="1:6" x14ac:dyDescent="0.25">
      <c r="A21192" t="str">
        <f>"200028834"</f>
        <v>200028834</v>
      </c>
      <c r="B21192" t="str">
        <f>"1578680005"</f>
        <v>1578680005</v>
      </c>
      <c r="C21192" t="str">
        <f>"261QM0801X"</f>
        <v>261QM0801X</v>
      </c>
      <c r="D21192" t="str">
        <f>"COMMUNITY COUNSELING SERVICES                     "</f>
        <v xml:space="preserve">COMMUNITY COUNSELING SERVICES                     </v>
      </c>
      <c r="E21192" t="str">
        <f>"MACON                     "</f>
        <v xml:space="preserve">MACON                     </v>
      </c>
      <c r="F21192" t="str">
        <f t="shared" si="495"/>
        <v>MS</v>
      </c>
    </row>
    <row r="21193" spans="1:6" x14ac:dyDescent="0.25">
      <c r="A21193" t="str">
        <f>"200028836"</f>
        <v>200028836</v>
      </c>
      <c r="B21193" t="str">
        <f>"1194037333"</f>
        <v>1194037333</v>
      </c>
      <c r="C21193" t="str">
        <f>"208000000X"</f>
        <v>208000000X</v>
      </c>
      <c r="D21193" t="str">
        <f>"HENNING                  SHANNON                  "</f>
        <v xml:space="preserve">HENNING                  SHANNON                  </v>
      </c>
      <c r="E21193" t="str">
        <f>"RIDGELAND                 "</f>
        <v xml:space="preserve">RIDGELAND                 </v>
      </c>
      <c r="F21193" t="str">
        <f t="shared" si="495"/>
        <v>MS</v>
      </c>
    </row>
    <row r="21194" spans="1:6" x14ac:dyDescent="0.25">
      <c r="A21194" t="str">
        <f>"200028837"</f>
        <v>200028837</v>
      </c>
      <c r="B21194" t="str">
        <f>"1730590258"</f>
        <v>1730590258</v>
      </c>
      <c r="C21194" t="str">
        <f>"207Q00000X"</f>
        <v>207Q00000X</v>
      </c>
      <c r="D21194" t="str">
        <f>"ANDERSON                 LEAH                     "</f>
        <v xml:space="preserve">ANDERSON                 LEAH                     </v>
      </c>
      <c r="E21194" t="str">
        <f>"CLARKSDALE                "</f>
        <v xml:space="preserve">CLARKSDALE                </v>
      </c>
      <c r="F21194" t="str">
        <f t="shared" si="495"/>
        <v>MS</v>
      </c>
    </row>
    <row r="21195" spans="1:6" x14ac:dyDescent="0.25">
      <c r="A21195" t="str">
        <f>"200028840"</f>
        <v>200028840</v>
      </c>
      <c r="B21195" t="str">
        <f>"1417641309"</f>
        <v>1417641309</v>
      </c>
      <c r="C21195" t="str">
        <f>"207P00000X"</f>
        <v>207P00000X</v>
      </c>
      <c r="D21195" t="str">
        <f>"CORSO                    VINCENT                  "</f>
        <v xml:space="preserve">CORSO                    VINCENT                  </v>
      </c>
      <c r="E21195" t="str">
        <f>"HATTIESBURG               "</f>
        <v xml:space="preserve">HATTIESBURG               </v>
      </c>
      <c r="F21195" t="str">
        <f t="shared" si="495"/>
        <v>MS</v>
      </c>
    </row>
    <row r="21196" spans="1:6" x14ac:dyDescent="0.25">
      <c r="A21196" t="str">
        <f>"200028841"</f>
        <v>200028841</v>
      </c>
      <c r="B21196" t="str">
        <f>"1962286815"</f>
        <v>1962286815</v>
      </c>
      <c r="C21196" t="str">
        <f>"363L00000X"</f>
        <v>363L00000X</v>
      </c>
      <c r="D21196" t="str">
        <f>"STRONG                   REBEKAH                  "</f>
        <v xml:space="preserve">STRONG                   REBEKAH                  </v>
      </c>
      <c r="E21196" t="str">
        <f>"PICAYUNE                  "</f>
        <v xml:space="preserve">PICAYUNE                  </v>
      </c>
      <c r="F21196" t="str">
        <f t="shared" si="495"/>
        <v>MS</v>
      </c>
    </row>
    <row r="21197" spans="1:6" x14ac:dyDescent="0.25">
      <c r="A21197" t="str">
        <f>"200028843"</f>
        <v>200028843</v>
      </c>
      <c r="B21197" t="str">
        <f>"1699271288"</f>
        <v>1699271288</v>
      </c>
      <c r="C21197" t="str">
        <f>"2085R0202X"</f>
        <v>2085R0202X</v>
      </c>
      <c r="D21197" t="str">
        <f>"WATSON                   JAMES                    "</f>
        <v xml:space="preserve">WATSON                   JAMES                    </v>
      </c>
      <c r="E21197" t="str">
        <f>"OXFORD                    "</f>
        <v xml:space="preserve">OXFORD                    </v>
      </c>
      <c r="F21197" t="str">
        <f t="shared" si="495"/>
        <v>MS</v>
      </c>
    </row>
    <row r="21198" spans="1:6" x14ac:dyDescent="0.25">
      <c r="A21198" t="str">
        <f>"200028846"</f>
        <v>200028846</v>
      </c>
      <c r="B21198" t="str">
        <f>"1366062986"</f>
        <v>1366062986</v>
      </c>
      <c r="C21198" t="str">
        <f>"207R00000X"</f>
        <v>207R00000X</v>
      </c>
      <c r="D21198" t="str">
        <f>"HUREZ                    SOPHIE                   "</f>
        <v xml:space="preserve">HUREZ                    SOPHIE                   </v>
      </c>
      <c r="E21198" t="str">
        <f>"NATCHEZ                   "</f>
        <v xml:space="preserve">NATCHEZ                   </v>
      </c>
      <c r="F21198" t="str">
        <f t="shared" si="495"/>
        <v>MS</v>
      </c>
    </row>
    <row r="21199" spans="1:6" x14ac:dyDescent="0.25">
      <c r="A21199" t="str">
        <f>"200028848"</f>
        <v>200028848</v>
      </c>
      <c r="B21199" t="str">
        <f>"1174878193"</f>
        <v>1174878193</v>
      </c>
      <c r="C21199" t="str">
        <f>"363LF0000X"</f>
        <v>363LF0000X</v>
      </c>
      <c r="D21199" t="str">
        <f>"CONERLY                  TEARRAH                  "</f>
        <v xml:space="preserve">CONERLY                  TEARRAH                  </v>
      </c>
      <c r="E21199" t="str">
        <f>"MERIDIAN                  "</f>
        <v xml:space="preserve">MERIDIAN                  </v>
      </c>
      <c r="F21199" t="str">
        <f t="shared" si="495"/>
        <v>MS</v>
      </c>
    </row>
    <row r="21200" spans="1:6" x14ac:dyDescent="0.25">
      <c r="A21200" t="str">
        <f>"200028852"</f>
        <v>200028852</v>
      </c>
      <c r="B21200" t="str">
        <f>"1093418121"</f>
        <v>1093418121</v>
      </c>
      <c r="C21200" t="str">
        <f>"207P00000X"</f>
        <v>207P00000X</v>
      </c>
      <c r="D21200" t="str">
        <f>"PASSONS                  SALLY                    "</f>
        <v xml:space="preserve">PASSONS                  SALLY                    </v>
      </c>
      <c r="E21200" t="str">
        <f>"COLUMBUS                  "</f>
        <v xml:space="preserve">COLUMBUS                  </v>
      </c>
      <c r="F21200" t="str">
        <f t="shared" si="495"/>
        <v>MS</v>
      </c>
    </row>
    <row r="21201" spans="1:6" x14ac:dyDescent="0.25">
      <c r="A21201" t="str">
        <f>"200028854"</f>
        <v>200028854</v>
      </c>
      <c r="B21201" t="str">
        <f>"1013110857"</f>
        <v>1013110857</v>
      </c>
      <c r="C21201" t="str">
        <f>"2084P0800X"</f>
        <v>2084P0800X</v>
      </c>
      <c r="D21201" t="str">
        <f>"PANNEL                   SARAH                    "</f>
        <v xml:space="preserve">PANNEL                   SARAH                    </v>
      </c>
      <c r="E21201" t="str">
        <f>"FLOWOOD                   "</f>
        <v xml:space="preserve">FLOWOOD                   </v>
      </c>
      <c r="F21201" t="str">
        <f t="shared" si="495"/>
        <v>MS</v>
      </c>
    </row>
    <row r="21202" spans="1:6" x14ac:dyDescent="0.25">
      <c r="A21202" t="str">
        <f>"200028856"</f>
        <v>200028856</v>
      </c>
      <c r="B21202" t="str">
        <f>"1790024255"</f>
        <v>1790024255</v>
      </c>
      <c r="C21202" t="str">
        <f>"367500000X"</f>
        <v>367500000X</v>
      </c>
      <c r="D21202" t="str">
        <f>"RAWLS                    LEAH                     "</f>
        <v xml:space="preserve">RAWLS                    LEAH                     </v>
      </c>
      <c r="E21202" t="str">
        <f>"JACKSON                   "</f>
        <v xml:space="preserve">JACKSON                   </v>
      </c>
      <c r="F21202" t="str">
        <f t="shared" si="495"/>
        <v>MS</v>
      </c>
    </row>
    <row r="21203" spans="1:6" x14ac:dyDescent="0.25">
      <c r="A21203" t="str">
        <f>"200028857"</f>
        <v>200028857</v>
      </c>
      <c r="B21203" t="str">
        <f>"1922064591"</f>
        <v>1922064591</v>
      </c>
      <c r="C21203" t="str">
        <f>"207Q00000X"</f>
        <v>207Q00000X</v>
      </c>
      <c r="D21203" t="str">
        <f>"STORY                    CLIFTON                  "</f>
        <v xml:space="preserve">STORY                    CLIFTON                  </v>
      </c>
      <c r="E21203" t="str">
        <f>"BRANDON                   "</f>
        <v xml:space="preserve">BRANDON                   </v>
      </c>
      <c r="F21203" t="str">
        <f t="shared" si="495"/>
        <v>MS</v>
      </c>
    </row>
    <row r="21204" spans="1:6" x14ac:dyDescent="0.25">
      <c r="A21204" t="str">
        <f>"200028864"</f>
        <v>200028864</v>
      </c>
      <c r="B21204" t="str">
        <f>"1699921023"</f>
        <v>1699921023</v>
      </c>
      <c r="C21204" t="str">
        <f>"152W00000X"</f>
        <v>152W00000X</v>
      </c>
      <c r="D21204" t="str">
        <f>"HALL                     TRESSIE                  "</f>
        <v xml:space="preserve">HALL                     TRESSIE                  </v>
      </c>
      <c r="E21204" t="str">
        <f>"BROOKHAVEN                "</f>
        <v xml:space="preserve">BROOKHAVEN                </v>
      </c>
      <c r="F21204" t="str">
        <f t="shared" si="495"/>
        <v>MS</v>
      </c>
    </row>
    <row r="21205" spans="1:6" x14ac:dyDescent="0.25">
      <c r="A21205" t="str">
        <f>"200028867"</f>
        <v>200028867</v>
      </c>
      <c r="B21205" t="str">
        <f>"1063931202"</f>
        <v>1063931202</v>
      </c>
      <c r="C21205" t="str">
        <f>"363L00000X"</f>
        <v>363L00000X</v>
      </c>
      <c r="D21205" t="str">
        <f>"WOOD                     CHELSEA      J           "</f>
        <v xml:space="preserve">WOOD                     CHELSEA      J           </v>
      </c>
      <c r="E21205" t="str">
        <f>"FLOWOOD                   "</f>
        <v xml:space="preserve">FLOWOOD                   </v>
      </c>
      <c r="F21205" t="str">
        <f t="shared" si="495"/>
        <v>MS</v>
      </c>
    </row>
    <row r="21206" spans="1:6" x14ac:dyDescent="0.25">
      <c r="A21206" t="str">
        <f>"200028870"</f>
        <v>200028870</v>
      </c>
      <c r="B21206" t="str">
        <f>"1790224871"</f>
        <v>1790224871</v>
      </c>
      <c r="C21206" t="str">
        <f>"363L00000X"</f>
        <v>363L00000X</v>
      </c>
      <c r="D21206" t="str">
        <f>"WALSH                    ALVIN                    "</f>
        <v xml:space="preserve">WALSH                    ALVIN                    </v>
      </c>
      <c r="E21206" t="str">
        <f>"GULFPORT                  "</f>
        <v xml:space="preserve">GULFPORT                  </v>
      </c>
      <c r="F21206" t="str">
        <f t="shared" si="495"/>
        <v>MS</v>
      </c>
    </row>
    <row r="21207" spans="1:6" x14ac:dyDescent="0.25">
      <c r="A21207" t="str">
        <f>"200028871"</f>
        <v>200028871</v>
      </c>
      <c r="B21207" t="str">
        <f>"1437084605"</f>
        <v>1437084605</v>
      </c>
      <c r="C21207" t="str">
        <f>"363L00000X"</f>
        <v>363L00000X</v>
      </c>
      <c r="D21207" t="str">
        <f>"WALLACE                  SHANNON                  "</f>
        <v xml:space="preserve">WALLACE                  SHANNON                  </v>
      </c>
      <c r="E21207" t="str">
        <f>"VICKSBURG                 "</f>
        <v xml:space="preserve">VICKSBURG                 </v>
      </c>
      <c r="F21207" t="str">
        <f t="shared" si="495"/>
        <v>MS</v>
      </c>
    </row>
    <row r="21208" spans="1:6" x14ac:dyDescent="0.25">
      <c r="A21208" t="str">
        <f>"200028872"</f>
        <v>200028872</v>
      </c>
      <c r="B21208" t="str">
        <f>"1912032897"</f>
        <v>1912032897</v>
      </c>
      <c r="C21208" t="str">
        <f>"367500000X"</f>
        <v>367500000X</v>
      </c>
      <c r="D21208" t="str">
        <f>"ALLEN                    MICHAEL                  "</f>
        <v xml:space="preserve">ALLEN                    MICHAEL                  </v>
      </c>
      <c r="E21208" t="str">
        <f>"VANCLEAVE                 "</f>
        <v xml:space="preserve">VANCLEAVE                 </v>
      </c>
      <c r="F21208" t="str">
        <f t="shared" si="495"/>
        <v>MS</v>
      </c>
    </row>
    <row r="21209" spans="1:6" x14ac:dyDescent="0.25">
      <c r="A21209" t="str">
        <f>"200028873"</f>
        <v>200028873</v>
      </c>
      <c r="B21209" t="str">
        <f>"1801170287"</f>
        <v>1801170287</v>
      </c>
      <c r="C21209" t="str">
        <f>"152W00000X"</f>
        <v>152W00000X</v>
      </c>
      <c r="D21209" t="str">
        <f>"BELLIPANNI EYE CLINIC                             "</f>
        <v xml:space="preserve">BELLIPANNI EYE CLINIC                             </v>
      </c>
      <c r="E21209" t="str">
        <f>"BELZONI                   "</f>
        <v xml:space="preserve">BELZONI                   </v>
      </c>
      <c r="F21209" t="str">
        <f t="shared" si="495"/>
        <v>MS</v>
      </c>
    </row>
    <row r="21210" spans="1:6" x14ac:dyDescent="0.25">
      <c r="A21210" t="str">
        <f>"200028881"</f>
        <v>200028881</v>
      </c>
      <c r="B21210" t="str">
        <f>"1710332416"</f>
        <v>1710332416</v>
      </c>
      <c r="C21210" t="str">
        <f>"208M00000X"</f>
        <v>208M00000X</v>
      </c>
      <c r="D21210" t="str">
        <f>"CALE                     HAYDEN                   "</f>
        <v xml:space="preserve">CALE                     HAYDEN                   </v>
      </c>
      <c r="E21210" t="str">
        <f>"HATTIESBURG               "</f>
        <v xml:space="preserve">HATTIESBURG               </v>
      </c>
      <c r="F21210" t="str">
        <f t="shared" si="495"/>
        <v>MS</v>
      </c>
    </row>
    <row r="21211" spans="1:6" x14ac:dyDescent="0.25">
      <c r="A21211" t="str">
        <f>"200028888"</f>
        <v>200028888</v>
      </c>
      <c r="B21211" t="str">
        <f>"1871193292"</f>
        <v>1871193292</v>
      </c>
      <c r="C21211" t="str">
        <f>"363L00000X"</f>
        <v>363L00000X</v>
      </c>
      <c r="D21211" t="str">
        <f>"VITAL-HERNE              PAULETTE                 "</f>
        <v xml:space="preserve">VITAL-HERNE              PAULETTE                 </v>
      </c>
      <c r="E21211" t="str">
        <f>"RIDGELAND                 "</f>
        <v xml:space="preserve">RIDGELAND                 </v>
      </c>
      <c r="F21211" t="str">
        <f t="shared" si="495"/>
        <v>MS</v>
      </c>
    </row>
    <row r="21212" spans="1:6" x14ac:dyDescent="0.25">
      <c r="A21212" t="str">
        <f>"200028889"</f>
        <v>200028889</v>
      </c>
      <c r="B21212" t="str">
        <f>"1609157502"</f>
        <v>1609157502</v>
      </c>
      <c r="C21212" t="str">
        <f>"367500000X"</f>
        <v>367500000X</v>
      </c>
      <c r="D21212" t="str">
        <f>"COCHRAN                  CHAD         H           "</f>
        <v xml:space="preserve">COCHRAN                  CHAD         H           </v>
      </c>
      <c r="E21212" t="str">
        <f>"GULFPORT                  "</f>
        <v xml:space="preserve">GULFPORT                  </v>
      </c>
      <c r="F21212" t="str">
        <f t="shared" si="495"/>
        <v>MS</v>
      </c>
    </row>
    <row r="21213" spans="1:6" x14ac:dyDescent="0.25">
      <c r="A21213" t="str">
        <f>"200028890"</f>
        <v>200028890</v>
      </c>
      <c r="B21213" t="str">
        <f>"1164461299"</f>
        <v>1164461299</v>
      </c>
      <c r="C21213" t="str">
        <f>"2085R0202X"</f>
        <v>2085R0202X</v>
      </c>
      <c r="D21213" t="str">
        <f>"HITCHMAN                 JAMES                    "</f>
        <v xml:space="preserve">HITCHMAN                 JAMES                    </v>
      </c>
      <c r="E21213" t="str">
        <f>"JACKSON                   "</f>
        <v xml:space="preserve">JACKSON                   </v>
      </c>
      <c r="F21213" t="str">
        <f t="shared" si="495"/>
        <v>MS</v>
      </c>
    </row>
    <row r="21214" spans="1:6" x14ac:dyDescent="0.25">
      <c r="A21214" t="str">
        <f>"200028894"</f>
        <v>200028894</v>
      </c>
      <c r="B21214" t="str">
        <f>"1023643715"</f>
        <v>1023643715</v>
      </c>
      <c r="C21214" t="str">
        <f>"363LF0000X"</f>
        <v>363LF0000X</v>
      </c>
      <c r="D21214" t="str">
        <f>"MCBRIDE                  VANESSA      L           "</f>
        <v xml:space="preserve">MCBRIDE                  VANESSA      L           </v>
      </c>
      <c r="E21214" t="str">
        <f>"FLOWOOD                   "</f>
        <v xml:space="preserve">FLOWOOD                   </v>
      </c>
      <c r="F21214" t="str">
        <f t="shared" si="495"/>
        <v>MS</v>
      </c>
    </row>
    <row r="21215" spans="1:6" x14ac:dyDescent="0.25">
      <c r="A21215" t="str">
        <f>"200028900"</f>
        <v>200028900</v>
      </c>
      <c r="B21215" t="str">
        <f>"1801457064"</f>
        <v>1801457064</v>
      </c>
      <c r="C21215" t="str">
        <f>"207QS0010X"</f>
        <v>207QS0010X</v>
      </c>
      <c r="D21215" t="str">
        <f>"HODGE                    GARY                     "</f>
        <v xml:space="preserve">HODGE                    GARY                     </v>
      </c>
      <c r="E21215" t="str">
        <f>"LAUREL                    "</f>
        <v xml:space="preserve">LAUREL                    </v>
      </c>
      <c r="F21215" t="str">
        <f t="shared" si="495"/>
        <v>MS</v>
      </c>
    </row>
    <row r="21216" spans="1:6" x14ac:dyDescent="0.25">
      <c r="A21216" t="str">
        <f>"200028902"</f>
        <v>200028902</v>
      </c>
      <c r="B21216" t="str">
        <f>"1750793253"</f>
        <v>1750793253</v>
      </c>
      <c r="C21216" t="str">
        <f>"208000000X"</f>
        <v>208000000X</v>
      </c>
      <c r="D21216" t="str">
        <f>"BARFIELD                 ANDREW                   "</f>
        <v xml:space="preserve">BARFIELD                 ANDREW                   </v>
      </c>
      <c r="E21216" t="str">
        <f>"PASCAGOULA                "</f>
        <v xml:space="preserve">PASCAGOULA                </v>
      </c>
      <c r="F21216" t="str">
        <f t="shared" si="495"/>
        <v>MS</v>
      </c>
    </row>
    <row r="21217" spans="1:6" x14ac:dyDescent="0.25">
      <c r="A21217" t="str">
        <f>"200028903"</f>
        <v>200028903</v>
      </c>
      <c r="B21217" t="str">
        <f>"1730822529"</f>
        <v>1730822529</v>
      </c>
      <c r="C21217" t="str">
        <f>"207P00000X"</f>
        <v>207P00000X</v>
      </c>
      <c r="D21217" t="str">
        <f>"SCHULTZ                  KATELYN                  "</f>
        <v xml:space="preserve">SCHULTZ                  KATELYN                  </v>
      </c>
      <c r="E21217" t="str">
        <f>"MERIDIAN                  "</f>
        <v xml:space="preserve">MERIDIAN                  </v>
      </c>
      <c r="F21217" t="str">
        <f t="shared" si="495"/>
        <v>MS</v>
      </c>
    </row>
    <row r="21218" spans="1:6" x14ac:dyDescent="0.25">
      <c r="A21218" t="str">
        <f>"200028905"</f>
        <v>200028905</v>
      </c>
      <c r="B21218" t="str">
        <f>"1740263227"</f>
        <v>1740263227</v>
      </c>
      <c r="C21218" t="str">
        <f>"2084N0400X"</f>
        <v>2084N0400X</v>
      </c>
      <c r="D21218" t="str">
        <f>"COLEMAN                  ANTON        E           "</f>
        <v xml:space="preserve">COLEMAN                  ANTON        E           </v>
      </c>
      <c r="E21218" t="str">
        <f>"HATTIESBURG               "</f>
        <v xml:space="preserve">HATTIESBURG               </v>
      </c>
      <c r="F21218" t="str">
        <f t="shared" si="495"/>
        <v>MS</v>
      </c>
    </row>
    <row r="21219" spans="1:6" x14ac:dyDescent="0.25">
      <c r="A21219" t="str">
        <f>"200028908"</f>
        <v>200028908</v>
      </c>
      <c r="B21219" t="str">
        <f>"1700124427"</f>
        <v>1700124427</v>
      </c>
      <c r="C21219" t="str">
        <f>"207VM0101X"</f>
        <v>207VM0101X</v>
      </c>
      <c r="D21219" t="str">
        <f>"CHAVAN                   NIRAJ                    "</f>
        <v xml:space="preserve">CHAVAN                   NIRAJ                    </v>
      </c>
      <c r="E21219" t="str">
        <f>"GULFPORT                  "</f>
        <v xml:space="preserve">GULFPORT                  </v>
      </c>
      <c r="F21219" t="str">
        <f t="shared" si="495"/>
        <v>MS</v>
      </c>
    </row>
    <row r="21220" spans="1:6" x14ac:dyDescent="0.25">
      <c r="A21220" t="str">
        <f>"200028910"</f>
        <v>200028910</v>
      </c>
      <c r="B21220" t="str">
        <f>"1831776558"</f>
        <v>1831776558</v>
      </c>
      <c r="C21220" t="str">
        <f>"207X00000X"</f>
        <v>207X00000X</v>
      </c>
      <c r="D21220" t="str">
        <f>"ATKINS                   AUSTIN                   "</f>
        <v xml:space="preserve">ATKINS                   AUSTIN                   </v>
      </c>
      <c r="E21220" t="str">
        <f>"JACKSON                   "</f>
        <v xml:space="preserve">JACKSON                   </v>
      </c>
      <c r="F21220" t="str">
        <f t="shared" si="495"/>
        <v>MS</v>
      </c>
    </row>
    <row r="21221" spans="1:6" x14ac:dyDescent="0.25">
      <c r="A21221" t="str">
        <f>"200028917"</f>
        <v>200028917</v>
      </c>
      <c r="B21221" t="str">
        <f>"1952233785"</f>
        <v>1952233785</v>
      </c>
      <c r="C21221" t="str">
        <f>"122300000X"</f>
        <v>122300000X</v>
      </c>
      <c r="D21221" t="str">
        <f>"DAVIS                    BAILEY       R           "</f>
        <v xml:space="preserve">DAVIS                    BAILEY       R           </v>
      </c>
      <c r="E21221" t="str">
        <f>"SUMRALL                   "</f>
        <v xml:space="preserve">SUMRALL                   </v>
      </c>
      <c r="F21221" t="str">
        <f t="shared" si="495"/>
        <v>MS</v>
      </c>
    </row>
    <row r="21222" spans="1:6" x14ac:dyDescent="0.25">
      <c r="A21222" t="str">
        <f>"200028918"</f>
        <v>200028918</v>
      </c>
      <c r="B21222" t="str">
        <f>"1801480108"</f>
        <v>1801480108</v>
      </c>
      <c r="C21222" t="str">
        <f>"2085R0202X"</f>
        <v>2085R0202X</v>
      </c>
      <c r="D21222" t="str">
        <f>"OGUNLEYE                 OLANREWAJU   A           "</f>
        <v xml:space="preserve">OGUNLEYE                 OLANREWAJU   A           </v>
      </c>
      <c r="E21222" t="str">
        <f>"JACKSON                   "</f>
        <v xml:space="preserve">JACKSON                   </v>
      </c>
      <c r="F21222" t="str">
        <f t="shared" si="495"/>
        <v>MS</v>
      </c>
    </row>
    <row r="21223" spans="1:6" x14ac:dyDescent="0.25">
      <c r="A21223" t="str">
        <f>"200028920"</f>
        <v>200028920</v>
      </c>
      <c r="B21223" t="str">
        <f>"1528564143"</f>
        <v>1528564143</v>
      </c>
      <c r="C21223" t="str">
        <f>"363L00000X"</f>
        <v>363L00000X</v>
      </c>
      <c r="D21223" t="str">
        <f>"WILLIAMS                 GYTON        B           "</f>
        <v xml:space="preserve">WILLIAMS                 GYTON        B           </v>
      </c>
      <c r="E21223" t="str">
        <f>"FLOWOOD                   "</f>
        <v xml:space="preserve">FLOWOOD                   </v>
      </c>
      <c r="F21223" t="str">
        <f t="shared" si="495"/>
        <v>MS</v>
      </c>
    </row>
    <row r="21224" spans="1:6" x14ac:dyDescent="0.25">
      <c r="A21224" t="str">
        <f>"200028922"</f>
        <v>200028922</v>
      </c>
      <c r="B21224" t="str">
        <f>"1770426397"</f>
        <v>1770426397</v>
      </c>
      <c r="C21224" t="str">
        <f>"207R00000X"</f>
        <v>207R00000X</v>
      </c>
      <c r="D21224" t="str">
        <f>"MORENO ROMERO            ALMA                     "</f>
        <v xml:space="preserve">MORENO ROMERO            ALMA                     </v>
      </c>
      <c r="E21224" t="str">
        <f>"BRANDON                   "</f>
        <v xml:space="preserve">BRANDON                   </v>
      </c>
      <c r="F21224" t="str">
        <f t="shared" si="495"/>
        <v>MS</v>
      </c>
    </row>
    <row r="21225" spans="1:6" x14ac:dyDescent="0.25">
      <c r="A21225" t="str">
        <f>"200028928"</f>
        <v>200028928</v>
      </c>
      <c r="B21225" t="str">
        <f>"1104633643"</f>
        <v>1104633643</v>
      </c>
      <c r="C21225" t="str">
        <f>"367500000X"</f>
        <v>367500000X</v>
      </c>
      <c r="D21225" t="str">
        <f>"MCDIARMID                SEAN         W           "</f>
        <v xml:space="preserve">MCDIARMID                SEAN         W           </v>
      </c>
      <c r="E21225" t="str">
        <f>"JACKSON                   "</f>
        <v xml:space="preserve">JACKSON                   </v>
      </c>
      <c r="F21225" t="str">
        <f t="shared" si="495"/>
        <v>MS</v>
      </c>
    </row>
    <row r="21226" spans="1:6" x14ac:dyDescent="0.25">
      <c r="A21226" t="str">
        <f>"200028929"</f>
        <v>200028929</v>
      </c>
      <c r="B21226" t="str">
        <f>"1366387813"</f>
        <v>1366387813</v>
      </c>
      <c r="C21226" t="str">
        <f>"207R00000X"</f>
        <v>207R00000X</v>
      </c>
      <c r="D21226" t="str">
        <f>"CARLILE                  CIARAN                   "</f>
        <v xml:space="preserve">CARLILE                  CIARAN                   </v>
      </c>
      <c r="E21226" t="str">
        <f>"JACKSON                   "</f>
        <v xml:space="preserve">JACKSON                   </v>
      </c>
      <c r="F21226" t="str">
        <f t="shared" si="495"/>
        <v>MS</v>
      </c>
    </row>
    <row r="21227" spans="1:6" x14ac:dyDescent="0.25">
      <c r="A21227" t="str">
        <f>"200028931"</f>
        <v>200028931</v>
      </c>
      <c r="B21227" t="str">
        <f>"1639355944"</f>
        <v>1639355944</v>
      </c>
      <c r="C21227" t="str">
        <f>"207Q00000X"</f>
        <v>207Q00000X</v>
      </c>
      <c r="D21227" t="str">
        <f>"VILLIVALAM               ARUN                     "</f>
        <v xml:space="preserve">VILLIVALAM               ARUN                     </v>
      </c>
      <c r="E21227" t="str">
        <f>"FLOWOOD                   "</f>
        <v xml:space="preserve">FLOWOOD                   </v>
      </c>
      <c r="F21227" t="str">
        <f t="shared" si="495"/>
        <v>MS</v>
      </c>
    </row>
    <row r="21228" spans="1:6" x14ac:dyDescent="0.25">
      <c r="A21228" t="str">
        <f>"200028932"</f>
        <v>200028932</v>
      </c>
      <c r="B21228" t="str">
        <f>"1336534122"</f>
        <v>1336534122</v>
      </c>
      <c r="C21228" t="str">
        <f>"208M00000X"</f>
        <v>208M00000X</v>
      </c>
      <c r="D21228" t="str">
        <f>"CHIDI                    PROMISE                  "</f>
        <v xml:space="preserve">CHIDI                    PROMISE                  </v>
      </c>
      <c r="E21228" t="str">
        <f>"MERIDIAN                  "</f>
        <v xml:space="preserve">MERIDIAN                  </v>
      </c>
      <c r="F21228" t="str">
        <f t="shared" si="495"/>
        <v>MS</v>
      </c>
    </row>
    <row r="21229" spans="1:6" x14ac:dyDescent="0.25">
      <c r="A21229" t="str">
        <f>"200028935"</f>
        <v>200028935</v>
      </c>
      <c r="B21229" t="str">
        <f>"1063352144"</f>
        <v>1063352144</v>
      </c>
      <c r="C21229" t="str">
        <f>"207Q00000X"</f>
        <v>207Q00000X</v>
      </c>
      <c r="D21229" t="str">
        <f>"CUMMINS                  JACKLYN                  "</f>
        <v xml:space="preserve">CUMMINS                  JACKLYN                  </v>
      </c>
      <c r="E21229" t="str">
        <f>"PETAL                     "</f>
        <v xml:space="preserve">PETAL                     </v>
      </c>
      <c r="F21229" t="str">
        <f t="shared" si="495"/>
        <v>MS</v>
      </c>
    </row>
    <row r="21230" spans="1:6" x14ac:dyDescent="0.25">
      <c r="A21230" t="str">
        <f>"200028937"</f>
        <v>200028937</v>
      </c>
      <c r="B21230" t="str">
        <f>"1831038504"</f>
        <v>1831038504</v>
      </c>
      <c r="C21230" t="str">
        <f>"207Q00000X"</f>
        <v>207Q00000X</v>
      </c>
      <c r="D21230" t="str">
        <f>"NAJMI                    MIDHAT                   "</f>
        <v xml:space="preserve">NAJMI                    MIDHAT                   </v>
      </c>
      <c r="E21230" t="str">
        <f>"HATTIESBURG               "</f>
        <v xml:space="preserve">HATTIESBURG               </v>
      </c>
      <c r="F21230" t="str">
        <f t="shared" si="495"/>
        <v>MS</v>
      </c>
    </row>
    <row r="21231" spans="1:6" x14ac:dyDescent="0.25">
      <c r="A21231" t="str">
        <f>"200028938"</f>
        <v>200028938</v>
      </c>
      <c r="B21231" t="str">
        <f>"1750716692"</f>
        <v>1750716692</v>
      </c>
      <c r="C21231" t="str">
        <f>"363LF0000X"</f>
        <v>363LF0000X</v>
      </c>
      <c r="D21231" t="str">
        <f>"OVERSTREET               REBEKAH      H           "</f>
        <v xml:space="preserve">OVERSTREET               REBEKAH      H           </v>
      </c>
      <c r="E21231" t="str">
        <f>"COLDWATER                 "</f>
        <v xml:space="preserve">COLDWATER                 </v>
      </c>
      <c r="F21231" t="str">
        <f t="shared" si="495"/>
        <v>MS</v>
      </c>
    </row>
    <row r="21232" spans="1:6" x14ac:dyDescent="0.25">
      <c r="A21232" t="str">
        <f>"200028941"</f>
        <v>200028941</v>
      </c>
      <c r="B21232" t="str">
        <f>"1053254516"</f>
        <v>1053254516</v>
      </c>
      <c r="C21232" t="str">
        <f>"207R00000X"</f>
        <v>207R00000X</v>
      </c>
      <c r="D21232" t="str">
        <f>"JACKSON                  CATHERINE                "</f>
        <v xml:space="preserve">JACKSON                  CATHERINE                </v>
      </c>
      <c r="E21232" t="str">
        <f>"JACKSON                   "</f>
        <v xml:space="preserve">JACKSON                   </v>
      </c>
      <c r="F21232" t="str">
        <f t="shared" si="495"/>
        <v>MS</v>
      </c>
    </row>
    <row r="21233" spans="1:6" x14ac:dyDescent="0.25">
      <c r="A21233" t="str">
        <f>"200028943"</f>
        <v>200028943</v>
      </c>
      <c r="B21233" t="str">
        <f>"1679413629"</f>
        <v>1679413629</v>
      </c>
      <c r="C21233" t="str">
        <f>"207Q00000X"</f>
        <v>207Q00000X</v>
      </c>
      <c r="D21233" t="str">
        <f>"CAVAZOS                  HANAH        C           "</f>
        <v xml:space="preserve">CAVAZOS                  HANAH        C           </v>
      </c>
      <c r="E21233" t="str">
        <f>"HATTIESBURG               "</f>
        <v xml:space="preserve">HATTIESBURG               </v>
      </c>
      <c r="F21233" t="str">
        <f t="shared" si="495"/>
        <v>MS</v>
      </c>
    </row>
    <row r="21234" spans="1:6" x14ac:dyDescent="0.25">
      <c r="A21234" t="str">
        <f>"200028946"</f>
        <v>200028946</v>
      </c>
      <c r="B21234" t="str">
        <f>"1710564489"</f>
        <v>1710564489</v>
      </c>
      <c r="C21234" t="str">
        <f>"207P00000X"</f>
        <v>207P00000X</v>
      </c>
      <c r="D21234" t="str">
        <f>"SHAW                     JAZMYN                   "</f>
        <v xml:space="preserve">SHAW                     JAZMYN                   </v>
      </c>
      <c r="E21234" t="str">
        <f>"SOUTHAVEN                 "</f>
        <v xml:space="preserve">SOUTHAVEN                 </v>
      </c>
      <c r="F21234" t="str">
        <f t="shared" si="495"/>
        <v>MS</v>
      </c>
    </row>
    <row r="21235" spans="1:6" x14ac:dyDescent="0.25">
      <c r="A21235" t="str">
        <f>"200028947"</f>
        <v>200028947</v>
      </c>
      <c r="B21235" t="str">
        <f>"1699891358"</f>
        <v>1699891358</v>
      </c>
      <c r="C21235" t="str">
        <f>"261QM0801X"</f>
        <v>261QM0801X</v>
      </c>
      <c r="D21235" t="str">
        <f>"NFUSION / WINSTON COUNTY IV                       "</f>
        <v xml:space="preserve">NFUSION / WINSTON COUNTY IV                       </v>
      </c>
      <c r="E21235" t="str">
        <f>"LOUISVILLE                "</f>
        <v xml:space="preserve">LOUISVILLE                </v>
      </c>
      <c r="F21235" t="str">
        <f t="shared" si="495"/>
        <v>MS</v>
      </c>
    </row>
    <row r="21236" spans="1:6" x14ac:dyDescent="0.25">
      <c r="A21236" t="str">
        <f>"200028948"</f>
        <v>200028948</v>
      </c>
      <c r="B21236" t="str">
        <f>"1558005728"</f>
        <v>1558005728</v>
      </c>
      <c r="C21236" t="str">
        <f>"363LF0000X"</f>
        <v>363LF0000X</v>
      </c>
      <c r="D21236" t="str">
        <f>"SWANSON                  KATIE                    "</f>
        <v xml:space="preserve">SWANSON                  KATIE                    </v>
      </c>
      <c r="E21236" t="str">
        <f>"FLOWOOD                   "</f>
        <v xml:space="preserve">FLOWOOD                   </v>
      </c>
      <c r="F21236" t="str">
        <f t="shared" si="495"/>
        <v>MS</v>
      </c>
    </row>
    <row r="21237" spans="1:6" x14ac:dyDescent="0.25">
      <c r="A21237" t="str">
        <f>"200028949"</f>
        <v>200028949</v>
      </c>
      <c r="B21237" t="str">
        <f>"1073568804"</f>
        <v>1073568804</v>
      </c>
      <c r="C21237" t="str">
        <f>"367500000X"</f>
        <v>367500000X</v>
      </c>
      <c r="D21237" t="str">
        <f>"FIFER                    MICHELLE                 "</f>
        <v xml:space="preserve">FIFER                    MICHELLE                 </v>
      </c>
      <c r="E21237" t="str">
        <f>"OLIVE BRANCH              "</f>
        <v xml:space="preserve">OLIVE BRANCH              </v>
      </c>
      <c r="F21237" t="str">
        <f t="shared" si="495"/>
        <v>MS</v>
      </c>
    </row>
    <row r="21238" spans="1:6" x14ac:dyDescent="0.25">
      <c r="A21238" t="str">
        <f>"200028953"</f>
        <v>200028953</v>
      </c>
      <c r="B21238" t="str">
        <f>"1114458825"</f>
        <v>1114458825</v>
      </c>
      <c r="C21238" t="str">
        <f>"2080N0001X"</f>
        <v>2080N0001X</v>
      </c>
      <c r="D21238" t="str">
        <f>"GERJETS                  ASHLEY       E           "</f>
        <v xml:space="preserve">GERJETS                  ASHLEY       E           </v>
      </c>
      <c r="E21238" t="str">
        <f>"FLOWOOD                   "</f>
        <v xml:space="preserve">FLOWOOD                   </v>
      </c>
      <c r="F21238" t="str">
        <f t="shared" si="495"/>
        <v>MS</v>
      </c>
    </row>
    <row r="21239" spans="1:6" x14ac:dyDescent="0.25">
      <c r="A21239" t="str">
        <f>"200028955"</f>
        <v>200028955</v>
      </c>
      <c r="B21239" t="str">
        <f>"1598350399"</f>
        <v>1598350399</v>
      </c>
      <c r="C21239" t="str">
        <f>"363LP0200X"</f>
        <v>363LP0200X</v>
      </c>
      <c r="D21239" t="str">
        <f>"LATHEM                   LAUREN                   "</f>
        <v xml:space="preserve">LATHEM                   LAUREN                   </v>
      </c>
      <c r="E21239" t="str">
        <f>"FLOWOOD                   "</f>
        <v xml:space="preserve">FLOWOOD                   </v>
      </c>
      <c r="F21239" t="str">
        <f t="shared" si="495"/>
        <v>MS</v>
      </c>
    </row>
    <row r="21240" spans="1:6" x14ac:dyDescent="0.25">
      <c r="A21240" t="str">
        <f>"200028962"</f>
        <v>200028962</v>
      </c>
      <c r="B21240" t="str">
        <f>"1477925865"</f>
        <v>1477925865</v>
      </c>
      <c r="C21240" t="str">
        <f>"367500000X"</f>
        <v>367500000X</v>
      </c>
      <c r="D21240" t="str">
        <f>"WEBB                     SONJA        K           "</f>
        <v xml:space="preserve">WEBB                     SONJA        K           </v>
      </c>
      <c r="E21240" t="str">
        <f>"SENATOBIA                 "</f>
        <v xml:space="preserve">SENATOBIA                 </v>
      </c>
      <c r="F21240" t="str">
        <f t="shared" si="495"/>
        <v>MS</v>
      </c>
    </row>
    <row r="21241" spans="1:6" x14ac:dyDescent="0.25">
      <c r="A21241" t="str">
        <f>"200028963"</f>
        <v>200028963</v>
      </c>
      <c r="B21241" t="str">
        <f>"1013464494"</f>
        <v>1013464494</v>
      </c>
      <c r="C21241" t="str">
        <f>"363LF0000X"</f>
        <v>363LF0000X</v>
      </c>
      <c r="D21241" t="str">
        <f>"BRIDGES                  AMY                      "</f>
        <v xml:space="preserve">BRIDGES                  AMY                      </v>
      </c>
      <c r="E21241" t="str">
        <f>"WALNUT                    "</f>
        <v xml:space="preserve">WALNUT                    </v>
      </c>
      <c r="F21241" t="str">
        <f t="shared" si="495"/>
        <v>MS</v>
      </c>
    </row>
    <row r="21242" spans="1:6" x14ac:dyDescent="0.25">
      <c r="A21242" t="str">
        <f>"200028964"</f>
        <v>200028964</v>
      </c>
      <c r="B21242" t="str">
        <f>"1821948936"</f>
        <v>1821948936</v>
      </c>
      <c r="C21242" t="str">
        <f>"363A00000X"</f>
        <v>363A00000X</v>
      </c>
      <c r="D21242" t="str">
        <f>"PATEL                    PRIYA                    "</f>
        <v xml:space="preserve">PATEL                    PRIYA                    </v>
      </c>
      <c r="E21242" t="str">
        <f>"JACKSON                   "</f>
        <v xml:space="preserve">JACKSON                   </v>
      </c>
      <c r="F21242" t="str">
        <f t="shared" si="495"/>
        <v>MS</v>
      </c>
    </row>
    <row r="21243" spans="1:6" x14ac:dyDescent="0.25">
      <c r="A21243" t="str">
        <f>"200028967"</f>
        <v>200028967</v>
      </c>
      <c r="B21243" t="str">
        <f>"1508705377"</f>
        <v>1508705377</v>
      </c>
      <c r="C21243" t="str">
        <f>"207Q00000X"</f>
        <v>207Q00000X</v>
      </c>
      <c r="D21243" t="str">
        <f>"CAMACHO PABON            GILBEN       E           "</f>
        <v xml:space="preserve">CAMACHO PABON            GILBEN       E           </v>
      </c>
      <c r="E21243" t="str">
        <f>"HATTIESBURG               "</f>
        <v xml:space="preserve">HATTIESBURG               </v>
      </c>
      <c r="F21243" t="str">
        <f t="shared" si="495"/>
        <v>MS</v>
      </c>
    </row>
    <row r="21244" spans="1:6" x14ac:dyDescent="0.25">
      <c r="A21244" t="str">
        <f>"200028969"</f>
        <v>200028969</v>
      </c>
      <c r="B21244" t="str">
        <f>"1538345442"</f>
        <v>1538345442</v>
      </c>
      <c r="C21244" t="str">
        <f>"207Q00000X"</f>
        <v>207Q00000X</v>
      </c>
      <c r="D21244" t="str">
        <f>"NASIR                    IRFAN                    "</f>
        <v xml:space="preserve">NASIR                    IRFAN                    </v>
      </c>
      <c r="E21244" t="str">
        <f>"MERIDIAN                  "</f>
        <v xml:space="preserve">MERIDIAN                  </v>
      </c>
      <c r="F21244" t="str">
        <f t="shared" si="495"/>
        <v>MS</v>
      </c>
    </row>
    <row r="21245" spans="1:6" x14ac:dyDescent="0.25">
      <c r="A21245" t="str">
        <f>"200028972"</f>
        <v>200028972</v>
      </c>
      <c r="B21245" t="str">
        <f>"1174052773"</f>
        <v>1174052773</v>
      </c>
      <c r="C21245" t="str">
        <f>"363L00000X"</f>
        <v>363L00000X</v>
      </c>
      <c r="D21245" t="str">
        <f>"CARSON                   KIMBERLY                 "</f>
        <v xml:space="preserve">CARSON                   KIMBERLY                 </v>
      </c>
      <c r="E21245" t="str">
        <f>"JACKSON                   "</f>
        <v xml:space="preserve">JACKSON                   </v>
      </c>
      <c r="F21245" t="str">
        <f t="shared" si="495"/>
        <v>MS</v>
      </c>
    </row>
    <row r="21246" spans="1:6" x14ac:dyDescent="0.25">
      <c r="A21246" t="str">
        <f>"200028976"</f>
        <v>200028976</v>
      </c>
      <c r="B21246" t="str">
        <f>"1346180635"</f>
        <v>1346180635</v>
      </c>
      <c r="C21246" t="str">
        <f>"207R00000X"</f>
        <v>207R00000X</v>
      </c>
      <c r="D21246" t="str">
        <f>"DALEY                    ANNE         E           "</f>
        <v xml:space="preserve">DALEY                    ANNE         E           </v>
      </c>
      <c r="E21246" t="str">
        <f>"JACKSON                   "</f>
        <v xml:space="preserve">JACKSON                   </v>
      </c>
      <c r="F21246" t="str">
        <f t="shared" ref="F21246:F21309" si="496">"MS"</f>
        <v>MS</v>
      </c>
    </row>
    <row r="21247" spans="1:6" x14ac:dyDescent="0.25">
      <c r="A21247" t="str">
        <f>"200028978"</f>
        <v>200028978</v>
      </c>
      <c r="B21247" t="str">
        <f>"1295268258"</f>
        <v>1295268258</v>
      </c>
      <c r="C21247" t="str">
        <f>"208M00000X"</f>
        <v>208M00000X</v>
      </c>
      <c r="D21247" t="str">
        <f>"SIZAR                    OMEED                    "</f>
        <v xml:space="preserve">SIZAR                    OMEED                    </v>
      </c>
      <c r="E21247" t="str">
        <f>"SOUTHAVEN                 "</f>
        <v xml:space="preserve">SOUTHAVEN                 </v>
      </c>
      <c r="F21247" t="str">
        <f t="shared" si="496"/>
        <v>MS</v>
      </c>
    </row>
    <row r="21248" spans="1:6" x14ac:dyDescent="0.25">
      <c r="A21248" t="str">
        <f>"200028979"</f>
        <v>200028979</v>
      </c>
      <c r="B21248" t="str">
        <f>"1629302823"</f>
        <v>1629302823</v>
      </c>
      <c r="C21248" t="str">
        <f>"363LF0000X"</f>
        <v>363LF0000X</v>
      </c>
      <c r="D21248" t="str">
        <f>"LEISTER                  TIFFANY                  "</f>
        <v xml:space="preserve">LEISTER                  TIFFANY                  </v>
      </c>
      <c r="E21248" t="str">
        <f>"OXFORD                    "</f>
        <v xml:space="preserve">OXFORD                    </v>
      </c>
      <c r="F21248" t="str">
        <f t="shared" si="496"/>
        <v>MS</v>
      </c>
    </row>
    <row r="21249" spans="1:6" x14ac:dyDescent="0.25">
      <c r="A21249" t="str">
        <f>"200028981"</f>
        <v>200028981</v>
      </c>
      <c r="B21249" t="str">
        <f>"1558294355"</f>
        <v>1558294355</v>
      </c>
      <c r="C21249" t="str">
        <f>"207Q00000X"</f>
        <v>207Q00000X</v>
      </c>
      <c r="D21249" t="str">
        <f>"PEACOCK                  GREGORY      L           "</f>
        <v xml:space="preserve">PEACOCK                  GREGORY      L           </v>
      </c>
      <c r="E21249" t="str">
        <f>"TUPELO                    "</f>
        <v xml:space="preserve">TUPELO                    </v>
      </c>
      <c r="F21249" t="str">
        <f t="shared" si="496"/>
        <v>MS</v>
      </c>
    </row>
    <row r="21250" spans="1:6" x14ac:dyDescent="0.25">
      <c r="A21250" t="str">
        <f>"200028982"</f>
        <v>200028982</v>
      </c>
      <c r="B21250" t="str">
        <f>"1467171462"</f>
        <v>1467171462</v>
      </c>
      <c r="C21250" t="str">
        <f>"207Q00000X"</f>
        <v>207Q00000X</v>
      </c>
      <c r="D21250" t="str">
        <f>"AL MADADHA               MOHAMMAD                 "</f>
        <v xml:space="preserve">AL MADADHA               MOHAMMAD                 </v>
      </c>
      <c r="E21250" t="str">
        <f>"PETAL                     "</f>
        <v xml:space="preserve">PETAL                     </v>
      </c>
      <c r="F21250" t="str">
        <f t="shared" si="496"/>
        <v>MS</v>
      </c>
    </row>
    <row r="21251" spans="1:6" x14ac:dyDescent="0.25">
      <c r="A21251" t="str">
        <f>"200028983"</f>
        <v>200028983</v>
      </c>
      <c r="B21251" t="str">
        <f>"1760457980"</f>
        <v>1760457980</v>
      </c>
      <c r="C21251" t="str">
        <f>"207ZP0102X"</f>
        <v>207ZP0102X</v>
      </c>
      <c r="D21251" t="str">
        <f>"SMITH                    RANDALL                  "</f>
        <v xml:space="preserve">SMITH                    RANDALL                  </v>
      </c>
      <c r="E21251" t="str">
        <f>"JACKSON                   "</f>
        <v xml:space="preserve">JACKSON                   </v>
      </c>
      <c r="F21251" t="str">
        <f t="shared" si="496"/>
        <v>MS</v>
      </c>
    </row>
    <row r="21252" spans="1:6" x14ac:dyDescent="0.25">
      <c r="A21252" t="str">
        <f>"200028984"</f>
        <v>200028984</v>
      </c>
      <c r="B21252" t="str">
        <f>"1346004199"</f>
        <v>1346004199</v>
      </c>
      <c r="C21252" t="str">
        <f>"207Q00000X"</f>
        <v>207Q00000X</v>
      </c>
      <c r="D21252" t="str">
        <f>"BELLAIS                  MADISON      M           "</f>
        <v xml:space="preserve">BELLAIS                  MADISON      M           </v>
      </c>
      <c r="E21252" t="str">
        <f>"TUPELO                    "</f>
        <v xml:space="preserve">TUPELO                    </v>
      </c>
      <c r="F21252" t="str">
        <f t="shared" si="496"/>
        <v>MS</v>
      </c>
    </row>
    <row r="21253" spans="1:6" x14ac:dyDescent="0.25">
      <c r="A21253" t="str">
        <f>"200028985"</f>
        <v>200028985</v>
      </c>
      <c r="B21253" t="str">
        <f>"1871438929"</f>
        <v>1871438929</v>
      </c>
      <c r="C21253" t="str">
        <f>"207Q00000X"</f>
        <v>207Q00000X</v>
      </c>
      <c r="D21253" t="str">
        <f>"WU                       CHIUNG KUEI              "</f>
        <v xml:space="preserve">WU                       CHIUNG KUEI              </v>
      </c>
      <c r="E21253" t="str">
        <f>"TUPELO                    "</f>
        <v xml:space="preserve">TUPELO                    </v>
      </c>
      <c r="F21253" t="str">
        <f t="shared" si="496"/>
        <v>MS</v>
      </c>
    </row>
    <row r="21254" spans="1:6" x14ac:dyDescent="0.25">
      <c r="A21254" t="str">
        <f>"200028986"</f>
        <v>200028986</v>
      </c>
      <c r="B21254" t="str">
        <f>"1265373336"</f>
        <v>1265373336</v>
      </c>
      <c r="C21254" t="str">
        <f>"207Q00000X"</f>
        <v>207Q00000X</v>
      </c>
      <c r="D21254" t="str">
        <f>"FRANKLIN                 JAMES                    "</f>
        <v xml:space="preserve">FRANKLIN                 JAMES                    </v>
      </c>
      <c r="E21254" t="str">
        <f>"FOXWORTH                  "</f>
        <v xml:space="preserve">FOXWORTH                  </v>
      </c>
      <c r="F21254" t="str">
        <f t="shared" si="496"/>
        <v>MS</v>
      </c>
    </row>
    <row r="21255" spans="1:6" x14ac:dyDescent="0.25">
      <c r="A21255" t="str">
        <f>"200028991"</f>
        <v>200028991</v>
      </c>
      <c r="B21255" t="str">
        <f>"1366102634"</f>
        <v>1366102634</v>
      </c>
      <c r="C21255" t="str">
        <f>"363LF0000X"</f>
        <v>363LF0000X</v>
      </c>
      <c r="D21255" t="str">
        <f>"LAMAR                    LILA                     "</f>
        <v xml:space="preserve">LAMAR                    LILA                     </v>
      </c>
      <c r="E21255" t="str">
        <f>"BATESVILLE                "</f>
        <v xml:space="preserve">BATESVILLE                </v>
      </c>
      <c r="F21255" t="str">
        <f t="shared" si="496"/>
        <v>MS</v>
      </c>
    </row>
    <row r="21256" spans="1:6" x14ac:dyDescent="0.25">
      <c r="A21256" t="str">
        <f>"200029001"</f>
        <v>200029001</v>
      </c>
      <c r="B21256" t="str">
        <f>"1104868397"</f>
        <v>1104868397</v>
      </c>
      <c r="C21256" t="str">
        <f>"207L00000X"</f>
        <v>207L00000X</v>
      </c>
      <c r="D21256" t="str">
        <f>"SPEEDLING                DIANE                    "</f>
        <v xml:space="preserve">SPEEDLING                DIANE                    </v>
      </c>
      <c r="E21256" t="str">
        <f>"LAUREL                    "</f>
        <v xml:space="preserve">LAUREL                    </v>
      </c>
      <c r="F21256" t="str">
        <f t="shared" si="496"/>
        <v>MS</v>
      </c>
    </row>
    <row r="21257" spans="1:6" x14ac:dyDescent="0.25">
      <c r="A21257" t="str">
        <f>"200029002"</f>
        <v>200029002</v>
      </c>
      <c r="B21257" t="str">
        <f>"1255687661"</f>
        <v>1255687661</v>
      </c>
      <c r="C21257" t="str">
        <f>"363L00000X"</f>
        <v>363L00000X</v>
      </c>
      <c r="D21257" t="str">
        <f>"CROSS                    CYNTHIA      A           "</f>
        <v xml:space="preserve">CROSS                    CYNTHIA      A           </v>
      </c>
      <c r="E21257" t="str">
        <f>"FOREST                    "</f>
        <v xml:space="preserve">FOREST                    </v>
      </c>
      <c r="F21257" t="str">
        <f t="shared" si="496"/>
        <v>MS</v>
      </c>
    </row>
    <row r="21258" spans="1:6" x14ac:dyDescent="0.25">
      <c r="A21258" t="str">
        <f>"200029004"</f>
        <v>200029004</v>
      </c>
      <c r="B21258" t="str">
        <f>"1225038649"</f>
        <v>1225038649</v>
      </c>
      <c r="C21258" t="str">
        <f>"207P00000X"</f>
        <v>207P00000X</v>
      </c>
      <c r="D21258" t="str">
        <f>"AKINPELU                 AFOLABI      O           "</f>
        <v xml:space="preserve">AKINPELU                 AFOLABI      O           </v>
      </c>
      <c r="E21258" t="str">
        <f>"BROOKHAVEN                "</f>
        <v xml:space="preserve">BROOKHAVEN                </v>
      </c>
      <c r="F21258" t="str">
        <f t="shared" si="496"/>
        <v>MS</v>
      </c>
    </row>
    <row r="21259" spans="1:6" x14ac:dyDescent="0.25">
      <c r="A21259" t="str">
        <f>"200029006"</f>
        <v>200029006</v>
      </c>
      <c r="B21259" t="str">
        <f>"1922834175"</f>
        <v>1922834175</v>
      </c>
      <c r="C21259" t="str">
        <f>"207R00000X"</f>
        <v>207R00000X</v>
      </c>
      <c r="D21259" t="str">
        <f>"LOVORN                   ASHLEY       R           "</f>
        <v xml:space="preserve">LOVORN                   ASHLEY       R           </v>
      </c>
      <c r="E21259" t="str">
        <f>"JACKSON                   "</f>
        <v xml:space="preserve">JACKSON                   </v>
      </c>
      <c r="F21259" t="str">
        <f t="shared" si="496"/>
        <v>MS</v>
      </c>
    </row>
    <row r="21260" spans="1:6" x14ac:dyDescent="0.25">
      <c r="A21260" t="str">
        <f>"200029008"</f>
        <v>200029008</v>
      </c>
      <c r="B21260" t="str">
        <f>"1093649485"</f>
        <v>1093649485</v>
      </c>
      <c r="C21260" t="str">
        <f>"363LA2100X"</f>
        <v>363LA2100X</v>
      </c>
      <c r="D21260" t="str">
        <f>"MCGEE                    SARA         B           "</f>
        <v xml:space="preserve">MCGEE                    SARA         B           </v>
      </c>
      <c r="E21260" t="str">
        <f>"WAYNESBORO                "</f>
        <v xml:space="preserve">WAYNESBORO                </v>
      </c>
      <c r="F21260" t="str">
        <f t="shared" si="496"/>
        <v>MS</v>
      </c>
    </row>
    <row r="21261" spans="1:6" x14ac:dyDescent="0.25">
      <c r="A21261" t="str">
        <f>"200029013"</f>
        <v>200029013</v>
      </c>
      <c r="B21261" t="str">
        <f>"1609686682"</f>
        <v>1609686682</v>
      </c>
      <c r="C21261" t="str">
        <f>"207Q00000X"</f>
        <v>207Q00000X</v>
      </c>
      <c r="D21261" t="str">
        <f>"UTLEY                    BRICE        K           "</f>
        <v xml:space="preserve">UTLEY                    BRICE        K           </v>
      </c>
      <c r="E21261" t="str">
        <f>"TUPELO                    "</f>
        <v xml:space="preserve">TUPELO                    </v>
      </c>
      <c r="F21261" t="str">
        <f t="shared" si="496"/>
        <v>MS</v>
      </c>
    </row>
    <row r="21262" spans="1:6" x14ac:dyDescent="0.25">
      <c r="A21262" t="str">
        <f>"200029018"</f>
        <v>200029018</v>
      </c>
      <c r="B21262" t="str">
        <f>"1447199260"</f>
        <v>1447199260</v>
      </c>
      <c r="C21262" t="str">
        <f>"207Q00000X"</f>
        <v>207Q00000X</v>
      </c>
      <c r="D21262" t="str">
        <f>"YARLAGADDA               VYOMAHARDATH             "</f>
        <v xml:space="preserve">YARLAGADDA               VYOMAHARDATH             </v>
      </c>
      <c r="E21262" t="str">
        <f>"GULFPORT                  "</f>
        <v xml:space="preserve">GULFPORT                  </v>
      </c>
      <c r="F21262" t="str">
        <f t="shared" si="496"/>
        <v>MS</v>
      </c>
    </row>
    <row r="21263" spans="1:6" x14ac:dyDescent="0.25">
      <c r="A21263" t="str">
        <f>"200029019"</f>
        <v>200029019</v>
      </c>
      <c r="B21263" t="str">
        <f>"1760495998"</f>
        <v>1760495998</v>
      </c>
      <c r="C21263" t="str">
        <f>"207RI0200X"</f>
        <v>207RI0200X</v>
      </c>
      <c r="D21263" t="str">
        <f>"NAJI                     IAD                      "</f>
        <v xml:space="preserve">NAJI                     IAD                      </v>
      </c>
      <c r="E21263" t="str">
        <f>"HATTIESBURG               "</f>
        <v xml:space="preserve">HATTIESBURG               </v>
      </c>
      <c r="F21263" t="str">
        <f t="shared" si="496"/>
        <v>MS</v>
      </c>
    </row>
    <row r="21264" spans="1:6" x14ac:dyDescent="0.25">
      <c r="A21264" t="str">
        <f>"200029021"</f>
        <v>200029021</v>
      </c>
      <c r="B21264" t="str">
        <f>"1932895646"</f>
        <v>1932895646</v>
      </c>
      <c r="C21264" t="str">
        <f>"207P00000X"</f>
        <v>207P00000X</v>
      </c>
      <c r="D21264" t="str">
        <f>"GIANFRANCESCO            HALEY                    "</f>
        <v xml:space="preserve">GIANFRANCESCO            HALEY                    </v>
      </c>
      <c r="E21264" t="str">
        <f>"OCEAN SPRINGS             "</f>
        <v xml:space="preserve">OCEAN SPRINGS             </v>
      </c>
      <c r="F21264" t="str">
        <f t="shared" si="496"/>
        <v>MS</v>
      </c>
    </row>
    <row r="21265" spans="1:6" x14ac:dyDescent="0.25">
      <c r="A21265" t="str">
        <f>"200029022"</f>
        <v>200029022</v>
      </c>
      <c r="B21265" t="str">
        <f>"1295749349"</f>
        <v>1295749349</v>
      </c>
      <c r="C21265" t="str">
        <f>"208D00000X"</f>
        <v>208D00000X</v>
      </c>
      <c r="D21265" t="str">
        <f>"TUCKER                   PATRICK                  "</f>
        <v xml:space="preserve">TUCKER                   PATRICK                  </v>
      </c>
      <c r="E21265" t="str">
        <f>"CORINTH                   "</f>
        <v xml:space="preserve">CORINTH                   </v>
      </c>
      <c r="F21265" t="str">
        <f t="shared" si="496"/>
        <v>MS</v>
      </c>
    </row>
    <row r="21266" spans="1:6" x14ac:dyDescent="0.25">
      <c r="A21266" t="str">
        <f>"200029024"</f>
        <v>200029024</v>
      </c>
      <c r="B21266" t="str">
        <f>"1174464622"</f>
        <v>1174464622</v>
      </c>
      <c r="C21266" t="str">
        <f>"207R00000X"</f>
        <v>207R00000X</v>
      </c>
      <c r="D21266" t="str">
        <f>"VALENCIA-LOPEZ           MARIA                    "</f>
        <v xml:space="preserve">VALENCIA-LOPEZ           MARIA                    </v>
      </c>
      <c r="E21266" t="str">
        <f>"GULFPORT                  "</f>
        <v xml:space="preserve">GULFPORT                  </v>
      </c>
      <c r="F21266" t="str">
        <f t="shared" si="496"/>
        <v>MS</v>
      </c>
    </row>
    <row r="21267" spans="1:6" x14ac:dyDescent="0.25">
      <c r="A21267" t="str">
        <f>"200029026"</f>
        <v>200029026</v>
      </c>
      <c r="B21267" t="str">
        <f>"1861697237"</f>
        <v>1861697237</v>
      </c>
      <c r="C21267" t="str">
        <f>"2085R0202X"</f>
        <v>2085R0202X</v>
      </c>
      <c r="D21267" t="str">
        <f>"BORRERO                  CAMILO       G           "</f>
        <v xml:space="preserve">BORRERO                  CAMILO       G           </v>
      </c>
      <c r="E21267" t="str">
        <f>"HATTIESBURG               "</f>
        <v xml:space="preserve">HATTIESBURG               </v>
      </c>
      <c r="F21267" t="str">
        <f t="shared" si="496"/>
        <v>MS</v>
      </c>
    </row>
    <row r="21268" spans="1:6" x14ac:dyDescent="0.25">
      <c r="A21268" t="str">
        <f>"200029029"</f>
        <v>200029029</v>
      </c>
      <c r="B21268" t="str">
        <f>"1174376420"</f>
        <v>1174376420</v>
      </c>
      <c r="C21268" t="str">
        <f>"207P00000X"</f>
        <v>207P00000X</v>
      </c>
      <c r="D21268" t="str">
        <f>"COLEMAN                  THOMAS       P           "</f>
        <v xml:space="preserve">COLEMAN                  THOMAS       P           </v>
      </c>
      <c r="E21268" t="str">
        <f>"BROOKHAVEN                "</f>
        <v xml:space="preserve">BROOKHAVEN                </v>
      </c>
      <c r="F21268" t="str">
        <f t="shared" si="496"/>
        <v>MS</v>
      </c>
    </row>
    <row r="21269" spans="1:6" x14ac:dyDescent="0.25">
      <c r="A21269" t="str">
        <f>"200029032"</f>
        <v>200029032</v>
      </c>
      <c r="B21269" t="str">
        <f>"1548374341"</f>
        <v>1548374341</v>
      </c>
      <c r="C21269" t="str">
        <f>"367500000X"</f>
        <v>367500000X</v>
      </c>
      <c r="D21269" t="str">
        <f>"STUART                   VICKIE                   "</f>
        <v xml:space="preserve">STUART                   VICKIE                   </v>
      </c>
      <c r="E21269" t="str">
        <f>"HATTIESBURG               "</f>
        <v xml:space="preserve">HATTIESBURG               </v>
      </c>
      <c r="F21269" t="str">
        <f t="shared" si="496"/>
        <v>MS</v>
      </c>
    </row>
    <row r="21270" spans="1:6" x14ac:dyDescent="0.25">
      <c r="A21270" t="str">
        <f>"200029035"</f>
        <v>200029035</v>
      </c>
      <c r="B21270" t="str">
        <f>"1295197366"</f>
        <v>1295197366</v>
      </c>
      <c r="C21270" t="str">
        <f>"208M00000X"</f>
        <v>208M00000X</v>
      </c>
      <c r="D21270" t="str">
        <f>"TUITT                    JEROME                   "</f>
        <v xml:space="preserve">TUITT                    JEROME                   </v>
      </c>
      <c r="E21270" t="str">
        <f>"MERIDIAN                  "</f>
        <v xml:space="preserve">MERIDIAN                  </v>
      </c>
      <c r="F21270" t="str">
        <f t="shared" si="496"/>
        <v>MS</v>
      </c>
    </row>
    <row r="21271" spans="1:6" x14ac:dyDescent="0.25">
      <c r="A21271" t="str">
        <f>"200029037"</f>
        <v>200029037</v>
      </c>
      <c r="B21271" t="str">
        <f>"1558202788"</f>
        <v>1558202788</v>
      </c>
      <c r="C21271" t="str">
        <f>"207R00000X"</f>
        <v>207R00000X</v>
      </c>
      <c r="D21271" t="str">
        <f>"KING                     ANGELLE                  "</f>
        <v xml:space="preserve">KING                     ANGELLE                  </v>
      </c>
      <c r="E21271" t="str">
        <f>"GULFPORT                  "</f>
        <v xml:space="preserve">GULFPORT                  </v>
      </c>
      <c r="F21271" t="str">
        <f t="shared" si="496"/>
        <v>MS</v>
      </c>
    </row>
    <row r="21272" spans="1:6" x14ac:dyDescent="0.25">
      <c r="A21272" t="str">
        <f>"200029040"</f>
        <v>200029040</v>
      </c>
      <c r="B21272" t="str">
        <f>"1548850076"</f>
        <v>1548850076</v>
      </c>
      <c r="C21272" t="str">
        <f>"363A00000X"</f>
        <v>363A00000X</v>
      </c>
      <c r="D21272" t="str">
        <f>"DIAZ                     CATHERINE                "</f>
        <v xml:space="preserve">DIAZ                     CATHERINE                </v>
      </c>
      <c r="E21272" t="str">
        <f>"FLOWOOD                   "</f>
        <v xml:space="preserve">FLOWOOD                   </v>
      </c>
      <c r="F21272" t="str">
        <f t="shared" si="496"/>
        <v>MS</v>
      </c>
    </row>
    <row r="21273" spans="1:6" x14ac:dyDescent="0.25">
      <c r="A21273" t="str">
        <f>"200029042"</f>
        <v>200029042</v>
      </c>
      <c r="B21273" t="str">
        <f>"1154852861"</f>
        <v>1154852861</v>
      </c>
      <c r="C21273" t="str">
        <f>"207R00000X"</f>
        <v>207R00000X</v>
      </c>
      <c r="D21273" t="str">
        <f>"HUDSON                   STEPHEN                  "</f>
        <v xml:space="preserve">HUDSON                   STEPHEN                  </v>
      </c>
      <c r="E21273" t="str">
        <f>"SOUTHAVEN                 "</f>
        <v xml:space="preserve">SOUTHAVEN                 </v>
      </c>
      <c r="F21273" t="str">
        <f t="shared" si="496"/>
        <v>MS</v>
      </c>
    </row>
    <row r="21274" spans="1:6" x14ac:dyDescent="0.25">
      <c r="A21274" t="str">
        <f>"200029045"</f>
        <v>200029045</v>
      </c>
      <c r="B21274" t="str">
        <f>"1851393078"</f>
        <v>1851393078</v>
      </c>
      <c r="C21274" t="str">
        <f>"207Q00000X"</f>
        <v>207Q00000X</v>
      </c>
      <c r="D21274" t="str">
        <f>"MEHAFFIE                 DOUGLAS                  "</f>
        <v xml:space="preserve">MEHAFFIE                 DOUGLAS                  </v>
      </c>
      <c r="E21274" t="str">
        <f>"JACKSON                   "</f>
        <v xml:space="preserve">JACKSON                   </v>
      </c>
      <c r="F21274" t="str">
        <f t="shared" si="496"/>
        <v>MS</v>
      </c>
    </row>
    <row r="21275" spans="1:6" x14ac:dyDescent="0.25">
      <c r="A21275" t="str">
        <f>"200029048"</f>
        <v>200029048</v>
      </c>
      <c r="B21275" t="str">
        <f>"1174893598"</f>
        <v>1174893598</v>
      </c>
      <c r="C21275" t="str">
        <f>"367500000X"</f>
        <v>367500000X</v>
      </c>
      <c r="D21275" t="str">
        <f>"ANDERSON                 ANDI         M           "</f>
        <v xml:space="preserve">ANDERSON                 ANDI         M           </v>
      </c>
      <c r="E21275" t="str">
        <f>"SENATOBIA                 "</f>
        <v xml:space="preserve">SENATOBIA                 </v>
      </c>
      <c r="F21275" t="str">
        <f t="shared" si="496"/>
        <v>MS</v>
      </c>
    </row>
    <row r="21276" spans="1:6" x14ac:dyDescent="0.25">
      <c r="A21276" t="str">
        <f>"200029049"</f>
        <v>200029049</v>
      </c>
      <c r="B21276" t="str">
        <f>"1447927207"</f>
        <v>1447927207</v>
      </c>
      <c r="C21276" t="str">
        <f>"363AM0700X"</f>
        <v>363AM0700X</v>
      </c>
      <c r="D21276" t="str">
        <f>"SIDDIQUI                 MASON        O           "</f>
        <v xml:space="preserve">SIDDIQUI                 MASON        O           </v>
      </c>
      <c r="E21276" t="str">
        <f>"COLUMBUS                  "</f>
        <v xml:space="preserve">COLUMBUS                  </v>
      </c>
      <c r="F21276" t="str">
        <f t="shared" si="496"/>
        <v>MS</v>
      </c>
    </row>
    <row r="21277" spans="1:6" x14ac:dyDescent="0.25">
      <c r="A21277" t="str">
        <f>"200029051"</f>
        <v>200029051</v>
      </c>
      <c r="B21277" t="str">
        <f>"1669316899"</f>
        <v>1669316899</v>
      </c>
      <c r="C21277" t="str">
        <f>"207R00000X"</f>
        <v>207R00000X</v>
      </c>
      <c r="D21277" t="str">
        <f>"BEINER                   RANDI                    "</f>
        <v xml:space="preserve">BEINER                   RANDI                    </v>
      </c>
      <c r="E21277" t="str">
        <f>"GULFPORT                  "</f>
        <v xml:space="preserve">GULFPORT                  </v>
      </c>
      <c r="F21277" t="str">
        <f t="shared" si="496"/>
        <v>MS</v>
      </c>
    </row>
    <row r="21278" spans="1:6" x14ac:dyDescent="0.25">
      <c r="A21278" t="str">
        <f>"200029055"</f>
        <v>200029055</v>
      </c>
      <c r="B21278" t="str">
        <f>"1548896301"</f>
        <v>1548896301</v>
      </c>
      <c r="C21278" t="str">
        <f>"363LP2300X"</f>
        <v>363LP2300X</v>
      </c>
      <c r="D21278" t="str">
        <f>"CORK                     ROCHELLE                 "</f>
        <v xml:space="preserve">CORK                     ROCHELLE                 </v>
      </c>
      <c r="E21278" t="str">
        <f>"HATTIESBURG               "</f>
        <v xml:space="preserve">HATTIESBURG               </v>
      </c>
      <c r="F21278" t="str">
        <f t="shared" si="496"/>
        <v>MS</v>
      </c>
    </row>
    <row r="21279" spans="1:6" x14ac:dyDescent="0.25">
      <c r="A21279" t="str">
        <f>"200029058"</f>
        <v>200029058</v>
      </c>
      <c r="B21279" t="str">
        <f>"1124961859"</f>
        <v>1124961859</v>
      </c>
      <c r="C21279" t="str">
        <f>"363LF0000X"</f>
        <v>363LF0000X</v>
      </c>
      <c r="D21279" t="str">
        <f>"JOHNSON                  KEYAIRA                  "</f>
        <v xml:space="preserve">JOHNSON                  KEYAIRA                  </v>
      </c>
      <c r="E21279" t="str">
        <f>"OAKLAND                   "</f>
        <v xml:space="preserve">OAKLAND                   </v>
      </c>
      <c r="F21279" t="str">
        <f t="shared" si="496"/>
        <v>MS</v>
      </c>
    </row>
    <row r="21280" spans="1:6" x14ac:dyDescent="0.25">
      <c r="A21280" t="str">
        <f>"200029060"</f>
        <v>200029060</v>
      </c>
      <c r="B21280" t="str">
        <f>"1730838061"</f>
        <v>1730838061</v>
      </c>
      <c r="C21280" t="str">
        <f>"207P00000X"</f>
        <v>207P00000X</v>
      </c>
      <c r="D21280" t="str">
        <f>"SPARTZ                   JOHN                     "</f>
        <v xml:space="preserve">SPARTZ                   JOHN                     </v>
      </c>
      <c r="E21280" t="str">
        <f>"OCEAN SPRINGS             "</f>
        <v xml:space="preserve">OCEAN SPRINGS             </v>
      </c>
      <c r="F21280" t="str">
        <f t="shared" si="496"/>
        <v>MS</v>
      </c>
    </row>
    <row r="21281" spans="1:6" x14ac:dyDescent="0.25">
      <c r="A21281" t="str">
        <f>"200029062"</f>
        <v>200029062</v>
      </c>
      <c r="B21281" t="str">
        <f>"1679734727"</f>
        <v>1679734727</v>
      </c>
      <c r="C21281" t="str">
        <f>"122300000X"</f>
        <v>122300000X</v>
      </c>
      <c r="D21281" t="str">
        <f>"SIFFRARD                 VENIS        F           "</f>
        <v xml:space="preserve">SIFFRARD                 VENIS        F           </v>
      </c>
      <c r="E21281" t="str">
        <f>"OLIVE BRANCH              "</f>
        <v xml:space="preserve">OLIVE BRANCH              </v>
      </c>
      <c r="F21281" t="str">
        <f t="shared" si="496"/>
        <v>MS</v>
      </c>
    </row>
    <row r="21282" spans="1:6" x14ac:dyDescent="0.25">
      <c r="A21282" t="str">
        <f>"200029064"</f>
        <v>200029064</v>
      </c>
      <c r="B21282" t="str">
        <f>"1386507341"</f>
        <v>1386507341</v>
      </c>
      <c r="C21282" t="str">
        <f>"207Q00000X"</f>
        <v>207Q00000X</v>
      </c>
      <c r="D21282" t="str">
        <f>"PITALO                   CHRISTIAN                "</f>
        <v xml:space="preserve">PITALO                   CHRISTIAN                </v>
      </c>
      <c r="E21282" t="str">
        <f>"GULFPORT                  "</f>
        <v xml:space="preserve">GULFPORT                  </v>
      </c>
      <c r="F21282" t="str">
        <f t="shared" si="496"/>
        <v>MS</v>
      </c>
    </row>
    <row r="21283" spans="1:6" x14ac:dyDescent="0.25">
      <c r="A21283" t="str">
        <f>"200029066"</f>
        <v>200029066</v>
      </c>
      <c r="B21283" t="str">
        <f>"1417782541"</f>
        <v>1417782541</v>
      </c>
      <c r="C21283" t="str">
        <f>"367500000X"</f>
        <v>367500000X</v>
      </c>
      <c r="D21283" t="str">
        <f>"BABB                     HILARY                   "</f>
        <v xml:space="preserve">BABB                     HILARY                   </v>
      </c>
      <c r="E21283" t="str">
        <f>"OXFORD                    "</f>
        <v xml:space="preserve">OXFORD                    </v>
      </c>
      <c r="F21283" t="str">
        <f t="shared" si="496"/>
        <v>MS</v>
      </c>
    </row>
    <row r="21284" spans="1:6" x14ac:dyDescent="0.25">
      <c r="A21284" t="str">
        <f>"200029070"</f>
        <v>200029070</v>
      </c>
      <c r="B21284" t="str">
        <f>"1477494714"</f>
        <v>1477494714</v>
      </c>
      <c r="C21284" t="str">
        <f>"207P00000X"</f>
        <v>207P00000X</v>
      </c>
      <c r="D21284" t="str">
        <f>"ONYEKWERE                KELECHI                  "</f>
        <v xml:space="preserve">ONYEKWERE                KELECHI                  </v>
      </c>
      <c r="E21284" t="str">
        <f>"HATTIESBURG               "</f>
        <v xml:space="preserve">HATTIESBURG               </v>
      </c>
      <c r="F21284" t="str">
        <f t="shared" si="496"/>
        <v>MS</v>
      </c>
    </row>
    <row r="21285" spans="1:6" x14ac:dyDescent="0.25">
      <c r="A21285" t="str">
        <f>"200029072"</f>
        <v>200029072</v>
      </c>
      <c r="B21285" t="str">
        <f>"1265652846"</f>
        <v>1265652846</v>
      </c>
      <c r="C21285" t="str">
        <f>"2084N0400X"</f>
        <v>2084N0400X</v>
      </c>
      <c r="D21285" t="str">
        <f>"SUMNER                   NATHAN                   "</f>
        <v xml:space="preserve">SUMNER                   NATHAN                   </v>
      </c>
      <c r="E21285" t="str">
        <f>"GULFPORT                  "</f>
        <v xml:space="preserve">GULFPORT                  </v>
      </c>
      <c r="F21285" t="str">
        <f t="shared" si="496"/>
        <v>MS</v>
      </c>
    </row>
    <row r="21286" spans="1:6" x14ac:dyDescent="0.25">
      <c r="A21286" t="str">
        <f>"200029073"</f>
        <v>200029073</v>
      </c>
      <c r="B21286" t="str">
        <f>"1467542241"</f>
        <v>1467542241</v>
      </c>
      <c r="C21286" t="str">
        <f>"152W00000X"</f>
        <v>152W00000X</v>
      </c>
      <c r="D21286" t="str">
        <f>"CARLSON                  JOHN         D           "</f>
        <v xml:space="preserve">CARLSON                  JOHN         D           </v>
      </c>
      <c r="E21286" t="str">
        <f>"HERNANDO                  "</f>
        <v xml:space="preserve">HERNANDO                  </v>
      </c>
      <c r="F21286" t="str">
        <f t="shared" si="496"/>
        <v>MS</v>
      </c>
    </row>
    <row r="21287" spans="1:6" x14ac:dyDescent="0.25">
      <c r="A21287" t="str">
        <f>"200029074"</f>
        <v>200029074</v>
      </c>
      <c r="B21287" t="str">
        <f>"1558998104"</f>
        <v>1558998104</v>
      </c>
      <c r="C21287" t="str">
        <f>"2084N0400X"</f>
        <v>2084N0400X</v>
      </c>
      <c r="D21287" t="str">
        <f>"KHAMISHON                SOLOMON                  "</f>
        <v xml:space="preserve">KHAMISHON                SOLOMON                  </v>
      </c>
      <c r="E21287" t="str">
        <f>"SOUTHHAVEN                "</f>
        <v xml:space="preserve">SOUTHHAVEN                </v>
      </c>
      <c r="F21287" t="str">
        <f t="shared" si="496"/>
        <v>MS</v>
      </c>
    </row>
    <row r="21288" spans="1:6" x14ac:dyDescent="0.25">
      <c r="A21288" t="str">
        <f>"200029077"</f>
        <v>200029077</v>
      </c>
      <c r="B21288" t="str">
        <f>"1326134495"</f>
        <v>1326134495</v>
      </c>
      <c r="C21288" t="str">
        <f>"367500000X"</f>
        <v>367500000X</v>
      </c>
      <c r="D21288" t="str">
        <f>"NEEDHAM                  SUSAN                    "</f>
        <v xml:space="preserve">NEEDHAM                  SUSAN                    </v>
      </c>
      <c r="E21288" t="str">
        <f>"FLOWOOD                   "</f>
        <v xml:space="preserve">FLOWOOD                   </v>
      </c>
      <c r="F21288" t="str">
        <f t="shared" si="496"/>
        <v>MS</v>
      </c>
    </row>
    <row r="21289" spans="1:6" x14ac:dyDescent="0.25">
      <c r="A21289" t="str">
        <f>"200029090"</f>
        <v>200029090</v>
      </c>
      <c r="B21289" t="str">
        <f>"1376484782"</f>
        <v>1376484782</v>
      </c>
      <c r="C21289" t="str">
        <f>"207P00000X"</f>
        <v>207P00000X</v>
      </c>
      <c r="D21289" t="str">
        <f>"CARSWELL                 SAVION                   "</f>
        <v xml:space="preserve">CARSWELL                 SAVION                   </v>
      </c>
      <c r="E21289" t="str">
        <f>"HATTIESBURG               "</f>
        <v xml:space="preserve">HATTIESBURG               </v>
      </c>
      <c r="F21289" t="str">
        <f t="shared" si="496"/>
        <v>MS</v>
      </c>
    </row>
    <row r="21290" spans="1:6" x14ac:dyDescent="0.25">
      <c r="A21290" t="str">
        <f>"200029092"</f>
        <v>200029092</v>
      </c>
      <c r="B21290" t="str">
        <f>"1134706765"</f>
        <v>1134706765</v>
      </c>
      <c r="C21290" t="str">
        <f>"207L00000X"</f>
        <v>207L00000X</v>
      </c>
      <c r="D21290" t="str">
        <f>"THARP                    JACK         G           "</f>
        <v xml:space="preserve">THARP                    JACK         G           </v>
      </c>
      <c r="E21290" t="str">
        <f>"MERIDIAN                  "</f>
        <v xml:space="preserve">MERIDIAN                  </v>
      </c>
      <c r="F21290" t="str">
        <f t="shared" si="496"/>
        <v>MS</v>
      </c>
    </row>
    <row r="21291" spans="1:6" x14ac:dyDescent="0.25">
      <c r="A21291" t="str">
        <f>"200029093"</f>
        <v>200029093</v>
      </c>
      <c r="B21291" t="str">
        <f>"1538864475"</f>
        <v>1538864475</v>
      </c>
      <c r="C21291" t="str">
        <f>"208M00000X"</f>
        <v>208M00000X</v>
      </c>
      <c r="D21291" t="str">
        <f>"COOPER                   HUNTER                   "</f>
        <v xml:space="preserve">COOPER                   HUNTER                   </v>
      </c>
      <c r="E21291" t="str">
        <f>"GULFPORT                  "</f>
        <v xml:space="preserve">GULFPORT                  </v>
      </c>
      <c r="F21291" t="str">
        <f t="shared" si="496"/>
        <v>MS</v>
      </c>
    </row>
    <row r="21292" spans="1:6" x14ac:dyDescent="0.25">
      <c r="A21292" t="str">
        <f>"200029094"</f>
        <v>200029094</v>
      </c>
      <c r="B21292" t="str">
        <f>"1659163517"</f>
        <v>1659163517</v>
      </c>
      <c r="C21292" t="str">
        <f>"207P00000X"</f>
        <v>207P00000X</v>
      </c>
      <c r="D21292" t="str">
        <f>"PATEL                    DHRUV        U           "</f>
        <v xml:space="preserve">PATEL                    DHRUV        U           </v>
      </c>
      <c r="E21292" t="str">
        <f>"HATTIESBURG               "</f>
        <v xml:space="preserve">HATTIESBURG               </v>
      </c>
      <c r="F21292" t="str">
        <f t="shared" si="496"/>
        <v>MS</v>
      </c>
    </row>
    <row r="21293" spans="1:6" x14ac:dyDescent="0.25">
      <c r="A21293" t="str">
        <f>"200029097"</f>
        <v>200029097</v>
      </c>
      <c r="B21293" t="str">
        <f>"1295522431"</f>
        <v>1295522431</v>
      </c>
      <c r="C21293" t="str">
        <f>"207P00000X"</f>
        <v>207P00000X</v>
      </c>
      <c r="D21293" t="str">
        <f>"ALA                      SAMPRITH                 "</f>
        <v xml:space="preserve">ALA                      SAMPRITH                 </v>
      </c>
      <c r="E21293" t="str">
        <f>"HATTIESBURG               "</f>
        <v xml:space="preserve">HATTIESBURG               </v>
      </c>
      <c r="F21293" t="str">
        <f t="shared" si="496"/>
        <v>MS</v>
      </c>
    </row>
    <row r="21294" spans="1:6" x14ac:dyDescent="0.25">
      <c r="A21294" t="str">
        <f>"200029101"</f>
        <v>200029101</v>
      </c>
      <c r="B21294" t="str">
        <f>"1467773838"</f>
        <v>1467773838</v>
      </c>
      <c r="C21294" t="str">
        <f>"207WX0107X"</f>
        <v>207WX0107X</v>
      </c>
      <c r="D21294" t="str">
        <f>"KON GRAVERSEN            VERONCIE                 "</f>
        <v xml:space="preserve">KON GRAVERSEN            VERONCIE                 </v>
      </c>
      <c r="E21294" t="str">
        <f>"MADISON                   "</f>
        <v xml:space="preserve">MADISON                   </v>
      </c>
      <c r="F21294" t="str">
        <f t="shared" si="496"/>
        <v>MS</v>
      </c>
    </row>
    <row r="21295" spans="1:6" x14ac:dyDescent="0.25">
      <c r="A21295" t="str">
        <f>"200029107"</f>
        <v>200029107</v>
      </c>
      <c r="B21295" t="str">
        <f>"1417615352"</f>
        <v>1417615352</v>
      </c>
      <c r="C21295" t="str">
        <f>"1223X0400X"</f>
        <v>1223X0400X</v>
      </c>
      <c r="D21295" t="str">
        <f>"CHERRY                   DENISE                   "</f>
        <v xml:space="preserve">CHERRY                   DENISE                   </v>
      </c>
      <c r="E21295" t="str">
        <f>"GULFPORT                  "</f>
        <v xml:space="preserve">GULFPORT                  </v>
      </c>
      <c r="F21295" t="str">
        <f t="shared" si="496"/>
        <v>MS</v>
      </c>
    </row>
    <row r="21296" spans="1:6" x14ac:dyDescent="0.25">
      <c r="A21296" t="str">
        <f>"200029110"</f>
        <v>200029110</v>
      </c>
      <c r="B21296" t="str">
        <f>"1679995112"</f>
        <v>1679995112</v>
      </c>
      <c r="C21296" t="str">
        <f>"363LA2100X"</f>
        <v>363LA2100X</v>
      </c>
      <c r="D21296" t="str">
        <f>"SULLIVAN                 HAZEL        L           "</f>
        <v xml:space="preserve">SULLIVAN                 HAZEL        L           </v>
      </c>
      <c r="E21296" t="str">
        <f>"MERIDIAN                  "</f>
        <v xml:space="preserve">MERIDIAN                  </v>
      </c>
      <c r="F21296" t="str">
        <f t="shared" si="496"/>
        <v>MS</v>
      </c>
    </row>
    <row r="21297" spans="1:6" x14ac:dyDescent="0.25">
      <c r="A21297" t="str">
        <f>"200029118"</f>
        <v>200029118</v>
      </c>
      <c r="B21297" t="str">
        <f>"1437710555"</f>
        <v>1437710555</v>
      </c>
      <c r="C21297" t="str">
        <f>"2085R0202X"</f>
        <v>2085R0202X</v>
      </c>
      <c r="D21297" t="str">
        <f>"KIRANE                   MARK         R           "</f>
        <v xml:space="preserve">KIRANE                   MARK         R           </v>
      </c>
      <c r="E21297" t="str">
        <f>"MERIDIAN                  "</f>
        <v xml:space="preserve">MERIDIAN                  </v>
      </c>
      <c r="F21297" t="str">
        <f t="shared" si="496"/>
        <v>MS</v>
      </c>
    </row>
    <row r="21298" spans="1:6" x14ac:dyDescent="0.25">
      <c r="A21298" t="str">
        <f>"200029126"</f>
        <v>200029126</v>
      </c>
      <c r="B21298" t="str">
        <f>"1295815769"</f>
        <v>1295815769</v>
      </c>
      <c r="C21298" t="str">
        <f>"367500000X"</f>
        <v>367500000X</v>
      </c>
      <c r="D21298" t="str">
        <f>"STONE                    PATRICIA                 "</f>
        <v xml:space="preserve">STONE                    PATRICIA                 </v>
      </c>
      <c r="E21298" t="str">
        <f>"FLOWOOD                   "</f>
        <v xml:space="preserve">FLOWOOD                   </v>
      </c>
      <c r="F21298" t="str">
        <f t="shared" si="496"/>
        <v>MS</v>
      </c>
    </row>
    <row r="21299" spans="1:6" x14ac:dyDescent="0.25">
      <c r="A21299" t="str">
        <f>"200029129"</f>
        <v>200029129</v>
      </c>
      <c r="B21299" t="str">
        <f>"1073820338"</f>
        <v>1073820338</v>
      </c>
      <c r="C21299" t="str">
        <f>"363LF0000X"</f>
        <v>363LF0000X</v>
      </c>
      <c r="D21299" t="str">
        <f>"BEASLEY                  STEPHANIE    M           "</f>
        <v xml:space="preserve">BEASLEY                  STEPHANIE    M           </v>
      </c>
      <c r="E21299" t="str">
        <f>"COLUMBUS                  "</f>
        <v xml:space="preserve">COLUMBUS                  </v>
      </c>
      <c r="F21299" t="str">
        <f t="shared" si="496"/>
        <v>MS</v>
      </c>
    </row>
    <row r="21300" spans="1:6" x14ac:dyDescent="0.25">
      <c r="A21300" t="str">
        <f>"200029131"</f>
        <v>200029131</v>
      </c>
      <c r="B21300" t="str">
        <f>"1215396577"</f>
        <v>1215396577</v>
      </c>
      <c r="C21300" t="str">
        <f>"261QR1300X"</f>
        <v>261QR1300X</v>
      </c>
      <c r="D21300" t="str">
        <f>"SOUTHERN MEDICAL CONSULTANTS LLC                  "</f>
        <v xml:space="preserve">SOUTHERN MEDICAL CONSULTANTS LLC                  </v>
      </c>
      <c r="E21300" t="str">
        <f>"BENTONIA                  "</f>
        <v xml:space="preserve">BENTONIA                  </v>
      </c>
      <c r="F21300" t="str">
        <f t="shared" si="496"/>
        <v>MS</v>
      </c>
    </row>
    <row r="21301" spans="1:6" x14ac:dyDescent="0.25">
      <c r="A21301" t="str">
        <f>"200029132"</f>
        <v>200029132</v>
      </c>
      <c r="B21301" t="str">
        <f>"1295300390"</f>
        <v>1295300390</v>
      </c>
      <c r="C21301" t="str">
        <f>"207X00000X"</f>
        <v>207X00000X</v>
      </c>
      <c r="D21301" t="str">
        <f>"CHANG                    ANDREW                   "</f>
        <v xml:space="preserve">CHANG                    ANDREW                   </v>
      </c>
      <c r="E21301" t="str">
        <f>"JACKSON                   "</f>
        <v xml:space="preserve">JACKSON                   </v>
      </c>
      <c r="F21301" t="str">
        <f t="shared" si="496"/>
        <v>MS</v>
      </c>
    </row>
    <row r="21302" spans="1:6" x14ac:dyDescent="0.25">
      <c r="A21302" t="str">
        <f>"200029135"</f>
        <v>200029135</v>
      </c>
      <c r="B21302" t="str">
        <f>"1649107228"</f>
        <v>1649107228</v>
      </c>
      <c r="C21302" t="str">
        <f>"363LF0000X"</f>
        <v>363LF0000X</v>
      </c>
      <c r="D21302" t="str">
        <f>"REED                     MARISA       A           "</f>
        <v xml:space="preserve">REED                     MARISA       A           </v>
      </c>
      <c r="E21302" t="str">
        <f>"RICHLAND                  "</f>
        <v xml:space="preserve">RICHLAND                  </v>
      </c>
      <c r="F21302" t="str">
        <f t="shared" si="496"/>
        <v>MS</v>
      </c>
    </row>
    <row r="21303" spans="1:6" x14ac:dyDescent="0.25">
      <c r="A21303" t="str">
        <f>"200029137"</f>
        <v>200029137</v>
      </c>
      <c r="B21303" t="str">
        <f>"1790362556"</f>
        <v>1790362556</v>
      </c>
      <c r="C21303" t="str">
        <f>"207X00000X"</f>
        <v>207X00000X</v>
      </c>
      <c r="D21303" t="str">
        <f>"JONES                    JAMES                    "</f>
        <v xml:space="preserve">JONES                    JAMES                    </v>
      </c>
      <c r="E21303" t="str">
        <f>"JACKSON                   "</f>
        <v xml:space="preserve">JACKSON                   </v>
      </c>
      <c r="F21303" t="str">
        <f t="shared" si="496"/>
        <v>MS</v>
      </c>
    </row>
    <row r="21304" spans="1:6" x14ac:dyDescent="0.25">
      <c r="A21304" t="str">
        <f>"200029141"</f>
        <v>200029141</v>
      </c>
      <c r="B21304" t="str">
        <f>"1215384425"</f>
        <v>1215384425</v>
      </c>
      <c r="C21304" t="str">
        <f>"367500000X"</f>
        <v>367500000X</v>
      </c>
      <c r="D21304" t="str">
        <f>"PARKER                   JOSHUA                   "</f>
        <v xml:space="preserve">PARKER                   JOSHUA                   </v>
      </c>
      <c r="E21304" t="str">
        <f>"OLIVE BRANCH              "</f>
        <v xml:space="preserve">OLIVE BRANCH              </v>
      </c>
      <c r="F21304" t="str">
        <f t="shared" si="496"/>
        <v>MS</v>
      </c>
    </row>
    <row r="21305" spans="1:6" x14ac:dyDescent="0.25">
      <c r="A21305" t="str">
        <f>"200029144"</f>
        <v>200029144</v>
      </c>
      <c r="B21305" t="str">
        <f>"1447527486"</f>
        <v>1447527486</v>
      </c>
      <c r="C21305" t="str">
        <f>"363L00000X"</f>
        <v>363L00000X</v>
      </c>
      <c r="D21305" t="str">
        <f>"DORRIS                   SHANNON      L           "</f>
        <v xml:space="preserve">DORRIS                   SHANNON      L           </v>
      </c>
      <c r="E21305" t="str">
        <f>"FLOWOOD                   "</f>
        <v xml:space="preserve">FLOWOOD                   </v>
      </c>
      <c r="F21305" t="str">
        <f t="shared" si="496"/>
        <v>MS</v>
      </c>
    </row>
    <row r="21306" spans="1:6" x14ac:dyDescent="0.25">
      <c r="A21306" t="str">
        <f>"200029147"</f>
        <v>200029147</v>
      </c>
      <c r="B21306" t="str">
        <f>"1578250999"</f>
        <v>1578250999</v>
      </c>
      <c r="C21306" t="str">
        <f>"363A00000X"</f>
        <v>363A00000X</v>
      </c>
      <c r="D21306" t="str">
        <f>"WILLIAMS                 SADIE                    "</f>
        <v xml:space="preserve">WILLIAMS                 SADIE                    </v>
      </c>
      <c r="E21306" t="str">
        <f>"PICAYUNE                  "</f>
        <v xml:space="preserve">PICAYUNE                  </v>
      </c>
      <c r="F21306" t="str">
        <f t="shared" si="496"/>
        <v>MS</v>
      </c>
    </row>
    <row r="21307" spans="1:6" x14ac:dyDescent="0.25">
      <c r="A21307" t="str">
        <f>"200029149"</f>
        <v>200029149</v>
      </c>
      <c r="B21307" t="str">
        <f>"1861359341"</f>
        <v>1861359341</v>
      </c>
      <c r="C21307" t="str">
        <f>"261QU0200X"</f>
        <v>261QU0200X</v>
      </c>
      <c r="D21307" t="str">
        <f>"LOCALMED URGENT CARE, LLC                         "</f>
        <v xml:space="preserve">LOCALMED URGENT CARE, LLC                         </v>
      </c>
      <c r="E21307" t="str">
        <f>"LOUISVILLE                "</f>
        <v xml:space="preserve">LOUISVILLE                </v>
      </c>
      <c r="F21307" t="str">
        <f t="shared" si="496"/>
        <v>MS</v>
      </c>
    </row>
    <row r="21308" spans="1:6" x14ac:dyDescent="0.25">
      <c r="A21308" t="str">
        <f>"200029151"</f>
        <v>200029151</v>
      </c>
      <c r="B21308" t="str">
        <f>"1285211516"</f>
        <v>1285211516</v>
      </c>
      <c r="C21308" t="str">
        <f>"207X00000X"</f>
        <v>207X00000X</v>
      </c>
      <c r="D21308" t="str">
        <f>"COX                      WILLIAM                  "</f>
        <v xml:space="preserve">COX                      WILLIAM                  </v>
      </c>
      <c r="E21308" t="str">
        <f>"JACKSON                   "</f>
        <v xml:space="preserve">JACKSON                   </v>
      </c>
      <c r="F21308" t="str">
        <f t="shared" si="496"/>
        <v>MS</v>
      </c>
    </row>
    <row r="21309" spans="1:6" x14ac:dyDescent="0.25">
      <c r="A21309" t="str">
        <f>"200029152"</f>
        <v>200029152</v>
      </c>
      <c r="B21309" t="str">
        <f>"1952153264"</f>
        <v>1952153264</v>
      </c>
      <c r="C21309" t="str">
        <f>"207N00000X"</f>
        <v>207N00000X</v>
      </c>
      <c r="D21309" t="str">
        <f>"CROSS                    CALLIE                   "</f>
        <v xml:space="preserve">CROSS                    CALLIE                   </v>
      </c>
      <c r="E21309" t="str">
        <f>"JACKSON                   "</f>
        <v xml:space="preserve">JACKSON                   </v>
      </c>
      <c r="F21309" t="str">
        <f t="shared" si="496"/>
        <v>MS</v>
      </c>
    </row>
    <row r="21310" spans="1:6" x14ac:dyDescent="0.25">
      <c r="A21310" t="str">
        <f>"200029153"</f>
        <v>200029153</v>
      </c>
      <c r="B21310" t="str">
        <f>"1245523745"</f>
        <v>1245523745</v>
      </c>
      <c r="C21310" t="str">
        <f>"207ZC0006X"</f>
        <v>207ZC0006X</v>
      </c>
      <c r="D21310" t="str">
        <f>"THOMAS                   JESSICA                  "</f>
        <v xml:space="preserve">THOMAS                   JESSICA                  </v>
      </c>
      <c r="E21310" t="str">
        <f>"SOUTHAVEN                 "</f>
        <v xml:space="preserve">SOUTHAVEN                 </v>
      </c>
      <c r="F21310" t="str">
        <f t="shared" ref="F21310:F21373" si="497">"MS"</f>
        <v>MS</v>
      </c>
    </row>
    <row r="21311" spans="1:6" x14ac:dyDescent="0.25">
      <c r="A21311" t="str">
        <f>"200029155"</f>
        <v>200029155</v>
      </c>
      <c r="B21311" t="str">
        <f>"1093654618"</f>
        <v>1093654618</v>
      </c>
      <c r="C21311" t="str">
        <f>"207Q00000X"</f>
        <v>207Q00000X</v>
      </c>
      <c r="D21311" t="str">
        <f>"HOSSEINI EMAMI           SEYEDEH YASMI            "</f>
        <v xml:space="preserve">HOSSEINI EMAMI           SEYEDEH YASMI            </v>
      </c>
      <c r="E21311" t="str">
        <f>"HATTIESBURG               "</f>
        <v xml:space="preserve">HATTIESBURG               </v>
      </c>
      <c r="F21311" t="str">
        <f t="shared" si="497"/>
        <v>MS</v>
      </c>
    </row>
    <row r="21312" spans="1:6" x14ac:dyDescent="0.25">
      <c r="A21312" t="str">
        <f>"200029156"</f>
        <v>200029156</v>
      </c>
      <c r="B21312" t="str">
        <f>"1538651435"</f>
        <v>1538651435</v>
      </c>
      <c r="C21312" t="str">
        <f>"363L00000X"</f>
        <v>363L00000X</v>
      </c>
      <c r="D21312" t="str">
        <f>"BEAUSEJOUR               BARBARA                  "</f>
        <v xml:space="preserve">BEAUSEJOUR               BARBARA                  </v>
      </c>
      <c r="E21312" t="str">
        <f>"RIDGELAND                 "</f>
        <v xml:space="preserve">RIDGELAND                 </v>
      </c>
      <c r="F21312" t="str">
        <f t="shared" si="497"/>
        <v>MS</v>
      </c>
    </row>
    <row r="21313" spans="1:6" x14ac:dyDescent="0.25">
      <c r="A21313" t="str">
        <f>"200029157"</f>
        <v>200029157</v>
      </c>
      <c r="B21313" t="str">
        <f>"1962004481"</f>
        <v>1962004481</v>
      </c>
      <c r="C21313" t="str">
        <f>"367500000X"</f>
        <v>367500000X</v>
      </c>
      <c r="D21313" t="str">
        <f>"SHOUSE                   COURTNEY     C           "</f>
        <v xml:space="preserve">SHOUSE                   COURTNEY     C           </v>
      </c>
      <c r="E21313" t="str">
        <f>"GULFPORT                  "</f>
        <v xml:space="preserve">GULFPORT                  </v>
      </c>
      <c r="F21313" t="str">
        <f t="shared" si="497"/>
        <v>MS</v>
      </c>
    </row>
    <row r="21314" spans="1:6" x14ac:dyDescent="0.25">
      <c r="A21314" t="str">
        <f>"200029160"</f>
        <v>200029160</v>
      </c>
      <c r="B21314" t="str">
        <f>"1063938322"</f>
        <v>1063938322</v>
      </c>
      <c r="C21314" t="str">
        <f>"363L00000X"</f>
        <v>363L00000X</v>
      </c>
      <c r="D21314" t="str">
        <f>"PULSE                    BARBARA                  "</f>
        <v xml:space="preserve">PULSE                    BARBARA                  </v>
      </c>
      <c r="E21314" t="str">
        <f>"TUPELO                    "</f>
        <v xml:space="preserve">TUPELO                    </v>
      </c>
      <c r="F21314" t="str">
        <f t="shared" si="497"/>
        <v>MS</v>
      </c>
    </row>
    <row r="21315" spans="1:6" x14ac:dyDescent="0.25">
      <c r="A21315" t="str">
        <f>"200029165"</f>
        <v>200029165</v>
      </c>
      <c r="B21315" t="str">
        <f>"1376482455"</f>
        <v>1376482455</v>
      </c>
      <c r="C21315" t="str">
        <f>"207Q00000X"</f>
        <v>207Q00000X</v>
      </c>
      <c r="D21315" t="str">
        <f>"KHAN                     HUMZA                    "</f>
        <v xml:space="preserve">KHAN                     HUMZA                    </v>
      </c>
      <c r="E21315" t="str">
        <f>"GULFPORT                  "</f>
        <v xml:space="preserve">GULFPORT                  </v>
      </c>
      <c r="F21315" t="str">
        <f t="shared" si="497"/>
        <v>MS</v>
      </c>
    </row>
    <row r="21316" spans="1:6" x14ac:dyDescent="0.25">
      <c r="A21316" t="str">
        <f>"200029166"</f>
        <v>200029166</v>
      </c>
      <c r="B21316" t="str">
        <f>"1144545195"</f>
        <v>1144545195</v>
      </c>
      <c r="C21316" t="str">
        <f>"207N00000X"</f>
        <v>207N00000X</v>
      </c>
      <c r="D21316" t="str">
        <f>"CHASTANT                 LISA                     "</f>
        <v xml:space="preserve">CHASTANT                 LISA                     </v>
      </c>
      <c r="E21316" t="str">
        <f>"BILOXI                    "</f>
        <v xml:space="preserve">BILOXI                    </v>
      </c>
      <c r="F21316" t="str">
        <f t="shared" si="497"/>
        <v>MS</v>
      </c>
    </row>
    <row r="21317" spans="1:6" x14ac:dyDescent="0.25">
      <c r="A21317" t="str">
        <f>"200029171"</f>
        <v>200029171</v>
      </c>
      <c r="B21317" t="str">
        <f>"1093394900"</f>
        <v>1093394900</v>
      </c>
      <c r="C21317" t="str">
        <f>"207X00000X"</f>
        <v>207X00000X</v>
      </c>
      <c r="D21317" t="str">
        <f>"POPPE                    TANNER                   "</f>
        <v xml:space="preserve">POPPE                    TANNER                   </v>
      </c>
      <c r="E21317" t="str">
        <f>"JACKSON                   "</f>
        <v xml:space="preserve">JACKSON                   </v>
      </c>
      <c r="F21317" t="str">
        <f t="shared" si="497"/>
        <v>MS</v>
      </c>
    </row>
    <row r="21318" spans="1:6" x14ac:dyDescent="0.25">
      <c r="A21318" t="str">
        <f>"200029181"</f>
        <v>200029181</v>
      </c>
      <c r="B21318" t="str">
        <f>"1326780735"</f>
        <v>1326780735</v>
      </c>
      <c r="C21318" t="str">
        <f>"207V00000X"</f>
        <v>207V00000X</v>
      </c>
      <c r="D21318" t="str">
        <f>"PATTERSON GEDDIE         TAYLOR                   "</f>
        <v xml:space="preserve">PATTERSON GEDDIE         TAYLOR                   </v>
      </c>
      <c r="E21318" t="str">
        <f>"FLOWOOD                   "</f>
        <v xml:space="preserve">FLOWOOD                   </v>
      </c>
      <c r="F21318" t="str">
        <f t="shared" si="497"/>
        <v>MS</v>
      </c>
    </row>
    <row r="21319" spans="1:6" x14ac:dyDescent="0.25">
      <c r="A21319" t="str">
        <f>"200029183"</f>
        <v>200029183</v>
      </c>
      <c r="B21319" t="str">
        <f>"1861340226"</f>
        <v>1861340226</v>
      </c>
      <c r="C21319" t="str">
        <f>"363LF0000X"</f>
        <v>363LF0000X</v>
      </c>
      <c r="D21319" t="str">
        <f>"CLARK                    KARLEY                   "</f>
        <v xml:space="preserve">CLARK                    KARLEY                   </v>
      </c>
      <c r="E21319" t="str">
        <f>"VANCLEAVE                 "</f>
        <v xml:space="preserve">VANCLEAVE                 </v>
      </c>
      <c r="F21319" t="str">
        <f t="shared" si="497"/>
        <v>MS</v>
      </c>
    </row>
    <row r="21320" spans="1:6" x14ac:dyDescent="0.25">
      <c r="A21320" t="str">
        <f>"200029185"</f>
        <v>200029185</v>
      </c>
      <c r="B21320" t="str">
        <f>"1396569844"</f>
        <v>1396569844</v>
      </c>
      <c r="C21320" t="str">
        <f>"207R00000X"</f>
        <v>207R00000X</v>
      </c>
      <c r="D21320" t="str">
        <f>"MOORE                    WALTER       T           "</f>
        <v xml:space="preserve">MOORE                    WALTER       T           </v>
      </c>
      <c r="E21320" t="str">
        <f>"JACKSON                   "</f>
        <v xml:space="preserve">JACKSON                   </v>
      </c>
      <c r="F21320" t="str">
        <f t="shared" si="497"/>
        <v>MS</v>
      </c>
    </row>
    <row r="21321" spans="1:6" x14ac:dyDescent="0.25">
      <c r="A21321" t="str">
        <f>"200029186"</f>
        <v>200029186</v>
      </c>
      <c r="B21321" t="str">
        <f>"1033946009"</f>
        <v>1033946009</v>
      </c>
      <c r="C21321" t="str">
        <f>"207Q00000X"</f>
        <v>207Q00000X</v>
      </c>
      <c r="D21321" t="str">
        <f>"KAUR                     SIMRANJIT                "</f>
        <v xml:space="preserve">KAUR                     SIMRANJIT                </v>
      </c>
      <c r="E21321" t="str">
        <f>"TUPELO                    "</f>
        <v xml:space="preserve">TUPELO                    </v>
      </c>
      <c r="F21321" t="str">
        <f t="shared" si="497"/>
        <v>MS</v>
      </c>
    </row>
    <row r="21322" spans="1:6" x14ac:dyDescent="0.25">
      <c r="A21322" t="str">
        <f>"200029191"</f>
        <v>200029191</v>
      </c>
      <c r="B21322" t="str">
        <f>"1427980309"</f>
        <v>1427980309</v>
      </c>
      <c r="C21322" t="str">
        <f>"363LF0000X"</f>
        <v>363LF0000X</v>
      </c>
      <c r="D21322" t="str">
        <f>"BATES                    CHRISTY                  "</f>
        <v xml:space="preserve">BATES                    CHRISTY                  </v>
      </c>
      <c r="E21322" t="str">
        <f>"FLOWOOD                   "</f>
        <v xml:space="preserve">FLOWOOD                   </v>
      </c>
      <c r="F21322" t="str">
        <f t="shared" si="497"/>
        <v>MS</v>
      </c>
    </row>
    <row r="21323" spans="1:6" x14ac:dyDescent="0.25">
      <c r="A21323" t="str">
        <f>"200029195"</f>
        <v>200029195</v>
      </c>
      <c r="B21323" t="str">
        <f>"1609407907"</f>
        <v>1609407907</v>
      </c>
      <c r="C21323" t="str">
        <f>"122300000X"</f>
        <v>122300000X</v>
      </c>
      <c r="D21323" t="str">
        <f>"MOSES ORAL AND FACIAL SURGERY                     "</f>
        <v xml:space="preserve">MOSES ORAL AND FACIAL SURGERY                     </v>
      </c>
      <c r="E21323" t="str">
        <f>"GREENWOOD                 "</f>
        <v xml:space="preserve">GREENWOOD                 </v>
      </c>
      <c r="F21323" t="str">
        <f t="shared" si="497"/>
        <v>MS</v>
      </c>
    </row>
    <row r="21324" spans="1:6" x14ac:dyDescent="0.25">
      <c r="A21324" t="str">
        <f>"200029199"</f>
        <v>200029199</v>
      </c>
      <c r="B21324" t="str">
        <f>"1710826094"</f>
        <v>1710826094</v>
      </c>
      <c r="C21324" t="str">
        <f>"122300000X"</f>
        <v>122300000X</v>
      </c>
      <c r="D21324" t="str">
        <f>"PEDIATRIC DENTAL GROUP OF PETAL                   "</f>
        <v xml:space="preserve">PEDIATRIC DENTAL GROUP OF PETAL                   </v>
      </c>
      <c r="E21324" t="str">
        <f>"PETAL                     "</f>
        <v xml:space="preserve">PETAL                     </v>
      </c>
      <c r="F21324" t="str">
        <f t="shared" si="497"/>
        <v>MS</v>
      </c>
    </row>
    <row r="21325" spans="1:6" x14ac:dyDescent="0.25">
      <c r="A21325" t="str">
        <f>"200029200"</f>
        <v>200029200</v>
      </c>
      <c r="B21325" t="str">
        <f>"1023531811"</f>
        <v>1023531811</v>
      </c>
      <c r="C21325" t="str">
        <f>"363LF0000X"</f>
        <v>363LF0000X</v>
      </c>
      <c r="D21325" t="str">
        <f>"JONES                    ANGELA       C           "</f>
        <v xml:space="preserve">JONES                    ANGELA       C           </v>
      </c>
      <c r="E21325" t="str">
        <f>"SOUTHAVEN                 "</f>
        <v xml:space="preserve">SOUTHAVEN                 </v>
      </c>
      <c r="F21325" t="str">
        <f t="shared" si="497"/>
        <v>MS</v>
      </c>
    </row>
    <row r="21326" spans="1:6" x14ac:dyDescent="0.25">
      <c r="A21326" t="str">
        <f>"200029201"</f>
        <v>200029201</v>
      </c>
      <c r="B21326" t="str">
        <f>"1508468745"</f>
        <v>1508468745</v>
      </c>
      <c r="C21326" t="str">
        <f>"363LF0000X"</f>
        <v>363LF0000X</v>
      </c>
      <c r="D21326" t="str">
        <f>"JONES                    MARIA        T           "</f>
        <v xml:space="preserve">JONES                    MARIA        T           </v>
      </c>
      <c r="E21326" t="str">
        <f>"SOUTHAVEN                 "</f>
        <v xml:space="preserve">SOUTHAVEN                 </v>
      </c>
      <c r="F21326" t="str">
        <f t="shared" si="497"/>
        <v>MS</v>
      </c>
    </row>
    <row r="21327" spans="1:6" x14ac:dyDescent="0.25">
      <c r="A21327" t="str">
        <f>"200029202"</f>
        <v>200029202</v>
      </c>
      <c r="B21327" t="str">
        <f>"1285722009"</f>
        <v>1285722009</v>
      </c>
      <c r="C21327" t="str">
        <f>"1223G0001X"</f>
        <v>1223G0001X</v>
      </c>
      <c r="D21327" t="str">
        <f>"BLAIR                    STEPHEN                  "</f>
        <v xml:space="preserve">BLAIR                    STEPHEN                  </v>
      </c>
      <c r="E21327" t="str">
        <f>"MADISON                   "</f>
        <v xml:space="preserve">MADISON                   </v>
      </c>
      <c r="F21327" t="str">
        <f t="shared" si="497"/>
        <v>MS</v>
      </c>
    </row>
    <row r="21328" spans="1:6" x14ac:dyDescent="0.25">
      <c r="A21328" t="str">
        <f>"200029203"</f>
        <v>200029203</v>
      </c>
      <c r="B21328" t="str">
        <f>"1073064242"</f>
        <v>1073064242</v>
      </c>
      <c r="C21328" t="str">
        <f>"363LF0000X"</f>
        <v>363LF0000X</v>
      </c>
      <c r="D21328" t="str">
        <f>"GREEN                    JENNIFER                 "</f>
        <v xml:space="preserve">GREEN                    JENNIFER                 </v>
      </c>
      <c r="E21328" t="str">
        <f>"NEWTON                    "</f>
        <v xml:space="preserve">NEWTON                    </v>
      </c>
      <c r="F21328" t="str">
        <f t="shared" si="497"/>
        <v>MS</v>
      </c>
    </row>
    <row r="21329" spans="1:6" x14ac:dyDescent="0.25">
      <c r="A21329" t="str">
        <f>"200029205"</f>
        <v>200029205</v>
      </c>
      <c r="B21329" t="str">
        <f>"1982167359"</f>
        <v>1982167359</v>
      </c>
      <c r="C21329" t="str">
        <f>"2084P0800X"</f>
        <v>2084P0800X</v>
      </c>
      <c r="D21329" t="str">
        <f>"MORGAN                   PERRY                    "</f>
        <v xml:space="preserve">MORGAN                   PERRY                    </v>
      </c>
      <c r="E21329" t="str">
        <f>"WHITFIELD                 "</f>
        <v xml:space="preserve">WHITFIELD                 </v>
      </c>
      <c r="F21329" t="str">
        <f t="shared" si="497"/>
        <v>MS</v>
      </c>
    </row>
    <row r="21330" spans="1:6" x14ac:dyDescent="0.25">
      <c r="A21330" t="str">
        <f>"200029206"</f>
        <v>200029206</v>
      </c>
      <c r="B21330" t="str">
        <f>"1669304770"</f>
        <v>1669304770</v>
      </c>
      <c r="C21330" t="str">
        <f>"363A00000X"</f>
        <v>363A00000X</v>
      </c>
      <c r="D21330" t="str">
        <f>"HENSHAW                  ROBERT       W           "</f>
        <v xml:space="preserve">HENSHAW                  ROBERT       W           </v>
      </c>
      <c r="E21330" t="str">
        <f>"TUPELO                    "</f>
        <v xml:space="preserve">TUPELO                    </v>
      </c>
      <c r="F21330" t="str">
        <f t="shared" si="497"/>
        <v>MS</v>
      </c>
    </row>
    <row r="21331" spans="1:6" x14ac:dyDescent="0.25">
      <c r="A21331" t="str">
        <f>"200029207"</f>
        <v>200029207</v>
      </c>
      <c r="B21331" t="str">
        <f>"1669313888"</f>
        <v>1669313888</v>
      </c>
      <c r="C21331" t="str">
        <f>"207R00000X"</f>
        <v>207R00000X</v>
      </c>
      <c r="D21331" t="str">
        <f>"LOTT                     JULIA                    "</f>
        <v xml:space="preserve">LOTT                     JULIA                    </v>
      </c>
      <c r="E21331" t="str">
        <f>"GULFPORT                  "</f>
        <v xml:space="preserve">GULFPORT                  </v>
      </c>
      <c r="F21331" t="str">
        <f t="shared" si="497"/>
        <v>MS</v>
      </c>
    </row>
    <row r="21332" spans="1:6" x14ac:dyDescent="0.25">
      <c r="A21332" t="str">
        <f>"200029210"</f>
        <v>200029210</v>
      </c>
      <c r="B21332" t="str">
        <f>"1144664806"</f>
        <v>1144664806</v>
      </c>
      <c r="C21332" t="str">
        <f>"2084N0400X"</f>
        <v>2084N0400X</v>
      </c>
      <c r="D21332" t="str">
        <f>"DAWSON                   ELLIOT                   "</f>
        <v xml:space="preserve">DAWSON                   ELLIOT                   </v>
      </c>
      <c r="E21332" t="str">
        <f>"TUPELO                    "</f>
        <v xml:space="preserve">TUPELO                    </v>
      </c>
      <c r="F21332" t="str">
        <f t="shared" si="497"/>
        <v>MS</v>
      </c>
    </row>
    <row r="21333" spans="1:6" x14ac:dyDescent="0.25">
      <c r="A21333" t="str">
        <f>"200029212"</f>
        <v>200029212</v>
      </c>
      <c r="B21333" t="str">
        <f>"1053782755"</f>
        <v>1053782755</v>
      </c>
      <c r="C21333" t="str">
        <f>"261QM1300X"</f>
        <v>261QM1300X</v>
      </c>
      <c r="D21333" t="str">
        <f>"MCCLENDON MEDICAL CLINIC PLLC                     "</f>
        <v xml:space="preserve">MCCLENDON MEDICAL CLINIC PLLC                     </v>
      </c>
      <c r="E21333" t="str">
        <f>"OCEAN SPRINGS             "</f>
        <v xml:space="preserve">OCEAN SPRINGS             </v>
      </c>
      <c r="F21333" t="str">
        <f t="shared" si="497"/>
        <v>MS</v>
      </c>
    </row>
    <row r="21334" spans="1:6" x14ac:dyDescent="0.25">
      <c r="A21334" t="str">
        <f>"200029214"</f>
        <v>200029214</v>
      </c>
      <c r="B21334" t="str">
        <f>"1619814720"</f>
        <v>1619814720</v>
      </c>
      <c r="C21334" t="str">
        <f>"207Q00000X"</f>
        <v>207Q00000X</v>
      </c>
      <c r="D21334" t="str">
        <f>"FAZAL                    IQRA                     "</f>
        <v xml:space="preserve">FAZAL                    IQRA                     </v>
      </c>
      <c r="E21334" t="str">
        <f>"GULFPORT                  "</f>
        <v xml:space="preserve">GULFPORT                  </v>
      </c>
      <c r="F21334" t="str">
        <f t="shared" si="497"/>
        <v>MS</v>
      </c>
    </row>
    <row r="21335" spans="1:6" x14ac:dyDescent="0.25">
      <c r="A21335" t="str">
        <f>"200029219"</f>
        <v>200029219</v>
      </c>
      <c r="B21335" t="str">
        <f>"1215409123"</f>
        <v>1215409123</v>
      </c>
      <c r="C21335" t="str">
        <f>"122300000X"</f>
        <v>122300000X</v>
      </c>
      <c r="D21335" t="str">
        <f>"HOUSE                    JAMES                    "</f>
        <v xml:space="preserve">HOUSE                    JAMES                    </v>
      </c>
      <c r="E21335" t="str">
        <f>"CANTON                    "</f>
        <v xml:space="preserve">CANTON                    </v>
      </c>
      <c r="F21335" t="str">
        <f t="shared" si="497"/>
        <v>MS</v>
      </c>
    </row>
    <row r="21336" spans="1:6" x14ac:dyDescent="0.25">
      <c r="A21336" t="str">
        <f>"200029222"</f>
        <v>200029222</v>
      </c>
      <c r="B21336" t="str">
        <f>"1366827511"</f>
        <v>1366827511</v>
      </c>
      <c r="C21336" t="str">
        <f>"363LP0808X"</f>
        <v>363LP0808X</v>
      </c>
      <c r="D21336" t="str">
        <f>"MOORE                    VERRETTA                 "</f>
        <v xml:space="preserve">MOORE                    VERRETTA                 </v>
      </c>
      <c r="E21336" t="str">
        <f>"JACKSON                   "</f>
        <v xml:space="preserve">JACKSON                   </v>
      </c>
      <c r="F21336" t="str">
        <f t="shared" si="497"/>
        <v>MS</v>
      </c>
    </row>
    <row r="21337" spans="1:6" x14ac:dyDescent="0.25">
      <c r="A21337" t="str">
        <f>"200029223"</f>
        <v>200029223</v>
      </c>
      <c r="B21337" t="str">
        <f>"1932217940"</f>
        <v>1932217940</v>
      </c>
      <c r="C21337" t="str">
        <f>"2085R0202X"</f>
        <v>2085R0202X</v>
      </c>
      <c r="D21337" t="str">
        <f>"SALAD                    REBECCA      L           "</f>
        <v xml:space="preserve">SALAD                    REBECCA      L           </v>
      </c>
      <c r="E21337" t="str">
        <f>"MERIDIAN                  "</f>
        <v xml:space="preserve">MERIDIAN                  </v>
      </c>
      <c r="F21337" t="str">
        <f t="shared" si="497"/>
        <v>MS</v>
      </c>
    </row>
    <row r="21338" spans="1:6" x14ac:dyDescent="0.25">
      <c r="A21338" t="str">
        <f>"200029224"</f>
        <v>200029224</v>
      </c>
      <c r="B21338" t="str">
        <f>"1720918030"</f>
        <v>1720918030</v>
      </c>
      <c r="C21338" t="str">
        <f>"207Q00000X"</f>
        <v>207Q00000X</v>
      </c>
      <c r="D21338" t="str">
        <f>"WYANT                    COURTNEY                 "</f>
        <v xml:space="preserve">WYANT                    COURTNEY                 </v>
      </c>
      <c r="E21338" t="str">
        <f>"MCCOMB                    "</f>
        <v xml:space="preserve">MCCOMB                    </v>
      </c>
      <c r="F21338" t="str">
        <f t="shared" si="497"/>
        <v>MS</v>
      </c>
    </row>
    <row r="21339" spans="1:6" x14ac:dyDescent="0.25">
      <c r="A21339" t="str">
        <f>"200029228"</f>
        <v>200029228</v>
      </c>
      <c r="B21339" t="str">
        <f>"1215678214"</f>
        <v>1215678214</v>
      </c>
      <c r="C21339" t="str">
        <f>"207L00000X"</f>
        <v>207L00000X</v>
      </c>
      <c r="D21339" t="str">
        <f>"GRAYSON                  BRANDON                  "</f>
        <v xml:space="preserve">GRAYSON                  BRANDON                  </v>
      </c>
      <c r="E21339" t="str">
        <f>"HATTIESBURG               "</f>
        <v xml:space="preserve">HATTIESBURG               </v>
      </c>
      <c r="F21339" t="str">
        <f t="shared" si="497"/>
        <v>MS</v>
      </c>
    </row>
    <row r="21340" spans="1:6" x14ac:dyDescent="0.25">
      <c r="A21340" t="str">
        <f>"200029229"</f>
        <v>200029229</v>
      </c>
      <c r="B21340" t="str">
        <f>"1295399293"</f>
        <v>1295399293</v>
      </c>
      <c r="C21340" t="str">
        <f>"207RH0003X"</f>
        <v>207RH0003X</v>
      </c>
      <c r="D21340" t="str">
        <f>"FITZPATRICK              MADELINE                 "</f>
        <v xml:space="preserve">FITZPATRICK              MADELINE                 </v>
      </c>
      <c r="E21340" t="str">
        <f>"HATTIESBURG               "</f>
        <v xml:space="preserve">HATTIESBURG               </v>
      </c>
      <c r="F21340" t="str">
        <f t="shared" si="497"/>
        <v>MS</v>
      </c>
    </row>
    <row r="21341" spans="1:6" x14ac:dyDescent="0.25">
      <c r="A21341" t="str">
        <f>"200029234"</f>
        <v>200029234</v>
      </c>
      <c r="B21341" t="str">
        <f>"1760956247"</f>
        <v>1760956247</v>
      </c>
      <c r="C21341" t="str">
        <f>"363A00000X"</f>
        <v>363A00000X</v>
      </c>
      <c r="D21341" t="str">
        <f>"SHIYOU                   SIERA                    "</f>
        <v xml:space="preserve">SHIYOU                   SIERA                    </v>
      </c>
      <c r="E21341" t="str">
        <f>"PASCAGOULA                "</f>
        <v xml:space="preserve">PASCAGOULA                </v>
      </c>
      <c r="F21341" t="str">
        <f t="shared" si="497"/>
        <v>MS</v>
      </c>
    </row>
    <row r="21342" spans="1:6" x14ac:dyDescent="0.25">
      <c r="A21342" t="str">
        <f>"200029237"</f>
        <v>200029237</v>
      </c>
      <c r="B21342" t="str">
        <f>"1093873713"</f>
        <v>1093873713</v>
      </c>
      <c r="C21342" t="str">
        <f>"207Q00000X"</f>
        <v>207Q00000X</v>
      </c>
      <c r="D21342" t="str">
        <f>"MCKIBBEN                 EVERETT                  "</f>
        <v xml:space="preserve">MCKIBBEN                 EVERETT                  </v>
      </c>
      <c r="E21342" t="str">
        <f>"STARKVILLE                "</f>
        <v xml:space="preserve">STARKVILLE                </v>
      </c>
      <c r="F21342" t="str">
        <f t="shared" si="497"/>
        <v>MS</v>
      </c>
    </row>
    <row r="21343" spans="1:6" x14ac:dyDescent="0.25">
      <c r="A21343" t="str">
        <f>"200029240"</f>
        <v>200029240</v>
      </c>
      <c r="B21343" t="str">
        <f>"1821401159"</f>
        <v>1821401159</v>
      </c>
      <c r="C21343" t="str">
        <f>"2085R0202X"</f>
        <v>2085R0202X</v>
      </c>
      <c r="D21343" t="str">
        <f>"GAILLIOT                 BRITAIN                  "</f>
        <v xml:space="preserve">GAILLIOT                 BRITAIN                  </v>
      </c>
      <c r="E21343" t="str">
        <f>"MERIDIAN                  "</f>
        <v xml:space="preserve">MERIDIAN                  </v>
      </c>
      <c r="F21343" t="str">
        <f t="shared" si="497"/>
        <v>MS</v>
      </c>
    </row>
    <row r="21344" spans="1:6" x14ac:dyDescent="0.25">
      <c r="A21344" t="str">
        <f>"200029242"</f>
        <v>200029242</v>
      </c>
      <c r="B21344" t="str">
        <f>"1144808239"</f>
        <v>1144808239</v>
      </c>
      <c r="C21344" t="str">
        <f>"2085R0202X"</f>
        <v>2085R0202X</v>
      </c>
      <c r="D21344" t="str">
        <f>"REED                     HUNTER                   "</f>
        <v xml:space="preserve">REED                     HUNTER                   </v>
      </c>
      <c r="E21344" t="str">
        <f>"COLUMBUS                  "</f>
        <v xml:space="preserve">COLUMBUS                  </v>
      </c>
      <c r="F21344" t="str">
        <f t="shared" si="497"/>
        <v>MS</v>
      </c>
    </row>
    <row r="21345" spans="1:6" x14ac:dyDescent="0.25">
      <c r="A21345" t="str">
        <f>"200029245"</f>
        <v>200029245</v>
      </c>
      <c r="B21345" t="str">
        <f>"1700894730"</f>
        <v>1700894730</v>
      </c>
      <c r="C21345" t="str">
        <f>"261QM0801X"</f>
        <v>261QM0801X</v>
      </c>
      <c r="D21345" t="str">
        <f>"CAN SYSTEM OF CARE BUILDING                       "</f>
        <v xml:space="preserve">CAN SYSTEM OF CARE BUILDING                       </v>
      </c>
      <c r="E21345" t="str">
        <f>"STARKVILLE                "</f>
        <v xml:space="preserve">STARKVILLE                </v>
      </c>
      <c r="F21345" t="str">
        <f t="shared" si="497"/>
        <v>MS</v>
      </c>
    </row>
    <row r="21346" spans="1:6" x14ac:dyDescent="0.25">
      <c r="A21346" t="str">
        <f>"200029247"</f>
        <v>200029247</v>
      </c>
      <c r="B21346" t="str">
        <f>"1184047904"</f>
        <v>1184047904</v>
      </c>
      <c r="C21346" t="str">
        <f>"363A00000X"</f>
        <v>363A00000X</v>
      </c>
      <c r="D21346" t="str">
        <f>"BRASEL                   MICHAEL                  "</f>
        <v xml:space="preserve">BRASEL                   MICHAEL                  </v>
      </c>
      <c r="E21346" t="str">
        <f>"BYRAM                     "</f>
        <v xml:space="preserve">BYRAM                     </v>
      </c>
      <c r="F21346" t="str">
        <f t="shared" si="497"/>
        <v>MS</v>
      </c>
    </row>
    <row r="21347" spans="1:6" x14ac:dyDescent="0.25">
      <c r="A21347" t="str">
        <f>"200029249"</f>
        <v>200029249</v>
      </c>
      <c r="B21347" t="str">
        <f>"1720928211"</f>
        <v>1720928211</v>
      </c>
      <c r="C21347" t="str">
        <f>"207Q00000X"</f>
        <v>207Q00000X</v>
      </c>
      <c r="D21347" t="str">
        <f>"QUYEN                    GRANT                    "</f>
        <v xml:space="preserve">QUYEN                    GRANT                    </v>
      </c>
      <c r="E21347" t="str">
        <f>"MCCOMB                    "</f>
        <v xml:space="preserve">MCCOMB                    </v>
      </c>
      <c r="F21347" t="str">
        <f t="shared" si="497"/>
        <v>MS</v>
      </c>
    </row>
    <row r="21348" spans="1:6" x14ac:dyDescent="0.25">
      <c r="A21348" t="str">
        <f>"200029251"</f>
        <v>200029251</v>
      </c>
      <c r="B21348" t="str">
        <f>"1952243701"</f>
        <v>1952243701</v>
      </c>
      <c r="C21348" t="str">
        <f>"207R00000X"</f>
        <v>207R00000X</v>
      </c>
      <c r="D21348" t="str">
        <f>"WILSON                   GRANT                    "</f>
        <v xml:space="preserve">WILSON                   GRANT                    </v>
      </c>
      <c r="E21348" t="str">
        <f>"GULFPORT                  "</f>
        <v xml:space="preserve">GULFPORT                  </v>
      </c>
      <c r="F21348" t="str">
        <f t="shared" si="497"/>
        <v>MS</v>
      </c>
    </row>
    <row r="21349" spans="1:6" x14ac:dyDescent="0.25">
      <c r="A21349" t="str">
        <f>"200029255"</f>
        <v>200029255</v>
      </c>
      <c r="B21349" t="str">
        <f>"1093816662"</f>
        <v>1093816662</v>
      </c>
      <c r="C21349" t="str">
        <f>"207Q00000X"</f>
        <v>207Q00000X</v>
      </c>
      <c r="D21349" t="str">
        <f>"WINBUSH                  SHONTA                   "</f>
        <v xml:space="preserve">WINBUSH                  SHONTA                   </v>
      </c>
      <c r="E21349" t="str">
        <f>"MCCOMB                    "</f>
        <v xml:space="preserve">MCCOMB                    </v>
      </c>
      <c r="F21349" t="str">
        <f t="shared" si="497"/>
        <v>MS</v>
      </c>
    </row>
    <row r="21350" spans="1:6" x14ac:dyDescent="0.25">
      <c r="A21350" t="str">
        <f>"200029256"</f>
        <v>200029256</v>
      </c>
      <c r="B21350" t="str">
        <f>"1417650672"</f>
        <v>1417650672</v>
      </c>
      <c r="C21350" t="str">
        <f>"208000000X"</f>
        <v>208000000X</v>
      </c>
      <c r="D21350" t="str">
        <f>"FLAKE                    MADISON                  "</f>
        <v xml:space="preserve">FLAKE                    MADISON                  </v>
      </c>
      <c r="E21350" t="str">
        <f>"PHILADELPHIA              "</f>
        <v xml:space="preserve">PHILADELPHIA              </v>
      </c>
      <c r="F21350" t="str">
        <f t="shared" si="497"/>
        <v>MS</v>
      </c>
    </row>
    <row r="21351" spans="1:6" x14ac:dyDescent="0.25">
      <c r="A21351" t="str">
        <f>"200029257"</f>
        <v>200029257</v>
      </c>
      <c r="B21351" t="str">
        <f>"1003751587"</f>
        <v>1003751587</v>
      </c>
      <c r="C21351" t="str">
        <f>"207Q00000X"</f>
        <v>207Q00000X</v>
      </c>
      <c r="D21351" t="str">
        <f>"VADALIA                  AARTI                    "</f>
        <v xml:space="preserve">VADALIA                  AARTI                    </v>
      </c>
      <c r="E21351" t="str">
        <f>"MCCOMB                    "</f>
        <v xml:space="preserve">MCCOMB                    </v>
      </c>
      <c r="F21351" t="str">
        <f t="shared" si="497"/>
        <v>MS</v>
      </c>
    </row>
    <row r="21352" spans="1:6" x14ac:dyDescent="0.25">
      <c r="A21352" t="str">
        <f>"200029259"</f>
        <v>200029259</v>
      </c>
      <c r="B21352" t="str">
        <f>"1700727187"</f>
        <v>1700727187</v>
      </c>
      <c r="C21352" t="str">
        <f>"207Q00000X"</f>
        <v>207Q00000X</v>
      </c>
      <c r="D21352" t="str">
        <f>"HAKIM                    YONIS                    "</f>
        <v xml:space="preserve">HAKIM                    YONIS                    </v>
      </c>
      <c r="E21352" t="str">
        <f>"MCCOMB                    "</f>
        <v xml:space="preserve">MCCOMB                    </v>
      </c>
      <c r="F21352" t="str">
        <f t="shared" si="497"/>
        <v>MS</v>
      </c>
    </row>
    <row r="21353" spans="1:6" x14ac:dyDescent="0.25">
      <c r="A21353" t="str">
        <f>"200029262"</f>
        <v>200029262</v>
      </c>
      <c r="B21353" t="str">
        <f>"1790615144"</f>
        <v>1790615144</v>
      </c>
      <c r="C21353" t="str">
        <f>"122300000X"</f>
        <v>122300000X</v>
      </c>
      <c r="D21353" t="str">
        <f>"ELDAHAN                  SAMIR                    "</f>
        <v xml:space="preserve">ELDAHAN                  SAMIR                    </v>
      </c>
      <c r="E21353" t="str">
        <f>"SOUTHAVEN                 "</f>
        <v xml:space="preserve">SOUTHAVEN                 </v>
      </c>
      <c r="F21353" t="str">
        <f t="shared" si="497"/>
        <v>MS</v>
      </c>
    </row>
    <row r="21354" spans="1:6" x14ac:dyDescent="0.25">
      <c r="A21354" t="str">
        <f>"200029269"</f>
        <v>200029269</v>
      </c>
      <c r="B21354" t="str">
        <f>"1356289615"</f>
        <v>1356289615</v>
      </c>
      <c r="C21354" t="str">
        <f>"207R00000X"</f>
        <v>207R00000X</v>
      </c>
      <c r="D21354" t="str">
        <f>"LABOO                    CHAUNCEY                 "</f>
        <v xml:space="preserve">LABOO                    CHAUNCEY                 </v>
      </c>
      <c r="E21354" t="str">
        <f>"LAUREL                    "</f>
        <v xml:space="preserve">LAUREL                    </v>
      </c>
      <c r="F21354" t="str">
        <f t="shared" si="497"/>
        <v>MS</v>
      </c>
    </row>
    <row r="21355" spans="1:6" x14ac:dyDescent="0.25">
      <c r="A21355" t="str">
        <f>"200029271"</f>
        <v>200029271</v>
      </c>
      <c r="B21355" t="str">
        <f>"1659213882"</f>
        <v>1659213882</v>
      </c>
      <c r="C21355" t="str">
        <f>"207Q00000X"</f>
        <v>207Q00000X</v>
      </c>
      <c r="D21355" t="str">
        <f>"MCEWEN                   JOHNATHAN    J           "</f>
        <v xml:space="preserve">MCEWEN                   JOHNATHAN    J           </v>
      </c>
      <c r="E21355" t="str">
        <f>"MCCOMB                    "</f>
        <v xml:space="preserve">MCCOMB                    </v>
      </c>
      <c r="F21355" t="str">
        <f t="shared" si="497"/>
        <v>MS</v>
      </c>
    </row>
    <row r="21356" spans="1:6" x14ac:dyDescent="0.25">
      <c r="A21356" t="str">
        <f>"200029274"</f>
        <v>200029274</v>
      </c>
      <c r="B21356" t="str">
        <f>"1215687207"</f>
        <v>1215687207</v>
      </c>
      <c r="C21356" t="str">
        <f>"208000000X"</f>
        <v>208000000X</v>
      </c>
      <c r="D21356" t="str">
        <f>"WILKERSON                ISABELLA                 "</f>
        <v xml:space="preserve">WILKERSON                ISABELLA                 </v>
      </c>
      <c r="E21356" t="str">
        <f>"GLUCKSTADT                "</f>
        <v xml:space="preserve">GLUCKSTADT                </v>
      </c>
      <c r="F21356" t="str">
        <f t="shared" si="497"/>
        <v>MS</v>
      </c>
    </row>
    <row r="21357" spans="1:6" x14ac:dyDescent="0.25">
      <c r="A21357" t="str">
        <f>"200029276"</f>
        <v>200029276</v>
      </c>
      <c r="B21357" t="str">
        <f>"1578680005"</f>
        <v>1578680005</v>
      </c>
      <c r="C21357" t="str">
        <f>"261QM0801X"</f>
        <v>261QM0801X</v>
      </c>
      <c r="D21357" t="str">
        <f>"COMMUNITY COUNSELING SERVICES                     "</f>
        <v xml:space="preserve">COMMUNITY COUNSELING SERVICES                     </v>
      </c>
      <c r="E21357" t="str">
        <f>"MACON                     "</f>
        <v xml:space="preserve">MACON                     </v>
      </c>
      <c r="F21357" t="str">
        <f t="shared" si="497"/>
        <v>MS</v>
      </c>
    </row>
    <row r="21358" spans="1:6" x14ac:dyDescent="0.25">
      <c r="A21358" t="str">
        <f>"200029281"</f>
        <v>200029281</v>
      </c>
      <c r="B21358" t="str">
        <f>"1235557000"</f>
        <v>1235557000</v>
      </c>
      <c r="C21358" t="str">
        <f>"2085R0001X"</f>
        <v>2085R0001X</v>
      </c>
      <c r="D21358" t="str">
        <f>"DANG                     AUDREY                   "</f>
        <v xml:space="preserve">DANG                     AUDREY                   </v>
      </c>
      <c r="E21358" t="str">
        <f>"PASCAGOULA                "</f>
        <v xml:space="preserve">PASCAGOULA                </v>
      </c>
      <c r="F21358" t="str">
        <f t="shared" si="497"/>
        <v>MS</v>
      </c>
    </row>
    <row r="21359" spans="1:6" x14ac:dyDescent="0.25">
      <c r="A21359" t="str">
        <f>"200029282"</f>
        <v>200029282</v>
      </c>
      <c r="B21359" t="str">
        <f>"1326777301"</f>
        <v>1326777301</v>
      </c>
      <c r="C21359" t="str">
        <f>"122300000X"</f>
        <v>122300000X</v>
      </c>
      <c r="D21359" t="str">
        <f>"CLARK                    ANNIE                    "</f>
        <v xml:space="preserve">CLARK                    ANNIE                    </v>
      </c>
      <c r="E21359" t="str">
        <f>"JACKSON                   "</f>
        <v xml:space="preserve">JACKSON                   </v>
      </c>
      <c r="F21359" t="str">
        <f t="shared" si="497"/>
        <v>MS</v>
      </c>
    </row>
    <row r="21360" spans="1:6" x14ac:dyDescent="0.25">
      <c r="A21360" t="str">
        <f>"200029283"</f>
        <v>200029283</v>
      </c>
      <c r="B21360" t="str">
        <f>"1174455075"</f>
        <v>1174455075</v>
      </c>
      <c r="C21360" t="str">
        <f>"363L00000X"</f>
        <v>363L00000X</v>
      </c>
      <c r="D21360" t="str">
        <f>"WILBANKS                 ANNA                     "</f>
        <v xml:space="preserve">WILBANKS                 ANNA                     </v>
      </c>
      <c r="E21360" t="str">
        <f>"IUKA                      "</f>
        <v xml:space="preserve">IUKA                      </v>
      </c>
      <c r="F21360" t="str">
        <f t="shared" si="497"/>
        <v>MS</v>
      </c>
    </row>
    <row r="21361" spans="1:6" x14ac:dyDescent="0.25">
      <c r="A21361" t="str">
        <f>"200029284"</f>
        <v>200029284</v>
      </c>
      <c r="B21361" t="str">
        <f>"1619914108"</f>
        <v>1619914108</v>
      </c>
      <c r="C21361" t="str">
        <f>"207RP1001X"</f>
        <v>207RP1001X</v>
      </c>
      <c r="D21361" t="str">
        <f>"MUBARAK                  KAMAL                    "</f>
        <v xml:space="preserve">MUBARAK                  KAMAL                    </v>
      </c>
      <c r="E21361" t="str">
        <f>"OCEAN SPRINGS             "</f>
        <v xml:space="preserve">OCEAN SPRINGS             </v>
      </c>
      <c r="F21361" t="str">
        <f t="shared" si="497"/>
        <v>MS</v>
      </c>
    </row>
    <row r="21362" spans="1:6" x14ac:dyDescent="0.25">
      <c r="A21362" t="str">
        <f>"200029286"</f>
        <v>200029286</v>
      </c>
      <c r="B21362" t="str">
        <f>"1265366579"</f>
        <v>1265366579</v>
      </c>
      <c r="C21362" t="str">
        <f>"363L00000X"</f>
        <v>363L00000X</v>
      </c>
      <c r="D21362" t="str">
        <f>"JACKSON                  ALEXIS                   "</f>
        <v xml:space="preserve">JACKSON                  ALEXIS                   </v>
      </c>
      <c r="E21362" t="str">
        <f>"HERNANDO                  "</f>
        <v xml:space="preserve">HERNANDO                  </v>
      </c>
      <c r="F21362" t="str">
        <f t="shared" si="497"/>
        <v>MS</v>
      </c>
    </row>
    <row r="21363" spans="1:6" x14ac:dyDescent="0.25">
      <c r="A21363" t="str">
        <f>"200029288"</f>
        <v>200029288</v>
      </c>
      <c r="B21363" t="str">
        <f>"1922949429"</f>
        <v>1922949429</v>
      </c>
      <c r="C21363" t="str">
        <f>"363LP0808X"</f>
        <v>363LP0808X</v>
      </c>
      <c r="D21363" t="str">
        <f>"MCKNIGHT                 KANISHA                  "</f>
        <v xml:space="preserve">MCKNIGHT                 KANISHA                  </v>
      </c>
      <c r="E21363" t="str">
        <f>"GULFPORT                  "</f>
        <v xml:space="preserve">GULFPORT                  </v>
      </c>
      <c r="F21363" t="str">
        <f t="shared" si="497"/>
        <v>MS</v>
      </c>
    </row>
    <row r="21364" spans="1:6" x14ac:dyDescent="0.25">
      <c r="A21364" t="str">
        <f>"200029290"</f>
        <v>200029290</v>
      </c>
      <c r="B21364" t="str">
        <f>"1588005128"</f>
        <v>1588005128</v>
      </c>
      <c r="C21364" t="str">
        <f>"363LF0000X"</f>
        <v>363LF0000X</v>
      </c>
      <c r="D21364" t="str">
        <f>"CHAMPAGNE                JOYCE        P           "</f>
        <v xml:space="preserve">CHAMPAGNE                JOYCE        P           </v>
      </c>
      <c r="E21364" t="str">
        <f>"COLUMBIA                  "</f>
        <v xml:space="preserve">COLUMBIA                  </v>
      </c>
      <c r="F21364" t="str">
        <f t="shared" si="497"/>
        <v>MS</v>
      </c>
    </row>
    <row r="21365" spans="1:6" x14ac:dyDescent="0.25">
      <c r="A21365" t="str">
        <f>"200029297"</f>
        <v>200029297</v>
      </c>
      <c r="B21365" t="str">
        <f>"1356911523"</f>
        <v>1356911523</v>
      </c>
      <c r="C21365" t="str">
        <f>"207R00000X"</f>
        <v>207R00000X</v>
      </c>
      <c r="D21365" t="str">
        <f>"NASR                     RABAIL                   "</f>
        <v xml:space="preserve">NASR                     RABAIL                   </v>
      </c>
      <c r="E21365" t="str">
        <f>"SOUTHAVEN                 "</f>
        <v xml:space="preserve">SOUTHAVEN                 </v>
      </c>
      <c r="F21365" t="str">
        <f t="shared" si="497"/>
        <v>MS</v>
      </c>
    </row>
    <row r="21366" spans="1:6" x14ac:dyDescent="0.25">
      <c r="A21366" t="str">
        <f>"200029298"</f>
        <v>200029298</v>
      </c>
      <c r="B21366" t="str">
        <f>"1003314154"</f>
        <v>1003314154</v>
      </c>
      <c r="C21366" t="str">
        <f>"363LF0000X"</f>
        <v>363LF0000X</v>
      </c>
      <c r="D21366" t="str">
        <f>"CUNNINGHAM               PRECIOUS     E           "</f>
        <v xml:space="preserve">CUNNINGHAM               PRECIOUS     E           </v>
      </c>
      <c r="E21366" t="str">
        <f>"SOUTHAVEN                 "</f>
        <v xml:space="preserve">SOUTHAVEN                 </v>
      </c>
      <c r="F21366" t="str">
        <f t="shared" si="497"/>
        <v>MS</v>
      </c>
    </row>
    <row r="21367" spans="1:6" x14ac:dyDescent="0.25">
      <c r="A21367" t="str">
        <f>"200029299"</f>
        <v>200029299</v>
      </c>
      <c r="B21367" t="str">
        <f>"1437098266"</f>
        <v>1437098266</v>
      </c>
      <c r="C21367" t="str">
        <f>"207P00000X"</f>
        <v>207P00000X</v>
      </c>
      <c r="D21367" t="str">
        <f>"PIVALIZZA                CATHERINE    M           "</f>
        <v xml:space="preserve">PIVALIZZA                CATHERINE    M           </v>
      </c>
      <c r="E21367" t="str">
        <f>"HATTIESBURG               "</f>
        <v xml:space="preserve">HATTIESBURG               </v>
      </c>
      <c r="F21367" t="str">
        <f t="shared" si="497"/>
        <v>MS</v>
      </c>
    </row>
    <row r="21368" spans="1:6" x14ac:dyDescent="0.25">
      <c r="A21368" t="str">
        <f>"200029300"</f>
        <v>200029300</v>
      </c>
      <c r="B21368" t="str">
        <f>"1275473035"</f>
        <v>1275473035</v>
      </c>
      <c r="C21368" t="str">
        <f>"207P00000X"</f>
        <v>207P00000X</v>
      </c>
      <c r="D21368" t="str">
        <f>"NGUYEN                   LUC                      "</f>
        <v xml:space="preserve">NGUYEN                   LUC                      </v>
      </c>
      <c r="E21368" t="str">
        <f>"HATTIESBURG               "</f>
        <v xml:space="preserve">HATTIESBURG               </v>
      </c>
      <c r="F21368" t="str">
        <f t="shared" si="497"/>
        <v>MS</v>
      </c>
    </row>
    <row r="21369" spans="1:6" x14ac:dyDescent="0.25">
      <c r="A21369" t="str">
        <f>"200029301"</f>
        <v>200029301</v>
      </c>
      <c r="B21369" t="str">
        <f>"1679528541"</f>
        <v>1679528541</v>
      </c>
      <c r="C21369" t="str">
        <f>"207X00000X"</f>
        <v>207X00000X</v>
      </c>
      <c r="D21369" t="str">
        <f>"SIDES                    STEVEN                   "</f>
        <v xml:space="preserve">SIDES                    STEVEN                   </v>
      </c>
      <c r="E21369" t="str">
        <f>"COLUMBUS                  "</f>
        <v xml:space="preserve">COLUMBUS                  </v>
      </c>
      <c r="F21369" t="str">
        <f t="shared" si="497"/>
        <v>MS</v>
      </c>
    </row>
    <row r="21370" spans="1:6" x14ac:dyDescent="0.25">
      <c r="A21370" t="str">
        <f>"200029302"</f>
        <v>200029302</v>
      </c>
      <c r="B21370" t="str">
        <f>"1366384331"</f>
        <v>1366384331</v>
      </c>
      <c r="C21370" t="str">
        <f>"207R00000X"</f>
        <v>207R00000X</v>
      </c>
      <c r="D21370" t="str">
        <f>"AL-BATRYNI               MUSTAFA                  "</f>
        <v xml:space="preserve">AL-BATRYNI               MUSTAFA                  </v>
      </c>
      <c r="E21370" t="str">
        <f>"LAUREL                    "</f>
        <v xml:space="preserve">LAUREL                    </v>
      </c>
      <c r="F21370" t="str">
        <f t="shared" si="497"/>
        <v>MS</v>
      </c>
    </row>
    <row r="21371" spans="1:6" x14ac:dyDescent="0.25">
      <c r="A21371" t="str">
        <f>"200029308"</f>
        <v>200029308</v>
      </c>
      <c r="B21371" t="str">
        <f>"1376970103"</f>
        <v>1376970103</v>
      </c>
      <c r="C21371" t="str">
        <f>"367A00000X"</f>
        <v>367A00000X</v>
      </c>
      <c r="D21371" t="str">
        <f>"CALLAWAY                 LAURA                    "</f>
        <v xml:space="preserve">CALLAWAY                 LAURA                    </v>
      </c>
      <c r="E21371" t="str">
        <f>"RIDGELAND                 "</f>
        <v xml:space="preserve">RIDGELAND                 </v>
      </c>
      <c r="F21371" t="str">
        <f t="shared" si="497"/>
        <v>MS</v>
      </c>
    </row>
    <row r="21372" spans="1:6" x14ac:dyDescent="0.25">
      <c r="A21372" t="str">
        <f>"200029310"</f>
        <v>200029310</v>
      </c>
      <c r="B21372" t="str">
        <f>"1427159839"</f>
        <v>1427159839</v>
      </c>
      <c r="C21372" t="str">
        <f>"363L00000X"</f>
        <v>363L00000X</v>
      </c>
      <c r="D21372" t="str">
        <f>"SARTIN                   MARY         K           "</f>
        <v xml:space="preserve">SARTIN                   MARY         K           </v>
      </c>
      <c r="E21372" t="str">
        <f>"FLOWOOD                   "</f>
        <v xml:space="preserve">FLOWOOD                   </v>
      </c>
      <c r="F21372" t="str">
        <f t="shared" si="497"/>
        <v>MS</v>
      </c>
    </row>
    <row r="21373" spans="1:6" x14ac:dyDescent="0.25">
      <c r="A21373" t="str">
        <f>"200029311"</f>
        <v>200029311</v>
      </c>
      <c r="B21373" t="str">
        <f>"1992216402"</f>
        <v>1992216402</v>
      </c>
      <c r="C21373" t="str">
        <f>"367A00000X"</f>
        <v>367A00000X</v>
      </c>
      <c r="D21373" t="str">
        <f>"LECKY                    TASHEIN                  "</f>
        <v xml:space="preserve">LECKY                    TASHEIN                  </v>
      </c>
      <c r="E21373" t="str">
        <f>"RIDGELAND                 "</f>
        <v xml:space="preserve">RIDGELAND                 </v>
      </c>
      <c r="F21373" t="str">
        <f t="shared" si="497"/>
        <v>MS</v>
      </c>
    </row>
    <row r="21374" spans="1:6" x14ac:dyDescent="0.25">
      <c r="A21374" t="str">
        <f>"200024208"</f>
        <v>200024208</v>
      </c>
      <c r="B21374" t="str">
        <f>"1386976207"</f>
        <v>1386976207</v>
      </c>
      <c r="C21374" t="str">
        <f t="shared" ref="C21374:C21381" si="498">"2085R0202X"</f>
        <v>2085R0202X</v>
      </c>
      <c r="D21374" t="str">
        <f>"ROTH                     JASON                    "</f>
        <v xml:space="preserve">ROTH                     JASON                    </v>
      </c>
      <c r="E21374" t="str">
        <f>"HAMILTON                  "</f>
        <v xml:space="preserve">HAMILTON                  </v>
      </c>
      <c r="F21374" t="str">
        <f>"MT"</f>
        <v>MT</v>
      </c>
    </row>
    <row r="21375" spans="1:6" x14ac:dyDescent="0.25">
      <c r="A21375" t="str">
        <f>"002572000"</f>
        <v>002572000</v>
      </c>
      <c r="B21375" t="str">
        <f>"1578538682"</f>
        <v>1578538682</v>
      </c>
      <c r="C21375" t="str">
        <f t="shared" si="498"/>
        <v>2085R0202X</v>
      </c>
      <c r="D21375" t="str">
        <f>"DILLEE                   RONALD       D           "</f>
        <v xml:space="preserve">DILLEE                   RONALD       D           </v>
      </c>
      <c r="E21375" t="str">
        <f>"WASHINGTON                "</f>
        <v xml:space="preserve">WASHINGTON                </v>
      </c>
      <c r="F21375" t="str">
        <f t="shared" ref="F21375:F21380" si="499">"NC"</f>
        <v>NC</v>
      </c>
    </row>
    <row r="21376" spans="1:6" x14ac:dyDescent="0.25">
      <c r="A21376" t="str">
        <f>"004035063"</f>
        <v>004035063</v>
      </c>
      <c r="B21376" t="str">
        <f>"1457738072"</f>
        <v>1457738072</v>
      </c>
      <c r="C21376" t="str">
        <f t="shared" si="498"/>
        <v>2085R0202X</v>
      </c>
      <c r="D21376" t="str">
        <f>"NGO                      LAWRENCE                 "</f>
        <v xml:space="preserve">NGO                      LAWRENCE                 </v>
      </c>
      <c r="E21376" t="str">
        <f>"DURHAM                    "</f>
        <v xml:space="preserve">DURHAM                    </v>
      </c>
      <c r="F21376" t="str">
        <f t="shared" si="499"/>
        <v>NC</v>
      </c>
    </row>
    <row r="21377" spans="1:6" x14ac:dyDescent="0.25">
      <c r="A21377" t="str">
        <f>"005103551"</f>
        <v>005103551</v>
      </c>
      <c r="B21377" t="str">
        <f>"1255316873"</f>
        <v>1255316873</v>
      </c>
      <c r="C21377" t="str">
        <f t="shared" si="498"/>
        <v>2085R0202X</v>
      </c>
      <c r="D21377" t="str">
        <f>"CLARKE                   DELPHIA      M           "</f>
        <v xml:space="preserve">CLARKE                   DELPHIA      M           </v>
      </c>
      <c r="E21377" t="str">
        <f>"ARDEN                     "</f>
        <v xml:space="preserve">ARDEN                     </v>
      </c>
      <c r="F21377" t="str">
        <f t="shared" si="499"/>
        <v>NC</v>
      </c>
    </row>
    <row r="21378" spans="1:6" x14ac:dyDescent="0.25">
      <c r="A21378" t="str">
        <f>"007185538"</f>
        <v>007185538</v>
      </c>
      <c r="B21378" t="str">
        <f>"1881680791"</f>
        <v>1881680791</v>
      </c>
      <c r="C21378" t="str">
        <f t="shared" si="498"/>
        <v>2085R0202X</v>
      </c>
      <c r="D21378" t="str">
        <f>"LERRO                    DESIREE                  "</f>
        <v xml:space="preserve">LERRO                    DESIREE                  </v>
      </c>
      <c r="E21378" t="str">
        <f>"LENOIR                    "</f>
        <v xml:space="preserve">LENOIR                    </v>
      </c>
      <c r="F21378" t="str">
        <f t="shared" si="499"/>
        <v>NC</v>
      </c>
    </row>
    <row r="21379" spans="1:6" x14ac:dyDescent="0.25">
      <c r="A21379" t="str">
        <f>"200008277"</f>
        <v>200008277</v>
      </c>
      <c r="B21379" t="str">
        <f>"1356760276"</f>
        <v>1356760276</v>
      </c>
      <c r="C21379" t="str">
        <f t="shared" si="498"/>
        <v>2085R0202X</v>
      </c>
      <c r="D21379" t="str">
        <f>"BISSET                   LOGAN        C           "</f>
        <v xml:space="preserve">BISSET                   LOGAN        C           </v>
      </c>
      <c r="E21379" t="str">
        <f>"HILLSBOROUGH              "</f>
        <v xml:space="preserve">HILLSBOROUGH              </v>
      </c>
      <c r="F21379" t="str">
        <f t="shared" si="499"/>
        <v>NC</v>
      </c>
    </row>
    <row r="21380" spans="1:6" x14ac:dyDescent="0.25">
      <c r="A21380" t="str">
        <f>"200015165"</f>
        <v>200015165</v>
      </c>
      <c r="B21380" t="str">
        <f>"1669492237"</f>
        <v>1669492237</v>
      </c>
      <c r="C21380" t="str">
        <f t="shared" si="498"/>
        <v>2085R0202X</v>
      </c>
      <c r="D21380" t="str">
        <f>"BROWN                    TERESA                   "</f>
        <v xml:space="preserve">BROWN                    TERESA                   </v>
      </c>
      <c r="E21380" t="str">
        <f>"CHAPEL HILL               "</f>
        <v xml:space="preserve">CHAPEL HILL               </v>
      </c>
      <c r="F21380" t="str">
        <f t="shared" si="499"/>
        <v>NC</v>
      </c>
    </row>
    <row r="21381" spans="1:6" x14ac:dyDescent="0.25">
      <c r="A21381" t="str">
        <f>"200008234"</f>
        <v>200008234</v>
      </c>
      <c r="B21381" t="str">
        <f>"1326001835"</f>
        <v>1326001835</v>
      </c>
      <c r="C21381" t="str">
        <f t="shared" si="498"/>
        <v>2085R0202X</v>
      </c>
      <c r="D21381" t="str">
        <f>"TORTORELLI               CYNTHIA      L           "</f>
        <v xml:space="preserve">TORTORELLI               CYNTHIA      L           </v>
      </c>
      <c r="E21381" t="str">
        <f>"GRAND FORKS               "</f>
        <v xml:space="preserve">GRAND FORKS               </v>
      </c>
      <c r="F21381" t="str">
        <f>"ND"</f>
        <v>ND</v>
      </c>
    </row>
    <row r="21382" spans="1:6" x14ac:dyDescent="0.25">
      <c r="A21382" t="str">
        <f>"002421262"</f>
        <v>002421262</v>
      </c>
      <c r="B21382" t="str">
        <f>"1104933878"</f>
        <v>1104933878</v>
      </c>
      <c r="C21382" t="str">
        <f>"208600000X"</f>
        <v>208600000X</v>
      </c>
      <c r="D21382" t="str">
        <f>"MERCER                   DAVID        F           "</f>
        <v xml:space="preserve">MERCER                   DAVID        F           </v>
      </c>
      <c r="E21382" t="str">
        <f t="shared" ref="E21382:E21388" si="500">"OMAHA                     "</f>
        <v xml:space="preserve">OMAHA                     </v>
      </c>
      <c r="F21382" t="str">
        <f t="shared" ref="F21382:F21390" si="501">"NE"</f>
        <v>NE</v>
      </c>
    </row>
    <row r="21383" spans="1:6" x14ac:dyDescent="0.25">
      <c r="A21383" t="str">
        <f>"200010972"</f>
        <v>200010972</v>
      </c>
      <c r="B21383" t="str">
        <f>"1487682753"</f>
        <v>1487682753</v>
      </c>
      <c r="C21383" t="str">
        <f>"2080P0206X"</f>
        <v>2080P0206X</v>
      </c>
      <c r="D21383" t="str">
        <f>"QUIROS                   RUBN         E           "</f>
        <v xml:space="preserve">QUIROS                   RUBN         E           </v>
      </c>
      <c r="E21383" t="str">
        <f t="shared" si="500"/>
        <v xml:space="preserve">OMAHA                     </v>
      </c>
      <c r="F21383" t="str">
        <f t="shared" si="501"/>
        <v>NE</v>
      </c>
    </row>
    <row r="21384" spans="1:6" x14ac:dyDescent="0.25">
      <c r="A21384" t="str">
        <f>"200021137"</f>
        <v>200021137</v>
      </c>
      <c r="B21384" t="str">
        <f>"1568613735"</f>
        <v>1568613735</v>
      </c>
      <c r="C21384" t="str">
        <f>"2080P0206X"</f>
        <v>2080P0206X</v>
      </c>
      <c r="D21384" t="str">
        <f>"REYES SANTIAGO           EMILLE       M           "</f>
        <v xml:space="preserve">REYES SANTIAGO           EMILLE       M           </v>
      </c>
      <c r="E21384" t="str">
        <f t="shared" si="500"/>
        <v xml:space="preserve">OMAHA                     </v>
      </c>
      <c r="F21384" t="str">
        <f t="shared" si="501"/>
        <v>NE</v>
      </c>
    </row>
    <row r="21385" spans="1:6" x14ac:dyDescent="0.25">
      <c r="A21385" t="str">
        <f>"200022245"</f>
        <v>200022245</v>
      </c>
      <c r="B21385" t="str">
        <f>"1982233532"</f>
        <v>1982233532</v>
      </c>
      <c r="C21385" t="str">
        <f>"363L00000X"</f>
        <v>363L00000X</v>
      </c>
      <c r="D21385" t="str">
        <f>"BATES                    JILL         R           "</f>
        <v xml:space="preserve">BATES                    JILL         R           </v>
      </c>
      <c r="E21385" t="str">
        <f t="shared" si="500"/>
        <v xml:space="preserve">OMAHA                     </v>
      </c>
      <c r="F21385" t="str">
        <f t="shared" si="501"/>
        <v>NE</v>
      </c>
    </row>
    <row r="21386" spans="1:6" x14ac:dyDescent="0.25">
      <c r="A21386" t="str">
        <f>"200023061"</f>
        <v>200023061</v>
      </c>
      <c r="B21386" t="str">
        <f>"1447698279"</f>
        <v>1447698279</v>
      </c>
      <c r="C21386" t="str">
        <f>"207ZP0102X"</f>
        <v>207ZP0102X</v>
      </c>
      <c r="D21386" t="str">
        <f>"FISHER                   KURT         S           "</f>
        <v xml:space="preserve">FISHER                   KURT         S           </v>
      </c>
      <c r="E21386" t="str">
        <f t="shared" si="500"/>
        <v xml:space="preserve">OMAHA                     </v>
      </c>
      <c r="F21386" t="str">
        <f t="shared" si="501"/>
        <v>NE</v>
      </c>
    </row>
    <row r="21387" spans="1:6" x14ac:dyDescent="0.25">
      <c r="A21387" t="str">
        <f>"200023618"</f>
        <v>200023618</v>
      </c>
      <c r="B21387" t="str">
        <f>"1033104120"</f>
        <v>1033104120</v>
      </c>
      <c r="C21387" t="str">
        <f>"207L00000X"</f>
        <v>207L00000X</v>
      </c>
      <c r="D21387" t="str">
        <f>"FREMMING                 BRADLEY      A           "</f>
        <v xml:space="preserve">FREMMING                 BRADLEY      A           </v>
      </c>
      <c r="E21387" t="str">
        <f t="shared" si="500"/>
        <v xml:space="preserve">OMAHA                     </v>
      </c>
      <c r="F21387" t="str">
        <f t="shared" si="501"/>
        <v>NE</v>
      </c>
    </row>
    <row r="21388" spans="1:6" x14ac:dyDescent="0.25">
      <c r="A21388" t="str">
        <f>"200026552"</f>
        <v>200026552</v>
      </c>
      <c r="B21388" t="str">
        <f>"1346451002"</f>
        <v>1346451002</v>
      </c>
      <c r="C21388" t="str">
        <f>"2085R0202X"</f>
        <v>2085R0202X</v>
      </c>
      <c r="D21388" t="str">
        <f>"HANSEN                   NEIL         J           "</f>
        <v xml:space="preserve">HANSEN                   NEIL         J           </v>
      </c>
      <c r="E21388" t="str">
        <f t="shared" si="500"/>
        <v xml:space="preserve">OMAHA                     </v>
      </c>
      <c r="F21388" t="str">
        <f t="shared" si="501"/>
        <v>NE</v>
      </c>
    </row>
    <row r="21389" spans="1:6" x14ac:dyDescent="0.25">
      <c r="A21389" t="str">
        <f>"200027580"</f>
        <v>200027580</v>
      </c>
      <c r="B21389" t="str">
        <f>"1548401466"</f>
        <v>1548401466</v>
      </c>
      <c r="C21389" t="str">
        <f>"207R00000X"</f>
        <v>207R00000X</v>
      </c>
      <c r="D21389" t="str">
        <f>"KAGANAS                  ALEXANDER    F           "</f>
        <v xml:space="preserve">KAGANAS                  ALEXANDER    F           </v>
      </c>
      <c r="E21389" t="str">
        <f>"SIDNEY                    "</f>
        <v xml:space="preserve">SIDNEY                    </v>
      </c>
      <c r="F21389" t="str">
        <f t="shared" si="501"/>
        <v>NE</v>
      </c>
    </row>
    <row r="21390" spans="1:6" x14ac:dyDescent="0.25">
      <c r="A21390" t="str">
        <f>"200028316"</f>
        <v>200028316</v>
      </c>
      <c r="B21390" t="str">
        <f>"1376993642"</f>
        <v>1376993642</v>
      </c>
      <c r="C21390" t="str">
        <f>"2080P0206X"</f>
        <v>2080P0206X</v>
      </c>
      <c r="D21390" t="str">
        <f>"DREESEN                  MORGAN       B           "</f>
        <v xml:space="preserve">DREESEN                  MORGAN       B           </v>
      </c>
      <c r="E21390" t="str">
        <f>"OMAHA                     "</f>
        <v xml:space="preserve">OMAHA                     </v>
      </c>
      <c r="F21390" t="str">
        <f t="shared" si="501"/>
        <v>NE</v>
      </c>
    </row>
    <row r="21391" spans="1:6" x14ac:dyDescent="0.25">
      <c r="A21391" t="str">
        <f>"200029061"</f>
        <v>200029061</v>
      </c>
      <c r="B21391" t="str">
        <f>"1801854732"</f>
        <v>1801854732</v>
      </c>
      <c r="C21391" t="str">
        <f>"2085R0202X"</f>
        <v>2085R0202X</v>
      </c>
      <c r="D21391" t="str">
        <f>"BLOSS                    MICHAEL                  "</f>
        <v xml:space="preserve">BLOSS                    MICHAEL                  </v>
      </c>
      <c r="E21391" t="str">
        <f>"RAYMOND                   "</f>
        <v xml:space="preserve">RAYMOND                   </v>
      </c>
      <c r="F21391" t="str">
        <f>"NH"</f>
        <v>NH</v>
      </c>
    </row>
    <row r="21392" spans="1:6" x14ac:dyDescent="0.25">
      <c r="A21392" t="str">
        <f>"007536356"</f>
        <v>007536356</v>
      </c>
      <c r="B21392" t="str">
        <f>"1154377117"</f>
        <v>1154377117</v>
      </c>
      <c r="C21392" t="str">
        <f>"2085R0202X"</f>
        <v>2085R0202X</v>
      </c>
      <c r="D21392" t="str">
        <f>"GAURILOFF ROTHENBERG     JANE         B           "</f>
        <v xml:space="preserve">GAURILOFF ROTHENBERG     JANE         B           </v>
      </c>
      <c r="E21392" t="str">
        <f>"DENVILLE                  "</f>
        <v xml:space="preserve">DENVILLE                  </v>
      </c>
      <c r="F21392" t="str">
        <f>"NJ"</f>
        <v>NJ</v>
      </c>
    </row>
    <row r="21393" spans="1:6" x14ac:dyDescent="0.25">
      <c r="A21393" t="str">
        <f>"200013300"</f>
        <v>200013300</v>
      </c>
      <c r="B21393" t="str">
        <f>"1619957834"</f>
        <v>1619957834</v>
      </c>
      <c r="C21393" t="str">
        <f>"2085R0202X"</f>
        <v>2085R0202X</v>
      </c>
      <c r="D21393" t="str">
        <f>"HECHT                    ADAM                     "</f>
        <v xml:space="preserve">HECHT                    ADAM                     </v>
      </c>
      <c r="E21393" t="str">
        <f>"BASKING RIDGE             "</f>
        <v xml:space="preserve">BASKING RIDGE             </v>
      </c>
      <c r="F21393" t="str">
        <f>"NJ"</f>
        <v>NJ</v>
      </c>
    </row>
    <row r="21394" spans="1:6" x14ac:dyDescent="0.25">
      <c r="A21394" t="str">
        <f>"000125721"</f>
        <v>000125721</v>
      </c>
      <c r="B21394" t="str">
        <f>"1649203316"</f>
        <v>1649203316</v>
      </c>
      <c r="C21394" t="str">
        <f>"2085R0202X"</f>
        <v>2085R0202X</v>
      </c>
      <c r="D21394" t="str">
        <f>"PRUETT                   WESLEY       C           "</f>
        <v xml:space="preserve">PRUETT                   WESLEY       C           </v>
      </c>
      <c r="E21394" t="str">
        <f>"LOS ALAMOS                "</f>
        <v xml:space="preserve">LOS ALAMOS                </v>
      </c>
      <c r="F21394" t="str">
        <f>"NM"</f>
        <v>NM</v>
      </c>
    </row>
    <row r="21395" spans="1:6" x14ac:dyDescent="0.25">
      <c r="A21395" t="str">
        <f>"200025209"</f>
        <v>200025209</v>
      </c>
      <c r="B21395" t="str">
        <f>"1184803934"</f>
        <v>1184803934</v>
      </c>
      <c r="C21395" t="str">
        <f>"207P00000X"</f>
        <v>207P00000X</v>
      </c>
      <c r="D21395" t="str">
        <f>"CASHIN JR                BRIAN                    "</f>
        <v xml:space="preserve">CASHIN JR                BRIAN                    </v>
      </c>
      <c r="E21395" t="str">
        <f>"CARLSBAD                  "</f>
        <v xml:space="preserve">CARLSBAD                  </v>
      </c>
      <c r="F21395" t="str">
        <f>"NM"</f>
        <v>NM</v>
      </c>
    </row>
    <row r="21396" spans="1:6" x14ac:dyDescent="0.25">
      <c r="A21396" t="str">
        <f>"006583308"</f>
        <v>006583308</v>
      </c>
      <c r="B21396" t="str">
        <f>"1053390021"</f>
        <v>1053390021</v>
      </c>
      <c r="C21396" t="str">
        <f>"2085R0202X"</f>
        <v>2085R0202X</v>
      </c>
      <c r="D21396" t="str">
        <f>"BOLD                     JONATHAN     W           "</f>
        <v xml:space="preserve">BOLD                     JONATHAN     W           </v>
      </c>
      <c r="E21396" t="str">
        <f>"LAS VEGAS                 "</f>
        <v xml:space="preserve">LAS VEGAS                 </v>
      </c>
      <c r="F21396" t="str">
        <f t="shared" ref="F21396:F21401" si="502">"NV"</f>
        <v>NV</v>
      </c>
    </row>
    <row r="21397" spans="1:6" x14ac:dyDescent="0.25">
      <c r="A21397" t="str">
        <f>"006638342"</f>
        <v>006638342</v>
      </c>
      <c r="B21397" t="str">
        <f>"1417953795"</f>
        <v>1417953795</v>
      </c>
      <c r="C21397" t="str">
        <f>"2085R0202X"</f>
        <v>2085R0202X</v>
      </c>
      <c r="D21397" t="str">
        <f>"KENYHERZ                 GREGORY      E           "</f>
        <v xml:space="preserve">KENYHERZ                 GREGORY      E           </v>
      </c>
      <c r="E21397" t="str">
        <f>"RENO                      "</f>
        <v xml:space="preserve">RENO                      </v>
      </c>
      <c r="F21397" t="str">
        <f t="shared" si="502"/>
        <v>NV</v>
      </c>
    </row>
    <row r="21398" spans="1:6" x14ac:dyDescent="0.25">
      <c r="A21398" t="str">
        <f>"006820982"</f>
        <v>006820982</v>
      </c>
      <c r="B21398" t="str">
        <f>"1063443638"</f>
        <v>1063443638</v>
      </c>
      <c r="C21398" t="str">
        <f>"2085R0202X"</f>
        <v>2085R0202X</v>
      </c>
      <c r="D21398" t="str">
        <f>"VANTASSEL                JOHN         W           "</f>
        <v xml:space="preserve">VANTASSEL                JOHN         W           </v>
      </c>
      <c r="E21398" t="str">
        <f>"LAS VEGAS                 "</f>
        <v xml:space="preserve">LAS VEGAS                 </v>
      </c>
      <c r="F21398" t="str">
        <f t="shared" si="502"/>
        <v>NV</v>
      </c>
    </row>
    <row r="21399" spans="1:6" x14ac:dyDescent="0.25">
      <c r="A21399" t="str">
        <f>"200010510"</f>
        <v>200010510</v>
      </c>
      <c r="B21399" t="str">
        <f>"1629067327"</f>
        <v>1629067327</v>
      </c>
      <c r="C21399" t="str">
        <f>"2085R0202X"</f>
        <v>2085R0202X</v>
      </c>
      <c r="D21399" t="str">
        <f>"DEJESUS                  DENNIS                   "</f>
        <v xml:space="preserve">DEJESUS                  DENNIS                   </v>
      </c>
      <c r="E21399" t="str">
        <f>"LAS VEGAS                 "</f>
        <v xml:space="preserve">LAS VEGAS                 </v>
      </c>
      <c r="F21399" t="str">
        <f t="shared" si="502"/>
        <v>NV</v>
      </c>
    </row>
    <row r="21400" spans="1:6" x14ac:dyDescent="0.25">
      <c r="A21400" t="str">
        <f>"200024372"</f>
        <v>200024372</v>
      </c>
      <c r="B21400" t="str">
        <f>"1316107675"</f>
        <v>1316107675</v>
      </c>
      <c r="C21400" t="str">
        <f>"207R00000X"</f>
        <v>207R00000X</v>
      </c>
      <c r="D21400" t="str">
        <f>"HAMMOND                  CHRISTOPHER              "</f>
        <v xml:space="preserve">HAMMOND                  CHRISTOPHER              </v>
      </c>
      <c r="E21400" t="str">
        <f>"HENDERSON                 "</f>
        <v xml:space="preserve">HENDERSON                 </v>
      </c>
      <c r="F21400" t="str">
        <f t="shared" si="502"/>
        <v>NV</v>
      </c>
    </row>
    <row r="21401" spans="1:6" x14ac:dyDescent="0.25">
      <c r="A21401" t="str">
        <f>"200026417"</f>
        <v>200026417</v>
      </c>
      <c r="B21401" t="str">
        <f>"1386055853"</f>
        <v>1386055853</v>
      </c>
      <c r="C21401" t="str">
        <f>"207P00000X"</f>
        <v>207P00000X</v>
      </c>
      <c r="D21401" t="str">
        <f>"KIM                      JASON                    "</f>
        <v xml:space="preserve">KIM                      JASON                    </v>
      </c>
      <c r="E21401" t="str">
        <f>"HENDERSON                 "</f>
        <v xml:space="preserve">HENDERSON                 </v>
      </c>
      <c r="F21401" t="str">
        <f t="shared" si="502"/>
        <v>NV</v>
      </c>
    </row>
    <row r="21402" spans="1:6" x14ac:dyDescent="0.25">
      <c r="A21402" t="str">
        <f>"008909001"</f>
        <v>008909001</v>
      </c>
      <c r="B21402" t="str">
        <f>"1912399288"</f>
        <v>1912399288</v>
      </c>
      <c r="C21402" t="str">
        <f>"2085R0202X"</f>
        <v>2085R0202X</v>
      </c>
      <c r="D21402" t="str">
        <f>"VERSAGGI                 SALVATORE    L           "</f>
        <v xml:space="preserve">VERSAGGI                 SALVATORE    L           </v>
      </c>
      <c r="E21402" t="str">
        <f>"WEST POINT                "</f>
        <v xml:space="preserve">WEST POINT                </v>
      </c>
      <c r="F21402" t="str">
        <f>"NY"</f>
        <v>NY</v>
      </c>
    </row>
    <row r="21403" spans="1:6" x14ac:dyDescent="0.25">
      <c r="A21403" t="str">
        <f>"200021468"</f>
        <v>200021468</v>
      </c>
      <c r="B21403" t="str">
        <f>"1801892286"</f>
        <v>1801892286</v>
      </c>
      <c r="C21403" t="str">
        <f>"207YP0228X"</f>
        <v>207YP0228X</v>
      </c>
      <c r="D21403" t="str">
        <f>"PIZZUTO                  MICHAEL                  "</f>
        <v xml:space="preserve">PIZZUTO                  MICHAEL                  </v>
      </c>
      <c r="E21403" t="str">
        <f>"BUFFALO                   "</f>
        <v xml:space="preserve">BUFFALO                   </v>
      </c>
      <c r="F21403" t="str">
        <f>"NY"</f>
        <v>NY</v>
      </c>
    </row>
    <row r="21404" spans="1:6" x14ac:dyDescent="0.25">
      <c r="A21404" t="str">
        <f>"200029015"</f>
        <v>200029015</v>
      </c>
      <c r="B21404" t="str">
        <f>"1871972786"</f>
        <v>1871972786</v>
      </c>
      <c r="C21404" t="str">
        <f>"2085R0202X"</f>
        <v>2085R0202X</v>
      </c>
      <c r="D21404" t="str">
        <f>"MCNAIR                   CIERRA                   "</f>
        <v xml:space="preserve">MCNAIR                   CIERRA                   </v>
      </c>
      <c r="E21404" t="str">
        <f>"NEW YORK                  "</f>
        <v xml:space="preserve">NEW YORK                  </v>
      </c>
      <c r="F21404" t="str">
        <f>"NY"</f>
        <v>NY</v>
      </c>
    </row>
    <row r="21405" spans="1:6" x14ac:dyDescent="0.25">
      <c r="A21405" t="str">
        <f>"000026099"</f>
        <v>000026099</v>
      </c>
      <c r="B21405" t="str">
        <f>"1649246109"</f>
        <v>1649246109</v>
      </c>
      <c r="C21405" t="str">
        <f>"208000000X"</f>
        <v>208000000X</v>
      </c>
      <c r="D21405" t="str">
        <f>"SAWNANI                  HEMANT                   "</f>
        <v xml:space="preserve">SAWNANI                  HEMANT                   </v>
      </c>
      <c r="E21405" t="str">
        <f>"CINCINNATI                "</f>
        <v xml:space="preserve">CINCINNATI                </v>
      </c>
      <c r="F21405" t="str">
        <f t="shared" ref="F21405:F21464" si="503">"OH"</f>
        <v>OH</v>
      </c>
    </row>
    <row r="21406" spans="1:6" x14ac:dyDescent="0.25">
      <c r="A21406" t="str">
        <f>"000126668"</f>
        <v>000126668</v>
      </c>
      <c r="B21406" t="str">
        <f>"1083709422"</f>
        <v>1083709422</v>
      </c>
      <c r="C21406" t="str">
        <f>"2085P0229X"</f>
        <v>2085P0229X</v>
      </c>
      <c r="D21406" t="str">
        <f>"CARE                     MARGUERITE               "</f>
        <v xml:space="preserve">CARE                     MARGUERITE               </v>
      </c>
      <c r="E21406" t="str">
        <f>"CINCINNATI                "</f>
        <v xml:space="preserve">CINCINNATI                </v>
      </c>
      <c r="F21406" t="str">
        <f t="shared" si="503"/>
        <v>OH</v>
      </c>
    </row>
    <row r="21407" spans="1:6" x14ac:dyDescent="0.25">
      <c r="A21407" t="str">
        <f>"000184209"</f>
        <v>000184209</v>
      </c>
      <c r="B21407" t="str">
        <f>"1366552317"</f>
        <v>1366552317</v>
      </c>
      <c r="C21407" t="str">
        <f>"2085R0202X"</f>
        <v>2085R0202X</v>
      </c>
      <c r="D21407" t="str">
        <f>"KHIMJI                   TASNEEM      N           "</f>
        <v xml:space="preserve">KHIMJI                   TASNEEM      N           </v>
      </c>
      <c r="E21407" t="str">
        <f>"AKRON                     "</f>
        <v xml:space="preserve">AKRON                     </v>
      </c>
      <c r="F21407" t="str">
        <f t="shared" si="503"/>
        <v>OH</v>
      </c>
    </row>
    <row r="21408" spans="1:6" x14ac:dyDescent="0.25">
      <c r="A21408" t="str">
        <f>"000231283"</f>
        <v>000231283</v>
      </c>
      <c r="B21408" t="str">
        <f>"1558535781"</f>
        <v>1558535781</v>
      </c>
      <c r="C21408" t="str">
        <f>"2080P0206X"</f>
        <v>2080P0206X</v>
      </c>
      <c r="D21408" t="str">
        <f>"VAZ                      KARLA                    "</f>
        <v xml:space="preserve">VAZ                      KARLA                    </v>
      </c>
      <c r="E21408" t="str">
        <f>"COLUMBUS                  "</f>
        <v xml:space="preserve">COLUMBUS                  </v>
      </c>
      <c r="F21408" t="str">
        <f t="shared" si="503"/>
        <v>OH</v>
      </c>
    </row>
    <row r="21409" spans="1:6" x14ac:dyDescent="0.25">
      <c r="A21409" t="str">
        <f>"000281393"</f>
        <v>000281393</v>
      </c>
      <c r="B21409" t="str">
        <f>"1043519309"</f>
        <v>1043519309</v>
      </c>
      <c r="C21409" t="str">
        <f>"2080P0206X"</f>
        <v>2080P0206X</v>
      </c>
      <c r="D21409" t="str">
        <f>"VITALE                   DAVID        S           "</f>
        <v xml:space="preserve">VITALE                   DAVID        S           </v>
      </c>
      <c r="E21409" t="str">
        <f>"CINCINNATI                "</f>
        <v xml:space="preserve">CINCINNATI                </v>
      </c>
      <c r="F21409" t="str">
        <f t="shared" si="503"/>
        <v>OH</v>
      </c>
    </row>
    <row r="21410" spans="1:6" x14ac:dyDescent="0.25">
      <c r="A21410" t="str">
        <f>"001829301"</f>
        <v>001829301</v>
      </c>
      <c r="B21410" t="str">
        <f>"1376819474"</f>
        <v>1376819474</v>
      </c>
      <c r="C21410" t="str">
        <f>"208100000X"</f>
        <v>208100000X</v>
      </c>
      <c r="D21410" t="str">
        <f>"BOLIKAL                  PRIYA        D           "</f>
        <v xml:space="preserve">BOLIKAL                  PRIYA        D           </v>
      </c>
      <c r="E21410" t="str">
        <f>"CINCINNATI                "</f>
        <v xml:space="preserve">CINCINNATI                </v>
      </c>
      <c r="F21410" t="str">
        <f t="shared" si="503"/>
        <v>OH</v>
      </c>
    </row>
    <row r="21411" spans="1:6" x14ac:dyDescent="0.25">
      <c r="A21411" t="str">
        <f>"003428019"</f>
        <v>003428019</v>
      </c>
      <c r="B21411" t="str">
        <f>"1225021413"</f>
        <v>1225021413</v>
      </c>
      <c r="C21411" t="str">
        <f>"2085R0202X"</f>
        <v>2085R0202X</v>
      </c>
      <c r="D21411" t="str">
        <f>"STAIB JR                 NEIL         E           "</f>
        <v xml:space="preserve">STAIB JR                 NEIL         E           </v>
      </c>
      <c r="E21411" t="str">
        <f>"GOSHEN                    "</f>
        <v xml:space="preserve">GOSHEN                    </v>
      </c>
      <c r="F21411" t="str">
        <f t="shared" si="503"/>
        <v>OH</v>
      </c>
    </row>
    <row r="21412" spans="1:6" x14ac:dyDescent="0.25">
      <c r="A21412" t="str">
        <f>"003684721"</f>
        <v>003684721</v>
      </c>
      <c r="B21412" t="str">
        <f>"1346229028"</f>
        <v>1346229028</v>
      </c>
      <c r="C21412" t="str">
        <f>"2086S0120X"</f>
        <v>2086S0120X</v>
      </c>
      <c r="D21412" t="str">
        <f>"ROSEN                    NELSON       G           "</f>
        <v xml:space="preserve">ROSEN                    NELSON       G           </v>
      </c>
      <c r="E21412" t="str">
        <f>"CINCINNATI                "</f>
        <v xml:space="preserve">CINCINNATI                </v>
      </c>
      <c r="F21412" t="str">
        <f t="shared" si="503"/>
        <v>OH</v>
      </c>
    </row>
    <row r="21413" spans="1:6" x14ac:dyDescent="0.25">
      <c r="A21413" t="str">
        <f>"004677042"</f>
        <v>004677042</v>
      </c>
      <c r="B21413" t="str">
        <f>"1083782601"</f>
        <v>1083782601</v>
      </c>
      <c r="C21413" t="str">
        <f>"207Y00000X"</f>
        <v>207Y00000X</v>
      </c>
      <c r="D21413" t="str">
        <f>"DEALARCON                ALESSANDRO               "</f>
        <v xml:space="preserve">DEALARCON                ALESSANDRO               </v>
      </c>
      <c r="E21413" t="str">
        <f>"CINCINNATI                "</f>
        <v xml:space="preserve">CINCINNATI                </v>
      </c>
      <c r="F21413" t="str">
        <f t="shared" si="503"/>
        <v>OH</v>
      </c>
    </row>
    <row r="21414" spans="1:6" x14ac:dyDescent="0.25">
      <c r="A21414" t="str">
        <f>"005282319"</f>
        <v>005282319</v>
      </c>
      <c r="B21414" t="str">
        <f>"1588871792"</f>
        <v>1588871792</v>
      </c>
      <c r="C21414" t="str">
        <f>"208000000X"</f>
        <v>208000000X</v>
      </c>
      <c r="D21414" t="str">
        <f>"PENTIUK                  SCOTT        P           "</f>
        <v xml:space="preserve">PENTIUK                  SCOTT        P           </v>
      </c>
      <c r="E21414" t="str">
        <f>"CINCINNATI                "</f>
        <v xml:space="preserve">CINCINNATI                </v>
      </c>
      <c r="F21414" t="str">
        <f t="shared" si="503"/>
        <v>OH</v>
      </c>
    </row>
    <row r="21415" spans="1:6" x14ac:dyDescent="0.25">
      <c r="A21415" t="str">
        <f>"006234869"</f>
        <v>006234869</v>
      </c>
      <c r="B21415" t="str">
        <f>"1417905324"</f>
        <v>1417905324</v>
      </c>
      <c r="C21415" t="str">
        <f>"261QA1903X"</f>
        <v>261QA1903X</v>
      </c>
      <c r="D21415" t="str">
        <f>"CHILDRENS SURGICAL ASSOCIATES CORP                "</f>
        <v xml:space="preserve">CHILDRENS SURGICAL ASSOCIATES CORP                </v>
      </c>
      <c r="E21415" t="str">
        <f>"COLUMBUS                  "</f>
        <v xml:space="preserve">COLUMBUS                  </v>
      </c>
      <c r="F21415" t="str">
        <f t="shared" si="503"/>
        <v>OH</v>
      </c>
    </row>
    <row r="21416" spans="1:6" x14ac:dyDescent="0.25">
      <c r="A21416" t="str">
        <f>"006382038"</f>
        <v>006382038</v>
      </c>
      <c r="B21416" t="str">
        <f>"1033695937"</f>
        <v>1033695937</v>
      </c>
      <c r="C21416" t="str">
        <f>"2085P0229X"</f>
        <v>2085P0229X</v>
      </c>
      <c r="D21416" t="str">
        <f>"KOCAOGLU                 MURAT                    "</f>
        <v xml:space="preserve">KOCAOGLU                 MURAT                    </v>
      </c>
      <c r="E21416" t="str">
        <f>"CINCINNATI                "</f>
        <v xml:space="preserve">CINCINNATI                </v>
      </c>
      <c r="F21416" t="str">
        <f t="shared" si="503"/>
        <v>OH</v>
      </c>
    </row>
    <row r="21417" spans="1:6" x14ac:dyDescent="0.25">
      <c r="A21417" t="str">
        <f>"007353218"</f>
        <v>007353218</v>
      </c>
      <c r="B21417" t="str">
        <f>"1891055919"</f>
        <v>1891055919</v>
      </c>
      <c r="C21417" t="str">
        <f>"208000000X"</f>
        <v>208000000X</v>
      </c>
      <c r="D21417" t="str">
        <f>"ZAK                      SARA         M           "</f>
        <v xml:space="preserve">ZAK                      SARA         M           </v>
      </c>
      <c r="E21417" t="str">
        <f>"CINCINNATI                "</f>
        <v xml:space="preserve">CINCINNATI                </v>
      </c>
      <c r="F21417" t="str">
        <f t="shared" si="503"/>
        <v>OH</v>
      </c>
    </row>
    <row r="21418" spans="1:6" x14ac:dyDescent="0.25">
      <c r="A21418" t="str">
        <f>"007359091"</f>
        <v>007359091</v>
      </c>
      <c r="B21418" t="str">
        <f>"1396192464"</f>
        <v>1396192464</v>
      </c>
      <c r="C21418" t="str">
        <f>"207L00000X"</f>
        <v>207L00000X</v>
      </c>
      <c r="D21418" t="str">
        <f>"CHIMA                    ADAORA       M           "</f>
        <v xml:space="preserve">CHIMA                    ADAORA       M           </v>
      </c>
      <c r="E21418" t="str">
        <f>"CINCINNATI                "</f>
        <v xml:space="preserve">CINCINNATI                </v>
      </c>
      <c r="F21418" t="str">
        <f t="shared" si="503"/>
        <v>OH</v>
      </c>
    </row>
    <row r="21419" spans="1:6" x14ac:dyDescent="0.25">
      <c r="A21419" t="str">
        <f>"009307833"</f>
        <v>009307833</v>
      </c>
      <c r="B21419" t="str">
        <f>"1598766156"</f>
        <v>1598766156</v>
      </c>
      <c r="C21419" t="str">
        <f>"2080P0206X"</f>
        <v>2080P0206X</v>
      </c>
      <c r="D21419" t="str">
        <f>"DILORENZO                CARLO                    "</f>
        <v xml:space="preserve">DILORENZO                CARLO                    </v>
      </c>
      <c r="E21419" t="str">
        <f>"COLUMBUS                  "</f>
        <v xml:space="preserve">COLUMBUS                  </v>
      </c>
      <c r="F21419" t="str">
        <f t="shared" si="503"/>
        <v>OH</v>
      </c>
    </row>
    <row r="21420" spans="1:6" x14ac:dyDescent="0.25">
      <c r="A21420" t="str">
        <f>"200001373"</f>
        <v>200001373</v>
      </c>
      <c r="B21420" t="str">
        <f>"1053593830"</f>
        <v>1053593830</v>
      </c>
      <c r="C21420" t="str">
        <f>"207L00000X"</f>
        <v>207L00000X</v>
      </c>
      <c r="D21420" t="str">
        <f>"WORDEN                   WILLIAM                  "</f>
        <v xml:space="preserve">WORDEN                   WILLIAM                  </v>
      </c>
      <c r="E21420" t="str">
        <f>"CINCINNATI                "</f>
        <v xml:space="preserve">CINCINNATI                </v>
      </c>
      <c r="F21420" t="str">
        <f t="shared" si="503"/>
        <v>OH</v>
      </c>
    </row>
    <row r="21421" spans="1:6" x14ac:dyDescent="0.25">
      <c r="A21421" t="str">
        <f>"200009101"</f>
        <v>200009101</v>
      </c>
      <c r="B21421" t="str">
        <f>"1811917420"</f>
        <v>1811917420</v>
      </c>
      <c r="C21421" t="str">
        <f>"208800000X"</f>
        <v>208800000X</v>
      </c>
      <c r="D21421" t="str">
        <f>"DEFOOR                   WILLIAM                  "</f>
        <v xml:space="preserve">DEFOOR                   WILLIAM                  </v>
      </c>
      <c r="E21421" t="str">
        <f>"CINCINNATI                "</f>
        <v xml:space="preserve">CINCINNATI                </v>
      </c>
      <c r="F21421" t="str">
        <f t="shared" si="503"/>
        <v>OH</v>
      </c>
    </row>
    <row r="21422" spans="1:6" x14ac:dyDescent="0.25">
      <c r="A21422" t="str">
        <f>"200011798"</f>
        <v>200011798</v>
      </c>
      <c r="B21422" t="str">
        <f>"1952719908"</f>
        <v>1952719908</v>
      </c>
      <c r="C21422" t="str">
        <f>"363L00000X"</f>
        <v>363L00000X</v>
      </c>
      <c r="D21422" t="str">
        <f>"BOOTH                    KRISTINA                 "</f>
        <v xml:space="preserve">BOOTH                    KRISTINA                 </v>
      </c>
      <c r="E21422" t="str">
        <f>"COLUMBUS                  "</f>
        <v xml:space="preserve">COLUMBUS                  </v>
      </c>
      <c r="F21422" t="str">
        <f t="shared" si="503"/>
        <v>OH</v>
      </c>
    </row>
    <row r="21423" spans="1:6" x14ac:dyDescent="0.25">
      <c r="A21423" t="str">
        <f>"200012132"</f>
        <v>200012132</v>
      </c>
      <c r="B21423" t="str">
        <f>"1386031987"</f>
        <v>1386031987</v>
      </c>
      <c r="C21423" t="str">
        <f>"207V00000X"</f>
        <v>207V00000X</v>
      </c>
      <c r="D21423" t="str">
        <f>"FEI                      YUEYANG                  "</f>
        <v xml:space="preserve">FEI                      YUEYANG                  </v>
      </c>
      <c r="E21423" t="str">
        <f>"COLUMBUS                  "</f>
        <v xml:space="preserve">COLUMBUS                  </v>
      </c>
      <c r="F21423" t="str">
        <f t="shared" si="503"/>
        <v>OH</v>
      </c>
    </row>
    <row r="21424" spans="1:6" x14ac:dyDescent="0.25">
      <c r="A21424" t="str">
        <f>"200012546"</f>
        <v>200012546</v>
      </c>
      <c r="B21424" t="str">
        <f>"1396131074"</f>
        <v>1396131074</v>
      </c>
      <c r="C21424" t="str">
        <f>"208C00000X"</f>
        <v>208C00000X</v>
      </c>
      <c r="D21424" t="str">
        <f>"WOOD                     RICHARD                  "</f>
        <v xml:space="preserve">WOOD                     RICHARD                  </v>
      </c>
      <c r="E21424" t="str">
        <f>"COLUMBUS                  "</f>
        <v xml:space="preserve">COLUMBUS                  </v>
      </c>
      <c r="F21424" t="str">
        <f t="shared" si="503"/>
        <v>OH</v>
      </c>
    </row>
    <row r="21425" spans="1:6" x14ac:dyDescent="0.25">
      <c r="A21425" t="str">
        <f>"200012655"</f>
        <v>200012655</v>
      </c>
      <c r="B21425" t="str">
        <f>"1457382707"</f>
        <v>1457382707</v>
      </c>
      <c r="C21425" t="str">
        <f>"363AS0400X"</f>
        <v>363AS0400X</v>
      </c>
      <c r="D21425" t="str">
        <f>"KASUBICK-TILLMAN         SUSAN                    "</f>
        <v xml:space="preserve">KASUBICK-TILLMAN         SUSAN                    </v>
      </c>
      <c r="E21425" t="str">
        <f>"COLUMBUS                  "</f>
        <v xml:space="preserve">COLUMBUS                  </v>
      </c>
      <c r="F21425" t="str">
        <f t="shared" si="503"/>
        <v>OH</v>
      </c>
    </row>
    <row r="21426" spans="1:6" x14ac:dyDescent="0.25">
      <c r="A21426" t="str">
        <f>"200014479"</f>
        <v>200014479</v>
      </c>
      <c r="B21426" t="str">
        <f>"1346401288"</f>
        <v>1346401288</v>
      </c>
      <c r="C21426" t="str">
        <f>"2080P0206X"</f>
        <v>2080P0206X</v>
      </c>
      <c r="D21426" t="str">
        <f>"KHAN                     MUHAMMAD                 "</f>
        <v xml:space="preserve">KHAN                     MUHAMMAD                 </v>
      </c>
      <c r="E21426" t="str">
        <f>"COLUMBUS                  "</f>
        <v xml:space="preserve">COLUMBUS                  </v>
      </c>
      <c r="F21426" t="str">
        <f t="shared" si="503"/>
        <v>OH</v>
      </c>
    </row>
    <row r="21427" spans="1:6" x14ac:dyDescent="0.25">
      <c r="A21427" t="str">
        <f>"200019628"</f>
        <v>200019628</v>
      </c>
      <c r="B21427" t="str">
        <f>"1306289285"</f>
        <v>1306289285</v>
      </c>
      <c r="C21427" t="str">
        <f>"2080P0206X"</f>
        <v>2080P0206X</v>
      </c>
      <c r="D21427" t="str">
        <f>"FERRELL                  PETER                    "</f>
        <v xml:space="preserve">FERRELL                  PETER                    </v>
      </c>
      <c r="E21427" t="str">
        <f>"CINCINNATI                "</f>
        <v xml:space="preserve">CINCINNATI                </v>
      </c>
      <c r="F21427" t="str">
        <f t="shared" si="503"/>
        <v>OH</v>
      </c>
    </row>
    <row r="21428" spans="1:6" x14ac:dyDescent="0.25">
      <c r="A21428" t="str">
        <f>"200019751"</f>
        <v>200019751</v>
      </c>
      <c r="B21428" t="str">
        <f>"1356421176"</f>
        <v>1356421176</v>
      </c>
      <c r="C21428" t="str">
        <f>"208100000X"</f>
        <v>208100000X</v>
      </c>
      <c r="D21428" t="str">
        <f>"PRUITT                   DAVID                    "</f>
        <v xml:space="preserve">PRUITT                   DAVID                    </v>
      </c>
      <c r="E21428" t="str">
        <f>"CINCINNATI                "</f>
        <v xml:space="preserve">CINCINNATI                </v>
      </c>
      <c r="F21428" t="str">
        <f t="shared" si="503"/>
        <v>OH</v>
      </c>
    </row>
    <row r="21429" spans="1:6" x14ac:dyDescent="0.25">
      <c r="A21429" t="str">
        <f>"200020370"</f>
        <v>200020370</v>
      </c>
      <c r="B21429" t="str">
        <f>"1437315363"</f>
        <v>1437315363</v>
      </c>
      <c r="C21429" t="str">
        <f>"208C00000X"</f>
        <v>208C00000X</v>
      </c>
      <c r="D21429" t="str">
        <f>"GASIOR                   ALESSANDRA               "</f>
        <v xml:space="preserve">GASIOR                   ALESSANDRA               </v>
      </c>
      <c r="E21429" t="str">
        <f>"COLUMBUS                  "</f>
        <v xml:space="preserve">COLUMBUS                  </v>
      </c>
      <c r="F21429" t="str">
        <f t="shared" si="503"/>
        <v>OH</v>
      </c>
    </row>
    <row r="21430" spans="1:6" x14ac:dyDescent="0.25">
      <c r="A21430" t="str">
        <f>"200020472"</f>
        <v>200020472</v>
      </c>
      <c r="B21430" t="str">
        <f>"1245492750"</f>
        <v>1245492750</v>
      </c>
      <c r="C21430" t="str">
        <f>"2088P0231X"</f>
        <v>2088P0231X</v>
      </c>
      <c r="D21430" t="str">
        <f>"VANDERBRINK              BRIAN                    "</f>
        <v xml:space="preserve">VANDERBRINK              BRIAN                    </v>
      </c>
      <c r="E21430" t="str">
        <f>"CINCINNATI                "</f>
        <v xml:space="preserve">CINCINNATI                </v>
      </c>
      <c r="F21430" t="str">
        <f t="shared" si="503"/>
        <v>OH</v>
      </c>
    </row>
    <row r="21431" spans="1:6" x14ac:dyDescent="0.25">
      <c r="A21431" t="str">
        <f>"200021233"</f>
        <v>200021233</v>
      </c>
      <c r="B21431" t="str">
        <f>"1184150708"</f>
        <v>1184150708</v>
      </c>
      <c r="C21431" t="str">
        <f>"208000000X"</f>
        <v>208000000X</v>
      </c>
      <c r="D21431" t="str">
        <f>"KANE                     JOELLE                   "</f>
        <v xml:space="preserve">KANE                     JOELLE                   </v>
      </c>
      <c r="E21431" t="str">
        <f>"CINCINNATI                "</f>
        <v xml:space="preserve">CINCINNATI                </v>
      </c>
      <c r="F21431" t="str">
        <f t="shared" si="503"/>
        <v>OH</v>
      </c>
    </row>
    <row r="21432" spans="1:6" x14ac:dyDescent="0.25">
      <c r="A21432" t="str">
        <f>"200021505"</f>
        <v>200021505</v>
      </c>
      <c r="B21432" t="str">
        <f>"1215215520"</f>
        <v>1215215520</v>
      </c>
      <c r="C21432" t="str">
        <f>"207Q00000X"</f>
        <v>207Q00000X</v>
      </c>
      <c r="D21432" t="str">
        <f>"GOMAA                    ISLAM        A           "</f>
        <v xml:space="preserve">GOMAA                    ISLAM        A           </v>
      </c>
      <c r="E21432" t="str">
        <f>"FINDLAY                   "</f>
        <v xml:space="preserve">FINDLAY                   </v>
      </c>
      <c r="F21432" t="str">
        <f t="shared" si="503"/>
        <v>OH</v>
      </c>
    </row>
    <row r="21433" spans="1:6" x14ac:dyDescent="0.25">
      <c r="A21433" t="str">
        <f>"200021591"</f>
        <v>200021591</v>
      </c>
      <c r="B21433" t="str">
        <f>"1952765299"</f>
        <v>1952765299</v>
      </c>
      <c r="C21433" t="str">
        <f>"2084N0402X"</f>
        <v>2084N0402X</v>
      </c>
      <c r="D21433" t="str">
        <f>"ZYGMUNT                  ALEXANDER                "</f>
        <v xml:space="preserve">ZYGMUNT                  ALEXANDER                </v>
      </c>
      <c r="E21433" t="str">
        <f>"CINCINNATI                "</f>
        <v xml:space="preserve">CINCINNATI                </v>
      </c>
      <c r="F21433" t="str">
        <f t="shared" si="503"/>
        <v>OH</v>
      </c>
    </row>
    <row r="21434" spans="1:6" x14ac:dyDescent="0.25">
      <c r="A21434" t="str">
        <f>"200022372"</f>
        <v>200022372</v>
      </c>
      <c r="B21434" t="str">
        <f>"1821384660"</f>
        <v>1821384660</v>
      </c>
      <c r="C21434" t="str">
        <f>"207LP3000X"</f>
        <v>207LP3000X</v>
      </c>
      <c r="D21434" t="str">
        <f>"HARTZELL                 CHERYL                   "</f>
        <v xml:space="preserve">HARTZELL                 CHERYL                   </v>
      </c>
      <c r="E21434" t="str">
        <f>"CINCINNATI                "</f>
        <v xml:space="preserve">CINCINNATI                </v>
      </c>
      <c r="F21434" t="str">
        <f t="shared" si="503"/>
        <v>OH</v>
      </c>
    </row>
    <row r="21435" spans="1:6" x14ac:dyDescent="0.25">
      <c r="A21435" t="str">
        <f>"200022670"</f>
        <v>200022670</v>
      </c>
      <c r="B21435" t="str">
        <f>"1265965610"</f>
        <v>1265965610</v>
      </c>
      <c r="C21435" t="str">
        <f>"2080P0203X"</f>
        <v>2080P0203X</v>
      </c>
      <c r="D21435" t="str">
        <f>"LOEB                     DANIEL                   "</f>
        <v xml:space="preserve">LOEB                     DANIEL                   </v>
      </c>
      <c r="E21435" t="str">
        <f>"CINCINNATI                "</f>
        <v xml:space="preserve">CINCINNATI                </v>
      </c>
      <c r="F21435" t="str">
        <f t="shared" si="503"/>
        <v>OH</v>
      </c>
    </row>
    <row r="21436" spans="1:6" x14ac:dyDescent="0.25">
      <c r="A21436" t="str">
        <f>"200022772"</f>
        <v>200022772</v>
      </c>
      <c r="B21436" t="str">
        <f>"1962849885"</f>
        <v>1962849885</v>
      </c>
      <c r="C21436" t="str">
        <f>"2088P0231X"</f>
        <v>2088P0231X</v>
      </c>
      <c r="D21436" t="str">
        <f>"DAUGHERTY                MICHAEL                  "</f>
        <v xml:space="preserve">DAUGHERTY                MICHAEL                  </v>
      </c>
      <c r="E21436" t="str">
        <f>"CINCINNATI                "</f>
        <v xml:space="preserve">CINCINNATI                </v>
      </c>
      <c r="F21436" t="str">
        <f t="shared" si="503"/>
        <v>OH</v>
      </c>
    </row>
    <row r="21437" spans="1:6" x14ac:dyDescent="0.25">
      <c r="A21437" t="str">
        <f>"200023343"</f>
        <v>200023343</v>
      </c>
      <c r="B21437" t="str">
        <f>"1487141545"</f>
        <v>1487141545</v>
      </c>
      <c r="C21437" t="str">
        <f>"207LP3000X"</f>
        <v>207LP3000X</v>
      </c>
      <c r="D21437" t="str">
        <f>"SAHU                     KIRTI                    "</f>
        <v xml:space="preserve">SAHU                     KIRTI                    </v>
      </c>
      <c r="E21437" t="str">
        <f>"CINCINNATI                "</f>
        <v xml:space="preserve">CINCINNATI                </v>
      </c>
      <c r="F21437" t="str">
        <f t="shared" si="503"/>
        <v>OH</v>
      </c>
    </row>
    <row r="21438" spans="1:6" x14ac:dyDescent="0.25">
      <c r="A21438" t="str">
        <f>"200023357"</f>
        <v>200023357</v>
      </c>
      <c r="B21438" t="str">
        <f>"1447346317"</f>
        <v>1447346317</v>
      </c>
      <c r="C21438" t="str">
        <f>"2088P0231X"</f>
        <v>2088P0231X</v>
      </c>
      <c r="D21438" t="str">
        <f>"JAYANTHI                 VENKATA                  "</f>
        <v xml:space="preserve">JAYANTHI                 VENKATA                  </v>
      </c>
      <c r="E21438" t="str">
        <f>"COLUMBUS                  "</f>
        <v xml:space="preserve">COLUMBUS                  </v>
      </c>
      <c r="F21438" t="str">
        <f t="shared" si="503"/>
        <v>OH</v>
      </c>
    </row>
    <row r="21439" spans="1:6" x14ac:dyDescent="0.25">
      <c r="A21439" t="str">
        <f>"200023360"</f>
        <v>200023360</v>
      </c>
      <c r="B21439" t="str">
        <f>"1073878559"</f>
        <v>1073878559</v>
      </c>
      <c r="C21439" t="str">
        <f>"2080P0207X"</f>
        <v>2080P0207X</v>
      </c>
      <c r="D21439" t="str">
        <f>"KHOURY                   RUBY                     "</f>
        <v xml:space="preserve">KHOURY                   RUBY                     </v>
      </c>
      <c r="E21439" t="str">
        <f>"CINCINNATI                "</f>
        <v xml:space="preserve">CINCINNATI                </v>
      </c>
      <c r="F21439" t="str">
        <f t="shared" si="503"/>
        <v>OH</v>
      </c>
    </row>
    <row r="21440" spans="1:6" x14ac:dyDescent="0.25">
      <c r="A21440" t="str">
        <f>"200023995"</f>
        <v>200023995</v>
      </c>
      <c r="B21440" t="str">
        <f>"1215370804"</f>
        <v>1215370804</v>
      </c>
      <c r="C21440" t="str">
        <f>"2080P0204X"</f>
        <v>2080P0204X</v>
      </c>
      <c r="D21440" t="str">
        <f>"EDMUNDS                  KATHERINE                "</f>
        <v xml:space="preserve">EDMUNDS                  KATHERINE                </v>
      </c>
      <c r="E21440" t="str">
        <f>"CINCINNATI                "</f>
        <v xml:space="preserve">CINCINNATI                </v>
      </c>
      <c r="F21440" t="str">
        <f t="shared" si="503"/>
        <v>OH</v>
      </c>
    </row>
    <row r="21441" spans="1:6" x14ac:dyDescent="0.25">
      <c r="A21441" t="str">
        <f>"200024326"</f>
        <v>200024326</v>
      </c>
      <c r="B21441" t="str">
        <f>"1508893686"</f>
        <v>1508893686</v>
      </c>
      <c r="C21441" t="str">
        <f>"2080P0204X"</f>
        <v>2080P0204X</v>
      </c>
      <c r="D21441" t="str">
        <f>"JOHNSON                  LAURIE                   "</f>
        <v xml:space="preserve">JOHNSON                  LAURIE                   </v>
      </c>
      <c r="E21441" t="str">
        <f>"CINCINNATI                "</f>
        <v xml:space="preserve">CINCINNATI                </v>
      </c>
      <c r="F21441" t="str">
        <f t="shared" si="503"/>
        <v>OH</v>
      </c>
    </row>
    <row r="21442" spans="1:6" x14ac:dyDescent="0.25">
      <c r="A21442" t="str">
        <f>"200024336"</f>
        <v>200024336</v>
      </c>
      <c r="B21442" t="str">
        <f>"1881866432"</f>
        <v>1881866432</v>
      </c>
      <c r="C21442" t="str">
        <f>"2080P0207X"</f>
        <v>2080P0207X</v>
      </c>
      <c r="D21442" t="str">
        <f>"SMART                    LUKE                     "</f>
        <v xml:space="preserve">SMART                    LUKE                     </v>
      </c>
      <c r="E21442" t="str">
        <f>"CINCINNATI                "</f>
        <v xml:space="preserve">CINCINNATI                </v>
      </c>
      <c r="F21442" t="str">
        <f t="shared" si="503"/>
        <v>OH</v>
      </c>
    </row>
    <row r="21443" spans="1:6" x14ac:dyDescent="0.25">
      <c r="A21443" t="str">
        <f>"200024469"</f>
        <v>200024469</v>
      </c>
      <c r="B21443" t="str">
        <f>"1619178050"</f>
        <v>1619178050</v>
      </c>
      <c r="C21443" t="str">
        <f>"2084N0402X"</f>
        <v>2084N0402X</v>
      </c>
      <c r="D21443" t="str">
        <f>"PEARSON                  TONI                     "</f>
        <v xml:space="preserve">PEARSON                  TONI                     </v>
      </c>
      <c r="E21443" t="str">
        <f>"COLUMBUS                  "</f>
        <v xml:space="preserve">COLUMBUS                  </v>
      </c>
      <c r="F21443" t="str">
        <f t="shared" si="503"/>
        <v>OH</v>
      </c>
    </row>
    <row r="21444" spans="1:6" x14ac:dyDescent="0.25">
      <c r="A21444" t="str">
        <f>"200024711"</f>
        <v>200024711</v>
      </c>
      <c r="B21444" t="str">
        <f>"1164605275"</f>
        <v>1164605275</v>
      </c>
      <c r="C21444" t="str">
        <f>"2084N0402X"</f>
        <v>2084N0402X</v>
      </c>
      <c r="D21444" t="str">
        <f>"GREINER                  HANSEL                   "</f>
        <v xml:space="preserve">GREINER                  HANSEL                   </v>
      </c>
      <c r="E21444" t="str">
        <f>"CINCINNATI                "</f>
        <v xml:space="preserve">CINCINNATI                </v>
      </c>
      <c r="F21444" t="str">
        <f t="shared" si="503"/>
        <v>OH</v>
      </c>
    </row>
    <row r="21445" spans="1:6" x14ac:dyDescent="0.25">
      <c r="A21445" t="str">
        <f>"200025228"</f>
        <v>200025228</v>
      </c>
      <c r="B21445" t="str">
        <f>"1942357835"</f>
        <v>1942357835</v>
      </c>
      <c r="C21445" t="str">
        <f>"2080P0206X"</f>
        <v>2080P0206X</v>
      </c>
      <c r="D21445" t="str">
        <f>"MOORE                    SEAN                     "</f>
        <v xml:space="preserve">MOORE                    SEAN                     </v>
      </c>
      <c r="E21445" t="str">
        <f>"CINCINNATI                "</f>
        <v xml:space="preserve">CINCINNATI                </v>
      </c>
      <c r="F21445" t="str">
        <f t="shared" si="503"/>
        <v>OH</v>
      </c>
    </row>
    <row r="21446" spans="1:6" x14ac:dyDescent="0.25">
      <c r="A21446" t="str">
        <f>"200025294"</f>
        <v>200025294</v>
      </c>
      <c r="B21446" t="str">
        <f>"1093248429"</f>
        <v>1093248429</v>
      </c>
      <c r="C21446" t="str">
        <f>"2080P0206X"</f>
        <v>2080P0206X</v>
      </c>
      <c r="D21446" t="str">
        <f>"SPRAGUE                  GARRETT                  "</f>
        <v xml:space="preserve">SPRAGUE                  GARRETT                  </v>
      </c>
      <c r="E21446" t="str">
        <f>"CINCINNATI                "</f>
        <v xml:space="preserve">CINCINNATI                </v>
      </c>
      <c r="F21446" t="str">
        <f t="shared" si="503"/>
        <v>OH</v>
      </c>
    </row>
    <row r="21447" spans="1:6" x14ac:dyDescent="0.25">
      <c r="A21447" t="str">
        <f>"200025538"</f>
        <v>200025538</v>
      </c>
      <c r="B21447" t="str">
        <f>"1699063909"</f>
        <v>1699063909</v>
      </c>
      <c r="C21447" t="str">
        <f>"2080P0206X"</f>
        <v>2080P0206X</v>
      </c>
      <c r="D21447" t="str">
        <f>"PURI                     NEETU                    "</f>
        <v xml:space="preserve">PURI                     NEETU                    </v>
      </c>
      <c r="E21447" t="str">
        <f>"COLUMBUS                  "</f>
        <v xml:space="preserve">COLUMBUS                  </v>
      </c>
      <c r="F21447" t="str">
        <f t="shared" si="503"/>
        <v>OH</v>
      </c>
    </row>
    <row r="21448" spans="1:6" x14ac:dyDescent="0.25">
      <c r="A21448" t="str">
        <f>"200025566"</f>
        <v>200025566</v>
      </c>
      <c r="B21448" t="str">
        <f>"1336501576"</f>
        <v>1336501576</v>
      </c>
      <c r="C21448" t="str">
        <f>"2080P0206X"</f>
        <v>2080P0206X</v>
      </c>
      <c r="D21448" t="str">
        <f>"SANCHEZ                  RAUL                     "</f>
        <v xml:space="preserve">SANCHEZ                  RAUL                     </v>
      </c>
      <c r="E21448" t="str">
        <f>"COLUMBUS                  "</f>
        <v xml:space="preserve">COLUMBUS                  </v>
      </c>
      <c r="F21448" t="str">
        <f t="shared" si="503"/>
        <v>OH</v>
      </c>
    </row>
    <row r="21449" spans="1:6" x14ac:dyDescent="0.25">
      <c r="A21449" t="str">
        <f>"200025577"</f>
        <v>200025577</v>
      </c>
      <c r="B21449" t="str">
        <f>"1689845208"</f>
        <v>1689845208</v>
      </c>
      <c r="C21449" t="str">
        <f>"2080P0206X"</f>
        <v>2080P0206X</v>
      </c>
      <c r="D21449" t="str">
        <f>"YACOB                    DESALEGN                 "</f>
        <v xml:space="preserve">YACOB                    DESALEGN                 </v>
      </c>
      <c r="E21449" t="str">
        <f>"COLUMBUS                  "</f>
        <v xml:space="preserve">COLUMBUS                  </v>
      </c>
      <c r="F21449" t="str">
        <f t="shared" si="503"/>
        <v>OH</v>
      </c>
    </row>
    <row r="21450" spans="1:6" x14ac:dyDescent="0.25">
      <c r="A21450" t="str">
        <f>"200025835"</f>
        <v>200025835</v>
      </c>
      <c r="B21450" t="str">
        <f>"1417489618"</f>
        <v>1417489618</v>
      </c>
      <c r="C21450" t="str">
        <f>"2084N0400X"</f>
        <v>2084N0400X</v>
      </c>
      <c r="D21450" t="str">
        <f>"CLARK                    DANIEL                   "</f>
        <v xml:space="preserve">CLARK                    DANIEL                   </v>
      </c>
      <c r="E21450" t="str">
        <f t="shared" ref="E21450:E21464" si="504">"CINCINNATI                "</f>
        <v xml:space="preserve">CINCINNATI                </v>
      </c>
      <c r="F21450" t="str">
        <f t="shared" si="503"/>
        <v>OH</v>
      </c>
    </row>
    <row r="21451" spans="1:6" x14ac:dyDescent="0.25">
      <c r="A21451" t="str">
        <f>"200026208"</f>
        <v>200026208</v>
      </c>
      <c r="B21451" t="str">
        <f>"1881824795"</f>
        <v>1881824795</v>
      </c>
      <c r="C21451" t="str">
        <f>"2084N0402X"</f>
        <v>2084N0402X</v>
      </c>
      <c r="D21451" t="str">
        <f>"KREMER                   KELLY                    "</f>
        <v xml:space="preserve">KREMER                   KELLY                    </v>
      </c>
      <c r="E21451" t="str">
        <f t="shared" si="504"/>
        <v xml:space="preserve">CINCINNATI                </v>
      </c>
      <c r="F21451" t="str">
        <f t="shared" si="503"/>
        <v>OH</v>
      </c>
    </row>
    <row r="21452" spans="1:6" x14ac:dyDescent="0.25">
      <c r="A21452" t="str">
        <f>"200026309"</f>
        <v>200026309</v>
      </c>
      <c r="B21452" t="str">
        <f>"1205952306"</f>
        <v>1205952306</v>
      </c>
      <c r="C21452" t="str">
        <f>"2080P0214X"</f>
        <v>2080P0214X</v>
      </c>
      <c r="D21452" t="str">
        <f>"GURBANI                  NEEPA                    "</f>
        <v xml:space="preserve">GURBANI                  NEEPA                    </v>
      </c>
      <c r="E21452" t="str">
        <f t="shared" si="504"/>
        <v xml:space="preserve">CINCINNATI                </v>
      </c>
      <c r="F21452" t="str">
        <f t="shared" si="503"/>
        <v>OH</v>
      </c>
    </row>
    <row r="21453" spans="1:6" x14ac:dyDescent="0.25">
      <c r="A21453" t="str">
        <f>"200026520"</f>
        <v>200026520</v>
      </c>
      <c r="B21453" t="str">
        <f>"1427201755"</f>
        <v>1427201755</v>
      </c>
      <c r="C21453" t="str">
        <f>"207LP3000X"</f>
        <v>207LP3000X</v>
      </c>
      <c r="D21453" t="str">
        <f>"BUCK                     DAVID                    "</f>
        <v xml:space="preserve">BUCK                     DAVID                    </v>
      </c>
      <c r="E21453" t="str">
        <f t="shared" si="504"/>
        <v xml:space="preserve">CINCINNATI                </v>
      </c>
      <c r="F21453" t="str">
        <f t="shared" si="503"/>
        <v>OH</v>
      </c>
    </row>
    <row r="21454" spans="1:6" x14ac:dyDescent="0.25">
      <c r="A21454" t="str">
        <f>"200026822"</f>
        <v>200026822</v>
      </c>
      <c r="B21454" t="str">
        <f>"1104189463"</f>
        <v>1104189463</v>
      </c>
      <c r="C21454" t="str">
        <f>"2084N0402X"</f>
        <v>2084N0402X</v>
      </c>
      <c r="D21454" t="str">
        <f>"LIN                      NAN                      "</f>
        <v xml:space="preserve">LIN                      NAN                      </v>
      </c>
      <c r="E21454" t="str">
        <f t="shared" si="504"/>
        <v xml:space="preserve">CINCINNATI                </v>
      </c>
      <c r="F21454" t="str">
        <f t="shared" si="503"/>
        <v>OH</v>
      </c>
    </row>
    <row r="21455" spans="1:6" x14ac:dyDescent="0.25">
      <c r="A21455" t="str">
        <f>"200026825"</f>
        <v>200026825</v>
      </c>
      <c r="B21455" t="str">
        <f>"1568922565"</f>
        <v>1568922565</v>
      </c>
      <c r="C21455" t="str">
        <f>"208000000X"</f>
        <v>208000000X</v>
      </c>
      <c r="D21455" t="str">
        <f>"ARCHER                   MADISON                  "</f>
        <v xml:space="preserve">ARCHER                   MADISON                  </v>
      </c>
      <c r="E21455" t="str">
        <f t="shared" si="504"/>
        <v xml:space="preserve">CINCINNATI                </v>
      </c>
      <c r="F21455" t="str">
        <f t="shared" si="503"/>
        <v>OH</v>
      </c>
    </row>
    <row r="21456" spans="1:6" x14ac:dyDescent="0.25">
      <c r="A21456" t="str">
        <f>"200027290"</f>
        <v>200027290</v>
      </c>
      <c r="B21456" t="str">
        <f>"1457980252"</f>
        <v>1457980252</v>
      </c>
      <c r="C21456" t="str">
        <f>"207L00000X"</f>
        <v>207L00000X</v>
      </c>
      <c r="D21456" t="str">
        <f>"PHANG-LYN                SIMONE                   "</f>
        <v xml:space="preserve">PHANG-LYN                SIMONE                   </v>
      </c>
      <c r="E21456" t="str">
        <f t="shared" si="504"/>
        <v xml:space="preserve">CINCINNATI                </v>
      </c>
      <c r="F21456" t="str">
        <f t="shared" si="503"/>
        <v>OH</v>
      </c>
    </row>
    <row r="21457" spans="1:6" x14ac:dyDescent="0.25">
      <c r="A21457" t="str">
        <f>"200027763"</f>
        <v>200027763</v>
      </c>
      <c r="B21457" t="str">
        <f>"1447456967"</f>
        <v>1447456967</v>
      </c>
      <c r="C21457" t="str">
        <f>"207LP3000X"</f>
        <v>207LP3000X</v>
      </c>
      <c r="D21457" t="str">
        <f>"PATINO VELEZ             MARIO                    "</f>
        <v xml:space="preserve">PATINO VELEZ             MARIO                    </v>
      </c>
      <c r="E21457" t="str">
        <f t="shared" si="504"/>
        <v xml:space="preserve">CINCINNATI                </v>
      </c>
      <c r="F21457" t="str">
        <f t="shared" si="503"/>
        <v>OH</v>
      </c>
    </row>
    <row r="21458" spans="1:6" x14ac:dyDescent="0.25">
      <c r="A21458" t="str">
        <f>"200027852"</f>
        <v>200027852</v>
      </c>
      <c r="B21458" t="str">
        <f>"1801058391"</f>
        <v>1801058391</v>
      </c>
      <c r="C21458" t="str">
        <f>"207YP0228X"</f>
        <v>207YP0228X</v>
      </c>
      <c r="D21458" t="str">
        <f>"DEMARCANTONIO            MICHAEL                  "</f>
        <v xml:space="preserve">DEMARCANTONIO            MICHAEL                  </v>
      </c>
      <c r="E21458" t="str">
        <f t="shared" si="504"/>
        <v xml:space="preserve">CINCINNATI                </v>
      </c>
      <c r="F21458" t="str">
        <f t="shared" si="503"/>
        <v>OH</v>
      </c>
    </row>
    <row r="21459" spans="1:6" x14ac:dyDescent="0.25">
      <c r="A21459" t="str">
        <f>"200027866"</f>
        <v>200027866</v>
      </c>
      <c r="B21459" t="str">
        <f>"1730314667"</f>
        <v>1730314667</v>
      </c>
      <c r="C21459" t="str">
        <f>"207YP0228X"</f>
        <v>207YP0228X</v>
      </c>
      <c r="D21459" t="str">
        <f>"HEUBI                    CHRISTINE                "</f>
        <v xml:space="preserve">HEUBI                    CHRISTINE                </v>
      </c>
      <c r="E21459" t="str">
        <f t="shared" si="504"/>
        <v xml:space="preserve">CINCINNATI                </v>
      </c>
      <c r="F21459" t="str">
        <f t="shared" si="503"/>
        <v>OH</v>
      </c>
    </row>
    <row r="21460" spans="1:6" x14ac:dyDescent="0.25">
      <c r="A21460" t="str">
        <f>"200027869"</f>
        <v>200027869</v>
      </c>
      <c r="B21460" t="str">
        <f>"1598224537"</f>
        <v>1598224537</v>
      </c>
      <c r="C21460" t="str">
        <f>"208000000X"</f>
        <v>208000000X</v>
      </c>
      <c r="D21460" t="str">
        <f>"PAISLEY                  ANDREW                   "</f>
        <v xml:space="preserve">PAISLEY                  ANDREW                   </v>
      </c>
      <c r="E21460" t="str">
        <f t="shared" si="504"/>
        <v xml:space="preserve">CINCINNATI                </v>
      </c>
      <c r="F21460" t="str">
        <f t="shared" si="503"/>
        <v>OH</v>
      </c>
    </row>
    <row r="21461" spans="1:6" x14ac:dyDescent="0.25">
      <c r="A21461" t="str">
        <f>"200028024"</f>
        <v>200028024</v>
      </c>
      <c r="B21461" t="str">
        <f>"1780642157"</f>
        <v>1780642157</v>
      </c>
      <c r="C21461" t="str">
        <f>"207LP3000X"</f>
        <v>207LP3000X</v>
      </c>
      <c r="D21461" t="str">
        <f>"SOLER                    XIMENA                   "</f>
        <v xml:space="preserve">SOLER                    XIMENA                   </v>
      </c>
      <c r="E21461" t="str">
        <f t="shared" si="504"/>
        <v xml:space="preserve">CINCINNATI                </v>
      </c>
      <c r="F21461" t="str">
        <f t="shared" si="503"/>
        <v>OH</v>
      </c>
    </row>
    <row r="21462" spans="1:6" x14ac:dyDescent="0.25">
      <c r="A21462" t="str">
        <f>"200028178"</f>
        <v>200028178</v>
      </c>
      <c r="B21462" t="str">
        <f>"1487684809"</f>
        <v>1487684809</v>
      </c>
      <c r="C21462" t="str">
        <f>"2080P0206X"</f>
        <v>2080P0206X</v>
      </c>
      <c r="D21462" t="str">
        <f>"PUTNAM                   PHILIP                   "</f>
        <v xml:space="preserve">PUTNAM                   PHILIP                   </v>
      </c>
      <c r="E21462" t="str">
        <f t="shared" si="504"/>
        <v xml:space="preserve">CINCINNATI                </v>
      </c>
      <c r="F21462" t="str">
        <f t="shared" si="503"/>
        <v>OH</v>
      </c>
    </row>
    <row r="21463" spans="1:6" x14ac:dyDescent="0.25">
      <c r="A21463" t="str">
        <f>"200028617"</f>
        <v>200028617</v>
      </c>
      <c r="B21463" t="str">
        <f>"1659758142"</f>
        <v>1659758142</v>
      </c>
      <c r="C21463" t="str">
        <f>"207YP0228X"</f>
        <v>207YP0228X</v>
      </c>
      <c r="D21463" t="str">
        <f>"LI                       CAROL                    "</f>
        <v xml:space="preserve">LI                       CAROL                    </v>
      </c>
      <c r="E21463" t="str">
        <f t="shared" si="504"/>
        <v xml:space="preserve">CINCINNATI                </v>
      </c>
      <c r="F21463" t="str">
        <f t="shared" si="503"/>
        <v>OH</v>
      </c>
    </row>
    <row r="21464" spans="1:6" x14ac:dyDescent="0.25">
      <c r="A21464" t="str">
        <f>"200028769"</f>
        <v>200028769</v>
      </c>
      <c r="B21464" t="str">
        <f>"1336148865"</f>
        <v>1336148865</v>
      </c>
      <c r="C21464" t="str">
        <f>"208000000X"</f>
        <v>208000000X</v>
      </c>
      <c r="D21464" t="str">
        <f>"BOLSER                   BENJAMIN                 "</f>
        <v xml:space="preserve">BOLSER                   BENJAMIN                 </v>
      </c>
      <c r="E21464" t="str">
        <f t="shared" si="504"/>
        <v xml:space="preserve">CINCINNATI                </v>
      </c>
      <c r="F21464" t="str">
        <f t="shared" si="503"/>
        <v>OH</v>
      </c>
    </row>
    <row r="21465" spans="1:6" x14ac:dyDescent="0.25">
      <c r="A21465" t="str">
        <f>"200023881"</f>
        <v>200023881</v>
      </c>
      <c r="B21465" t="str">
        <f>"1790788628"</f>
        <v>1790788628</v>
      </c>
      <c r="C21465" t="str">
        <f>"2085R0202X"</f>
        <v>2085R0202X</v>
      </c>
      <c r="D21465" t="str">
        <f>"HAMILTON                 MURRAY                   "</f>
        <v xml:space="preserve">HAMILTON                 MURRAY                   </v>
      </c>
      <c r="E21465" t="str">
        <f>"EDMOND                    "</f>
        <v xml:space="preserve">EDMOND                    </v>
      </c>
      <c r="F21465" t="str">
        <f>"OK"</f>
        <v>OK</v>
      </c>
    </row>
    <row r="21466" spans="1:6" x14ac:dyDescent="0.25">
      <c r="A21466" t="str">
        <f>"008276294"</f>
        <v>008276294</v>
      </c>
      <c r="B21466" t="str">
        <f>"1578677647"</f>
        <v>1578677647</v>
      </c>
      <c r="C21466" t="str">
        <f>"2085R0202X"</f>
        <v>2085R0202X</v>
      </c>
      <c r="D21466" t="str">
        <f>"BRONSTEIN                YULIA                    "</f>
        <v xml:space="preserve">BRONSTEIN                YULIA                    </v>
      </c>
      <c r="E21466" t="str">
        <f>"EUGENE                    "</f>
        <v xml:space="preserve">EUGENE                    </v>
      </c>
      <c r="F21466" t="str">
        <f>"OR"</f>
        <v>OR</v>
      </c>
    </row>
    <row r="21467" spans="1:6" x14ac:dyDescent="0.25">
      <c r="A21467" t="str">
        <f>"200026233"</f>
        <v>200026233</v>
      </c>
      <c r="B21467" t="str">
        <f>"1427077874"</f>
        <v>1427077874</v>
      </c>
      <c r="C21467" t="str">
        <f>"2085R0202X"</f>
        <v>2085R0202X</v>
      </c>
      <c r="D21467" t="str">
        <f>"FOSTER                   MARTIN                   "</f>
        <v xml:space="preserve">FOSTER                   MARTIN                   </v>
      </c>
      <c r="E21467" t="str">
        <f>"HOOD RIVER                "</f>
        <v xml:space="preserve">HOOD RIVER                </v>
      </c>
      <c r="F21467" t="str">
        <f>"OR"</f>
        <v>OR</v>
      </c>
    </row>
    <row r="21468" spans="1:6" x14ac:dyDescent="0.25">
      <c r="A21468" t="str">
        <f>"001200259"</f>
        <v>001200259</v>
      </c>
      <c r="B21468" t="str">
        <f>"1578537775"</f>
        <v>1578537775</v>
      </c>
      <c r="C21468" t="str">
        <f>"207X00000X"</f>
        <v>207X00000X</v>
      </c>
      <c r="D21468" t="str">
        <f>"KOZIN                    SCOTT        H           "</f>
        <v xml:space="preserve">KOZIN                    SCOTT        H           </v>
      </c>
      <c r="E21468" t="str">
        <f t="shared" ref="E21468:E21498" si="505">"PHILADELPHIA              "</f>
        <v xml:space="preserve">PHILADELPHIA              </v>
      </c>
      <c r="F21468" t="str">
        <f t="shared" ref="F21468:F21499" si="506">"PA"</f>
        <v>PA</v>
      </c>
    </row>
    <row r="21469" spans="1:6" x14ac:dyDescent="0.25">
      <c r="A21469" t="str">
        <f>"200017905"</f>
        <v>200017905</v>
      </c>
      <c r="B21469" t="str">
        <f>"1992185888"</f>
        <v>1992185888</v>
      </c>
      <c r="C21469" t="str">
        <f>"207SG0201X"</f>
        <v>207SG0201X</v>
      </c>
      <c r="D21469" t="str">
        <f>"SHEPPARD                 SARAH                    "</f>
        <v xml:space="preserve">SHEPPARD                 SARAH                    </v>
      </c>
      <c r="E21469" t="str">
        <f t="shared" si="505"/>
        <v xml:space="preserve">PHILADELPHIA              </v>
      </c>
      <c r="F21469" t="str">
        <f t="shared" si="506"/>
        <v>PA</v>
      </c>
    </row>
    <row r="21470" spans="1:6" x14ac:dyDescent="0.25">
      <c r="A21470" t="str">
        <f>"200021999"</f>
        <v>200021999</v>
      </c>
      <c r="B21470" t="str">
        <f>"1083892376"</f>
        <v>1083892376</v>
      </c>
      <c r="C21470" t="str">
        <f>"207VM0101X"</f>
        <v>207VM0101X</v>
      </c>
      <c r="D21470" t="str">
        <f>"GEBB                     JULIANA                  "</f>
        <v xml:space="preserve">GEBB                     JULIANA                  </v>
      </c>
      <c r="E21470" t="str">
        <f t="shared" si="505"/>
        <v xml:space="preserve">PHILADELPHIA              </v>
      </c>
      <c r="F21470" t="str">
        <f t="shared" si="506"/>
        <v>PA</v>
      </c>
    </row>
    <row r="21471" spans="1:6" x14ac:dyDescent="0.25">
      <c r="A21471" t="str">
        <f>"200025158"</f>
        <v>200025158</v>
      </c>
      <c r="B21471" t="str">
        <f>"1376864470"</f>
        <v>1376864470</v>
      </c>
      <c r="C21471" t="str">
        <f>"2084N0400X"</f>
        <v>2084N0400X</v>
      </c>
      <c r="D21471" t="str">
        <f>"MCDONNELL                PAMELA                   "</f>
        <v xml:space="preserve">MCDONNELL                PAMELA                   </v>
      </c>
      <c r="E21471" t="str">
        <f t="shared" si="505"/>
        <v xml:space="preserve">PHILADELPHIA              </v>
      </c>
      <c r="F21471" t="str">
        <f t="shared" si="506"/>
        <v>PA</v>
      </c>
    </row>
    <row r="21472" spans="1:6" x14ac:dyDescent="0.25">
      <c r="A21472" t="str">
        <f>"200025621"</f>
        <v>200025621</v>
      </c>
      <c r="B21472" t="str">
        <f>"1477687721"</f>
        <v>1477687721</v>
      </c>
      <c r="C21472" t="str">
        <f>"2085P0229X"</f>
        <v>2085P0229X</v>
      </c>
      <c r="D21472" t="str">
        <f>"KHWAJA                   ASEF         B           "</f>
        <v xml:space="preserve">KHWAJA                   ASEF         B           </v>
      </c>
      <c r="E21472" t="str">
        <f t="shared" si="505"/>
        <v xml:space="preserve">PHILADELPHIA              </v>
      </c>
      <c r="F21472" t="str">
        <f t="shared" si="506"/>
        <v>PA</v>
      </c>
    </row>
    <row r="21473" spans="1:6" x14ac:dyDescent="0.25">
      <c r="A21473" t="str">
        <f>"200025622"</f>
        <v>200025622</v>
      </c>
      <c r="B21473" t="str">
        <f>"1578925392"</f>
        <v>1578925392</v>
      </c>
      <c r="C21473" t="str">
        <f>"2080P0206X"</f>
        <v>2080P0206X</v>
      </c>
      <c r="D21473" t="str">
        <f>"BOYER                    BROOKE       E           "</f>
        <v xml:space="preserve">BOYER                    BROOKE       E           </v>
      </c>
      <c r="E21473" t="str">
        <f t="shared" si="505"/>
        <v xml:space="preserve">PHILADELPHIA              </v>
      </c>
      <c r="F21473" t="str">
        <f t="shared" si="506"/>
        <v>PA</v>
      </c>
    </row>
    <row r="21474" spans="1:6" x14ac:dyDescent="0.25">
      <c r="A21474" t="str">
        <f>"200025672"</f>
        <v>200025672</v>
      </c>
      <c r="B21474" t="str">
        <f>"1750473591"</f>
        <v>1750473591</v>
      </c>
      <c r="C21474" t="str">
        <f>"2085P0229X"</f>
        <v>2085P0229X</v>
      </c>
      <c r="D21474" t="str">
        <f>"STATES                   LISA         J           "</f>
        <v xml:space="preserve">STATES                   LISA         J           </v>
      </c>
      <c r="E21474" t="str">
        <f t="shared" si="505"/>
        <v xml:space="preserve">PHILADELPHIA              </v>
      </c>
      <c r="F21474" t="str">
        <f t="shared" si="506"/>
        <v>PA</v>
      </c>
    </row>
    <row r="21475" spans="1:6" x14ac:dyDescent="0.25">
      <c r="A21475" t="str">
        <f>"200025744"</f>
        <v>200025744</v>
      </c>
      <c r="B21475" t="str">
        <f>"1831470137"</f>
        <v>1831470137</v>
      </c>
      <c r="C21475" t="str">
        <f>"2080P0206X"</f>
        <v>2080P0206X</v>
      </c>
      <c r="D21475" t="str">
        <f>"PAI                      NIKHIL                   "</f>
        <v xml:space="preserve">PAI                      NIKHIL                   </v>
      </c>
      <c r="E21475" t="str">
        <f t="shared" si="505"/>
        <v xml:space="preserve">PHILADELPHIA              </v>
      </c>
      <c r="F21475" t="str">
        <f t="shared" si="506"/>
        <v>PA</v>
      </c>
    </row>
    <row r="21476" spans="1:6" x14ac:dyDescent="0.25">
      <c r="A21476" t="str">
        <f>"200025751"</f>
        <v>200025751</v>
      </c>
      <c r="B21476" t="str">
        <f>"          "</f>
        <v xml:space="preserve">          </v>
      </c>
      <c r="C21476" t="str">
        <f>"2085P0229X"</f>
        <v>2085P0229X</v>
      </c>
      <c r="D21476" t="str">
        <f>"OTERO                    HANSEL       J           "</f>
        <v xml:space="preserve">OTERO                    HANSEL       J           </v>
      </c>
      <c r="E21476" t="str">
        <f t="shared" si="505"/>
        <v xml:space="preserve">PHILADELPHIA              </v>
      </c>
      <c r="F21476" t="str">
        <f t="shared" si="506"/>
        <v>PA</v>
      </c>
    </row>
    <row r="21477" spans="1:6" x14ac:dyDescent="0.25">
      <c r="A21477" t="str">
        <f>"200025809"</f>
        <v>200025809</v>
      </c>
      <c r="B21477" t="str">
        <f>"1992829766"</f>
        <v>1992829766</v>
      </c>
      <c r="C21477" t="str">
        <f>"2080P0203X"</f>
        <v>2080P0203X</v>
      </c>
      <c r="D21477" t="str">
        <f>"NISHISAKI                AKIRA                    "</f>
        <v xml:space="preserve">NISHISAKI                AKIRA                    </v>
      </c>
      <c r="E21477" t="str">
        <f t="shared" si="505"/>
        <v xml:space="preserve">PHILADELPHIA              </v>
      </c>
      <c r="F21477" t="str">
        <f t="shared" si="506"/>
        <v>PA</v>
      </c>
    </row>
    <row r="21478" spans="1:6" x14ac:dyDescent="0.25">
      <c r="A21478" t="str">
        <f>"200025834"</f>
        <v>200025834</v>
      </c>
      <c r="B21478" t="str">
        <f>"1245491968"</f>
        <v>1245491968</v>
      </c>
      <c r="C21478" t="str">
        <f>"2085P0229X"</f>
        <v>2085P0229X</v>
      </c>
      <c r="D21478" t="str">
        <f>"KAPLAN                   SUMMER       L           "</f>
        <v xml:space="preserve">KAPLAN                   SUMMER       L           </v>
      </c>
      <c r="E21478" t="str">
        <f t="shared" si="505"/>
        <v xml:space="preserve">PHILADELPHIA              </v>
      </c>
      <c r="F21478" t="str">
        <f t="shared" si="506"/>
        <v>PA</v>
      </c>
    </row>
    <row r="21479" spans="1:6" x14ac:dyDescent="0.25">
      <c r="A21479" t="str">
        <f>"200025973"</f>
        <v>200025973</v>
      </c>
      <c r="B21479" t="str">
        <f>"1114978681"</f>
        <v>1114978681</v>
      </c>
      <c r="C21479" t="str">
        <f>"2085P0229X"</f>
        <v>2085P0229X</v>
      </c>
      <c r="D21479" t="str">
        <f>"JOHNSON                  ANN          M           "</f>
        <v xml:space="preserve">JOHNSON                  ANN          M           </v>
      </c>
      <c r="E21479" t="str">
        <f t="shared" si="505"/>
        <v xml:space="preserve">PHILADELPHIA              </v>
      </c>
      <c r="F21479" t="str">
        <f t="shared" si="506"/>
        <v>PA</v>
      </c>
    </row>
    <row r="21480" spans="1:6" x14ac:dyDescent="0.25">
      <c r="A21480" t="str">
        <f>"200026040"</f>
        <v>200026040</v>
      </c>
      <c r="B21480" t="str">
        <f>"1265448435"</f>
        <v>1265448435</v>
      </c>
      <c r="C21480" t="str">
        <f>"2080P0206X"</f>
        <v>2080P0206X</v>
      </c>
      <c r="D21480" t="str">
        <f>"SEMEAO                   EDISIO       J           "</f>
        <v xml:space="preserve">SEMEAO                   EDISIO       J           </v>
      </c>
      <c r="E21480" t="str">
        <f t="shared" si="505"/>
        <v xml:space="preserve">PHILADELPHIA              </v>
      </c>
      <c r="F21480" t="str">
        <f t="shared" si="506"/>
        <v>PA</v>
      </c>
    </row>
    <row r="21481" spans="1:6" x14ac:dyDescent="0.25">
      <c r="A21481" t="str">
        <f>"200026045"</f>
        <v>200026045</v>
      </c>
      <c r="B21481" t="str">
        <f>"1265598684"</f>
        <v>1265598684</v>
      </c>
      <c r="C21481" t="str">
        <f>"2085R0202X"</f>
        <v>2085R0202X</v>
      </c>
      <c r="D21481" t="str">
        <f>"HO FUNG                  VICTOR       M           "</f>
        <v xml:space="preserve">HO FUNG                  VICTOR       M           </v>
      </c>
      <c r="E21481" t="str">
        <f t="shared" si="505"/>
        <v xml:space="preserve">PHILADELPHIA              </v>
      </c>
      <c r="F21481" t="str">
        <f t="shared" si="506"/>
        <v>PA</v>
      </c>
    </row>
    <row r="21482" spans="1:6" x14ac:dyDescent="0.25">
      <c r="A21482" t="str">
        <f>"200026067"</f>
        <v>200026067</v>
      </c>
      <c r="B21482" t="str">
        <f>"1831622349"</f>
        <v>1831622349</v>
      </c>
      <c r="C21482" t="str">
        <f>"2085P0229X"</f>
        <v>2085P0229X</v>
      </c>
      <c r="D21482" t="str">
        <f>"MOATS                    AUSTIN       B           "</f>
        <v xml:space="preserve">MOATS                    AUSTIN       B           </v>
      </c>
      <c r="E21482" t="str">
        <f t="shared" si="505"/>
        <v xml:space="preserve">PHILADELPHIA              </v>
      </c>
      <c r="F21482" t="str">
        <f t="shared" si="506"/>
        <v>PA</v>
      </c>
    </row>
    <row r="21483" spans="1:6" x14ac:dyDescent="0.25">
      <c r="A21483" t="str">
        <f>"200026085"</f>
        <v>200026085</v>
      </c>
      <c r="B21483" t="str">
        <f>"1144786088"</f>
        <v>1144786088</v>
      </c>
      <c r="C21483" t="str">
        <f>"2085P0229X"</f>
        <v>2085P0229X</v>
      </c>
      <c r="D21483" t="str">
        <f>"CHAUHAN                  ANKITA                   "</f>
        <v xml:space="preserve">CHAUHAN                  ANKITA                   </v>
      </c>
      <c r="E21483" t="str">
        <f t="shared" si="505"/>
        <v xml:space="preserve">PHILADELPHIA              </v>
      </c>
      <c r="F21483" t="str">
        <f t="shared" si="506"/>
        <v>PA</v>
      </c>
    </row>
    <row r="21484" spans="1:6" x14ac:dyDescent="0.25">
      <c r="A21484" t="str">
        <f>"200026123"</f>
        <v>200026123</v>
      </c>
      <c r="B21484" t="str">
        <f>"1780022582"</f>
        <v>1780022582</v>
      </c>
      <c r="C21484" t="str">
        <f>"2085R0202X"</f>
        <v>2085R0202X</v>
      </c>
      <c r="D21484" t="str">
        <f>"MOREIRA VIDAL            LORENNA      L           "</f>
        <v xml:space="preserve">MOREIRA VIDAL            LORENNA      L           </v>
      </c>
      <c r="E21484" t="str">
        <f t="shared" si="505"/>
        <v xml:space="preserve">PHILADELPHIA              </v>
      </c>
      <c r="F21484" t="str">
        <f t="shared" si="506"/>
        <v>PA</v>
      </c>
    </row>
    <row r="21485" spans="1:6" x14ac:dyDescent="0.25">
      <c r="A21485" t="str">
        <f>"200026315"</f>
        <v>200026315</v>
      </c>
      <c r="B21485" t="str">
        <f>"1780608299"</f>
        <v>1780608299</v>
      </c>
      <c r="C21485" t="str">
        <f>"2080P0206X"</f>
        <v>2080P0206X</v>
      </c>
      <c r="D21485" t="str">
        <f>"MASCARENHAS              MARIA        R           "</f>
        <v xml:space="preserve">MASCARENHAS              MARIA        R           </v>
      </c>
      <c r="E21485" t="str">
        <f t="shared" si="505"/>
        <v xml:space="preserve">PHILADELPHIA              </v>
      </c>
      <c r="F21485" t="str">
        <f t="shared" si="506"/>
        <v>PA</v>
      </c>
    </row>
    <row r="21486" spans="1:6" x14ac:dyDescent="0.25">
      <c r="A21486" t="str">
        <f>"200026329"</f>
        <v>200026329</v>
      </c>
      <c r="B21486" t="str">
        <f>"1861996480"</f>
        <v>1861996480</v>
      </c>
      <c r="C21486" t="str">
        <f>"207RG0100X"</f>
        <v>207RG0100X</v>
      </c>
      <c r="D21486" t="str">
        <f>"COE                      ALEXANDER                "</f>
        <v xml:space="preserve">COE                      ALEXANDER                </v>
      </c>
      <c r="E21486" t="str">
        <f t="shared" si="505"/>
        <v xml:space="preserve">PHILADELPHIA              </v>
      </c>
      <c r="F21486" t="str">
        <f t="shared" si="506"/>
        <v>PA</v>
      </c>
    </row>
    <row r="21487" spans="1:6" x14ac:dyDescent="0.25">
      <c r="A21487" t="str">
        <f>"200026332"</f>
        <v>200026332</v>
      </c>
      <c r="B21487" t="str">
        <f>"1639586803"</f>
        <v>1639586803</v>
      </c>
      <c r="C21487" t="str">
        <f>"2085R0202X"</f>
        <v>2085R0202X</v>
      </c>
      <c r="D21487" t="str">
        <f>"GENDLER                  LIYA                     "</f>
        <v xml:space="preserve">GENDLER                  LIYA                     </v>
      </c>
      <c r="E21487" t="str">
        <f t="shared" si="505"/>
        <v xml:space="preserve">PHILADELPHIA              </v>
      </c>
      <c r="F21487" t="str">
        <f t="shared" si="506"/>
        <v>PA</v>
      </c>
    </row>
    <row r="21488" spans="1:6" x14ac:dyDescent="0.25">
      <c r="A21488" t="str">
        <f>"200026337"</f>
        <v>200026337</v>
      </c>
      <c r="B21488" t="str">
        <f>"1366975930"</f>
        <v>1366975930</v>
      </c>
      <c r="C21488" t="str">
        <f>"2080P0206X"</f>
        <v>2080P0206X</v>
      </c>
      <c r="D21488" t="str">
        <f>"BASHIR                   ANAM                     "</f>
        <v xml:space="preserve">BASHIR                   ANAM                     </v>
      </c>
      <c r="E21488" t="str">
        <f t="shared" si="505"/>
        <v xml:space="preserve">PHILADELPHIA              </v>
      </c>
      <c r="F21488" t="str">
        <f t="shared" si="506"/>
        <v>PA</v>
      </c>
    </row>
    <row r="21489" spans="1:6" x14ac:dyDescent="0.25">
      <c r="A21489" t="str">
        <f>"200026372"</f>
        <v>200026372</v>
      </c>
      <c r="B21489" t="str">
        <f>"1730347584"</f>
        <v>1730347584</v>
      </c>
      <c r="C21489" t="str">
        <f>"2080P0208X"</f>
        <v>2080P0208X</v>
      </c>
      <c r="D21489" t="str">
        <f>"FISHER                   BRIAN        T           "</f>
        <v xml:space="preserve">FISHER                   BRIAN        T           </v>
      </c>
      <c r="E21489" t="str">
        <f t="shared" si="505"/>
        <v xml:space="preserve">PHILADELPHIA              </v>
      </c>
      <c r="F21489" t="str">
        <f t="shared" si="506"/>
        <v>PA</v>
      </c>
    </row>
    <row r="21490" spans="1:6" x14ac:dyDescent="0.25">
      <c r="A21490" t="str">
        <f>"200026379"</f>
        <v>200026379</v>
      </c>
      <c r="B21490" t="str">
        <f>"1841447695"</f>
        <v>1841447695</v>
      </c>
      <c r="C21490" t="str">
        <f>"208800000X"</f>
        <v>208800000X</v>
      </c>
      <c r="D21490" t="str">
        <f>"LONG                     CHRISTOPHER  J           "</f>
        <v xml:space="preserve">LONG                     CHRISTOPHER  J           </v>
      </c>
      <c r="E21490" t="str">
        <f t="shared" si="505"/>
        <v xml:space="preserve">PHILADELPHIA              </v>
      </c>
      <c r="F21490" t="str">
        <f t="shared" si="506"/>
        <v>PA</v>
      </c>
    </row>
    <row r="21491" spans="1:6" x14ac:dyDescent="0.25">
      <c r="A21491" t="str">
        <f>"200026425"</f>
        <v>200026425</v>
      </c>
      <c r="B21491" t="str">
        <f>"1831106863"</f>
        <v>1831106863</v>
      </c>
      <c r="C21491" t="str">
        <f>"2080P0216X"</f>
        <v>2080P0216X</v>
      </c>
      <c r="D21491" t="str">
        <f>"SULLIVAN                 KATHLEEN                 "</f>
        <v xml:space="preserve">SULLIVAN                 KATHLEEN                 </v>
      </c>
      <c r="E21491" t="str">
        <f t="shared" si="505"/>
        <v xml:space="preserve">PHILADELPHIA              </v>
      </c>
      <c r="F21491" t="str">
        <f t="shared" si="506"/>
        <v>PA</v>
      </c>
    </row>
    <row r="21492" spans="1:6" x14ac:dyDescent="0.25">
      <c r="A21492" t="str">
        <f>"200026803"</f>
        <v>200026803</v>
      </c>
      <c r="B21492" t="str">
        <f>"1528004728"</f>
        <v>1528004728</v>
      </c>
      <c r="C21492" t="str">
        <f>"2085P0229X"</f>
        <v>2085P0229X</v>
      </c>
      <c r="D21492" t="str">
        <f>"RIEDESEL                 ERICA        L           "</f>
        <v xml:space="preserve">RIEDESEL                 ERICA        L           </v>
      </c>
      <c r="E21492" t="str">
        <f t="shared" si="505"/>
        <v xml:space="preserve">PHILADELPHIA              </v>
      </c>
      <c r="F21492" t="str">
        <f t="shared" si="506"/>
        <v>PA</v>
      </c>
    </row>
    <row r="21493" spans="1:6" x14ac:dyDescent="0.25">
      <c r="A21493" t="str">
        <f>"200026821"</f>
        <v>200026821</v>
      </c>
      <c r="B21493" t="str">
        <f>"1255354627"</f>
        <v>1255354627</v>
      </c>
      <c r="C21493" t="str">
        <f>"2080P0206X"</f>
        <v>2080P0206X</v>
      </c>
      <c r="D21493" t="str">
        <f>"MAQBOOL                  ASIM                     "</f>
        <v xml:space="preserve">MAQBOOL                  ASIM                     </v>
      </c>
      <c r="E21493" t="str">
        <f t="shared" si="505"/>
        <v xml:space="preserve">PHILADELPHIA              </v>
      </c>
      <c r="F21493" t="str">
        <f t="shared" si="506"/>
        <v>PA</v>
      </c>
    </row>
    <row r="21494" spans="1:6" x14ac:dyDescent="0.25">
      <c r="A21494" t="str">
        <f>"200026924"</f>
        <v>200026924</v>
      </c>
      <c r="B21494" t="str">
        <f>"1861403073"</f>
        <v>1861403073</v>
      </c>
      <c r="C21494" t="str">
        <f>"2080P0203X"</f>
        <v>2080P0203X</v>
      </c>
      <c r="D21494" t="str">
        <f>"DAVIS                    DANIELA      H           "</f>
        <v xml:space="preserve">DAVIS                    DANIELA      H           </v>
      </c>
      <c r="E21494" t="str">
        <f t="shared" si="505"/>
        <v xml:space="preserve">PHILADELPHIA              </v>
      </c>
      <c r="F21494" t="str">
        <f t="shared" si="506"/>
        <v>PA</v>
      </c>
    </row>
    <row r="21495" spans="1:6" x14ac:dyDescent="0.25">
      <c r="A21495" t="str">
        <f>"200026943"</f>
        <v>200026943</v>
      </c>
      <c r="B21495" t="str">
        <f>"1134625155"</f>
        <v>1134625155</v>
      </c>
      <c r="C21495" t="str">
        <f>"2080P0206X"</f>
        <v>2080P0206X</v>
      </c>
      <c r="D21495" t="str">
        <f>"BACCARELLA               ALYSSA       M           "</f>
        <v xml:space="preserve">BACCARELLA               ALYSSA       M           </v>
      </c>
      <c r="E21495" t="str">
        <f t="shared" si="505"/>
        <v xml:space="preserve">PHILADELPHIA              </v>
      </c>
      <c r="F21495" t="str">
        <f t="shared" si="506"/>
        <v>PA</v>
      </c>
    </row>
    <row r="21496" spans="1:6" x14ac:dyDescent="0.25">
      <c r="A21496" t="str">
        <f>"200026957"</f>
        <v>200026957</v>
      </c>
      <c r="B21496" t="str">
        <f>"1700895612"</f>
        <v>1700895612</v>
      </c>
      <c r="C21496" t="str">
        <f>"2080P0206X"</f>
        <v>2080P0206X</v>
      </c>
      <c r="D21496" t="str">
        <f>"MAMULA                   PETAR                    "</f>
        <v xml:space="preserve">MAMULA                   PETAR                    </v>
      </c>
      <c r="E21496" t="str">
        <f t="shared" si="505"/>
        <v xml:space="preserve">PHILADELPHIA              </v>
      </c>
      <c r="F21496" t="str">
        <f t="shared" si="506"/>
        <v>PA</v>
      </c>
    </row>
    <row r="21497" spans="1:6" x14ac:dyDescent="0.25">
      <c r="A21497" t="str">
        <f>"200028040"</f>
        <v>200028040</v>
      </c>
      <c r="B21497" t="str">
        <f>"1205254398"</f>
        <v>1205254398</v>
      </c>
      <c r="C21497" t="str">
        <f>"207LP3000X"</f>
        <v>207LP3000X</v>
      </c>
      <c r="D21497" t="str">
        <f>"DOSHI                    ANUSHREE     K           "</f>
        <v xml:space="preserve">DOSHI                    ANUSHREE     K           </v>
      </c>
      <c r="E21497" t="str">
        <f t="shared" si="505"/>
        <v xml:space="preserve">PHILADELPHIA              </v>
      </c>
      <c r="F21497" t="str">
        <f t="shared" si="506"/>
        <v>PA</v>
      </c>
    </row>
    <row r="21498" spans="1:6" x14ac:dyDescent="0.25">
      <c r="A21498" t="str">
        <f>"200028863"</f>
        <v>200028863</v>
      </c>
      <c r="B21498" t="str">
        <f>"1376534651"</f>
        <v>1376534651</v>
      </c>
      <c r="C21498" t="str">
        <f>"2085P0229X"</f>
        <v>2085P0229X</v>
      </c>
      <c r="D21498" t="str">
        <f>"ANUPINDI                 SUDHA        A           "</f>
        <v xml:space="preserve">ANUPINDI                 SUDHA        A           </v>
      </c>
      <c r="E21498" t="str">
        <f t="shared" si="505"/>
        <v xml:space="preserve">PHILADELPHIA              </v>
      </c>
      <c r="F21498" t="str">
        <f t="shared" si="506"/>
        <v>PA</v>
      </c>
    </row>
    <row r="21499" spans="1:6" x14ac:dyDescent="0.25">
      <c r="A21499" t="str">
        <f>"200029119"</f>
        <v>200029119</v>
      </c>
      <c r="B21499" t="str">
        <f>"1205837895"</f>
        <v>1205837895</v>
      </c>
      <c r="C21499" t="str">
        <f>"2085R0202X"</f>
        <v>2085R0202X</v>
      </c>
      <c r="D21499" t="str">
        <f>"HARE                     JEFFREY                  "</f>
        <v xml:space="preserve">HARE                     JEFFREY                  </v>
      </c>
      <c r="E21499" t="str">
        <f>"NEWTOWN SQUARE            "</f>
        <v xml:space="preserve">NEWTOWN SQUARE            </v>
      </c>
      <c r="F21499" t="str">
        <f t="shared" si="506"/>
        <v>PA</v>
      </c>
    </row>
    <row r="21500" spans="1:6" x14ac:dyDescent="0.25">
      <c r="A21500" t="str">
        <f>"200008552"</f>
        <v>200008552</v>
      </c>
      <c r="B21500" t="str">
        <f>"1376780866"</f>
        <v>1376780866</v>
      </c>
      <c r="C21500" t="str">
        <f>"2085R0202X"</f>
        <v>2085R0202X</v>
      </c>
      <c r="D21500" t="str">
        <f>"LEMESHKO                 SERGY        V           "</f>
        <v xml:space="preserve">LEMESHKO                 SERGY        V           </v>
      </c>
      <c r="E21500" t="str">
        <f>"CAROLINA                  "</f>
        <v xml:space="preserve">CAROLINA                  </v>
      </c>
      <c r="F21500" t="str">
        <f>"PR"</f>
        <v>PR</v>
      </c>
    </row>
    <row r="21501" spans="1:6" x14ac:dyDescent="0.25">
      <c r="A21501" t="str">
        <f>"200027358"</f>
        <v>200027358</v>
      </c>
      <c r="B21501" t="str">
        <f>"1942693387"</f>
        <v>1942693387</v>
      </c>
      <c r="C21501" t="str">
        <f>"363LA2200X"</f>
        <v>363LA2200X</v>
      </c>
      <c r="D21501" t="str">
        <f>"SHARKEY                  DEVON                    "</f>
        <v xml:space="preserve">SHARKEY                  DEVON                    </v>
      </c>
      <c r="E21501" t="str">
        <f>"GREENVILLE                "</f>
        <v xml:space="preserve">GREENVILLE                </v>
      </c>
      <c r="F21501" t="str">
        <f>"SC"</f>
        <v>SC</v>
      </c>
    </row>
    <row r="21502" spans="1:6" x14ac:dyDescent="0.25">
      <c r="A21502" t="str">
        <f>"000005302"</f>
        <v>000005302</v>
      </c>
      <c r="B21502" t="str">
        <f>"1225418668"</f>
        <v>1225418668</v>
      </c>
      <c r="C21502" t="str">
        <f>"208600000X"</f>
        <v>208600000X</v>
      </c>
      <c r="D21502" t="str">
        <f>"DELOZIER                 OLIVIA       M           "</f>
        <v xml:space="preserve">DELOZIER                 OLIVIA       M           </v>
      </c>
      <c r="E21502" t="str">
        <f>"MEMPHIS                   "</f>
        <v xml:space="preserve">MEMPHIS                   </v>
      </c>
      <c r="F21502" t="str">
        <f t="shared" ref="F21502:F21565" si="507">"TN"</f>
        <v>TN</v>
      </c>
    </row>
    <row r="21503" spans="1:6" x14ac:dyDescent="0.25">
      <c r="A21503" t="str">
        <f>"000008855"</f>
        <v>000008855</v>
      </c>
      <c r="B21503" t="str">
        <f>"1730318718"</f>
        <v>1730318718</v>
      </c>
      <c r="C21503" t="str">
        <f>"207ZP0102X"</f>
        <v>207ZP0102X</v>
      </c>
      <c r="D21503" t="str">
        <f>"TORGBE                   KWAME        E           "</f>
        <v xml:space="preserve">TORGBE                   KWAME        E           </v>
      </c>
      <c r="E21503" t="str">
        <f>"MEMPHIS                   "</f>
        <v xml:space="preserve">MEMPHIS                   </v>
      </c>
      <c r="F21503" t="str">
        <f t="shared" si="507"/>
        <v>TN</v>
      </c>
    </row>
    <row r="21504" spans="1:6" x14ac:dyDescent="0.25">
      <c r="A21504" t="str">
        <f>"000010156"</f>
        <v>000010156</v>
      </c>
      <c r="B21504" t="str">
        <f>"1063497642"</f>
        <v>1063497642</v>
      </c>
      <c r="C21504" t="str">
        <f>"207RG0100X"</f>
        <v>207RG0100X</v>
      </c>
      <c r="D21504" t="str">
        <f>"TAYLOR                   WILLIAM      Z           "</f>
        <v xml:space="preserve">TAYLOR                   WILLIAM      Z           </v>
      </c>
      <c r="E21504" t="str">
        <f>"GERMANTOWN                "</f>
        <v xml:space="preserve">GERMANTOWN                </v>
      </c>
      <c r="F21504" t="str">
        <f t="shared" si="507"/>
        <v>TN</v>
      </c>
    </row>
    <row r="21505" spans="1:6" x14ac:dyDescent="0.25">
      <c r="A21505" t="str">
        <f>"000010307"</f>
        <v>000010307</v>
      </c>
      <c r="B21505" t="str">
        <f>"1982661088"</f>
        <v>1982661088</v>
      </c>
      <c r="C21505" t="str">
        <f>"208800000X"</f>
        <v>208800000X</v>
      </c>
      <c r="D21505" t="str">
        <f>"WAKE                     ROBERT       W           "</f>
        <v xml:space="preserve">WAKE                     ROBERT       W           </v>
      </c>
      <c r="E21505" t="str">
        <f>"MEMPHIS                   "</f>
        <v xml:space="preserve">MEMPHIS                   </v>
      </c>
      <c r="F21505" t="str">
        <f t="shared" si="507"/>
        <v>TN</v>
      </c>
    </row>
    <row r="21506" spans="1:6" x14ac:dyDescent="0.25">
      <c r="A21506" t="str">
        <f>"000012918"</f>
        <v>000012918</v>
      </c>
      <c r="B21506" t="str">
        <f>"1477523322"</f>
        <v>1477523322</v>
      </c>
      <c r="C21506" t="str">
        <f>"2080N0001X"</f>
        <v>2080N0001X</v>
      </c>
      <c r="D21506" t="str">
        <f>"SANDER                   CRAIG        J           "</f>
        <v xml:space="preserve">SANDER                   CRAIG        J           </v>
      </c>
      <c r="E21506" t="str">
        <f>"MEMPHIS                   "</f>
        <v xml:space="preserve">MEMPHIS                   </v>
      </c>
      <c r="F21506" t="str">
        <f t="shared" si="507"/>
        <v>TN</v>
      </c>
    </row>
    <row r="21507" spans="1:6" x14ac:dyDescent="0.25">
      <c r="A21507" t="str">
        <f>"000013251"</f>
        <v>000013251</v>
      </c>
      <c r="B21507" t="str">
        <f>"1972588457"</f>
        <v>1972588457</v>
      </c>
      <c r="C21507" t="str">
        <f>"207R00000X"</f>
        <v>207R00000X</v>
      </c>
      <c r="D21507" t="str">
        <f>"SHARFMAN                 DAVID        M           "</f>
        <v xml:space="preserve">SHARFMAN                 DAVID        M           </v>
      </c>
      <c r="E21507" t="str">
        <f>"GERMANTOWN                "</f>
        <v xml:space="preserve">GERMANTOWN                </v>
      </c>
      <c r="F21507" t="str">
        <f t="shared" si="507"/>
        <v>TN</v>
      </c>
    </row>
    <row r="21508" spans="1:6" x14ac:dyDescent="0.25">
      <c r="A21508" t="str">
        <f>"000013260"</f>
        <v>000013260</v>
      </c>
      <c r="B21508" t="str">
        <f>"1114918224"</f>
        <v>1114918224</v>
      </c>
      <c r="C21508" t="str">
        <f>"207LP2900X"</f>
        <v>207LP2900X</v>
      </c>
      <c r="D21508" t="str">
        <f>"KRAUS                    ALAN         J           "</f>
        <v xml:space="preserve">KRAUS                    ALAN         J           </v>
      </c>
      <c r="E21508" t="str">
        <f>"COLLIERVILLE              "</f>
        <v xml:space="preserve">COLLIERVILLE              </v>
      </c>
      <c r="F21508" t="str">
        <f t="shared" si="507"/>
        <v>TN</v>
      </c>
    </row>
    <row r="21509" spans="1:6" x14ac:dyDescent="0.25">
      <c r="A21509" t="str">
        <f>"000013261"</f>
        <v>000013261</v>
      </c>
      <c r="B21509" t="str">
        <f>"1225015712"</f>
        <v>1225015712</v>
      </c>
      <c r="C21509" t="str">
        <f>"207RC0000X"</f>
        <v>207RC0000X</v>
      </c>
      <c r="D21509" t="str">
        <f>"KRAUS                    DAVID        H           "</f>
        <v xml:space="preserve">KRAUS                    DAVID        H           </v>
      </c>
      <c r="E21509" t="str">
        <f>"GERMANTOWN                "</f>
        <v xml:space="preserve">GERMANTOWN                </v>
      </c>
      <c r="F21509" t="str">
        <f t="shared" si="507"/>
        <v>TN</v>
      </c>
    </row>
    <row r="21510" spans="1:6" x14ac:dyDescent="0.25">
      <c r="A21510" t="str">
        <f>"000013768"</f>
        <v>000013768</v>
      </c>
      <c r="B21510" t="str">
        <f>"1720044894"</f>
        <v>1720044894</v>
      </c>
      <c r="C21510" t="str">
        <f>"207V00000X"</f>
        <v>207V00000X</v>
      </c>
      <c r="D21510" t="str">
        <f>"JONES-SHEPHARD           CLAUDETTE                "</f>
        <v xml:space="preserve">JONES-SHEPHARD           CLAUDETTE                </v>
      </c>
      <c r="E21510" t="str">
        <f>"MEMPHIS                   "</f>
        <v xml:space="preserve">MEMPHIS                   </v>
      </c>
      <c r="F21510" t="str">
        <f t="shared" si="507"/>
        <v>TN</v>
      </c>
    </row>
    <row r="21511" spans="1:6" x14ac:dyDescent="0.25">
      <c r="A21511" t="str">
        <f>"000013830"</f>
        <v>000013830</v>
      </c>
      <c r="B21511" t="str">
        <f>"1679530687"</f>
        <v>1679530687</v>
      </c>
      <c r="C21511" t="str">
        <f>"2080P0206X"</f>
        <v>2080P0206X</v>
      </c>
      <c r="D21511" t="str">
        <f>"LAZAR                    LINDA        F           "</f>
        <v xml:space="preserve">LAZAR                    LINDA        F           </v>
      </c>
      <c r="E21511" t="str">
        <f>"MEMPHIS                   "</f>
        <v xml:space="preserve">MEMPHIS                   </v>
      </c>
      <c r="F21511" t="str">
        <f t="shared" si="507"/>
        <v>TN</v>
      </c>
    </row>
    <row r="21512" spans="1:6" x14ac:dyDescent="0.25">
      <c r="A21512" t="str">
        <f>"000015144"</f>
        <v>000015144</v>
      </c>
      <c r="B21512" t="str">
        <f>"1861495780"</f>
        <v>1861495780</v>
      </c>
      <c r="C21512" t="str">
        <f>"207W00000X"</f>
        <v>207W00000X</v>
      </c>
      <c r="D21512" t="str">
        <f>"CHARLES                  STEVE        T           "</f>
        <v xml:space="preserve">CHARLES                  STEVE        T           </v>
      </c>
      <c r="E21512" t="str">
        <f>"GERMANTOWN                "</f>
        <v xml:space="preserve">GERMANTOWN                </v>
      </c>
      <c r="F21512" t="str">
        <f t="shared" si="507"/>
        <v>TN</v>
      </c>
    </row>
    <row r="21513" spans="1:6" x14ac:dyDescent="0.25">
      <c r="A21513" t="str">
        <f>"000015346"</f>
        <v>000015346</v>
      </c>
      <c r="B21513" t="str">
        <f>"1033192992"</f>
        <v>1033192992</v>
      </c>
      <c r="C21513" t="str">
        <f>"207R00000X"</f>
        <v>207R00000X</v>
      </c>
      <c r="D21513" t="str">
        <f>"FINN                     CARY         M           "</f>
        <v xml:space="preserve">FINN                     CARY         M           </v>
      </c>
      <c r="E21513" t="str">
        <f>"MEMPHIS                   "</f>
        <v xml:space="preserve">MEMPHIS                   </v>
      </c>
      <c r="F21513" t="str">
        <f t="shared" si="507"/>
        <v>TN</v>
      </c>
    </row>
    <row r="21514" spans="1:6" x14ac:dyDescent="0.25">
      <c r="A21514" t="str">
        <f>"000015593"</f>
        <v>000015593</v>
      </c>
      <c r="B21514" t="str">
        <f>"1548211923"</f>
        <v>1548211923</v>
      </c>
      <c r="C21514" t="str">
        <f>"2085R0202X"</f>
        <v>2085R0202X</v>
      </c>
      <c r="D21514" t="str">
        <f>"FLINN JR                 GEORGE       S           "</f>
        <v xml:space="preserve">FLINN JR                 GEORGE       S           </v>
      </c>
      <c r="E21514" t="str">
        <f>"GERMANTOWN                "</f>
        <v xml:space="preserve">GERMANTOWN                </v>
      </c>
      <c r="F21514" t="str">
        <f t="shared" si="507"/>
        <v>TN</v>
      </c>
    </row>
    <row r="21515" spans="1:6" x14ac:dyDescent="0.25">
      <c r="A21515" t="str">
        <f>"000015617"</f>
        <v>000015617</v>
      </c>
      <c r="B21515" t="str">
        <f>"1265429765"</f>
        <v>1265429765</v>
      </c>
      <c r="C21515" t="str">
        <f>"207X00000X"</f>
        <v>207X00000X</v>
      </c>
      <c r="D21515" t="str">
        <f>"MILLER, III              ROBERT       H           "</f>
        <v xml:space="preserve">MILLER, III              ROBERT       H           </v>
      </c>
      <c r="E21515" t="str">
        <f>"GERMANTOWN                "</f>
        <v xml:space="preserve">GERMANTOWN                </v>
      </c>
      <c r="F21515" t="str">
        <f t="shared" si="507"/>
        <v>TN</v>
      </c>
    </row>
    <row r="21516" spans="1:6" x14ac:dyDescent="0.25">
      <c r="A21516" t="str">
        <f>"000016374"</f>
        <v>000016374</v>
      </c>
      <c r="B21516" t="str">
        <f>"1790752566"</f>
        <v>1790752566</v>
      </c>
      <c r="C21516" t="str">
        <f>"207RC0000X"</f>
        <v>207RC0000X</v>
      </c>
      <c r="D21516" t="str">
        <f>"ADDINGTON                MILTON       B           "</f>
        <v xml:space="preserve">ADDINGTON                MILTON       B           </v>
      </c>
      <c r="E21516" t="str">
        <f>"GERMANTOWN                "</f>
        <v xml:space="preserve">GERMANTOWN                </v>
      </c>
      <c r="F21516" t="str">
        <f t="shared" si="507"/>
        <v>TN</v>
      </c>
    </row>
    <row r="21517" spans="1:6" x14ac:dyDescent="0.25">
      <c r="A21517" t="str">
        <f>"000017981"</f>
        <v>000017981</v>
      </c>
      <c r="B21517" t="str">
        <f>"1902891179"</f>
        <v>1902891179</v>
      </c>
      <c r="C21517" t="str">
        <f>"207V00000X"</f>
        <v>207V00000X</v>
      </c>
      <c r="D21517" t="str">
        <f>"CARTER                   BELVIA                   "</f>
        <v xml:space="preserve">CARTER                   BELVIA                   </v>
      </c>
      <c r="E21517" t="str">
        <f>"MEMPHIS                   "</f>
        <v xml:space="preserve">MEMPHIS                   </v>
      </c>
      <c r="F21517" t="str">
        <f t="shared" si="507"/>
        <v>TN</v>
      </c>
    </row>
    <row r="21518" spans="1:6" x14ac:dyDescent="0.25">
      <c r="A21518" t="str">
        <f>"000018140"</f>
        <v>000018140</v>
      </c>
      <c r="B21518" t="str">
        <f>"1871583054"</f>
        <v>1871583054</v>
      </c>
      <c r="C21518" t="str">
        <f>"207T00000X"</f>
        <v>207T00000X</v>
      </c>
      <c r="D21518" t="str">
        <f>"ROBERTSON                JON          H           "</f>
        <v xml:space="preserve">ROBERTSON                JON          H           </v>
      </c>
      <c r="E21518" t="str">
        <f>"MEMPHIS                   "</f>
        <v xml:space="preserve">MEMPHIS                   </v>
      </c>
      <c r="F21518" t="str">
        <f t="shared" si="507"/>
        <v>TN</v>
      </c>
    </row>
    <row r="21519" spans="1:6" x14ac:dyDescent="0.25">
      <c r="A21519" t="str">
        <f>"000018232"</f>
        <v>000018232</v>
      </c>
      <c r="B21519" t="str">
        <f>"1487708079"</f>
        <v>1487708079</v>
      </c>
      <c r="C21519" t="str">
        <f>"2084P0800X"</f>
        <v>2084P0800X</v>
      </c>
      <c r="D21519" t="str">
        <f>"SAINI                    TEJINDER     S           "</f>
        <v xml:space="preserve">SAINI                    TEJINDER     S           </v>
      </c>
      <c r="E21519" t="str">
        <f>"CORDOVA                   "</f>
        <v xml:space="preserve">CORDOVA                   </v>
      </c>
      <c r="F21519" t="str">
        <f t="shared" si="507"/>
        <v>TN</v>
      </c>
    </row>
    <row r="21520" spans="1:6" x14ac:dyDescent="0.25">
      <c r="A21520" t="str">
        <f>"000018239"</f>
        <v>000018239</v>
      </c>
      <c r="B21520" t="str">
        <f>"1770559460"</f>
        <v>1770559460</v>
      </c>
      <c r="C21520" t="str">
        <f>"207L00000X"</f>
        <v>207L00000X</v>
      </c>
      <c r="D21520" t="str">
        <f>"MERRITT                  LAUREN       N           "</f>
        <v xml:space="preserve">MERRITT                  LAUREN       N           </v>
      </c>
      <c r="E21520" t="str">
        <f>"KNOXVILLE                 "</f>
        <v xml:space="preserve">KNOXVILLE                 </v>
      </c>
      <c r="F21520" t="str">
        <f t="shared" si="507"/>
        <v>TN</v>
      </c>
    </row>
    <row r="21521" spans="1:6" x14ac:dyDescent="0.25">
      <c r="A21521" t="str">
        <f>"000018349"</f>
        <v>000018349</v>
      </c>
      <c r="B21521" t="str">
        <f>"1467567867"</f>
        <v>1467567867</v>
      </c>
      <c r="C21521" t="str">
        <f>"2085R0202X"</f>
        <v>2085R0202X</v>
      </c>
      <c r="D21521" t="str">
        <f>"PEELER                   DAVID        W           "</f>
        <v xml:space="preserve">PEELER                   DAVID        W           </v>
      </c>
      <c r="E21521" t="str">
        <f>"MEMPHIS                   "</f>
        <v xml:space="preserve">MEMPHIS                   </v>
      </c>
      <c r="F21521" t="str">
        <f t="shared" si="507"/>
        <v>TN</v>
      </c>
    </row>
    <row r="21522" spans="1:6" x14ac:dyDescent="0.25">
      <c r="A21522" t="str">
        <f>"000018677"</f>
        <v>000018677</v>
      </c>
      <c r="B21522" t="str">
        <f>"1073505228"</f>
        <v>1073505228</v>
      </c>
      <c r="C21522" t="str">
        <f>"207R00000X"</f>
        <v>207R00000X</v>
      </c>
      <c r="D21522" t="str">
        <f>"ROBINSON                 WILEY        T           "</f>
        <v xml:space="preserve">ROBINSON                 WILEY        T           </v>
      </c>
      <c r="E21522" t="str">
        <f>"GERMANTOWN                "</f>
        <v xml:space="preserve">GERMANTOWN                </v>
      </c>
      <c r="F21522" t="str">
        <f t="shared" si="507"/>
        <v>TN</v>
      </c>
    </row>
    <row r="21523" spans="1:6" x14ac:dyDescent="0.25">
      <c r="A21523" t="str">
        <f>"000018731"</f>
        <v>000018731</v>
      </c>
      <c r="B21523" t="str">
        <f>"1043232580"</f>
        <v>1043232580</v>
      </c>
      <c r="C21523" t="str">
        <f>"207Q00000X"</f>
        <v>207Q00000X</v>
      </c>
      <c r="D21523" t="str">
        <f>"MINTZ                    PHILIP       G           "</f>
        <v xml:space="preserve">MINTZ                    PHILIP       G           </v>
      </c>
      <c r="E21523" t="str">
        <f>"MEMPHIS                   "</f>
        <v xml:space="preserve">MEMPHIS                   </v>
      </c>
      <c r="F21523" t="str">
        <f t="shared" si="507"/>
        <v>TN</v>
      </c>
    </row>
    <row r="21524" spans="1:6" x14ac:dyDescent="0.25">
      <c r="A21524" t="str">
        <f>"000019463"</f>
        <v>000019463</v>
      </c>
      <c r="B21524" t="str">
        <f>"1114928793"</f>
        <v>1114928793</v>
      </c>
      <c r="C21524" t="str">
        <f>"207R00000X"</f>
        <v>207R00000X</v>
      </c>
      <c r="D21524" t="str">
        <f>"CASTELLAW                MARK                     "</f>
        <v xml:space="preserve">CASTELLAW                MARK                     </v>
      </c>
      <c r="E21524" t="str">
        <f>"GERMANTOWN                "</f>
        <v xml:space="preserve">GERMANTOWN                </v>
      </c>
      <c r="F21524" t="str">
        <f t="shared" si="507"/>
        <v>TN</v>
      </c>
    </row>
    <row r="21525" spans="1:6" x14ac:dyDescent="0.25">
      <c r="A21525" t="str">
        <f>"000020243"</f>
        <v>000020243</v>
      </c>
      <c r="B21525" t="str">
        <f>"1710099569"</f>
        <v>1710099569</v>
      </c>
      <c r="C21525" t="str">
        <f>"261QE0700X"</f>
        <v>261QE0700X</v>
      </c>
      <c r="D21525" t="str">
        <f>"FMC EAST MEMPHIS KIDNEY                           "</f>
        <v xml:space="preserve">FMC EAST MEMPHIS KIDNEY                           </v>
      </c>
      <c r="E21525" t="str">
        <f>"MEMPHIS                   "</f>
        <v xml:space="preserve">MEMPHIS                   </v>
      </c>
      <c r="F21525" t="str">
        <f t="shared" si="507"/>
        <v>TN</v>
      </c>
    </row>
    <row r="21526" spans="1:6" x14ac:dyDescent="0.25">
      <c r="A21526" t="str">
        <f>"000029053"</f>
        <v>000029053</v>
      </c>
      <c r="B21526" t="str">
        <f>"1124120571"</f>
        <v>1124120571</v>
      </c>
      <c r="C21526" t="str">
        <f>"2085R0202X"</f>
        <v>2085R0202X</v>
      </c>
      <c r="D21526" t="str">
        <f>"SABIN                    NOAH         D           "</f>
        <v xml:space="preserve">SABIN                    NOAH         D           </v>
      </c>
      <c r="E21526" t="str">
        <f>"MEMPHIS                   "</f>
        <v xml:space="preserve">MEMPHIS                   </v>
      </c>
      <c r="F21526" t="str">
        <f t="shared" si="507"/>
        <v>TN</v>
      </c>
    </row>
    <row r="21527" spans="1:6" x14ac:dyDescent="0.25">
      <c r="A21527" t="str">
        <f>"000034055"</f>
        <v>000034055</v>
      </c>
      <c r="B21527" t="str">
        <f>"1114997814"</f>
        <v>1114997814</v>
      </c>
      <c r="C21527" t="str">
        <f>"207K00000X"</f>
        <v>207K00000X</v>
      </c>
      <c r="D21527" t="str">
        <f>"TANKERSLEY               MICHAEL                  "</f>
        <v xml:space="preserve">TANKERSLEY               MICHAEL                  </v>
      </c>
      <c r="E21527" t="str">
        <f>"COLLIERVILLE              "</f>
        <v xml:space="preserve">COLLIERVILLE              </v>
      </c>
      <c r="F21527" t="str">
        <f t="shared" si="507"/>
        <v>TN</v>
      </c>
    </row>
    <row r="21528" spans="1:6" x14ac:dyDescent="0.25">
      <c r="A21528" t="str">
        <f>"000037013"</f>
        <v>000037013</v>
      </c>
      <c r="B21528" t="str">
        <f>"1265018469"</f>
        <v>1265018469</v>
      </c>
      <c r="C21528" t="str">
        <f>"363L00000X"</f>
        <v>363L00000X</v>
      </c>
      <c r="D21528" t="str">
        <f>"RYAN                     ALLISON                  "</f>
        <v xml:space="preserve">RYAN                     ALLISON                  </v>
      </c>
      <c r="E21528" t="str">
        <f>"MEMPHIS                   "</f>
        <v xml:space="preserve">MEMPHIS                   </v>
      </c>
      <c r="F21528" t="str">
        <f t="shared" si="507"/>
        <v>TN</v>
      </c>
    </row>
    <row r="21529" spans="1:6" x14ac:dyDescent="0.25">
      <c r="A21529" t="str">
        <f>"000055851"</f>
        <v>000055851</v>
      </c>
      <c r="B21529" t="str">
        <f>"1437500139"</f>
        <v>1437500139</v>
      </c>
      <c r="C21529" t="str">
        <f>"367500000X"</f>
        <v>367500000X</v>
      </c>
      <c r="D21529" t="str">
        <f>"EL-HAMARNA               AHMED                    "</f>
        <v xml:space="preserve">EL-HAMARNA               AHMED                    </v>
      </c>
      <c r="E21529" t="str">
        <f>"MEMPHIS                   "</f>
        <v xml:space="preserve">MEMPHIS                   </v>
      </c>
      <c r="F21529" t="str">
        <f t="shared" si="507"/>
        <v>TN</v>
      </c>
    </row>
    <row r="21530" spans="1:6" x14ac:dyDescent="0.25">
      <c r="A21530" t="str">
        <f>"000074013"</f>
        <v>000074013</v>
      </c>
      <c r="B21530" t="str">
        <f>"1790844132"</f>
        <v>1790844132</v>
      </c>
      <c r="C21530" t="str">
        <f>"261QA1903X"</f>
        <v>261QA1903X</v>
      </c>
      <c r="D21530" t="str">
        <f>"RIDGE LAKE ASC LLC                                "</f>
        <v xml:space="preserve">RIDGE LAKE ASC LLC                                </v>
      </c>
      <c r="E21530" t="str">
        <f>"MEMPHIS                   "</f>
        <v xml:space="preserve">MEMPHIS                   </v>
      </c>
      <c r="F21530" t="str">
        <f t="shared" si="507"/>
        <v>TN</v>
      </c>
    </row>
    <row r="21531" spans="1:6" x14ac:dyDescent="0.25">
      <c r="A21531" t="str">
        <f>"000074066"</f>
        <v>000074066</v>
      </c>
      <c r="B21531" t="str">
        <f>"1003871104"</f>
        <v>1003871104</v>
      </c>
      <c r="C21531" t="str">
        <f>"261QA1903X"</f>
        <v>261QA1903X</v>
      </c>
      <c r="D21531" t="str">
        <f>"MEMPHIS SURGERY CENTER                            "</f>
        <v xml:space="preserve">MEMPHIS SURGERY CENTER                            </v>
      </c>
      <c r="E21531" t="str">
        <f>"MEMPHIS                   "</f>
        <v xml:space="preserve">MEMPHIS                   </v>
      </c>
      <c r="F21531" t="str">
        <f t="shared" si="507"/>
        <v>TN</v>
      </c>
    </row>
    <row r="21532" spans="1:6" x14ac:dyDescent="0.25">
      <c r="A21532" t="str">
        <f>"000074891"</f>
        <v>000074891</v>
      </c>
      <c r="B21532" t="str">
        <f>"1730162876"</f>
        <v>1730162876</v>
      </c>
      <c r="C21532" t="str">
        <f>"207V00000X"</f>
        <v>207V00000X</v>
      </c>
      <c r="D21532" t="str">
        <f>"HOELDTKE                 NATHAN       J           "</f>
        <v xml:space="preserve">HOELDTKE                 NATHAN       J           </v>
      </c>
      <c r="E21532" t="str">
        <f>"JACKSON                   "</f>
        <v xml:space="preserve">JACKSON                   </v>
      </c>
      <c r="F21532" t="str">
        <f t="shared" si="507"/>
        <v>TN</v>
      </c>
    </row>
    <row r="21533" spans="1:6" x14ac:dyDescent="0.25">
      <c r="A21533" t="str">
        <f>"000077842"</f>
        <v>000077842</v>
      </c>
      <c r="B21533" t="str">
        <f>"1013393958"</f>
        <v>1013393958</v>
      </c>
      <c r="C21533" t="str">
        <f>"363L00000X"</f>
        <v>363L00000X</v>
      </c>
      <c r="D21533" t="str">
        <f>"MURPHREE                 TERESA       M           "</f>
        <v xml:space="preserve">MURPHREE                 TERESA       M           </v>
      </c>
      <c r="E21533" t="str">
        <f>"MEMPHIS                   "</f>
        <v xml:space="preserve">MEMPHIS                   </v>
      </c>
      <c r="F21533" t="str">
        <f t="shared" si="507"/>
        <v>TN</v>
      </c>
    </row>
    <row r="21534" spans="1:6" x14ac:dyDescent="0.25">
      <c r="A21534" t="str">
        <f>"000079545"</f>
        <v>000079545</v>
      </c>
      <c r="B21534" t="str">
        <f>"1508181090"</f>
        <v>1508181090</v>
      </c>
      <c r="C21534" t="str">
        <f>"363L00000X"</f>
        <v>363L00000X</v>
      </c>
      <c r="D21534" t="str">
        <f>"JOHNSON                  KATHERINE    H           "</f>
        <v xml:space="preserve">JOHNSON                  KATHERINE    H           </v>
      </c>
      <c r="E21534" t="str">
        <f>"GERMANTOWN                "</f>
        <v xml:space="preserve">GERMANTOWN                </v>
      </c>
      <c r="F21534" t="str">
        <f t="shared" si="507"/>
        <v>TN</v>
      </c>
    </row>
    <row r="21535" spans="1:6" x14ac:dyDescent="0.25">
      <c r="A21535" t="str">
        <f>"000079839"</f>
        <v>000079839</v>
      </c>
      <c r="B21535" t="str">
        <f>"1629219720"</f>
        <v>1629219720</v>
      </c>
      <c r="C21535" t="str">
        <f>"367500000X"</f>
        <v>367500000X</v>
      </c>
      <c r="D21535" t="str">
        <f>"SANDERS                  EDWARD                   "</f>
        <v xml:space="preserve">SANDERS                  EDWARD                   </v>
      </c>
      <c r="E21535" t="str">
        <f t="shared" ref="E21535:E21540" si="508">"MEMPHIS                   "</f>
        <v xml:space="preserve">MEMPHIS                   </v>
      </c>
      <c r="F21535" t="str">
        <f t="shared" si="507"/>
        <v>TN</v>
      </c>
    </row>
    <row r="21536" spans="1:6" x14ac:dyDescent="0.25">
      <c r="A21536" t="str">
        <f>"000087009"</f>
        <v>000087009</v>
      </c>
      <c r="B21536" t="str">
        <f>"1184617367"</f>
        <v>1184617367</v>
      </c>
      <c r="C21536" t="str">
        <f>"152W00000X"</f>
        <v>152W00000X</v>
      </c>
      <c r="D21536" t="str">
        <f>"MATHEWS                  DENNIS       E           "</f>
        <v xml:space="preserve">MATHEWS                  DENNIS       E           </v>
      </c>
      <c r="E21536" t="str">
        <f t="shared" si="508"/>
        <v xml:space="preserve">MEMPHIS                   </v>
      </c>
      <c r="F21536" t="str">
        <f t="shared" si="507"/>
        <v>TN</v>
      </c>
    </row>
    <row r="21537" spans="1:6" x14ac:dyDescent="0.25">
      <c r="A21537" t="str">
        <f>"000087053"</f>
        <v>000087053</v>
      </c>
      <c r="B21537" t="str">
        <f>"1215977871"</f>
        <v>1215977871</v>
      </c>
      <c r="C21537" t="str">
        <f>"152W00000X"</f>
        <v>152W00000X</v>
      </c>
      <c r="D21537" t="str">
        <f>"MCQUIRTER                HENRY        G           "</f>
        <v xml:space="preserve">MCQUIRTER                HENRY        G           </v>
      </c>
      <c r="E21537" t="str">
        <f t="shared" si="508"/>
        <v xml:space="preserve">MEMPHIS                   </v>
      </c>
      <c r="F21537" t="str">
        <f t="shared" si="507"/>
        <v>TN</v>
      </c>
    </row>
    <row r="21538" spans="1:6" x14ac:dyDescent="0.25">
      <c r="A21538" t="str">
        <f>"000088008"</f>
        <v>000088008</v>
      </c>
      <c r="B21538" t="str">
        <f>"1972592749"</f>
        <v>1972592749</v>
      </c>
      <c r="C21538" t="str">
        <f>"207RN0300X"</f>
        <v>207RN0300X</v>
      </c>
      <c r="D21538" t="str">
        <f>"DIN                      TAMEEZ       U           "</f>
        <v xml:space="preserve">DIN                      TAMEEZ       U           </v>
      </c>
      <c r="E21538" t="str">
        <f t="shared" si="508"/>
        <v xml:space="preserve">MEMPHIS                   </v>
      </c>
      <c r="F21538" t="str">
        <f t="shared" si="507"/>
        <v>TN</v>
      </c>
    </row>
    <row r="21539" spans="1:6" x14ac:dyDescent="0.25">
      <c r="A21539" t="str">
        <f>"000108079"</f>
        <v>000108079</v>
      </c>
      <c r="B21539" t="str">
        <f>"1275950925"</f>
        <v>1275950925</v>
      </c>
      <c r="C21539" t="str">
        <f>"2085R0202X"</f>
        <v>2085R0202X</v>
      </c>
      <c r="D21539" t="str">
        <f>"RAI                      SURINDER                 "</f>
        <v xml:space="preserve">RAI                      SURINDER                 </v>
      </c>
      <c r="E21539" t="str">
        <f t="shared" si="508"/>
        <v xml:space="preserve">MEMPHIS                   </v>
      </c>
      <c r="F21539" t="str">
        <f t="shared" si="507"/>
        <v>TN</v>
      </c>
    </row>
    <row r="21540" spans="1:6" x14ac:dyDescent="0.25">
      <c r="A21540" t="str">
        <f>"000110055"</f>
        <v>000110055</v>
      </c>
      <c r="B21540" t="str">
        <f>"1003821752"</f>
        <v>1003821752</v>
      </c>
      <c r="C21540" t="str">
        <f>"2080P0207X"</f>
        <v>2080P0207X</v>
      </c>
      <c r="D21540" t="str">
        <f>"PAPPO                    ALBERTO      S           "</f>
        <v xml:space="preserve">PAPPO                    ALBERTO      S           </v>
      </c>
      <c r="E21540" t="str">
        <f t="shared" si="508"/>
        <v xml:space="preserve">MEMPHIS                   </v>
      </c>
      <c r="F21540" t="str">
        <f t="shared" si="507"/>
        <v>TN</v>
      </c>
    </row>
    <row r="21541" spans="1:6" x14ac:dyDescent="0.25">
      <c r="A21541" t="str">
        <f>"000110116"</f>
        <v>000110116</v>
      </c>
      <c r="B21541" t="str">
        <f>"1891791349"</f>
        <v>1891791349</v>
      </c>
      <c r="C21541" t="str">
        <f>"207RP1001X"</f>
        <v>207RP1001X</v>
      </c>
      <c r="D21541" t="str">
        <f>"SCHRINER                 ROBERT       W           "</f>
        <v xml:space="preserve">SCHRINER                 ROBERT       W           </v>
      </c>
      <c r="E21541" t="str">
        <f>"COLLIERVILLE              "</f>
        <v xml:space="preserve">COLLIERVILLE              </v>
      </c>
      <c r="F21541" t="str">
        <f t="shared" si="507"/>
        <v>TN</v>
      </c>
    </row>
    <row r="21542" spans="1:6" x14ac:dyDescent="0.25">
      <c r="A21542" t="str">
        <f>"000110298"</f>
        <v>000110298</v>
      </c>
      <c r="B21542" t="str">
        <f>"1053396523"</f>
        <v>1053396523</v>
      </c>
      <c r="C21542" t="str">
        <f>"207R00000X"</f>
        <v>207R00000X</v>
      </c>
      <c r="D21542" t="str">
        <f>"PELZ                     FREDERICK                "</f>
        <v xml:space="preserve">PELZ                     FREDERICK                </v>
      </c>
      <c r="E21542" t="str">
        <f>"GERMANTOWN                "</f>
        <v xml:space="preserve">GERMANTOWN                </v>
      </c>
      <c r="F21542" t="str">
        <f t="shared" si="507"/>
        <v>TN</v>
      </c>
    </row>
    <row r="21543" spans="1:6" x14ac:dyDescent="0.25">
      <c r="A21543" t="str">
        <f>"000110741"</f>
        <v>000110741</v>
      </c>
      <c r="B21543" t="str">
        <f>"1659362960"</f>
        <v>1659362960</v>
      </c>
      <c r="C21543" t="str">
        <f>"208D00000X"</f>
        <v>208D00000X</v>
      </c>
      <c r="D21543" t="str">
        <f>"AGUILLARD                ROBERT       N           "</f>
        <v xml:space="preserve">AGUILLARD                ROBERT       N           </v>
      </c>
      <c r="E21543" t="str">
        <f>"MEMPHIS                   "</f>
        <v xml:space="preserve">MEMPHIS                   </v>
      </c>
      <c r="F21543" t="str">
        <f t="shared" si="507"/>
        <v>TN</v>
      </c>
    </row>
    <row r="21544" spans="1:6" x14ac:dyDescent="0.25">
      <c r="A21544" t="str">
        <f>"000111544"</f>
        <v>000111544</v>
      </c>
      <c r="B21544" t="str">
        <f>"1205801149"</f>
        <v>1205801149</v>
      </c>
      <c r="C21544" t="str">
        <f>"207L00000X"</f>
        <v>207L00000X</v>
      </c>
      <c r="D21544" t="str">
        <f>"LAZAROV                  STUART       J           "</f>
        <v xml:space="preserve">LAZAROV                  STUART       J           </v>
      </c>
      <c r="E21544" t="str">
        <f>"MEMPHIS                   "</f>
        <v xml:space="preserve">MEMPHIS                   </v>
      </c>
      <c r="F21544" t="str">
        <f t="shared" si="507"/>
        <v>TN</v>
      </c>
    </row>
    <row r="21545" spans="1:6" x14ac:dyDescent="0.25">
      <c r="A21545" t="str">
        <f>"000114052"</f>
        <v>000114052</v>
      </c>
      <c r="B21545" t="str">
        <f>"1396751954"</f>
        <v>1396751954</v>
      </c>
      <c r="C21545" t="str">
        <f>"2084P0800X"</f>
        <v>2084P0800X</v>
      </c>
      <c r="D21545" t="str">
        <f>"HOEHN                    ROBERT       G           "</f>
        <v xml:space="preserve">HOEHN                    ROBERT       G           </v>
      </c>
      <c r="E21545" t="str">
        <f>"MEMPHIS                   "</f>
        <v xml:space="preserve">MEMPHIS                   </v>
      </c>
      <c r="F21545" t="str">
        <f t="shared" si="507"/>
        <v>TN</v>
      </c>
    </row>
    <row r="21546" spans="1:6" x14ac:dyDescent="0.25">
      <c r="A21546" t="str">
        <f>"000114174"</f>
        <v>000114174</v>
      </c>
      <c r="B21546" t="str">
        <f>"1700843679"</f>
        <v>1700843679</v>
      </c>
      <c r="C21546" t="str">
        <f>"207R00000X"</f>
        <v>207R00000X</v>
      </c>
      <c r="D21546" t="str">
        <f>"SPRABERY                 LAURA        R           "</f>
        <v xml:space="preserve">SPRABERY                 LAURA        R           </v>
      </c>
      <c r="E21546" t="str">
        <f>"MEMPHIS                   "</f>
        <v xml:space="preserve">MEMPHIS                   </v>
      </c>
      <c r="F21546" t="str">
        <f t="shared" si="507"/>
        <v>TN</v>
      </c>
    </row>
    <row r="21547" spans="1:6" x14ac:dyDescent="0.25">
      <c r="A21547" t="str">
        <f>"000114521"</f>
        <v>000114521</v>
      </c>
      <c r="B21547" t="str">
        <f>"1801897053"</f>
        <v>1801897053</v>
      </c>
      <c r="C21547" t="str">
        <f>"207R00000X"</f>
        <v>207R00000X</v>
      </c>
      <c r="D21547" t="str">
        <f>"WRIGHT                   DANA         J           "</f>
        <v xml:space="preserve">WRIGHT                   DANA         J           </v>
      </c>
      <c r="E21547" t="str">
        <f>"GERMANTOWN                "</f>
        <v xml:space="preserve">GERMANTOWN                </v>
      </c>
      <c r="F21547" t="str">
        <f t="shared" si="507"/>
        <v>TN</v>
      </c>
    </row>
    <row r="21548" spans="1:6" x14ac:dyDescent="0.25">
      <c r="A21548" t="str">
        <f>"000114575"</f>
        <v>000114575</v>
      </c>
      <c r="B21548" t="str">
        <f>"1578562559"</f>
        <v>1578562559</v>
      </c>
      <c r="C21548" t="str">
        <f>"367500000X"</f>
        <v>367500000X</v>
      </c>
      <c r="D21548" t="str">
        <f>"SESSUMS                  JANET        I           "</f>
        <v xml:space="preserve">SESSUMS                  JANET        I           </v>
      </c>
      <c r="E21548" t="str">
        <f t="shared" ref="E21548:E21553" si="509">"MEMPHIS                   "</f>
        <v xml:space="preserve">MEMPHIS                   </v>
      </c>
      <c r="F21548" t="str">
        <f t="shared" si="507"/>
        <v>TN</v>
      </c>
    </row>
    <row r="21549" spans="1:6" x14ac:dyDescent="0.25">
      <c r="A21549" t="str">
        <f>"000114605"</f>
        <v>000114605</v>
      </c>
      <c r="B21549" t="str">
        <f>"1144223280"</f>
        <v>1144223280</v>
      </c>
      <c r="C21549" t="str">
        <f>"2080P0207X"</f>
        <v>2080P0207X</v>
      </c>
      <c r="D21549" t="str">
        <f>"GAJJAR                   AMAR         J           "</f>
        <v xml:space="preserve">GAJJAR                   AMAR         J           </v>
      </c>
      <c r="E21549" t="str">
        <f t="shared" si="509"/>
        <v xml:space="preserve">MEMPHIS                   </v>
      </c>
      <c r="F21549" t="str">
        <f t="shared" si="507"/>
        <v>TN</v>
      </c>
    </row>
    <row r="21550" spans="1:6" x14ac:dyDescent="0.25">
      <c r="A21550" t="str">
        <f>"000114625"</f>
        <v>000114625</v>
      </c>
      <c r="B21550" t="str">
        <f>"1720081847"</f>
        <v>1720081847</v>
      </c>
      <c r="C21550" t="str">
        <f>"207X00000X"</f>
        <v>207X00000X</v>
      </c>
      <c r="D21550" t="str">
        <f>"NEEL                     MICHAEL      D           "</f>
        <v xml:space="preserve">NEEL                     MICHAEL      D           </v>
      </c>
      <c r="E21550" t="str">
        <f t="shared" si="509"/>
        <v xml:space="preserve">MEMPHIS                   </v>
      </c>
      <c r="F21550" t="str">
        <f t="shared" si="507"/>
        <v>TN</v>
      </c>
    </row>
    <row r="21551" spans="1:6" x14ac:dyDescent="0.25">
      <c r="A21551" t="str">
        <f>"000114675"</f>
        <v>000114675</v>
      </c>
      <c r="B21551" t="str">
        <f>"1154356764"</f>
        <v>1154356764</v>
      </c>
      <c r="C21551" t="str">
        <f>"207RC0000X"</f>
        <v>207RC0000X</v>
      </c>
      <c r="D21551" t="str">
        <f>"REEF                     ELLIS        G           "</f>
        <v xml:space="preserve">REEF                     ELLIS        G           </v>
      </c>
      <c r="E21551" t="str">
        <f t="shared" si="509"/>
        <v xml:space="preserve">MEMPHIS                   </v>
      </c>
      <c r="F21551" t="str">
        <f t="shared" si="507"/>
        <v>TN</v>
      </c>
    </row>
    <row r="21552" spans="1:6" x14ac:dyDescent="0.25">
      <c r="A21552" t="str">
        <f>"000114990"</f>
        <v>000114990</v>
      </c>
      <c r="B21552" t="str">
        <f>"1518924851"</f>
        <v>1518924851</v>
      </c>
      <c r="C21552" t="str">
        <f>"208000000X"</f>
        <v>208000000X</v>
      </c>
      <c r="D21552" t="str">
        <f>"TUTOR                    JAMES        D           "</f>
        <v xml:space="preserve">TUTOR                    JAMES        D           </v>
      </c>
      <c r="E21552" t="str">
        <f t="shared" si="509"/>
        <v xml:space="preserve">MEMPHIS                   </v>
      </c>
      <c r="F21552" t="str">
        <f t="shared" si="507"/>
        <v>TN</v>
      </c>
    </row>
    <row r="21553" spans="1:6" x14ac:dyDescent="0.25">
      <c r="A21553" t="str">
        <f>"000115189"</f>
        <v>000115189</v>
      </c>
      <c r="B21553" t="str">
        <f>"1376559468"</f>
        <v>1376559468</v>
      </c>
      <c r="C21553" t="str">
        <f>"2084P0800X"</f>
        <v>2084P0800X</v>
      </c>
      <c r="D21553" t="str">
        <f>"LEAL                     JORGE                    "</f>
        <v xml:space="preserve">LEAL                     JORGE                    </v>
      </c>
      <c r="E21553" t="str">
        <f t="shared" si="509"/>
        <v xml:space="preserve">MEMPHIS                   </v>
      </c>
      <c r="F21553" t="str">
        <f t="shared" si="507"/>
        <v>TN</v>
      </c>
    </row>
    <row r="21554" spans="1:6" x14ac:dyDescent="0.25">
      <c r="A21554" t="str">
        <f>"000115338"</f>
        <v>000115338</v>
      </c>
      <c r="B21554" t="str">
        <f>"1083614572"</f>
        <v>1083614572</v>
      </c>
      <c r="C21554" t="str">
        <f>"207R00000X"</f>
        <v>207R00000X</v>
      </c>
      <c r="D21554" t="str">
        <f>"STAMPER                  JAMES        J           "</f>
        <v xml:space="preserve">STAMPER                  JAMES        J           </v>
      </c>
      <c r="E21554" t="str">
        <f>"GERMANTOWN                "</f>
        <v xml:space="preserve">GERMANTOWN                </v>
      </c>
      <c r="F21554" t="str">
        <f t="shared" si="507"/>
        <v>TN</v>
      </c>
    </row>
    <row r="21555" spans="1:6" x14ac:dyDescent="0.25">
      <c r="A21555" t="str">
        <f>"000115350"</f>
        <v>000115350</v>
      </c>
      <c r="B21555" t="str">
        <f>"1780690230"</f>
        <v>1780690230</v>
      </c>
      <c r="C21555" t="str">
        <f>"2084P0804X"</f>
        <v>2084P0804X</v>
      </c>
      <c r="D21555" t="str">
        <f>"PANG                     JIM                      "</f>
        <v xml:space="preserve">PANG                     JIM                      </v>
      </c>
      <c r="E21555" t="str">
        <f>"CORDOVA                   "</f>
        <v xml:space="preserve">CORDOVA                   </v>
      </c>
      <c r="F21555" t="str">
        <f t="shared" si="507"/>
        <v>TN</v>
      </c>
    </row>
    <row r="21556" spans="1:6" x14ac:dyDescent="0.25">
      <c r="A21556" t="str">
        <f>"000115435"</f>
        <v>000115435</v>
      </c>
      <c r="B21556" t="str">
        <f>"1639261001"</f>
        <v>1639261001</v>
      </c>
      <c r="C21556" t="str">
        <f>"207RC0000X"</f>
        <v>207RC0000X</v>
      </c>
      <c r="D21556" t="str">
        <f>"EDWARDS                  TODD                     "</f>
        <v xml:space="preserve">EDWARDS                  TODD                     </v>
      </c>
      <c r="E21556" t="str">
        <f>"MEMPHIS                   "</f>
        <v xml:space="preserve">MEMPHIS                   </v>
      </c>
      <c r="F21556" t="str">
        <f t="shared" si="507"/>
        <v>TN</v>
      </c>
    </row>
    <row r="21557" spans="1:6" x14ac:dyDescent="0.25">
      <c r="A21557" t="str">
        <f>"000115853"</f>
        <v>000115853</v>
      </c>
      <c r="B21557" t="str">
        <f>"1467410126"</f>
        <v>1467410126</v>
      </c>
      <c r="C21557" t="str">
        <f>"207RC0200X"</f>
        <v>207RC0200X</v>
      </c>
      <c r="D21557" t="str">
        <f>"STORGION                 STEPHANIE                "</f>
        <v xml:space="preserve">STORGION                 STEPHANIE                </v>
      </c>
      <c r="E21557" t="str">
        <f>"MEMPHIS                   "</f>
        <v xml:space="preserve">MEMPHIS                   </v>
      </c>
      <c r="F21557" t="str">
        <f t="shared" si="507"/>
        <v>TN</v>
      </c>
    </row>
    <row r="21558" spans="1:6" x14ac:dyDescent="0.25">
      <c r="A21558" t="str">
        <f>"000115928"</f>
        <v>000115928</v>
      </c>
      <c r="B21558" t="str">
        <f>"1588779987"</f>
        <v>1588779987</v>
      </c>
      <c r="C21558" t="str">
        <f>"2085R0202X"</f>
        <v>2085R0202X</v>
      </c>
      <c r="D21558" t="str">
        <f>"OWEN                     VIRGINIA                 "</f>
        <v xml:space="preserve">OWEN                     VIRGINIA                 </v>
      </c>
      <c r="E21558" t="str">
        <f>"GERMANTOWN                "</f>
        <v xml:space="preserve">GERMANTOWN                </v>
      </c>
      <c r="F21558" t="str">
        <f t="shared" si="507"/>
        <v>TN</v>
      </c>
    </row>
    <row r="21559" spans="1:6" x14ac:dyDescent="0.25">
      <c r="A21559" t="str">
        <f>"000115955"</f>
        <v>000115955</v>
      </c>
      <c r="B21559" t="str">
        <f>"1982707410"</f>
        <v>1982707410</v>
      </c>
      <c r="C21559" t="str">
        <f>"2085R0202X"</f>
        <v>2085R0202X</v>
      </c>
      <c r="D21559" t="str">
        <f>"WITTE                    DEXTER                   "</f>
        <v xml:space="preserve">WITTE                    DEXTER                   </v>
      </c>
      <c r="E21559" t="str">
        <f>"GERMANTOWN                "</f>
        <v xml:space="preserve">GERMANTOWN                </v>
      </c>
      <c r="F21559" t="str">
        <f t="shared" si="507"/>
        <v>TN</v>
      </c>
    </row>
    <row r="21560" spans="1:6" x14ac:dyDescent="0.25">
      <c r="A21560" t="str">
        <f>"000116177"</f>
        <v>000116177</v>
      </c>
      <c r="B21560" t="str">
        <f>"1023075611"</f>
        <v>1023075611</v>
      </c>
      <c r="C21560" t="str">
        <f>"207V00000X"</f>
        <v>207V00000X</v>
      </c>
      <c r="D21560" t="str">
        <f>"PHILLIPS                 OWEN         P           "</f>
        <v xml:space="preserve">PHILLIPS                 OWEN         P           </v>
      </c>
      <c r="E21560" t="str">
        <f>"MEMPHIS                   "</f>
        <v xml:space="preserve">MEMPHIS                   </v>
      </c>
      <c r="F21560" t="str">
        <f t="shared" si="507"/>
        <v>TN</v>
      </c>
    </row>
    <row r="21561" spans="1:6" x14ac:dyDescent="0.25">
      <c r="A21561" t="str">
        <f>"000116255"</f>
        <v>000116255</v>
      </c>
      <c r="B21561" t="str">
        <f>"1376568709"</f>
        <v>1376568709</v>
      </c>
      <c r="C21561" t="str">
        <f>"207V00000X"</f>
        <v>207V00000X</v>
      </c>
      <c r="D21561" t="str">
        <f>"SUMMITT                  ROBERT       L           "</f>
        <v xml:space="preserve">SUMMITT                  ROBERT       L           </v>
      </c>
      <c r="E21561" t="str">
        <f>"MEMPHIS                   "</f>
        <v xml:space="preserve">MEMPHIS                   </v>
      </c>
      <c r="F21561" t="str">
        <f t="shared" si="507"/>
        <v>TN</v>
      </c>
    </row>
    <row r="21562" spans="1:6" x14ac:dyDescent="0.25">
      <c r="A21562" t="str">
        <f>"000116301"</f>
        <v>000116301</v>
      </c>
      <c r="B21562" t="str">
        <f>"1003858168"</f>
        <v>1003858168</v>
      </c>
      <c r="C21562" t="str">
        <f>"207R00000X"</f>
        <v>207R00000X</v>
      </c>
      <c r="D21562" t="str">
        <f>"JAIN                     MANOJ        K           "</f>
        <v xml:space="preserve">JAIN                     MANOJ        K           </v>
      </c>
      <c r="E21562" t="str">
        <f>"MEMPHIS                   "</f>
        <v xml:space="preserve">MEMPHIS                   </v>
      </c>
      <c r="F21562" t="str">
        <f t="shared" si="507"/>
        <v>TN</v>
      </c>
    </row>
    <row r="21563" spans="1:6" x14ac:dyDescent="0.25">
      <c r="A21563" t="str">
        <f>"000116302"</f>
        <v>000116302</v>
      </c>
      <c r="B21563" t="str">
        <f>"1902853393"</f>
        <v>1902853393</v>
      </c>
      <c r="C21563" t="str">
        <f>"207W00000X"</f>
        <v>207W00000X</v>
      </c>
      <c r="D21563" t="str">
        <f>"LINN                     JOHN         E           "</f>
        <v xml:space="preserve">LINN                     JOHN         E           </v>
      </c>
      <c r="E21563" t="str">
        <f>"MEMPHIS                   "</f>
        <v xml:space="preserve">MEMPHIS                   </v>
      </c>
      <c r="F21563" t="str">
        <f t="shared" si="507"/>
        <v>TN</v>
      </c>
    </row>
    <row r="21564" spans="1:6" x14ac:dyDescent="0.25">
      <c r="A21564" t="str">
        <f>"000116361"</f>
        <v>000116361</v>
      </c>
      <c r="B21564" t="str">
        <f>"1346355963"</f>
        <v>1346355963</v>
      </c>
      <c r="C21564" t="str">
        <f>"2080P0206X"</f>
        <v>2080P0206X</v>
      </c>
      <c r="D21564" t="str">
        <f>"CORKINS                  MARK         R           "</f>
        <v xml:space="preserve">CORKINS                  MARK         R           </v>
      </c>
      <c r="E21564" t="str">
        <f>"MEMPHIS                   "</f>
        <v xml:space="preserve">MEMPHIS                   </v>
      </c>
      <c r="F21564" t="str">
        <f t="shared" si="507"/>
        <v>TN</v>
      </c>
    </row>
    <row r="21565" spans="1:6" x14ac:dyDescent="0.25">
      <c r="A21565" t="str">
        <f>"000116421"</f>
        <v>000116421</v>
      </c>
      <c r="B21565" t="str">
        <f>"1194779199"</f>
        <v>1194779199</v>
      </c>
      <c r="C21565" t="str">
        <f>"367500000X"</f>
        <v>367500000X</v>
      </c>
      <c r="D21565" t="str">
        <f>"SUROWKA                  STASHA                   "</f>
        <v xml:space="preserve">SUROWKA                  STASHA                   </v>
      </c>
      <c r="E21565" t="str">
        <f>"GERMANTOWN                "</f>
        <v xml:space="preserve">GERMANTOWN                </v>
      </c>
      <c r="F21565" t="str">
        <f t="shared" si="507"/>
        <v>TN</v>
      </c>
    </row>
    <row r="21566" spans="1:6" x14ac:dyDescent="0.25">
      <c r="A21566" t="str">
        <f>"000116435"</f>
        <v>000116435</v>
      </c>
      <c r="B21566" t="str">
        <f>"1952398646"</f>
        <v>1952398646</v>
      </c>
      <c r="C21566" t="str">
        <f>"207X00000X"</f>
        <v>207X00000X</v>
      </c>
      <c r="D21566" t="str">
        <f>"MURPHY                   GARNETT      A           "</f>
        <v xml:space="preserve">MURPHY                   GARNETT      A           </v>
      </c>
      <c r="E21566" t="str">
        <f>"GERMANTOWN                "</f>
        <v xml:space="preserve">GERMANTOWN                </v>
      </c>
      <c r="F21566" t="str">
        <f t="shared" ref="F21566:F21629" si="510">"TN"</f>
        <v>TN</v>
      </c>
    </row>
    <row r="21567" spans="1:6" x14ac:dyDescent="0.25">
      <c r="A21567" t="str">
        <f>"000116441"</f>
        <v>000116441</v>
      </c>
      <c r="B21567" t="str">
        <f>"1043316821"</f>
        <v>1043316821</v>
      </c>
      <c r="C21567" t="str">
        <f>"2086S0122X"</f>
        <v>2086S0122X</v>
      </c>
      <c r="D21567" t="str">
        <f>"SHELL III                DAN          H           "</f>
        <v xml:space="preserve">SHELL III                DAN          H           </v>
      </c>
      <c r="E21567" t="str">
        <f>"MEMPHIS                   "</f>
        <v xml:space="preserve">MEMPHIS                   </v>
      </c>
      <c r="F21567" t="str">
        <f t="shared" si="510"/>
        <v>TN</v>
      </c>
    </row>
    <row r="21568" spans="1:6" x14ac:dyDescent="0.25">
      <c r="A21568" t="str">
        <f>"000116591"</f>
        <v>000116591</v>
      </c>
      <c r="B21568" t="str">
        <f>"1801901293"</f>
        <v>1801901293</v>
      </c>
      <c r="C21568" t="str">
        <f>"2085R0202X"</f>
        <v>2085R0202X</v>
      </c>
      <c r="D21568" t="str">
        <f>"MACHIN                   JAMES        E           "</f>
        <v xml:space="preserve">MACHIN                   JAMES        E           </v>
      </c>
      <c r="E21568" t="str">
        <f>"GERMANTOWN                "</f>
        <v xml:space="preserve">GERMANTOWN                </v>
      </c>
      <c r="F21568" t="str">
        <f t="shared" si="510"/>
        <v>TN</v>
      </c>
    </row>
    <row r="21569" spans="1:6" x14ac:dyDescent="0.25">
      <c r="A21569" t="str">
        <f>"000116593"</f>
        <v>000116593</v>
      </c>
      <c r="B21569" t="str">
        <f>"1841229218"</f>
        <v>1841229218</v>
      </c>
      <c r="C21569" t="str">
        <f>"2085R0204X"</f>
        <v>2085R0204X</v>
      </c>
      <c r="D21569" t="str">
        <f>"BAUM                     SCOTT        L           "</f>
        <v xml:space="preserve">BAUM                     SCOTT        L           </v>
      </c>
      <c r="E21569" t="str">
        <f>"GERMANTOWN                "</f>
        <v xml:space="preserve">GERMANTOWN                </v>
      </c>
      <c r="F21569" t="str">
        <f t="shared" si="510"/>
        <v>TN</v>
      </c>
    </row>
    <row r="21570" spans="1:6" x14ac:dyDescent="0.25">
      <c r="A21570" t="str">
        <f>"000116747"</f>
        <v>000116747</v>
      </c>
      <c r="B21570" t="str">
        <f>"1962460998"</f>
        <v>1962460998</v>
      </c>
      <c r="C21570" t="str">
        <f>"367500000X"</f>
        <v>367500000X</v>
      </c>
      <c r="D21570" t="str">
        <f>"MCCONNELL                MIKE         C           "</f>
        <v xml:space="preserve">MCCONNELL                MIKE         C           </v>
      </c>
      <c r="E21570" t="str">
        <f>"KNOXVILLE                 "</f>
        <v xml:space="preserve">KNOXVILLE                 </v>
      </c>
      <c r="F21570" t="str">
        <f t="shared" si="510"/>
        <v>TN</v>
      </c>
    </row>
    <row r="21571" spans="1:6" x14ac:dyDescent="0.25">
      <c r="A21571" t="str">
        <f>"000116759"</f>
        <v>000116759</v>
      </c>
      <c r="B21571" t="str">
        <f>"1619977188"</f>
        <v>1619977188</v>
      </c>
      <c r="C21571" t="str">
        <f>"207R00000X"</f>
        <v>207R00000X</v>
      </c>
      <c r="D21571" t="str">
        <f>"STEWART                  DAVID        G           "</f>
        <v xml:space="preserve">STEWART                  DAVID        G           </v>
      </c>
      <c r="E21571" t="str">
        <f>"GERMANTOWN                "</f>
        <v xml:space="preserve">GERMANTOWN                </v>
      </c>
      <c r="F21571" t="str">
        <f t="shared" si="510"/>
        <v>TN</v>
      </c>
    </row>
    <row r="21572" spans="1:6" x14ac:dyDescent="0.25">
      <c r="A21572" t="str">
        <f>"000116765"</f>
        <v>000116765</v>
      </c>
      <c r="B21572" t="str">
        <f>"1770583049"</f>
        <v>1770583049</v>
      </c>
      <c r="C21572" t="str">
        <f>"207RC0000X"</f>
        <v>207RC0000X</v>
      </c>
      <c r="D21572" t="str">
        <f>"ANDERSON                 KEITH        G           "</f>
        <v xml:space="preserve">ANDERSON                 KEITH        G           </v>
      </c>
      <c r="E21572" t="str">
        <f>"GERMANTOWN                "</f>
        <v xml:space="preserve">GERMANTOWN                </v>
      </c>
      <c r="F21572" t="str">
        <f t="shared" si="510"/>
        <v>TN</v>
      </c>
    </row>
    <row r="21573" spans="1:6" x14ac:dyDescent="0.25">
      <c r="A21573" t="str">
        <f>"000116788"</f>
        <v>000116788</v>
      </c>
      <c r="B21573" t="str">
        <f>"1710082987"</f>
        <v>1710082987</v>
      </c>
      <c r="C21573" t="str">
        <f>"207V00000X"</f>
        <v>207V00000X</v>
      </c>
      <c r="D21573" t="str">
        <f>"KUTTEH                   WILLIAM      H           "</f>
        <v xml:space="preserve">KUTTEH                   WILLIAM      H           </v>
      </c>
      <c r="E21573" t="str">
        <f>"MEMPHIS                   "</f>
        <v xml:space="preserve">MEMPHIS                   </v>
      </c>
      <c r="F21573" t="str">
        <f t="shared" si="510"/>
        <v>TN</v>
      </c>
    </row>
    <row r="21574" spans="1:6" x14ac:dyDescent="0.25">
      <c r="A21574" t="str">
        <f>"000117024"</f>
        <v>000117024</v>
      </c>
      <c r="B21574" t="str">
        <f>"1205803608"</f>
        <v>1205803608</v>
      </c>
      <c r="C21574" t="str">
        <f>"207V00000X"</f>
        <v>207V00000X</v>
      </c>
      <c r="D21574" t="str">
        <f>"PORTERA                  STEPHEN      G           "</f>
        <v xml:space="preserve">PORTERA                  STEPHEN      G           </v>
      </c>
      <c r="E21574" t="str">
        <f>"MEMPHIS                   "</f>
        <v xml:space="preserve">MEMPHIS                   </v>
      </c>
      <c r="F21574" t="str">
        <f t="shared" si="510"/>
        <v>TN</v>
      </c>
    </row>
    <row r="21575" spans="1:6" x14ac:dyDescent="0.25">
      <c r="A21575" t="str">
        <f>"000117170"</f>
        <v>000117170</v>
      </c>
      <c r="B21575" t="str">
        <f>"1609876036"</f>
        <v>1609876036</v>
      </c>
      <c r="C21575" t="str">
        <f>"207RC0000X"</f>
        <v>207RC0000X</v>
      </c>
      <c r="D21575" t="str">
        <f>"MCDONALD                 MICHAEL      B           "</f>
        <v xml:space="preserve">MCDONALD                 MICHAEL      B           </v>
      </c>
      <c r="E21575" t="str">
        <f>"GERMANTOWN                "</f>
        <v xml:space="preserve">GERMANTOWN                </v>
      </c>
      <c r="F21575" t="str">
        <f t="shared" si="510"/>
        <v>TN</v>
      </c>
    </row>
    <row r="21576" spans="1:6" x14ac:dyDescent="0.25">
      <c r="A21576" t="str">
        <f>"000117356"</f>
        <v>000117356</v>
      </c>
      <c r="B21576" t="str">
        <f>"1568465482"</f>
        <v>1568465482</v>
      </c>
      <c r="C21576" t="str">
        <f>"207R00000X"</f>
        <v>207R00000X</v>
      </c>
      <c r="D21576" t="str">
        <f>"RICHARDSON               BRENDA       J           "</f>
        <v xml:space="preserve">RICHARDSON               BRENDA       J           </v>
      </c>
      <c r="E21576" t="str">
        <f>"MEMPHIS                   "</f>
        <v xml:space="preserve">MEMPHIS                   </v>
      </c>
      <c r="F21576" t="str">
        <f t="shared" si="510"/>
        <v>TN</v>
      </c>
    </row>
    <row r="21577" spans="1:6" x14ac:dyDescent="0.25">
      <c r="A21577" t="str">
        <f>"000117887"</f>
        <v>000117887</v>
      </c>
      <c r="B21577" t="str">
        <f>"1952304925"</f>
        <v>1952304925</v>
      </c>
      <c r="C21577" t="str">
        <f>"2085R0202X"</f>
        <v>2085R0202X</v>
      </c>
      <c r="D21577" t="str">
        <f>"CARRUTH                  PAUL         C           "</f>
        <v xml:space="preserve">CARRUTH                  PAUL         C           </v>
      </c>
      <c r="E21577" t="str">
        <f>"MEMPHIS                   "</f>
        <v xml:space="preserve">MEMPHIS                   </v>
      </c>
      <c r="F21577" t="str">
        <f t="shared" si="510"/>
        <v>TN</v>
      </c>
    </row>
    <row r="21578" spans="1:6" x14ac:dyDescent="0.25">
      <c r="A21578" t="str">
        <f>"000117912"</f>
        <v>000117912</v>
      </c>
      <c r="B21578" t="str">
        <f>"1578529129"</f>
        <v>1578529129</v>
      </c>
      <c r="C21578" t="str">
        <f>"207Y00000X"</f>
        <v>207Y00000X</v>
      </c>
      <c r="D21578" t="str">
        <f>"STOCKS                   ROSE MARY    S           "</f>
        <v xml:space="preserve">STOCKS                   ROSE MARY    S           </v>
      </c>
      <c r="E21578" t="str">
        <f>"MEMPHIS                   "</f>
        <v xml:space="preserve">MEMPHIS                   </v>
      </c>
      <c r="F21578" t="str">
        <f t="shared" si="510"/>
        <v>TN</v>
      </c>
    </row>
    <row r="21579" spans="1:6" x14ac:dyDescent="0.25">
      <c r="A21579" t="str">
        <f>"000117972"</f>
        <v>000117972</v>
      </c>
      <c r="B21579" t="str">
        <f>"1942203682"</f>
        <v>1942203682</v>
      </c>
      <c r="C21579" t="str">
        <f>"208D00000X"</f>
        <v>208D00000X</v>
      </c>
      <c r="D21579" t="str">
        <f>"PUI                      CHING-HON                "</f>
        <v xml:space="preserve">PUI                      CHING-HON                </v>
      </c>
      <c r="E21579" t="str">
        <f>"MEMPHIS                   "</f>
        <v xml:space="preserve">MEMPHIS                   </v>
      </c>
      <c r="F21579" t="str">
        <f t="shared" si="510"/>
        <v>TN</v>
      </c>
    </row>
    <row r="21580" spans="1:6" x14ac:dyDescent="0.25">
      <c r="A21580" t="str">
        <f>"000118044"</f>
        <v>000118044</v>
      </c>
      <c r="B21580" t="str">
        <f>"1972584571"</f>
        <v>1972584571</v>
      </c>
      <c r="C21580" t="str">
        <f>"207R00000X"</f>
        <v>207R00000X</v>
      </c>
      <c r="D21580" t="str">
        <f>"MANCELL                  JIMMIE                   "</f>
        <v xml:space="preserve">MANCELL                  JIMMIE                   </v>
      </c>
      <c r="E21580" t="str">
        <f>"GERMANTOWN                "</f>
        <v xml:space="preserve">GERMANTOWN                </v>
      </c>
      <c r="F21580" t="str">
        <f t="shared" si="510"/>
        <v>TN</v>
      </c>
    </row>
    <row r="21581" spans="1:6" x14ac:dyDescent="0.25">
      <c r="A21581" t="str">
        <f>"000118062"</f>
        <v>000118062</v>
      </c>
      <c r="B21581" t="str">
        <f>"1518960392"</f>
        <v>1518960392</v>
      </c>
      <c r="C21581" t="str">
        <f>"2085R0001X"</f>
        <v>2085R0001X</v>
      </c>
      <c r="D21581" t="str">
        <f>"MERCHANT                 THOMAS       E           "</f>
        <v xml:space="preserve">MERCHANT                 THOMAS       E           </v>
      </c>
      <c r="E21581" t="str">
        <f>"MEMPHIS                   "</f>
        <v xml:space="preserve">MEMPHIS                   </v>
      </c>
      <c r="F21581" t="str">
        <f t="shared" si="510"/>
        <v>TN</v>
      </c>
    </row>
    <row r="21582" spans="1:6" x14ac:dyDescent="0.25">
      <c r="A21582" t="str">
        <f>"000118068"</f>
        <v>000118068</v>
      </c>
      <c r="B21582" t="str">
        <f>"1861495889"</f>
        <v>1861495889</v>
      </c>
      <c r="C21582" t="str">
        <f>"208000000X"</f>
        <v>208000000X</v>
      </c>
      <c r="D21582" t="str">
        <f>"HUDSON                   MELISSA      M           "</f>
        <v xml:space="preserve">HUDSON                   MELISSA      M           </v>
      </c>
      <c r="E21582" t="str">
        <f>"MEMPHIS                   "</f>
        <v xml:space="preserve">MEMPHIS                   </v>
      </c>
      <c r="F21582" t="str">
        <f t="shared" si="510"/>
        <v>TN</v>
      </c>
    </row>
    <row r="21583" spans="1:6" x14ac:dyDescent="0.25">
      <c r="A21583" t="str">
        <f>"000118450"</f>
        <v>000118450</v>
      </c>
      <c r="B21583" t="str">
        <f>"1245289305"</f>
        <v>1245289305</v>
      </c>
      <c r="C21583" t="str">
        <f>"207RA0000X"</f>
        <v>207RA0000X</v>
      </c>
      <c r="D21583" t="str">
        <f>"WARR                     ALSTON                   "</f>
        <v xml:space="preserve">WARR                     ALSTON                   </v>
      </c>
      <c r="E21583" t="str">
        <f>"GERMANTOWN                "</f>
        <v xml:space="preserve">GERMANTOWN                </v>
      </c>
      <c r="F21583" t="str">
        <f t="shared" si="510"/>
        <v>TN</v>
      </c>
    </row>
    <row r="21584" spans="1:6" x14ac:dyDescent="0.25">
      <c r="A21584" t="str">
        <f>"000118461"</f>
        <v>000118461</v>
      </c>
      <c r="B21584" t="str">
        <f>"1487761151"</f>
        <v>1487761151</v>
      </c>
      <c r="C21584" t="str">
        <f>"207P00000X"</f>
        <v>207P00000X</v>
      </c>
      <c r="D21584" t="str">
        <f>"MCLEOD                   MARILYN                  "</f>
        <v xml:space="preserve">MCLEOD                   MARILYN                  </v>
      </c>
      <c r="E21584" t="str">
        <f t="shared" ref="E21584:E21590" si="511">"MEMPHIS                   "</f>
        <v xml:space="preserve">MEMPHIS                   </v>
      </c>
      <c r="F21584" t="str">
        <f t="shared" si="510"/>
        <v>TN</v>
      </c>
    </row>
    <row r="21585" spans="1:6" x14ac:dyDescent="0.25">
      <c r="A21585" t="str">
        <f>"000118708"</f>
        <v>000118708</v>
      </c>
      <c r="B21585" t="str">
        <f>"1508869793"</f>
        <v>1508869793</v>
      </c>
      <c r="C21585" t="str">
        <f>"2086S0120X"</f>
        <v>2086S0120X</v>
      </c>
      <c r="D21585" t="str">
        <f>"DAVIDOFF                 ANDREW       M           "</f>
        <v xml:space="preserve">DAVIDOFF                 ANDREW       M           </v>
      </c>
      <c r="E21585" t="str">
        <f t="shared" si="511"/>
        <v xml:space="preserve">MEMPHIS                   </v>
      </c>
      <c r="F21585" t="str">
        <f t="shared" si="510"/>
        <v>TN</v>
      </c>
    </row>
    <row r="21586" spans="1:6" x14ac:dyDescent="0.25">
      <c r="A21586" t="str">
        <f>"000118754"</f>
        <v>000118754</v>
      </c>
      <c r="B21586" t="str">
        <f>"1366486821"</f>
        <v>1366486821</v>
      </c>
      <c r="C21586" t="str">
        <f>"208G00000X"</f>
        <v>208G00000X</v>
      </c>
      <c r="D21586" t="str">
        <f>"WOLF                     BRADLEY      A           "</f>
        <v xml:space="preserve">WOLF                     BRADLEY      A           </v>
      </c>
      <c r="E21586" t="str">
        <f t="shared" si="511"/>
        <v xml:space="preserve">MEMPHIS                   </v>
      </c>
      <c r="F21586" t="str">
        <f t="shared" si="510"/>
        <v>TN</v>
      </c>
    </row>
    <row r="21587" spans="1:6" x14ac:dyDescent="0.25">
      <c r="A21587" t="str">
        <f>"000119303"</f>
        <v>000119303</v>
      </c>
      <c r="B21587" t="str">
        <f>"1366518938"</f>
        <v>1366518938</v>
      </c>
      <c r="C21587" t="str">
        <f>"207R00000X"</f>
        <v>207R00000X</v>
      </c>
      <c r="D21587" t="str">
        <f>"KAMIN                    EHUD         R           "</f>
        <v xml:space="preserve">KAMIN                    EHUD         R           </v>
      </c>
      <c r="E21587" t="str">
        <f t="shared" si="511"/>
        <v xml:space="preserve">MEMPHIS                   </v>
      </c>
      <c r="F21587" t="str">
        <f t="shared" si="510"/>
        <v>TN</v>
      </c>
    </row>
    <row r="21588" spans="1:6" x14ac:dyDescent="0.25">
      <c r="A21588" t="str">
        <f>"000119320"</f>
        <v>000119320</v>
      </c>
      <c r="B21588" t="str">
        <f>"1225003239"</f>
        <v>1225003239</v>
      </c>
      <c r="C21588" t="str">
        <f>"207L00000X"</f>
        <v>207L00000X</v>
      </c>
      <c r="D21588" t="str">
        <f>"BARTUSCH                 SCOTT        L           "</f>
        <v xml:space="preserve">BARTUSCH                 SCOTT        L           </v>
      </c>
      <c r="E21588" t="str">
        <f t="shared" si="511"/>
        <v xml:space="preserve">MEMPHIS                   </v>
      </c>
      <c r="F21588" t="str">
        <f t="shared" si="510"/>
        <v>TN</v>
      </c>
    </row>
    <row r="21589" spans="1:6" x14ac:dyDescent="0.25">
      <c r="A21589" t="str">
        <f>"000119358"</f>
        <v>000119358</v>
      </c>
      <c r="B21589" t="str">
        <f>"1760459168"</f>
        <v>1760459168</v>
      </c>
      <c r="C21589" t="str">
        <f>"2084N0400X"</f>
        <v>2084N0400X</v>
      </c>
      <c r="D21589" t="str">
        <f>"BERTORINI                TULIO        E           "</f>
        <v xml:space="preserve">BERTORINI                TULIO        E           </v>
      </c>
      <c r="E21589" t="str">
        <f t="shared" si="511"/>
        <v xml:space="preserve">MEMPHIS                   </v>
      </c>
      <c r="F21589" t="str">
        <f t="shared" si="510"/>
        <v>TN</v>
      </c>
    </row>
    <row r="21590" spans="1:6" x14ac:dyDescent="0.25">
      <c r="A21590" t="str">
        <f>"000119407"</f>
        <v>000119407</v>
      </c>
      <c r="B21590" t="str">
        <f>"1417968314"</f>
        <v>1417968314</v>
      </c>
      <c r="C21590" t="str">
        <f>"207RC0000X"</f>
        <v>207RC0000X</v>
      </c>
      <c r="D21590" t="str">
        <f>"KHAN                     SHAHID       I           "</f>
        <v xml:space="preserve">KHAN                     SHAHID       I           </v>
      </c>
      <c r="E21590" t="str">
        <f t="shared" si="511"/>
        <v xml:space="preserve">MEMPHIS                   </v>
      </c>
      <c r="F21590" t="str">
        <f t="shared" si="510"/>
        <v>TN</v>
      </c>
    </row>
    <row r="21591" spans="1:6" x14ac:dyDescent="0.25">
      <c r="A21591" t="str">
        <f>"000119960"</f>
        <v>000119960</v>
      </c>
      <c r="B21591" t="str">
        <f>"1144245234"</f>
        <v>1144245234</v>
      </c>
      <c r="C21591" t="str">
        <f>"207RG0100X"</f>
        <v>207RG0100X</v>
      </c>
      <c r="D21591" t="str">
        <f>"BIERMAN                  PAUL         S           "</f>
        <v xml:space="preserve">BIERMAN                  PAUL         S           </v>
      </c>
      <c r="E21591" t="str">
        <f>"GERMANTOWN                "</f>
        <v xml:space="preserve">GERMANTOWN                </v>
      </c>
      <c r="F21591" t="str">
        <f t="shared" si="510"/>
        <v>TN</v>
      </c>
    </row>
    <row r="21592" spans="1:6" x14ac:dyDescent="0.25">
      <c r="A21592" t="str">
        <f>"000119969"</f>
        <v>000119969</v>
      </c>
      <c r="B21592" t="str">
        <f>"1134173024"</f>
        <v>1134173024</v>
      </c>
      <c r="C21592" t="str">
        <f>"207R00000X"</f>
        <v>207R00000X</v>
      </c>
      <c r="D21592" t="str">
        <f>"OWENS                    CURTIS       L           "</f>
        <v xml:space="preserve">OWENS                    CURTIS       L           </v>
      </c>
      <c r="E21592" t="str">
        <f>"MEMPHIS                   "</f>
        <v xml:space="preserve">MEMPHIS                   </v>
      </c>
      <c r="F21592" t="str">
        <f t="shared" si="510"/>
        <v>TN</v>
      </c>
    </row>
    <row r="21593" spans="1:6" x14ac:dyDescent="0.25">
      <c r="A21593" t="str">
        <f>"000120094"</f>
        <v>000120094</v>
      </c>
      <c r="B21593" t="str">
        <f>"1508971995"</f>
        <v>1508971995</v>
      </c>
      <c r="C21593" t="str">
        <f>"2085R0202X"</f>
        <v>2085R0202X</v>
      </c>
      <c r="D21593" t="str">
        <f>"MORRIS                   STEPHEN      D           "</f>
        <v xml:space="preserve">MORRIS                   STEPHEN      D           </v>
      </c>
      <c r="E21593" t="str">
        <f>"GERMANTOWN                "</f>
        <v xml:space="preserve">GERMANTOWN                </v>
      </c>
      <c r="F21593" t="str">
        <f t="shared" si="510"/>
        <v>TN</v>
      </c>
    </row>
    <row r="21594" spans="1:6" x14ac:dyDescent="0.25">
      <c r="A21594" t="str">
        <f>"000120286"</f>
        <v>000120286</v>
      </c>
      <c r="B21594" t="str">
        <f>"1477586345"</f>
        <v>1477586345</v>
      </c>
      <c r="C21594" t="str">
        <f>"363L00000X"</f>
        <v>363L00000X</v>
      </c>
      <c r="D21594" t="str">
        <f>"HOFFMANN                 EMILY        A           "</f>
        <v xml:space="preserve">HOFFMANN                 EMILY        A           </v>
      </c>
      <c r="E21594" t="str">
        <f>"GERMANTOWN                "</f>
        <v xml:space="preserve">GERMANTOWN                </v>
      </c>
      <c r="F21594" t="str">
        <f t="shared" si="510"/>
        <v>TN</v>
      </c>
    </row>
    <row r="21595" spans="1:6" x14ac:dyDescent="0.25">
      <c r="A21595" t="str">
        <f>"000120289"</f>
        <v>000120289</v>
      </c>
      <c r="B21595" t="str">
        <f>"1528067584"</f>
        <v>1528067584</v>
      </c>
      <c r="C21595" t="str">
        <f>"367500000X"</f>
        <v>367500000X</v>
      </c>
      <c r="D21595" t="str">
        <f>"BENZ                     CHARLENE     A           "</f>
        <v xml:space="preserve">BENZ                     CHARLENE     A           </v>
      </c>
      <c r="E21595" t="str">
        <f>"MEMPHIS                   "</f>
        <v xml:space="preserve">MEMPHIS                   </v>
      </c>
      <c r="F21595" t="str">
        <f t="shared" si="510"/>
        <v>TN</v>
      </c>
    </row>
    <row r="21596" spans="1:6" x14ac:dyDescent="0.25">
      <c r="A21596" t="str">
        <f>"000120386"</f>
        <v>000120386</v>
      </c>
      <c r="B21596" t="str">
        <f>"1538185889"</f>
        <v>1538185889</v>
      </c>
      <c r="C21596" t="str">
        <f>"207R00000X"</f>
        <v>207R00000X</v>
      </c>
      <c r="D21596" t="str">
        <f>"LONG                     CELESTE      S           "</f>
        <v xml:space="preserve">LONG                     CELESTE      S           </v>
      </c>
      <c r="E21596" t="str">
        <f>"GERMANTOWN                "</f>
        <v xml:space="preserve">GERMANTOWN                </v>
      </c>
      <c r="F21596" t="str">
        <f t="shared" si="510"/>
        <v>TN</v>
      </c>
    </row>
    <row r="21597" spans="1:6" x14ac:dyDescent="0.25">
      <c r="A21597" t="str">
        <f>"000120431"</f>
        <v>000120431</v>
      </c>
      <c r="B21597" t="str">
        <f>"1982602785"</f>
        <v>1982602785</v>
      </c>
      <c r="C21597" t="str">
        <f>"207RH0003X"</f>
        <v>207RH0003X</v>
      </c>
      <c r="D21597" t="str">
        <f>"WALSH                    WILLIAM      K           "</f>
        <v xml:space="preserve">WALSH                    WILLIAM      K           </v>
      </c>
      <c r="E21597" t="str">
        <f>"BARTLETT                  "</f>
        <v xml:space="preserve">BARTLETT                  </v>
      </c>
      <c r="F21597" t="str">
        <f t="shared" si="510"/>
        <v>TN</v>
      </c>
    </row>
    <row r="21598" spans="1:6" x14ac:dyDescent="0.25">
      <c r="A21598" t="str">
        <f>"000120462"</f>
        <v>000120462</v>
      </c>
      <c r="B21598" t="str">
        <f>"1629078324"</f>
        <v>1629078324</v>
      </c>
      <c r="C21598" t="str">
        <f>"207RC0001X"</f>
        <v>207RC0001X</v>
      </c>
      <c r="D21598" t="str">
        <f>"LITZOW                   JAMES        T           "</f>
        <v xml:space="preserve">LITZOW                   JAMES        T           </v>
      </c>
      <c r="E21598" t="str">
        <f>"MEMPHIS                   "</f>
        <v xml:space="preserve">MEMPHIS                   </v>
      </c>
      <c r="F21598" t="str">
        <f t="shared" si="510"/>
        <v>TN</v>
      </c>
    </row>
    <row r="21599" spans="1:6" x14ac:dyDescent="0.25">
      <c r="A21599" t="str">
        <f>"000120615"</f>
        <v>000120615</v>
      </c>
      <c r="B21599" t="str">
        <f>"1538160601"</f>
        <v>1538160601</v>
      </c>
      <c r="C21599" t="str">
        <f>"207P00000X"</f>
        <v>207P00000X</v>
      </c>
      <c r="D21599" t="str">
        <f>"BEAN                     ALBERT       L           "</f>
        <v xml:space="preserve">BEAN                     ALBERT       L           </v>
      </c>
      <c r="E21599" t="str">
        <f>"MEMPHIS                   "</f>
        <v xml:space="preserve">MEMPHIS                   </v>
      </c>
      <c r="F21599" t="str">
        <f t="shared" si="510"/>
        <v>TN</v>
      </c>
    </row>
    <row r="21600" spans="1:6" x14ac:dyDescent="0.25">
      <c r="A21600" t="str">
        <f>"000120691"</f>
        <v>000120691</v>
      </c>
      <c r="B21600" t="str">
        <f>"1124021365"</f>
        <v>1124021365</v>
      </c>
      <c r="C21600" t="str">
        <f>"2085R0202X"</f>
        <v>2085R0202X</v>
      </c>
      <c r="D21600" t="str">
        <f>"GRAVES                   WILLIAM      A           "</f>
        <v xml:space="preserve">GRAVES                   WILLIAM      A           </v>
      </c>
      <c r="E21600" t="str">
        <f>"MEMPHIS                   "</f>
        <v xml:space="preserve">MEMPHIS                   </v>
      </c>
      <c r="F21600" t="str">
        <f t="shared" si="510"/>
        <v>TN</v>
      </c>
    </row>
    <row r="21601" spans="1:6" x14ac:dyDescent="0.25">
      <c r="A21601" t="str">
        <f>"000120713"</f>
        <v>000120713</v>
      </c>
      <c r="B21601" t="str">
        <f>"1295738680"</f>
        <v>1295738680</v>
      </c>
      <c r="C21601" t="str">
        <f>"2085R0001X"</f>
        <v>2085R0001X</v>
      </c>
      <c r="D21601" t="str">
        <f>"GIESCHEN                 HOLGER       L           "</f>
        <v xml:space="preserve">GIESCHEN                 HOLGER       L           </v>
      </c>
      <c r="E21601" t="str">
        <f>"GERMANTOWN                "</f>
        <v xml:space="preserve">GERMANTOWN                </v>
      </c>
      <c r="F21601" t="str">
        <f t="shared" si="510"/>
        <v>TN</v>
      </c>
    </row>
    <row r="21602" spans="1:6" x14ac:dyDescent="0.25">
      <c r="A21602" t="str">
        <f>"000120741"</f>
        <v>000120741</v>
      </c>
      <c r="B21602" t="str">
        <f>"1780609008"</f>
        <v>1780609008</v>
      </c>
      <c r="C21602" t="str">
        <f>"207L00000X"</f>
        <v>207L00000X</v>
      </c>
      <c r="D21602" t="str">
        <f>"ESKIN                    MARC         S           "</f>
        <v xml:space="preserve">ESKIN                    MARC         S           </v>
      </c>
      <c r="E21602" t="str">
        <f t="shared" ref="E21602:E21613" si="512">"MEMPHIS                   "</f>
        <v xml:space="preserve">MEMPHIS                   </v>
      </c>
      <c r="F21602" t="str">
        <f t="shared" si="510"/>
        <v>TN</v>
      </c>
    </row>
    <row r="21603" spans="1:6" x14ac:dyDescent="0.25">
      <c r="A21603" t="str">
        <f>"000120809"</f>
        <v>000120809</v>
      </c>
      <c r="B21603" t="str">
        <f>"1912900507"</f>
        <v>1912900507</v>
      </c>
      <c r="C21603" t="str">
        <f>"2080P0207X"</f>
        <v>2080P0207X</v>
      </c>
      <c r="D21603" t="str">
        <f>"RODRIGUEZ-GALINDO        CARLOS                   "</f>
        <v xml:space="preserve">RODRIGUEZ-GALINDO        CARLOS                   </v>
      </c>
      <c r="E21603" t="str">
        <f t="shared" si="512"/>
        <v xml:space="preserve">MEMPHIS                   </v>
      </c>
      <c r="F21603" t="str">
        <f t="shared" si="510"/>
        <v>TN</v>
      </c>
    </row>
    <row r="21604" spans="1:6" x14ac:dyDescent="0.25">
      <c r="A21604" t="str">
        <f>"000120854"</f>
        <v>000120854</v>
      </c>
      <c r="B21604" t="str">
        <f>"1104883701"</f>
        <v>1104883701</v>
      </c>
      <c r="C21604" t="str">
        <f>"207W00000X"</f>
        <v>207W00000X</v>
      </c>
      <c r="D21604" t="str">
        <f>"WILSON                   MATTHEW      W           "</f>
        <v xml:space="preserve">WILSON                   MATTHEW      W           </v>
      </c>
      <c r="E21604" t="str">
        <f t="shared" si="512"/>
        <v xml:space="preserve">MEMPHIS                   </v>
      </c>
      <c r="F21604" t="str">
        <f t="shared" si="510"/>
        <v>TN</v>
      </c>
    </row>
    <row r="21605" spans="1:6" x14ac:dyDescent="0.25">
      <c r="A21605" t="str">
        <f>"000120944"</f>
        <v>000120944</v>
      </c>
      <c r="B21605" t="str">
        <f>"1801009089"</f>
        <v>1801009089</v>
      </c>
      <c r="C21605" t="str">
        <f>"2086S0129X"</f>
        <v>2086S0129X</v>
      </c>
      <c r="D21605" t="str">
        <f>"GARDNER                  JAMES        E           "</f>
        <v xml:space="preserve">GARDNER                  JAMES        E           </v>
      </c>
      <c r="E21605" t="str">
        <f t="shared" si="512"/>
        <v xml:space="preserve">MEMPHIS                   </v>
      </c>
      <c r="F21605" t="str">
        <f t="shared" si="510"/>
        <v>TN</v>
      </c>
    </row>
    <row r="21606" spans="1:6" x14ac:dyDescent="0.25">
      <c r="A21606" t="str">
        <f>"000121048"</f>
        <v>000121048</v>
      </c>
      <c r="B21606" t="str">
        <f>"1114919370"</f>
        <v>1114919370</v>
      </c>
      <c r="C21606" t="str">
        <f>"207R00000X"</f>
        <v>207R00000X</v>
      </c>
      <c r="D21606" t="str">
        <f>"FUNDERBURK               AMY          E           "</f>
        <v xml:space="preserve">FUNDERBURK               AMY          E           </v>
      </c>
      <c r="E21606" t="str">
        <f t="shared" si="512"/>
        <v xml:space="preserve">MEMPHIS                   </v>
      </c>
      <c r="F21606" t="str">
        <f t="shared" si="510"/>
        <v>TN</v>
      </c>
    </row>
    <row r="21607" spans="1:6" x14ac:dyDescent="0.25">
      <c r="A21607" t="str">
        <f>"000121077"</f>
        <v>000121077</v>
      </c>
      <c r="B21607" t="str">
        <f>"1184682270"</f>
        <v>1184682270</v>
      </c>
      <c r="C21607" t="str">
        <f>"367500000X"</f>
        <v>367500000X</v>
      </c>
      <c r="D21607" t="str">
        <f>"HAYES                    VINCENT                  "</f>
        <v xml:space="preserve">HAYES                    VINCENT                  </v>
      </c>
      <c r="E21607" t="str">
        <f t="shared" si="512"/>
        <v xml:space="preserve">MEMPHIS                   </v>
      </c>
      <c r="F21607" t="str">
        <f t="shared" si="510"/>
        <v>TN</v>
      </c>
    </row>
    <row r="21608" spans="1:6" x14ac:dyDescent="0.25">
      <c r="A21608" t="str">
        <f>"000121113"</f>
        <v>000121113</v>
      </c>
      <c r="B21608" t="str">
        <f>"1962402388"</f>
        <v>1962402388</v>
      </c>
      <c r="C21608" t="str">
        <f>"363L00000X"</f>
        <v>363L00000X</v>
      </c>
      <c r="D21608" t="str">
        <f>"PATON                    ELIZABETH    A           "</f>
        <v xml:space="preserve">PATON                    ELIZABETH    A           </v>
      </c>
      <c r="E21608" t="str">
        <f t="shared" si="512"/>
        <v xml:space="preserve">MEMPHIS                   </v>
      </c>
      <c r="F21608" t="str">
        <f t="shared" si="510"/>
        <v>TN</v>
      </c>
    </row>
    <row r="21609" spans="1:6" x14ac:dyDescent="0.25">
      <c r="A21609" t="str">
        <f>"000121150"</f>
        <v>000121150</v>
      </c>
      <c r="B21609" t="str">
        <f>"1861458416"</f>
        <v>1861458416</v>
      </c>
      <c r="C21609" t="str">
        <f>"207Y00000X"</f>
        <v>207Y00000X</v>
      </c>
      <c r="D21609" t="str">
        <f>"MACDONALD                CHARLES      B           "</f>
        <v xml:space="preserve">MACDONALD                CHARLES      B           </v>
      </c>
      <c r="E21609" t="str">
        <f t="shared" si="512"/>
        <v xml:space="preserve">MEMPHIS                   </v>
      </c>
      <c r="F21609" t="str">
        <f t="shared" si="510"/>
        <v>TN</v>
      </c>
    </row>
    <row r="21610" spans="1:6" x14ac:dyDescent="0.25">
      <c r="A21610" t="str">
        <f>"000121216"</f>
        <v>000121216</v>
      </c>
      <c r="B21610" t="str">
        <f>"1659372613"</f>
        <v>1659372613</v>
      </c>
      <c r="C21610" t="str">
        <f>"2080P0206X"</f>
        <v>2080P0206X</v>
      </c>
      <c r="D21610" t="str">
        <f>"ESHUN                    JOHN         K           "</f>
        <v xml:space="preserve">ESHUN                    JOHN         K           </v>
      </c>
      <c r="E21610" t="str">
        <f t="shared" si="512"/>
        <v xml:space="preserve">MEMPHIS                   </v>
      </c>
      <c r="F21610" t="str">
        <f t="shared" si="510"/>
        <v>TN</v>
      </c>
    </row>
    <row r="21611" spans="1:6" x14ac:dyDescent="0.25">
      <c r="A21611" t="str">
        <f>"000121227"</f>
        <v>000121227</v>
      </c>
      <c r="B21611" t="str">
        <f>"1023011236"</f>
        <v>1023011236</v>
      </c>
      <c r="C21611" t="str">
        <f>"2080P0208X"</f>
        <v>2080P0208X</v>
      </c>
      <c r="D21611" t="str">
        <f>"ADDERSON                 ELISABETH    E           "</f>
        <v xml:space="preserve">ADDERSON                 ELISABETH    E           </v>
      </c>
      <c r="E21611" t="str">
        <f t="shared" si="512"/>
        <v xml:space="preserve">MEMPHIS                   </v>
      </c>
      <c r="F21611" t="str">
        <f t="shared" si="510"/>
        <v>TN</v>
      </c>
    </row>
    <row r="21612" spans="1:6" x14ac:dyDescent="0.25">
      <c r="A21612" t="str">
        <f>"000121276"</f>
        <v>000121276</v>
      </c>
      <c r="B21612" t="str">
        <f>"1235110313"</f>
        <v>1235110313</v>
      </c>
      <c r="C21612" t="str">
        <f>"207RP1001X"</f>
        <v>207RP1001X</v>
      </c>
      <c r="D21612" t="str">
        <f>"DEATON                   PAUL         R           "</f>
        <v xml:space="preserve">DEATON                   PAUL         R           </v>
      </c>
      <c r="E21612" t="str">
        <f t="shared" si="512"/>
        <v xml:space="preserve">MEMPHIS                   </v>
      </c>
      <c r="F21612" t="str">
        <f t="shared" si="510"/>
        <v>TN</v>
      </c>
    </row>
    <row r="21613" spans="1:6" x14ac:dyDescent="0.25">
      <c r="A21613" t="str">
        <f>"000121309"</f>
        <v>000121309</v>
      </c>
      <c r="B21613" t="str">
        <f>"1023018587"</f>
        <v>1023018587</v>
      </c>
      <c r="C21613" t="str">
        <f>"208000000X"</f>
        <v>208000000X</v>
      </c>
      <c r="D21613" t="str">
        <f>"HOLTZMAN                 LORI         R           "</f>
        <v xml:space="preserve">HOLTZMAN                 LORI         R           </v>
      </c>
      <c r="E21613" t="str">
        <f t="shared" si="512"/>
        <v xml:space="preserve">MEMPHIS                   </v>
      </c>
      <c r="F21613" t="str">
        <f t="shared" si="510"/>
        <v>TN</v>
      </c>
    </row>
    <row r="21614" spans="1:6" x14ac:dyDescent="0.25">
      <c r="A21614" t="str">
        <f>"000121333"</f>
        <v>000121333</v>
      </c>
      <c r="B21614" t="str">
        <f>"1407813439"</f>
        <v>1407813439</v>
      </c>
      <c r="C21614" t="str">
        <f>"2084N0400X"</f>
        <v>2084N0400X</v>
      </c>
      <c r="D21614" t="str">
        <f>"LEDOUX                   MARK         S           "</f>
        <v xml:space="preserve">LEDOUX                   MARK         S           </v>
      </c>
      <c r="E21614" t="str">
        <f>"CORDOVA                   "</f>
        <v xml:space="preserve">CORDOVA                   </v>
      </c>
      <c r="F21614" t="str">
        <f t="shared" si="510"/>
        <v>TN</v>
      </c>
    </row>
    <row r="21615" spans="1:6" x14ac:dyDescent="0.25">
      <c r="A21615" t="str">
        <f>"000121340"</f>
        <v>000121340</v>
      </c>
      <c r="B21615" t="str">
        <f>"1063491280"</f>
        <v>1063491280</v>
      </c>
      <c r="C21615" t="str">
        <f>"207RC0200X"</f>
        <v>207RC0200X</v>
      </c>
      <c r="D21615" t="str">
        <f>"MABIE                    MATTHEW      W           "</f>
        <v xml:space="preserve">MABIE                    MATTHEW      W           </v>
      </c>
      <c r="E21615" t="str">
        <f>"MEMPHIS                   "</f>
        <v xml:space="preserve">MEMPHIS                   </v>
      </c>
      <c r="F21615" t="str">
        <f t="shared" si="510"/>
        <v>TN</v>
      </c>
    </row>
    <row r="21616" spans="1:6" x14ac:dyDescent="0.25">
      <c r="A21616" t="str">
        <f>"000121450"</f>
        <v>000121450</v>
      </c>
      <c r="B21616" t="str">
        <f>"1043212038"</f>
        <v>1043212038</v>
      </c>
      <c r="C21616" t="str">
        <f>"207P00000X"</f>
        <v>207P00000X</v>
      </c>
      <c r="D21616" t="str">
        <f>"WASHINGTON               MICHAEL      J           "</f>
        <v xml:space="preserve">WASHINGTON               MICHAEL      J           </v>
      </c>
      <c r="E21616" t="str">
        <f>"MEMPHIS                   "</f>
        <v xml:space="preserve">MEMPHIS                   </v>
      </c>
      <c r="F21616" t="str">
        <f t="shared" si="510"/>
        <v>TN</v>
      </c>
    </row>
    <row r="21617" spans="1:6" x14ac:dyDescent="0.25">
      <c r="A21617" t="str">
        <f>"000121599"</f>
        <v>000121599</v>
      </c>
      <c r="B21617" t="str">
        <f>"1093791956"</f>
        <v>1093791956</v>
      </c>
      <c r="C21617" t="str">
        <f>"207L00000X"</f>
        <v>207L00000X</v>
      </c>
      <c r="D21617" t="str">
        <f>"LEGGETT                  DAVID        C           "</f>
        <v xml:space="preserve">LEGGETT                  DAVID        C           </v>
      </c>
      <c r="E21617" t="str">
        <f>"MEMPHIS                   "</f>
        <v xml:space="preserve">MEMPHIS                   </v>
      </c>
      <c r="F21617" t="str">
        <f t="shared" si="510"/>
        <v>TN</v>
      </c>
    </row>
    <row r="21618" spans="1:6" x14ac:dyDescent="0.25">
      <c r="A21618" t="str">
        <f>"000122315"</f>
        <v>000122315</v>
      </c>
      <c r="B21618" t="str">
        <f>"1750381430"</f>
        <v>1750381430</v>
      </c>
      <c r="C21618" t="str">
        <f>"207R00000X"</f>
        <v>207R00000X</v>
      </c>
      <c r="D21618" t="str">
        <f>"BASCO                    EDUARDO      V           "</f>
        <v xml:space="preserve">BASCO                    EDUARDO      V           </v>
      </c>
      <c r="E21618" t="str">
        <f>"GERMANTOWN                "</f>
        <v xml:space="preserve">GERMANTOWN                </v>
      </c>
      <c r="F21618" t="str">
        <f t="shared" si="510"/>
        <v>TN</v>
      </c>
    </row>
    <row r="21619" spans="1:6" x14ac:dyDescent="0.25">
      <c r="A21619" t="str">
        <f>"000122373"</f>
        <v>000122373</v>
      </c>
      <c r="B21619" t="str">
        <f>"1295738128"</f>
        <v>1295738128</v>
      </c>
      <c r="C21619" t="str">
        <f>"207R00000X"</f>
        <v>207R00000X</v>
      </c>
      <c r="D21619" t="str">
        <f>"KAMO                     ALKA                     "</f>
        <v xml:space="preserve">KAMO                     ALKA                     </v>
      </c>
      <c r="E21619" t="str">
        <f>"MEMPHIS                   "</f>
        <v xml:space="preserve">MEMPHIS                   </v>
      </c>
      <c r="F21619" t="str">
        <f t="shared" si="510"/>
        <v>TN</v>
      </c>
    </row>
    <row r="21620" spans="1:6" x14ac:dyDescent="0.25">
      <c r="A21620" t="str">
        <f>"000122392"</f>
        <v>000122392</v>
      </c>
      <c r="B21620" t="str">
        <f>"1679500623"</f>
        <v>1679500623</v>
      </c>
      <c r="C21620" t="str">
        <f>"207R00000X"</f>
        <v>207R00000X</v>
      </c>
      <c r="D21620" t="str">
        <f>"KRISHNAMURTHI            LAKSHMI                  "</f>
        <v xml:space="preserve">KRISHNAMURTHI            LAKSHMI                  </v>
      </c>
      <c r="E21620" t="str">
        <f>"MEMPHIS                   "</f>
        <v xml:space="preserve">MEMPHIS                   </v>
      </c>
      <c r="F21620" t="str">
        <f t="shared" si="510"/>
        <v>TN</v>
      </c>
    </row>
    <row r="21621" spans="1:6" x14ac:dyDescent="0.25">
      <c r="A21621" t="str">
        <f>"000122431"</f>
        <v>000122431</v>
      </c>
      <c r="B21621" t="str">
        <f>"1841293925"</f>
        <v>1841293925</v>
      </c>
      <c r="C21621" t="str">
        <f>"2080P0208X"</f>
        <v>2080P0208X</v>
      </c>
      <c r="D21621" t="str">
        <f>"KNAPP                    KATHERINE    M           "</f>
        <v xml:space="preserve">KNAPP                    KATHERINE    M           </v>
      </c>
      <c r="E21621" t="str">
        <f>"MEMPHIS                   "</f>
        <v xml:space="preserve">MEMPHIS                   </v>
      </c>
      <c r="F21621" t="str">
        <f t="shared" si="510"/>
        <v>TN</v>
      </c>
    </row>
    <row r="21622" spans="1:6" x14ac:dyDescent="0.25">
      <c r="A21622" t="str">
        <f>"000122642"</f>
        <v>000122642</v>
      </c>
      <c r="B21622" t="str">
        <f>"1033176250"</f>
        <v>1033176250</v>
      </c>
      <c r="C21622" t="str">
        <f>"207R00000X"</f>
        <v>207R00000X</v>
      </c>
      <c r="D21622" t="str">
        <f>"CANADA                   ROBERT       B           "</f>
        <v xml:space="preserve">CANADA                   ROBERT       B           </v>
      </c>
      <c r="E21622" t="str">
        <f>"MEMPHIS                   "</f>
        <v xml:space="preserve">MEMPHIS                   </v>
      </c>
      <c r="F21622" t="str">
        <f t="shared" si="510"/>
        <v>TN</v>
      </c>
    </row>
    <row r="21623" spans="1:6" x14ac:dyDescent="0.25">
      <c r="A21623" t="str">
        <f>"000122666"</f>
        <v>000122666</v>
      </c>
      <c r="B21623" t="str">
        <f>"1972506046"</f>
        <v>1972506046</v>
      </c>
      <c r="C21623" t="str">
        <f>"2085R0202X"</f>
        <v>2085R0202X</v>
      </c>
      <c r="D21623" t="str">
        <f>"KRASIN                   MATTHEW      J           "</f>
        <v xml:space="preserve">KRASIN                   MATTHEW      J           </v>
      </c>
      <c r="E21623" t="str">
        <f>"MEMPHIS                   "</f>
        <v xml:space="preserve">MEMPHIS                   </v>
      </c>
      <c r="F21623" t="str">
        <f t="shared" si="510"/>
        <v>TN</v>
      </c>
    </row>
    <row r="21624" spans="1:6" x14ac:dyDescent="0.25">
      <c r="A21624" t="str">
        <f>"000122677"</f>
        <v>000122677</v>
      </c>
      <c r="B21624" t="str">
        <f>"1639170665"</f>
        <v>1639170665</v>
      </c>
      <c r="C21624" t="str">
        <f>"207RH0000X"</f>
        <v>207RH0000X</v>
      </c>
      <c r="D21624" t="str">
        <f>"RATLIFF                  THOMAS       W           "</f>
        <v xml:space="preserve">RATLIFF                  THOMAS       W           </v>
      </c>
      <c r="E21624" t="str">
        <f>"GERMANTOWN                "</f>
        <v xml:space="preserve">GERMANTOWN                </v>
      </c>
      <c r="F21624" t="str">
        <f t="shared" si="510"/>
        <v>TN</v>
      </c>
    </row>
    <row r="21625" spans="1:6" x14ac:dyDescent="0.25">
      <c r="A21625" t="str">
        <f>"000122829"</f>
        <v>000122829</v>
      </c>
      <c r="B21625" t="str">
        <f>"1447365846"</f>
        <v>1447365846</v>
      </c>
      <c r="C21625" t="str">
        <f>"2085R0202X"</f>
        <v>2085R0202X</v>
      </c>
      <c r="D21625" t="str">
        <f>"ELLZEY                   JOHN         A           "</f>
        <v xml:space="preserve">ELLZEY                   JOHN         A           </v>
      </c>
      <c r="E21625" t="str">
        <f>"GERMANTOWN                "</f>
        <v xml:space="preserve">GERMANTOWN                </v>
      </c>
      <c r="F21625" t="str">
        <f t="shared" si="510"/>
        <v>TN</v>
      </c>
    </row>
    <row r="21626" spans="1:6" x14ac:dyDescent="0.25">
      <c r="A21626" t="str">
        <f>"000122924"</f>
        <v>000122924</v>
      </c>
      <c r="B21626" t="str">
        <f>"1093772816"</f>
        <v>1093772816</v>
      </c>
      <c r="C21626" t="str">
        <f>"207W00000X"</f>
        <v>207W00000X</v>
      </c>
      <c r="D21626" t="str">
        <f>"KERR                     NATALIE      C           "</f>
        <v xml:space="preserve">KERR                     NATALIE      C           </v>
      </c>
      <c r="E21626" t="str">
        <f>"MEMPHIS                   "</f>
        <v xml:space="preserve">MEMPHIS                   </v>
      </c>
      <c r="F21626" t="str">
        <f t="shared" si="510"/>
        <v>TN</v>
      </c>
    </row>
    <row r="21627" spans="1:6" x14ac:dyDescent="0.25">
      <c r="A21627" t="str">
        <f>"000123049"</f>
        <v>000123049</v>
      </c>
      <c r="B21627" t="str">
        <f>"1427276823"</f>
        <v>1427276823</v>
      </c>
      <c r="C21627" t="str">
        <f>"2084P0800X"</f>
        <v>2084P0800X</v>
      </c>
      <c r="D21627" t="str">
        <f>"VIRK                     EJAZ         S           "</f>
        <v xml:space="preserve">VIRK                     EJAZ         S           </v>
      </c>
      <c r="E21627" t="str">
        <f>"BARTLETT                  "</f>
        <v xml:space="preserve">BARTLETT                  </v>
      </c>
      <c r="F21627" t="str">
        <f t="shared" si="510"/>
        <v>TN</v>
      </c>
    </row>
    <row r="21628" spans="1:6" x14ac:dyDescent="0.25">
      <c r="A21628" t="str">
        <f>"000123207"</f>
        <v>000123207</v>
      </c>
      <c r="B21628" t="str">
        <f>"1013974062"</f>
        <v>1013974062</v>
      </c>
      <c r="C21628" t="str">
        <f>"2080P0202X"</f>
        <v>2080P0202X</v>
      </c>
      <c r="D21628" t="str">
        <f>"WALLER III               BENJAMIN     R           "</f>
        <v xml:space="preserve">WALLER III               BENJAMIN     R           </v>
      </c>
      <c r="E21628" t="str">
        <f>"MEMPHIS                   "</f>
        <v xml:space="preserve">MEMPHIS                   </v>
      </c>
      <c r="F21628" t="str">
        <f t="shared" si="510"/>
        <v>TN</v>
      </c>
    </row>
    <row r="21629" spans="1:6" x14ac:dyDescent="0.25">
      <c r="A21629" t="str">
        <f>"000123339"</f>
        <v>000123339</v>
      </c>
      <c r="B21629" t="str">
        <f>"1497860720"</f>
        <v>1497860720</v>
      </c>
      <c r="C21629" t="str">
        <f>"208D00000X"</f>
        <v>208D00000X</v>
      </c>
      <c r="D21629" t="str">
        <f>"GREENBERGER              MARK         D           "</f>
        <v xml:space="preserve">GREENBERGER              MARK         D           </v>
      </c>
      <c r="E21629" t="str">
        <f>"GERMANTOWN                "</f>
        <v xml:space="preserve">GERMANTOWN                </v>
      </c>
      <c r="F21629" t="str">
        <f t="shared" si="510"/>
        <v>TN</v>
      </c>
    </row>
    <row r="21630" spans="1:6" x14ac:dyDescent="0.25">
      <c r="A21630" t="str">
        <f>"000123467"</f>
        <v>000123467</v>
      </c>
      <c r="B21630" t="str">
        <f>"1720010648"</f>
        <v>1720010648</v>
      </c>
      <c r="C21630" t="str">
        <f>"207RX0202X"</f>
        <v>207RX0202X</v>
      </c>
      <c r="D21630" t="str">
        <f>"SANTOSO                  JOSEPH       T           "</f>
        <v xml:space="preserve">SANTOSO                  JOSEPH       T           </v>
      </c>
      <c r="E21630" t="str">
        <f>"MEMPHIS                   "</f>
        <v xml:space="preserve">MEMPHIS                   </v>
      </c>
      <c r="F21630" t="str">
        <f t="shared" ref="F21630:F21693" si="513">"TN"</f>
        <v>TN</v>
      </c>
    </row>
    <row r="21631" spans="1:6" x14ac:dyDescent="0.25">
      <c r="A21631" t="str">
        <f>"000123498"</f>
        <v>000123498</v>
      </c>
      <c r="B21631" t="str">
        <f>"1477585347"</f>
        <v>1477585347</v>
      </c>
      <c r="C21631" t="str">
        <f>"207VX0201X"</f>
        <v>207VX0201X</v>
      </c>
      <c r="D21631" t="str">
        <f>"REED                     MARK         E           "</f>
        <v xml:space="preserve">REED                     MARK         E           </v>
      </c>
      <c r="E21631" t="str">
        <f>"GERMANTOWN                "</f>
        <v xml:space="preserve">GERMANTOWN                </v>
      </c>
      <c r="F21631" t="str">
        <f t="shared" si="513"/>
        <v>TN</v>
      </c>
    </row>
    <row r="21632" spans="1:6" x14ac:dyDescent="0.25">
      <c r="A21632" t="str">
        <f>"000123506"</f>
        <v>000123506</v>
      </c>
      <c r="B21632" t="str">
        <f>"1558375279"</f>
        <v>1558375279</v>
      </c>
      <c r="C21632" t="str">
        <f>"367500000X"</f>
        <v>367500000X</v>
      </c>
      <c r="D21632" t="str">
        <f>"RICHARDSON               IRA          A           "</f>
        <v xml:space="preserve">RICHARDSON               IRA          A           </v>
      </c>
      <c r="E21632" t="str">
        <f>"MEMPHIS                   "</f>
        <v xml:space="preserve">MEMPHIS                   </v>
      </c>
      <c r="F21632" t="str">
        <f t="shared" si="513"/>
        <v>TN</v>
      </c>
    </row>
    <row r="21633" spans="1:6" x14ac:dyDescent="0.25">
      <c r="A21633" t="str">
        <f>"000123531"</f>
        <v>000123531</v>
      </c>
      <c r="B21633" t="str">
        <f>"1689632655"</f>
        <v>1689632655</v>
      </c>
      <c r="C21633" t="str">
        <f>"367500000X"</f>
        <v>367500000X</v>
      </c>
      <c r="D21633" t="str">
        <f>"WILLIAMS                 FRANKLIN                 "</f>
        <v xml:space="preserve">WILLIAMS                 FRANKLIN                 </v>
      </c>
      <c r="E21633" t="str">
        <f>"MEMPHIS                   "</f>
        <v xml:space="preserve">MEMPHIS                   </v>
      </c>
      <c r="F21633" t="str">
        <f t="shared" si="513"/>
        <v>TN</v>
      </c>
    </row>
    <row r="21634" spans="1:6" x14ac:dyDescent="0.25">
      <c r="A21634" t="str">
        <f>"000123536"</f>
        <v>000123536</v>
      </c>
      <c r="B21634" t="str">
        <f>"1780776765"</f>
        <v>1780776765</v>
      </c>
      <c r="C21634" t="str">
        <f>"207R00000X"</f>
        <v>207R00000X</v>
      </c>
      <c r="D21634" t="str">
        <f>"MILLIGAN                 KERRY        L           "</f>
        <v xml:space="preserve">MILLIGAN                 KERRY        L           </v>
      </c>
      <c r="E21634" t="str">
        <f>"GERMANTOWN                "</f>
        <v xml:space="preserve">GERMANTOWN                </v>
      </c>
      <c r="F21634" t="str">
        <f t="shared" si="513"/>
        <v>TN</v>
      </c>
    </row>
    <row r="21635" spans="1:6" x14ac:dyDescent="0.25">
      <c r="A21635" t="str">
        <f>"000123622"</f>
        <v>000123622</v>
      </c>
      <c r="B21635" t="str">
        <f>"1417933276"</f>
        <v>1417933276</v>
      </c>
      <c r="C21635" t="str">
        <f>"207P00000X"</f>
        <v>207P00000X</v>
      </c>
      <c r="D21635" t="str">
        <f>"CROSS THOMAS             CYNTHIA      D           "</f>
        <v xml:space="preserve">CROSS THOMAS             CYNTHIA      D           </v>
      </c>
      <c r="E21635" t="str">
        <f>"MEMPHIS                   "</f>
        <v xml:space="preserve">MEMPHIS                   </v>
      </c>
      <c r="F21635" t="str">
        <f t="shared" si="513"/>
        <v>TN</v>
      </c>
    </row>
    <row r="21636" spans="1:6" x14ac:dyDescent="0.25">
      <c r="A21636" t="str">
        <f>"000123709"</f>
        <v>000123709</v>
      </c>
      <c r="B21636" t="str">
        <f>"1457404154"</f>
        <v>1457404154</v>
      </c>
      <c r="C21636" t="str">
        <f>"363L00000X"</f>
        <v>363L00000X</v>
      </c>
      <c r="D21636" t="str">
        <f>"HALL                     TERRI        L           "</f>
        <v xml:space="preserve">HALL                     TERRI        L           </v>
      </c>
      <c r="E21636" t="str">
        <f>"GERMANTOWN                "</f>
        <v xml:space="preserve">GERMANTOWN                </v>
      </c>
      <c r="F21636" t="str">
        <f t="shared" si="513"/>
        <v>TN</v>
      </c>
    </row>
    <row r="21637" spans="1:6" x14ac:dyDescent="0.25">
      <c r="A21637" t="str">
        <f>"000123758"</f>
        <v>000123758</v>
      </c>
      <c r="B21637" t="str">
        <f>"1326070277"</f>
        <v>1326070277</v>
      </c>
      <c r="C21637" t="str">
        <f>"207RX0202X"</f>
        <v>207RX0202X</v>
      </c>
      <c r="D21637" t="str">
        <f>"REED                     JARVIS       D           "</f>
        <v xml:space="preserve">REED                     JARVIS       D           </v>
      </c>
      <c r="E21637" t="str">
        <f>"GERMANTOWN                "</f>
        <v xml:space="preserve">GERMANTOWN                </v>
      </c>
      <c r="F21637" t="str">
        <f t="shared" si="513"/>
        <v>TN</v>
      </c>
    </row>
    <row r="21638" spans="1:6" x14ac:dyDescent="0.25">
      <c r="A21638" t="str">
        <f>"000123843"</f>
        <v>000123843</v>
      </c>
      <c r="B21638" t="str">
        <f>"1730132788"</f>
        <v>1730132788</v>
      </c>
      <c r="C21638" t="str">
        <f>"2084N0400X"</f>
        <v>2084N0400X</v>
      </c>
      <c r="D21638" t="str">
        <f>"NATARAJAN                SHIVA        S           "</f>
        <v xml:space="preserve">NATARAJAN                SHIVA        S           </v>
      </c>
      <c r="E21638" t="str">
        <f>"GERMANTOWN                "</f>
        <v xml:space="preserve">GERMANTOWN                </v>
      </c>
      <c r="F21638" t="str">
        <f t="shared" si="513"/>
        <v>TN</v>
      </c>
    </row>
    <row r="21639" spans="1:6" x14ac:dyDescent="0.25">
      <c r="A21639" t="str">
        <f>"000124135"</f>
        <v>000124135</v>
      </c>
      <c r="B21639" t="str">
        <f>"1780687426"</f>
        <v>1780687426</v>
      </c>
      <c r="C21639" t="str">
        <f>"208000000X"</f>
        <v>208000000X</v>
      </c>
      <c r="D21639" t="str">
        <f>"PATEL                    NEHALI       D           "</f>
        <v xml:space="preserve">PATEL                    NEHALI       D           </v>
      </c>
      <c r="E21639" t="str">
        <f t="shared" ref="E21639:E21645" si="514">"MEMPHIS                   "</f>
        <v xml:space="preserve">MEMPHIS                   </v>
      </c>
      <c r="F21639" t="str">
        <f t="shared" si="513"/>
        <v>TN</v>
      </c>
    </row>
    <row r="21640" spans="1:6" x14ac:dyDescent="0.25">
      <c r="A21640" t="str">
        <f>"000124145"</f>
        <v>000124145</v>
      </c>
      <c r="B21640" t="str">
        <f>"1184675332"</f>
        <v>1184675332</v>
      </c>
      <c r="C21640" t="str">
        <f>"207R00000X"</f>
        <v>207R00000X</v>
      </c>
      <c r="D21640" t="str">
        <f>"MOTLEY                   TODD         S           "</f>
        <v xml:space="preserve">MOTLEY                   TODD         S           </v>
      </c>
      <c r="E21640" t="str">
        <f t="shared" si="514"/>
        <v xml:space="preserve">MEMPHIS                   </v>
      </c>
      <c r="F21640" t="str">
        <f t="shared" si="513"/>
        <v>TN</v>
      </c>
    </row>
    <row r="21641" spans="1:6" x14ac:dyDescent="0.25">
      <c r="A21641" t="str">
        <f>"000124193"</f>
        <v>000124193</v>
      </c>
      <c r="B21641" t="str">
        <f>"1336106681"</f>
        <v>1336106681</v>
      </c>
      <c r="C21641" t="str">
        <f>"2085R0202X"</f>
        <v>2085R0202X</v>
      </c>
      <c r="D21641" t="str">
        <f>"SALAZAR                  JORGE        A           "</f>
        <v xml:space="preserve">SALAZAR                  JORGE        A           </v>
      </c>
      <c r="E21641" t="str">
        <f t="shared" si="514"/>
        <v xml:space="preserve">MEMPHIS                   </v>
      </c>
      <c r="F21641" t="str">
        <f t="shared" si="513"/>
        <v>TN</v>
      </c>
    </row>
    <row r="21642" spans="1:6" x14ac:dyDescent="0.25">
      <c r="A21642" t="str">
        <f>"000124209"</f>
        <v>000124209</v>
      </c>
      <c r="B21642" t="str">
        <f>"1962405753"</f>
        <v>1962405753</v>
      </c>
      <c r="C21642" t="str">
        <f>"2085R0202X"</f>
        <v>2085R0202X</v>
      </c>
      <c r="D21642" t="str">
        <f>"LANINGHAM                FRED         H           "</f>
        <v xml:space="preserve">LANINGHAM                FRED         H           </v>
      </c>
      <c r="E21642" t="str">
        <f t="shared" si="514"/>
        <v xml:space="preserve">MEMPHIS                   </v>
      </c>
      <c r="F21642" t="str">
        <f t="shared" si="513"/>
        <v>TN</v>
      </c>
    </row>
    <row r="21643" spans="1:6" x14ac:dyDescent="0.25">
      <c r="A21643" t="str">
        <f>"000124232"</f>
        <v>000124232</v>
      </c>
      <c r="B21643" t="str">
        <f>"1831144013"</f>
        <v>1831144013</v>
      </c>
      <c r="C21643" t="str">
        <f>"207RI0200X"</f>
        <v>207RI0200X</v>
      </c>
      <c r="D21643" t="str">
        <f>"MANNAN                   GHALIB                   "</f>
        <v xml:space="preserve">MANNAN                   GHALIB                   </v>
      </c>
      <c r="E21643" t="str">
        <f t="shared" si="514"/>
        <v xml:space="preserve">MEMPHIS                   </v>
      </c>
      <c r="F21643" t="str">
        <f t="shared" si="513"/>
        <v>TN</v>
      </c>
    </row>
    <row r="21644" spans="1:6" x14ac:dyDescent="0.25">
      <c r="A21644" t="str">
        <f>"000124262"</f>
        <v>000124262</v>
      </c>
      <c r="B21644" t="str">
        <f>"1528019098"</f>
        <v>1528019098</v>
      </c>
      <c r="C21644" t="str">
        <f>"207R00000X"</f>
        <v>207R00000X</v>
      </c>
      <c r="D21644" t="str">
        <f>"MOTLEY                   ANN                      "</f>
        <v xml:space="preserve">MOTLEY                   ANN                      </v>
      </c>
      <c r="E21644" t="str">
        <f t="shared" si="514"/>
        <v xml:space="preserve">MEMPHIS                   </v>
      </c>
      <c r="F21644" t="str">
        <f t="shared" si="513"/>
        <v>TN</v>
      </c>
    </row>
    <row r="21645" spans="1:6" x14ac:dyDescent="0.25">
      <c r="A21645" t="str">
        <f>"000124334"</f>
        <v>000124334</v>
      </c>
      <c r="B21645" t="str">
        <f>"1679530778"</f>
        <v>1679530778</v>
      </c>
      <c r="C21645" t="str">
        <f>"208000000X"</f>
        <v>208000000X</v>
      </c>
      <c r="D21645" t="str">
        <f>"WHITAKER                 TONI         M           "</f>
        <v xml:space="preserve">WHITAKER                 TONI         M           </v>
      </c>
      <c r="E21645" t="str">
        <f t="shared" si="514"/>
        <v xml:space="preserve">MEMPHIS                   </v>
      </c>
      <c r="F21645" t="str">
        <f t="shared" si="513"/>
        <v>TN</v>
      </c>
    </row>
    <row r="21646" spans="1:6" x14ac:dyDescent="0.25">
      <c r="A21646" t="str">
        <f>"000124374"</f>
        <v>000124374</v>
      </c>
      <c r="B21646" t="str">
        <f>"1639122054"</f>
        <v>1639122054</v>
      </c>
      <c r="C21646" t="str">
        <f>"207RC0000X"</f>
        <v>207RC0000X</v>
      </c>
      <c r="D21646" t="str">
        <f>"JHA                      SUNIL        K           "</f>
        <v xml:space="preserve">JHA                      SUNIL        K           </v>
      </c>
      <c r="E21646" t="str">
        <f>"CORDOVA                   "</f>
        <v xml:space="preserve">CORDOVA                   </v>
      </c>
      <c r="F21646" t="str">
        <f t="shared" si="513"/>
        <v>TN</v>
      </c>
    </row>
    <row r="21647" spans="1:6" x14ac:dyDescent="0.25">
      <c r="A21647" t="str">
        <f>"000124534"</f>
        <v>000124534</v>
      </c>
      <c r="B21647" t="str">
        <f>"1366445454"</f>
        <v>1366445454</v>
      </c>
      <c r="C21647" t="str">
        <f>"2084N0400X"</f>
        <v>2084N0400X</v>
      </c>
      <c r="D21647" t="str">
        <f>"KHAN                     RAJA         B           "</f>
        <v xml:space="preserve">KHAN                     RAJA         B           </v>
      </c>
      <c r="E21647" t="str">
        <f t="shared" ref="E21647:E21655" si="515">"MEMPHIS                   "</f>
        <v xml:space="preserve">MEMPHIS                   </v>
      </c>
      <c r="F21647" t="str">
        <f t="shared" si="513"/>
        <v>TN</v>
      </c>
    </row>
    <row r="21648" spans="1:6" x14ac:dyDescent="0.25">
      <c r="A21648" t="str">
        <f>"000124584"</f>
        <v>000124584</v>
      </c>
      <c r="B21648" t="str">
        <f>"1770581662"</f>
        <v>1770581662</v>
      </c>
      <c r="C21648" t="str">
        <f>"207RH0003X"</f>
        <v>207RH0003X</v>
      </c>
      <c r="D21648" t="str">
        <f>"GRAVENOR                 DONALD       S           "</f>
        <v xml:space="preserve">GRAVENOR                 DONALD       S           </v>
      </c>
      <c r="E21648" t="str">
        <f t="shared" si="515"/>
        <v xml:space="preserve">MEMPHIS                   </v>
      </c>
      <c r="F21648" t="str">
        <f t="shared" si="513"/>
        <v>TN</v>
      </c>
    </row>
    <row r="21649" spans="1:6" x14ac:dyDescent="0.25">
      <c r="A21649" t="str">
        <f>"000124592"</f>
        <v>000124592</v>
      </c>
      <c r="B21649" t="str">
        <f>"1790788990"</f>
        <v>1790788990</v>
      </c>
      <c r="C21649" t="str">
        <f>"2080P0208X"</f>
        <v>2080P0208X</v>
      </c>
      <c r="D21649" t="str">
        <f>"CANIZA                   MIGUELA      A           "</f>
        <v xml:space="preserve">CANIZA                   MIGUELA      A           </v>
      </c>
      <c r="E21649" t="str">
        <f t="shared" si="515"/>
        <v xml:space="preserve">MEMPHIS                   </v>
      </c>
      <c r="F21649" t="str">
        <f t="shared" si="513"/>
        <v>TN</v>
      </c>
    </row>
    <row r="21650" spans="1:6" x14ac:dyDescent="0.25">
      <c r="A21650" t="str">
        <f>"000124888"</f>
        <v>000124888</v>
      </c>
      <c r="B21650" t="str">
        <f>"1770583239"</f>
        <v>1770583239</v>
      </c>
      <c r="C21650" t="str">
        <f>"207RC0000X"</f>
        <v>207RC0000X</v>
      </c>
      <c r="D21650" t="str">
        <f>"DALAL                    AJAY                     "</f>
        <v xml:space="preserve">DALAL                    AJAY                     </v>
      </c>
      <c r="E21650" t="str">
        <f t="shared" si="515"/>
        <v xml:space="preserve">MEMPHIS                   </v>
      </c>
      <c r="F21650" t="str">
        <f t="shared" si="513"/>
        <v>TN</v>
      </c>
    </row>
    <row r="21651" spans="1:6" x14ac:dyDescent="0.25">
      <c r="A21651" t="str">
        <f>"000124932"</f>
        <v>000124932</v>
      </c>
      <c r="B21651" t="str">
        <f>"1780686642"</f>
        <v>1780686642</v>
      </c>
      <c r="C21651" t="str">
        <f>"207P00000X"</f>
        <v>207P00000X</v>
      </c>
      <c r="D21651" t="str">
        <f>"GROSS                    LAWRENCE                 "</f>
        <v xml:space="preserve">GROSS                    LAWRENCE                 </v>
      </c>
      <c r="E21651" t="str">
        <f t="shared" si="515"/>
        <v xml:space="preserve">MEMPHIS                   </v>
      </c>
      <c r="F21651" t="str">
        <f t="shared" si="513"/>
        <v>TN</v>
      </c>
    </row>
    <row r="21652" spans="1:6" x14ac:dyDescent="0.25">
      <c r="A21652" t="str">
        <f>"000125115"</f>
        <v>000125115</v>
      </c>
      <c r="B21652" t="str">
        <f>"1417913799"</f>
        <v>1417913799</v>
      </c>
      <c r="C21652" t="str">
        <f>"208000000X"</f>
        <v>208000000X</v>
      </c>
      <c r="D21652" t="str">
        <f>"ARNOLD                   SANDRA       L           "</f>
        <v xml:space="preserve">ARNOLD                   SANDRA       L           </v>
      </c>
      <c r="E21652" t="str">
        <f t="shared" si="515"/>
        <v xml:space="preserve">MEMPHIS                   </v>
      </c>
      <c r="F21652" t="str">
        <f t="shared" si="513"/>
        <v>TN</v>
      </c>
    </row>
    <row r="21653" spans="1:6" x14ac:dyDescent="0.25">
      <c r="A21653" t="str">
        <f>"000125327"</f>
        <v>000125327</v>
      </c>
      <c r="B21653" t="str">
        <f>"1265498752"</f>
        <v>1265498752</v>
      </c>
      <c r="C21653" t="str">
        <f>"207RC0000X"</f>
        <v>207RC0000X</v>
      </c>
      <c r="D21653" t="str">
        <f>"SHIRWANY                 ARSALAN                  "</f>
        <v xml:space="preserve">SHIRWANY                 ARSALAN                  </v>
      </c>
      <c r="E21653" t="str">
        <f t="shared" si="515"/>
        <v xml:space="preserve">MEMPHIS                   </v>
      </c>
      <c r="F21653" t="str">
        <f t="shared" si="513"/>
        <v>TN</v>
      </c>
    </row>
    <row r="21654" spans="1:6" x14ac:dyDescent="0.25">
      <c r="A21654" t="str">
        <f>"000125606"</f>
        <v>000125606</v>
      </c>
      <c r="B21654" t="str">
        <f>"1871505438"</f>
        <v>1871505438</v>
      </c>
      <c r="C21654" t="str">
        <f>"2080N0001X"</f>
        <v>2080N0001X</v>
      </c>
      <c r="D21654" t="str">
        <f>"BORS-KOEFOED             ROY                      "</f>
        <v xml:space="preserve">BORS-KOEFOED             ROY                      </v>
      </c>
      <c r="E21654" t="str">
        <f t="shared" si="515"/>
        <v xml:space="preserve">MEMPHIS                   </v>
      </c>
      <c r="F21654" t="str">
        <f t="shared" si="513"/>
        <v>TN</v>
      </c>
    </row>
    <row r="21655" spans="1:6" x14ac:dyDescent="0.25">
      <c r="A21655" t="str">
        <f>"000125789"</f>
        <v>000125789</v>
      </c>
      <c r="B21655" t="str">
        <f>"1639172026"</f>
        <v>1639172026</v>
      </c>
      <c r="C21655" t="str">
        <f>"2085R0202X"</f>
        <v>2085R0202X</v>
      </c>
      <c r="D21655" t="str">
        <f>"KASTE                    SUE          C           "</f>
        <v xml:space="preserve">KASTE                    SUE          C           </v>
      </c>
      <c r="E21655" t="str">
        <f t="shared" si="515"/>
        <v xml:space="preserve">MEMPHIS                   </v>
      </c>
      <c r="F21655" t="str">
        <f t="shared" si="513"/>
        <v>TN</v>
      </c>
    </row>
    <row r="21656" spans="1:6" x14ac:dyDescent="0.25">
      <c r="A21656" t="str">
        <f>"000126155"</f>
        <v>000126155</v>
      </c>
      <c r="B21656" t="str">
        <f>"1386600567"</f>
        <v>1386600567</v>
      </c>
      <c r="C21656" t="str">
        <f>"207R00000X"</f>
        <v>207R00000X</v>
      </c>
      <c r="D21656" t="str">
        <f>"THOMPSON                 NATASCHA     S           "</f>
        <v xml:space="preserve">THOMPSON                 NATASCHA     S           </v>
      </c>
      <c r="E21656" t="str">
        <f>"CORDOVA                   "</f>
        <v xml:space="preserve">CORDOVA                   </v>
      </c>
      <c r="F21656" t="str">
        <f t="shared" si="513"/>
        <v>TN</v>
      </c>
    </row>
    <row r="21657" spans="1:6" x14ac:dyDescent="0.25">
      <c r="A21657" t="str">
        <f>"000126261"</f>
        <v>000126261</v>
      </c>
      <c r="B21657" t="str">
        <f>"1619945532"</f>
        <v>1619945532</v>
      </c>
      <c r="C21657" t="str">
        <f>"2084N0400X"</f>
        <v>2084N0400X</v>
      </c>
      <c r="D21657" t="str">
        <f>"WANG                     JAMES        J           "</f>
        <v xml:space="preserve">WANG                     JAMES        J           </v>
      </c>
      <c r="E21657" t="str">
        <f>"MEMPHIS                   "</f>
        <v xml:space="preserve">MEMPHIS                   </v>
      </c>
      <c r="F21657" t="str">
        <f t="shared" si="513"/>
        <v>TN</v>
      </c>
    </row>
    <row r="21658" spans="1:6" x14ac:dyDescent="0.25">
      <c r="A21658" t="str">
        <f>"000126346"</f>
        <v>000126346</v>
      </c>
      <c r="B21658" t="str">
        <f>"1386741676"</f>
        <v>1386741676</v>
      </c>
      <c r="C21658" t="str">
        <f>"208600000X"</f>
        <v>208600000X</v>
      </c>
      <c r="D21658" t="str">
        <f>"ABDULKARIM               AHMAD        B           "</f>
        <v xml:space="preserve">ABDULKARIM               AHMAD        B           </v>
      </c>
      <c r="E21658" t="str">
        <f>"MEMPHIS                   "</f>
        <v xml:space="preserve">MEMPHIS                   </v>
      </c>
      <c r="F21658" t="str">
        <f t="shared" si="513"/>
        <v>TN</v>
      </c>
    </row>
    <row r="21659" spans="1:6" x14ac:dyDescent="0.25">
      <c r="A21659" t="str">
        <f>"000126351"</f>
        <v>000126351</v>
      </c>
      <c r="B21659" t="str">
        <f>"1932186616"</f>
        <v>1932186616</v>
      </c>
      <c r="C21659" t="str">
        <f>"363L00000X"</f>
        <v>363L00000X</v>
      </c>
      <c r="D21659" t="str">
        <f>"SWEENEY                  TERESA       A           "</f>
        <v xml:space="preserve">SWEENEY                  TERESA       A           </v>
      </c>
      <c r="E21659" t="str">
        <f>"MEMPHIS                   "</f>
        <v xml:space="preserve">MEMPHIS                   </v>
      </c>
      <c r="F21659" t="str">
        <f t="shared" si="513"/>
        <v>TN</v>
      </c>
    </row>
    <row r="21660" spans="1:6" x14ac:dyDescent="0.25">
      <c r="A21660" t="str">
        <f>"000126364"</f>
        <v>000126364</v>
      </c>
      <c r="B21660" t="str">
        <f>"1679550347"</f>
        <v>1679550347</v>
      </c>
      <c r="C21660" t="str">
        <f>"363L00000X"</f>
        <v>363L00000X</v>
      </c>
      <c r="D21660" t="str">
        <f>"MAY                      MARTHA       V           "</f>
        <v xml:space="preserve">MAY                      MARTHA       V           </v>
      </c>
      <c r="E21660" t="str">
        <f>"MEMPHIS                   "</f>
        <v xml:space="preserve">MEMPHIS                   </v>
      </c>
      <c r="F21660" t="str">
        <f t="shared" si="513"/>
        <v>TN</v>
      </c>
    </row>
    <row r="21661" spans="1:6" x14ac:dyDescent="0.25">
      <c r="A21661" t="str">
        <f>"000126453"</f>
        <v>000126453</v>
      </c>
      <c r="B21661" t="str">
        <f>"1750313631"</f>
        <v>1750313631</v>
      </c>
      <c r="C21661" t="str">
        <f>"207RX0202X"</f>
        <v>207RX0202X</v>
      </c>
      <c r="D21661" t="str">
        <f>"RICHEY                   SYLVIA       S           "</f>
        <v xml:space="preserve">RICHEY                   SYLVIA       S           </v>
      </c>
      <c r="E21661" t="str">
        <f>"GERMANTOWN                "</f>
        <v xml:space="preserve">GERMANTOWN                </v>
      </c>
      <c r="F21661" t="str">
        <f t="shared" si="513"/>
        <v>TN</v>
      </c>
    </row>
    <row r="21662" spans="1:6" x14ac:dyDescent="0.25">
      <c r="A21662" t="str">
        <f>"000126459"</f>
        <v>000126459</v>
      </c>
      <c r="B21662" t="str">
        <f>"1922046200"</f>
        <v>1922046200</v>
      </c>
      <c r="C21662" t="str">
        <f>"2085R0202X"</f>
        <v>2085R0202X</v>
      </c>
      <c r="D21662" t="str">
        <f>"GREEN                    JEFFREY      W           "</f>
        <v xml:space="preserve">GREEN                    JEFFREY      W           </v>
      </c>
      <c r="E21662" t="str">
        <f>"GERMANTOWN                "</f>
        <v xml:space="preserve">GERMANTOWN                </v>
      </c>
      <c r="F21662" t="str">
        <f t="shared" si="513"/>
        <v>TN</v>
      </c>
    </row>
    <row r="21663" spans="1:6" x14ac:dyDescent="0.25">
      <c r="A21663" t="str">
        <f>"000126492"</f>
        <v>000126492</v>
      </c>
      <c r="B21663" t="str">
        <f>"1760472757"</f>
        <v>1760472757</v>
      </c>
      <c r="C21663" t="str">
        <f>"207T00000X"</f>
        <v>207T00000X</v>
      </c>
      <c r="D21663" t="str">
        <f>"SORENSON                 JEFFREY      M           "</f>
        <v xml:space="preserve">SORENSON                 JEFFREY      M           </v>
      </c>
      <c r="E21663" t="str">
        <f>"MEMPHIS                   "</f>
        <v xml:space="preserve">MEMPHIS                   </v>
      </c>
      <c r="F21663" t="str">
        <f t="shared" si="513"/>
        <v>TN</v>
      </c>
    </row>
    <row r="21664" spans="1:6" x14ac:dyDescent="0.25">
      <c r="A21664" t="str">
        <f>"000126643"</f>
        <v>000126643</v>
      </c>
      <c r="B21664" t="str">
        <f>"1801873559"</f>
        <v>1801873559</v>
      </c>
      <c r="C21664" t="str">
        <f>"363L00000X"</f>
        <v>363L00000X</v>
      </c>
      <c r="D21664" t="str">
        <f>"JONES                    SANDRA                   "</f>
        <v xml:space="preserve">JONES                    SANDRA                   </v>
      </c>
      <c r="E21664" t="str">
        <f>"MEMPHIS                   "</f>
        <v xml:space="preserve">MEMPHIS                   </v>
      </c>
      <c r="F21664" t="str">
        <f t="shared" si="513"/>
        <v>TN</v>
      </c>
    </row>
    <row r="21665" spans="1:6" x14ac:dyDescent="0.25">
      <c r="A21665" t="str">
        <f>"000126788"</f>
        <v>000126788</v>
      </c>
      <c r="B21665" t="str">
        <f>"1134118789"</f>
        <v>1134118789</v>
      </c>
      <c r="C21665" t="str">
        <f>"207T00000X"</f>
        <v>207T00000X</v>
      </c>
      <c r="D21665" t="str">
        <f>"ARNAUTOVIC               KENAN                    "</f>
        <v xml:space="preserve">ARNAUTOVIC               KENAN                    </v>
      </c>
      <c r="E21665" t="str">
        <f>"MEMPHIS                   "</f>
        <v xml:space="preserve">MEMPHIS                   </v>
      </c>
      <c r="F21665" t="str">
        <f t="shared" si="513"/>
        <v>TN</v>
      </c>
    </row>
    <row r="21666" spans="1:6" x14ac:dyDescent="0.25">
      <c r="A21666" t="str">
        <f>"000126830"</f>
        <v>000126830</v>
      </c>
      <c r="B21666" t="str">
        <f>"1164417127"</f>
        <v>1164417127</v>
      </c>
      <c r="C21666" t="str">
        <f>"363L00000X"</f>
        <v>363L00000X</v>
      </c>
      <c r="D21666" t="str">
        <f>"HESSELRODE               MARK         A           "</f>
        <v xml:space="preserve">HESSELRODE               MARK         A           </v>
      </c>
      <c r="E21666" t="str">
        <f>"CORDOVA                   "</f>
        <v xml:space="preserve">CORDOVA                   </v>
      </c>
      <c r="F21666" t="str">
        <f t="shared" si="513"/>
        <v>TN</v>
      </c>
    </row>
    <row r="21667" spans="1:6" x14ac:dyDescent="0.25">
      <c r="A21667" t="str">
        <f>"000126935"</f>
        <v>000126935</v>
      </c>
      <c r="B21667" t="str">
        <f>"1083643845"</f>
        <v>1083643845</v>
      </c>
      <c r="C21667" t="str">
        <f>"207RH0003X"</f>
        <v>207RH0003X</v>
      </c>
      <c r="D21667" t="str">
        <f>"PALLERA                  ARNEL        M           "</f>
        <v xml:space="preserve">PALLERA                  ARNEL        M           </v>
      </c>
      <c r="E21667" t="str">
        <f>"GERMANTOWN                "</f>
        <v xml:space="preserve">GERMANTOWN                </v>
      </c>
      <c r="F21667" t="str">
        <f t="shared" si="513"/>
        <v>TN</v>
      </c>
    </row>
    <row r="21668" spans="1:6" x14ac:dyDescent="0.25">
      <c r="A21668" t="str">
        <f>"000126940"</f>
        <v>000126940</v>
      </c>
      <c r="B21668" t="str">
        <f>"1881671501"</f>
        <v>1881671501</v>
      </c>
      <c r="C21668" t="str">
        <f>"363LP0200X"</f>
        <v>363LP0200X</v>
      </c>
      <c r="D21668" t="str">
        <f>"BEATTIE                  LISA         L           "</f>
        <v xml:space="preserve">BEATTIE                  LISA         L           </v>
      </c>
      <c r="E21668" t="str">
        <f t="shared" ref="E21668:E21687" si="516">"MEMPHIS                   "</f>
        <v xml:space="preserve">MEMPHIS                   </v>
      </c>
      <c r="F21668" t="str">
        <f t="shared" si="513"/>
        <v>TN</v>
      </c>
    </row>
    <row r="21669" spans="1:6" x14ac:dyDescent="0.25">
      <c r="A21669" t="str">
        <f>"000133753"</f>
        <v>000133753</v>
      </c>
      <c r="B21669" t="str">
        <f>"1699221028"</f>
        <v>1699221028</v>
      </c>
      <c r="C21669" t="str">
        <f>"363L00000X"</f>
        <v>363L00000X</v>
      </c>
      <c r="D21669" t="str">
        <f>"CANALE                   MEREDITH     T           "</f>
        <v xml:space="preserve">CANALE                   MEREDITH     T           </v>
      </c>
      <c r="E21669" t="str">
        <f t="shared" si="516"/>
        <v xml:space="preserve">MEMPHIS                   </v>
      </c>
      <c r="F21669" t="str">
        <f t="shared" si="513"/>
        <v>TN</v>
      </c>
    </row>
    <row r="21670" spans="1:6" x14ac:dyDescent="0.25">
      <c r="A21670" t="str">
        <f>"000135899"</f>
        <v>000135899</v>
      </c>
      <c r="B21670" t="str">
        <f>"1386386936"</f>
        <v>1386386936</v>
      </c>
      <c r="C21670" t="str">
        <f>"208000000X"</f>
        <v>208000000X</v>
      </c>
      <c r="D21670" t="str">
        <f>"MURPHY                   RYAN         J           "</f>
        <v xml:space="preserve">MURPHY                   RYAN         J           </v>
      </c>
      <c r="E21670" t="str">
        <f t="shared" si="516"/>
        <v xml:space="preserve">MEMPHIS                   </v>
      </c>
      <c r="F21670" t="str">
        <f t="shared" si="513"/>
        <v>TN</v>
      </c>
    </row>
    <row r="21671" spans="1:6" x14ac:dyDescent="0.25">
      <c r="A21671" t="str">
        <f>"000137843"</f>
        <v>000137843</v>
      </c>
      <c r="B21671" t="str">
        <f>"1437311297"</f>
        <v>1437311297</v>
      </c>
      <c r="C21671" t="str">
        <f>"2080P0207X"</f>
        <v>2080P0207X</v>
      </c>
      <c r="D21671" t="str">
        <f>"KAROL                    SETH         E           "</f>
        <v xml:space="preserve">KAROL                    SETH         E           </v>
      </c>
      <c r="E21671" t="str">
        <f t="shared" si="516"/>
        <v xml:space="preserve">MEMPHIS                   </v>
      </c>
      <c r="F21671" t="str">
        <f t="shared" si="513"/>
        <v>TN</v>
      </c>
    </row>
    <row r="21672" spans="1:6" x14ac:dyDescent="0.25">
      <c r="A21672" t="str">
        <f>"000179310"</f>
        <v>000179310</v>
      </c>
      <c r="B21672" t="str">
        <f>"1447433321"</f>
        <v>1447433321</v>
      </c>
      <c r="C21672" t="str">
        <f>"363L00000X"</f>
        <v>363L00000X</v>
      </c>
      <c r="D21672" t="str">
        <f>"SIMS                     DEBORAH                  "</f>
        <v xml:space="preserve">SIMS                     DEBORAH                  </v>
      </c>
      <c r="E21672" t="str">
        <f t="shared" si="516"/>
        <v xml:space="preserve">MEMPHIS                   </v>
      </c>
      <c r="F21672" t="str">
        <f t="shared" si="513"/>
        <v>TN</v>
      </c>
    </row>
    <row r="21673" spans="1:6" x14ac:dyDescent="0.25">
      <c r="A21673" t="str">
        <f>"000180896"</f>
        <v>000180896</v>
      </c>
      <c r="B21673" t="str">
        <f>"1619237880"</f>
        <v>1619237880</v>
      </c>
      <c r="C21673" t="str">
        <f>"207V00000X"</f>
        <v>207V00000X</v>
      </c>
      <c r="D21673" t="str">
        <f>"WRIGHT                   ALICIA                   "</f>
        <v xml:space="preserve">WRIGHT                   ALICIA                   </v>
      </c>
      <c r="E21673" t="str">
        <f t="shared" si="516"/>
        <v xml:space="preserve">MEMPHIS                   </v>
      </c>
      <c r="F21673" t="str">
        <f t="shared" si="513"/>
        <v>TN</v>
      </c>
    </row>
    <row r="21674" spans="1:6" x14ac:dyDescent="0.25">
      <c r="A21674" t="str">
        <f>"000189793"</f>
        <v>000189793</v>
      </c>
      <c r="B21674" t="str">
        <f>"1962985879"</f>
        <v>1962985879</v>
      </c>
      <c r="C21674" t="str">
        <f>"363L00000X"</f>
        <v>363L00000X</v>
      </c>
      <c r="D21674" t="str">
        <f>"NANSIYANI                SHEHNAZ                  "</f>
        <v xml:space="preserve">NANSIYANI                SHEHNAZ                  </v>
      </c>
      <c r="E21674" t="str">
        <f t="shared" si="516"/>
        <v xml:space="preserve">MEMPHIS                   </v>
      </c>
      <c r="F21674" t="str">
        <f t="shared" si="513"/>
        <v>TN</v>
      </c>
    </row>
    <row r="21675" spans="1:6" x14ac:dyDescent="0.25">
      <c r="A21675" t="str">
        <f>"000200815"</f>
        <v>000200815</v>
      </c>
      <c r="B21675" t="str">
        <f>"1043576697"</f>
        <v>1043576697</v>
      </c>
      <c r="C21675" t="str">
        <f>"208000000X"</f>
        <v>208000000X</v>
      </c>
      <c r="D21675" t="str">
        <f>"MORSE                    KRISTY                   "</f>
        <v xml:space="preserve">MORSE                    KRISTY                   </v>
      </c>
      <c r="E21675" t="str">
        <f t="shared" si="516"/>
        <v xml:space="preserve">MEMPHIS                   </v>
      </c>
      <c r="F21675" t="str">
        <f t="shared" si="513"/>
        <v>TN</v>
      </c>
    </row>
    <row r="21676" spans="1:6" x14ac:dyDescent="0.25">
      <c r="A21676" t="str">
        <f>"000200891"</f>
        <v>000200891</v>
      </c>
      <c r="B21676" t="str">
        <f>"1073981197"</f>
        <v>1073981197</v>
      </c>
      <c r="C21676" t="str">
        <f>"207ZP0102X"</f>
        <v>207ZP0102X</v>
      </c>
      <c r="D21676" t="str">
        <f>"KHANLARI                 MAHSA                    "</f>
        <v xml:space="preserve">KHANLARI                 MAHSA                    </v>
      </c>
      <c r="E21676" t="str">
        <f t="shared" si="516"/>
        <v xml:space="preserve">MEMPHIS                   </v>
      </c>
      <c r="F21676" t="str">
        <f t="shared" si="513"/>
        <v>TN</v>
      </c>
    </row>
    <row r="21677" spans="1:6" x14ac:dyDescent="0.25">
      <c r="A21677" t="str">
        <f>"000207042"</f>
        <v>000207042</v>
      </c>
      <c r="B21677" t="str">
        <f>"1639372535"</f>
        <v>1639372535</v>
      </c>
      <c r="C21677" t="str">
        <f>"207R00000X"</f>
        <v>207R00000X</v>
      </c>
      <c r="D21677" t="str">
        <f>"GILLESS                  JERRY        P           "</f>
        <v xml:space="preserve">GILLESS                  JERRY        P           </v>
      </c>
      <c r="E21677" t="str">
        <f t="shared" si="516"/>
        <v xml:space="preserve">MEMPHIS                   </v>
      </c>
      <c r="F21677" t="str">
        <f t="shared" si="513"/>
        <v>TN</v>
      </c>
    </row>
    <row r="21678" spans="1:6" x14ac:dyDescent="0.25">
      <c r="A21678" t="str">
        <f>"000220413"</f>
        <v>000220413</v>
      </c>
      <c r="B21678" t="str">
        <f>"1568564946"</f>
        <v>1568564946</v>
      </c>
      <c r="C21678" t="str">
        <f>"261QE0700X"</f>
        <v>261QE0700X</v>
      </c>
      <c r="D21678" t="str">
        <f>"FRESENIUS MEDICAL CARE GRACELAND                  "</f>
        <v xml:space="preserve">FRESENIUS MEDICAL CARE GRACELAND                  </v>
      </c>
      <c r="E21678" t="str">
        <f t="shared" si="516"/>
        <v xml:space="preserve">MEMPHIS                   </v>
      </c>
      <c r="F21678" t="str">
        <f t="shared" si="513"/>
        <v>TN</v>
      </c>
    </row>
    <row r="21679" spans="1:6" x14ac:dyDescent="0.25">
      <c r="A21679" t="str">
        <f>"000259011"</f>
        <v>000259011</v>
      </c>
      <c r="B21679" t="str">
        <f>"1124241062"</f>
        <v>1124241062</v>
      </c>
      <c r="C21679" t="str">
        <f>"207RH0003X"</f>
        <v>207RH0003X</v>
      </c>
      <c r="D21679" t="str">
        <f>"GOORHA                   SALIL                    "</f>
        <v xml:space="preserve">GOORHA                   SALIL                    </v>
      </c>
      <c r="E21679" t="str">
        <f t="shared" si="516"/>
        <v xml:space="preserve">MEMPHIS                   </v>
      </c>
      <c r="F21679" t="str">
        <f t="shared" si="513"/>
        <v>TN</v>
      </c>
    </row>
    <row r="21680" spans="1:6" x14ac:dyDescent="0.25">
      <c r="A21680" t="str">
        <f>"000259396"</f>
        <v>000259396</v>
      </c>
      <c r="B21680" t="str">
        <f>"1588658173"</f>
        <v>1588658173</v>
      </c>
      <c r="C21680" t="str">
        <f>"208000000X"</f>
        <v>208000000X</v>
      </c>
      <c r="D21680" t="str">
        <f>"WHITNEY                  CAROLYN                  "</f>
        <v xml:space="preserve">WHITNEY                  CAROLYN                  </v>
      </c>
      <c r="E21680" t="str">
        <f t="shared" si="516"/>
        <v xml:space="preserve">MEMPHIS                   </v>
      </c>
      <c r="F21680" t="str">
        <f t="shared" si="513"/>
        <v>TN</v>
      </c>
    </row>
    <row r="21681" spans="1:6" x14ac:dyDescent="0.25">
      <c r="A21681" t="str">
        <f>"000279731"</f>
        <v>000279731</v>
      </c>
      <c r="B21681" t="str">
        <f>"1316109531"</f>
        <v>1316109531</v>
      </c>
      <c r="C21681" t="str">
        <f>"207Q00000X"</f>
        <v>207Q00000X</v>
      </c>
      <c r="D21681" t="str">
        <f>"SPOTTS                   CALEY        M           "</f>
        <v xml:space="preserve">SPOTTS                   CALEY        M           </v>
      </c>
      <c r="E21681" t="str">
        <f t="shared" si="516"/>
        <v xml:space="preserve">MEMPHIS                   </v>
      </c>
      <c r="F21681" t="str">
        <f t="shared" si="513"/>
        <v>TN</v>
      </c>
    </row>
    <row r="21682" spans="1:6" x14ac:dyDescent="0.25">
      <c r="A21682" t="str">
        <f>"000281014"</f>
        <v>000281014</v>
      </c>
      <c r="B21682" t="str">
        <f>"1205353224"</f>
        <v>1205353224</v>
      </c>
      <c r="C21682" t="str">
        <f>"363L00000X"</f>
        <v>363L00000X</v>
      </c>
      <c r="D21682" t="str">
        <f>"WILLIFORD                ASHLEY                   "</f>
        <v xml:space="preserve">WILLIFORD                ASHLEY                   </v>
      </c>
      <c r="E21682" t="str">
        <f t="shared" si="516"/>
        <v xml:space="preserve">MEMPHIS                   </v>
      </c>
      <c r="F21682" t="str">
        <f t="shared" si="513"/>
        <v>TN</v>
      </c>
    </row>
    <row r="21683" spans="1:6" x14ac:dyDescent="0.25">
      <c r="A21683" t="str">
        <f>"000285883"</f>
        <v>000285883</v>
      </c>
      <c r="B21683" t="str">
        <f>"1720436710"</f>
        <v>1720436710</v>
      </c>
      <c r="C21683" t="str">
        <f>"363LP0200X"</f>
        <v>363LP0200X</v>
      </c>
      <c r="D21683" t="str">
        <f>"PRATT                    ANGELA                   "</f>
        <v xml:space="preserve">PRATT                    ANGELA                   </v>
      </c>
      <c r="E21683" t="str">
        <f t="shared" si="516"/>
        <v xml:space="preserve">MEMPHIS                   </v>
      </c>
      <c r="F21683" t="str">
        <f t="shared" si="513"/>
        <v>TN</v>
      </c>
    </row>
    <row r="21684" spans="1:6" x14ac:dyDescent="0.25">
      <c r="A21684" t="str">
        <f>"000301871"</f>
        <v>000301871</v>
      </c>
      <c r="B21684" t="str">
        <f>"1528527009"</f>
        <v>1528527009</v>
      </c>
      <c r="C21684" t="str">
        <f>"363L00000X"</f>
        <v>363L00000X</v>
      </c>
      <c r="D21684" t="str">
        <f>"MURPHY                   MEGAN                    "</f>
        <v xml:space="preserve">MURPHY                   MEGAN                    </v>
      </c>
      <c r="E21684" t="str">
        <f t="shared" si="516"/>
        <v xml:space="preserve">MEMPHIS                   </v>
      </c>
      <c r="F21684" t="str">
        <f t="shared" si="513"/>
        <v>TN</v>
      </c>
    </row>
    <row r="21685" spans="1:6" x14ac:dyDescent="0.25">
      <c r="A21685" t="str">
        <f>"000305053"</f>
        <v>000305053</v>
      </c>
      <c r="B21685" t="str">
        <f>"1316358690"</f>
        <v>1316358690</v>
      </c>
      <c r="C21685" t="str">
        <f>"363L00000X"</f>
        <v>363L00000X</v>
      </c>
      <c r="D21685" t="str">
        <f>"BROWN                    YOLANDA      R           "</f>
        <v xml:space="preserve">BROWN                    YOLANDA      R           </v>
      </c>
      <c r="E21685" t="str">
        <f t="shared" si="516"/>
        <v xml:space="preserve">MEMPHIS                   </v>
      </c>
      <c r="F21685" t="str">
        <f t="shared" si="513"/>
        <v>TN</v>
      </c>
    </row>
    <row r="21686" spans="1:6" x14ac:dyDescent="0.25">
      <c r="A21686" t="str">
        <f>"000307734"</f>
        <v>000307734</v>
      </c>
      <c r="B21686" t="str">
        <f>"1710498837"</f>
        <v>1710498837</v>
      </c>
      <c r="C21686" t="str">
        <f>"363L00000X"</f>
        <v>363L00000X</v>
      </c>
      <c r="D21686" t="str">
        <f>"WILLIAMS                 SARAH                    "</f>
        <v xml:space="preserve">WILLIAMS                 SARAH                    </v>
      </c>
      <c r="E21686" t="str">
        <f t="shared" si="516"/>
        <v xml:space="preserve">MEMPHIS                   </v>
      </c>
      <c r="F21686" t="str">
        <f t="shared" si="513"/>
        <v>TN</v>
      </c>
    </row>
    <row r="21687" spans="1:6" x14ac:dyDescent="0.25">
      <c r="A21687" t="str">
        <f>"000327275"</f>
        <v>000327275</v>
      </c>
      <c r="B21687" t="str">
        <f>"1689884439"</f>
        <v>1689884439</v>
      </c>
      <c r="C21687" t="str">
        <f>"207R00000X"</f>
        <v>207R00000X</v>
      </c>
      <c r="D21687" t="str">
        <f>"AKHIGBE                  CHURCHILL    A           "</f>
        <v xml:space="preserve">AKHIGBE                  CHURCHILL    A           </v>
      </c>
      <c r="E21687" t="str">
        <f t="shared" si="516"/>
        <v xml:space="preserve">MEMPHIS                   </v>
      </c>
      <c r="F21687" t="str">
        <f t="shared" si="513"/>
        <v>TN</v>
      </c>
    </row>
    <row r="21688" spans="1:6" x14ac:dyDescent="0.25">
      <c r="A21688" t="str">
        <f>"000328262"</f>
        <v>000328262</v>
      </c>
      <c r="B21688" t="str">
        <f>"1083368351"</f>
        <v>1083368351</v>
      </c>
      <c r="C21688" t="str">
        <f>"363L00000X"</f>
        <v>363L00000X</v>
      </c>
      <c r="D21688" t="str">
        <f>"DIEP                     LINDA        B           "</f>
        <v xml:space="preserve">DIEP                     LINDA        B           </v>
      </c>
      <c r="E21688" t="str">
        <f>"GERMANTOWN                "</f>
        <v xml:space="preserve">GERMANTOWN                </v>
      </c>
      <c r="F21688" t="str">
        <f t="shared" si="513"/>
        <v>TN</v>
      </c>
    </row>
    <row r="21689" spans="1:6" x14ac:dyDescent="0.25">
      <c r="A21689" t="str">
        <f>"000333854"</f>
        <v>000333854</v>
      </c>
      <c r="B21689" t="str">
        <f>"1831106038"</f>
        <v>1831106038</v>
      </c>
      <c r="C21689" t="str">
        <f>"2080P0207X"</f>
        <v>2080P0207X</v>
      </c>
      <c r="D21689" t="str">
        <f>"NICHOLS                  KIM          E           "</f>
        <v xml:space="preserve">NICHOLS                  KIM          E           </v>
      </c>
      <c r="E21689" t="str">
        <f>"MEMPHIS                   "</f>
        <v xml:space="preserve">MEMPHIS                   </v>
      </c>
      <c r="F21689" t="str">
        <f t="shared" si="513"/>
        <v>TN</v>
      </c>
    </row>
    <row r="21690" spans="1:6" x14ac:dyDescent="0.25">
      <c r="A21690" t="str">
        <f>"000334294"</f>
        <v>000334294</v>
      </c>
      <c r="B21690" t="str">
        <f>"1700203148"</f>
        <v>1700203148</v>
      </c>
      <c r="C21690" t="str">
        <f>"208000000X"</f>
        <v>208000000X</v>
      </c>
      <c r="D21690" t="str">
        <f>"KASLOW                   JACOB                    "</f>
        <v xml:space="preserve">KASLOW                   JACOB                    </v>
      </c>
      <c r="E21690" t="str">
        <f>"NASHVILLE                 "</f>
        <v xml:space="preserve">NASHVILLE                 </v>
      </c>
      <c r="F21690" t="str">
        <f t="shared" si="513"/>
        <v>TN</v>
      </c>
    </row>
    <row r="21691" spans="1:6" x14ac:dyDescent="0.25">
      <c r="A21691" t="str">
        <f>"000335068"</f>
        <v>000335068</v>
      </c>
      <c r="B21691" t="str">
        <f>"1902864929"</f>
        <v>1902864929</v>
      </c>
      <c r="C21691" t="str">
        <f>"367500000X"</f>
        <v>367500000X</v>
      </c>
      <c r="D21691" t="str">
        <f>"HOLDEN                   KIMBERLY                 "</f>
        <v xml:space="preserve">HOLDEN                   KIMBERLY                 </v>
      </c>
      <c r="E21691" t="str">
        <f t="shared" ref="E21691:E21704" si="517">"MEMPHIS                   "</f>
        <v xml:space="preserve">MEMPHIS                   </v>
      </c>
      <c r="F21691" t="str">
        <f t="shared" si="513"/>
        <v>TN</v>
      </c>
    </row>
    <row r="21692" spans="1:6" x14ac:dyDescent="0.25">
      <c r="A21692" t="str">
        <f>"000336577"</f>
        <v>000336577</v>
      </c>
      <c r="B21692" t="str">
        <f>"1508025032"</f>
        <v>1508025032</v>
      </c>
      <c r="C21692" t="str">
        <f>"208000000X"</f>
        <v>208000000X</v>
      </c>
      <c r="D21692" t="str">
        <f>"AL-ZUBEIDI               HIBA                     "</f>
        <v xml:space="preserve">AL-ZUBEIDI               HIBA                     </v>
      </c>
      <c r="E21692" t="str">
        <f t="shared" si="517"/>
        <v xml:space="preserve">MEMPHIS                   </v>
      </c>
      <c r="F21692" t="str">
        <f t="shared" si="513"/>
        <v>TN</v>
      </c>
    </row>
    <row r="21693" spans="1:6" x14ac:dyDescent="0.25">
      <c r="A21693" t="str">
        <f>"000355797"</f>
        <v>000355797</v>
      </c>
      <c r="B21693" t="str">
        <f>"1396157145"</f>
        <v>1396157145</v>
      </c>
      <c r="C21693" t="str">
        <f>"207V00000X"</f>
        <v>207V00000X</v>
      </c>
      <c r="D21693" t="str">
        <f>"FOSTER                   TERI-LEE     C           "</f>
        <v xml:space="preserve">FOSTER                   TERI-LEE     C           </v>
      </c>
      <c r="E21693" t="str">
        <f t="shared" si="517"/>
        <v xml:space="preserve">MEMPHIS                   </v>
      </c>
      <c r="F21693" t="str">
        <f t="shared" si="513"/>
        <v>TN</v>
      </c>
    </row>
    <row r="21694" spans="1:6" x14ac:dyDescent="0.25">
      <c r="A21694" t="str">
        <f>"000356590"</f>
        <v>000356590</v>
      </c>
      <c r="B21694" t="str">
        <f>"1114347366"</f>
        <v>1114347366</v>
      </c>
      <c r="C21694" t="str">
        <f>"363A00000X"</f>
        <v>363A00000X</v>
      </c>
      <c r="D21694" t="str">
        <f>"DENZIN                   TESSA        G           "</f>
        <v xml:space="preserve">DENZIN                   TESSA        G           </v>
      </c>
      <c r="E21694" t="str">
        <f t="shared" si="517"/>
        <v xml:space="preserve">MEMPHIS                   </v>
      </c>
      <c r="F21694" t="str">
        <f t="shared" ref="F21694:F21757" si="518">"TN"</f>
        <v>TN</v>
      </c>
    </row>
    <row r="21695" spans="1:6" x14ac:dyDescent="0.25">
      <c r="A21695" t="str">
        <f>"000359564"</f>
        <v>000359564</v>
      </c>
      <c r="B21695" t="str">
        <f>"1104173384"</f>
        <v>1104173384</v>
      </c>
      <c r="C21695" t="str">
        <f>"208000000X"</f>
        <v>208000000X</v>
      </c>
      <c r="D21695" t="str">
        <f>"WOLF                     JOSHUA                   "</f>
        <v xml:space="preserve">WOLF                     JOSHUA                   </v>
      </c>
      <c r="E21695" t="str">
        <f t="shared" si="517"/>
        <v xml:space="preserve">MEMPHIS                   </v>
      </c>
      <c r="F21695" t="str">
        <f t="shared" si="518"/>
        <v>TN</v>
      </c>
    </row>
    <row r="21696" spans="1:6" x14ac:dyDescent="0.25">
      <c r="A21696" t="str">
        <f>"000375057"</f>
        <v>000375057</v>
      </c>
      <c r="B21696" t="str">
        <f>"1083902894"</f>
        <v>1083902894</v>
      </c>
      <c r="C21696" t="str">
        <f>"208000000X"</f>
        <v>208000000X</v>
      </c>
      <c r="D21696" t="str">
        <f>"MADNI                    ARSHIA                   "</f>
        <v xml:space="preserve">MADNI                    ARSHIA                   </v>
      </c>
      <c r="E21696" t="str">
        <f t="shared" si="517"/>
        <v xml:space="preserve">MEMPHIS                   </v>
      </c>
      <c r="F21696" t="str">
        <f t="shared" si="518"/>
        <v>TN</v>
      </c>
    </row>
    <row r="21697" spans="1:6" x14ac:dyDescent="0.25">
      <c r="A21697" t="str">
        <f>"000379702"</f>
        <v>000379702</v>
      </c>
      <c r="B21697" t="str">
        <f>"1114184645"</f>
        <v>1114184645</v>
      </c>
      <c r="C21697" t="str">
        <f>"207R00000X"</f>
        <v>207R00000X</v>
      </c>
      <c r="D21697" t="str">
        <f>"MIRZA                    QASIM        M           "</f>
        <v xml:space="preserve">MIRZA                    QASIM        M           </v>
      </c>
      <c r="E21697" t="str">
        <f t="shared" si="517"/>
        <v xml:space="preserve">MEMPHIS                   </v>
      </c>
      <c r="F21697" t="str">
        <f t="shared" si="518"/>
        <v>TN</v>
      </c>
    </row>
    <row r="21698" spans="1:6" x14ac:dyDescent="0.25">
      <c r="A21698" t="str">
        <f>"000381002"</f>
        <v>000381002</v>
      </c>
      <c r="B21698" t="str">
        <f>"1811534837"</f>
        <v>1811534837</v>
      </c>
      <c r="C21698" t="str">
        <f>"363LP0200X"</f>
        <v>363LP0200X</v>
      </c>
      <c r="D21698" t="str">
        <f>"MCMILLAN                 CODY         E           "</f>
        <v xml:space="preserve">MCMILLAN                 CODY         E           </v>
      </c>
      <c r="E21698" t="str">
        <f t="shared" si="517"/>
        <v xml:space="preserve">MEMPHIS                   </v>
      </c>
      <c r="F21698" t="str">
        <f t="shared" si="518"/>
        <v>TN</v>
      </c>
    </row>
    <row r="21699" spans="1:6" x14ac:dyDescent="0.25">
      <c r="A21699" t="str">
        <f>"000403732"</f>
        <v>000403732</v>
      </c>
      <c r="B21699" t="str">
        <f>"1255578837"</f>
        <v>1255578837</v>
      </c>
      <c r="C21699" t="str">
        <f>"261QE0700X"</f>
        <v>261QE0700X</v>
      </c>
      <c r="D21699" t="str">
        <f>"CAPELVILLE DIALYSIS                               "</f>
        <v xml:space="preserve">CAPELVILLE DIALYSIS                               </v>
      </c>
      <c r="E21699" t="str">
        <f t="shared" si="517"/>
        <v xml:space="preserve">MEMPHIS                   </v>
      </c>
      <c r="F21699" t="str">
        <f t="shared" si="518"/>
        <v>TN</v>
      </c>
    </row>
    <row r="21700" spans="1:6" x14ac:dyDescent="0.25">
      <c r="A21700" t="str">
        <f>"000422575"</f>
        <v>000422575</v>
      </c>
      <c r="B21700" t="str">
        <f>"1487835229"</f>
        <v>1487835229</v>
      </c>
      <c r="C21700" t="str">
        <f>"2080N0001X"</f>
        <v>2080N0001X</v>
      </c>
      <c r="D21700" t="str">
        <f>"CHILAKALA                SANDEEP                  "</f>
        <v xml:space="preserve">CHILAKALA                SANDEEP                  </v>
      </c>
      <c r="E21700" t="str">
        <f t="shared" si="517"/>
        <v xml:space="preserve">MEMPHIS                   </v>
      </c>
      <c r="F21700" t="str">
        <f t="shared" si="518"/>
        <v>TN</v>
      </c>
    </row>
    <row r="21701" spans="1:6" x14ac:dyDescent="0.25">
      <c r="A21701" t="str">
        <f>"000423241"</f>
        <v>000423241</v>
      </c>
      <c r="B21701" t="str">
        <f>"1174939441"</f>
        <v>1174939441</v>
      </c>
      <c r="C21701" t="str">
        <f>"208600000X"</f>
        <v>208600000X</v>
      </c>
      <c r="D21701" t="str">
        <f>"MEMEH                    KELVIN       O           "</f>
        <v xml:space="preserve">MEMEH                    KELVIN       O           </v>
      </c>
      <c r="E21701" t="str">
        <f t="shared" si="517"/>
        <v xml:space="preserve">MEMPHIS                   </v>
      </c>
      <c r="F21701" t="str">
        <f t="shared" si="518"/>
        <v>TN</v>
      </c>
    </row>
    <row r="21702" spans="1:6" x14ac:dyDescent="0.25">
      <c r="A21702" t="str">
        <f>"000425892"</f>
        <v>000425892</v>
      </c>
      <c r="B21702" t="str">
        <f>"1639709314"</f>
        <v>1639709314</v>
      </c>
      <c r="C21702" t="str">
        <f>"363L00000X"</f>
        <v>363L00000X</v>
      </c>
      <c r="D21702" t="str">
        <f>"BRAHA                    SARAH        T           "</f>
        <v xml:space="preserve">BRAHA                    SARAH        T           </v>
      </c>
      <c r="E21702" t="str">
        <f t="shared" si="517"/>
        <v xml:space="preserve">MEMPHIS                   </v>
      </c>
      <c r="F21702" t="str">
        <f t="shared" si="518"/>
        <v>TN</v>
      </c>
    </row>
    <row r="21703" spans="1:6" x14ac:dyDescent="0.25">
      <c r="A21703" t="str">
        <f>"000436064"</f>
        <v>000436064</v>
      </c>
      <c r="B21703" t="str">
        <f>"1104099258"</f>
        <v>1104099258</v>
      </c>
      <c r="C21703" t="str">
        <f>"208000000X"</f>
        <v>208000000X</v>
      </c>
      <c r="D21703" t="str">
        <f>"MCCOY                    ELISHA       S           "</f>
        <v xml:space="preserve">MCCOY                    ELISHA       S           </v>
      </c>
      <c r="E21703" t="str">
        <f t="shared" si="517"/>
        <v xml:space="preserve">MEMPHIS                   </v>
      </c>
      <c r="F21703" t="str">
        <f t="shared" si="518"/>
        <v>TN</v>
      </c>
    </row>
    <row r="21704" spans="1:6" x14ac:dyDescent="0.25">
      <c r="A21704" t="str">
        <f>"000451262"</f>
        <v>000451262</v>
      </c>
      <c r="B21704" t="str">
        <f>"1841716438"</f>
        <v>1841716438</v>
      </c>
      <c r="C21704" t="str">
        <f>"363L00000X"</f>
        <v>363L00000X</v>
      </c>
      <c r="D21704" t="str">
        <f>"HOLLIS                   FENISHA      D           "</f>
        <v xml:space="preserve">HOLLIS                   FENISHA      D           </v>
      </c>
      <c r="E21704" t="str">
        <f t="shared" si="517"/>
        <v xml:space="preserve">MEMPHIS                   </v>
      </c>
      <c r="F21704" t="str">
        <f t="shared" si="518"/>
        <v>TN</v>
      </c>
    </row>
    <row r="21705" spans="1:6" x14ac:dyDescent="0.25">
      <c r="A21705" t="str">
        <f>"000457534"</f>
        <v>000457534</v>
      </c>
      <c r="B21705" t="str">
        <f>"1730403072"</f>
        <v>1730403072</v>
      </c>
      <c r="C21705" t="str">
        <f>"207R00000X"</f>
        <v>207R00000X</v>
      </c>
      <c r="D21705" t="str">
        <f>"VIDAL                    GREGORY      A           "</f>
        <v xml:space="preserve">VIDAL                    GREGORY      A           </v>
      </c>
      <c r="E21705" t="str">
        <f>"GERMANTOWN                "</f>
        <v xml:space="preserve">GERMANTOWN                </v>
      </c>
      <c r="F21705" t="str">
        <f t="shared" si="518"/>
        <v>TN</v>
      </c>
    </row>
    <row r="21706" spans="1:6" x14ac:dyDescent="0.25">
      <c r="A21706" t="str">
        <f>"000474362"</f>
        <v>000474362</v>
      </c>
      <c r="B21706" t="str">
        <f>"1265756712"</f>
        <v>1265756712</v>
      </c>
      <c r="C21706" t="str">
        <f>"2080P0207X"</f>
        <v>2080P0207X</v>
      </c>
      <c r="D21706" t="str">
        <f>"JERKINS                  LAUREN       P           "</f>
        <v xml:space="preserve">JERKINS                  LAUREN       P           </v>
      </c>
      <c r="E21706" t="str">
        <f t="shared" ref="E21706:E21721" si="519">"MEMPHIS                   "</f>
        <v xml:space="preserve">MEMPHIS                   </v>
      </c>
      <c r="F21706" t="str">
        <f t="shared" si="518"/>
        <v>TN</v>
      </c>
    </row>
    <row r="21707" spans="1:6" x14ac:dyDescent="0.25">
      <c r="A21707" t="str">
        <f>"000476854"</f>
        <v>000476854</v>
      </c>
      <c r="B21707" t="str">
        <f>"1144485418"</f>
        <v>1144485418</v>
      </c>
      <c r="C21707" t="str">
        <f>"2085R0202X"</f>
        <v>2085R0202X</v>
      </c>
      <c r="D21707" t="str">
        <f>"AGRAWAL                  VIJAYKUMAR               "</f>
        <v xml:space="preserve">AGRAWAL                  VIJAYKUMAR               </v>
      </c>
      <c r="E21707" t="str">
        <f t="shared" si="519"/>
        <v xml:space="preserve">MEMPHIS                   </v>
      </c>
      <c r="F21707" t="str">
        <f t="shared" si="518"/>
        <v>TN</v>
      </c>
    </row>
    <row r="21708" spans="1:6" x14ac:dyDescent="0.25">
      <c r="A21708" t="str">
        <f>"000477876"</f>
        <v>000477876</v>
      </c>
      <c r="B21708" t="str">
        <f>"1134539075"</f>
        <v>1134539075</v>
      </c>
      <c r="C21708" t="str">
        <f>"207RH0002X"</f>
        <v>207RH0002X</v>
      </c>
      <c r="D21708" t="str">
        <f>"NELSON                   JEFFREY                  "</f>
        <v xml:space="preserve">NELSON                   JEFFREY                  </v>
      </c>
      <c r="E21708" t="str">
        <f t="shared" si="519"/>
        <v xml:space="preserve">MEMPHIS                   </v>
      </c>
      <c r="F21708" t="str">
        <f t="shared" si="518"/>
        <v>TN</v>
      </c>
    </row>
    <row r="21709" spans="1:6" x14ac:dyDescent="0.25">
      <c r="A21709" t="str">
        <f>"000479811"</f>
        <v>000479811</v>
      </c>
      <c r="B21709" t="str">
        <f>"1477201226"</f>
        <v>1477201226</v>
      </c>
      <c r="C21709" t="str">
        <f>"363L00000X"</f>
        <v>363L00000X</v>
      </c>
      <c r="D21709" t="str">
        <f>"JONES                    KRISTEN      H           "</f>
        <v xml:space="preserve">JONES                    KRISTEN      H           </v>
      </c>
      <c r="E21709" t="str">
        <f t="shared" si="519"/>
        <v xml:space="preserve">MEMPHIS                   </v>
      </c>
      <c r="F21709" t="str">
        <f t="shared" si="518"/>
        <v>TN</v>
      </c>
    </row>
    <row r="21710" spans="1:6" x14ac:dyDescent="0.25">
      <c r="A21710" t="str">
        <f>"000480326"</f>
        <v>000480326</v>
      </c>
      <c r="B21710" t="str">
        <f>"1265886188"</f>
        <v>1265886188</v>
      </c>
      <c r="C21710" t="str">
        <f>"2080P0207X"</f>
        <v>2080P0207X</v>
      </c>
      <c r="D21710" t="str">
        <f>"DUFFY                    CAITLYN      T           "</f>
        <v xml:space="preserve">DUFFY                    CAITLYN      T           </v>
      </c>
      <c r="E21710" t="str">
        <f t="shared" si="519"/>
        <v xml:space="preserve">MEMPHIS                   </v>
      </c>
      <c r="F21710" t="str">
        <f t="shared" si="518"/>
        <v>TN</v>
      </c>
    </row>
    <row r="21711" spans="1:6" x14ac:dyDescent="0.25">
      <c r="A21711" t="str">
        <f>"000481573"</f>
        <v>000481573</v>
      </c>
      <c r="B21711" t="str">
        <f>"1538680590"</f>
        <v>1538680590</v>
      </c>
      <c r="C21711" t="str">
        <f>"207RI0200X"</f>
        <v>207RI0200X</v>
      </c>
      <c r="D21711" t="str">
        <f>"CORNELIUS                TUHINA                   "</f>
        <v xml:space="preserve">CORNELIUS                TUHINA                   </v>
      </c>
      <c r="E21711" t="str">
        <f t="shared" si="519"/>
        <v xml:space="preserve">MEMPHIS                   </v>
      </c>
      <c r="F21711" t="str">
        <f t="shared" si="518"/>
        <v>TN</v>
      </c>
    </row>
    <row r="21712" spans="1:6" x14ac:dyDescent="0.25">
      <c r="A21712" t="str">
        <f>"000483338"</f>
        <v>000483338</v>
      </c>
      <c r="B21712" t="str">
        <f>"1669444642"</f>
        <v>1669444642</v>
      </c>
      <c r="C21712" t="str">
        <f>"207RG0100X"</f>
        <v>207RG0100X</v>
      </c>
      <c r="D21712" t="str">
        <f>"BAIDOO                   LEONARD      K           "</f>
        <v xml:space="preserve">BAIDOO                   LEONARD      K           </v>
      </c>
      <c r="E21712" t="str">
        <f t="shared" si="519"/>
        <v xml:space="preserve">MEMPHIS                   </v>
      </c>
      <c r="F21712" t="str">
        <f t="shared" si="518"/>
        <v>TN</v>
      </c>
    </row>
    <row r="21713" spans="1:6" x14ac:dyDescent="0.25">
      <c r="A21713" t="str">
        <f>"000486746"</f>
        <v>000486746</v>
      </c>
      <c r="B21713" t="str">
        <f>"1609304286"</f>
        <v>1609304286</v>
      </c>
      <c r="C21713" t="str">
        <f>"363A00000X"</f>
        <v>363A00000X</v>
      </c>
      <c r="D21713" t="str">
        <f>"MCDANIEL                 KAITLIN      M           "</f>
        <v xml:space="preserve">MCDANIEL                 KAITLIN      M           </v>
      </c>
      <c r="E21713" t="str">
        <f t="shared" si="519"/>
        <v xml:space="preserve">MEMPHIS                   </v>
      </c>
      <c r="F21713" t="str">
        <f t="shared" si="518"/>
        <v>TN</v>
      </c>
    </row>
    <row r="21714" spans="1:6" x14ac:dyDescent="0.25">
      <c r="A21714" t="str">
        <f>"000521321"</f>
        <v>000521321</v>
      </c>
      <c r="B21714" t="str">
        <f>"1598990194"</f>
        <v>1598990194</v>
      </c>
      <c r="C21714" t="str">
        <f>"2080P0207X"</f>
        <v>2080P0207X</v>
      </c>
      <c r="D21714" t="str">
        <f>"SLONE                    JEREMY                   "</f>
        <v xml:space="preserve">SLONE                    JEREMY                   </v>
      </c>
      <c r="E21714" t="str">
        <f t="shared" si="519"/>
        <v xml:space="preserve">MEMPHIS                   </v>
      </c>
      <c r="F21714" t="str">
        <f t="shared" si="518"/>
        <v>TN</v>
      </c>
    </row>
    <row r="21715" spans="1:6" x14ac:dyDescent="0.25">
      <c r="A21715" t="str">
        <f>"000533231"</f>
        <v>000533231</v>
      </c>
      <c r="B21715" t="str">
        <f>"1386987899"</f>
        <v>1386987899</v>
      </c>
      <c r="C21715" t="str">
        <f>"207T00000X"</f>
        <v>207T00000X</v>
      </c>
      <c r="D21715" t="str">
        <f>"KHAN                     NICKALUS     R           "</f>
        <v xml:space="preserve">KHAN                     NICKALUS     R           </v>
      </c>
      <c r="E21715" t="str">
        <f t="shared" si="519"/>
        <v xml:space="preserve">MEMPHIS                   </v>
      </c>
      <c r="F21715" t="str">
        <f t="shared" si="518"/>
        <v>TN</v>
      </c>
    </row>
    <row r="21716" spans="1:6" x14ac:dyDescent="0.25">
      <c r="A21716" t="str">
        <f>"000534501"</f>
        <v>000534501</v>
      </c>
      <c r="B21716" t="str">
        <f>"1528278223"</f>
        <v>1528278223</v>
      </c>
      <c r="C21716" t="str">
        <f>"2084N0402X"</f>
        <v>2084N0402X</v>
      </c>
      <c r="D21716" t="str">
        <f>"MUDIGOUDAR               BASANAGOUD               "</f>
        <v xml:space="preserve">MUDIGOUDAR               BASANAGOUD               </v>
      </c>
      <c r="E21716" t="str">
        <f t="shared" si="519"/>
        <v xml:space="preserve">MEMPHIS                   </v>
      </c>
      <c r="F21716" t="str">
        <f t="shared" si="518"/>
        <v>TN</v>
      </c>
    </row>
    <row r="21717" spans="1:6" x14ac:dyDescent="0.25">
      <c r="A21717" t="str">
        <f>"000535760"</f>
        <v>000535760</v>
      </c>
      <c r="B21717" t="str">
        <f>"1881037554"</f>
        <v>1881037554</v>
      </c>
      <c r="C21717" t="str">
        <f>"207P00000X"</f>
        <v>207P00000X</v>
      </c>
      <c r="D21717" t="str">
        <f>"FRANK                    CAILIN                   "</f>
        <v xml:space="preserve">FRANK                    CAILIN                   </v>
      </c>
      <c r="E21717" t="str">
        <f t="shared" si="519"/>
        <v xml:space="preserve">MEMPHIS                   </v>
      </c>
      <c r="F21717" t="str">
        <f t="shared" si="518"/>
        <v>TN</v>
      </c>
    </row>
    <row r="21718" spans="1:6" x14ac:dyDescent="0.25">
      <c r="A21718" t="str">
        <f>"000539261"</f>
        <v>000539261</v>
      </c>
      <c r="B21718" t="str">
        <f>"1427571850"</f>
        <v>1427571850</v>
      </c>
      <c r="C21718" t="str">
        <f>"363A00000X"</f>
        <v>363A00000X</v>
      </c>
      <c r="D21718" t="str">
        <f>"PIRVU                    KRISTEN      E           "</f>
        <v xml:space="preserve">PIRVU                    KRISTEN      E           </v>
      </c>
      <c r="E21718" t="str">
        <f t="shared" si="519"/>
        <v xml:space="preserve">MEMPHIS                   </v>
      </c>
      <c r="F21718" t="str">
        <f t="shared" si="518"/>
        <v>TN</v>
      </c>
    </row>
    <row r="21719" spans="1:6" x14ac:dyDescent="0.25">
      <c r="A21719" t="str">
        <f>"000553989"</f>
        <v>000553989</v>
      </c>
      <c r="B21719" t="str">
        <f>"1780195347"</f>
        <v>1780195347</v>
      </c>
      <c r="C21719" t="str">
        <f>"363LF0000X"</f>
        <v>363LF0000X</v>
      </c>
      <c r="D21719" t="str">
        <f>"RABE                     DAWN                     "</f>
        <v xml:space="preserve">RABE                     DAWN                     </v>
      </c>
      <c r="E21719" t="str">
        <f t="shared" si="519"/>
        <v xml:space="preserve">MEMPHIS                   </v>
      </c>
      <c r="F21719" t="str">
        <f t="shared" si="518"/>
        <v>TN</v>
      </c>
    </row>
    <row r="21720" spans="1:6" x14ac:dyDescent="0.25">
      <c r="A21720" t="str">
        <f>"000556501"</f>
        <v>000556501</v>
      </c>
      <c r="B21720" t="str">
        <f>"1831254127"</f>
        <v>1831254127</v>
      </c>
      <c r="C21720" t="str">
        <f>"2086S0122X"</f>
        <v>2086S0122X</v>
      </c>
      <c r="D21720" t="str">
        <f>"BECKER                   DEVRA                    "</f>
        <v xml:space="preserve">BECKER                   DEVRA                    </v>
      </c>
      <c r="E21720" t="str">
        <f t="shared" si="519"/>
        <v xml:space="preserve">MEMPHIS                   </v>
      </c>
      <c r="F21720" t="str">
        <f t="shared" si="518"/>
        <v>TN</v>
      </c>
    </row>
    <row r="21721" spans="1:6" x14ac:dyDescent="0.25">
      <c r="A21721" t="str">
        <f>"000562701"</f>
        <v>000562701</v>
      </c>
      <c r="B21721" t="str">
        <f>"1710919352"</f>
        <v>1710919352</v>
      </c>
      <c r="C21721" t="str">
        <f>"2084P0800X"</f>
        <v>2084P0800X</v>
      </c>
      <c r="D21721" t="str">
        <f>"STRUBLE                  DAVID        L           "</f>
        <v xml:space="preserve">STRUBLE                  DAVID        L           </v>
      </c>
      <c r="E21721" t="str">
        <f t="shared" si="519"/>
        <v xml:space="preserve">MEMPHIS                   </v>
      </c>
      <c r="F21721" t="str">
        <f t="shared" si="518"/>
        <v>TN</v>
      </c>
    </row>
    <row r="21722" spans="1:6" x14ac:dyDescent="0.25">
      <c r="A21722" t="str">
        <f>"000574701"</f>
        <v>000574701</v>
      </c>
      <c r="B21722" t="str">
        <f>"1851879506"</f>
        <v>1851879506</v>
      </c>
      <c r="C21722" t="str">
        <f>"363L00000X"</f>
        <v>363L00000X</v>
      </c>
      <c r="D21722" t="str">
        <f>"TAYLOR                   LAUREN       P           "</f>
        <v xml:space="preserve">TAYLOR                   LAUREN       P           </v>
      </c>
      <c r="E21722" t="str">
        <f>"GERMANTOWN                "</f>
        <v xml:space="preserve">GERMANTOWN                </v>
      </c>
      <c r="F21722" t="str">
        <f t="shared" si="518"/>
        <v>TN</v>
      </c>
    </row>
    <row r="21723" spans="1:6" x14ac:dyDescent="0.25">
      <c r="A21723" t="str">
        <f>"000575571"</f>
        <v>000575571</v>
      </c>
      <c r="B21723" t="str">
        <f>"1619397346"</f>
        <v>1619397346</v>
      </c>
      <c r="C21723" t="str">
        <f>"207RH0000X"</f>
        <v>207RH0000X</v>
      </c>
      <c r="D21723" t="str">
        <f>"RINEY                    SAMUEL       J           "</f>
        <v xml:space="preserve">RINEY                    SAMUEL       J           </v>
      </c>
      <c r="E21723" t="str">
        <f>"MEMPHIS                   "</f>
        <v xml:space="preserve">MEMPHIS                   </v>
      </c>
      <c r="F21723" t="str">
        <f t="shared" si="518"/>
        <v>TN</v>
      </c>
    </row>
    <row r="21724" spans="1:6" x14ac:dyDescent="0.25">
      <c r="A21724" t="str">
        <f>"000577245"</f>
        <v>000577245</v>
      </c>
      <c r="B21724" t="str">
        <f>"1700082948"</f>
        <v>1700082948</v>
      </c>
      <c r="C21724" t="str">
        <f>"208000000X"</f>
        <v>208000000X</v>
      </c>
      <c r="D21724" t="str">
        <f>"JACOBS                   JONATHAN                 "</f>
        <v xml:space="preserve">JACOBS                   JONATHAN                 </v>
      </c>
      <c r="E21724" t="str">
        <f>"MEMPHIS                   "</f>
        <v xml:space="preserve">MEMPHIS                   </v>
      </c>
      <c r="F21724" t="str">
        <f t="shared" si="518"/>
        <v>TN</v>
      </c>
    </row>
    <row r="21725" spans="1:6" x14ac:dyDescent="0.25">
      <c r="A21725" t="str">
        <f>"000578273"</f>
        <v>000578273</v>
      </c>
      <c r="B21725" t="str">
        <f>"1235525593"</f>
        <v>1235525593</v>
      </c>
      <c r="C21725" t="str">
        <f>"363LP0200X"</f>
        <v>363LP0200X</v>
      </c>
      <c r="D21725" t="str">
        <f>"BAKER                    ANNA                     "</f>
        <v xml:space="preserve">BAKER                    ANNA                     </v>
      </c>
      <c r="E21725" t="str">
        <f>"MEMPHIS                   "</f>
        <v xml:space="preserve">MEMPHIS                   </v>
      </c>
      <c r="F21725" t="str">
        <f t="shared" si="518"/>
        <v>TN</v>
      </c>
    </row>
    <row r="21726" spans="1:6" x14ac:dyDescent="0.25">
      <c r="A21726" t="str">
        <f>"000620760"</f>
        <v>000620760</v>
      </c>
      <c r="B21726" t="str">
        <f>"1922104157"</f>
        <v>1922104157</v>
      </c>
      <c r="C21726" t="str">
        <f>"2085R0202X"</f>
        <v>2085R0202X</v>
      </c>
      <c r="D21726" t="str">
        <f>"SCHWARTZ                 DAVID        L           "</f>
        <v xml:space="preserve">SCHWARTZ                 DAVID        L           </v>
      </c>
      <c r="E21726" t="str">
        <f>"MEMPHIS                   "</f>
        <v xml:space="preserve">MEMPHIS                   </v>
      </c>
      <c r="F21726" t="str">
        <f t="shared" si="518"/>
        <v>TN</v>
      </c>
    </row>
    <row r="21727" spans="1:6" x14ac:dyDescent="0.25">
      <c r="A21727" t="str">
        <f>"000623735"</f>
        <v>000623735</v>
      </c>
      <c r="B21727" t="str">
        <f>"1508464181"</f>
        <v>1508464181</v>
      </c>
      <c r="C21727" t="str">
        <f>"363L00000X"</f>
        <v>363L00000X</v>
      </c>
      <c r="D21727" t="str">
        <f>"LENOX                    MEREDITH                 "</f>
        <v xml:space="preserve">LENOX                    MEREDITH                 </v>
      </c>
      <c r="E21727" t="str">
        <f>"MEMPHIS                   "</f>
        <v xml:space="preserve">MEMPHIS                   </v>
      </c>
      <c r="F21727" t="str">
        <f t="shared" si="518"/>
        <v>TN</v>
      </c>
    </row>
    <row r="21728" spans="1:6" x14ac:dyDescent="0.25">
      <c r="A21728" t="str">
        <f>"000632315"</f>
        <v>000632315</v>
      </c>
      <c r="B21728" t="str">
        <f>"1689816886"</f>
        <v>1689816886</v>
      </c>
      <c r="C21728" t="str">
        <f>"207R00000X"</f>
        <v>207R00000X</v>
      </c>
      <c r="D21728" t="str">
        <f>"GILLESS                  ELIZABETH    H           "</f>
        <v xml:space="preserve">GILLESS                  ELIZABETH    H           </v>
      </c>
      <c r="E21728" t="str">
        <f>"GERMANTOWN                "</f>
        <v xml:space="preserve">GERMANTOWN                </v>
      </c>
      <c r="F21728" t="str">
        <f t="shared" si="518"/>
        <v>TN</v>
      </c>
    </row>
    <row r="21729" spans="1:6" x14ac:dyDescent="0.25">
      <c r="A21729" t="str">
        <f>"000633243"</f>
        <v>000633243</v>
      </c>
      <c r="B21729" t="str">
        <f>"1770809105"</f>
        <v>1770809105</v>
      </c>
      <c r="C21729" t="str">
        <f>"208600000X"</f>
        <v>208600000X</v>
      </c>
      <c r="D21729" t="str">
        <f>"BARNARD                  DANIELLE     L           "</f>
        <v xml:space="preserve">BARNARD                  DANIELLE     L           </v>
      </c>
      <c r="E21729" t="str">
        <f>"MEMPHIS                   "</f>
        <v xml:space="preserve">MEMPHIS                   </v>
      </c>
      <c r="F21729" t="str">
        <f t="shared" si="518"/>
        <v>TN</v>
      </c>
    </row>
    <row r="21730" spans="1:6" x14ac:dyDescent="0.25">
      <c r="A21730" t="str">
        <f>"000638283"</f>
        <v>000638283</v>
      </c>
      <c r="B21730" t="str">
        <f>"1821331000"</f>
        <v>1821331000</v>
      </c>
      <c r="C21730" t="str">
        <f>"2084N0402X"</f>
        <v>2084N0402X</v>
      </c>
      <c r="D21730" t="str">
        <f>"SOLANKI                  ARUN                     "</f>
        <v xml:space="preserve">SOLANKI                  ARUN                     </v>
      </c>
      <c r="E21730" t="str">
        <f>"GERMANTOWN                "</f>
        <v xml:space="preserve">GERMANTOWN                </v>
      </c>
      <c r="F21730" t="str">
        <f t="shared" si="518"/>
        <v>TN</v>
      </c>
    </row>
    <row r="21731" spans="1:6" x14ac:dyDescent="0.25">
      <c r="A21731" t="str">
        <f>"000653870"</f>
        <v>000653870</v>
      </c>
      <c r="B21731" t="str">
        <f>"1558578666"</f>
        <v>1558578666</v>
      </c>
      <c r="C21731" t="str">
        <f>"2085R0001X"</f>
        <v>2085R0001X</v>
      </c>
      <c r="D21731" t="str">
        <f>"FARMER                   MICHAEL      R           "</f>
        <v xml:space="preserve">FARMER                   MICHAEL      R           </v>
      </c>
      <c r="E21731" t="str">
        <f>"GERMANTOWN                "</f>
        <v xml:space="preserve">GERMANTOWN                </v>
      </c>
      <c r="F21731" t="str">
        <f t="shared" si="518"/>
        <v>TN</v>
      </c>
    </row>
    <row r="21732" spans="1:6" x14ac:dyDescent="0.25">
      <c r="A21732" t="str">
        <f>"000674804"</f>
        <v>000674804</v>
      </c>
      <c r="B21732" t="str">
        <f>"1922663350"</f>
        <v>1922663350</v>
      </c>
      <c r="C21732" t="str">
        <f>"207P00000X"</f>
        <v>207P00000X</v>
      </c>
      <c r="D21732" t="str">
        <f>"WALSH                    RYAN                     "</f>
        <v xml:space="preserve">WALSH                    RYAN                     </v>
      </c>
      <c r="E21732" t="str">
        <f t="shared" ref="E21732:E21738" si="520">"MEMPHIS                   "</f>
        <v xml:space="preserve">MEMPHIS                   </v>
      </c>
      <c r="F21732" t="str">
        <f t="shared" si="518"/>
        <v>TN</v>
      </c>
    </row>
    <row r="21733" spans="1:6" x14ac:dyDescent="0.25">
      <c r="A21733" t="str">
        <f>"000687566"</f>
        <v>000687566</v>
      </c>
      <c r="B21733" t="str">
        <f>"1619237005"</f>
        <v>1619237005</v>
      </c>
      <c r="C21733" t="str">
        <f>"2080P0207X"</f>
        <v>2080P0207X</v>
      </c>
      <c r="D21733" t="str">
        <f>"DIXON                    STEPHANIE    B           "</f>
        <v xml:space="preserve">DIXON                    STEPHANIE    B           </v>
      </c>
      <c r="E21733" t="str">
        <f t="shared" si="520"/>
        <v xml:space="preserve">MEMPHIS                   </v>
      </c>
      <c r="F21733" t="str">
        <f t="shared" si="518"/>
        <v>TN</v>
      </c>
    </row>
    <row r="21734" spans="1:6" x14ac:dyDescent="0.25">
      <c r="A21734" t="str">
        <f>"000704006"</f>
        <v>000704006</v>
      </c>
      <c r="B21734" t="str">
        <f>"1912252354"</f>
        <v>1912252354</v>
      </c>
      <c r="C21734" t="str">
        <f>"363L00000X"</f>
        <v>363L00000X</v>
      </c>
      <c r="D21734" t="str">
        <f>"MCCOY                    CHRISTINA    B           "</f>
        <v xml:space="preserve">MCCOY                    CHRISTINA    B           </v>
      </c>
      <c r="E21734" t="str">
        <f t="shared" si="520"/>
        <v xml:space="preserve">MEMPHIS                   </v>
      </c>
      <c r="F21734" t="str">
        <f t="shared" si="518"/>
        <v>TN</v>
      </c>
    </row>
    <row r="21735" spans="1:6" x14ac:dyDescent="0.25">
      <c r="A21735" t="str">
        <f>"000708006"</f>
        <v>000708006</v>
      </c>
      <c r="B21735" t="str">
        <f>"1538109582"</f>
        <v>1538109582</v>
      </c>
      <c r="C21735" t="str">
        <f>"2080P0205X"</f>
        <v>2080P0205X</v>
      </c>
      <c r="D21735" t="str">
        <f>"YU                       CHRISTINE                "</f>
        <v xml:space="preserve">YU                       CHRISTINE                </v>
      </c>
      <c r="E21735" t="str">
        <f t="shared" si="520"/>
        <v xml:space="preserve">MEMPHIS                   </v>
      </c>
      <c r="F21735" t="str">
        <f t="shared" si="518"/>
        <v>TN</v>
      </c>
    </row>
    <row r="21736" spans="1:6" x14ac:dyDescent="0.25">
      <c r="A21736" t="str">
        <f>"000709751"</f>
        <v>000709751</v>
      </c>
      <c r="B21736" t="str">
        <f>"1285834630"</f>
        <v>1285834630</v>
      </c>
      <c r="C21736" t="str">
        <f>"207T00000X"</f>
        <v>207T00000X</v>
      </c>
      <c r="D21736" t="str">
        <f>"NICKELE                  CHRISTOPHER              "</f>
        <v xml:space="preserve">NICKELE                  CHRISTOPHER              </v>
      </c>
      <c r="E21736" t="str">
        <f t="shared" si="520"/>
        <v xml:space="preserve">MEMPHIS                   </v>
      </c>
      <c r="F21736" t="str">
        <f t="shared" si="518"/>
        <v>TN</v>
      </c>
    </row>
    <row r="21737" spans="1:6" x14ac:dyDescent="0.25">
      <c r="A21737" t="str">
        <f>"000726811"</f>
        <v>000726811</v>
      </c>
      <c r="B21737" t="str">
        <f>"1508246497"</f>
        <v>1508246497</v>
      </c>
      <c r="C21737" t="str">
        <f>"207R00000X"</f>
        <v>207R00000X</v>
      </c>
      <c r="D21737" t="str">
        <f>"SAREEN                   SRISHTI                  "</f>
        <v xml:space="preserve">SAREEN                   SRISHTI                  </v>
      </c>
      <c r="E21737" t="str">
        <f t="shared" si="520"/>
        <v xml:space="preserve">MEMPHIS                   </v>
      </c>
      <c r="F21737" t="str">
        <f t="shared" si="518"/>
        <v>TN</v>
      </c>
    </row>
    <row r="21738" spans="1:6" x14ac:dyDescent="0.25">
      <c r="A21738" t="str">
        <f>"000757821"</f>
        <v>000757821</v>
      </c>
      <c r="B21738" t="str">
        <f>"1235195553"</f>
        <v>1235195553</v>
      </c>
      <c r="C21738" t="str">
        <f>"367500000X"</f>
        <v>367500000X</v>
      </c>
      <c r="D21738" t="str">
        <f>"COX                      KEVIN        W           "</f>
        <v xml:space="preserve">COX                      KEVIN        W           </v>
      </c>
      <c r="E21738" t="str">
        <f t="shared" si="520"/>
        <v xml:space="preserve">MEMPHIS                   </v>
      </c>
      <c r="F21738" t="str">
        <f t="shared" si="518"/>
        <v>TN</v>
      </c>
    </row>
    <row r="21739" spans="1:6" x14ac:dyDescent="0.25">
      <c r="A21739" t="str">
        <f>"000759714"</f>
        <v>000759714</v>
      </c>
      <c r="B21739" t="str">
        <f>"1831621952"</f>
        <v>1831621952</v>
      </c>
      <c r="C21739" t="str">
        <f>"363L00000X"</f>
        <v>363L00000X</v>
      </c>
      <c r="D21739" t="str">
        <f>"FUNDERBURG               KELLEY       M           "</f>
        <v xml:space="preserve">FUNDERBURG               KELLEY       M           </v>
      </c>
      <c r="E21739" t="str">
        <f>"GERMANTOWN                "</f>
        <v xml:space="preserve">GERMANTOWN                </v>
      </c>
      <c r="F21739" t="str">
        <f t="shared" si="518"/>
        <v>TN</v>
      </c>
    </row>
    <row r="21740" spans="1:6" x14ac:dyDescent="0.25">
      <c r="A21740" t="str">
        <f>"000770664"</f>
        <v>000770664</v>
      </c>
      <c r="B21740" t="str">
        <f>"1306283361"</f>
        <v>1306283361</v>
      </c>
      <c r="C21740" t="str">
        <f>"208600000X"</f>
        <v>208600000X</v>
      </c>
      <c r="D21740" t="str">
        <f>"BITTENBINDER             DAVID        M           "</f>
        <v xml:space="preserve">BITTENBINDER             DAVID        M           </v>
      </c>
      <c r="E21740" t="str">
        <f>"MEMPHIS                   "</f>
        <v xml:space="preserve">MEMPHIS                   </v>
      </c>
      <c r="F21740" t="str">
        <f t="shared" si="518"/>
        <v>TN</v>
      </c>
    </row>
    <row r="21741" spans="1:6" x14ac:dyDescent="0.25">
      <c r="A21741" t="str">
        <f>"000807703"</f>
        <v>000807703</v>
      </c>
      <c r="B21741" t="str">
        <f>"1124306097"</f>
        <v>1124306097</v>
      </c>
      <c r="C21741" t="str">
        <f>"363L00000X"</f>
        <v>363L00000X</v>
      </c>
      <c r="D21741" t="str">
        <f>"SMITH                    VENETIA      A           "</f>
        <v xml:space="preserve">SMITH                    VENETIA      A           </v>
      </c>
      <c r="E21741" t="str">
        <f>"MEMPHIS                   "</f>
        <v xml:space="preserve">MEMPHIS                   </v>
      </c>
      <c r="F21741" t="str">
        <f t="shared" si="518"/>
        <v>TN</v>
      </c>
    </row>
    <row r="21742" spans="1:6" x14ac:dyDescent="0.25">
      <c r="A21742" t="str">
        <f>"000834005"</f>
        <v>000834005</v>
      </c>
      <c r="B21742" t="str">
        <f>"1932642907"</f>
        <v>1932642907</v>
      </c>
      <c r="C21742" t="str">
        <f>"363A00000X"</f>
        <v>363A00000X</v>
      </c>
      <c r="D21742" t="str">
        <f>"WILHITE                  KARA         D           "</f>
        <v xml:space="preserve">WILHITE                  KARA         D           </v>
      </c>
      <c r="E21742" t="str">
        <f>"MEMPHIS                   "</f>
        <v xml:space="preserve">MEMPHIS                   </v>
      </c>
      <c r="F21742" t="str">
        <f t="shared" si="518"/>
        <v>TN</v>
      </c>
    </row>
    <row r="21743" spans="1:6" x14ac:dyDescent="0.25">
      <c r="A21743" t="str">
        <f>"000836545"</f>
        <v>000836545</v>
      </c>
      <c r="B21743" t="str">
        <f>"1144664699"</f>
        <v>1144664699</v>
      </c>
      <c r="C21743" t="str">
        <f>"208600000X"</f>
        <v>208600000X</v>
      </c>
      <c r="D21743" t="str">
        <f>"STRANCH                  ETHAN                    "</f>
        <v xml:space="preserve">STRANCH                  ETHAN                    </v>
      </c>
      <c r="E21743" t="str">
        <f>"MEMPHIS                   "</f>
        <v xml:space="preserve">MEMPHIS                   </v>
      </c>
      <c r="F21743" t="str">
        <f t="shared" si="518"/>
        <v>TN</v>
      </c>
    </row>
    <row r="21744" spans="1:6" x14ac:dyDescent="0.25">
      <c r="A21744" t="str">
        <f>"000839593"</f>
        <v>000839593</v>
      </c>
      <c r="B21744" t="str">
        <f>"1083619456"</f>
        <v>1083619456</v>
      </c>
      <c r="C21744" t="str">
        <f>"2085R0202X"</f>
        <v>2085R0202X</v>
      </c>
      <c r="D21744" t="str">
        <f>"CATE                     BRIAN        M           "</f>
        <v xml:space="preserve">CATE                     BRIAN        M           </v>
      </c>
      <c r="E21744" t="str">
        <f>"GERMANTOWN                "</f>
        <v xml:space="preserve">GERMANTOWN                </v>
      </c>
      <c r="F21744" t="str">
        <f t="shared" si="518"/>
        <v>TN</v>
      </c>
    </row>
    <row r="21745" spans="1:6" x14ac:dyDescent="0.25">
      <c r="A21745" t="str">
        <f>"000851239"</f>
        <v>000851239</v>
      </c>
      <c r="B21745" t="str">
        <f>"1225341050"</f>
        <v>1225341050</v>
      </c>
      <c r="C21745" t="str">
        <f>"207R00000X"</f>
        <v>207R00000X</v>
      </c>
      <c r="D21745" t="str">
        <f>"MALIK                    MUBASHER     E           "</f>
        <v xml:space="preserve">MALIK                    MUBASHER     E           </v>
      </c>
      <c r="E21745" t="str">
        <f>"MEMPHIS                   "</f>
        <v xml:space="preserve">MEMPHIS                   </v>
      </c>
      <c r="F21745" t="str">
        <f t="shared" si="518"/>
        <v>TN</v>
      </c>
    </row>
    <row r="21746" spans="1:6" x14ac:dyDescent="0.25">
      <c r="A21746" t="str">
        <f>"000871312"</f>
        <v>000871312</v>
      </c>
      <c r="B21746" t="str">
        <f>"1780169441"</f>
        <v>1780169441</v>
      </c>
      <c r="C21746" t="str">
        <f>"363L00000X"</f>
        <v>363L00000X</v>
      </c>
      <c r="D21746" t="str">
        <f>"DALE                     BRIANNA      M           "</f>
        <v xml:space="preserve">DALE                     BRIANNA      M           </v>
      </c>
      <c r="E21746" t="str">
        <f>"MEMPHIS                   "</f>
        <v xml:space="preserve">MEMPHIS                   </v>
      </c>
      <c r="F21746" t="str">
        <f t="shared" si="518"/>
        <v>TN</v>
      </c>
    </row>
    <row r="21747" spans="1:6" x14ac:dyDescent="0.25">
      <c r="A21747" t="str">
        <f>"000873316"</f>
        <v>000873316</v>
      </c>
      <c r="B21747" t="str">
        <f>"1588733992"</f>
        <v>1588733992</v>
      </c>
      <c r="C21747" t="str">
        <f>"208800000X"</f>
        <v>208800000X</v>
      </c>
      <c r="D21747" t="str">
        <f>"SHAPPLEY III             WILLIAM      V           "</f>
        <v xml:space="preserve">SHAPPLEY III             WILLIAM      V           </v>
      </c>
      <c r="E21747" t="str">
        <f>"MEMPHIS                   "</f>
        <v xml:space="preserve">MEMPHIS                   </v>
      </c>
      <c r="F21747" t="str">
        <f t="shared" si="518"/>
        <v>TN</v>
      </c>
    </row>
    <row r="21748" spans="1:6" x14ac:dyDescent="0.25">
      <c r="A21748" t="str">
        <f>"000877855"</f>
        <v>000877855</v>
      </c>
      <c r="B21748" t="str">
        <f>"1669579116"</f>
        <v>1669579116</v>
      </c>
      <c r="C21748" t="str">
        <f>"2084P0800X"</f>
        <v>2084P0800X</v>
      </c>
      <c r="D21748" t="str">
        <f>"SHAW                     JONATHAN     D           "</f>
        <v xml:space="preserve">SHAW                     JONATHAN     D           </v>
      </c>
      <c r="E21748" t="str">
        <f>"BARTLETT                  "</f>
        <v xml:space="preserve">BARTLETT                  </v>
      </c>
      <c r="F21748" t="str">
        <f t="shared" si="518"/>
        <v>TN</v>
      </c>
    </row>
    <row r="21749" spans="1:6" x14ac:dyDescent="0.25">
      <c r="A21749" t="str">
        <f>"000880099"</f>
        <v>000880099</v>
      </c>
      <c r="B21749" t="str">
        <f>"1750384541"</f>
        <v>1750384541</v>
      </c>
      <c r="C21749" t="str">
        <f>"152W00000X"</f>
        <v>152W00000X</v>
      </c>
      <c r="D21749" t="str">
        <f>"RAFIEETARY               MOHAMMAD     R           "</f>
        <v xml:space="preserve">RAFIEETARY               MOHAMMAD     R           </v>
      </c>
      <c r="E21749" t="str">
        <f>"GERMANTOWN                "</f>
        <v xml:space="preserve">GERMANTOWN                </v>
      </c>
      <c r="F21749" t="str">
        <f t="shared" si="518"/>
        <v>TN</v>
      </c>
    </row>
    <row r="21750" spans="1:6" x14ac:dyDescent="0.25">
      <c r="A21750" t="str">
        <f>"000885595"</f>
        <v>000885595</v>
      </c>
      <c r="B21750" t="str">
        <f>"1255008843"</f>
        <v>1255008843</v>
      </c>
      <c r="C21750" t="str">
        <f>"363L00000X"</f>
        <v>363L00000X</v>
      </c>
      <c r="D21750" t="str">
        <f>"HINDMAN                  ALISIA       R           "</f>
        <v xml:space="preserve">HINDMAN                  ALISIA       R           </v>
      </c>
      <c r="E21750" t="str">
        <f>"MEMPHIS                   "</f>
        <v xml:space="preserve">MEMPHIS                   </v>
      </c>
      <c r="F21750" t="str">
        <f t="shared" si="518"/>
        <v>TN</v>
      </c>
    </row>
    <row r="21751" spans="1:6" x14ac:dyDescent="0.25">
      <c r="A21751" t="str">
        <f>"000923502"</f>
        <v>000923502</v>
      </c>
      <c r="B21751" t="str">
        <f>"1598161838"</f>
        <v>1598161838</v>
      </c>
      <c r="C21751" t="str">
        <f>"207V00000X"</f>
        <v>207V00000X</v>
      </c>
      <c r="D21751" t="str">
        <f>"KHANNA                   PALLAVI                  "</f>
        <v xml:space="preserve">KHANNA                   PALLAVI                  </v>
      </c>
      <c r="E21751" t="str">
        <f>"MEMPHIS                   "</f>
        <v xml:space="preserve">MEMPHIS                   </v>
      </c>
      <c r="F21751" t="str">
        <f t="shared" si="518"/>
        <v>TN</v>
      </c>
    </row>
    <row r="21752" spans="1:6" x14ac:dyDescent="0.25">
      <c r="A21752" t="str">
        <f>"000924830"</f>
        <v>000924830</v>
      </c>
      <c r="B21752" t="str">
        <f>"1578874749"</f>
        <v>1578874749</v>
      </c>
      <c r="C21752" t="str">
        <f>"208600000X"</f>
        <v>208600000X</v>
      </c>
      <c r="D21752" t="str">
        <f>"BARDEN                   GALA         M           "</f>
        <v xml:space="preserve">BARDEN                   GALA         M           </v>
      </c>
      <c r="E21752" t="str">
        <f>"MEMPHIS                   "</f>
        <v xml:space="preserve">MEMPHIS                   </v>
      </c>
      <c r="F21752" t="str">
        <f t="shared" si="518"/>
        <v>TN</v>
      </c>
    </row>
    <row r="21753" spans="1:6" x14ac:dyDescent="0.25">
      <c r="A21753" t="str">
        <f>"000925585"</f>
        <v>000925585</v>
      </c>
      <c r="B21753" t="str">
        <f>"1841278678"</f>
        <v>1841278678</v>
      </c>
      <c r="C21753" t="str">
        <f>"207RH0000X"</f>
        <v>207RH0000X</v>
      </c>
      <c r="D21753" t="str">
        <f>"GROTHEY                  AXEL         F           "</f>
        <v xml:space="preserve">GROTHEY                  AXEL         F           </v>
      </c>
      <c r="E21753" t="str">
        <f>"GERMANTOWN                "</f>
        <v xml:space="preserve">GERMANTOWN                </v>
      </c>
      <c r="F21753" t="str">
        <f t="shared" si="518"/>
        <v>TN</v>
      </c>
    </row>
    <row r="21754" spans="1:6" x14ac:dyDescent="0.25">
      <c r="A21754" t="str">
        <f>"000933575"</f>
        <v>000933575</v>
      </c>
      <c r="B21754" t="str">
        <f>"1114098043"</f>
        <v>1114098043</v>
      </c>
      <c r="C21754" t="str">
        <f>"207RC0000X"</f>
        <v>207RC0000X</v>
      </c>
      <c r="D21754" t="str">
        <f>"WOLFORD                  DAVID        C           "</f>
        <v xml:space="preserve">WOLFORD                  DAVID        C           </v>
      </c>
      <c r="E21754" t="str">
        <f>"GERMANTOWN                "</f>
        <v xml:space="preserve">GERMANTOWN                </v>
      </c>
      <c r="F21754" t="str">
        <f t="shared" si="518"/>
        <v>TN</v>
      </c>
    </row>
    <row r="21755" spans="1:6" x14ac:dyDescent="0.25">
      <c r="A21755" t="str">
        <f>"000936361"</f>
        <v>000936361</v>
      </c>
      <c r="B21755" t="str">
        <f>"1558565267"</f>
        <v>1558565267</v>
      </c>
      <c r="C21755" t="str">
        <f>"207LP3000X"</f>
        <v>207LP3000X</v>
      </c>
      <c r="D21755" t="str">
        <f>"SHETH                    MICHELLE     M           "</f>
        <v xml:space="preserve">SHETH                    MICHELLE     M           </v>
      </c>
      <c r="E21755" t="str">
        <f>"MEMPHIS                   "</f>
        <v xml:space="preserve">MEMPHIS                   </v>
      </c>
      <c r="F21755" t="str">
        <f t="shared" si="518"/>
        <v>TN</v>
      </c>
    </row>
    <row r="21756" spans="1:6" x14ac:dyDescent="0.25">
      <c r="A21756" t="str">
        <f>"000938533"</f>
        <v>000938533</v>
      </c>
      <c r="B21756" t="str">
        <f>"1053384644"</f>
        <v>1053384644</v>
      </c>
      <c r="C21756" t="str">
        <f>"2085R0202X"</f>
        <v>2085R0202X</v>
      </c>
      <c r="D21756" t="str">
        <f>"WILLIAMS III             JOSEPH                   "</f>
        <v xml:space="preserve">WILLIAMS III             JOSEPH                   </v>
      </c>
      <c r="E21756" t="str">
        <f>"MEMPHIS                   "</f>
        <v xml:space="preserve">MEMPHIS                   </v>
      </c>
      <c r="F21756" t="str">
        <f t="shared" si="518"/>
        <v>TN</v>
      </c>
    </row>
    <row r="21757" spans="1:6" x14ac:dyDescent="0.25">
      <c r="A21757" t="str">
        <f>"000956761"</f>
        <v>000956761</v>
      </c>
      <c r="B21757" t="str">
        <f>"1013278084"</f>
        <v>1013278084</v>
      </c>
      <c r="C21757" t="str">
        <f>"207X00000X"</f>
        <v>207X00000X</v>
      </c>
      <c r="D21757" t="str">
        <f>"WELLER                   WILLIAM      J           "</f>
        <v xml:space="preserve">WELLER                   WILLIAM      J           </v>
      </c>
      <c r="E21757" t="str">
        <f>"GERMANTOWN                "</f>
        <v xml:space="preserve">GERMANTOWN                </v>
      </c>
      <c r="F21757" t="str">
        <f t="shared" si="518"/>
        <v>TN</v>
      </c>
    </row>
    <row r="21758" spans="1:6" x14ac:dyDescent="0.25">
      <c r="A21758" t="str">
        <f>"000970870"</f>
        <v>000970870</v>
      </c>
      <c r="B21758" t="str">
        <f>"1346463130"</f>
        <v>1346463130</v>
      </c>
      <c r="C21758" t="str">
        <f>"208000000X"</f>
        <v>208000000X</v>
      </c>
      <c r="D21758" t="str">
        <f>"EL-ABIAD                 MOHAMAD      T           "</f>
        <v xml:space="preserve">EL-ABIAD                 MOHAMAD      T           </v>
      </c>
      <c r="E21758" t="str">
        <f>"MEMPHIS                   "</f>
        <v xml:space="preserve">MEMPHIS                   </v>
      </c>
      <c r="F21758" t="str">
        <f t="shared" ref="F21758:F21821" si="521">"TN"</f>
        <v>TN</v>
      </c>
    </row>
    <row r="21759" spans="1:6" x14ac:dyDescent="0.25">
      <c r="A21759" t="str">
        <f>"000973503"</f>
        <v>000973503</v>
      </c>
      <c r="B21759" t="str">
        <f>"1447757935"</f>
        <v>1447757935</v>
      </c>
      <c r="C21759" t="str">
        <f>"363L00000X"</f>
        <v>363L00000X</v>
      </c>
      <c r="D21759" t="str">
        <f>"HAWK                     KRISTINA     M           "</f>
        <v xml:space="preserve">HAWK                     KRISTINA     M           </v>
      </c>
      <c r="E21759" t="str">
        <f>"MEMPHIS                   "</f>
        <v xml:space="preserve">MEMPHIS                   </v>
      </c>
      <c r="F21759" t="str">
        <f t="shared" si="521"/>
        <v>TN</v>
      </c>
    </row>
    <row r="21760" spans="1:6" x14ac:dyDescent="0.25">
      <c r="A21760" t="str">
        <f>"000974034"</f>
        <v>000974034</v>
      </c>
      <c r="B21760" t="str">
        <f>"1396295986"</f>
        <v>1396295986</v>
      </c>
      <c r="C21760" t="str">
        <f>"363L00000X"</f>
        <v>363L00000X</v>
      </c>
      <c r="D21760" t="str">
        <f>"HAYES                    KRISTEN      M           "</f>
        <v xml:space="preserve">HAYES                    KRISTEN      M           </v>
      </c>
      <c r="E21760" t="str">
        <f>"GERMANTOWN                "</f>
        <v xml:space="preserve">GERMANTOWN                </v>
      </c>
      <c r="F21760" t="str">
        <f t="shared" si="521"/>
        <v>TN</v>
      </c>
    </row>
    <row r="21761" spans="1:6" x14ac:dyDescent="0.25">
      <c r="A21761" t="str">
        <f>"000977725"</f>
        <v>000977725</v>
      </c>
      <c r="B21761" t="str">
        <f>"1790341311"</f>
        <v>1790341311</v>
      </c>
      <c r="C21761" t="str">
        <f>"363A00000X"</f>
        <v>363A00000X</v>
      </c>
      <c r="D21761" t="str">
        <f>"SHAPAKER                 THOMAS       M           "</f>
        <v xml:space="preserve">SHAPAKER                 THOMAS       M           </v>
      </c>
      <c r="E21761" t="str">
        <f t="shared" ref="E21761:E21766" si="522">"MEMPHIS                   "</f>
        <v xml:space="preserve">MEMPHIS                   </v>
      </c>
      <c r="F21761" t="str">
        <f t="shared" si="521"/>
        <v>TN</v>
      </c>
    </row>
    <row r="21762" spans="1:6" x14ac:dyDescent="0.25">
      <c r="A21762" t="str">
        <f>"000979348"</f>
        <v>000979348</v>
      </c>
      <c r="B21762" t="str">
        <f>"1588695928"</f>
        <v>1588695928</v>
      </c>
      <c r="C21762" t="str">
        <f>"2084N0400X"</f>
        <v>2084N0400X</v>
      </c>
      <c r="D21762" t="str">
        <f>"NICHOLAS                 ANTHONY                  "</f>
        <v xml:space="preserve">NICHOLAS                 ANTHONY                  </v>
      </c>
      <c r="E21762" t="str">
        <f t="shared" si="522"/>
        <v xml:space="preserve">MEMPHIS                   </v>
      </c>
      <c r="F21762" t="str">
        <f t="shared" si="521"/>
        <v>TN</v>
      </c>
    </row>
    <row r="21763" spans="1:6" x14ac:dyDescent="0.25">
      <c r="A21763" t="str">
        <f>"000980298"</f>
        <v>000980298</v>
      </c>
      <c r="B21763" t="str">
        <f>"1811454291"</f>
        <v>1811454291</v>
      </c>
      <c r="C21763" t="str">
        <f>"363L00000X"</f>
        <v>363L00000X</v>
      </c>
      <c r="D21763" t="str">
        <f>"HUBBARD                  CADY                     "</f>
        <v xml:space="preserve">HUBBARD                  CADY                     </v>
      </c>
      <c r="E21763" t="str">
        <f t="shared" si="522"/>
        <v xml:space="preserve">MEMPHIS                   </v>
      </c>
      <c r="F21763" t="str">
        <f t="shared" si="521"/>
        <v>TN</v>
      </c>
    </row>
    <row r="21764" spans="1:6" x14ac:dyDescent="0.25">
      <c r="A21764" t="str">
        <f>"000983861"</f>
        <v>000983861</v>
      </c>
      <c r="B21764" t="str">
        <f>"1760611388"</f>
        <v>1760611388</v>
      </c>
      <c r="C21764" t="str">
        <f>"208000000X"</f>
        <v>208000000X</v>
      </c>
      <c r="D21764" t="str">
        <f>"VINITSKY                 ANNA                     "</f>
        <v xml:space="preserve">VINITSKY                 ANNA                     </v>
      </c>
      <c r="E21764" t="str">
        <f t="shared" si="522"/>
        <v xml:space="preserve">MEMPHIS                   </v>
      </c>
      <c r="F21764" t="str">
        <f t="shared" si="521"/>
        <v>TN</v>
      </c>
    </row>
    <row r="21765" spans="1:6" x14ac:dyDescent="0.25">
      <c r="A21765" t="str">
        <f>"000986725"</f>
        <v>000986725</v>
      </c>
      <c r="B21765" t="str">
        <f>"1639497084"</f>
        <v>1639497084</v>
      </c>
      <c r="C21765" t="str">
        <f>"208000000X"</f>
        <v>208000000X</v>
      </c>
      <c r="D21765" t="str">
        <f>"SCHNEIDER                BRADFORD                 "</f>
        <v xml:space="preserve">SCHNEIDER                BRADFORD                 </v>
      </c>
      <c r="E21765" t="str">
        <f t="shared" si="522"/>
        <v xml:space="preserve">MEMPHIS                   </v>
      </c>
      <c r="F21765" t="str">
        <f t="shared" si="521"/>
        <v>TN</v>
      </c>
    </row>
    <row r="21766" spans="1:6" x14ac:dyDescent="0.25">
      <c r="A21766" t="str">
        <f>"000989831"</f>
        <v>000989831</v>
      </c>
      <c r="B21766" t="str">
        <f>"1235234808"</f>
        <v>1235234808</v>
      </c>
      <c r="C21766" t="str">
        <f>"207RP1001X"</f>
        <v>207RP1001X</v>
      </c>
      <c r="D21766" t="str">
        <f>"SULTAN-ALI               IBRAHIM      A           "</f>
        <v xml:space="preserve">SULTAN-ALI               IBRAHIM      A           </v>
      </c>
      <c r="E21766" t="str">
        <f t="shared" si="522"/>
        <v xml:space="preserve">MEMPHIS                   </v>
      </c>
      <c r="F21766" t="str">
        <f t="shared" si="521"/>
        <v>TN</v>
      </c>
    </row>
    <row r="21767" spans="1:6" x14ac:dyDescent="0.25">
      <c r="A21767" t="str">
        <f>"001001212"</f>
        <v>001001212</v>
      </c>
      <c r="B21767" t="str">
        <f>"1558395665"</f>
        <v>1558395665</v>
      </c>
      <c r="C21767" t="str">
        <f>"2080P0207X"</f>
        <v>2080P0207X</v>
      </c>
      <c r="D21767" t="str">
        <f>"DOMM                     JENNIFER     A           "</f>
        <v xml:space="preserve">DOMM                     JENNIFER     A           </v>
      </c>
      <c r="E21767" t="str">
        <f>"NASHVILLE                 "</f>
        <v xml:space="preserve">NASHVILLE                 </v>
      </c>
      <c r="F21767" t="str">
        <f t="shared" si="521"/>
        <v>TN</v>
      </c>
    </row>
    <row r="21768" spans="1:6" x14ac:dyDescent="0.25">
      <c r="A21768" t="str">
        <f>"001025542"</f>
        <v>001025542</v>
      </c>
      <c r="B21768" t="str">
        <f>"1447222880"</f>
        <v>1447222880</v>
      </c>
      <c r="C21768" t="str">
        <f>"207RR0500X"</f>
        <v>207RR0500X</v>
      </c>
      <c r="D21768" t="str">
        <f>"PATTANAIK                DEBENDRA     N           "</f>
        <v xml:space="preserve">PATTANAIK                DEBENDRA     N           </v>
      </c>
      <c r="E21768" t="str">
        <f>"MEMPHIS                   "</f>
        <v xml:space="preserve">MEMPHIS                   </v>
      </c>
      <c r="F21768" t="str">
        <f t="shared" si="521"/>
        <v>TN</v>
      </c>
    </row>
    <row r="21769" spans="1:6" x14ac:dyDescent="0.25">
      <c r="A21769" t="str">
        <f>"001037383"</f>
        <v>001037383</v>
      </c>
      <c r="B21769" t="str">
        <f>"1467909366"</f>
        <v>1467909366</v>
      </c>
      <c r="C21769" t="str">
        <f>"363L00000X"</f>
        <v>363L00000X</v>
      </c>
      <c r="D21769" t="str">
        <f>"JIANG                    DONGXIA      I           "</f>
        <v xml:space="preserve">JIANG                    DONGXIA      I           </v>
      </c>
      <c r="E21769" t="str">
        <f>"MEMPHIS                   "</f>
        <v xml:space="preserve">MEMPHIS                   </v>
      </c>
      <c r="F21769" t="str">
        <f t="shared" si="521"/>
        <v>TN</v>
      </c>
    </row>
    <row r="21770" spans="1:6" x14ac:dyDescent="0.25">
      <c r="A21770" t="str">
        <f>"001050517"</f>
        <v>001050517</v>
      </c>
      <c r="B21770" t="str">
        <f>"1447620901"</f>
        <v>1447620901</v>
      </c>
      <c r="C21770" t="str">
        <f>"261QM1300X"</f>
        <v>261QM1300X</v>
      </c>
      <c r="D21770" t="str">
        <f>"JIM PANG MD PLLC                                  "</f>
        <v xml:space="preserve">JIM PANG MD PLLC                                  </v>
      </c>
      <c r="E21770" t="str">
        <f>"CORDOVA                   "</f>
        <v xml:space="preserve">CORDOVA                   </v>
      </c>
      <c r="F21770" t="str">
        <f t="shared" si="521"/>
        <v>TN</v>
      </c>
    </row>
    <row r="21771" spans="1:6" x14ac:dyDescent="0.25">
      <c r="A21771" t="str">
        <f>"001074508"</f>
        <v>001074508</v>
      </c>
      <c r="B21771" t="str">
        <f>"1659997120"</f>
        <v>1659997120</v>
      </c>
      <c r="C21771" t="str">
        <f>"363L00000X"</f>
        <v>363L00000X</v>
      </c>
      <c r="D21771" t="str">
        <f>"GHELICHKHANI             SORAYA                   "</f>
        <v xml:space="preserve">GHELICHKHANI             SORAYA                   </v>
      </c>
      <c r="E21771" t="str">
        <f>"MEMPHIS                   "</f>
        <v xml:space="preserve">MEMPHIS                   </v>
      </c>
      <c r="F21771" t="str">
        <f t="shared" si="521"/>
        <v>TN</v>
      </c>
    </row>
    <row r="21772" spans="1:6" x14ac:dyDescent="0.25">
      <c r="A21772" t="str">
        <f>"001077235"</f>
        <v>001077235</v>
      </c>
      <c r="B21772" t="str">
        <f>"1437324118"</f>
        <v>1437324118</v>
      </c>
      <c r="C21772" t="str">
        <f>"2085R0202X"</f>
        <v>2085R0202X</v>
      </c>
      <c r="D21772" t="str">
        <f>"BEHNKE                   ERNEST       S           "</f>
        <v xml:space="preserve">BEHNKE                   ERNEST       S           </v>
      </c>
      <c r="E21772" t="str">
        <f>"MEMPHIS                   "</f>
        <v xml:space="preserve">MEMPHIS                   </v>
      </c>
      <c r="F21772" t="str">
        <f t="shared" si="521"/>
        <v>TN</v>
      </c>
    </row>
    <row r="21773" spans="1:6" x14ac:dyDescent="0.25">
      <c r="A21773" t="str">
        <f>"001078786"</f>
        <v>001078786</v>
      </c>
      <c r="B21773" t="str">
        <f>"1326306879"</f>
        <v>1326306879</v>
      </c>
      <c r="C21773" t="str">
        <f>"2085R0202X"</f>
        <v>2085R0202X</v>
      </c>
      <c r="D21773" t="str">
        <f>"TINER                    ERIC         J           "</f>
        <v xml:space="preserve">TINER                    ERIC         J           </v>
      </c>
      <c r="E21773" t="str">
        <f>"GERMANTOWN                "</f>
        <v xml:space="preserve">GERMANTOWN                </v>
      </c>
      <c r="F21773" t="str">
        <f t="shared" si="521"/>
        <v>TN</v>
      </c>
    </row>
    <row r="21774" spans="1:6" x14ac:dyDescent="0.25">
      <c r="A21774" t="str">
        <f>"001079084"</f>
        <v>001079084</v>
      </c>
      <c r="B21774" t="str">
        <f>"1306804257"</f>
        <v>1306804257</v>
      </c>
      <c r="C21774" t="str">
        <f>"2084N0400X"</f>
        <v>2084N0400X</v>
      </c>
      <c r="D21774" t="str">
        <f>"WILNER                   ANDREW       N           "</f>
        <v xml:space="preserve">WILNER                   ANDREW       N           </v>
      </c>
      <c r="E21774" t="str">
        <f t="shared" ref="E21774:E21783" si="523">"MEMPHIS                   "</f>
        <v xml:space="preserve">MEMPHIS                   </v>
      </c>
      <c r="F21774" t="str">
        <f t="shared" si="521"/>
        <v>TN</v>
      </c>
    </row>
    <row r="21775" spans="1:6" x14ac:dyDescent="0.25">
      <c r="A21775" t="str">
        <f>"001083559"</f>
        <v>001083559</v>
      </c>
      <c r="B21775" t="str">
        <f>"1558528174"</f>
        <v>1558528174</v>
      </c>
      <c r="C21775" t="str">
        <f>"367500000X"</f>
        <v>367500000X</v>
      </c>
      <c r="D21775" t="str">
        <f>"FELTMAN                  JOSEPH       R           "</f>
        <v xml:space="preserve">FELTMAN                  JOSEPH       R           </v>
      </c>
      <c r="E21775" t="str">
        <f t="shared" si="523"/>
        <v xml:space="preserve">MEMPHIS                   </v>
      </c>
      <c r="F21775" t="str">
        <f t="shared" si="521"/>
        <v>TN</v>
      </c>
    </row>
    <row r="21776" spans="1:6" x14ac:dyDescent="0.25">
      <c r="A21776" t="str">
        <f>"001084742"</f>
        <v>001084742</v>
      </c>
      <c r="B21776" t="str">
        <f>"1841526001"</f>
        <v>1841526001</v>
      </c>
      <c r="C21776" t="str">
        <f>"363L00000X"</f>
        <v>363L00000X</v>
      </c>
      <c r="D21776" t="str">
        <f>"CORDELL                  BETSY        A           "</f>
        <v xml:space="preserve">CORDELL                  BETSY        A           </v>
      </c>
      <c r="E21776" t="str">
        <f t="shared" si="523"/>
        <v xml:space="preserve">MEMPHIS                   </v>
      </c>
      <c r="F21776" t="str">
        <f t="shared" si="521"/>
        <v>TN</v>
      </c>
    </row>
    <row r="21777" spans="1:6" x14ac:dyDescent="0.25">
      <c r="A21777" t="str">
        <f>"001103052"</f>
        <v>001103052</v>
      </c>
      <c r="B21777" t="str">
        <f>"1871780874"</f>
        <v>1871780874</v>
      </c>
      <c r="C21777" t="str">
        <f>"207R00000X"</f>
        <v>207R00000X</v>
      </c>
      <c r="D21777" t="str">
        <f>"PUSAPATI                 SATYANARAYANA            "</f>
        <v xml:space="preserve">PUSAPATI                 SATYANARAYANA            </v>
      </c>
      <c r="E21777" t="str">
        <f t="shared" si="523"/>
        <v xml:space="preserve">MEMPHIS                   </v>
      </c>
      <c r="F21777" t="str">
        <f t="shared" si="521"/>
        <v>TN</v>
      </c>
    </row>
    <row r="21778" spans="1:6" x14ac:dyDescent="0.25">
      <c r="A21778" t="str">
        <f>"001105280"</f>
        <v>001105280</v>
      </c>
      <c r="B21778" t="str">
        <f>"1972859890"</f>
        <v>1972859890</v>
      </c>
      <c r="C21778" t="str">
        <f>"208000000X"</f>
        <v>208000000X</v>
      </c>
      <c r="D21778" t="str">
        <f>"BASHIR                   AHSAN                    "</f>
        <v xml:space="preserve">BASHIR                   AHSAN                    </v>
      </c>
      <c r="E21778" t="str">
        <f t="shared" si="523"/>
        <v xml:space="preserve">MEMPHIS                   </v>
      </c>
      <c r="F21778" t="str">
        <f t="shared" si="521"/>
        <v>TN</v>
      </c>
    </row>
    <row r="21779" spans="1:6" x14ac:dyDescent="0.25">
      <c r="A21779" t="str">
        <f>"001107536"</f>
        <v>001107536</v>
      </c>
      <c r="B21779" t="str">
        <f>"1700010055"</f>
        <v>1700010055</v>
      </c>
      <c r="C21779" t="str">
        <f>"363LF0000X"</f>
        <v>363LF0000X</v>
      </c>
      <c r="D21779" t="str">
        <f>"SHIVE                    STEPHANIE    H           "</f>
        <v xml:space="preserve">SHIVE                    STEPHANIE    H           </v>
      </c>
      <c r="E21779" t="str">
        <f t="shared" si="523"/>
        <v xml:space="preserve">MEMPHIS                   </v>
      </c>
      <c r="F21779" t="str">
        <f t="shared" si="521"/>
        <v>TN</v>
      </c>
    </row>
    <row r="21780" spans="1:6" x14ac:dyDescent="0.25">
      <c r="A21780" t="str">
        <f>"001120818"</f>
        <v>001120818</v>
      </c>
      <c r="B21780" t="str">
        <f>"1679736094"</f>
        <v>1679736094</v>
      </c>
      <c r="C21780" t="str">
        <f>"207Q00000X"</f>
        <v>207Q00000X</v>
      </c>
      <c r="D21780" t="str">
        <f>"KHAN                     MUNEEZA                  "</f>
        <v xml:space="preserve">KHAN                     MUNEEZA                  </v>
      </c>
      <c r="E21780" t="str">
        <f t="shared" si="523"/>
        <v xml:space="preserve">MEMPHIS                   </v>
      </c>
      <c r="F21780" t="str">
        <f t="shared" si="521"/>
        <v>TN</v>
      </c>
    </row>
    <row r="21781" spans="1:6" x14ac:dyDescent="0.25">
      <c r="A21781" t="str">
        <f>"001121260"</f>
        <v>001121260</v>
      </c>
      <c r="B21781" t="str">
        <f>"1649313669"</f>
        <v>1649313669</v>
      </c>
      <c r="C21781" t="str">
        <f>"207L00000X"</f>
        <v>207L00000X</v>
      </c>
      <c r="D21781" t="str">
        <f>"COURSEY                  EMILY                    "</f>
        <v xml:space="preserve">COURSEY                  EMILY                    </v>
      </c>
      <c r="E21781" t="str">
        <f t="shared" si="523"/>
        <v xml:space="preserve">MEMPHIS                   </v>
      </c>
      <c r="F21781" t="str">
        <f t="shared" si="521"/>
        <v>TN</v>
      </c>
    </row>
    <row r="21782" spans="1:6" x14ac:dyDescent="0.25">
      <c r="A21782" t="str">
        <f>"001121374"</f>
        <v>001121374</v>
      </c>
      <c r="B21782" t="str">
        <f>"1801552955"</f>
        <v>1801552955</v>
      </c>
      <c r="C21782" t="str">
        <f>"2080P0207X"</f>
        <v>2080P0207X</v>
      </c>
      <c r="D21782" t="str">
        <f>"WLODARSKI                MARCIN       W           "</f>
        <v xml:space="preserve">WLODARSKI                MARCIN       W           </v>
      </c>
      <c r="E21782" t="str">
        <f t="shared" si="523"/>
        <v xml:space="preserve">MEMPHIS                   </v>
      </c>
      <c r="F21782" t="str">
        <f t="shared" si="521"/>
        <v>TN</v>
      </c>
    </row>
    <row r="21783" spans="1:6" x14ac:dyDescent="0.25">
      <c r="A21783" t="str">
        <f>"001124718"</f>
        <v>001124718</v>
      </c>
      <c r="B21783" t="str">
        <f>"1255607164"</f>
        <v>1255607164</v>
      </c>
      <c r="C21783" t="str">
        <f>"207RC0000X"</f>
        <v>207RC0000X</v>
      </c>
      <c r="D21783" t="str">
        <f>"YARANOV                  DMITRY                   "</f>
        <v xml:space="preserve">YARANOV                  DMITRY                   </v>
      </c>
      <c r="E21783" t="str">
        <f t="shared" si="523"/>
        <v xml:space="preserve">MEMPHIS                   </v>
      </c>
      <c r="F21783" t="str">
        <f t="shared" si="521"/>
        <v>TN</v>
      </c>
    </row>
    <row r="21784" spans="1:6" x14ac:dyDescent="0.25">
      <c r="A21784" t="str">
        <f>"001139764"</f>
        <v>001139764</v>
      </c>
      <c r="B21784" t="str">
        <f>"1174611511"</f>
        <v>1174611511</v>
      </c>
      <c r="C21784" t="str">
        <f>"2085R0202X"</f>
        <v>2085R0202X</v>
      </c>
      <c r="D21784" t="str">
        <f>"COLLINS                  KEVIN        B           "</f>
        <v xml:space="preserve">COLLINS                  KEVIN        B           </v>
      </c>
      <c r="E21784" t="str">
        <f>"UNION CITY                "</f>
        <v xml:space="preserve">UNION CITY                </v>
      </c>
      <c r="F21784" t="str">
        <f t="shared" si="521"/>
        <v>TN</v>
      </c>
    </row>
    <row r="21785" spans="1:6" x14ac:dyDescent="0.25">
      <c r="A21785" t="str">
        <f>"001150555"</f>
        <v>001150555</v>
      </c>
      <c r="B21785" t="str">
        <f>"1306922067"</f>
        <v>1306922067</v>
      </c>
      <c r="C21785" t="str">
        <f>"208000000X"</f>
        <v>208000000X</v>
      </c>
      <c r="D21785" t="str">
        <f>"STECKER                  ELLEN        J           "</f>
        <v xml:space="preserve">STECKER                  ELLEN        J           </v>
      </c>
      <c r="E21785" t="str">
        <f>"MEMPHIS                   "</f>
        <v xml:space="preserve">MEMPHIS                   </v>
      </c>
      <c r="F21785" t="str">
        <f t="shared" si="521"/>
        <v>TN</v>
      </c>
    </row>
    <row r="21786" spans="1:6" x14ac:dyDescent="0.25">
      <c r="A21786" t="str">
        <f>"001157036"</f>
        <v>001157036</v>
      </c>
      <c r="B21786" t="str">
        <f>"1275990749"</f>
        <v>1275990749</v>
      </c>
      <c r="C21786" t="str">
        <f>"367500000X"</f>
        <v>367500000X</v>
      </c>
      <c r="D21786" t="str">
        <f>"STICKLEY                 DANA         E           "</f>
        <v xml:space="preserve">STICKLEY                 DANA         E           </v>
      </c>
      <c r="E21786" t="str">
        <f>"MEMPHIS                   "</f>
        <v xml:space="preserve">MEMPHIS                   </v>
      </c>
      <c r="F21786" t="str">
        <f t="shared" si="521"/>
        <v>TN</v>
      </c>
    </row>
    <row r="21787" spans="1:6" x14ac:dyDescent="0.25">
      <c r="A21787" t="str">
        <f>"001175061"</f>
        <v>001175061</v>
      </c>
      <c r="B21787" t="str">
        <f>"1225200322"</f>
        <v>1225200322</v>
      </c>
      <c r="C21787" t="str">
        <f>"2080P0207X"</f>
        <v>2080P0207X</v>
      </c>
      <c r="D21787" t="str">
        <f>"CAMPBELL                 PATRICK      K           "</f>
        <v xml:space="preserve">CAMPBELL                 PATRICK      K           </v>
      </c>
      <c r="E21787" t="str">
        <f>"MEMPHIS                   "</f>
        <v xml:space="preserve">MEMPHIS                   </v>
      </c>
      <c r="F21787" t="str">
        <f t="shared" si="521"/>
        <v>TN</v>
      </c>
    </row>
    <row r="21788" spans="1:6" x14ac:dyDescent="0.25">
      <c r="A21788" t="str">
        <f>"001176216"</f>
        <v>001176216</v>
      </c>
      <c r="B21788" t="str">
        <f>"1316390610"</f>
        <v>1316390610</v>
      </c>
      <c r="C21788" t="str">
        <f>"367500000X"</f>
        <v>367500000X</v>
      </c>
      <c r="D21788" t="str">
        <f>"MCCAGHREN                PAUL         M           "</f>
        <v xml:space="preserve">MCCAGHREN                PAUL         M           </v>
      </c>
      <c r="E21788" t="str">
        <f>"MEMPHIS                   "</f>
        <v xml:space="preserve">MEMPHIS                   </v>
      </c>
      <c r="F21788" t="str">
        <f t="shared" si="521"/>
        <v>TN</v>
      </c>
    </row>
    <row r="21789" spans="1:6" x14ac:dyDescent="0.25">
      <c r="A21789" t="str">
        <f>"001177223"</f>
        <v>001177223</v>
      </c>
      <c r="B21789" t="str">
        <f>"1720641897"</f>
        <v>1720641897</v>
      </c>
      <c r="C21789" t="str">
        <f>"207P00000X"</f>
        <v>207P00000X</v>
      </c>
      <c r="D21789" t="str">
        <f>"GRISHAM                  LINDSEY                  "</f>
        <v xml:space="preserve">GRISHAM                  LINDSEY                  </v>
      </c>
      <c r="E21789" t="str">
        <f>"MEMPHIS                   "</f>
        <v xml:space="preserve">MEMPHIS                   </v>
      </c>
      <c r="F21789" t="str">
        <f t="shared" si="521"/>
        <v>TN</v>
      </c>
    </row>
    <row r="21790" spans="1:6" x14ac:dyDescent="0.25">
      <c r="A21790" t="str">
        <f>"001183722"</f>
        <v>001183722</v>
      </c>
      <c r="B21790" t="str">
        <f>"1164911129"</f>
        <v>1164911129</v>
      </c>
      <c r="C21790" t="str">
        <f>"367500000X"</f>
        <v>367500000X</v>
      </c>
      <c r="D21790" t="str">
        <f>"PITTMAN                  BILL         C           "</f>
        <v xml:space="preserve">PITTMAN                  BILL         C           </v>
      </c>
      <c r="E21790" t="str">
        <f>"KNOXVILLE                 "</f>
        <v xml:space="preserve">KNOXVILLE                 </v>
      </c>
      <c r="F21790" t="str">
        <f t="shared" si="521"/>
        <v>TN</v>
      </c>
    </row>
    <row r="21791" spans="1:6" x14ac:dyDescent="0.25">
      <c r="A21791" t="str">
        <f>"001186037"</f>
        <v>001186037</v>
      </c>
      <c r="B21791" t="str">
        <f>"1407273378"</f>
        <v>1407273378</v>
      </c>
      <c r="C21791" t="str">
        <f>"207R00000X"</f>
        <v>207R00000X</v>
      </c>
      <c r="D21791" t="str">
        <f>"GREEN                    CALVIN       S           "</f>
        <v xml:space="preserve">GREEN                    CALVIN       S           </v>
      </c>
      <c r="E21791" t="str">
        <f>"MEMPHIS                   "</f>
        <v xml:space="preserve">MEMPHIS                   </v>
      </c>
      <c r="F21791" t="str">
        <f t="shared" si="521"/>
        <v>TN</v>
      </c>
    </row>
    <row r="21792" spans="1:6" x14ac:dyDescent="0.25">
      <c r="A21792" t="str">
        <f>"001189509"</f>
        <v>001189509</v>
      </c>
      <c r="B21792" t="str">
        <f>"1740932722"</f>
        <v>1740932722</v>
      </c>
      <c r="C21792" t="str">
        <f>"363L00000X"</f>
        <v>363L00000X</v>
      </c>
      <c r="D21792" t="str">
        <f>"PERKINS                  KATHERINE    E           "</f>
        <v xml:space="preserve">PERKINS                  KATHERINE    E           </v>
      </c>
      <c r="E21792" t="str">
        <f>"GERMANTOWN                "</f>
        <v xml:space="preserve">GERMANTOWN                </v>
      </c>
      <c r="F21792" t="str">
        <f t="shared" si="521"/>
        <v>TN</v>
      </c>
    </row>
    <row r="21793" spans="1:6" x14ac:dyDescent="0.25">
      <c r="A21793" t="str">
        <f>"001200229"</f>
        <v>001200229</v>
      </c>
      <c r="B21793" t="str">
        <f>"1578538070"</f>
        <v>1578538070</v>
      </c>
      <c r="C21793" t="str">
        <f>"207RE0101X"</f>
        <v>207RE0101X</v>
      </c>
      <c r="D21793" t="str">
        <f>"CHILDRESS                RICHARD                  "</f>
        <v xml:space="preserve">CHILDRESS                RICHARD                  </v>
      </c>
      <c r="E21793" t="str">
        <f>"MEMPHIS                   "</f>
        <v xml:space="preserve">MEMPHIS                   </v>
      </c>
      <c r="F21793" t="str">
        <f t="shared" si="521"/>
        <v>TN</v>
      </c>
    </row>
    <row r="21794" spans="1:6" x14ac:dyDescent="0.25">
      <c r="A21794" t="str">
        <f>"001201523"</f>
        <v>001201523</v>
      </c>
      <c r="B21794" t="str">
        <f>"1962402982"</f>
        <v>1962402982</v>
      </c>
      <c r="C21794" t="str">
        <f>"207P00000X"</f>
        <v>207P00000X</v>
      </c>
      <c r="D21794" t="str">
        <f>"OCONNOR                  TIMOTHY                  "</f>
        <v xml:space="preserve">OCONNOR                  TIMOTHY                  </v>
      </c>
      <c r="E21794" t="str">
        <f>"MEMPHIS                   "</f>
        <v xml:space="preserve">MEMPHIS                   </v>
      </c>
      <c r="F21794" t="str">
        <f t="shared" si="521"/>
        <v>TN</v>
      </c>
    </row>
    <row r="21795" spans="1:6" x14ac:dyDescent="0.25">
      <c r="A21795" t="str">
        <f>"001203728"</f>
        <v>001203728</v>
      </c>
      <c r="B21795" t="str">
        <f>"1205878105"</f>
        <v>1205878105</v>
      </c>
      <c r="C21795" t="str">
        <f>"207Q00000X"</f>
        <v>207Q00000X</v>
      </c>
      <c r="D21795" t="str">
        <f>"GOODFRED                 JENNIFER     C           "</f>
        <v xml:space="preserve">GOODFRED                 JENNIFER     C           </v>
      </c>
      <c r="E21795" t="str">
        <f>"MEMPHIS                   "</f>
        <v xml:space="preserve">MEMPHIS                   </v>
      </c>
      <c r="F21795" t="str">
        <f t="shared" si="521"/>
        <v>TN</v>
      </c>
    </row>
    <row r="21796" spans="1:6" x14ac:dyDescent="0.25">
      <c r="A21796" t="str">
        <f>"001204081"</f>
        <v>001204081</v>
      </c>
      <c r="B21796" t="str">
        <f>"1295702934"</f>
        <v>1295702934</v>
      </c>
      <c r="C21796" t="str">
        <f>"2086X0206X"</f>
        <v>2086X0206X</v>
      </c>
      <c r="D21796" t="str">
        <f>"FINE                     RICHARD      E           "</f>
        <v xml:space="preserve">FINE                     RICHARD      E           </v>
      </c>
      <c r="E21796" t="str">
        <f>"GERMANTOWN                "</f>
        <v xml:space="preserve">GERMANTOWN                </v>
      </c>
      <c r="F21796" t="str">
        <f t="shared" si="521"/>
        <v>TN</v>
      </c>
    </row>
    <row r="21797" spans="1:6" x14ac:dyDescent="0.25">
      <c r="A21797" t="str">
        <f>"001208096"</f>
        <v>001208096</v>
      </c>
      <c r="B21797" t="str">
        <f>"1922098938"</f>
        <v>1922098938</v>
      </c>
      <c r="C21797" t="str">
        <f>"207V00000X"</f>
        <v>207V00000X</v>
      </c>
      <c r="D21797" t="str">
        <f>"HOLLS                    WILLIAM      M           "</f>
        <v xml:space="preserve">HOLLS                    WILLIAM      M           </v>
      </c>
      <c r="E21797" t="str">
        <f>"MEMPHIS                   "</f>
        <v xml:space="preserve">MEMPHIS                   </v>
      </c>
      <c r="F21797" t="str">
        <f t="shared" si="521"/>
        <v>TN</v>
      </c>
    </row>
    <row r="21798" spans="1:6" x14ac:dyDescent="0.25">
      <c r="A21798" t="str">
        <f>"001220510"</f>
        <v>001220510</v>
      </c>
      <c r="B21798" t="str">
        <f>"1033115746"</f>
        <v>1033115746</v>
      </c>
      <c r="C21798" t="str">
        <f>"2080P0207X"</f>
        <v>2080P0207X</v>
      </c>
      <c r="D21798" t="str">
        <f>"HANKINS                  JANE         S           "</f>
        <v xml:space="preserve">HANKINS                  JANE         S           </v>
      </c>
      <c r="E21798" t="str">
        <f>"MEMPHIS                   "</f>
        <v xml:space="preserve">MEMPHIS                   </v>
      </c>
      <c r="F21798" t="str">
        <f t="shared" si="521"/>
        <v>TN</v>
      </c>
    </row>
    <row r="21799" spans="1:6" x14ac:dyDescent="0.25">
      <c r="A21799" t="str">
        <f>"001220589"</f>
        <v>001220589</v>
      </c>
      <c r="B21799" t="str">
        <f>"1124255823"</f>
        <v>1124255823</v>
      </c>
      <c r="C21799" t="str">
        <f>"207YP0228X"</f>
        <v>207YP0228X</v>
      </c>
      <c r="D21799" t="str">
        <f>"SHEYN                    ANTHONY                  "</f>
        <v xml:space="preserve">SHEYN                    ANTHONY                  </v>
      </c>
      <c r="E21799" t="str">
        <f>"MEMPHIS                   "</f>
        <v xml:space="preserve">MEMPHIS                   </v>
      </c>
      <c r="F21799" t="str">
        <f t="shared" si="521"/>
        <v>TN</v>
      </c>
    </row>
    <row r="21800" spans="1:6" x14ac:dyDescent="0.25">
      <c r="A21800" t="str">
        <f>"001233503"</f>
        <v>001233503</v>
      </c>
      <c r="B21800" t="str">
        <f>"1760820625"</f>
        <v>1760820625</v>
      </c>
      <c r="C21800" t="str">
        <f>"2085R0202X"</f>
        <v>2085R0202X</v>
      </c>
      <c r="D21800" t="str">
        <f>"BRAUN                    JOHN         D           "</f>
        <v xml:space="preserve">BRAUN                    JOHN         D           </v>
      </c>
      <c r="E21800" t="str">
        <f>"GERMANTOWN                "</f>
        <v xml:space="preserve">GERMANTOWN                </v>
      </c>
      <c r="F21800" t="str">
        <f t="shared" si="521"/>
        <v>TN</v>
      </c>
    </row>
    <row r="21801" spans="1:6" x14ac:dyDescent="0.25">
      <c r="A21801" t="str">
        <f>"001253366"</f>
        <v>001253366</v>
      </c>
      <c r="B21801" t="str">
        <f>"1225340151"</f>
        <v>1225340151</v>
      </c>
      <c r="C21801" t="str">
        <f>"207L00000X"</f>
        <v>207L00000X</v>
      </c>
      <c r="D21801" t="str">
        <f>"FIELDS                   MATTHEW      S           "</f>
        <v xml:space="preserve">FIELDS                   MATTHEW      S           </v>
      </c>
      <c r="E21801" t="str">
        <f t="shared" ref="E21801:E21806" si="524">"MEMPHIS                   "</f>
        <v xml:space="preserve">MEMPHIS                   </v>
      </c>
      <c r="F21801" t="str">
        <f t="shared" si="521"/>
        <v>TN</v>
      </c>
    </row>
    <row r="21802" spans="1:6" x14ac:dyDescent="0.25">
      <c r="A21802" t="str">
        <f>"001254711"</f>
        <v>001254711</v>
      </c>
      <c r="B21802" t="str">
        <f>"1205131240"</f>
        <v>1205131240</v>
      </c>
      <c r="C21802" t="str">
        <f>"363A00000X"</f>
        <v>363A00000X</v>
      </c>
      <c r="D21802" t="str">
        <f>"LAVOIE                   PAUL         T           "</f>
        <v xml:space="preserve">LAVOIE                   PAUL         T           </v>
      </c>
      <c r="E21802" t="str">
        <f t="shared" si="524"/>
        <v xml:space="preserve">MEMPHIS                   </v>
      </c>
      <c r="F21802" t="str">
        <f t="shared" si="521"/>
        <v>TN</v>
      </c>
    </row>
    <row r="21803" spans="1:6" x14ac:dyDescent="0.25">
      <c r="A21803" t="str">
        <f>"001280301"</f>
        <v>001280301</v>
      </c>
      <c r="B21803" t="str">
        <f>"1821731019"</f>
        <v>1821731019</v>
      </c>
      <c r="C21803" t="str">
        <f>"363L00000X"</f>
        <v>363L00000X</v>
      </c>
      <c r="D21803" t="str">
        <f>"MIN                      ELIZABETH    H           "</f>
        <v xml:space="preserve">MIN                      ELIZABETH    H           </v>
      </c>
      <c r="E21803" t="str">
        <f t="shared" si="524"/>
        <v xml:space="preserve">MEMPHIS                   </v>
      </c>
      <c r="F21803" t="str">
        <f t="shared" si="521"/>
        <v>TN</v>
      </c>
    </row>
    <row r="21804" spans="1:6" x14ac:dyDescent="0.25">
      <c r="A21804" t="str">
        <f>"001282579"</f>
        <v>001282579</v>
      </c>
      <c r="B21804" t="str">
        <f>"1407237456"</f>
        <v>1407237456</v>
      </c>
      <c r="C21804" t="str">
        <f>"261QE0700X"</f>
        <v>261QE0700X</v>
      </c>
      <c r="D21804" t="str">
        <f>"FRESENIUS MEDICAL CARE - SOUTH AIRW               "</f>
        <v xml:space="preserve">FRESENIUS MEDICAL CARE - SOUTH AIRW               </v>
      </c>
      <c r="E21804" t="str">
        <f t="shared" si="524"/>
        <v xml:space="preserve">MEMPHIS                   </v>
      </c>
      <c r="F21804" t="str">
        <f t="shared" si="521"/>
        <v>TN</v>
      </c>
    </row>
    <row r="21805" spans="1:6" x14ac:dyDescent="0.25">
      <c r="A21805" t="str">
        <f>"001301566"</f>
        <v>001301566</v>
      </c>
      <c r="B21805" t="str">
        <f>"1891722559"</f>
        <v>1891722559</v>
      </c>
      <c r="C21805" t="str">
        <f>"207V00000X"</f>
        <v>207V00000X</v>
      </c>
      <c r="D21805" t="str">
        <f>"GIDDENS                  GUS          A           "</f>
        <v xml:space="preserve">GIDDENS                  GUS          A           </v>
      </c>
      <c r="E21805" t="str">
        <f t="shared" si="524"/>
        <v xml:space="preserve">MEMPHIS                   </v>
      </c>
      <c r="F21805" t="str">
        <f t="shared" si="521"/>
        <v>TN</v>
      </c>
    </row>
    <row r="21806" spans="1:6" x14ac:dyDescent="0.25">
      <c r="A21806" t="str">
        <f>"001302704"</f>
        <v>001302704</v>
      </c>
      <c r="B21806" t="str">
        <f>"1356533046"</f>
        <v>1356533046</v>
      </c>
      <c r="C21806" t="str">
        <f>"2080P0207X"</f>
        <v>2080P0207X</v>
      </c>
      <c r="D21806" t="str">
        <f>"INABA                    HIROTO                   "</f>
        <v xml:space="preserve">INABA                    HIROTO                   </v>
      </c>
      <c r="E21806" t="str">
        <f t="shared" si="524"/>
        <v xml:space="preserve">MEMPHIS                   </v>
      </c>
      <c r="F21806" t="str">
        <f t="shared" si="521"/>
        <v>TN</v>
      </c>
    </row>
    <row r="21807" spans="1:6" x14ac:dyDescent="0.25">
      <c r="A21807" t="str">
        <f>"001305861"</f>
        <v>001305861</v>
      </c>
      <c r="B21807" t="str">
        <f>"1972551364"</f>
        <v>1972551364</v>
      </c>
      <c r="C21807" t="str">
        <f>"207QH0002X"</f>
        <v>207QH0002X</v>
      </c>
      <c r="D21807" t="str">
        <f>"MULLINAX                 WILLIAM      G           "</f>
        <v xml:space="preserve">MULLINAX                 WILLIAM      G           </v>
      </c>
      <c r="E21807" t="str">
        <f>"COLLIERVILLE              "</f>
        <v xml:space="preserve">COLLIERVILLE              </v>
      </c>
      <c r="F21807" t="str">
        <f t="shared" si="521"/>
        <v>TN</v>
      </c>
    </row>
    <row r="21808" spans="1:6" x14ac:dyDescent="0.25">
      <c r="A21808" t="str">
        <f>"001321723"</f>
        <v>001321723</v>
      </c>
      <c r="B21808" t="str">
        <f>"1205026440"</f>
        <v>1205026440</v>
      </c>
      <c r="C21808" t="str">
        <f>"363A00000X"</f>
        <v>363A00000X</v>
      </c>
      <c r="D21808" t="str">
        <f>"JADOL                    DELFIN                   "</f>
        <v xml:space="preserve">JADOL                    DELFIN                   </v>
      </c>
      <c r="E21808" t="str">
        <f>"COLLIERVILLE              "</f>
        <v xml:space="preserve">COLLIERVILLE              </v>
      </c>
      <c r="F21808" t="str">
        <f t="shared" si="521"/>
        <v>TN</v>
      </c>
    </row>
    <row r="21809" spans="1:6" x14ac:dyDescent="0.25">
      <c r="A21809" t="str">
        <f>"001337582"</f>
        <v>001337582</v>
      </c>
      <c r="B21809" t="str">
        <f>"1487638102"</f>
        <v>1487638102</v>
      </c>
      <c r="C21809" t="str">
        <f>"208000000X"</f>
        <v>208000000X</v>
      </c>
      <c r="D21809" t="str">
        <f>"SCARVEY                  LISA                     "</f>
        <v xml:space="preserve">SCARVEY                  LISA                     </v>
      </c>
      <c r="E21809" t="str">
        <f>"MEMPHIS                   "</f>
        <v xml:space="preserve">MEMPHIS                   </v>
      </c>
      <c r="F21809" t="str">
        <f t="shared" si="521"/>
        <v>TN</v>
      </c>
    </row>
    <row r="21810" spans="1:6" x14ac:dyDescent="0.25">
      <c r="A21810" t="str">
        <f>"001354219"</f>
        <v>001354219</v>
      </c>
      <c r="B21810" t="str">
        <f>"1790742609"</f>
        <v>1790742609</v>
      </c>
      <c r="C21810" t="str">
        <f>"2084N0402X"</f>
        <v>2084N0402X</v>
      </c>
      <c r="D21810" t="str">
        <f>"MCGREGOR                 AMY          L           "</f>
        <v xml:space="preserve">MCGREGOR                 AMY          L           </v>
      </c>
      <c r="E21810" t="str">
        <f>"MEMPHIS                   "</f>
        <v xml:space="preserve">MEMPHIS                   </v>
      </c>
      <c r="F21810" t="str">
        <f t="shared" si="521"/>
        <v>TN</v>
      </c>
    </row>
    <row r="21811" spans="1:6" x14ac:dyDescent="0.25">
      <c r="A21811" t="str">
        <f>"001370851"</f>
        <v>001370851</v>
      </c>
      <c r="B21811" t="str">
        <f>"1790999753"</f>
        <v>1790999753</v>
      </c>
      <c r="C21811" t="str">
        <f>"207R00000X"</f>
        <v>207R00000X</v>
      </c>
      <c r="D21811" t="str">
        <f>"SMITH                    RANDELON     D           "</f>
        <v xml:space="preserve">SMITH                    RANDELON     D           </v>
      </c>
      <c r="E21811" t="str">
        <f>"MEMPHIS                   "</f>
        <v xml:space="preserve">MEMPHIS                   </v>
      </c>
      <c r="F21811" t="str">
        <f t="shared" si="521"/>
        <v>TN</v>
      </c>
    </row>
    <row r="21812" spans="1:6" x14ac:dyDescent="0.25">
      <c r="A21812" t="str">
        <f>"001371251"</f>
        <v>001371251</v>
      </c>
      <c r="B21812" t="str">
        <f>"1194270736"</f>
        <v>1194270736</v>
      </c>
      <c r="C21812" t="str">
        <f>"363L00000X"</f>
        <v>363L00000X</v>
      </c>
      <c r="D21812" t="str">
        <f>"FREEMAN                  KINCHARSKA   N           "</f>
        <v xml:space="preserve">FREEMAN                  KINCHARSKA   N           </v>
      </c>
      <c r="E21812" t="str">
        <f>"MEMPHIS                   "</f>
        <v xml:space="preserve">MEMPHIS                   </v>
      </c>
      <c r="F21812" t="str">
        <f t="shared" si="521"/>
        <v>TN</v>
      </c>
    </row>
    <row r="21813" spans="1:6" x14ac:dyDescent="0.25">
      <c r="A21813" t="str">
        <f>"001374708"</f>
        <v>001374708</v>
      </c>
      <c r="B21813" t="str">
        <f>"1770858144"</f>
        <v>1770858144</v>
      </c>
      <c r="C21813" t="str">
        <f>"363L00000X"</f>
        <v>363L00000X</v>
      </c>
      <c r="D21813" t="str">
        <f>"HARRIS                   AARON        J           "</f>
        <v xml:space="preserve">HARRIS                   AARON        J           </v>
      </c>
      <c r="E21813" t="str">
        <f>"COLLIERVILLE              "</f>
        <v xml:space="preserve">COLLIERVILLE              </v>
      </c>
      <c r="F21813" t="str">
        <f t="shared" si="521"/>
        <v>TN</v>
      </c>
    </row>
    <row r="21814" spans="1:6" x14ac:dyDescent="0.25">
      <c r="A21814" t="str">
        <f>"001376220"</f>
        <v>001376220</v>
      </c>
      <c r="B21814" t="str">
        <f>"1659573558"</f>
        <v>1659573558</v>
      </c>
      <c r="C21814" t="str">
        <f>"207V00000X"</f>
        <v>207V00000X</v>
      </c>
      <c r="D21814" t="str">
        <f>"BAILEY                   AMELIA       P           "</f>
        <v xml:space="preserve">BAILEY                   AMELIA       P           </v>
      </c>
      <c r="E21814" t="str">
        <f>"MEMPHIS                   "</f>
        <v xml:space="preserve">MEMPHIS                   </v>
      </c>
      <c r="F21814" t="str">
        <f t="shared" si="521"/>
        <v>TN</v>
      </c>
    </row>
    <row r="21815" spans="1:6" x14ac:dyDescent="0.25">
      <c r="A21815" t="str">
        <f>"001378512"</f>
        <v>001378512</v>
      </c>
      <c r="B21815" t="str">
        <f>"1588143580"</f>
        <v>1588143580</v>
      </c>
      <c r="C21815" t="str">
        <f>"363L00000X"</f>
        <v>363L00000X</v>
      </c>
      <c r="D21815" t="str">
        <f>"LUCAS                    HEATHER                  "</f>
        <v xml:space="preserve">LUCAS                    HEATHER                  </v>
      </c>
      <c r="E21815" t="str">
        <f>"MEMPHIS                   "</f>
        <v xml:space="preserve">MEMPHIS                   </v>
      </c>
      <c r="F21815" t="str">
        <f t="shared" si="521"/>
        <v>TN</v>
      </c>
    </row>
    <row r="21816" spans="1:6" x14ac:dyDescent="0.25">
      <c r="A21816" t="str">
        <f>"001401356"</f>
        <v>001401356</v>
      </c>
      <c r="B21816" t="str">
        <f>"1184980872"</f>
        <v>1184980872</v>
      </c>
      <c r="C21816" t="str">
        <f>"207R00000X"</f>
        <v>207R00000X</v>
      </c>
      <c r="D21816" t="str">
        <f>"SULLIVAN                 MARIAM       M           "</f>
        <v xml:space="preserve">SULLIVAN                 MARIAM       M           </v>
      </c>
      <c r="E21816" t="str">
        <f>"GERMANTOWN                "</f>
        <v xml:space="preserve">GERMANTOWN                </v>
      </c>
      <c r="F21816" t="str">
        <f t="shared" si="521"/>
        <v>TN</v>
      </c>
    </row>
    <row r="21817" spans="1:6" x14ac:dyDescent="0.25">
      <c r="A21817" t="str">
        <f>"001421751"</f>
        <v>001421751</v>
      </c>
      <c r="B21817" t="str">
        <f>"1265500888"</f>
        <v>1265500888</v>
      </c>
      <c r="C21817" t="str">
        <f>"207RN0300X"</f>
        <v>207RN0300X</v>
      </c>
      <c r="D21817" t="str">
        <f>"BISSLER                  JOHN         J           "</f>
        <v xml:space="preserve">BISSLER                  JOHN         J           </v>
      </c>
      <c r="E21817" t="str">
        <f>"MEMPHIS                   "</f>
        <v xml:space="preserve">MEMPHIS                   </v>
      </c>
      <c r="F21817" t="str">
        <f t="shared" si="521"/>
        <v>TN</v>
      </c>
    </row>
    <row r="21818" spans="1:6" x14ac:dyDescent="0.25">
      <c r="A21818" t="str">
        <f>"001424225"</f>
        <v>001424225</v>
      </c>
      <c r="B21818" t="str">
        <f>"1073742730"</f>
        <v>1073742730</v>
      </c>
      <c r="C21818" t="str">
        <f>"363A00000X"</f>
        <v>363A00000X</v>
      </c>
      <c r="D21818" t="str">
        <f>"DOWDY                    ASHLEY       N           "</f>
        <v xml:space="preserve">DOWDY                    ASHLEY       N           </v>
      </c>
      <c r="E21818" t="str">
        <f>"GERMANTOWN                "</f>
        <v xml:space="preserve">GERMANTOWN                </v>
      </c>
      <c r="F21818" t="str">
        <f t="shared" si="521"/>
        <v>TN</v>
      </c>
    </row>
    <row r="21819" spans="1:6" x14ac:dyDescent="0.25">
      <c r="A21819" t="str">
        <f>"001428349"</f>
        <v>001428349</v>
      </c>
      <c r="B21819" t="str">
        <f>"1386052165"</f>
        <v>1386052165</v>
      </c>
      <c r="C21819" t="str">
        <f>"207R00000X"</f>
        <v>207R00000X</v>
      </c>
      <c r="D21819" t="str">
        <f>"LEQUERICA                JOE          T           "</f>
        <v xml:space="preserve">LEQUERICA                JOE          T           </v>
      </c>
      <c r="E21819" t="str">
        <f>"MEMPHIS                   "</f>
        <v xml:space="preserve">MEMPHIS                   </v>
      </c>
      <c r="F21819" t="str">
        <f t="shared" si="521"/>
        <v>TN</v>
      </c>
    </row>
    <row r="21820" spans="1:6" x14ac:dyDescent="0.25">
      <c r="A21820" t="str">
        <f>"001431360"</f>
        <v>001431360</v>
      </c>
      <c r="B21820" t="str">
        <f>"1942740014"</f>
        <v>1942740014</v>
      </c>
      <c r="C21820" t="str">
        <f>"363L00000X"</f>
        <v>363L00000X</v>
      </c>
      <c r="D21820" t="str">
        <f>"MARX                     NICHOLAS     W           "</f>
        <v xml:space="preserve">MARX                     NICHOLAS     W           </v>
      </c>
      <c r="E21820" t="str">
        <f>"MEMPHIS                   "</f>
        <v xml:space="preserve">MEMPHIS                   </v>
      </c>
      <c r="F21820" t="str">
        <f t="shared" si="521"/>
        <v>TN</v>
      </c>
    </row>
    <row r="21821" spans="1:6" x14ac:dyDescent="0.25">
      <c r="A21821" t="str">
        <f>"001434865"</f>
        <v>001434865</v>
      </c>
      <c r="B21821" t="str">
        <f>"1740591437"</f>
        <v>1740591437</v>
      </c>
      <c r="C21821" t="str">
        <f>"363L00000X"</f>
        <v>363L00000X</v>
      </c>
      <c r="D21821" t="str">
        <f>"KING                     KATHRYN      L           "</f>
        <v xml:space="preserve">KING                     KATHRYN      L           </v>
      </c>
      <c r="E21821" t="str">
        <f>"GERMANTOWN                "</f>
        <v xml:space="preserve">GERMANTOWN                </v>
      </c>
      <c r="F21821" t="str">
        <f t="shared" si="521"/>
        <v>TN</v>
      </c>
    </row>
    <row r="21822" spans="1:6" x14ac:dyDescent="0.25">
      <c r="A21822" t="str">
        <f>"001476511"</f>
        <v>001476511</v>
      </c>
      <c r="B21822" t="str">
        <f>"1558993279"</f>
        <v>1558993279</v>
      </c>
      <c r="C21822" t="str">
        <f>"363L00000X"</f>
        <v>363L00000X</v>
      </c>
      <c r="D21822" t="str">
        <f>"DECOLLI III              ROBERT       A           "</f>
        <v xml:space="preserve">DECOLLI III              ROBERT       A           </v>
      </c>
      <c r="E21822" t="str">
        <f>"GERMANTOWN                "</f>
        <v xml:space="preserve">GERMANTOWN                </v>
      </c>
      <c r="F21822" t="str">
        <f t="shared" ref="F21822:F21885" si="525">"TN"</f>
        <v>TN</v>
      </c>
    </row>
    <row r="21823" spans="1:6" x14ac:dyDescent="0.25">
      <c r="A21823" t="str">
        <f>"001477269"</f>
        <v>001477269</v>
      </c>
      <c r="B21823" t="str">
        <f>"1871955351"</f>
        <v>1871955351</v>
      </c>
      <c r="C21823" t="str">
        <f>"363L00000X"</f>
        <v>363L00000X</v>
      </c>
      <c r="D21823" t="str">
        <f>"HOGUE                    SHARON       C           "</f>
        <v xml:space="preserve">HOGUE                    SHARON       C           </v>
      </c>
      <c r="E21823" t="str">
        <f>"MEMPHIS                   "</f>
        <v xml:space="preserve">MEMPHIS                   </v>
      </c>
      <c r="F21823" t="str">
        <f t="shared" si="525"/>
        <v>TN</v>
      </c>
    </row>
    <row r="21824" spans="1:6" x14ac:dyDescent="0.25">
      <c r="A21824" t="str">
        <f>"001479719"</f>
        <v>001479719</v>
      </c>
      <c r="B21824" t="str">
        <f>"1154509206"</f>
        <v>1154509206</v>
      </c>
      <c r="C21824" t="str">
        <f>"2085R0202X"</f>
        <v>2085R0202X</v>
      </c>
      <c r="D21824" t="str">
        <f>"JAYASHANKAR              ASHOK        A           "</f>
        <v xml:space="preserve">JAYASHANKAR              ASHOK        A           </v>
      </c>
      <c r="E21824" t="str">
        <f>"GERMANTOWN                "</f>
        <v xml:space="preserve">GERMANTOWN                </v>
      </c>
      <c r="F21824" t="str">
        <f t="shared" si="525"/>
        <v>TN</v>
      </c>
    </row>
    <row r="21825" spans="1:6" x14ac:dyDescent="0.25">
      <c r="A21825" t="str">
        <f>"001481216"</f>
        <v>001481216</v>
      </c>
      <c r="B21825" t="str">
        <f>"1548422918"</f>
        <v>1548422918</v>
      </c>
      <c r="C21825" t="str">
        <f>"2085R0202X"</f>
        <v>2085R0202X</v>
      </c>
      <c r="D21825" t="str">
        <f>"BAG                      ASIM         K           "</f>
        <v xml:space="preserve">BAG                      ASIM         K           </v>
      </c>
      <c r="E21825" t="str">
        <f>"MEMPHIS                   "</f>
        <v xml:space="preserve">MEMPHIS                   </v>
      </c>
      <c r="F21825" t="str">
        <f t="shared" si="525"/>
        <v>TN</v>
      </c>
    </row>
    <row r="21826" spans="1:6" x14ac:dyDescent="0.25">
      <c r="A21826" t="str">
        <f>"001481358"</f>
        <v>001481358</v>
      </c>
      <c r="B21826" t="str">
        <f>"1194827089"</f>
        <v>1194827089</v>
      </c>
      <c r="C21826" t="str">
        <f>"207R00000X"</f>
        <v>207R00000X</v>
      </c>
      <c r="D21826" t="str">
        <f>"INFELD                   JASON        I           "</f>
        <v xml:space="preserve">INFELD                   JASON        I           </v>
      </c>
      <c r="E21826" t="str">
        <f>"GERMANTOWN                "</f>
        <v xml:space="preserve">GERMANTOWN                </v>
      </c>
      <c r="F21826" t="str">
        <f t="shared" si="525"/>
        <v>TN</v>
      </c>
    </row>
    <row r="21827" spans="1:6" x14ac:dyDescent="0.25">
      <c r="A21827" t="str">
        <f>"001482303"</f>
        <v>001482303</v>
      </c>
      <c r="B21827" t="str">
        <f>"1124161872"</f>
        <v>1124161872</v>
      </c>
      <c r="C21827" t="str">
        <f>"2085R0202X"</f>
        <v>2085R0202X</v>
      </c>
      <c r="D21827" t="str">
        <f>"WAGNER                   LLOYD                    "</f>
        <v xml:space="preserve">WAGNER                   LLOYD                    </v>
      </c>
      <c r="E21827" t="str">
        <f t="shared" ref="E21827:E21837" si="526">"MEMPHIS                   "</f>
        <v xml:space="preserve">MEMPHIS                   </v>
      </c>
      <c r="F21827" t="str">
        <f t="shared" si="525"/>
        <v>TN</v>
      </c>
    </row>
    <row r="21828" spans="1:6" x14ac:dyDescent="0.25">
      <c r="A21828" t="str">
        <f>"001486505"</f>
        <v>001486505</v>
      </c>
      <c r="B21828" t="str">
        <f>"1427381284"</f>
        <v>1427381284</v>
      </c>
      <c r="C21828" t="str">
        <f>"261QE0700X"</f>
        <v>261QE0700X</v>
      </c>
      <c r="D21828" t="str">
        <f>"FRESENIUS MEDICAL CARE MT MORIAH DI               "</f>
        <v xml:space="preserve">FRESENIUS MEDICAL CARE MT MORIAH DI               </v>
      </c>
      <c r="E21828" t="str">
        <f t="shared" si="526"/>
        <v xml:space="preserve">MEMPHIS                   </v>
      </c>
      <c r="F21828" t="str">
        <f t="shared" si="525"/>
        <v>TN</v>
      </c>
    </row>
    <row r="21829" spans="1:6" x14ac:dyDescent="0.25">
      <c r="A21829" t="str">
        <f>"001489303"</f>
        <v>001489303</v>
      </c>
      <c r="B21829" t="str">
        <f>"1417354283"</f>
        <v>1417354283</v>
      </c>
      <c r="C21829" t="str">
        <f>"207RC0000X"</f>
        <v>207RC0000X</v>
      </c>
      <c r="D21829" t="str">
        <f>"AKINSEYE                 OLUWASEUN    A           "</f>
        <v xml:space="preserve">AKINSEYE                 OLUWASEUN    A           </v>
      </c>
      <c r="E21829" t="str">
        <f t="shared" si="526"/>
        <v xml:space="preserve">MEMPHIS                   </v>
      </c>
      <c r="F21829" t="str">
        <f t="shared" si="525"/>
        <v>TN</v>
      </c>
    </row>
    <row r="21830" spans="1:6" x14ac:dyDescent="0.25">
      <c r="A21830" t="str">
        <f>"001522869"</f>
        <v>001522869</v>
      </c>
      <c r="B21830" t="str">
        <f>"1144532276"</f>
        <v>1144532276</v>
      </c>
      <c r="C21830" t="str">
        <f>"207L00000X"</f>
        <v>207L00000X</v>
      </c>
      <c r="D21830" t="str">
        <f>"MCDONALD, JR             JAY          P           "</f>
        <v xml:space="preserve">MCDONALD, JR             JAY          P           </v>
      </c>
      <c r="E21830" t="str">
        <f t="shared" si="526"/>
        <v xml:space="preserve">MEMPHIS                   </v>
      </c>
      <c r="F21830" t="str">
        <f t="shared" si="525"/>
        <v>TN</v>
      </c>
    </row>
    <row r="21831" spans="1:6" x14ac:dyDescent="0.25">
      <c r="A21831" t="str">
        <f>"001534055"</f>
        <v>001534055</v>
      </c>
      <c r="B21831" t="str">
        <f>"1902805823"</f>
        <v>1902805823</v>
      </c>
      <c r="C21831" t="str">
        <f>"207W00000X"</f>
        <v>207W00000X</v>
      </c>
      <c r="D21831" t="str">
        <f>"FREEMAN                  JAMES        F           "</f>
        <v xml:space="preserve">FREEMAN                  JAMES        F           </v>
      </c>
      <c r="E21831" t="str">
        <f t="shared" si="526"/>
        <v xml:space="preserve">MEMPHIS                   </v>
      </c>
      <c r="F21831" t="str">
        <f t="shared" si="525"/>
        <v>TN</v>
      </c>
    </row>
    <row r="21832" spans="1:6" x14ac:dyDescent="0.25">
      <c r="A21832" t="str">
        <f>"001535269"</f>
        <v>001535269</v>
      </c>
      <c r="B21832" t="str">
        <f>"1972792117"</f>
        <v>1972792117</v>
      </c>
      <c r="C21832" t="str">
        <f>"2086S0102X"</f>
        <v>2086S0102X</v>
      </c>
      <c r="D21832" t="str">
        <f>"HELMICK                  RYAN         A           "</f>
        <v xml:space="preserve">HELMICK                  RYAN         A           </v>
      </c>
      <c r="E21832" t="str">
        <f t="shared" si="526"/>
        <v xml:space="preserve">MEMPHIS                   </v>
      </c>
      <c r="F21832" t="str">
        <f t="shared" si="525"/>
        <v>TN</v>
      </c>
    </row>
    <row r="21833" spans="1:6" x14ac:dyDescent="0.25">
      <c r="A21833" t="str">
        <f>"001536320"</f>
        <v>001536320</v>
      </c>
      <c r="B21833" t="str">
        <f>"1114227469"</f>
        <v>1114227469</v>
      </c>
      <c r="C21833" t="str">
        <f>"363L00000X"</f>
        <v>363L00000X</v>
      </c>
      <c r="D21833" t="str">
        <f>"HUTCHESON                JAMES        A           "</f>
        <v xml:space="preserve">HUTCHESON                JAMES        A           </v>
      </c>
      <c r="E21833" t="str">
        <f t="shared" si="526"/>
        <v xml:space="preserve">MEMPHIS                   </v>
      </c>
      <c r="F21833" t="str">
        <f t="shared" si="525"/>
        <v>TN</v>
      </c>
    </row>
    <row r="21834" spans="1:6" x14ac:dyDescent="0.25">
      <c r="A21834" t="str">
        <f>"001550902"</f>
        <v>001550902</v>
      </c>
      <c r="B21834" t="str">
        <f>"1952895443"</f>
        <v>1952895443</v>
      </c>
      <c r="C21834" t="str">
        <f>"207V00000X"</f>
        <v>207V00000X</v>
      </c>
      <c r="D21834" t="str">
        <f>"FRANK                    EMMA         L           "</f>
        <v xml:space="preserve">FRANK                    EMMA         L           </v>
      </c>
      <c r="E21834" t="str">
        <f t="shared" si="526"/>
        <v xml:space="preserve">MEMPHIS                   </v>
      </c>
      <c r="F21834" t="str">
        <f t="shared" si="525"/>
        <v>TN</v>
      </c>
    </row>
    <row r="21835" spans="1:6" x14ac:dyDescent="0.25">
      <c r="A21835" t="str">
        <f>"001570301"</f>
        <v>001570301</v>
      </c>
      <c r="B21835" t="str">
        <f>"1477636033"</f>
        <v>1477636033</v>
      </c>
      <c r="C21835" t="str">
        <f>"207W00000X"</f>
        <v>207W00000X</v>
      </c>
      <c r="D21835" t="str">
        <f>"KANNER                   ELLIOTT      M           "</f>
        <v xml:space="preserve">KANNER                   ELLIOTT      M           </v>
      </c>
      <c r="E21835" t="str">
        <f t="shared" si="526"/>
        <v xml:space="preserve">MEMPHIS                   </v>
      </c>
      <c r="F21835" t="str">
        <f t="shared" si="525"/>
        <v>TN</v>
      </c>
    </row>
    <row r="21836" spans="1:6" x14ac:dyDescent="0.25">
      <c r="A21836" t="str">
        <f>"001571852"</f>
        <v>001571852</v>
      </c>
      <c r="B21836" t="str">
        <f>"1235472507"</f>
        <v>1235472507</v>
      </c>
      <c r="C21836" t="str">
        <f>"207R00000X"</f>
        <v>207R00000X</v>
      </c>
      <c r="D21836" t="str">
        <f>"HIGGINS                  PATRICK      R           "</f>
        <v xml:space="preserve">HIGGINS                  PATRICK      R           </v>
      </c>
      <c r="E21836" t="str">
        <f t="shared" si="526"/>
        <v xml:space="preserve">MEMPHIS                   </v>
      </c>
      <c r="F21836" t="str">
        <f t="shared" si="525"/>
        <v>TN</v>
      </c>
    </row>
    <row r="21837" spans="1:6" x14ac:dyDescent="0.25">
      <c r="A21837" t="str">
        <f>"001572355"</f>
        <v>001572355</v>
      </c>
      <c r="B21837" t="str">
        <f>"1598841710"</f>
        <v>1598841710</v>
      </c>
      <c r="C21837" t="str">
        <f>"363L00000X"</f>
        <v>363L00000X</v>
      </c>
      <c r="D21837" t="str">
        <f>"HUMPHREY                 YVETTE       L           "</f>
        <v xml:space="preserve">HUMPHREY                 YVETTE       L           </v>
      </c>
      <c r="E21837" t="str">
        <f t="shared" si="526"/>
        <v xml:space="preserve">MEMPHIS                   </v>
      </c>
      <c r="F21837" t="str">
        <f t="shared" si="525"/>
        <v>TN</v>
      </c>
    </row>
    <row r="21838" spans="1:6" x14ac:dyDescent="0.25">
      <c r="A21838" t="str">
        <f>"001575895"</f>
        <v>001575895</v>
      </c>
      <c r="B21838" t="str">
        <f>"1073513008"</f>
        <v>1073513008</v>
      </c>
      <c r="C21838" t="str">
        <f>"207RC0000X"</f>
        <v>207RC0000X</v>
      </c>
      <c r="D21838" t="str">
        <f>"YOUNG                    LISA         J           "</f>
        <v xml:space="preserve">YOUNG                    LISA         J           </v>
      </c>
      <c r="E21838" t="str">
        <f>"GERMANTOWN                "</f>
        <v xml:space="preserve">GERMANTOWN                </v>
      </c>
      <c r="F21838" t="str">
        <f t="shared" si="525"/>
        <v>TN</v>
      </c>
    </row>
    <row r="21839" spans="1:6" x14ac:dyDescent="0.25">
      <c r="A21839" t="str">
        <f>"001580271"</f>
        <v>001580271</v>
      </c>
      <c r="B21839" t="str">
        <f>"1114037306"</f>
        <v>1114037306</v>
      </c>
      <c r="C21839" t="str">
        <f>"208600000X"</f>
        <v>208600000X</v>
      </c>
      <c r="D21839" t="str">
        <f>"GIBSON, IV               DAVID        B           "</f>
        <v xml:space="preserve">GIBSON, IV               DAVID        B           </v>
      </c>
      <c r="E21839" t="str">
        <f>"BARTLETT                  "</f>
        <v xml:space="preserve">BARTLETT                  </v>
      </c>
      <c r="F21839" t="str">
        <f t="shared" si="525"/>
        <v>TN</v>
      </c>
    </row>
    <row r="21840" spans="1:6" x14ac:dyDescent="0.25">
      <c r="A21840" t="str">
        <f>"001583763"</f>
        <v>001583763</v>
      </c>
      <c r="B21840" t="str">
        <f>"1003052010"</f>
        <v>1003052010</v>
      </c>
      <c r="C21840" t="str">
        <f>"363L00000X"</f>
        <v>363L00000X</v>
      </c>
      <c r="D21840" t="str">
        <f>"RHODES                   LESLIE       N           "</f>
        <v xml:space="preserve">RHODES                   LESLIE       N           </v>
      </c>
      <c r="E21840" t="str">
        <f t="shared" ref="E21840:E21849" si="527">"MEMPHIS                   "</f>
        <v xml:space="preserve">MEMPHIS                   </v>
      </c>
      <c r="F21840" t="str">
        <f t="shared" si="525"/>
        <v>TN</v>
      </c>
    </row>
    <row r="21841" spans="1:6" x14ac:dyDescent="0.25">
      <c r="A21841" t="str">
        <f>"001586516"</f>
        <v>001586516</v>
      </c>
      <c r="B21841" t="str">
        <f>"1063679827"</f>
        <v>1063679827</v>
      </c>
      <c r="C21841" t="str">
        <f>"207RI0200X"</f>
        <v>207RI0200X</v>
      </c>
      <c r="D21841" t="str">
        <f>"MOUGHRABIEH              MOHAMAD      K           "</f>
        <v xml:space="preserve">MOUGHRABIEH              MOHAMAD      K           </v>
      </c>
      <c r="E21841" t="str">
        <f t="shared" si="527"/>
        <v xml:space="preserve">MEMPHIS                   </v>
      </c>
      <c r="F21841" t="str">
        <f t="shared" si="525"/>
        <v>TN</v>
      </c>
    </row>
    <row r="21842" spans="1:6" x14ac:dyDescent="0.25">
      <c r="A21842" t="str">
        <f>"001606893"</f>
        <v>001606893</v>
      </c>
      <c r="B21842" t="str">
        <f>"1588767826"</f>
        <v>1588767826</v>
      </c>
      <c r="C21842" t="str">
        <f>"207RN0300X"</f>
        <v>207RN0300X</v>
      </c>
      <c r="D21842" t="str">
        <f>"DAVIS                    OMAR         R           "</f>
        <v xml:space="preserve">DAVIS                    OMAR         R           </v>
      </c>
      <c r="E21842" t="str">
        <f t="shared" si="527"/>
        <v xml:space="preserve">MEMPHIS                   </v>
      </c>
      <c r="F21842" t="str">
        <f t="shared" si="525"/>
        <v>TN</v>
      </c>
    </row>
    <row r="21843" spans="1:6" x14ac:dyDescent="0.25">
      <c r="A21843" t="str">
        <f>"001623078"</f>
        <v>001623078</v>
      </c>
      <c r="B21843" t="str">
        <f>"1235185315"</f>
        <v>1235185315</v>
      </c>
      <c r="C21843" t="str">
        <f>"207RN0300X"</f>
        <v>207RN0300X</v>
      </c>
      <c r="D21843" t="str">
        <f>"MORRIS III               JOHN         T           "</f>
        <v xml:space="preserve">MORRIS III               JOHN         T           </v>
      </c>
      <c r="E21843" t="str">
        <f t="shared" si="527"/>
        <v xml:space="preserve">MEMPHIS                   </v>
      </c>
      <c r="F21843" t="str">
        <f t="shared" si="525"/>
        <v>TN</v>
      </c>
    </row>
    <row r="21844" spans="1:6" x14ac:dyDescent="0.25">
      <c r="A21844" t="str">
        <f>"001627899"</f>
        <v>001627899</v>
      </c>
      <c r="B21844" t="str">
        <f>"1467069369"</f>
        <v>1467069369</v>
      </c>
      <c r="C21844" t="str">
        <f>"363L00000X"</f>
        <v>363L00000X</v>
      </c>
      <c r="D21844" t="str">
        <f>"MORGAN                   MELISSA                  "</f>
        <v xml:space="preserve">MORGAN                   MELISSA                  </v>
      </c>
      <c r="E21844" t="str">
        <f t="shared" si="527"/>
        <v xml:space="preserve">MEMPHIS                   </v>
      </c>
      <c r="F21844" t="str">
        <f t="shared" si="525"/>
        <v>TN</v>
      </c>
    </row>
    <row r="21845" spans="1:6" x14ac:dyDescent="0.25">
      <c r="A21845" t="str">
        <f>"001631398"</f>
        <v>001631398</v>
      </c>
      <c r="B21845" t="str">
        <f>"1144649344"</f>
        <v>1144649344</v>
      </c>
      <c r="C21845" t="str">
        <f>"207R00000X"</f>
        <v>207R00000X</v>
      </c>
      <c r="D21845" t="str">
        <f>"DUNLAP                   NATALIE      E           "</f>
        <v xml:space="preserve">DUNLAP                   NATALIE      E           </v>
      </c>
      <c r="E21845" t="str">
        <f t="shared" si="527"/>
        <v xml:space="preserve">MEMPHIS                   </v>
      </c>
      <c r="F21845" t="str">
        <f t="shared" si="525"/>
        <v>TN</v>
      </c>
    </row>
    <row r="21846" spans="1:6" x14ac:dyDescent="0.25">
      <c r="A21846" t="str">
        <f>"001637724"</f>
        <v>001637724</v>
      </c>
      <c r="B21846" t="str">
        <f>"1255732327"</f>
        <v>1255732327</v>
      </c>
      <c r="C21846" t="str">
        <f>"367500000X"</f>
        <v>367500000X</v>
      </c>
      <c r="D21846" t="str">
        <f>"GRISSOM                  ERICA        C           "</f>
        <v xml:space="preserve">GRISSOM                  ERICA        C           </v>
      </c>
      <c r="E21846" t="str">
        <f t="shared" si="527"/>
        <v xml:space="preserve">MEMPHIS                   </v>
      </c>
      <c r="F21846" t="str">
        <f t="shared" si="525"/>
        <v>TN</v>
      </c>
    </row>
    <row r="21847" spans="1:6" x14ac:dyDescent="0.25">
      <c r="A21847" t="str">
        <f>"001652305"</f>
        <v>001652305</v>
      </c>
      <c r="B21847" t="str">
        <f>"1427031038"</f>
        <v>1427031038</v>
      </c>
      <c r="C21847" t="str">
        <f>"363L00000X"</f>
        <v>363L00000X</v>
      </c>
      <c r="D21847" t="str">
        <f>"SLATE                    KIMBERLY     G           "</f>
        <v xml:space="preserve">SLATE                    KIMBERLY     G           </v>
      </c>
      <c r="E21847" t="str">
        <f t="shared" si="527"/>
        <v xml:space="preserve">MEMPHIS                   </v>
      </c>
      <c r="F21847" t="str">
        <f t="shared" si="525"/>
        <v>TN</v>
      </c>
    </row>
    <row r="21848" spans="1:6" x14ac:dyDescent="0.25">
      <c r="A21848" t="str">
        <f>"001676561"</f>
        <v>001676561</v>
      </c>
      <c r="B21848" t="str">
        <f>"1508388869"</f>
        <v>1508388869</v>
      </c>
      <c r="C21848" t="str">
        <f>"207L00000X"</f>
        <v>207L00000X</v>
      </c>
      <c r="D21848" t="str">
        <f>"ARCHANA GUNDIGI VENKATESHFNU                      "</f>
        <v xml:space="preserve">ARCHANA GUNDIGI VENKATESHFNU                      </v>
      </c>
      <c r="E21848" t="str">
        <f t="shared" si="527"/>
        <v xml:space="preserve">MEMPHIS                   </v>
      </c>
      <c r="F21848" t="str">
        <f t="shared" si="525"/>
        <v>TN</v>
      </c>
    </row>
    <row r="21849" spans="1:6" x14ac:dyDescent="0.25">
      <c r="A21849" t="str">
        <f>"001683760"</f>
        <v>001683760</v>
      </c>
      <c r="B21849" t="str">
        <f>"1083072086"</f>
        <v>1083072086</v>
      </c>
      <c r="C21849" t="str">
        <f>"363L00000X"</f>
        <v>363L00000X</v>
      </c>
      <c r="D21849" t="str">
        <f>"JONES                    ANDREA       R           "</f>
        <v xml:space="preserve">JONES                    ANDREA       R           </v>
      </c>
      <c r="E21849" t="str">
        <f t="shared" si="527"/>
        <v xml:space="preserve">MEMPHIS                   </v>
      </c>
      <c r="F21849" t="str">
        <f t="shared" si="525"/>
        <v>TN</v>
      </c>
    </row>
    <row r="21850" spans="1:6" x14ac:dyDescent="0.25">
      <c r="A21850" t="str">
        <f>"001685038"</f>
        <v>001685038</v>
      </c>
      <c r="B21850" t="str">
        <f>"1861488561"</f>
        <v>1861488561</v>
      </c>
      <c r="C21850" t="str">
        <f>"207X00000X"</f>
        <v>207X00000X</v>
      </c>
      <c r="D21850" t="str">
        <f>"GUYTON                   JAMES        L           "</f>
        <v xml:space="preserve">GUYTON                   JAMES        L           </v>
      </c>
      <c r="E21850" t="str">
        <f>"GERMANTOWN                "</f>
        <v xml:space="preserve">GERMANTOWN                </v>
      </c>
      <c r="F21850" t="str">
        <f t="shared" si="525"/>
        <v>TN</v>
      </c>
    </row>
    <row r="21851" spans="1:6" x14ac:dyDescent="0.25">
      <c r="A21851" t="str">
        <f>"001685528"</f>
        <v>001685528</v>
      </c>
      <c r="B21851" t="str">
        <f>"1275152589"</f>
        <v>1275152589</v>
      </c>
      <c r="C21851" t="str">
        <f>"367500000X"</f>
        <v>367500000X</v>
      </c>
      <c r="D21851" t="str">
        <f>"BAILEY                   KATHERINE                "</f>
        <v xml:space="preserve">BAILEY                   KATHERINE                </v>
      </c>
      <c r="E21851" t="str">
        <f t="shared" ref="E21851:E21858" si="528">"MEMPHIS                   "</f>
        <v xml:space="preserve">MEMPHIS                   </v>
      </c>
      <c r="F21851" t="str">
        <f t="shared" si="525"/>
        <v>TN</v>
      </c>
    </row>
    <row r="21852" spans="1:6" x14ac:dyDescent="0.25">
      <c r="A21852" t="str">
        <f>"001685879"</f>
        <v>001685879</v>
      </c>
      <c r="B21852" t="str">
        <f>"1710372602"</f>
        <v>1710372602</v>
      </c>
      <c r="C21852" t="str">
        <f>"208000000X"</f>
        <v>208000000X</v>
      </c>
      <c r="D21852" t="str">
        <f>"WADE                     ERIN         E           "</f>
        <v xml:space="preserve">WADE                     ERIN         E           </v>
      </c>
      <c r="E21852" t="str">
        <f t="shared" si="528"/>
        <v xml:space="preserve">MEMPHIS                   </v>
      </c>
      <c r="F21852" t="str">
        <f t="shared" si="525"/>
        <v>TN</v>
      </c>
    </row>
    <row r="21853" spans="1:6" x14ac:dyDescent="0.25">
      <c r="A21853" t="str">
        <f>"001689343"</f>
        <v>001689343</v>
      </c>
      <c r="B21853" t="str">
        <f>"1932169547"</f>
        <v>1932169547</v>
      </c>
      <c r="C21853" t="str">
        <f>"208C00000X"</f>
        <v>208C00000X</v>
      </c>
      <c r="D21853" t="str">
        <f>"STANIUNAS                RAYMOND      J           "</f>
        <v xml:space="preserve">STANIUNAS                RAYMOND      J           </v>
      </c>
      <c r="E21853" t="str">
        <f t="shared" si="528"/>
        <v xml:space="preserve">MEMPHIS                   </v>
      </c>
      <c r="F21853" t="str">
        <f t="shared" si="525"/>
        <v>TN</v>
      </c>
    </row>
    <row r="21854" spans="1:6" x14ac:dyDescent="0.25">
      <c r="A21854" t="str">
        <f>"001736552"</f>
        <v>001736552</v>
      </c>
      <c r="B21854" t="str">
        <f>"1750839122"</f>
        <v>1750839122</v>
      </c>
      <c r="C21854" t="str">
        <f>"363L00000X"</f>
        <v>363L00000X</v>
      </c>
      <c r="D21854" t="str">
        <f>"ARMSTRONG                MICHELLE     M           "</f>
        <v xml:space="preserve">ARMSTRONG                MICHELLE     M           </v>
      </c>
      <c r="E21854" t="str">
        <f t="shared" si="528"/>
        <v xml:space="preserve">MEMPHIS                   </v>
      </c>
      <c r="F21854" t="str">
        <f t="shared" si="525"/>
        <v>TN</v>
      </c>
    </row>
    <row r="21855" spans="1:6" x14ac:dyDescent="0.25">
      <c r="A21855" t="str">
        <f>"001754342"</f>
        <v>001754342</v>
      </c>
      <c r="B21855" t="str">
        <f>"1841507944"</f>
        <v>1841507944</v>
      </c>
      <c r="C21855" t="str">
        <f>"207R00000X"</f>
        <v>207R00000X</v>
      </c>
      <c r="D21855" t="str">
        <f>"ELOCHUKWU                AMARA        F           "</f>
        <v xml:space="preserve">ELOCHUKWU                AMARA        F           </v>
      </c>
      <c r="E21855" t="str">
        <f t="shared" si="528"/>
        <v xml:space="preserve">MEMPHIS                   </v>
      </c>
      <c r="F21855" t="str">
        <f t="shared" si="525"/>
        <v>TN</v>
      </c>
    </row>
    <row r="21856" spans="1:6" x14ac:dyDescent="0.25">
      <c r="A21856" t="str">
        <f>"001756767"</f>
        <v>001756767</v>
      </c>
      <c r="B21856" t="str">
        <f>"1720295660"</f>
        <v>1720295660</v>
      </c>
      <c r="C21856" t="str">
        <f>"363L00000X"</f>
        <v>363L00000X</v>
      </c>
      <c r="D21856" t="str">
        <f>"O'DELL                   JENNIFER     P           "</f>
        <v xml:space="preserve">O'DELL                   JENNIFER     P           </v>
      </c>
      <c r="E21856" t="str">
        <f t="shared" si="528"/>
        <v xml:space="preserve">MEMPHIS                   </v>
      </c>
      <c r="F21856" t="str">
        <f t="shared" si="525"/>
        <v>TN</v>
      </c>
    </row>
    <row r="21857" spans="1:6" x14ac:dyDescent="0.25">
      <c r="A21857" t="str">
        <f>"001776530"</f>
        <v>001776530</v>
      </c>
      <c r="B21857" t="str">
        <f>"1710220231"</f>
        <v>1710220231</v>
      </c>
      <c r="C21857" t="str">
        <f>"208000000X"</f>
        <v>208000000X</v>
      </c>
      <c r="D21857" t="str">
        <f>"SCHALLER                 ALEXANDRA    L           "</f>
        <v xml:space="preserve">SCHALLER                 ALEXANDRA    L           </v>
      </c>
      <c r="E21857" t="str">
        <f t="shared" si="528"/>
        <v xml:space="preserve">MEMPHIS                   </v>
      </c>
      <c r="F21857" t="str">
        <f t="shared" si="525"/>
        <v>TN</v>
      </c>
    </row>
    <row r="21858" spans="1:6" x14ac:dyDescent="0.25">
      <c r="A21858" t="str">
        <f>"001779206"</f>
        <v>001779206</v>
      </c>
      <c r="B21858" t="str">
        <f>"1336441419"</f>
        <v>1336441419</v>
      </c>
      <c r="C21858" t="str">
        <f>"207P00000X"</f>
        <v>207P00000X</v>
      </c>
      <c r="D21858" t="str">
        <f>"COUGHLIN                 SHANE        W           "</f>
        <v xml:space="preserve">COUGHLIN                 SHANE        W           </v>
      </c>
      <c r="E21858" t="str">
        <f t="shared" si="528"/>
        <v xml:space="preserve">MEMPHIS                   </v>
      </c>
      <c r="F21858" t="str">
        <f t="shared" si="525"/>
        <v>TN</v>
      </c>
    </row>
    <row r="21859" spans="1:6" x14ac:dyDescent="0.25">
      <c r="A21859" t="str">
        <f>"001804218"</f>
        <v>001804218</v>
      </c>
      <c r="B21859" t="str">
        <f>"1972939023"</f>
        <v>1972939023</v>
      </c>
      <c r="C21859" t="str">
        <f>"363L00000X"</f>
        <v>363L00000X</v>
      </c>
      <c r="D21859" t="str">
        <f>"PATE                     PATRICIA     M           "</f>
        <v xml:space="preserve">PATE                     PATRICIA     M           </v>
      </c>
      <c r="E21859" t="str">
        <f>"GERMANTOWN                "</f>
        <v xml:space="preserve">GERMANTOWN                </v>
      </c>
      <c r="F21859" t="str">
        <f t="shared" si="525"/>
        <v>TN</v>
      </c>
    </row>
    <row r="21860" spans="1:6" x14ac:dyDescent="0.25">
      <c r="A21860" t="str">
        <f>"001804829"</f>
        <v>001804829</v>
      </c>
      <c r="B21860" t="str">
        <f>"1588083927"</f>
        <v>1588083927</v>
      </c>
      <c r="C21860" t="str">
        <f>"2086X0206X"</f>
        <v>2086X0206X</v>
      </c>
      <c r="D21860" t="str">
        <f>"GILMORE                  RICHARD      C           "</f>
        <v xml:space="preserve">GILMORE                  RICHARD      C           </v>
      </c>
      <c r="E21860" t="str">
        <f>"GERMANTOWN                "</f>
        <v xml:space="preserve">GERMANTOWN                </v>
      </c>
      <c r="F21860" t="str">
        <f t="shared" si="525"/>
        <v>TN</v>
      </c>
    </row>
    <row r="21861" spans="1:6" x14ac:dyDescent="0.25">
      <c r="A21861" t="str">
        <f>"001807024"</f>
        <v>001807024</v>
      </c>
      <c r="B21861" t="str">
        <f>"1174633515"</f>
        <v>1174633515</v>
      </c>
      <c r="C21861" t="str">
        <f>"207V00000X"</f>
        <v>207V00000X</v>
      </c>
      <c r="D21861" t="str">
        <f>"REED JR                  CHESTON      M           "</f>
        <v xml:space="preserve">REED JR                  CHESTON      M           </v>
      </c>
      <c r="E21861" t="str">
        <f>"MEMPHIS                   "</f>
        <v xml:space="preserve">MEMPHIS                   </v>
      </c>
      <c r="F21861" t="str">
        <f t="shared" si="525"/>
        <v>TN</v>
      </c>
    </row>
    <row r="21862" spans="1:6" x14ac:dyDescent="0.25">
      <c r="A21862" t="str">
        <f>"001822872"</f>
        <v>001822872</v>
      </c>
      <c r="B21862" t="str">
        <f>"1215455373"</f>
        <v>1215455373</v>
      </c>
      <c r="C21862" t="str">
        <f>"363L00000X"</f>
        <v>363L00000X</v>
      </c>
      <c r="D21862" t="str">
        <f>"BANKS                    ADRIAN       N           "</f>
        <v xml:space="preserve">BANKS                    ADRIAN       N           </v>
      </c>
      <c r="E21862" t="str">
        <f>"GERMANTOWN                "</f>
        <v xml:space="preserve">GERMANTOWN                </v>
      </c>
      <c r="F21862" t="str">
        <f t="shared" si="525"/>
        <v>TN</v>
      </c>
    </row>
    <row r="21863" spans="1:6" x14ac:dyDescent="0.25">
      <c r="A21863" t="str">
        <f>"001828561"</f>
        <v>001828561</v>
      </c>
      <c r="B21863" t="str">
        <f>"1609395938"</f>
        <v>1609395938</v>
      </c>
      <c r="C21863" t="str">
        <f>"363A00000X"</f>
        <v>363A00000X</v>
      </c>
      <c r="D21863" t="str">
        <f>"HILL                     LAUREN       S           "</f>
        <v xml:space="preserve">HILL                     LAUREN       S           </v>
      </c>
      <c r="E21863" t="str">
        <f>"GERMANTOWN                "</f>
        <v xml:space="preserve">GERMANTOWN                </v>
      </c>
      <c r="F21863" t="str">
        <f t="shared" si="525"/>
        <v>TN</v>
      </c>
    </row>
    <row r="21864" spans="1:6" x14ac:dyDescent="0.25">
      <c r="A21864" t="str">
        <f>"001834893"</f>
        <v>001834893</v>
      </c>
      <c r="B21864" t="str">
        <f>"1124134952"</f>
        <v>1124134952</v>
      </c>
      <c r="C21864" t="str">
        <f>"207X00000X"</f>
        <v>207X00000X</v>
      </c>
      <c r="D21864" t="str">
        <f>"HOOD                     MICHAEL                  "</f>
        <v xml:space="preserve">HOOD                     MICHAEL                  </v>
      </c>
      <c r="E21864" t="str">
        <f>"COLLIERVILLE              "</f>
        <v xml:space="preserve">COLLIERVILLE              </v>
      </c>
      <c r="F21864" t="str">
        <f t="shared" si="525"/>
        <v>TN</v>
      </c>
    </row>
    <row r="21865" spans="1:6" x14ac:dyDescent="0.25">
      <c r="A21865" t="str">
        <f>"001836212"</f>
        <v>001836212</v>
      </c>
      <c r="B21865" t="str">
        <f>"1528283819"</f>
        <v>1528283819</v>
      </c>
      <c r="C21865" t="str">
        <f>"208000000X"</f>
        <v>208000000X</v>
      </c>
      <c r="D21865" t="str">
        <f>"MARON                    GABRIELA                 "</f>
        <v xml:space="preserve">MARON                    GABRIELA                 </v>
      </c>
      <c r="E21865" t="str">
        <f>"MEMPHIS                   "</f>
        <v xml:space="preserve">MEMPHIS                   </v>
      </c>
      <c r="F21865" t="str">
        <f t="shared" si="525"/>
        <v>TN</v>
      </c>
    </row>
    <row r="21866" spans="1:6" x14ac:dyDescent="0.25">
      <c r="A21866" t="str">
        <f>"001851872"</f>
        <v>001851872</v>
      </c>
      <c r="B21866" t="str">
        <f>"1639494040"</f>
        <v>1639494040</v>
      </c>
      <c r="C21866" t="str">
        <f>"208000000X"</f>
        <v>208000000X</v>
      </c>
      <c r="D21866" t="str">
        <f>"AGULNIK                  ASYA         L           "</f>
        <v xml:space="preserve">AGULNIK                  ASYA         L           </v>
      </c>
      <c r="E21866" t="str">
        <f>"MEMPHIS                   "</f>
        <v xml:space="preserve">MEMPHIS                   </v>
      </c>
      <c r="F21866" t="str">
        <f t="shared" si="525"/>
        <v>TN</v>
      </c>
    </row>
    <row r="21867" spans="1:6" x14ac:dyDescent="0.25">
      <c r="A21867" t="str">
        <f>"001853243"</f>
        <v>001853243</v>
      </c>
      <c r="B21867" t="str">
        <f>"1245971621"</f>
        <v>1245971621</v>
      </c>
      <c r="C21867" t="str">
        <f>"363L00000X"</f>
        <v>363L00000X</v>
      </c>
      <c r="D21867" t="str">
        <f>"COMELLA                  SHAUNA       L           "</f>
        <v xml:space="preserve">COMELLA                  SHAUNA       L           </v>
      </c>
      <c r="E21867" t="str">
        <f>"MEMPHIS                   "</f>
        <v xml:space="preserve">MEMPHIS                   </v>
      </c>
      <c r="F21867" t="str">
        <f t="shared" si="525"/>
        <v>TN</v>
      </c>
    </row>
    <row r="21868" spans="1:6" x14ac:dyDescent="0.25">
      <c r="A21868" t="str">
        <f>"001855351"</f>
        <v>001855351</v>
      </c>
      <c r="B21868" t="str">
        <f>"1962813303"</f>
        <v>1962813303</v>
      </c>
      <c r="C21868" t="str">
        <f>"207W00000X"</f>
        <v>207W00000X</v>
      </c>
      <c r="D21868" t="str">
        <f>"ABURIME                  OSEMELU      O           "</f>
        <v xml:space="preserve">ABURIME                  OSEMELU      O           </v>
      </c>
      <c r="E21868" t="str">
        <f>"MEMPHIS                   "</f>
        <v xml:space="preserve">MEMPHIS                   </v>
      </c>
      <c r="F21868" t="str">
        <f t="shared" si="525"/>
        <v>TN</v>
      </c>
    </row>
    <row r="21869" spans="1:6" x14ac:dyDescent="0.25">
      <c r="A21869" t="str">
        <f>"001856357"</f>
        <v>001856357</v>
      </c>
      <c r="B21869" t="str">
        <f>"1497712368"</f>
        <v>1497712368</v>
      </c>
      <c r="C21869" t="str">
        <f>"208000000X"</f>
        <v>208000000X</v>
      </c>
      <c r="D21869" t="str">
        <f>"HAYES                    BURTON       L           "</f>
        <v xml:space="preserve">HAYES                    BURTON       L           </v>
      </c>
      <c r="E21869" t="str">
        <f>"CORDOVA                   "</f>
        <v xml:space="preserve">CORDOVA                   </v>
      </c>
      <c r="F21869" t="str">
        <f t="shared" si="525"/>
        <v>TN</v>
      </c>
    </row>
    <row r="21870" spans="1:6" x14ac:dyDescent="0.25">
      <c r="A21870" t="str">
        <f>"001858574"</f>
        <v>001858574</v>
      </c>
      <c r="B21870" t="str">
        <f>"1801250501"</f>
        <v>1801250501</v>
      </c>
      <c r="C21870" t="str">
        <f>"208000000X"</f>
        <v>208000000X</v>
      </c>
      <c r="D21870" t="str">
        <f>"WHITLOW                  BAILLIE                  "</f>
        <v xml:space="preserve">WHITLOW                  BAILLIE                  </v>
      </c>
      <c r="E21870" t="str">
        <f>"MEMPHIS                   "</f>
        <v xml:space="preserve">MEMPHIS                   </v>
      </c>
      <c r="F21870" t="str">
        <f t="shared" si="525"/>
        <v>TN</v>
      </c>
    </row>
    <row r="21871" spans="1:6" x14ac:dyDescent="0.25">
      <c r="A21871" t="str">
        <f>"001858899"</f>
        <v>001858899</v>
      </c>
      <c r="B21871" t="str">
        <f>"1285219303"</f>
        <v>1285219303</v>
      </c>
      <c r="C21871" t="str">
        <f>"363L00000X"</f>
        <v>363L00000X</v>
      </c>
      <c r="D21871" t="str">
        <f>"WILKERSON                CRYSTAL      N           "</f>
        <v xml:space="preserve">WILKERSON                CRYSTAL      N           </v>
      </c>
      <c r="E21871" t="str">
        <f>"COLLIERVILLE              "</f>
        <v xml:space="preserve">COLLIERVILLE              </v>
      </c>
      <c r="F21871" t="str">
        <f t="shared" si="525"/>
        <v>TN</v>
      </c>
    </row>
    <row r="21872" spans="1:6" x14ac:dyDescent="0.25">
      <c r="A21872" t="str">
        <f>"001873239"</f>
        <v>001873239</v>
      </c>
      <c r="B21872" t="str">
        <f>"1255330957"</f>
        <v>1255330957</v>
      </c>
      <c r="C21872" t="str">
        <f>"208600000X"</f>
        <v>208600000X</v>
      </c>
      <c r="D21872" t="str">
        <f>"ROBBINS                  EDWARD       T           "</f>
        <v xml:space="preserve">ROBBINS                  EDWARD       T           </v>
      </c>
      <c r="E21872" t="str">
        <f>"MEMPHIS                   "</f>
        <v xml:space="preserve">MEMPHIS                   </v>
      </c>
      <c r="F21872" t="str">
        <f t="shared" si="525"/>
        <v>TN</v>
      </c>
    </row>
    <row r="21873" spans="1:6" x14ac:dyDescent="0.25">
      <c r="A21873" t="str">
        <f>"001876007"</f>
        <v>001876007</v>
      </c>
      <c r="B21873" t="str">
        <f>"1730590076"</f>
        <v>1730590076</v>
      </c>
      <c r="C21873" t="str">
        <f>"2080N0001X"</f>
        <v>2080N0001X</v>
      </c>
      <c r="D21873" t="str">
        <f>"BROWDER                  KARIS        L           "</f>
        <v xml:space="preserve">BROWDER                  KARIS        L           </v>
      </c>
      <c r="E21873" t="str">
        <f>"MEMPHIS                   "</f>
        <v xml:space="preserve">MEMPHIS                   </v>
      </c>
      <c r="F21873" t="str">
        <f t="shared" si="525"/>
        <v>TN</v>
      </c>
    </row>
    <row r="21874" spans="1:6" x14ac:dyDescent="0.25">
      <c r="A21874" t="str">
        <f>"001876313"</f>
        <v>001876313</v>
      </c>
      <c r="B21874" t="str">
        <f>"1609518513"</f>
        <v>1609518513</v>
      </c>
      <c r="C21874" t="str">
        <f>"207X00000X"</f>
        <v>207X00000X</v>
      </c>
      <c r="D21874" t="str">
        <f>"KOOLMEES                 DYLAN        S           "</f>
        <v xml:space="preserve">KOOLMEES                 DYLAN        S           </v>
      </c>
      <c r="E21874" t="str">
        <f>"MEMPHIS                   "</f>
        <v xml:space="preserve">MEMPHIS                   </v>
      </c>
      <c r="F21874" t="str">
        <f t="shared" si="525"/>
        <v>TN</v>
      </c>
    </row>
    <row r="21875" spans="1:6" x14ac:dyDescent="0.25">
      <c r="A21875" t="str">
        <f>"001900013"</f>
        <v>001900013</v>
      </c>
      <c r="B21875" t="str">
        <f>"1891084935"</f>
        <v>1891084935</v>
      </c>
      <c r="C21875" t="str">
        <f>"207Q00000X"</f>
        <v>207Q00000X</v>
      </c>
      <c r="D21875" t="str">
        <f>"ANDERSON                 STEPHANIE    D           "</f>
        <v xml:space="preserve">ANDERSON                 STEPHANIE    D           </v>
      </c>
      <c r="E21875" t="str">
        <f>"BARTLETT                  "</f>
        <v xml:space="preserve">BARTLETT                  </v>
      </c>
      <c r="F21875" t="str">
        <f t="shared" si="525"/>
        <v>TN</v>
      </c>
    </row>
    <row r="21876" spans="1:6" x14ac:dyDescent="0.25">
      <c r="A21876" t="str">
        <f>"001900201"</f>
        <v>001900201</v>
      </c>
      <c r="B21876" t="str">
        <f>"1538514971"</f>
        <v>1538514971</v>
      </c>
      <c r="C21876" t="str">
        <f>"2085R0202X"</f>
        <v>2085R0202X</v>
      </c>
      <c r="D21876" t="str">
        <f>"EASTLACK                 DANIEL                   "</f>
        <v xml:space="preserve">EASTLACK                 DANIEL                   </v>
      </c>
      <c r="E21876" t="str">
        <f>"GERMANTOWN                "</f>
        <v xml:space="preserve">GERMANTOWN                </v>
      </c>
      <c r="F21876" t="str">
        <f t="shared" si="525"/>
        <v>TN</v>
      </c>
    </row>
    <row r="21877" spans="1:6" x14ac:dyDescent="0.25">
      <c r="A21877" t="str">
        <f>"001909863"</f>
        <v>001909863</v>
      </c>
      <c r="B21877" t="str">
        <f>"1275081846"</f>
        <v>1275081846</v>
      </c>
      <c r="C21877" t="str">
        <f>"367500000X"</f>
        <v>367500000X</v>
      </c>
      <c r="D21877" t="str">
        <f>"ELLINGTON                CASEY                    "</f>
        <v xml:space="preserve">ELLINGTON                CASEY                    </v>
      </c>
      <c r="E21877" t="str">
        <f>"MEMPHIS                   "</f>
        <v xml:space="preserve">MEMPHIS                   </v>
      </c>
      <c r="F21877" t="str">
        <f t="shared" si="525"/>
        <v>TN</v>
      </c>
    </row>
    <row r="21878" spans="1:6" x14ac:dyDescent="0.25">
      <c r="A21878" t="str">
        <f>"001928771"</f>
        <v>001928771</v>
      </c>
      <c r="B21878" t="str">
        <f>"1477510212"</f>
        <v>1477510212</v>
      </c>
      <c r="C21878" t="str">
        <f>"207W00000X"</f>
        <v>207W00000X</v>
      </c>
      <c r="D21878" t="str">
        <f>"HOEHN                    MARY         E           "</f>
        <v xml:space="preserve">HOEHN                    MARY         E           </v>
      </c>
      <c r="E21878" t="str">
        <f>"MEMPHIS                   "</f>
        <v xml:space="preserve">MEMPHIS                   </v>
      </c>
      <c r="F21878" t="str">
        <f t="shared" si="525"/>
        <v>TN</v>
      </c>
    </row>
    <row r="21879" spans="1:6" x14ac:dyDescent="0.25">
      <c r="A21879" t="str">
        <f>"001932026"</f>
        <v>001932026</v>
      </c>
      <c r="B21879" t="str">
        <f>"1508066366"</f>
        <v>1508066366</v>
      </c>
      <c r="C21879" t="str">
        <f>"207V00000X"</f>
        <v>207V00000X</v>
      </c>
      <c r="D21879" t="str">
        <f>"SHANNON                  HELENA       G           "</f>
        <v xml:space="preserve">SHANNON                  HELENA       G           </v>
      </c>
      <c r="E21879" t="str">
        <f>"MEMPHIS                   "</f>
        <v xml:space="preserve">MEMPHIS                   </v>
      </c>
      <c r="F21879" t="str">
        <f t="shared" si="525"/>
        <v>TN</v>
      </c>
    </row>
    <row r="21880" spans="1:6" x14ac:dyDescent="0.25">
      <c r="A21880" t="str">
        <f>"001932053"</f>
        <v>001932053</v>
      </c>
      <c r="B21880" t="str">
        <f>"1386602472"</f>
        <v>1386602472</v>
      </c>
      <c r="C21880" t="str">
        <f>"367500000X"</f>
        <v>367500000X</v>
      </c>
      <c r="D21880" t="str">
        <f>"DONELSON                 VIRGINIA                 "</f>
        <v xml:space="preserve">DONELSON                 VIRGINIA                 </v>
      </c>
      <c r="E21880" t="str">
        <f>"MEMPHIS                   "</f>
        <v xml:space="preserve">MEMPHIS                   </v>
      </c>
      <c r="F21880" t="str">
        <f t="shared" si="525"/>
        <v>TN</v>
      </c>
    </row>
    <row r="21881" spans="1:6" x14ac:dyDescent="0.25">
      <c r="A21881" t="str">
        <f>"001951369"</f>
        <v>001951369</v>
      </c>
      <c r="B21881" t="str">
        <f>"1598977100"</f>
        <v>1598977100</v>
      </c>
      <c r="C21881" t="str">
        <f>"207R00000X"</f>
        <v>207R00000X</v>
      </c>
      <c r="D21881" t="str">
        <f>"ZAIDI                    AMNA         A           "</f>
        <v xml:space="preserve">ZAIDI                    AMNA         A           </v>
      </c>
      <c r="E21881" t="str">
        <f>"MEMPHIS                   "</f>
        <v xml:space="preserve">MEMPHIS                   </v>
      </c>
      <c r="F21881" t="str">
        <f t="shared" si="525"/>
        <v>TN</v>
      </c>
    </row>
    <row r="21882" spans="1:6" x14ac:dyDescent="0.25">
      <c r="A21882" t="str">
        <f>"002007750"</f>
        <v>002007750</v>
      </c>
      <c r="B21882" t="str">
        <f>"1356915623"</f>
        <v>1356915623</v>
      </c>
      <c r="C21882" t="str">
        <f>"363L00000X"</f>
        <v>363L00000X</v>
      </c>
      <c r="D21882" t="str">
        <f>"FURR                     TISH         C           "</f>
        <v xml:space="preserve">FURR                     TISH         C           </v>
      </c>
      <c r="E21882" t="str">
        <f>"GERMANTOWN                "</f>
        <v xml:space="preserve">GERMANTOWN                </v>
      </c>
      <c r="F21882" t="str">
        <f t="shared" si="525"/>
        <v>TN</v>
      </c>
    </row>
    <row r="21883" spans="1:6" x14ac:dyDescent="0.25">
      <c r="A21883" t="str">
        <f>"002023074"</f>
        <v>002023074</v>
      </c>
      <c r="B21883" t="str">
        <f>"1851359665"</f>
        <v>1851359665</v>
      </c>
      <c r="C21883" t="str">
        <f>"363L00000X"</f>
        <v>363L00000X</v>
      </c>
      <c r="D21883" t="str">
        <f>"STEWART                  CHARLES      W           "</f>
        <v xml:space="preserve">STEWART                  CHARLES      W           </v>
      </c>
      <c r="E21883" t="str">
        <f>"MEMPHIS                   "</f>
        <v xml:space="preserve">MEMPHIS                   </v>
      </c>
      <c r="F21883" t="str">
        <f t="shared" si="525"/>
        <v>TN</v>
      </c>
    </row>
    <row r="21884" spans="1:6" x14ac:dyDescent="0.25">
      <c r="A21884" t="str">
        <f>"002025025"</f>
        <v>002025025</v>
      </c>
      <c r="B21884" t="str">
        <f>"1174288427"</f>
        <v>1174288427</v>
      </c>
      <c r="C21884" t="str">
        <f>"363L00000X"</f>
        <v>363L00000X</v>
      </c>
      <c r="D21884" t="str">
        <f>"MURRAY                   AMELIA                   "</f>
        <v xml:space="preserve">MURRAY                   AMELIA                   </v>
      </c>
      <c r="E21884" t="str">
        <f>"MEMPHIS                   "</f>
        <v xml:space="preserve">MEMPHIS                   </v>
      </c>
      <c r="F21884" t="str">
        <f t="shared" si="525"/>
        <v>TN</v>
      </c>
    </row>
    <row r="21885" spans="1:6" x14ac:dyDescent="0.25">
      <c r="A21885" t="str">
        <f>"002026796"</f>
        <v>002026796</v>
      </c>
      <c r="B21885" t="str">
        <f>"1770829509"</f>
        <v>1770829509</v>
      </c>
      <c r="C21885" t="str">
        <f>"367500000X"</f>
        <v>367500000X</v>
      </c>
      <c r="D21885" t="str">
        <f>"RYALS                    MARY         K           "</f>
        <v xml:space="preserve">RYALS                    MARY         K           </v>
      </c>
      <c r="E21885" t="str">
        <f>"MEMPHIS                   "</f>
        <v xml:space="preserve">MEMPHIS                   </v>
      </c>
      <c r="F21885" t="str">
        <f t="shared" si="525"/>
        <v>TN</v>
      </c>
    </row>
    <row r="21886" spans="1:6" x14ac:dyDescent="0.25">
      <c r="A21886" t="str">
        <f>"002028707"</f>
        <v>002028707</v>
      </c>
      <c r="B21886" t="str">
        <f>"1740765940"</f>
        <v>1740765940</v>
      </c>
      <c r="C21886" t="str">
        <f>"363L00000X"</f>
        <v>363L00000X</v>
      </c>
      <c r="D21886" t="str">
        <f>"FREEMAN                  HALEY        M           "</f>
        <v xml:space="preserve">FREEMAN                  HALEY        M           </v>
      </c>
      <c r="E21886" t="str">
        <f>"MEMPHIS                   "</f>
        <v xml:space="preserve">MEMPHIS                   </v>
      </c>
      <c r="F21886" t="str">
        <f t="shared" ref="F21886:F21949" si="529">"TN"</f>
        <v>TN</v>
      </c>
    </row>
    <row r="21887" spans="1:6" x14ac:dyDescent="0.25">
      <c r="A21887" t="str">
        <f>"002029582"</f>
        <v>002029582</v>
      </c>
      <c r="B21887" t="str">
        <f>"1295778330"</f>
        <v>1295778330</v>
      </c>
      <c r="C21887" t="str">
        <f>"207R00000X"</f>
        <v>207R00000X</v>
      </c>
      <c r="D21887" t="str">
        <f>"CHANDLER                 JASON        C           "</f>
        <v xml:space="preserve">CHANDLER                 JASON        C           </v>
      </c>
      <c r="E21887" t="str">
        <f>"GERMANTOWN                "</f>
        <v xml:space="preserve">GERMANTOWN                </v>
      </c>
      <c r="F21887" t="str">
        <f t="shared" si="529"/>
        <v>TN</v>
      </c>
    </row>
    <row r="21888" spans="1:6" x14ac:dyDescent="0.25">
      <c r="A21888" t="str">
        <f>"002037567"</f>
        <v>002037567</v>
      </c>
      <c r="B21888" t="str">
        <f>"1467696880"</f>
        <v>1467696880</v>
      </c>
      <c r="C21888" t="str">
        <f>"2085R0202X"</f>
        <v>2085R0202X</v>
      </c>
      <c r="D21888" t="str">
        <f>"DORAI RAJU               ANAND                    "</f>
        <v xml:space="preserve">DORAI RAJU               ANAND                    </v>
      </c>
      <c r="E21888" t="str">
        <f>"MEMPHIS                   "</f>
        <v xml:space="preserve">MEMPHIS                   </v>
      </c>
      <c r="F21888" t="str">
        <f t="shared" si="529"/>
        <v>TN</v>
      </c>
    </row>
    <row r="21889" spans="1:6" x14ac:dyDescent="0.25">
      <c r="A21889" t="str">
        <f>"002056530"</f>
        <v>002056530</v>
      </c>
      <c r="B21889" t="str">
        <f>"1467624783"</f>
        <v>1467624783</v>
      </c>
      <c r="C21889" t="str">
        <f>"207V00000X"</f>
        <v>207V00000X</v>
      </c>
      <c r="D21889" t="str">
        <f>"HINOTE                   CANDACE      D           "</f>
        <v xml:space="preserve">HINOTE                   CANDACE      D           </v>
      </c>
      <c r="E21889" t="str">
        <f>"MEMPHIS                   "</f>
        <v xml:space="preserve">MEMPHIS                   </v>
      </c>
      <c r="F21889" t="str">
        <f t="shared" si="529"/>
        <v>TN</v>
      </c>
    </row>
    <row r="21890" spans="1:6" x14ac:dyDescent="0.25">
      <c r="A21890" t="str">
        <f>"002070707"</f>
        <v>002070707</v>
      </c>
      <c r="B21890" t="str">
        <f>"1619940509"</f>
        <v>1619940509</v>
      </c>
      <c r="C21890" t="str">
        <f>"207R00000X"</f>
        <v>207R00000X</v>
      </c>
      <c r="D21890" t="str">
        <f>"PATCHEN                  JAY                      "</f>
        <v xml:space="preserve">PATCHEN                  JAY                      </v>
      </c>
      <c r="E21890" t="str">
        <f>"MEMPHIS                   "</f>
        <v xml:space="preserve">MEMPHIS                   </v>
      </c>
      <c r="F21890" t="str">
        <f t="shared" si="529"/>
        <v>TN</v>
      </c>
    </row>
    <row r="21891" spans="1:6" x14ac:dyDescent="0.25">
      <c r="A21891" t="str">
        <f>"002074591"</f>
        <v>002074591</v>
      </c>
      <c r="B21891" t="str">
        <f>"1720017577"</f>
        <v>1720017577</v>
      </c>
      <c r="C21891" t="str">
        <f>"207V00000X"</f>
        <v>207V00000X</v>
      </c>
      <c r="D21891" t="str">
        <f>"TILLMANNS                TODD         D           "</f>
        <v xml:space="preserve">TILLMANNS                TODD         D           </v>
      </c>
      <c r="E21891" t="str">
        <f>"MEMPHIS                   "</f>
        <v xml:space="preserve">MEMPHIS                   </v>
      </c>
      <c r="F21891" t="str">
        <f t="shared" si="529"/>
        <v>TN</v>
      </c>
    </row>
    <row r="21892" spans="1:6" x14ac:dyDescent="0.25">
      <c r="A21892" t="str">
        <f>"002085055"</f>
        <v>002085055</v>
      </c>
      <c r="B21892" t="str">
        <f>"1427233196"</f>
        <v>1427233196</v>
      </c>
      <c r="C21892" t="str">
        <f>"207R00000X"</f>
        <v>207R00000X</v>
      </c>
      <c r="D21892" t="str">
        <f>"RAZA                     SHAHNILA                 "</f>
        <v xml:space="preserve">RAZA                     SHAHNILA                 </v>
      </c>
      <c r="E21892" t="str">
        <f>"GERMANTOWN                "</f>
        <v xml:space="preserve">GERMANTOWN                </v>
      </c>
      <c r="F21892" t="str">
        <f t="shared" si="529"/>
        <v>TN</v>
      </c>
    </row>
    <row r="21893" spans="1:6" x14ac:dyDescent="0.25">
      <c r="A21893" t="str">
        <f>"002089052"</f>
        <v>002089052</v>
      </c>
      <c r="B21893" t="str">
        <f>"1679599922"</f>
        <v>1679599922</v>
      </c>
      <c r="C21893" t="str">
        <f>"207R00000X"</f>
        <v>207R00000X</v>
      </c>
      <c r="D21893" t="str">
        <f>"MIRZA                    IMRAN                    "</f>
        <v xml:space="preserve">MIRZA                    IMRAN                    </v>
      </c>
      <c r="E21893" t="str">
        <f>"MEMPHIS                   "</f>
        <v xml:space="preserve">MEMPHIS                   </v>
      </c>
      <c r="F21893" t="str">
        <f t="shared" si="529"/>
        <v>TN</v>
      </c>
    </row>
    <row r="21894" spans="1:6" x14ac:dyDescent="0.25">
      <c r="A21894" t="str">
        <f>"002089211"</f>
        <v>002089211</v>
      </c>
      <c r="B21894" t="str">
        <f>"1164818654"</f>
        <v>1164818654</v>
      </c>
      <c r="C21894" t="str">
        <f>"207X00000X"</f>
        <v>207X00000X</v>
      </c>
      <c r="D21894" t="str">
        <f>"CAMPION                  CHAD         E           "</f>
        <v xml:space="preserve">CAMPION                  CHAD         E           </v>
      </c>
      <c r="E21894" t="str">
        <f>"GERMANTOWN                "</f>
        <v xml:space="preserve">GERMANTOWN                </v>
      </c>
      <c r="F21894" t="str">
        <f t="shared" si="529"/>
        <v>TN</v>
      </c>
    </row>
    <row r="21895" spans="1:6" x14ac:dyDescent="0.25">
      <c r="A21895" t="str">
        <f>"002102774"</f>
        <v>002102774</v>
      </c>
      <c r="B21895" t="str">
        <f>"1730568650"</f>
        <v>1730568650</v>
      </c>
      <c r="C21895" t="str">
        <f>"363LP0200X"</f>
        <v>363LP0200X</v>
      </c>
      <c r="D21895" t="str">
        <f>"BURKE                    ERIN         N           "</f>
        <v xml:space="preserve">BURKE                    ERIN         N           </v>
      </c>
      <c r="E21895" t="str">
        <f>"MEMPHIS                   "</f>
        <v xml:space="preserve">MEMPHIS                   </v>
      </c>
      <c r="F21895" t="str">
        <f t="shared" si="529"/>
        <v>TN</v>
      </c>
    </row>
    <row r="21896" spans="1:6" x14ac:dyDescent="0.25">
      <c r="A21896" t="str">
        <f>"002128297"</f>
        <v>002128297</v>
      </c>
      <c r="B21896" t="str">
        <f>"1457672313"</f>
        <v>1457672313</v>
      </c>
      <c r="C21896" t="str">
        <f>"208000000X"</f>
        <v>208000000X</v>
      </c>
      <c r="D21896" t="str">
        <f>"SANDERS                  CATHERINE    D           "</f>
        <v xml:space="preserve">SANDERS                  CATHERINE    D           </v>
      </c>
      <c r="E21896" t="str">
        <f>"MEMPHIS                   "</f>
        <v xml:space="preserve">MEMPHIS                   </v>
      </c>
      <c r="F21896" t="str">
        <f t="shared" si="529"/>
        <v>TN</v>
      </c>
    </row>
    <row r="21897" spans="1:6" x14ac:dyDescent="0.25">
      <c r="A21897" t="str">
        <f>"002130229"</f>
        <v>002130229</v>
      </c>
      <c r="B21897" t="str">
        <f>"1689684839"</f>
        <v>1689684839</v>
      </c>
      <c r="C21897" t="str">
        <f>"2080P0206X"</f>
        <v>2080P0206X</v>
      </c>
      <c r="D21897" t="str">
        <f>"IFEADIKE                 WALTER       C           "</f>
        <v xml:space="preserve">IFEADIKE                 WALTER       C           </v>
      </c>
      <c r="E21897" t="str">
        <f>"MEMPHIS                   "</f>
        <v xml:space="preserve">MEMPHIS                   </v>
      </c>
      <c r="F21897" t="str">
        <f t="shared" si="529"/>
        <v>TN</v>
      </c>
    </row>
    <row r="21898" spans="1:6" x14ac:dyDescent="0.25">
      <c r="A21898" t="str">
        <f>"002133077"</f>
        <v>002133077</v>
      </c>
      <c r="B21898" t="str">
        <f>"1962402487"</f>
        <v>1962402487</v>
      </c>
      <c r="C21898" t="str">
        <f>"207RC0000X"</f>
        <v>207RC0000X</v>
      </c>
      <c r="D21898" t="str">
        <f>"SMITHERS                 MAUREEN      A           "</f>
        <v xml:space="preserve">SMITHERS                 MAUREEN      A           </v>
      </c>
      <c r="E21898" t="str">
        <f>"GERMANTOWN                "</f>
        <v xml:space="preserve">GERMANTOWN                </v>
      </c>
      <c r="F21898" t="str">
        <f t="shared" si="529"/>
        <v>TN</v>
      </c>
    </row>
    <row r="21899" spans="1:6" x14ac:dyDescent="0.25">
      <c r="A21899" t="str">
        <f>"002134552"</f>
        <v>002134552</v>
      </c>
      <c r="B21899" t="str">
        <f>"1629469564"</f>
        <v>1629469564</v>
      </c>
      <c r="C21899" t="str">
        <f>"363L00000X"</f>
        <v>363L00000X</v>
      </c>
      <c r="D21899" t="str">
        <f>"JONES                    KIMBERLY     T           "</f>
        <v xml:space="preserve">JONES                    KIMBERLY     T           </v>
      </c>
      <c r="E21899" t="str">
        <f>"GERMANTOWN                "</f>
        <v xml:space="preserve">GERMANTOWN                </v>
      </c>
      <c r="F21899" t="str">
        <f t="shared" si="529"/>
        <v>TN</v>
      </c>
    </row>
    <row r="21900" spans="1:6" x14ac:dyDescent="0.25">
      <c r="A21900" t="str">
        <f>"002154263"</f>
        <v>002154263</v>
      </c>
      <c r="B21900" t="str">
        <f>"1326096066"</f>
        <v>1326096066</v>
      </c>
      <c r="C21900" t="str">
        <f>"363A00000X"</f>
        <v>363A00000X</v>
      </c>
      <c r="D21900" t="str">
        <f>"SHELTON                  SUSAN        S           "</f>
        <v xml:space="preserve">SHELTON                  SUSAN        S           </v>
      </c>
      <c r="E21900" t="str">
        <f>"MEMPHIS                   "</f>
        <v xml:space="preserve">MEMPHIS                   </v>
      </c>
      <c r="F21900" t="str">
        <f t="shared" si="529"/>
        <v>TN</v>
      </c>
    </row>
    <row r="21901" spans="1:6" x14ac:dyDescent="0.25">
      <c r="A21901" t="str">
        <f>"002157316"</f>
        <v>002157316</v>
      </c>
      <c r="B21901" t="str">
        <f>"1841293545"</f>
        <v>1841293545</v>
      </c>
      <c r="C21901" t="str">
        <f>"2080P0207X"</f>
        <v>2080P0207X</v>
      </c>
      <c r="D21901" t="str">
        <f>"REISS                    ULRIKE       M           "</f>
        <v xml:space="preserve">REISS                    ULRIKE       M           </v>
      </c>
      <c r="E21901" t="str">
        <f>"MEMPHIS                   "</f>
        <v xml:space="preserve">MEMPHIS                   </v>
      </c>
      <c r="F21901" t="str">
        <f t="shared" si="529"/>
        <v>TN</v>
      </c>
    </row>
    <row r="21902" spans="1:6" x14ac:dyDescent="0.25">
      <c r="A21902" t="str">
        <f>"002159813"</f>
        <v>002159813</v>
      </c>
      <c r="B21902" t="str">
        <f>"1518014307"</f>
        <v>1518014307</v>
      </c>
      <c r="C21902" t="str">
        <f>"207RH0003X"</f>
        <v>207RH0003X</v>
      </c>
      <c r="D21902" t="str">
        <f>"HARRIS JR                LEONARD      J           "</f>
        <v xml:space="preserve">HARRIS JR                LEONARD      J           </v>
      </c>
      <c r="E21902" t="str">
        <f>"GERMANTOWN                "</f>
        <v xml:space="preserve">GERMANTOWN                </v>
      </c>
      <c r="F21902" t="str">
        <f t="shared" si="529"/>
        <v>TN</v>
      </c>
    </row>
    <row r="21903" spans="1:6" x14ac:dyDescent="0.25">
      <c r="A21903" t="str">
        <f>"002178020"</f>
        <v>002178020</v>
      </c>
      <c r="B21903" t="str">
        <f>"1558659078"</f>
        <v>1558659078</v>
      </c>
      <c r="C21903" t="str">
        <f>"2085P0229X"</f>
        <v>2085P0229X</v>
      </c>
      <c r="D21903" t="str">
        <f>"LEE DIAZ                 JORGE        A           "</f>
        <v xml:space="preserve">LEE DIAZ                 JORGE        A           </v>
      </c>
      <c r="E21903" t="str">
        <f t="shared" ref="E21903:E21909" si="530">"MEMPHIS                   "</f>
        <v xml:space="preserve">MEMPHIS                   </v>
      </c>
      <c r="F21903" t="str">
        <f t="shared" si="529"/>
        <v>TN</v>
      </c>
    </row>
    <row r="21904" spans="1:6" x14ac:dyDescent="0.25">
      <c r="A21904" t="str">
        <f>"002233879"</f>
        <v>002233879</v>
      </c>
      <c r="B21904" t="str">
        <f>"1023376878"</f>
        <v>1023376878</v>
      </c>
      <c r="C21904" t="str">
        <f>"207R00000X"</f>
        <v>207R00000X</v>
      </c>
      <c r="D21904" t="str">
        <f>"WILLIAMS                 DAVID        I           "</f>
        <v xml:space="preserve">WILLIAMS                 DAVID        I           </v>
      </c>
      <c r="E21904" t="str">
        <f t="shared" si="530"/>
        <v xml:space="preserve">MEMPHIS                   </v>
      </c>
      <c r="F21904" t="str">
        <f t="shared" si="529"/>
        <v>TN</v>
      </c>
    </row>
    <row r="21905" spans="1:6" x14ac:dyDescent="0.25">
      <c r="A21905" t="str">
        <f>"002273538"</f>
        <v>002273538</v>
      </c>
      <c r="B21905" t="str">
        <f>"1518321025"</f>
        <v>1518321025</v>
      </c>
      <c r="C21905" t="str">
        <f>"208000000X"</f>
        <v>208000000X</v>
      </c>
      <c r="D21905" t="str">
        <f>"DYE                      ALYSSA                   "</f>
        <v xml:space="preserve">DYE                      ALYSSA                   </v>
      </c>
      <c r="E21905" t="str">
        <f t="shared" si="530"/>
        <v xml:space="preserve">MEMPHIS                   </v>
      </c>
      <c r="F21905" t="str">
        <f t="shared" si="529"/>
        <v>TN</v>
      </c>
    </row>
    <row r="21906" spans="1:6" x14ac:dyDescent="0.25">
      <c r="A21906" t="str">
        <f>"002274367"</f>
        <v>002274367</v>
      </c>
      <c r="B21906" t="str">
        <f>"1790733822"</f>
        <v>1790733822</v>
      </c>
      <c r="C21906" t="str">
        <f>"2085R0202X"</f>
        <v>2085R0202X</v>
      </c>
      <c r="D21906" t="str">
        <f>"SULLIVAN                 SCOTT        J           "</f>
        <v xml:space="preserve">SULLIVAN                 SCOTT        J           </v>
      </c>
      <c r="E21906" t="str">
        <f t="shared" si="530"/>
        <v xml:space="preserve">MEMPHIS                   </v>
      </c>
      <c r="F21906" t="str">
        <f t="shared" si="529"/>
        <v>TN</v>
      </c>
    </row>
    <row r="21907" spans="1:6" x14ac:dyDescent="0.25">
      <c r="A21907" t="str">
        <f>"002285035"</f>
        <v>002285035</v>
      </c>
      <c r="B21907" t="str">
        <f>"1942842752"</f>
        <v>1942842752</v>
      </c>
      <c r="C21907" t="str">
        <f>"363L00000X"</f>
        <v>363L00000X</v>
      </c>
      <c r="D21907" t="str">
        <f>"MARY JACOB               ANJANA                   "</f>
        <v xml:space="preserve">MARY JACOB               ANJANA                   </v>
      </c>
      <c r="E21907" t="str">
        <f t="shared" si="530"/>
        <v xml:space="preserve">MEMPHIS                   </v>
      </c>
      <c r="F21907" t="str">
        <f t="shared" si="529"/>
        <v>TN</v>
      </c>
    </row>
    <row r="21908" spans="1:6" x14ac:dyDescent="0.25">
      <c r="A21908" t="str">
        <f>"002303804"</f>
        <v>002303804</v>
      </c>
      <c r="B21908" t="str">
        <f>"1265651830"</f>
        <v>1265651830</v>
      </c>
      <c r="C21908" t="str">
        <f>"2080P0203X"</f>
        <v>2080P0203X</v>
      </c>
      <c r="D21908" t="str">
        <f>"GHAFOOR                  SAAD                     "</f>
        <v xml:space="preserve">GHAFOOR                  SAAD                     </v>
      </c>
      <c r="E21908" t="str">
        <f t="shared" si="530"/>
        <v xml:space="preserve">MEMPHIS                   </v>
      </c>
      <c r="F21908" t="str">
        <f t="shared" si="529"/>
        <v>TN</v>
      </c>
    </row>
    <row r="21909" spans="1:6" x14ac:dyDescent="0.25">
      <c r="A21909" t="str">
        <f>"002325545"</f>
        <v>002325545</v>
      </c>
      <c r="B21909" t="str">
        <f>"1649880691"</f>
        <v>1649880691</v>
      </c>
      <c r="C21909" t="str">
        <f>"363LA2100X"</f>
        <v>363LA2100X</v>
      </c>
      <c r="D21909" t="str">
        <f>"LOVE                     RACHAEL      H           "</f>
        <v xml:space="preserve">LOVE                     RACHAEL      H           </v>
      </c>
      <c r="E21909" t="str">
        <f t="shared" si="530"/>
        <v xml:space="preserve">MEMPHIS                   </v>
      </c>
      <c r="F21909" t="str">
        <f t="shared" si="529"/>
        <v>TN</v>
      </c>
    </row>
    <row r="21910" spans="1:6" x14ac:dyDescent="0.25">
      <c r="A21910" t="str">
        <f>"002329046"</f>
        <v>002329046</v>
      </c>
      <c r="B21910" t="str">
        <f>"1245628148"</f>
        <v>1245628148</v>
      </c>
      <c r="C21910" t="str">
        <f>"363A00000X"</f>
        <v>363A00000X</v>
      </c>
      <c r="D21910" t="str">
        <f>"WHEELER                  ELIZABETH    M           "</f>
        <v xml:space="preserve">WHEELER                  ELIZABETH    M           </v>
      </c>
      <c r="E21910" t="str">
        <f>"GERMANTOWN                "</f>
        <v xml:space="preserve">GERMANTOWN                </v>
      </c>
      <c r="F21910" t="str">
        <f t="shared" si="529"/>
        <v>TN</v>
      </c>
    </row>
    <row r="21911" spans="1:6" x14ac:dyDescent="0.25">
      <c r="A21911" t="str">
        <f>"002332770"</f>
        <v>002332770</v>
      </c>
      <c r="B21911" t="str">
        <f>"1538116389"</f>
        <v>1538116389</v>
      </c>
      <c r="C21911" t="str">
        <f>"363L00000X"</f>
        <v>363L00000X</v>
      </c>
      <c r="D21911" t="str">
        <f>"PICKFORD                 KISHA                    "</f>
        <v xml:space="preserve">PICKFORD                 KISHA                    </v>
      </c>
      <c r="E21911" t="str">
        <f>"MEMPHIS                   "</f>
        <v xml:space="preserve">MEMPHIS                   </v>
      </c>
      <c r="F21911" t="str">
        <f t="shared" si="529"/>
        <v>TN</v>
      </c>
    </row>
    <row r="21912" spans="1:6" x14ac:dyDescent="0.25">
      <c r="A21912" t="str">
        <f>"002338208"</f>
        <v>002338208</v>
      </c>
      <c r="B21912" t="str">
        <f>"1457849929"</f>
        <v>1457849929</v>
      </c>
      <c r="C21912" t="str">
        <f>"363L00000X"</f>
        <v>363L00000X</v>
      </c>
      <c r="D21912" t="str">
        <f>"POUNDERS                 ASHLEY       J           "</f>
        <v xml:space="preserve">POUNDERS                 ASHLEY       J           </v>
      </c>
      <c r="E21912" t="str">
        <f>"GERMANTOWN                "</f>
        <v xml:space="preserve">GERMANTOWN                </v>
      </c>
      <c r="F21912" t="str">
        <f t="shared" si="529"/>
        <v>TN</v>
      </c>
    </row>
    <row r="21913" spans="1:6" x14ac:dyDescent="0.25">
      <c r="A21913" t="str">
        <f>"002351521"</f>
        <v>002351521</v>
      </c>
      <c r="B21913" t="str">
        <f>"1659417855"</f>
        <v>1659417855</v>
      </c>
      <c r="C21913" t="str">
        <f>"207RC0000X"</f>
        <v>207RC0000X</v>
      </c>
      <c r="D21913" t="str">
        <f>"INGELMO                  CHRISTOPHER  P           "</f>
        <v xml:space="preserve">INGELMO                  CHRISTOPHER  P           </v>
      </c>
      <c r="E21913" t="str">
        <f>"GERMANTOWN                "</f>
        <v xml:space="preserve">GERMANTOWN                </v>
      </c>
      <c r="F21913" t="str">
        <f t="shared" si="529"/>
        <v>TN</v>
      </c>
    </row>
    <row r="21914" spans="1:6" x14ac:dyDescent="0.25">
      <c r="A21914" t="str">
        <f>"002351891"</f>
        <v>002351891</v>
      </c>
      <c r="B21914" t="str">
        <f>"1972980969"</f>
        <v>1972980969</v>
      </c>
      <c r="C21914" t="str">
        <f>"207R00000X"</f>
        <v>207R00000X</v>
      </c>
      <c r="D21914" t="str">
        <f>"LAGOS SAEZ               JAMES        E           "</f>
        <v xml:space="preserve">LAGOS SAEZ               JAMES        E           </v>
      </c>
      <c r="E21914" t="str">
        <f>"MEMPHIS                   "</f>
        <v xml:space="preserve">MEMPHIS                   </v>
      </c>
      <c r="F21914" t="str">
        <f t="shared" si="529"/>
        <v>TN</v>
      </c>
    </row>
    <row r="21915" spans="1:6" x14ac:dyDescent="0.25">
      <c r="A21915" t="str">
        <f>"002358336"</f>
        <v>002358336</v>
      </c>
      <c r="B21915" t="str">
        <f>"1841503059"</f>
        <v>1841503059</v>
      </c>
      <c r="C21915" t="str">
        <f>"2080P0210X"</f>
        <v>2080P0210X</v>
      </c>
      <c r="D21915" t="str">
        <f>"ZAHR                     RIMA                     "</f>
        <v xml:space="preserve">ZAHR                     RIMA                     </v>
      </c>
      <c r="E21915" t="str">
        <f>"MEMPHIS                   "</f>
        <v xml:space="preserve">MEMPHIS                   </v>
      </c>
      <c r="F21915" t="str">
        <f t="shared" si="529"/>
        <v>TN</v>
      </c>
    </row>
    <row r="21916" spans="1:6" x14ac:dyDescent="0.25">
      <c r="A21916" t="str">
        <f>"002383341"</f>
        <v>002383341</v>
      </c>
      <c r="B21916" t="str">
        <f>"1164749255"</f>
        <v>1164749255</v>
      </c>
      <c r="C21916" t="str">
        <f>"208C00000X"</f>
        <v>208C00000X</v>
      </c>
      <c r="D21916" t="str">
        <f>"HINKLE                   NATHAN       M           "</f>
        <v xml:space="preserve">HINKLE                   NATHAN       M           </v>
      </c>
      <c r="E21916" t="str">
        <f>"GERMANTOWN                "</f>
        <v xml:space="preserve">GERMANTOWN                </v>
      </c>
      <c r="F21916" t="str">
        <f t="shared" si="529"/>
        <v>TN</v>
      </c>
    </row>
    <row r="21917" spans="1:6" x14ac:dyDescent="0.25">
      <c r="A21917" t="str">
        <f>"002384050"</f>
        <v>002384050</v>
      </c>
      <c r="B21917" t="str">
        <f>"1770996787"</f>
        <v>1770996787</v>
      </c>
      <c r="C21917" t="str">
        <f>"363L00000X"</f>
        <v>363L00000X</v>
      </c>
      <c r="D21917" t="str">
        <f>"LOGUE                    CATHY        T           "</f>
        <v xml:space="preserve">LOGUE                    CATHY        T           </v>
      </c>
      <c r="E21917" t="str">
        <f>"GERMANTOWN                "</f>
        <v xml:space="preserve">GERMANTOWN                </v>
      </c>
      <c r="F21917" t="str">
        <f t="shared" si="529"/>
        <v>TN</v>
      </c>
    </row>
    <row r="21918" spans="1:6" x14ac:dyDescent="0.25">
      <c r="A21918" t="str">
        <f>"002387390"</f>
        <v>002387390</v>
      </c>
      <c r="B21918" t="str">
        <f>"1669439923"</f>
        <v>1669439923</v>
      </c>
      <c r="C21918" t="str">
        <f>"207V00000X"</f>
        <v>207V00000X</v>
      </c>
      <c r="D21918" t="str">
        <f>"SCHORGE                  JOHN         O           "</f>
        <v xml:space="preserve">SCHORGE                  JOHN         O           </v>
      </c>
      <c r="E21918" t="str">
        <f>"MEMPHIS                   "</f>
        <v xml:space="preserve">MEMPHIS                   </v>
      </c>
      <c r="F21918" t="str">
        <f t="shared" si="529"/>
        <v>TN</v>
      </c>
    </row>
    <row r="21919" spans="1:6" x14ac:dyDescent="0.25">
      <c r="A21919" t="str">
        <f>"002400253"</f>
        <v>002400253</v>
      </c>
      <c r="B21919" t="str">
        <f>"1376565515"</f>
        <v>1376565515</v>
      </c>
      <c r="C21919" t="str">
        <f>"363LF0000X"</f>
        <v>363LF0000X</v>
      </c>
      <c r="D21919" t="str">
        <f>"HINES-DOWELL             STACY                    "</f>
        <v xml:space="preserve">HINES-DOWELL             STACY                    </v>
      </c>
      <c r="E21919" t="str">
        <f>"MEMPHIS                   "</f>
        <v xml:space="preserve">MEMPHIS                   </v>
      </c>
      <c r="F21919" t="str">
        <f t="shared" si="529"/>
        <v>TN</v>
      </c>
    </row>
    <row r="21920" spans="1:6" x14ac:dyDescent="0.25">
      <c r="A21920" t="str">
        <f>"002420819"</f>
        <v>002420819</v>
      </c>
      <c r="B21920" t="str">
        <f>"1699707398"</f>
        <v>1699707398</v>
      </c>
      <c r="C21920" t="str">
        <f>"2085R0202X"</f>
        <v>2085R0202X</v>
      </c>
      <c r="D21920" t="str">
        <f>"SALLEE                   DAVID        C           "</f>
        <v xml:space="preserve">SALLEE                   DAVID        C           </v>
      </c>
      <c r="E21920" t="str">
        <f>"MEMPHIS                   "</f>
        <v xml:space="preserve">MEMPHIS                   </v>
      </c>
      <c r="F21920" t="str">
        <f t="shared" si="529"/>
        <v>TN</v>
      </c>
    </row>
    <row r="21921" spans="1:6" x14ac:dyDescent="0.25">
      <c r="A21921" t="str">
        <f>"002426811"</f>
        <v>002426811</v>
      </c>
      <c r="B21921" t="str">
        <f>"1174544811"</f>
        <v>1174544811</v>
      </c>
      <c r="C21921" t="str">
        <f>"208000000X"</f>
        <v>208000000X</v>
      </c>
      <c r="D21921" t="str">
        <f>"HASTINGS                 MARGARET     C           "</f>
        <v xml:space="preserve">HASTINGS                 MARGARET     C           </v>
      </c>
      <c r="E21921" t="str">
        <f>"MEMPHIS                   "</f>
        <v xml:space="preserve">MEMPHIS                   </v>
      </c>
      <c r="F21921" t="str">
        <f t="shared" si="529"/>
        <v>TN</v>
      </c>
    </row>
    <row r="21922" spans="1:6" x14ac:dyDescent="0.25">
      <c r="A21922" t="str">
        <f>"002428760"</f>
        <v>002428760</v>
      </c>
      <c r="B21922" t="str">
        <f>"1407364110"</f>
        <v>1407364110</v>
      </c>
      <c r="C21922" t="str">
        <f>"363A00000X"</f>
        <v>363A00000X</v>
      </c>
      <c r="D21922" t="str">
        <f>"BOYD                     ELISE                    "</f>
        <v xml:space="preserve">BOYD                     ELISE                    </v>
      </c>
      <c r="E21922" t="str">
        <f>"MEMPHIS                   "</f>
        <v xml:space="preserve">MEMPHIS                   </v>
      </c>
      <c r="F21922" t="str">
        <f t="shared" si="529"/>
        <v>TN</v>
      </c>
    </row>
    <row r="21923" spans="1:6" x14ac:dyDescent="0.25">
      <c r="A21923" t="str">
        <f>"002434756"</f>
        <v>002434756</v>
      </c>
      <c r="B21923" t="str">
        <f>"1366929960"</f>
        <v>1366929960</v>
      </c>
      <c r="C21923" t="str">
        <f>"363L00000X"</f>
        <v>363L00000X</v>
      </c>
      <c r="D21923" t="str">
        <f>"ORIANS                   MARY         G           "</f>
        <v xml:space="preserve">ORIANS                   MARY         G           </v>
      </c>
      <c r="E21923" t="str">
        <f>"GERMANTOWN                "</f>
        <v xml:space="preserve">GERMANTOWN                </v>
      </c>
      <c r="F21923" t="str">
        <f t="shared" si="529"/>
        <v>TN</v>
      </c>
    </row>
    <row r="21924" spans="1:6" x14ac:dyDescent="0.25">
      <c r="A21924" t="str">
        <f>"002434891"</f>
        <v>002434891</v>
      </c>
      <c r="B21924" t="str">
        <f>"1588019194"</f>
        <v>1588019194</v>
      </c>
      <c r="C21924" t="str">
        <f>"207R00000X"</f>
        <v>207R00000X</v>
      </c>
      <c r="D21924" t="str">
        <f>"GIBBS                    DAYNA        E           "</f>
        <v xml:space="preserve">GIBBS                    DAYNA        E           </v>
      </c>
      <c r="E21924" t="str">
        <f>"MEMPHIS                   "</f>
        <v xml:space="preserve">MEMPHIS                   </v>
      </c>
      <c r="F21924" t="str">
        <f t="shared" si="529"/>
        <v>TN</v>
      </c>
    </row>
    <row r="21925" spans="1:6" x14ac:dyDescent="0.25">
      <c r="A21925" t="str">
        <f>"002438506"</f>
        <v>002438506</v>
      </c>
      <c r="B21925" t="str">
        <f>"1629562194"</f>
        <v>1629562194</v>
      </c>
      <c r="C21925" t="str">
        <f>"363L00000X"</f>
        <v>363L00000X</v>
      </c>
      <c r="D21925" t="str">
        <f>"WILLIAMS                 EBONY        L           "</f>
        <v xml:space="preserve">WILLIAMS                 EBONY        L           </v>
      </c>
      <c r="E21925" t="str">
        <f>"MEMPHIS                   "</f>
        <v xml:space="preserve">MEMPHIS                   </v>
      </c>
      <c r="F21925" t="str">
        <f t="shared" si="529"/>
        <v>TN</v>
      </c>
    </row>
    <row r="21926" spans="1:6" x14ac:dyDescent="0.25">
      <c r="A21926" t="str">
        <f>"002451519"</f>
        <v>002451519</v>
      </c>
      <c r="B21926" t="str">
        <f>"1871937870"</f>
        <v>1871937870</v>
      </c>
      <c r="C21926" t="str">
        <f>"207W00000X"</f>
        <v>207W00000X</v>
      </c>
      <c r="D21926" t="str">
        <f>"KING                     BENJAMIN     A           "</f>
        <v xml:space="preserve">KING                     BENJAMIN     A           </v>
      </c>
      <c r="E21926" t="str">
        <f>"MEMPHIS                   "</f>
        <v xml:space="preserve">MEMPHIS                   </v>
      </c>
      <c r="F21926" t="str">
        <f t="shared" si="529"/>
        <v>TN</v>
      </c>
    </row>
    <row r="21927" spans="1:6" x14ac:dyDescent="0.25">
      <c r="A21927" t="str">
        <f>"002457006"</f>
        <v>002457006</v>
      </c>
      <c r="B21927" t="str">
        <f>"1699323410"</f>
        <v>1699323410</v>
      </c>
      <c r="C21927" t="str">
        <f>"363L00000X"</f>
        <v>363L00000X</v>
      </c>
      <c r="D21927" t="str">
        <f>"CRAWFORD                 TEAIRE       L           "</f>
        <v xml:space="preserve">CRAWFORD                 TEAIRE       L           </v>
      </c>
      <c r="E21927" t="str">
        <f>"MEMPHIS                   "</f>
        <v xml:space="preserve">MEMPHIS                   </v>
      </c>
      <c r="F21927" t="str">
        <f t="shared" si="529"/>
        <v>TN</v>
      </c>
    </row>
    <row r="21928" spans="1:6" x14ac:dyDescent="0.25">
      <c r="A21928" t="str">
        <f>"002471206"</f>
        <v>002471206</v>
      </c>
      <c r="B21928" t="str">
        <f>"1386090520"</f>
        <v>1386090520</v>
      </c>
      <c r="C21928" t="str">
        <f>"207P00000X"</f>
        <v>207P00000X</v>
      </c>
      <c r="D21928" t="str">
        <f>"GUERRA                   JUAN                     "</f>
        <v xml:space="preserve">GUERRA                   JUAN                     </v>
      </c>
      <c r="E21928" t="str">
        <f>"GERMANTOWN                "</f>
        <v xml:space="preserve">GERMANTOWN                </v>
      </c>
      <c r="F21928" t="str">
        <f t="shared" si="529"/>
        <v>TN</v>
      </c>
    </row>
    <row r="21929" spans="1:6" x14ac:dyDescent="0.25">
      <c r="A21929" t="str">
        <f>"002472725"</f>
        <v>002472725</v>
      </c>
      <c r="B21929" t="str">
        <f>"1265887467"</f>
        <v>1265887467</v>
      </c>
      <c r="C21929" t="str">
        <f>"2080P0207X"</f>
        <v>2080P0207X</v>
      </c>
      <c r="D21929" t="str">
        <f>"BAGCHI                   ADITI                    "</f>
        <v xml:space="preserve">BAGCHI                   ADITI                    </v>
      </c>
      <c r="E21929" t="str">
        <f>"MEMPHIS                   "</f>
        <v xml:space="preserve">MEMPHIS                   </v>
      </c>
      <c r="F21929" t="str">
        <f t="shared" si="529"/>
        <v>TN</v>
      </c>
    </row>
    <row r="21930" spans="1:6" x14ac:dyDescent="0.25">
      <c r="A21930" t="str">
        <f>"002475055"</f>
        <v>002475055</v>
      </c>
      <c r="B21930" t="str">
        <f>"1104368406"</f>
        <v>1104368406</v>
      </c>
      <c r="C21930" t="str">
        <f>"363L00000X"</f>
        <v>363L00000X</v>
      </c>
      <c r="D21930" t="str">
        <f>"KNIGHT                   VENESTER                 "</f>
        <v xml:space="preserve">KNIGHT                   VENESTER                 </v>
      </c>
      <c r="E21930" t="str">
        <f>"MEMPHIS                   "</f>
        <v xml:space="preserve">MEMPHIS                   </v>
      </c>
      <c r="F21930" t="str">
        <f t="shared" si="529"/>
        <v>TN</v>
      </c>
    </row>
    <row r="21931" spans="1:6" x14ac:dyDescent="0.25">
      <c r="A21931" t="str">
        <f>"002481807"</f>
        <v>002481807</v>
      </c>
      <c r="B21931" t="str">
        <f>"1710188941"</f>
        <v>1710188941</v>
      </c>
      <c r="C21931" t="str">
        <f>"2080P0207X"</f>
        <v>2080P0207X</v>
      </c>
      <c r="D21931" t="str">
        <f>"SNIDER                   MARK         A           "</f>
        <v xml:space="preserve">SNIDER                   MARK         A           </v>
      </c>
      <c r="E21931" t="str">
        <f>"MEMPHIS                   "</f>
        <v xml:space="preserve">MEMPHIS                   </v>
      </c>
      <c r="F21931" t="str">
        <f t="shared" si="529"/>
        <v>TN</v>
      </c>
    </row>
    <row r="21932" spans="1:6" x14ac:dyDescent="0.25">
      <c r="A21932" t="str">
        <f>"002485575"</f>
        <v>002485575</v>
      </c>
      <c r="B21932" t="str">
        <f>"1326311150"</f>
        <v>1326311150</v>
      </c>
      <c r="C21932" t="str">
        <f>"367500000X"</f>
        <v>367500000X</v>
      </c>
      <c r="D21932" t="str">
        <f>"GILMER                   NICOLE                   "</f>
        <v xml:space="preserve">GILMER                   NICOLE                   </v>
      </c>
      <c r="E21932" t="str">
        <f>"MEMPHIS                   "</f>
        <v xml:space="preserve">MEMPHIS                   </v>
      </c>
      <c r="F21932" t="str">
        <f t="shared" si="529"/>
        <v>TN</v>
      </c>
    </row>
    <row r="21933" spans="1:6" x14ac:dyDescent="0.25">
      <c r="A21933" t="str">
        <f>"002507295"</f>
        <v>002507295</v>
      </c>
      <c r="B21933" t="str">
        <f>"1003137571"</f>
        <v>1003137571</v>
      </c>
      <c r="C21933" t="str">
        <f>"208000000X"</f>
        <v>208000000X</v>
      </c>
      <c r="D21933" t="str">
        <f>"HARSONO                  MIMILY                   "</f>
        <v xml:space="preserve">HARSONO                  MIMILY                   </v>
      </c>
      <c r="E21933" t="str">
        <f>"MEMPHIS                   "</f>
        <v xml:space="preserve">MEMPHIS                   </v>
      </c>
      <c r="F21933" t="str">
        <f t="shared" si="529"/>
        <v>TN</v>
      </c>
    </row>
    <row r="21934" spans="1:6" x14ac:dyDescent="0.25">
      <c r="A21934" t="str">
        <f>"002522298"</f>
        <v>002522298</v>
      </c>
      <c r="B21934" t="str">
        <f>"1659441889"</f>
        <v>1659441889</v>
      </c>
      <c r="C21934" t="str">
        <f>"208600000X"</f>
        <v>208600000X</v>
      </c>
      <c r="D21934" t="str">
        <f>"DUNAVANT                 WILLIAM      D           "</f>
        <v xml:space="preserve">DUNAVANT                 WILLIAM      D           </v>
      </c>
      <c r="E21934" t="str">
        <f>"COLLIERVILLE              "</f>
        <v xml:space="preserve">COLLIERVILLE              </v>
      </c>
      <c r="F21934" t="str">
        <f t="shared" si="529"/>
        <v>TN</v>
      </c>
    </row>
    <row r="21935" spans="1:6" x14ac:dyDescent="0.25">
      <c r="A21935" t="str">
        <f>"002528201"</f>
        <v>002528201</v>
      </c>
      <c r="B21935" t="str">
        <f>"1841666112"</f>
        <v>1841666112</v>
      </c>
      <c r="C21935" t="str">
        <f>"2084N0402X"</f>
        <v>2084N0402X</v>
      </c>
      <c r="D21935" t="str">
        <f>"GHOSH                    ANKITA                   "</f>
        <v xml:space="preserve">GHOSH                    ANKITA                   </v>
      </c>
      <c r="E21935" t="str">
        <f>"MEMPHIS                   "</f>
        <v xml:space="preserve">MEMPHIS                   </v>
      </c>
      <c r="F21935" t="str">
        <f t="shared" si="529"/>
        <v>TN</v>
      </c>
    </row>
    <row r="21936" spans="1:6" x14ac:dyDescent="0.25">
      <c r="A21936" t="str">
        <f>"002528269"</f>
        <v>002528269</v>
      </c>
      <c r="B21936" t="str">
        <f>"1568780153"</f>
        <v>1568780153</v>
      </c>
      <c r="C21936" t="str">
        <f>"208000000X"</f>
        <v>208000000X</v>
      </c>
      <c r="D21936" t="str">
        <f>"HYSMITH                  NICHOLAS     D           "</f>
        <v xml:space="preserve">HYSMITH                  NICHOLAS     D           </v>
      </c>
      <c r="E21936" t="str">
        <f>"MEMPHIS                   "</f>
        <v xml:space="preserve">MEMPHIS                   </v>
      </c>
      <c r="F21936" t="str">
        <f t="shared" si="529"/>
        <v>TN</v>
      </c>
    </row>
    <row r="21937" spans="1:6" x14ac:dyDescent="0.25">
      <c r="A21937" t="str">
        <f>"002532711"</f>
        <v>002532711</v>
      </c>
      <c r="B21937" t="str">
        <f>"1548902802"</f>
        <v>1548902802</v>
      </c>
      <c r="C21937" t="str">
        <f>"207Y00000X"</f>
        <v>207Y00000X</v>
      </c>
      <c r="D21937" t="str">
        <f>"RATMEYER                 PAUL                     "</f>
        <v xml:space="preserve">RATMEYER                 PAUL                     </v>
      </c>
      <c r="E21937" t="str">
        <f>"MEMPHIS                   "</f>
        <v xml:space="preserve">MEMPHIS                   </v>
      </c>
      <c r="F21937" t="str">
        <f t="shared" si="529"/>
        <v>TN</v>
      </c>
    </row>
    <row r="21938" spans="1:6" x14ac:dyDescent="0.25">
      <c r="A21938" t="str">
        <f>"002551551"</f>
        <v>002551551</v>
      </c>
      <c r="B21938" t="str">
        <f>"1588641526"</f>
        <v>1588641526</v>
      </c>
      <c r="C21938" t="str">
        <f>"207RC0001X"</f>
        <v>207RC0001X</v>
      </c>
      <c r="D21938" t="str">
        <f>"LAN                      ZHIQIANG     D           "</f>
        <v xml:space="preserve">LAN                      ZHIQIANG     D           </v>
      </c>
      <c r="E21938" t="str">
        <f>"GERMANTOWN                "</f>
        <v xml:space="preserve">GERMANTOWN                </v>
      </c>
      <c r="F21938" t="str">
        <f t="shared" si="529"/>
        <v>TN</v>
      </c>
    </row>
    <row r="21939" spans="1:6" x14ac:dyDescent="0.25">
      <c r="A21939" t="str">
        <f>"002552011"</f>
        <v>002552011</v>
      </c>
      <c r="B21939" t="str">
        <f>"1215600143"</f>
        <v>1215600143</v>
      </c>
      <c r="C21939" t="str">
        <f>"363L00000X"</f>
        <v>363L00000X</v>
      </c>
      <c r="D21939" t="str">
        <f>"BEARD                    OLIVIA                   "</f>
        <v xml:space="preserve">BEARD                    OLIVIA                   </v>
      </c>
      <c r="E21939" t="str">
        <f>"MEMPHIS                   "</f>
        <v xml:space="preserve">MEMPHIS                   </v>
      </c>
      <c r="F21939" t="str">
        <f t="shared" si="529"/>
        <v>TN</v>
      </c>
    </row>
    <row r="21940" spans="1:6" x14ac:dyDescent="0.25">
      <c r="A21940" t="str">
        <f>"002556281"</f>
        <v>002556281</v>
      </c>
      <c r="B21940" t="str">
        <f>"1023655461"</f>
        <v>1023655461</v>
      </c>
      <c r="C21940" t="str">
        <f>"363LF0000X"</f>
        <v>363LF0000X</v>
      </c>
      <c r="D21940" t="str">
        <f>"MCTYRE                   ASHLEY       G           "</f>
        <v xml:space="preserve">MCTYRE                   ASHLEY       G           </v>
      </c>
      <c r="E21940" t="str">
        <f>"MEMPHIS                   "</f>
        <v xml:space="preserve">MEMPHIS                   </v>
      </c>
      <c r="F21940" t="str">
        <f t="shared" si="529"/>
        <v>TN</v>
      </c>
    </row>
    <row r="21941" spans="1:6" x14ac:dyDescent="0.25">
      <c r="A21941" t="str">
        <f>"002559273"</f>
        <v>002559273</v>
      </c>
      <c r="B21941" t="str">
        <f>"1114055845"</f>
        <v>1114055845</v>
      </c>
      <c r="C21941" t="str">
        <f>"207Q00000X"</f>
        <v>207Q00000X</v>
      </c>
      <c r="D21941" t="str">
        <f>"CAMPFIELD                BRETT        A           "</f>
        <v xml:space="preserve">CAMPFIELD                BRETT        A           </v>
      </c>
      <c r="E21941" t="str">
        <f>"COLLIERVILLE              "</f>
        <v xml:space="preserve">COLLIERVILLE              </v>
      </c>
      <c r="F21941" t="str">
        <f t="shared" si="529"/>
        <v>TN</v>
      </c>
    </row>
    <row r="21942" spans="1:6" x14ac:dyDescent="0.25">
      <c r="A21942" t="str">
        <f>"002572806"</f>
        <v>002572806</v>
      </c>
      <c r="B21942" t="str">
        <f>"1023787280"</f>
        <v>1023787280</v>
      </c>
      <c r="C21942" t="str">
        <f>"363A00000X"</f>
        <v>363A00000X</v>
      </c>
      <c r="D21942" t="str">
        <f>"BARNES                   JEOVANNI                 "</f>
        <v xml:space="preserve">BARNES                   JEOVANNI                 </v>
      </c>
      <c r="E21942" t="str">
        <f>"MEMPHIS                   "</f>
        <v xml:space="preserve">MEMPHIS                   </v>
      </c>
      <c r="F21942" t="str">
        <f t="shared" si="529"/>
        <v>TN</v>
      </c>
    </row>
    <row r="21943" spans="1:6" x14ac:dyDescent="0.25">
      <c r="A21943" t="str">
        <f>"002579520"</f>
        <v>002579520</v>
      </c>
      <c r="B21943" t="str">
        <f>"1669890935"</f>
        <v>1669890935</v>
      </c>
      <c r="C21943" t="str">
        <f>"207ZP0102X"</f>
        <v>207ZP0102X</v>
      </c>
      <c r="D21943" t="str">
        <f>"MURRAY                   GLENN                    "</f>
        <v xml:space="preserve">MURRAY                   GLENN                    </v>
      </c>
      <c r="E21943" t="str">
        <f>"MEMPHIS                   "</f>
        <v xml:space="preserve">MEMPHIS                   </v>
      </c>
      <c r="F21943" t="str">
        <f t="shared" si="529"/>
        <v>TN</v>
      </c>
    </row>
    <row r="21944" spans="1:6" x14ac:dyDescent="0.25">
      <c r="A21944" t="str">
        <f>"002580828"</f>
        <v>002580828</v>
      </c>
      <c r="B21944" t="str">
        <f>"1235524224"</f>
        <v>1235524224</v>
      </c>
      <c r="C21944" t="str">
        <f>"207ZP0102X"</f>
        <v>207ZP0102X</v>
      </c>
      <c r="D21944" t="str">
        <f>"LEE                      JULIEANN     C           "</f>
        <v xml:space="preserve">LEE                      JULIEANN     C           </v>
      </c>
      <c r="E21944" t="str">
        <f>"MEMPHIS                   "</f>
        <v xml:space="preserve">MEMPHIS                   </v>
      </c>
      <c r="F21944" t="str">
        <f t="shared" si="529"/>
        <v>TN</v>
      </c>
    </row>
    <row r="21945" spans="1:6" x14ac:dyDescent="0.25">
      <c r="A21945" t="str">
        <f>"002601706"</f>
        <v>002601706</v>
      </c>
      <c r="B21945" t="str">
        <f>"1861001794"</f>
        <v>1861001794</v>
      </c>
      <c r="C21945" t="str">
        <f>"363L00000X"</f>
        <v>363L00000X</v>
      </c>
      <c r="D21945" t="str">
        <f>"HAM                      STEPHANIE    L           "</f>
        <v xml:space="preserve">HAM                      STEPHANIE    L           </v>
      </c>
      <c r="E21945" t="str">
        <f>"GERMANTOWN                "</f>
        <v xml:space="preserve">GERMANTOWN                </v>
      </c>
      <c r="F21945" t="str">
        <f t="shared" si="529"/>
        <v>TN</v>
      </c>
    </row>
    <row r="21946" spans="1:6" x14ac:dyDescent="0.25">
      <c r="A21946" t="str">
        <f>"002629389"</f>
        <v>002629389</v>
      </c>
      <c r="B21946" t="str">
        <f>"1083380620"</f>
        <v>1083380620</v>
      </c>
      <c r="C21946" t="str">
        <f>"363L00000X"</f>
        <v>363L00000X</v>
      </c>
      <c r="D21946" t="str">
        <f>"CHANDO                   DANIELLE     F           "</f>
        <v xml:space="preserve">CHANDO                   DANIELLE     F           </v>
      </c>
      <c r="E21946" t="str">
        <f>"GERMANTOWN                "</f>
        <v xml:space="preserve">GERMANTOWN                </v>
      </c>
      <c r="F21946" t="str">
        <f t="shared" si="529"/>
        <v>TN</v>
      </c>
    </row>
    <row r="21947" spans="1:6" x14ac:dyDescent="0.25">
      <c r="A21947" t="str">
        <f>"002634552"</f>
        <v>002634552</v>
      </c>
      <c r="B21947" t="str">
        <f>"1518490986"</f>
        <v>1518490986</v>
      </c>
      <c r="C21947" t="str">
        <f>"207R00000X"</f>
        <v>207R00000X</v>
      </c>
      <c r="D21947" t="str">
        <f>"BOMB                     KAVITA                   "</f>
        <v xml:space="preserve">BOMB                     KAVITA                   </v>
      </c>
      <c r="E21947" t="str">
        <f t="shared" ref="E21947:E21953" si="531">"MEMPHIS                   "</f>
        <v xml:space="preserve">MEMPHIS                   </v>
      </c>
      <c r="F21947" t="str">
        <f t="shared" si="529"/>
        <v>TN</v>
      </c>
    </row>
    <row r="21948" spans="1:6" x14ac:dyDescent="0.25">
      <c r="A21948" t="str">
        <f>"002637751"</f>
        <v>002637751</v>
      </c>
      <c r="B21948" t="str">
        <f>"1669799797"</f>
        <v>1669799797</v>
      </c>
      <c r="C21948" t="str">
        <f>"207R00000X"</f>
        <v>207R00000X</v>
      </c>
      <c r="D21948" t="str">
        <f>"KLEINMAN                 MICHAEL      S           "</f>
        <v xml:space="preserve">KLEINMAN                 MICHAEL      S           </v>
      </c>
      <c r="E21948" t="str">
        <f t="shared" si="531"/>
        <v xml:space="preserve">MEMPHIS                   </v>
      </c>
      <c r="F21948" t="str">
        <f t="shared" si="529"/>
        <v>TN</v>
      </c>
    </row>
    <row r="21949" spans="1:6" x14ac:dyDescent="0.25">
      <c r="A21949" t="str">
        <f>"002673294"</f>
        <v>002673294</v>
      </c>
      <c r="B21949" t="str">
        <f>"1285082412"</f>
        <v>1285082412</v>
      </c>
      <c r="C21949" t="str">
        <f>"207P00000X"</f>
        <v>207P00000X</v>
      </c>
      <c r="D21949" t="str">
        <f>"WARD                     HILLARY      H           "</f>
        <v xml:space="preserve">WARD                     HILLARY      H           </v>
      </c>
      <c r="E21949" t="str">
        <f t="shared" si="531"/>
        <v xml:space="preserve">MEMPHIS                   </v>
      </c>
      <c r="F21949" t="str">
        <f t="shared" si="529"/>
        <v>TN</v>
      </c>
    </row>
    <row r="21950" spans="1:6" x14ac:dyDescent="0.25">
      <c r="A21950" t="str">
        <f>"002675344"</f>
        <v>002675344</v>
      </c>
      <c r="B21950" t="str">
        <f>"1801187687"</f>
        <v>1801187687</v>
      </c>
      <c r="C21950" t="str">
        <f>"363LF0000X"</f>
        <v>363LF0000X</v>
      </c>
      <c r="D21950" t="str">
        <f>"BOALS                    MICHELLE     E           "</f>
        <v xml:space="preserve">BOALS                    MICHELLE     E           </v>
      </c>
      <c r="E21950" t="str">
        <f t="shared" si="531"/>
        <v xml:space="preserve">MEMPHIS                   </v>
      </c>
      <c r="F21950" t="str">
        <f t="shared" ref="F21950:F22013" si="532">"TN"</f>
        <v>TN</v>
      </c>
    </row>
    <row r="21951" spans="1:6" x14ac:dyDescent="0.25">
      <c r="A21951" t="str">
        <f>"002677855"</f>
        <v>002677855</v>
      </c>
      <c r="B21951" t="str">
        <f>"1912392572"</f>
        <v>1912392572</v>
      </c>
      <c r="C21951" t="str">
        <f>"2080N0001X"</f>
        <v>2080N0001X</v>
      </c>
      <c r="D21951" t="str">
        <f>"WILSON                   KEADREA      R           "</f>
        <v xml:space="preserve">WILSON                   KEADREA      R           </v>
      </c>
      <c r="E21951" t="str">
        <f t="shared" si="531"/>
        <v xml:space="preserve">MEMPHIS                   </v>
      </c>
      <c r="F21951" t="str">
        <f t="shared" si="532"/>
        <v>TN</v>
      </c>
    </row>
    <row r="21952" spans="1:6" x14ac:dyDescent="0.25">
      <c r="A21952" t="str">
        <f>"002682561"</f>
        <v>002682561</v>
      </c>
      <c r="B21952" t="str">
        <f>"1881047165"</f>
        <v>1881047165</v>
      </c>
      <c r="C21952" t="str">
        <f>"367500000X"</f>
        <v>367500000X</v>
      </c>
      <c r="D21952" t="str">
        <f>"MCCAGHREN                CARRIE       A           "</f>
        <v xml:space="preserve">MCCAGHREN                CARRIE       A           </v>
      </c>
      <c r="E21952" t="str">
        <f t="shared" si="531"/>
        <v xml:space="preserve">MEMPHIS                   </v>
      </c>
      <c r="F21952" t="str">
        <f t="shared" si="532"/>
        <v>TN</v>
      </c>
    </row>
    <row r="21953" spans="1:6" x14ac:dyDescent="0.25">
      <c r="A21953" t="str">
        <f>"002682573"</f>
        <v>002682573</v>
      </c>
      <c r="B21953" t="str">
        <f>"1669710018"</f>
        <v>1669710018</v>
      </c>
      <c r="C21953" t="str">
        <f>"2080P0203X"</f>
        <v>2080P0203X</v>
      </c>
      <c r="D21953" t="str">
        <f>"KARKI                    KARAN        B           "</f>
        <v xml:space="preserve">KARKI                    KARAN        B           </v>
      </c>
      <c r="E21953" t="str">
        <f t="shared" si="531"/>
        <v xml:space="preserve">MEMPHIS                   </v>
      </c>
      <c r="F21953" t="str">
        <f t="shared" si="532"/>
        <v>TN</v>
      </c>
    </row>
    <row r="21954" spans="1:6" x14ac:dyDescent="0.25">
      <c r="A21954" t="str">
        <f>"002688591"</f>
        <v>002688591</v>
      </c>
      <c r="B21954" t="str">
        <f>"1710115159"</f>
        <v>1710115159</v>
      </c>
      <c r="C21954" t="str">
        <f>"207U00000X"</f>
        <v>207U00000X</v>
      </c>
      <c r="D21954" t="str">
        <f>"ZALAWADIYA               SANDIP       K           "</f>
        <v xml:space="preserve">ZALAWADIYA               SANDIP       K           </v>
      </c>
      <c r="E21954" t="str">
        <f>"NASHVILLE                 "</f>
        <v xml:space="preserve">NASHVILLE                 </v>
      </c>
      <c r="F21954" t="str">
        <f t="shared" si="532"/>
        <v>TN</v>
      </c>
    </row>
    <row r="21955" spans="1:6" x14ac:dyDescent="0.25">
      <c r="A21955" t="str">
        <f>"002689309"</f>
        <v>002689309</v>
      </c>
      <c r="B21955" t="str">
        <f>"1649564790"</f>
        <v>1649564790</v>
      </c>
      <c r="C21955" t="str">
        <f>"208000000X"</f>
        <v>208000000X</v>
      </c>
      <c r="D21955" t="str">
        <f>"BURGE                    LAUREN       R           "</f>
        <v xml:space="preserve">BURGE                    LAUREN       R           </v>
      </c>
      <c r="E21955" t="str">
        <f>"MEMPHIS                   "</f>
        <v xml:space="preserve">MEMPHIS                   </v>
      </c>
      <c r="F21955" t="str">
        <f t="shared" si="532"/>
        <v>TN</v>
      </c>
    </row>
    <row r="21956" spans="1:6" x14ac:dyDescent="0.25">
      <c r="A21956" t="str">
        <f>"002707701"</f>
        <v>002707701</v>
      </c>
      <c r="B21956" t="str">
        <f>"1437148293"</f>
        <v>1437148293</v>
      </c>
      <c r="C21956" t="str">
        <f>"207RN0300X"</f>
        <v>207RN0300X</v>
      </c>
      <c r="D21956" t="str">
        <f>"HAMZE                    OMAR         O           "</f>
        <v xml:space="preserve">HAMZE                    OMAR         O           </v>
      </c>
      <c r="E21956" t="str">
        <f>"MEMPHIS                   "</f>
        <v xml:space="preserve">MEMPHIS                   </v>
      </c>
      <c r="F21956" t="str">
        <f t="shared" si="532"/>
        <v>TN</v>
      </c>
    </row>
    <row r="21957" spans="1:6" x14ac:dyDescent="0.25">
      <c r="A21957" t="str">
        <f>"002724221"</f>
        <v>002724221</v>
      </c>
      <c r="B21957" t="str">
        <f>"1699707638"</f>
        <v>1699707638</v>
      </c>
      <c r="C21957" t="str">
        <f>"208000000X"</f>
        <v>208000000X</v>
      </c>
      <c r="D21957" t="str">
        <f>"WHITWORTH                JOHN         R           "</f>
        <v xml:space="preserve">WHITWORTH                JOHN         R           </v>
      </c>
      <c r="E21957" t="str">
        <f>"MEMPHIS                   "</f>
        <v xml:space="preserve">MEMPHIS                   </v>
      </c>
      <c r="F21957" t="str">
        <f t="shared" si="532"/>
        <v>TN</v>
      </c>
    </row>
    <row r="21958" spans="1:6" x14ac:dyDescent="0.25">
      <c r="A21958" t="str">
        <f>"002732016"</f>
        <v>002732016</v>
      </c>
      <c r="B21958" t="str">
        <f>"1750480554"</f>
        <v>1750480554</v>
      </c>
      <c r="C21958" t="str">
        <f>"2084N0400X"</f>
        <v>2084N0400X</v>
      </c>
      <c r="D21958" t="str">
        <f>"ELIJOVICH                LUCAS                    "</f>
        <v xml:space="preserve">ELIJOVICH                LUCAS                    </v>
      </c>
      <c r="E21958" t="str">
        <f>"MEMPHIS                   "</f>
        <v xml:space="preserve">MEMPHIS                   </v>
      </c>
      <c r="F21958" t="str">
        <f t="shared" si="532"/>
        <v>TN</v>
      </c>
    </row>
    <row r="21959" spans="1:6" x14ac:dyDescent="0.25">
      <c r="A21959" t="str">
        <f>"002738884"</f>
        <v>002738884</v>
      </c>
      <c r="B21959" t="str">
        <f>"1104072651"</f>
        <v>1104072651</v>
      </c>
      <c r="C21959" t="str">
        <f>"2086S0122X"</f>
        <v>2086S0122X</v>
      </c>
      <c r="D21959" t="str">
        <f>"LEONARDI                 NICHOLAS     R           "</f>
        <v xml:space="preserve">LEONARDI                 NICHOLAS     R           </v>
      </c>
      <c r="E21959" t="str">
        <f>"GERMANTOWN                "</f>
        <v xml:space="preserve">GERMANTOWN                </v>
      </c>
      <c r="F21959" t="str">
        <f t="shared" si="532"/>
        <v>TN</v>
      </c>
    </row>
    <row r="21960" spans="1:6" x14ac:dyDescent="0.25">
      <c r="A21960" t="str">
        <f>"002739235"</f>
        <v>002739235</v>
      </c>
      <c r="B21960" t="str">
        <f>"1518150234"</f>
        <v>1518150234</v>
      </c>
      <c r="C21960" t="str">
        <f>"207R00000X"</f>
        <v>207R00000X</v>
      </c>
      <c r="D21960" t="str">
        <f>"RAMSAY                   KELINDA      P           "</f>
        <v xml:space="preserve">RAMSAY                   KELINDA      P           </v>
      </c>
      <c r="E21960" t="str">
        <f>"MEMPHIS                   "</f>
        <v xml:space="preserve">MEMPHIS                   </v>
      </c>
      <c r="F21960" t="str">
        <f t="shared" si="532"/>
        <v>TN</v>
      </c>
    </row>
    <row r="21961" spans="1:6" x14ac:dyDescent="0.25">
      <c r="A21961" t="str">
        <f>"002750818"</f>
        <v>002750818</v>
      </c>
      <c r="B21961" t="str">
        <f>"1902883754"</f>
        <v>1902883754</v>
      </c>
      <c r="C21961" t="str">
        <f>"2080P0207X"</f>
        <v>2080P0207X</v>
      </c>
      <c r="D21961" t="str">
        <f>"MADDEN                   RENEE        M           "</f>
        <v xml:space="preserve">MADDEN                   RENEE        M           </v>
      </c>
      <c r="E21961" t="str">
        <f>"MEMPHIS                   "</f>
        <v xml:space="preserve">MEMPHIS                   </v>
      </c>
      <c r="F21961" t="str">
        <f t="shared" si="532"/>
        <v>TN</v>
      </c>
    </row>
    <row r="21962" spans="1:6" x14ac:dyDescent="0.25">
      <c r="A21962" t="str">
        <f>"002758573"</f>
        <v>002758573</v>
      </c>
      <c r="B21962" t="str">
        <f>"1497115463"</f>
        <v>1497115463</v>
      </c>
      <c r="C21962" t="str">
        <f>"363L00000X"</f>
        <v>363L00000X</v>
      </c>
      <c r="D21962" t="str">
        <f>"WALLER                   YOLANDA      L           "</f>
        <v xml:space="preserve">WALLER                   YOLANDA      L           </v>
      </c>
      <c r="E21962" t="str">
        <f>"MEMPHIS                   "</f>
        <v xml:space="preserve">MEMPHIS                   </v>
      </c>
      <c r="F21962" t="str">
        <f t="shared" si="532"/>
        <v>TN</v>
      </c>
    </row>
    <row r="21963" spans="1:6" x14ac:dyDescent="0.25">
      <c r="A21963" t="str">
        <f>"002771751"</f>
        <v>002771751</v>
      </c>
      <c r="B21963" t="str">
        <f>"1568484566"</f>
        <v>1568484566</v>
      </c>
      <c r="C21963" t="str">
        <f>"208000000X"</f>
        <v>208000000X</v>
      </c>
      <c r="D21963" t="str">
        <f>"FINKEL                   TERRI                    "</f>
        <v xml:space="preserve">FINKEL                   TERRI                    </v>
      </c>
      <c r="E21963" t="str">
        <f>"MEMPHIS                   "</f>
        <v xml:space="preserve">MEMPHIS                   </v>
      </c>
      <c r="F21963" t="str">
        <f t="shared" si="532"/>
        <v>TN</v>
      </c>
    </row>
    <row r="21964" spans="1:6" x14ac:dyDescent="0.25">
      <c r="A21964" t="str">
        <f>"002771880"</f>
        <v>002771880</v>
      </c>
      <c r="B21964" t="str">
        <f>"1033748082"</f>
        <v>1033748082</v>
      </c>
      <c r="C21964" t="str">
        <f>"367500000X"</f>
        <v>367500000X</v>
      </c>
      <c r="D21964" t="str">
        <f>"BREWER                   LINDSAY      R           "</f>
        <v xml:space="preserve">BREWER                   LINDSAY      R           </v>
      </c>
      <c r="E21964" t="str">
        <f>"KNOXVILLE                 "</f>
        <v xml:space="preserve">KNOXVILLE                 </v>
      </c>
      <c r="F21964" t="str">
        <f t="shared" si="532"/>
        <v>TN</v>
      </c>
    </row>
    <row r="21965" spans="1:6" x14ac:dyDescent="0.25">
      <c r="A21965" t="str">
        <f>"002778071"</f>
        <v>002778071</v>
      </c>
      <c r="B21965" t="str">
        <f>"1629422910"</f>
        <v>1629422910</v>
      </c>
      <c r="C21965" t="str">
        <f>"363L00000X"</f>
        <v>363L00000X</v>
      </c>
      <c r="D21965" t="str">
        <f>"MICHALIK                 LAYNA                    "</f>
        <v xml:space="preserve">MICHALIK                 LAYNA                    </v>
      </c>
      <c r="E21965" t="str">
        <f>"MEMPHIS                   "</f>
        <v xml:space="preserve">MEMPHIS                   </v>
      </c>
      <c r="F21965" t="str">
        <f t="shared" si="532"/>
        <v>TN</v>
      </c>
    </row>
    <row r="21966" spans="1:6" x14ac:dyDescent="0.25">
      <c r="A21966" t="str">
        <f>"002785214"</f>
        <v>002785214</v>
      </c>
      <c r="B21966" t="str">
        <f>"1780806117"</f>
        <v>1780806117</v>
      </c>
      <c r="C21966" t="str">
        <f>"208000000X"</f>
        <v>208000000X</v>
      </c>
      <c r="D21966" t="str">
        <f>"SIEGA                    CACILDA                  "</f>
        <v xml:space="preserve">SIEGA                    CACILDA                  </v>
      </c>
      <c r="E21966" t="str">
        <f>"MEMPHIS                   "</f>
        <v xml:space="preserve">MEMPHIS                   </v>
      </c>
      <c r="F21966" t="str">
        <f t="shared" si="532"/>
        <v>TN</v>
      </c>
    </row>
    <row r="21967" spans="1:6" x14ac:dyDescent="0.25">
      <c r="A21967" t="str">
        <f>"002806264"</f>
        <v>002806264</v>
      </c>
      <c r="B21967" t="str">
        <f>"1194916882"</f>
        <v>1194916882</v>
      </c>
      <c r="C21967" t="str">
        <f>"2084N0400X"</f>
        <v>2084N0400X</v>
      </c>
      <c r="D21967" t="str">
        <f>"MARTINEZ                 JESUS        F           "</f>
        <v xml:space="preserve">MARTINEZ                 JESUS        F           </v>
      </c>
      <c r="E21967" t="str">
        <f>"MEMPHIS                   "</f>
        <v xml:space="preserve">MEMPHIS                   </v>
      </c>
      <c r="F21967" t="str">
        <f t="shared" si="532"/>
        <v>TN</v>
      </c>
    </row>
    <row r="21968" spans="1:6" x14ac:dyDescent="0.25">
      <c r="A21968" t="str">
        <f>"002828876"</f>
        <v>002828876</v>
      </c>
      <c r="B21968" t="str">
        <f>"1710225164"</f>
        <v>1710225164</v>
      </c>
      <c r="C21968" t="str">
        <f>"207R00000X"</f>
        <v>207R00000X</v>
      </c>
      <c r="D21968" t="str">
        <f>"KARKI                    KANCHAN                  "</f>
        <v xml:space="preserve">KARKI                    KANCHAN                  </v>
      </c>
      <c r="E21968" t="str">
        <f>"MEMPHIS                   "</f>
        <v xml:space="preserve">MEMPHIS                   </v>
      </c>
      <c r="F21968" t="str">
        <f t="shared" si="532"/>
        <v>TN</v>
      </c>
    </row>
    <row r="21969" spans="1:6" x14ac:dyDescent="0.25">
      <c r="A21969" t="str">
        <f>"002884332"</f>
        <v>002884332</v>
      </c>
      <c r="B21969" t="str">
        <f>"1134474711"</f>
        <v>1134474711</v>
      </c>
      <c r="C21969" t="str">
        <f>"2085R0202X"</f>
        <v>2085R0202X</v>
      </c>
      <c r="D21969" t="str">
        <f>"ARDESTANI                ALLEN                    "</f>
        <v xml:space="preserve">ARDESTANI                ALLEN                    </v>
      </c>
      <c r="E21969" t="str">
        <f>"GERMANTOWN                "</f>
        <v xml:space="preserve">GERMANTOWN                </v>
      </c>
      <c r="F21969" t="str">
        <f t="shared" si="532"/>
        <v>TN</v>
      </c>
    </row>
    <row r="21970" spans="1:6" x14ac:dyDescent="0.25">
      <c r="A21970" t="str">
        <f>"002886827"</f>
        <v>002886827</v>
      </c>
      <c r="B21970" t="str">
        <f>"1780054106"</f>
        <v>1780054106</v>
      </c>
      <c r="C21970" t="str">
        <f>"367500000X"</f>
        <v>367500000X</v>
      </c>
      <c r="D21970" t="str">
        <f>"SHARP                    CAITLYN      H           "</f>
        <v xml:space="preserve">SHARP                    CAITLYN      H           </v>
      </c>
      <c r="E21970" t="str">
        <f>"MEMPHIS                   "</f>
        <v xml:space="preserve">MEMPHIS                   </v>
      </c>
      <c r="F21970" t="str">
        <f t="shared" si="532"/>
        <v>TN</v>
      </c>
    </row>
    <row r="21971" spans="1:6" x14ac:dyDescent="0.25">
      <c r="A21971" t="str">
        <f>"002901301"</f>
        <v>002901301</v>
      </c>
      <c r="B21971" t="str">
        <f>"1477763365"</f>
        <v>1477763365</v>
      </c>
      <c r="C21971" t="str">
        <f>"2085R0001X"</f>
        <v>2085R0001X</v>
      </c>
      <c r="D21971" t="str">
        <f>"MONAGHAN                 MICAH        T           "</f>
        <v xml:space="preserve">MONAGHAN                 MICAH        T           </v>
      </c>
      <c r="E21971" t="str">
        <f>"GERMANTOWN                "</f>
        <v xml:space="preserve">GERMANTOWN                </v>
      </c>
      <c r="F21971" t="str">
        <f t="shared" si="532"/>
        <v>TN</v>
      </c>
    </row>
    <row r="21972" spans="1:6" x14ac:dyDescent="0.25">
      <c r="A21972" t="str">
        <f>"002905323"</f>
        <v>002905323</v>
      </c>
      <c r="B21972" t="str">
        <f>"1811558927"</f>
        <v>1811558927</v>
      </c>
      <c r="C21972" t="str">
        <f>"363LF0000X"</f>
        <v>363LF0000X</v>
      </c>
      <c r="D21972" t="str">
        <f>"DOW                      CAMILLE                  "</f>
        <v xml:space="preserve">DOW                      CAMILLE                  </v>
      </c>
      <c r="E21972" t="str">
        <f>"MEMPHIS                   "</f>
        <v xml:space="preserve">MEMPHIS                   </v>
      </c>
      <c r="F21972" t="str">
        <f t="shared" si="532"/>
        <v>TN</v>
      </c>
    </row>
    <row r="21973" spans="1:6" x14ac:dyDescent="0.25">
      <c r="A21973" t="str">
        <f>"002906014"</f>
        <v>002906014</v>
      </c>
      <c r="B21973" t="str">
        <f>"1871905174"</f>
        <v>1871905174</v>
      </c>
      <c r="C21973" t="str">
        <f>"363L00000X"</f>
        <v>363L00000X</v>
      </c>
      <c r="D21973" t="str">
        <f>"LEE                      FEI          L           "</f>
        <v xml:space="preserve">LEE                      FEI          L           </v>
      </c>
      <c r="E21973" t="str">
        <f>"COLLIERVILLE              "</f>
        <v xml:space="preserve">COLLIERVILLE              </v>
      </c>
      <c r="F21973" t="str">
        <f t="shared" si="532"/>
        <v>TN</v>
      </c>
    </row>
    <row r="21974" spans="1:6" x14ac:dyDescent="0.25">
      <c r="A21974" t="str">
        <f>"002922259"</f>
        <v>002922259</v>
      </c>
      <c r="B21974" t="str">
        <f>"1801360516"</f>
        <v>1801360516</v>
      </c>
      <c r="C21974" t="str">
        <f>"363L00000X"</f>
        <v>363L00000X</v>
      </c>
      <c r="D21974" t="str">
        <f>"MAURIZI                  LAURA        E           "</f>
        <v xml:space="preserve">MAURIZI                  LAURA        E           </v>
      </c>
      <c r="E21974" t="str">
        <f>"MEMPHIS                   "</f>
        <v xml:space="preserve">MEMPHIS                   </v>
      </c>
      <c r="F21974" t="str">
        <f t="shared" si="532"/>
        <v>TN</v>
      </c>
    </row>
    <row r="21975" spans="1:6" x14ac:dyDescent="0.25">
      <c r="A21975" t="str">
        <f>"002922374"</f>
        <v>002922374</v>
      </c>
      <c r="B21975" t="str">
        <f>"1023357860"</f>
        <v>1023357860</v>
      </c>
      <c r="C21975" t="str">
        <f>"363L00000X"</f>
        <v>363L00000X</v>
      </c>
      <c r="D21975" t="str">
        <f>"BEDFORD                  CYNTHIA      D           "</f>
        <v xml:space="preserve">BEDFORD                  CYNTHIA      D           </v>
      </c>
      <c r="E21975" t="str">
        <f>"GERMANTOWN                "</f>
        <v xml:space="preserve">GERMANTOWN                </v>
      </c>
      <c r="F21975" t="str">
        <f t="shared" si="532"/>
        <v>TN</v>
      </c>
    </row>
    <row r="21976" spans="1:6" x14ac:dyDescent="0.25">
      <c r="A21976" t="str">
        <f>"002936816"</f>
        <v>002936816</v>
      </c>
      <c r="B21976" t="str">
        <f>"1548434038"</f>
        <v>1548434038</v>
      </c>
      <c r="C21976" t="str">
        <f>"363L00000X"</f>
        <v>363L00000X</v>
      </c>
      <c r="D21976" t="str">
        <f>"KEY                      CHRISLA      D           "</f>
        <v xml:space="preserve">KEY                      CHRISLA      D           </v>
      </c>
      <c r="E21976" t="str">
        <f>"MEMPHIS                   "</f>
        <v xml:space="preserve">MEMPHIS                   </v>
      </c>
      <c r="F21976" t="str">
        <f t="shared" si="532"/>
        <v>TN</v>
      </c>
    </row>
    <row r="21977" spans="1:6" x14ac:dyDescent="0.25">
      <c r="A21977" t="str">
        <f>"002938357"</f>
        <v>002938357</v>
      </c>
      <c r="B21977" t="str">
        <f>"1497978258"</f>
        <v>1497978258</v>
      </c>
      <c r="C21977" t="str">
        <f>"2084P0800X"</f>
        <v>2084P0800X</v>
      </c>
      <c r="D21977" t="str">
        <f>"TRAUTMAN                 LUCAS        A           "</f>
        <v xml:space="preserve">TRAUTMAN                 LUCAS        A           </v>
      </c>
      <c r="E21977" t="str">
        <f>"MEMPHIS                   "</f>
        <v xml:space="preserve">MEMPHIS                   </v>
      </c>
      <c r="F21977" t="str">
        <f t="shared" si="532"/>
        <v>TN</v>
      </c>
    </row>
    <row r="21978" spans="1:6" x14ac:dyDescent="0.25">
      <c r="A21978" t="str">
        <f>"002957891"</f>
        <v>002957891</v>
      </c>
      <c r="B21978" t="str">
        <f>"1447664917"</f>
        <v>1447664917</v>
      </c>
      <c r="C21978" t="str">
        <f>"2080P0207X"</f>
        <v>2080P0207X</v>
      </c>
      <c r="D21978" t="str">
        <f>"PERRINO                  MELISSA                  "</f>
        <v xml:space="preserve">PERRINO                  MELISSA                  </v>
      </c>
      <c r="E21978" t="str">
        <f>"MEMPHIS                   "</f>
        <v xml:space="preserve">MEMPHIS                   </v>
      </c>
      <c r="F21978" t="str">
        <f t="shared" si="532"/>
        <v>TN</v>
      </c>
    </row>
    <row r="21979" spans="1:6" x14ac:dyDescent="0.25">
      <c r="A21979" t="str">
        <f>"002959848"</f>
        <v>002959848</v>
      </c>
      <c r="B21979" t="str">
        <f>"1487829347"</f>
        <v>1487829347</v>
      </c>
      <c r="C21979" t="str">
        <f>"207W00000X"</f>
        <v>207W00000X</v>
      </c>
      <c r="D21979" t="str">
        <f>"JERKINS                  BRIAN        M           "</f>
        <v xml:space="preserve">JERKINS                  BRIAN        M           </v>
      </c>
      <c r="E21979" t="str">
        <f>"MEMPHIS                   "</f>
        <v xml:space="preserve">MEMPHIS                   </v>
      </c>
      <c r="F21979" t="str">
        <f t="shared" si="532"/>
        <v>TN</v>
      </c>
    </row>
    <row r="21980" spans="1:6" x14ac:dyDescent="0.25">
      <c r="A21980" t="str">
        <f>"002970515"</f>
        <v>002970515</v>
      </c>
      <c r="B21980" t="str">
        <f>"1184030660"</f>
        <v>1184030660</v>
      </c>
      <c r="C21980" t="str">
        <f>"207P00000X"</f>
        <v>207P00000X</v>
      </c>
      <c r="D21980" t="str">
        <f>"YUEN                     JUSTIN                   "</f>
        <v xml:space="preserve">YUEN                     JUSTIN                   </v>
      </c>
      <c r="E21980" t="str">
        <f>"MEMPHIS                   "</f>
        <v xml:space="preserve">MEMPHIS                   </v>
      </c>
      <c r="F21980" t="str">
        <f t="shared" si="532"/>
        <v>TN</v>
      </c>
    </row>
    <row r="21981" spans="1:6" x14ac:dyDescent="0.25">
      <c r="A21981" t="str">
        <f>"002976278"</f>
        <v>002976278</v>
      </c>
      <c r="B21981" t="str">
        <f>"1528404662"</f>
        <v>1528404662</v>
      </c>
      <c r="C21981" t="str">
        <f>"207R00000X"</f>
        <v>207R00000X</v>
      </c>
      <c r="D21981" t="str">
        <f>"SHROYER                  DEAN         B           "</f>
        <v xml:space="preserve">SHROYER                  DEAN         B           </v>
      </c>
      <c r="E21981" t="str">
        <f>"COLLIERVILLE              "</f>
        <v xml:space="preserve">COLLIERVILLE              </v>
      </c>
      <c r="F21981" t="str">
        <f t="shared" si="532"/>
        <v>TN</v>
      </c>
    </row>
    <row r="21982" spans="1:6" x14ac:dyDescent="0.25">
      <c r="A21982" t="str">
        <f>"002987015"</f>
        <v>002987015</v>
      </c>
      <c r="B21982" t="str">
        <f>"1417900374"</f>
        <v>1417900374</v>
      </c>
      <c r="C21982" t="str">
        <f>"207RH0003X"</f>
        <v>207RH0003X</v>
      </c>
      <c r="D21982" t="str">
        <f>"VASIREDDY                SAILENDRA                "</f>
        <v xml:space="preserve">VASIREDDY                SAILENDRA                </v>
      </c>
      <c r="E21982" t="str">
        <f>"MEMPHIS                   "</f>
        <v xml:space="preserve">MEMPHIS                   </v>
      </c>
      <c r="F21982" t="str">
        <f t="shared" si="532"/>
        <v>TN</v>
      </c>
    </row>
    <row r="21983" spans="1:6" x14ac:dyDescent="0.25">
      <c r="A21983" t="str">
        <f>"002988092"</f>
        <v>002988092</v>
      </c>
      <c r="B21983" t="str">
        <f>"1427301522"</f>
        <v>1427301522</v>
      </c>
      <c r="C21983" t="str">
        <f>"363L00000X"</f>
        <v>363L00000X</v>
      </c>
      <c r="D21983" t="str">
        <f>"EDWARDS                  MEREDITH     M           "</f>
        <v xml:space="preserve">EDWARDS                  MEREDITH     M           </v>
      </c>
      <c r="E21983" t="str">
        <f>"GERMANTOWN                "</f>
        <v xml:space="preserve">GERMANTOWN                </v>
      </c>
      <c r="F21983" t="str">
        <f t="shared" si="532"/>
        <v>TN</v>
      </c>
    </row>
    <row r="21984" spans="1:6" x14ac:dyDescent="0.25">
      <c r="A21984" t="str">
        <f>"003001574"</f>
        <v>003001574</v>
      </c>
      <c r="B21984" t="str">
        <f>"1659577278"</f>
        <v>1659577278</v>
      </c>
      <c r="C21984" t="str">
        <f>"207RN0300X"</f>
        <v>207RN0300X</v>
      </c>
      <c r="D21984" t="str">
        <f>"ASIF SIDDIQUI            OMER         M           "</f>
        <v xml:space="preserve">ASIF SIDDIQUI            OMER         M           </v>
      </c>
      <c r="E21984" t="str">
        <f>"MEMPHIS                   "</f>
        <v xml:space="preserve">MEMPHIS                   </v>
      </c>
      <c r="F21984" t="str">
        <f t="shared" si="532"/>
        <v>TN</v>
      </c>
    </row>
    <row r="21985" spans="1:6" x14ac:dyDescent="0.25">
      <c r="A21985" t="str">
        <f>"003020316"</f>
        <v>003020316</v>
      </c>
      <c r="B21985" t="str">
        <f>"1912163320"</f>
        <v>1912163320</v>
      </c>
      <c r="C21985" t="str">
        <f>"208600000X"</f>
        <v>208600000X</v>
      </c>
      <c r="D21985" t="str">
        <f>"EYMARD                   COREY        M           "</f>
        <v xml:space="preserve">EYMARD                   COREY        M           </v>
      </c>
      <c r="E21985" t="str">
        <f>"MEMPHIS                   "</f>
        <v xml:space="preserve">MEMPHIS                   </v>
      </c>
      <c r="F21985" t="str">
        <f t="shared" si="532"/>
        <v>TN</v>
      </c>
    </row>
    <row r="21986" spans="1:6" x14ac:dyDescent="0.25">
      <c r="A21986" t="str">
        <f>"003020560"</f>
        <v>003020560</v>
      </c>
      <c r="B21986" t="str">
        <f>"1508088162"</f>
        <v>1508088162</v>
      </c>
      <c r="C21986" t="str">
        <f>"207RC0000X"</f>
        <v>207RC0000X</v>
      </c>
      <c r="D21986" t="str">
        <f>"OTTEN                    DANIEL       E           "</f>
        <v xml:space="preserve">OTTEN                    DANIEL       E           </v>
      </c>
      <c r="E21986" t="str">
        <f>"GERMANTOWN                "</f>
        <v xml:space="preserve">GERMANTOWN                </v>
      </c>
      <c r="F21986" t="str">
        <f t="shared" si="532"/>
        <v>TN</v>
      </c>
    </row>
    <row r="21987" spans="1:6" x14ac:dyDescent="0.25">
      <c r="A21987" t="str">
        <f>"003025007"</f>
        <v>003025007</v>
      </c>
      <c r="B21987" t="str">
        <f>"1962402305"</f>
        <v>1962402305</v>
      </c>
      <c r="C21987" t="str">
        <f>"208000000X"</f>
        <v>208000000X</v>
      </c>
      <c r="D21987" t="str">
        <f>"RAJU                     JAMPANA                  "</f>
        <v xml:space="preserve">RAJU                     JAMPANA                  </v>
      </c>
      <c r="E21987" t="str">
        <f>"MEMPHIS                   "</f>
        <v xml:space="preserve">MEMPHIS                   </v>
      </c>
      <c r="F21987" t="str">
        <f t="shared" si="532"/>
        <v>TN</v>
      </c>
    </row>
    <row r="21988" spans="1:6" x14ac:dyDescent="0.25">
      <c r="A21988" t="str">
        <f>"003026098"</f>
        <v>003026098</v>
      </c>
      <c r="B21988" t="str">
        <f>"1922027200"</f>
        <v>1922027200</v>
      </c>
      <c r="C21988" t="str">
        <f>"2080P0207X"</f>
        <v>2080P0207X</v>
      </c>
      <c r="D21988" t="str">
        <f>"ROBINSON                 GILES                    "</f>
        <v xml:space="preserve">ROBINSON                 GILES                    </v>
      </c>
      <c r="E21988" t="str">
        <f>"MEMPHIS                   "</f>
        <v xml:space="preserve">MEMPHIS                   </v>
      </c>
      <c r="F21988" t="str">
        <f t="shared" si="532"/>
        <v>TN</v>
      </c>
    </row>
    <row r="21989" spans="1:6" x14ac:dyDescent="0.25">
      <c r="A21989" t="str">
        <f>"003027561"</f>
        <v>003027561</v>
      </c>
      <c r="B21989" t="str">
        <f>"1528473915"</f>
        <v>1528473915</v>
      </c>
      <c r="C21989" t="str">
        <f>"363L00000X"</f>
        <v>363L00000X</v>
      </c>
      <c r="D21989" t="str">
        <f>"SEBASTIAN                ANDREA       L           "</f>
        <v xml:space="preserve">SEBASTIAN                ANDREA       L           </v>
      </c>
      <c r="E21989" t="str">
        <f>"MEMPHIS                   "</f>
        <v xml:space="preserve">MEMPHIS                   </v>
      </c>
      <c r="F21989" t="str">
        <f t="shared" si="532"/>
        <v>TN</v>
      </c>
    </row>
    <row r="21990" spans="1:6" x14ac:dyDescent="0.25">
      <c r="A21990" t="str">
        <f>"003032006"</f>
        <v>003032006</v>
      </c>
      <c r="B21990" t="str">
        <f>"1154461267"</f>
        <v>1154461267</v>
      </c>
      <c r="C21990" t="str">
        <f>"2083P0901X"</f>
        <v>2083P0901X</v>
      </c>
      <c r="D21990" t="str">
        <f>"ALLEMAN                  TONY         L           "</f>
        <v xml:space="preserve">ALLEMAN                  TONY         L           </v>
      </c>
      <c r="E21990" t="str">
        <f>"MEMPHIS                   "</f>
        <v xml:space="preserve">MEMPHIS                   </v>
      </c>
      <c r="F21990" t="str">
        <f t="shared" si="532"/>
        <v>TN</v>
      </c>
    </row>
    <row r="21991" spans="1:6" x14ac:dyDescent="0.25">
      <c r="A21991" t="str">
        <f>"003033749"</f>
        <v>003033749</v>
      </c>
      <c r="B21991" t="str">
        <f>"1144462300"</f>
        <v>1144462300</v>
      </c>
      <c r="C21991" t="str">
        <f>"2085R0202X"</f>
        <v>2085R0202X</v>
      </c>
      <c r="D21991" t="str">
        <f>"DEAN                     DAVID                    "</f>
        <v xml:space="preserve">DEAN                     DAVID                    </v>
      </c>
      <c r="E21991" t="str">
        <f>"GERMANTOWN                "</f>
        <v xml:space="preserve">GERMANTOWN                </v>
      </c>
      <c r="F21991" t="str">
        <f t="shared" si="532"/>
        <v>TN</v>
      </c>
    </row>
    <row r="21992" spans="1:6" x14ac:dyDescent="0.25">
      <c r="A21992" t="str">
        <f>"003035763"</f>
        <v>003035763</v>
      </c>
      <c r="B21992" t="str">
        <f>"1689897563"</f>
        <v>1689897563</v>
      </c>
      <c r="C21992" t="str">
        <f>"2085R0202X"</f>
        <v>2085R0202X</v>
      </c>
      <c r="D21992" t="str">
        <f>"GARRETT                  KEVIN        M           "</f>
        <v xml:space="preserve">GARRETT                  KEVIN        M           </v>
      </c>
      <c r="E21992" t="str">
        <f t="shared" ref="E21992:E22010" si="533">"MEMPHIS                   "</f>
        <v xml:space="preserve">MEMPHIS                   </v>
      </c>
      <c r="F21992" t="str">
        <f t="shared" si="532"/>
        <v>TN</v>
      </c>
    </row>
    <row r="21993" spans="1:6" x14ac:dyDescent="0.25">
      <c r="A21993" t="str">
        <f>"003036392"</f>
        <v>003036392</v>
      </c>
      <c r="B21993" t="str">
        <f>"1245650803"</f>
        <v>1245650803</v>
      </c>
      <c r="C21993" t="str">
        <f>"207Q00000X"</f>
        <v>207Q00000X</v>
      </c>
      <c r="D21993" t="str">
        <f>"MATTHEWS                 ASHLEY       N           "</f>
        <v xml:space="preserve">MATTHEWS                 ASHLEY       N           </v>
      </c>
      <c r="E21993" t="str">
        <f t="shared" si="533"/>
        <v xml:space="preserve">MEMPHIS                   </v>
      </c>
      <c r="F21993" t="str">
        <f t="shared" si="532"/>
        <v>TN</v>
      </c>
    </row>
    <row r="21994" spans="1:6" x14ac:dyDescent="0.25">
      <c r="A21994" t="str">
        <f>"003059297"</f>
        <v>003059297</v>
      </c>
      <c r="B21994" t="str">
        <f>"1558742346"</f>
        <v>1558742346</v>
      </c>
      <c r="C21994" t="str">
        <f>"2085R0204X"</f>
        <v>2085R0204X</v>
      </c>
      <c r="D21994" t="str">
        <f>"SYED                     FURQAN       H           "</f>
        <v xml:space="preserve">SYED                     FURQAN       H           </v>
      </c>
      <c r="E21994" t="str">
        <f t="shared" si="533"/>
        <v xml:space="preserve">MEMPHIS                   </v>
      </c>
      <c r="F21994" t="str">
        <f t="shared" si="532"/>
        <v>TN</v>
      </c>
    </row>
    <row r="21995" spans="1:6" x14ac:dyDescent="0.25">
      <c r="A21995" t="str">
        <f>"003074896"</f>
        <v>003074896</v>
      </c>
      <c r="B21995" t="str">
        <f>"1811450356"</f>
        <v>1811450356</v>
      </c>
      <c r="C21995" t="str">
        <f>"207P00000X"</f>
        <v>207P00000X</v>
      </c>
      <c r="D21995" t="str">
        <f>"PORTER                   DREW                     "</f>
        <v xml:space="preserve">PORTER                   DREW                     </v>
      </c>
      <c r="E21995" t="str">
        <f t="shared" si="533"/>
        <v xml:space="preserve">MEMPHIS                   </v>
      </c>
      <c r="F21995" t="str">
        <f t="shared" si="532"/>
        <v>TN</v>
      </c>
    </row>
    <row r="21996" spans="1:6" x14ac:dyDescent="0.25">
      <c r="A21996" t="str">
        <f>"003081741"</f>
        <v>003081741</v>
      </c>
      <c r="B21996" t="str">
        <f>"1184935447"</f>
        <v>1184935447</v>
      </c>
      <c r="C21996" t="str">
        <f>"2085R0202X"</f>
        <v>2085R0202X</v>
      </c>
      <c r="D21996" t="str">
        <f>"MARTINEAU                DAVID        L           "</f>
        <v xml:space="preserve">MARTINEAU                DAVID        L           </v>
      </c>
      <c r="E21996" t="str">
        <f t="shared" si="533"/>
        <v xml:space="preserve">MEMPHIS                   </v>
      </c>
      <c r="F21996" t="str">
        <f t="shared" si="532"/>
        <v>TN</v>
      </c>
    </row>
    <row r="21997" spans="1:6" x14ac:dyDescent="0.25">
      <c r="A21997" t="str">
        <f>"003088756"</f>
        <v>003088756</v>
      </c>
      <c r="B21997" t="str">
        <f>"1477845451"</f>
        <v>1477845451</v>
      </c>
      <c r="C21997" t="str">
        <f>"208000000X"</f>
        <v>208000000X</v>
      </c>
      <c r="D21997" t="str">
        <f>"DOBISH                   EMILEE       A           "</f>
        <v xml:space="preserve">DOBISH                   EMILEE       A           </v>
      </c>
      <c r="E21997" t="str">
        <f t="shared" si="533"/>
        <v xml:space="preserve">MEMPHIS                   </v>
      </c>
      <c r="F21997" t="str">
        <f t="shared" si="532"/>
        <v>TN</v>
      </c>
    </row>
    <row r="21998" spans="1:6" x14ac:dyDescent="0.25">
      <c r="A21998" t="str">
        <f>"003103360"</f>
        <v>003103360</v>
      </c>
      <c r="B21998" t="str">
        <f>"1083249320"</f>
        <v>1083249320</v>
      </c>
      <c r="C21998" t="str">
        <f>"363A00000X"</f>
        <v>363A00000X</v>
      </c>
      <c r="D21998" t="str">
        <f>"BOYD                     AARON        T           "</f>
        <v xml:space="preserve">BOYD                     AARON        T           </v>
      </c>
      <c r="E21998" t="str">
        <f t="shared" si="533"/>
        <v xml:space="preserve">MEMPHIS                   </v>
      </c>
      <c r="F21998" t="str">
        <f t="shared" si="532"/>
        <v>TN</v>
      </c>
    </row>
    <row r="21999" spans="1:6" x14ac:dyDescent="0.25">
      <c r="A21999" t="str">
        <f>"003105761"</f>
        <v>003105761</v>
      </c>
      <c r="B21999" t="str">
        <f>"1447506365"</f>
        <v>1447506365</v>
      </c>
      <c r="C21999" t="str">
        <f>"2080P0207X"</f>
        <v>2080P0207X</v>
      </c>
      <c r="D21999" t="str">
        <f>"BHAKTA                   NICKHILL     H           "</f>
        <v xml:space="preserve">BHAKTA                   NICKHILL     H           </v>
      </c>
      <c r="E21999" t="str">
        <f t="shared" si="533"/>
        <v xml:space="preserve">MEMPHIS                   </v>
      </c>
      <c r="F21999" t="str">
        <f t="shared" si="532"/>
        <v>TN</v>
      </c>
    </row>
    <row r="22000" spans="1:6" x14ac:dyDescent="0.25">
      <c r="A22000" t="str">
        <f>"003135840"</f>
        <v>003135840</v>
      </c>
      <c r="B22000" t="str">
        <f>"1750647566"</f>
        <v>1750647566</v>
      </c>
      <c r="C22000" t="str">
        <f>"363LF0000X"</f>
        <v>363LF0000X</v>
      </c>
      <c r="D22000" t="str">
        <f>"RAMIREZ                  TERRI        N           "</f>
        <v xml:space="preserve">RAMIREZ                  TERRI        N           </v>
      </c>
      <c r="E22000" t="str">
        <f t="shared" si="533"/>
        <v xml:space="preserve">MEMPHIS                   </v>
      </c>
      <c r="F22000" t="str">
        <f t="shared" si="532"/>
        <v>TN</v>
      </c>
    </row>
    <row r="22001" spans="1:6" x14ac:dyDescent="0.25">
      <c r="A22001" t="str">
        <f>"003170828"</f>
        <v>003170828</v>
      </c>
      <c r="B22001" t="str">
        <f>"1659525327"</f>
        <v>1659525327</v>
      </c>
      <c r="C22001" t="str">
        <f>"363L00000X"</f>
        <v>363L00000X</v>
      </c>
      <c r="D22001" t="str">
        <f>"PEDEN                    ANGELA       M           "</f>
        <v xml:space="preserve">PEDEN                    ANGELA       M           </v>
      </c>
      <c r="E22001" t="str">
        <f t="shared" si="533"/>
        <v xml:space="preserve">MEMPHIS                   </v>
      </c>
      <c r="F22001" t="str">
        <f t="shared" si="532"/>
        <v>TN</v>
      </c>
    </row>
    <row r="22002" spans="1:6" x14ac:dyDescent="0.25">
      <c r="A22002" t="str">
        <f>"003178068"</f>
        <v>003178068</v>
      </c>
      <c r="B22002" t="str">
        <f>"1376993899"</f>
        <v>1376993899</v>
      </c>
      <c r="C22002" t="str">
        <f>"208000000X"</f>
        <v>208000000X</v>
      </c>
      <c r="D22002" t="str">
        <f>"REES                     MATTHEW      B           "</f>
        <v xml:space="preserve">REES                     MATTHEW      B           </v>
      </c>
      <c r="E22002" t="str">
        <f t="shared" si="533"/>
        <v xml:space="preserve">MEMPHIS                   </v>
      </c>
      <c r="F22002" t="str">
        <f t="shared" si="532"/>
        <v>TN</v>
      </c>
    </row>
    <row r="22003" spans="1:6" x14ac:dyDescent="0.25">
      <c r="A22003" t="str">
        <f>"003182241"</f>
        <v>003182241</v>
      </c>
      <c r="B22003" t="str">
        <f>"1588612238"</f>
        <v>1588612238</v>
      </c>
      <c r="C22003" t="str">
        <f>"363A00000X"</f>
        <v>363A00000X</v>
      </c>
      <c r="D22003" t="str">
        <f>"ROCHESTER                RICHARD                  "</f>
        <v xml:space="preserve">ROCHESTER                RICHARD                  </v>
      </c>
      <c r="E22003" t="str">
        <f t="shared" si="533"/>
        <v xml:space="preserve">MEMPHIS                   </v>
      </c>
      <c r="F22003" t="str">
        <f t="shared" si="532"/>
        <v>TN</v>
      </c>
    </row>
    <row r="22004" spans="1:6" x14ac:dyDescent="0.25">
      <c r="A22004" t="str">
        <f>"003203837"</f>
        <v>003203837</v>
      </c>
      <c r="B22004" t="str">
        <f>"1093827560"</f>
        <v>1093827560</v>
      </c>
      <c r="C22004" t="str">
        <f>"363L00000X"</f>
        <v>363L00000X</v>
      </c>
      <c r="D22004" t="str">
        <f>"MORRISON                 ROBIN        L           "</f>
        <v xml:space="preserve">MORRISON                 ROBIN        L           </v>
      </c>
      <c r="E22004" t="str">
        <f t="shared" si="533"/>
        <v xml:space="preserve">MEMPHIS                   </v>
      </c>
      <c r="F22004" t="str">
        <f t="shared" si="532"/>
        <v>TN</v>
      </c>
    </row>
    <row r="22005" spans="1:6" x14ac:dyDescent="0.25">
      <c r="A22005" t="str">
        <f>"003205278"</f>
        <v>003205278</v>
      </c>
      <c r="B22005" t="str">
        <f>"1255444212"</f>
        <v>1255444212</v>
      </c>
      <c r="C22005" t="str">
        <f>"207Y00000X"</f>
        <v>207Y00000X</v>
      </c>
      <c r="D22005" t="str">
        <f>"GILLESPIE                MARION       B           "</f>
        <v xml:space="preserve">GILLESPIE                MARION       B           </v>
      </c>
      <c r="E22005" t="str">
        <f t="shared" si="533"/>
        <v xml:space="preserve">MEMPHIS                   </v>
      </c>
      <c r="F22005" t="str">
        <f t="shared" si="532"/>
        <v>TN</v>
      </c>
    </row>
    <row r="22006" spans="1:6" x14ac:dyDescent="0.25">
      <c r="A22006" t="str">
        <f>"003221566"</f>
        <v>003221566</v>
      </c>
      <c r="B22006" t="str">
        <f>"1477993665"</f>
        <v>1477993665</v>
      </c>
      <c r="C22006" t="str">
        <f>"207V00000X"</f>
        <v>207V00000X</v>
      </c>
      <c r="D22006" t="str">
        <f>"PHINEHAS                 RAMONA       C           "</f>
        <v xml:space="preserve">PHINEHAS                 RAMONA       C           </v>
      </c>
      <c r="E22006" t="str">
        <f t="shared" si="533"/>
        <v xml:space="preserve">MEMPHIS                   </v>
      </c>
      <c r="F22006" t="str">
        <f t="shared" si="532"/>
        <v>TN</v>
      </c>
    </row>
    <row r="22007" spans="1:6" x14ac:dyDescent="0.25">
      <c r="A22007" t="str">
        <f>"003226028"</f>
        <v>003226028</v>
      </c>
      <c r="B22007" t="str">
        <f>"1750764114"</f>
        <v>1750764114</v>
      </c>
      <c r="C22007" t="str">
        <f>"207RR0500X"</f>
        <v>207RR0500X</v>
      </c>
      <c r="D22007" t="str">
        <f>"GUPTA                    ALISHA                   "</f>
        <v xml:space="preserve">GUPTA                    ALISHA                   </v>
      </c>
      <c r="E22007" t="str">
        <f t="shared" si="533"/>
        <v xml:space="preserve">MEMPHIS                   </v>
      </c>
      <c r="F22007" t="str">
        <f t="shared" si="532"/>
        <v>TN</v>
      </c>
    </row>
    <row r="22008" spans="1:6" x14ac:dyDescent="0.25">
      <c r="A22008" t="str">
        <f>"003238291"</f>
        <v>003238291</v>
      </c>
      <c r="B22008" t="str">
        <f>"1821629320"</f>
        <v>1821629320</v>
      </c>
      <c r="C22008" t="str">
        <f>"363LP0200X"</f>
        <v>363LP0200X</v>
      </c>
      <c r="D22008" t="str">
        <f>"FORGIONE                 JESSIE       L           "</f>
        <v xml:space="preserve">FORGIONE                 JESSIE       L           </v>
      </c>
      <c r="E22008" t="str">
        <f t="shared" si="533"/>
        <v xml:space="preserve">MEMPHIS                   </v>
      </c>
      <c r="F22008" t="str">
        <f t="shared" si="532"/>
        <v>TN</v>
      </c>
    </row>
    <row r="22009" spans="1:6" x14ac:dyDescent="0.25">
      <c r="A22009" t="str">
        <f>"003238302"</f>
        <v>003238302</v>
      </c>
      <c r="B22009" t="str">
        <f>"1851754436"</f>
        <v>1851754436</v>
      </c>
      <c r="C22009" t="str">
        <f>"207L00000X"</f>
        <v>207L00000X</v>
      </c>
      <c r="D22009" t="str">
        <f>"ZWEIG                    TZIPA        L           "</f>
        <v xml:space="preserve">ZWEIG                    TZIPA        L           </v>
      </c>
      <c r="E22009" t="str">
        <f t="shared" si="533"/>
        <v xml:space="preserve">MEMPHIS                   </v>
      </c>
      <c r="F22009" t="str">
        <f t="shared" si="532"/>
        <v>TN</v>
      </c>
    </row>
    <row r="22010" spans="1:6" x14ac:dyDescent="0.25">
      <c r="A22010" t="str">
        <f>"003257364"</f>
        <v>003257364</v>
      </c>
      <c r="B22010" t="str">
        <f>"1417910647"</f>
        <v>1417910647</v>
      </c>
      <c r="C22010" t="str">
        <f>"208000000X"</f>
        <v>208000000X</v>
      </c>
      <c r="D22010" t="str">
        <f>"DEAN                     SHANNON      M           "</f>
        <v xml:space="preserve">DEAN                     SHANNON      M           </v>
      </c>
      <c r="E22010" t="str">
        <f t="shared" si="533"/>
        <v xml:space="preserve">MEMPHIS                   </v>
      </c>
      <c r="F22010" t="str">
        <f t="shared" si="532"/>
        <v>TN</v>
      </c>
    </row>
    <row r="22011" spans="1:6" x14ac:dyDescent="0.25">
      <c r="A22011" t="str">
        <f>"003259503"</f>
        <v>003259503</v>
      </c>
      <c r="B22011" t="str">
        <f>"1124254404"</f>
        <v>1124254404</v>
      </c>
      <c r="C22011" t="str">
        <f>"207R00000X"</f>
        <v>207R00000X</v>
      </c>
      <c r="D22011" t="str">
        <f>"FAIRCLOTH                MICHELE      F           "</f>
        <v xml:space="preserve">FAIRCLOTH                MICHELE      F           </v>
      </c>
      <c r="E22011" t="str">
        <f>"GERMANTOWN                "</f>
        <v xml:space="preserve">GERMANTOWN                </v>
      </c>
      <c r="F22011" t="str">
        <f t="shared" si="532"/>
        <v>TN</v>
      </c>
    </row>
    <row r="22012" spans="1:6" x14ac:dyDescent="0.25">
      <c r="A22012" t="str">
        <f>"003277253"</f>
        <v>003277253</v>
      </c>
      <c r="B22012" t="str">
        <f>"1558704536"</f>
        <v>1558704536</v>
      </c>
      <c r="C22012" t="str">
        <f>"2080P0207X"</f>
        <v>2080P0207X</v>
      </c>
      <c r="D22012" t="str">
        <f>"GARTRELL                 JESSICA      A           "</f>
        <v xml:space="preserve">GARTRELL                 JESSICA      A           </v>
      </c>
      <c r="E22012" t="str">
        <f>"MEMPHIS                   "</f>
        <v xml:space="preserve">MEMPHIS                   </v>
      </c>
      <c r="F22012" t="str">
        <f t="shared" si="532"/>
        <v>TN</v>
      </c>
    </row>
    <row r="22013" spans="1:6" x14ac:dyDescent="0.25">
      <c r="A22013" t="str">
        <f>"003284749"</f>
        <v>003284749</v>
      </c>
      <c r="B22013" t="str">
        <f>"1922524073"</f>
        <v>1922524073</v>
      </c>
      <c r="C22013" t="str">
        <f>"367500000X"</f>
        <v>367500000X</v>
      </c>
      <c r="D22013" t="str">
        <f>"PRUDHON                  SARAH        M           "</f>
        <v xml:space="preserve">PRUDHON                  SARAH        M           </v>
      </c>
      <c r="E22013" t="str">
        <f>"MEMPHIS                   "</f>
        <v xml:space="preserve">MEMPHIS                   </v>
      </c>
      <c r="F22013" t="str">
        <f t="shared" si="532"/>
        <v>TN</v>
      </c>
    </row>
    <row r="22014" spans="1:6" x14ac:dyDescent="0.25">
      <c r="A22014" t="str">
        <f>"003284862"</f>
        <v>003284862</v>
      </c>
      <c r="B22014" t="str">
        <f>"1447342811"</f>
        <v>1447342811</v>
      </c>
      <c r="C22014" t="str">
        <f>"207R00000X"</f>
        <v>207R00000X</v>
      </c>
      <c r="D22014" t="str">
        <f>"JOHNSON                  ERIC         E           "</f>
        <v xml:space="preserve">JOHNSON                  ERIC         E           </v>
      </c>
      <c r="E22014" t="str">
        <f>"GERMANTOWN                "</f>
        <v xml:space="preserve">GERMANTOWN                </v>
      </c>
      <c r="F22014" t="str">
        <f t="shared" ref="F22014:F22077" si="534">"TN"</f>
        <v>TN</v>
      </c>
    </row>
    <row r="22015" spans="1:6" x14ac:dyDescent="0.25">
      <c r="A22015" t="str">
        <f>"003287558"</f>
        <v>003287558</v>
      </c>
      <c r="B22015" t="str">
        <f>"1558630624"</f>
        <v>1558630624</v>
      </c>
      <c r="C22015" t="str">
        <f>"2080P0207X"</f>
        <v>2080P0207X</v>
      </c>
      <c r="D22015" t="str">
        <f>"SHARMA                   AKSHAY                   "</f>
        <v xml:space="preserve">SHARMA                   AKSHAY                   </v>
      </c>
      <c r="E22015" t="str">
        <f>"MEMPHIS                   "</f>
        <v xml:space="preserve">MEMPHIS                   </v>
      </c>
      <c r="F22015" t="str">
        <f t="shared" si="534"/>
        <v>TN</v>
      </c>
    </row>
    <row r="22016" spans="1:6" x14ac:dyDescent="0.25">
      <c r="A22016" t="str">
        <f>"003302390"</f>
        <v>003302390</v>
      </c>
      <c r="B22016" t="str">
        <f>"1952350233"</f>
        <v>1952350233</v>
      </c>
      <c r="C22016" t="str">
        <f>"207P00000X"</f>
        <v>207P00000X</v>
      </c>
      <c r="D22016" t="str">
        <f>"ALTABBAA                 AHMAD        H           "</f>
        <v xml:space="preserve">ALTABBAA                 AHMAD        H           </v>
      </c>
      <c r="E22016" t="str">
        <f>"MEMPHIS                   "</f>
        <v xml:space="preserve">MEMPHIS                   </v>
      </c>
      <c r="F22016" t="str">
        <f t="shared" si="534"/>
        <v>TN</v>
      </c>
    </row>
    <row r="22017" spans="1:6" x14ac:dyDescent="0.25">
      <c r="A22017" t="str">
        <f>"003305598"</f>
        <v>003305598</v>
      </c>
      <c r="B22017" t="str">
        <f>"1376710889"</f>
        <v>1376710889</v>
      </c>
      <c r="C22017" t="str">
        <f>"363LP0200X"</f>
        <v>363LP0200X</v>
      </c>
      <c r="D22017" t="str">
        <f>"WOODY                    KIMBERLY                 "</f>
        <v xml:space="preserve">WOODY                    KIMBERLY                 </v>
      </c>
      <c r="E22017" t="str">
        <f>"MEMPHIS                   "</f>
        <v xml:space="preserve">MEMPHIS                   </v>
      </c>
      <c r="F22017" t="str">
        <f t="shared" si="534"/>
        <v>TN</v>
      </c>
    </row>
    <row r="22018" spans="1:6" x14ac:dyDescent="0.25">
      <c r="A22018" t="str">
        <f>"003305769"</f>
        <v>003305769</v>
      </c>
      <c r="B22018" t="str">
        <f>"1205974649"</f>
        <v>1205974649</v>
      </c>
      <c r="C22018" t="str">
        <f>"363L00000X"</f>
        <v>363L00000X</v>
      </c>
      <c r="D22018" t="str">
        <f>"WHITLEY                  MERIS        M           "</f>
        <v xml:space="preserve">WHITLEY                  MERIS        M           </v>
      </c>
      <c r="E22018" t="str">
        <f>"MEMPHIS                   "</f>
        <v xml:space="preserve">MEMPHIS                   </v>
      </c>
      <c r="F22018" t="str">
        <f t="shared" si="534"/>
        <v>TN</v>
      </c>
    </row>
    <row r="22019" spans="1:6" x14ac:dyDescent="0.25">
      <c r="A22019" t="str">
        <f>"003338829"</f>
        <v>003338829</v>
      </c>
      <c r="B22019" t="str">
        <f>"1275828063"</f>
        <v>1275828063</v>
      </c>
      <c r="C22019" t="str">
        <f>"2080P0207X"</f>
        <v>2080P0207X</v>
      </c>
      <c r="D22019" t="str">
        <f>"SULIMAN                  ALI                      "</f>
        <v xml:space="preserve">SULIMAN                  ALI                      </v>
      </c>
      <c r="E22019" t="str">
        <f>"MEMPHIS                   "</f>
        <v xml:space="preserve">MEMPHIS                   </v>
      </c>
      <c r="F22019" t="str">
        <f t="shared" si="534"/>
        <v>TN</v>
      </c>
    </row>
    <row r="22020" spans="1:6" x14ac:dyDescent="0.25">
      <c r="A22020" t="str">
        <f>"003354215"</f>
        <v>003354215</v>
      </c>
      <c r="B22020" t="str">
        <f>"1548642382"</f>
        <v>1548642382</v>
      </c>
      <c r="C22020" t="str">
        <f>"207R00000X"</f>
        <v>207R00000X</v>
      </c>
      <c r="D22020" t="str">
        <f>"AMINI                    LALEH                    "</f>
        <v xml:space="preserve">AMINI                    LALEH                    </v>
      </c>
      <c r="E22020" t="str">
        <f>"GERMANTOWN                "</f>
        <v xml:space="preserve">GERMANTOWN                </v>
      </c>
      <c r="F22020" t="str">
        <f t="shared" si="534"/>
        <v>TN</v>
      </c>
    </row>
    <row r="22021" spans="1:6" x14ac:dyDescent="0.25">
      <c r="A22021" t="str">
        <f>"003355876"</f>
        <v>003355876</v>
      </c>
      <c r="B22021" t="str">
        <f>"1528276763"</f>
        <v>1528276763</v>
      </c>
      <c r="C22021" t="str">
        <f>"207R00000X"</f>
        <v>207R00000X</v>
      </c>
      <c r="D22021" t="str">
        <f>"KHATTAK                  AMNA         G           "</f>
        <v xml:space="preserve">KHATTAK                  AMNA         G           </v>
      </c>
      <c r="E22021" t="str">
        <f>"MEMPHIS                   "</f>
        <v xml:space="preserve">MEMPHIS                   </v>
      </c>
      <c r="F22021" t="str">
        <f t="shared" si="534"/>
        <v>TN</v>
      </c>
    </row>
    <row r="22022" spans="1:6" x14ac:dyDescent="0.25">
      <c r="A22022" t="str">
        <f>"003356031"</f>
        <v>003356031</v>
      </c>
      <c r="B22022" t="str">
        <f>"1508466467"</f>
        <v>1508466467</v>
      </c>
      <c r="C22022" t="str">
        <f>"363L00000X"</f>
        <v>363L00000X</v>
      </c>
      <c r="D22022" t="str">
        <f>"ALEXANDER                RYAIN                    "</f>
        <v xml:space="preserve">ALEXANDER                RYAIN                    </v>
      </c>
      <c r="E22022" t="str">
        <f>"MEMPHIS                   "</f>
        <v xml:space="preserve">MEMPHIS                   </v>
      </c>
      <c r="F22022" t="str">
        <f t="shared" si="534"/>
        <v>TN</v>
      </c>
    </row>
    <row r="22023" spans="1:6" x14ac:dyDescent="0.25">
      <c r="A22023" t="str">
        <f>"003358760"</f>
        <v>003358760</v>
      </c>
      <c r="B22023" t="str">
        <f>"1407884760"</f>
        <v>1407884760</v>
      </c>
      <c r="C22023" t="str">
        <f>"207R00000X"</f>
        <v>207R00000X</v>
      </c>
      <c r="D22023" t="str">
        <f>"DANG                     PAUL         H           "</f>
        <v xml:space="preserve">DANG                     PAUL         H           </v>
      </c>
      <c r="E22023" t="str">
        <f>"GERMANTOWN                "</f>
        <v xml:space="preserve">GERMANTOWN                </v>
      </c>
      <c r="F22023" t="str">
        <f t="shared" si="534"/>
        <v>TN</v>
      </c>
    </row>
    <row r="22024" spans="1:6" x14ac:dyDescent="0.25">
      <c r="A22024" t="str">
        <f>"003371362"</f>
        <v>003371362</v>
      </c>
      <c r="B22024" t="str">
        <f>"1114158698"</f>
        <v>1114158698</v>
      </c>
      <c r="C22024" t="str">
        <f>"2084N0400X"</f>
        <v>2084N0400X</v>
      </c>
      <c r="D22024" t="str">
        <f>"INOA ACOSTA              VIOLIZA                  "</f>
        <v xml:space="preserve">INOA ACOSTA              VIOLIZA                  </v>
      </c>
      <c r="E22024" t="str">
        <f t="shared" ref="E22024:E22032" si="535">"MEMPHIS                   "</f>
        <v xml:space="preserve">MEMPHIS                   </v>
      </c>
      <c r="F22024" t="str">
        <f t="shared" si="534"/>
        <v>TN</v>
      </c>
    </row>
    <row r="22025" spans="1:6" x14ac:dyDescent="0.25">
      <c r="A22025" t="str">
        <f>"003378041"</f>
        <v>003378041</v>
      </c>
      <c r="B22025" t="str">
        <f>"1902000698"</f>
        <v>1902000698</v>
      </c>
      <c r="C22025" t="str">
        <f>"207T00000X"</f>
        <v>207T00000X</v>
      </c>
      <c r="D22025" t="str">
        <f>"HOIT                     DANIEL       A           "</f>
        <v xml:space="preserve">HOIT                     DANIEL       A           </v>
      </c>
      <c r="E22025" t="str">
        <f t="shared" si="535"/>
        <v xml:space="preserve">MEMPHIS                   </v>
      </c>
      <c r="F22025" t="str">
        <f t="shared" si="534"/>
        <v>TN</v>
      </c>
    </row>
    <row r="22026" spans="1:6" x14ac:dyDescent="0.25">
      <c r="A22026" t="str">
        <f>"003383301"</f>
        <v>003383301</v>
      </c>
      <c r="B22026" t="str">
        <f>"1437608114"</f>
        <v>1437608114</v>
      </c>
      <c r="C22026" t="str">
        <f>"363L00000X"</f>
        <v>363L00000X</v>
      </c>
      <c r="D22026" t="str">
        <f>"CARTER                   SARAH        L           "</f>
        <v xml:space="preserve">CARTER                   SARAH        L           </v>
      </c>
      <c r="E22026" t="str">
        <f t="shared" si="535"/>
        <v xml:space="preserve">MEMPHIS                   </v>
      </c>
      <c r="F22026" t="str">
        <f t="shared" si="534"/>
        <v>TN</v>
      </c>
    </row>
    <row r="22027" spans="1:6" x14ac:dyDescent="0.25">
      <c r="A22027" t="str">
        <f>"003385320"</f>
        <v>003385320</v>
      </c>
      <c r="B22027" t="str">
        <f>"1235565409"</f>
        <v>1235565409</v>
      </c>
      <c r="C22027" t="str">
        <f>"207RH0003X"</f>
        <v>207RH0003X</v>
      </c>
      <c r="D22027" t="str">
        <f>"NAIK                     SWATI                    "</f>
        <v xml:space="preserve">NAIK                     SWATI                    </v>
      </c>
      <c r="E22027" t="str">
        <f t="shared" si="535"/>
        <v xml:space="preserve">MEMPHIS                   </v>
      </c>
      <c r="F22027" t="str">
        <f t="shared" si="534"/>
        <v>TN</v>
      </c>
    </row>
    <row r="22028" spans="1:6" x14ac:dyDescent="0.25">
      <c r="A22028" t="str">
        <f>"003425551"</f>
        <v>003425551</v>
      </c>
      <c r="B22028" t="str">
        <f>"1376811745"</f>
        <v>1376811745</v>
      </c>
      <c r="C22028" t="str">
        <f>"367500000X"</f>
        <v>367500000X</v>
      </c>
      <c r="D22028" t="str">
        <f>"RIKARD                   LAURA                    "</f>
        <v xml:space="preserve">RIKARD                   LAURA                    </v>
      </c>
      <c r="E22028" t="str">
        <f t="shared" si="535"/>
        <v xml:space="preserve">MEMPHIS                   </v>
      </c>
      <c r="F22028" t="str">
        <f t="shared" si="534"/>
        <v>TN</v>
      </c>
    </row>
    <row r="22029" spans="1:6" x14ac:dyDescent="0.25">
      <c r="A22029" t="str">
        <f>"003437502"</f>
        <v>003437502</v>
      </c>
      <c r="B22029" t="str">
        <f>"1669098273"</f>
        <v>1669098273</v>
      </c>
      <c r="C22029" t="str">
        <f>"367500000X"</f>
        <v>367500000X</v>
      </c>
      <c r="D22029" t="str">
        <f>"SMITHEY                  CASSANDRA    G           "</f>
        <v xml:space="preserve">SMITHEY                  CASSANDRA    G           </v>
      </c>
      <c r="E22029" t="str">
        <f t="shared" si="535"/>
        <v xml:space="preserve">MEMPHIS                   </v>
      </c>
      <c r="F22029" t="str">
        <f t="shared" si="534"/>
        <v>TN</v>
      </c>
    </row>
    <row r="22030" spans="1:6" x14ac:dyDescent="0.25">
      <c r="A22030" t="str">
        <f>"003438889"</f>
        <v>003438889</v>
      </c>
      <c r="B22030" t="str">
        <f>"1811127475"</f>
        <v>1811127475</v>
      </c>
      <c r="C22030" t="str">
        <f>"2084A2900X"</f>
        <v>2084A2900X</v>
      </c>
      <c r="D22030" t="str">
        <f>"NOBLEZA                  CHRISTA O'HAN            "</f>
        <v xml:space="preserve">NOBLEZA                  CHRISTA O'HAN            </v>
      </c>
      <c r="E22030" t="str">
        <f t="shared" si="535"/>
        <v xml:space="preserve">MEMPHIS                   </v>
      </c>
      <c r="F22030" t="str">
        <f t="shared" si="534"/>
        <v>TN</v>
      </c>
    </row>
    <row r="22031" spans="1:6" x14ac:dyDescent="0.25">
      <c r="A22031" t="str">
        <f>"003459056"</f>
        <v>003459056</v>
      </c>
      <c r="B22031" t="str">
        <f>"1801826961"</f>
        <v>1801826961</v>
      </c>
      <c r="C22031" t="str">
        <f>"207R00000X"</f>
        <v>207R00000X</v>
      </c>
      <c r="D22031" t="str">
        <f>"ILOH                     EMMANUEL     C           "</f>
        <v xml:space="preserve">ILOH                     EMMANUEL     C           </v>
      </c>
      <c r="E22031" t="str">
        <f t="shared" si="535"/>
        <v xml:space="preserve">MEMPHIS                   </v>
      </c>
      <c r="F22031" t="str">
        <f t="shared" si="534"/>
        <v>TN</v>
      </c>
    </row>
    <row r="22032" spans="1:6" x14ac:dyDescent="0.25">
      <c r="A22032" t="str">
        <f>"003459062"</f>
        <v>003459062</v>
      </c>
      <c r="B22032" t="str">
        <f>"1972271369"</f>
        <v>1972271369</v>
      </c>
      <c r="C22032" t="str">
        <f>"363L00000X"</f>
        <v>363L00000X</v>
      </c>
      <c r="D22032" t="str">
        <f>"BOWEN                    LINDA                    "</f>
        <v xml:space="preserve">BOWEN                    LINDA                    </v>
      </c>
      <c r="E22032" t="str">
        <f t="shared" si="535"/>
        <v xml:space="preserve">MEMPHIS                   </v>
      </c>
      <c r="F22032" t="str">
        <f t="shared" si="534"/>
        <v>TN</v>
      </c>
    </row>
    <row r="22033" spans="1:6" x14ac:dyDescent="0.25">
      <c r="A22033" t="str">
        <f>"003508265"</f>
        <v>003508265</v>
      </c>
      <c r="B22033" t="str">
        <f>"1316356454"</f>
        <v>1316356454</v>
      </c>
      <c r="C22033" t="str">
        <f>"363L00000X"</f>
        <v>363L00000X</v>
      </c>
      <c r="D22033" t="str">
        <f>"WADE-SMITH               DEANIE       E           "</f>
        <v xml:space="preserve">WADE-SMITH               DEANIE       E           </v>
      </c>
      <c r="E22033" t="str">
        <f>"GERMANTOWN                "</f>
        <v xml:space="preserve">GERMANTOWN                </v>
      </c>
      <c r="F22033" t="str">
        <f t="shared" si="534"/>
        <v>TN</v>
      </c>
    </row>
    <row r="22034" spans="1:6" x14ac:dyDescent="0.25">
      <c r="A22034" t="str">
        <f>"003524767"</f>
        <v>003524767</v>
      </c>
      <c r="B22034" t="str">
        <f>"1508995390"</f>
        <v>1508995390</v>
      </c>
      <c r="C22034" t="str">
        <f>"208000000X"</f>
        <v>208000000X</v>
      </c>
      <c r="D22034" t="str">
        <f>"WRIGHT                   TERESA       S           "</f>
        <v xml:space="preserve">WRIGHT                   TERESA       S           </v>
      </c>
      <c r="E22034" t="str">
        <f>"MEMPHIS                   "</f>
        <v xml:space="preserve">MEMPHIS                   </v>
      </c>
      <c r="F22034" t="str">
        <f t="shared" si="534"/>
        <v>TN</v>
      </c>
    </row>
    <row r="22035" spans="1:6" x14ac:dyDescent="0.25">
      <c r="A22035" t="str">
        <f>"003534377"</f>
        <v>003534377</v>
      </c>
      <c r="B22035" t="str">
        <f>"1588753727"</f>
        <v>1588753727</v>
      </c>
      <c r="C22035" t="str">
        <f>"207R00000X"</f>
        <v>207R00000X</v>
      </c>
      <c r="D22035" t="str">
        <f>"COPPESS                  MARK         A           "</f>
        <v xml:space="preserve">COPPESS                  MARK         A           </v>
      </c>
      <c r="E22035" t="str">
        <f>"GERMANTOWN                "</f>
        <v xml:space="preserve">GERMANTOWN                </v>
      </c>
      <c r="F22035" t="str">
        <f t="shared" si="534"/>
        <v>TN</v>
      </c>
    </row>
    <row r="22036" spans="1:6" x14ac:dyDescent="0.25">
      <c r="A22036" t="str">
        <f>"003538204"</f>
        <v>003538204</v>
      </c>
      <c r="B22036" t="str">
        <f>"1619282787"</f>
        <v>1619282787</v>
      </c>
      <c r="C22036" t="str">
        <f>"363LP0200X"</f>
        <v>363LP0200X</v>
      </c>
      <c r="D22036" t="str">
        <f>"ABRAMS                   LINDLEY                  "</f>
        <v xml:space="preserve">ABRAMS                   LINDLEY                  </v>
      </c>
      <c r="E22036" t="str">
        <f>"MEMPHIS                   "</f>
        <v xml:space="preserve">MEMPHIS                   </v>
      </c>
      <c r="F22036" t="str">
        <f t="shared" si="534"/>
        <v>TN</v>
      </c>
    </row>
    <row r="22037" spans="1:6" x14ac:dyDescent="0.25">
      <c r="A22037" t="str">
        <f>"003550879"</f>
        <v>003550879</v>
      </c>
      <c r="B22037" t="str">
        <f>"1659734002"</f>
        <v>1659734002</v>
      </c>
      <c r="C22037" t="str">
        <f>"207L00000X"</f>
        <v>207L00000X</v>
      </c>
      <c r="D22037" t="str">
        <f>"JOHNSON                  ERIC                     "</f>
        <v xml:space="preserve">JOHNSON                  ERIC                     </v>
      </c>
      <c r="E22037" t="str">
        <f>"MEMPHIS                   "</f>
        <v xml:space="preserve">MEMPHIS                   </v>
      </c>
      <c r="F22037" t="str">
        <f t="shared" si="534"/>
        <v>TN</v>
      </c>
    </row>
    <row r="22038" spans="1:6" x14ac:dyDescent="0.25">
      <c r="A22038" t="str">
        <f>"003572707"</f>
        <v>003572707</v>
      </c>
      <c r="B22038" t="str">
        <f>"1164819447"</f>
        <v>1164819447</v>
      </c>
      <c r="C22038" t="str">
        <f>"2084N0400X"</f>
        <v>2084N0400X</v>
      </c>
      <c r="D22038" t="str">
        <f>"PARSHA                   KAUSHIK                  "</f>
        <v xml:space="preserve">PARSHA                   KAUSHIK                  </v>
      </c>
      <c r="E22038" t="str">
        <f>"MEMPHIS                   "</f>
        <v xml:space="preserve">MEMPHIS                   </v>
      </c>
      <c r="F22038" t="str">
        <f t="shared" si="534"/>
        <v>TN</v>
      </c>
    </row>
    <row r="22039" spans="1:6" x14ac:dyDescent="0.25">
      <c r="A22039" t="str">
        <f>"003576365"</f>
        <v>003576365</v>
      </c>
      <c r="B22039" t="str">
        <f>"1720584816"</f>
        <v>1720584816</v>
      </c>
      <c r="C22039" t="str">
        <f>"363L00000X"</f>
        <v>363L00000X</v>
      </c>
      <c r="D22039" t="str">
        <f>"STONE                    TYSON        R           "</f>
        <v xml:space="preserve">STONE                    TYSON        R           </v>
      </c>
      <c r="E22039" t="str">
        <f>"GERMANTOWN                "</f>
        <v xml:space="preserve">GERMANTOWN                </v>
      </c>
      <c r="F22039" t="str">
        <f t="shared" si="534"/>
        <v>TN</v>
      </c>
    </row>
    <row r="22040" spans="1:6" x14ac:dyDescent="0.25">
      <c r="A22040" t="str">
        <f>"003584821"</f>
        <v>003584821</v>
      </c>
      <c r="B22040" t="str">
        <f>"1679110704"</f>
        <v>1679110704</v>
      </c>
      <c r="C22040" t="str">
        <f>"363L00000X"</f>
        <v>363L00000X</v>
      </c>
      <c r="D22040" t="str">
        <f>"GATLIN                   JENNIFER     M           "</f>
        <v xml:space="preserve">GATLIN                   JENNIFER     M           </v>
      </c>
      <c r="E22040" t="str">
        <f>"MEMPHIS                   "</f>
        <v xml:space="preserve">MEMPHIS                   </v>
      </c>
      <c r="F22040" t="str">
        <f t="shared" si="534"/>
        <v>TN</v>
      </c>
    </row>
    <row r="22041" spans="1:6" x14ac:dyDescent="0.25">
      <c r="A22041" t="str">
        <f>"003603756"</f>
        <v>003603756</v>
      </c>
      <c r="B22041" t="str">
        <f>"1053661587"</f>
        <v>1053661587</v>
      </c>
      <c r="C22041" t="str">
        <f>"363L00000X"</f>
        <v>363L00000X</v>
      </c>
      <c r="D22041" t="str">
        <f>"MARBLE                   LACIE        D           "</f>
        <v xml:space="preserve">MARBLE                   LACIE        D           </v>
      </c>
      <c r="E22041" t="str">
        <f>"GERMANTOWN                "</f>
        <v xml:space="preserve">GERMANTOWN                </v>
      </c>
      <c r="F22041" t="str">
        <f t="shared" si="534"/>
        <v>TN</v>
      </c>
    </row>
    <row r="22042" spans="1:6" x14ac:dyDescent="0.25">
      <c r="A22042" t="str">
        <f>"003604380"</f>
        <v>003604380</v>
      </c>
      <c r="B22042" t="str">
        <f>"1669569778"</f>
        <v>1669569778</v>
      </c>
      <c r="C22042" t="str">
        <f>"2086S0120X"</f>
        <v>2086S0120X</v>
      </c>
      <c r="D22042" t="str">
        <f>"LOVVORN                  HAROLD                   "</f>
        <v xml:space="preserve">LOVVORN                  HAROLD                   </v>
      </c>
      <c r="E22042" t="str">
        <f>"NASHVILLE                 "</f>
        <v xml:space="preserve">NASHVILLE                 </v>
      </c>
      <c r="F22042" t="str">
        <f t="shared" si="534"/>
        <v>TN</v>
      </c>
    </row>
    <row r="22043" spans="1:6" x14ac:dyDescent="0.25">
      <c r="A22043" t="str">
        <f>"003623543"</f>
        <v>003623543</v>
      </c>
      <c r="B22043" t="str">
        <f>"1992949309"</f>
        <v>1992949309</v>
      </c>
      <c r="C22043" t="str">
        <f>"207ZP0102X"</f>
        <v>207ZP0102X</v>
      </c>
      <c r="D22043" t="str">
        <f>"GILL                     FARRUKH                  "</f>
        <v xml:space="preserve">GILL                     FARRUKH                  </v>
      </c>
      <c r="E22043" t="str">
        <f>"MEMPHIS                   "</f>
        <v xml:space="preserve">MEMPHIS                   </v>
      </c>
      <c r="F22043" t="str">
        <f t="shared" si="534"/>
        <v>TN</v>
      </c>
    </row>
    <row r="22044" spans="1:6" x14ac:dyDescent="0.25">
      <c r="A22044" t="str">
        <f>"003628791"</f>
        <v>003628791</v>
      </c>
      <c r="B22044" t="str">
        <f>"1841630894"</f>
        <v>1841630894</v>
      </c>
      <c r="C22044" t="str">
        <f>"208000000X"</f>
        <v>208000000X</v>
      </c>
      <c r="D22044" t="str">
        <f>"KARIKARI                 YAA          S           "</f>
        <v xml:space="preserve">KARIKARI                 YAA          S           </v>
      </c>
      <c r="E22044" t="str">
        <f>"MEMPHIS                   "</f>
        <v xml:space="preserve">MEMPHIS                   </v>
      </c>
      <c r="F22044" t="str">
        <f t="shared" si="534"/>
        <v>TN</v>
      </c>
    </row>
    <row r="22045" spans="1:6" x14ac:dyDescent="0.25">
      <c r="A22045" t="str">
        <f>"003632516"</f>
        <v>003632516</v>
      </c>
      <c r="B22045" t="str">
        <f>"1548785744"</f>
        <v>1548785744</v>
      </c>
      <c r="C22045" t="str">
        <f>"207L00000X"</f>
        <v>207L00000X</v>
      </c>
      <c r="D22045" t="str">
        <f>"PARKER-RAJEWSKI          CHRISTOPHER              "</f>
        <v xml:space="preserve">PARKER-RAJEWSKI          CHRISTOPHER              </v>
      </c>
      <c r="E22045" t="str">
        <f>"MEMPHIS                   "</f>
        <v xml:space="preserve">MEMPHIS                   </v>
      </c>
      <c r="F22045" t="str">
        <f t="shared" si="534"/>
        <v>TN</v>
      </c>
    </row>
    <row r="22046" spans="1:6" x14ac:dyDescent="0.25">
      <c r="A22046" t="str">
        <f>"003637055"</f>
        <v>003637055</v>
      </c>
      <c r="B22046" t="str">
        <f>"1891998738"</f>
        <v>1891998738</v>
      </c>
      <c r="C22046" t="str">
        <f>"2085R0202X"</f>
        <v>2085R0202X</v>
      </c>
      <c r="D22046" t="str">
        <f>"JOSHI                    SUREKHA                  "</f>
        <v xml:space="preserve">JOSHI                    SUREKHA                  </v>
      </c>
      <c r="E22046" t="str">
        <f>"GERMANTOWN                "</f>
        <v xml:space="preserve">GERMANTOWN                </v>
      </c>
      <c r="F22046" t="str">
        <f t="shared" si="534"/>
        <v>TN</v>
      </c>
    </row>
    <row r="22047" spans="1:6" x14ac:dyDescent="0.25">
      <c r="A22047" t="str">
        <f>"003637091"</f>
        <v>003637091</v>
      </c>
      <c r="B22047" t="str">
        <f>"1184875387"</f>
        <v>1184875387</v>
      </c>
      <c r="C22047" t="str">
        <f>"2080P0205X"</f>
        <v>2080P0205X</v>
      </c>
      <c r="D22047" t="str">
        <f>"DELANEY FREEDMAN         ANGELA                   "</f>
        <v xml:space="preserve">DELANEY FREEDMAN         ANGELA                   </v>
      </c>
      <c r="E22047" t="str">
        <f>"MEMPHIS                   "</f>
        <v xml:space="preserve">MEMPHIS                   </v>
      </c>
      <c r="F22047" t="str">
        <f t="shared" si="534"/>
        <v>TN</v>
      </c>
    </row>
    <row r="22048" spans="1:6" x14ac:dyDescent="0.25">
      <c r="A22048" t="str">
        <f>"003637528"</f>
        <v>003637528</v>
      </c>
      <c r="B22048" t="str">
        <f>"1992703938"</f>
        <v>1992703938</v>
      </c>
      <c r="C22048" t="str">
        <f>"2086S0102X"</f>
        <v>2086S0102X</v>
      </c>
      <c r="D22048" t="str">
        <f>"NG                       THOMAS                   "</f>
        <v xml:space="preserve">NG                       THOMAS                   </v>
      </c>
      <c r="E22048" t="str">
        <f>"MEMPHIS                   "</f>
        <v xml:space="preserve">MEMPHIS                   </v>
      </c>
      <c r="F22048" t="str">
        <f t="shared" si="534"/>
        <v>TN</v>
      </c>
    </row>
    <row r="22049" spans="1:6" x14ac:dyDescent="0.25">
      <c r="A22049" t="str">
        <f>"003637778"</f>
        <v>003637778</v>
      </c>
      <c r="B22049" t="str">
        <f>"1083261242"</f>
        <v>1083261242</v>
      </c>
      <c r="C22049" t="str">
        <f>"367500000X"</f>
        <v>367500000X</v>
      </c>
      <c r="D22049" t="str">
        <f>"RIVERA                   NICOLE                   "</f>
        <v xml:space="preserve">RIVERA                   NICOLE                   </v>
      </c>
      <c r="E22049" t="str">
        <f>"MEMPHIS                   "</f>
        <v xml:space="preserve">MEMPHIS                   </v>
      </c>
      <c r="F22049" t="str">
        <f t="shared" si="534"/>
        <v>TN</v>
      </c>
    </row>
    <row r="22050" spans="1:6" x14ac:dyDescent="0.25">
      <c r="A22050" t="str">
        <f>"003676554"</f>
        <v>003676554</v>
      </c>
      <c r="B22050" t="str">
        <f>"1154564086"</f>
        <v>1154564086</v>
      </c>
      <c r="C22050" t="str">
        <f>"207RR0500X"</f>
        <v>207RR0500X</v>
      </c>
      <c r="D22050" t="str">
        <f>"KIM                      SEUNGHYUN                "</f>
        <v xml:space="preserve">KIM                      SEUNGHYUN                </v>
      </c>
      <c r="E22050" t="str">
        <f>"MEMPHIS                   "</f>
        <v xml:space="preserve">MEMPHIS                   </v>
      </c>
      <c r="F22050" t="str">
        <f t="shared" si="534"/>
        <v>TN</v>
      </c>
    </row>
    <row r="22051" spans="1:6" x14ac:dyDescent="0.25">
      <c r="A22051" t="str">
        <f>"003682758"</f>
        <v>003682758</v>
      </c>
      <c r="B22051" t="str">
        <f>"1740795731"</f>
        <v>1740795731</v>
      </c>
      <c r="C22051" t="str">
        <f>"363L00000X"</f>
        <v>363L00000X</v>
      </c>
      <c r="D22051" t="str">
        <f>"DUNAWAY                  EMILY        C           "</f>
        <v xml:space="preserve">DUNAWAY                  EMILY        C           </v>
      </c>
      <c r="E22051" t="str">
        <f>"GERMANTOWN                "</f>
        <v xml:space="preserve">GERMANTOWN                </v>
      </c>
      <c r="F22051" t="str">
        <f t="shared" si="534"/>
        <v>TN</v>
      </c>
    </row>
    <row r="22052" spans="1:6" x14ac:dyDescent="0.25">
      <c r="A22052" t="str">
        <f>"003689557"</f>
        <v>003689557</v>
      </c>
      <c r="B22052" t="str">
        <f>"1942475728"</f>
        <v>1942475728</v>
      </c>
      <c r="C22052" t="str">
        <f>"207VM0101X"</f>
        <v>207VM0101X</v>
      </c>
      <c r="D22052" t="str">
        <f>"TATE                     DANIELLE     L           "</f>
        <v xml:space="preserve">TATE                     DANIELLE     L           </v>
      </c>
      <c r="E22052" t="str">
        <f>"MEMPHIS                   "</f>
        <v xml:space="preserve">MEMPHIS                   </v>
      </c>
      <c r="F22052" t="str">
        <f t="shared" si="534"/>
        <v>TN</v>
      </c>
    </row>
    <row r="22053" spans="1:6" x14ac:dyDescent="0.25">
      <c r="A22053" t="str">
        <f>"003709511"</f>
        <v>003709511</v>
      </c>
      <c r="B22053" t="str">
        <f>"1053519207"</f>
        <v>1053519207</v>
      </c>
      <c r="C22053" t="str">
        <f>"363L00000X"</f>
        <v>363L00000X</v>
      </c>
      <c r="D22053" t="str">
        <f>"RADER                    LISA         R           "</f>
        <v xml:space="preserve">RADER                    LISA         R           </v>
      </c>
      <c r="E22053" t="str">
        <f>"GERMANTOWN                "</f>
        <v xml:space="preserve">GERMANTOWN                </v>
      </c>
      <c r="F22053" t="str">
        <f t="shared" si="534"/>
        <v>TN</v>
      </c>
    </row>
    <row r="22054" spans="1:6" x14ac:dyDescent="0.25">
      <c r="A22054" t="str">
        <f>"003728004"</f>
        <v>003728004</v>
      </c>
      <c r="B22054" t="str">
        <f>"1932496957"</f>
        <v>1932496957</v>
      </c>
      <c r="C22054" t="str">
        <f>"208000000X"</f>
        <v>208000000X</v>
      </c>
      <c r="D22054" t="str">
        <f>"HASHMI                   SAMAN        K           "</f>
        <v xml:space="preserve">HASHMI                   SAMAN        K           </v>
      </c>
      <c r="E22054" t="str">
        <f>"MEMPHIS                   "</f>
        <v xml:space="preserve">MEMPHIS                   </v>
      </c>
      <c r="F22054" t="str">
        <f t="shared" si="534"/>
        <v>TN</v>
      </c>
    </row>
    <row r="22055" spans="1:6" x14ac:dyDescent="0.25">
      <c r="A22055" t="str">
        <f>"003753712"</f>
        <v>003753712</v>
      </c>
      <c r="B22055" t="str">
        <f>"1457350407"</f>
        <v>1457350407</v>
      </c>
      <c r="C22055" t="str">
        <f>"367500000X"</f>
        <v>367500000X</v>
      </c>
      <c r="D22055" t="str">
        <f>"BROWN                    KATHRYN      M           "</f>
        <v xml:space="preserve">BROWN                    KATHRYN      M           </v>
      </c>
      <c r="E22055" t="str">
        <f>"MEMPHIS                   "</f>
        <v xml:space="preserve">MEMPHIS                   </v>
      </c>
      <c r="F22055" t="str">
        <f t="shared" si="534"/>
        <v>TN</v>
      </c>
    </row>
    <row r="22056" spans="1:6" x14ac:dyDescent="0.25">
      <c r="A22056" t="str">
        <f>"003756241"</f>
        <v>003756241</v>
      </c>
      <c r="B22056" t="str">
        <f>"1588616262"</f>
        <v>1588616262</v>
      </c>
      <c r="C22056" t="str">
        <f>"2080P0203X"</f>
        <v>2080P0203X</v>
      </c>
      <c r="D22056" t="str">
        <f>"MCARTHUR                 JENNIFER     A           "</f>
        <v xml:space="preserve">MCARTHUR                 JENNIFER     A           </v>
      </c>
      <c r="E22056" t="str">
        <f>"MEMPHIS                   "</f>
        <v xml:space="preserve">MEMPHIS                   </v>
      </c>
      <c r="F22056" t="str">
        <f t="shared" si="534"/>
        <v>TN</v>
      </c>
    </row>
    <row r="22057" spans="1:6" x14ac:dyDescent="0.25">
      <c r="A22057" t="str">
        <f>"003778551"</f>
        <v>003778551</v>
      </c>
      <c r="B22057" t="str">
        <f>"1568043024"</f>
        <v>1568043024</v>
      </c>
      <c r="C22057" t="str">
        <f>"363LF0000X"</f>
        <v>363LF0000X</v>
      </c>
      <c r="D22057" t="str">
        <f>"HAYNES                   CAITLIN      T           "</f>
        <v xml:space="preserve">HAYNES                   CAITLIN      T           </v>
      </c>
      <c r="E22057" t="str">
        <f>"MEMPHIS                   "</f>
        <v xml:space="preserve">MEMPHIS                   </v>
      </c>
      <c r="F22057" t="str">
        <f t="shared" si="534"/>
        <v>TN</v>
      </c>
    </row>
    <row r="22058" spans="1:6" x14ac:dyDescent="0.25">
      <c r="A22058" t="str">
        <f>"003779252"</f>
        <v>003779252</v>
      </c>
      <c r="B22058" t="str">
        <f>"1306453345"</f>
        <v>1306453345</v>
      </c>
      <c r="C22058" t="str">
        <f>"367500000X"</f>
        <v>367500000X</v>
      </c>
      <c r="D22058" t="str">
        <f>"BOMAR RILEY              ERIN                     "</f>
        <v xml:space="preserve">BOMAR RILEY              ERIN                     </v>
      </c>
      <c r="E22058" t="str">
        <f>"KNOXVILLE                 "</f>
        <v xml:space="preserve">KNOXVILLE                 </v>
      </c>
      <c r="F22058" t="str">
        <f t="shared" si="534"/>
        <v>TN</v>
      </c>
    </row>
    <row r="22059" spans="1:6" x14ac:dyDescent="0.25">
      <c r="A22059" t="str">
        <f>"003787223"</f>
        <v>003787223</v>
      </c>
      <c r="B22059" t="str">
        <f>"1386865046"</f>
        <v>1386865046</v>
      </c>
      <c r="C22059" t="str">
        <f>"367500000X"</f>
        <v>367500000X</v>
      </c>
      <c r="D22059" t="str">
        <f>"BUCKALEW                 ANGELA                   "</f>
        <v xml:space="preserve">BUCKALEW                 ANGELA                   </v>
      </c>
      <c r="E22059" t="str">
        <f>"MEMPHIS                   "</f>
        <v xml:space="preserve">MEMPHIS                   </v>
      </c>
      <c r="F22059" t="str">
        <f t="shared" si="534"/>
        <v>TN</v>
      </c>
    </row>
    <row r="22060" spans="1:6" x14ac:dyDescent="0.25">
      <c r="A22060" t="str">
        <f>"003789704"</f>
        <v>003789704</v>
      </c>
      <c r="B22060" t="str">
        <f>"1285958835"</f>
        <v>1285958835</v>
      </c>
      <c r="C22060" t="str">
        <f>"2080P0203X"</f>
        <v>2080P0203X</v>
      </c>
      <c r="D22060" t="str">
        <f>"KRAMER                   JENNIFER                 "</f>
        <v xml:space="preserve">KRAMER                   JENNIFER                 </v>
      </c>
      <c r="E22060" t="str">
        <f>"MEMPHIS                   "</f>
        <v xml:space="preserve">MEMPHIS                   </v>
      </c>
      <c r="F22060" t="str">
        <f t="shared" si="534"/>
        <v>TN</v>
      </c>
    </row>
    <row r="22061" spans="1:6" x14ac:dyDescent="0.25">
      <c r="A22061" t="str">
        <f>"003821793"</f>
        <v>003821793</v>
      </c>
      <c r="B22061" t="str">
        <f>"1962940866"</f>
        <v>1962940866</v>
      </c>
      <c r="C22061" t="str">
        <f>"363L00000X"</f>
        <v>363L00000X</v>
      </c>
      <c r="D22061" t="str">
        <f>"LYON                     STEPHANIE                "</f>
        <v xml:space="preserve">LYON                     STEPHANIE                </v>
      </c>
      <c r="E22061" t="str">
        <f>"MEMPHIS                   "</f>
        <v xml:space="preserve">MEMPHIS                   </v>
      </c>
      <c r="F22061" t="str">
        <f t="shared" si="534"/>
        <v>TN</v>
      </c>
    </row>
    <row r="22062" spans="1:6" x14ac:dyDescent="0.25">
      <c r="A22062" t="str">
        <f>"003822281"</f>
        <v>003822281</v>
      </c>
      <c r="B22062" t="str">
        <f>"1538418389"</f>
        <v>1538418389</v>
      </c>
      <c r="C22062" t="str">
        <f>"363LF0000X"</f>
        <v>363LF0000X</v>
      </c>
      <c r="D22062" t="str">
        <f>"ANDREWS                  SHEKINAH     J           "</f>
        <v xml:space="preserve">ANDREWS                  SHEKINAH     J           </v>
      </c>
      <c r="E22062" t="str">
        <f>"MEMPHIS                   "</f>
        <v xml:space="preserve">MEMPHIS                   </v>
      </c>
      <c r="F22062" t="str">
        <f t="shared" si="534"/>
        <v>TN</v>
      </c>
    </row>
    <row r="22063" spans="1:6" x14ac:dyDescent="0.25">
      <c r="A22063" t="str">
        <f>"003835575"</f>
        <v>003835575</v>
      </c>
      <c r="B22063" t="str">
        <f>"1982652624"</f>
        <v>1982652624</v>
      </c>
      <c r="C22063" t="str">
        <f>"363A00000X"</f>
        <v>363A00000X</v>
      </c>
      <c r="D22063" t="str">
        <f>"CLARK                    KAREN                    "</f>
        <v xml:space="preserve">CLARK                    KAREN                    </v>
      </c>
      <c r="E22063" t="str">
        <f>"MEMPHIS                   "</f>
        <v xml:space="preserve">MEMPHIS                   </v>
      </c>
      <c r="F22063" t="str">
        <f t="shared" si="534"/>
        <v>TN</v>
      </c>
    </row>
    <row r="22064" spans="1:6" x14ac:dyDescent="0.25">
      <c r="A22064" t="str">
        <f>"003837301"</f>
        <v>003837301</v>
      </c>
      <c r="B22064" t="str">
        <f>"1245599109"</f>
        <v>1245599109</v>
      </c>
      <c r="C22064" t="str">
        <f>"207R00000X"</f>
        <v>207R00000X</v>
      </c>
      <c r="D22064" t="str">
        <f>"MUNN                     CATHERINE    M           "</f>
        <v xml:space="preserve">MUNN                     CATHERINE    M           </v>
      </c>
      <c r="E22064" t="str">
        <f>"GERMANTOWN                "</f>
        <v xml:space="preserve">GERMANTOWN                </v>
      </c>
      <c r="F22064" t="str">
        <f t="shared" si="534"/>
        <v>TN</v>
      </c>
    </row>
    <row r="22065" spans="1:6" x14ac:dyDescent="0.25">
      <c r="A22065" t="str">
        <f>"003850221"</f>
        <v>003850221</v>
      </c>
      <c r="B22065" t="str">
        <f>"1205279437"</f>
        <v>1205279437</v>
      </c>
      <c r="C22065" t="str">
        <f>"207R00000X"</f>
        <v>207R00000X</v>
      </c>
      <c r="D22065" t="str">
        <f>"LANCASTER                WILLIAM      J           "</f>
        <v xml:space="preserve">LANCASTER                WILLIAM      J           </v>
      </c>
      <c r="E22065" t="str">
        <f t="shared" ref="E22065:E22073" si="536">"MEMPHIS                   "</f>
        <v xml:space="preserve">MEMPHIS                   </v>
      </c>
      <c r="F22065" t="str">
        <f t="shared" si="534"/>
        <v>TN</v>
      </c>
    </row>
    <row r="22066" spans="1:6" x14ac:dyDescent="0.25">
      <c r="A22066" t="str">
        <f>"003870709"</f>
        <v>003870709</v>
      </c>
      <c r="B22066" t="str">
        <f>"1932361979"</f>
        <v>1932361979</v>
      </c>
      <c r="C22066" t="str">
        <f>"207RE0101X"</f>
        <v>207RE0101X</v>
      </c>
      <c r="D22066" t="str">
        <f>"KARABELL                 ANA          H           "</f>
        <v xml:space="preserve">KARABELL                 ANA          H           </v>
      </c>
      <c r="E22066" t="str">
        <f t="shared" si="536"/>
        <v xml:space="preserve">MEMPHIS                   </v>
      </c>
      <c r="F22066" t="str">
        <f t="shared" si="534"/>
        <v>TN</v>
      </c>
    </row>
    <row r="22067" spans="1:6" x14ac:dyDescent="0.25">
      <c r="A22067" t="str">
        <f>"003871102"</f>
        <v>003871102</v>
      </c>
      <c r="B22067" t="str">
        <f>"1467106971"</f>
        <v>1467106971</v>
      </c>
      <c r="C22067" t="str">
        <f>"363L00000X"</f>
        <v>363L00000X</v>
      </c>
      <c r="D22067" t="str">
        <f>"CAMPBELL                 JASMINE      E           "</f>
        <v xml:space="preserve">CAMPBELL                 JASMINE      E           </v>
      </c>
      <c r="E22067" t="str">
        <f t="shared" si="536"/>
        <v xml:space="preserve">MEMPHIS                   </v>
      </c>
      <c r="F22067" t="str">
        <f t="shared" si="534"/>
        <v>TN</v>
      </c>
    </row>
    <row r="22068" spans="1:6" x14ac:dyDescent="0.25">
      <c r="A22068" t="str">
        <f>"003872050"</f>
        <v>003872050</v>
      </c>
      <c r="B22068" t="str">
        <f>"1407969843"</f>
        <v>1407969843</v>
      </c>
      <c r="C22068" t="str">
        <f>"208600000X"</f>
        <v>208600000X</v>
      </c>
      <c r="D22068" t="str">
        <f>"FORE                     DANIEL       B           "</f>
        <v xml:space="preserve">FORE                     DANIEL       B           </v>
      </c>
      <c r="E22068" t="str">
        <f t="shared" si="536"/>
        <v xml:space="preserve">MEMPHIS                   </v>
      </c>
      <c r="F22068" t="str">
        <f t="shared" si="534"/>
        <v>TN</v>
      </c>
    </row>
    <row r="22069" spans="1:6" x14ac:dyDescent="0.25">
      <c r="A22069" t="str">
        <f>"003875509"</f>
        <v>003875509</v>
      </c>
      <c r="B22069" t="str">
        <f>"1184010308"</f>
        <v>1184010308</v>
      </c>
      <c r="C22069" t="str">
        <f>"207W00000X"</f>
        <v>207W00000X</v>
      </c>
      <c r="D22069" t="str">
        <f>"WRIGHT                   CLAIRE       L           "</f>
        <v xml:space="preserve">WRIGHT                   CLAIRE       L           </v>
      </c>
      <c r="E22069" t="str">
        <f t="shared" si="536"/>
        <v xml:space="preserve">MEMPHIS                   </v>
      </c>
      <c r="F22069" t="str">
        <f t="shared" si="534"/>
        <v>TN</v>
      </c>
    </row>
    <row r="22070" spans="1:6" x14ac:dyDescent="0.25">
      <c r="A22070" t="str">
        <f>"003886841"</f>
        <v>003886841</v>
      </c>
      <c r="B22070" t="str">
        <f>"1174049530"</f>
        <v>1174049530</v>
      </c>
      <c r="C22070" t="str">
        <f>"363L00000X"</f>
        <v>363L00000X</v>
      </c>
      <c r="D22070" t="str">
        <f>"FAYNE                    KRISTY       A           "</f>
        <v xml:space="preserve">FAYNE                    KRISTY       A           </v>
      </c>
      <c r="E22070" t="str">
        <f t="shared" si="536"/>
        <v xml:space="preserve">MEMPHIS                   </v>
      </c>
      <c r="F22070" t="str">
        <f t="shared" si="534"/>
        <v>TN</v>
      </c>
    </row>
    <row r="22071" spans="1:6" x14ac:dyDescent="0.25">
      <c r="A22071" t="str">
        <f>"003939758"</f>
        <v>003939758</v>
      </c>
      <c r="B22071" t="str">
        <f>"1033363742"</f>
        <v>1033363742</v>
      </c>
      <c r="C22071" t="str">
        <f>"367500000X"</f>
        <v>367500000X</v>
      </c>
      <c r="D22071" t="str">
        <f>"VIOX                     DALE         A           "</f>
        <v xml:space="preserve">VIOX                     DALE         A           </v>
      </c>
      <c r="E22071" t="str">
        <f t="shared" si="536"/>
        <v xml:space="preserve">MEMPHIS                   </v>
      </c>
      <c r="F22071" t="str">
        <f t="shared" si="534"/>
        <v>TN</v>
      </c>
    </row>
    <row r="22072" spans="1:6" x14ac:dyDescent="0.25">
      <c r="A22072" t="str">
        <f>"003959344"</f>
        <v>003959344</v>
      </c>
      <c r="B22072" t="str">
        <f>"1194072553"</f>
        <v>1194072553</v>
      </c>
      <c r="C22072" t="str">
        <f>"363L00000X"</f>
        <v>363L00000X</v>
      </c>
      <c r="D22072" t="str">
        <f>"TODD                     EMILY        C           "</f>
        <v xml:space="preserve">TODD                     EMILY        C           </v>
      </c>
      <c r="E22072" t="str">
        <f t="shared" si="536"/>
        <v xml:space="preserve">MEMPHIS                   </v>
      </c>
      <c r="F22072" t="str">
        <f t="shared" si="534"/>
        <v>TN</v>
      </c>
    </row>
    <row r="22073" spans="1:6" x14ac:dyDescent="0.25">
      <c r="A22073" t="str">
        <f>"003974827"</f>
        <v>003974827</v>
      </c>
      <c r="B22073" t="str">
        <f>"1154763373"</f>
        <v>1154763373</v>
      </c>
      <c r="C22073" t="str">
        <f>"363LF0000X"</f>
        <v>363LF0000X</v>
      </c>
      <c r="D22073" t="str">
        <f>"LANDRUM                  ASHLEY                   "</f>
        <v xml:space="preserve">LANDRUM                  ASHLEY                   </v>
      </c>
      <c r="E22073" t="str">
        <f t="shared" si="536"/>
        <v xml:space="preserve">MEMPHIS                   </v>
      </c>
      <c r="F22073" t="str">
        <f t="shared" si="534"/>
        <v>TN</v>
      </c>
    </row>
    <row r="22074" spans="1:6" x14ac:dyDescent="0.25">
      <c r="A22074" t="str">
        <f>"003974850"</f>
        <v>003974850</v>
      </c>
      <c r="B22074" t="str">
        <f>"1366069551"</f>
        <v>1366069551</v>
      </c>
      <c r="C22074" t="str">
        <f>"363L00000X"</f>
        <v>363L00000X</v>
      </c>
      <c r="D22074" t="str">
        <f>"BURNETT                  PERSEPHONE   A           "</f>
        <v xml:space="preserve">BURNETT                  PERSEPHONE   A           </v>
      </c>
      <c r="E22074" t="str">
        <f>"GERMANTOWN                "</f>
        <v xml:space="preserve">GERMANTOWN                </v>
      </c>
      <c r="F22074" t="str">
        <f t="shared" si="534"/>
        <v>TN</v>
      </c>
    </row>
    <row r="22075" spans="1:6" x14ac:dyDescent="0.25">
      <c r="A22075" t="str">
        <f>"003976228"</f>
        <v>003976228</v>
      </c>
      <c r="B22075" t="str">
        <f>"1427254879"</f>
        <v>1427254879</v>
      </c>
      <c r="C22075" t="str">
        <f>"367A00000X"</f>
        <v>367A00000X</v>
      </c>
      <c r="D22075" t="str">
        <f>"LOFT                     BRENDA       C           "</f>
        <v xml:space="preserve">LOFT                     BRENDA       C           </v>
      </c>
      <c r="E22075" t="str">
        <f t="shared" ref="E22075:E22082" si="537">"MEMPHIS                   "</f>
        <v xml:space="preserve">MEMPHIS                   </v>
      </c>
      <c r="F22075" t="str">
        <f t="shared" si="534"/>
        <v>TN</v>
      </c>
    </row>
    <row r="22076" spans="1:6" x14ac:dyDescent="0.25">
      <c r="A22076" t="str">
        <f>"003987031"</f>
        <v>003987031</v>
      </c>
      <c r="B22076" t="str">
        <f>"1295238160"</f>
        <v>1295238160</v>
      </c>
      <c r="C22076" t="str">
        <f>"363L00000X"</f>
        <v>363L00000X</v>
      </c>
      <c r="D22076" t="str">
        <f>"THOMPSON                 MARY         W           "</f>
        <v xml:space="preserve">THOMPSON                 MARY         W           </v>
      </c>
      <c r="E22076" t="str">
        <f t="shared" si="537"/>
        <v xml:space="preserve">MEMPHIS                   </v>
      </c>
      <c r="F22076" t="str">
        <f t="shared" si="534"/>
        <v>TN</v>
      </c>
    </row>
    <row r="22077" spans="1:6" x14ac:dyDescent="0.25">
      <c r="A22077" t="str">
        <f>"003989793"</f>
        <v>003989793</v>
      </c>
      <c r="B22077" t="str">
        <f>"1366596066"</f>
        <v>1366596066</v>
      </c>
      <c r="C22077" t="str">
        <f>"363L00000X"</f>
        <v>363L00000X</v>
      </c>
      <c r="D22077" t="str">
        <f>"SMITH                    REGINA       C           "</f>
        <v xml:space="preserve">SMITH                    REGINA       C           </v>
      </c>
      <c r="E22077" t="str">
        <f t="shared" si="537"/>
        <v xml:space="preserve">MEMPHIS                   </v>
      </c>
      <c r="F22077" t="str">
        <f t="shared" si="534"/>
        <v>TN</v>
      </c>
    </row>
    <row r="22078" spans="1:6" x14ac:dyDescent="0.25">
      <c r="A22078" t="str">
        <f>"004009235"</f>
        <v>004009235</v>
      </c>
      <c r="B22078" t="str">
        <f>"1720078827"</f>
        <v>1720078827</v>
      </c>
      <c r="C22078" t="str">
        <f>"2086S0120X"</f>
        <v>2086S0120X</v>
      </c>
      <c r="D22078" t="str">
        <f>"EINHAUS                  STEPHANIE    L           "</f>
        <v xml:space="preserve">EINHAUS                  STEPHANIE    L           </v>
      </c>
      <c r="E22078" t="str">
        <f t="shared" si="537"/>
        <v xml:space="preserve">MEMPHIS                   </v>
      </c>
      <c r="F22078" t="str">
        <f t="shared" ref="F22078:F22141" si="538">"TN"</f>
        <v>TN</v>
      </c>
    </row>
    <row r="22079" spans="1:6" x14ac:dyDescent="0.25">
      <c r="A22079" t="str">
        <f>"004025726"</f>
        <v>004025726</v>
      </c>
      <c r="B22079" t="str">
        <f>"1669717328"</f>
        <v>1669717328</v>
      </c>
      <c r="C22079" t="str">
        <f>"363A00000X"</f>
        <v>363A00000X</v>
      </c>
      <c r="D22079" t="str">
        <f>"TUCKER                   JUSTIN                   "</f>
        <v xml:space="preserve">TUCKER                   JUSTIN                   </v>
      </c>
      <c r="E22079" t="str">
        <f t="shared" si="537"/>
        <v xml:space="preserve">MEMPHIS                   </v>
      </c>
      <c r="F22079" t="str">
        <f t="shared" si="538"/>
        <v>TN</v>
      </c>
    </row>
    <row r="22080" spans="1:6" x14ac:dyDescent="0.25">
      <c r="A22080" t="str">
        <f>"004029309"</f>
        <v>004029309</v>
      </c>
      <c r="B22080" t="str">
        <f>"1104218312"</f>
        <v>1104218312</v>
      </c>
      <c r="C22080" t="str">
        <f>"363L00000X"</f>
        <v>363L00000X</v>
      </c>
      <c r="D22080" t="str">
        <f>"BYRD                     ASHLEY       N           "</f>
        <v xml:space="preserve">BYRD                     ASHLEY       N           </v>
      </c>
      <c r="E22080" t="str">
        <f t="shared" si="537"/>
        <v xml:space="preserve">MEMPHIS                   </v>
      </c>
      <c r="F22080" t="str">
        <f t="shared" si="538"/>
        <v>TN</v>
      </c>
    </row>
    <row r="22081" spans="1:6" x14ac:dyDescent="0.25">
      <c r="A22081" t="str">
        <f>"004030010"</f>
        <v>004030010</v>
      </c>
      <c r="B22081" t="str">
        <f>"1386957058"</f>
        <v>1386957058</v>
      </c>
      <c r="C22081" t="str">
        <f>"2085R0202X"</f>
        <v>2085R0202X</v>
      </c>
      <c r="D22081" t="str">
        <f>"PANDE                    VIJAY        S           "</f>
        <v xml:space="preserve">PANDE                    VIJAY        S           </v>
      </c>
      <c r="E22081" t="str">
        <f t="shared" si="537"/>
        <v xml:space="preserve">MEMPHIS                   </v>
      </c>
      <c r="F22081" t="str">
        <f t="shared" si="538"/>
        <v>TN</v>
      </c>
    </row>
    <row r="22082" spans="1:6" x14ac:dyDescent="0.25">
      <c r="A22082" t="str">
        <f>"004032065"</f>
        <v>004032065</v>
      </c>
      <c r="B22082" t="str">
        <f>"1548467376"</f>
        <v>1548467376</v>
      </c>
      <c r="C22082" t="str">
        <f>"2085R0202X"</f>
        <v>2085R0202X</v>
      </c>
      <c r="D22082" t="str">
        <f>"SMITH                    ADAM         G           "</f>
        <v xml:space="preserve">SMITH                    ADAM         G           </v>
      </c>
      <c r="E22082" t="str">
        <f t="shared" si="537"/>
        <v xml:space="preserve">MEMPHIS                   </v>
      </c>
      <c r="F22082" t="str">
        <f t="shared" si="538"/>
        <v>TN</v>
      </c>
    </row>
    <row r="22083" spans="1:6" x14ac:dyDescent="0.25">
      <c r="A22083" t="str">
        <f>"004039005"</f>
        <v>004039005</v>
      </c>
      <c r="B22083" t="str">
        <f>"1073731592"</f>
        <v>1073731592</v>
      </c>
      <c r="C22083" t="str">
        <f>"207RC0000X"</f>
        <v>207RC0000X</v>
      </c>
      <c r="D22083" t="str">
        <f>"PAULUS                   BASIL        M           "</f>
        <v xml:space="preserve">PAULUS                   BASIL        M           </v>
      </c>
      <c r="E22083" t="str">
        <f>"GERMANTOWN                "</f>
        <v xml:space="preserve">GERMANTOWN                </v>
      </c>
      <c r="F22083" t="str">
        <f t="shared" si="538"/>
        <v>TN</v>
      </c>
    </row>
    <row r="22084" spans="1:6" x14ac:dyDescent="0.25">
      <c r="A22084" t="str">
        <f>"004051338"</f>
        <v>004051338</v>
      </c>
      <c r="B22084" t="str">
        <f>"1487611141"</f>
        <v>1487611141</v>
      </c>
      <c r="C22084" t="str">
        <f>"2085R0202X"</f>
        <v>2085R0202X</v>
      </c>
      <c r="D22084" t="str">
        <f>"SMOTHERS                 CHANDREA     D           "</f>
        <v xml:space="preserve">SMOTHERS                 CHANDREA     D           </v>
      </c>
      <c r="E22084" t="str">
        <f>"MEMPHIS                   "</f>
        <v xml:space="preserve">MEMPHIS                   </v>
      </c>
      <c r="F22084" t="str">
        <f t="shared" si="538"/>
        <v>TN</v>
      </c>
    </row>
    <row r="22085" spans="1:6" x14ac:dyDescent="0.25">
      <c r="A22085" t="str">
        <f>"004058321"</f>
        <v>004058321</v>
      </c>
      <c r="B22085" t="str">
        <f>"1073841235"</f>
        <v>1073841235</v>
      </c>
      <c r="C22085" t="str">
        <f>"363L00000X"</f>
        <v>363L00000X</v>
      </c>
      <c r="D22085" t="str">
        <f>"JONES                    TANYA                    "</f>
        <v xml:space="preserve">JONES                    TANYA                    </v>
      </c>
      <c r="E22085" t="str">
        <f>"MEMPHIS                   "</f>
        <v xml:space="preserve">MEMPHIS                   </v>
      </c>
      <c r="F22085" t="str">
        <f t="shared" si="538"/>
        <v>TN</v>
      </c>
    </row>
    <row r="22086" spans="1:6" x14ac:dyDescent="0.25">
      <c r="A22086" t="str">
        <f>"004073528"</f>
        <v>004073528</v>
      </c>
      <c r="B22086" t="str">
        <f>"1952715187"</f>
        <v>1952715187</v>
      </c>
      <c r="C22086" t="str">
        <f>"207X00000X"</f>
        <v>207X00000X</v>
      </c>
      <c r="D22086" t="str">
        <f>"COSGROVE                 CHRISTOPHER  T           "</f>
        <v xml:space="preserve">COSGROVE                 CHRISTOPHER  T           </v>
      </c>
      <c r="E22086" t="str">
        <f>"GERMANTOWN                "</f>
        <v xml:space="preserve">GERMANTOWN                </v>
      </c>
      <c r="F22086" t="str">
        <f t="shared" si="538"/>
        <v>TN</v>
      </c>
    </row>
    <row r="22087" spans="1:6" x14ac:dyDescent="0.25">
      <c r="A22087" t="str">
        <f>"004078832"</f>
        <v>004078832</v>
      </c>
      <c r="B22087" t="str">
        <f>"1447216692"</f>
        <v>1447216692</v>
      </c>
      <c r="C22087" t="str">
        <f>"207RG0100X"</f>
        <v>207RG0100X</v>
      </c>
      <c r="D22087" t="str">
        <f>"PARSI                    MANSOUR      A           "</f>
        <v xml:space="preserve">PARSI                    MANSOUR      A           </v>
      </c>
      <c r="E22087" t="str">
        <f>"MEMPHIS                   "</f>
        <v xml:space="preserve">MEMPHIS                   </v>
      </c>
      <c r="F22087" t="str">
        <f t="shared" si="538"/>
        <v>TN</v>
      </c>
    </row>
    <row r="22088" spans="1:6" x14ac:dyDescent="0.25">
      <c r="A22088" t="str">
        <f>"004082303"</f>
        <v>004082303</v>
      </c>
      <c r="B22088" t="str">
        <f>"1952921256"</f>
        <v>1952921256</v>
      </c>
      <c r="C22088" t="str">
        <f>"367500000X"</f>
        <v>367500000X</v>
      </c>
      <c r="D22088" t="str">
        <f>"GOUGH                    HUNTER       C           "</f>
        <v xml:space="preserve">GOUGH                    HUNTER       C           </v>
      </c>
      <c r="E22088" t="str">
        <f>"MEMPHIS                   "</f>
        <v xml:space="preserve">MEMPHIS                   </v>
      </c>
      <c r="F22088" t="str">
        <f t="shared" si="538"/>
        <v>TN</v>
      </c>
    </row>
    <row r="22089" spans="1:6" x14ac:dyDescent="0.25">
      <c r="A22089" t="str">
        <f>"004088114"</f>
        <v>004088114</v>
      </c>
      <c r="B22089" t="str">
        <f>"1609072842"</f>
        <v>1609072842</v>
      </c>
      <c r="C22089" t="str">
        <f>"207Y00000X"</f>
        <v>207Y00000X</v>
      </c>
      <c r="D22089" t="str">
        <f>"SHIRES                   COURTNEY     B           "</f>
        <v xml:space="preserve">SHIRES                   COURTNEY     B           </v>
      </c>
      <c r="E22089" t="str">
        <f>"GERMANTOWN                "</f>
        <v xml:space="preserve">GERMANTOWN                </v>
      </c>
      <c r="F22089" t="str">
        <f t="shared" si="538"/>
        <v>TN</v>
      </c>
    </row>
    <row r="22090" spans="1:6" x14ac:dyDescent="0.25">
      <c r="A22090" t="str">
        <f>"004102876"</f>
        <v>004102876</v>
      </c>
      <c r="B22090" t="str">
        <f>"1174032213"</f>
        <v>1174032213</v>
      </c>
      <c r="C22090" t="str">
        <f>"363L00000X"</f>
        <v>363L00000X</v>
      </c>
      <c r="D22090" t="str">
        <f>"HOBBS                    MICHAEL      D           "</f>
        <v xml:space="preserve">HOBBS                    MICHAEL      D           </v>
      </c>
      <c r="E22090" t="str">
        <f t="shared" ref="E22090:E22102" si="539">"MEMPHIS                   "</f>
        <v xml:space="preserve">MEMPHIS                   </v>
      </c>
      <c r="F22090" t="str">
        <f t="shared" si="538"/>
        <v>TN</v>
      </c>
    </row>
    <row r="22091" spans="1:6" x14ac:dyDescent="0.25">
      <c r="A22091" t="str">
        <f>"004121016"</f>
        <v>004121016</v>
      </c>
      <c r="B22091" t="str">
        <f>"1811498280"</f>
        <v>1811498280</v>
      </c>
      <c r="C22091" t="str">
        <f>"363A00000X"</f>
        <v>363A00000X</v>
      </c>
      <c r="D22091" t="str">
        <f>"FOUNTAIN                 BAILEY       J           "</f>
        <v xml:space="preserve">FOUNTAIN                 BAILEY       J           </v>
      </c>
      <c r="E22091" t="str">
        <f t="shared" si="539"/>
        <v xml:space="preserve">MEMPHIS                   </v>
      </c>
      <c r="F22091" t="str">
        <f t="shared" si="538"/>
        <v>TN</v>
      </c>
    </row>
    <row r="22092" spans="1:6" x14ac:dyDescent="0.25">
      <c r="A22092" t="str">
        <f>"004128375"</f>
        <v>004128375</v>
      </c>
      <c r="B22092" t="str">
        <f>"1447797741"</f>
        <v>1447797741</v>
      </c>
      <c r="C22092" t="str">
        <f>"363LP0200X"</f>
        <v>363LP0200X</v>
      </c>
      <c r="D22092" t="str">
        <f>"FOLK                     SOPHIA       R           "</f>
        <v xml:space="preserve">FOLK                     SOPHIA       R           </v>
      </c>
      <c r="E22092" t="str">
        <f t="shared" si="539"/>
        <v xml:space="preserve">MEMPHIS                   </v>
      </c>
      <c r="F22092" t="str">
        <f t="shared" si="538"/>
        <v>TN</v>
      </c>
    </row>
    <row r="22093" spans="1:6" x14ac:dyDescent="0.25">
      <c r="A22093" t="str">
        <f>"004139797"</f>
        <v>004139797</v>
      </c>
      <c r="B22093" t="str">
        <f>"1982870119"</f>
        <v>1982870119</v>
      </c>
      <c r="C22093" t="str">
        <f>"208000000X"</f>
        <v>208000000X</v>
      </c>
      <c r="D22093" t="str">
        <f>"JOHNSON                  JASON        N           "</f>
        <v xml:space="preserve">JOHNSON                  JASON        N           </v>
      </c>
      <c r="E22093" t="str">
        <f t="shared" si="539"/>
        <v xml:space="preserve">MEMPHIS                   </v>
      </c>
      <c r="F22093" t="str">
        <f t="shared" si="538"/>
        <v>TN</v>
      </c>
    </row>
    <row r="22094" spans="1:6" x14ac:dyDescent="0.25">
      <c r="A22094" t="str">
        <f>"004154051"</f>
        <v>004154051</v>
      </c>
      <c r="B22094" t="str">
        <f>"1417121013"</f>
        <v>1417121013</v>
      </c>
      <c r="C22094" t="str">
        <f>"207V00000X"</f>
        <v>207V00000X</v>
      </c>
      <c r="D22094" t="str">
        <f>"BUTAWAN-ALI              DOMINIQUE    M           "</f>
        <v xml:space="preserve">BUTAWAN-ALI              DOMINIQUE    M           </v>
      </c>
      <c r="E22094" t="str">
        <f t="shared" si="539"/>
        <v xml:space="preserve">MEMPHIS                   </v>
      </c>
      <c r="F22094" t="str">
        <f t="shared" si="538"/>
        <v>TN</v>
      </c>
    </row>
    <row r="22095" spans="1:6" x14ac:dyDescent="0.25">
      <c r="A22095" t="str">
        <f>"004172501"</f>
        <v>004172501</v>
      </c>
      <c r="B22095" t="str">
        <f>"1932587128"</f>
        <v>1932587128</v>
      </c>
      <c r="C22095" t="str">
        <f>"207RH0000X"</f>
        <v>207RH0000X</v>
      </c>
      <c r="D22095" t="str">
        <f>"OTIENO                   STEVE        B           "</f>
        <v xml:space="preserve">OTIENO                   STEVE        B           </v>
      </c>
      <c r="E22095" t="str">
        <f t="shared" si="539"/>
        <v xml:space="preserve">MEMPHIS                   </v>
      </c>
      <c r="F22095" t="str">
        <f t="shared" si="538"/>
        <v>TN</v>
      </c>
    </row>
    <row r="22096" spans="1:6" x14ac:dyDescent="0.25">
      <c r="A22096" t="str">
        <f>"004182058"</f>
        <v>004182058</v>
      </c>
      <c r="B22096" t="str">
        <f>"1326082157"</f>
        <v>1326082157</v>
      </c>
      <c r="C22096" t="str">
        <f>"207VM0101X"</f>
        <v>207VM0101X</v>
      </c>
      <c r="D22096" t="str">
        <f>"SAMSON                   JACQUES      E           "</f>
        <v xml:space="preserve">SAMSON                   JACQUES      E           </v>
      </c>
      <c r="E22096" t="str">
        <f t="shared" si="539"/>
        <v xml:space="preserve">MEMPHIS                   </v>
      </c>
      <c r="F22096" t="str">
        <f t="shared" si="538"/>
        <v>TN</v>
      </c>
    </row>
    <row r="22097" spans="1:6" x14ac:dyDescent="0.25">
      <c r="A22097" t="str">
        <f>"004184559"</f>
        <v>004184559</v>
      </c>
      <c r="B22097" t="str">
        <f>"1457790610"</f>
        <v>1457790610</v>
      </c>
      <c r="C22097" t="str">
        <f>"207V00000X"</f>
        <v>207V00000X</v>
      </c>
      <c r="D22097" t="str">
        <f>"SANTA CRUZ TERRAZAS      MARINA                   "</f>
        <v xml:space="preserve">SANTA CRUZ TERRAZAS      MARINA                   </v>
      </c>
      <c r="E22097" t="str">
        <f t="shared" si="539"/>
        <v xml:space="preserve">MEMPHIS                   </v>
      </c>
      <c r="F22097" t="str">
        <f t="shared" si="538"/>
        <v>TN</v>
      </c>
    </row>
    <row r="22098" spans="1:6" x14ac:dyDescent="0.25">
      <c r="A22098" t="str">
        <f>"004188211"</f>
        <v>004188211</v>
      </c>
      <c r="B22098" t="str">
        <f>"1285908509"</f>
        <v>1285908509</v>
      </c>
      <c r="C22098" t="str">
        <f>"207Y00000X"</f>
        <v>207Y00000X</v>
      </c>
      <c r="D22098" t="str">
        <f>"EID                      ANAS                     "</f>
        <v xml:space="preserve">EID                      ANAS                     </v>
      </c>
      <c r="E22098" t="str">
        <f t="shared" si="539"/>
        <v xml:space="preserve">MEMPHIS                   </v>
      </c>
      <c r="F22098" t="str">
        <f t="shared" si="538"/>
        <v>TN</v>
      </c>
    </row>
    <row r="22099" spans="1:6" x14ac:dyDescent="0.25">
      <c r="A22099" t="str">
        <f>"004208268"</f>
        <v>004208268</v>
      </c>
      <c r="B22099" t="str">
        <f>"1215024344"</f>
        <v>1215024344</v>
      </c>
      <c r="C22099" t="str">
        <f>"208000000X"</f>
        <v>208000000X</v>
      </c>
      <c r="D22099" t="str">
        <f>"MEREDITH                 MARK         L           "</f>
        <v xml:space="preserve">MEREDITH                 MARK         L           </v>
      </c>
      <c r="E22099" t="str">
        <f t="shared" si="539"/>
        <v xml:space="preserve">MEMPHIS                   </v>
      </c>
      <c r="F22099" t="str">
        <f t="shared" si="538"/>
        <v>TN</v>
      </c>
    </row>
    <row r="22100" spans="1:6" x14ac:dyDescent="0.25">
      <c r="A22100" t="str">
        <f>"004209348"</f>
        <v>004209348</v>
      </c>
      <c r="B22100" t="str">
        <f>"1144332982"</f>
        <v>1144332982</v>
      </c>
      <c r="C22100" t="str">
        <f>"261QE0700X"</f>
        <v>261QE0700X</v>
      </c>
      <c r="D22100" t="str">
        <f>"FRESENIUS MEDICAL CARE WHITEHAVEN                 "</f>
        <v xml:space="preserve">FRESENIUS MEDICAL CARE WHITEHAVEN                 </v>
      </c>
      <c r="E22100" t="str">
        <f t="shared" si="539"/>
        <v xml:space="preserve">MEMPHIS                   </v>
      </c>
      <c r="F22100" t="str">
        <f t="shared" si="538"/>
        <v>TN</v>
      </c>
    </row>
    <row r="22101" spans="1:6" x14ac:dyDescent="0.25">
      <c r="A22101" t="str">
        <f>"004226789"</f>
        <v>004226789</v>
      </c>
      <c r="B22101" t="str">
        <f>"1780331975"</f>
        <v>1780331975</v>
      </c>
      <c r="C22101" t="str">
        <f>"363L00000X"</f>
        <v>363L00000X</v>
      </c>
      <c r="D22101" t="str">
        <f>"CARROLL                  DARNISHA     R           "</f>
        <v xml:space="preserve">CARROLL                  DARNISHA     R           </v>
      </c>
      <c r="E22101" t="str">
        <f t="shared" si="539"/>
        <v xml:space="preserve">MEMPHIS                   </v>
      </c>
      <c r="F22101" t="str">
        <f t="shared" si="538"/>
        <v>TN</v>
      </c>
    </row>
    <row r="22102" spans="1:6" x14ac:dyDescent="0.25">
      <c r="A22102" t="str">
        <f>"004229059"</f>
        <v>004229059</v>
      </c>
      <c r="B22102" t="str">
        <f>"1275854259"</f>
        <v>1275854259</v>
      </c>
      <c r="C22102" t="str">
        <f>"2080P0203X"</f>
        <v>2080P0203X</v>
      </c>
      <c r="D22102" t="str">
        <f>"HINES                    MELISSA      R           "</f>
        <v xml:space="preserve">HINES                    MELISSA      R           </v>
      </c>
      <c r="E22102" t="str">
        <f t="shared" si="539"/>
        <v xml:space="preserve">MEMPHIS                   </v>
      </c>
      <c r="F22102" t="str">
        <f t="shared" si="538"/>
        <v>TN</v>
      </c>
    </row>
    <row r="22103" spans="1:6" x14ac:dyDescent="0.25">
      <c r="A22103" t="str">
        <f>"004256723"</f>
        <v>004256723</v>
      </c>
      <c r="B22103" t="str">
        <f>"1124286687"</f>
        <v>1124286687</v>
      </c>
      <c r="C22103" t="str">
        <f>"2084P0800X"</f>
        <v>2084P0800X</v>
      </c>
      <c r="D22103" t="str">
        <f>"FU                       LIUSONG                  "</f>
        <v xml:space="preserve">FU                       LIUSONG                  </v>
      </c>
      <c r="E22103" t="str">
        <f>"EADS                      "</f>
        <v xml:space="preserve">EADS                      </v>
      </c>
      <c r="F22103" t="str">
        <f t="shared" si="538"/>
        <v>TN</v>
      </c>
    </row>
    <row r="22104" spans="1:6" x14ac:dyDescent="0.25">
      <c r="A22104" t="str">
        <f>"004257801"</f>
        <v>004257801</v>
      </c>
      <c r="B22104" t="str">
        <f>"1992953558"</f>
        <v>1992953558</v>
      </c>
      <c r="C22104" t="str">
        <f>"207RN0300X"</f>
        <v>207RN0300X</v>
      </c>
      <c r="D22104" t="str">
        <f>"GARRETT                  TIFFANI                  "</f>
        <v xml:space="preserve">GARRETT                  TIFFANI                  </v>
      </c>
      <c r="E22104" t="str">
        <f>"MEMPHIS                   "</f>
        <v xml:space="preserve">MEMPHIS                   </v>
      </c>
      <c r="F22104" t="str">
        <f t="shared" si="538"/>
        <v>TN</v>
      </c>
    </row>
    <row r="22105" spans="1:6" x14ac:dyDescent="0.25">
      <c r="A22105" t="str">
        <f>"004271221"</f>
        <v>004271221</v>
      </c>
      <c r="B22105" t="str">
        <f>"1609212935"</f>
        <v>1609212935</v>
      </c>
      <c r="C22105" t="str">
        <f>"208600000X"</f>
        <v>208600000X</v>
      </c>
      <c r="D22105" t="str">
        <f>"ULM                      IRENE        E           "</f>
        <v xml:space="preserve">ULM                      IRENE        E           </v>
      </c>
      <c r="E22105" t="str">
        <f>"MEMPHIS                   "</f>
        <v xml:space="preserve">MEMPHIS                   </v>
      </c>
      <c r="F22105" t="str">
        <f t="shared" si="538"/>
        <v>TN</v>
      </c>
    </row>
    <row r="22106" spans="1:6" x14ac:dyDescent="0.25">
      <c r="A22106" t="str">
        <f>"004277261"</f>
        <v>004277261</v>
      </c>
      <c r="B22106" t="str">
        <f>"1750380051"</f>
        <v>1750380051</v>
      </c>
      <c r="C22106" t="str">
        <f>"207K00000X"</f>
        <v>207K00000X</v>
      </c>
      <c r="D22106" t="str">
        <f>"ESCUE                    ASHLEY       B           "</f>
        <v xml:space="preserve">ESCUE                    ASHLEY       B           </v>
      </c>
      <c r="E22106" t="str">
        <f>"MEMPHIS                   "</f>
        <v xml:space="preserve">MEMPHIS                   </v>
      </c>
      <c r="F22106" t="str">
        <f t="shared" si="538"/>
        <v>TN</v>
      </c>
    </row>
    <row r="22107" spans="1:6" x14ac:dyDescent="0.25">
      <c r="A22107" t="str">
        <f>"004279561"</f>
        <v>004279561</v>
      </c>
      <c r="B22107" t="str">
        <f>"1568782811"</f>
        <v>1568782811</v>
      </c>
      <c r="C22107" t="str">
        <f>"207RC0000X"</f>
        <v>207RC0000X</v>
      </c>
      <c r="D22107" t="str">
        <f>"RHEA                     ISAAC        B           "</f>
        <v xml:space="preserve">RHEA                     ISAAC        B           </v>
      </c>
      <c r="E22107" t="str">
        <f>"GERMANTOWN                "</f>
        <v xml:space="preserve">GERMANTOWN                </v>
      </c>
      <c r="F22107" t="str">
        <f t="shared" si="538"/>
        <v>TN</v>
      </c>
    </row>
    <row r="22108" spans="1:6" x14ac:dyDescent="0.25">
      <c r="A22108" t="str">
        <f>"004305257"</f>
        <v>004305257</v>
      </c>
      <c r="B22108" t="str">
        <f>"1770994667"</f>
        <v>1770994667</v>
      </c>
      <c r="C22108" t="str">
        <f>"2085R0001X"</f>
        <v>2085R0001X</v>
      </c>
      <c r="D22108" t="str">
        <f>"WANG                     YUEFENG                  "</f>
        <v xml:space="preserve">WANG                     YUEFENG                  </v>
      </c>
      <c r="E22108" t="str">
        <f>"GERMANTOWN                "</f>
        <v xml:space="preserve">GERMANTOWN                </v>
      </c>
      <c r="F22108" t="str">
        <f t="shared" si="538"/>
        <v>TN</v>
      </c>
    </row>
    <row r="22109" spans="1:6" x14ac:dyDescent="0.25">
      <c r="A22109" t="str">
        <f>"004307208"</f>
        <v>004307208</v>
      </c>
      <c r="B22109" t="str">
        <f>"1619508942"</f>
        <v>1619508942</v>
      </c>
      <c r="C22109" t="str">
        <f>"363A00000X"</f>
        <v>363A00000X</v>
      </c>
      <c r="D22109" t="str">
        <f>"MACKAY                   VICTORIA     E           "</f>
        <v xml:space="preserve">MACKAY                   VICTORIA     E           </v>
      </c>
      <c r="E22109" t="str">
        <f>"MEMPHIS                   "</f>
        <v xml:space="preserve">MEMPHIS                   </v>
      </c>
      <c r="F22109" t="str">
        <f t="shared" si="538"/>
        <v>TN</v>
      </c>
    </row>
    <row r="22110" spans="1:6" x14ac:dyDescent="0.25">
      <c r="A22110" t="str">
        <f>"004320521"</f>
        <v>004320521</v>
      </c>
      <c r="B22110" t="str">
        <f>"1356508600"</f>
        <v>1356508600</v>
      </c>
      <c r="C22110" t="str">
        <f>"2085R0202X"</f>
        <v>2085R0202X</v>
      </c>
      <c r="D22110" t="str">
        <f>"ALI                      CINA         J           "</f>
        <v xml:space="preserve">ALI                      CINA         J           </v>
      </c>
      <c r="E22110" t="str">
        <f>"GERMANTOWN                "</f>
        <v xml:space="preserve">GERMANTOWN                </v>
      </c>
      <c r="F22110" t="str">
        <f t="shared" si="538"/>
        <v>TN</v>
      </c>
    </row>
    <row r="22111" spans="1:6" x14ac:dyDescent="0.25">
      <c r="A22111" t="str">
        <f>"004332516"</f>
        <v>004332516</v>
      </c>
      <c r="B22111" t="str">
        <f>"1043575582"</f>
        <v>1043575582</v>
      </c>
      <c r="C22111" t="str">
        <f>"2080P0207X"</f>
        <v>2080P0207X</v>
      </c>
      <c r="D22111" t="str">
        <f>"LAM                      CATHERINE                "</f>
        <v xml:space="preserve">LAM                      CATHERINE                </v>
      </c>
      <c r="E22111" t="str">
        <f>"MEMPHIS                   "</f>
        <v xml:space="preserve">MEMPHIS                   </v>
      </c>
      <c r="F22111" t="str">
        <f t="shared" si="538"/>
        <v>TN</v>
      </c>
    </row>
    <row r="22112" spans="1:6" x14ac:dyDescent="0.25">
      <c r="A22112" t="str">
        <f>"004336055"</f>
        <v>004336055</v>
      </c>
      <c r="B22112" t="str">
        <f>"1144514308"</f>
        <v>1144514308</v>
      </c>
      <c r="C22112" t="str">
        <f>"2085R0202X"</f>
        <v>2085R0202X</v>
      </c>
      <c r="D22112" t="str">
        <f>"CAHOON                   ASHLEY       R           "</f>
        <v xml:space="preserve">CAHOON                   ASHLEY       R           </v>
      </c>
      <c r="E22112" t="str">
        <f>"MEMPHIS                   "</f>
        <v xml:space="preserve">MEMPHIS                   </v>
      </c>
      <c r="F22112" t="str">
        <f t="shared" si="538"/>
        <v>TN</v>
      </c>
    </row>
    <row r="22113" spans="1:6" x14ac:dyDescent="0.25">
      <c r="A22113" t="str">
        <f>"004371791"</f>
        <v>004371791</v>
      </c>
      <c r="B22113" t="str">
        <f>"1093120024"</f>
        <v>1093120024</v>
      </c>
      <c r="C22113" t="str">
        <f>"207R00000X"</f>
        <v>207R00000X</v>
      </c>
      <c r="D22113" t="str">
        <f>"JOGLEKAR                 KIRAN        P           "</f>
        <v xml:space="preserve">JOGLEKAR                 KIRAN        P           </v>
      </c>
      <c r="E22113" t="str">
        <f>"MEMPHIS                   "</f>
        <v xml:space="preserve">MEMPHIS                   </v>
      </c>
      <c r="F22113" t="str">
        <f t="shared" si="538"/>
        <v>TN</v>
      </c>
    </row>
    <row r="22114" spans="1:6" x14ac:dyDescent="0.25">
      <c r="A22114" t="str">
        <f>"004380795"</f>
        <v>004380795</v>
      </c>
      <c r="B22114" t="str">
        <f>"1780802330"</f>
        <v>1780802330</v>
      </c>
      <c r="C22114" t="str">
        <f>"207RX0202X"</f>
        <v>207RX0202X</v>
      </c>
      <c r="D22114" t="str">
        <f>"LAMMERS                  PHILIP       E           "</f>
        <v xml:space="preserve">LAMMERS                  PHILIP       E           </v>
      </c>
      <c r="E22114" t="str">
        <f>"BARTLETT                  "</f>
        <v xml:space="preserve">BARTLETT                  </v>
      </c>
      <c r="F22114" t="str">
        <f t="shared" si="538"/>
        <v>TN</v>
      </c>
    </row>
    <row r="22115" spans="1:6" x14ac:dyDescent="0.25">
      <c r="A22115" t="str">
        <f>"004387576"</f>
        <v>004387576</v>
      </c>
      <c r="B22115" t="str">
        <f>"1427599034"</f>
        <v>1427599034</v>
      </c>
      <c r="C22115" t="str">
        <f>"363L00000X"</f>
        <v>363L00000X</v>
      </c>
      <c r="D22115" t="str">
        <f>"LYDIGSEN                 HOLLY        L           "</f>
        <v xml:space="preserve">LYDIGSEN                 HOLLY        L           </v>
      </c>
      <c r="E22115" t="str">
        <f>"MEMPHIS                   "</f>
        <v xml:space="preserve">MEMPHIS                   </v>
      </c>
      <c r="F22115" t="str">
        <f t="shared" si="538"/>
        <v>TN</v>
      </c>
    </row>
    <row r="22116" spans="1:6" x14ac:dyDescent="0.25">
      <c r="A22116" t="str">
        <f>"004403351"</f>
        <v>004403351</v>
      </c>
      <c r="B22116" t="str">
        <f>"1982846630"</f>
        <v>1982846630</v>
      </c>
      <c r="C22116" t="str">
        <f>"207ZP0102X"</f>
        <v>207ZP0102X</v>
      </c>
      <c r="D22116" t="str">
        <f>"GRADOWSKI                JOEL         F           "</f>
        <v xml:space="preserve">GRADOWSKI                JOEL         F           </v>
      </c>
      <c r="E22116" t="str">
        <f>"MEMPHIS                   "</f>
        <v xml:space="preserve">MEMPHIS                   </v>
      </c>
      <c r="F22116" t="str">
        <f t="shared" si="538"/>
        <v>TN</v>
      </c>
    </row>
    <row r="22117" spans="1:6" x14ac:dyDescent="0.25">
      <c r="A22117" t="str">
        <f>"004405295"</f>
        <v>004405295</v>
      </c>
      <c r="B22117" t="str">
        <f>"1073087490"</f>
        <v>1073087490</v>
      </c>
      <c r="C22117" t="str">
        <f>"363L00000X"</f>
        <v>363L00000X</v>
      </c>
      <c r="D22117" t="str">
        <f>"ALBERTINE                LAUREN       D           "</f>
        <v xml:space="preserve">ALBERTINE                LAUREN       D           </v>
      </c>
      <c r="E22117" t="str">
        <f>"GERMANTOWN                "</f>
        <v xml:space="preserve">GERMANTOWN                </v>
      </c>
      <c r="F22117" t="str">
        <f t="shared" si="538"/>
        <v>TN</v>
      </c>
    </row>
    <row r="22118" spans="1:6" x14ac:dyDescent="0.25">
      <c r="A22118" t="str">
        <f>"004420218"</f>
        <v>004420218</v>
      </c>
      <c r="B22118" t="str">
        <f>"1902087232"</f>
        <v>1902087232</v>
      </c>
      <c r="C22118" t="str">
        <f>"2080P0207X"</f>
        <v>2080P0207X</v>
      </c>
      <c r="D22118" t="str">
        <f>"QADDOUMI                 IBRAHIM      A           "</f>
        <v xml:space="preserve">QADDOUMI                 IBRAHIM      A           </v>
      </c>
      <c r="E22118" t="str">
        <f t="shared" ref="E22118:E22126" si="540">"MEMPHIS                   "</f>
        <v xml:space="preserve">MEMPHIS                   </v>
      </c>
      <c r="F22118" t="str">
        <f t="shared" si="538"/>
        <v>TN</v>
      </c>
    </row>
    <row r="22119" spans="1:6" x14ac:dyDescent="0.25">
      <c r="A22119" t="str">
        <f>"004424318"</f>
        <v>004424318</v>
      </c>
      <c r="B22119" t="str">
        <f>"1356544340"</f>
        <v>1356544340</v>
      </c>
      <c r="C22119" t="str">
        <f>"2084N0402X"</f>
        <v>2084N0402X</v>
      </c>
      <c r="D22119" t="str">
        <f>"CARON                    ELENA        J           "</f>
        <v xml:space="preserve">CARON                    ELENA        J           </v>
      </c>
      <c r="E22119" t="str">
        <f t="shared" si="540"/>
        <v xml:space="preserve">MEMPHIS                   </v>
      </c>
      <c r="F22119" t="str">
        <f t="shared" si="538"/>
        <v>TN</v>
      </c>
    </row>
    <row r="22120" spans="1:6" x14ac:dyDescent="0.25">
      <c r="A22120" t="str">
        <f>"004433237"</f>
        <v>004433237</v>
      </c>
      <c r="B22120" t="str">
        <f>"1346468105"</f>
        <v>1346468105</v>
      </c>
      <c r="C22120" t="str">
        <f>"2086S0129X"</f>
        <v>2086S0129X</v>
      </c>
      <c r="D22120" t="str">
        <f>"HALL                     HEATHER      A           "</f>
        <v xml:space="preserve">HALL                     HEATHER      A           </v>
      </c>
      <c r="E22120" t="str">
        <f t="shared" si="540"/>
        <v xml:space="preserve">MEMPHIS                   </v>
      </c>
      <c r="F22120" t="str">
        <f t="shared" si="538"/>
        <v>TN</v>
      </c>
    </row>
    <row r="22121" spans="1:6" x14ac:dyDescent="0.25">
      <c r="A22121" t="str">
        <f>"004457308"</f>
        <v>004457308</v>
      </c>
      <c r="B22121" t="str">
        <f>"1811922545"</f>
        <v>1811922545</v>
      </c>
      <c r="C22121" t="str">
        <f>"2080P0207X"</f>
        <v>2080P0207X</v>
      </c>
      <c r="D22121" t="str">
        <f>"TRIPLETT                 BRANDON      M           "</f>
        <v xml:space="preserve">TRIPLETT                 BRANDON      M           </v>
      </c>
      <c r="E22121" t="str">
        <f t="shared" si="540"/>
        <v xml:space="preserve">MEMPHIS                   </v>
      </c>
      <c r="F22121" t="str">
        <f t="shared" si="538"/>
        <v>TN</v>
      </c>
    </row>
    <row r="22122" spans="1:6" x14ac:dyDescent="0.25">
      <c r="A22122" t="str">
        <f>"004479265"</f>
        <v>004479265</v>
      </c>
      <c r="B22122" t="str">
        <f>"1922024280"</f>
        <v>1922024280</v>
      </c>
      <c r="C22122" t="str">
        <f>"207L00000X"</f>
        <v>207L00000X</v>
      </c>
      <c r="D22122" t="str">
        <f>"WU                       BO                       "</f>
        <v xml:space="preserve">WU                       BO                       </v>
      </c>
      <c r="E22122" t="str">
        <f t="shared" si="540"/>
        <v xml:space="preserve">MEMPHIS                   </v>
      </c>
      <c r="F22122" t="str">
        <f t="shared" si="538"/>
        <v>TN</v>
      </c>
    </row>
    <row r="22123" spans="1:6" x14ac:dyDescent="0.25">
      <c r="A22123" t="str">
        <f>"004482746"</f>
        <v>004482746</v>
      </c>
      <c r="B22123" t="str">
        <f>"1902856511"</f>
        <v>1902856511</v>
      </c>
      <c r="C22123" t="str">
        <f>"208000000X"</f>
        <v>208000000X</v>
      </c>
      <c r="D22123" t="str">
        <f>"YORK                     KRISTA                   "</f>
        <v xml:space="preserve">YORK                     KRISTA                   </v>
      </c>
      <c r="E22123" t="str">
        <f t="shared" si="540"/>
        <v xml:space="preserve">MEMPHIS                   </v>
      </c>
      <c r="F22123" t="str">
        <f t="shared" si="538"/>
        <v>TN</v>
      </c>
    </row>
    <row r="22124" spans="1:6" x14ac:dyDescent="0.25">
      <c r="A22124" t="str">
        <f>"004482795"</f>
        <v>004482795</v>
      </c>
      <c r="B22124" t="str">
        <f>"1164841326"</f>
        <v>1164841326</v>
      </c>
      <c r="C22124" t="str">
        <f>"2084N0402X"</f>
        <v>2084N0402X</v>
      </c>
      <c r="D22124" t="str">
        <f>"CAVANAUGH                BETH         A           "</f>
        <v xml:space="preserve">CAVANAUGH                BETH         A           </v>
      </c>
      <c r="E22124" t="str">
        <f t="shared" si="540"/>
        <v xml:space="preserve">MEMPHIS                   </v>
      </c>
      <c r="F22124" t="str">
        <f t="shared" si="538"/>
        <v>TN</v>
      </c>
    </row>
    <row r="22125" spans="1:6" x14ac:dyDescent="0.25">
      <c r="A22125" t="str">
        <f>"004484350"</f>
        <v>004484350</v>
      </c>
      <c r="B22125" t="str">
        <f>"1659558260"</f>
        <v>1659558260</v>
      </c>
      <c r="C22125" t="str">
        <f>"207RG0100X"</f>
        <v>207RG0100X</v>
      </c>
      <c r="D22125" t="str">
        <f>"FRIEDMAN                 EDWARD       S           "</f>
        <v xml:space="preserve">FRIEDMAN                 EDWARD       S           </v>
      </c>
      <c r="E22125" t="str">
        <f t="shared" si="540"/>
        <v xml:space="preserve">MEMPHIS                   </v>
      </c>
      <c r="F22125" t="str">
        <f t="shared" si="538"/>
        <v>TN</v>
      </c>
    </row>
    <row r="22126" spans="1:6" x14ac:dyDescent="0.25">
      <c r="A22126" t="str">
        <f>"004501864"</f>
        <v>004501864</v>
      </c>
      <c r="B22126" t="str">
        <f>"1073803441"</f>
        <v>1073803441</v>
      </c>
      <c r="C22126" t="str">
        <f>"207L00000X"</f>
        <v>207L00000X</v>
      </c>
      <c r="D22126" t="str">
        <f>"BREZINA                  DANIEL       E           "</f>
        <v xml:space="preserve">BREZINA                  DANIEL       E           </v>
      </c>
      <c r="E22126" t="str">
        <f t="shared" si="540"/>
        <v xml:space="preserve">MEMPHIS                   </v>
      </c>
      <c r="F22126" t="str">
        <f t="shared" si="538"/>
        <v>TN</v>
      </c>
    </row>
    <row r="22127" spans="1:6" x14ac:dyDescent="0.25">
      <c r="A22127" t="str">
        <f>"004505092"</f>
        <v>004505092</v>
      </c>
      <c r="B22127" t="str">
        <f>"1306213228"</f>
        <v>1306213228</v>
      </c>
      <c r="C22127" t="str">
        <f>"363A00000X"</f>
        <v>363A00000X</v>
      </c>
      <c r="D22127" t="str">
        <f>"LENNON                   EMILY        S           "</f>
        <v xml:space="preserve">LENNON                   EMILY        S           </v>
      </c>
      <c r="E22127" t="str">
        <f>"GERMANTOWN                "</f>
        <v xml:space="preserve">GERMANTOWN                </v>
      </c>
      <c r="F22127" t="str">
        <f t="shared" si="538"/>
        <v>TN</v>
      </c>
    </row>
    <row r="22128" spans="1:6" x14ac:dyDescent="0.25">
      <c r="A22128" t="str">
        <f>"004507501"</f>
        <v>004507501</v>
      </c>
      <c r="B22128" t="str">
        <f>"1023776770"</f>
        <v>1023776770</v>
      </c>
      <c r="C22128" t="str">
        <f>"363L00000X"</f>
        <v>363L00000X</v>
      </c>
      <c r="D22128" t="str">
        <f>"BRAUER HANNAHAN          ERICHA       M           "</f>
        <v xml:space="preserve">BRAUER HANNAHAN          ERICHA       M           </v>
      </c>
      <c r="E22128" t="str">
        <f>"BARTLETT                  "</f>
        <v xml:space="preserve">BARTLETT                  </v>
      </c>
      <c r="F22128" t="str">
        <f t="shared" si="538"/>
        <v>TN</v>
      </c>
    </row>
    <row r="22129" spans="1:6" x14ac:dyDescent="0.25">
      <c r="A22129" t="str">
        <f>"004520877"</f>
        <v>004520877</v>
      </c>
      <c r="B22129" t="str">
        <f>"1063676690"</f>
        <v>1063676690</v>
      </c>
      <c r="C22129" t="str">
        <f>"2084N0400X"</f>
        <v>2084N0400X</v>
      </c>
      <c r="D22129" t="str">
        <f>"WILBOURN                 RANCE        B           "</f>
        <v xml:space="preserve">WILBOURN                 RANCE        B           </v>
      </c>
      <c r="E22129" t="str">
        <f>"GERMANTOWN                "</f>
        <v xml:space="preserve">GERMANTOWN                </v>
      </c>
      <c r="F22129" t="str">
        <f t="shared" si="538"/>
        <v>TN</v>
      </c>
    </row>
    <row r="22130" spans="1:6" x14ac:dyDescent="0.25">
      <c r="A22130" t="str">
        <f>"004524308"</f>
        <v>004524308</v>
      </c>
      <c r="B22130" t="str">
        <f>"1598988073"</f>
        <v>1598988073</v>
      </c>
      <c r="C22130" t="str">
        <f>"2085R0202X"</f>
        <v>2085R0202X</v>
      </c>
      <c r="D22130" t="str">
        <f>"AFZAL                    MUHAMMAD                 "</f>
        <v xml:space="preserve">AFZAL                    MUHAMMAD                 </v>
      </c>
      <c r="E22130" t="str">
        <f>"MEMPHIS                   "</f>
        <v xml:space="preserve">MEMPHIS                   </v>
      </c>
      <c r="F22130" t="str">
        <f t="shared" si="538"/>
        <v>TN</v>
      </c>
    </row>
    <row r="22131" spans="1:6" x14ac:dyDescent="0.25">
      <c r="A22131" t="str">
        <f>"004526849"</f>
        <v>004526849</v>
      </c>
      <c r="B22131" t="str">
        <f>"1114970084"</f>
        <v>1114970084</v>
      </c>
      <c r="C22131" t="str">
        <f>"207R00000X"</f>
        <v>207R00000X</v>
      </c>
      <c r="D22131" t="str">
        <f>"WENER                    STEVEN       I           "</f>
        <v xml:space="preserve">WENER                    STEVEN       I           </v>
      </c>
      <c r="E22131" t="str">
        <f>"GERMANTOWN                "</f>
        <v xml:space="preserve">GERMANTOWN                </v>
      </c>
      <c r="F22131" t="str">
        <f t="shared" si="538"/>
        <v>TN</v>
      </c>
    </row>
    <row r="22132" spans="1:6" x14ac:dyDescent="0.25">
      <c r="A22132" t="str">
        <f>"004528313"</f>
        <v>004528313</v>
      </c>
      <c r="B22132" t="str">
        <f>"1669585063"</f>
        <v>1669585063</v>
      </c>
      <c r="C22132" t="str">
        <f>"207Q00000X"</f>
        <v>207Q00000X</v>
      </c>
      <c r="D22132" t="str">
        <f>"FOLSE                    TIMOTHY      E           "</f>
        <v xml:space="preserve">FOLSE                    TIMOTHY      E           </v>
      </c>
      <c r="E22132" t="str">
        <f>"MEMPHIS                   "</f>
        <v xml:space="preserve">MEMPHIS                   </v>
      </c>
      <c r="F22132" t="str">
        <f t="shared" si="538"/>
        <v>TN</v>
      </c>
    </row>
    <row r="22133" spans="1:6" x14ac:dyDescent="0.25">
      <c r="A22133" t="str">
        <f>"004534293"</f>
        <v>004534293</v>
      </c>
      <c r="B22133" t="str">
        <f>"1881181634"</f>
        <v>1881181634</v>
      </c>
      <c r="C22133" t="str">
        <f>"363L00000X"</f>
        <v>363L00000X</v>
      </c>
      <c r="D22133" t="str">
        <f>"BELL                     KISHANA      R           "</f>
        <v xml:space="preserve">BELL                     KISHANA      R           </v>
      </c>
      <c r="E22133" t="str">
        <f>"MEMPHIS                   "</f>
        <v xml:space="preserve">MEMPHIS                   </v>
      </c>
      <c r="F22133" t="str">
        <f t="shared" si="538"/>
        <v>TN</v>
      </c>
    </row>
    <row r="22134" spans="1:6" x14ac:dyDescent="0.25">
      <c r="A22134" t="str">
        <f>"004538834"</f>
        <v>004538834</v>
      </c>
      <c r="B22134" t="str">
        <f>"1538695374"</f>
        <v>1538695374</v>
      </c>
      <c r="C22134" t="str">
        <f>"207Q00000X"</f>
        <v>207Q00000X</v>
      </c>
      <c r="D22134" t="str">
        <f>"GILBERT                  MATTHEW      J           "</f>
        <v xml:space="preserve">GILBERT                  MATTHEW      J           </v>
      </c>
      <c r="E22134" t="str">
        <f>"GERMANTOWN                "</f>
        <v xml:space="preserve">GERMANTOWN                </v>
      </c>
      <c r="F22134" t="str">
        <f t="shared" si="538"/>
        <v>TN</v>
      </c>
    </row>
    <row r="22135" spans="1:6" x14ac:dyDescent="0.25">
      <c r="A22135" t="str">
        <f>"004553861"</f>
        <v>004553861</v>
      </c>
      <c r="B22135" t="str">
        <f>"1588862445"</f>
        <v>1588862445</v>
      </c>
      <c r="C22135" t="str">
        <f>"207R00000X"</f>
        <v>207R00000X</v>
      </c>
      <c r="D22135" t="str">
        <f>"OST                      SHELLEY      R           "</f>
        <v xml:space="preserve">OST                      SHELLEY      R           </v>
      </c>
      <c r="E22135" t="str">
        <f>"GERMANTOWN                "</f>
        <v xml:space="preserve">GERMANTOWN                </v>
      </c>
      <c r="F22135" t="str">
        <f t="shared" si="538"/>
        <v>TN</v>
      </c>
    </row>
    <row r="22136" spans="1:6" x14ac:dyDescent="0.25">
      <c r="A22136" t="str">
        <f>"004570760"</f>
        <v>004570760</v>
      </c>
      <c r="B22136" t="str">
        <f>"1891893020"</f>
        <v>1891893020</v>
      </c>
      <c r="C22136" t="str">
        <f>"2080P0202X"</f>
        <v>2080P0202X</v>
      </c>
      <c r="D22136" t="str">
        <f>"REBOLLEDO                MICHAEL      A           "</f>
        <v xml:space="preserve">REBOLLEDO                MICHAEL      A           </v>
      </c>
      <c r="E22136" t="str">
        <f t="shared" ref="E22136:E22145" si="541">"MEMPHIS                   "</f>
        <v xml:space="preserve">MEMPHIS                   </v>
      </c>
      <c r="F22136" t="str">
        <f t="shared" si="538"/>
        <v>TN</v>
      </c>
    </row>
    <row r="22137" spans="1:6" x14ac:dyDescent="0.25">
      <c r="A22137" t="str">
        <f>"004570797"</f>
        <v>004570797</v>
      </c>
      <c r="B22137" t="str">
        <f>"1619642998"</f>
        <v>1619642998</v>
      </c>
      <c r="C22137" t="str">
        <f>"363LP0200X"</f>
        <v>363LP0200X</v>
      </c>
      <c r="D22137" t="str">
        <f>"MIASEK                   MARGARET     A           "</f>
        <v xml:space="preserve">MIASEK                   MARGARET     A           </v>
      </c>
      <c r="E22137" t="str">
        <f t="shared" si="541"/>
        <v xml:space="preserve">MEMPHIS                   </v>
      </c>
      <c r="F22137" t="str">
        <f t="shared" si="538"/>
        <v>TN</v>
      </c>
    </row>
    <row r="22138" spans="1:6" x14ac:dyDescent="0.25">
      <c r="A22138" t="str">
        <f>"004576367"</f>
        <v>004576367</v>
      </c>
      <c r="B22138" t="str">
        <f>"1538499090"</f>
        <v>1538499090</v>
      </c>
      <c r="C22138" t="str">
        <f>"363L00000X"</f>
        <v>363L00000X</v>
      </c>
      <c r="D22138" t="str">
        <f>"WALTERS                  LISA                     "</f>
        <v xml:space="preserve">WALTERS                  LISA                     </v>
      </c>
      <c r="E22138" t="str">
        <f t="shared" si="541"/>
        <v xml:space="preserve">MEMPHIS                   </v>
      </c>
      <c r="F22138" t="str">
        <f t="shared" si="538"/>
        <v>TN</v>
      </c>
    </row>
    <row r="22139" spans="1:6" x14ac:dyDescent="0.25">
      <c r="A22139" t="str">
        <f>"004608762"</f>
        <v>004608762</v>
      </c>
      <c r="B22139" t="str">
        <f>"1205179934"</f>
        <v>1205179934</v>
      </c>
      <c r="C22139" t="str">
        <f>"208000000X"</f>
        <v>208000000X</v>
      </c>
      <c r="D22139" t="str">
        <f>"HAMMOND                  CATHERINE    M           "</f>
        <v xml:space="preserve">HAMMOND                  CATHERINE    M           </v>
      </c>
      <c r="E22139" t="str">
        <f t="shared" si="541"/>
        <v xml:space="preserve">MEMPHIS                   </v>
      </c>
      <c r="F22139" t="str">
        <f t="shared" si="538"/>
        <v>TN</v>
      </c>
    </row>
    <row r="22140" spans="1:6" x14ac:dyDescent="0.25">
      <c r="A22140" t="str">
        <f>"004620218"</f>
        <v>004620218</v>
      </c>
      <c r="B22140" t="str">
        <f>"1194725432"</f>
        <v>1194725432</v>
      </c>
      <c r="C22140" t="str">
        <f>"363L00000X"</f>
        <v>363L00000X</v>
      </c>
      <c r="D22140" t="str">
        <f>"POWELL                   JOHN         H           "</f>
        <v xml:space="preserve">POWELL                   JOHN         H           </v>
      </c>
      <c r="E22140" t="str">
        <f t="shared" si="541"/>
        <v xml:space="preserve">MEMPHIS                   </v>
      </c>
      <c r="F22140" t="str">
        <f t="shared" si="538"/>
        <v>TN</v>
      </c>
    </row>
    <row r="22141" spans="1:6" x14ac:dyDescent="0.25">
      <c r="A22141" t="str">
        <f>"004622544"</f>
        <v>004622544</v>
      </c>
      <c r="B22141" t="str">
        <f>"1053836197"</f>
        <v>1053836197</v>
      </c>
      <c r="C22141" t="str">
        <f>"208000000X"</f>
        <v>208000000X</v>
      </c>
      <c r="D22141" t="str">
        <f>"RAGHAVAN                 KAVITHA      C           "</f>
        <v xml:space="preserve">RAGHAVAN                 KAVITHA      C           </v>
      </c>
      <c r="E22141" t="str">
        <f t="shared" si="541"/>
        <v xml:space="preserve">MEMPHIS                   </v>
      </c>
      <c r="F22141" t="str">
        <f t="shared" si="538"/>
        <v>TN</v>
      </c>
    </row>
    <row r="22142" spans="1:6" x14ac:dyDescent="0.25">
      <c r="A22142" t="str">
        <f>"004623739"</f>
        <v>004623739</v>
      </c>
      <c r="B22142" t="str">
        <f>"1548477722"</f>
        <v>1548477722</v>
      </c>
      <c r="C22142" t="str">
        <f>"2086S0102X"</f>
        <v>2086S0102X</v>
      </c>
      <c r="D22142" t="str">
        <f>"MYERS-WEBB               ADRIANNE     L           "</f>
        <v xml:space="preserve">MYERS-WEBB               ADRIANNE     L           </v>
      </c>
      <c r="E22142" t="str">
        <f t="shared" si="541"/>
        <v xml:space="preserve">MEMPHIS                   </v>
      </c>
      <c r="F22142" t="str">
        <f t="shared" ref="F22142:F22205" si="542">"TN"</f>
        <v>TN</v>
      </c>
    </row>
    <row r="22143" spans="1:6" x14ac:dyDescent="0.25">
      <c r="A22143" t="str">
        <f>"004634318"</f>
        <v>004634318</v>
      </c>
      <c r="B22143" t="str">
        <f>"1467481796"</f>
        <v>1467481796</v>
      </c>
      <c r="C22143" t="str">
        <f>"207W00000X"</f>
        <v>207W00000X</v>
      </c>
      <c r="D22143" t="str">
        <f>"FLINN                    CARL         E           "</f>
        <v xml:space="preserve">FLINN                    CARL         E           </v>
      </c>
      <c r="E22143" t="str">
        <f t="shared" si="541"/>
        <v xml:space="preserve">MEMPHIS                   </v>
      </c>
      <c r="F22143" t="str">
        <f t="shared" si="542"/>
        <v>TN</v>
      </c>
    </row>
    <row r="22144" spans="1:6" x14ac:dyDescent="0.25">
      <c r="A22144" t="str">
        <f>"004650509"</f>
        <v>004650509</v>
      </c>
      <c r="B22144" t="str">
        <f>"1083814040"</f>
        <v>1083814040</v>
      </c>
      <c r="C22144" t="str">
        <f>"207R00000X"</f>
        <v>207R00000X</v>
      </c>
      <c r="D22144" t="str">
        <f>"KUMAR                    ANEEL                    "</f>
        <v xml:space="preserve">KUMAR                    ANEEL                    </v>
      </c>
      <c r="E22144" t="str">
        <f t="shared" si="541"/>
        <v xml:space="preserve">MEMPHIS                   </v>
      </c>
      <c r="F22144" t="str">
        <f t="shared" si="542"/>
        <v>TN</v>
      </c>
    </row>
    <row r="22145" spans="1:6" x14ac:dyDescent="0.25">
      <c r="A22145" t="str">
        <f>"004657224"</f>
        <v>004657224</v>
      </c>
      <c r="B22145" t="str">
        <f>"1124246954"</f>
        <v>1124246954</v>
      </c>
      <c r="C22145" t="str">
        <f>"2085R0202X"</f>
        <v>2085R0202X</v>
      </c>
      <c r="D22145" t="str">
        <f>"GRAVES                   HOUSTON      F           "</f>
        <v xml:space="preserve">GRAVES                   HOUSTON      F           </v>
      </c>
      <c r="E22145" t="str">
        <f t="shared" si="541"/>
        <v xml:space="preserve">MEMPHIS                   </v>
      </c>
      <c r="F22145" t="str">
        <f t="shared" si="542"/>
        <v>TN</v>
      </c>
    </row>
    <row r="22146" spans="1:6" x14ac:dyDescent="0.25">
      <c r="A22146" t="str">
        <f>"004657848"</f>
        <v>004657848</v>
      </c>
      <c r="B22146" t="str">
        <f>"1386811891"</f>
        <v>1386811891</v>
      </c>
      <c r="C22146" t="str">
        <f>"208000000X"</f>
        <v>208000000X</v>
      </c>
      <c r="D22146" t="str">
        <f>"JALANDONI                KATHLEEN     N           "</f>
        <v xml:space="preserve">JALANDONI                KATHLEEN     N           </v>
      </c>
      <c r="E22146" t="str">
        <f>"GERMANTOWN                "</f>
        <v xml:space="preserve">GERMANTOWN                </v>
      </c>
      <c r="F22146" t="str">
        <f t="shared" si="542"/>
        <v>TN</v>
      </c>
    </row>
    <row r="22147" spans="1:6" x14ac:dyDescent="0.25">
      <c r="A22147" t="str">
        <f>"004658707"</f>
        <v>004658707</v>
      </c>
      <c r="B22147" t="str">
        <f>"1619400710"</f>
        <v>1619400710</v>
      </c>
      <c r="C22147" t="str">
        <f>"207QH0002X"</f>
        <v>207QH0002X</v>
      </c>
      <c r="D22147" t="str">
        <f>"WRIGHT                   ASHLEY       L           "</f>
        <v xml:space="preserve">WRIGHT                   ASHLEY       L           </v>
      </c>
      <c r="E22147" t="str">
        <f>"MEMPHIS                   "</f>
        <v xml:space="preserve">MEMPHIS                   </v>
      </c>
      <c r="F22147" t="str">
        <f t="shared" si="542"/>
        <v>TN</v>
      </c>
    </row>
    <row r="22148" spans="1:6" x14ac:dyDescent="0.25">
      <c r="A22148" t="str">
        <f>"004675806"</f>
        <v>004675806</v>
      </c>
      <c r="B22148" t="str">
        <f>"1619321635"</f>
        <v>1619321635</v>
      </c>
      <c r="C22148" t="str">
        <f>"2084P0800X"</f>
        <v>2084P0800X</v>
      </c>
      <c r="D22148" t="str">
        <f>"VARNER                   FERRELL                  "</f>
        <v xml:space="preserve">VARNER                   FERRELL                  </v>
      </c>
      <c r="E22148" t="str">
        <f>"MEMPHIS                   "</f>
        <v xml:space="preserve">MEMPHIS                   </v>
      </c>
      <c r="F22148" t="str">
        <f t="shared" si="542"/>
        <v>TN</v>
      </c>
    </row>
    <row r="22149" spans="1:6" x14ac:dyDescent="0.25">
      <c r="A22149" t="str">
        <f>"004676763"</f>
        <v>004676763</v>
      </c>
      <c r="B22149" t="str">
        <f>"1609853381"</f>
        <v>1609853381</v>
      </c>
      <c r="C22149" t="str">
        <f>"363LP0200X"</f>
        <v>363LP0200X</v>
      </c>
      <c r="D22149" t="str">
        <f>"PROCTOR                  KIMBERLY     E           "</f>
        <v xml:space="preserve">PROCTOR                  KIMBERLY     E           </v>
      </c>
      <c r="E22149" t="str">
        <f>"MEMPHIS                   "</f>
        <v xml:space="preserve">MEMPHIS                   </v>
      </c>
      <c r="F22149" t="str">
        <f t="shared" si="542"/>
        <v>TN</v>
      </c>
    </row>
    <row r="22150" spans="1:6" x14ac:dyDescent="0.25">
      <c r="A22150" t="str">
        <f>"004689092"</f>
        <v>004689092</v>
      </c>
      <c r="B22150" t="str">
        <f>"1053878926"</f>
        <v>1053878926</v>
      </c>
      <c r="C22150" t="str">
        <f>"363L00000X"</f>
        <v>363L00000X</v>
      </c>
      <c r="D22150" t="str">
        <f>"MELTON                   LASHELLE                 "</f>
        <v xml:space="preserve">MELTON                   LASHELLE                 </v>
      </c>
      <c r="E22150" t="str">
        <f>"BARTLETT                  "</f>
        <v xml:space="preserve">BARTLETT                  </v>
      </c>
      <c r="F22150" t="str">
        <f t="shared" si="542"/>
        <v>TN</v>
      </c>
    </row>
    <row r="22151" spans="1:6" x14ac:dyDescent="0.25">
      <c r="A22151" t="str">
        <f>"004700269"</f>
        <v>004700269</v>
      </c>
      <c r="B22151" t="str">
        <f>"1528326097"</f>
        <v>1528326097</v>
      </c>
      <c r="C22151" t="str">
        <f>"2085R0202X"</f>
        <v>2085R0202X</v>
      </c>
      <c r="D22151" t="str">
        <f>"NGO                      JENNIFER                 "</f>
        <v xml:space="preserve">NGO                      JENNIFER                 </v>
      </c>
      <c r="E22151" t="str">
        <f t="shared" ref="E22151:E22159" si="543">"MEMPHIS                   "</f>
        <v xml:space="preserve">MEMPHIS                   </v>
      </c>
      <c r="F22151" t="str">
        <f t="shared" si="542"/>
        <v>TN</v>
      </c>
    </row>
    <row r="22152" spans="1:6" x14ac:dyDescent="0.25">
      <c r="A22152" t="str">
        <f>"004703568"</f>
        <v>004703568</v>
      </c>
      <c r="B22152" t="str">
        <f>"1295901221"</f>
        <v>1295901221</v>
      </c>
      <c r="C22152" t="str">
        <f>"2085R0202X"</f>
        <v>2085R0202X</v>
      </c>
      <c r="D22152" t="str">
        <f>"NEWMAN                   JUSTIN       R           "</f>
        <v xml:space="preserve">NEWMAN                   JUSTIN       R           </v>
      </c>
      <c r="E22152" t="str">
        <f t="shared" si="543"/>
        <v xml:space="preserve">MEMPHIS                   </v>
      </c>
      <c r="F22152" t="str">
        <f t="shared" si="542"/>
        <v>TN</v>
      </c>
    </row>
    <row r="22153" spans="1:6" x14ac:dyDescent="0.25">
      <c r="A22153" t="str">
        <f>"004732221"</f>
        <v>004732221</v>
      </c>
      <c r="B22153" t="str">
        <f>"1801030192"</f>
        <v>1801030192</v>
      </c>
      <c r="C22153" t="str">
        <f>"207R00000X"</f>
        <v>207R00000X</v>
      </c>
      <c r="D22153" t="str">
        <f>"HARARY                   SHIMON       M           "</f>
        <v xml:space="preserve">HARARY                   SHIMON       M           </v>
      </c>
      <c r="E22153" t="str">
        <f t="shared" si="543"/>
        <v xml:space="preserve">MEMPHIS                   </v>
      </c>
      <c r="F22153" t="str">
        <f t="shared" si="542"/>
        <v>TN</v>
      </c>
    </row>
    <row r="22154" spans="1:6" x14ac:dyDescent="0.25">
      <c r="A22154" t="str">
        <f>"004734769"</f>
        <v>004734769</v>
      </c>
      <c r="B22154" t="str">
        <f>"1487963724"</f>
        <v>1487963724</v>
      </c>
      <c r="C22154" t="str">
        <f>"363L00000X"</f>
        <v>363L00000X</v>
      </c>
      <c r="D22154" t="str">
        <f>"MEREDITH                 CARLY        J           "</f>
        <v xml:space="preserve">MEREDITH                 CARLY        J           </v>
      </c>
      <c r="E22154" t="str">
        <f t="shared" si="543"/>
        <v xml:space="preserve">MEMPHIS                   </v>
      </c>
      <c r="F22154" t="str">
        <f t="shared" si="542"/>
        <v>TN</v>
      </c>
    </row>
    <row r="22155" spans="1:6" x14ac:dyDescent="0.25">
      <c r="A22155" t="str">
        <f>"004738861"</f>
        <v>004738861</v>
      </c>
      <c r="B22155" t="str">
        <f>"1972245173"</f>
        <v>1972245173</v>
      </c>
      <c r="C22155" t="str">
        <f>"208000000X"</f>
        <v>208000000X</v>
      </c>
      <c r="D22155" t="str">
        <f>"VARGO                    ERYN         E           "</f>
        <v xml:space="preserve">VARGO                    ERYN         E           </v>
      </c>
      <c r="E22155" t="str">
        <f t="shared" si="543"/>
        <v xml:space="preserve">MEMPHIS                   </v>
      </c>
      <c r="F22155" t="str">
        <f t="shared" si="542"/>
        <v>TN</v>
      </c>
    </row>
    <row r="22156" spans="1:6" x14ac:dyDescent="0.25">
      <c r="A22156" t="str">
        <f>"004753511"</f>
        <v>004753511</v>
      </c>
      <c r="B22156" t="str">
        <f>"1710902440"</f>
        <v>1710902440</v>
      </c>
      <c r="C22156" t="str">
        <f>"208800000X"</f>
        <v>208800000X</v>
      </c>
      <c r="D22156" t="str">
        <f>"MCGOWAN                  LESLIE                   "</f>
        <v xml:space="preserve">MCGOWAN                  LESLIE                   </v>
      </c>
      <c r="E22156" t="str">
        <f t="shared" si="543"/>
        <v xml:space="preserve">MEMPHIS                   </v>
      </c>
      <c r="F22156" t="str">
        <f t="shared" si="542"/>
        <v>TN</v>
      </c>
    </row>
    <row r="22157" spans="1:6" x14ac:dyDescent="0.25">
      <c r="A22157" t="str">
        <f>"004773706"</f>
        <v>004773706</v>
      </c>
      <c r="B22157" t="str">
        <f>"1114172376"</f>
        <v>1114172376</v>
      </c>
      <c r="C22157" t="str">
        <f>"207RI0200X"</f>
        <v>207RI0200X</v>
      </c>
      <c r="D22157" t="str">
        <f>"POKHARNA                 HIREN        S           "</f>
        <v xml:space="preserve">POKHARNA                 HIREN        S           </v>
      </c>
      <c r="E22157" t="str">
        <f t="shared" si="543"/>
        <v xml:space="preserve">MEMPHIS                   </v>
      </c>
      <c r="F22157" t="str">
        <f t="shared" si="542"/>
        <v>TN</v>
      </c>
    </row>
    <row r="22158" spans="1:6" x14ac:dyDescent="0.25">
      <c r="A22158" t="str">
        <f>"004775742"</f>
        <v>004775742</v>
      </c>
      <c r="B22158" t="str">
        <f>"1114330495"</f>
        <v>1114330495</v>
      </c>
      <c r="C22158" t="str">
        <f>"367500000X"</f>
        <v>367500000X</v>
      </c>
      <c r="D22158" t="str">
        <f>"SUGG                     ASHLEY       B           "</f>
        <v xml:space="preserve">SUGG                     ASHLEY       B           </v>
      </c>
      <c r="E22158" t="str">
        <f t="shared" si="543"/>
        <v xml:space="preserve">MEMPHIS                   </v>
      </c>
      <c r="F22158" t="str">
        <f t="shared" si="542"/>
        <v>TN</v>
      </c>
    </row>
    <row r="22159" spans="1:6" x14ac:dyDescent="0.25">
      <c r="A22159" t="str">
        <f>"004776208"</f>
        <v>004776208</v>
      </c>
      <c r="B22159" t="str">
        <f>"1487108072"</f>
        <v>1487108072</v>
      </c>
      <c r="C22159" t="str">
        <f>"2085R0202X"</f>
        <v>2085R0202X</v>
      </c>
      <c r="D22159" t="str">
        <f>"GANDHI                   DARSHAN      H           "</f>
        <v xml:space="preserve">GANDHI                   DARSHAN      H           </v>
      </c>
      <c r="E22159" t="str">
        <f t="shared" si="543"/>
        <v xml:space="preserve">MEMPHIS                   </v>
      </c>
      <c r="F22159" t="str">
        <f t="shared" si="542"/>
        <v>TN</v>
      </c>
    </row>
    <row r="22160" spans="1:6" x14ac:dyDescent="0.25">
      <c r="A22160" t="str">
        <f>"004785011"</f>
        <v>004785011</v>
      </c>
      <c r="B22160" t="str">
        <f>"1235585480"</f>
        <v>1235585480</v>
      </c>
      <c r="C22160" t="str">
        <f>"2085R0202X"</f>
        <v>2085R0202X</v>
      </c>
      <c r="D22160" t="str">
        <f>"BOWIE                    STEPHEN      H           "</f>
        <v xml:space="preserve">BOWIE                    STEPHEN      H           </v>
      </c>
      <c r="E22160" t="str">
        <f>"GERMANTOWN                "</f>
        <v xml:space="preserve">GERMANTOWN                </v>
      </c>
      <c r="F22160" t="str">
        <f t="shared" si="542"/>
        <v>TN</v>
      </c>
    </row>
    <row r="22161" spans="1:6" x14ac:dyDescent="0.25">
      <c r="A22161" t="str">
        <f>"004786822"</f>
        <v>004786822</v>
      </c>
      <c r="B22161" t="str">
        <f>"1346291853"</f>
        <v>1346291853</v>
      </c>
      <c r="C22161" t="str">
        <f>"207RE0101X"</f>
        <v>207RE0101X</v>
      </c>
      <c r="D22161" t="str">
        <f>"ALEMZADEH                RAMIN                    "</f>
        <v xml:space="preserve">ALEMZADEH                RAMIN                    </v>
      </c>
      <c r="E22161" t="str">
        <f t="shared" ref="E22161:E22168" si="544">"MEMPHIS                   "</f>
        <v xml:space="preserve">MEMPHIS                   </v>
      </c>
      <c r="F22161" t="str">
        <f t="shared" si="542"/>
        <v>TN</v>
      </c>
    </row>
    <row r="22162" spans="1:6" x14ac:dyDescent="0.25">
      <c r="A22162" t="str">
        <f>"004801008"</f>
        <v>004801008</v>
      </c>
      <c r="B22162" t="str">
        <f>"1245248335"</f>
        <v>1245248335</v>
      </c>
      <c r="C22162" t="str">
        <f>"208G00000X"</f>
        <v>208G00000X</v>
      </c>
      <c r="D22162" t="str">
        <f>"VALAULIKAR               GANPAT                   "</f>
        <v xml:space="preserve">VALAULIKAR               GANPAT                   </v>
      </c>
      <c r="E22162" t="str">
        <f t="shared" si="544"/>
        <v xml:space="preserve">MEMPHIS                   </v>
      </c>
      <c r="F22162" t="str">
        <f t="shared" si="542"/>
        <v>TN</v>
      </c>
    </row>
    <row r="22163" spans="1:6" x14ac:dyDescent="0.25">
      <c r="A22163" t="str">
        <f>"004831705"</f>
        <v>004831705</v>
      </c>
      <c r="B22163" t="str">
        <f>"1467509331"</f>
        <v>1467509331</v>
      </c>
      <c r="C22163" t="str">
        <f>"2080N0001X"</f>
        <v>2080N0001X</v>
      </c>
      <c r="D22163" t="str">
        <f>"O'MARA                   PATRICK      W           "</f>
        <v xml:space="preserve">O'MARA                   PATRICK      W           </v>
      </c>
      <c r="E22163" t="str">
        <f t="shared" si="544"/>
        <v xml:space="preserve">MEMPHIS                   </v>
      </c>
      <c r="F22163" t="str">
        <f t="shared" si="542"/>
        <v>TN</v>
      </c>
    </row>
    <row r="22164" spans="1:6" x14ac:dyDescent="0.25">
      <c r="A22164" t="str">
        <f>"004833878"</f>
        <v>004833878</v>
      </c>
      <c r="B22164" t="str">
        <f>"1871033472"</f>
        <v>1871033472</v>
      </c>
      <c r="C22164" t="str">
        <f>"363L00000X"</f>
        <v>363L00000X</v>
      </c>
      <c r="D22164" t="str">
        <f>"RICHMOND                 LAKINA       S           "</f>
        <v xml:space="preserve">RICHMOND                 LAKINA       S           </v>
      </c>
      <c r="E22164" t="str">
        <f t="shared" si="544"/>
        <v xml:space="preserve">MEMPHIS                   </v>
      </c>
      <c r="F22164" t="str">
        <f t="shared" si="542"/>
        <v>TN</v>
      </c>
    </row>
    <row r="22165" spans="1:6" x14ac:dyDescent="0.25">
      <c r="A22165" t="str">
        <f>"004838858"</f>
        <v>004838858</v>
      </c>
      <c r="B22165" t="str">
        <f>"1629575071"</f>
        <v>1629575071</v>
      </c>
      <c r="C22165" t="str">
        <f>"207P00000X"</f>
        <v>207P00000X</v>
      </c>
      <c r="D22165" t="str">
        <f>"ADKINS                   WILLIAM      P           "</f>
        <v xml:space="preserve">ADKINS                   WILLIAM      P           </v>
      </c>
      <c r="E22165" t="str">
        <f t="shared" si="544"/>
        <v xml:space="preserve">MEMPHIS                   </v>
      </c>
      <c r="F22165" t="str">
        <f t="shared" si="542"/>
        <v>TN</v>
      </c>
    </row>
    <row r="22166" spans="1:6" x14ac:dyDescent="0.25">
      <c r="A22166" t="str">
        <f>"004856205"</f>
        <v>004856205</v>
      </c>
      <c r="B22166" t="str">
        <f>"1508284068"</f>
        <v>1508284068</v>
      </c>
      <c r="C22166" t="str">
        <f>"2080P0206X"</f>
        <v>2080P0206X</v>
      </c>
      <c r="D22166" t="str">
        <f>"XI                       DONG                     "</f>
        <v xml:space="preserve">XI                       DONG                     </v>
      </c>
      <c r="E22166" t="str">
        <f t="shared" si="544"/>
        <v xml:space="preserve">MEMPHIS                   </v>
      </c>
      <c r="F22166" t="str">
        <f t="shared" si="542"/>
        <v>TN</v>
      </c>
    </row>
    <row r="22167" spans="1:6" x14ac:dyDescent="0.25">
      <c r="A22167" t="str">
        <f>"004872289"</f>
        <v>004872289</v>
      </c>
      <c r="B22167" t="str">
        <f>"1720734049"</f>
        <v>1720734049</v>
      </c>
      <c r="C22167" t="str">
        <f>"363L00000X"</f>
        <v>363L00000X</v>
      </c>
      <c r="D22167" t="str">
        <f>"ERHARDT                  LISA         M           "</f>
        <v xml:space="preserve">ERHARDT                  LISA         M           </v>
      </c>
      <c r="E22167" t="str">
        <f t="shared" si="544"/>
        <v xml:space="preserve">MEMPHIS                   </v>
      </c>
      <c r="F22167" t="str">
        <f t="shared" si="542"/>
        <v>TN</v>
      </c>
    </row>
    <row r="22168" spans="1:6" x14ac:dyDescent="0.25">
      <c r="A22168" t="str">
        <f>"004875367"</f>
        <v>004875367</v>
      </c>
      <c r="B22168" t="str">
        <f>"1306901012"</f>
        <v>1306901012</v>
      </c>
      <c r="C22168" t="str">
        <f>"208800000X"</f>
        <v>208800000X</v>
      </c>
      <c r="D22168" t="str">
        <f>"JERKINS                  GERALD       R           "</f>
        <v xml:space="preserve">JERKINS                  GERALD       R           </v>
      </c>
      <c r="E22168" t="str">
        <f t="shared" si="544"/>
        <v xml:space="preserve">MEMPHIS                   </v>
      </c>
      <c r="F22168" t="str">
        <f t="shared" si="542"/>
        <v>TN</v>
      </c>
    </row>
    <row r="22169" spans="1:6" x14ac:dyDescent="0.25">
      <c r="A22169" t="str">
        <f>"004884731"</f>
        <v>004884731</v>
      </c>
      <c r="B22169" t="str">
        <f>"1558429522"</f>
        <v>1558429522</v>
      </c>
      <c r="C22169" t="str">
        <f>"207R00000X"</f>
        <v>207R00000X</v>
      </c>
      <c r="D22169" t="str">
        <f>"LYONS                    MATTHEW      R           "</f>
        <v xml:space="preserve">LYONS                    MATTHEW      R           </v>
      </c>
      <c r="E22169" t="str">
        <f>"GERMANTOWN                "</f>
        <v xml:space="preserve">GERMANTOWN                </v>
      </c>
      <c r="F22169" t="str">
        <f t="shared" si="542"/>
        <v>TN</v>
      </c>
    </row>
    <row r="22170" spans="1:6" x14ac:dyDescent="0.25">
      <c r="A22170" t="str">
        <f>"004927396"</f>
        <v>004927396</v>
      </c>
      <c r="B22170" t="str">
        <f>"1740280924"</f>
        <v>1740280924</v>
      </c>
      <c r="C22170" t="str">
        <f>"363L00000X"</f>
        <v>363L00000X</v>
      </c>
      <c r="D22170" t="str">
        <f>"HESS                     PATRICIA     B           "</f>
        <v xml:space="preserve">HESS                     PATRICIA     B           </v>
      </c>
      <c r="E22170" t="str">
        <f t="shared" ref="E22170:E22178" si="545">"MEMPHIS                   "</f>
        <v xml:space="preserve">MEMPHIS                   </v>
      </c>
      <c r="F22170" t="str">
        <f t="shared" si="542"/>
        <v>TN</v>
      </c>
    </row>
    <row r="22171" spans="1:6" x14ac:dyDescent="0.25">
      <c r="A22171" t="str">
        <f>"004927778"</f>
        <v>004927778</v>
      </c>
      <c r="B22171" t="str">
        <f>"1619289683"</f>
        <v>1619289683</v>
      </c>
      <c r="C22171" t="str">
        <f>"208000000X"</f>
        <v>208000000X</v>
      </c>
      <c r="D22171" t="str">
        <f>"FERGUSON- PAUL           KENICE       D           "</f>
        <v xml:space="preserve">FERGUSON- PAUL           KENICE       D           </v>
      </c>
      <c r="E22171" t="str">
        <f t="shared" si="545"/>
        <v xml:space="preserve">MEMPHIS                   </v>
      </c>
      <c r="F22171" t="str">
        <f t="shared" si="542"/>
        <v>TN</v>
      </c>
    </row>
    <row r="22172" spans="1:6" x14ac:dyDescent="0.25">
      <c r="A22172" t="str">
        <f>"004930364"</f>
        <v>004930364</v>
      </c>
      <c r="B22172" t="str">
        <f>"1093179111"</f>
        <v>1093179111</v>
      </c>
      <c r="C22172" t="str">
        <f>"207R00000X"</f>
        <v>207R00000X</v>
      </c>
      <c r="D22172" t="str">
        <f>"IBE                      OBINNA       C           "</f>
        <v xml:space="preserve">IBE                      OBINNA       C           </v>
      </c>
      <c r="E22172" t="str">
        <f t="shared" si="545"/>
        <v xml:space="preserve">MEMPHIS                   </v>
      </c>
      <c r="F22172" t="str">
        <f t="shared" si="542"/>
        <v>TN</v>
      </c>
    </row>
    <row r="22173" spans="1:6" x14ac:dyDescent="0.25">
      <c r="A22173" t="str">
        <f>"004939846"</f>
        <v>004939846</v>
      </c>
      <c r="B22173" t="str">
        <f>"1891094272"</f>
        <v>1891094272</v>
      </c>
      <c r="C22173" t="str">
        <f>"207R00000X"</f>
        <v>207R00000X</v>
      </c>
      <c r="D22173" t="str">
        <f>"BRADSHER                 ROBERT       W           "</f>
        <v xml:space="preserve">BRADSHER                 ROBERT       W           </v>
      </c>
      <c r="E22173" t="str">
        <f t="shared" si="545"/>
        <v xml:space="preserve">MEMPHIS                   </v>
      </c>
      <c r="F22173" t="str">
        <f t="shared" si="542"/>
        <v>TN</v>
      </c>
    </row>
    <row r="22174" spans="1:6" x14ac:dyDescent="0.25">
      <c r="A22174" t="str">
        <f>"004957740"</f>
        <v>004957740</v>
      </c>
      <c r="B22174" t="str">
        <f>"1154688851"</f>
        <v>1154688851</v>
      </c>
      <c r="C22174" t="str">
        <f>"207RN0300X"</f>
        <v>207RN0300X</v>
      </c>
      <c r="D22174" t="str">
        <f>"BALARAMAN                VASANTHI                 "</f>
        <v xml:space="preserve">BALARAMAN                VASANTHI                 </v>
      </c>
      <c r="E22174" t="str">
        <f t="shared" si="545"/>
        <v xml:space="preserve">MEMPHIS                   </v>
      </c>
      <c r="F22174" t="str">
        <f t="shared" si="542"/>
        <v>TN</v>
      </c>
    </row>
    <row r="22175" spans="1:6" x14ac:dyDescent="0.25">
      <c r="A22175" t="str">
        <f>"004978582"</f>
        <v>004978582</v>
      </c>
      <c r="B22175" t="str">
        <f>"1952614570"</f>
        <v>1952614570</v>
      </c>
      <c r="C22175" t="str">
        <f>"363L00000X"</f>
        <v>363L00000X</v>
      </c>
      <c r="D22175" t="str">
        <f>"BLAIR                    TONI                     "</f>
        <v xml:space="preserve">BLAIR                    TONI                     </v>
      </c>
      <c r="E22175" t="str">
        <f t="shared" si="545"/>
        <v xml:space="preserve">MEMPHIS                   </v>
      </c>
      <c r="F22175" t="str">
        <f t="shared" si="542"/>
        <v>TN</v>
      </c>
    </row>
    <row r="22176" spans="1:6" x14ac:dyDescent="0.25">
      <c r="A22176" t="str">
        <f>"004979372"</f>
        <v>004979372</v>
      </c>
      <c r="B22176" t="str">
        <f>"1447605498"</f>
        <v>1447605498</v>
      </c>
      <c r="C22176" t="str">
        <f>"207R00000X"</f>
        <v>207R00000X</v>
      </c>
      <c r="D22176" t="str">
        <f>"DAVIDSON                 NATHAN       C           "</f>
        <v xml:space="preserve">DAVIDSON                 NATHAN       C           </v>
      </c>
      <c r="E22176" t="str">
        <f t="shared" si="545"/>
        <v xml:space="preserve">MEMPHIS                   </v>
      </c>
      <c r="F22176" t="str">
        <f t="shared" si="542"/>
        <v>TN</v>
      </c>
    </row>
    <row r="22177" spans="1:6" x14ac:dyDescent="0.25">
      <c r="A22177" t="str">
        <f>"004980284"</f>
        <v>004980284</v>
      </c>
      <c r="B22177" t="str">
        <f>"1477001055"</f>
        <v>1477001055</v>
      </c>
      <c r="C22177" t="str">
        <f>"363L00000X"</f>
        <v>363L00000X</v>
      </c>
      <c r="D22177" t="str">
        <f>"KAISER                   AMY          N           "</f>
        <v xml:space="preserve">KAISER                   AMY          N           </v>
      </c>
      <c r="E22177" t="str">
        <f t="shared" si="545"/>
        <v xml:space="preserve">MEMPHIS                   </v>
      </c>
      <c r="F22177" t="str">
        <f t="shared" si="542"/>
        <v>TN</v>
      </c>
    </row>
    <row r="22178" spans="1:6" x14ac:dyDescent="0.25">
      <c r="A22178" t="str">
        <f>"004987343"</f>
        <v>004987343</v>
      </c>
      <c r="B22178" t="str">
        <f>"1871970731"</f>
        <v>1871970731</v>
      </c>
      <c r="C22178" t="str">
        <f>"2080P0207X"</f>
        <v>2080P0207X</v>
      </c>
      <c r="D22178" t="str">
        <f>"DAVIS                    MATTHEW      J           "</f>
        <v xml:space="preserve">DAVIS                    MATTHEW      J           </v>
      </c>
      <c r="E22178" t="str">
        <f t="shared" si="545"/>
        <v xml:space="preserve">MEMPHIS                   </v>
      </c>
      <c r="F22178" t="str">
        <f t="shared" si="542"/>
        <v>TN</v>
      </c>
    </row>
    <row r="22179" spans="1:6" x14ac:dyDescent="0.25">
      <c r="A22179" t="str">
        <f>"005000208"</f>
        <v>005000208</v>
      </c>
      <c r="B22179" t="str">
        <f>"1477656536"</f>
        <v>1477656536</v>
      </c>
      <c r="C22179" t="str">
        <f>"207RC0000X"</f>
        <v>207RC0000X</v>
      </c>
      <c r="D22179" t="str">
        <f>"MORROW                   JENNIFER     S           "</f>
        <v xml:space="preserve">MORROW                   JENNIFER     S           </v>
      </c>
      <c r="E22179" t="str">
        <f>"GERMANTOWN                "</f>
        <v xml:space="preserve">GERMANTOWN                </v>
      </c>
      <c r="F22179" t="str">
        <f t="shared" si="542"/>
        <v>TN</v>
      </c>
    </row>
    <row r="22180" spans="1:6" x14ac:dyDescent="0.25">
      <c r="A22180" t="str">
        <f>"005001805"</f>
        <v>005001805</v>
      </c>
      <c r="B22180" t="str">
        <f>"1821126665"</f>
        <v>1821126665</v>
      </c>
      <c r="C22180" t="str">
        <f>"208600000X"</f>
        <v>208600000X</v>
      </c>
      <c r="D22180" t="str">
        <f>"JANCELEWICZ              TIMOTHY                  "</f>
        <v xml:space="preserve">JANCELEWICZ              TIMOTHY                  </v>
      </c>
      <c r="E22180" t="str">
        <f>"MEMPHIS                   "</f>
        <v xml:space="preserve">MEMPHIS                   </v>
      </c>
      <c r="F22180" t="str">
        <f t="shared" si="542"/>
        <v>TN</v>
      </c>
    </row>
    <row r="22181" spans="1:6" x14ac:dyDescent="0.25">
      <c r="A22181" t="str">
        <f>"005003572"</f>
        <v>005003572</v>
      </c>
      <c r="B22181" t="str">
        <f>"1770891152"</f>
        <v>1770891152</v>
      </c>
      <c r="C22181" t="str">
        <f>"207R00000X"</f>
        <v>207R00000X</v>
      </c>
      <c r="D22181" t="str">
        <f>"CHAUDHRY                 FATIMA       S           "</f>
        <v xml:space="preserve">CHAUDHRY                 FATIMA       S           </v>
      </c>
      <c r="E22181" t="str">
        <f>"MEMPHIS                   "</f>
        <v xml:space="preserve">MEMPHIS                   </v>
      </c>
      <c r="F22181" t="str">
        <f t="shared" si="542"/>
        <v>TN</v>
      </c>
    </row>
    <row r="22182" spans="1:6" x14ac:dyDescent="0.25">
      <c r="A22182" t="str">
        <f>"005020867"</f>
        <v>005020867</v>
      </c>
      <c r="B22182" t="str">
        <f>"1770825283"</f>
        <v>1770825283</v>
      </c>
      <c r="C22182" t="str">
        <f>"2084N0400X"</f>
        <v>2084N0400X</v>
      </c>
      <c r="D22182" t="str">
        <f>"KRISHNAIAH               BALAJI                   "</f>
        <v xml:space="preserve">KRISHNAIAH               BALAJI                   </v>
      </c>
      <c r="E22182" t="str">
        <f>"MEMPHIS                   "</f>
        <v xml:space="preserve">MEMPHIS                   </v>
      </c>
      <c r="F22182" t="str">
        <f t="shared" si="542"/>
        <v>TN</v>
      </c>
    </row>
    <row r="22183" spans="1:6" x14ac:dyDescent="0.25">
      <c r="A22183" t="str">
        <f>"005023306"</f>
        <v>005023306</v>
      </c>
      <c r="B22183" t="str">
        <f>"1730189945"</f>
        <v>1730189945</v>
      </c>
      <c r="C22183" t="str">
        <f>"208000000X"</f>
        <v>208000000X</v>
      </c>
      <c r="D22183" t="str">
        <f>"HAMILTON                 DERRICK                  "</f>
        <v xml:space="preserve">HAMILTON                 DERRICK                  </v>
      </c>
      <c r="E22183" t="str">
        <f>"BARTLETT                  "</f>
        <v xml:space="preserve">BARTLETT                  </v>
      </c>
      <c r="F22183" t="str">
        <f t="shared" si="542"/>
        <v>TN</v>
      </c>
    </row>
    <row r="22184" spans="1:6" x14ac:dyDescent="0.25">
      <c r="A22184" t="str">
        <f>"005028509"</f>
        <v>005028509</v>
      </c>
      <c r="B22184" t="str">
        <f>"1538383765"</f>
        <v>1538383765</v>
      </c>
      <c r="C22184" t="str">
        <f>"207ZP0102X"</f>
        <v>207ZP0102X</v>
      </c>
      <c r="D22184" t="str">
        <f>"THOMPSON                 ANDRE        C           "</f>
        <v xml:space="preserve">THOMPSON                 ANDRE        C           </v>
      </c>
      <c r="E22184" t="str">
        <f t="shared" ref="E22184:E22192" si="546">"MEMPHIS                   "</f>
        <v xml:space="preserve">MEMPHIS                   </v>
      </c>
      <c r="F22184" t="str">
        <f t="shared" si="542"/>
        <v>TN</v>
      </c>
    </row>
    <row r="22185" spans="1:6" x14ac:dyDescent="0.25">
      <c r="A22185" t="str">
        <f>"005032336"</f>
        <v>005032336</v>
      </c>
      <c r="B22185" t="str">
        <f>"1255713954"</f>
        <v>1255713954</v>
      </c>
      <c r="C22185" t="str">
        <f>"2080N0001X"</f>
        <v>2080N0001X</v>
      </c>
      <c r="D22185" t="str">
        <f>"JAGADESAN                BHUVANESHWARI            "</f>
        <v xml:space="preserve">JAGADESAN                BHUVANESHWARI            </v>
      </c>
      <c r="E22185" t="str">
        <f t="shared" si="546"/>
        <v xml:space="preserve">MEMPHIS                   </v>
      </c>
      <c r="F22185" t="str">
        <f t="shared" si="542"/>
        <v>TN</v>
      </c>
    </row>
    <row r="22186" spans="1:6" x14ac:dyDescent="0.25">
      <c r="A22186" t="str">
        <f>"005035331"</f>
        <v>005035331</v>
      </c>
      <c r="B22186" t="str">
        <f>"1174971550"</f>
        <v>1174971550</v>
      </c>
      <c r="C22186" t="str">
        <f>"363L00000X"</f>
        <v>363L00000X</v>
      </c>
      <c r="D22186" t="str">
        <f>"WILLIAMS                 BRITTANY     M           "</f>
        <v xml:space="preserve">WILLIAMS                 BRITTANY     M           </v>
      </c>
      <c r="E22186" t="str">
        <f t="shared" si="546"/>
        <v xml:space="preserve">MEMPHIS                   </v>
      </c>
      <c r="F22186" t="str">
        <f t="shared" si="542"/>
        <v>TN</v>
      </c>
    </row>
    <row r="22187" spans="1:6" x14ac:dyDescent="0.25">
      <c r="A22187" t="str">
        <f>"005057722"</f>
        <v>005057722</v>
      </c>
      <c r="B22187" t="str">
        <f>"1518609155"</f>
        <v>1518609155</v>
      </c>
      <c r="C22187" t="str">
        <f>"207Y00000X"</f>
        <v>207Y00000X</v>
      </c>
      <c r="D22187" t="str">
        <f>"WARD                     CHRISTINA    N           "</f>
        <v xml:space="preserve">WARD                     CHRISTINA    N           </v>
      </c>
      <c r="E22187" t="str">
        <f t="shared" si="546"/>
        <v xml:space="preserve">MEMPHIS                   </v>
      </c>
      <c r="F22187" t="str">
        <f t="shared" si="542"/>
        <v>TN</v>
      </c>
    </row>
    <row r="22188" spans="1:6" x14ac:dyDescent="0.25">
      <c r="A22188" t="str">
        <f>"005079793"</f>
        <v>005079793</v>
      </c>
      <c r="B22188" t="str">
        <f>"1972914018"</f>
        <v>1972914018</v>
      </c>
      <c r="C22188" t="str">
        <f>"207V00000X"</f>
        <v>207V00000X</v>
      </c>
      <c r="D22188" t="str">
        <f>"BURANA                   GREGORY      J           "</f>
        <v xml:space="preserve">BURANA                   GREGORY      J           </v>
      </c>
      <c r="E22188" t="str">
        <f t="shared" si="546"/>
        <v xml:space="preserve">MEMPHIS                   </v>
      </c>
      <c r="F22188" t="str">
        <f t="shared" si="542"/>
        <v>TN</v>
      </c>
    </row>
    <row r="22189" spans="1:6" x14ac:dyDescent="0.25">
      <c r="A22189" t="str">
        <f>"005080006"</f>
        <v>005080006</v>
      </c>
      <c r="B22189" t="str">
        <f>"1982197653"</f>
        <v>1982197653</v>
      </c>
      <c r="C22189" t="str">
        <f>"207R00000X"</f>
        <v>207R00000X</v>
      </c>
      <c r="D22189" t="str">
        <f>"KHADER                   THEKRAYAT    A           "</f>
        <v xml:space="preserve">KHADER                   THEKRAYAT    A           </v>
      </c>
      <c r="E22189" t="str">
        <f t="shared" si="546"/>
        <v xml:space="preserve">MEMPHIS                   </v>
      </c>
      <c r="F22189" t="str">
        <f t="shared" si="542"/>
        <v>TN</v>
      </c>
    </row>
    <row r="22190" spans="1:6" x14ac:dyDescent="0.25">
      <c r="A22190" t="str">
        <f>"005080354"</f>
        <v>005080354</v>
      </c>
      <c r="B22190" t="str">
        <f>"1255855540"</f>
        <v>1255855540</v>
      </c>
      <c r="C22190" t="str">
        <f>"363L00000X"</f>
        <v>363L00000X</v>
      </c>
      <c r="D22190" t="str">
        <f>"MAHORO                   PORSHIA      E           "</f>
        <v xml:space="preserve">MAHORO                   PORSHIA      E           </v>
      </c>
      <c r="E22190" t="str">
        <f t="shared" si="546"/>
        <v xml:space="preserve">MEMPHIS                   </v>
      </c>
      <c r="F22190" t="str">
        <f t="shared" si="542"/>
        <v>TN</v>
      </c>
    </row>
    <row r="22191" spans="1:6" x14ac:dyDescent="0.25">
      <c r="A22191" t="str">
        <f>"005086721"</f>
        <v>005086721</v>
      </c>
      <c r="B22191" t="str">
        <f>"1881652543"</f>
        <v>1881652543</v>
      </c>
      <c r="C22191" t="str">
        <f>"207RC0200X"</f>
        <v>207RC0200X</v>
      </c>
      <c r="D22191" t="str">
        <f>"SPENTZAS                 THOMAS                   "</f>
        <v xml:space="preserve">SPENTZAS                 THOMAS                   </v>
      </c>
      <c r="E22191" t="str">
        <f t="shared" si="546"/>
        <v xml:space="preserve">MEMPHIS                   </v>
      </c>
      <c r="F22191" t="str">
        <f t="shared" si="542"/>
        <v>TN</v>
      </c>
    </row>
    <row r="22192" spans="1:6" x14ac:dyDescent="0.25">
      <c r="A22192" t="str">
        <f>"005130001"</f>
        <v>005130001</v>
      </c>
      <c r="B22192" t="str">
        <f>"1275122566"</f>
        <v>1275122566</v>
      </c>
      <c r="C22192" t="str">
        <f>"363L00000X"</f>
        <v>363L00000X</v>
      </c>
      <c r="D22192" t="str">
        <f>"CULVER                   JOSHUA       B           "</f>
        <v xml:space="preserve">CULVER                   JOSHUA       B           </v>
      </c>
      <c r="E22192" t="str">
        <f t="shared" si="546"/>
        <v xml:space="preserve">MEMPHIS                   </v>
      </c>
      <c r="F22192" t="str">
        <f t="shared" si="542"/>
        <v>TN</v>
      </c>
    </row>
    <row r="22193" spans="1:6" x14ac:dyDescent="0.25">
      <c r="A22193" t="str">
        <f>"005151771"</f>
        <v>005151771</v>
      </c>
      <c r="B22193" t="str">
        <f>"1790971885"</f>
        <v>1790971885</v>
      </c>
      <c r="C22193" t="str">
        <f>"2084N0400X"</f>
        <v>2084N0400X</v>
      </c>
      <c r="D22193" t="str">
        <f>"AHMED                    SHAMEELA     N           "</f>
        <v xml:space="preserve">AHMED                    SHAMEELA     N           </v>
      </c>
      <c r="E22193" t="str">
        <f>"ATOKA                     "</f>
        <v xml:space="preserve">ATOKA                     </v>
      </c>
      <c r="F22193" t="str">
        <f t="shared" si="542"/>
        <v>TN</v>
      </c>
    </row>
    <row r="22194" spans="1:6" x14ac:dyDescent="0.25">
      <c r="A22194" t="str">
        <f>"005185084"</f>
        <v>005185084</v>
      </c>
      <c r="B22194" t="str">
        <f>"1184835837"</f>
        <v>1184835837</v>
      </c>
      <c r="C22194" t="str">
        <f>"208000000X"</f>
        <v>208000000X</v>
      </c>
      <c r="D22194" t="str">
        <f>"BAGGA                    BINDIYA                  "</f>
        <v xml:space="preserve">BAGGA                    BINDIYA                  </v>
      </c>
      <c r="E22194" t="str">
        <f t="shared" ref="E22194:E22199" si="547">"MEMPHIS                   "</f>
        <v xml:space="preserve">MEMPHIS                   </v>
      </c>
      <c r="F22194" t="str">
        <f t="shared" si="542"/>
        <v>TN</v>
      </c>
    </row>
    <row r="22195" spans="1:6" x14ac:dyDescent="0.25">
      <c r="A22195" t="str">
        <f>"005188750"</f>
        <v>005188750</v>
      </c>
      <c r="B22195" t="str">
        <f>"1760894976"</f>
        <v>1760894976</v>
      </c>
      <c r="C22195" t="str">
        <f>"207R00000X"</f>
        <v>207R00000X</v>
      </c>
      <c r="D22195" t="str">
        <f>"GROESCHELL               CHARLES      M           "</f>
        <v xml:space="preserve">GROESCHELL               CHARLES      M           </v>
      </c>
      <c r="E22195" t="str">
        <f t="shared" si="547"/>
        <v xml:space="preserve">MEMPHIS                   </v>
      </c>
      <c r="F22195" t="str">
        <f t="shared" si="542"/>
        <v>TN</v>
      </c>
    </row>
    <row r="22196" spans="1:6" x14ac:dyDescent="0.25">
      <c r="A22196" t="str">
        <f>"005205364"</f>
        <v>005205364</v>
      </c>
      <c r="B22196" t="str">
        <f>"1952375156"</f>
        <v>1952375156</v>
      </c>
      <c r="C22196" t="str">
        <f>"207R00000X"</f>
        <v>207R00000X</v>
      </c>
      <c r="D22196" t="str">
        <f>"OGBEIDE                  OSARENREN                "</f>
        <v xml:space="preserve">OGBEIDE                  OSARENREN                </v>
      </c>
      <c r="E22196" t="str">
        <f t="shared" si="547"/>
        <v xml:space="preserve">MEMPHIS                   </v>
      </c>
      <c r="F22196" t="str">
        <f t="shared" si="542"/>
        <v>TN</v>
      </c>
    </row>
    <row r="22197" spans="1:6" x14ac:dyDescent="0.25">
      <c r="A22197" t="str">
        <f>"005209023"</f>
        <v>005209023</v>
      </c>
      <c r="B22197" t="str">
        <f>"1780657015"</f>
        <v>1780657015</v>
      </c>
      <c r="C22197" t="str">
        <f>"363A00000X"</f>
        <v>363A00000X</v>
      </c>
      <c r="D22197" t="str">
        <f>"PICKETT                  DARLA                    "</f>
        <v xml:space="preserve">PICKETT                  DARLA                    </v>
      </c>
      <c r="E22197" t="str">
        <f t="shared" si="547"/>
        <v xml:space="preserve">MEMPHIS                   </v>
      </c>
      <c r="F22197" t="str">
        <f t="shared" si="542"/>
        <v>TN</v>
      </c>
    </row>
    <row r="22198" spans="1:6" x14ac:dyDescent="0.25">
      <c r="A22198" t="str">
        <f>"005235086"</f>
        <v>005235086</v>
      </c>
      <c r="B22198" t="str">
        <f>"1649536350"</f>
        <v>1649536350</v>
      </c>
      <c r="C22198" t="str">
        <f>"208800000X"</f>
        <v>208800000X</v>
      </c>
      <c r="D22198" t="str">
        <f>"KILLIAN                  MARY         E           "</f>
        <v xml:space="preserve">KILLIAN                  MARY         E           </v>
      </c>
      <c r="E22198" t="str">
        <f t="shared" si="547"/>
        <v xml:space="preserve">MEMPHIS                   </v>
      </c>
      <c r="F22198" t="str">
        <f t="shared" si="542"/>
        <v>TN</v>
      </c>
    </row>
    <row r="22199" spans="1:6" x14ac:dyDescent="0.25">
      <c r="A22199" t="str">
        <f>"005252716"</f>
        <v>005252716</v>
      </c>
      <c r="B22199" t="str">
        <f>"1558771956"</f>
        <v>1558771956</v>
      </c>
      <c r="C22199" t="str">
        <f>"363L00000X"</f>
        <v>363L00000X</v>
      </c>
      <c r="D22199" t="str">
        <f>"DECROW                   PAULA        B           "</f>
        <v xml:space="preserve">DECROW                   PAULA        B           </v>
      </c>
      <c r="E22199" t="str">
        <f t="shared" si="547"/>
        <v xml:space="preserve">MEMPHIS                   </v>
      </c>
      <c r="F22199" t="str">
        <f t="shared" si="542"/>
        <v>TN</v>
      </c>
    </row>
    <row r="22200" spans="1:6" x14ac:dyDescent="0.25">
      <c r="A22200" t="str">
        <f>"005254852"</f>
        <v>005254852</v>
      </c>
      <c r="B22200" t="str">
        <f>"1376569210"</f>
        <v>1376569210</v>
      </c>
      <c r="C22200" t="str">
        <f>"208100000X"</f>
        <v>208100000X</v>
      </c>
      <c r="D22200" t="str">
        <f>"CANNON                   DOUGLAS      T           "</f>
        <v xml:space="preserve">CANNON                   DOUGLAS      T           </v>
      </c>
      <c r="E22200" t="str">
        <f>"GERMANTOWN                "</f>
        <v xml:space="preserve">GERMANTOWN                </v>
      </c>
      <c r="F22200" t="str">
        <f t="shared" si="542"/>
        <v>TN</v>
      </c>
    </row>
    <row r="22201" spans="1:6" x14ac:dyDescent="0.25">
      <c r="A22201" t="str">
        <f>"005270229"</f>
        <v>005270229</v>
      </c>
      <c r="B22201" t="str">
        <f>"1477902559"</f>
        <v>1477902559</v>
      </c>
      <c r="C22201" t="str">
        <f>"207L00000X"</f>
        <v>207L00000X</v>
      </c>
      <c r="D22201" t="str">
        <f>"WOOLARD                  AUSTIN                   "</f>
        <v xml:space="preserve">WOOLARD                  AUSTIN                   </v>
      </c>
      <c r="E22201" t="str">
        <f>"MEMPHIS                   "</f>
        <v xml:space="preserve">MEMPHIS                   </v>
      </c>
      <c r="F22201" t="str">
        <f t="shared" si="542"/>
        <v>TN</v>
      </c>
    </row>
    <row r="22202" spans="1:6" x14ac:dyDescent="0.25">
      <c r="A22202" t="str">
        <f>"005273041"</f>
        <v>005273041</v>
      </c>
      <c r="B22202" t="str">
        <f>"1740220326"</f>
        <v>1740220326</v>
      </c>
      <c r="C22202" t="str">
        <f>"207P00000X"</f>
        <v>207P00000X</v>
      </c>
      <c r="D22202" t="str">
        <f>"GOMEZ                    ROSA         A           "</f>
        <v xml:space="preserve">GOMEZ                    ROSA         A           </v>
      </c>
      <c r="E22202" t="str">
        <f>"MEMPHIS                   "</f>
        <v xml:space="preserve">MEMPHIS                   </v>
      </c>
      <c r="F22202" t="str">
        <f t="shared" si="542"/>
        <v>TN</v>
      </c>
    </row>
    <row r="22203" spans="1:6" x14ac:dyDescent="0.25">
      <c r="A22203" t="str">
        <f>"005273308"</f>
        <v>005273308</v>
      </c>
      <c r="B22203" t="str">
        <f>"1780035030"</f>
        <v>1780035030</v>
      </c>
      <c r="C22203" t="str">
        <f>"207R00000X"</f>
        <v>207R00000X</v>
      </c>
      <c r="D22203" t="str">
        <f>"AZIM                     ALI                      "</f>
        <v xml:space="preserve">AZIM                     ALI                      </v>
      </c>
      <c r="E22203" t="str">
        <f>"GERMANTOWN                "</f>
        <v xml:space="preserve">GERMANTOWN                </v>
      </c>
      <c r="F22203" t="str">
        <f t="shared" si="542"/>
        <v>TN</v>
      </c>
    </row>
    <row r="22204" spans="1:6" x14ac:dyDescent="0.25">
      <c r="A22204" t="str">
        <f>"005277344"</f>
        <v>005277344</v>
      </c>
      <c r="B22204" t="str">
        <f>"1932154465"</f>
        <v>1932154465</v>
      </c>
      <c r="C22204" t="str">
        <f>"2085R0202X"</f>
        <v>2085R0202X</v>
      </c>
      <c r="D22204" t="str">
        <f>"NOKES                    STEVEN       R           "</f>
        <v xml:space="preserve">NOKES                    STEVEN       R           </v>
      </c>
      <c r="E22204" t="str">
        <f>"GERMANTOWN                "</f>
        <v xml:space="preserve">GERMANTOWN                </v>
      </c>
      <c r="F22204" t="str">
        <f t="shared" si="542"/>
        <v>TN</v>
      </c>
    </row>
    <row r="22205" spans="1:6" x14ac:dyDescent="0.25">
      <c r="A22205" t="str">
        <f>"005283736"</f>
        <v>005283736</v>
      </c>
      <c r="B22205" t="str">
        <f>"1699161117"</f>
        <v>1699161117</v>
      </c>
      <c r="C22205" t="str">
        <f>"207V00000X"</f>
        <v>207V00000X</v>
      </c>
      <c r="D22205" t="str">
        <f>"WHERRY                   HEATHER      M           "</f>
        <v xml:space="preserve">WHERRY                   HEATHER      M           </v>
      </c>
      <c r="E22205" t="str">
        <f t="shared" ref="E22205:E22215" si="548">"MEMPHIS                   "</f>
        <v xml:space="preserve">MEMPHIS                   </v>
      </c>
      <c r="F22205" t="str">
        <f t="shared" si="542"/>
        <v>TN</v>
      </c>
    </row>
    <row r="22206" spans="1:6" x14ac:dyDescent="0.25">
      <c r="A22206" t="str">
        <f>"005285843"</f>
        <v>005285843</v>
      </c>
      <c r="B22206" t="str">
        <f>"1366897068"</f>
        <v>1366897068</v>
      </c>
      <c r="C22206" t="str">
        <f>"2084P0800X"</f>
        <v>2084P0800X</v>
      </c>
      <c r="D22206" t="str">
        <f>"FORD                     ALLISON      R           "</f>
        <v xml:space="preserve">FORD                     ALLISON      R           </v>
      </c>
      <c r="E22206" t="str">
        <f t="shared" si="548"/>
        <v xml:space="preserve">MEMPHIS                   </v>
      </c>
      <c r="F22206" t="str">
        <f t="shared" ref="F22206:F22269" si="549">"TN"</f>
        <v>TN</v>
      </c>
    </row>
    <row r="22207" spans="1:6" x14ac:dyDescent="0.25">
      <c r="A22207" t="str">
        <f>"005303707"</f>
        <v>005303707</v>
      </c>
      <c r="B22207" t="str">
        <f>"1962498626"</f>
        <v>1962498626</v>
      </c>
      <c r="C22207" t="str">
        <f>"367500000X"</f>
        <v>367500000X</v>
      </c>
      <c r="D22207" t="str">
        <f>"THOMAS                   WENDY                    "</f>
        <v xml:space="preserve">THOMAS                   WENDY                    </v>
      </c>
      <c r="E22207" t="str">
        <f t="shared" si="548"/>
        <v xml:space="preserve">MEMPHIS                   </v>
      </c>
      <c r="F22207" t="str">
        <f t="shared" si="549"/>
        <v>TN</v>
      </c>
    </row>
    <row r="22208" spans="1:6" x14ac:dyDescent="0.25">
      <c r="A22208" t="str">
        <f>"005306713"</f>
        <v>005306713</v>
      </c>
      <c r="B22208" t="str">
        <f>"1013145440"</f>
        <v>1013145440</v>
      </c>
      <c r="C22208" t="str">
        <f>"363LF0000X"</f>
        <v>363LF0000X</v>
      </c>
      <c r="D22208" t="str">
        <f>"COTTON                   ALYSSA       N           "</f>
        <v xml:space="preserve">COTTON                   ALYSSA       N           </v>
      </c>
      <c r="E22208" t="str">
        <f t="shared" si="548"/>
        <v xml:space="preserve">MEMPHIS                   </v>
      </c>
      <c r="F22208" t="str">
        <f t="shared" si="549"/>
        <v>TN</v>
      </c>
    </row>
    <row r="22209" spans="1:6" x14ac:dyDescent="0.25">
      <c r="A22209" t="str">
        <f>"005337030"</f>
        <v>005337030</v>
      </c>
      <c r="B22209" t="str">
        <f>"1093129827"</f>
        <v>1093129827</v>
      </c>
      <c r="C22209" t="str">
        <f>"208000000X"</f>
        <v>208000000X</v>
      </c>
      <c r="D22209" t="str">
        <f>"HIJANO                   DIEGO        R           "</f>
        <v xml:space="preserve">HIJANO                   DIEGO        R           </v>
      </c>
      <c r="E22209" t="str">
        <f t="shared" si="548"/>
        <v xml:space="preserve">MEMPHIS                   </v>
      </c>
      <c r="F22209" t="str">
        <f t="shared" si="549"/>
        <v>TN</v>
      </c>
    </row>
    <row r="22210" spans="1:6" x14ac:dyDescent="0.25">
      <c r="A22210" t="str">
        <f>"005337109"</f>
        <v>005337109</v>
      </c>
      <c r="B22210" t="str">
        <f>"1306886825"</f>
        <v>1306886825</v>
      </c>
      <c r="C22210" t="str">
        <f>"207RH0000X"</f>
        <v>207RH0000X</v>
      </c>
      <c r="D22210" t="str">
        <f>"ATAGA                    KENNETH      I           "</f>
        <v xml:space="preserve">ATAGA                    KENNETH      I           </v>
      </c>
      <c r="E22210" t="str">
        <f t="shared" si="548"/>
        <v xml:space="preserve">MEMPHIS                   </v>
      </c>
      <c r="F22210" t="str">
        <f t="shared" si="549"/>
        <v>TN</v>
      </c>
    </row>
    <row r="22211" spans="1:6" x14ac:dyDescent="0.25">
      <c r="A22211" t="str">
        <f>"005371755"</f>
        <v>005371755</v>
      </c>
      <c r="B22211" t="str">
        <f>"1639266380"</f>
        <v>1639266380</v>
      </c>
      <c r="C22211" t="str">
        <f>"207P00000X"</f>
        <v>207P00000X</v>
      </c>
      <c r="D22211" t="str">
        <f>"LEGROS                   TRACY        L           "</f>
        <v xml:space="preserve">LEGROS                   TRACY        L           </v>
      </c>
      <c r="E22211" t="str">
        <f t="shared" si="548"/>
        <v xml:space="preserve">MEMPHIS                   </v>
      </c>
      <c r="F22211" t="str">
        <f t="shared" si="549"/>
        <v>TN</v>
      </c>
    </row>
    <row r="22212" spans="1:6" x14ac:dyDescent="0.25">
      <c r="A22212" t="str">
        <f>"005372219"</f>
        <v>005372219</v>
      </c>
      <c r="B22212" t="str">
        <f>"1093987893"</f>
        <v>1093987893</v>
      </c>
      <c r="C22212" t="str">
        <f>"207W00000X"</f>
        <v>207W00000X</v>
      </c>
      <c r="D22212" t="str">
        <f>"FOWLER                   BRIAN        T           "</f>
        <v xml:space="preserve">FOWLER                   BRIAN        T           </v>
      </c>
      <c r="E22212" t="str">
        <f t="shared" si="548"/>
        <v xml:space="preserve">MEMPHIS                   </v>
      </c>
      <c r="F22212" t="str">
        <f t="shared" si="549"/>
        <v>TN</v>
      </c>
    </row>
    <row r="22213" spans="1:6" x14ac:dyDescent="0.25">
      <c r="A22213" t="str">
        <f>"005375817"</f>
        <v>005375817</v>
      </c>
      <c r="B22213" t="str">
        <f>"1841945482"</f>
        <v>1841945482</v>
      </c>
      <c r="C22213" t="str">
        <f>"363L00000X"</f>
        <v>363L00000X</v>
      </c>
      <c r="D22213" t="str">
        <f>"VANZANT                  STEPHANIE    G           "</f>
        <v xml:space="preserve">VANZANT                  STEPHANIE    G           </v>
      </c>
      <c r="E22213" t="str">
        <f t="shared" si="548"/>
        <v xml:space="preserve">MEMPHIS                   </v>
      </c>
      <c r="F22213" t="str">
        <f t="shared" si="549"/>
        <v>TN</v>
      </c>
    </row>
    <row r="22214" spans="1:6" x14ac:dyDescent="0.25">
      <c r="A22214" t="str">
        <f>"005380331"</f>
        <v>005380331</v>
      </c>
      <c r="B22214" t="str">
        <f>"1487611760"</f>
        <v>1487611760</v>
      </c>
      <c r="C22214" t="str">
        <f>"207V00000X"</f>
        <v>207V00000X</v>
      </c>
      <c r="D22214" t="str">
        <f>"ENGLE                    DAVID        B           "</f>
        <v xml:space="preserve">ENGLE                    DAVID        B           </v>
      </c>
      <c r="E22214" t="str">
        <f t="shared" si="548"/>
        <v xml:space="preserve">MEMPHIS                   </v>
      </c>
      <c r="F22214" t="str">
        <f t="shared" si="549"/>
        <v>TN</v>
      </c>
    </row>
    <row r="22215" spans="1:6" x14ac:dyDescent="0.25">
      <c r="A22215" t="str">
        <f>"005380800"</f>
        <v>005380800</v>
      </c>
      <c r="B22215" t="str">
        <f>"1972867422"</f>
        <v>1972867422</v>
      </c>
      <c r="C22215" t="str">
        <f>"207RC0000X"</f>
        <v>207RC0000X</v>
      </c>
      <c r="D22215" t="str">
        <f>"FLATT                    DAVID        M           "</f>
        <v xml:space="preserve">FLATT                    DAVID        M           </v>
      </c>
      <c r="E22215" t="str">
        <f t="shared" si="548"/>
        <v xml:space="preserve">MEMPHIS                   </v>
      </c>
      <c r="F22215" t="str">
        <f t="shared" si="549"/>
        <v>TN</v>
      </c>
    </row>
    <row r="22216" spans="1:6" x14ac:dyDescent="0.25">
      <c r="A22216" t="str">
        <f>"005386399"</f>
        <v>005386399</v>
      </c>
      <c r="B22216" t="str">
        <f>"1033498472"</f>
        <v>1033498472</v>
      </c>
      <c r="C22216" t="str">
        <f>"207RP1001X"</f>
        <v>207RP1001X</v>
      </c>
      <c r="D22216" t="str">
        <f>"MEHROTRA                 ANURAG                   "</f>
        <v xml:space="preserve">MEHROTRA                 ANURAG                   </v>
      </c>
      <c r="E22216" t="str">
        <f>"GERMANTOWN                "</f>
        <v xml:space="preserve">GERMANTOWN                </v>
      </c>
      <c r="F22216" t="str">
        <f t="shared" si="549"/>
        <v>TN</v>
      </c>
    </row>
    <row r="22217" spans="1:6" x14ac:dyDescent="0.25">
      <c r="A22217" t="str">
        <f>"005387513"</f>
        <v>005387513</v>
      </c>
      <c r="B22217" t="str">
        <f>"1831385780"</f>
        <v>1831385780</v>
      </c>
      <c r="C22217" t="str">
        <f>"207RP1001X"</f>
        <v>207RP1001X</v>
      </c>
      <c r="D22217" t="str">
        <f>"AWAN                     OBAID        U           "</f>
        <v xml:space="preserve">AWAN                     OBAID        U           </v>
      </c>
      <c r="E22217" t="str">
        <f>"MEMPHIS                   "</f>
        <v xml:space="preserve">MEMPHIS                   </v>
      </c>
      <c r="F22217" t="str">
        <f t="shared" si="549"/>
        <v>TN</v>
      </c>
    </row>
    <row r="22218" spans="1:6" x14ac:dyDescent="0.25">
      <c r="A22218" t="str">
        <f>"005403312"</f>
        <v>005403312</v>
      </c>
      <c r="B22218" t="str">
        <f>"1225017445"</f>
        <v>1225017445</v>
      </c>
      <c r="C22218" t="str">
        <f>"363L00000X"</f>
        <v>363L00000X</v>
      </c>
      <c r="D22218" t="str">
        <f>"HOOK                     ERROL        M           "</f>
        <v xml:space="preserve">HOOK                     ERROL        M           </v>
      </c>
      <c r="E22218" t="str">
        <f>"MEMPHIS                   "</f>
        <v xml:space="preserve">MEMPHIS                   </v>
      </c>
      <c r="F22218" t="str">
        <f t="shared" si="549"/>
        <v>TN</v>
      </c>
    </row>
    <row r="22219" spans="1:6" x14ac:dyDescent="0.25">
      <c r="A22219" t="str">
        <f>"005407799"</f>
        <v>005407799</v>
      </c>
      <c r="B22219" t="str">
        <f>"1811382369"</f>
        <v>1811382369</v>
      </c>
      <c r="C22219" t="str">
        <f>"2080P0207X"</f>
        <v>2080P0207X</v>
      </c>
      <c r="D22219" t="str">
        <f>"MCNEIL                   MICHAEL      J           "</f>
        <v xml:space="preserve">MCNEIL                   MICHAEL      J           </v>
      </c>
      <c r="E22219" t="str">
        <f>"MEMPHIS                   "</f>
        <v xml:space="preserve">MEMPHIS                   </v>
      </c>
      <c r="F22219" t="str">
        <f t="shared" si="549"/>
        <v>TN</v>
      </c>
    </row>
    <row r="22220" spans="1:6" x14ac:dyDescent="0.25">
      <c r="A22220" t="str">
        <f>"005408516"</f>
        <v>005408516</v>
      </c>
      <c r="B22220" t="str">
        <f>"1205153863"</f>
        <v>1205153863</v>
      </c>
      <c r="C22220" t="str">
        <f>"207R00000X"</f>
        <v>207R00000X</v>
      </c>
      <c r="D22220" t="str">
        <f>"MAURITSON                AMY          E           "</f>
        <v xml:space="preserve">MAURITSON                AMY          E           </v>
      </c>
      <c r="E22220" t="str">
        <f>"GERMANTOWN                "</f>
        <v xml:space="preserve">GERMANTOWN                </v>
      </c>
      <c r="F22220" t="str">
        <f t="shared" si="549"/>
        <v>TN</v>
      </c>
    </row>
    <row r="22221" spans="1:6" x14ac:dyDescent="0.25">
      <c r="A22221" t="str">
        <f>"005408895"</f>
        <v>005408895</v>
      </c>
      <c r="B22221" t="str">
        <f>"1033421417"</f>
        <v>1033421417</v>
      </c>
      <c r="C22221" t="str">
        <f>"207RH0000X"</f>
        <v>207RH0000X</v>
      </c>
      <c r="D22221" t="str">
        <f>"KUMAR                    KAWEETA                  "</f>
        <v xml:space="preserve">KUMAR                    KAWEETA                  </v>
      </c>
      <c r="E22221" t="str">
        <f t="shared" ref="E22221:E22229" si="550">"MEMPHIS                   "</f>
        <v xml:space="preserve">MEMPHIS                   </v>
      </c>
      <c r="F22221" t="str">
        <f t="shared" si="549"/>
        <v>TN</v>
      </c>
    </row>
    <row r="22222" spans="1:6" x14ac:dyDescent="0.25">
      <c r="A22222" t="str">
        <f>"005409823"</f>
        <v>005409823</v>
      </c>
      <c r="B22222" t="str">
        <f>"1689051773"</f>
        <v>1689051773</v>
      </c>
      <c r="C22222" t="str">
        <f>"363LF0000X"</f>
        <v>363LF0000X</v>
      </c>
      <c r="D22222" t="str">
        <f>"FREEMAN                  WHITNEY                  "</f>
        <v xml:space="preserve">FREEMAN                  WHITNEY                  </v>
      </c>
      <c r="E22222" t="str">
        <f t="shared" si="550"/>
        <v xml:space="preserve">MEMPHIS                   </v>
      </c>
      <c r="F22222" t="str">
        <f t="shared" si="549"/>
        <v>TN</v>
      </c>
    </row>
    <row r="22223" spans="1:6" x14ac:dyDescent="0.25">
      <c r="A22223" t="str">
        <f>"005424251"</f>
        <v>005424251</v>
      </c>
      <c r="B22223" t="str">
        <f>"1750671459"</f>
        <v>1750671459</v>
      </c>
      <c r="C22223" t="str">
        <f>"208000000X"</f>
        <v>208000000X</v>
      </c>
      <c r="D22223" t="str">
        <f>"BAGWELL                  TAYLOR                   "</f>
        <v xml:space="preserve">BAGWELL                  TAYLOR                   </v>
      </c>
      <c r="E22223" t="str">
        <f t="shared" si="550"/>
        <v xml:space="preserve">MEMPHIS                   </v>
      </c>
      <c r="F22223" t="str">
        <f t="shared" si="549"/>
        <v>TN</v>
      </c>
    </row>
    <row r="22224" spans="1:6" x14ac:dyDescent="0.25">
      <c r="A22224" t="str">
        <f>"005424836"</f>
        <v>005424836</v>
      </c>
      <c r="B22224" t="str">
        <f>"1770557423"</f>
        <v>1770557423</v>
      </c>
      <c r="C22224" t="str">
        <f>"363L00000X"</f>
        <v>363L00000X</v>
      </c>
      <c r="D22224" t="str">
        <f>"GRACIA                   CAROLYN      M           "</f>
        <v xml:space="preserve">GRACIA                   CAROLYN      M           </v>
      </c>
      <c r="E22224" t="str">
        <f t="shared" si="550"/>
        <v xml:space="preserve">MEMPHIS                   </v>
      </c>
      <c r="F22224" t="str">
        <f t="shared" si="549"/>
        <v>TN</v>
      </c>
    </row>
    <row r="22225" spans="1:6" x14ac:dyDescent="0.25">
      <c r="A22225" t="str">
        <f>"005426331"</f>
        <v>005426331</v>
      </c>
      <c r="B22225" t="str">
        <f>"1851326888"</f>
        <v>1851326888</v>
      </c>
      <c r="C22225" t="str">
        <f>"2085P0229X"</f>
        <v>2085P0229X</v>
      </c>
      <c r="D22225" t="str">
        <f>"TEAGUE                   CLINT        T           "</f>
        <v xml:space="preserve">TEAGUE                   CLINT        T           </v>
      </c>
      <c r="E22225" t="str">
        <f t="shared" si="550"/>
        <v xml:space="preserve">MEMPHIS                   </v>
      </c>
      <c r="F22225" t="str">
        <f t="shared" si="549"/>
        <v>TN</v>
      </c>
    </row>
    <row r="22226" spans="1:6" x14ac:dyDescent="0.25">
      <c r="A22226" t="str">
        <f>"005453599"</f>
        <v>005453599</v>
      </c>
      <c r="B22226" t="str">
        <f>"1285659383"</f>
        <v>1285659383</v>
      </c>
      <c r="C22226" t="str">
        <f>"207RG0100X"</f>
        <v>207RG0100X</v>
      </c>
      <c r="D22226" t="str">
        <f>"FIELDS                   KENNETH      I           "</f>
        <v xml:space="preserve">FIELDS                   KENNETH      I           </v>
      </c>
      <c r="E22226" t="str">
        <f t="shared" si="550"/>
        <v xml:space="preserve">MEMPHIS                   </v>
      </c>
      <c r="F22226" t="str">
        <f t="shared" si="549"/>
        <v>TN</v>
      </c>
    </row>
    <row r="22227" spans="1:6" x14ac:dyDescent="0.25">
      <c r="A22227" t="str">
        <f>"005453766"</f>
        <v>005453766</v>
      </c>
      <c r="B22227" t="str">
        <f>"1083358303"</f>
        <v>1083358303</v>
      </c>
      <c r="C22227" t="str">
        <f>"208600000X"</f>
        <v>208600000X</v>
      </c>
      <c r="D22227" t="str">
        <f>"BRASHIER                 SAMANTHA     M           "</f>
        <v xml:space="preserve">BRASHIER                 SAMANTHA     M           </v>
      </c>
      <c r="E22227" t="str">
        <f t="shared" si="550"/>
        <v xml:space="preserve">MEMPHIS                   </v>
      </c>
      <c r="F22227" t="str">
        <f t="shared" si="549"/>
        <v>TN</v>
      </c>
    </row>
    <row r="22228" spans="1:6" x14ac:dyDescent="0.25">
      <c r="A22228" t="str">
        <f>"005474850"</f>
        <v>005474850</v>
      </c>
      <c r="B22228" t="str">
        <f>"1518348523"</f>
        <v>1518348523</v>
      </c>
      <c r="C22228" t="str">
        <f>"2080P0207X"</f>
        <v>2080P0207X</v>
      </c>
      <c r="D22228" t="str">
        <f>"COLLINS                  GRIFFIN      S           "</f>
        <v xml:space="preserve">COLLINS                  GRIFFIN      S           </v>
      </c>
      <c r="E22228" t="str">
        <f t="shared" si="550"/>
        <v xml:space="preserve">MEMPHIS                   </v>
      </c>
      <c r="F22228" t="str">
        <f t="shared" si="549"/>
        <v>TN</v>
      </c>
    </row>
    <row r="22229" spans="1:6" x14ac:dyDescent="0.25">
      <c r="A22229" t="str">
        <f>"005475754"</f>
        <v>005475754</v>
      </c>
      <c r="B22229" t="str">
        <f>"1124552526"</f>
        <v>1124552526</v>
      </c>
      <c r="C22229" t="str">
        <f>"207V00000X"</f>
        <v>207V00000X</v>
      </c>
      <c r="D22229" t="str">
        <f>"PRICE                    FAITH                    "</f>
        <v xml:space="preserve">PRICE                    FAITH                    </v>
      </c>
      <c r="E22229" t="str">
        <f t="shared" si="550"/>
        <v xml:space="preserve">MEMPHIS                   </v>
      </c>
      <c r="F22229" t="str">
        <f t="shared" si="549"/>
        <v>TN</v>
      </c>
    </row>
    <row r="22230" spans="1:6" x14ac:dyDescent="0.25">
      <c r="A22230" t="str">
        <f>"005504223"</f>
        <v>005504223</v>
      </c>
      <c r="B22230" t="str">
        <f>"1932731957"</f>
        <v>1932731957</v>
      </c>
      <c r="C22230" t="str">
        <f>"363L00000X"</f>
        <v>363L00000X</v>
      </c>
      <c r="D22230" t="str">
        <f>"HESS                     SUMMER       R           "</f>
        <v xml:space="preserve">HESS                     SUMMER       R           </v>
      </c>
      <c r="E22230" t="str">
        <f>"GERMANTOWN                "</f>
        <v xml:space="preserve">GERMANTOWN                </v>
      </c>
      <c r="F22230" t="str">
        <f t="shared" si="549"/>
        <v>TN</v>
      </c>
    </row>
    <row r="22231" spans="1:6" x14ac:dyDescent="0.25">
      <c r="A22231" t="str">
        <f>"005507026"</f>
        <v>005507026</v>
      </c>
      <c r="B22231" t="str">
        <f>"1265847032"</f>
        <v>1265847032</v>
      </c>
      <c r="C22231" t="str">
        <f>"207RP1001X"</f>
        <v>207RP1001X</v>
      </c>
      <c r="D22231" t="str">
        <f>"SHARMA                   PRALHAD                  "</f>
        <v xml:space="preserve">SHARMA                   PRALHAD                  </v>
      </c>
      <c r="E22231" t="str">
        <f>"MEMPHIS                   "</f>
        <v xml:space="preserve">MEMPHIS                   </v>
      </c>
      <c r="F22231" t="str">
        <f t="shared" si="549"/>
        <v>TN</v>
      </c>
    </row>
    <row r="22232" spans="1:6" x14ac:dyDescent="0.25">
      <c r="A22232" t="str">
        <f>"005521709"</f>
        <v>005521709</v>
      </c>
      <c r="B22232" t="str">
        <f>"1629322607"</f>
        <v>1629322607</v>
      </c>
      <c r="C22232" t="str">
        <f>"363A00000X"</f>
        <v>363A00000X</v>
      </c>
      <c r="D22232" t="str">
        <f>"BERGERON                 KERA         L           "</f>
        <v xml:space="preserve">BERGERON                 KERA         L           </v>
      </c>
      <c r="E22232" t="str">
        <f>"MEMPHIS                   "</f>
        <v xml:space="preserve">MEMPHIS                   </v>
      </c>
      <c r="F22232" t="str">
        <f t="shared" si="549"/>
        <v>TN</v>
      </c>
    </row>
    <row r="22233" spans="1:6" x14ac:dyDescent="0.25">
      <c r="A22233" t="str">
        <f>"005527102"</f>
        <v>005527102</v>
      </c>
      <c r="B22233" t="str">
        <f>"1023364254"</f>
        <v>1023364254</v>
      </c>
      <c r="C22233" t="str">
        <f>"363L00000X"</f>
        <v>363L00000X</v>
      </c>
      <c r="D22233" t="str">
        <f>"HALL-KRASNOVE            MARY         B           "</f>
        <v xml:space="preserve">HALL-KRASNOVE            MARY         B           </v>
      </c>
      <c r="E22233" t="str">
        <f>"MEMPHIS                   "</f>
        <v xml:space="preserve">MEMPHIS                   </v>
      </c>
      <c r="F22233" t="str">
        <f t="shared" si="549"/>
        <v>TN</v>
      </c>
    </row>
    <row r="22234" spans="1:6" x14ac:dyDescent="0.25">
      <c r="A22234" t="str">
        <f>"005555303"</f>
        <v>005555303</v>
      </c>
      <c r="B22234" t="str">
        <f>"1831576560"</f>
        <v>1831576560</v>
      </c>
      <c r="C22234" t="str">
        <f>"208000000X"</f>
        <v>208000000X</v>
      </c>
      <c r="D22234" t="str">
        <f>"FRANCIS                  NATALIE      D           "</f>
        <v xml:space="preserve">FRANCIS                  NATALIE      D           </v>
      </c>
      <c r="E22234" t="str">
        <f>"MEMPHIS                   "</f>
        <v xml:space="preserve">MEMPHIS                   </v>
      </c>
      <c r="F22234" t="str">
        <f t="shared" si="549"/>
        <v>TN</v>
      </c>
    </row>
    <row r="22235" spans="1:6" x14ac:dyDescent="0.25">
      <c r="A22235" t="str">
        <f>"005582041"</f>
        <v>005582041</v>
      </c>
      <c r="B22235" t="str">
        <f>"1164488573"</f>
        <v>1164488573</v>
      </c>
      <c r="C22235" t="str">
        <f>"2085R0202X"</f>
        <v>2085R0202X</v>
      </c>
      <c r="D22235" t="str">
        <f>"NEDZI                    LUCIEN       A           "</f>
        <v xml:space="preserve">NEDZI                    LUCIEN       A           </v>
      </c>
      <c r="E22235" t="str">
        <f>"MEMPHIS                   "</f>
        <v xml:space="preserve">MEMPHIS                   </v>
      </c>
      <c r="F22235" t="str">
        <f t="shared" si="549"/>
        <v>TN</v>
      </c>
    </row>
    <row r="22236" spans="1:6" x14ac:dyDescent="0.25">
      <c r="A22236" t="str">
        <f>"005584554"</f>
        <v>005584554</v>
      </c>
      <c r="B22236" t="str">
        <f>"1801103643"</f>
        <v>1801103643</v>
      </c>
      <c r="C22236" t="str">
        <f>"207RH0000X"</f>
        <v>207RH0000X</v>
      </c>
      <c r="D22236" t="str">
        <f>"NASIR                    SYED         S           "</f>
        <v xml:space="preserve">NASIR                    SYED         S           </v>
      </c>
      <c r="E22236" t="str">
        <f>"GERMANTOWN                "</f>
        <v xml:space="preserve">GERMANTOWN                </v>
      </c>
      <c r="F22236" t="str">
        <f t="shared" si="549"/>
        <v>TN</v>
      </c>
    </row>
    <row r="22237" spans="1:6" x14ac:dyDescent="0.25">
      <c r="A22237" t="str">
        <f>"005622009"</f>
        <v>005622009</v>
      </c>
      <c r="B22237" t="str">
        <f>"1174836209"</f>
        <v>1174836209</v>
      </c>
      <c r="C22237" t="str">
        <f>"2080P0207X"</f>
        <v>2080P0207X</v>
      </c>
      <c r="D22237" t="str">
        <f>"RAI                      PARUL                    "</f>
        <v xml:space="preserve">RAI                      PARUL                    </v>
      </c>
      <c r="E22237" t="str">
        <f>"MEMPHIS                   "</f>
        <v xml:space="preserve">MEMPHIS                   </v>
      </c>
      <c r="F22237" t="str">
        <f t="shared" si="549"/>
        <v>TN</v>
      </c>
    </row>
    <row r="22238" spans="1:6" x14ac:dyDescent="0.25">
      <c r="A22238" t="str">
        <f>"005627701"</f>
        <v>005627701</v>
      </c>
      <c r="B22238" t="str">
        <f>"1164777462"</f>
        <v>1164777462</v>
      </c>
      <c r="C22238" t="str">
        <f>"207ZP0102X"</f>
        <v>207ZP0102X</v>
      </c>
      <c r="D22238" t="str">
        <f>"BHATTARAI                AVA                      "</f>
        <v xml:space="preserve">BHATTARAI                AVA                      </v>
      </c>
      <c r="E22238" t="str">
        <f>"MEMPHIS                   "</f>
        <v xml:space="preserve">MEMPHIS                   </v>
      </c>
      <c r="F22238" t="str">
        <f t="shared" si="549"/>
        <v>TN</v>
      </c>
    </row>
    <row r="22239" spans="1:6" x14ac:dyDescent="0.25">
      <c r="A22239" t="str">
        <f>"005628326"</f>
        <v>005628326</v>
      </c>
      <c r="B22239" t="str">
        <f>"1861657561"</f>
        <v>1861657561</v>
      </c>
      <c r="C22239" t="str">
        <f>"207RN0300X"</f>
        <v>207RN0300X</v>
      </c>
      <c r="D22239" t="str">
        <f>"NWAZUE                   VICTOR       C           "</f>
        <v xml:space="preserve">NWAZUE                   VICTOR       C           </v>
      </c>
      <c r="E22239" t="str">
        <f>"JACKSON                   "</f>
        <v xml:space="preserve">JACKSON                   </v>
      </c>
      <c r="F22239" t="str">
        <f t="shared" si="549"/>
        <v>TN</v>
      </c>
    </row>
    <row r="22240" spans="1:6" x14ac:dyDescent="0.25">
      <c r="A22240" t="str">
        <f>"005636023"</f>
        <v>005636023</v>
      </c>
      <c r="B22240" t="str">
        <f>"1245292861"</f>
        <v>1245292861</v>
      </c>
      <c r="C22240" t="str">
        <f>"261QE0700X"</f>
        <v>261QE0700X</v>
      </c>
      <c r="D22240" t="str">
        <f>"COLLIERVILLE DIALYSIS                             "</f>
        <v xml:space="preserve">COLLIERVILLE DIALYSIS                             </v>
      </c>
      <c r="E22240" t="str">
        <f>"COLLIERVILLE              "</f>
        <v xml:space="preserve">COLLIERVILLE              </v>
      </c>
      <c r="F22240" t="str">
        <f t="shared" si="549"/>
        <v>TN</v>
      </c>
    </row>
    <row r="22241" spans="1:6" x14ac:dyDescent="0.25">
      <c r="A22241" t="str">
        <f>"005636033"</f>
        <v>005636033</v>
      </c>
      <c r="B22241" t="str">
        <f>"1336607720"</f>
        <v>1336607720</v>
      </c>
      <c r="C22241" t="str">
        <f>"363L00000X"</f>
        <v>363L00000X</v>
      </c>
      <c r="D22241" t="str">
        <f>"RAMSEY                   LORA         M           "</f>
        <v xml:space="preserve">RAMSEY                   LORA         M           </v>
      </c>
      <c r="E22241" t="str">
        <f t="shared" ref="E22241:E22251" si="551">"MEMPHIS                   "</f>
        <v xml:space="preserve">MEMPHIS                   </v>
      </c>
      <c r="F22241" t="str">
        <f t="shared" si="549"/>
        <v>TN</v>
      </c>
    </row>
    <row r="22242" spans="1:6" x14ac:dyDescent="0.25">
      <c r="A22242" t="str">
        <f>"005676804"</f>
        <v>005676804</v>
      </c>
      <c r="B22242" t="str">
        <f>"1457524209"</f>
        <v>1457524209</v>
      </c>
      <c r="C22242" t="str">
        <f>"208600000X"</f>
        <v>208600000X</v>
      </c>
      <c r="D22242" t="str">
        <f>"HENDRIX                  ASHLEY       A           "</f>
        <v xml:space="preserve">HENDRIX                  ASHLEY       A           </v>
      </c>
      <c r="E22242" t="str">
        <f t="shared" si="551"/>
        <v xml:space="preserve">MEMPHIS                   </v>
      </c>
      <c r="F22242" t="str">
        <f t="shared" si="549"/>
        <v>TN</v>
      </c>
    </row>
    <row r="22243" spans="1:6" x14ac:dyDescent="0.25">
      <c r="A22243" t="str">
        <f>"005679288"</f>
        <v>005679288</v>
      </c>
      <c r="B22243" t="str">
        <f>"1922617240"</f>
        <v>1922617240</v>
      </c>
      <c r="C22243" t="str">
        <f>"363L00000X"</f>
        <v>363L00000X</v>
      </c>
      <c r="D22243" t="str">
        <f>"RUSHING                  MEGAN        L           "</f>
        <v xml:space="preserve">RUSHING                  MEGAN        L           </v>
      </c>
      <c r="E22243" t="str">
        <f t="shared" si="551"/>
        <v xml:space="preserve">MEMPHIS                   </v>
      </c>
      <c r="F22243" t="str">
        <f t="shared" si="549"/>
        <v>TN</v>
      </c>
    </row>
    <row r="22244" spans="1:6" x14ac:dyDescent="0.25">
      <c r="A22244" t="str">
        <f>"005679328"</f>
        <v>005679328</v>
      </c>
      <c r="B22244" t="str">
        <f>"1972025179"</f>
        <v>1972025179</v>
      </c>
      <c r="C22244" t="str">
        <f>"363L00000X"</f>
        <v>363L00000X</v>
      </c>
      <c r="D22244" t="str">
        <f>"HABKOUK                  BRANDON      C           "</f>
        <v xml:space="preserve">HABKOUK                  BRANDON      C           </v>
      </c>
      <c r="E22244" t="str">
        <f t="shared" si="551"/>
        <v xml:space="preserve">MEMPHIS                   </v>
      </c>
      <c r="F22244" t="str">
        <f t="shared" si="549"/>
        <v>TN</v>
      </c>
    </row>
    <row r="22245" spans="1:6" x14ac:dyDescent="0.25">
      <c r="A22245" t="str">
        <f>"005683027"</f>
        <v>005683027</v>
      </c>
      <c r="B22245" t="str">
        <f>"1093759607"</f>
        <v>1093759607</v>
      </c>
      <c r="C22245" t="str">
        <f>"363L00000X"</f>
        <v>363L00000X</v>
      </c>
      <c r="D22245" t="str">
        <f>"SIMMONS                  ANDREA       M           "</f>
        <v xml:space="preserve">SIMMONS                  ANDREA       M           </v>
      </c>
      <c r="E22245" t="str">
        <f t="shared" si="551"/>
        <v xml:space="preserve">MEMPHIS                   </v>
      </c>
      <c r="F22245" t="str">
        <f t="shared" si="549"/>
        <v>TN</v>
      </c>
    </row>
    <row r="22246" spans="1:6" x14ac:dyDescent="0.25">
      <c r="A22246" t="str">
        <f>"005683797"</f>
        <v>005683797</v>
      </c>
      <c r="B22246" t="str">
        <f>"1518924596"</f>
        <v>1518924596</v>
      </c>
      <c r="C22246" t="str">
        <f>"207RP1001X"</f>
        <v>207RP1001X</v>
      </c>
      <c r="D22246" t="str">
        <f>"SINCLAIR                 SCOTT                    "</f>
        <v xml:space="preserve">SINCLAIR                 SCOTT                    </v>
      </c>
      <c r="E22246" t="str">
        <f t="shared" si="551"/>
        <v xml:space="preserve">MEMPHIS                   </v>
      </c>
      <c r="F22246" t="str">
        <f t="shared" si="549"/>
        <v>TN</v>
      </c>
    </row>
    <row r="22247" spans="1:6" x14ac:dyDescent="0.25">
      <c r="A22247" t="str">
        <f>"005688375"</f>
        <v>005688375</v>
      </c>
      <c r="B22247" t="str">
        <f>"1891934055"</f>
        <v>1891934055</v>
      </c>
      <c r="C22247" t="str">
        <f>"363L00000X"</f>
        <v>363L00000X</v>
      </c>
      <c r="D22247" t="str">
        <f>"SMITH                    LORETTA      Q           "</f>
        <v xml:space="preserve">SMITH                    LORETTA      Q           </v>
      </c>
      <c r="E22247" t="str">
        <f t="shared" si="551"/>
        <v xml:space="preserve">MEMPHIS                   </v>
      </c>
      <c r="F22247" t="str">
        <f t="shared" si="549"/>
        <v>TN</v>
      </c>
    </row>
    <row r="22248" spans="1:6" x14ac:dyDescent="0.25">
      <c r="A22248" t="str">
        <f>"005701079"</f>
        <v>005701079</v>
      </c>
      <c r="B22248" t="str">
        <f>"1326128364"</f>
        <v>1326128364</v>
      </c>
      <c r="C22248" t="str">
        <f>"207R00000X"</f>
        <v>207R00000X</v>
      </c>
      <c r="D22248" t="str">
        <f>"RAY                      MARIO        M           "</f>
        <v xml:space="preserve">RAY                      MARIO        M           </v>
      </c>
      <c r="E22248" t="str">
        <f t="shared" si="551"/>
        <v xml:space="preserve">MEMPHIS                   </v>
      </c>
      <c r="F22248" t="str">
        <f t="shared" si="549"/>
        <v>TN</v>
      </c>
    </row>
    <row r="22249" spans="1:6" x14ac:dyDescent="0.25">
      <c r="A22249" t="str">
        <f>"005706088"</f>
        <v>005706088</v>
      </c>
      <c r="B22249" t="str">
        <f>"1790305852"</f>
        <v>1790305852</v>
      </c>
      <c r="C22249" t="str">
        <f>"367500000X"</f>
        <v>367500000X</v>
      </c>
      <c r="D22249" t="str">
        <f>"EDDLEMAN                 SARA         M           "</f>
        <v xml:space="preserve">EDDLEMAN                 SARA         M           </v>
      </c>
      <c r="E22249" t="str">
        <f t="shared" si="551"/>
        <v xml:space="preserve">MEMPHIS                   </v>
      </c>
      <c r="F22249" t="str">
        <f t="shared" si="549"/>
        <v>TN</v>
      </c>
    </row>
    <row r="22250" spans="1:6" x14ac:dyDescent="0.25">
      <c r="A22250" t="str">
        <f>"005720294"</f>
        <v>005720294</v>
      </c>
      <c r="B22250" t="str">
        <f>"1235558693"</f>
        <v>1235558693</v>
      </c>
      <c r="C22250" t="str">
        <f>"207P00000X"</f>
        <v>207P00000X</v>
      </c>
      <c r="D22250" t="str">
        <f>"BODFORD                  JOHN         W           "</f>
        <v xml:space="preserve">BODFORD                  JOHN         W           </v>
      </c>
      <c r="E22250" t="str">
        <f t="shared" si="551"/>
        <v xml:space="preserve">MEMPHIS                   </v>
      </c>
      <c r="F22250" t="str">
        <f t="shared" si="549"/>
        <v>TN</v>
      </c>
    </row>
    <row r="22251" spans="1:6" x14ac:dyDescent="0.25">
      <c r="A22251" t="str">
        <f>"005722361"</f>
        <v>005722361</v>
      </c>
      <c r="B22251" t="str">
        <f>"1285632224"</f>
        <v>1285632224</v>
      </c>
      <c r="C22251" t="str">
        <f>"207RC0000X"</f>
        <v>207RC0000X</v>
      </c>
      <c r="D22251" t="str">
        <f>"HABASHY                  HANY         M           "</f>
        <v xml:space="preserve">HABASHY                  HANY         M           </v>
      </c>
      <c r="E22251" t="str">
        <f t="shared" si="551"/>
        <v xml:space="preserve">MEMPHIS                   </v>
      </c>
      <c r="F22251" t="str">
        <f t="shared" si="549"/>
        <v>TN</v>
      </c>
    </row>
    <row r="22252" spans="1:6" x14ac:dyDescent="0.25">
      <c r="A22252" t="str">
        <f>"005776277"</f>
        <v>005776277</v>
      </c>
      <c r="B22252" t="str">
        <f>"1407023864"</f>
        <v>1407023864</v>
      </c>
      <c r="C22252" t="str">
        <f>"207R00000X"</f>
        <v>207R00000X</v>
      </c>
      <c r="D22252" t="str">
        <f>"ANDREWS                  KAREN        E           "</f>
        <v xml:space="preserve">ANDREWS                  KAREN        E           </v>
      </c>
      <c r="E22252" t="str">
        <f>"GERMANTOWN                "</f>
        <v xml:space="preserve">GERMANTOWN                </v>
      </c>
      <c r="F22252" t="str">
        <f t="shared" si="549"/>
        <v>TN</v>
      </c>
    </row>
    <row r="22253" spans="1:6" x14ac:dyDescent="0.25">
      <c r="A22253" t="str">
        <f>"005777397"</f>
        <v>005777397</v>
      </c>
      <c r="B22253" t="str">
        <f>"1518001932"</f>
        <v>1518001932</v>
      </c>
      <c r="C22253" t="str">
        <f>"207ZP0102X"</f>
        <v>207ZP0102X</v>
      </c>
      <c r="D22253" t="str">
        <f>"PATTON                   KURT         T           "</f>
        <v xml:space="preserve">PATTON                   KURT         T           </v>
      </c>
      <c r="E22253" t="str">
        <f>"GERMANTOWN                "</f>
        <v xml:space="preserve">GERMANTOWN                </v>
      </c>
      <c r="F22253" t="str">
        <f t="shared" si="549"/>
        <v>TN</v>
      </c>
    </row>
    <row r="22254" spans="1:6" x14ac:dyDescent="0.25">
      <c r="A22254" t="str">
        <f>"005778869"</f>
        <v>005778869</v>
      </c>
      <c r="B22254" t="str">
        <f>"1245456938"</f>
        <v>1245456938</v>
      </c>
      <c r="C22254" t="str">
        <f>"2086S0120X"</f>
        <v>2086S0120X</v>
      </c>
      <c r="D22254" t="str">
        <f>"SMITH                    RACHAEL      E           "</f>
        <v xml:space="preserve">SMITH                    RACHAEL      E           </v>
      </c>
      <c r="E22254" t="str">
        <f>"GERMANTOWN                "</f>
        <v xml:space="preserve">GERMANTOWN                </v>
      </c>
      <c r="F22254" t="str">
        <f t="shared" si="549"/>
        <v>TN</v>
      </c>
    </row>
    <row r="22255" spans="1:6" x14ac:dyDescent="0.25">
      <c r="A22255" t="str">
        <f>"005783564"</f>
        <v>005783564</v>
      </c>
      <c r="B22255" t="str">
        <f>"1649688987"</f>
        <v>1649688987</v>
      </c>
      <c r="C22255" t="str">
        <f>"363L00000X"</f>
        <v>363L00000X</v>
      </c>
      <c r="D22255" t="str">
        <f>"POTTS                    JENNIFER     R           "</f>
        <v xml:space="preserve">POTTS                    JENNIFER     R           </v>
      </c>
      <c r="E22255" t="str">
        <f>"MEMPHIS                   "</f>
        <v xml:space="preserve">MEMPHIS                   </v>
      </c>
      <c r="F22255" t="str">
        <f t="shared" si="549"/>
        <v>TN</v>
      </c>
    </row>
    <row r="22256" spans="1:6" x14ac:dyDescent="0.25">
      <c r="A22256" t="str">
        <f>"005807360"</f>
        <v>005807360</v>
      </c>
      <c r="B22256" t="str">
        <f>"1861615627"</f>
        <v>1861615627</v>
      </c>
      <c r="C22256" t="str">
        <f>"207V00000X"</f>
        <v>207V00000X</v>
      </c>
      <c r="D22256" t="str">
        <f>"ABDU                     ADIO         I           "</f>
        <v xml:space="preserve">ABDU                     ADIO         I           </v>
      </c>
      <c r="E22256" t="str">
        <f>"GERMANTOWN                "</f>
        <v xml:space="preserve">GERMANTOWN                </v>
      </c>
      <c r="F22256" t="str">
        <f t="shared" si="549"/>
        <v>TN</v>
      </c>
    </row>
    <row r="22257" spans="1:6" x14ac:dyDescent="0.25">
      <c r="A22257" t="str">
        <f>"005820307"</f>
        <v>005820307</v>
      </c>
      <c r="B22257" t="str">
        <f>"1023071545"</f>
        <v>1023071545</v>
      </c>
      <c r="C22257" t="str">
        <f>"261QE0700X"</f>
        <v>261QE0700X</v>
      </c>
      <c r="D22257" t="str">
        <f>"MEMPHIS SOUTH DIALYSIS                            "</f>
        <v xml:space="preserve">MEMPHIS SOUTH DIALYSIS                            </v>
      </c>
      <c r="E22257" t="str">
        <f>"MEMPHIS                   "</f>
        <v xml:space="preserve">MEMPHIS                   </v>
      </c>
      <c r="F22257" t="str">
        <f t="shared" si="549"/>
        <v>TN</v>
      </c>
    </row>
    <row r="22258" spans="1:6" x14ac:dyDescent="0.25">
      <c r="A22258" t="str">
        <f>"005831377"</f>
        <v>005831377</v>
      </c>
      <c r="B22258" t="str">
        <f>"1760680631"</f>
        <v>1760680631</v>
      </c>
      <c r="C22258" t="str">
        <f>"207ZP0101X"</f>
        <v>207ZP0101X</v>
      </c>
      <c r="D22258" t="str">
        <f>"KLCO                     JEFFERY                  "</f>
        <v xml:space="preserve">KLCO                     JEFFERY                  </v>
      </c>
      <c r="E22258" t="str">
        <f>"MEMPHIS                   "</f>
        <v xml:space="preserve">MEMPHIS                   </v>
      </c>
      <c r="F22258" t="str">
        <f t="shared" si="549"/>
        <v>TN</v>
      </c>
    </row>
    <row r="22259" spans="1:6" x14ac:dyDescent="0.25">
      <c r="A22259" t="str">
        <f>"005833713"</f>
        <v>005833713</v>
      </c>
      <c r="B22259" t="str">
        <f>"1013271485"</f>
        <v>1013271485</v>
      </c>
      <c r="C22259" t="str">
        <f>"207Q00000X"</f>
        <v>207Q00000X</v>
      </c>
      <c r="D22259" t="str">
        <f>"AHMAD                    HAMAD                    "</f>
        <v xml:space="preserve">AHMAD                    HAMAD                    </v>
      </c>
      <c r="E22259" t="str">
        <f>"MILLINGTON                "</f>
        <v xml:space="preserve">MILLINGTON                </v>
      </c>
      <c r="F22259" t="str">
        <f t="shared" si="549"/>
        <v>TN</v>
      </c>
    </row>
    <row r="22260" spans="1:6" x14ac:dyDescent="0.25">
      <c r="A22260" t="str">
        <f>"005839060"</f>
        <v>005839060</v>
      </c>
      <c r="B22260" t="str">
        <f>"1780612481"</f>
        <v>1780612481</v>
      </c>
      <c r="C22260" t="str">
        <f>"207P00000X"</f>
        <v>207P00000X</v>
      </c>
      <c r="D22260" t="str">
        <f>"FAROOQ                   UMER                     "</f>
        <v xml:space="preserve">FAROOQ                   UMER                     </v>
      </c>
      <c r="E22260" t="str">
        <f>"MEMPHIS                   "</f>
        <v xml:space="preserve">MEMPHIS                   </v>
      </c>
      <c r="F22260" t="str">
        <f t="shared" si="549"/>
        <v>TN</v>
      </c>
    </row>
    <row r="22261" spans="1:6" x14ac:dyDescent="0.25">
      <c r="A22261" t="str">
        <f>"005850015"</f>
        <v>005850015</v>
      </c>
      <c r="B22261" t="str">
        <f>"1609223601"</f>
        <v>1609223601</v>
      </c>
      <c r="C22261" t="str">
        <f>"2084N0402X"</f>
        <v>2084N0402X</v>
      </c>
      <c r="D22261" t="str">
        <f>"RAJA                     ASHMITHA                 "</f>
        <v xml:space="preserve">RAJA                     ASHMITHA                 </v>
      </c>
      <c r="E22261" t="str">
        <f>"MEMPHIS                   "</f>
        <v xml:space="preserve">MEMPHIS                   </v>
      </c>
      <c r="F22261" t="str">
        <f t="shared" si="549"/>
        <v>TN</v>
      </c>
    </row>
    <row r="22262" spans="1:6" x14ac:dyDescent="0.25">
      <c r="A22262" t="str">
        <f>"005856292"</f>
        <v>005856292</v>
      </c>
      <c r="B22262" t="str">
        <f>"1982090270"</f>
        <v>1982090270</v>
      </c>
      <c r="C22262" t="str">
        <f>"207RH0000X"</f>
        <v>207RH0000X</v>
      </c>
      <c r="D22262" t="str">
        <f>"WELLIKOFF                SARADASRI    K           "</f>
        <v xml:space="preserve">WELLIKOFF                SARADASRI    K           </v>
      </c>
      <c r="E22262" t="str">
        <f>"GERMANTOWN                "</f>
        <v xml:space="preserve">GERMANTOWN                </v>
      </c>
      <c r="F22262" t="str">
        <f t="shared" si="549"/>
        <v>TN</v>
      </c>
    </row>
    <row r="22263" spans="1:6" x14ac:dyDescent="0.25">
      <c r="A22263" t="str">
        <f>"005856831"</f>
        <v>005856831</v>
      </c>
      <c r="B22263" t="str">
        <f>"1821190109"</f>
        <v>1821190109</v>
      </c>
      <c r="C22263" t="str">
        <f>"208D00000X"</f>
        <v>208D00000X</v>
      </c>
      <c r="D22263" t="str">
        <f>"TAG                      ARNOLD       R           "</f>
        <v xml:space="preserve">TAG                      ARNOLD       R           </v>
      </c>
      <c r="E22263" t="str">
        <f>"MEMPHIS                   "</f>
        <v xml:space="preserve">MEMPHIS                   </v>
      </c>
      <c r="F22263" t="str">
        <f t="shared" si="549"/>
        <v>TN</v>
      </c>
    </row>
    <row r="22264" spans="1:6" x14ac:dyDescent="0.25">
      <c r="A22264" t="str">
        <f>"005870377"</f>
        <v>005870377</v>
      </c>
      <c r="B22264" t="str">
        <f>"1619487782"</f>
        <v>1619487782</v>
      </c>
      <c r="C22264" t="str">
        <f>"261QA1903X"</f>
        <v>261QA1903X</v>
      </c>
      <c r="D22264" t="str">
        <f>"UCH VASCULAR ACCESS ASC LLC                       "</f>
        <v xml:space="preserve">UCH VASCULAR ACCESS ASC LLC                       </v>
      </c>
      <c r="E22264" t="str">
        <f>"MEMPHIS                   "</f>
        <v xml:space="preserve">MEMPHIS                   </v>
      </c>
      <c r="F22264" t="str">
        <f t="shared" si="549"/>
        <v>TN</v>
      </c>
    </row>
    <row r="22265" spans="1:6" x14ac:dyDescent="0.25">
      <c r="A22265" t="str">
        <f>"005877009"</f>
        <v>005877009</v>
      </c>
      <c r="B22265" t="str">
        <f>"1295018216"</f>
        <v>1295018216</v>
      </c>
      <c r="C22265" t="str">
        <f>"363L00000X"</f>
        <v>363L00000X</v>
      </c>
      <c r="D22265" t="str">
        <f>"APALODIMAS               LEAH         M           "</f>
        <v xml:space="preserve">APALODIMAS               LEAH         M           </v>
      </c>
      <c r="E22265" t="str">
        <f>"MEMPHIS                   "</f>
        <v xml:space="preserve">MEMPHIS                   </v>
      </c>
      <c r="F22265" t="str">
        <f t="shared" si="549"/>
        <v>TN</v>
      </c>
    </row>
    <row r="22266" spans="1:6" x14ac:dyDescent="0.25">
      <c r="A22266" t="str">
        <f>"005881203"</f>
        <v>005881203</v>
      </c>
      <c r="B22266" t="str">
        <f>"1891105136"</f>
        <v>1891105136</v>
      </c>
      <c r="C22266" t="str">
        <f>"207R00000X"</f>
        <v>207R00000X</v>
      </c>
      <c r="D22266" t="str">
        <f>"HOPPER                   JARAD                    "</f>
        <v xml:space="preserve">HOPPER                   JARAD                    </v>
      </c>
      <c r="E22266" t="str">
        <f>"MEMPHIS                   "</f>
        <v xml:space="preserve">MEMPHIS                   </v>
      </c>
      <c r="F22266" t="str">
        <f t="shared" si="549"/>
        <v>TN</v>
      </c>
    </row>
    <row r="22267" spans="1:6" x14ac:dyDescent="0.25">
      <c r="A22267" t="str">
        <f>"005882208"</f>
        <v>005882208</v>
      </c>
      <c r="B22267" t="str">
        <f>"1952527384"</f>
        <v>1952527384</v>
      </c>
      <c r="C22267" t="str">
        <f>"208000000X"</f>
        <v>208000000X</v>
      </c>
      <c r="D22267" t="str">
        <f>"GIEL                     DANA         W           "</f>
        <v xml:space="preserve">GIEL                     DANA         W           </v>
      </c>
      <c r="E22267" t="str">
        <f>"GERMANTOWN                "</f>
        <v xml:space="preserve">GERMANTOWN                </v>
      </c>
      <c r="F22267" t="str">
        <f t="shared" si="549"/>
        <v>TN</v>
      </c>
    </row>
    <row r="22268" spans="1:6" x14ac:dyDescent="0.25">
      <c r="A22268" t="str">
        <f>"005888002"</f>
        <v>005888002</v>
      </c>
      <c r="B22268" t="str">
        <f>"1932403698"</f>
        <v>1932403698</v>
      </c>
      <c r="C22268" t="str">
        <f>"367500000X"</f>
        <v>367500000X</v>
      </c>
      <c r="D22268" t="str">
        <f>"ANDERSON                 CASSANDRA    L           "</f>
        <v xml:space="preserve">ANDERSON                 CASSANDRA    L           </v>
      </c>
      <c r="E22268" t="str">
        <f>"MEMPHIS                   "</f>
        <v xml:space="preserve">MEMPHIS                   </v>
      </c>
      <c r="F22268" t="str">
        <f t="shared" si="549"/>
        <v>TN</v>
      </c>
    </row>
    <row r="22269" spans="1:6" x14ac:dyDescent="0.25">
      <c r="A22269" t="str">
        <f>"005904204"</f>
        <v>005904204</v>
      </c>
      <c r="B22269" t="str">
        <f>"1679794341"</f>
        <v>1679794341</v>
      </c>
      <c r="C22269" t="str">
        <f>"367500000X"</f>
        <v>367500000X</v>
      </c>
      <c r="D22269" t="str">
        <f>"CAIN                     BRIAN                    "</f>
        <v xml:space="preserve">CAIN                     BRIAN                    </v>
      </c>
      <c r="E22269" t="str">
        <f>"MEMPHIS                   "</f>
        <v xml:space="preserve">MEMPHIS                   </v>
      </c>
      <c r="F22269" t="str">
        <f t="shared" si="549"/>
        <v>TN</v>
      </c>
    </row>
    <row r="22270" spans="1:6" x14ac:dyDescent="0.25">
      <c r="A22270" t="str">
        <f>"005905517"</f>
        <v>005905517</v>
      </c>
      <c r="B22270" t="str">
        <f>"1083358717"</f>
        <v>1083358717</v>
      </c>
      <c r="C22270" t="str">
        <f>"207T00000X"</f>
        <v>207T00000X</v>
      </c>
      <c r="D22270" t="str">
        <f>"PERNIK                   MARK         N           "</f>
        <v xml:space="preserve">PERNIK                   MARK         N           </v>
      </c>
      <c r="E22270" t="str">
        <f>"MEMPHIS                   "</f>
        <v xml:space="preserve">MEMPHIS                   </v>
      </c>
      <c r="F22270" t="str">
        <f t="shared" ref="F22270:F22333" si="552">"TN"</f>
        <v>TN</v>
      </c>
    </row>
    <row r="22271" spans="1:6" x14ac:dyDescent="0.25">
      <c r="A22271" t="str">
        <f>"005932552"</f>
        <v>005932552</v>
      </c>
      <c r="B22271" t="str">
        <f>"1184913022"</f>
        <v>1184913022</v>
      </c>
      <c r="C22271" t="str">
        <f>"363A00000X"</f>
        <v>363A00000X</v>
      </c>
      <c r="D22271" t="str">
        <f>"LAM                      BRIAN                    "</f>
        <v xml:space="preserve">LAM                      BRIAN                    </v>
      </c>
      <c r="E22271" t="str">
        <f>"GERMANTOWN                "</f>
        <v xml:space="preserve">GERMANTOWN                </v>
      </c>
      <c r="F22271" t="str">
        <f t="shared" si="552"/>
        <v>TN</v>
      </c>
    </row>
    <row r="22272" spans="1:6" x14ac:dyDescent="0.25">
      <c r="A22272" t="str">
        <f>"005955320"</f>
        <v>005955320</v>
      </c>
      <c r="B22272" t="str">
        <f>"1659344315"</f>
        <v>1659344315</v>
      </c>
      <c r="C22272" t="str">
        <f>"207RP1001X"</f>
        <v>207RP1001X</v>
      </c>
      <c r="D22272" t="str">
        <f>"FINDER                   JONATHAN     D           "</f>
        <v xml:space="preserve">FINDER                   JONATHAN     D           </v>
      </c>
      <c r="E22272" t="str">
        <f t="shared" ref="E22272:E22284" si="553">"MEMPHIS                   "</f>
        <v xml:space="preserve">MEMPHIS                   </v>
      </c>
      <c r="F22272" t="str">
        <f t="shared" si="552"/>
        <v>TN</v>
      </c>
    </row>
    <row r="22273" spans="1:6" x14ac:dyDescent="0.25">
      <c r="A22273" t="str">
        <f>"005955551"</f>
        <v>005955551</v>
      </c>
      <c r="B22273" t="str">
        <f>"1629418033"</f>
        <v>1629418033</v>
      </c>
      <c r="C22273" t="str">
        <f>"2085R0202X"</f>
        <v>2085R0202X</v>
      </c>
      <c r="D22273" t="str">
        <f>"DILLARD                  ROGER        A           "</f>
        <v xml:space="preserve">DILLARD                  ROGER        A           </v>
      </c>
      <c r="E22273" t="str">
        <f t="shared" si="553"/>
        <v xml:space="preserve">MEMPHIS                   </v>
      </c>
      <c r="F22273" t="str">
        <f t="shared" si="552"/>
        <v>TN</v>
      </c>
    </row>
    <row r="22274" spans="1:6" x14ac:dyDescent="0.25">
      <c r="A22274" t="str">
        <f>"005976044"</f>
        <v>005976044</v>
      </c>
      <c r="B22274" t="str">
        <f>"1952543084"</f>
        <v>1952543084</v>
      </c>
      <c r="C22274" t="str">
        <f>"208600000X"</f>
        <v>208600000X</v>
      </c>
      <c r="D22274" t="str">
        <f>"ALVAREZ                  SONIA        M           "</f>
        <v xml:space="preserve">ALVAREZ                  SONIA        M           </v>
      </c>
      <c r="E22274" t="str">
        <f t="shared" si="553"/>
        <v xml:space="preserve">MEMPHIS                   </v>
      </c>
      <c r="F22274" t="str">
        <f t="shared" si="552"/>
        <v>TN</v>
      </c>
    </row>
    <row r="22275" spans="1:6" x14ac:dyDescent="0.25">
      <c r="A22275" t="str">
        <f>"006000082"</f>
        <v>006000082</v>
      </c>
      <c r="B22275" t="str">
        <f>"1780975102"</f>
        <v>1780975102</v>
      </c>
      <c r="C22275" t="str">
        <f>"207RE0101X"</f>
        <v>207RE0101X</v>
      </c>
      <c r="D22275" t="str">
        <f>"GRANIERI                 ELIZABETH    C           "</f>
        <v xml:space="preserve">GRANIERI                 ELIZABETH    C           </v>
      </c>
      <c r="E22275" t="str">
        <f t="shared" si="553"/>
        <v xml:space="preserve">MEMPHIS                   </v>
      </c>
      <c r="F22275" t="str">
        <f t="shared" si="552"/>
        <v>TN</v>
      </c>
    </row>
    <row r="22276" spans="1:6" x14ac:dyDescent="0.25">
      <c r="A22276" t="str">
        <f>"006000756"</f>
        <v>006000756</v>
      </c>
      <c r="B22276" t="str">
        <f>"1003148974"</f>
        <v>1003148974</v>
      </c>
      <c r="C22276" t="str">
        <f>"363LP0200X"</f>
        <v>363LP0200X</v>
      </c>
      <c r="D22276" t="str">
        <f>"ROEMER                   JENNIFER     E           "</f>
        <v xml:space="preserve">ROEMER                   JENNIFER     E           </v>
      </c>
      <c r="E22276" t="str">
        <f t="shared" si="553"/>
        <v xml:space="preserve">MEMPHIS                   </v>
      </c>
      <c r="F22276" t="str">
        <f t="shared" si="552"/>
        <v>TN</v>
      </c>
    </row>
    <row r="22277" spans="1:6" x14ac:dyDescent="0.25">
      <c r="A22277" t="str">
        <f>"006058051"</f>
        <v>006058051</v>
      </c>
      <c r="B22277" t="str">
        <f>"1063614659"</f>
        <v>1063614659</v>
      </c>
      <c r="C22277" t="str">
        <f>"2080P0214X"</f>
        <v>2080P0214X</v>
      </c>
      <c r="D22277" t="str">
        <f>"GARDNER                  TONIA        E           "</f>
        <v xml:space="preserve">GARDNER                  TONIA        E           </v>
      </c>
      <c r="E22277" t="str">
        <f t="shared" si="553"/>
        <v xml:space="preserve">MEMPHIS                   </v>
      </c>
      <c r="F22277" t="str">
        <f t="shared" si="552"/>
        <v>TN</v>
      </c>
    </row>
    <row r="22278" spans="1:6" x14ac:dyDescent="0.25">
      <c r="A22278" t="str">
        <f>"006058367"</f>
        <v>006058367</v>
      </c>
      <c r="B22278" t="str">
        <f>"1417344144"</f>
        <v>1417344144</v>
      </c>
      <c r="C22278" t="str">
        <f>"207R00000X"</f>
        <v>207R00000X</v>
      </c>
      <c r="D22278" t="str">
        <f>"EICK                     JOHN         F           "</f>
        <v xml:space="preserve">EICK                     JOHN         F           </v>
      </c>
      <c r="E22278" t="str">
        <f t="shared" si="553"/>
        <v xml:space="preserve">MEMPHIS                   </v>
      </c>
      <c r="F22278" t="str">
        <f t="shared" si="552"/>
        <v>TN</v>
      </c>
    </row>
    <row r="22279" spans="1:6" x14ac:dyDescent="0.25">
      <c r="A22279" t="str">
        <f>"006073552"</f>
        <v>006073552</v>
      </c>
      <c r="B22279" t="str">
        <f>"1962644039"</f>
        <v>1962644039</v>
      </c>
      <c r="C22279" t="str">
        <f>"207N00000X"</f>
        <v>207N00000X</v>
      </c>
      <c r="D22279" t="str">
        <f>"JONES                    EMILY        H           "</f>
        <v xml:space="preserve">JONES                    EMILY        H           </v>
      </c>
      <c r="E22279" t="str">
        <f t="shared" si="553"/>
        <v xml:space="preserve">MEMPHIS                   </v>
      </c>
      <c r="F22279" t="str">
        <f t="shared" si="552"/>
        <v>TN</v>
      </c>
    </row>
    <row r="22280" spans="1:6" x14ac:dyDescent="0.25">
      <c r="A22280" t="str">
        <f>"006085584"</f>
        <v>006085584</v>
      </c>
      <c r="B22280" t="str">
        <f>"1356377352"</f>
        <v>1356377352</v>
      </c>
      <c r="C22280" t="str">
        <f>"207LP3000X"</f>
        <v>207LP3000X</v>
      </c>
      <c r="D22280" t="str">
        <f>"ROSSI                    MICHAEL      G           "</f>
        <v xml:space="preserve">ROSSI                    MICHAEL      G           </v>
      </c>
      <c r="E22280" t="str">
        <f t="shared" si="553"/>
        <v xml:space="preserve">MEMPHIS                   </v>
      </c>
      <c r="F22280" t="str">
        <f t="shared" si="552"/>
        <v>TN</v>
      </c>
    </row>
    <row r="22281" spans="1:6" x14ac:dyDescent="0.25">
      <c r="A22281" t="str">
        <f>"006086296"</f>
        <v>006086296</v>
      </c>
      <c r="B22281" t="str">
        <f>"1992732580"</f>
        <v>1992732580</v>
      </c>
      <c r="C22281" t="str">
        <f>"2080N0001X"</f>
        <v>2080N0001X</v>
      </c>
      <c r="D22281" t="str">
        <f>"KRISHNAN                 RAMESH       K           "</f>
        <v xml:space="preserve">KRISHNAN                 RAMESH       K           </v>
      </c>
      <c r="E22281" t="str">
        <f t="shared" si="553"/>
        <v xml:space="preserve">MEMPHIS                   </v>
      </c>
      <c r="F22281" t="str">
        <f t="shared" si="552"/>
        <v>TN</v>
      </c>
    </row>
    <row r="22282" spans="1:6" x14ac:dyDescent="0.25">
      <c r="A22282" t="str">
        <f>"006089007"</f>
        <v>006089007</v>
      </c>
      <c r="B22282" t="str">
        <f>"1245859537"</f>
        <v>1245859537</v>
      </c>
      <c r="C22282" t="str">
        <f>"367500000X"</f>
        <v>367500000X</v>
      </c>
      <c r="D22282" t="str">
        <f>"CLAY                     LACEY        M           "</f>
        <v xml:space="preserve">CLAY                     LACEY        M           </v>
      </c>
      <c r="E22282" t="str">
        <f t="shared" si="553"/>
        <v xml:space="preserve">MEMPHIS                   </v>
      </c>
      <c r="F22282" t="str">
        <f t="shared" si="552"/>
        <v>TN</v>
      </c>
    </row>
    <row r="22283" spans="1:6" x14ac:dyDescent="0.25">
      <c r="A22283" t="str">
        <f>"006103893"</f>
        <v>006103893</v>
      </c>
      <c r="B22283" t="str">
        <f>"1386039899"</f>
        <v>1386039899</v>
      </c>
      <c r="C22283" t="str">
        <f>"2084A2900X"</f>
        <v>2084A2900X</v>
      </c>
      <c r="D22283" t="str">
        <f>"STEWART                  BENJAMIN                 "</f>
        <v xml:space="preserve">STEWART                  BENJAMIN                 </v>
      </c>
      <c r="E22283" t="str">
        <f t="shared" si="553"/>
        <v xml:space="preserve">MEMPHIS                   </v>
      </c>
      <c r="F22283" t="str">
        <f t="shared" si="552"/>
        <v>TN</v>
      </c>
    </row>
    <row r="22284" spans="1:6" x14ac:dyDescent="0.25">
      <c r="A22284" t="str">
        <f>"006105830"</f>
        <v>006105830</v>
      </c>
      <c r="B22284" t="str">
        <f>"1538469481"</f>
        <v>1538469481</v>
      </c>
      <c r="C22284" t="str">
        <f>"2080P0207X"</f>
        <v>2080P0207X</v>
      </c>
      <c r="D22284" t="str">
        <f>"JESUDAS                  ROHITH                   "</f>
        <v xml:space="preserve">JESUDAS                  ROHITH                   </v>
      </c>
      <c r="E22284" t="str">
        <f t="shared" si="553"/>
        <v xml:space="preserve">MEMPHIS                   </v>
      </c>
      <c r="F22284" t="str">
        <f t="shared" si="552"/>
        <v>TN</v>
      </c>
    </row>
    <row r="22285" spans="1:6" x14ac:dyDescent="0.25">
      <c r="A22285" t="str">
        <f>"006132213"</f>
        <v>006132213</v>
      </c>
      <c r="B22285" t="str">
        <f>"1821307349"</f>
        <v>1821307349</v>
      </c>
      <c r="C22285" t="str">
        <f>"363L00000X"</f>
        <v>363L00000X</v>
      </c>
      <c r="D22285" t="str">
        <f>"MCKIERNON                CARRIE       E           "</f>
        <v xml:space="preserve">MCKIERNON                CARRIE       E           </v>
      </c>
      <c r="E22285" t="str">
        <f>"GERMANTOWN                "</f>
        <v xml:space="preserve">GERMANTOWN                </v>
      </c>
      <c r="F22285" t="str">
        <f t="shared" si="552"/>
        <v>TN</v>
      </c>
    </row>
    <row r="22286" spans="1:6" x14ac:dyDescent="0.25">
      <c r="A22286" t="str">
        <f>"006150207"</f>
        <v>006150207</v>
      </c>
      <c r="B22286" t="str">
        <f>"1154897601"</f>
        <v>1154897601</v>
      </c>
      <c r="C22286" t="str">
        <f>"363L00000X"</f>
        <v>363L00000X</v>
      </c>
      <c r="D22286" t="str">
        <f>"BROWN                    ANNA         M           "</f>
        <v xml:space="preserve">BROWN                    ANNA         M           </v>
      </c>
      <c r="E22286" t="str">
        <f>"GERMANTOWN                "</f>
        <v xml:space="preserve">GERMANTOWN                </v>
      </c>
      <c r="F22286" t="str">
        <f t="shared" si="552"/>
        <v>TN</v>
      </c>
    </row>
    <row r="22287" spans="1:6" x14ac:dyDescent="0.25">
      <c r="A22287" t="str">
        <f>"006153878"</f>
        <v>006153878</v>
      </c>
      <c r="B22287" t="str">
        <f>"1184201873"</f>
        <v>1184201873</v>
      </c>
      <c r="C22287" t="str">
        <f>"367500000X"</f>
        <v>367500000X</v>
      </c>
      <c r="D22287" t="str">
        <f>"SHARKEY                  JUSTE        A           "</f>
        <v xml:space="preserve">SHARKEY                  JUSTE        A           </v>
      </c>
      <c r="E22287" t="str">
        <f>"MEMPHIS                   "</f>
        <v xml:space="preserve">MEMPHIS                   </v>
      </c>
      <c r="F22287" t="str">
        <f t="shared" si="552"/>
        <v>TN</v>
      </c>
    </row>
    <row r="22288" spans="1:6" x14ac:dyDescent="0.25">
      <c r="A22288" t="str">
        <f>"006172806"</f>
        <v>006172806</v>
      </c>
      <c r="B22288" t="str">
        <f>"1679745780"</f>
        <v>1679745780</v>
      </c>
      <c r="C22288" t="str">
        <f>"363L00000X"</f>
        <v>363L00000X</v>
      </c>
      <c r="D22288" t="str">
        <f>"SNODGRASS                BRETT        B           "</f>
        <v xml:space="preserve">SNODGRASS                BRETT        B           </v>
      </c>
      <c r="E22288" t="str">
        <f>"MEMPHIS                   "</f>
        <v xml:space="preserve">MEMPHIS                   </v>
      </c>
      <c r="F22288" t="str">
        <f t="shared" si="552"/>
        <v>TN</v>
      </c>
    </row>
    <row r="22289" spans="1:6" x14ac:dyDescent="0.25">
      <c r="A22289" t="str">
        <f>"006184573"</f>
        <v>006184573</v>
      </c>
      <c r="B22289" t="str">
        <f>"1679152516"</f>
        <v>1679152516</v>
      </c>
      <c r="C22289" t="str">
        <f>"367500000X"</f>
        <v>367500000X</v>
      </c>
      <c r="D22289" t="str">
        <f>"MCDANIEL JR              DAVID        L           "</f>
        <v xml:space="preserve">MCDANIEL JR              DAVID        L           </v>
      </c>
      <c r="E22289" t="str">
        <f>"MEMPHIS                   "</f>
        <v xml:space="preserve">MEMPHIS                   </v>
      </c>
      <c r="F22289" t="str">
        <f t="shared" si="552"/>
        <v>TN</v>
      </c>
    </row>
    <row r="22290" spans="1:6" x14ac:dyDescent="0.25">
      <c r="A22290" t="str">
        <f>"006208752"</f>
        <v>006208752</v>
      </c>
      <c r="B22290" t="str">
        <f>"1679529473"</f>
        <v>1679529473</v>
      </c>
      <c r="C22290" t="str">
        <f>"207RH0003X"</f>
        <v>207RH0003X</v>
      </c>
      <c r="D22290" t="str">
        <f>"PORTNOY                  DAVID        C           "</f>
        <v xml:space="preserve">PORTNOY                  DAVID        C           </v>
      </c>
      <c r="E22290" t="str">
        <f>"GERMANTOWN                "</f>
        <v xml:space="preserve">GERMANTOWN                </v>
      </c>
      <c r="F22290" t="str">
        <f t="shared" si="552"/>
        <v>TN</v>
      </c>
    </row>
    <row r="22291" spans="1:6" x14ac:dyDescent="0.25">
      <c r="A22291" t="str">
        <f>"006221823"</f>
        <v>006221823</v>
      </c>
      <c r="B22291" t="str">
        <f>"1326391541"</f>
        <v>1326391541</v>
      </c>
      <c r="C22291" t="str">
        <f>"363A00000X"</f>
        <v>363A00000X</v>
      </c>
      <c r="D22291" t="str">
        <f>"PHELPS-BERGERON          ZOEY         L           "</f>
        <v xml:space="preserve">PHELPS-BERGERON          ZOEY         L           </v>
      </c>
      <c r="E22291" t="str">
        <f t="shared" ref="E22291:E22298" si="554">"MEMPHIS                   "</f>
        <v xml:space="preserve">MEMPHIS                   </v>
      </c>
      <c r="F22291" t="str">
        <f t="shared" si="552"/>
        <v>TN</v>
      </c>
    </row>
    <row r="22292" spans="1:6" x14ac:dyDescent="0.25">
      <c r="A22292" t="str">
        <f>"006224090"</f>
        <v>006224090</v>
      </c>
      <c r="B22292" t="str">
        <f>"1770579450"</f>
        <v>1770579450</v>
      </c>
      <c r="C22292" t="str">
        <f>"363L00000X"</f>
        <v>363L00000X</v>
      </c>
      <c r="D22292" t="str">
        <f>"CLAYTON- BUCKLEY         SHERRY       A           "</f>
        <v xml:space="preserve">CLAYTON- BUCKLEY         SHERRY       A           </v>
      </c>
      <c r="E22292" t="str">
        <f t="shared" si="554"/>
        <v xml:space="preserve">MEMPHIS                   </v>
      </c>
      <c r="F22292" t="str">
        <f t="shared" si="552"/>
        <v>TN</v>
      </c>
    </row>
    <row r="22293" spans="1:6" x14ac:dyDescent="0.25">
      <c r="A22293" t="str">
        <f>"006227328"</f>
        <v>006227328</v>
      </c>
      <c r="B22293" t="str">
        <f>"1174765747"</f>
        <v>1174765747</v>
      </c>
      <c r="C22293" t="str">
        <f>"207L00000X"</f>
        <v>207L00000X</v>
      </c>
      <c r="D22293" t="str">
        <f>"FRETT                    MICHAEL      J           "</f>
        <v xml:space="preserve">FRETT                    MICHAEL      J           </v>
      </c>
      <c r="E22293" t="str">
        <f t="shared" si="554"/>
        <v xml:space="preserve">MEMPHIS                   </v>
      </c>
      <c r="F22293" t="str">
        <f t="shared" si="552"/>
        <v>TN</v>
      </c>
    </row>
    <row r="22294" spans="1:6" x14ac:dyDescent="0.25">
      <c r="A22294" t="str">
        <f>"006232301"</f>
        <v>006232301</v>
      </c>
      <c r="B22294" t="str">
        <f>"1821637216"</f>
        <v>1821637216</v>
      </c>
      <c r="C22294" t="str">
        <f>"363L00000X"</f>
        <v>363L00000X</v>
      </c>
      <c r="D22294" t="str">
        <f>"HAVENS                   HEATHER      G           "</f>
        <v xml:space="preserve">HAVENS                   HEATHER      G           </v>
      </c>
      <c r="E22294" t="str">
        <f t="shared" si="554"/>
        <v xml:space="preserve">MEMPHIS                   </v>
      </c>
      <c r="F22294" t="str">
        <f t="shared" si="552"/>
        <v>TN</v>
      </c>
    </row>
    <row r="22295" spans="1:6" x14ac:dyDescent="0.25">
      <c r="A22295" t="str">
        <f>"006233809"</f>
        <v>006233809</v>
      </c>
      <c r="B22295" t="str">
        <f>"1124218482"</f>
        <v>1124218482</v>
      </c>
      <c r="C22295" t="str">
        <f>"2080P0207X"</f>
        <v>2080P0207X</v>
      </c>
      <c r="D22295" t="str">
        <f>"LEVINE                   DEENA        R           "</f>
        <v xml:space="preserve">LEVINE                   DEENA        R           </v>
      </c>
      <c r="E22295" t="str">
        <f t="shared" si="554"/>
        <v xml:space="preserve">MEMPHIS                   </v>
      </c>
      <c r="F22295" t="str">
        <f t="shared" si="552"/>
        <v>TN</v>
      </c>
    </row>
    <row r="22296" spans="1:6" x14ac:dyDescent="0.25">
      <c r="A22296" t="str">
        <f>"006235044"</f>
        <v>006235044</v>
      </c>
      <c r="B22296" t="str">
        <f>"1457831794"</f>
        <v>1457831794</v>
      </c>
      <c r="C22296" t="str">
        <f>"363L00000X"</f>
        <v>363L00000X</v>
      </c>
      <c r="D22296" t="str">
        <f>"PULLIAM                  ANGELA       L           "</f>
        <v xml:space="preserve">PULLIAM                  ANGELA       L           </v>
      </c>
      <c r="E22296" t="str">
        <f t="shared" si="554"/>
        <v xml:space="preserve">MEMPHIS                   </v>
      </c>
      <c r="F22296" t="str">
        <f t="shared" si="552"/>
        <v>TN</v>
      </c>
    </row>
    <row r="22297" spans="1:6" x14ac:dyDescent="0.25">
      <c r="A22297" t="str">
        <f>"006238010"</f>
        <v>006238010</v>
      </c>
      <c r="B22297" t="str">
        <f>"1689644965"</f>
        <v>1689644965</v>
      </c>
      <c r="C22297" t="str">
        <f>"2086S0120X"</f>
        <v>2086S0120X</v>
      </c>
      <c r="D22297" t="str">
        <f>"BUFO                     ANTHONY      J           "</f>
        <v xml:space="preserve">BUFO                     ANTHONY      J           </v>
      </c>
      <c r="E22297" t="str">
        <f t="shared" si="554"/>
        <v xml:space="preserve">MEMPHIS                   </v>
      </c>
      <c r="F22297" t="str">
        <f t="shared" si="552"/>
        <v>TN</v>
      </c>
    </row>
    <row r="22298" spans="1:6" x14ac:dyDescent="0.25">
      <c r="A22298" t="str">
        <f>"006250354"</f>
        <v>006250354</v>
      </c>
      <c r="B22298" t="str">
        <f>"1134219280"</f>
        <v>1134219280</v>
      </c>
      <c r="C22298" t="str">
        <f>"208000000X"</f>
        <v>208000000X</v>
      </c>
      <c r="D22298" t="str">
        <f>"GEIGER                   JANET        D           "</f>
        <v xml:space="preserve">GEIGER                   JANET        D           </v>
      </c>
      <c r="E22298" t="str">
        <f t="shared" si="554"/>
        <v xml:space="preserve">MEMPHIS                   </v>
      </c>
      <c r="F22298" t="str">
        <f t="shared" si="552"/>
        <v>TN</v>
      </c>
    </row>
    <row r="22299" spans="1:6" x14ac:dyDescent="0.25">
      <c r="A22299" t="str">
        <f>"006252309"</f>
        <v>006252309</v>
      </c>
      <c r="B22299" t="str">
        <f>"1417515479"</f>
        <v>1417515479</v>
      </c>
      <c r="C22299" t="str">
        <f>"363L00000X"</f>
        <v>363L00000X</v>
      </c>
      <c r="D22299" t="str">
        <f>"HOLBROOK                 LAUREN       H           "</f>
        <v xml:space="preserve">HOLBROOK                 LAUREN       H           </v>
      </c>
      <c r="E22299" t="str">
        <f>"GERMANTOWN                "</f>
        <v xml:space="preserve">GERMANTOWN                </v>
      </c>
      <c r="F22299" t="str">
        <f t="shared" si="552"/>
        <v>TN</v>
      </c>
    </row>
    <row r="22300" spans="1:6" x14ac:dyDescent="0.25">
      <c r="A22300" t="str">
        <f>"006252878"</f>
        <v>006252878</v>
      </c>
      <c r="B22300" t="str">
        <f>"1669564845"</f>
        <v>1669564845</v>
      </c>
      <c r="C22300" t="str">
        <f>"363L00000X"</f>
        <v>363L00000X</v>
      </c>
      <c r="D22300" t="str">
        <f>"AUGUSTA                  TRACIE       L           "</f>
        <v xml:space="preserve">AUGUSTA                  TRACIE       L           </v>
      </c>
      <c r="E22300" t="str">
        <f>"MEMPHIS                   "</f>
        <v xml:space="preserve">MEMPHIS                   </v>
      </c>
      <c r="F22300" t="str">
        <f t="shared" si="552"/>
        <v>TN</v>
      </c>
    </row>
    <row r="22301" spans="1:6" x14ac:dyDescent="0.25">
      <c r="A22301" t="str">
        <f>"006272838"</f>
        <v>006272838</v>
      </c>
      <c r="B22301" t="str">
        <f>"1518911684"</f>
        <v>1518911684</v>
      </c>
      <c r="C22301" t="str">
        <f>"207V00000X"</f>
        <v>207V00000X</v>
      </c>
      <c r="D22301" t="str">
        <f>"LI                       SHERRI       X           "</f>
        <v xml:space="preserve">LI                       SHERRI       X           </v>
      </c>
      <c r="E22301" t="str">
        <f>"MEMPHIS                   "</f>
        <v xml:space="preserve">MEMPHIS                   </v>
      </c>
      <c r="F22301" t="str">
        <f t="shared" si="552"/>
        <v>TN</v>
      </c>
    </row>
    <row r="22302" spans="1:6" x14ac:dyDescent="0.25">
      <c r="A22302" t="str">
        <f>"006275241"</f>
        <v>006275241</v>
      </c>
      <c r="B22302" t="str">
        <f>"1407877004"</f>
        <v>1407877004</v>
      </c>
      <c r="C22302" t="str">
        <f>"207K00000X"</f>
        <v>207K00000X</v>
      </c>
      <c r="D22302" t="str">
        <f>"LIEBERMAN                JAY          A           "</f>
        <v xml:space="preserve">LIEBERMAN                JAY          A           </v>
      </c>
      <c r="E22302" t="str">
        <f>"MEMPHIS                   "</f>
        <v xml:space="preserve">MEMPHIS                   </v>
      </c>
      <c r="F22302" t="str">
        <f t="shared" si="552"/>
        <v>TN</v>
      </c>
    </row>
    <row r="22303" spans="1:6" x14ac:dyDescent="0.25">
      <c r="A22303" t="str">
        <f>"006282592"</f>
        <v>006282592</v>
      </c>
      <c r="B22303" t="str">
        <f>"1336702604"</f>
        <v>1336702604</v>
      </c>
      <c r="C22303" t="str">
        <f>"207R00000X"</f>
        <v>207R00000X</v>
      </c>
      <c r="D22303" t="str">
        <f>"FAISAL                   MOHAMMAD                 "</f>
        <v xml:space="preserve">FAISAL                   MOHAMMAD                 </v>
      </c>
      <c r="E22303" t="str">
        <f>"MEMPHIS                   "</f>
        <v xml:space="preserve">MEMPHIS                   </v>
      </c>
      <c r="F22303" t="str">
        <f t="shared" si="552"/>
        <v>TN</v>
      </c>
    </row>
    <row r="22304" spans="1:6" x14ac:dyDescent="0.25">
      <c r="A22304" t="str">
        <f>"006285073"</f>
        <v>006285073</v>
      </c>
      <c r="B22304" t="str">
        <f>"1598007106"</f>
        <v>1598007106</v>
      </c>
      <c r="C22304" t="str">
        <f>"363A00000X"</f>
        <v>363A00000X</v>
      </c>
      <c r="D22304" t="str">
        <f>"CRAWFORD                 LACIE        W           "</f>
        <v xml:space="preserve">CRAWFORD                 LACIE        W           </v>
      </c>
      <c r="E22304" t="str">
        <f>"GERMANTOWN                "</f>
        <v xml:space="preserve">GERMANTOWN                </v>
      </c>
      <c r="F22304" t="str">
        <f t="shared" si="552"/>
        <v>TN</v>
      </c>
    </row>
    <row r="22305" spans="1:6" x14ac:dyDescent="0.25">
      <c r="A22305" t="str">
        <f>"006287353"</f>
        <v>006287353</v>
      </c>
      <c r="B22305" t="str">
        <f>"1922268986"</f>
        <v>1922268986</v>
      </c>
      <c r="C22305" t="str">
        <f>"207RC0000X"</f>
        <v>207RC0000X</v>
      </c>
      <c r="D22305" t="str">
        <f>"ASLAM                    FARHAN                   "</f>
        <v xml:space="preserve">ASLAM                    FARHAN                   </v>
      </c>
      <c r="E22305" t="str">
        <f t="shared" ref="E22305:E22312" si="555">"MEMPHIS                   "</f>
        <v xml:space="preserve">MEMPHIS                   </v>
      </c>
      <c r="F22305" t="str">
        <f t="shared" si="552"/>
        <v>TN</v>
      </c>
    </row>
    <row r="22306" spans="1:6" x14ac:dyDescent="0.25">
      <c r="A22306" t="str">
        <f>"006303861"</f>
        <v>006303861</v>
      </c>
      <c r="B22306" t="str">
        <f>"1750597829"</f>
        <v>1750597829</v>
      </c>
      <c r="C22306" t="str">
        <f>"207V00000X"</f>
        <v>207V00000X</v>
      </c>
      <c r="D22306" t="str">
        <f>"CHAPPELL                 TODD                     "</f>
        <v xml:space="preserve">CHAPPELL                 TODD                     </v>
      </c>
      <c r="E22306" t="str">
        <f t="shared" si="555"/>
        <v xml:space="preserve">MEMPHIS                   </v>
      </c>
      <c r="F22306" t="str">
        <f t="shared" si="552"/>
        <v>TN</v>
      </c>
    </row>
    <row r="22307" spans="1:6" x14ac:dyDescent="0.25">
      <c r="A22307" t="str">
        <f>"006305091"</f>
        <v>006305091</v>
      </c>
      <c r="B22307" t="str">
        <f>"1588879845"</f>
        <v>1588879845</v>
      </c>
      <c r="C22307" t="str">
        <f>"208600000X"</f>
        <v>208600000X</v>
      </c>
      <c r="D22307" t="str">
        <f>"WEBB JR                  DAVID        L           "</f>
        <v xml:space="preserve">WEBB JR                  DAVID        L           </v>
      </c>
      <c r="E22307" t="str">
        <f t="shared" si="555"/>
        <v xml:space="preserve">MEMPHIS                   </v>
      </c>
      <c r="F22307" t="str">
        <f t="shared" si="552"/>
        <v>TN</v>
      </c>
    </row>
    <row r="22308" spans="1:6" x14ac:dyDescent="0.25">
      <c r="A22308" t="str">
        <f>"006320051"</f>
        <v>006320051</v>
      </c>
      <c r="B22308" t="str">
        <f>"1548907371"</f>
        <v>1548907371</v>
      </c>
      <c r="C22308" t="str">
        <f>"207T00000X"</f>
        <v>207T00000X</v>
      </c>
      <c r="D22308" t="str">
        <f>"YAGMURLU                 KAAN                     "</f>
        <v xml:space="preserve">YAGMURLU                 KAAN                     </v>
      </c>
      <c r="E22308" t="str">
        <f t="shared" si="555"/>
        <v xml:space="preserve">MEMPHIS                   </v>
      </c>
      <c r="F22308" t="str">
        <f t="shared" si="552"/>
        <v>TN</v>
      </c>
    </row>
    <row r="22309" spans="1:6" x14ac:dyDescent="0.25">
      <c r="A22309" t="str">
        <f>"006320765"</f>
        <v>006320765</v>
      </c>
      <c r="B22309" t="str">
        <f>"1841260700"</f>
        <v>1841260700</v>
      </c>
      <c r="C22309" t="str">
        <f>"2080N0001X"</f>
        <v>2080N0001X</v>
      </c>
      <c r="D22309" t="str">
        <f>"HAYDEN                   JANE         E           "</f>
        <v xml:space="preserve">HAYDEN                   JANE         E           </v>
      </c>
      <c r="E22309" t="str">
        <f t="shared" si="555"/>
        <v xml:space="preserve">MEMPHIS                   </v>
      </c>
      <c r="F22309" t="str">
        <f t="shared" si="552"/>
        <v>TN</v>
      </c>
    </row>
    <row r="22310" spans="1:6" x14ac:dyDescent="0.25">
      <c r="A22310" t="str">
        <f>"006322338"</f>
        <v>006322338</v>
      </c>
      <c r="B22310" t="str">
        <f>"1366769069"</f>
        <v>1366769069</v>
      </c>
      <c r="C22310" t="str">
        <f>"2085R0001X"</f>
        <v>2085R0001X</v>
      </c>
      <c r="D22310" t="str">
        <f>"TINKLE                   CHRISTOPHER  L           "</f>
        <v xml:space="preserve">TINKLE                   CHRISTOPHER  L           </v>
      </c>
      <c r="E22310" t="str">
        <f t="shared" si="555"/>
        <v xml:space="preserve">MEMPHIS                   </v>
      </c>
      <c r="F22310" t="str">
        <f t="shared" si="552"/>
        <v>TN</v>
      </c>
    </row>
    <row r="22311" spans="1:6" x14ac:dyDescent="0.25">
      <c r="A22311" t="str">
        <f>"006325239"</f>
        <v>006325239</v>
      </c>
      <c r="B22311" t="str">
        <f>"1801247481"</f>
        <v>1801247481</v>
      </c>
      <c r="C22311" t="str">
        <f>"207RN0300X"</f>
        <v>207RN0300X</v>
      </c>
      <c r="D22311" t="str">
        <f>"JETHWANI                 PRIYANKA                 "</f>
        <v xml:space="preserve">JETHWANI                 PRIYANKA                 </v>
      </c>
      <c r="E22311" t="str">
        <f t="shared" si="555"/>
        <v xml:space="preserve">MEMPHIS                   </v>
      </c>
      <c r="F22311" t="str">
        <f t="shared" si="552"/>
        <v>TN</v>
      </c>
    </row>
    <row r="22312" spans="1:6" x14ac:dyDescent="0.25">
      <c r="A22312" t="str">
        <f>"006326519"</f>
        <v>006326519</v>
      </c>
      <c r="B22312" t="str">
        <f>"1902127269"</f>
        <v>1902127269</v>
      </c>
      <c r="C22312" t="str">
        <f>"2085R0001X"</f>
        <v>2085R0001X</v>
      </c>
      <c r="D22312" t="str">
        <f>"LUCAS JR                 JOHN         T           "</f>
        <v xml:space="preserve">LUCAS JR                 JOHN         T           </v>
      </c>
      <c r="E22312" t="str">
        <f t="shared" si="555"/>
        <v xml:space="preserve">MEMPHIS                   </v>
      </c>
      <c r="F22312" t="str">
        <f t="shared" si="552"/>
        <v>TN</v>
      </c>
    </row>
    <row r="22313" spans="1:6" x14ac:dyDescent="0.25">
      <c r="A22313" t="str">
        <f>"006339895"</f>
        <v>006339895</v>
      </c>
      <c r="B22313" t="str">
        <f>"1710122601"</f>
        <v>1710122601</v>
      </c>
      <c r="C22313" t="str">
        <f>"207RH0003X"</f>
        <v>207RH0003X</v>
      </c>
      <c r="D22313" t="str">
        <f>"BATTINI                  RAMAKRISHNA              "</f>
        <v xml:space="preserve">BATTINI                  RAMAKRISHNA              </v>
      </c>
      <c r="E22313" t="str">
        <f>"GERMANTOWN                "</f>
        <v xml:space="preserve">GERMANTOWN                </v>
      </c>
      <c r="F22313" t="str">
        <f t="shared" si="552"/>
        <v>TN</v>
      </c>
    </row>
    <row r="22314" spans="1:6" x14ac:dyDescent="0.25">
      <c r="A22314" t="str">
        <f>"006359861"</f>
        <v>006359861</v>
      </c>
      <c r="B22314" t="str">
        <f>"1497781298"</f>
        <v>1497781298</v>
      </c>
      <c r="C22314" t="str">
        <f>"207Q00000X"</f>
        <v>207Q00000X</v>
      </c>
      <c r="D22314" t="str">
        <f>"LEE                      KENT         A           "</f>
        <v xml:space="preserve">LEE                      KENT         A           </v>
      </c>
      <c r="E22314" t="str">
        <f>"COLLIERVILLE              "</f>
        <v xml:space="preserve">COLLIERVILLE              </v>
      </c>
      <c r="F22314" t="str">
        <f t="shared" si="552"/>
        <v>TN</v>
      </c>
    </row>
    <row r="22315" spans="1:6" x14ac:dyDescent="0.25">
      <c r="A22315" t="str">
        <f>"006372052"</f>
        <v>006372052</v>
      </c>
      <c r="B22315" t="str">
        <f>"1275534752"</f>
        <v>1275534752</v>
      </c>
      <c r="C22315" t="str">
        <f>"207R00000X"</f>
        <v>207R00000X</v>
      </c>
      <c r="D22315" t="str">
        <f>"POMYKALA                 LORA         A           "</f>
        <v xml:space="preserve">POMYKALA                 LORA         A           </v>
      </c>
      <c r="E22315" t="str">
        <f>"GERMANTOWN                "</f>
        <v xml:space="preserve">GERMANTOWN                </v>
      </c>
      <c r="F22315" t="str">
        <f t="shared" si="552"/>
        <v>TN</v>
      </c>
    </row>
    <row r="22316" spans="1:6" x14ac:dyDescent="0.25">
      <c r="A22316" t="str">
        <f>"006376837"</f>
        <v>006376837</v>
      </c>
      <c r="B22316" t="str">
        <f>"1891936720"</f>
        <v>1891936720</v>
      </c>
      <c r="C22316" t="str">
        <f>"363L00000X"</f>
        <v>363L00000X</v>
      </c>
      <c r="D22316" t="str">
        <f>"BRADY                    MARY         A           "</f>
        <v xml:space="preserve">BRADY                    MARY         A           </v>
      </c>
      <c r="E22316" t="str">
        <f>"GERMANTOWN                "</f>
        <v xml:space="preserve">GERMANTOWN                </v>
      </c>
      <c r="F22316" t="str">
        <f t="shared" si="552"/>
        <v>TN</v>
      </c>
    </row>
    <row r="22317" spans="1:6" x14ac:dyDescent="0.25">
      <c r="A22317" t="str">
        <f>"006402228"</f>
        <v>006402228</v>
      </c>
      <c r="B22317" t="str">
        <f>"1558603407"</f>
        <v>1558603407</v>
      </c>
      <c r="C22317" t="str">
        <f>"363L00000X"</f>
        <v>363L00000X</v>
      </c>
      <c r="D22317" t="str">
        <f>"WISE                     JAMIE        L           "</f>
        <v xml:space="preserve">WISE                     JAMIE        L           </v>
      </c>
      <c r="E22317" t="str">
        <f>"MEMPHIS                   "</f>
        <v xml:space="preserve">MEMPHIS                   </v>
      </c>
      <c r="F22317" t="str">
        <f t="shared" si="552"/>
        <v>TN</v>
      </c>
    </row>
    <row r="22318" spans="1:6" x14ac:dyDescent="0.25">
      <c r="A22318" t="str">
        <f>"006404255"</f>
        <v>006404255</v>
      </c>
      <c r="B22318" t="str">
        <f>"1124479704"</f>
        <v>1124479704</v>
      </c>
      <c r="C22318" t="str">
        <f>"2084N0400X"</f>
        <v>2084N0400X</v>
      </c>
      <c r="D22318" t="str">
        <f>"ELANGOVAN                CHERAN                   "</f>
        <v xml:space="preserve">ELANGOVAN                CHERAN                   </v>
      </c>
      <c r="E22318" t="str">
        <f>"MEMPHIS                   "</f>
        <v xml:space="preserve">MEMPHIS                   </v>
      </c>
      <c r="F22318" t="str">
        <f t="shared" si="552"/>
        <v>TN</v>
      </c>
    </row>
    <row r="22319" spans="1:6" x14ac:dyDescent="0.25">
      <c r="A22319" t="str">
        <f>"006428293"</f>
        <v>006428293</v>
      </c>
      <c r="B22319" t="str">
        <f>"1386778199"</f>
        <v>1386778199</v>
      </c>
      <c r="C22319" t="str">
        <f>"207RN0300X"</f>
        <v>207RN0300X</v>
      </c>
      <c r="D22319" t="str">
        <f>"CHAKRAVARTY              ARIJIT                   "</f>
        <v xml:space="preserve">CHAKRAVARTY              ARIJIT                   </v>
      </c>
      <c r="E22319" t="str">
        <f>"MEMPHIS                   "</f>
        <v xml:space="preserve">MEMPHIS                   </v>
      </c>
      <c r="F22319" t="str">
        <f t="shared" si="552"/>
        <v>TN</v>
      </c>
    </row>
    <row r="22320" spans="1:6" x14ac:dyDescent="0.25">
      <c r="A22320" t="str">
        <f>"006434273"</f>
        <v>006434273</v>
      </c>
      <c r="B22320" t="str">
        <f>"1124426762"</f>
        <v>1124426762</v>
      </c>
      <c r="C22320" t="str">
        <f>"2080P0206X"</f>
        <v>2080P0206X</v>
      </c>
      <c r="D22320" t="str">
        <f>"PAI                      ANITA        K           "</f>
        <v xml:space="preserve">PAI                      ANITA        K           </v>
      </c>
      <c r="E22320" t="str">
        <f>"NASHVILLE                 "</f>
        <v xml:space="preserve">NASHVILLE                 </v>
      </c>
      <c r="F22320" t="str">
        <f t="shared" si="552"/>
        <v>TN</v>
      </c>
    </row>
    <row r="22321" spans="1:6" x14ac:dyDescent="0.25">
      <c r="A22321" t="str">
        <f>"006437514"</f>
        <v>006437514</v>
      </c>
      <c r="B22321" t="str">
        <f>"1477793362"</f>
        <v>1477793362</v>
      </c>
      <c r="C22321" t="str">
        <f>"208000000X"</f>
        <v>208000000X</v>
      </c>
      <c r="D22321" t="str">
        <f>"WEEMS                    MARK         F           "</f>
        <v xml:space="preserve">WEEMS                    MARK         F           </v>
      </c>
      <c r="E22321" t="str">
        <f t="shared" ref="E22321:E22332" si="556">"MEMPHIS                   "</f>
        <v xml:space="preserve">MEMPHIS                   </v>
      </c>
      <c r="F22321" t="str">
        <f t="shared" si="552"/>
        <v>TN</v>
      </c>
    </row>
    <row r="22322" spans="1:6" x14ac:dyDescent="0.25">
      <c r="A22322" t="str">
        <f>"006439051"</f>
        <v>006439051</v>
      </c>
      <c r="B22322" t="str">
        <f>"1528113602"</f>
        <v>1528113602</v>
      </c>
      <c r="C22322" t="str">
        <f>"208000000X"</f>
        <v>208000000X</v>
      </c>
      <c r="D22322" t="str">
        <f>"GIPSON                   TANJALA      T           "</f>
        <v xml:space="preserve">GIPSON                   TANJALA      T           </v>
      </c>
      <c r="E22322" t="str">
        <f t="shared" si="556"/>
        <v xml:space="preserve">MEMPHIS                   </v>
      </c>
      <c r="F22322" t="str">
        <f t="shared" si="552"/>
        <v>TN</v>
      </c>
    </row>
    <row r="22323" spans="1:6" x14ac:dyDescent="0.25">
      <c r="A22323" t="str">
        <f>"006456397"</f>
        <v>006456397</v>
      </c>
      <c r="B22323" t="str">
        <f>"1881022291"</f>
        <v>1881022291</v>
      </c>
      <c r="C22323" t="str">
        <f>"363L00000X"</f>
        <v>363L00000X</v>
      </c>
      <c r="D22323" t="str">
        <f>"DICKEY                   LAURA                    "</f>
        <v xml:space="preserve">DICKEY                   LAURA                    </v>
      </c>
      <c r="E22323" t="str">
        <f t="shared" si="556"/>
        <v xml:space="preserve">MEMPHIS                   </v>
      </c>
      <c r="F22323" t="str">
        <f t="shared" si="552"/>
        <v>TN</v>
      </c>
    </row>
    <row r="22324" spans="1:6" x14ac:dyDescent="0.25">
      <c r="A22324" t="str">
        <f>"006474501"</f>
        <v>006474501</v>
      </c>
      <c r="B22324" t="str">
        <f>"1447591912"</f>
        <v>1447591912</v>
      </c>
      <c r="C22324" t="str">
        <f>"2080P0207X"</f>
        <v>2080P0207X</v>
      </c>
      <c r="D22324" t="str">
        <f>"ZAIDI                    ALIA                     "</f>
        <v xml:space="preserve">ZAIDI                    ALIA                     </v>
      </c>
      <c r="E22324" t="str">
        <f t="shared" si="556"/>
        <v xml:space="preserve">MEMPHIS                   </v>
      </c>
      <c r="F22324" t="str">
        <f t="shared" si="552"/>
        <v>TN</v>
      </c>
    </row>
    <row r="22325" spans="1:6" x14ac:dyDescent="0.25">
      <c r="A22325" t="str">
        <f>"006478218"</f>
        <v>006478218</v>
      </c>
      <c r="B22325" t="str">
        <f>"1063808749"</f>
        <v>1063808749</v>
      </c>
      <c r="C22325" t="str">
        <f>"207P00000X"</f>
        <v>207P00000X</v>
      </c>
      <c r="D22325" t="str">
        <f>"BLAKENEY                 CRAIG        A           "</f>
        <v xml:space="preserve">BLAKENEY                 CRAIG        A           </v>
      </c>
      <c r="E22325" t="str">
        <f t="shared" si="556"/>
        <v xml:space="preserve">MEMPHIS                   </v>
      </c>
      <c r="F22325" t="str">
        <f t="shared" si="552"/>
        <v>TN</v>
      </c>
    </row>
    <row r="22326" spans="1:6" x14ac:dyDescent="0.25">
      <c r="A22326" t="str">
        <f>"006480364"</f>
        <v>006480364</v>
      </c>
      <c r="B22326" t="str">
        <f>"1508391566"</f>
        <v>1508391566</v>
      </c>
      <c r="C22326" t="str">
        <f>"363L00000X"</f>
        <v>363L00000X</v>
      </c>
      <c r="D22326" t="str">
        <f>"WADE                     JESSICA                  "</f>
        <v xml:space="preserve">WADE                     JESSICA                  </v>
      </c>
      <c r="E22326" t="str">
        <f t="shared" si="556"/>
        <v xml:space="preserve">MEMPHIS                   </v>
      </c>
      <c r="F22326" t="str">
        <f t="shared" si="552"/>
        <v>TN</v>
      </c>
    </row>
    <row r="22327" spans="1:6" x14ac:dyDescent="0.25">
      <c r="A22327" t="str">
        <f>"006484022"</f>
        <v>006484022</v>
      </c>
      <c r="B22327" t="str">
        <f>"1699119719"</f>
        <v>1699119719</v>
      </c>
      <c r="C22327" t="str">
        <f>"207N00000X"</f>
        <v>207N00000X</v>
      </c>
      <c r="D22327" t="str">
        <f>"JONES                    ALLISON      V           "</f>
        <v xml:space="preserve">JONES                    ALLISON      V           </v>
      </c>
      <c r="E22327" t="str">
        <f t="shared" si="556"/>
        <v xml:space="preserve">MEMPHIS                   </v>
      </c>
      <c r="F22327" t="str">
        <f t="shared" si="552"/>
        <v>TN</v>
      </c>
    </row>
    <row r="22328" spans="1:6" x14ac:dyDescent="0.25">
      <c r="A22328" t="str">
        <f>"006500884"</f>
        <v>006500884</v>
      </c>
      <c r="B22328" t="str">
        <f>"1588609101"</f>
        <v>1588609101</v>
      </c>
      <c r="C22328" t="str">
        <f>"207V00000X"</f>
        <v>207V00000X</v>
      </c>
      <c r="D22328" t="str">
        <f>"CRISLER                  CRISTA       L           "</f>
        <v xml:space="preserve">CRISLER                  CRISTA       L           </v>
      </c>
      <c r="E22328" t="str">
        <f t="shared" si="556"/>
        <v xml:space="preserve">MEMPHIS                   </v>
      </c>
      <c r="F22328" t="str">
        <f t="shared" si="552"/>
        <v>TN</v>
      </c>
    </row>
    <row r="22329" spans="1:6" x14ac:dyDescent="0.25">
      <c r="A22329" t="str">
        <f>"006503076"</f>
        <v>006503076</v>
      </c>
      <c r="B22329" t="str">
        <f>"1487876017"</f>
        <v>1487876017</v>
      </c>
      <c r="C22329" t="str">
        <f>"208600000X"</f>
        <v>208600000X</v>
      </c>
      <c r="D22329" t="str">
        <f>"STOIKES                  NATHANIEL    F           "</f>
        <v xml:space="preserve">STOIKES                  NATHANIEL    F           </v>
      </c>
      <c r="E22329" t="str">
        <f t="shared" si="556"/>
        <v xml:space="preserve">MEMPHIS                   </v>
      </c>
      <c r="F22329" t="str">
        <f t="shared" si="552"/>
        <v>TN</v>
      </c>
    </row>
    <row r="22330" spans="1:6" x14ac:dyDescent="0.25">
      <c r="A22330" t="str">
        <f>"006526882"</f>
        <v>006526882</v>
      </c>
      <c r="B22330" t="str">
        <f>"1184855686"</f>
        <v>1184855686</v>
      </c>
      <c r="C22330" t="str">
        <f>"208000000X"</f>
        <v>208000000X</v>
      </c>
      <c r="D22330" t="str">
        <f>"HAKIM                    HANA                     "</f>
        <v xml:space="preserve">HAKIM                    HANA                     </v>
      </c>
      <c r="E22330" t="str">
        <f t="shared" si="556"/>
        <v xml:space="preserve">MEMPHIS                   </v>
      </c>
      <c r="F22330" t="str">
        <f t="shared" si="552"/>
        <v>TN</v>
      </c>
    </row>
    <row r="22331" spans="1:6" x14ac:dyDescent="0.25">
      <c r="A22331" t="str">
        <f>"006529234"</f>
        <v>006529234</v>
      </c>
      <c r="B22331" t="str">
        <f>"1598152928"</f>
        <v>1598152928</v>
      </c>
      <c r="C22331" t="str">
        <f>"2084N0402X"</f>
        <v>2084N0402X</v>
      </c>
      <c r="D22331" t="str">
        <f>"SCHROEDER                ANDREW       C           "</f>
        <v xml:space="preserve">SCHROEDER                ANDREW       C           </v>
      </c>
      <c r="E22331" t="str">
        <f t="shared" si="556"/>
        <v xml:space="preserve">MEMPHIS                   </v>
      </c>
      <c r="F22331" t="str">
        <f t="shared" si="552"/>
        <v>TN</v>
      </c>
    </row>
    <row r="22332" spans="1:6" x14ac:dyDescent="0.25">
      <c r="A22332" t="str">
        <f>"006532839"</f>
        <v>006532839</v>
      </c>
      <c r="B22332" t="str">
        <f>"1538493846"</f>
        <v>1538493846</v>
      </c>
      <c r="C22332" t="str">
        <f>"261QE0700X"</f>
        <v>261QE0700X</v>
      </c>
      <c r="D22332" t="str">
        <f>"FRESENIUS MEDICAL CARE EAST MEMPHIS               "</f>
        <v xml:space="preserve">FRESENIUS MEDICAL CARE EAST MEMPHIS               </v>
      </c>
      <c r="E22332" t="str">
        <f t="shared" si="556"/>
        <v xml:space="preserve">MEMPHIS                   </v>
      </c>
      <c r="F22332" t="str">
        <f t="shared" si="552"/>
        <v>TN</v>
      </c>
    </row>
    <row r="22333" spans="1:6" x14ac:dyDescent="0.25">
      <c r="A22333" t="str">
        <f>"006550284"</f>
        <v>006550284</v>
      </c>
      <c r="B22333" t="str">
        <f>"1306005905"</f>
        <v>1306005905</v>
      </c>
      <c r="C22333" t="str">
        <f>"208600000X"</f>
        <v>208600000X</v>
      </c>
      <c r="D22333" t="str">
        <f>"ALTOMAR                  JONATHAN     L           "</f>
        <v xml:space="preserve">ALTOMAR                  JONATHAN     L           </v>
      </c>
      <c r="E22333" t="str">
        <f>"COLLIERVILLE              "</f>
        <v xml:space="preserve">COLLIERVILLE              </v>
      </c>
      <c r="F22333" t="str">
        <f t="shared" si="552"/>
        <v>TN</v>
      </c>
    </row>
    <row r="22334" spans="1:6" x14ac:dyDescent="0.25">
      <c r="A22334" t="str">
        <f>"006573539"</f>
        <v>006573539</v>
      </c>
      <c r="B22334" t="str">
        <f>"1003088113"</f>
        <v>1003088113</v>
      </c>
      <c r="C22334" t="str">
        <f>"2085R0202X"</f>
        <v>2085R0202X</v>
      </c>
      <c r="D22334" t="str">
        <f>"BLANKINSHIP JR           JOSEPH       P           "</f>
        <v xml:space="preserve">BLANKINSHIP JR           JOSEPH       P           </v>
      </c>
      <c r="E22334" t="str">
        <f>"MEMPHIS                   "</f>
        <v xml:space="preserve">MEMPHIS                   </v>
      </c>
      <c r="F22334" t="str">
        <f t="shared" ref="F22334:F22397" si="557">"TN"</f>
        <v>TN</v>
      </c>
    </row>
    <row r="22335" spans="1:6" x14ac:dyDescent="0.25">
      <c r="A22335" t="str">
        <f>"006573597"</f>
        <v>006573597</v>
      </c>
      <c r="B22335" t="str">
        <f>"1275776585"</f>
        <v>1275776585</v>
      </c>
      <c r="C22335" t="str">
        <f>"207ZP0102X"</f>
        <v>207ZP0102X</v>
      </c>
      <c r="D22335" t="str">
        <f>"HUBA                     MICHAEL                  "</f>
        <v xml:space="preserve">HUBA                     MICHAEL                  </v>
      </c>
      <c r="E22335" t="str">
        <f>"CORDOVA                   "</f>
        <v xml:space="preserve">CORDOVA                   </v>
      </c>
      <c r="F22335" t="str">
        <f t="shared" si="557"/>
        <v>TN</v>
      </c>
    </row>
    <row r="22336" spans="1:6" x14ac:dyDescent="0.25">
      <c r="A22336" t="str">
        <f>"006575325"</f>
        <v>006575325</v>
      </c>
      <c r="B22336" t="str">
        <f>"1528382199"</f>
        <v>1528382199</v>
      </c>
      <c r="C22336" t="str">
        <f>"207Q00000X"</f>
        <v>207Q00000X</v>
      </c>
      <c r="D22336" t="str">
        <f>"MAY                      WILLIAM      B           "</f>
        <v xml:space="preserve">MAY                      WILLIAM      B           </v>
      </c>
      <c r="E22336" t="str">
        <f>"BARTLETT                  "</f>
        <v xml:space="preserve">BARTLETT                  </v>
      </c>
      <c r="F22336" t="str">
        <f t="shared" si="557"/>
        <v>TN</v>
      </c>
    </row>
    <row r="22337" spans="1:6" x14ac:dyDescent="0.25">
      <c r="A22337" t="str">
        <f>"006576309"</f>
        <v>006576309</v>
      </c>
      <c r="B22337" t="str">
        <f>"1235430950"</f>
        <v>1235430950</v>
      </c>
      <c r="C22337" t="str">
        <f>"207ZP0105X"</f>
        <v>207ZP0105X</v>
      </c>
      <c r="D22337" t="str">
        <f>"JAIN                     RICHA                    "</f>
        <v xml:space="preserve">JAIN                     RICHA                    </v>
      </c>
      <c r="E22337" t="str">
        <f>"MEMPHIS                   "</f>
        <v xml:space="preserve">MEMPHIS                   </v>
      </c>
      <c r="F22337" t="str">
        <f t="shared" si="557"/>
        <v>TN</v>
      </c>
    </row>
    <row r="22338" spans="1:6" x14ac:dyDescent="0.25">
      <c r="A22338" t="str">
        <f>"006587018"</f>
        <v>006587018</v>
      </c>
      <c r="B22338" t="str">
        <f>"1194081232"</f>
        <v>1194081232</v>
      </c>
      <c r="C22338" t="str">
        <f>"207T00000X"</f>
        <v>207T00000X</v>
      </c>
      <c r="D22338" t="str">
        <f>"SMITH                    KYLE         A           "</f>
        <v xml:space="preserve">SMITH                    KYLE         A           </v>
      </c>
      <c r="E22338" t="str">
        <f>"MEMPHIS                   "</f>
        <v xml:space="preserve">MEMPHIS                   </v>
      </c>
      <c r="F22338" t="str">
        <f t="shared" si="557"/>
        <v>TN</v>
      </c>
    </row>
    <row r="22339" spans="1:6" x14ac:dyDescent="0.25">
      <c r="A22339" t="str">
        <f>"006589811"</f>
        <v>006589811</v>
      </c>
      <c r="B22339" t="str">
        <f>"1427354091"</f>
        <v>1427354091</v>
      </c>
      <c r="C22339" t="str">
        <f>"367500000X"</f>
        <v>367500000X</v>
      </c>
      <c r="D22339" t="str">
        <f>"ARTILES                  HEATHER      M           "</f>
        <v xml:space="preserve">ARTILES                  HEATHER      M           </v>
      </c>
      <c r="E22339" t="str">
        <f>"MEMPHIS                   "</f>
        <v xml:space="preserve">MEMPHIS                   </v>
      </c>
      <c r="F22339" t="str">
        <f t="shared" si="557"/>
        <v>TN</v>
      </c>
    </row>
    <row r="22340" spans="1:6" x14ac:dyDescent="0.25">
      <c r="A22340" t="str">
        <f>"006600568"</f>
        <v>006600568</v>
      </c>
      <c r="B22340" t="str">
        <f>"1366709164"</f>
        <v>1366709164</v>
      </c>
      <c r="C22340" t="str">
        <f>"207Y00000X"</f>
        <v>207Y00000X</v>
      </c>
      <c r="D22340" t="str">
        <f>"YAWN                     ROBERT       J           "</f>
        <v xml:space="preserve">YAWN                     ROBERT       J           </v>
      </c>
      <c r="E22340" t="str">
        <f>"MEMPHIS                   "</f>
        <v xml:space="preserve">MEMPHIS                   </v>
      </c>
      <c r="F22340" t="str">
        <f t="shared" si="557"/>
        <v>TN</v>
      </c>
    </row>
    <row r="22341" spans="1:6" x14ac:dyDescent="0.25">
      <c r="A22341" t="str">
        <f>"006601776"</f>
        <v>006601776</v>
      </c>
      <c r="B22341" t="str">
        <f>"1992874168"</f>
        <v>1992874168</v>
      </c>
      <c r="C22341" t="str">
        <f>"363L00000X"</f>
        <v>363L00000X</v>
      </c>
      <c r="D22341" t="str">
        <f>"TUCKER                   KIMBERLY     R           "</f>
        <v xml:space="preserve">TUCKER                   KIMBERLY     R           </v>
      </c>
      <c r="E22341" t="str">
        <f>"GERMANTOWN                "</f>
        <v xml:space="preserve">GERMANTOWN                </v>
      </c>
      <c r="F22341" t="str">
        <f t="shared" si="557"/>
        <v>TN</v>
      </c>
    </row>
    <row r="22342" spans="1:6" x14ac:dyDescent="0.25">
      <c r="A22342" t="str">
        <f>"006602720"</f>
        <v>006602720</v>
      </c>
      <c r="B22342" t="str">
        <f>"1538625371"</f>
        <v>1538625371</v>
      </c>
      <c r="C22342" t="str">
        <f>"363A00000X"</f>
        <v>363A00000X</v>
      </c>
      <c r="D22342" t="str">
        <f>"ZHANG                    QIUHUA       J           "</f>
        <v xml:space="preserve">ZHANG                    QIUHUA       J           </v>
      </c>
      <c r="E22342" t="str">
        <f>"GERMANTOWN                "</f>
        <v xml:space="preserve">GERMANTOWN                </v>
      </c>
      <c r="F22342" t="str">
        <f t="shared" si="557"/>
        <v>TN</v>
      </c>
    </row>
    <row r="22343" spans="1:6" x14ac:dyDescent="0.25">
      <c r="A22343" t="str">
        <f>"006608593"</f>
        <v>006608593</v>
      </c>
      <c r="B22343" t="str">
        <f>"1295228468"</f>
        <v>1295228468</v>
      </c>
      <c r="C22343" t="str">
        <f>"363A00000X"</f>
        <v>363A00000X</v>
      </c>
      <c r="D22343" t="str">
        <f>"ANDERSON                 CARLA        J           "</f>
        <v xml:space="preserve">ANDERSON                 CARLA        J           </v>
      </c>
      <c r="E22343" t="str">
        <f>"MEMPHIS                   "</f>
        <v xml:space="preserve">MEMPHIS                   </v>
      </c>
      <c r="F22343" t="str">
        <f t="shared" si="557"/>
        <v>TN</v>
      </c>
    </row>
    <row r="22344" spans="1:6" x14ac:dyDescent="0.25">
      <c r="A22344" t="str">
        <f>"006622366"</f>
        <v>006622366</v>
      </c>
      <c r="B22344" t="str">
        <f>"1326579749"</f>
        <v>1326579749</v>
      </c>
      <c r="C22344" t="str">
        <f>"207V00000X"</f>
        <v>207V00000X</v>
      </c>
      <c r="D22344" t="str">
        <f>"SWAILES                  ALEXA                    "</f>
        <v xml:space="preserve">SWAILES                  ALEXA                    </v>
      </c>
      <c r="E22344" t="str">
        <f>"MEMPHIS                   "</f>
        <v xml:space="preserve">MEMPHIS                   </v>
      </c>
      <c r="F22344" t="str">
        <f t="shared" si="557"/>
        <v>TN</v>
      </c>
    </row>
    <row r="22345" spans="1:6" x14ac:dyDescent="0.25">
      <c r="A22345" t="str">
        <f>"006623332"</f>
        <v>006623332</v>
      </c>
      <c r="B22345" t="str">
        <f>"1710116801"</f>
        <v>1710116801</v>
      </c>
      <c r="C22345" t="str">
        <f>"207R00000X"</f>
        <v>207R00000X</v>
      </c>
      <c r="D22345" t="str">
        <f>"KANNEGANTI               PRAVEEN      C           "</f>
        <v xml:space="preserve">KANNEGANTI               PRAVEEN      C           </v>
      </c>
      <c r="E22345" t="str">
        <f>"MEMPHIS                   "</f>
        <v xml:space="preserve">MEMPHIS                   </v>
      </c>
      <c r="F22345" t="str">
        <f t="shared" si="557"/>
        <v>TN</v>
      </c>
    </row>
    <row r="22346" spans="1:6" x14ac:dyDescent="0.25">
      <c r="A22346" t="str">
        <f>"006638808"</f>
        <v>006638808</v>
      </c>
      <c r="B22346" t="str">
        <f>"1134138761"</f>
        <v>1134138761</v>
      </c>
      <c r="C22346" t="str">
        <f>"207RN0300X"</f>
        <v>207RN0300X</v>
      </c>
      <c r="D22346" t="str">
        <f>"BAYMILLER                NILOOFAR                 "</f>
        <v xml:space="preserve">BAYMILLER                NILOOFAR                 </v>
      </c>
      <c r="E22346" t="str">
        <f>"MEMPHIS                   "</f>
        <v xml:space="preserve">MEMPHIS                   </v>
      </c>
      <c r="F22346" t="str">
        <f t="shared" si="557"/>
        <v>TN</v>
      </c>
    </row>
    <row r="22347" spans="1:6" x14ac:dyDescent="0.25">
      <c r="A22347" t="str">
        <f>"006650081"</f>
        <v>006650081</v>
      </c>
      <c r="B22347" t="str">
        <f>"1942253992"</f>
        <v>1942253992</v>
      </c>
      <c r="C22347" t="str">
        <f>"207R00000X"</f>
        <v>207R00000X</v>
      </c>
      <c r="D22347" t="str">
        <f>"NATARAJAN                MONIKA       L           "</f>
        <v xml:space="preserve">NATARAJAN                MONIKA       L           </v>
      </c>
      <c r="E22347" t="str">
        <f>"GERMANTOWN                "</f>
        <v xml:space="preserve">GERMANTOWN                </v>
      </c>
      <c r="F22347" t="str">
        <f t="shared" si="557"/>
        <v>TN</v>
      </c>
    </row>
    <row r="22348" spans="1:6" x14ac:dyDescent="0.25">
      <c r="A22348" t="str">
        <f>"006657772"</f>
        <v>006657772</v>
      </c>
      <c r="B22348" t="str">
        <f>"1861800138"</f>
        <v>1861800138</v>
      </c>
      <c r="C22348" t="str">
        <f>"363L00000X"</f>
        <v>363L00000X</v>
      </c>
      <c r="D22348" t="str">
        <f>"HUFTON                   KELLY        M           "</f>
        <v xml:space="preserve">HUFTON                   KELLY        M           </v>
      </c>
      <c r="E22348" t="str">
        <f>"MEMPHIS                   "</f>
        <v xml:space="preserve">MEMPHIS                   </v>
      </c>
      <c r="F22348" t="str">
        <f t="shared" si="557"/>
        <v>TN</v>
      </c>
    </row>
    <row r="22349" spans="1:6" x14ac:dyDescent="0.25">
      <c r="A22349" t="str">
        <f>"006680232"</f>
        <v>006680232</v>
      </c>
      <c r="B22349" t="str">
        <f>"1952528770"</f>
        <v>1952528770</v>
      </c>
      <c r="C22349" t="str">
        <f>"207V00000X"</f>
        <v>207V00000X</v>
      </c>
      <c r="D22349" t="str">
        <f>"BRACKNEY                 KERRI                    "</f>
        <v xml:space="preserve">BRACKNEY                 KERRI                    </v>
      </c>
      <c r="E22349" t="str">
        <f>"MEMPHIS                   "</f>
        <v xml:space="preserve">MEMPHIS                   </v>
      </c>
      <c r="F22349" t="str">
        <f t="shared" si="557"/>
        <v>TN</v>
      </c>
    </row>
    <row r="22350" spans="1:6" x14ac:dyDescent="0.25">
      <c r="A22350" t="str">
        <f>"006703843"</f>
        <v>006703843</v>
      </c>
      <c r="B22350" t="str">
        <f>"1093190365"</f>
        <v>1093190365</v>
      </c>
      <c r="C22350" t="str">
        <f>"363L00000X"</f>
        <v>363L00000X</v>
      </c>
      <c r="D22350" t="str">
        <f>"STEPHENS                 RYAN         E           "</f>
        <v xml:space="preserve">STEPHENS                 RYAN         E           </v>
      </c>
      <c r="E22350" t="str">
        <f>"MEMPHIS                   "</f>
        <v xml:space="preserve">MEMPHIS                   </v>
      </c>
      <c r="F22350" t="str">
        <f t="shared" si="557"/>
        <v>TN</v>
      </c>
    </row>
    <row r="22351" spans="1:6" x14ac:dyDescent="0.25">
      <c r="A22351" t="str">
        <f>"006706558"</f>
        <v>006706558</v>
      </c>
      <c r="B22351" t="str">
        <f>"1588305353"</f>
        <v>1588305353</v>
      </c>
      <c r="C22351" t="str">
        <f>"208600000X"</f>
        <v>208600000X</v>
      </c>
      <c r="D22351" t="str">
        <f>"JUNG                     CALVIN       Y           "</f>
        <v xml:space="preserve">JUNG                     CALVIN       Y           </v>
      </c>
      <c r="E22351" t="str">
        <f>"MEMPHIS                   "</f>
        <v xml:space="preserve">MEMPHIS                   </v>
      </c>
      <c r="F22351" t="str">
        <f t="shared" si="557"/>
        <v>TN</v>
      </c>
    </row>
    <row r="22352" spans="1:6" x14ac:dyDescent="0.25">
      <c r="A22352" t="str">
        <f>"006708210"</f>
        <v>006708210</v>
      </c>
      <c r="B22352" t="str">
        <f>"1942684907"</f>
        <v>1942684907</v>
      </c>
      <c r="C22352" t="str">
        <f>"207R00000X"</f>
        <v>207R00000X</v>
      </c>
      <c r="D22352" t="str">
        <f>"POKHAREL                 YASMINA                  "</f>
        <v xml:space="preserve">POKHAREL                 YASMINA                  </v>
      </c>
      <c r="E22352" t="str">
        <f>"MEMPHIS                   "</f>
        <v xml:space="preserve">MEMPHIS                   </v>
      </c>
      <c r="F22352" t="str">
        <f t="shared" si="557"/>
        <v>TN</v>
      </c>
    </row>
    <row r="22353" spans="1:6" x14ac:dyDescent="0.25">
      <c r="A22353" t="str">
        <f>"006729219"</f>
        <v>006729219</v>
      </c>
      <c r="B22353" t="str">
        <f>"1831115419"</f>
        <v>1831115419</v>
      </c>
      <c r="C22353" t="str">
        <f>"2084P0800X"</f>
        <v>2084P0800X</v>
      </c>
      <c r="D22353" t="str">
        <f>"AKINWUMIJU               OLAYINKA     O           "</f>
        <v xml:space="preserve">AKINWUMIJU               OLAYINKA     O           </v>
      </c>
      <c r="E22353" t="str">
        <f>"CORDOVA                   "</f>
        <v xml:space="preserve">CORDOVA                   </v>
      </c>
      <c r="F22353" t="str">
        <f t="shared" si="557"/>
        <v>TN</v>
      </c>
    </row>
    <row r="22354" spans="1:6" x14ac:dyDescent="0.25">
      <c r="A22354" t="str">
        <f>"006731323"</f>
        <v>006731323</v>
      </c>
      <c r="B22354" t="str">
        <f>"1639573025"</f>
        <v>1639573025</v>
      </c>
      <c r="C22354" t="str">
        <f>"363L00000X"</f>
        <v>363L00000X</v>
      </c>
      <c r="D22354" t="str">
        <f>"HALKIADES                CHARLOTTE    L           "</f>
        <v xml:space="preserve">HALKIADES                CHARLOTTE    L           </v>
      </c>
      <c r="E22354" t="str">
        <f>"GERMANTOWN                "</f>
        <v xml:space="preserve">GERMANTOWN                </v>
      </c>
      <c r="F22354" t="str">
        <f t="shared" si="557"/>
        <v>TN</v>
      </c>
    </row>
    <row r="22355" spans="1:6" x14ac:dyDescent="0.25">
      <c r="A22355" t="str">
        <f>"006733569"</f>
        <v>006733569</v>
      </c>
      <c r="B22355" t="str">
        <f>"1942741889"</f>
        <v>1942741889</v>
      </c>
      <c r="C22355" t="str">
        <f>"363L00000X"</f>
        <v>363L00000X</v>
      </c>
      <c r="D22355" t="str">
        <f>"EDWARDS                  LADONNA      R           "</f>
        <v xml:space="preserve">EDWARDS                  LADONNA      R           </v>
      </c>
      <c r="E22355" t="str">
        <f>"MEMPHIS                   "</f>
        <v xml:space="preserve">MEMPHIS                   </v>
      </c>
      <c r="F22355" t="str">
        <f t="shared" si="557"/>
        <v>TN</v>
      </c>
    </row>
    <row r="22356" spans="1:6" x14ac:dyDescent="0.25">
      <c r="A22356" t="str">
        <f>"006734258"</f>
        <v>006734258</v>
      </c>
      <c r="B22356" t="str">
        <f>"1689844714"</f>
        <v>1689844714</v>
      </c>
      <c r="C22356" t="str">
        <f>"363LF0000X"</f>
        <v>363LF0000X</v>
      </c>
      <c r="D22356" t="str">
        <f>"MURPHY                   SANDRA                   "</f>
        <v xml:space="preserve">MURPHY                   SANDRA                   </v>
      </c>
      <c r="E22356" t="str">
        <f>"MEMPHIS                   "</f>
        <v xml:space="preserve">MEMPHIS                   </v>
      </c>
      <c r="F22356" t="str">
        <f t="shared" si="557"/>
        <v>TN</v>
      </c>
    </row>
    <row r="22357" spans="1:6" x14ac:dyDescent="0.25">
      <c r="A22357" t="str">
        <f>"006773501"</f>
        <v>006773501</v>
      </c>
      <c r="B22357" t="str">
        <f>"1639532823"</f>
        <v>1639532823</v>
      </c>
      <c r="C22357" t="str">
        <f>"207W00000X"</f>
        <v>207W00000X</v>
      </c>
      <c r="D22357" t="str">
        <f>"ASHE                     STEPHEN      A           "</f>
        <v xml:space="preserve">ASHE                     STEPHEN      A           </v>
      </c>
      <c r="E22357" t="str">
        <f>"MEMPHIS                   "</f>
        <v xml:space="preserve">MEMPHIS                   </v>
      </c>
      <c r="F22357" t="str">
        <f t="shared" si="557"/>
        <v>TN</v>
      </c>
    </row>
    <row r="22358" spans="1:6" x14ac:dyDescent="0.25">
      <c r="A22358" t="str">
        <f>"006774357"</f>
        <v>006774357</v>
      </c>
      <c r="B22358" t="str">
        <f>"1154433993"</f>
        <v>1154433993</v>
      </c>
      <c r="C22358" t="str">
        <f>"261QE0700X"</f>
        <v>261QE0700X</v>
      </c>
      <c r="D22358" t="str">
        <f>"FRESENIUS MEDICAL CARE COLLIERVILLE               "</f>
        <v xml:space="preserve">FRESENIUS MEDICAL CARE COLLIERVILLE               </v>
      </c>
      <c r="E22358" t="str">
        <f>"COLLIERVILLE              "</f>
        <v xml:space="preserve">COLLIERVILLE              </v>
      </c>
      <c r="F22358" t="str">
        <f t="shared" si="557"/>
        <v>TN</v>
      </c>
    </row>
    <row r="22359" spans="1:6" x14ac:dyDescent="0.25">
      <c r="A22359" t="str">
        <f>"006805821"</f>
        <v>006805821</v>
      </c>
      <c r="B22359" t="str">
        <f>"1396395059"</f>
        <v>1396395059</v>
      </c>
      <c r="C22359" t="str">
        <f>"367500000X"</f>
        <v>367500000X</v>
      </c>
      <c r="D22359" t="str">
        <f>"HAGGARD                  LAURA                    "</f>
        <v xml:space="preserve">HAGGARD                  LAURA                    </v>
      </c>
      <c r="E22359" t="str">
        <f>"MEMPHIS                   "</f>
        <v xml:space="preserve">MEMPHIS                   </v>
      </c>
      <c r="F22359" t="str">
        <f t="shared" si="557"/>
        <v>TN</v>
      </c>
    </row>
    <row r="22360" spans="1:6" x14ac:dyDescent="0.25">
      <c r="A22360" t="str">
        <f>"006809394"</f>
        <v>006809394</v>
      </c>
      <c r="B22360" t="str">
        <f>"1992951651"</f>
        <v>1992951651</v>
      </c>
      <c r="C22360" t="str">
        <f>"2085R0202X"</f>
        <v>2085R0202X</v>
      </c>
      <c r="D22360" t="str">
        <f>"KIM                      EUGENE       T           "</f>
        <v xml:space="preserve">KIM                      EUGENE       T           </v>
      </c>
      <c r="E22360" t="str">
        <f>"MEMPHIS                   "</f>
        <v xml:space="preserve">MEMPHIS                   </v>
      </c>
      <c r="F22360" t="str">
        <f t="shared" si="557"/>
        <v>TN</v>
      </c>
    </row>
    <row r="22361" spans="1:6" x14ac:dyDescent="0.25">
      <c r="A22361" t="str">
        <f>"006827808"</f>
        <v>006827808</v>
      </c>
      <c r="B22361" t="str">
        <f>"1205129848"</f>
        <v>1205129848</v>
      </c>
      <c r="C22361" t="str">
        <f>"207V00000X"</f>
        <v>207V00000X</v>
      </c>
      <c r="D22361" t="str">
        <f>"KUNG NELSON              AMY          L           "</f>
        <v xml:space="preserve">KUNG NELSON              AMY          L           </v>
      </c>
      <c r="E22361" t="str">
        <f>"MEMPHIS                   "</f>
        <v xml:space="preserve">MEMPHIS                   </v>
      </c>
      <c r="F22361" t="str">
        <f t="shared" si="557"/>
        <v>TN</v>
      </c>
    </row>
    <row r="22362" spans="1:6" x14ac:dyDescent="0.25">
      <c r="A22362" t="str">
        <f>"006835002"</f>
        <v>006835002</v>
      </c>
      <c r="B22362" t="str">
        <f>"1841875911"</f>
        <v>1841875911</v>
      </c>
      <c r="C22362" t="str">
        <f>"363L00000X"</f>
        <v>363L00000X</v>
      </c>
      <c r="D22362" t="str">
        <f>"RICHARDSON               JENNA        B           "</f>
        <v xml:space="preserve">RICHARDSON               JENNA        B           </v>
      </c>
      <c r="E22362" t="str">
        <f>"MEMPHIS                   "</f>
        <v xml:space="preserve">MEMPHIS                   </v>
      </c>
      <c r="F22362" t="str">
        <f t="shared" si="557"/>
        <v>TN</v>
      </c>
    </row>
    <row r="22363" spans="1:6" x14ac:dyDescent="0.25">
      <c r="A22363" t="str">
        <f>"006852550"</f>
        <v>006852550</v>
      </c>
      <c r="B22363" t="str">
        <f>"1043213614"</f>
        <v>1043213614</v>
      </c>
      <c r="C22363" t="str">
        <f>"207U00000X"</f>
        <v>207U00000X</v>
      </c>
      <c r="D22363" t="str">
        <f>"SHULKIN                  BARRY        L           "</f>
        <v xml:space="preserve">SHULKIN                  BARRY        L           </v>
      </c>
      <c r="E22363" t="str">
        <f>"MEMPHIS                   "</f>
        <v xml:space="preserve">MEMPHIS                   </v>
      </c>
      <c r="F22363" t="str">
        <f t="shared" si="557"/>
        <v>TN</v>
      </c>
    </row>
    <row r="22364" spans="1:6" x14ac:dyDescent="0.25">
      <c r="A22364" t="str">
        <f>"006857701"</f>
        <v>006857701</v>
      </c>
      <c r="B22364" t="str">
        <f>"1669059069"</f>
        <v>1669059069</v>
      </c>
      <c r="C22364" t="str">
        <f>"363L00000X"</f>
        <v>363L00000X</v>
      </c>
      <c r="D22364" t="str">
        <f>"GLASNER                  ALLEDA                   "</f>
        <v xml:space="preserve">GLASNER                  ALLEDA                   </v>
      </c>
      <c r="E22364" t="str">
        <f>"GERMANTOWN                "</f>
        <v xml:space="preserve">GERMANTOWN                </v>
      </c>
      <c r="F22364" t="str">
        <f t="shared" si="557"/>
        <v>TN</v>
      </c>
    </row>
    <row r="22365" spans="1:6" x14ac:dyDescent="0.25">
      <c r="A22365" t="str">
        <f>"006858212"</f>
        <v>006858212</v>
      </c>
      <c r="B22365" t="str">
        <f>"1316023328"</f>
        <v>1316023328</v>
      </c>
      <c r="C22365" t="str">
        <f>"2080P0207X"</f>
        <v>2080P0207X</v>
      </c>
      <c r="D22365" t="str">
        <f>"MULROONEY                DANIEL       A           "</f>
        <v xml:space="preserve">MULROONEY                DANIEL       A           </v>
      </c>
      <c r="E22365" t="str">
        <f t="shared" ref="E22365:E22372" si="558">"MEMPHIS                   "</f>
        <v xml:space="preserve">MEMPHIS                   </v>
      </c>
      <c r="F22365" t="str">
        <f t="shared" si="557"/>
        <v>TN</v>
      </c>
    </row>
    <row r="22366" spans="1:6" x14ac:dyDescent="0.25">
      <c r="A22366" t="str">
        <f>"006878264"</f>
        <v>006878264</v>
      </c>
      <c r="B22366" t="str">
        <f>"1144617192"</f>
        <v>1144617192</v>
      </c>
      <c r="C22366" t="str">
        <f>"207R00000X"</f>
        <v>207R00000X</v>
      </c>
      <c r="D22366" t="str">
        <f>"JENKINS                  TAYLOR       D           "</f>
        <v xml:space="preserve">JENKINS                  TAYLOR       D           </v>
      </c>
      <c r="E22366" t="str">
        <f t="shared" si="558"/>
        <v xml:space="preserve">MEMPHIS                   </v>
      </c>
      <c r="F22366" t="str">
        <f t="shared" si="557"/>
        <v>TN</v>
      </c>
    </row>
    <row r="22367" spans="1:6" x14ac:dyDescent="0.25">
      <c r="A22367" t="str">
        <f>"006879598"</f>
        <v>006879598</v>
      </c>
      <c r="B22367" t="str">
        <f>"1518112887"</f>
        <v>1518112887</v>
      </c>
      <c r="C22367" t="str">
        <f>"363L00000X"</f>
        <v>363L00000X</v>
      </c>
      <c r="D22367" t="str">
        <f>"UREDA                    TONYA                    "</f>
        <v xml:space="preserve">UREDA                    TONYA                    </v>
      </c>
      <c r="E22367" t="str">
        <f t="shared" si="558"/>
        <v xml:space="preserve">MEMPHIS                   </v>
      </c>
      <c r="F22367" t="str">
        <f t="shared" si="557"/>
        <v>TN</v>
      </c>
    </row>
    <row r="22368" spans="1:6" x14ac:dyDescent="0.25">
      <c r="A22368" t="str">
        <f>"006883317"</f>
        <v>006883317</v>
      </c>
      <c r="B22368" t="str">
        <f>"1902100878"</f>
        <v>1902100878</v>
      </c>
      <c r="C22368" t="str">
        <f>"367500000X"</f>
        <v>367500000X</v>
      </c>
      <c r="D22368" t="str">
        <f>"FARRIS-CONLEY            MARY         M           "</f>
        <v xml:space="preserve">FARRIS-CONLEY            MARY         M           </v>
      </c>
      <c r="E22368" t="str">
        <f t="shared" si="558"/>
        <v xml:space="preserve">MEMPHIS                   </v>
      </c>
      <c r="F22368" t="str">
        <f t="shared" si="557"/>
        <v>TN</v>
      </c>
    </row>
    <row r="22369" spans="1:6" x14ac:dyDescent="0.25">
      <c r="A22369" t="str">
        <f>"006886291"</f>
        <v>006886291</v>
      </c>
      <c r="B22369" t="str">
        <f>"1164062071"</f>
        <v>1164062071</v>
      </c>
      <c r="C22369" t="str">
        <f>"363LF0000X"</f>
        <v>363LF0000X</v>
      </c>
      <c r="D22369" t="str">
        <f>"DAVIS                    ERMA         L           "</f>
        <v xml:space="preserve">DAVIS                    ERMA         L           </v>
      </c>
      <c r="E22369" t="str">
        <f t="shared" si="558"/>
        <v xml:space="preserve">MEMPHIS                   </v>
      </c>
      <c r="F22369" t="str">
        <f t="shared" si="557"/>
        <v>TN</v>
      </c>
    </row>
    <row r="22370" spans="1:6" x14ac:dyDescent="0.25">
      <c r="A22370" t="str">
        <f>"006903092"</f>
        <v>006903092</v>
      </c>
      <c r="B22370" t="str">
        <f>"1568823474"</f>
        <v>1568823474</v>
      </c>
      <c r="C22370" t="str">
        <f>"207L00000X"</f>
        <v>207L00000X</v>
      </c>
      <c r="D22370" t="str">
        <f>"FASBINDER                SAMUEL       C           "</f>
        <v xml:space="preserve">FASBINDER                SAMUEL       C           </v>
      </c>
      <c r="E22370" t="str">
        <f t="shared" si="558"/>
        <v xml:space="preserve">MEMPHIS                   </v>
      </c>
      <c r="F22370" t="str">
        <f t="shared" si="557"/>
        <v>TN</v>
      </c>
    </row>
    <row r="22371" spans="1:6" x14ac:dyDescent="0.25">
      <c r="A22371" t="str">
        <f>"006908370"</f>
        <v>006908370</v>
      </c>
      <c r="B22371" t="str">
        <f>"1427555432"</f>
        <v>1427555432</v>
      </c>
      <c r="C22371" t="str">
        <f>"207P00000X"</f>
        <v>207P00000X</v>
      </c>
      <c r="D22371" t="str">
        <f>"OLUSHOGA                 MICHAEL      A           "</f>
        <v xml:space="preserve">OLUSHOGA                 MICHAEL      A           </v>
      </c>
      <c r="E22371" t="str">
        <f t="shared" si="558"/>
        <v xml:space="preserve">MEMPHIS                   </v>
      </c>
      <c r="F22371" t="str">
        <f t="shared" si="557"/>
        <v>TN</v>
      </c>
    </row>
    <row r="22372" spans="1:6" x14ac:dyDescent="0.25">
      <c r="A22372" t="str">
        <f>"006922591"</f>
        <v>006922591</v>
      </c>
      <c r="B22372" t="str">
        <f>"1508468745"</f>
        <v>1508468745</v>
      </c>
      <c r="C22372" t="str">
        <f>"363L00000X"</f>
        <v>363L00000X</v>
      </c>
      <c r="D22372" t="str">
        <f>"TUCCI JONES              MARIA        K           "</f>
        <v xml:space="preserve">TUCCI JONES              MARIA        K           </v>
      </c>
      <c r="E22372" t="str">
        <f t="shared" si="558"/>
        <v xml:space="preserve">MEMPHIS                   </v>
      </c>
      <c r="F22372" t="str">
        <f t="shared" si="557"/>
        <v>TN</v>
      </c>
    </row>
    <row r="22373" spans="1:6" x14ac:dyDescent="0.25">
      <c r="A22373" t="str">
        <f>"006926726"</f>
        <v>006926726</v>
      </c>
      <c r="B22373" t="str">
        <f>"1184801367"</f>
        <v>1184801367</v>
      </c>
      <c r="C22373" t="str">
        <f>"207RC0000X"</f>
        <v>207RC0000X</v>
      </c>
      <c r="D22373" t="str">
        <f>"ABDULLAH                 JAVED                    "</f>
        <v xml:space="preserve">ABDULLAH                 JAVED                    </v>
      </c>
      <c r="E22373" t="str">
        <f>"GERMANTOWN                "</f>
        <v xml:space="preserve">GERMANTOWN                </v>
      </c>
      <c r="F22373" t="str">
        <f t="shared" si="557"/>
        <v>TN</v>
      </c>
    </row>
    <row r="22374" spans="1:6" x14ac:dyDescent="0.25">
      <c r="A22374" t="str">
        <f>"006932072"</f>
        <v>006932072</v>
      </c>
      <c r="B22374" t="str">
        <f>"1649309394"</f>
        <v>1649309394</v>
      </c>
      <c r="C22374" t="str">
        <f>"2084N0402X"</f>
        <v>2084N0402X</v>
      </c>
      <c r="D22374" t="str">
        <f>"JACK                     ROBIN        L           "</f>
        <v xml:space="preserve">JACK                     ROBIN        L           </v>
      </c>
      <c r="E22374" t="str">
        <f>"MEMPHIS                   "</f>
        <v xml:space="preserve">MEMPHIS                   </v>
      </c>
      <c r="F22374" t="str">
        <f t="shared" si="557"/>
        <v>TN</v>
      </c>
    </row>
    <row r="22375" spans="1:6" x14ac:dyDescent="0.25">
      <c r="A22375" t="str">
        <f>"006957701"</f>
        <v>006957701</v>
      </c>
      <c r="B22375" t="str">
        <f>"1447662572"</f>
        <v>1447662572</v>
      </c>
      <c r="C22375" t="str">
        <f>"2080P0207X"</f>
        <v>2080P0207X</v>
      </c>
      <c r="D22375" t="str">
        <f>"GRAETZ                   DYLAN        E           "</f>
        <v xml:space="preserve">GRAETZ                   DYLAN        E           </v>
      </c>
      <c r="E22375" t="str">
        <f>"MEMPHIS                   "</f>
        <v xml:space="preserve">MEMPHIS                   </v>
      </c>
      <c r="F22375" t="str">
        <f t="shared" si="557"/>
        <v>TN</v>
      </c>
    </row>
    <row r="22376" spans="1:6" x14ac:dyDescent="0.25">
      <c r="A22376" t="str">
        <f>"006973027"</f>
        <v>006973027</v>
      </c>
      <c r="B22376" t="str">
        <f>"1265658629"</f>
        <v>1265658629</v>
      </c>
      <c r="C22376" t="str">
        <f>"207RP1001X"</f>
        <v>207RP1001X</v>
      </c>
      <c r="D22376" t="str">
        <f>"LAW                      PETER        H           "</f>
        <v xml:space="preserve">LAW                      PETER        H           </v>
      </c>
      <c r="E22376" t="str">
        <f>"MEMPHIS                   "</f>
        <v xml:space="preserve">MEMPHIS                   </v>
      </c>
      <c r="F22376" t="str">
        <f t="shared" si="557"/>
        <v>TN</v>
      </c>
    </row>
    <row r="22377" spans="1:6" x14ac:dyDescent="0.25">
      <c r="A22377" t="str">
        <f>"006977094"</f>
        <v>006977094</v>
      </c>
      <c r="B22377" t="str">
        <f>"1164789533"</f>
        <v>1164789533</v>
      </c>
      <c r="C22377" t="str">
        <f>"207R00000X"</f>
        <v>207R00000X</v>
      </c>
      <c r="D22377" t="str">
        <f>"PULUSANI                 VAISHNAVI                "</f>
        <v xml:space="preserve">PULUSANI                 VAISHNAVI                </v>
      </c>
      <c r="E22377" t="str">
        <f>"MEMPHIS                   "</f>
        <v xml:space="preserve">MEMPHIS                   </v>
      </c>
      <c r="F22377" t="str">
        <f t="shared" si="557"/>
        <v>TN</v>
      </c>
    </row>
    <row r="22378" spans="1:6" x14ac:dyDescent="0.25">
      <c r="A22378" t="str">
        <f>"006983775"</f>
        <v>006983775</v>
      </c>
      <c r="B22378" t="str">
        <f>"1316154792"</f>
        <v>1316154792</v>
      </c>
      <c r="C22378" t="str">
        <f>"2084P0800X"</f>
        <v>2084P0800X</v>
      </c>
      <c r="D22378" t="str">
        <f>"SUN                      ZHIQIANG                 "</f>
        <v xml:space="preserve">SUN                      ZHIQIANG                 </v>
      </c>
      <c r="E22378" t="str">
        <f>"BARTLETT                  "</f>
        <v xml:space="preserve">BARTLETT                  </v>
      </c>
      <c r="F22378" t="str">
        <f t="shared" si="557"/>
        <v>TN</v>
      </c>
    </row>
    <row r="22379" spans="1:6" x14ac:dyDescent="0.25">
      <c r="A22379" t="str">
        <f>"006988007"</f>
        <v>006988007</v>
      </c>
      <c r="B22379" t="str">
        <f>"1184816829"</f>
        <v>1184816829</v>
      </c>
      <c r="C22379" t="str">
        <f>"208600000X"</f>
        <v>208600000X</v>
      </c>
      <c r="D22379" t="str">
        <f>"AHMED                    SHUJA                    "</f>
        <v xml:space="preserve">AHMED                    SHUJA                    </v>
      </c>
      <c r="E22379" t="str">
        <f t="shared" ref="E22379:E22395" si="559">"MEMPHIS                   "</f>
        <v xml:space="preserve">MEMPHIS                   </v>
      </c>
      <c r="F22379" t="str">
        <f t="shared" si="557"/>
        <v>TN</v>
      </c>
    </row>
    <row r="22380" spans="1:6" x14ac:dyDescent="0.25">
      <c r="A22380" t="str">
        <f>"007006558"</f>
        <v>007006558</v>
      </c>
      <c r="B22380" t="str">
        <f>"1134121783"</f>
        <v>1134121783</v>
      </c>
      <c r="C22380" t="str">
        <f>"208000000X"</f>
        <v>208000000X</v>
      </c>
      <c r="D22380" t="str">
        <f>"PURVIS                   JOHN         H           "</f>
        <v xml:space="preserve">PURVIS                   JOHN         H           </v>
      </c>
      <c r="E22380" t="str">
        <f t="shared" si="559"/>
        <v xml:space="preserve">MEMPHIS                   </v>
      </c>
      <c r="F22380" t="str">
        <f t="shared" si="557"/>
        <v>TN</v>
      </c>
    </row>
    <row r="22381" spans="1:6" x14ac:dyDescent="0.25">
      <c r="A22381" t="str">
        <f>"007022702"</f>
        <v>007022702</v>
      </c>
      <c r="B22381" t="str">
        <f>"1144990623"</f>
        <v>1144990623</v>
      </c>
      <c r="C22381" t="str">
        <f>"363L00000X"</f>
        <v>363L00000X</v>
      </c>
      <c r="D22381" t="str">
        <f>"SAMARIN                  MICHELLE     M           "</f>
        <v xml:space="preserve">SAMARIN                  MICHELLE     M           </v>
      </c>
      <c r="E22381" t="str">
        <f t="shared" si="559"/>
        <v xml:space="preserve">MEMPHIS                   </v>
      </c>
      <c r="F22381" t="str">
        <f t="shared" si="557"/>
        <v>TN</v>
      </c>
    </row>
    <row r="22382" spans="1:6" x14ac:dyDescent="0.25">
      <c r="A22382" t="str">
        <f>"007025583"</f>
        <v>007025583</v>
      </c>
      <c r="B22382" t="str">
        <f>"1427098508"</f>
        <v>1427098508</v>
      </c>
      <c r="C22382" t="str">
        <f>"207P00000X"</f>
        <v>207P00000X</v>
      </c>
      <c r="D22382" t="str">
        <f>"FLEENOR                  JOHN         D           "</f>
        <v xml:space="preserve">FLEENOR                  JOHN         D           </v>
      </c>
      <c r="E22382" t="str">
        <f t="shared" si="559"/>
        <v xml:space="preserve">MEMPHIS                   </v>
      </c>
      <c r="F22382" t="str">
        <f t="shared" si="557"/>
        <v>TN</v>
      </c>
    </row>
    <row r="22383" spans="1:6" x14ac:dyDescent="0.25">
      <c r="A22383" t="str">
        <f>"007030508"</f>
        <v>007030508</v>
      </c>
      <c r="B22383" t="str">
        <f>"1174866891"</f>
        <v>1174866891</v>
      </c>
      <c r="C22383" t="str">
        <f>"207RH0000X"</f>
        <v>207RH0000X</v>
      </c>
      <c r="D22383" t="str">
        <f>"NELSON                   MARQUITA                 "</f>
        <v xml:space="preserve">NELSON                   MARQUITA                 </v>
      </c>
      <c r="E22383" t="str">
        <f t="shared" si="559"/>
        <v xml:space="preserve">MEMPHIS                   </v>
      </c>
      <c r="F22383" t="str">
        <f t="shared" si="557"/>
        <v>TN</v>
      </c>
    </row>
    <row r="22384" spans="1:6" x14ac:dyDescent="0.25">
      <c r="A22384" t="str">
        <f>"007031328"</f>
        <v>007031328</v>
      </c>
      <c r="B22384" t="str">
        <f>"1427403278"</f>
        <v>1427403278</v>
      </c>
      <c r="C22384" t="str">
        <f>"2086S0122X"</f>
        <v>2086S0122X</v>
      </c>
      <c r="D22384" t="str">
        <f>"LIU                      XIANGXIA                 "</f>
        <v xml:space="preserve">LIU                      XIANGXIA                 </v>
      </c>
      <c r="E22384" t="str">
        <f t="shared" si="559"/>
        <v xml:space="preserve">MEMPHIS                   </v>
      </c>
      <c r="F22384" t="str">
        <f t="shared" si="557"/>
        <v>TN</v>
      </c>
    </row>
    <row r="22385" spans="1:6" x14ac:dyDescent="0.25">
      <c r="A22385" t="str">
        <f>"007039795"</f>
        <v>007039795</v>
      </c>
      <c r="B22385" t="str">
        <f>"1548872526"</f>
        <v>1548872526</v>
      </c>
      <c r="C22385" t="str">
        <f>"363L00000X"</f>
        <v>363L00000X</v>
      </c>
      <c r="D22385" t="str">
        <f>"BURGESS                  JULINA                   "</f>
        <v xml:space="preserve">BURGESS                  JULINA                   </v>
      </c>
      <c r="E22385" t="str">
        <f t="shared" si="559"/>
        <v xml:space="preserve">MEMPHIS                   </v>
      </c>
      <c r="F22385" t="str">
        <f t="shared" si="557"/>
        <v>TN</v>
      </c>
    </row>
    <row r="22386" spans="1:6" x14ac:dyDescent="0.25">
      <c r="A22386" t="str">
        <f>"007039841"</f>
        <v>007039841</v>
      </c>
      <c r="B22386" t="str">
        <f>"1184917544"</f>
        <v>1184917544</v>
      </c>
      <c r="C22386" t="str">
        <f>"207V00000X"</f>
        <v>207V00000X</v>
      </c>
      <c r="D22386" t="str">
        <f>"ULM                      MICHAEL                  "</f>
        <v xml:space="preserve">ULM                      MICHAEL                  </v>
      </c>
      <c r="E22386" t="str">
        <f t="shared" si="559"/>
        <v xml:space="preserve">MEMPHIS                   </v>
      </c>
      <c r="F22386" t="str">
        <f t="shared" si="557"/>
        <v>TN</v>
      </c>
    </row>
    <row r="22387" spans="1:6" x14ac:dyDescent="0.25">
      <c r="A22387" t="str">
        <f>"007050239"</f>
        <v>007050239</v>
      </c>
      <c r="B22387" t="str">
        <f>"1285080309"</f>
        <v>1285080309</v>
      </c>
      <c r="C22387" t="str">
        <f>"207P00000X"</f>
        <v>207P00000X</v>
      </c>
      <c r="D22387" t="str">
        <f>"TRIPLETT                 THOMAS       M           "</f>
        <v xml:space="preserve">TRIPLETT                 THOMAS       M           </v>
      </c>
      <c r="E22387" t="str">
        <f t="shared" si="559"/>
        <v xml:space="preserve">MEMPHIS                   </v>
      </c>
      <c r="F22387" t="str">
        <f t="shared" si="557"/>
        <v>TN</v>
      </c>
    </row>
    <row r="22388" spans="1:6" x14ac:dyDescent="0.25">
      <c r="A22388" t="str">
        <f>"007054786"</f>
        <v>007054786</v>
      </c>
      <c r="B22388" t="str">
        <f>"1629367909"</f>
        <v>1629367909</v>
      </c>
      <c r="C22388" t="str">
        <f>"207RC0200X"</f>
        <v>207RC0200X</v>
      </c>
      <c r="D22388" t="str">
        <f>"MORIN                    NICHOLAS     P           "</f>
        <v xml:space="preserve">MORIN                    NICHOLAS     P           </v>
      </c>
      <c r="E22388" t="str">
        <f t="shared" si="559"/>
        <v xml:space="preserve">MEMPHIS                   </v>
      </c>
      <c r="F22388" t="str">
        <f t="shared" si="557"/>
        <v>TN</v>
      </c>
    </row>
    <row r="22389" spans="1:6" x14ac:dyDescent="0.25">
      <c r="A22389" t="str">
        <f>"007082016"</f>
        <v>007082016</v>
      </c>
      <c r="B22389" t="str">
        <f>"1881124253"</f>
        <v>1881124253</v>
      </c>
      <c r="C22389" t="str">
        <f>"367500000X"</f>
        <v>367500000X</v>
      </c>
      <c r="D22389" t="str">
        <f>"TONAHILL                 RACHEL       E           "</f>
        <v xml:space="preserve">TONAHILL                 RACHEL       E           </v>
      </c>
      <c r="E22389" t="str">
        <f t="shared" si="559"/>
        <v xml:space="preserve">MEMPHIS                   </v>
      </c>
      <c r="F22389" t="str">
        <f t="shared" si="557"/>
        <v>TN</v>
      </c>
    </row>
    <row r="22390" spans="1:6" x14ac:dyDescent="0.25">
      <c r="A22390" t="str">
        <f>"007087764"</f>
        <v>007087764</v>
      </c>
      <c r="B22390" t="str">
        <f>"1568729747"</f>
        <v>1568729747</v>
      </c>
      <c r="C22390" t="str">
        <f>"208000000X"</f>
        <v>208000000X</v>
      </c>
      <c r="D22390" t="str">
        <f>"METZLER                  LAUREL       J           "</f>
        <v xml:space="preserve">METZLER                  LAUREL       J           </v>
      </c>
      <c r="E22390" t="str">
        <f t="shared" si="559"/>
        <v xml:space="preserve">MEMPHIS                   </v>
      </c>
      <c r="F22390" t="str">
        <f t="shared" si="557"/>
        <v>TN</v>
      </c>
    </row>
    <row r="22391" spans="1:6" x14ac:dyDescent="0.25">
      <c r="A22391" t="str">
        <f>"007125300"</f>
        <v>007125300</v>
      </c>
      <c r="B22391" t="str">
        <f>"1205050770"</f>
        <v>1205050770</v>
      </c>
      <c r="C22391" t="str">
        <f>"367500000X"</f>
        <v>367500000X</v>
      </c>
      <c r="D22391" t="str">
        <f>"JETER                    STACYE       D           "</f>
        <v xml:space="preserve">JETER                    STACYE       D           </v>
      </c>
      <c r="E22391" t="str">
        <f t="shared" si="559"/>
        <v xml:space="preserve">MEMPHIS                   </v>
      </c>
      <c r="F22391" t="str">
        <f t="shared" si="557"/>
        <v>TN</v>
      </c>
    </row>
    <row r="22392" spans="1:6" x14ac:dyDescent="0.25">
      <c r="A22392" t="str">
        <f>"007137723"</f>
        <v>007137723</v>
      </c>
      <c r="B22392" t="str">
        <f>"1407313315"</f>
        <v>1407313315</v>
      </c>
      <c r="C22392" t="str">
        <f>"367500000X"</f>
        <v>367500000X</v>
      </c>
      <c r="D22392" t="str">
        <f>"REDUS                    KRISTINE                 "</f>
        <v xml:space="preserve">REDUS                    KRISTINE                 </v>
      </c>
      <c r="E22392" t="str">
        <f t="shared" si="559"/>
        <v xml:space="preserve">MEMPHIS                   </v>
      </c>
      <c r="F22392" t="str">
        <f t="shared" si="557"/>
        <v>TN</v>
      </c>
    </row>
    <row r="22393" spans="1:6" x14ac:dyDescent="0.25">
      <c r="A22393" t="str">
        <f>"007139058"</f>
        <v>007139058</v>
      </c>
      <c r="B22393" t="str">
        <f>"1316130669"</f>
        <v>1316130669</v>
      </c>
      <c r="C22393" t="str">
        <f>"2080P0207X"</f>
        <v>2080P0207X</v>
      </c>
      <c r="D22393" t="str">
        <f>"QUDEIMAT                 AMR                      "</f>
        <v xml:space="preserve">QUDEIMAT                 AMR                      </v>
      </c>
      <c r="E22393" t="str">
        <f t="shared" si="559"/>
        <v xml:space="preserve">MEMPHIS                   </v>
      </c>
      <c r="F22393" t="str">
        <f t="shared" si="557"/>
        <v>TN</v>
      </c>
    </row>
    <row r="22394" spans="1:6" x14ac:dyDescent="0.25">
      <c r="A22394" t="str">
        <f>"007150821"</f>
        <v>007150821</v>
      </c>
      <c r="B22394" t="str">
        <f>"1730380304"</f>
        <v>1730380304</v>
      </c>
      <c r="C22394" t="str">
        <f>"208800000X"</f>
        <v>208800000X</v>
      </c>
      <c r="D22394" t="str">
        <f>"LEDBETTER                CHRISTOPHER  K           "</f>
        <v xml:space="preserve">LEDBETTER                CHRISTOPHER  K           </v>
      </c>
      <c r="E22394" t="str">
        <f t="shared" si="559"/>
        <v xml:space="preserve">MEMPHIS                   </v>
      </c>
      <c r="F22394" t="str">
        <f t="shared" si="557"/>
        <v>TN</v>
      </c>
    </row>
    <row r="22395" spans="1:6" x14ac:dyDescent="0.25">
      <c r="A22395" t="str">
        <f>"007154503"</f>
        <v>007154503</v>
      </c>
      <c r="B22395" t="str">
        <f>"1427009190"</f>
        <v>1427009190</v>
      </c>
      <c r="C22395" t="str">
        <f>"367500000X"</f>
        <v>367500000X</v>
      </c>
      <c r="D22395" t="str">
        <f>"CARTER                   JULIAN       F           "</f>
        <v xml:space="preserve">CARTER                   JULIAN       F           </v>
      </c>
      <c r="E22395" t="str">
        <f t="shared" si="559"/>
        <v xml:space="preserve">MEMPHIS                   </v>
      </c>
      <c r="F22395" t="str">
        <f t="shared" si="557"/>
        <v>TN</v>
      </c>
    </row>
    <row r="22396" spans="1:6" x14ac:dyDescent="0.25">
      <c r="A22396" t="str">
        <f>"007173266"</f>
        <v>007173266</v>
      </c>
      <c r="B22396" t="str">
        <f>"1780756924"</f>
        <v>1780756924</v>
      </c>
      <c r="C22396" t="str">
        <f>"363L00000X"</f>
        <v>363L00000X</v>
      </c>
      <c r="D22396" t="str">
        <f>"FRATTA                   AGNES        C           "</f>
        <v xml:space="preserve">FRATTA                   AGNES        C           </v>
      </c>
      <c r="E22396" t="str">
        <f>"GERMANTOWN                "</f>
        <v xml:space="preserve">GERMANTOWN                </v>
      </c>
      <c r="F22396" t="str">
        <f t="shared" si="557"/>
        <v>TN</v>
      </c>
    </row>
    <row r="22397" spans="1:6" x14ac:dyDescent="0.25">
      <c r="A22397" t="str">
        <f>"007176878"</f>
        <v>007176878</v>
      </c>
      <c r="B22397" t="str">
        <f>"1407420854"</f>
        <v>1407420854</v>
      </c>
      <c r="C22397" t="str">
        <f>"363L00000X"</f>
        <v>363L00000X</v>
      </c>
      <c r="D22397" t="str">
        <f>"EL-HAMARNA               OMAR         I           "</f>
        <v xml:space="preserve">EL-HAMARNA               OMAR         I           </v>
      </c>
      <c r="E22397" t="str">
        <f t="shared" ref="E22397:E22408" si="560">"MEMPHIS                   "</f>
        <v xml:space="preserve">MEMPHIS                   </v>
      </c>
      <c r="F22397" t="str">
        <f t="shared" si="557"/>
        <v>TN</v>
      </c>
    </row>
    <row r="22398" spans="1:6" x14ac:dyDescent="0.25">
      <c r="A22398" t="str">
        <f>"007180308"</f>
        <v>007180308</v>
      </c>
      <c r="B22398" t="str">
        <f>"1881855930"</f>
        <v>1881855930</v>
      </c>
      <c r="C22398" t="str">
        <f>"208000000X"</f>
        <v>208000000X</v>
      </c>
      <c r="D22398" t="str">
        <f>"HENDRICKSON              BENJAMIN     S           "</f>
        <v xml:space="preserve">HENDRICKSON              BENJAMIN     S           </v>
      </c>
      <c r="E22398" t="str">
        <f t="shared" si="560"/>
        <v xml:space="preserve">MEMPHIS                   </v>
      </c>
      <c r="F22398" t="str">
        <f t="shared" ref="F22398:F22461" si="561">"TN"</f>
        <v>TN</v>
      </c>
    </row>
    <row r="22399" spans="1:6" x14ac:dyDescent="0.25">
      <c r="A22399" t="str">
        <f>"007183584"</f>
        <v>007183584</v>
      </c>
      <c r="B22399" t="str">
        <f>"1851362396"</f>
        <v>1851362396</v>
      </c>
      <c r="C22399" t="str">
        <f>"2085R0202X"</f>
        <v>2085R0202X</v>
      </c>
      <c r="D22399" t="str">
        <f>"BENNETT                  JEFFREY      A           "</f>
        <v xml:space="preserve">BENNETT                  JEFFREY      A           </v>
      </c>
      <c r="E22399" t="str">
        <f t="shared" si="560"/>
        <v xml:space="preserve">MEMPHIS                   </v>
      </c>
      <c r="F22399" t="str">
        <f t="shared" si="561"/>
        <v>TN</v>
      </c>
    </row>
    <row r="22400" spans="1:6" x14ac:dyDescent="0.25">
      <c r="A22400" t="str">
        <f>"007207308"</f>
        <v>007207308</v>
      </c>
      <c r="B22400" t="str">
        <f>"1982087771"</f>
        <v>1982087771</v>
      </c>
      <c r="C22400" t="str">
        <f>"2080P0207X"</f>
        <v>2080P0207X</v>
      </c>
      <c r="D22400" t="str">
        <f>"PERSAUD                  YOGINDRA     P           "</f>
        <v xml:space="preserve">PERSAUD                  YOGINDRA     P           </v>
      </c>
      <c r="E22400" t="str">
        <f t="shared" si="560"/>
        <v xml:space="preserve">MEMPHIS                   </v>
      </c>
      <c r="F22400" t="str">
        <f t="shared" si="561"/>
        <v>TN</v>
      </c>
    </row>
    <row r="22401" spans="1:6" x14ac:dyDescent="0.25">
      <c r="A22401" t="str">
        <f>"007224079"</f>
        <v>007224079</v>
      </c>
      <c r="B22401" t="str">
        <f>"1659337855"</f>
        <v>1659337855</v>
      </c>
      <c r="C22401" t="str">
        <f>"2084N0402X"</f>
        <v>2084N0402X</v>
      </c>
      <c r="D22401" t="str">
        <f>"WHELESS                  JAMES        W           "</f>
        <v xml:space="preserve">WHELESS                  JAMES        W           </v>
      </c>
      <c r="E22401" t="str">
        <f t="shared" si="560"/>
        <v xml:space="preserve">MEMPHIS                   </v>
      </c>
      <c r="F22401" t="str">
        <f t="shared" si="561"/>
        <v>TN</v>
      </c>
    </row>
    <row r="22402" spans="1:6" x14ac:dyDescent="0.25">
      <c r="A22402" t="str">
        <f>"007227283"</f>
        <v>007227283</v>
      </c>
      <c r="B22402" t="str">
        <f>"1265811590"</f>
        <v>1265811590</v>
      </c>
      <c r="C22402" t="str">
        <f>"208000000X"</f>
        <v>208000000X</v>
      </c>
      <c r="D22402" t="str">
        <f>"GAMBLE                   ELIZABETH    C           "</f>
        <v xml:space="preserve">GAMBLE                   ELIZABETH    C           </v>
      </c>
      <c r="E22402" t="str">
        <f t="shared" si="560"/>
        <v xml:space="preserve">MEMPHIS                   </v>
      </c>
      <c r="F22402" t="str">
        <f t="shared" si="561"/>
        <v>TN</v>
      </c>
    </row>
    <row r="22403" spans="1:6" x14ac:dyDescent="0.25">
      <c r="A22403" t="str">
        <f>"007227592"</f>
        <v>007227592</v>
      </c>
      <c r="B22403" t="str">
        <f>"1700822384"</f>
        <v>1700822384</v>
      </c>
      <c r="C22403" t="str">
        <f>"207R00000X"</f>
        <v>207R00000X</v>
      </c>
      <c r="D22403" t="str">
        <f>"NAIR                     SATHEESH                 "</f>
        <v xml:space="preserve">NAIR                     SATHEESH                 </v>
      </c>
      <c r="E22403" t="str">
        <f t="shared" si="560"/>
        <v xml:space="preserve">MEMPHIS                   </v>
      </c>
      <c r="F22403" t="str">
        <f t="shared" si="561"/>
        <v>TN</v>
      </c>
    </row>
    <row r="22404" spans="1:6" x14ac:dyDescent="0.25">
      <c r="A22404" t="str">
        <f>"007227763"</f>
        <v>007227763</v>
      </c>
      <c r="B22404" t="str">
        <f>"1831411396"</f>
        <v>1831411396</v>
      </c>
      <c r="C22404" t="str">
        <f>"367500000X"</f>
        <v>367500000X</v>
      </c>
      <c r="D22404" t="str">
        <f>"SIMS                     MICHAEL      W           "</f>
        <v xml:space="preserve">SIMS                     MICHAEL      W           </v>
      </c>
      <c r="E22404" t="str">
        <f t="shared" si="560"/>
        <v xml:space="preserve">MEMPHIS                   </v>
      </c>
      <c r="F22404" t="str">
        <f t="shared" si="561"/>
        <v>TN</v>
      </c>
    </row>
    <row r="22405" spans="1:6" x14ac:dyDescent="0.25">
      <c r="A22405" t="str">
        <f>"007238763"</f>
        <v>007238763</v>
      </c>
      <c r="B22405" t="str">
        <f>"1033397880"</f>
        <v>1033397880</v>
      </c>
      <c r="C22405" t="str">
        <f>"367A00000X"</f>
        <v>367A00000X</v>
      </c>
      <c r="D22405" t="str">
        <f>"MADEA                    MEGHAN       M           "</f>
        <v xml:space="preserve">MADEA                    MEGHAN       M           </v>
      </c>
      <c r="E22405" t="str">
        <f t="shared" si="560"/>
        <v xml:space="preserve">MEMPHIS                   </v>
      </c>
      <c r="F22405" t="str">
        <f t="shared" si="561"/>
        <v>TN</v>
      </c>
    </row>
    <row r="22406" spans="1:6" x14ac:dyDescent="0.25">
      <c r="A22406" t="str">
        <f>"007256315"</f>
        <v>007256315</v>
      </c>
      <c r="B22406" t="str">
        <f>"1528451705"</f>
        <v>1528451705</v>
      </c>
      <c r="C22406" t="str">
        <f>"363L00000X"</f>
        <v>363L00000X</v>
      </c>
      <c r="D22406" t="str">
        <f>"FRIEDERS                 JILL         A           "</f>
        <v xml:space="preserve">FRIEDERS                 JILL         A           </v>
      </c>
      <c r="E22406" t="str">
        <f t="shared" si="560"/>
        <v xml:space="preserve">MEMPHIS                   </v>
      </c>
      <c r="F22406" t="str">
        <f t="shared" si="561"/>
        <v>TN</v>
      </c>
    </row>
    <row r="22407" spans="1:6" x14ac:dyDescent="0.25">
      <c r="A22407" t="str">
        <f>"007256732"</f>
        <v>007256732</v>
      </c>
      <c r="B22407" t="str">
        <f>"1639463011"</f>
        <v>1639463011</v>
      </c>
      <c r="C22407" t="str">
        <f>"208000000X"</f>
        <v>208000000X</v>
      </c>
      <c r="D22407" t="str">
        <f>"GOIFFON                  AMANDA                   "</f>
        <v xml:space="preserve">GOIFFON                  AMANDA                   </v>
      </c>
      <c r="E22407" t="str">
        <f t="shared" si="560"/>
        <v xml:space="preserve">MEMPHIS                   </v>
      </c>
      <c r="F22407" t="str">
        <f t="shared" si="561"/>
        <v>TN</v>
      </c>
    </row>
    <row r="22408" spans="1:6" x14ac:dyDescent="0.25">
      <c r="A22408" t="str">
        <f>"007279208"</f>
        <v>007279208</v>
      </c>
      <c r="B22408" t="str">
        <f>"1467744664"</f>
        <v>1467744664</v>
      </c>
      <c r="C22408" t="str">
        <f>"207ZP0102X"</f>
        <v>207ZP0102X</v>
      </c>
      <c r="D22408" t="str">
        <f>"LIU                      YEN CHUN                 "</f>
        <v xml:space="preserve">LIU                      YEN CHUN                 </v>
      </c>
      <c r="E22408" t="str">
        <f t="shared" si="560"/>
        <v xml:space="preserve">MEMPHIS                   </v>
      </c>
      <c r="F22408" t="str">
        <f t="shared" si="561"/>
        <v>TN</v>
      </c>
    </row>
    <row r="22409" spans="1:6" x14ac:dyDescent="0.25">
      <c r="A22409" t="str">
        <f>"007286202"</f>
        <v>007286202</v>
      </c>
      <c r="B22409" t="str">
        <f>"1245501436"</f>
        <v>1245501436</v>
      </c>
      <c r="C22409" t="str">
        <f>"207X00000X"</f>
        <v>207X00000X</v>
      </c>
      <c r="D22409" t="str">
        <f>"BERNHOLT                 DAVID        L           "</f>
        <v xml:space="preserve">BERNHOLT                 DAVID        L           </v>
      </c>
      <c r="E22409" t="str">
        <f>"GERMANTOWN                "</f>
        <v xml:space="preserve">GERMANTOWN                </v>
      </c>
      <c r="F22409" t="str">
        <f t="shared" si="561"/>
        <v>TN</v>
      </c>
    </row>
    <row r="22410" spans="1:6" x14ac:dyDescent="0.25">
      <c r="A22410" t="str">
        <f>"007289791"</f>
        <v>007289791</v>
      </c>
      <c r="B22410" t="str">
        <f>"1194710160"</f>
        <v>1194710160</v>
      </c>
      <c r="C22410" t="str">
        <f>"207R00000X"</f>
        <v>207R00000X</v>
      </c>
      <c r="D22410" t="str">
        <f>"MALONE                   PATRICK                  "</f>
        <v xml:space="preserve">MALONE                   PATRICK                  </v>
      </c>
      <c r="E22410" t="str">
        <f>"MEMPHIS                   "</f>
        <v xml:space="preserve">MEMPHIS                   </v>
      </c>
      <c r="F22410" t="str">
        <f t="shared" si="561"/>
        <v>TN</v>
      </c>
    </row>
    <row r="22411" spans="1:6" x14ac:dyDescent="0.25">
      <c r="A22411" t="str">
        <f>"007302368"</f>
        <v>007302368</v>
      </c>
      <c r="B22411" t="str">
        <f>"1760775381"</f>
        <v>1760775381</v>
      </c>
      <c r="C22411" t="str">
        <f>"208000000X"</f>
        <v>208000000X</v>
      </c>
      <c r="D22411" t="str">
        <f>"MECHE                    KATHERINE    M           "</f>
        <v xml:space="preserve">MECHE                    KATHERINE    M           </v>
      </c>
      <c r="E22411" t="str">
        <f>"MEMPHIS                   "</f>
        <v xml:space="preserve">MEMPHIS                   </v>
      </c>
      <c r="F22411" t="str">
        <f t="shared" si="561"/>
        <v>TN</v>
      </c>
    </row>
    <row r="22412" spans="1:6" x14ac:dyDescent="0.25">
      <c r="A22412" t="str">
        <f>"007337536"</f>
        <v>007337536</v>
      </c>
      <c r="B22412" t="str">
        <f>"1861086654"</f>
        <v>1861086654</v>
      </c>
      <c r="C22412" t="str">
        <f>"363L00000X"</f>
        <v>363L00000X</v>
      </c>
      <c r="D22412" t="str">
        <f>"SHELBY                   MELISSA      D           "</f>
        <v xml:space="preserve">SHELBY                   MELISSA      D           </v>
      </c>
      <c r="E22412" t="str">
        <f>"MEMPHIS                   "</f>
        <v xml:space="preserve">MEMPHIS                   </v>
      </c>
      <c r="F22412" t="str">
        <f t="shared" si="561"/>
        <v>TN</v>
      </c>
    </row>
    <row r="22413" spans="1:6" x14ac:dyDescent="0.25">
      <c r="A22413" t="str">
        <f>"007352869"</f>
        <v>007352869</v>
      </c>
      <c r="B22413" t="str">
        <f>"1891911954"</f>
        <v>1891911954</v>
      </c>
      <c r="C22413" t="str">
        <f>"2084N0400X"</f>
        <v>2084N0400X</v>
      </c>
      <c r="D22413" t="str">
        <f>"PETRINJAE-NENADIC        RADA                     "</f>
        <v xml:space="preserve">PETRINJAE-NENADIC        RADA                     </v>
      </c>
      <c r="E22413" t="str">
        <f>"MEMPHIS                   "</f>
        <v xml:space="preserve">MEMPHIS                   </v>
      </c>
      <c r="F22413" t="str">
        <f t="shared" si="561"/>
        <v>TN</v>
      </c>
    </row>
    <row r="22414" spans="1:6" x14ac:dyDescent="0.25">
      <c r="A22414" t="str">
        <f>"007355041"</f>
        <v>007355041</v>
      </c>
      <c r="B22414" t="str">
        <f>"1821575069"</f>
        <v>1821575069</v>
      </c>
      <c r="C22414" t="str">
        <f>"207RC0000X"</f>
        <v>207RC0000X</v>
      </c>
      <c r="D22414" t="str">
        <f>"AL-SABEQ                 BASIL        G           "</f>
        <v xml:space="preserve">AL-SABEQ                 BASIL        G           </v>
      </c>
      <c r="E22414" t="str">
        <f>"MEMPHIS                   "</f>
        <v xml:space="preserve">MEMPHIS                   </v>
      </c>
      <c r="F22414" t="str">
        <f t="shared" si="561"/>
        <v>TN</v>
      </c>
    </row>
    <row r="22415" spans="1:6" x14ac:dyDescent="0.25">
      <c r="A22415" t="str">
        <f>"007355213"</f>
        <v>007355213</v>
      </c>
      <c r="B22415" t="str">
        <f>"1114244001"</f>
        <v>1114244001</v>
      </c>
      <c r="C22415" t="str">
        <f>"2085R0202X"</f>
        <v>2085R0202X</v>
      </c>
      <c r="D22415" t="str">
        <f>"CRAVEN                   DANIEL                   "</f>
        <v xml:space="preserve">CRAVEN                   DANIEL                   </v>
      </c>
      <c r="E22415" t="str">
        <f>"GERMANTOWN                "</f>
        <v xml:space="preserve">GERMANTOWN                </v>
      </c>
      <c r="F22415" t="str">
        <f t="shared" si="561"/>
        <v>TN</v>
      </c>
    </row>
    <row r="22416" spans="1:6" x14ac:dyDescent="0.25">
      <c r="A22416" t="str">
        <f>"007358758"</f>
        <v>007358758</v>
      </c>
      <c r="B22416" t="str">
        <f>"1205279270"</f>
        <v>1205279270</v>
      </c>
      <c r="C22416" t="str">
        <f>"207ZP0102X"</f>
        <v>207ZP0102X</v>
      </c>
      <c r="D22416" t="str">
        <f>"HASAN                    ZEINAB       A           "</f>
        <v xml:space="preserve">HASAN                    ZEINAB       A           </v>
      </c>
      <c r="E22416" t="str">
        <f>"MEMPHIS                   "</f>
        <v xml:space="preserve">MEMPHIS                   </v>
      </c>
      <c r="F22416" t="str">
        <f t="shared" si="561"/>
        <v>TN</v>
      </c>
    </row>
    <row r="22417" spans="1:6" x14ac:dyDescent="0.25">
      <c r="A22417" t="str">
        <f>"007359894"</f>
        <v>007359894</v>
      </c>
      <c r="B22417" t="str">
        <f>"1235164286"</f>
        <v>1235164286</v>
      </c>
      <c r="C22417" t="str">
        <f>"208800000X"</f>
        <v>208800000X</v>
      </c>
      <c r="D22417" t="str">
        <f>"GUBIN                    DAVID        A           "</f>
        <v xml:space="preserve">GUBIN                    DAVID        A           </v>
      </c>
      <c r="E22417" t="str">
        <f>"MEMPHIS                   "</f>
        <v xml:space="preserve">MEMPHIS                   </v>
      </c>
      <c r="F22417" t="str">
        <f t="shared" si="561"/>
        <v>TN</v>
      </c>
    </row>
    <row r="22418" spans="1:6" x14ac:dyDescent="0.25">
      <c r="A22418" t="str">
        <f>"007371011"</f>
        <v>007371011</v>
      </c>
      <c r="B22418" t="str">
        <f>"1033552492"</f>
        <v>1033552492</v>
      </c>
      <c r="C22418" t="str">
        <f>"207RE0101X"</f>
        <v>207RE0101X</v>
      </c>
      <c r="D22418" t="str">
        <f>"JAMES                    DEIRDRE                  "</f>
        <v xml:space="preserve">JAMES                    DEIRDRE                  </v>
      </c>
      <c r="E22418" t="str">
        <f>"MEMPHIS                   "</f>
        <v xml:space="preserve">MEMPHIS                   </v>
      </c>
      <c r="F22418" t="str">
        <f t="shared" si="561"/>
        <v>TN</v>
      </c>
    </row>
    <row r="22419" spans="1:6" x14ac:dyDescent="0.25">
      <c r="A22419" t="str">
        <f>"007402846"</f>
        <v>007402846</v>
      </c>
      <c r="B22419" t="str">
        <f>"1427444009"</f>
        <v>1427444009</v>
      </c>
      <c r="C22419" t="str">
        <f>"207X00000X"</f>
        <v>207X00000X</v>
      </c>
      <c r="D22419" t="str">
        <f>"RIDER                    CARSON       M           "</f>
        <v xml:space="preserve">RIDER                    CARSON       M           </v>
      </c>
      <c r="E22419" t="str">
        <f>"GERMANTOWN                "</f>
        <v xml:space="preserve">GERMANTOWN                </v>
      </c>
      <c r="F22419" t="str">
        <f t="shared" si="561"/>
        <v>TN</v>
      </c>
    </row>
    <row r="22420" spans="1:6" x14ac:dyDescent="0.25">
      <c r="A22420" t="str">
        <f>"007405825"</f>
        <v>007405825</v>
      </c>
      <c r="B22420" t="str">
        <f>"1467043026"</f>
        <v>1467043026</v>
      </c>
      <c r="C22420" t="str">
        <f>"363L00000X"</f>
        <v>363L00000X</v>
      </c>
      <c r="D22420" t="str">
        <f>"DILLARD                  FELICIA      M           "</f>
        <v xml:space="preserve">DILLARD                  FELICIA      M           </v>
      </c>
      <c r="E22420" t="str">
        <f>"MEMPHIS                   "</f>
        <v xml:space="preserve">MEMPHIS                   </v>
      </c>
      <c r="F22420" t="str">
        <f t="shared" si="561"/>
        <v>TN</v>
      </c>
    </row>
    <row r="22421" spans="1:6" x14ac:dyDescent="0.25">
      <c r="A22421" t="str">
        <f>"007407302"</f>
        <v>007407302</v>
      </c>
      <c r="B22421" t="str">
        <f>"1487867487"</f>
        <v>1487867487</v>
      </c>
      <c r="C22421" t="str">
        <f>"208000000X"</f>
        <v>208000000X</v>
      </c>
      <c r="D22421" t="str">
        <f>"WALTERS                  CYRILYN                  "</f>
        <v xml:space="preserve">WALTERS                  CYRILYN                  </v>
      </c>
      <c r="E22421" t="str">
        <f>"MEMPHIS                   "</f>
        <v xml:space="preserve">MEMPHIS                   </v>
      </c>
      <c r="F22421" t="str">
        <f t="shared" si="561"/>
        <v>TN</v>
      </c>
    </row>
    <row r="22422" spans="1:6" x14ac:dyDescent="0.25">
      <c r="A22422" t="str">
        <f>"007407724"</f>
        <v>007407724</v>
      </c>
      <c r="B22422" t="str">
        <f>"1962778399"</f>
        <v>1962778399</v>
      </c>
      <c r="C22422" t="str">
        <f>"363A00000X"</f>
        <v>363A00000X</v>
      </c>
      <c r="D22422" t="str">
        <f>"RUIZ                     BETH         M           "</f>
        <v xml:space="preserve">RUIZ                     BETH         M           </v>
      </c>
      <c r="E22422" t="str">
        <f>"MEMPHIS                   "</f>
        <v xml:space="preserve">MEMPHIS                   </v>
      </c>
      <c r="F22422" t="str">
        <f t="shared" si="561"/>
        <v>TN</v>
      </c>
    </row>
    <row r="22423" spans="1:6" x14ac:dyDescent="0.25">
      <c r="A22423" t="str">
        <f>"007422298"</f>
        <v>007422298</v>
      </c>
      <c r="B22423" t="str">
        <f>"1841370475"</f>
        <v>1841370475</v>
      </c>
      <c r="C22423" t="str">
        <f>"207RC0000X"</f>
        <v>207RC0000X</v>
      </c>
      <c r="D22423" t="str">
        <f>"ZAFARULLAH               HARIS                    "</f>
        <v xml:space="preserve">ZAFARULLAH               HARIS                    </v>
      </c>
      <c r="E22423" t="str">
        <f>"GERMANTOWN                "</f>
        <v xml:space="preserve">GERMANTOWN                </v>
      </c>
      <c r="F22423" t="str">
        <f t="shared" si="561"/>
        <v>TN</v>
      </c>
    </row>
    <row r="22424" spans="1:6" x14ac:dyDescent="0.25">
      <c r="A22424" t="str">
        <f>"007428764"</f>
        <v>007428764</v>
      </c>
      <c r="B22424" t="str">
        <f>"1992022040"</f>
        <v>1992022040</v>
      </c>
      <c r="C22424" t="str">
        <f>"208000000X"</f>
        <v>208000000X</v>
      </c>
      <c r="D22424" t="str">
        <f>"FULMER                   LAUREN                   "</f>
        <v xml:space="preserve">FULMER                   LAUREN                   </v>
      </c>
      <c r="E22424" t="str">
        <f>"GERMANTOWN                "</f>
        <v xml:space="preserve">GERMANTOWN                </v>
      </c>
      <c r="F22424" t="str">
        <f t="shared" si="561"/>
        <v>TN</v>
      </c>
    </row>
    <row r="22425" spans="1:6" x14ac:dyDescent="0.25">
      <c r="A22425" t="str">
        <f>"007428794"</f>
        <v>007428794</v>
      </c>
      <c r="B22425" t="str">
        <f>"1528679651"</f>
        <v>1528679651</v>
      </c>
      <c r="C22425" t="str">
        <f>"363L00000X"</f>
        <v>363L00000X</v>
      </c>
      <c r="D22425" t="str">
        <f>"LELAND                   HEATHER                  "</f>
        <v xml:space="preserve">LELAND                   HEATHER                  </v>
      </c>
      <c r="E22425" t="str">
        <f t="shared" ref="E22425:E22434" si="562">"MEMPHIS                   "</f>
        <v xml:space="preserve">MEMPHIS                   </v>
      </c>
      <c r="F22425" t="str">
        <f t="shared" si="561"/>
        <v>TN</v>
      </c>
    </row>
    <row r="22426" spans="1:6" x14ac:dyDescent="0.25">
      <c r="A22426" t="str">
        <f>"007455385"</f>
        <v>007455385</v>
      </c>
      <c r="B22426" t="str">
        <f>"1548653686"</f>
        <v>1548653686</v>
      </c>
      <c r="C22426" t="str">
        <f>"363L00000X"</f>
        <v>363L00000X</v>
      </c>
      <c r="D22426" t="str">
        <f>"SHOTWELL                 CRYSTAL      L           "</f>
        <v xml:space="preserve">SHOTWELL                 CRYSTAL      L           </v>
      </c>
      <c r="E22426" t="str">
        <f t="shared" si="562"/>
        <v xml:space="preserve">MEMPHIS                   </v>
      </c>
      <c r="F22426" t="str">
        <f t="shared" si="561"/>
        <v>TN</v>
      </c>
    </row>
    <row r="22427" spans="1:6" x14ac:dyDescent="0.25">
      <c r="A22427" t="str">
        <f>"007458898"</f>
        <v>007458898</v>
      </c>
      <c r="B22427" t="str">
        <f>"1174866396"</f>
        <v>1174866396</v>
      </c>
      <c r="C22427" t="str">
        <f>"208600000X"</f>
        <v>208600000X</v>
      </c>
      <c r="D22427" t="str">
        <f>"WRIGHT                   JESSE        P           "</f>
        <v xml:space="preserve">WRIGHT                   JESSE        P           </v>
      </c>
      <c r="E22427" t="str">
        <f t="shared" si="562"/>
        <v xml:space="preserve">MEMPHIS                   </v>
      </c>
      <c r="F22427" t="str">
        <f t="shared" si="561"/>
        <v>TN</v>
      </c>
    </row>
    <row r="22428" spans="1:6" x14ac:dyDescent="0.25">
      <c r="A22428" t="str">
        <f>"007483895"</f>
        <v>007483895</v>
      </c>
      <c r="B22428" t="str">
        <f>"1164802740"</f>
        <v>1164802740</v>
      </c>
      <c r="C22428" t="str">
        <f>"2080P0207X"</f>
        <v>2080P0207X</v>
      </c>
      <c r="D22428" t="str">
        <f>"WANG'ONDU                RUTH                     "</f>
        <v xml:space="preserve">WANG'ONDU                RUTH                     </v>
      </c>
      <c r="E22428" t="str">
        <f t="shared" si="562"/>
        <v xml:space="preserve">MEMPHIS                   </v>
      </c>
      <c r="F22428" t="str">
        <f t="shared" si="561"/>
        <v>TN</v>
      </c>
    </row>
    <row r="22429" spans="1:6" x14ac:dyDescent="0.25">
      <c r="A22429" t="str">
        <f>"007485557"</f>
        <v>007485557</v>
      </c>
      <c r="B22429" t="str">
        <f>"1336127968"</f>
        <v>1336127968</v>
      </c>
      <c r="C22429" t="str">
        <f>"207T00000X"</f>
        <v>207T00000X</v>
      </c>
      <c r="D22429" t="str">
        <f>"KLIMO                    PAUL                     "</f>
        <v xml:space="preserve">KLIMO                    PAUL                     </v>
      </c>
      <c r="E22429" t="str">
        <f t="shared" si="562"/>
        <v xml:space="preserve">MEMPHIS                   </v>
      </c>
      <c r="F22429" t="str">
        <f t="shared" si="561"/>
        <v>TN</v>
      </c>
    </row>
    <row r="22430" spans="1:6" x14ac:dyDescent="0.25">
      <c r="A22430" t="str">
        <f>"007507017"</f>
        <v>007507017</v>
      </c>
      <c r="B22430" t="str">
        <f>"1548689482"</f>
        <v>1548689482</v>
      </c>
      <c r="C22430" t="str">
        <f>"207T00000X"</f>
        <v>207T00000X</v>
      </c>
      <c r="D22430" t="str">
        <f>"BOUCHER                  ANDREW       B           "</f>
        <v xml:space="preserve">BOUCHER                  ANDREW       B           </v>
      </c>
      <c r="E22430" t="str">
        <f t="shared" si="562"/>
        <v xml:space="preserve">MEMPHIS                   </v>
      </c>
      <c r="F22430" t="str">
        <f t="shared" si="561"/>
        <v>TN</v>
      </c>
    </row>
    <row r="22431" spans="1:6" x14ac:dyDescent="0.25">
      <c r="A22431" t="str">
        <f>"007524896"</f>
        <v>007524896</v>
      </c>
      <c r="B22431" t="str">
        <f>"1780868620"</f>
        <v>1780868620</v>
      </c>
      <c r="C22431" t="str">
        <f>"2080P0207X"</f>
        <v>2080P0207X</v>
      </c>
      <c r="D22431" t="str">
        <f>"FRIEDRICH                PAOLA        M           "</f>
        <v xml:space="preserve">FRIEDRICH                PAOLA        M           </v>
      </c>
      <c r="E22431" t="str">
        <f t="shared" si="562"/>
        <v xml:space="preserve">MEMPHIS                   </v>
      </c>
      <c r="F22431" t="str">
        <f t="shared" si="561"/>
        <v>TN</v>
      </c>
    </row>
    <row r="22432" spans="1:6" x14ac:dyDescent="0.25">
      <c r="A22432" t="str">
        <f>"007526709"</f>
        <v>007526709</v>
      </c>
      <c r="B22432" t="str">
        <f>"1326434465"</f>
        <v>1326434465</v>
      </c>
      <c r="C22432" t="str">
        <f>"2080P0208X"</f>
        <v>2080P0208X</v>
      </c>
      <c r="D22432" t="str">
        <f>"GREEN                    AMANDA       M           "</f>
        <v xml:space="preserve">GREEN                    AMANDA       M           </v>
      </c>
      <c r="E22432" t="str">
        <f t="shared" si="562"/>
        <v xml:space="preserve">MEMPHIS                   </v>
      </c>
      <c r="F22432" t="str">
        <f t="shared" si="561"/>
        <v>TN</v>
      </c>
    </row>
    <row r="22433" spans="1:6" x14ac:dyDescent="0.25">
      <c r="A22433" t="str">
        <f>"007533229"</f>
        <v>007533229</v>
      </c>
      <c r="B22433" t="str">
        <f>"1790712099"</f>
        <v>1790712099</v>
      </c>
      <c r="C22433" t="str">
        <f>"207V00000X"</f>
        <v>207V00000X</v>
      </c>
      <c r="D22433" t="str">
        <f>"MANN                     ELIZABETH    K           "</f>
        <v xml:space="preserve">MANN                     ELIZABETH    K           </v>
      </c>
      <c r="E22433" t="str">
        <f t="shared" si="562"/>
        <v xml:space="preserve">MEMPHIS                   </v>
      </c>
      <c r="F22433" t="str">
        <f t="shared" si="561"/>
        <v>TN</v>
      </c>
    </row>
    <row r="22434" spans="1:6" x14ac:dyDescent="0.25">
      <c r="A22434" t="str">
        <f>"007536560"</f>
        <v>007536560</v>
      </c>
      <c r="B22434" t="str">
        <f>"1306937438"</f>
        <v>1306937438</v>
      </c>
      <c r="C22434" t="str">
        <f>"207RN0300X"</f>
        <v>207RN0300X</v>
      </c>
      <c r="D22434" t="str">
        <f>"PULUSANI                 DEEPIKA      R           "</f>
        <v xml:space="preserve">PULUSANI                 DEEPIKA      R           </v>
      </c>
      <c r="E22434" t="str">
        <f t="shared" si="562"/>
        <v xml:space="preserve">MEMPHIS                   </v>
      </c>
      <c r="F22434" t="str">
        <f t="shared" si="561"/>
        <v>TN</v>
      </c>
    </row>
    <row r="22435" spans="1:6" x14ac:dyDescent="0.25">
      <c r="A22435" t="str">
        <f>"007558585"</f>
        <v>007558585</v>
      </c>
      <c r="B22435" t="str">
        <f>"1255516712"</f>
        <v>1255516712</v>
      </c>
      <c r="C22435" t="str">
        <f>"363L00000X"</f>
        <v>363L00000X</v>
      </c>
      <c r="D22435" t="str">
        <f>"WINFREY                  YOLANDA      M           "</f>
        <v xml:space="preserve">WINFREY                  YOLANDA      M           </v>
      </c>
      <c r="E22435" t="str">
        <f>"GERMANTOWN                "</f>
        <v xml:space="preserve">GERMANTOWN                </v>
      </c>
      <c r="F22435" t="str">
        <f t="shared" si="561"/>
        <v>TN</v>
      </c>
    </row>
    <row r="22436" spans="1:6" x14ac:dyDescent="0.25">
      <c r="A22436" t="str">
        <f>"007570740"</f>
        <v>007570740</v>
      </c>
      <c r="B22436" t="str">
        <f>"1871933135"</f>
        <v>1871933135</v>
      </c>
      <c r="C22436" t="str">
        <f>"207ZP0101X"</f>
        <v>207ZP0101X</v>
      </c>
      <c r="D22436" t="str">
        <f>"CHIANG                   JASON                    "</f>
        <v xml:space="preserve">CHIANG                   JASON                    </v>
      </c>
      <c r="E22436" t="str">
        <f t="shared" ref="E22436:E22444" si="563">"MEMPHIS                   "</f>
        <v xml:space="preserve">MEMPHIS                   </v>
      </c>
      <c r="F22436" t="str">
        <f t="shared" si="561"/>
        <v>TN</v>
      </c>
    </row>
    <row r="22437" spans="1:6" x14ac:dyDescent="0.25">
      <c r="A22437" t="str">
        <f>"007579711"</f>
        <v>007579711</v>
      </c>
      <c r="B22437" t="str">
        <f>"1437661980"</f>
        <v>1437661980</v>
      </c>
      <c r="C22437" t="str">
        <f>"363L00000X"</f>
        <v>363L00000X</v>
      </c>
      <c r="D22437" t="str">
        <f>"MEEHAN                   SARA         S           "</f>
        <v xml:space="preserve">MEEHAN                   SARA         S           </v>
      </c>
      <c r="E22437" t="str">
        <f t="shared" si="563"/>
        <v xml:space="preserve">MEMPHIS                   </v>
      </c>
      <c r="F22437" t="str">
        <f t="shared" si="561"/>
        <v>TN</v>
      </c>
    </row>
    <row r="22438" spans="1:6" x14ac:dyDescent="0.25">
      <c r="A22438" t="str">
        <f>"007629809"</f>
        <v>007629809</v>
      </c>
      <c r="B22438" t="str">
        <f>"1518918937"</f>
        <v>1518918937</v>
      </c>
      <c r="C22438" t="str">
        <f>"207R00000X"</f>
        <v>207R00000X</v>
      </c>
      <c r="D22438" t="str">
        <f>"ALI                      MAHMOOD                  "</f>
        <v xml:space="preserve">ALI                      MAHMOOD                  </v>
      </c>
      <c r="E22438" t="str">
        <f t="shared" si="563"/>
        <v xml:space="preserve">MEMPHIS                   </v>
      </c>
      <c r="F22438" t="str">
        <f t="shared" si="561"/>
        <v>TN</v>
      </c>
    </row>
    <row r="22439" spans="1:6" x14ac:dyDescent="0.25">
      <c r="A22439" t="str">
        <f>"007630714"</f>
        <v>007630714</v>
      </c>
      <c r="B22439" t="str">
        <f>"1720077589"</f>
        <v>1720077589</v>
      </c>
      <c r="C22439" t="str">
        <f>"2084N0400X"</f>
        <v>2084N0400X</v>
      </c>
      <c r="D22439" t="str">
        <f>"MANSOUR                  NAWAR        E           "</f>
        <v xml:space="preserve">MANSOUR                  NAWAR        E           </v>
      </c>
      <c r="E22439" t="str">
        <f t="shared" si="563"/>
        <v xml:space="preserve">MEMPHIS                   </v>
      </c>
      <c r="F22439" t="str">
        <f t="shared" si="561"/>
        <v>TN</v>
      </c>
    </row>
    <row r="22440" spans="1:6" x14ac:dyDescent="0.25">
      <c r="A22440" t="str">
        <f>"007631584"</f>
        <v>007631584</v>
      </c>
      <c r="B22440" t="str">
        <f>"1225334469"</f>
        <v>1225334469</v>
      </c>
      <c r="C22440" t="str">
        <f>"363L00000X"</f>
        <v>363L00000X</v>
      </c>
      <c r="D22440" t="str">
        <f>"BAKER                    ELIZABETH    M           "</f>
        <v xml:space="preserve">BAKER                    ELIZABETH    M           </v>
      </c>
      <c r="E22440" t="str">
        <f t="shared" si="563"/>
        <v xml:space="preserve">MEMPHIS                   </v>
      </c>
      <c r="F22440" t="str">
        <f t="shared" si="561"/>
        <v>TN</v>
      </c>
    </row>
    <row r="22441" spans="1:6" x14ac:dyDescent="0.25">
      <c r="A22441" t="str">
        <f>"007632838"</f>
        <v>007632838</v>
      </c>
      <c r="B22441" t="str">
        <f>"1467774844"</f>
        <v>1467774844</v>
      </c>
      <c r="C22441" t="str">
        <f>"207RI0200X"</f>
        <v>207RI0200X</v>
      </c>
      <c r="D22441" t="str">
        <f>"CARRILLO MARQUEZ         MARIA        A           "</f>
        <v xml:space="preserve">CARRILLO MARQUEZ         MARIA        A           </v>
      </c>
      <c r="E22441" t="str">
        <f t="shared" si="563"/>
        <v xml:space="preserve">MEMPHIS                   </v>
      </c>
      <c r="F22441" t="str">
        <f t="shared" si="561"/>
        <v>TN</v>
      </c>
    </row>
    <row r="22442" spans="1:6" x14ac:dyDescent="0.25">
      <c r="A22442" t="str">
        <f>"007635331"</f>
        <v>007635331</v>
      </c>
      <c r="B22442" t="str">
        <f>"1396951687"</f>
        <v>1396951687</v>
      </c>
      <c r="C22442" t="str">
        <f>"207Q00000X"</f>
        <v>207Q00000X</v>
      </c>
      <c r="D22442" t="str">
        <f>"ABSI                     MOHAMMED     H           "</f>
        <v xml:space="preserve">ABSI                     MOHAMMED     H           </v>
      </c>
      <c r="E22442" t="str">
        <f t="shared" si="563"/>
        <v xml:space="preserve">MEMPHIS                   </v>
      </c>
      <c r="F22442" t="str">
        <f t="shared" si="561"/>
        <v>TN</v>
      </c>
    </row>
    <row r="22443" spans="1:6" x14ac:dyDescent="0.25">
      <c r="A22443" t="str">
        <f>"007637233"</f>
        <v>007637233</v>
      </c>
      <c r="B22443" t="str">
        <f>"1801020342"</f>
        <v>1801020342</v>
      </c>
      <c r="C22443" t="str">
        <f>"207R00000X"</f>
        <v>207R00000X</v>
      </c>
      <c r="D22443" t="str">
        <f>"ZOBELL                   DANIEL       D           "</f>
        <v xml:space="preserve">ZOBELL                   DANIEL       D           </v>
      </c>
      <c r="E22443" t="str">
        <f t="shared" si="563"/>
        <v xml:space="preserve">MEMPHIS                   </v>
      </c>
      <c r="F22443" t="str">
        <f t="shared" si="561"/>
        <v>TN</v>
      </c>
    </row>
    <row r="22444" spans="1:6" x14ac:dyDescent="0.25">
      <c r="A22444" t="str">
        <f>"007656561"</f>
        <v>007656561</v>
      </c>
      <c r="B22444" t="str">
        <f>"1235337833"</f>
        <v>1235337833</v>
      </c>
      <c r="C22444" t="str">
        <f>"367500000X"</f>
        <v>367500000X</v>
      </c>
      <c r="D22444" t="str">
        <f>"DAVIDSON                 JOHN                     "</f>
        <v xml:space="preserve">DAVIDSON                 JOHN                     </v>
      </c>
      <c r="E22444" t="str">
        <f t="shared" si="563"/>
        <v xml:space="preserve">MEMPHIS                   </v>
      </c>
      <c r="F22444" t="str">
        <f t="shared" si="561"/>
        <v>TN</v>
      </c>
    </row>
    <row r="22445" spans="1:6" x14ac:dyDescent="0.25">
      <c r="A22445" t="str">
        <f>"007656721"</f>
        <v>007656721</v>
      </c>
      <c r="B22445" t="str">
        <f>"1366838856"</f>
        <v>1366838856</v>
      </c>
      <c r="C22445" t="str">
        <f>"207RC0000X"</f>
        <v>207RC0000X</v>
      </c>
      <c r="D22445" t="str">
        <f>"BOB-MANUEL               TAMUNOINEMI  D           "</f>
        <v xml:space="preserve">BOB-MANUEL               TAMUNOINEMI  D           </v>
      </c>
      <c r="E22445" t="str">
        <f>"GERMANTOWN                "</f>
        <v xml:space="preserve">GERMANTOWN                </v>
      </c>
      <c r="F22445" t="str">
        <f t="shared" si="561"/>
        <v>TN</v>
      </c>
    </row>
    <row r="22446" spans="1:6" x14ac:dyDescent="0.25">
      <c r="A22446" t="str">
        <f>"007657289"</f>
        <v>007657289</v>
      </c>
      <c r="B22446" t="str">
        <f>"1770961211"</f>
        <v>1770961211</v>
      </c>
      <c r="C22446" t="str">
        <f>"208000000X"</f>
        <v>208000000X</v>
      </c>
      <c r="D22446" t="str">
        <f>"PATEL                    RUCHI        A           "</f>
        <v xml:space="preserve">PATEL                    RUCHI        A           </v>
      </c>
      <c r="E22446" t="str">
        <f>"MEMPHIS                   "</f>
        <v xml:space="preserve">MEMPHIS                   </v>
      </c>
      <c r="F22446" t="str">
        <f t="shared" si="561"/>
        <v>TN</v>
      </c>
    </row>
    <row r="22447" spans="1:6" x14ac:dyDescent="0.25">
      <c r="A22447" t="str">
        <f>"007672279"</f>
        <v>007672279</v>
      </c>
      <c r="B22447" t="str">
        <f>"1851612931"</f>
        <v>1851612931</v>
      </c>
      <c r="C22447" t="str">
        <f>"207ZP0102X"</f>
        <v>207ZP0102X</v>
      </c>
      <c r="D22447" t="str">
        <f>"GUPTA                    MARY         P           "</f>
        <v xml:space="preserve">GUPTA                    MARY         P           </v>
      </c>
      <c r="E22447" t="str">
        <f>"CORDOVA                   "</f>
        <v xml:space="preserve">CORDOVA                   </v>
      </c>
      <c r="F22447" t="str">
        <f t="shared" si="561"/>
        <v>TN</v>
      </c>
    </row>
    <row r="22448" spans="1:6" x14ac:dyDescent="0.25">
      <c r="A22448" t="str">
        <f>"007675062"</f>
        <v>007675062</v>
      </c>
      <c r="B22448" t="str">
        <f>"1164911681"</f>
        <v>1164911681</v>
      </c>
      <c r="C22448" t="str">
        <f>"208000000X"</f>
        <v>208000000X</v>
      </c>
      <c r="D22448" t="str">
        <f>"ROBINSON                 AIMEE                    "</f>
        <v xml:space="preserve">ROBINSON                 AIMEE                    </v>
      </c>
      <c r="E22448" t="str">
        <f t="shared" ref="E22448:E22464" si="564">"MEMPHIS                   "</f>
        <v xml:space="preserve">MEMPHIS                   </v>
      </c>
      <c r="F22448" t="str">
        <f t="shared" si="561"/>
        <v>TN</v>
      </c>
    </row>
    <row r="22449" spans="1:6" x14ac:dyDescent="0.25">
      <c r="A22449" t="str">
        <f>"007705541"</f>
        <v>007705541</v>
      </c>
      <c r="B22449" t="str">
        <f>"1154369932"</f>
        <v>1154369932</v>
      </c>
      <c r="C22449" t="str">
        <f>"207RC0000X"</f>
        <v>207RC0000X</v>
      </c>
      <c r="D22449" t="str">
        <f>"KERLAN                   JEFFREY      E           "</f>
        <v xml:space="preserve">KERLAN                   JEFFREY      E           </v>
      </c>
      <c r="E22449" t="str">
        <f t="shared" si="564"/>
        <v xml:space="preserve">MEMPHIS                   </v>
      </c>
      <c r="F22449" t="str">
        <f t="shared" si="561"/>
        <v>TN</v>
      </c>
    </row>
    <row r="22450" spans="1:6" x14ac:dyDescent="0.25">
      <c r="A22450" t="str">
        <f>"007708798"</f>
        <v>007708798</v>
      </c>
      <c r="B22450" t="str">
        <f>"1700045689"</f>
        <v>1700045689</v>
      </c>
      <c r="C22450" t="str">
        <f>"2086X0206X"</f>
        <v>2086X0206X</v>
      </c>
      <c r="D22450" t="str">
        <f>"TURNER                   KELI         M           "</f>
        <v xml:space="preserve">TURNER                   KELI         M           </v>
      </c>
      <c r="E22450" t="str">
        <f t="shared" si="564"/>
        <v xml:space="preserve">MEMPHIS                   </v>
      </c>
      <c r="F22450" t="str">
        <f t="shared" si="561"/>
        <v>TN</v>
      </c>
    </row>
    <row r="22451" spans="1:6" x14ac:dyDescent="0.25">
      <c r="A22451" t="str">
        <f>"007724809"</f>
        <v>007724809</v>
      </c>
      <c r="B22451" t="str">
        <f>"1649493123"</f>
        <v>1649493123</v>
      </c>
      <c r="C22451" t="str">
        <f>"207N00000X"</f>
        <v>207N00000X</v>
      </c>
      <c r="D22451" t="str">
        <f>"PATEL                    TEJESH                   "</f>
        <v xml:space="preserve">PATEL                    TEJESH                   </v>
      </c>
      <c r="E22451" t="str">
        <f t="shared" si="564"/>
        <v xml:space="preserve">MEMPHIS                   </v>
      </c>
      <c r="F22451" t="str">
        <f t="shared" si="561"/>
        <v>TN</v>
      </c>
    </row>
    <row r="22452" spans="1:6" x14ac:dyDescent="0.25">
      <c r="A22452" t="str">
        <f>"007726031"</f>
        <v>007726031</v>
      </c>
      <c r="B22452" t="str">
        <f>"1992004121"</f>
        <v>1992004121</v>
      </c>
      <c r="C22452" t="str">
        <f>"2086S0102X"</f>
        <v>2086S0102X</v>
      </c>
      <c r="D22452" t="str">
        <f>"FILIBERTO                DINA         M           "</f>
        <v xml:space="preserve">FILIBERTO                DINA         M           </v>
      </c>
      <c r="E22452" t="str">
        <f t="shared" si="564"/>
        <v xml:space="preserve">MEMPHIS                   </v>
      </c>
      <c r="F22452" t="str">
        <f t="shared" si="561"/>
        <v>TN</v>
      </c>
    </row>
    <row r="22453" spans="1:6" x14ac:dyDescent="0.25">
      <c r="A22453" t="str">
        <f>"007732506"</f>
        <v>007732506</v>
      </c>
      <c r="B22453" t="str">
        <f>"1558478933"</f>
        <v>1558478933</v>
      </c>
      <c r="C22453" t="str">
        <f>"363L00000X"</f>
        <v>363L00000X</v>
      </c>
      <c r="D22453" t="str">
        <f>"CLARK                    RICKETTA     H           "</f>
        <v xml:space="preserve">CLARK                    RICKETTA     H           </v>
      </c>
      <c r="E22453" t="str">
        <f t="shared" si="564"/>
        <v xml:space="preserve">MEMPHIS                   </v>
      </c>
      <c r="F22453" t="str">
        <f t="shared" si="561"/>
        <v>TN</v>
      </c>
    </row>
    <row r="22454" spans="1:6" x14ac:dyDescent="0.25">
      <c r="A22454" t="str">
        <f>"007737764"</f>
        <v>007737764</v>
      </c>
      <c r="B22454" t="str">
        <f>"1356518237"</f>
        <v>1356518237</v>
      </c>
      <c r="C22454" t="str">
        <f>"363LP0200X"</f>
        <v>363LP0200X</v>
      </c>
      <c r="D22454" t="str">
        <f>"CHAPMAN                  LINDSAY      M           "</f>
        <v xml:space="preserve">CHAPMAN                  LINDSAY      M           </v>
      </c>
      <c r="E22454" t="str">
        <f t="shared" si="564"/>
        <v xml:space="preserve">MEMPHIS                   </v>
      </c>
      <c r="F22454" t="str">
        <f t="shared" si="561"/>
        <v>TN</v>
      </c>
    </row>
    <row r="22455" spans="1:6" x14ac:dyDescent="0.25">
      <c r="A22455" t="str">
        <f>"007751241"</f>
        <v>007751241</v>
      </c>
      <c r="B22455" t="str">
        <f>"1568637288"</f>
        <v>1568637288</v>
      </c>
      <c r="C22455" t="str">
        <f>"363L00000X"</f>
        <v>363L00000X</v>
      </c>
      <c r="D22455" t="str">
        <f>"HERRING                  LELA         S           "</f>
        <v xml:space="preserve">HERRING                  LELA         S           </v>
      </c>
      <c r="E22455" t="str">
        <f t="shared" si="564"/>
        <v xml:space="preserve">MEMPHIS                   </v>
      </c>
      <c r="F22455" t="str">
        <f t="shared" si="561"/>
        <v>TN</v>
      </c>
    </row>
    <row r="22456" spans="1:6" x14ac:dyDescent="0.25">
      <c r="A22456" t="str">
        <f>"007755708"</f>
        <v>007755708</v>
      </c>
      <c r="B22456" t="str">
        <f>"1083617971"</f>
        <v>1083617971</v>
      </c>
      <c r="C22456" t="str">
        <f>"2085R0202X"</f>
        <v>2085R0202X</v>
      </c>
      <c r="D22456" t="str">
        <f>"HAUSMANN                 JAMES        S           "</f>
        <v xml:space="preserve">HAUSMANN                 JAMES        S           </v>
      </c>
      <c r="E22456" t="str">
        <f t="shared" si="564"/>
        <v xml:space="preserve">MEMPHIS                   </v>
      </c>
      <c r="F22456" t="str">
        <f t="shared" si="561"/>
        <v>TN</v>
      </c>
    </row>
    <row r="22457" spans="1:6" x14ac:dyDescent="0.25">
      <c r="A22457" t="str">
        <f>"007756312"</f>
        <v>007756312</v>
      </c>
      <c r="B22457" t="str">
        <f>"1609302546"</f>
        <v>1609302546</v>
      </c>
      <c r="C22457" t="str">
        <f>"363L00000X"</f>
        <v>363L00000X</v>
      </c>
      <c r="D22457" t="str">
        <f>"BEENE                    CHERYL       B           "</f>
        <v xml:space="preserve">BEENE                    CHERYL       B           </v>
      </c>
      <c r="E22457" t="str">
        <f t="shared" si="564"/>
        <v xml:space="preserve">MEMPHIS                   </v>
      </c>
      <c r="F22457" t="str">
        <f t="shared" si="561"/>
        <v>TN</v>
      </c>
    </row>
    <row r="22458" spans="1:6" x14ac:dyDescent="0.25">
      <c r="A22458" t="str">
        <f>"007772828"</f>
        <v>007772828</v>
      </c>
      <c r="B22458" t="str">
        <f>"1245203371"</f>
        <v>1245203371</v>
      </c>
      <c r="C22458" t="str">
        <f>"2080P0205X"</f>
        <v>2080P0205X</v>
      </c>
      <c r="D22458" t="str">
        <f>"COHEN                    ALAN         J           "</f>
        <v xml:space="preserve">COHEN                    ALAN         J           </v>
      </c>
      <c r="E22458" t="str">
        <f t="shared" si="564"/>
        <v xml:space="preserve">MEMPHIS                   </v>
      </c>
      <c r="F22458" t="str">
        <f t="shared" si="561"/>
        <v>TN</v>
      </c>
    </row>
    <row r="22459" spans="1:6" x14ac:dyDescent="0.25">
      <c r="A22459" t="str">
        <f>"007779556"</f>
        <v>007779556</v>
      </c>
      <c r="B22459" t="str">
        <f>"1629428826"</f>
        <v>1629428826</v>
      </c>
      <c r="C22459" t="str">
        <f>"207R00000X"</f>
        <v>207R00000X</v>
      </c>
      <c r="D22459" t="str">
        <f>"JUNAID                   MUHAMMAD                 "</f>
        <v xml:space="preserve">JUNAID                   MUHAMMAD                 </v>
      </c>
      <c r="E22459" t="str">
        <f t="shared" si="564"/>
        <v xml:space="preserve">MEMPHIS                   </v>
      </c>
      <c r="F22459" t="str">
        <f t="shared" si="561"/>
        <v>TN</v>
      </c>
    </row>
    <row r="22460" spans="1:6" x14ac:dyDescent="0.25">
      <c r="A22460" t="str">
        <f>"007781813"</f>
        <v>007781813</v>
      </c>
      <c r="B22460" t="str">
        <f>"1992793251"</f>
        <v>1992793251</v>
      </c>
      <c r="C22460" t="str">
        <f>"207P00000X"</f>
        <v>207P00000X</v>
      </c>
      <c r="D22460" t="str">
        <f>"THOMPSON                 KENNETH      A           "</f>
        <v xml:space="preserve">THOMPSON                 KENNETH      A           </v>
      </c>
      <c r="E22460" t="str">
        <f t="shared" si="564"/>
        <v xml:space="preserve">MEMPHIS                   </v>
      </c>
      <c r="F22460" t="str">
        <f t="shared" si="561"/>
        <v>TN</v>
      </c>
    </row>
    <row r="22461" spans="1:6" x14ac:dyDescent="0.25">
      <c r="A22461" t="str">
        <f>"007785031"</f>
        <v>007785031</v>
      </c>
      <c r="B22461" t="str">
        <f>"1679716013"</f>
        <v>1679716013</v>
      </c>
      <c r="C22461" t="str">
        <f>"2084P0800X"</f>
        <v>2084P0800X</v>
      </c>
      <c r="D22461" t="str">
        <f>"HUYNH                    NGA          T           "</f>
        <v xml:space="preserve">HUYNH                    NGA          T           </v>
      </c>
      <c r="E22461" t="str">
        <f t="shared" si="564"/>
        <v xml:space="preserve">MEMPHIS                   </v>
      </c>
      <c r="F22461" t="str">
        <f t="shared" si="561"/>
        <v>TN</v>
      </c>
    </row>
    <row r="22462" spans="1:6" x14ac:dyDescent="0.25">
      <c r="A22462" t="str">
        <f>"007788391"</f>
        <v>007788391</v>
      </c>
      <c r="B22462" t="str">
        <f>"1982266342"</f>
        <v>1982266342</v>
      </c>
      <c r="C22462" t="str">
        <f>"152W00000X"</f>
        <v>152W00000X</v>
      </c>
      <c r="D22462" t="str">
        <f>"KIRK                     ABAGAIL      M           "</f>
        <v xml:space="preserve">KIRK                     ABAGAIL      M           </v>
      </c>
      <c r="E22462" t="str">
        <f t="shared" si="564"/>
        <v xml:space="preserve">MEMPHIS                   </v>
      </c>
      <c r="F22462" t="str">
        <f t="shared" ref="F22462:F22525" si="565">"TN"</f>
        <v>TN</v>
      </c>
    </row>
    <row r="22463" spans="1:6" x14ac:dyDescent="0.25">
      <c r="A22463" t="str">
        <f>"007823768"</f>
        <v>007823768</v>
      </c>
      <c r="B22463" t="str">
        <f>"1174813281"</f>
        <v>1174813281</v>
      </c>
      <c r="C22463" t="str">
        <f>"208000000X"</f>
        <v>208000000X</v>
      </c>
      <c r="D22463" t="str">
        <f>"HENDERSON                LAUREN                   "</f>
        <v xml:space="preserve">HENDERSON                LAUREN                   </v>
      </c>
      <c r="E22463" t="str">
        <f t="shared" si="564"/>
        <v xml:space="preserve">MEMPHIS                   </v>
      </c>
      <c r="F22463" t="str">
        <f t="shared" si="565"/>
        <v>TN</v>
      </c>
    </row>
    <row r="22464" spans="1:6" x14ac:dyDescent="0.25">
      <c r="A22464" t="str">
        <f>"007828383"</f>
        <v>007828383</v>
      </c>
      <c r="B22464" t="str">
        <f>"1033622832"</f>
        <v>1033622832</v>
      </c>
      <c r="C22464" t="str">
        <f>"363L00000X"</f>
        <v>363L00000X</v>
      </c>
      <c r="D22464" t="str">
        <f>"DEIMUND                  SONDRA       D           "</f>
        <v xml:space="preserve">DEIMUND                  SONDRA       D           </v>
      </c>
      <c r="E22464" t="str">
        <f t="shared" si="564"/>
        <v xml:space="preserve">MEMPHIS                   </v>
      </c>
      <c r="F22464" t="str">
        <f t="shared" si="565"/>
        <v>TN</v>
      </c>
    </row>
    <row r="22465" spans="1:6" x14ac:dyDescent="0.25">
      <c r="A22465" t="str">
        <f>"007835805"</f>
        <v>007835805</v>
      </c>
      <c r="B22465" t="str">
        <f>"1518906387"</f>
        <v>1518906387</v>
      </c>
      <c r="C22465" t="str">
        <f>"363A00000X"</f>
        <v>363A00000X</v>
      </c>
      <c r="D22465" t="str">
        <f>"IZZETT                   AMY          C           "</f>
        <v xml:space="preserve">IZZETT                   AMY          C           </v>
      </c>
      <c r="E22465" t="str">
        <f>"GERMANTOWN                "</f>
        <v xml:space="preserve">GERMANTOWN                </v>
      </c>
      <c r="F22465" t="str">
        <f t="shared" si="565"/>
        <v>TN</v>
      </c>
    </row>
    <row r="22466" spans="1:6" x14ac:dyDescent="0.25">
      <c r="A22466" t="str">
        <f>"007839071"</f>
        <v>007839071</v>
      </c>
      <c r="B22466" t="str">
        <f>"1255680625"</f>
        <v>1255680625</v>
      </c>
      <c r="C22466" t="str">
        <f>"208000000X"</f>
        <v>208000000X</v>
      </c>
      <c r="D22466" t="str">
        <f>"MUKKADA                  SHEENA       T           "</f>
        <v xml:space="preserve">MUKKADA                  SHEENA       T           </v>
      </c>
      <c r="E22466" t="str">
        <f>"MEMPHIS                   "</f>
        <v xml:space="preserve">MEMPHIS                   </v>
      </c>
      <c r="F22466" t="str">
        <f t="shared" si="565"/>
        <v>TN</v>
      </c>
    </row>
    <row r="22467" spans="1:6" x14ac:dyDescent="0.25">
      <c r="A22467" t="str">
        <f>"007871549"</f>
        <v>007871549</v>
      </c>
      <c r="B22467" t="str">
        <f>"1144617044"</f>
        <v>1144617044</v>
      </c>
      <c r="C22467" t="str">
        <f>"2080P0206X"</f>
        <v>2080P0206X</v>
      </c>
      <c r="D22467" t="str">
        <f>"EDWARDS                  PRICE        T           "</f>
        <v xml:space="preserve">EDWARDS                  PRICE        T           </v>
      </c>
      <c r="E22467" t="str">
        <f>"MEMPHIS                   "</f>
        <v xml:space="preserve">MEMPHIS                   </v>
      </c>
      <c r="F22467" t="str">
        <f t="shared" si="565"/>
        <v>TN</v>
      </c>
    </row>
    <row r="22468" spans="1:6" x14ac:dyDescent="0.25">
      <c r="A22468" t="str">
        <f>"007888599"</f>
        <v>007888599</v>
      </c>
      <c r="B22468" t="str">
        <f>"1578548376"</f>
        <v>1578548376</v>
      </c>
      <c r="C22468" t="str">
        <f>"207RX0202X"</f>
        <v>207RX0202X</v>
      </c>
      <c r="D22468" t="str">
        <f>"VAENA                    DANIEL       A           "</f>
        <v xml:space="preserve">VAENA                    DANIEL       A           </v>
      </c>
      <c r="E22468" t="str">
        <f>"GERMANTOWN                "</f>
        <v xml:space="preserve">GERMANTOWN                </v>
      </c>
      <c r="F22468" t="str">
        <f t="shared" si="565"/>
        <v>TN</v>
      </c>
    </row>
    <row r="22469" spans="1:6" x14ac:dyDescent="0.25">
      <c r="A22469" t="str">
        <f>"007888715"</f>
        <v>007888715</v>
      </c>
      <c r="B22469" t="str">
        <f>"1821753468"</f>
        <v>1821753468</v>
      </c>
      <c r="C22469" t="str">
        <f>"363L00000X"</f>
        <v>363L00000X</v>
      </c>
      <c r="D22469" t="str">
        <f>"WILKINS                  LONNESHA                 "</f>
        <v xml:space="preserve">WILKINS                  LONNESHA                 </v>
      </c>
      <c r="E22469" t="str">
        <f>"MEMPHIS                   "</f>
        <v xml:space="preserve">MEMPHIS                   </v>
      </c>
      <c r="F22469" t="str">
        <f t="shared" si="565"/>
        <v>TN</v>
      </c>
    </row>
    <row r="22470" spans="1:6" x14ac:dyDescent="0.25">
      <c r="A22470" t="str">
        <f>"007888842"</f>
        <v>007888842</v>
      </c>
      <c r="B22470" t="str">
        <f>"1710578703"</f>
        <v>1710578703</v>
      </c>
      <c r="C22470" t="str">
        <f>"363L00000X"</f>
        <v>363L00000X</v>
      </c>
      <c r="D22470" t="str">
        <f>"SHEPHERD                 CHELSEA      C           "</f>
        <v xml:space="preserve">SHEPHERD                 CHELSEA      C           </v>
      </c>
      <c r="E22470" t="str">
        <f>"MEMPHIS                   "</f>
        <v xml:space="preserve">MEMPHIS                   </v>
      </c>
      <c r="F22470" t="str">
        <f t="shared" si="565"/>
        <v>TN</v>
      </c>
    </row>
    <row r="22471" spans="1:6" x14ac:dyDescent="0.25">
      <c r="A22471" t="str">
        <f>"007902051"</f>
        <v>007902051</v>
      </c>
      <c r="B22471" t="str">
        <f>"1689903643"</f>
        <v>1689903643</v>
      </c>
      <c r="C22471" t="str">
        <f>"363L00000X"</f>
        <v>363L00000X</v>
      </c>
      <c r="D22471" t="str">
        <f>"JORDAN                   ANNA         O           "</f>
        <v xml:space="preserve">JORDAN                   ANNA         O           </v>
      </c>
      <c r="E22471" t="str">
        <f>"MEMPHIS                   "</f>
        <v xml:space="preserve">MEMPHIS                   </v>
      </c>
      <c r="F22471" t="str">
        <f t="shared" si="565"/>
        <v>TN</v>
      </c>
    </row>
    <row r="22472" spans="1:6" x14ac:dyDescent="0.25">
      <c r="A22472" t="str">
        <f>"007955719"</f>
        <v>007955719</v>
      </c>
      <c r="B22472" t="str">
        <f>"1487018768"</f>
        <v>1487018768</v>
      </c>
      <c r="C22472" t="str">
        <f>"2085R0202X"</f>
        <v>2085R0202X</v>
      </c>
      <c r="D22472" t="str">
        <f>"WOODRUFF                 WILLIAM                  "</f>
        <v xml:space="preserve">WOODRUFF                 WILLIAM                  </v>
      </c>
      <c r="E22472" t="str">
        <f>"GERMANTOWN                "</f>
        <v xml:space="preserve">GERMANTOWN                </v>
      </c>
      <c r="F22472" t="str">
        <f t="shared" si="565"/>
        <v>TN</v>
      </c>
    </row>
    <row r="22473" spans="1:6" x14ac:dyDescent="0.25">
      <c r="A22473" t="str">
        <f>"008006033"</f>
        <v>008006033</v>
      </c>
      <c r="B22473" t="str">
        <f>"1952784266"</f>
        <v>1952784266</v>
      </c>
      <c r="C22473" t="str">
        <f>"207RP1001X"</f>
        <v>207RP1001X</v>
      </c>
      <c r="D22473" t="str">
        <f>"MACAULEY                 PRECIOUS     A           "</f>
        <v xml:space="preserve">MACAULEY                 PRECIOUS     A           </v>
      </c>
      <c r="E22473" t="str">
        <f t="shared" ref="E22473:E22481" si="566">"MEMPHIS                   "</f>
        <v xml:space="preserve">MEMPHIS                   </v>
      </c>
      <c r="F22473" t="str">
        <f t="shared" si="565"/>
        <v>TN</v>
      </c>
    </row>
    <row r="22474" spans="1:6" x14ac:dyDescent="0.25">
      <c r="A22474" t="str">
        <f>"008007758"</f>
        <v>008007758</v>
      </c>
      <c r="B22474" t="str">
        <f>"1457751745"</f>
        <v>1457751745</v>
      </c>
      <c r="C22474" t="str">
        <f>"2085P0229X"</f>
        <v>2085P0229X</v>
      </c>
      <c r="D22474" t="str">
        <f>"MALLER                   VIJETHA      V           "</f>
        <v xml:space="preserve">MALLER                   VIJETHA      V           </v>
      </c>
      <c r="E22474" t="str">
        <f t="shared" si="566"/>
        <v xml:space="preserve">MEMPHIS                   </v>
      </c>
      <c r="F22474" t="str">
        <f t="shared" si="565"/>
        <v>TN</v>
      </c>
    </row>
    <row r="22475" spans="1:6" x14ac:dyDescent="0.25">
      <c r="A22475" t="str">
        <f>"008020248"</f>
        <v>008020248</v>
      </c>
      <c r="B22475" t="str">
        <f>"1225041627"</f>
        <v>1225041627</v>
      </c>
      <c r="C22475" t="str">
        <f>"207RC0000X"</f>
        <v>207RC0000X</v>
      </c>
      <c r="D22475" t="str">
        <f>"FAN                      TAI-HWANG    M           "</f>
        <v xml:space="preserve">FAN                      TAI-HWANG    M           </v>
      </c>
      <c r="E22475" t="str">
        <f t="shared" si="566"/>
        <v xml:space="preserve">MEMPHIS                   </v>
      </c>
      <c r="F22475" t="str">
        <f t="shared" si="565"/>
        <v>TN</v>
      </c>
    </row>
    <row r="22476" spans="1:6" x14ac:dyDescent="0.25">
      <c r="A22476" t="str">
        <f>"008021816"</f>
        <v>008021816</v>
      </c>
      <c r="B22476" t="str">
        <f>"1851358618"</f>
        <v>1851358618</v>
      </c>
      <c r="C22476" t="str">
        <f>"2084P0800X"</f>
        <v>2084P0800X</v>
      </c>
      <c r="D22476" t="str">
        <f>"ARNOLD                   VALERIE      K           "</f>
        <v xml:space="preserve">ARNOLD                   VALERIE      K           </v>
      </c>
      <c r="E22476" t="str">
        <f t="shared" si="566"/>
        <v xml:space="preserve">MEMPHIS                   </v>
      </c>
      <c r="F22476" t="str">
        <f t="shared" si="565"/>
        <v>TN</v>
      </c>
    </row>
    <row r="22477" spans="1:6" x14ac:dyDescent="0.25">
      <c r="A22477" t="str">
        <f>"008031269"</f>
        <v>008031269</v>
      </c>
      <c r="B22477" t="str">
        <f>"1417256637"</f>
        <v>1417256637</v>
      </c>
      <c r="C22477" t="str">
        <f>"363L00000X"</f>
        <v>363L00000X</v>
      </c>
      <c r="D22477" t="str">
        <f>"NEWSOM                   TONYA        L           "</f>
        <v xml:space="preserve">NEWSOM                   TONYA        L           </v>
      </c>
      <c r="E22477" t="str">
        <f t="shared" si="566"/>
        <v xml:space="preserve">MEMPHIS                   </v>
      </c>
      <c r="F22477" t="str">
        <f t="shared" si="565"/>
        <v>TN</v>
      </c>
    </row>
    <row r="22478" spans="1:6" x14ac:dyDescent="0.25">
      <c r="A22478" t="str">
        <f>"008057013"</f>
        <v>008057013</v>
      </c>
      <c r="B22478" t="str">
        <f>"1437617321"</f>
        <v>1437617321</v>
      </c>
      <c r="C22478" t="str">
        <f>"363L00000X"</f>
        <v>363L00000X</v>
      </c>
      <c r="D22478" t="str">
        <f>"WHEELER                  CAMILLE      S           "</f>
        <v xml:space="preserve">WHEELER                  CAMILLE      S           </v>
      </c>
      <c r="E22478" t="str">
        <f t="shared" si="566"/>
        <v xml:space="preserve">MEMPHIS                   </v>
      </c>
      <c r="F22478" t="str">
        <f t="shared" si="565"/>
        <v>TN</v>
      </c>
    </row>
    <row r="22479" spans="1:6" x14ac:dyDescent="0.25">
      <c r="A22479" t="str">
        <f>"008072781"</f>
        <v>008072781</v>
      </c>
      <c r="B22479" t="str">
        <f>"1568857613"</f>
        <v>1568857613</v>
      </c>
      <c r="C22479" t="str">
        <f>"208000000X"</f>
        <v>208000000X</v>
      </c>
      <c r="D22479" t="str">
        <f>"ROBERTSON                SARA                     "</f>
        <v xml:space="preserve">ROBERTSON                SARA                     </v>
      </c>
      <c r="E22479" t="str">
        <f t="shared" si="566"/>
        <v xml:space="preserve">MEMPHIS                   </v>
      </c>
      <c r="F22479" t="str">
        <f t="shared" si="565"/>
        <v>TN</v>
      </c>
    </row>
    <row r="22480" spans="1:6" x14ac:dyDescent="0.25">
      <c r="A22480" t="str">
        <f>"008075372"</f>
        <v>008075372</v>
      </c>
      <c r="B22480" t="str">
        <f>"1922441468"</f>
        <v>1922441468</v>
      </c>
      <c r="C22480" t="str">
        <f>"207R00000X"</f>
        <v>207R00000X</v>
      </c>
      <c r="D22480" t="str">
        <f>"JOHN                     ELIZABETH                "</f>
        <v xml:space="preserve">JOHN                     ELIZABETH                </v>
      </c>
      <c r="E22480" t="str">
        <f t="shared" si="566"/>
        <v xml:space="preserve">MEMPHIS                   </v>
      </c>
      <c r="F22480" t="str">
        <f t="shared" si="565"/>
        <v>TN</v>
      </c>
    </row>
    <row r="22481" spans="1:6" x14ac:dyDescent="0.25">
      <c r="A22481" t="str">
        <f>"008085596"</f>
        <v>008085596</v>
      </c>
      <c r="B22481" t="str">
        <f>"1982912614"</f>
        <v>1982912614</v>
      </c>
      <c r="C22481" t="str">
        <f>"363L00000X"</f>
        <v>363L00000X</v>
      </c>
      <c r="D22481" t="str">
        <f>"HARRISON                 ASHLEY       V           "</f>
        <v xml:space="preserve">HARRISON                 ASHLEY       V           </v>
      </c>
      <c r="E22481" t="str">
        <f t="shared" si="566"/>
        <v xml:space="preserve">MEMPHIS                   </v>
      </c>
      <c r="F22481" t="str">
        <f t="shared" si="565"/>
        <v>TN</v>
      </c>
    </row>
    <row r="22482" spans="1:6" x14ac:dyDescent="0.25">
      <c r="A22482" t="str">
        <f>"008103062"</f>
        <v>008103062</v>
      </c>
      <c r="B22482" t="str">
        <f>"1801084439"</f>
        <v>1801084439</v>
      </c>
      <c r="C22482" t="str">
        <f>"363L00000X"</f>
        <v>363L00000X</v>
      </c>
      <c r="D22482" t="str">
        <f>"ETHERIDGE                CYNTHIA                  "</f>
        <v xml:space="preserve">ETHERIDGE                CYNTHIA                  </v>
      </c>
      <c r="E22482" t="str">
        <f>"GERMANTOWN                "</f>
        <v xml:space="preserve">GERMANTOWN                </v>
      </c>
      <c r="F22482" t="str">
        <f t="shared" si="565"/>
        <v>TN</v>
      </c>
    </row>
    <row r="22483" spans="1:6" x14ac:dyDescent="0.25">
      <c r="A22483" t="str">
        <f>"008106510"</f>
        <v>008106510</v>
      </c>
      <c r="B22483" t="str">
        <f>"1831181247"</f>
        <v>1831181247</v>
      </c>
      <c r="C22483" t="str">
        <f>"207RH0003X"</f>
        <v>207RH0003X</v>
      </c>
      <c r="D22483" t="str">
        <f>"OSAROGIAGBON             RAYMOND      U           "</f>
        <v xml:space="preserve">OSAROGIAGBON             RAYMOND      U           </v>
      </c>
      <c r="E22483" t="str">
        <f>"MEMPHIS                   "</f>
        <v xml:space="preserve">MEMPHIS                   </v>
      </c>
      <c r="F22483" t="str">
        <f t="shared" si="565"/>
        <v>TN</v>
      </c>
    </row>
    <row r="22484" spans="1:6" x14ac:dyDescent="0.25">
      <c r="A22484" t="str">
        <f>"008107361"</f>
        <v>008107361</v>
      </c>
      <c r="B22484" t="str">
        <f>"1063428597"</f>
        <v>1063428597</v>
      </c>
      <c r="C22484" t="str">
        <f>"2080P0207X"</f>
        <v>2080P0207X</v>
      </c>
      <c r="D22484" t="str">
        <f>"WEISS                    MITCHELL     J           "</f>
        <v xml:space="preserve">WEISS                    MITCHELL     J           </v>
      </c>
      <c r="E22484" t="str">
        <f>"MEMPHIS                   "</f>
        <v xml:space="preserve">MEMPHIS                   </v>
      </c>
      <c r="F22484" t="str">
        <f t="shared" si="565"/>
        <v>TN</v>
      </c>
    </row>
    <row r="22485" spans="1:6" x14ac:dyDescent="0.25">
      <c r="A22485" t="str">
        <f>"008131579"</f>
        <v>008131579</v>
      </c>
      <c r="B22485" t="str">
        <f>"1235452723"</f>
        <v>1235452723</v>
      </c>
      <c r="C22485" t="str">
        <f>"2085R0202X"</f>
        <v>2085R0202X</v>
      </c>
      <c r="D22485" t="str">
        <f>"POWELL                   DANIEL       K           "</f>
        <v xml:space="preserve">POWELL                   DANIEL       K           </v>
      </c>
      <c r="E22485" t="str">
        <f>"GERMANTOWN                "</f>
        <v xml:space="preserve">GERMANTOWN                </v>
      </c>
      <c r="F22485" t="str">
        <f t="shared" si="565"/>
        <v>TN</v>
      </c>
    </row>
    <row r="22486" spans="1:6" x14ac:dyDescent="0.25">
      <c r="A22486" t="str">
        <f>"008134709"</f>
        <v>008134709</v>
      </c>
      <c r="B22486" t="str">
        <f>"1972866374"</f>
        <v>1972866374</v>
      </c>
      <c r="C22486" t="str">
        <f>"363A00000X"</f>
        <v>363A00000X</v>
      </c>
      <c r="D22486" t="str">
        <f>"GRAY                     NATHAN       C           "</f>
        <v xml:space="preserve">GRAY                     NATHAN       C           </v>
      </c>
      <c r="E22486" t="str">
        <f>"MEMPHIS                   "</f>
        <v xml:space="preserve">MEMPHIS                   </v>
      </c>
      <c r="F22486" t="str">
        <f t="shared" si="565"/>
        <v>TN</v>
      </c>
    </row>
    <row r="22487" spans="1:6" x14ac:dyDescent="0.25">
      <c r="A22487" t="str">
        <f>"008139398"</f>
        <v>008139398</v>
      </c>
      <c r="B22487" t="str">
        <f>"1518956119"</f>
        <v>1518956119</v>
      </c>
      <c r="C22487" t="str">
        <f>"207W00000X"</f>
        <v>207W00000X</v>
      </c>
      <c r="D22487" t="str">
        <f>"HIDAJI                   FARAMARZ     F           "</f>
        <v xml:space="preserve">HIDAJI                   FARAMARZ     F           </v>
      </c>
      <c r="E22487" t="str">
        <f>"MEMPHIS                   "</f>
        <v xml:space="preserve">MEMPHIS                   </v>
      </c>
      <c r="F22487" t="str">
        <f t="shared" si="565"/>
        <v>TN</v>
      </c>
    </row>
    <row r="22488" spans="1:6" x14ac:dyDescent="0.25">
      <c r="A22488" t="str">
        <f>"008174720"</f>
        <v>008174720</v>
      </c>
      <c r="B22488" t="str">
        <f>"1104497932"</f>
        <v>1104497932</v>
      </c>
      <c r="C22488" t="str">
        <f>"363L00000X"</f>
        <v>363L00000X</v>
      </c>
      <c r="D22488" t="str">
        <f>"CARNEY                   DONNIELLE                "</f>
        <v xml:space="preserve">CARNEY                   DONNIELLE                </v>
      </c>
      <c r="E22488" t="str">
        <f>"GERMANTOWN                "</f>
        <v xml:space="preserve">GERMANTOWN                </v>
      </c>
      <c r="F22488" t="str">
        <f t="shared" si="565"/>
        <v>TN</v>
      </c>
    </row>
    <row r="22489" spans="1:6" x14ac:dyDescent="0.25">
      <c r="A22489" t="str">
        <f>"008179012"</f>
        <v>008179012</v>
      </c>
      <c r="B22489" t="str">
        <f>"1881094357"</f>
        <v>1881094357</v>
      </c>
      <c r="C22489" t="str">
        <f>"207T00000X"</f>
        <v>207T00000X</v>
      </c>
      <c r="D22489" t="str">
        <f>"LABAGNARA                MICHAEL                  "</f>
        <v xml:space="preserve">LABAGNARA                MICHAEL                  </v>
      </c>
      <c r="E22489" t="str">
        <f>"MEMPHIS                   "</f>
        <v xml:space="preserve">MEMPHIS                   </v>
      </c>
      <c r="F22489" t="str">
        <f t="shared" si="565"/>
        <v>TN</v>
      </c>
    </row>
    <row r="22490" spans="1:6" x14ac:dyDescent="0.25">
      <c r="A22490" t="str">
        <f>"008179396"</f>
        <v>008179396</v>
      </c>
      <c r="B22490" t="str">
        <f>"1205219995"</f>
        <v>1205219995</v>
      </c>
      <c r="C22490" t="str">
        <f>"2084P0800X"</f>
        <v>2084P0800X</v>
      </c>
      <c r="D22490" t="str">
        <f>"GUILLEN MENDOZA          DANIEL       K           "</f>
        <v xml:space="preserve">GUILLEN MENDOZA          DANIEL       K           </v>
      </c>
      <c r="E22490" t="str">
        <f>"MEMPHIS                   "</f>
        <v xml:space="preserve">MEMPHIS                   </v>
      </c>
      <c r="F22490" t="str">
        <f t="shared" si="565"/>
        <v>TN</v>
      </c>
    </row>
    <row r="22491" spans="1:6" x14ac:dyDescent="0.25">
      <c r="A22491" t="str">
        <f>"008188293"</f>
        <v>008188293</v>
      </c>
      <c r="B22491" t="str">
        <f>"1316520158"</f>
        <v>1316520158</v>
      </c>
      <c r="C22491" t="str">
        <f>"367500000X"</f>
        <v>367500000X</v>
      </c>
      <c r="D22491" t="str">
        <f>"HABEGGER                 JULIANNE     E           "</f>
        <v xml:space="preserve">HABEGGER                 JULIANNE     E           </v>
      </c>
      <c r="E22491" t="str">
        <f>"MEMPHIS                   "</f>
        <v xml:space="preserve">MEMPHIS                   </v>
      </c>
      <c r="F22491" t="str">
        <f t="shared" si="565"/>
        <v>TN</v>
      </c>
    </row>
    <row r="22492" spans="1:6" x14ac:dyDescent="0.25">
      <c r="A22492" t="str">
        <f>"008202001"</f>
        <v>008202001</v>
      </c>
      <c r="B22492" t="str">
        <f>"1588711469"</f>
        <v>1588711469</v>
      </c>
      <c r="C22492" t="str">
        <f>"208600000X"</f>
        <v>208600000X</v>
      </c>
      <c r="D22492" t="str">
        <f>"THROCKMORTON             ALYSSA                   "</f>
        <v xml:space="preserve">THROCKMORTON             ALYSSA                   </v>
      </c>
      <c r="E22492" t="str">
        <f>"GERMANTOWN                "</f>
        <v xml:space="preserve">GERMANTOWN                </v>
      </c>
      <c r="F22492" t="str">
        <f t="shared" si="565"/>
        <v>TN</v>
      </c>
    </row>
    <row r="22493" spans="1:6" x14ac:dyDescent="0.25">
      <c r="A22493" t="str">
        <f>"008202714"</f>
        <v>008202714</v>
      </c>
      <c r="B22493" t="str">
        <f>"1376823377"</f>
        <v>1376823377</v>
      </c>
      <c r="C22493" t="str">
        <f>"363L00000X"</f>
        <v>363L00000X</v>
      </c>
      <c r="D22493" t="str">
        <f>"FENDLEY                  LEANNA       R           "</f>
        <v xml:space="preserve">FENDLEY                  LEANNA       R           </v>
      </c>
      <c r="E22493" t="str">
        <f>"GERMANTOWN                "</f>
        <v xml:space="preserve">GERMANTOWN                </v>
      </c>
      <c r="F22493" t="str">
        <f t="shared" si="565"/>
        <v>TN</v>
      </c>
    </row>
    <row r="22494" spans="1:6" x14ac:dyDescent="0.25">
      <c r="A22494" t="str">
        <f>"008223292"</f>
        <v>008223292</v>
      </c>
      <c r="B22494" t="str">
        <f>"1518301084"</f>
        <v>1518301084</v>
      </c>
      <c r="C22494" t="str">
        <f>"208000000X"</f>
        <v>208000000X</v>
      </c>
      <c r="D22494" t="str">
        <f>"MILLER                   JENNIFER     L           "</f>
        <v xml:space="preserve">MILLER                   JENNIFER     L           </v>
      </c>
      <c r="E22494" t="str">
        <f>"MEMPHIS                   "</f>
        <v xml:space="preserve">MEMPHIS                   </v>
      </c>
      <c r="F22494" t="str">
        <f t="shared" si="565"/>
        <v>TN</v>
      </c>
    </row>
    <row r="22495" spans="1:6" x14ac:dyDescent="0.25">
      <c r="A22495" t="str">
        <f>"008225063"</f>
        <v>008225063</v>
      </c>
      <c r="B22495" t="str">
        <f>"1023181864"</f>
        <v>1023181864</v>
      </c>
      <c r="C22495" t="str">
        <f>"363L00000X"</f>
        <v>363L00000X</v>
      </c>
      <c r="D22495" t="str">
        <f>"SIMPSON                  MARY         K           "</f>
        <v xml:space="preserve">SIMPSON                  MARY         K           </v>
      </c>
      <c r="E22495" t="str">
        <f>"GERMANTOWN                "</f>
        <v xml:space="preserve">GERMANTOWN                </v>
      </c>
      <c r="F22495" t="str">
        <f t="shared" si="565"/>
        <v>TN</v>
      </c>
    </row>
    <row r="22496" spans="1:6" x14ac:dyDescent="0.25">
      <c r="A22496" t="str">
        <f>"008225812"</f>
        <v>008225812</v>
      </c>
      <c r="B22496" t="str">
        <f>"1437574902"</f>
        <v>1437574902</v>
      </c>
      <c r="C22496" t="str">
        <f>"363L00000X"</f>
        <v>363L00000X</v>
      </c>
      <c r="D22496" t="str">
        <f>"MCCOY                    RACHEL       N           "</f>
        <v xml:space="preserve">MCCOY                    RACHEL       N           </v>
      </c>
      <c r="E22496" t="str">
        <f>"MEMPHIS                   "</f>
        <v xml:space="preserve">MEMPHIS                   </v>
      </c>
      <c r="F22496" t="str">
        <f t="shared" si="565"/>
        <v>TN</v>
      </c>
    </row>
    <row r="22497" spans="1:6" x14ac:dyDescent="0.25">
      <c r="A22497" t="str">
        <f>"008226047"</f>
        <v>008226047</v>
      </c>
      <c r="B22497" t="str">
        <f>"1104816990"</f>
        <v>1104816990</v>
      </c>
      <c r="C22497" t="str">
        <f>"2084N0400X"</f>
        <v>2084N0400X</v>
      </c>
      <c r="D22497" t="str">
        <f>"ADAMOLEKUN               BOLANLE                  "</f>
        <v xml:space="preserve">ADAMOLEKUN               BOLANLE                  </v>
      </c>
      <c r="E22497" t="str">
        <f>"CORDOVA                   "</f>
        <v xml:space="preserve">CORDOVA                   </v>
      </c>
      <c r="F22497" t="str">
        <f t="shared" si="565"/>
        <v>TN</v>
      </c>
    </row>
    <row r="22498" spans="1:6" x14ac:dyDescent="0.25">
      <c r="A22498" t="str">
        <f>"008228780"</f>
        <v>008228780</v>
      </c>
      <c r="B22498" t="str">
        <f>"1659325587"</f>
        <v>1659325587</v>
      </c>
      <c r="C22498" t="str">
        <f>"2085R0202X"</f>
        <v>2085R0202X</v>
      </c>
      <c r="D22498" t="str">
        <f>"SHANKAR                  SRIDHAR                  "</f>
        <v xml:space="preserve">SHANKAR                  SRIDHAR                  </v>
      </c>
      <c r="E22498" t="str">
        <f>"GERMANTOWN                "</f>
        <v xml:space="preserve">GERMANTOWN                </v>
      </c>
      <c r="F22498" t="str">
        <f t="shared" si="565"/>
        <v>TN</v>
      </c>
    </row>
    <row r="22499" spans="1:6" x14ac:dyDescent="0.25">
      <c r="A22499" t="str">
        <f>"008229529"</f>
        <v>008229529</v>
      </c>
      <c r="B22499" t="str">
        <f>"1417378845"</f>
        <v>1417378845</v>
      </c>
      <c r="C22499" t="str">
        <f>"207ZP0102X"</f>
        <v>207ZP0102X</v>
      </c>
      <c r="D22499" t="str">
        <f>"OZA                      TWISHA                   "</f>
        <v xml:space="preserve">OZA                      TWISHA                   </v>
      </c>
      <c r="E22499" t="str">
        <f>"MEMPHIS                   "</f>
        <v xml:space="preserve">MEMPHIS                   </v>
      </c>
      <c r="F22499" t="str">
        <f t="shared" si="565"/>
        <v>TN</v>
      </c>
    </row>
    <row r="22500" spans="1:6" x14ac:dyDescent="0.25">
      <c r="A22500" t="str">
        <f>"008233503"</f>
        <v>008233503</v>
      </c>
      <c r="B22500" t="str">
        <f>"1689937781"</f>
        <v>1689937781</v>
      </c>
      <c r="C22500" t="str">
        <f>"207RI0011X"</f>
        <v>207RI0011X</v>
      </c>
      <c r="D22500" t="str">
        <f>"NAYYAR                   MANNU                    "</f>
        <v xml:space="preserve">NAYYAR                   MANNU                    </v>
      </c>
      <c r="E22500" t="str">
        <f>"MEMPHIS                   "</f>
        <v xml:space="preserve">MEMPHIS                   </v>
      </c>
      <c r="F22500" t="str">
        <f t="shared" si="565"/>
        <v>TN</v>
      </c>
    </row>
    <row r="22501" spans="1:6" x14ac:dyDescent="0.25">
      <c r="A22501" t="str">
        <f>"008237598"</f>
        <v>008237598</v>
      </c>
      <c r="B22501" t="str">
        <f>"1023425501"</f>
        <v>1023425501</v>
      </c>
      <c r="C22501" t="str">
        <f>"207R00000X"</f>
        <v>207R00000X</v>
      </c>
      <c r="D22501" t="str">
        <f>"NADELLA                  GEETH SANDEEP            "</f>
        <v xml:space="preserve">NADELLA                  GEETH SANDEEP            </v>
      </c>
      <c r="E22501" t="str">
        <f>"MEMPHIS                   "</f>
        <v xml:space="preserve">MEMPHIS                   </v>
      </c>
      <c r="F22501" t="str">
        <f t="shared" si="565"/>
        <v>TN</v>
      </c>
    </row>
    <row r="22502" spans="1:6" x14ac:dyDescent="0.25">
      <c r="A22502" t="str">
        <f>"008253332"</f>
        <v>008253332</v>
      </c>
      <c r="B22502" t="str">
        <f>"1750559233"</f>
        <v>1750559233</v>
      </c>
      <c r="C22502" t="str">
        <f>"207V00000X"</f>
        <v>207V00000X</v>
      </c>
      <c r="D22502" t="str">
        <f>"HOUSER                   MOLLY        V           "</f>
        <v xml:space="preserve">HOUSER                   MOLLY        V           </v>
      </c>
      <c r="E22502" t="str">
        <f>"MEMPHIS                   "</f>
        <v xml:space="preserve">MEMPHIS                   </v>
      </c>
      <c r="F22502" t="str">
        <f t="shared" si="565"/>
        <v>TN</v>
      </c>
    </row>
    <row r="22503" spans="1:6" x14ac:dyDescent="0.25">
      <c r="A22503" t="str">
        <f>"008259750"</f>
        <v>008259750</v>
      </c>
      <c r="B22503" t="str">
        <f>"1447269659"</f>
        <v>1447269659</v>
      </c>
      <c r="C22503" t="str">
        <f>"207RC0000X"</f>
        <v>207RC0000X</v>
      </c>
      <c r="D22503" t="str">
        <f>"KLEMIS                   JAMES        E           "</f>
        <v xml:space="preserve">KLEMIS                   JAMES        E           </v>
      </c>
      <c r="E22503" t="str">
        <f>"GERMANTOWN                "</f>
        <v xml:space="preserve">GERMANTOWN                </v>
      </c>
      <c r="F22503" t="str">
        <f t="shared" si="565"/>
        <v>TN</v>
      </c>
    </row>
    <row r="22504" spans="1:6" x14ac:dyDescent="0.25">
      <c r="A22504" t="str">
        <f>"008259861"</f>
        <v>008259861</v>
      </c>
      <c r="B22504" t="str">
        <f>"1982693313"</f>
        <v>1982693313</v>
      </c>
      <c r="C22504" t="str">
        <f>"207T00000X"</f>
        <v>207T00000X</v>
      </c>
      <c r="D22504" t="str">
        <f>"ARTHUR                   ADAM         S           "</f>
        <v xml:space="preserve">ARTHUR                   ADAM         S           </v>
      </c>
      <c r="E22504" t="str">
        <f>"MEMPHIS                   "</f>
        <v xml:space="preserve">MEMPHIS                   </v>
      </c>
      <c r="F22504" t="str">
        <f t="shared" si="565"/>
        <v>TN</v>
      </c>
    </row>
    <row r="22505" spans="1:6" x14ac:dyDescent="0.25">
      <c r="A22505" t="str">
        <f>"008271557"</f>
        <v>008271557</v>
      </c>
      <c r="B22505" t="str">
        <f>"1992962401"</f>
        <v>1992962401</v>
      </c>
      <c r="C22505" t="str">
        <f>"208000000X"</f>
        <v>208000000X</v>
      </c>
      <c r="D22505" t="str">
        <f>"CREWSE                   CANDICE      S           "</f>
        <v xml:space="preserve">CREWSE                   CANDICE      S           </v>
      </c>
      <c r="E22505" t="str">
        <f>"MEMPHIS                   "</f>
        <v xml:space="preserve">MEMPHIS                   </v>
      </c>
      <c r="F22505" t="str">
        <f t="shared" si="565"/>
        <v>TN</v>
      </c>
    </row>
    <row r="22506" spans="1:6" x14ac:dyDescent="0.25">
      <c r="A22506" t="str">
        <f>"008274763"</f>
        <v>008274763</v>
      </c>
      <c r="B22506" t="str">
        <f>"1487951042"</f>
        <v>1487951042</v>
      </c>
      <c r="C22506" t="str">
        <f>"363L00000X"</f>
        <v>363L00000X</v>
      </c>
      <c r="D22506" t="str">
        <f>"SCALLIONS                JOHN                     "</f>
        <v xml:space="preserve">SCALLIONS                JOHN                     </v>
      </c>
      <c r="E22506" t="str">
        <f>"GERMANTOWN                "</f>
        <v xml:space="preserve">GERMANTOWN                </v>
      </c>
      <c r="F22506" t="str">
        <f t="shared" si="565"/>
        <v>TN</v>
      </c>
    </row>
    <row r="22507" spans="1:6" x14ac:dyDescent="0.25">
      <c r="A22507" t="str">
        <f>"008284295"</f>
        <v>008284295</v>
      </c>
      <c r="B22507" t="str">
        <f>"1932105806"</f>
        <v>1932105806</v>
      </c>
      <c r="C22507" t="str">
        <f>"2080P0207X"</f>
        <v>2080P0207X</v>
      </c>
      <c r="D22507" t="str">
        <f>"GREEN                    DANIEL       M           "</f>
        <v xml:space="preserve">GREEN                    DANIEL       M           </v>
      </c>
      <c r="E22507" t="str">
        <f t="shared" ref="E22507:E22515" si="567">"MEMPHIS                   "</f>
        <v xml:space="preserve">MEMPHIS                   </v>
      </c>
      <c r="F22507" t="str">
        <f t="shared" si="565"/>
        <v>TN</v>
      </c>
    </row>
    <row r="22508" spans="1:6" x14ac:dyDescent="0.25">
      <c r="A22508" t="str">
        <f>"008287769"</f>
        <v>008287769</v>
      </c>
      <c r="B22508" t="str">
        <f>"1538543400"</f>
        <v>1538543400</v>
      </c>
      <c r="C22508" t="str">
        <f>"207L00000X"</f>
        <v>207L00000X</v>
      </c>
      <c r="D22508" t="str">
        <f>"CHANDRASHEKAR            ARVIND                   "</f>
        <v xml:space="preserve">CHANDRASHEKAR            ARVIND                   </v>
      </c>
      <c r="E22508" t="str">
        <f t="shared" si="567"/>
        <v xml:space="preserve">MEMPHIS                   </v>
      </c>
      <c r="F22508" t="str">
        <f t="shared" si="565"/>
        <v>TN</v>
      </c>
    </row>
    <row r="22509" spans="1:6" x14ac:dyDescent="0.25">
      <c r="A22509" t="str">
        <f>"008289259"</f>
        <v>008289259</v>
      </c>
      <c r="B22509" t="str">
        <f>"1366114829"</f>
        <v>1366114829</v>
      </c>
      <c r="C22509" t="str">
        <f>"363A00000X"</f>
        <v>363A00000X</v>
      </c>
      <c r="D22509" t="str">
        <f>"DEAL                     DAVID        A           "</f>
        <v xml:space="preserve">DEAL                     DAVID        A           </v>
      </c>
      <c r="E22509" t="str">
        <f t="shared" si="567"/>
        <v xml:space="preserve">MEMPHIS                   </v>
      </c>
      <c r="F22509" t="str">
        <f t="shared" si="565"/>
        <v>TN</v>
      </c>
    </row>
    <row r="22510" spans="1:6" x14ac:dyDescent="0.25">
      <c r="A22510" t="str">
        <f>"008302788"</f>
        <v>008302788</v>
      </c>
      <c r="B22510" t="str">
        <f>"1265922959"</f>
        <v>1265922959</v>
      </c>
      <c r="C22510" t="str">
        <f>"363L00000X"</f>
        <v>363L00000X</v>
      </c>
      <c r="D22510" t="str">
        <f>"PLUMHOFF                 VANCE        L           "</f>
        <v xml:space="preserve">PLUMHOFF                 VANCE        L           </v>
      </c>
      <c r="E22510" t="str">
        <f t="shared" si="567"/>
        <v xml:space="preserve">MEMPHIS                   </v>
      </c>
      <c r="F22510" t="str">
        <f t="shared" si="565"/>
        <v>TN</v>
      </c>
    </row>
    <row r="22511" spans="1:6" x14ac:dyDescent="0.25">
      <c r="A22511" t="str">
        <f>"008321115"</f>
        <v>008321115</v>
      </c>
      <c r="B22511" t="str">
        <f>"1255950937"</f>
        <v>1255950937</v>
      </c>
      <c r="C22511" t="str">
        <f>"363L00000X"</f>
        <v>363L00000X</v>
      </c>
      <c r="D22511" t="str">
        <f>"MURDOCK                  MONICA       E           "</f>
        <v xml:space="preserve">MURDOCK                  MONICA       E           </v>
      </c>
      <c r="E22511" t="str">
        <f t="shared" si="567"/>
        <v xml:space="preserve">MEMPHIS                   </v>
      </c>
      <c r="F22511" t="str">
        <f t="shared" si="565"/>
        <v>TN</v>
      </c>
    </row>
    <row r="22512" spans="1:6" x14ac:dyDescent="0.25">
      <c r="A22512" t="str">
        <f>"008329390"</f>
        <v>008329390</v>
      </c>
      <c r="B22512" t="str">
        <f>"1629504063"</f>
        <v>1629504063</v>
      </c>
      <c r="C22512" t="str">
        <f>"2084N0402X"</f>
        <v>2084N0402X</v>
      </c>
      <c r="D22512" t="str">
        <f>"SCHMIDT                  JENNY        R           "</f>
        <v xml:space="preserve">SCHMIDT                  JENNY        R           </v>
      </c>
      <c r="E22512" t="str">
        <f t="shared" si="567"/>
        <v xml:space="preserve">MEMPHIS                   </v>
      </c>
      <c r="F22512" t="str">
        <f t="shared" si="565"/>
        <v>TN</v>
      </c>
    </row>
    <row r="22513" spans="1:6" x14ac:dyDescent="0.25">
      <c r="A22513" t="str">
        <f>"008332262"</f>
        <v>008332262</v>
      </c>
      <c r="B22513" t="str">
        <f>"1265675201"</f>
        <v>1265675201</v>
      </c>
      <c r="C22513" t="str">
        <f>"207R00000X"</f>
        <v>207R00000X</v>
      </c>
      <c r="D22513" t="str">
        <f>"AGBAOSI                  OLUWATOYIN               "</f>
        <v xml:space="preserve">AGBAOSI                  OLUWATOYIN               </v>
      </c>
      <c r="E22513" t="str">
        <f t="shared" si="567"/>
        <v xml:space="preserve">MEMPHIS                   </v>
      </c>
      <c r="F22513" t="str">
        <f t="shared" si="565"/>
        <v>TN</v>
      </c>
    </row>
    <row r="22514" spans="1:6" x14ac:dyDescent="0.25">
      <c r="A22514" t="str">
        <f>"008357345"</f>
        <v>008357345</v>
      </c>
      <c r="B22514" t="str">
        <f>"1336145317"</f>
        <v>1336145317</v>
      </c>
      <c r="C22514" t="str">
        <f>"207R00000X"</f>
        <v>207R00000X</v>
      </c>
      <c r="D22514" t="str">
        <f>"ELLIS                    GARRETTSON   S           "</f>
        <v xml:space="preserve">ELLIS                    GARRETTSON   S           </v>
      </c>
      <c r="E22514" t="str">
        <f t="shared" si="567"/>
        <v xml:space="preserve">MEMPHIS                   </v>
      </c>
      <c r="F22514" t="str">
        <f t="shared" si="565"/>
        <v>TN</v>
      </c>
    </row>
    <row r="22515" spans="1:6" x14ac:dyDescent="0.25">
      <c r="A22515" t="str">
        <f>"008383055"</f>
        <v>008383055</v>
      </c>
      <c r="B22515" t="str">
        <f>"1508005570"</f>
        <v>1508005570</v>
      </c>
      <c r="C22515" t="str">
        <f>"207ZP0102X"</f>
        <v>207ZP0102X</v>
      </c>
      <c r="D22515" t="str">
        <f>"LOPEZ-CALDERON           LESLIE       E           "</f>
        <v xml:space="preserve">LOPEZ-CALDERON           LESLIE       E           </v>
      </c>
      <c r="E22515" t="str">
        <f t="shared" si="567"/>
        <v xml:space="preserve">MEMPHIS                   </v>
      </c>
      <c r="F22515" t="str">
        <f t="shared" si="565"/>
        <v>TN</v>
      </c>
    </row>
    <row r="22516" spans="1:6" x14ac:dyDescent="0.25">
      <c r="A22516" t="str">
        <f>"008385395"</f>
        <v>008385395</v>
      </c>
      <c r="B22516" t="str">
        <f>"1144823360"</f>
        <v>1144823360</v>
      </c>
      <c r="C22516" t="str">
        <f>"363L00000X"</f>
        <v>363L00000X</v>
      </c>
      <c r="D22516" t="str">
        <f>"DEMPSEY                  SARAH        P           "</f>
        <v xml:space="preserve">DEMPSEY                  SARAH        P           </v>
      </c>
      <c r="E22516" t="str">
        <f>"GERMANTOWN                "</f>
        <v xml:space="preserve">GERMANTOWN                </v>
      </c>
      <c r="F22516" t="str">
        <f t="shared" si="565"/>
        <v>TN</v>
      </c>
    </row>
    <row r="22517" spans="1:6" x14ac:dyDescent="0.25">
      <c r="A22517" t="str">
        <f>"008386014"</f>
        <v>008386014</v>
      </c>
      <c r="B22517" t="str">
        <f>"1073025698"</f>
        <v>1073025698</v>
      </c>
      <c r="C22517" t="str">
        <f>"363LF0000X"</f>
        <v>363LF0000X</v>
      </c>
      <c r="D22517" t="str">
        <f>"LLOYD                    ROYNETTA     B           "</f>
        <v xml:space="preserve">LLOYD                    ROYNETTA     B           </v>
      </c>
      <c r="E22517" t="str">
        <f>"MEMPHIS                   "</f>
        <v xml:space="preserve">MEMPHIS                   </v>
      </c>
      <c r="F22517" t="str">
        <f t="shared" si="565"/>
        <v>TN</v>
      </c>
    </row>
    <row r="22518" spans="1:6" x14ac:dyDescent="0.25">
      <c r="A22518" t="str">
        <f>"008408254"</f>
        <v>008408254</v>
      </c>
      <c r="B22518" t="str">
        <f>"1285869503"</f>
        <v>1285869503</v>
      </c>
      <c r="C22518" t="str">
        <f>"207RP1001X"</f>
        <v>207RP1001X</v>
      </c>
      <c r="D22518" t="str">
        <f>"WILDS                    NATHAN       E           "</f>
        <v xml:space="preserve">WILDS                    NATHAN       E           </v>
      </c>
      <c r="E22518" t="str">
        <f>"MEMPHIS                   "</f>
        <v xml:space="preserve">MEMPHIS                   </v>
      </c>
      <c r="F22518" t="str">
        <f t="shared" si="565"/>
        <v>TN</v>
      </c>
    </row>
    <row r="22519" spans="1:6" x14ac:dyDescent="0.25">
      <c r="A22519" t="str">
        <f>"008408361"</f>
        <v>008408361</v>
      </c>
      <c r="B22519" t="str">
        <f>"1285869362"</f>
        <v>1285869362</v>
      </c>
      <c r="C22519" t="str">
        <f>"2085R0001X"</f>
        <v>2085R0001X</v>
      </c>
      <c r="D22519" t="str">
        <f>"VANDERWALDE              NOAM         A           "</f>
        <v xml:space="preserve">VANDERWALDE              NOAM         A           </v>
      </c>
      <c r="E22519" t="str">
        <f>"GERMANTOWN                "</f>
        <v xml:space="preserve">GERMANTOWN                </v>
      </c>
      <c r="F22519" t="str">
        <f t="shared" si="565"/>
        <v>TN</v>
      </c>
    </row>
    <row r="22520" spans="1:6" x14ac:dyDescent="0.25">
      <c r="A22520" t="str">
        <f>"008421549"</f>
        <v>008421549</v>
      </c>
      <c r="B22520" t="str">
        <f>"1639408586"</f>
        <v>1639408586</v>
      </c>
      <c r="C22520" t="str">
        <f>"2080P0202X"</f>
        <v>2080P0202X</v>
      </c>
      <c r="D22520" t="str">
        <f>"BRICENO                  MARIO        E           "</f>
        <v xml:space="preserve">BRICENO                  MARIO        E           </v>
      </c>
      <c r="E22520" t="str">
        <f t="shared" ref="E22520:E22526" si="568">"MEMPHIS                   "</f>
        <v xml:space="preserve">MEMPHIS                   </v>
      </c>
      <c r="F22520" t="str">
        <f t="shared" si="565"/>
        <v>TN</v>
      </c>
    </row>
    <row r="22521" spans="1:6" x14ac:dyDescent="0.25">
      <c r="A22521" t="str">
        <f>"008423221"</f>
        <v>008423221</v>
      </c>
      <c r="B22521" t="str">
        <f>"1043793896"</f>
        <v>1043793896</v>
      </c>
      <c r="C22521" t="str">
        <f>"363L00000X"</f>
        <v>363L00000X</v>
      </c>
      <c r="D22521" t="str">
        <f>"HARDY                    LINDSAY      M           "</f>
        <v xml:space="preserve">HARDY                    LINDSAY      M           </v>
      </c>
      <c r="E22521" t="str">
        <f t="shared" si="568"/>
        <v xml:space="preserve">MEMPHIS                   </v>
      </c>
      <c r="F22521" t="str">
        <f t="shared" si="565"/>
        <v>TN</v>
      </c>
    </row>
    <row r="22522" spans="1:6" x14ac:dyDescent="0.25">
      <c r="A22522" t="str">
        <f>"008423500"</f>
        <v>008423500</v>
      </c>
      <c r="B22522" t="str">
        <f>"1871573097"</f>
        <v>1871573097</v>
      </c>
      <c r="C22522" t="str">
        <f>"208G00000X"</f>
        <v>208G00000X</v>
      </c>
      <c r="D22522" t="str">
        <f>"BRUCKNER                 BRIAN        A           "</f>
        <v xml:space="preserve">BRUCKNER                 BRIAN        A           </v>
      </c>
      <c r="E22522" t="str">
        <f t="shared" si="568"/>
        <v xml:space="preserve">MEMPHIS                   </v>
      </c>
      <c r="F22522" t="str">
        <f t="shared" si="565"/>
        <v>TN</v>
      </c>
    </row>
    <row r="22523" spans="1:6" x14ac:dyDescent="0.25">
      <c r="A22523" t="str">
        <f>"008425789"</f>
        <v>008425789</v>
      </c>
      <c r="B22523" t="str">
        <f>"1073061420"</f>
        <v>1073061420</v>
      </c>
      <c r="C22523" t="str">
        <f>"363LP0200X"</f>
        <v>363LP0200X</v>
      </c>
      <c r="D22523" t="str">
        <f>"MCIVOR                   CARRIE                   "</f>
        <v xml:space="preserve">MCIVOR                   CARRIE                   </v>
      </c>
      <c r="E22523" t="str">
        <f t="shared" si="568"/>
        <v xml:space="preserve">MEMPHIS                   </v>
      </c>
      <c r="F22523" t="str">
        <f t="shared" si="565"/>
        <v>TN</v>
      </c>
    </row>
    <row r="22524" spans="1:6" x14ac:dyDescent="0.25">
      <c r="A22524" t="str">
        <f>"008433883"</f>
        <v>008433883</v>
      </c>
      <c r="B22524" t="str">
        <f>"1033140777"</f>
        <v>1033140777</v>
      </c>
      <c r="C22524" t="str">
        <f>"2080P0207X"</f>
        <v>2080P0207X</v>
      </c>
      <c r="D22524" t="str">
        <f>"TAKEMOTO                 CLIFFORD     M           "</f>
        <v xml:space="preserve">TAKEMOTO                 CLIFFORD     M           </v>
      </c>
      <c r="E22524" t="str">
        <f t="shared" si="568"/>
        <v xml:space="preserve">MEMPHIS                   </v>
      </c>
      <c r="F22524" t="str">
        <f t="shared" si="565"/>
        <v>TN</v>
      </c>
    </row>
    <row r="22525" spans="1:6" x14ac:dyDescent="0.25">
      <c r="A22525" t="str">
        <f>"008436376"</f>
        <v>008436376</v>
      </c>
      <c r="B22525" t="str">
        <f>"1760448898"</f>
        <v>1760448898</v>
      </c>
      <c r="C22525" t="str">
        <f>"207L00000X"</f>
        <v>207L00000X</v>
      </c>
      <c r="D22525" t="str">
        <f>"BROMLEY                  HOWARD                   "</f>
        <v xml:space="preserve">BROMLEY                  HOWARD                   </v>
      </c>
      <c r="E22525" t="str">
        <f t="shared" si="568"/>
        <v xml:space="preserve">MEMPHIS                   </v>
      </c>
      <c r="F22525" t="str">
        <f t="shared" si="565"/>
        <v>TN</v>
      </c>
    </row>
    <row r="22526" spans="1:6" x14ac:dyDescent="0.25">
      <c r="A22526" t="str">
        <f>"008450389"</f>
        <v>008450389</v>
      </c>
      <c r="B22526" t="str">
        <f>"1972091783"</f>
        <v>1972091783</v>
      </c>
      <c r="C22526" t="str">
        <f>"367500000X"</f>
        <v>367500000X</v>
      </c>
      <c r="D22526" t="str">
        <f>"CHAPMAN                  TERREN       J           "</f>
        <v xml:space="preserve">CHAPMAN                  TERREN       J           </v>
      </c>
      <c r="E22526" t="str">
        <f t="shared" si="568"/>
        <v xml:space="preserve">MEMPHIS                   </v>
      </c>
      <c r="F22526" t="str">
        <f t="shared" ref="F22526:F22589" si="569">"TN"</f>
        <v>TN</v>
      </c>
    </row>
    <row r="22527" spans="1:6" x14ac:dyDescent="0.25">
      <c r="A22527" t="str">
        <f>"008458064"</f>
        <v>008458064</v>
      </c>
      <c r="B22527" t="str">
        <f>"1801813985"</f>
        <v>1801813985</v>
      </c>
      <c r="C22527" t="str">
        <f>"207Q00000X"</f>
        <v>207Q00000X</v>
      </c>
      <c r="D22527" t="str">
        <f>"FONG                     YUEN-YEE                 "</f>
        <v xml:space="preserve">FONG                     YUEN-YEE                 </v>
      </c>
      <c r="E22527" t="str">
        <f>"CORDOVA                   "</f>
        <v xml:space="preserve">CORDOVA                   </v>
      </c>
      <c r="F22527" t="str">
        <f t="shared" si="569"/>
        <v>TN</v>
      </c>
    </row>
    <row r="22528" spans="1:6" x14ac:dyDescent="0.25">
      <c r="A22528" t="str">
        <f>"008470899"</f>
        <v>008470899</v>
      </c>
      <c r="B22528" t="str">
        <f>"1073006946"</f>
        <v>1073006946</v>
      </c>
      <c r="C22528" t="str">
        <f>"207R00000X"</f>
        <v>207R00000X</v>
      </c>
      <c r="D22528" t="str">
        <f>"MAVURI                   PRITHVI      G           "</f>
        <v xml:space="preserve">MAVURI                   PRITHVI      G           </v>
      </c>
      <c r="E22528" t="str">
        <f>"MEMPHIS                   "</f>
        <v xml:space="preserve">MEMPHIS                   </v>
      </c>
      <c r="F22528" t="str">
        <f t="shared" si="569"/>
        <v>TN</v>
      </c>
    </row>
    <row r="22529" spans="1:6" x14ac:dyDescent="0.25">
      <c r="A22529" t="str">
        <f>"008474850"</f>
        <v>008474850</v>
      </c>
      <c r="B22529" t="str">
        <f>"1235438698"</f>
        <v>1235438698</v>
      </c>
      <c r="C22529" t="str">
        <f>"2080P0207X"</f>
        <v>2080P0207X</v>
      </c>
      <c r="D22529" t="str">
        <f>"VELASQUEZ                MIREYA       P           "</f>
        <v xml:space="preserve">VELASQUEZ                MIREYA       P           </v>
      </c>
      <c r="E22529" t="str">
        <f>"MEMPHIS                   "</f>
        <v xml:space="preserve">MEMPHIS                   </v>
      </c>
      <c r="F22529" t="str">
        <f t="shared" si="569"/>
        <v>TN</v>
      </c>
    </row>
    <row r="22530" spans="1:6" x14ac:dyDescent="0.25">
      <c r="A22530" t="str">
        <f>"008484348"</f>
        <v>008484348</v>
      </c>
      <c r="B22530" t="str">
        <f>"1154633857"</f>
        <v>1154633857</v>
      </c>
      <c r="C22530" t="str">
        <f>"207RH0000X"</f>
        <v>207RH0000X</v>
      </c>
      <c r="D22530" t="str">
        <f>"WIEDOWER                 ERIC         R           "</f>
        <v xml:space="preserve">WIEDOWER                 ERIC         R           </v>
      </c>
      <c r="E22530" t="str">
        <f>"GERMANTOWN                "</f>
        <v xml:space="preserve">GERMANTOWN                </v>
      </c>
      <c r="F22530" t="str">
        <f t="shared" si="569"/>
        <v>TN</v>
      </c>
    </row>
    <row r="22531" spans="1:6" x14ac:dyDescent="0.25">
      <c r="A22531" t="str">
        <f>"008484754"</f>
        <v>008484754</v>
      </c>
      <c r="B22531" t="str">
        <f>"1629431226"</f>
        <v>1629431226</v>
      </c>
      <c r="C22531" t="str">
        <f>"363L00000X"</f>
        <v>363L00000X</v>
      </c>
      <c r="D22531" t="str">
        <f>"WILES                    SARA         E           "</f>
        <v xml:space="preserve">WILES                    SARA         E           </v>
      </c>
      <c r="E22531" t="str">
        <f>"GERMANTOWN                "</f>
        <v xml:space="preserve">GERMANTOWN                </v>
      </c>
      <c r="F22531" t="str">
        <f t="shared" si="569"/>
        <v>TN</v>
      </c>
    </row>
    <row r="22532" spans="1:6" x14ac:dyDescent="0.25">
      <c r="A22532" t="str">
        <f>"008500056"</f>
        <v>008500056</v>
      </c>
      <c r="B22532" t="str">
        <f>"1083603641"</f>
        <v>1083603641</v>
      </c>
      <c r="C22532" t="str">
        <f>"208000000X"</f>
        <v>208000000X</v>
      </c>
      <c r="D22532" t="str">
        <f>"MUHLBAUER                MICHAEL      S           "</f>
        <v xml:space="preserve">MUHLBAUER                MICHAEL      S           </v>
      </c>
      <c r="E22532" t="str">
        <f t="shared" ref="E22532:E22538" si="570">"MEMPHIS                   "</f>
        <v xml:space="preserve">MEMPHIS                   </v>
      </c>
      <c r="F22532" t="str">
        <f t="shared" si="569"/>
        <v>TN</v>
      </c>
    </row>
    <row r="22533" spans="1:6" x14ac:dyDescent="0.25">
      <c r="A22533" t="str">
        <f>"008503293"</f>
        <v>008503293</v>
      </c>
      <c r="B22533" t="str">
        <f>"1083830749"</f>
        <v>1083830749</v>
      </c>
      <c r="C22533" t="str">
        <f>"2085R0202X"</f>
        <v>2085R0202X</v>
      </c>
      <c r="D22533" t="str">
        <f>"HOLMAN                   BENJAMIN     C           "</f>
        <v xml:space="preserve">HOLMAN                   BENJAMIN     C           </v>
      </c>
      <c r="E22533" t="str">
        <f t="shared" si="570"/>
        <v xml:space="preserve">MEMPHIS                   </v>
      </c>
      <c r="F22533" t="str">
        <f t="shared" si="569"/>
        <v>TN</v>
      </c>
    </row>
    <row r="22534" spans="1:6" x14ac:dyDescent="0.25">
      <c r="A22534" t="str">
        <f>"008531701"</f>
        <v>008531701</v>
      </c>
      <c r="B22534" t="str">
        <f>"1437545662"</f>
        <v>1437545662</v>
      </c>
      <c r="C22534" t="str">
        <f>"207R00000X"</f>
        <v>207R00000X</v>
      </c>
      <c r="D22534" t="str">
        <f>"JACKSON                  CHRISTOPHER  D           "</f>
        <v xml:space="preserve">JACKSON                  CHRISTOPHER  D           </v>
      </c>
      <c r="E22534" t="str">
        <f t="shared" si="570"/>
        <v xml:space="preserve">MEMPHIS                   </v>
      </c>
      <c r="F22534" t="str">
        <f t="shared" si="569"/>
        <v>TN</v>
      </c>
    </row>
    <row r="22535" spans="1:6" x14ac:dyDescent="0.25">
      <c r="A22535" t="str">
        <f>"008532239"</f>
        <v>008532239</v>
      </c>
      <c r="B22535" t="str">
        <f>"1932663911"</f>
        <v>1932663911</v>
      </c>
      <c r="C22535" t="str">
        <f>"367A00000X"</f>
        <v>367A00000X</v>
      </c>
      <c r="D22535" t="str">
        <f>"HALLFORD                 MARIA        R           "</f>
        <v xml:space="preserve">HALLFORD                 MARIA        R           </v>
      </c>
      <c r="E22535" t="str">
        <f t="shared" si="570"/>
        <v xml:space="preserve">MEMPHIS                   </v>
      </c>
      <c r="F22535" t="str">
        <f t="shared" si="569"/>
        <v>TN</v>
      </c>
    </row>
    <row r="22536" spans="1:6" x14ac:dyDescent="0.25">
      <c r="A22536" t="str">
        <f>"008552375"</f>
        <v>008552375</v>
      </c>
      <c r="B22536" t="str">
        <f>"1881270536"</f>
        <v>1881270536</v>
      </c>
      <c r="C22536" t="str">
        <f>"363L00000X"</f>
        <v>363L00000X</v>
      </c>
      <c r="D22536" t="str">
        <f>"WARD                     AINDREA      M           "</f>
        <v xml:space="preserve">WARD                     AINDREA      M           </v>
      </c>
      <c r="E22536" t="str">
        <f t="shared" si="570"/>
        <v xml:space="preserve">MEMPHIS                   </v>
      </c>
      <c r="F22536" t="str">
        <f t="shared" si="569"/>
        <v>TN</v>
      </c>
    </row>
    <row r="22537" spans="1:6" x14ac:dyDescent="0.25">
      <c r="A22537" t="str">
        <f>"008577323"</f>
        <v>008577323</v>
      </c>
      <c r="B22537" t="str">
        <f>"1619362688"</f>
        <v>1619362688</v>
      </c>
      <c r="C22537" t="str">
        <f>"2080P0207X"</f>
        <v>2080P0207X</v>
      </c>
      <c r="D22537" t="str">
        <f>"HU                       ZHONGBO                  "</f>
        <v xml:space="preserve">HU                       ZHONGBO                  </v>
      </c>
      <c r="E22537" t="str">
        <f t="shared" si="570"/>
        <v xml:space="preserve">MEMPHIS                   </v>
      </c>
      <c r="F22537" t="str">
        <f t="shared" si="569"/>
        <v>TN</v>
      </c>
    </row>
    <row r="22538" spans="1:6" x14ac:dyDescent="0.25">
      <c r="A22538" t="str">
        <f>"008583561"</f>
        <v>008583561</v>
      </c>
      <c r="B22538" t="str">
        <f>"1649492109"</f>
        <v>1649492109</v>
      </c>
      <c r="C22538" t="str">
        <f>"2080P0207X"</f>
        <v>2080P0207X</v>
      </c>
      <c r="D22538" t="str">
        <f>"EHRHARDT                 MATTHEW      J           "</f>
        <v xml:space="preserve">EHRHARDT                 MATTHEW      J           </v>
      </c>
      <c r="E22538" t="str">
        <f t="shared" si="570"/>
        <v xml:space="preserve">MEMPHIS                   </v>
      </c>
      <c r="F22538" t="str">
        <f t="shared" si="569"/>
        <v>TN</v>
      </c>
    </row>
    <row r="22539" spans="1:6" x14ac:dyDescent="0.25">
      <c r="A22539" t="str">
        <f>"008587573"</f>
        <v>008587573</v>
      </c>
      <c r="B22539" t="str">
        <f>"1679950679"</f>
        <v>1679950679</v>
      </c>
      <c r="C22539" t="str">
        <f>"207Q00000X"</f>
        <v>207Q00000X</v>
      </c>
      <c r="D22539" t="str">
        <f>"BUSBY                    CHARLIE                  "</f>
        <v xml:space="preserve">BUSBY                    CHARLIE                  </v>
      </c>
      <c r="E22539" t="str">
        <f>"COVINGTON                 "</f>
        <v xml:space="preserve">COVINGTON                 </v>
      </c>
      <c r="F22539" t="str">
        <f t="shared" si="569"/>
        <v>TN</v>
      </c>
    </row>
    <row r="22540" spans="1:6" x14ac:dyDescent="0.25">
      <c r="A22540" t="str">
        <f>"008600086"</f>
        <v>008600086</v>
      </c>
      <c r="B22540" t="str">
        <f>"1134573777"</f>
        <v>1134573777</v>
      </c>
      <c r="C22540" t="str">
        <f>"207P00000X"</f>
        <v>207P00000X</v>
      </c>
      <c r="D22540" t="str">
        <f>"ADDINGTON                AMANDA       L           "</f>
        <v xml:space="preserve">ADDINGTON                AMANDA       L           </v>
      </c>
      <c r="E22540" t="str">
        <f>"COLLIERVILLE              "</f>
        <v xml:space="preserve">COLLIERVILLE              </v>
      </c>
      <c r="F22540" t="str">
        <f t="shared" si="569"/>
        <v>TN</v>
      </c>
    </row>
    <row r="22541" spans="1:6" x14ac:dyDescent="0.25">
      <c r="A22541" t="str">
        <f>"008602892"</f>
        <v>008602892</v>
      </c>
      <c r="B22541" t="str">
        <f>"1538315304"</f>
        <v>1538315304</v>
      </c>
      <c r="C22541" t="str">
        <f>"207RC0200X"</f>
        <v>207RC0200X</v>
      </c>
      <c r="D22541" t="str">
        <f>"SHAH                     SAMIR        H           "</f>
        <v xml:space="preserve">SHAH                     SAMIR        H           </v>
      </c>
      <c r="E22541" t="str">
        <f t="shared" ref="E22541:E22552" si="571">"MEMPHIS                   "</f>
        <v xml:space="preserve">MEMPHIS                   </v>
      </c>
      <c r="F22541" t="str">
        <f t="shared" si="569"/>
        <v>TN</v>
      </c>
    </row>
    <row r="22542" spans="1:6" x14ac:dyDescent="0.25">
      <c r="A22542" t="str">
        <f>"008606241"</f>
        <v>008606241</v>
      </c>
      <c r="B22542" t="str">
        <f>"1740499417"</f>
        <v>1740499417</v>
      </c>
      <c r="C22542" t="str">
        <f>"363LP0200X"</f>
        <v>363LP0200X</v>
      </c>
      <c r="D22542" t="str">
        <f>"DOCKERY                  NICOLE                   "</f>
        <v xml:space="preserve">DOCKERY                  NICOLE                   </v>
      </c>
      <c r="E22542" t="str">
        <f t="shared" si="571"/>
        <v xml:space="preserve">MEMPHIS                   </v>
      </c>
      <c r="F22542" t="str">
        <f t="shared" si="569"/>
        <v>TN</v>
      </c>
    </row>
    <row r="22543" spans="1:6" x14ac:dyDescent="0.25">
      <c r="A22543" t="str">
        <f>"008607087"</f>
        <v>008607087</v>
      </c>
      <c r="B22543" t="str">
        <f>"1265428676"</f>
        <v>1265428676</v>
      </c>
      <c r="C22543" t="str">
        <f>"207RH0003X"</f>
        <v>207RH0003X</v>
      </c>
      <c r="D22543" t="str">
        <f>"CARTER                   PETER        W           "</f>
        <v xml:space="preserve">CARTER                   PETER        W           </v>
      </c>
      <c r="E22543" t="str">
        <f t="shared" si="571"/>
        <v xml:space="preserve">MEMPHIS                   </v>
      </c>
      <c r="F22543" t="str">
        <f t="shared" si="569"/>
        <v>TN</v>
      </c>
    </row>
    <row r="22544" spans="1:6" x14ac:dyDescent="0.25">
      <c r="A22544" t="str">
        <f>"008609297"</f>
        <v>008609297</v>
      </c>
      <c r="B22544" t="str">
        <f>"1306086632"</f>
        <v>1306086632</v>
      </c>
      <c r="C22544" t="str">
        <f>"207RH0000X"</f>
        <v>207RH0000X</v>
      </c>
      <c r="D22544" t="str">
        <f>"ZHANG                    HUI                      "</f>
        <v xml:space="preserve">ZHANG                    HUI                      </v>
      </c>
      <c r="E22544" t="str">
        <f t="shared" si="571"/>
        <v xml:space="preserve">MEMPHIS                   </v>
      </c>
      <c r="F22544" t="str">
        <f t="shared" si="569"/>
        <v>TN</v>
      </c>
    </row>
    <row r="22545" spans="1:6" x14ac:dyDescent="0.25">
      <c r="A22545" t="str">
        <f>"008624325"</f>
        <v>008624325</v>
      </c>
      <c r="B22545" t="str">
        <f>"1861763666"</f>
        <v>1861763666</v>
      </c>
      <c r="C22545" t="str">
        <f>"367500000X"</f>
        <v>367500000X</v>
      </c>
      <c r="D22545" t="str">
        <f>"SMITH                    JESSICA      A           "</f>
        <v xml:space="preserve">SMITH                    JESSICA      A           </v>
      </c>
      <c r="E22545" t="str">
        <f t="shared" si="571"/>
        <v xml:space="preserve">MEMPHIS                   </v>
      </c>
      <c r="F22545" t="str">
        <f t="shared" si="569"/>
        <v>TN</v>
      </c>
    </row>
    <row r="22546" spans="1:6" x14ac:dyDescent="0.25">
      <c r="A22546" t="str">
        <f>"008639049"</f>
        <v>008639049</v>
      </c>
      <c r="B22546" t="str">
        <f>"1497932024"</f>
        <v>1497932024</v>
      </c>
      <c r="C22546" t="str">
        <f>"208000000X"</f>
        <v>208000000X</v>
      </c>
      <c r="D22546" t="str">
        <f>"PAYTON                   STEPHANIE    A           "</f>
        <v xml:space="preserve">PAYTON                   STEPHANIE    A           </v>
      </c>
      <c r="E22546" t="str">
        <f t="shared" si="571"/>
        <v xml:space="preserve">MEMPHIS                   </v>
      </c>
      <c r="F22546" t="str">
        <f t="shared" si="569"/>
        <v>TN</v>
      </c>
    </row>
    <row r="22547" spans="1:6" x14ac:dyDescent="0.25">
      <c r="A22547" t="str">
        <f>"008639852"</f>
        <v>008639852</v>
      </c>
      <c r="B22547" t="str">
        <f>"1831170448"</f>
        <v>1831170448</v>
      </c>
      <c r="C22547" t="str">
        <f>"207R00000X"</f>
        <v>207R00000X</v>
      </c>
      <c r="D22547" t="str">
        <f>"SANDS                    CHRISTOPHER              "</f>
        <v xml:space="preserve">SANDS                    CHRISTOPHER              </v>
      </c>
      <c r="E22547" t="str">
        <f t="shared" si="571"/>
        <v xml:space="preserve">MEMPHIS                   </v>
      </c>
      <c r="F22547" t="str">
        <f t="shared" si="569"/>
        <v>TN</v>
      </c>
    </row>
    <row r="22548" spans="1:6" x14ac:dyDescent="0.25">
      <c r="A22548" t="str">
        <f>"008670895"</f>
        <v>008670895</v>
      </c>
      <c r="B22548" t="str">
        <f>"1669458162"</f>
        <v>1669458162</v>
      </c>
      <c r="C22548" t="str">
        <f>"207W00000X"</f>
        <v>207W00000X</v>
      </c>
      <c r="D22548" t="str">
        <f>"SMITH                    BRIAN        D           "</f>
        <v xml:space="preserve">SMITH                    BRIAN        D           </v>
      </c>
      <c r="E22548" t="str">
        <f t="shared" si="571"/>
        <v xml:space="preserve">MEMPHIS                   </v>
      </c>
      <c r="F22548" t="str">
        <f t="shared" si="569"/>
        <v>TN</v>
      </c>
    </row>
    <row r="22549" spans="1:6" x14ac:dyDescent="0.25">
      <c r="A22549" t="str">
        <f>"008675800"</f>
        <v>008675800</v>
      </c>
      <c r="B22549" t="str">
        <f>"1376062729"</f>
        <v>1376062729</v>
      </c>
      <c r="C22549" t="str">
        <f>"152W00000X"</f>
        <v>152W00000X</v>
      </c>
      <c r="D22549" t="str">
        <f>"SILDIRYAN                LORIG                    "</f>
        <v xml:space="preserve">SILDIRYAN                LORIG                    </v>
      </c>
      <c r="E22549" t="str">
        <f t="shared" si="571"/>
        <v xml:space="preserve">MEMPHIS                   </v>
      </c>
      <c r="F22549" t="str">
        <f t="shared" si="569"/>
        <v>TN</v>
      </c>
    </row>
    <row r="22550" spans="1:6" x14ac:dyDescent="0.25">
      <c r="A22550" t="str">
        <f>"008683884"</f>
        <v>008683884</v>
      </c>
      <c r="B22550" t="str">
        <f>"1164968202"</f>
        <v>1164968202</v>
      </c>
      <c r="C22550" t="str">
        <f>"363L00000X"</f>
        <v>363L00000X</v>
      </c>
      <c r="D22550" t="str">
        <f>"NGUYEN                   CHUONG       H           "</f>
        <v xml:space="preserve">NGUYEN                   CHUONG       H           </v>
      </c>
      <c r="E22550" t="str">
        <f t="shared" si="571"/>
        <v xml:space="preserve">MEMPHIS                   </v>
      </c>
      <c r="F22550" t="str">
        <f t="shared" si="569"/>
        <v>TN</v>
      </c>
    </row>
    <row r="22551" spans="1:6" x14ac:dyDescent="0.25">
      <c r="A22551" t="str">
        <f>"008684041"</f>
        <v>008684041</v>
      </c>
      <c r="B22551" t="str">
        <f>"1427443142"</f>
        <v>1427443142</v>
      </c>
      <c r="C22551" t="str">
        <f>"363L00000X"</f>
        <v>363L00000X</v>
      </c>
      <c r="D22551" t="str">
        <f>"SMITH YOUNG              JAMILA       S           "</f>
        <v xml:space="preserve">SMITH YOUNG              JAMILA       S           </v>
      </c>
      <c r="E22551" t="str">
        <f t="shared" si="571"/>
        <v xml:space="preserve">MEMPHIS                   </v>
      </c>
      <c r="F22551" t="str">
        <f t="shared" si="569"/>
        <v>TN</v>
      </c>
    </row>
    <row r="22552" spans="1:6" x14ac:dyDescent="0.25">
      <c r="A22552" t="str">
        <f>"008686298"</f>
        <v>008686298</v>
      </c>
      <c r="B22552" t="str">
        <f>"1114589496"</f>
        <v>1114589496</v>
      </c>
      <c r="C22552" t="str">
        <f>"363L00000X"</f>
        <v>363L00000X</v>
      </c>
      <c r="D22552" t="str">
        <f>"PETERS                   EMILY        P           "</f>
        <v xml:space="preserve">PETERS                   EMILY        P           </v>
      </c>
      <c r="E22552" t="str">
        <f t="shared" si="571"/>
        <v xml:space="preserve">MEMPHIS                   </v>
      </c>
      <c r="F22552" t="str">
        <f t="shared" si="569"/>
        <v>TN</v>
      </c>
    </row>
    <row r="22553" spans="1:6" x14ac:dyDescent="0.25">
      <c r="A22553" t="str">
        <f>"008687765"</f>
        <v>008687765</v>
      </c>
      <c r="B22553" t="str">
        <f>"1902926264"</f>
        <v>1902926264</v>
      </c>
      <c r="C22553" t="str">
        <f>"2085R0202X"</f>
        <v>2085R0202X</v>
      </c>
      <c r="D22553" t="str">
        <f>"DIDIER                   SCOTT        D           "</f>
        <v xml:space="preserve">DIDIER                   SCOTT        D           </v>
      </c>
      <c r="E22553" t="str">
        <f>"GERMANTOWN                "</f>
        <v xml:space="preserve">GERMANTOWN                </v>
      </c>
      <c r="F22553" t="str">
        <f t="shared" si="569"/>
        <v>TN</v>
      </c>
    </row>
    <row r="22554" spans="1:6" x14ac:dyDescent="0.25">
      <c r="A22554" t="str">
        <f>"008688774"</f>
        <v>008688774</v>
      </c>
      <c r="B22554" t="str">
        <f>"1154592640"</f>
        <v>1154592640</v>
      </c>
      <c r="C22554" t="str">
        <f>"363L00000X"</f>
        <v>363L00000X</v>
      </c>
      <c r="D22554" t="str">
        <f>"BURGHEN                  ELIZABETH                "</f>
        <v xml:space="preserve">BURGHEN                  ELIZABETH                </v>
      </c>
      <c r="E22554" t="str">
        <f>"MEMPHIS                   "</f>
        <v xml:space="preserve">MEMPHIS                   </v>
      </c>
      <c r="F22554" t="str">
        <f t="shared" si="569"/>
        <v>TN</v>
      </c>
    </row>
    <row r="22555" spans="1:6" x14ac:dyDescent="0.25">
      <c r="A22555" t="str">
        <f>"008703294"</f>
        <v>008703294</v>
      </c>
      <c r="B22555" t="str">
        <f>"1568925303"</f>
        <v>1568925303</v>
      </c>
      <c r="C22555" t="str">
        <f>"208000000X"</f>
        <v>208000000X</v>
      </c>
      <c r="D22555" t="str">
        <f>"ROBINSON                 BRITTAIN                 "</f>
        <v xml:space="preserve">ROBINSON                 BRITTAIN                 </v>
      </c>
      <c r="E22555" t="str">
        <f>"MEMPHIS                   "</f>
        <v xml:space="preserve">MEMPHIS                   </v>
      </c>
      <c r="F22555" t="str">
        <f t="shared" si="569"/>
        <v>TN</v>
      </c>
    </row>
    <row r="22556" spans="1:6" x14ac:dyDescent="0.25">
      <c r="A22556" t="str">
        <f>"008723743"</f>
        <v>008723743</v>
      </c>
      <c r="B22556" t="str">
        <f>"1275841595"</f>
        <v>1275841595</v>
      </c>
      <c r="C22556" t="str">
        <f>"207R00000X"</f>
        <v>207R00000X</v>
      </c>
      <c r="D22556" t="str">
        <f>"DAMERA                   GODA         P           "</f>
        <v xml:space="preserve">DAMERA                   GODA         P           </v>
      </c>
      <c r="E22556" t="str">
        <f>"MEMPHIS                   "</f>
        <v xml:space="preserve">MEMPHIS                   </v>
      </c>
      <c r="F22556" t="str">
        <f t="shared" si="569"/>
        <v>TN</v>
      </c>
    </row>
    <row r="22557" spans="1:6" x14ac:dyDescent="0.25">
      <c r="A22557" t="str">
        <f>"008728277"</f>
        <v>008728277</v>
      </c>
      <c r="B22557" t="str">
        <f>"1801830849"</f>
        <v>1801830849</v>
      </c>
      <c r="C22557" t="str">
        <f>"207RC0200X"</f>
        <v>207RC0200X</v>
      </c>
      <c r="D22557" t="str">
        <f>"OKPOR                    KENNETH      A           "</f>
        <v xml:space="preserve">OKPOR                    KENNETH      A           </v>
      </c>
      <c r="E22557" t="str">
        <f>"GERMANTOWN                "</f>
        <v xml:space="preserve">GERMANTOWN                </v>
      </c>
      <c r="F22557" t="str">
        <f t="shared" si="569"/>
        <v>TN</v>
      </c>
    </row>
    <row r="22558" spans="1:6" x14ac:dyDescent="0.25">
      <c r="A22558" t="str">
        <f>"008759340"</f>
        <v>008759340</v>
      </c>
      <c r="B22558" t="str">
        <f>"1750732582"</f>
        <v>1750732582</v>
      </c>
      <c r="C22558" t="str">
        <f>"363L00000X"</f>
        <v>363L00000X</v>
      </c>
      <c r="D22558" t="str">
        <f>"EAVES                    AMANDA       L           "</f>
        <v xml:space="preserve">EAVES                    AMANDA       L           </v>
      </c>
      <c r="E22558" t="str">
        <f>"MEMPHIS                   "</f>
        <v xml:space="preserve">MEMPHIS                   </v>
      </c>
      <c r="F22558" t="str">
        <f t="shared" si="569"/>
        <v>TN</v>
      </c>
    </row>
    <row r="22559" spans="1:6" x14ac:dyDescent="0.25">
      <c r="A22559" t="str">
        <f>"008773256"</f>
        <v>008773256</v>
      </c>
      <c r="B22559" t="str">
        <f>"1255535613"</f>
        <v>1255535613</v>
      </c>
      <c r="C22559" t="str">
        <f>"207RC0200X"</f>
        <v>207RC0200X</v>
      </c>
      <c r="D22559" t="str">
        <f>"CURRY                    RAVIS        B           "</f>
        <v xml:space="preserve">CURRY                    RAVIS        B           </v>
      </c>
      <c r="E22559" t="str">
        <f>"GERMANTOWN                "</f>
        <v xml:space="preserve">GERMANTOWN                </v>
      </c>
      <c r="F22559" t="str">
        <f t="shared" si="569"/>
        <v>TN</v>
      </c>
    </row>
    <row r="22560" spans="1:6" x14ac:dyDescent="0.25">
      <c r="A22560" t="str">
        <f>"008776760"</f>
        <v>008776760</v>
      </c>
      <c r="B22560" t="str">
        <f>"1598180812"</f>
        <v>1598180812</v>
      </c>
      <c r="C22560" t="str">
        <f>"363L00000X"</f>
        <v>363L00000X</v>
      </c>
      <c r="D22560" t="str">
        <f>"MASTERS                  HELEN        R           "</f>
        <v xml:space="preserve">MASTERS                  HELEN        R           </v>
      </c>
      <c r="E22560" t="str">
        <f>"MEMPHIS                   "</f>
        <v xml:space="preserve">MEMPHIS                   </v>
      </c>
      <c r="F22560" t="str">
        <f t="shared" si="569"/>
        <v>TN</v>
      </c>
    </row>
    <row r="22561" spans="1:6" x14ac:dyDescent="0.25">
      <c r="A22561" t="str">
        <f>"008777852"</f>
        <v>008777852</v>
      </c>
      <c r="B22561" t="str">
        <f>"1225349251"</f>
        <v>1225349251</v>
      </c>
      <c r="C22561" t="str">
        <f>"363L00000X"</f>
        <v>363L00000X</v>
      </c>
      <c r="D22561" t="str">
        <f>"CRAWFORD                 SHERITA      G           "</f>
        <v xml:space="preserve">CRAWFORD                 SHERITA      G           </v>
      </c>
      <c r="E22561" t="str">
        <f>"GERMANTOWN                "</f>
        <v xml:space="preserve">GERMANTOWN                </v>
      </c>
      <c r="F22561" t="str">
        <f t="shared" si="569"/>
        <v>TN</v>
      </c>
    </row>
    <row r="22562" spans="1:6" x14ac:dyDescent="0.25">
      <c r="A22562" t="str">
        <f>"008784071"</f>
        <v>008784071</v>
      </c>
      <c r="B22562" t="str">
        <f>"1548847643"</f>
        <v>1548847643</v>
      </c>
      <c r="C22562" t="str">
        <f>"367500000X"</f>
        <v>367500000X</v>
      </c>
      <c r="D22562" t="str">
        <f>"HOANG                    HELEN        T           "</f>
        <v xml:space="preserve">HOANG                    HELEN        T           </v>
      </c>
      <c r="E22562" t="str">
        <f t="shared" ref="E22562:E22567" si="572">"MEMPHIS                   "</f>
        <v xml:space="preserve">MEMPHIS                   </v>
      </c>
      <c r="F22562" t="str">
        <f t="shared" si="569"/>
        <v>TN</v>
      </c>
    </row>
    <row r="22563" spans="1:6" x14ac:dyDescent="0.25">
      <c r="A22563" t="str">
        <f>"008784809"</f>
        <v>008784809</v>
      </c>
      <c r="B22563" t="str">
        <f>"1124522016"</f>
        <v>1124522016</v>
      </c>
      <c r="C22563" t="str">
        <f>"363L00000X"</f>
        <v>363L00000X</v>
      </c>
      <c r="D22563" t="str">
        <f>"BENNETT                  MORGAN       M           "</f>
        <v xml:space="preserve">BENNETT                  MORGAN       M           </v>
      </c>
      <c r="E22563" t="str">
        <f t="shared" si="572"/>
        <v xml:space="preserve">MEMPHIS                   </v>
      </c>
      <c r="F22563" t="str">
        <f t="shared" si="569"/>
        <v>TN</v>
      </c>
    </row>
    <row r="22564" spans="1:6" x14ac:dyDescent="0.25">
      <c r="A22564" t="str">
        <f>"008801316"</f>
        <v>008801316</v>
      </c>
      <c r="B22564" t="str">
        <f>"1104824366"</f>
        <v>1104824366</v>
      </c>
      <c r="C22564" t="str">
        <f>"207RR0500X"</f>
        <v>207RR0500X</v>
      </c>
      <c r="D22564" t="str">
        <f>"ROBINSON                 TRACEY       D           "</f>
        <v xml:space="preserve">ROBINSON                 TRACEY       D           </v>
      </c>
      <c r="E22564" t="str">
        <f t="shared" si="572"/>
        <v xml:space="preserve">MEMPHIS                   </v>
      </c>
      <c r="F22564" t="str">
        <f t="shared" si="569"/>
        <v>TN</v>
      </c>
    </row>
    <row r="22565" spans="1:6" x14ac:dyDescent="0.25">
      <c r="A22565" t="str">
        <f>"008802354"</f>
        <v>008802354</v>
      </c>
      <c r="B22565" t="str">
        <f>"1306316997"</f>
        <v>1306316997</v>
      </c>
      <c r="C22565" t="str">
        <f>"363L00000X"</f>
        <v>363L00000X</v>
      </c>
      <c r="D22565" t="str">
        <f>"BONDS                    RATEESHA                 "</f>
        <v xml:space="preserve">BONDS                    RATEESHA                 </v>
      </c>
      <c r="E22565" t="str">
        <f t="shared" si="572"/>
        <v xml:space="preserve">MEMPHIS                   </v>
      </c>
      <c r="F22565" t="str">
        <f t="shared" si="569"/>
        <v>TN</v>
      </c>
    </row>
    <row r="22566" spans="1:6" x14ac:dyDescent="0.25">
      <c r="A22566" t="str">
        <f>"008806501"</f>
        <v>008806501</v>
      </c>
      <c r="B22566" t="str">
        <f>"1245664416"</f>
        <v>1245664416</v>
      </c>
      <c r="C22566" t="str">
        <f>"207ZP0105X"</f>
        <v>207ZP0105X</v>
      </c>
      <c r="D22566" t="str">
        <f>"KHAN                     FARHAN       A           "</f>
        <v xml:space="preserve">KHAN                     FARHAN       A           </v>
      </c>
      <c r="E22566" t="str">
        <f t="shared" si="572"/>
        <v xml:space="preserve">MEMPHIS                   </v>
      </c>
      <c r="F22566" t="str">
        <f t="shared" si="569"/>
        <v>TN</v>
      </c>
    </row>
    <row r="22567" spans="1:6" x14ac:dyDescent="0.25">
      <c r="A22567" t="str">
        <f>"008808809"</f>
        <v>008808809</v>
      </c>
      <c r="B22567" t="str">
        <f>"1376962902"</f>
        <v>1376962902</v>
      </c>
      <c r="C22567" t="str">
        <f>"208000000X"</f>
        <v>208000000X</v>
      </c>
      <c r="D22567" t="str">
        <f>"CARLISLE                 ANNETTE      F           "</f>
        <v xml:space="preserve">CARLISLE                 ANNETTE      F           </v>
      </c>
      <c r="E22567" t="str">
        <f t="shared" si="572"/>
        <v xml:space="preserve">MEMPHIS                   </v>
      </c>
      <c r="F22567" t="str">
        <f t="shared" si="569"/>
        <v>TN</v>
      </c>
    </row>
    <row r="22568" spans="1:6" x14ac:dyDescent="0.25">
      <c r="A22568" t="str">
        <f>"008820759"</f>
        <v>008820759</v>
      </c>
      <c r="B22568" t="str">
        <f>"1003070129"</f>
        <v>1003070129</v>
      </c>
      <c r="C22568" t="str">
        <f>"207RC0000X"</f>
        <v>207RC0000X</v>
      </c>
      <c r="D22568" t="str">
        <f>"AHMADIAN                 HOMAYOUN     R           "</f>
        <v xml:space="preserve">AHMADIAN                 HOMAYOUN     R           </v>
      </c>
      <c r="E22568" t="str">
        <f>"GERMANTOWN                "</f>
        <v xml:space="preserve">GERMANTOWN                </v>
      </c>
      <c r="F22568" t="str">
        <f t="shared" si="569"/>
        <v>TN</v>
      </c>
    </row>
    <row r="22569" spans="1:6" x14ac:dyDescent="0.25">
      <c r="A22569" t="str">
        <f>"008826704"</f>
        <v>008826704</v>
      </c>
      <c r="B22569" t="str">
        <f>"1659570760"</f>
        <v>1659570760</v>
      </c>
      <c r="C22569" t="str">
        <f>"207R00000X"</f>
        <v>207R00000X</v>
      </c>
      <c r="D22569" t="str">
        <f>"PUNNOOSE                 LYNN         R           "</f>
        <v xml:space="preserve">PUNNOOSE                 LYNN         R           </v>
      </c>
      <c r="E22569" t="str">
        <f>"NASHVILLE                 "</f>
        <v xml:space="preserve">NASHVILLE                 </v>
      </c>
      <c r="F22569" t="str">
        <f t="shared" si="569"/>
        <v>TN</v>
      </c>
    </row>
    <row r="22570" spans="1:6" x14ac:dyDescent="0.25">
      <c r="A22570" t="str">
        <f>"008830830"</f>
        <v>008830830</v>
      </c>
      <c r="B22570" t="str">
        <f>"1972739720"</f>
        <v>1972739720</v>
      </c>
      <c r="C22570" t="str">
        <f>"2080P0207X"</f>
        <v>2080P0207X</v>
      </c>
      <c r="D22570" t="str">
        <f>"LINZ                     AMANDA       L           "</f>
        <v xml:space="preserve">LINZ                     AMANDA       L           </v>
      </c>
      <c r="E22570" t="str">
        <f>"MEMPHIS                   "</f>
        <v xml:space="preserve">MEMPHIS                   </v>
      </c>
      <c r="F22570" t="str">
        <f t="shared" si="569"/>
        <v>TN</v>
      </c>
    </row>
    <row r="22571" spans="1:6" x14ac:dyDescent="0.25">
      <c r="A22571" t="str">
        <f>"008856217"</f>
        <v>008856217</v>
      </c>
      <c r="B22571" t="str">
        <f>"1083106454"</f>
        <v>1083106454</v>
      </c>
      <c r="C22571" t="str">
        <f>"207Q00000X"</f>
        <v>207Q00000X</v>
      </c>
      <c r="D22571" t="str">
        <f>"PARKER                   ROBERT                   "</f>
        <v xml:space="preserve">PARKER                   ROBERT                   </v>
      </c>
      <c r="E22571" t="str">
        <f>"COVINGTON                 "</f>
        <v xml:space="preserve">COVINGTON                 </v>
      </c>
      <c r="F22571" t="str">
        <f t="shared" si="569"/>
        <v>TN</v>
      </c>
    </row>
    <row r="22572" spans="1:6" x14ac:dyDescent="0.25">
      <c r="A22572" t="str">
        <f>"008871339"</f>
        <v>008871339</v>
      </c>
      <c r="B22572" t="str">
        <f>"1962818211"</f>
        <v>1962818211</v>
      </c>
      <c r="C22572" t="str">
        <f>"208G00000X"</f>
        <v>208G00000X</v>
      </c>
      <c r="D22572" t="str">
        <f>"MOREE                    LAMAR        H           "</f>
        <v xml:space="preserve">MOREE                    LAMAR        H           </v>
      </c>
      <c r="E22572" t="str">
        <f t="shared" ref="E22572:E22578" si="573">"MEMPHIS                   "</f>
        <v xml:space="preserve">MEMPHIS                   </v>
      </c>
      <c r="F22572" t="str">
        <f t="shared" si="569"/>
        <v>TN</v>
      </c>
    </row>
    <row r="22573" spans="1:6" x14ac:dyDescent="0.25">
      <c r="A22573" t="str">
        <f>"008876231"</f>
        <v>008876231</v>
      </c>
      <c r="B22573" t="str">
        <f>"1134469935"</f>
        <v>1134469935</v>
      </c>
      <c r="C22573" t="str">
        <f>"2080P0202X"</f>
        <v>2080P0202X</v>
      </c>
      <c r="D22573" t="str">
        <f>"MERLOCCO                 ANTHONY      C           "</f>
        <v xml:space="preserve">MERLOCCO                 ANTHONY      C           </v>
      </c>
      <c r="E22573" t="str">
        <f t="shared" si="573"/>
        <v xml:space="preserve">MEMPHIS                   </v>
      </c>
      <c r="F22573" t="str">
        <f t="shared" si="569"/>
        <v>TN</v>
      </c>
    </row>
    <row r="22574" spans="1:6" x14ac:dyDescent="0.25">
      <c r="A22574" t="str">
        <f>"008881398"</f>
        <v>008881398</v>
      </c>
      <c r="B22574" t="str">
        <f>"1295730786"</f>
        <v>1295730786</v>
      </c>
      <c r="C22574" t="str">
        <f>"207QS0010X"</f>
        <v>207QS0010X</v>
      </c>
      <c r="D22574" t="str">
        <f>"WITHERSPOON              CHRISTOPHER              "</f>
        <v xml:space="preserve">WITHERSPOON              CHRISTOPHER              </v>
      </c>
      <c r="E22574" t="str">
        <f t="shared" si="573"/>
        <v xml:space="preserve">MEMPHIS                   </v>
      </c>
      <c r="F22574" t="str">
        <f t="shared" si="569"/>
        <v>TN</v>
      </c>
    </row>
    <row r="22575" spans="1:6" x14ac:dyDescent="0.25">
      <c r="A22575" t="str">
        <f>"008903081"</f>
        <v>008903081</v>
      </c>
      <c r="B22575" t="str">
        <f>"1629620190"</f>
        <v>1629620190</v>
      </c>
      <c r="C22575" t="str">
        <f>"363L00000X"</f>
        <v>363L00000X</v>
      </c>
      <c r="D22575" t="str">
        <f>"BALLARD                  LAURA                    "</f>
        <v xml:space="preserve">BALLARD                  LAURA                    </v>
      </c>
      <c r="E22575" t="str">
        <f t="shared" si="573"/>
        <v xml:space="preserve">MEMPHIS                   </v>
      </c>
      <c r="F22575" t="str">
        <f t="shared" si="569"/>
        <v>TN</v>
      </c>
    </row>
    <row r="22576" spans="1:6" x14ac:dyDescent="0.25">
      <c r="A22576" t="str">
        <f>"008908226"</f>
        <v>008908226</v>
      </c>
      <c r="B22576" t="str">
        <f>"1831485788"</f>
        <v>1831485788</v>
      </c>
      <c r="C22576" t="str">
        <f>"207RE0101X"</f>
        <v>207RE0101X</v>
      </c>
      <c r="D22576" t="str">
        <f>"ABU AL HOMMOS            NISREEN AWNI             "</f>
        <v xml:space="preserve">ABU AL HOMMOS            NISREEN AWNI             </v>
      </c>
      <c r="E22576" t="str">
        <f t="shared" si="573"/>
        <v xml:space="preserve">MEMPHIS                   </v>
      </c>
      <c r="F22576" t="str">
        <f t="shared" si="569"/>
        <v>TN</v>
      </c>
    </row>
    <row r="22577" spans="1:6" x14ac:dyDescent="0.25">
      <c r="A22577" t="str">
        <f>"008923018"</f>
        <v>008923018</v>
      </c>
      <c r="B22577" t="str">
        <f>"1750327607"</f>
        <v>1750327607</v>
      </c>
      <c r="C22577" t="str">
        <f>"207RI0200X"</f>
        <v>207RI0200X</v>
      </c>
      <c r="D22577" t="str">
        <f>"CHACHANIDZE              VLADIMIR                 "</f>
        <v xml:space="preserve">CHACHANIDZE              VLADIMIR                 </v>
      </c>
      <c r="E22577" t="str">
        <f t="shared" si="573"/>
        <v xml:space="preserve">MEMPHIS                   </v>
      </c>
      <c r="F22577" t="str">
        <f t="shared" si="569"/>
        <v>TN</v>
      </c>
    </row>
    <row r="22578" spans="1:6" x14ac:dyDescent="0.25">
      <c r="A22578" t="str">
        <f>"008927009"</f>
        <v>008927009</v>
      </c>
      <c r="B22578" t="str">
        <f>"1144717232"</f>
        <v>1144717232</v>
      </c>
      <c r="C22578" t="str">
        <f>"207R00000X"</f>
        <v>207R00000X</v>
      </c>
      <c r="D22578" t="str">
        <f>"MINHAS                   AHMED        A           "</f>
        <v xml:space="preserve">MINHAS                   AHMED        A           </v>
      </c>
      <c r="E22578" t="str">
        <f t="shared" si="573"/>
        <v xml:space="preserve">MEMPHIS                   </v>
      </c>
      <c r="F22578" t="str">
        <f t="shared" si="569"/>
        <v>TN</v>
      </c>
    </row>
    <row r="22579" spans="1:6" x14ac:dyDescent="0.25">
      <c r="A22579" t="str">
        <f>"008927815"</f>
        <v>008927815</v>
      </c>
      <c r="B22579" t="str">
        <f>"1275998577"</f>
        <v>1275998577</v>
      </c>
      <c r="C22579" t="str">
        <f>"363L00000X"</f>
        <v>363L00000X</v>
      </c>
      <c r="D22579" t="str">
        <f>"GOINS                    NATASHA      Y           "</f>
        <v xml:space="preserve">GOINS                    NATASHA      Y           </v>
      </c>
      <c r="E22579" t="str">
        <f>"GERMANTOWN                "</f>
        <v xml:space="preserve">GERMANTOWN                </v>
      </c>
      <c r="F22579" t="str">
        <f t="shared" si="569"/>
        <v>TN</v>
      </c>
    </row>
    <row r="22580" spans="1:6" x14ac:dyDescent="0.25">
      <c r="A22580" t="str">
        <f>"008933794"</f>
        <v>008933794</v>
      </c>
      <c r="B22580" t="str">
        <f>"1205863206"</f>
        <v>1205863206</v>
      </c>
      <c r="C22580" t="str">
        <f>"2085P0229X"</f>
        <v>2085P0229X</v>
      </c>
      <c r="D22580" t="str">
        <f>"COHEN                    HARRIS       L           "</f>
        <v xml:space="preserve">COHEN                    HARRIS       L           </v>
      </c>
      <c r="E22580" t="str">
        <f>"MEMPHIS                   "</f>
        <v xml:space="preserve">MEMPHIS                   </v>
      </c>
      <c r="F22580" t="str">
        <f t="shared" si="569"/>
        <v>TN</v>
      </c>
    </row>
    <row r="22581" spans="1:6" x14ac:dyDescent="0.25">
      <c r="A22581" t="str">
        <f>"008934772"</f>
        <v>008934772</v>
      </c>
      <c r="B22581" t="str">
        <f>"1427501857"</f>
        <v>1427501857</v>
      </c>
      <c r="C22581" t="str">
        <f>"363L00000X"</f>
        <v>363L00000X</v>
      </c>
      <c r="D22581" t="str">
        <f>"CARROLL                  VICTORIA     L           "</f>
        <v xml:space="preserve">CARROLL                  VICTORIA     L           </v>
      </c>
      <c r="E22581" t="str">
        <f>"MEMPHIS                   "</f>
        <v xml:space="preserve">MEMPHIS                   </v>
      </c>
      <c r="F22581" t="str">
        <f t="shared" si="569"/>
        <v>TN</v>
      </c>
    </row>
    <row r="22582" spans="1:6" x14ac:dyDescent="0.25">
      <c r="A22582" t="str">
        <f>"008938810"</f>
        <v>008938810</v>
      </c>
      <c r="B22582" t="str">
        <f>"1275889164"</f>
        <v>1275889164</v>
      </c>
      <c r="C22582" t="str">
        <f>"363L00000X"</f>
        <v>363L00000X</v>
      </c>
      <c r="D22582" t="str">
        <f>"WELLS                    KATHRYN      V           "</f>
        <v xml:space="preserve">WELLS                    KATHRYN      V           </v>
      </c>
      <c r="E22582" t="str">
        <f>"GERMANTOWN                "</f>
        <v xml:space="preserve">GERMANTOWN                </v>
      </c>
      <c r="F22582" t="str">
        <f t="shared" si="569"/>
        <v>TN</v>
      </c>
    </row>
    <row r="22583" spans="1:6" x14ac:dyDescent="0.25">
      <c r="A22583" t="str">
        <f>"008954869"</f>
        <v>008954869</v>
      </c>
      <c r="B22583" t="str">
        <f>"1609140078"</f>
        <v>1609140078</v>
      </c>
      <c r="C22583" t="str">
        <f>"363L00000X"</f>
        <v>363L00000X</v>
      </c>
      <c r="D22583" t="str">
        <f>"ALDRIDGE                 SARAH        H           "</f>
        <v xml:space="preserve">ALDRIDGE                 SARAH        H           </v>
      </c>
      <c r="E22583" t="str">
        <f t="shared" ref="E22583:E22589" si="574">"MEMPHIS                   "</f>
        <v xml:space="preserve">MEMPHIS                   </v>
      </c>
      <c r="F22583" t="str">
        <f t="shared" si="569"/>
        <v>TN</v>
      </c>
    </row>
    <row r="22584" spans="1:6" x14ac:dyDescent="0.25">
      <c r="A22584" t="str">
        <f>"008956841"</f>
        <v>008956841</v>
      </c>
      <c r="B22584" t="str">
        <f>"1235561960"</f>
        <v>1235561960</v>
      </c>
      <c r="C22584" t="str">
        <f>"367500000X"</f>
        <v>367500000X</v>
      </c>
      <c r="D22584" t="str">
        <f>"OWENS                    STEVEN       K           "</f>
        <v xml:space="preserve">OWENS                    STEVEN       K           </v>
      </c>
      <c r="E22584" t="str">
        <f t="shared" si="574"/>
        <v xml:space="preserve">MEMPHIS                   </v>
      </c>
      <c r="F22584" t="str">
        <f t="shared" si="569"/>
        <v>TN</v>
      </c>
    </row>
    <row r="22585" spans="1:6" x14ac:dyDescent="0.25">
      <c r="A22585" t="str">
        <f>"008958791"</f>
        <v>008958791</v>
      </c>
      <c r="B22585" t="str">
        <f>"1285637462"</f>
        <v>1285637462</v>
      </c>
      <c r="C22585" t="str">
        <f>"2080P0203X"</f>
        <v>2080P0203X</v>
      </c>
      <c r="D22585" t="str">
        <f>"ELBAHLAWAN               LAMA         M           "</f>
        <v xml:space="preserve">ELBAHLAWAN               LAMA         M           </v>
      </c>
      <c r="E22585" t="str">
        <f t="shared" si="574"/>
        <v xml:space="preserve">MEMPHIS                   </v>
      </c>
      <c r="F22585" t="str">
        <f t="shared" si="569"/>
        <v>TN</v>
      </c>
    </row>
    <row r="22586" spans="1:6" x14ac:dyDescent="0.25">
      <c r="A22586" t="str">
        <f>"008973033"</f>
        <v>008973033</v>
      </c>
      <c r="B22586" t="str">
        <f>"1407218779"</f>
        <v>1407218779</v>
      </c>
      <c r="C22586" t="str">
        <f>"2080P0202X"</f>
        <v>2080P0202X</v>
      </c>
      <c r="D22586" t="str">
        <f>"MOLLOY                   ASHLEY       M           "</f>
        <v xml:space="preserve">MOLLOY                   ASHLEY       M           </v>
      </c>
      <c r="E22586" t="str">
        <f t="shared" si="574"/>
        <v xml:space="preserve">MEMPHIS                   </v>
      </c>
      <c r="F22586" t="str">
        <f t="shared" si="569"/>
        <v>TN</v>
      </c>
    </row>
    <row r="22587" spans="1:6" x14ac:dyDescent="0.25">
      <c r="A22587" t="str">
        <f>"008977081"</f>
        <v>008977081</v>
      </c>
      <c r="B22587" t="str">
        <f>"1083294995"</f>
        <v>1083294995</v>
      </c>
      <c r="C22587" t="str">
        <f>"367500000X"</f>
        <v>367500000X</v>
      </c>
      <c r="D22587" t="str">
        <f>"TAYLOR                   KIMECIA      H           "</f>
        <v xml:space="preserve">TAYLOR                   KIMECIA      H           </v>
      </c>
      <c r="E22587" t="str">
        <f t="shared" si="574"/>
        <v xml:space="preserve">MEMPHIS                   </v>
      </c>
      <c r="F22587" t="str">
        <f t="shared" si="569"/>
        <v>TN</v>
      </c>
    </row>
    <row r="22588" spans="1:6" x14ac:dyDescent="0.25">
      <c r="A22588" t="str">
        <f>"008987397"</f>
        <v>008987397</v>
      </c>
      <c r="B22588" t="str">
        <f>"1285798066"</f>
        <v>1285798066</v>
      </c>
      <c r="C22588" t="str">
        <f>"2085R0202X"</f>
        <v>2085R0202X</v>
      </c>
      <c r="D22588" t="str">
        <f>"SOGGE                    STEVEN       M           "</f>
        <v xml:space="preserve">SOGGE                    STEVEN       M           </v>
      </c>
      <c r="E22588" t="str">
        <f t="shared" si="574"/>
        <v xml:space="preserve">MEMPHIS                   </v>
      </c>
      <c r="F22588" t="str">
        <f t="shared" si="569"/>
        <v>TN</v>
      </c>
    </row>
    <row r="22589" spans="1:6" x14ac:dyDescent="0.25">
      <c r="A22589" t="str">
        <f>"009000503"</f>
        <v>009000503</v>
      </c>
      <c r="B22589" t="str">
        <f>"1306104385"</f>
        <v>1306104385</v>
      </c>
      <c r="C22589" t="str">
        <f>"207R00000X"</f>
        <v>207R00000X</v>
      </c>
      <c r="D22589" t="str">
        <f>"SETHI                    POOJA        R           "</f>
        <v xml:space="preserve">SETHI                    POOJA        R           </v>
      </c>
      <c r="E22589" t="str">
        <f t="shared" si="574"/>
        <v xml:space="preserve">MEMPHIS                   </v>
      </c>
      <c r="F22589" t="str">
        <f t="shared" si="569"/>
        <v>TN</v>
      </c>
    </row>
    <row r="22590" spans="1:6" x14ac:dyDescent="0.25">
      <c r="A22590" t="str">
        <f>"009004838"</f>
        <v>009004838</v>
      </c>
      <c r="B22590" t="str">
        <f>"1184883852"</f>
        <v>1184883852</v>
      </c>
      <c r="C22590" t="str">
        <f>"207RC0000X"</f>
        <v>207RC0000X</v>
      </c>
      <c r="D22590" t="str">
        <f>"GARDNER                  JOHN         S           "</f>
        <v xml:space="preserve">GARDNER                  JOHN         S           </v>
      </c>
      <c r="E22590" t="str">
        <f>"GERMANTOWN                "</f>
        <v xml:space="preserve">GERMANTOWN                </v>
      </c>
      <c r="F22590" t="str">
        <f t="shared" ref="F22590:F22653" si="575">"TN"</f>
        <v>TN</v>
      </c>
    </row>
    <row r="22591" spans="1:6" x14ac:dyDescent="0.25">
      <c r="A22591" t="str">
        <f>"009027361"</f>
        <v>009027361</v>
      </c>
      <c r="B22591" t="str">
        <f>"1922483478"</f>
        <v>1922483478</v>
      </c>
      <c r="C22591" t="str">
        <f>"367500000X"</f>
        <v>367500000X</v>
      </c>
      <c r="D22591" t="str">
        <f>"GLASGOW                  LESLEY                   "</f>
        <v xml:space="preserve">GLASGOW                  LESLEY                   </v>
      </c>
      <c r="E22591" t="str">
        <f t="shared" ref="E22591:E22602" si="576">"MEMPHIS                   "</f>
        <v xml:space="preserve">MEMPHIS                   </v>
      </c>
      <c r="F22591" t="str">
        <f t="shared" si="575"/>
        <v>TN</v>
      </c>
    </row>
    <row r="22592" spans="1:6" x14ac:dyDescent="0.25">
      <c r="A22592" t="str">
        <f>"009028796"</f>
        <v>009028796</v>
      </c>
      <c r="B22592" t="str">
        <f>"1265656672"</f>
        <v>1265656672</v>
      </c>
      <c r="C22592" t="str">
        <f>"207RC0000X"</f>
        <v>207RC0000X</v>
      </c>
      <c r="D22592" t="str">
        <f>"IBEBUOGO                 UZOMA        N           "</f>
        <v xml:space="preserve">IBEBUOGO                 UZOMA        N           </v>
      </c>
      <c r="E22592" t="str">
        <f t="shared" si="576"/>
        <v xml:space="preserve">MEMPHIS                   </v>
      </c>
      <c r="F22592" t="str">
        <f t="shared" si="575"/>
        <v>TN</v>
      </c>
    </row>
    <row r="22593" spans="1:6" x14ac:dyDescent="0.25">
      <c r="A22593" t="str">
        <f>"009050397"</f>
        <v>009050397</v>
      </c>
      <c r="B22593" t="str">
        <f>"1215343553"</f>
        <v>1215343553</v>
      </c>
      <c r="C22593" t="str">
        <f>"2086S0129X"</f>
        <v>2086S0129X</v>
      </c>
      <c r="D22593" t="str">
        <f>"JAECKLEIN                FREDERICK    J           "</f>
        <v xml:space="preserve">JAECKLEIN                FREDERICK    J           </v>
      </c>
      <c r="E22593" t="str">
        <f t="shared" si="576"/>
        <v xml:space="preserve">MEMPHIS                   </v>
      </c>
      <c r="F22593" t="str">
        <f t="shared" si="575"/>
        <v>TN</v>
      </c>
    </row>
    <row r="22594" spans="1:6" x14ac:dyDescent="0.25">
      <c r="A22594" t="str">
        <f>"009070816"</f>
        <v>009070816</v>
      </c>
      <c r="B22594" t="str">
        <f>"1508822594"</f>
        <v>1508822594</v>
      </c>
      <c r="C22594" t="str">
        <f>"2080P0202X"</f>
        <v>2080P0202X</v>
      </c>
      <c r="D22594" t="str">
        <f>"JOSHI                    VIJAYA                   "</f>
        <v xml:space="preserve">JOSHI                    VIJAYA                   </v>
      </c>
      <c r="E22594" t="str">
        <f t="shared" si="576"/>
        <v xml:space="preserve">MEMPHIS                   </v>
      </c>
      <c r="F22594" t="str">
        <f t="shared" si="575"/>
        <v>TN</v>
      </c>
    </row>
    <row r="22595" spans="1:6" x14ac:dyDescent="0.25">
      <c r="A22595" t="str">
        <f>"009075583"</f>
        <v>009075583</v>
      </c>
      <c r="B22595" t="str">
        <f>"1487835542"</f>
        <v>1487835542</v>
      </c>
      <c r="C22595" t="str">
        <f>"367500000X"</f>
        <v>367500000X</v>
      </c>
      <c r="D22595" t="str">
        <f>"CURRY                    SARAH        G           "</f>
        <v xml:space="preserve">CURRY                    SARAH        G           </v>
      </c>
      <c r="E22595" t="str">
        <f t="shared" si="576"/>
        <v xml:space="preserve">MEMPHIS                   </v>
      </c>
      <c r="F22595" t="str">
        <f t="shared" si="575"/>
        <v>TN</v>
      </c>
    </row>
    <row r="22596" spans="1:6" x14ac:dyDescent="0.25">
      <c r="A22596" t="str">
        <f>"009077506"</f>
        <v>009077506</v>
      </c>
      <c r="B22596" t="str">
        <f>"1457407066"</f>
        <v>1457407066</v>
      </c>
      <c r="C22596" t="str">
        <f>"207ZP0213X"</f>
        <v>207ZP0213X</v>
      </c>
      <c r="D22596" t="str">
        <f>"GHEORGHE                 GABRIELA                 "</f>
        <v xml:space="preserve">GHEORGHE                 GABRIELA                 </v>
      </c>
      <c r="E22596" t="str">
        <f t="shared" si="576"/>
        <v xml:space="preserve">MEMPHIS                   </v>
      </c>
      <c r="F22596" t="str">
        <f t="shared" si="575"/>
        <v>TN</v>
      </c>
    </row>
    <row r="22597" spans="1:6" x14ac:dyDescent="0.25">
      <c r="A22597" t="str">
        <f>"009082213"</f>
        <v>009082213</v>
      </c>
      <c r="B22597" t="str">
        <f>"1346712106"</f>
        <v>1346712106</v>
      </c>
      <c r="C22597" t="str">
        <f>"363L00000X"</f>
        <v>363L00000X</v>
      </c>
      <c r="D22597" t="str">
        <f>"BIRD                     LINDSEY      E           "</f>
        <v xml:space="preserve">BIRD                     LINDSEY      E           </v>
      </c>
      <c r="E22597" t="str">
        <f t="shared" si="576"/>
        <v xml:space="preserve">MEMPHIS                   </v>
      </c>
      <c r="F22597" t="str">
        <f t="shared" si="575"/>
        <v>TN</v>
      </c>
    </row>
    <row r="22598" spans="1:6" x14ac:dyDescent="0.25">
      <c r="A22598" t="str">
        <f>"009087529"</f>
        <v>009087529</v>
      </c>
      <c r="B22598" t="str">
        <f>"1700091477"</f>
        <v>1700091477</v>
      </c>
      <c r="C22598" t="str">
        <f>"207P00000X"</f>
        <v>207P00000X</v>
      </c>
      <c r="D22598" t="str">
        <f>"WALKER III               JAMES        R           "</f>
        <v xml:space="preserve">WALKER III               JAMES        R           </v>
      </c>
      <c r="E22598" t="str">
        <f t="shared" si="576"/>
        <v xml:space="preserve">MEMPHIS                   </v>
      </c>
      <c r="F22598" t="str">
        <f t="shared" si="575"/>
        <v>TN</v>
      </c>
    </row>
    <row r="22599" spans="1:6" x14ac:dyDescent="0.25">
      <c r="A22599" t="str">
        <f>"009103251"</f>
        <v>009103251</v>
      </c>
      <c r="B22599" t="str">
        <f>"1730529660"</f>
        <v>1730529660</v>
      </c>
      <c r="C22599" t="str">
        <f>"207L00000X"</f>
        <v>207L00000X</v>
      </c>
      <c r="D22599" t="str">
        <f>"MOLYNEAUX                IAN                      "</f>
        <v xml:space="preserve">MOLYNEAUX                IAN                      </v>
      </c>
      <c r="E22599" t="str">
        <f t="shared" si="576"/>
        <v xml:space="preserve">MEMPHIS                   </v>
      </c>
      <c r="F22599" t="str">
        <f t="shared" si="575"/>
        <v>TN</v>
      </c>
    </row>
    <row r="22600" spans="1:6" x14ac:dyDescent="0.25">
      <c r="A22600" t="str">
        <f>"009103561"</f>
        <v>009103561</v>
      </c>
      <c r="B22600" t="str">
        <f>"1235509480"</f>
        <v>1235509480</v>
      </c>
      <c r="C22600" t="str">
        <f>"363L00000X"</f>
        <v>363L00000X</v>
      </c>
      <c r="D22600" t="str">
        <f>"LEASURE                  SHARON       T           "</f>
        <v xml:space="preserve">LEASURE                  SHARON       T           </v>
      </c>
      <c r="E22600" t="str">
        <f t="shared" si="576"/>
        <v xml:space="preserve">MEMPHIS                   </v>
      </c>
      <c r="F22600" t="str">
        <f t="shared" si="575"/>
        <v>TN</v>
      </c>
    </row>
    <row r="22601" spans="1:6" x14ac:dyDescent="0.25">
      <c r="A22601" t="str">
        <f>"009123834"</f>
        <v>009123834</v>
      </c>
      <c r="B22601" t="str">
        <f>"1861847865"</f>
        <v>1861847865</v>
      </c>
      <c r="C22601" t="str">
        <f>"208000000X"</f>
        <v>208000000X</v>
      </c>
      <c r="D22601" t="str">
        <f>"WATKINS                  NICHOLAS                 "</f>
        <v xml:space="preserve">WATKINS                  NICHOLAS                 </v>
      </c>
      <c r="E22601" t="str">
        <f t="shared" si="576"/>
        <v xml:space="preserve">MEMPHIS                   </v>
      </c>
      <c r="F22601" t="str">
        <f t="shared" si="575"/>
        <v>TN</v>
      </c>
    </row>
    <row r="22602" spans="1:6" x14ac:dyDescent="0.25">
      <c r="A22602" t="str">
        <f>"009137391"</f>
        <v>009137391</v>
      </c>
      <c r="B22602" t="str">
        <f>"1073594909"</f>
        <v>1073594909</v>
      </c>
      <c r="C22602" t="str">
        <f>"207R00000X"</f>
        <v>207R00000X</v>
      </c>
      <c r="D22602" t="str">
        <f>"TEACH                    GUY          V           "</f>
        <v xml:space="preserve">TEACH                    GUY          V           </v>
      </c>
      <c r="E22602" t="str">
        <f t="shared" si="576"/>
        <v xml:space="preserve">MEMPHIS                   </v>
      </c>
      <c r="F22602" t="str">
        <f t="shared" si="575"/>
        <v>TN</v>
      </c>
    </row>
    <row r="22603" spans="1:6" x14ac:dyDescent="0.25">
      <c r="A22603" t="str">
        <f>"009151521"</f>
        <v>009151521</v>
      </c>
      <c r="B22603" t="str">
        <f>"1396921623"</f>
        <v>1396921623</v>
      </c>
      <c r="C22603" t="str">
        <f>"207RI0200X"</f>
        <v>207RI0200X</v>
      </c>
      <c r="D22603" t="str">
        <f>"MAZUMDER                 SHIRIN       A           "</f>
        <v xml:space="preserve">MAZUMDER                 SHIRIN       A           </v>
      </c>
      <c r="E22603" t="str">
        <f>"CORDOVA                   "</f>
        <v xml:space="preserve">CORDOVA                   </v>
      </c>
      <c r="F22603" t="str">
        <f t="shared" si="575"/>
        <v>TN</v>
      </c>
    </row>
    <row r="22604" spans="1:6" x14ac:dyDescent="0.25">
      <c r="A22604" t="str">
        <f>"009171251"</f>
        <v>009171251</v>
      </c>
      <c r="B22604" t="str">
        <f>"1073983540"</f>
        <v>1073983540</v>
      </c>
      <c r="C22604" t="str">
        <f>"363L00000X"</f>
        <v>363L00000X</v>
      </c>
      <c r="D22604" t="str">
        <f>"MALONE                   CHRISTINA    M           "</f>
        <v xml:space="preserve">MALONE                   CHRISTINA    M           </v>
      </c>
      <c r="E22604" t="str">
        <f>"GERMANTOWN                "</f>
        <v xml:space="preserve">GERMANTOWN                </v>
      </c>
      <c r="F22604" t="str">
        <f t="shared" si="575"/>
        <v>TN</v>
      </c>
    </row>
    <row r="22605" spans="1:6" x14ac:dyDescent="0.25">
      <c r="A22605" t="str">
        <f>"009175845"</f>
        <v>009175845</v>
      </c>
      <c r="B22605" t="str">
        <f>"1306097845"</f>
        <v>1306097845</v>
      </c>
      <c r="C22605" t="str">
        <f>"363L00000X"</f>
        <v>363L00000X</v>
      </c>
      <c r="D22605" t="str">
        <f>"LOWERY                   ROBBIE                   "</f>
        <v xml:space="preserve">LOWERY                   ROBBIE                   </v>
      </c>
      <c r="E22605" t="str">
        <f t="shared" ref="E22605:E22618" si="577">"MEMPHIS                   "</f>
        <v xml:space="preserve">MEMPHIS                   </v>
      </c>
      <c r="F22605" t="str">
        <f t="shared" si="575"/>
        <v>TN</v>
      </c>
    </row>
    <row r="22606" spans="1:6" x14ac:dyDescent="0.25">
      <c r="A22606" t="str">
        <f>"009180524"</f>
        <v>009180524</v>
      </c>
      <c r="B22606" t="str">
        <f>"1720434574"</f>
        <v>1720434574</v>
      </c>
      <c r="C22606" t="str">
        <f>"207V00000X"</f>
        <v>207V00000X</v>
      </c>
      <c r="D22606" t="str">
        <f>"DORSETT                  KATHERINE    M           "</f>
        <v xml:space="preserve">DORSETT                  KATHERINE    M           </v>
      </c>
      <c r="E22606" t="str">
        <f t="shared" si="577"/>
        <v xml:space="preserve">MEMPHIS                   </v>
      </c>
      <c r="F22606" t="str">
        <f t="shared" si="575"/>
        <v>TN</v>
      </c>
    </row>
    <row r="22607" spans="1:6" x14ac:dyDescent="0.25">
      <c r="A22607" t="str">
        <f>"009185512"</f>
        <v>009185512</v>
      </c>
      <c r="B22607" t="str">
        <f>"1245726256"</f>
        <v>1245726256</v>
      </c>
      <c r="C22607" t="str">
        <f>"363L00000X"</f>
        <v>363L00000X</v>
      </c>
      <c r="D22607" t="str">
        <f>"YOUNT                    AMANDA       L           "</f>
        <v xml:space="preserve">YOUNT                    AMANDA       L           </v>
      </c>
      <c r="E22607" t="str">
        <f t="shared" si="577"/>
        <v xml:space="preserve">MEMPHIS                   </v>
      </c>
      <c r="F22607" t="str">
        <f t="shared" si="575"/>
        <v>TN</v>
      </c>
    </row>
    <row r="22608" spans="1:6" x14ac:dyDescent="0.25">
      <c r="A22608" t="str">
        <f>"009203271"</f>
        <v>009203271</v>
      </c>
      <c r="B22608" t="str">
        <f>"1093195885"</f>
        <v>1093195885</v>
      </c>
      <c r="C22608" t="str">
        <f>"363L00000X"</f>
        <v>363L00000X</v>
      </c>
      <c r="D22608" t="str">
        <f>"SWIFT                    ELIZABETH                "</f>
        <v xml:space="preserve">SWIFT                    ELIZABETH                </v>
      </c>
      <c r="E22608" t="str">
        <f t="shared" si="577"/>
        <v xml:space="preserve">MEMPHIS                   </v>
      </c>
      <c r="F22608" t="str">
        <f t="shared" si="575"/>
        <v>TN</v>
      </c>
    </row>
    <row r="22609" spans="1:6" x14ac:dyDescent="0.25">
      <c r="A22609" t="str">
        <f>"009204728"</f>
        <v>009204728</v>
      </c>
      <c r="B22609" t="str">
        <f>"1932342714"</f>
        <v>1932342714</v>
      </c>
      <c r="C22609" t="str">
        <f>"363L00000X"</f>
        <v>363L00000X</v>
      </c>
      <c r="D22609" t="str">
        <f>"NELSON                   STEPHANIE                "</f>
        <v xml:space="preserve">NELSON                   STEPHANIE                </v>
      </c>
      <c r="E22609" t="str">
        <f t="shared" si="577"/>
        <v xml:space="preserve">MEMPHIS                   </v>
      </c>
      <c r="F22609" t="str">
        <f t="shared" si="575"/>
        <v>TN</v>
      </c>
    </row>
    <row r="22610" spans="1:6" x14ac:dyDescent="0.25">
      <c r="A22610" t="str">
        <f>"009225850"</f>
        <v>009225850</v>
      </c>
      <c r="B22610" t="str">
        <f>"1912988346"</f>
        <v>1912988346</v>
      </c>
      <c r="C22610" t="str">
        <f>"208600000X"</f>
        <v>208600000X</v>
      </c>
      <c r="D22610" t="str">
        <f>"CLOUD                    WILLIAM      G           "</f>
        <v xml:space="preserve">CLOUD                    WILLIAM      G           </v>
      </c>
      <c r="E22610" t="str">
        <f t="shared" si="577"/>
        <v xml:space="preserve">MEMPHIS                   </v>
      </c>
      <c r="F22610" t="str">
        <f t="shared" si="575"/>
        <v>TN</v>
      </c>
    </row>
    <row r="22611" spans="1:6" x14ac:dyDescent="0.25">
      <c r="A22611" t="str">
        <f>"009226274"</f>
        <v>009226274</v>
      </c>
      <c r="B22611" t="str">
        <f>"1124765714"</f>
        <v>1124765714</v>
      </c>
      <c r="C22611" t="str">
        <f>"363L00000X"</f>
        <v>363L00000X</v>
      </c>
      <c r="D22611" t="str">
        <f>"BROADAWAY                SELINA       L           "</f>
        <v xml:space="preserve">BROADAWAY                SELINA       L           </v>
      </c>
      <c r="E22611" t="str">
        <f t="shared" si="577"/>
        <v xml:space="preserve">MEMPHIS                   </v>
      </c>
      <c r="F22611" t="str">
        <f t="shared" si="575"/>
        <v>TN</v>
      </c>
    </row>
    <row r="22612" spans="1:6" x14ac:dyDescent="0.25">
      <c r="A22612" t="str">
        <f>"009255245"</f>
        <v>009255245</v>
      </c>
      <c r="B22612" t="str">
        <f>"1164941928"</f>
        <v>1164941928</v>
      </c>
      <c r="C22612" t="str">
        <f>"363L00000X"</f>
        <v>363L00000X</v>
      </c>
      <c r="D22612" t="str">
        <f>"RIDLEY-PRYOR             TRACEE       L           "</f>
        <v xml:space="preserve">RIDLEY-PRYOR             TRACEE       L           </v>
      </c>
      <c r="E22612" t="str">
        <f t="shared" si="577"/>
        <v xml:space="preserve">MEMPHIS                   </v>
      </c>
      <c r="F22612" t="str">
        <f t="shared" si="575"/>
        <v>TN</v>
      </c>
    </row>
    <row r="22613" spans="1:6" x14ac:dyDescent="0.25">
      <c r="A22613" t="str">
        <f>"009255553"</f>
        <v>009255553</v>
      </c>
      <c r="B22613" t="str">
        <f>"1386026862"</f>
        <v>1386026862</v>
      </c>
      <c r="C22613" t="str">
        <f>"208600000X"</f>
        <v>208600000X</v>
      </c>
      <c r="D22613" t="str">
        <f>"EASTERDAY                THOMAS       S           "</f>
        <v xml:space="preserve">EASTERDAY                THOMAS       S           </v>
      </c>
      <c r="E22613" t="str">
        <f t="shared" si="577"/>
        <v xml:space="preserve">MEMPHIS                   </v>
      </c>
      <c r="F22613" t="str">
        <f t="shared" si="575"/>
        <v>TN</v>
      </c>
    </row>
    <row r="22614" spans="1:6" x14ac:dyDescent="0.25">
      <c r="A22614" t="str">
        <f>"009257856"</f>
        <v>009257856</v>
      </c>
      <c r="B22614" t="str">
        <f>"1730313230"</f>
        <v>1730313230</v>
      </c>
      <c r="C22614" t="str">
        <f>"363L00000X"</f>
        <v>363L00000X</v>
      </c>
      <c r="D22614" t="str">
        <f>"SCHMIDT                  PATRICIA     J           "</f>
        <v xml:space="preserve">SCHMIDT                  PATRICIA     J           </v>
      </c>
      <c r="E22614" t="str">
        <f t="shared" si="577"/>
        <v xml:space="preserve">MEMPHIS                   </v>
      </c>
      <c r="F22614" t="str">
        <f t="shared" si="575"/>
        <v>TN</v>
      </c>
    </row>
    <row r="22615" spans="1:6" x14ac:dyDescent="0.25">
      <c r="A22615" t="str">
        <f>"009276272"</f>
        <v>009276272</v>
      </c>
      <c r="B22615" t="str">
        <f>"1356575492"</f>
        <v>1356575492</v>
      </c>
      <c r="C22615" t="str">
        <f>"207Q00000X"</f>
        <v>207Q00000X</v>
      </c>
      <c r="D22615" t="str">
        <f>"VELUSWAMY                HEMANTH      R           "</f>
        <v xml:space="preserve">VELUSWAMY                HEMANTH      R           </v>
      </c>
      <c r="E22615" t="str">
        <f t="shared" si="577"/>
        <v xml:space="preserve">MEMPHIS                   </v>
      </c>
      <c r="F22615" t="str">
        <f t="shared" si="575"/>
        <v>TN</v>
      </c>
    </row>
    <row r="22616" spans="1:6" x14ac:dyDescent="0.25">
      <c r="A22616" t="str">
        <f>"009276533"</f>
        <v>009276533</v>
      </c>
      <c r="B22616" t="str">
        <f>"1487874145"</f>
        <v>1487874145</v>
      </c>
      <c r="C22616" t="str">
        <f>"207RP1001X"</f>
        <v>207RP1001X</v>
      </c>
      <c r="D22616" t="str">
        <f>"DULLI                    AMMAR                    "</f>
        <v xml:space="preserve">DULLI                    AMMAR                    </v>
      </c>
      <c r="E22616" t="str">
        <f t="shared" si="577"/>
        <v xml:space="preserve">MEMPHIS                   </v>
      </c>
      <c r="F22616" t="str">
        <f t="shared" si="575"/>
        <v>TN</v>
      </c>
    </row>
    <row r="22617" spans="1:6" x14ac:dyDescent="0.25">
      <c r="A22617" t="str">
        <f>"009278752"</f>
        <v>009278752</v>
      </c>
      <c r="B22617" t="str">
        <f>"1194956474"</f>
        <v>1194956474</v>
      </c>
      <c r="C22617" t="str">
        <f>"207RP1001X"</f>
        <v>207RP1001X</v>
      </c>
      <c r="D22617" t="str">
        <f>"LANFRANCO MOLINA         JULIO ALBERTO            "</f>
        <v xml:space="preserve">LANFRANCO MOLINA         JULIO ALBERTO            </v>
      </c>
      <c r="E22617" t="str">
        <f t="shared" si="577"/>
        <v xml:space="preserve">MEMPHIS                   </v>
      </c>
      <c r="F22617" t="str">
        <f t="shared" si="575"/>
        <v>TN</v>
      </c>
    </row>
    <row r="22618" spans="1:6" x14ac:dyDescent="0.25">
      <c r="A22618" t="str">
        <f>"009305381"</f>
        <v>009305381</v>
      </c>
      <c r="B22618" t="str">
        <f>"1053846154"</f>
        <v>1053846154</v>
      </c>
      <c r="C22618" t="str">
        <f>"363L00000X"</f>
        <v>363L00000X</v>
      </c>
      <c r="D22618" t="str">
        <f>"WILLS                    CHRISTINA                "</f>
        <v xml:space="preserve">WILLS                    CHRISTINA                </v>
      </c>
      <c r="E22618" t="str">
        <f t="shared" si="577"/>
        <v xml:space="preserve">MEMPHIS                   </v>
      </c>
      <c r="F22618" t="str">
        <f t="shared" si="575"/>
        <v>TN</v>
      </c>
    </row>
    <row r="22619" spans="1:6" x14ac:dyDescent="0.25">
      <c r="A22619" t="str">
        <f>"009320751"</f>
        <v>009320751</v>
      </c>
      <c r="B22619" t="str">
        <f>"1598184574"</f>
        <v>1598184574</v>
      </c>
      <c r="C22619" t="str">
        <f>"363L00000X"</f>
        <v>363L00000X</v>
      </c>
      <c r="D22619" t="str">
        <f>"MAXWELL                  LEANN                    "</f>
        <v xml:space="preserve">MAXWELL                  LEANN                    </v>
      </c>
      <c r="E22619" t="str">
        <f>"GERMANTOWN                "</f>
        <v xml:space="preserve">GERMANTOWN                </v>
      </c>
      <c r="F22619" t="str">
        <f t="shared" si="575"/>
        <v>TN</v>
      </c>
    </row>
    <row r="22620" spans="1:6" x14ac:dyDescent="0.25">
      <c r="A22620" t="str">
        <f>"009329507"</f>
        <v>009329507</v>
      </c>
      <c r="B22620" t="str">
        <f>"1033504402"</f>
        <v>1033504402</v>
      </c>
      <c r="C22620" t="str">
        <f>"207P00000X"</f>
        <v>207P00000X</v>
      </c>
      <c r="D22620" t="str">
        <f>"CRAINE                   PETRINA      L           "</f>
        <v xml:space="preserve">CRAINE                   PETRINA      L           </v>
      </c>
      <c r="E22620" t="str">
        <f>"MEMPHIS                   "</f>
        <v xml:space="preserve">MEMPHIS                   </v>
      </c>
      <c r="F22620" t="str">
        <f t="shared" si="575"/>
        <v>TN</v>
      </c>
    </row>
    <row r="22621" spans="1:6" x14ac:dyDescent="0.25">
      <c r="A22621" t="str">
        <f>"009331208"</f>
        <v>009331208</v>
      </c>
      <c r="B22621" t="str">
        <f>"1740252725"</f>
        <v>1740252725</v>
      </c>
      <c r="C22621" t="str">
        <f>"2085R0202X"</f>
        <v>2085R0202X</v>
      </c>
      <c r="D22621" t="str">
        <f>"RUVO                     VERONICA                 "</f>
        <v xml:space="preserve">RUVO                     VERONICA                 </v>
      </c>
      <c r="E22621" t="str">
        <f>"MEMPHIS                   "</f>
        <v xml:space="preserve">MEMPHIS                   </v>
      </c>
      <c r="F22621" t="str">
        <f t="shared" si="575"/>
        <v>TN</v>
      </c>
    </row>
    <row r="22622" spans="1:6" x14ac:dyDescent="0.25">
      <c r="A22622" t="str">
        <f>"009338293"</f>
        <v>009338293</v>
      </c>
      <c r="B22622" t="str">
        <f>"1295981702"</f>
        <v>1295981702</v>
      </c>
      <c r="C22622" t="str">
        <f>"2080P0208X"</f>
        <v>2080P0208X</v>
      </c>
      <c r="D22622" t="str">
        <f>"MINNIEAR                 TIMOTHY      D           "</f>
        <v xml:space="preserve">MINNIEAR                 TIMOTHY      D           </v>
      </c>
      <c r="E22622" t="str">
        <f>"MEMPHIS                   "</f>
        <v xml:space="preserve">MEMPHIS                   </v>
      </c>
      <c r="F22622" t="str">
        <f t="shared" si="575"/>
        <v>TN</v>
      </c>
    </row>
    <row r="22623" spans="1:6" x14ac:dyDescent="0.25">
      <c r="A22623" t="str">
        <f>"009339306"</f>
        <v>009339306</v>
      </c>
      <c r="B22623" t="str">
        <f>"1689272551"</f>
        <v>1689272551</v>
      </c>
      <c r="C22623" t="str">
        <f>"367500000X"</f>
        <v>367500000X</v>
      </c>
      <c r="D22623" t="str">
        <f>"MEEKS                    BRYANT                   "</f>
        <v xml:space="preserve">MEEKS                    BRYANT                   </v>
      </c>
      <c r="E22623" t="str">
        <f>"MEMPHIS                   "</f>
        <v xml:space="preserve">MEMPHIS                   </v>
      </c>
      <c r="F22623" t="str">
        <f t="shared" si="575"/>
        <v>TN</v>
      </c>
    </row>
    <row r="22624" spans="1:6" x14ac:dyDescent="0.25">
      <c r="A22624" t="str">
        <f>"009373858"</f>
        <v>009373858</v>
      </c>
      <c r="B22624" t="str">
        <f>"1063636306"</f>
        <v>1063636306</v>
      </c>
      <c r="C22624" t="str">
        <f>"207RR0500X"</f>
        <v>207RR0500X</v>
      </c>
      <c r="D22624" t="str">
        <f>"RAZA                     SYED         H           "</f>
        <v xml:space="preserve">RAZA                     SYED         H           </v>
      </c>
      <c r="E22624" t="str">
        <f>"MEMPHIS                   "</f>
        <v xml:space="preserve">MEMPHIS                   </v>
      </c>
      <c r="F22624" t="str">
        <f t="shared" si="575"/>
        <v>TN</v>
      </c>
    </row>
    <row r="22625" spans="1:6" x14ac:dyDescent="0.25">
      <c r="A22625" t="str">
        <f>"009376398"</f>
        <v>009376398</v>
      </c>
      <c r="B22625" t="str">
        <f>"1053949586"</f>
        <v>1053949586</v>
      </c>
      <c r="C22625" t="str">
        <f>"363A00000X"</f>
        <v>363A00000X</v>
      </c>
      <c r="D22625" t="str">
        <f>"DOUGLAS                  MICHELLA     G           "</f>
        <v xml:space="preserve">DOUGLAS                  MICHELLA     G           </v>
      </c>
      <c r="E22625" t="str">
        <f>"GERMANTOWN                "</f>
        <v xml:space="preserve">GERMANTOWN                </v>
      </c>
      <c r="F22625" t="str">
        <f t="shared" si="575"/>
        <v>TN</v>
      </c>
    </row>
    <row r="22626" spans="1:6" x14ac:dyDescent="0.25">
      <c r="A22626" t="str">
        <f>"009378269"</f>
        <v>009378269</v>
      </c>
      <c r="B22626" t="str">
        <f>"1033128848"</f>
        <v>1033128848</v>
      </c>
      <c r="C22626" t="str">
        <f>"2084P0804X"</f>
        <v>2084P0804X</v>
      </c>
      <c r="D22626" t="str">
        <f>"THOMASON                 FRED         G           "</f>
        <v xml:space="preserve">THOMASON                 FRED         G           </v>
      </c>
      <c r="E22626" t="str">
        <f>"BARTLETT                  "</f>
        <v xml:space="preserve">BARTLETT                  </v>
      </c>
      <c r="F22626" t="str">
        <f t="shared" si="575"/>
        <v>TN</v>
      </c>
    </row>
    <row r="22627" spans="1:6" x14ac:dyDescent="0.25">
      <c r="A22627" t="str">
        <f>"009388039"</f>
        <v>009388039</v>
      </c>
      <c r="B22627" t="str">
        <f>"1073807970"</f>
        <v>1073807970</v>
      </c>
      <c r="C22627" t="str">
        <f>"2084N0400X"</f>
        <v>2084N0400X</v>
      </c>
      <c r="D22627" t="str">
        <f>"NEARING                  KATHERINE                "</f>
        <v xml:space="preserve">NEARING                  KATHERINE                </v>
      </c>
      <c r="E22627" t="str">
        <f>"MEMPHIS                   "</f>
        <v xml:space="preserve">MEMPHIS                   </v>
      </c>
      <c r="F22627" t="str">
        <f t="shared" si="575"/>
        <v>TN</v>
      </c>
    </row>
    <row r="22628" spans="1:6" x14ac:dyDescent="0.25">
      <c r="A22628" t="str">
        <f>"009423061"</f>
        <v>009423061</v>
      </c>
      <c r="B22628" t="str">
        <f>"1457791022"</f>
        <v>1457791022</v>
      </c>
      <c r="C22628" t="str">
        <f>"208000000X"</f>
        <v>208000000X</v>
      </c>
      <c r="D22628" t="str">
        <f>"PATEL                    ANAND                    "</f>
        <v xml:space="preserve">PATEL                    ANAND                    </v>
      </c>
      <c r="E22628" t="str">
        <f>"MEMPHIS                   "</f>
        <v xml:space="preserve">MEMPHIS                   </v>
      </c>
      <c r="F22628" t="str">
        <f t="shared" si="575"/>
        <v>TN</v>
      </c>
    </row>
    <row r="22629" spans="1:6" x14ac:dyDescent="0.25">
      <c r="A22629" t="str">
        <f>"009425538"</f>
        <v>009425538</v>
      </c>
      <c r="B22629" t="str">
        <f>"1215251764"</f>
        <v>1215251764</v>
      </c>
      <c r="C22629" t="str">
        <f>"363LF0000X"</f>
        <v>363LF0000X</v>
      </c>
      <c r="D22629" t="str">
        <f>"MAX                      ANITA        M           "</f>
        <v xml:space="preserve">MAX                      ANITA        M           </v>
      </c>
      <c r="E22629" t="str">
        <f>"MEMPHIS                   "</f>
        <v xml:space="preserve">MEMPHIS                   </v>
      </c>
      <c r="F22629" t="str">
        <f t="shared" si="575"/>
        <v>TN</v>
      </c>
    </row>
    <row r="22630" spans="1:6" x14ac:dyDescent="0.25">
      <c r="A22630" t="str">
        <f>"009428557"</f>
        <v>009428557</v>
      </c>
      <c r="B22630" t="str">
        <f>"1811252752"</f>
        <v>1811252752</v>
      </c>
      <c r="C22630" t="str">
        <f>"2080P0207X"</f>
        <v>2080P0207X</v>
      </c>
      <c r="D22630" t="str">
        <f>"BHATT                    NIDHI        R           "</f>
        <v xml:space="preserve">BHATT                    NIDHI        R           </v>
      </c>
      <c r="E22630" t="str">
        <f>"MEMPHIS                   "</f>
        <v xml:space="preserve">MEMPHIS                   </v>
      </c>
      <c r="F22630" t="str">
        <f t="shared" si="575"/>
        <v>TN</v>
      </c>
    </row>
    <row r="22631" spans="1:6" x14ac:dyDescent="0.25">
      <c r="A22631" t="str">
        <f>"009431711"</f>
        <v>009431711</v>
      </c>
      <c r="B22631" t="str">
        <f>"1164837829"</f>
        <v>1164837829</v>
      </c>
      <c r="C22631" t="str">
        <f>"207R00000X"</f>
        <v>207R00000X</v>
      </c>
      <c r="D22631" t="str">
        <f>"AHMED                    BILAWAL                  "</f>
        <v xml:space="preserve">AHMED                    BILAWAL                  </v>
      </c>
      <c r="E22631" t="str">
        <f>"MEMPHIS                   "</f>
        <v xml:space="preserve">MEMPHIS                   </v>
      </c>
      <c r="F22631" t="str">
        <f t="shared" si="575"/>
        <v>TN</v>
      </c>
    </row>
    <row r="22632" spans="1:6" x14ac:dyDescent="0.25">
      <c r="A22632" t="str">
        <f>"009438061"</f>
        <v>009438061</v>
      </c>
      <c r="B22632" t="str">
        <f>"1235179177"</f>
        <v>1235179177</v>
      </c>
      <c r="C22632" t="str">
        <f>"207RP1001X"</f>
        <v>207RP1001X</v>
      </c>
      <c r="D22632" t="str">
        <f>"WRIGHT                   JEFFREY      G           "</f>
        <v xml:space="preserve">WRIGHT                   JEFFREY      G           </v>
      </c>
      <c r="E22632" t="str">
        <f>"GERMANTOWN                "</f>
        <v xml:space="preserve">GERMANTOWN                </v>
      </c>
      <c r="F22632" t="str">
        <f t="shared" si="575"/>
        <v>TN</v>
      </c>
    </row>
    <row r="22633" spans="1:6" x14ac:dyDescent="0.25">
      <c r="A22633" t="str">
        <f>"009473825"</f>
        <v>009473825</v>
      </c>
      <c r="B22633" t="str">
        <f>"1831851351"</f>
        <v>1831851351</v>
      </c>
      <c r="C22633" t="str">
        <f>"363A00000X"</f>
        <v>363A00000X</v>
      </c>
      <c r="D22633" t="str">
        <f>"KNEFATI                  AKRAM                    "</f>
        <v xml:space="preserve">KNEFATI                  AKRAM                    </v>
      </c>
      <c r="E22633" t="str">
        <f>"BARTLETT                  "</f>
        <v xml:space="preserve">BARTLETT                  </v>
      </c>
      <c r="F22633" t="str">
        <f t="shared" si="575"/>
        <v>TN</v>
      </c>
    </row>
    <row r="22634" spans="1:6" x14ac:dyDescent="0.25">
      <c r="A22634" t="str">
        <f>"009482021"</f>
        <v>009482021</v>
      </c>
      <c r="B22634" t="str">
        <f>"1558329169"</f>
        <v>1558329169</v>
      </c>
      <c r="C22634" t="str">
        <f>"2085R0202X"</f>
        <v>2085R0202X</v>
      </c>
      <c r="D22634" t="str">
        <f>"JOSHI                    SALIL        S           "</f>
        <v xml:space="preserve">JOSHI                    SALIL        S           </v>
      </c>
      <c r="E22634" t="str">
        <f>"GERMANTOWN                "</f>
        <v xml:space="preserve">GERMANTOWN                </v>
      </c>
      <c r="F22634" t="str">
        <f t="shared" si="575"/>
        <v>TN</v>
      </c>
    </row>
    <row r="22635" spans="1:6" x14ac:dyDescent="0.25">
      <c r="A22635" t="str">
        <f>"009484096"</f>
        <v>009484096</v>
      </c>
      <c r="B22635" t="str">
        <f>"1952507816"</f>
        <v>1952507816</v>
      </c>
      <c r="C22635" t="str">
        <f>"2084P0804X"</f>
        <v>2084P0804X</v>
      </c>
      <c r="D22635" t="str">
        <f>"AMOS-YOUNG               CYNTHIA      L           "</f>
        <v xml:space="preserve">AMOS-YOUNG               CYNTHIA      L           </v>
      </c>
      <c r="E22635" t="str">
        <f>"BARTLETT                  "</f>
        <v xml:space="preserve">BARTLETT                  </v>
      </c>
      <c r="F22635" t="str">
        <f t="shared" si="575"/>
        <v>TN</v>
      </c>
    </row>
    <row r="22636" spans="1:6" x14ac:dyDescent="0.25">
      <c r="A22636" t="str">
        <f>"009484502"</f>
        <v>009484502</v>
      </c>
      <c r="B22636" t="str">
        <f>"1740624345"</f>
        <v>1740624345</v>
      </c>
      <c r="C22636" t="str">
        <f>"207Q00000X"</f>
        <v>207Q00000X</v>
      </c>
      <c r="D22636" t="str">
        <f>"EDWARDS                  SAMUEL       B           "</f>
        <v xml:space="preserve">EDWARDS                  SAMUEL       B           </v>
      </c>
      <c r="E22636" t="str">
        <f t="shared" ref="E22636:E22649" si="578">"MEMPHIS                   "</f>
        <v xml:space="preserve">MEMPHIS                   </v>
      </c>
      <c r="F22636" t="str">
        <f t="shared" si="575"/>
        <v>TN</v>
      </c>
    </row>
    <row r="22637" spans="1:6" x14ac:dyDescent="0.25">
      <c r="A22637" t="str">
        <f>"009484575"</f>
        <v>009484575</v>
      </c>
      <c r="B22637" t="str">
        <f>"1396298352"</f>
        <v>1396298352</v>
      </c>
      <c r="C22637" t="str">
        <f>"2085R0202X"</f>
        <v>2085R0202X</v>
      </c>
      <c r="D22637" t="str">
        <f>"RAMZAN                   MUHAMMAD     M           "</f>
        <v xml:space="preserve">RAMZAN                   MUHAMMAD     M           </v>
      </c>
      <c r="E22637" t="str">
        <f t="shared" si="578"/>
        <v xml:space="preserve">MEMPHIS                   </v>
      </c>
      <c r="F22637" t="str">
        <f t="shared" si="575"/>
        <v>TN</v>
      </c>
    </row>
    <row r="22638" spans="1:6" x14ac:dyDescent="0.25">
      <c r="A22638" t="str">
        <f>"009501270"</f>
        <v>009501270</v>
      </c>
      <c r="B22638" t="str">
        <f>"1922026707"</f>
        <v>1922026707</v>
      </c>
      <c r="C22638" t="str">
        <f>"208600000X"</f>
        <v>208600000X</v>
      </c>
      <c r="D22638" t="str">
        <f>"DELK                     SAM                      "</f>
        <v xml:space="preserve">DELK                     SAM                      </v>
      </c>
      <c r="E22638" t="str">
        <f t="shared" si="578"/>
        <v xml:space="preserve">MEMPHIS                   </v>
      </c>
      <c r="F22638" t="str">
        <f t="shared" si="575"/>
        <v>TN</v>
      </c>
    </row>
    <row r="22639" spans="1:6" x14ac:dyDescent="0.25">
      <c r="A22639" t="str">
        <f>"009502223"</f>
        <v>009502223</v>
      </c>
      <c r="B22639" t="str">
        <f>"1174049308"</f>
        <v>1174049308</v>
      </c>
      <c r="C22639" t="str">
        <f>"363L00000X"</f>
        <v>363L00000X</v>
      </c>
      <c r="D22639" t="str">
        <f>"NAIL                     SARAH        E           "</f>
        <v xml:space="preserve">NAIL                     SARAH        E           </v>
      </c>
      <c r="E22639" t="str">
        <f t="shared" si="578"/>
        <v xml:space="preserve">MEMPHIS                   </v>
      </c>
      <c r="F22639" t="str">
        <f t="shared" si="575"/>
        <v>TN</v>
      </c>
    </row>
    <row r="22640" spans="1:6" x14ac:dyDescent="0.25">
      <c r="A22640" t="str">
        <f>"009521209"</f>
        <v>009521209</v>
      </c>
      <c r="B22640" t="str">
        <f>"1235744525"</f>
        <v>1235744525</v>
      </c>
      <c r="C22640" t="str">
        <f>"363L00000X"</f>
        <v>363L00000X</v>
      </c>
      <c r="D22640" t="str">
        <f>"COOK                     LATOYA       S           "</f>
        <v xml:space="preserve">COOK                     LATOYA       S           </v>
      </c>
      <c r="E22640" t="str">
        <f t="shared" si="578"/>
        <v xml:space="preserve">MEMPHIS                   </v>
      </c>
      <c r="F22640" t="str">
        <f t="shared" si="575"/>
        <v>TN</v>
      </c>
    </row>
    <row r="22641" spans="1:6" x14ac:dyDescent="0.25">
      <c r="A22641" t="str">
        <f>"009528869"</f>
        <v>009528869</v>
      </c>
      <c r="B22641" t="str">
        <f>"1336467703"</f>
        <v>1336467703</v>
      </c>
      <c r="C22641" t="str">
        <f>"261QE0700X"</f>
        <v>261QE0700X</v>
      </c>
      <c r="D22641" t="str">
        <f>"STATE LINE DIALYSIS                               "</f>
        <v xml:space="preserve">STATE LINE DIALYSIS                               </v>
      </c>
      <c r="E22641" t="str">
        <f t="shared" si="578"/>
        <v xml:space="preserve">MEMPHIS                   </v>
      </c>
      <c r="F22641" t="str">
        <f t="shared" si="575"/>
        <v>TN</v>
      </c>
    </row>
    <row r="22642" spans="1:6" x14ac:dyDescent="0.25">
      <c r="A22642" t="str">
        <f>"009529031"</f>
        <v>009529031</v>
      </c>
      <c r="B22642" t="str">
        <f>"1720038649"</f>
        <v>1720038649</v>
      </c>
      <c r="C22642" t="str">
        <f>"207P00000X"</f>
        <v>207P00000X</v>
      </c>
      <c r="D22642" t="str">
        <f>"HAWKINS                  BRIAN        T           "</f>
        <v xml:space="preserve">HAWKINS                  BRIAN        T           </v>
      </c>
      <c r="E22642" t="str">
        <f t="shared" si="578"/>
        <v xml:space="preserve">MEMPHIS                   </v>
      </c>
      <c r="F22642" t="str">
        <f t="shared" si="575"/>
        <v>TN</v>
      </c>
    </row>
    <row r="22643" spans="1:6" x14ac:dyDescent="0.25">
      <c r="A22643" t="str">
        <f>"009550711"</f>
        <v>009550711</v>
      </c>
      <c r="B22643" t="str">
        <f>"1255543153"</f>
        <v>1255543153</v>
      </c>
      <c r="C22643" t="str">
        <f>"2085R0202X"</f>
        <v>2085R0202X</v>
      </c>
      <c r="D22643" t="str">
        <f>"CHOUDHRI                 ASIM         F           "</f>
        <v xml:space="preserve">CHOUDHRI                 ASIM         F           </v>
      </c>
      <c r="E22643" t="str">
        <f t="shared" si="578"/>
        <v xml:space="preserve">MEMPHIS                   </v>
      </c>
      <c r="F22643" t="str">
        <f t="shared" si="575"/>
        <v>TN</v>
      </c>
    </row>
    <row r="22644" spans="1:6" x14ac:dyDescent="0.25">
      <c r="A22644" t="str">
        <f>"009558797"</f>
        <v>009558797</v>
      </c>
      <c r="B22644" t="str">
        <f>"1992062855"</f>
        <v>1992062855</v>
      </c>
      <c r="C22644" t="str">
        <f>"208C00000X"</f>
        <v>208C00000X</v>
      </c>
      <c r="D22644" t="str">
        <f>"JOHNSON                  PAUL                     "</f>
        <v xml:space="preserve">JOHNSON                  PAUL                     </v>
      </c>
      <c r="E22644" t="str">
        <f t="shared" si="578"/>
        <v xml:space="preserve">MEMPHIS                   </v>
      </c>
      <c r="F22644" t="str">
        <f t="shared" si="575"/>
        <v>TN</v>
      </c>
    </row>
    <row r="22645" spans="1:6" x14ac:dyDescent="0.25">
      <c r="A22645" t="str">
        <f>"009574073"</f>
        <v>009574073</v>
      </c>
      <c r="B22645" t="str">
        <f>"1811500713"</f>
        <v>1811500713</v>
      </c>
      <c r="C22645" t="str">
        <f>"363L00000X"</f>
        <v>363L00000X</v>
      </c>
      <c r="D22645" t="str">
        <f>"VAZHAPPULLY FRANCIS      FREGI                    "</f>
        <v xml:space="preserve">VAZHAPPULLY FRANCIS      FREGI                    </v>
      </c>
      <c r="E22645" t="str">
        <f t="shared" si="578"/>
        <v xml:space="preserve">MEMPHIS                   </v>
      </c>
      <c r="F22645" t="str">
        <f t="shared" si="575"/>
        <v>TN</v>
      </c>
    </row>
    <row r="22646" spans="1:6" x14ac:dyDescent="0.25">
      <c r="A22646" t="str">
        <f>"009576301"</f>
        <v>009576301</v>
      </c>
      <c r="B22646" t="str">
        <f>"1710337936"</f>
        <v>1710337936</v>
      </c>
      <c r="C22646" t="str">
        <f>"2080N0001X"</f>
        <v>2080N0001X</v>
      </c>
      <c r="D22646" t="str">
        <f>"SAKARIA                  RISHIKA      P           "</f>
        <v xml:space="preserve">SAKARIA                  RISHIKA      P           </v>
      </c>
      <c r="E22646" t="str">
        <f t="shared" si="578"/>
        <v xml:space="preserve">MEMPHIS                   </v>
      </c>
      <c r="F22646" t="str">
        <f t="shared" si="575"/>
        <v>TN</v>
      </c>
    </row>
    <row r="22647" spans="1:6" x14ac:dyDescent="0.25">
      <c r="A22647" t="str">
        <f>"009577520"</f>
        <v>009577520</v>
      </c>
      <c r="B22647" t="str">
        <f>"1033538400"</f>
        <v>1033538400</v>
      </c>
      <c r="C22647" t="str">
        <f>"2080P0203X"</f>
        <v>2080P0203X</v>
      </c>
      <c r="D22647" t="str">
        <f>"ARIAS PRADO              ANITA        V           "</f>
        <v xml:space="preserve">ARIAS PRADO              ANITA        V           </v>
      </c>
      <c r="E22647" t="str">
        <f t="shared" si="578"/>
        <v xml:space="preserve">MEMPHIS                   </v>
      </c>
      <c r="F22647" t="str">
        <f t="shared" si="575"/>
        <v>TN</v>
      </c>
    </row>
    <row r="22648" spans="1:6" x14ac:dyDescent="0.25">
      <c r="A22648" t="str">
        <f>"009577767"</f>
        <v>009577767</v>
      </c>
      <c r="B22648" t="str">
        <f>"1508814484"</f>
        <v>1508814484</v>
      </c>
      <c r="C22648" t="str">
        <f>"208100000X"</f>
        <v>208100000X</v>
      </c>
      <c r="D22648" t="str">
        <f>"SULLIVAN                 DONALD       J           "</f>
        <v xml:space="preserve">SULLIVAN                 DONALD       J           </v>
      </c>
      <c r="E22648" t="str">
        <f t="shared" si="578"/>
        <v xml:space="preserve">MEMPHIS                   </v>
      </c>
      <c r="F22648" t="str">
        <f t="shared" si="575"/>
        <v>TN</v>
      </c>
    </row>
    <row r="22649" spans="1:6" x14ac:dyDescent="0.25">
      <c r="A22649" t="str">
        <f>"009579094"</f>
        <v>009579094</v>
      </c>
      <c r="B22649" t="str">
        <f>"1629368519"</f>
        <v>1629368519</v>
      </c>
      <c r="C22649" t="str">
        <f>"2085R0202X"</f>
        <v>2085R0202X</v>
      </c>
      <c r="D22649" t="str">
        <f>"ROZELL                   JOSEPH                   "</f>
        <v xml:space="preserve">ROZELL                   JOSEPH                   </v>
      </c>
      <c r="E22649" t="str">
        <f t="shared" si="578"/>
        <v xml:space="preserve">MEMPHIS                   </v>
      </c>
      <c r="F22649" t="str">
        <f t="shared" si="575"/>
        <v>TN</v>
      </c>
    </row>
    <row r="22650" spans="1:6" x14ac:dyDescent="0.25">
      <c r="A22650" t="str">
        <f>"009582086"</f>
        <v>009582086</v>
      </c>
      <c r="B22650" t="str">
        <f>"1598726150"</f>
        <v>1598726150</v>
      </c>
      <c r="C22650" t="str">
        <f>"2085R0202X"</f>
        <v>2085R0202X</v>
      </c>
      <c r="D22650" t="str">
        <f>"TURNER                   PATRICIA     Y           "</f>
        <v xml:space="preserve">TURNER                   PATRICIA     Y           </v>
      </c>
      <c r="E22650" t="str">
        <f>"GERMANTOWN                "</f>
        <v xml:space="preserve">GERMANTOWN                </v>
      </c>
      <c r="F22650" t="str">
        <f t="shared" si="575"/>
        <v>TN</v>
      </c>
    </row>
    <row r="22651" spans="1:6" x14ac:dyDescent="0.25">
      <c r="A22651" t="str">
        <f>"009585794"</f>
        <v>009585794</v>
      </c>
      <c r="B22651" t="str">
        <f>"1386030666"</f>
        <v>1386030666</v>
      </c>
      <c r="C22651" t="str">
        <f>"207Y00000X"</f>
        <v>207Y00000X</v>
      </c>
      <c r="D22651" t="str">
        <f>"WOOD                     CAREY        B           "</f>
        <v xml:space="preserve">WOOD                     CAREY        B           </v>
      </c>
      <c r="E22651" t="str">
        <f t="shared" ref="E22651:E22656" si="579">"MEMPHIS                   "</f>
        <v xml:space="preserve">MEMPHIS                   </v>
      </c>
      <c r="F22651" t="str">
        <f t="shared" si="575"/>
        <v>TN</v>
      </c>
    </row>
    <row r="22652" spans="1:6" x14ac:dyDescent="0.25">
      <c r="A22652" t="str">
        <f>"009602091"</f>
        <v>009602091</v>
      </c>
      <c r="B22652" t="str">
        <f>"1184870958"</f>
        <v>1184870958</v>
      </c>
      <c r="C22652" t="str">
        <f>"208000000X"</f>
        <v>208000000X</v>
      </c>
      <c r="D22652" t="str">
        <f>"SHAH                     NAMRATA      S           "</f>
        <v xml:space="preserve">SHAH                     NAMRATA      S           </v>
      </c>
      <c r="E22652" t="str">
        <f t="shared" si="579"/>
        <v xml:space="preserve">MEMPHIS                   </v>
      </c>
      <c r="F22652" t="str">
        <f t="shared" si="575"/>
        <v>TN</v>
      </c>
    </row>
    <row r="22653" spans="1:6" x14ac:dyDescent="0.25">
      <c r="A22653" t="str">
        <f>"009603594"</f>
        <v>009603594</v>
      </c>
      <c r="B22653" t="str">
        <f>"1205031390"</f>
        <v>1205031390</v>
      </c>
      <c r="C22653" t="str">
        <f>"207P00000X"</f>
        <v>207P00000X</v>
      </c>
      <c r="D22653" t="str">
        <f>"BOWMAN                   BENJAMIN                 "</f>
        <v xml:space="preserve">BOWMAN                   BENJAMIN                 </v>
      </c>
      <c r="E22653" t="str">
        <f t="shared" si="579"/>
        <v xml:space="preserve">MEMPHIS                   </v>
      </c>
      <c r="F22653" t="str">
        <f t="shared" si="575"/>
        <v>TN</v>
      </c>
    </row>
    <row r="22654" spans="1:6" x14ac:dyDescent="0.25">
      <c r="A22654" t="str">
        <f>"009624597"</f>
        <v>009624597</v>
      </c>
      <c r="B22654" t="str">
        <f>"1295925840"</f>
        <v>1295925840</v>
      </c>
      <c r="C22654" t="str">
        <f>"207RE0101X"</f>
        <v>207RE0101X</v>
      </c>
      <c r="D22654" t="str">
        <f>"KHAYAL                   SABA                     "</f>
        <v xml:space="preserve">KHAYAL                   SABA                     </v>
      </c>
      <c r="E22654" t="str">
        <f t="shared" si="579"/>
        <v xml:space="preserve">MEMPHIS                   </v>
      </c>
      <c r="F22654" t="str">
        <f t="shared" ref="F22654:F22717" si="580">"TN"</f>
        <v>TN</v>
      </c>
    </row>
    <row r="22655" spans="1:6" x14ac:dyDescent="0.25">
      <c r="A22655" t="str">
        <f>"009625260"</f>
        <v>009625260</v>
      </c>
      <c r="B22655" t="str">
        <f>"1255910881"</f>
        <v>1255910881</v>
      </c>
      <c r="C22655" t="str">
        <f>"367500000X"</f>
        <v>367500000X</v>
      </c>
      <c r="D22655" t="str">
        <f>"VEKSLER                  CAROLYN      M           "</f>
        <v xml:space="preserve">VEKSLER                  CAROLYN      M           </v>
      </c>
      <c r="E22655" t="str">
        <f t="shared" si="579"/>
        <v xml:space="preserve">MEMPHIS                   </v>
      </c>
      <c r="F22655" t="str">
        <f t="shared" si="580"/>
        <v>TN</v>
      </c>
    </row>
    <row r="22656" spans="1:6" x14ac:dyDescent="0.25">
      <c r="A22656" t="str">
        <f>"009631271"</f>
        <v>009631271</v>
      </c>
      <c r="B22656" t="str">
        <f>"1265446884"</f>
        <v>1265446884</v>
      </c>
      <c r="C22656" t="str">
        <f>"367500000X"</f>
        <v>367500000X</v>
      </c>
      <c r="D22656" t="str">
        <f>"FLETTRICH                DEBORAH      D           "</f>
        <v xml:space="preserve">FLETTRICH                DEBORAH      D           </v>
      </c>
      <c r="E22656" t="str">
        <f t="shared" si="579"/>
        <v xml:space="preserve">MEMPHIS                   </v>
      </c>
      <c r="F22656" t="str">
        <f t="shared" si="580"/>
        <v>TN</v>
      </c>
    </row>
    <row r="22657" spans="1:6" x14ac:dyDescent="0.25">
      <c r="A22657" t="str">
        <f>"009631315"</f>
        <v>009631315</v>
      </c>
      <c r="B22657" t="str">
        <f>"1114913555"</f>
        <v>1114913555</v>
      </c>
      <c r="C22657" t="str">
        <f>"207Q00000X"</f>
        <v>207Q00000X</v>
      </c>
      <c r="D22657" t="str">
        <f>"SULLIVAN                 ANNE         L           "</f>
        <v xml:space="preserve">SULLIVAN                 ANNE         L           </v>
      </c>
      <c r="E22657" t="str">
        <f>"GERMANTOWN                "</f>
        <v xml:space="preserve">GERMANTOWN                </v>
      </c>
      <c r="F22657" t="str">
        <f t="shared" si="580"/>
        <v>TN</v>
      </c>
    </row>
    <row r="22658" spans="1:6" x14ac:dyDescent="0.25">
      <c r="A22658" t="str">
        <f>"009653057"</f>
        <v>009653057</v>
      </c>
      <c r="B22658" t="str">
        <f>"1003097593"</f>
        <v>1003097593</v>
      </c>
      <c r="C22658" t="str">
        <f>"207RC0000X"</f>
        <v>207RC0000X</v>
      </c>
      <c r="D22658" t="str">
        <f>"PATEL                    MEHUL        B           "</f>
        <v xml:space="preserve">PATEL                    MEHUL        B           </v>
      </c>
      <c r="E22658" t="str">
        <f>"GERMANTOWN                "</f>
        <v xml:space="preserve">GERMANTOWN                </v>
      </c>
      <c r="F22658" t="str">
        <f t="shared" si="580"/>
        <v>TN</v>
      </c>
    </row>
    <row r="22659" spans="1:6" x14ac:dyDescent="0.25">
      <c r="A22659" t="str">
        <f>"009656776"</f>
        <v>009656776</v>
      </c>
      <c r="B22659" t="str">
        <f>"1083758544"</f>
        <v>1083758544</v>
      </c>
      <c r="C22659" t="str">
        <f>"2085R0001X"</f>
        <v>2085R0001X</v>
      </c>
      <c r="D22659" t="str">
        <f>"TOMBLYN                  MICHAEL      B           "</f>
        <v xml:space="preserve">TOMBLYN                  MICHAEL      B           </v>
      </c>
      <c r="E22659" t="str">
        <f>"BARTLETT                  "</f>
        <v xml:space="preserve">BARTLETT                  </v>
      </c>
      <c r="F22659" t="str">
        <f t="shared" si="580"/>
        <v>TN</v>
      </c>
    </row>
    <row r="22660" spans="1:6" x14ac:dyDescent="0.25">
      <c r="A22660" t="str">
        <f>"009657739"</f>
        <v>009657739</v>
      </c>
      <c r="B22660" t="str">
        <f>"1750300273"</f>
        <v>1750300273</v>
      </c>
      <c r="C22660" t="str">
        <f>"363L00000X"</f>
        <v>363L00000X</v>
      </c>
      <c r="D22660" t="str">
        <f>"MASHBURN                 CYNTHIA      M           "</f>
        <v xml:space="preserve">MASHBURN                 CYNTHIA      M           </v>
      </c>
      <c r="E22660" t="str">
        <f>"BARTLETT                  "</f>
        <v xml:space="preserve">BARTLETT                  </v>
      </c>
      <c r="F22660" t="str">
        <f t="shared" si="580"/>
        <v>TN</v>
      </c>
    </row>
    <row r="22661" spans="1:6" x14ac:dyDescent="0.25">
      <c r="A22661" t="str">
        <f>"009676329"</f>
        <v>009676329</v>
      </c>
      <c r="B22661" t="str">
        <f>"1326025917"</f>
        <v>1326025917</v>
      </c>
      <c r="C22661" t="str">
        <f>"363LP0200X"</f>
        <v>363LP0200X</v>
      </c>
      <c r="D22661" t="str">
        <f>"BRANDON                  LEIGH                    "</f>
        <v xml:space="preserve">BRANDON                  LEIGH                    </v>
      </c>
      <c r="E22661" t="str">
        <f>"MEMPHIS                   "</f>
        <v xml:space="preserve">MEMPHIS                   </v>
      </c>
      <c r="F22661" t="str">
        <f t="shared" si="580"/>
        <v>TN</v>
      </c>
    </row>
    <row r="22662" spans="1:6" x14ac:dyDescent="0.25">
      <c r="A22662" t="str">
        <f>"009700063"</f>
        <v>009700063</v>
      </c>
      <c r="B22662" t="str">
        <f>"1619313756"</f>
        <v>1619313756</v>
      </c>
      <c r="C22662" t="str">
        <f>"207N00000X"</f>
        <v>207N00000X</v>
      </c>
      <c r="D22662" t="str">
        <f>"SHROYER                  WHITNEY                  "</f>
        <v xml:space="preserve">SHROYER                  WHITNEY                  </v>
      </c>
      <c r="E22662" t="str">
        <f>"MEMPHIS                   "</f>
        <v xml:space="preserve">MEMPHIS                   </v>
      </c>
      <c r="F22662" t="str">
        <f t="shared" si="580"/>
        <v>TN</v>
      </c>
    </row>
    <row r="22663" spans="1:6" x14ac:dyDescent="0.25">
      <c r="A22663" t="str">
        <f>"009707059"</f>
        <v>009707059</v>
      </c>
      <c r="B22663" t="str">
        <f>"1215131792"</f>
        <v>1215131792</v>
      </c>
      <c r="C22663" t="str">
        <f>"208600000X"</f>
        <v>208600000X</v>
      </c>
      <c r="D22663" t="str">
        <f>"MURPHY                   ANDREW       J           "</f>
        <v xml:space="preserve">MURPHY                   ANDREW       J           </v>
      </c>
      <c r="E22663" t="str">
        <f>"MEMPHIS                   "</f>
        <v xml:space="preserve">MEMPHIS                   </v>
      </c>
      <c r="F22663" t="str">
        <f t="shared" si="580"/>
        <v>TN</v>
      </c>
    </row>
    <row r="22664" spans="1:6" x14ac:dyDescent="0.25">
      <c r="A22664" t="str">
        <f>"009721520"</f>
        <v>009721520</v>
      </c>
      <c r="B22664" t="str">
        <f>"1780037382"</f>
        <v>1780037382</v>
      </c>
      <c r="C22664" t="str">
        <f>"2085R0202X"</f>
        <v>2085R0202X</v>
      </c>
      <c r="D22664" t="str">
        <f>"CAZANO                   EMILIO                   "</f>
        <v xml:space="preserve">CAZANO                   EMILIO                   </v>
      </c>
      <c r="E22664" t="str">
        <f>"GERMANTOWN                "</f>
        <v xml:space="preserve">GERMANTOWN                </v>
      </c>
      <c r="F22664" t="str">
        <f t="shared" si="580"/>
        <v>TN</v>
      </c>
    </row>
    <row r="22665" spans="1:6" x14ac:dyDescent="0.25">
      <c r="A22665" t="str">
        <f>"009724020"</f>
        <v>009724020</v>
      </c>
      <c r="B22665" t="str">
        <f>"1477091767"</f>
        <v>1477091767</v>
      </c>
      <c r="C22665" t="str">
        <f>"261QE0700X"</f>
        <v>261QE0700X</v>
      </c>
      <c r="D22665" t="str">
        <f>"AIRWAYS DIALYSIS                                  "</f>
        <v xml:space="preserve">AIRWAYS DIALYSIS                                  </v>
      </c>
      <c r="E22665" t="str">
        <f>"MEMPHIS                   "</f>
        <v xml:space="preserve">MEMPHIS                   </v>
      </c>
      <c r="F22665" t="str">
        <f t="shared" si="580"/>
        <v>TN</v>
      </c>
    </row>
    <row r="22666" spans="1:6" x14ac:dyDescent="0.25">
      <c r="A22666" t="str">
        <f>"009731761"</f>
        <v>009731761</v>
      </c>
      <c r="B22666" t="str">
        <f>"1336591841"</f>
        <v>1336591841</v>
      </c>
      <c r="C22666" t="str">
        <f>"363A00000X"</f>
        <v>363A00000X</v>
      </c>
      <c r="D22666" t="str">
        <f>"SHANKER                  SREENATH                 "</f>
        <v xml:space="preserve">SHANKER                  SREENATH                 </v>
      </c>
      <c r="E22666" t="str">
        <f>"MEMPHIS                   "</f>
        <v xml:space="preserve">MEMPHIS                   </v>
      </c>
      <c r="F22666" t="str">
        <f t="shared" si="580"/>
        <v>TN</v>
      </c>
    </row>
    <row r="22667" spans="1:6" x14ac:dyDescent="0.25">
      <c r="A22667" t="str">
        <f>"009736730"</f>
        <v>009736730</v>
      </c>
      <c r="B22667" t="str">
        <f>"1356850283"</f>
        <v>1356850283</v>
      </c>
      <c r="C22667" t="str">
        <f>"363L00000X"</f>
        <v>363L00000X</v>
      </c>
      <c r="D22667" t="str">
        <f>"VOGELFANGER              SARAH        B           "</f>
        <v xml:space="preserve">VOGELFANGER              SARAH        B           </v>
      </c>
      <c r="E22667" t="str">
        <f>"MEMPHIS                   "</f>
        <v xml:space="preserve">MEMPHIS                   </v>
      </c>
      <c r="F22667" t="str">
        <f t="shared" si="580"/>
        <v>TN</v>
      </c>
    </row>
    <row r="22668" spans="1:6" x14ac:dyDescent="0.25">
      <c r="A22668" t="str">
        <f>"009736881"</f>
        <v>009736881</v>
      </c>
      <c r="B22668" t="str">
        <f>"1528568433"</f>
        <v>1528568433</v>
      </c>
      <c r="C22668" t="str">
        <f>"363LP0200X"</f>
        <v>363LP0200X</v>
      </c>
      <c r="D22668" t="str">
        <f>"DENTON                   EMILY        P           "</f>
        <v xml:space="preserve">DENTON                   EMILY        P           </v>
      </c>
      <c r="E22668" t="str">
        <f>"MEMPHIS                   "</f>
        <v xml:space="preserve">MEMPHIS                   </v>
      </c>
      <c r="F22668" t="str">
        <f t="shared" si="580"/>
        <v>TN</v>
      </c>
    </row>
    <row r="22669" spans="1:6" x14ac:dyDescent="0.25">
      <c r="A22669" t="str">
        <f>"009750227"</f>
        <v>009750227</v>
      </c>
      <c r="B22669" t="str">
        <f>"1316181662"</f>
        <v>1316181662</v>
      </c>
      <c r="C22669" t="str">
        <f>"2085R0202X"</f>
        <v>2085R0202X</v>
      </c>
      <c r="D22669" t="str">
        <f>"CHARY                    ARON         K           "</f>
        <v xml:space="preserve">CHARY                    ARON         K           </v>
      </c>
      <c r="E22669" t="str">
        <f>"GERMANTOWN                "</f>
        <v xml:space="preserve">GERMANTOWN                </v>
      </c>
      <c r="F22669" t="str">
        <f t="shared" si="580"/>
        <v>TN</v>
      </c>
    </row>
    <row r="22670" spans="1:6" x14ac:dyDescent="0.25">
      <c r="A22670" t="str">
        <f>"009750782"</f>
        <v>009750782</v>
      </c>
      <c r="B22670" t="str">
        <f>"1679718357"</f>
        <v>1679718357</v>
      </c>
      <c r="C22670" t="str">
        <f>"207RE0101X"</f>
        <v>207RE0101X</v>
      </c>
      <c r="D22670" t="str">
        <f>"BRANNICK                 BENJAMIN     B           "</f>
        <v xml:space="preserve">BRANNICK                 BENJAMIN     B           </v>
      </c>
      <c r="E22670" t="str">
        <f>"MEMPHIS                   "</f>
        <v xml:space="preserve">MEMPHIS                   </v>
      </c>
      <c r="F22670" t="str">
        <f t="shared" si="580"/>
        <v>TN</v>
      </c>
    </row>
    <row r="22671" spans="1:6" x14ac:dyDescent="0.25">
      <c r="A22671" t="str">
        <f>"009751719"</f>
        <v>009751719</v>
      </c>
      <c r="B22671" t="str">
        <f>"1053385963"</f>
        <v>1053385963</v>
      </c>
      <c r="C22671" t="str">
        <f>"122300000X"</f>
        <v>122300000X</v>
      </c>
      <c r="D22671" t="str">
        <f>"UNIVERSITY OF TENNESSEE                           "</f>
        <v xml:space="preserve">UNIVERSITY OF TENNESSEE                           </v>
      </c>
      <c r="E22671" t="str">
        <f>"MEMPHIS                   "</f>
        <v xml:space="preserve">MEMPHIS                   </v>
      </c>
      <c r="F22671" t="str">
        <f t="shared" si="580"/>
        <v>TN</v>
      </c>
    </row>
    <row r="22672" spans="1:6" x14ac:dyDescent="0.25">
      <c r="A22672" t="str">
        <f>"009753801"</f>
        <v>009753801</v>
      </c>
      <c r="B22672" t="str">
        <f>"1619136165"</f>
        <v>1619136165</v>
      </c>
      <c r="C22672" t="str">
        <f>"207RC0000X"</f>
        <v>207RC0000X</v>
      </c>
      <c r="D22672" t="str">
        <f>"LEVINE                   YEHOSHUA     C           "</f>
        <v xml:space="preserve">LEVINE                   YEHOSHUA     C           </v>
      </c>
      <c r="E22672" t="str">
        <f>"MEMPHIS                   "</f>
        <v xml:space="preserve">MEMPHIS                   </v>
      </c>
      <c r="F22672" t="str">
        <f t="shared" si="580"/>
        <v>TN</v>
      </c>
    </row>
    <row r="22673" spans="1:6" x14ac:dyDescent="0.25">
      <c r="A22673" t="str">
        <f>"009770725"</f>
        <v>009770725</v>
      </c>
      <c r="B22673" t="str">
        <f>"1396066577"</f>
        <v>1396066577</v>
      </c>
      <c r="C22673" t="str">
        <f>"2085P0229X"</f>
        <v>2085P0229X</v>
      </c>
      <c r="D22673" t="str">
        <f>"ABRAMSON                 ZACHARY                  "</f>
        <v xml:space="preserve">ABRAMSON                 ZACHARY                  </v>
      </c>
      <c r="E22673" t="str">
        <f>"MEMPHIS                   "</f>
        <v xml:space="preserve">MEMPHIS                   </v>
      </c>
      <c r="F22673" t="str">
        <f t="shared" si="580"/>
        <v>TN</v>
      </c>
    </row>
    <row r="22674" spans="1:6" x14ac:dyDescent="0.25">
      <c r="A22674" t="str">
        <f>"009777257"</f>
        <v>009777257</v>
      </c>
      <c r="B22674" t="str">
        <f>"1609876176"</f>
        <v>1609876176</v>
      </c>
      <c r="C22674" t="str">
        <f>"208000000X"</f>
        <v>208000000X</v>
      </c>
      <c r="D22674" t="str">
        <f>"LONGJOHN                 MINDY                    "</f>
        <v xml:space="preserve">LONGJOHN                 MINDY                    </v>
      </c>
      <c r="E22674" t="str">
        <f>"MEMPHIS                   "</f>
        <v xml:space="preserve">MEMPHIS                   </v>
      </c>
      <c r="F22674" t="str">
        <f t="shared" si="580"/>
        <v>TN</v>
      </c>
    </row>
    <row r="22675" spans="1:6" x14ac:dyDescent="0.25">
      <c r="A22675" t="str">
        <f>"009782544"</f>
        <v>009782544</v>
      </c>
      <c r="B22675" t="str">
        <f>"1578679395"</f>
        <v>1578679395</v>
      </c>
      <c r="C22675" t="str">
        <f>"207RC0000X"</f>
        <v>207RC0000X</v>
      </c>
      <c r="D22675" t="str">
        <f>"SALAZAR                  HOLGER       P           "</f>
        <v xml:space="preserve">SALAZAR                  HOLGER       P           </v>
      </c>
      <c r="E22675" t="str">
        <f>"GERMANTOWN                "</f>
        <v xml:space="preserve">GERMANTOWN                </v>
      </c>
      <c r="F22675" t="str">
        <f t="shared" si="580"/>
        <v>TN</v>
      </c>
    </row>
    <row r="22676" spans="1:6" x14ac:dyDescent="0.25">
      <c r="A22676" t="str">
        <f>"009789310"</f>
        <v>009789310</v>
      </c>
      <c r="B22676" t="str">
        <f>"1689897159"</f>
        <v>1689897159</v>
      </c>
      <c r="C22676" t="str">
        <f>"2084N0400X"</f>
        <v>2084N0400X</v>
      </c>
      <c r="D22676" t="str">
        <f>"ELAHI                    HAFIZ        A           "</f>
        <v xml:space="preserve">ELAHI                    HAFIZ        A           </v>
      </c>
      <c r="E22676" t="str">
        <f>"CORDOVA                   "</f>
        <v xml:space="preserve">CORDOVA                   </v>
      </c>
      <c r="F22676" t="str">
        <f t="shared" si="580"/>
        <v>TN</v>
      </c>
    </row>
    <row r="22677" spans="1:6" x14ac:dyDescent="0.25">
      <c r="A22677" t="str">
        <f>"009825313"</f>
        <v>009825313</v>
      </c>
      <c r="B22677" t="str">
        <f>"1457307936"</f>
        <v>1457307936</v>
      </c>
      <c r="C22677" t="str">
        <f>"261QE0700X"</f>
        <v>261QE0700X</v>
      </c>
      <c r="D22677" t="str">
        <f>"WHITEHAVEN RENAL CENTER                           "</f>
        <v xml:space="preserve">WHITEHAVEN RENAL CENTER                           </v>
      </c>
      <c r="E22677" t="str">
        <f>"MEMPHIS                   "</f>
        <v xml:space="preserve">MEMPHIS                   </v>
      </c>
      <c r="F22677" t="str">
        <f t="shared" si="580"/>
        <v>TN</v>
      </c>
    </row>
    <row r="22678" spans="1:6" x14ac:dyDescent="0.25">
      <c r="A22678" t="str">
        <f>"009836856"</f>
        <v>009836856</v>
      </c>
      <c r="B22678" t="str">
        <f>"1568653822"</f>
        <v>1568653822</v>
      </c>
      <c r="C22678" t="str">
        <f>"207R00000X"</f>
        <v>207R00000X</v>
      </c>
      <c r="D22678" t="str">
        <f>"DEMPSEY                  BUCKLEY      K           "</f>
        <v xml:space="preserve">DEMPSEY                  BUCKLEY      K           </v>
      </c>
      <c r="E22678" t="str">
        <f>"GERMANTOWN                "</f>
        <v xml:space="preserve">GERMANTOWN                </v>
      </c>
      <c r="F22678" t="str">
        <f t="shared" si="580"/>
        <v>TN</v>
      </c>
    </row>
    <row r="22679" spans="1:6" x14ac:dyDescent="0.25">
      <c r="A22679" t="str">
        <f>"009837507"</f>
        <v>009837507</v>
      </c>
      <c r="B22679" t="str">
        <f>"1508897216"</f>
        <v>1508897216</v>
      </c>
      <c r="C22679" t="str">
        <f>"2085P0229X"</f>
        <v>2085P0229X</v>
      </c>
      <c r="D22679" t="str">
        <f>"BALLESTEROS              MARTHA       C           "</f>
        <v xml:space="preserve">BALLESTEROS              MARTHA       C           </v>
      </c>
      <c r="E22679" t="str">
        <f>"MEMPHIS                   "</f>
        <v xml:space="preserve">MEMPHIS                   </v>
      </c>
      <c r="F22679" t="str">
        <f t="shared" si="580"/>
        <v>TN</v>
      </c>
    </row>
    <row r="22680" spans="1:6" x14ac:dyDescent="0.25">
      <c r="A22680" t="str">
        <f>"009853252"</f>
        <v>009853252</v>
      </c>
      <c r="B22680" t="str">
        <f>"1093715682"</f>
        <v>1093715682</v>
      </c>
      <c r="C22680" t="str">
        <f>"208000000X"</f>
        <v>208000000X</v>
      </c>
      <c r="D22680" t="str">
        <f>"HANNA                    WILLIAM      R           "</f>
        <v xml:space="preserve">HANNA                    WILLIAM      R           </v>
      </c>
      <c r="E22680" t="str">
        <f>"MEMPHIS                   "</f>
        <v xml:space="preserve">MEMPHIS                   </v>
      </c>
      <c r="F22680" t="str">
        <f t="shared" si="580"/>
        <v>TN</v>
      </c>
    </row>
    <row r="22681" spans="1:6" x14ac:dyDescent="0.25">
      <c r="A22681" t="str">
        <f>"009871291"</f>
        <v>009871291</v>
      </c>
      <c r="B22681" t="str">
        <f>"1902873045"</f>
        <v>1902873045</v>
      </c>
      <c r="C22681" t="str">
        <f>"363L00000X"</f>
        <v>363L00000X</v>
      </c>
      <c r="D22681" t="str">
        <f>"GREENE                   HEATHER      R           "</f>
        <v xml:space="preserve">GREENE                   HEATHER      R           </v>
      </c>
      <c r="E22681" t="str">
        <f>"GERMANTOWN                "</f>
        <v xml:space="preserve">GERMANTOWN                </v>
      </c>
      <c r="F22681" t="str">
        <f t="shared" si="580"/>
        <v>TN</v>
      </c>
    </row>
    <row r="22682" spans="1:6" x14ac:dyDescent="0.25">
      <c r="A22682" t="str">
        <f>"009873064"</f>
        <v>009873064</v>
      </c>
      <c r="B22682" t="str">
        <f>"1053379149"</f>
        <v>1053379149</v>
      </c>
      <c r="C22682" t="str">
        <f>"207RN0300X"</f>
        <v>207RN0300X</v>
      </c>
      <c r="D22682" t="str">
        <f>"NASEER                   ADNAN                    "</f>
        <v xml:space="preserve">NASEER                   ADNAN                    </v>
      </c>
      <c r="E22682" t="str">
        <f>"MEMPHIS                   "</f>
        <v xml:space="preserve">MEMPHIS                   </v>
      </c>
      <c r="F22682" t="str">
        <f t="shared" si="580"/>
        <v>TN</v>
      </c>
    </row>
    <row r="22683" spans="1:6" x14ac:dyDescent="0.25">
      <c r="A22683" t="str">
        <f>"009877768"</f>
        <v>009877768</v>
      </c>
      <c r="B22683" t="str">
        <f>"1508889817"</f>
        <v>1508889817</v>
      </c>
      <c r="C22683" t="str">
        <f>"208800000X"</f>
        <v>208800000X</v>
      </c>
      <c r="D22683" t="str">
        <f>"SHAPPLEY JR.             WILLIAM      V           "</f>
        <v xml:space="preserve">SHAPPLEY JR.             WILLIAM      V           </v>
      </c>
      <c r="E22683" t="str">
        <f>"GERMANTOWN                "</f>
        <v xml:space="preserve">GERMANTOWN                </v>
      </c>
      <c r="F22683" t="str">
        <f t="shared" si="580"/>
        <v>TN</v>
      </c>
    </row>
    <row r="22684" spans="1:6" x14ac:dyDescent="0.25">
      <c r="A22684" t="str">
        <f>"009879257"</f>
        <v>009879257</v>
      </c>
      <c r="B22684" t="str">
        <f>"1265902613"</f>
        <v>1265902613</v>
      </c>
      <c r="C22684" t="str">
        <f>"363LP0200X"</f>
        <v>363LP0200X</v>
      </c>
      <c r="D22684" t="str">
        <f>"MYRICK                   RAVEN                    "</f>
        <v xml:space="preserve">MYRICK                   RAVEN                    </v>
      </c>
      <c r="E22684" t="str">
        <f>"MEMPHIS                   "</f>
        <v xml:space="preserve">MEMPHIS                   </v>
      </c>
      <c r="F22684" t="str">
        <f t="shared" si="580"/>
        <v>TN</v>
      </c>
    </row>
    <row r="22685" spans="1:6" x14ac:dyDescent="0.25">
      <c r="A22685" t="str">
        <f>"009883740"</f>
        <v>009883740</v>
      </c>
      <c r="B22685" t="str">
        <f>"1275868598"</f>
        <v>1275868598</v>
      </c>
      <c r="C22685" t="str">
        <f>"363L00000X"</f>
        <v>363L00000X</v>
      </c>
      <c r="D22685" t="str">
        <f>"MEEK                     ANNA         M           "</f>
        <v xml:space="preserve">MEEK                     ANNA         M           </v>
      </c>
      <c r="E22685" t="str">
        <f>"JACKSON                   "</f>
        <v xml:space="preserve">JACKSON                   </v>
      </c>
      <c r="F22685" t="str">
        <f t="shared" si="580"/>
        <v>TN</v>
      </c>
    </row>
    <row r="22686" spans="1:6" x14ac:dyDescent="0.25">
      <c r="A22686" t="str">
        <f>"009923236"</f>
        <v>009923236</v>
      </c>
      <c r="B22686" t="str">
        <f>"1407028574"</f>
        <v>1407028574</v>
      </c>
      <c r="C22686" t="str">
        <f>"2080P0207X"</f>
        <v>2080P0207X</v>
      </c>
      <c r="D22686" t="str">
        <f>"HELMIG                   SARA         E           "</f>
        <v xml:space="preserve">HELMIG                   SARA         E           </v>
      </c>
      <c r="E22686" t="str">
        <f>"MEMPHIS                   "</f>
        <v xml:space="preserve">MEMPHIS                   </v>
      </c>
      <c r="F22686" t="str">
        <f t="shared" si="580"/>
        <v>TN</v>
      </c>
    </row>
    <row r="22687" spans="1:6" x14ac:dyDescent="0.25">
      <c r="A22687" t="str">
        <f>"009933261"</f>
        <v>009933261</v>
      </c>
      <c r="B22687" t="str">
        <f>"1396035465"</f>
        <v>1396035465</v>
      </c>
      <c r="C22687" t="str">
        <f>"208000000X"</f>
        <v>208000000X</v>
      </c>
      <c r="D22687" t="str">
        <f>"MOREIRA RIDSDALE         DANIEL                   "</f>
        <v xml:space="preserve">MOREIRA RIDSDALE         DANIEL                   </v>
      </c>
      <c r="E22687" t="str">
        <f>"MEMPHIS                   "</f>
        <v xml:space="preserve">MEMPHIS                   </v>
      </c>
      <c r="F22687" t="str">
        <f t="shared" si="580"/>
        <v>TN</v>
      </c>
    </row>
    <row r="22688" spans="1:6" x14ac:dyDescent="0.25">
      <c r="A22688" t="str">
        <f>"009975810"</f>
        <v>009975810</v>
      </c>
      <c r="B22688" t="str">
        <f>"1073149308"</f>
        <v>1073149308</v>
      </c>
      <c r="C22688" t="str">
        <f>"207X00000X"</f>
        <v>207X00000X</v>
      </c>
      <c r="D22688" t="str">
        <f>"MANSOUR                  KAILEY                   "</f>
        <v xml:space="preserve">MANSOUR                  KAILEY                   </v>
      </c>
      <c r="E22688" t="str">
        <f>"MEMPHIS                   "</f>
        <v xml:space="preserve">MEMPHIS                   </v>
      </c>
      <c r="F22688" t="str">
        <f t="shared" si="580"/>
        <v>TN</v>
      </c>
    </row>
    <row r="22689" spans="1:6" x14ac:dyDescent="0.25">
      <c r="A22689" t="str">
        <f>"009980613"</f>
        <v>009980613</v>
      </c>
      <c r="B22689" t="str">
        <f>"1528530953"</f>
        <v>1528530953</v>
      </c>
      <c r="C22689" t="str">
        <f>"363A00000X"</f>
        <v>363A00000X</v>
      </c>
      <c r="D22689" t="str">
        <f>"TRAN                     LAN          T           "</f>
        <v xml:space="preserve">TRAN                     LAN          T           </v>
      </c>
      <c r="E22689" t="str">
        <f>"GERMANTOWN                "</f>
        <v xml:space="preserve">GERMANTOWN                </v>
      </c>
      <c r="F22689" t="str">
        <f t="shared" si="580"/>
        <v>TN</v>
      </c>
    </row>
    <row r="22690" spans="1:6" x14ac:dyDescent="0.25">
      <c r="A22690" t="str">
        <f>"009983751"</f>
        <v>009983751</v>
      </c>
      <c r="B22690" t="str">
        <f>"1447255526"</f>
        <v>1447255526</v>
      </c>
      <c r="C22690" t="str">
        <f>"363L00000X"</f>
        <v>363L00000X</v>
      </c>
      <c r="D22690" t="str">
        <f>"DUSENBURY                WENDY        L           "</f>
        <v xml:space="preserve">DUSENBURY                WENDY        L           </v>
      </c>
      <c r="E22690" t="str">
        <f>"MEMPHIS                   "</f>
        <v xml:space="preserve">MEMPHIS                   </v>
      </c>
      <c r="F22690" t="str">
        <f t="shared" si="580"/>
        <v>TN</v>
      </c>
    </row>
    <row r="22691" spans="1:6" x14ac:dyDescent="0.25">
      <c r="A22691" t="str">
        <f>"009988582"</f>
        <v>009988582</v>
      </c>
      <c r="B22691" t="str">
        <f>"1679560288"</f>
        <v>1679560288</v>
      </c>
      <c r="C22691" t="str">
        <f>"207P00000X"</f>
        <v>207P00000X</v>
      </c>
      <c r="D22691" t="str">
        <f>"STAMPS                   JAMES        K           "</f>
        <v xml:space="preserve">STAMPS                   JAMES        K           </v>
      </c>
      <c r="E22691" t="str">
        <f>"MEMPHIS                   "</f>
        <v xml:space="preserve">MEMPHIS                   </v>
      </c>
      <c r="F22691" t="str">
        <f t="shared" si="580"/>
        <v>TN</v>
      </c>
    </row>
    <row r="22692" spans="1:6" x14ac:dyDescent="0.25">
      <c r="A22692" t="str">
        <f>"009989209"</f>
        <v>009989209</v>
      </c>
      <c r="B22692" t="str">
        <f>"1407021389"</f>
        <v>1407021389</v>
      </c>
      <c r="C22692" t="str">
        <f>"2084N0402X"</f>
        <v>2084N0402X</v>
      </c>
      <c r="D22692" t="str">
        <f>"WEATHERSPOON             SARAH        E           "</f>
        <v xml:space="preserve">WEATHERSPOON             SARAH        E           </v>
      </c>
      <c r="E22692" t="str">
        <f>"MEMPHIS                   "</f>
        <v xml:space="preserve">MEMPHIS                   </v>
      </c>
      <c r="F22692" t="str">
        <f t="shared" si="580"/>
        <v>TN</v>
      </c>
    </row>
    <row r="22693" spans="1:6" x14ac:dyDescent="0.25">
      <c r="A22693" t="str">
        <f>"100121254"</f>
        <v>100121254</v>
      </c>
      <c r="B22693" t="str">
        <f>"1972594208"</f>
        <v>1972594208</v>
      </c>
      <c r="C22693" t="str">
        <f>"207RC0200X"</f>
        <v>207RC0200X</v>
      </c>
      <c r="D22693" t="str">
        <f>"FOX                      ROY          C           "</f>
        <v xml:space="preserve">FOX                      ROY          C           </v>
      </c>
      <c r="E22693" t="str">
        <f>"MEMPHIS                   "</f>
        <v xml:space="preserve">MEMPHIS                   </v>
      </c>
      <c r="F22693" t="str">
        <f t="shared" si="580"/>
        <v>TN</v>
      </c>
    </row>
    <row r="22694" spans="1:6" x14ac:dyDescent="0.25">
      <c r="A22694" t="str">
        <f>"100122710"</f>
        <v>100122710</v>
      </c>
      <c r="B22694" t="str">
        <f>"1679530687"</f>
        <v>1679530687</v>
      </c>
      <c r="C22694" t="str">
        <f>"208000000X"</f>
        <v>208000000X</v>
      </c>
      <c r="D22694" t="str">
        <f>"LAZAR                    LINDA        F           "</f>
        <v xml:space="preserve">LAZAR                    LINDA        F           </v>
      </c>
      <c r="E22694" t="str">
        <f>"MEMPHIS                   "</f>
        <v xml:space="preserve">MEMPHIS                   </v>
      </c>
      <c r="F22694" t="str">
        <f t="shared" si="580"/>
        <v>TN</v>
      </c>
    </row>
    <row r="22695" spans="1:6" x14ac:dyDescent="0.25">
      <c r="A22695" t="str">
        <f>"100123853"</f>
        <v>100123853</v>
      </c>
      <c r="B22695" t="str">
        <f>"1548211923"</f>
        <v>1548211923</v>
      </c>
      <c r="C22695" t="str">
        <f>"207U00000X"</f>
        <v>207U00000X</v>
      </c>
      <c r="D22695" t="str">
        <f>"FLINN JR                 GEORGE       S           "</f>
        <v xml:space="preserve">FLINN JR                 GEORGE       S           </v>
      </c>
      <c r="E22695" t="str">
        <f>"GERMANTOWN                "</f>
        <v xml:space="preserve">GERMANTOWN                </v>
      </c>
      <c r="F22695" t="str">
        <f t="shared" si="580"/>
        <v>TN</v>
      </c>
    </row>
    <row r="22696" spans="1:6" x14ac:dyDescent="0.25">
      <c r="A22696" t="str">
        <f>"100132001"</f>
        <v>100132001</v>
      </c>
      <c r="B22696" t="str">
        <f>"1659362960"</f>
        <v>1659362960</v>
      </c>
      <c r="C22696" t="str">
        <f>"207RC0200X"</f>
        <v>207RC0200X</v>
      </c>
      <c r="D22696" t="str">
        <f>"AGUILLARD                ROBERT       N           "</f>
        <v xml:space="preserve">AGUILLARD                ROBERT       N           </v>
      </c>
      <c r="E22696" t="str">
        <f>"MEMPHIS                   "</f>
        <v xml:space="preserve">MEMPHIS                   </v>
      </c>
      <c r="F22696" t="str">
        <f t="shared" si="580"/>
        <v>TN</v>
      </c>
    </row>
    <row r="22697" spans="1:6" x14ac:dyDescent="0.25">
      <c r="A22697" t="str">
        <f>"100133432"</f>
        <v>100133432</v>
      </c>
      <c r="B22697" t="str">
        <f>"1053340802"</f>
        <v>1053340802</v>
      </c>
      <c r="C22697" t="str">
        <f>"207RX0202X"</f>
        <v>207RX0202X</v>
      </c>
      <c r="D22697" t="str">
        <f>"TAUER                    KURT         W           "</f>
        <v xml:space="preserve">TAUER                    KURT         W           </v>
      </c>
      <c r="E22697" t="str">
        <f>"GERMANTOWN                "</f>
        <v xml:space="preserve">GERMANTOWN                </v>
      </c>
      <c r="F22697" t="str">
        <f t="shared" si="580"/>
        <v>TN</v>
      </c>
    </row>
    <row r="22698" spans="1:6" x14ac:dyDescent="0.25">
      <c r="A22698" t="str">
        <f>"100134914"</f>
        <v>100134914</v>
      </c>
      <c r="B22698" t="str">
        <f>"1396751954"</f>
        <v>1396751954</v>
      </c>
      <c r="C22698" t="str">
        <f>"2084P0804X"</f>
        <v>2084P0804X</v>
      </c>
      <c r="D22698" t="str">
        <f>"HOEHN                    ROBERT       G           "</f>
        <v xml:space="preserve">HOEHN                    ROBERT       G           </v>
      </c>
      <c r="E22698" t="str">
        <f>"GERMANTOWN                "</f>
        <v xml:space="preserve">GERMANTOWN                </v>
      </c>
      <c r="F22698" t="str">
        <f t="shared" si="580"/>
        <v>TN</v>
      </c>
    </row>
    <row r="22699" spans="1:6" x14ac:dyDescent="0.25">
      <c r="A22699" t="str">
        <f>"100135812"</f>
        <v>100135812</v>
      </c>
      <c r="B22699" t="str">
        <f>"1518924851"</f>
        <v>1518924851</v>
      </c>
      <c r="C22699" t="str">
        <f>"207RP1001X"</f>
        <v>207RP1001X</v>
      </c>
      <c r="D22699" t="str">
        <f>"TUTOR                    JAMES        D           "</f>
        <v xml:space="preserve">TUTOR                    JAMES        D           </v>
      </c>
      <c r="E22699" t="str">
        <f t="shared" ref="E22699:E22705" si="581">"MEMPHIS                   "</f>
        <v xml:space="preserve">MEMPHIS                   </v>
      </c>
      <c r="F22699" t="str">
        <f t="shared" si="580"/>
        <v>TN</v>
      </c>
    </row>
    <row r="22700" spans="1:6" x14ac:dyDescent="0.25">
      <c r="A22700" t="str">
        <f>"100136951"</f>
        <v>100136951</v>
      </c>
      <c r="B22700" t="str">
        <f>"1588664726"</f>
        <v>1588664726</v>
      </c>
      <c r="C22700" t="str">
        <f>"208000000X"</f>
        <v>208000000X</v>
      </c>
      <c r="D22700" t="str">
        <f>"PRESBURY                 GERALD       J           "</f>
        <v xml:space="preserve">PRESBURY                 GERALD       J           </v>
      </c>
      <c r="E22700" t="str">
        <f t="shared" si="581"/>
        <v xml:space="preserve">MEMPHIS                   </v>
      </c>
      <c r="F22700" t="str">
        <f t="shared" si="580"/>
        <v>TN</v>
      </c>
    </row>
    <row r="22701" spans="1:6" x14ac:dyDescent="0.25">
      <c r="A22701" t="str">
        <f>"100137080"</f>
        <v>100137080</v>
      </c>
      <c r="B22701" t="str">
        <f>"1720045230"</f>
        <v>1720045230</v>
      </c>
      <c r="C22701" t="str">
        <f>"207V00000X"</f>
        <v>207V00000X</v>
      </c>
      <c r="D22701" t="str">
        <f>"MEYER                    NORMAN                   "</f>
        <v xml:space="preserve">MEYER                    NORMAN                   </v>
      </c>
      <c r="E22701" t="str">
        <f t="shared" si="581"/>
        <v xml:space="preserve">MEMPHIS                   </v>
      </c>
      <c r="F22701" t="str">
        <f t="shared" si="580"/>
        <v>TN</v>
      </c>
    </row>
    <row r="22702" spans="1:6" x14ac:dyDescent="0.25">
      <c r="A22702" t="str">
        <f>"100139039"</f>
        <v>100139039</v>
      </c>
      <c r="B22702" t="str">
        <f>"1942203682"</f>
        <v>1942203682</v>
      </c>
      <c r="C22702" t="str">
        <f>"2080P0207X"</f>
        <v>2080P0207X</v>
      </c>
      <c r="D22702" t="str">
        <f>"PUI                      CHING-HON                "</f>
        <v xml:space="preserve">PUI                      CHING-HON                </v>
      </c>
      <c r="E22702" t="str">
        <f t="shared" si="581"/>
        <v xml:space="preserve">MEMPHIS                   </v>
      </c>
      <c r="F22702" t="str">
        <f t="shared" si="580"/>
        <v>TN</v>
      </c>
    </row>
    <row r="22703" spans="1:6" x14ac:dyDescent="0.25">
      <c r="A22703" t="str">
        <f>"100139298"</f>
        <v>100139298</v>
      </c>
      <c r="B22703" t="str">
        <f>"1467455055"</f>
        <v>1467455055</v>
      </c>
      <c r="C22703" t="str">
        <f>"2080P0207X"</f>
        <v>2080P0207X</v>
      </c>
      <c r="D22703" t="str">
        <f>"RIBEIRO                  RAUL         C           "</f>
        <v xml:space="preserve">RIBEIRO                  RAUL         C           </v>
      </c>
      <c r="E22703" t="str">
        <f t="shared" si="581"/>
        <v xml:space="preserve">MEMPHIS                   </v>
      </c>
      <c r="F22703" t="str">
        <f t="shared" si="580"/>
        <v>TN</v>
      </c>
    </row>
    <row r="22704" spans="1:6" x14ac:dyDescent="0.25">
      <c r="A22704" t="str">
        <f>"100141255"</f>
        <v>100141255</v>
      </c>
      <c r="B22704" t="str">
        <f>"1326071804"</f>
        <v>1326071804</v>
      </c>
      <c r="C22704" t="str">
        <f>"207R00000X"</f>
        <v>207R00000X</v>
      </c>
      <c r="D22704" t="str">
        <f>"EBERLE III               LOUIS        V           "</f>
        <v xml:space="preserve">EBERLE III               LOUIS        V           </v>
      </c>
      <c r="E22704" t="str">
        <f t="shared" si="581"/>
        <v xml:space="preserve">MEMPHIS                   </v>
      </c>
      <c r="F22704" t="str">
        <f t="shared" si="580"/>
        <v>TN</v>
      </c>
    </row>
    <row r="22705" spans="1:6" x14ac:dyDescent="0.25">
      <c r="A22705" t="str">
        <f>"100142760"</f>
        <v>100142760</v>
      </c>
      <c r="B22705" t="str">
        <f>"1447217922"</f>
        <v>1447217922</v>
      </c>
      <c r="C22705" t="str">
        <f>"2080N0001X"</f>
        <v>2080N0001X</v>
      </c>
      <c r="D22705" t="str">
        <f>"TALATI                   AJAY         L           "</f>
        <v xml:space="preserve">TALATI                   AJAY         L           </v>
      </c>
      <c r="E22705" t="str">
        <f t="shared" si="581"/>
        <v xml:space="preserve">MEMPHIS                   </v>
      </c>
      <c r="F22705" t="str">
        <f t="shared" si="580"/>
        <v>TN</v>
      </c>
    </row>
    <row r="22706" spans="1:6" x14ac:dyDescent="0.25">
      <c r="A22706" t="str">
        <f>"100143355"</f>
        <v>100143355</v>
      </c>
      <c r="B22706" t="str">
        <f>"1831204239"</f>
        <v>1831204239</v>
      </c>
      <c r="C22706" t="str">
        <f>"207U00000X"</f>
        <v>207U00000X</v>
      </c>
      <c r="D22706" t="str">
        <f>"PARTHASARATHY            RANGANATHAN              "</f>
        <v xml:space="preserve">PARTHASARATHY            RANGANATHAN              </v>
      </c>
      <c r="E22706" t="str">
        <f>"GERMANTOWN                "</f>
        <v xml:space="preserve">GERMANTOWN                </v>
      </c>
      <c r="F22706" t="str">
        <f t="shared" si="580"/>
        <v>TN</v>
      </c>
    </row>
    <row r="22707" spans="1:6" x14ac:dyDescent="0.25">
      <c r="A22707" t="str">
        <f>"100143819"</f>
        <v>100143819</v>
      </c>
      <c r="B22707" t="str">
        <f>"1528003050"</f>
        <v>1528003050</v>
      </c>
      <c r="C22707" t="str">
        <f>"207RN0300X"</f>
        <v>207RN0300X</v>
      </c>
      <c r="D22707" t="str">
        <f>"MIRZA                    MASHHUD      M           "</f>
        <v xml:space="preserve">MIRZA                    MASHHUD      M           </v>
      </c>
      <c r="E22707" t="str">
        <f>"MEMPHIS                   "</f>
        <v xml:space="preserve">MEMPHIS                   </v>
      </c>
      <c r="F22707" t="str">
        <f t="shared" si="580"/>
        <v>TN</v>
      </c>
    </row>
    <row r="22708" spans="1:6" x14ac:dyDescent="0.25">
      <c r="A22708" t="str">
        <f>"100143896"</f>
        <v>100143896</v>
      </c>
      <c r="B22708" t="str">
        <f>"1750381430"</f>
        <v>1750381430</v>
      </c>
      <c r="C22708" t="str">
        <f>"207RC0000X"</f>
        <v>207RC0000X</v>
      </c>
      <c r="D22708" t="str">
        <f>"BASCO                    EDUARDO      V           "</f>
        <v xml:space="preserve">BASCO                    EDUARDO      V           </v>
      </c>
      <c r="E22708" t="str">
        <f>"GERMANTOWN                "</f>
        <v xml:space="preserve">GERMANTOWN                </v>
      </c>
      <c r="F22708" t="str">
        <f t="shared" si="580"/>
        <v>TN</v>
      </c>
    </row>
    <row r="22709" spans="1:6" x14ac:dyDescent="0.25">
      <c r="A22709" t="str">
        <f>"100145602"</f>
        <v>100145602</v>
      </c>
      <c r="B22709" t="str">
        <f>"1477551380"</f>
        <v>1477551380</v>
      </c>
      <c r="C22709" t="str">
        <f>"207RX0202X"</f>
        <v>207RX0202X</v>
      </c>
      <c r="D22709" t="str">
        <f>"GORE                     MARGARET                 "</f>
        <v xml:space="preserve">GORE                     MARGARET                 </v>
      </c>
      <c r="E22709" t="str">
        <f>"MEMPHIS                   "</f>
        <v xml:space="preserve">MEMPHIS                   </v>
      </c>
      <c r="F22709" t="str">
        <f t="shared" si="580"/>
        <v>TN</v>
      </c>
    </row>
    <row r="22710" spans="1:6" x14ac:dyDescent="0.25">
      <c r="A22710" t="str">
        <f>"100148273"</f>
        <v>100148273</v>
      </c>
      <c r="B22710" t="str">
        <f>"1851320691"</f>
        <v>1851320691</v>
      </c>
      <c r="C22710" t="str">
        <f>"207RX0202X"</f>
        <v>207RX0202X</v>
      </c>
      <c r="D22710" t="str">
        <f>"SOMER                    BRADLEY      G           "</f>
        <v xml:space="preserve">SOMER                    BRADLEY      G           </v>
      </c>
      <c r="E22710" t="str">
        <f>"GERMANTOWN                "</f>
        <v xml:space="preserve">GERMANTOWN                </v>
      </c>
      <c r="F22710" t="str">
        <f t="shared" si="580"/>
        <v>TN</v>
      </c>
    </row>
    <row r="22711" spans="1:6" x14ac:dyDescent="0.25">
      <c r="A22711" t="str">
        <f>"100148349"</f>
        <v>100148349</v>
      </c>
      <c r="B22711" t="str">
        <f>"1619945532"</f>
        <v>1619945532</v>
      </c>
      <c r="C22711" t="str">
        <f>"2084P0800X"</f>
        <v>2084P0800X</v>
      </c>
      <c r="D22711" t="str">
        <f>"WANG                     JAMES        J           "</f>
        <v xml:space="preserve">WANG                     JAMES        J           </v>
      </c>
      <c r="E22711" t="str">
        <f>"MEMPHIS                   "</f>
        <v xml:space="preserve">MEMPHIS                   </v>
      </c>
      <c r="F22711" t="str">
        <f t="shared" si="580"/>
        <v>TN</v>
      </c>
    </row>
    <row r="22712" spans="1:6" x14ac:dyDescent="0.25">
      <c r="A22712" t="str">
        <f>"100149118"</f>
        <v>100149118</v>
      </c>
      <c r="B22712" t="str">
        <f>"1083643845"</f>
        <v>1083643845</v>
      </c>
      <c r="C22712" t="str">
        <f>"207R00000X"</f>
        <v>207R00000X</v>
      </c>
      <c r="D22712" t="str">
        <f>"PALLERA                  ARNEL        M           "</f>
        <v xml:space="preserve">PALLERA                  ARNEL        M           </v>
      </c>
      <c r="E22712" t="str">
        <f>"GERMANTOWN                "</f>
        <v xml:space="preserve">GERMANTOWN                </v>
      </c>
      <c r="F22712" t="str">
        <f t="shared" si="580"/>
        <v>TN</v>
      </c>
    </row>
    <row r="22713" spans="1:6" x14ac:dyDescent="0.25">
      <c r="A22713" t="str">
        <f>"100156484"</f>
        <v>100156484</v>
      </c>
      <c r="B22713" t="str">
        <f>"1508822594"</f>
        <v>1508822594</v>
      </c>
      <c r="C22713" t="str">
        <f>"208000000X"</f>
        <v>208000000X</v>
      </c>
      <c r="D22713" t="str">
        <f>"JOSHI                    VIJAYA                   "</f>
        <v xml:space="preserve">JOSHI                    VIJAYA                   </v>
      </c>
      <c r="E22713" t="str">
        <f t="shared" ref="E22713:E22721" si="582">"MEMPHIS                   "</f>
        <v xml:space="preserve">MEMPHIS                   </v>
      </c>
      <c r="F22713" t="str">
        <f t="shared" si="580"/>
        <v>TN</v>
      </c>
    </row>
    <row r="22714" spans="1:6" x14ac:dyDescent="0.25">
      <c r="A22714" t="str">
        <f>"100156657"</f>
        <v>100156657</v>
      </c>
      <c r="B22714" t="str">
        <f>"1700822384"</f>
        <v>1700822384</v>
      </c>
      <c r="C22714" t="str">
        <f>"207RG0100X"</f>
        <v>207RG0100X</v>
      </c>
      <c r="D22714" t="str">
        <f>"NAIR                     SATHEESH                 "</f>
        <v xml:space="preserve">NAIR                     SATHEESH                 </v>
      </c>
      <c r="E22714" t="str">
        <f t="shared" si="582"/>
        <v xml:space="preserve">MEMPHIS                   </v>
      </c>
      <c r="F22714" t="str">
        <f t="shared" si="580"/>
        <v>TN</v>
      </c>
    </row>
    <row r="22715" spans="1:6" x14ac:dyDescent="0.25">
      <c r="A22715" t="str">
        <f>"100158034"</f>
        <v>100158034</v>
      </c>
      <c r="B22715" t="str">
        <f>"1316957921"</f>
        <v>1316957921</v>
      </c>
      <c r="C22715" t="str">
        <f>"2080P0207X"</f>
        <v>2080P0207X</v>
      </c>
      <c r="D22715" t="str">
        <f>"JEHA                     SIMA                     "</f>
        <v xml:space="preserve">JEHA                     SIMA                     </v>
      </c>
      <c r="E22715" t="str">
        <f t="shared" si="582"/>
        <v xml:space="preserve">MEMPHIS                   </v>
      </c>
      <c r="F22715" t="str">
        <f t="shared" si="580"/>
        <v>TN</v>
      </c>
    </row>
    <row r="22716" spans="1:6" x14ac:dyDescent="0.25">
      <c r="A22716" t="str">
        <f>"100159185"</f>
        <v>100159185</v>
      </c>
      <c r="B22716" t="str">
        <f>"1942268529"</f>
        <v>1942268529</v>
      </c>
      <c r="C22716" t="str">
        <f>"207RN0300X"</f>
        <v>207RN0300X</v>
      </c>
      <c r="D22716" t="str">
        <f>"SHOWKAT                  ARIF                     "</f>
        <v xml:space="preserve">SHOWKAT                  ARIF                     </v>
      </c>
      <c r="E22716" t="str">
        <f t="shared" si="582"/>
        <v xml:space="preserve">MEMPHIS                   </v>
      </c>
      <c r="F22716" t="str">
        <f t="shared" si="580"/>
        <v>TN</v>
      </c>
    </row>
    <row r="22717" spans="1:6" x14ac:dyDescent="0.25">
      <c r="A22717" t="str">
        <f>"100159932"</f>
        <v>100159932</v>
      </c>
      <c r="B22717" t="str">
        <f>"1962402982"</f>
        <v>1962402982</v>
      </c>
      <c r="C22717" t="str">
        <f>"208000000X"</f>
        <v>208000000X</v>
      </c>
      <c r="D22717" t="str">
        <f>"O'CONNOR                 TIMOTHY                  "</f>
        <v xml:space="preserve">O'CONNOR                 TIMOTHY                  </v>
      </c>
      <c r="E22717" t="str">
        <f t="shared" si="582"/>
        <v xml:space="preserve">MEMPHIS                   </v>
      </c>
      <c r="F22717" t="str">
        <f t="shared" si="580"/>
        <v>TN</v>
      </c>
    </row>
    <row r="22718" spans="1:6" x14ac:dyDescent="0.25">
      <c r="A22718" t="str">
        <f>"100161126"</f>
        <v>100161126</v>
      </c>
      <c r="B22718" t="str">
        <f>"1659337855"</f>
        <v>1659337855</v>
      </c>
      <c r="C22718" t="str">
        <f>"2084N0402X"</f>
        <v>2084N0402X</v>
      </c>
      <c r="D22718" t="str">
        <f>"WHELESS                  JAMES        W           "</f>
        <v xml:space="preserve">WHELESS                  JAMES        W           </v>
      </c>
      <c r="E22718" t="str">
        <f t="shared" si="582"/>
        <v xml:space="preserve">MEMPHIS                   </v>
      </c>
      <c r="F22718" t="str">
        <f t="shared" ref="F22718:F22781" si="583">"TN"</f>
        <v>TN</v>
      </c>
    </row>
    <row r="22719" spans="1:6" x14ac:dyDescent="0.25">
      <c r="A22719" t="str">
        <f>"100161873"</f>
        <v>100161873</v>
      </c>
      <c r="B22719" t="str">
        <f>"1710919352"</f>
        <v>1710919352</v>
      </c>
      <c r="C22719" t="str">
        <f>"2084P0804X"</f>
        <v>2084P0804X</v>
      </c>
      <c r="D22719" t="str">
        <f>"STRUBLE                  DAVID        L           "</f>
        <v xml:space="preserve">STRUBLE                  DAVID        L           </v>
      </c>
      <c r="E22719" t="str">
        <f t="shared" si="582"/>
        <v xml:space="preserve">MEMPHIS                   </v>
      </c>
      <c r="F22719" t="str">
        <f t="shared" si="583"/>
        <v>TN</v>
      </c>
    </row>
    <row r="22720" spans="1:6" x14ac:dyDescent="0.25">
      <c r="A22720" t="str">
        <f>"100162269"</f>
        <v>100162269</v>
      </c>
      <c r="B22720" t="str">
        <f>"1467418186"</f>
        <v>1467418186</v>
      </c>
      <c r="C22720" t="str">
        <f>"208000000X"</f>
        <v>208000000X</v>
      </c>
      <c r="D22720" t="str">
        <f>"MICHAEL                  CHRISTIE     F           "</f>
        <v xml:space="preserve">MICHAEL                  CHRISTIE     F           </v>
      </c>
      <c r="E22720" t="str">
        <f t="shared" si="582"/>
        <v xml:space="preserve">MEMPHIS                   </v>
      </c>
      <c r="F22720" t="str">
        <f t="shared" si="583"/>
        <v>TN</v>
      </c>
    </row>
    <row r="22721" spans="1:6" x14ac:dyDescent="0.25">
      <c r="A22721" t="str">
        <f>"100164021"</f>
        <v>100164021</v>
      </c>
      <c r="B22721" t="str">
        <f>"1699707638"</f>
        <v>1699707638</v>
      </c>
      <c r="C22721" t="str">
        <f>"2080P0206X"</f>
        <v>2080P0206X</v>
      </c>
      <c r="D22721" t="str">
        <f>"WHITWORTH                JOHN         R           "</f>
        <v xml:space="preserve">WHITWORTH                JOHN         R           </v>
      </c>
      <c r="E22721" t="str">
        <f t="shared" si="582"/>
        <v xml:space="preserve">MEMPHIS                   </v>
      </c>
      <c r="F22721" t="str">
        <f t="shared" si="583"/>
        <v>TN</v>
      </c>
    </row>
    <row r="22722" spans="1:6" x14ac:dyDescent="0.25">
      <c r="A22722" t="str">
        <f>"100164383"</f>
        <v>100164383</v>
      </c>
      <c r="B22722" t="str">
        <f>"1295778330"</f>
        <v>1295778330</v>
      </c>
      <c r="C22722" t="str">
        <f>"207RX0202X"</f>
        <v>207RX0202X</v>
      </c>
      <c r="D22722" t="str">
        <f>"CHANDLER                 JASON        C           "</f>
        <v xml:space="preserve">CHANDLER                 JASON        C           </v>
      </c>
      <c r="E22722" t="str">
        <f>"GERMANTOWN                "</f>
        <v xml:space="preserve">GERMANTOWN                </v>
      </c>
      <c r="F22722" t="str">
        <f t="shared" si="583"/>
        <v>TN</v>
      </c>
    </row>
    <row r="22723" spans="1:6" x14ac:dyDescent="0.25">
      <c r="A22723" t="str">
        <f>"100164635"</f>
        <v>100164635</v>
      </c>
      <c r="B22723" t="str">
        <f>"1225142102"</f>
        <v>1225142102</v>
      </c>
      <c r="C22723" t="str">
        <f>"2080P0207X"</f>
        <v>2080P0207X</v>
      </c>
      <c r="D22723" t="str">
        <f>"ARMSTRONG                GREGORY      T           "</f>
        <v xml:space="preserve">ARMSTRONG                GREGORY      T           </v>
      </c>
      <c r="E22723" t="str">
        <f>"MEMPHIS                   "</f>
        <v xml:space="preserve">MEMPHIS                   </v>
      </c>
      <c r="F22723" t="str">
        <f t="shared" si="583"/>
        <v>TN</v>
      </c>
    </row>
    <row r="22724" spans="1:6" x14ac:dyDescent="0.25">
      <c r="A22724" t="str">
        <f>"100165183"</f>
        <v>100165183</v>
      </c>
      <c r="B22724" t="str">
        <f>"1588753727"</f>
        <v>1588753727</v>
      </c>
      <c r="C22724" t="str">
        <f>"207RC0000X"</f>
        <v>207RC0000X</v>
      </c>
      <c r="D22724" t="str">
        <f>"COPPESS                  MARK         A           "</f>
        <v xml:space="preserve">COPPESS                  MARK         A           </v>
      </c>
      <c r="E22724" t="str">
        <f>"GERMANTOWN                "</f>
        <v xml:space="preserve">GERMANTOWN                </v>
      </c>
      <c r="F22724" t="str">
        <f t="shared" si="583"/>
        <v>TN</v>
      </c>
    </row>
    <row r="22725" spans="1:6" x14ac:dyDescent="0.25">
      <c r="A22725" t="str">
        <f>"100166210"</f>
        <v>100166210</v>
      </c>
      <c r="B22725" t="str">
        <f>"1710019930"</f>
        <v>1710019930</v>
      </c>
      <c r="C22725" t="str">
        <f>"207RC0200X"</f>
        <v>207RC0200X</v>
      </c>
      <c r="D22725" t="str">
        <f>"MUNDAY                   MICHAEL      D           "</f>
        <v xml:space="preserve">MUNDAY                   MICHAEL      D           </v>
      </c>
      <c r="E22725" t="str">
        <f>"MEMPHIS                   "</f>
        <v xml:space="preserve">MEMPHIS                   </v>
      </c>
      <c r="F22725" t="str">
        <f t="shared" si="583"/>
        <v>TN</v>
      </c>
    </row>
    <row r="22726" spans="1:6" x14ac:dyDescent="0.25">
      <c r="A22726" t="str">
        <f>"100168570"</f>
        <v>100168570</v>
      </c>
      <c r="B22726" t="str">
        <f>"1083603641"</f>
        <v>1083603641</v>
      </c>
      <c r="C22726" t="str">
        <f>"207T00000X"</f>
        <v>207T00000X</v>
      </c>
      <c r="D22726" t="str">
        <f>"MUHLBAUER                MICHAEL      S           "</f>
        <v xml:space="preserve">MUHLBAUER                MICHAEL      S           </v>
      </c>
      <c r="E22726" t="str">
        <f>"MEMPHIS                   "</f>
        <v xml:space="preserve">MEMPHIS                   </v>
      </c>
      <c r="F22726" t="str">
        <f t="shared" si="583"/>
        <v>TN</v>
      </c>
    </row>
    <row r="22727" spans="1:6" x14ac:dyDescent="0.25">
      <c r="A22727" t="str">
        <f>"100169477"</f>
        <v>100169477</v>
      </c>
      <c r="B22727" t="str">
        <f>"1508088162"</f>
        <v>1508088162</v>
      </c>
      <c r="C22727" t="str">
        <f>"207R00000X"</f>
        <v>207R00000X</v>
      </c>
      <c r="D22727" t="str">
        <f>"OTTEN                    DANIEL       E           "</f>
        <v xml:space="preserve">OTTEN                    DANIEL       E           </v>
      </c>
      <c r="E22727" t="str">
        <f>"GERMANTOWN                "</f>
        <v xml:space="preserve">GERMANTOWN                </v>
      </c>
      <c r="F22727" t="str">
        <f t="shared" si="583"/>
        <v>TN</v>
      </c>
    </row>
    <row r="22728" spans="1:6" x14ac:dyDescent="0.25">
      <c r="A22728" t="str">
        <f>"100169526"</f>
        <v>100169526</v>
      </c>
      <c r="B22728" t="str">
        <f>"1205863206"</f>
        <v>1205863206</v>
      </c>
      <c r="C22728" t="str">
        <f>"2085R0202X"</f>
        <v>2085R0202X</v>
      </c>
      <c r="D22728" t="str">
        <f>"COHEN                    HARRIS       L           "</f>
        <v xml:space="preserve">COHEN                    HARRIS       L           </v>
      </c>
      <c r="E22728" t="str">
        <f>"MEMPHIS                   "</f>
        <v xml:space="preserve">MEMPHIS                   </v>
      </c>
      <c r="F22728" t="str">
        <f t="shared" si="583"/>
        <v>TN</v>
      </c>
    </row>
    <row r="22729" spans="1:6" x14ac:dyDescent="0.25">
      <c r="A22729" t="str">
        <f>"100169934"</f>
        <v>100169934</v>
      </c>
      <c r="B22729" t="str">
        <f>"1518924596"</f>
        <v>1518924596</v>
      </c>
      <c r="C22729" t="str">
        <f>"207RC0200X"</f>
        <v>207RC0200X</v>
      </c>
      <c r="D22729" t="str">
        <f>"SINCLAIR                 SCOTT                    "</f>
        <v xml:space="preserve">SINCLAIR                 SCOTT                    </v>
      </c>
      <c r="E22729" t="str">
        <f>"MEMPHIS                   "</f>
        <v xml:space="preserve">MEMPHIS                   </v>
      </c>
      <c r="F22729" t="str">
        <f t="shared" si="583"/>
        <v>TN</v>
      </c>
    </row>
    <row r="22730" spans="1:6" x14ac:dyDescent="0.25">
      <c r="A22730" t="str">
        <f>"100170292"</f>
        <v>100170292</v>
      </c>
      <c r="B22730" t="str">
        <f>"1508868258"</f>
        <v>1508868258</v>
      </c>
      <c r="C22730" t="str">
        <f>"207RG0100X"</f>
        <v>207RG0100X</v>
      </c>
      <c r="D22730" t="str">
        <f>"LEVINSON                 MICHAEL      J           "</f>
        <v xml:space="preserve">LEVINSON                 MICHAEL      J           </v>
      </c>
      <c r="E22730" t="str">
        <f>"GERMANTOWN                "</f>
        <v xml:space="preserve">GERMANTOWN                </v>
      </c>
      <c r="F22730" t="str">
        <f t="shared" si="583"/>
        <v>TN</v>
      </c>
    </row>
    <row r="22731" spans="1:6" x14ac:dyDescent="0.25">
      <c r="A22731" t="str">
        <f>"100171544"</f>
        <v>100171544</v>
      </c>
      <c r="B22731" t="str">
        <f>"1588671085"</f>
        <v>1588671085</v>
      </c>
      <c r="C22731" t="str">
        <f>"207R00000X"</f>
        <v>207R00000X</v>
      </c>
      <c r="D22731" t="str">
        <f>"MARTIN                   MICHAEL      G           "</f>
        <v xml:space="preserve">MARTIN                   MICHAEL      G           </v>
      </c>
      <c r="E22731" t="str">
        <f>"GERMANTOWN                "</f>
        <v xml:space="preserve">GERMANTOWN                </v>
      </c>
      <c r="F22731" t="str">
        <f t="shared" si="583"/>
        <v>TN</v>
      </c>
    </row>
    <row r="22732" spans="1:6" x14ac:dyDescent="0.25">
      <c r="A22732" t="str">
        <f>"100172147"</f>
        <v>100172147</v>
      </c>
      <c r="B22732" t="str">
        <f>"1588862445"</f>
        <v>1588862445</v>
      </c>
      <c r="C22732" t="str">
        <f>"208000000X"</f>
        <v>208000000X</v>
      </c>
      <c r="D22732" t="str">
        <f>"OST                      SHELLEY      R           "</f>
        <v xml:space="preserve">OST                      SHELLEY      R           </v>
      </c>
      <c r="E22732" t="str">
        <f>"CORDOVA                   "</f>
        <v xml:space="preserve">CORDOVA                   </v>
      </c>
      <c r="F22732" t="str">
        <f t="shared" si="583"/>
        <v>TN</v>
      </c>
    </row>
    <row r="22733" spans="1:6" x14ac:dyDescent="0.25">
      <c r="A22733" t="str">
        <f>"100172995"</f>
        <v>100172995</v>
      </c>
      <c r="B22733" t="str">
        <f>"1558696591"</f>
        <v>1558696591</v>
      </c>
      <c r="C22733" t="str">
        <f>"2085R0202X"</f>
        <v>2085R0202X</v>
      </c>
      <c r="D22733" t="str">
        <f>"MILLER                   STEPHEN      F           "</f>
        <v xml:space="preserve">MILLER                   STEPHEN      F           </v>
      </c>
      <c r="E22733" t="str">
        <f t="shared" ref="E22733:E22738" si="584">"MEMPHIS                   "</f>
        <v xml:space="preserve">MEMPHIS                   </v>
      </c>
      <c r="F22733" t="str">
        <f t="shared" si="583"/>
        <v>TN</v>
      </c>
    </row>
    <row r="22734" spans="1:6" x14ac:dyDescent="0.25">
      <c r="A22734" t="str">
        <f>"100175577"</f>
        <v>100175577</v>
      </c>
      <c r="B22734" t="str">
        <f>"1114172376"</f>
        <v>1114172376</v>
      </c>
      <c r="C22734" t="str">
        <f>"207R00000X"</f>
        <v>207R00000X</v>
      </c>
      <c r="D22734" t="str">
        <f>"POKHARNA                 HIREN        S           "</f>
        <v xml:space="preserve">POKHARNA                 HIREN        S           </v>
      </c>
      <c r="E22734" t="str">
        <f t="shared" si="584"/>
        <v xml:space="preserve">MEMPHIS                   </v>
      </c>
      <c r="F22734" t="str">
        <f t="shared" si="583"/>
        <v>TN</v>
      </c>
    </row>
    <row r="22735" spans="1:6" x14ac:dyDescent="0.25">
      <c r="A22735" t="str">
        <f>"100176692"</f>
        <v>100176692</v>
      </c>
      <c r="B22735" t="str">
        <f>"1164634838"</f>
        <v>1164634838</v>
      </c>
      <c r="C22735" t="str">
        <f>"207RP1001X"</f>
        <v>207RP1001X</v>
      </c>
      <c r="D22735" t="str">
        <f>"ZAIDI                    SYED         J           "</f>
        <v xml:space="preserve">ZAIDI                    SYED         J           </v>
      </c>
      <c r="E22735" t="str">
        <f t="shared" si="584"/>
        <v xml:space="preserve">MEMPHIS                   </v>
      </c>
      <c r="F22735" t="str">
        <f t="shared" si="583"/>
        <v>TN</v>
      </c>
    </row>
    <row r="22736" spans="1:6" x14ac:dyDescent="0.25">
      <c r="A22736" t="str">
        <f>"100177559"</f>
        <v>100177559</v>
      </c>
      <c r="B22736" t="str">
        <f>"1609096775"</f>
        <v>1609096775</v>
      </c>
      <c r="C22736" t="str">
        <f>"208600000X"</f>
        <v>208600000X</v>
      </c>
      <c r="D22736" t="str">
        <f>"DICKSON                  PAXTON       V           "</f>
        <v xml:space="preserve">DICKSON                  PAXTON       V           </v>
      </c>
      <c r="E22736" t="str">
        <f t="shared" si="584"/>
        <v xml:space="preserve">MEMPHIS                   </v>
      </c>
      <c r="F22736" t="str">
        <f t="shared" si="583"/>
        <v>TN</v>
      </c>
    </row>
    <row r="22737" spans="1:6" x14ac:dyDescent="0.25">
      <c r="A22737" t="str">
        <f>"100177947"</f>
        <v>100177947</v>
      </c>
      <c r="B22737" t="str">
        <f>"1952543084"</f>
        <v>1952543084</v>
      </c>
      <c r="C22737" t="str">
        <f>"2086S0122X"</f>
        <v>2086S0122X</v>
      </c>
      <c r="D22737" t="str">
        <f>"ALVAREZ                  SONIA        M           "</f>
        <v xml:space="preserve">ALVAREZ                  SONIA        M           </v>
      </c>
      <c r="E22737" t="str">
        <f t="shared" si="584"/>
        <v xml:space="preserve">MEMPHIS                   </v>
      </c>
      <c r="F22737" t="str">
        <f t="shared" si="583"/>
        <v>TN</v>
      </c>
    </row>
    <row r="22738" spans="1:6" x14ac:dyDescent="0.25">
      <c r="A22738" t="str">
        <f>"100179419"</f>
        <v>100179419</v>
      </c>
      <c r="B22738" t="str">
        <f>"1194905000"</f>
        <v>1194905000</v>
      </c>
      <c r="C22738" t="str">
        <f>"2080P0202X"</f>
        <v>2080P0202X</v>
      </c>
      <c r="D22738" t="str">
        <f>"PHILIP                   RANJIT       R           "</f>
        <v xml:space="preserve">PHILIP                   RANJIT       R           </v>
      </c>
      <c r="E22738" t="str">
        <f t="shared" si="584"/>
        <v xml:space="preserve">MEMPHIS                   </v>
      </c>
      <c r="F22738" t="str">
        <f t="shared" si="583"/>
        <v>TN</v>
      </c>
    </row>
    <row r="22739" spans="1:6" x14ac:dyDescent="0.25">
      <c r="A22739" t="str">
        <f>"100183683"</f>
        <v>100183683</v>
      </c>
      <c r="B22739" t="str">
        <f>"1992022800"</f>
        <v>1992022800</v>
      </c>
      <c r="C22739" t="str">
        <f>"207W00000X"</f>
        <v>207W00000X</v>
      </c>
      <c r="D22739" t="str">
        <f>"HUDDLESTON               STEPHEN      M           "</f>
        <v xml:space="preserve">HUDDLESTON               STEPHEN      M           </v>
      </c>
      <c r="E22739" t="str">
        <f>"GERMANTOWN                "</f>
        <v xml:space="preserve">GERMANTOWN                </v>
      </c>
      <c r="F22739" t="str">
        <f t="shared" si="583"/>
        <v>TN</v>
      </c>
    </row>
    <row r="22740" spans="1:6" x14ac:dyDescent="0.25">
      <c r="A22740" t="str">
        <f>"100184823"</f>
        <v>100184823</v>
      </c>
      <c r="B22740" t="str">
        <f>"1750393591"</f>
        <v>1750393591</v>
      </c>
      <c r="C22740" t="str">
        <f>"208C00000X"</f>
        <v>208C00000X</v>
      </c>
      <c r="D22740" t="str">
        <f>"KATZ                     JOSHUA                   "</f>
        <v xml:space="preserve">KATZ                     JOSHUA                   </v>
      </c>
      <c r="E22740" t="str">
        <f>"BARTLETT                  "</f>
        <v xml:space="preserve">BARTLETT                  </v>
      </c>
      <c r="F22740" t="str">
        <f t="shared" si="583"/>
        <v>TN</v>
      </c>
    </row>
    <row r="22741" spans="1:6" x14ac:dyDescent="0.25">
      <c r="A22741" t="str">
        <f>"100185071"</f>
        <v>100185071</v>
      </c>
      <c r="B22741" t="str">
        <f>"1346291853"</f>
        <v>1346291853</v>
      </c>
      <c r="C22741" t="str">
        <f>"208000000X"</f>
        <v>208000000X</v>
      </c>
      <c r="D22741" t="str">
        <f>"ALEMZADEH                RAMIN                    "</f>
        <v xml:space="preserve">ALEMZADEH                RAMIN                    </v>
      </c>
      <c r="E22741" t="str">
        <f t="shared" ref="E22741:E22748" si="585">"MEMPHIS                   "</f>
        <v xml:space="preserve">MEMPHIS                   </v>
      </c>
      <c r="F22741" t="str">
        <f t="shared" si="583"/>
        <v>TN</v>
      </c>
    </row>
    <row r="22742" spans="1:6" x14ac:dyDescent="0.25">
      <c r="A22742" t="str">
        <f>"100185211"</f>
        <v>100185211</v>
      </c>
      <c r="B22742" t="str">
        <f>"1467774844"</f>
        <v>1467774844</v>
      </c>
      <c r="C22742" t="str">
        <f>"208000000X"</f>
        <v>208000000X</v>
      </c>
      <c r="D22742" t="str">
        <f>"CARRILLO MARQUEZ         MARIA        A           "</f>
        <v xml:space="preserve">CARRILLO MARQUEZ         MARIA        A           </v>
      </c>
      <c r="E22742" t="str">
        <f t="shared" si="585"/>
        <v xml:space="preserve">MEMPHIS                   </v>
      </c>
      <c r="F22742" t="str">
        <f t="shared" si="583"/>
        <v>TN</v>
      </c>
    </row>
    <row r="22743" spans="1:6" x14ac:dyDescent="0.25">
      <c r="A22743" t="str">
        <f>"100192047"</f>
        <v>100192047</v>
      </c>
      <c r="B22743" t="str">
        <f>"1861629172"</f>
        <v>1861629172</v>
      </c>
      <c r="C22743" t="str">
        <f>"207SG0201X"</f>
        <v>207SG0201X</v>
      </c>
      <c r="D22743" t="str">
        <f>"MROCZKOWSKI              HENRY        J           "</f>
        <v xml:space="preserve">MROCZKOWSKI              HENRY        J           </v>
      </c>
      <c r="E22743" t="str">
        <f t="shared" si="585"/>
        <v xml:space="preserve">MEMPHIS                   </v>
      </c>
      <c r="F22743" t="str">
        <f t="shared" si="583"/>
        <v>TN</v>
      </c>
    </row>
    <row r="22744" spans="1:6" x14ac:dyDescent="0.25">
      <c r="A22744" t="str">
        <f>"100205671"</f>
        <v>100205671</v>
      </c>
      <c r="B22744" t="str">
        <f>"1639337744"</f>
        <v>1639337744</v>
      </c>
      <c r="C22744" t="str">
        <f>"207RC0200X"</f>
        <v>207RC0200X</v>
      </c>
      <c r="D22744" t="str">
        <f>"SHAPPLEY                 REBEKAH      H           "</f>
        <v xml:space="preserve">SHAPPLEY                 REBEKAH      H           </v>
      </c>
      <c r="E22744" t="str">
        <f t="shared" si="585"/>
        <v xml:space="preserve">MEMPHIS                   </v>
      </c>
      <c r="F22744" t="str">
        <f t="shared" si="583"/>
        <v>TN</v>
      </c>
    </row>
    <row r="22745" spans="1:6" x14ac:dyDescent="0.25">
      <c r="A22745" t="str">
        <f>"100207632"</f>
        <v>100207632</v>
      </c>
      <c r="B22745" t="str">
        <f>"1023376878"</f>
        <v>1023376878</v>
      </c>
      <c r="C22745" t="str">
        <f>"207RP1001X"</f>
        <v>207RP1001X</v>
      </c>
      <c r="D22745" t="str">
        <f>"WILLIAMS                 DAVID        I           "</f>
        <v xml:space="preserve">WILLIAMS                 DAVID        I           </v>
      </c>
      <c r="E22745" t="str">
        <f t="shared" si="585"/>
        <v xml:space="preserve">MEMPHIS                   </v>
      </c>
      <c r="F22745" t="str">
        <f t="shared" si="583"/>
        <v>TN</v>
      </c>
    </row>
    <row r="22746" spans="1:6" x14ac:dyDescent="0.25">
      <c r="A22746" t="str">
        <f>"100207633"</f>
        <v>100207633</v>
      </c>
      <c r="B22746" t="str">
        <f>"1023376878"</f>
        <v>1023376878</v>
      </c>
      <c r="C22746" t="str">
        <f>"207RC0200X"</f>
        <v>207RC0200X</v>
      </c>
      <c r="D22746" t="str">
        <f>"WILLIAMS                 DAVID        I           "</f>
        <v xml:space="preserve">WILLIAMS                 DAVID        I           </v>
      </c>
      <c r="E22746" t="str">
        <f t="shared" si="585"/>
        <v xml:space="preserve">MEMPHIS                   </v>
      </c>
      <c r="F22746" t="str">
        <f t="shared" si="583"/>
        <v>TN</v>
      </c>
    </row>
    <row r="22747" spans="1:6" x14ac:dyDescent="0.25">
      <c r="A22747" t="str">
        <f>"100211922"</f>
        <v>100211922</v>
      </c>
      <c r="B22747" t="str">
        <f>"1831423607"</f>
        <v>1831423607</v>
      </c>
      <c r="C22747" t="str">
        <f>"2084N0400X"</f>
        <v>2084N0400X</v>
      </c>
      <c r="D22747" t="str">
        <f>"COPPOLA                  MARIANNA     R           "</f>
        <v xml:space="preserve">COPPOLA                  MARIANNA     R           </v>
      </c>
      <c r="E22747" t="str">
        <f t="shared" si="585"/>
        <v xml:space="preserve">MEMPHIS                   </v>
      </c>
      <c r="F22747" t="str">
        <f t="shared" si="583"/>
        <v>TN</v>
      </c>
    </row>
    <row r="22748" spans="1:6" x14ac:dyDescent="0.25">
      <c r="A22748" t="str">
        <f>"100212952"</f>
        <v>100212952</v>
      </c>
      <c r="B22748" t="str">
        <f>"1922104157"</f>
        <v>1922104157</v>
      </c>
      <c r="C22748" t="str">
        <f>"2085R0001X"</f>
        <v>2085R0001X</v>
      </c>
      <c r="D22748" t="str">
        <f>"SCHWARTZ                 DAVID        L           "</f>
        <v xml:space="preserve">SCHWARTZ                 DAVID        L           </v>
      </c>
      <c r="E22748" t="str">
        <f t="shared" si="585"/>
        <v xml:space="preserve">MEMPHIS                   </v>
      </c>
      <c r="F22748" t="str">
        <f t="shared" si="583"/>
        <v>TN</v>
      </c>
    </row>
    <row r="22749" spans="1:6" x14ac:dyDescent="0.25">
      <c r="A22749" t="str">
        <f>"100223260"</f>
        <v>100223260</v>
      </c>
      <c r="B22749" t="str">
        <f>"1205912177"</f>
        <v>1205912177</v>
      </c>
      <c r="C22749" t="str">
        <f>"2080P0207X"</f>
        <v>2080P0207X</v>
      </c>
      <c r="D22749" t="str">
        <f>"KITKO                    CARRIE                   "</f>
        <v xml:space="preserve">KITKO                    CARRIE                   </v>
      </c>
      <c r="E22749" t="str">
        <f>"NASHVILLE                 "</f>
        <v xml:space="preserve">NASHVILLE                 </v>
      </c>
      <c r="F22749" t="str">
        <f t="shared" si="583"/>
        <v>TN</v>
      </c>
    </row>
    <row r="22750" spans="1:6" x14ac:dyDescent="0.25">
      <c r="A22750" t="str">
        <f>"100223420"</f>
        <v>100223420</v>
      </c>
      <c r="B22750" t="str">
        <f>"1881855930"</f>
        <v>1881855930</v>
      </c>
      <c r="C22750" t="str">
        <f>"2080P0202X"</f>
        <v>2080P0202X</v>
      </c>
      <c r="D22750" t="str">
        <f>"HENDRICKSON              BENJAMIN     S           "</f>
        <v xml:space="preserve">HENDRICKSON              BENJAMIN     S           </v>
      </c>
      <c r="E22750" t="str">
        <f>"MEMPHIS                   "</f>
        <v xml:space="preserve">MEMPHIS                   </v>
      </c>
      <c r="F22750" t="str">
        <f t="shared" si="583"/>
        <v>TN</v>
      </c>
    </row>
    <row r="22751" spans="1:6" x14ac:dyDescent="0.25">
      <c r="A22751" t="str">
        <f>"100229724"</f>
        <v>100229724</v>
      </c>
      <c r="B22751" t="str">
        <f>"1053754176"</f>
        <v>1053754176</v>
      </c>
      <c r="C22751" t="str">
        <f>"207R00000X"</f>
        <v>207R00000X</v>
      </c>
      <c r="D22751" t="str">
        <f>"WELLS                    DANIEL       R           "</f>
        <v xml:space="preserve">WELLS                    DANIEL       R           </v>
      </c>
      <c r="E22751" t="str">
        <f>"MEMPHIS                   "</f>
        <v xml:space="preserve">MEMPHIS                   </v>
      </c>
      <c r="F22751" t="str">
        <f t="shared" si="583"/>
        <v>TN</v>
      </c>
    </row>
    <row r="22752" spans="1:6" x14ac:dyDescent="0.25">
      <c r="A22752" t="str">
        <f>"100231196"</f>
        <v>100231196</v>
      </c>
      <c r="B22752" t="str">
        <f>"1598022675"</f>
        <v>1598022675</v>
      </c>
      <c r="C22752" t="str">
        <f>"2080P0202X"</f>
        <v>2080P0202X</v>
      </c>
      <c r="D22752" t="str">
        <f>"RYAN                     KAITLIN      A           "</f>
        <v xml:space="preserve">RYAN                     KAITLIN      A           </v>
      </c>
      <c r="E22752" t="str">
        <f>"MEMPHIS                   "</f>
        <v xml:space="preserve">MEMPHIS                   </v>
      </c>
      <c r="F22752" t="str">
        <f t="shared" si="583"/>
        <v>TN</v>
      </c>
    </row>
    <row r="22753" spans="1:6" x14ac:dyDescent="0.25">
      <c r="A22753" t="str">
        <f>"100240306"</f>
        <v>100240306</v>
      </c>
      <c r="B22753" t="str">
        <f>"1649512468"</f>
        <v>1649512468</v>
      </c>
      <c r="C22753" t="str">
        <f>"207RI0200X"</f>
        <v>207RI0200X</v>
      </c>
      <c r="D22753" t="str">
        <f>"SUMMERS                  NATHAN       A           "</f>
        <v xml:space="preserve">SUMMERS                  NATHAN       A           </v>
      </c>
      <c r="E22753" t="str">
        <f>"MEMPHIS                   "</f>
        <v xml:space="preserve">MEMPHIS                   </v>
      </c>
      <c r="F22753" t="str">
        <f t="shared" si="583"/>
        <v>TN</v>
      </c>
    </row>
    <row r="22754" spans="1:6" x14ac:dyDescent="0.25">
      <c r="A22754" t="str">
        <f>"100244975"</f>
        <v>100244975</v>
      </c>
      <c r="B22754" t="str">
        <f>"1457339707"</f>
        <v>1457339707</v>
      </c>
      <c r="C22754" t="str">
        <f>"207RG0100X"</f>
        <v>207RG0100X</v>
      </c>
      <c r="D22754" t="str">
        <f>"PERRI                    ROMAN                    "</f>
        <v xml:space="preserve">PERRI                    ROMAN                    </v>
      </c>
      <c r="E22754" t="str">
        <f>"NASHVILLE                 "</f>
        <v xml:space="preserve">NASHVILLE                 </v>
      </c>
      <c r="F22754" t="str">
        <f t="shared" si="583"/>
        <v>TN</v>
      </c>
    </row>
    <row r="22755" spans="1:6" x14ac:dyDescent="0.25">
      <c r="A22755" t="str">
        <f>"100248545"</f>
        <v>100248545</v>
      </c>
      <c r="B22755" t="str">
        <f>"1780927244"</f>
        <v>1780927244</v>
      </c>
      <c r="C22755" t="str">
        <f>"207RX0202X"</f>
        <v>207RX0202X</v>
      </c>
      <c r="D22755" t="str">
        <f>"PORTER                   JASON                    "</f>
        <v xml:space="preserve">PORTER                   JASON                    </v>
      </c>
      <c r="E22755" t="str">
        <f>"GERMANTOWN                "</f>
        <v xml:space="preserve">GERMANTOWN                </v>
      </c>
      <c r="F22755" t="str">
        <f t="shared" si="583"/>
        <v>TN</v>
      </c>
    </row>
    <row r="22756" spans="1:6" x14ac:dyDescent="0.25">
      <c r="A22756" t="str">
        <f>"100257654"</f>
        <v>100257654</v>
      </c>
      <c r="B22756" t="str">
        <f>"1528109832"</f>
        <v>1528109832</v>
      </c>
      <c r="C22756" t="str">
        <f>"207RC0000X"</f>
        <v>207RC0000X</v>
      </c>
      <c r="D22756" t="str">
        <f>"SCHLENDORF               KELLY                    "</f>
        <v xml:space="preserve">SCHLENDORF               KELLY                    </v>
      </c>
      <c r="E22756" t="str">
        <f>"NASHVILLE                 "</f>
        <v xml:space="preserve">NASHVILLE                 </v>
      </c>
      <c r="F22756" t="str">
        <f t="shared" si="583"/>
        <v>TN</v>
      </c>
    </row>
    <row r="22757" spans="1:6" x14ac:dyDescent="0.25">
      <c r="A22757" t="str">
        <f>"100259203"</f>
        <v>100259203</v>
      </c>
      <c r="B22757" t="str">
        <f>"1316387095"</f>
        <v>1316387095</v>
      </c>
      <c r="C22757" t="str">
        <f>"2084N0400X"</f>
        <v>2084N0400X</v>
      </c>
      <c r="D22757" t="str">
        <f>"CHOURASIA                NITISH                   "</f>
        <v xml:space="preserve">CHOURASIA                NITISH                   </v>
      </c>
      <c r="E22757" t="str">
        <f t="shared" ref="E22757:E22763" si="586">"MEMPHIS                   "</f>
        <v xml:space="preserve">MEMPHIS                   </v>
      </c>
      <c r="F22757" t="str">
        <f t="shared" si="583"/>
        <v>TN</v>
      </c>
    </row>
    <row r="22758" spans="1:6" x14ac:dyDescent="0.25">
      <c r="A22758" t="str">
        <f>"100260488"</f>
        <v>100260488</v>
      </c>
      <c r="B22758" t="str">
        <f>"1396025060"</f>
        <v>1396025060</v>
      </c>
      <c r="C22758" t="str">
        <f>"207N00000X"</f>
        <v>207N00000X</v>
      </c>
      <c r="D22758" t="str">
        <f>"TIRADO GONZALEZ          MARIANTONIETA            "</f>
        <v xml:space="preserve">TIRADO GONZALEZ          MARIANTONIETA            </v>
      </c>
      <c r="E22758" t="str">
        <f t="shared" si="586"/>
        <v xml:space="preserve">MEMPHIS                   </v>
      </c>
      <c r="F22758" t="str">
        <f t="shared" si="583"/>
        <v>TN</v>
      </c>
    </row>
    <row r="22759" spans="1:6" x14ac:dyDescent="0.25">
      <c r="A22759" t="str">
        <f>"100262525"</f>
        <v>100262525</v>
      </c>
      <c r="B22759" t="str">
        <f>"1932587128"</f>
        <v>1932587128</v>
      </c>
      <c r="C22759" t="str">
        <f>"207RX0202X"</f>
        <v>207RX0202X</v>
      </c>
      <c r="D22759" t="str">
        <f>"OTIENO                   STEVE        B           "</f>
        <v xml:space="preserve">OTIENO                   STEVE        B           </v>
      </c>
      <c r="E22759" t="str">
        <f t="shared" si="586"/>
        <v xml:space="preserve">MEMPHIS                   </v>
      </c>
      <c r="F22759" t="str">
        <f t="shared" si="583"/>
        <v>TN</v>
      </c>
    </row>
    <row r="22760" spans="1:6" x14ac:dyDescent="0.25">
      <c r="A22760" t="str">
        <f>"100268385"</f>
        <v>100268385</v>
      </c>
      <c r="B22760" t="str">
        <f>"1386026862"</f>
        <v>1386026862</v>
      </c>
      <c r="C22760" t="str">
        <f>"2086S0102X"</f>
        <v>2086S0102X</v>
      </c>
      <c r="D22760" t="str">
        <f>"EASTERDAY                THOMAS       S           "</f>
        <v xml:space="preserve">EASTERDAY                THOMAS       S           </v>
      </c>
      <c r="E22760" t="str">
        <f t="shared" si="586"/>
        <v xml:space="preserve">MEMPHIS                   </v>
      </c>
      <c r="F22760" t="str">
        <f t="shared" si="583"/>
        <v>TN</v>
      </c>
    </row>
    <row r="22761" spans="1:6" x14ac:dyDescent="0.25">
      <c r="A22761" t="str">
        <f>"100268546"</f>
        <v>100268546</v>
      </c>
      <c r="B22761" t="str">
        <f>"1265847032"</f>
        <v>1265847032</v>
      </c>
      <c r="C22761" t="str">
        <f>"207RC0200X"</f>
        <v>207RC0200X</v>
      </c>
      <c r="D22761" t="str">
        <f>"SHARMA                   PRALHAD                  "</f>
        <v xml:space="preserve">SHARMA                   PRALHAD                  </v>
      </c>
      <c r="E22761" t="str">
        <f t="shared" si="586"/>
        <v xml:space="preserve">MEMPHIS                   </v>
      </c>
      <c r="F22761" t="str">
        <f t="shared" si="583"/>
        <v>TN</v>
      </c>
    </row>
    <row r="22762" spans="1:6" x14ac:dyDescent="0.25">
      <c r="A22762" t="str">
        <f>"100270202"</f>
        <v>100270202</v>
      </c>
      <c r="B22762" t="str">
        <f>"1083033757"</f>
        <v>1083033757</v>
      </c>
      <c r="C22762" t="str">
        <f>"2080P0202X"</f>
        <v>2080P0202X</v>
      </c>
      <c r="D22762" t="str">
        <f>"TAILOR                   NEIL         C           "</f>
        <v xml:space="preserve">TAILOR                   NEIL         C           </v>
      </c>
      <c r="E22762" t="str">
        <f t="shared" si="586"/>
        <v xml:space="preserve">MEMPHIS                   </v>
      </c>
      <c r="F22762" t="str">
        <f t="shared" si="583"/>
        <v>TN</v>
      </c>
    </row>
    <row r="22763" spans="1:6" x14ac:dyDescent="0.25">
      <c r="A22763" t="str">
        <f>"100275451"</f>
        <v>100275451</v>
      </c>
      <c r="B22763" t="str">
        <f>"1194055137"</f>
        <v>1194055137</v>
      </c>
      <c r="C22763" t="str">
        <f>"207U00000X"</f>
        <v>207U00000X</v>
      </c>
      <c r="D22763" t="str">
        <f>"UL HAQ                   EHTESHAM                 "</f>
        <v xml:space="preserve">UL HAQ                   EHTESHAM                 </v>
      </c>
      <c r="E22763" t="str">
        <f t="shared" si="586"/>
        <v xml:space="preserve">MEMPHIS                   </v>
      </c>
      <c r="F22763" t="str">
        <f t="shared" si="583"/>
        <v>TN</v>
      </c>
    </row>
    <row r="22764" spans="1:6" x14ac:dyDescent="0.25">
      <c r="A22764" t="str">
        <f>"100292488"</f>
        <v>100292488</v>
      </c>
      <c r="B22764" t="str">
        <f>"1306101050"</f>
        <v>1306101050</v>
      </c>
      <c r="C22764" t="str">
        <f>"363L00000X"</f>
        <v>363L00000X</v>
      </c>
      <c r="D22764" t="str">
        <f>"BYNUM                    ANDREA                   "</f>
        <v xml:space="preserve">BYNUM                    ANDREA                   </v>
      </c>
      <c r="E22764" t="str">
        <f>"GERMANTOWN                "</f>
        <v xml:space="preserve">GERMANTOWN                </v>
      </c>
      <c r="F22764" t="str">
        <f t="shared" si="583"/>
        <v>TN</v>
      </c>
    </row>
    <row r="22765" spans="1:6" x14ac:dyDescent="0.25">
      <c r="A22765" t="str">
        <f>"100298652"</f>
        <v>100298652</v>
      </c>
      <c r="B22765" t="str">
        <f>"1669439923"</f>
        <v>1669439923</v>
      </c>
      <c r="C22765" t="str">
        <f>"207VX0201X"</f>
        <v>207VX0201X</v>
      </c>
      <c r="D22765" t="str">
        <f>"SCHORGE                  JOHN         O           "</f>
        <v xml:space="preserve">SCHORGE                  JOHN         O           </v>
      </c>
      <c r="E22765" t="str">
        <f>"MEMPHIS                   "</f>
        <v xml:space="preserve">MEMPHIS                   </v>
      </c>
      <c r="F22765" t="str">
        <f t="shared" si="583"/>
        <v>TN</v>
      </c>
    </row>
    <row r="22766" spans="1:6" x14ac:dyDescent="0.25">
      <c r="A22766" t="str">
        <f>"200000054"</f>
        <v>200000054</v>
      </c>
      <c r="B22766" t="str">
        <f>"1760459168"</f>
        <v>1760459168</v>
      </c>
      <c r="C22766" t="str">
        <f>"207T00000X"</f>
        <v>207T00000X</v>
      </c>
      <c r="D22766" t="str">
        <f>"BERTORINI                TULIO                    "</f>
        <v xml:space="preserve">BERTORINI                TULIO                    </v>
      </c>
      <c r="E22766" t="str">
        <f>"MEMPHIS                   "</f>
        <v xml:space="preserve">MEMPHIS                   </v>
      </c>
      <c r="F22766" t="str">
        <f t="shared" si="583"/>
        <v>TN</v>
      </c>
    </row>
    <row r="22767" spans="1:6" x14ac:dyDescent="0.25">
      <c r="A22767" t="str">
        <f>"200000118"</f>
        <v>200000118</v>
      </c>
      <c r="B22767" t="str">
        <f>"1235153719"</f>
        <v>1235153719</v>
      </c>
      <c r="C22767" t="str">
        <f>"2084P0804X"</f>
        <v>2084P0804X</v>
      </c>
      <c r="D22767" t="str">
        <f>"IRFAN                    ALI                      "</f>
        <v xml:space="preserve">IRFAN                    ALI                      </v>
      </c>
      <c r="E22767" t="str">
        <f>"BARTLETT                  "</f>
        <v xml:space="preserve">BARTLETT                  </v>
      </c>
      <c r="F22767" t="str">
        <f t="shared" si="583"/>
        <v>TN</v>
      </c>
    </row>
    <row r="22768" spans="1:6" x14ac:dyDescent="0.25">
      <c r="A22768" t="str">
        <f>"200000120"</f>
        <v>200000120</v>
      </c>
      <c r="B22768" t="str">
        <f>"1902168651"</f>
        <v>1902168651</v>
      </c>
      <c r="C22768" t="str">
        <f>"2084P0804X"</f>
        <v>2084P0804X</v>
      </c>
      <c r="D22768" t="str">
        <f>"PEARSON                  ALANA                    "</f>
        <v xml:space="preserve">PEARSON                  ALANA                    </v>
      </c>
      <c r="E22768" t="str">
        <f>"BARTLETT                  "</f>
        <v xml:space="preserve">BARTLETT                  </v>
      </c>
      <c r="F22768" t="str">
        <f t="shared" si="583"/>
        <v>TN</v>
      </c>
    </row>
    <row r="22769" spans="1:6" x14ac:dyDescent="0.25">
      <c r="A22769" t="str">
        <f>"200000149"</f>
        <v>200000149</v>
      </c>
      <c r="B22769" t="str">
        <f>"1730625450"</f>
        <v>1730625450</v>
      </c>
      <c r="C22769" t="str">
        <f>"207T00000X"</f>
        <v>207T00000X</v>
      </c>
      <c r="D22769" t="str">
        <f>"SHIMONY                  NIR                      "</f>
        <v xml:space="preserve">SHIMONY                  NIR                      </v>
      </c>
      <c r="E22769" t="str">
        <f>"MEMPHIS                   "</f>
        <v xml:space="preserve">MEMPHIS                   </v>
      </c>
      <c r="F22769" t="str">
        <f t="shared" si="583"/>
        <v>TN</v>
      </c>
    </row>
    <row r="22770" spans="1:6" x14ac:dyDescent="0.25">
      <c r="A22770" t="str">
        <f>"200000302"</f>
        <v>200000302</v>
      </c>
      <c r="B22770" t="str">
        <f>"1922268986"</f>
        <v>1922268986</v>
      </c>
      <c r="C22770" t="str">
        <f>"207R00000X"</f>
        <v>207R00000X</v>
      </c>
      <c r="D22770" t="str">
        <f>"ASLAM                    FARHAN                   "</f>
        <v xml:space="preserve">ASLAM                    FARHAN                   </v>
      </c>
      <c r="E22770" t="str">
        <f>"MEMPHIS                   "</f>
        <v xml:space="preserve">MEMPHIS                   </v>
      </c>
      <c r="F22770" t="str">
        <f t="shared" si="583"/>
        <v>TN</v>
      </c>
    </row>
    <row r="22771" spans="1:6" x14ac:dyDescent="0.25">
      <c r="A22771" t="str">
        <f>"200000308"</f>
        <v>200000308</v>
      </c>
      <c r="B22771" t="str">
        <f>"1649763384"</f>
        <v>1649763384</v>
      </c>
      <c r="C22771" t="str">
        <f>"208000000X"</f>
        <v>208000000X</v>
      </c>
      <c r="D22771" t="str">
        <f>"MULROY                   NATHAN                   "</f>
        <v xml:space="preserve">MULROY                   NATHAN                   </v>
      </c>
      <c r="E22771" t="str">
        <f>"MEMPHIS                   "</f>
        <v xml:space="preserve">MEMPHIS                   </v>
      </c>
      <c r="F22771" t="str">
        <f t="shared" si="583"/>
        <v>TN</v>
      </c>
    </row>
    <row r="22772" spans="1:6" x14ac:dyDescent="0.25">
      <c r="A22772" t="str">
        <f>"200000319"</f>
        <v>200000319</v>
      </c>
      <c r="B22772" t="str">
        <f>"1043594914"</f>
        <v>1043594914</v>
      </c>
      <c r="C22772" t="str">
        <f>"207RC0000X"</f>
        <v>207RC0000X</v>
      </c>
      <c r="D22772" t="str">
        <f>"ASFAW                    ADDIS                    "</f>
        <v xml:space="preserve">ASFAW                    ADDIS                    </v>
      </c>
      <c r="E22772" t="str">
        <f>"MEMPHIS                   "</f>
        <v xml:space="preserve">MEMPHIS                   </v>
      </c>
      <c r="F22772" t="str">
        <f t="shared" si="583"/>
        <v>TN</v>
      </c>
    </row>
    <row r="22773" spans="1:6" x14ac:dyDescent="0.25">
      <c r="A22773" t="str">
        <f>"200000391"</f>
        <v>200000391</v>
      </c>
      <c r="B22773" t="str">
        <f>"1154715134"</f>
        <v>1154715134</v>
      </c>
      <c r="C22773" t="str">
        <f>"2086S0129X"</f>
        <v>2086S0129X</v>
      </c>
      <c r="D22773" t="str">
        <f>"HUNTER                   JUSTIN                   "</f>
        <v xml:space="preserve">HUNTER                   JUSTIN                   </v>
      </c>
      <c r="E22773" t="str">
        <f>"MEMPHIS                   "</f>
        <v xml:space="preserve">MEMPHIS                   </v>
      </c>
      <c r="F22773" t="str">
        <f t="shared" si="583"/>
        <v>TN</v>
      </c>
    </row>
    <row r="22774" spans="1:6" x14ac:dyDescent="0.25">
      <c r="A22774" t="str">
        <f>"200000398"</f>
        <v>200000398</v>
      </c>
      <c r="B22774" t="str">
        <f>"1790218857"</f>
        <v>1790218857</v>
      </c>
      <c r="C22774" t="str">
        <f>"207R00000X"</f>
        <v>207R00000X</v>
      </c>
      <c r="D22774" t="str">
        <f>"JAMES                    NITHIN                   "</f>
        <v xml:space="preserve">JAMES                    NITHIN                   </v>
      </c>
      <c r="E22774" t="str">
        <f>"JACKSON                   "</f>
        <v xml:space="preserve">JACKSON                   </v>
      </c>
      <c r="F22774" t="str">
        <f t="shared" si="583"/>
        <v>TN</v>
      </c>
    </row>
    <row r="22775" spans="1:6" x14ac:dyDescent="0.25">
      <c r="A22775" t="str">
        <f>"200000448"</f>
        <v>200000448</v>
      </c>
      <c r="B22775" t="str">
        <f>"1609083492"</f>
        <v>1609083492</v>
      </c>
      <c r="C22775" t="str">
        <f>"207Q00000X"</f>
        <v>207Q00000X</v>
      </c>
      <c r="D22775" t="str">
        <f>"MILLER                   DANIEL       C           "</f>
        <v xml:space="preserve">MILLER                   DANIEL       C           </v>
      </c>
      <c r="E22775" t="str">
        <f>"MEMPHIS                   "</f>
        <v xml:space="preserve">MEMPHIS                   </v>
      </c>
      <c r="F22775" t="str">
        <f t="shared" si="583"/>
        <v>TN</v>
      </c>
    </row>
    <row r="22776" spans="1:6" x14ac:dyDescent="0.25">
      <c r="A22776" t="str">
        <f>"200000466"</f>
        <v>200000466</v>
      </c>
      <c r="B22776" t="str">
        <f>"1104481449"</f>
        <v>1104481449</v>
      </c>
      <c r="C22776" t="str">
        <f>"208000000X"</f>
        <v>208000000X</v>
      </c>
      <c r="D22776" t="str">
        <f>"WALSH                    MALLORY                  "</f>
        <v xml:space="preserve">WALSH                    MALLORY                  </v>
      </c>
      <c r="E22776" t="str">
        <f>"MEMPHIS                   "</f>
        <v xml:space="preserve">MEMPHIS                   </v>
      </c>
      <c r="F22776" t="str">
        <f t="shared" si="583"/>
        <v>TN</v>
      </c>
    </row>
    <row r="22777" spans="1:6" x14ac:dyDescent="0.25">
      <c r="A22777" t="str">
        <f>"200000476"</f>
        <v>200000476</v>
      </c>
      <c r="B22777" t="str">
        <f>"1467016196"</f>
        <v>1467016196</v>
      </c>
      <c r="C22777" t="str">
        <f>"207R00000X"</f>
        <v>207R00000X</v>
      </c>
      <c r="D22777" t="str">
        <f>"HERNANDEZ                ANDREA                   "</f>
        <v xml:space="preserve">HERNANDEZ                ANDREA                   </v>
      </c>
      <c r="E22777" t="str">
        <f>"MEMPHIS                   "</f>
        <v xml:space="preserve">MEMPHIS                   </v>
      </c>
      <c r="F22777" t="str">
        <f t="shared" si="583"/>
        <v>TN</v>
      </c>
    </row>
    <row r="22778" spans="1:6" x14ac:dyDescent="0.25">
      <c r="A22778" t="str">
        <f>"200000523"</f>
        <v>200000523</v>
      </c>
      <c r="B22778" t="str">
        <f>"1578768339"</f>
        <v>1578768339</v>
      </c>
      <c r="C22778" t="str">
        <f>"208G00000X"</f>
        <v>208G00000X</v>
      </c>
      <c r="D22778" t="str">
        <f>"LARSON                   SHARON                   "</f>
        <v xml:space="preserve">LARSON                   SHARON                   </v>
      </c>
      <c r="E22778" t="str">
        <f>"MEMPHIS                   "</f>
        <v xml:space="preserve">MEMPHIS                   </v>
      </c>
      <c r="F22778" t="str">
        <f t="shared" si="583"/>
        <v>TN</v>
      </c>
    </row>
    <row r="22779" spans="1:6" x14ac:dyDescent="0.25">
      <c r="A22779" t="str">
        <f>"200000530"</f>
        <v>200000530</v>
      </c>
      <c r="B22779" t="str">
        <f>"1679531453"</f>
        <v>1679531453</v>
      </c>
      <c r="C22779" t="str">
        <f>"208G00000X"</f>
        <v>208G00000X</v>
      </c>
      <c r="D22779" t="str">
        <f>"JONES                    BRUCE                    "</f>
        <v xml:space="preserve">JONES                    BRUCE                    </v>
      </c>
      <c r="E22779" t="str">
        <f>"MEMPHIS                   "</f>
        <v xml:space="preserve">MEMPHIS                   </v>
      </c>
      <c r="F22779" t="str">
        <f t="shared" si="583"/>
        <v>TN</v>
      </c>
    </row>
    <row r="22780" spans="1:6" x14ac:dyDescent="0.25">
      <c r="A22780" t="str">
        <f>"200000555"</f>
        <v>200000555</v>
      </c>
      <c r="B22780" t="str">
        <f>"1851346621"</f>
        <v>1851346621</v>
      </c>
      <c r="C22780" t="str">
        <f>"2085R0202X"</f>
        <v>2085R0202X</v>
      </c>
      <c r="D22780" t="str">
        <f>"PERKINS                  CHARLES                  "</f>
        <v xml:space="preserve">PERKINS                  CHARLES                  </v>
      </c>
      <c r="E22780" t="str">
        <f>"GERMANTOWN                "</f>
        <v xml:space="preserve">GERMANTOWN                </v>
      </c>
      <c r="F22780" t="str">
        <f t="shared" si="583"/>
        <v>TN</v>
      </c>
    </row>
    <row r="22781" spans="1:6" x14ac:dyDescent="0.25">
      <c r="A22781" t="str">
        <f>"200000585"</f>
        <v>200000585</v>
      </c>
      <c r="B22781" t="str">
        <f>"1942262829"</f>
        <v>1942262829</v>
      </c>
      <c r="C22781" t="str">
        <f>"207R00000X"</f>
        <v>207R00000X</v>
      </c>
      <c r="D22781" t="str">
        <f>"MISHRA                   ASHUTOSH                 "</f>
        <v xml:space="preserve">MISHRA                   ASHUTOSH                 </v>
      </c>
      <c r="E22781" t="str">
        <f>"MEMPHIS                   "</f>
        <v xml:space="preserve">MEMPHIS                   </v>
      </c>
      <c r="F22781" t="str">
        <f t="shared" si="583"/>
        <v>TN</v>
      </c>
    </row>
    <row r="22782" spans="1:6" x14ac:dyDescent="0.25">
      <c r="A22782" t="str">
        <f>"200000596"</f>
        <v>200000596</v>
      </c>
      <c r="B22782" t="str">
        <f>"1215151709"</f>
        <v>1215151709</v>
      </c>
      <c r="C22782" t="str">
        <f>"2084P0804X"</f>
        <v>2084P0804X</v>
      </c>
      <c r="D22782" t="str">
        <f>"BROOKS                   CHRISTIE                 "</f>
        <v xml:space="preserve">BROOKS                   CHRISTIE                 </v>
      </c>
      <c r="E22782" t="str">
        <f>"BARTLETT                  "</f>
        <v xml:space="preserve">BARTLETT                  </v>
      </c>
      <c r="F22782" t="str">
        <f t="shared" ref="F22782:F22845" si="587">"TN"</f>
        <v>TN</v>
      </c>
    </row>
    <row r="22783" spans="1:6" x14ac:dyDescent="0.25">
      <c r="A22783" t="str">
        <f>"200000611"</f>
        <v>200000611</v>
      </c>
      <c r="B22783" t="str">
        <f>"1841879103"</f>
        <v>1841879103</v>
      </c>
      <c r="C22783" t="str">
        <f>"363L00000X"</f>
        <v>363L00000X</v>
      </c>
      <c r="D22783" t="str">
        <f>"KELSO                    CYNTHIA                  "</f>
        <v xml:space="preserve">KELSO                    CYNTHIA                  </v>
      </c>
      <c r="E22783" t="str">
        <f>"MEMPHIS                   "</f>
        <v xml:space="preserve">MEMPHIS                   </v>
      </c>
      <c r="F22783" t="str">
        <f t="shared" si="587"/>
        <v>TN</v>
      </c>
    </row>
    <row r="22784" spans="1:6" x14ac:dyDescent="0.25">
      <c r="A22784" t="str">
        <f>"200000665"</f>
        <v>200000665</v>
      </c>
      <c r="B22784" t="str">
        <f>"1669579116"</f>
        <v>1669579116</v>
      </c>
      <c r="C22784" t="str">
        <f>"2084P0804X"</f>
        <v>2084P0804X</v>
      </c>
      <c r="D22784" t="str">
        <f>"SHAW                     JONATHAN                 "</f>
        <v xml:space="preserve">SHAW                     JONATHAN                 </v>
      </c>
      <c r="E22784" t="str">
        <f>"BARTLETT                  "</f>
        <v xml:space="preserve">BARTLETT                  </v>
      </c>
      <c r="F22784" t="str">
        <f t="shared" si="587"/>
        <v>TN</v>
      </c>
    </row>
    <row r="22785" spans="1:6" x14ac:dyDescent="0.25">
      <c r="A22785" t="str">
        <f>"200000694"</f>
        <v>200000694</v>
      </c>
      <c r="B22785" t="str">
        <f>"1407932031"</f>
        <v>1407932031</v>
      </c>
      <c r="C22785" t="str">
        <f>"207L00000X"</f>
        <v>207L00000X</v>
      </c>
      <c r="D22785" t="str">
        <f>"HENRY                    TEKESHA                  "</f>
        <v xml:space="preserve">HENRY                    TEKESHA                  </v>
      </c>
      <c r="E22785" t="str">
        <f>"MEMPHIS                   "</f>
        <v xml:space="preserve">MEMPHIS                   </v>
      </c>
      <c r="F22785" t="str">
        <f t="shared" si="587"/>
        <v>TN</v>
      </c>
    </row>
    <row r="22786" spans="1:6" x14ac:dyDescent="0.25">
      <c r="A22786" t="str">
        <f>"200000728"</f>
        <v>200000728</v>
      </c>
      <c r="B22786" t="str">
        <f>"1710454962"</f>
        <v>1710454962</v>
      </c>
      <c r="C22786" t="str">
        <f>"363L00000X"</f>
        <v>363L00000X</v>
      </c>
      <c r="D22786" t="str">
        <f>"HICKS                    HEATHER                  "</f>
        <v xml:space="preserve">HICKS                    HEATHER                  </v>
      </c>
      <c r="E22786" t="str">
        <f>"GERMANTOWN                "</f>
        <v xml:space="preserve">GERMANTOWN                </v>
      </c>
      <c r="F22786" t="str">
        <f t="shared" si="587"/>
        <v>TN</v>
      </c>
    </row>
    <row r="22787" spans="1:6" x14ac:dyDescent="0.25">
      <c r="A22787" t="str">
        <f>"200000744"</f>
        <v>200000744</v>
      </c>
      <c r="B22787" t="str">
        <f>"1144628371"</f>
        <v>1144628371</v>
      </c>
      <c r="C22787" t="str">
        <f>"363A00000X"</f>
        <v>363A00000X</v>
      </c>
      <c r="D22787" t="str">
        <f>"GROSHEK                  CASSI-JO                 "</f>
        <v xml:space="preserve">GROSHEK                  CASSI-JO                 </v>
      </c>
      <c r="E22787" t="str">
        <f>"MEMPHIS                   "</f>
        <v xml:space="preserve">MEMPHIS                   </v>
      </c>
      <c r="F22787" t="str">
        <f t="shared" si="587"/>
        <v>TN</v>
      </c>
    </row>
    <row r="22788" spans="1:6" x14ac:dyDescent="0.25">
      <c r="A22788" t="str">
        <f>"200000755"</f>
        <v>200000755</v>
      </c>
      <c r="B22788" t="str">
        <f>"1962591362"</f>
        <v>1962591362</v>
      </c>
      <c r="C22788" t="str">
        <f>"363L00000X"</f>
        <v>363L00000X</v>
      </c>
      <c r="D22788" t="str">
        <f>"NORRIS                   MARCUS       A           "</f>
        <v xml:space="preserve">NORRIS                   MARCUS       A           </v>
      </c>
      <c r="E22788" t="str">
        <f>"GERMANTOWN                "</f>
        <v xml:space="preserve">GERMANTOWN                </v>
      </c>
      <c r="F22788" t="str">
        <f t="shared" si="587"/>
        <v>TN</v>
      </c>
    </row>
    <row r="22789" spans="1:6" x14ac:dyDescent="0.25">
      <c r="A22789" t="str">
        <f>"200000776"</f>
        <v>200000776</v>
      </c>
      <c r="B22789" t="str">
        <f>"1679966923"</f>
        <v>1679966923</v>
      </c>
      <c r="C22789" t="str">
        <f>"207V00000X"</f>
        <v>207V00000X</v>
      </c>
      <c r="D22789" t="str">
        <f>"BELL                     JESSICA                  "</f>
        <v xml:space="preserve">BELL                     JESSICA                  </v>
      </c>
      <c r="E22789" t="str">
        <f t="shared" ref="E22789:E22795" si="588">"MEMPHIS                   "</f>
        <v xml:space="preserve">MEMPHIS                   </v>
      </c>
      <c r="F22789" t="str">
        <f t="shared" si="587"/>
        <v>TN</v>
      </c>
    </row>
    <row r="22790" spans="1:6" x14ac:dyDescent="0.25">
      <c r="A22790" t="str">
        <f>"200000779"</f>
        <v>200000779</v>
      </c>
      <c r="B22790" t="str">
        <f>"1386002228"</f>
        <v>1386002228</v>
      </c>
      <c r="C22790" t="str">
        <f>"363L00000X"</f>
        <v>363L00000X</v>
      </c>
      <c r="D22790" t="str">
        <f>"BAILEY                   ARIKA        D           "</f>
        <v xml:space="preserve">BAILEY                   ARIKA        D           </v>
      </c>
      <c r="E22790" t="str">
        <f t="shared" si="588"/>
        <v xml:space="preserve">MEMPHIS                   </v>
      </c>
      <c r="F22790" t="str">
        <f t="shared" si="587"/>
        <v>TN</v>
      </c>
    </row>
    <row r="22791" spans="1:6" x14ac:dyDescent="0.25">
      <c r="A22791" t="str">
        <f>"200000812"</f>
        <v>200000812</v>
      </c>
      <c r="B22791" t="str">
        <f>"1417302274"</f>
        <v>1417302274</v>
      </c>
      <c r="C22791" t="str">
        <f>"207Y00000X"</f>
        <v>207Y00000X</v>
      </c>
      <c r="D22791" t="str">
        <f>"ROBERT                   TULISZEWSKI              "</f>
        <v xml:space="preserve">ROBERT                   TULISZEWSKI              </v>
      </c>
      <c r="E22791" t="str">
        <f t="shared" si="588"/>
        <v xml:space="preserve">MEMPHIS                   </v>
      </c>
      <c r="F22791" t="str">
        <f t="shared" si="587"/>
        <v>TN</v>
      </c>
    </row>
    <row r="22792" spans="1:6" x14ac:dyDescent="0.25">
      <c r="A22792" t="str">
        <f>"200000846"</f>
        <v>200000846</v>
      </c>
      <c r="B22792" t="str">
        <f>"1780317594"</f>
        <v>1780317594</v>
      </c>
      <c r="C22792" t="str">
        <f>"363L00000X"</f>
        <v>363L00000X</v>
      </c>
      <c r="D22792" t="str">
        <f>"AYSHEH                   HAMZHA       A           "</f>
        <v xml:space="preserve">AYSHEH                   HAMZHA       A           </v>
      </c>
      <c r="E22792" t="str">
        <f t="shared" si="588"/>
        <v xml:space="preserve">MEMPHIS                   </v>
      </c>
      <c r="F22792" t="str">
        <f t="shared" si="587"/>
        <v>TN</v>
      </c>
    </row>
    <row r="22793" spans="1:6" x14ac:dyDescent="0.25">
      <c r="A22793" t="str">
        <f>"200000859"</f>
        <v>200000859</v>
      </c>
      <c r="B22793" t="str">
        <f>"1700230802"</f>
        <v>1700230802</v>
      </c>
      <c r="C22793" t="str">
        <f>"363A00000X"</f>
        <v>363A00000X</v>
      </c>
      <c r="D22793" t="str">
        <f>"FOON                     JESSICA                  "</f>
        <v xml:space="preserve">FOON                     JESSICA                  </v>
      </c>
      <c r="E22793" t="str">
        <f t="shared" si="588"/>
        <v xml:space="preserve">MEMPHIS                   </v>
      </c>
      <c r="F22793" t="str">
        <f t="shared" si="587"/>
        <v>TN</v>
      </c>
    </row>
    <row r="22794" spans="1:6" x14ac:dyDescent="0.25">
      <c r="A22794" t="str">
        <f>"200000887"</f>
        <v>200000887</v>
      </c>
      <c r="B22794" t="str">
        <f>"1285766709"</f>
        <v>1285766709</v>
      </c>
      <c r="C22794" t="str">
        <f>"208000000X"</f>
        <v>208000000X</v>
      </c>
      <c r="D22794" t="str">
        <f>"OYLER                    AMY                      "</f>
        <v xml:space="preserve">OYLER                    AMY                      </v>
      </c>
      <c r="E22794" t="str">
        <f t="shared" si="588"/>
        <v xml:space="preserve">MEMPHIS                   </v>
      </c>
      <c r="F22794" t="str">
        <f t="shared" si="587"/>
        <v>TN</v>
      </c>
    </row>
    <row r="22795" spans="1:6" x14ac:dyDescent="0.25">
      <c r="A22795" t="str">
        <f>"200000950"</f>
        <v>200000950</v>
      </c>
      <c r="B22795" t="str">
        <f>"1508362989"</f>
        <v>1508362989</v>
      </c>
      <c r="C22795" t="str">
        <f>"207RH0002X"</f>
        <v>207RH0002X</v>
      </c>
      <c r="D22795" t="str">
        <f>"ROBINSON                 MATTHEW      A           "</f>
        <v xml:space="preserve">ROBINSON                 MATTHEW      A           </v>
      </c>
      <c r="E22795" t="str">
        <f t="shared" si="588"/>
        <v xml:space="preserve">MEMPHIS                   </v>
      </c>
      <c r="F22795" t="str">
        <f t="shared" si="587"/>
        <v>TN</v>
      </c>
    </row>
    <row r="22796" spans="1:6" x14ac:dyDescent="0.25">
      <c r="A22796" t="str">
        <f>"200000962"</f>
        <v>200000962</v>
      </c>
      <c r="B22796" t="str">
        <f>"1114228400"</f>
        <v>1114228400</v>
      </c>
      <c r="C22796" t="str">
        <f>"363L00000X"</f>
        <v>363L00000X</v>
      </c>
      <c r="D22796" t="str">
        <f>"STEELE                   KATHRYN                  "</f>
        <v xml:space="preserve">STEELE                   KATHRYN                  </v>
      </c>
      <c r="E22796" t="str">
        <f>"GERMANTOWN                "</f>
        <v xml:space="preserve">GERMANTOWN                </v>
      </c>
      <c r="F22796" t="str">
        <f t="shared" si="587"/>
        <v>TN</v>
      </c>
    </row>
    <row r="22797" spans="1:6" x14ac:dyDescent="0.25">
      <c r="A22797" t="str">
        <f>"200001036"</f>
        <v>200001036</v>
      </c>
      <c r="B22797" t="str">
        <f>"1952784829"</f>
        <v>1952784829</v>
      </c>
      <c r="C22797" t="str">
        <f>"363L00000X"</f>
        <v>363L00000X</v>
      </c>
      <c r="D22797" t="str">
        <f>"DEMENT                   TONNA        J           "</f>
        <v xml:space="preserve">DEMENT                   TONNA        J           </v>
      </c>
      <c r="E22797" t="str">
        <f t="shared" ref="E22797:E22806" si="589">"MEMPHIS                   "</f>
        <v xml:space="preserve">MEMPHIS                   </v>
      </c>
      <c r="F22797" t="str">
        <f t="shared" si="587"/>
        <v>TN</v>
      </c>
    </row>
    <row r="22798" spans="1:6" x14ac:dyDescent="0.25">
      <c r="A22798" t="str">
        <f>"200001052"</f>
        <v>200001052</v>
      </c>
      <c r="B22798" t="str">
        <f>"1801993167"</f>
        <v>1801993167</v>
      </c>
      <c r="C22798" t="str">
        <f>"207T00000X"</f>
        <v>207T00000X</v>
      </c>
      <c r="D22798" t="str">
        <f>"PARK                     PAUL                     "</f>
        <v xml:space="preserve">PARK                     PAUL                     </v>
      </c>
      <c r="E22798" t="str">
        <f t="shared" si="589"/>
        <v xml:space="preserve">MEMPHIS                   </v>
      </c>
      <c r="F22798" t="str">
        <f t="shared" si="587"/>
        <v>TN</v>
      </c>
    </row>
    <row r="22799" spans="1:6" x14ac:dyDescent="0.25">
      <c r="A22799" t="str">
        <f>"200001086"</f>
        <v>200001086</v>
      </c>
      <c r="B22799" t="str">
        <f>"1386177574"</f>
        <v>1386177574</v>
      </c>
      <c r="C22799" t="str">
        <f>"207W00000X"</f>
        <v>207W00000X</v>
      </c>
      <c r="D22799" t="str">
        <f>"FONG                     JOSEPH                   "</f>
        <v xml:space="preserve">FONG                     JOSEPH                   </v>
      </c>
      <c r="E22799" t="str">
        <f t="shared" si="589"/>
        <v xml:space="preserve">MEMPHIS                   </v>
      </c>
      <c r="F22799" t="str">
        <f t="shared" si="587"/>
        <v>TN</v>
      </c>
    </row>
    <row r="22800" spans="1:6" x14ac:dyDescent="0.25">
      <c r="A22800" t="str">
        <f>"200001117"</f>
        <v>200001117</v>
      </c>
      <c r="B22800" t="str">
        <f>"1033571088"</f>
        <v>1033571088</v>
      </c>
      <c r="C22800" t="str">
        <f>"207W00000X"</f>
        <v>207W00000X</v>
      </c>
      <c r="D22800" t="str">
        <f>"LAO                      PRISCILLA A              "</f>
        <v xml:space="preserve">LAO                      PRISCILLA A              </v>
      </c>
      <c r="E22800" t="str">
        <f t="shared" si="589"/>
        <v xml:space="preserve">MEMPHIS                   </v>
      </c>
      <c r="F22800" t="str">
        <f t="shared" si="587"/>
        <v>TN</v>
      </c>
    </row>
    <row r="22801" spans="1:6" x14ac:dyDescent="0.25">
      <c r="A22801" t="str">
        <f>"200001119"</f>
        <v>200001119</v>
      </c>
      <c r="B22801" t="str">
        <f>"1700137031"</f>
        <v>1700137031</v>
      </c>
      <c r="C22801" t="str">
        <f>"363A00000X"</f>
        <v>363A00000X</v>
      </c>
      <c r="D22801" t="str">
        <f>"EDWARDS                  RHEA                     "</f>
        <v xml:space="preserve">EDWARDS                  RHEA                     </v>
      </c>
      <c r="E22801" t="str">
        <f t="shared" si="589"/>
        <v xml:space="preserve">MEMPHIS                   </v>
      </c>
      <c r="F22801" t="str">
        <f t="shared" si="587"/>
        <v>TN</v>
      </c>
    </row>
    <row r="22802" spans="1:6" x14ac:dyDescent="0.25">
      <c r="A22802" t="str">
        <f>"200001143"</f>
        <v>200001143</v>
      </c>
      <c r="B22802" t="str">
        <f>"1972237154"</f>
        <v>1972237154</v>
      </c>
      <c r="C22802" t="str">
        <f>"363A00000X"</f>
        <v>363A00000X</v>
      </c>
      <c r="D22802" t="str">
        <f>"GLADDEN                  KAESHA                   "</f>
        <v xml:space="preserve">GLADDEN                  KAESHA                   </v>
      </c>
      <c r="E22802" t="str">
        <f t="shared" si="589"/>
        <v xml:space="preserve">MEMPHIS                   </v>
      </c>
      <c r="F22802" t="str">
        <f t="shared" si="587"/>
        <v>TN</v>
      </c>
    </row>
    <row r="22803" spans="1:6" x14ac:dyDescent="0.25">
      <c r="A22803" t="str">
        <f>"200001161"</f>
        <v>200001161</v>
      </c>
      <c r="B22803" t="str">
        <f>"1982299871"</f>
        <v>1982299871</v>
      </c>
      <c r="C22803" t="str">
        <f>"363A00000X"</f>
        <v>363A00000X</v>
      </c>
      <c r="D22803" t="str">
        <f>"GORST                    PAIGE                    "</f>
        <v xml:space="preserve">GORST                    PAIGE                    </v>
      </c>
      <c r="E22803" t="str">
        <f t="shared" si="589"/>
        <v xml:space="preserve">MEMPHIS                   </v>
      </c>
      <c r="F22803" t="str">
        <f t="shared" si="587"/>
        <v>TN</v>
      </c>
    </row>
    <row r="22804" spans="1:6" x14ac:dyDescent="0.25">
      <c r="A22804" t="str">
        <f>"200001164"</f>
        <v>200001164</v>
      </c>
      <c r="B22804" t="str">
        <f>"1063175693"</f>
        <v>1063175693</v>
      </c>
      <c r="C22804" t="str">
        <f>"363L00000X"</f>
        <v>363L00000X</v>
      </c>
      <c r="D22804" t="str">
        <f>"MCMULLEN                 BRITNEY      J           "</f>
        <v xml:space="preserve">MCMULLEN                 BRITNEY      J           </v>
      </c>
      <c r="E22804" t="str">
        <f t="shared" si="589"/>
        <v xml:space="preserve">MEMPHIS                   </v>
      </c>
      <c r="F22804" t="str">
        <f t="shared" si="587"/>
        <v>TN</v>
      </c>
    </row>
    <row r="22805" spans="1:6" x14ac:dyDescent="0.25">
      <c r="A22805" t="str">
        <f>"200001178"</f>
        <v>200001178</v>
      </c>
      <c r="B22805" t="str">
        <f>"1770212490"</f>
        <v>1770212490</v>
      </c>
      <c r="C22805" t="str">
        <f>"367500000X"</f>
        <v>367500000X</v>
      </c>
      <c r="D22805" t="str">
        <f>"WHALEY                   REBEKAH                  "</f>
        <v xml:space="preserve">WHALEY                   REBEKAH                  </v>
      </c>
      <c r="E22805" t="str">
        <f t="shared" si="589"/>
        <v xml:space="preserve">MEMPHIS                   </v>
      </c>
      <c r="F22805" t="str">
        <f t="shared" si="587"/>
        <v>TN</v>
      </c>
    </row>
    <row r="22806" spans="1:6" x14ac:dyDescent="0.25">
      <c r="A22806" t="str">
        <f>"200001185"</f>
        <v>200001185</v>
      </c>
      <c r="B22806" t="str">
        <f>"1730772450"</f>
        <v>1730772450</v>
      </c>
      <c r="C22806" t="str">
        <f>"363L00000X"</f>
        <v>363L00000X</v>
      </c>
      <c r="D22806" t="str">
        <f>"GARMEN                   AUBREY                   "</f>
        <v xml:space="preserve">GARMEN                   AUBREY                   </v>
      </c>
      <c r="E22806" t="str">
        <f t="shared" si="589"/>
        <v xml:space="preserve">MEMPHIS                   </v>
      </c>
      <c r="F22806" t="str">
        <f t="shared" si="587"/>
        <v>TN</v>
      </c>
    </row>
    <row r="22807" spans="1:6" x14ac:dyDescent="0.25">
      <c r="A22807" t="str">
        <f>"200001196"</f>
        <v>200001196</v>
      </c>
      <c r="B22807" t="str">
        <f>"1659732063"</f>
        <v>1659732063</v>
      </c>
      <c r="C22807" t="str">
        <f>"363L00000X"</f>
        <v>363L00000X</v>
      </c>
      <c r="D22807" t="str">
        <f>"RICH                     JENNIFER                 "</f>
        <v xml:space="preserve">RICH                     JENNIFER                 </v>
      </c>
      <c r="E22807" t="str">
        <f>"GERMANTOWN                "</f>
        <v xml:space="preserve">GERMANTOWN                </v>
      </c>
      <c r="F22807" t="str">
        <f t="shared" si="587"/>
        <v>TN</v>
      </c>
    </row>
    <row r="22808" spans="1:6" x14ac:dyDescent="0.25">
      <c r="A22808" t="str">
        <f>"200001218"</f>
        <v>200001218</v>
      </c>
      <c r="B22808" t="str">
        <f>"1164818233"</f>
        <v>1164818233</v>
      </c>
      <c r="C22808" t="str">
        <f>"207RP1001X"</f>
        <v>207RP1001X</v>
      </c>
      <c r="D22808" t="str">
        <f>"GREEN                    JASON                    "</f>
        <v xml:space="preserve">GREEN                    JASON                    </v>
      </c>
      <c r="E22808" t="str">
        <f>"GERMANTOWN                "</f>
        <v xml:space="preserve">GERMANTOWN                </v>
      </c>
      <c r="F22808" t="str">
        <f t="shared" si="587"/>
        <v>TN</v>
      </c>
    </row>
    <row r="22809" spans="1:6" x14ac:dyDescent="0.25">
      <c r="A22809" t="str">
        <f>"200001258"</f>
        <v>200001258</v>
      </c>
      <c r="B22809" t="str">
        <f>"1982961058"</f>
        <v>1982961058</v>
      </c>
      <c r="C22809" t="str">
        <f>"2086S0120X"</f>
        <v>2086S0120X</v>
      </c>
      <c r="D22809" t="str">
        <f>"LANDISCH                 RACHEL                   "</f>
        <v xml:space="preserve">LANDISCH                 RACHEL                   </v>
      </c>
      <c r="E22809" t="str">
        <f t="shared" ref="E22809:E22819" si="590">"MEMPHIS                   "</f>
        <v xml:space="preserve">MEMPHIS                   </v>
      </c>
      <c r="F22809" t="str">
        <f t="shared" si="587"/>
        <v>TN</v>
      </c>
    </row>
    <row r="22810" spans="1:6" x14ac:dyDescent="0.25">
      <c r="A22810" t="str">
        <f>"200001262"</f>
        <v>200001262</v>
      </c>
      <c r="B22810" t="str">
        <f>"1225340557"</f>
        <v>1225340557</v>
      </c>
      <c r="C22810" t="str">
        <f>"207RC0000X"</f>
        <v>207RC0000X</v>
      </c>
      <c r="D22810" t="str">
        <f>"KHAIRE                   SUSHANT                  "</f>
        <v xml:space="preserve">KHAIRE                   SUSHANT                  </v>
      </c>
      <c r="E22810" t="str">
        <f t="shared" si="590"/>
        <v xml:space="preserve">MEMPHIS                   </v>
      </c>
      <c r="F22810" t="str">
        <f t="shared" si="587"/>
        <v>TN</v>
      </c>
    </row>
    <row r="22811" spans="1:6" x14ac:dyDescent="0.25">
      <c r="A22811" t="str">
        <f>"200001268"</f>
        <v>200001268</v>
      </c>
      <c r="B22811" t="str">
        <f>"1083354302"</f>
        <v>1083354302</v>
      </c>
      <c r="C22811" t="str">
        <f>"363A00000X"</f>
        <v>363A00000X</v>
      </c>
      <c r="D22811" t="str">
        <f>"TALEB-HAGHIPOOR          KASRA                    "</f>
        <v xml:space="preserve">TALEB-HAGHIPOOR          KASRA                    </v>
      </c>
      <c r="E22811" t="str">
        <f t="shared" si="590"/>
        <v xml:space="preserve">MEMPHIS                   </v>
      </c>
      <c r="F22811" t="str">
        <f t="shared" si="587"/>
        <v>TN</v>
      </c>
    </row>
    <row r="22812" spans="1:6" x14ac:dyDescent="0.25">
      <c r="A22812" t="str">
        <f>"200001294"</f>
        <v>200001294</v>
      </c>
      <c r="B22812" t="str">
        <f>"1144306366"</f>
        <v>1144306366</v>
      </c>
      <c r="C22812" t="str">
        <f>"207RN0300X"</f>
        <v>207RN0300X</v>
      </c>
      <c r="D22812" t="str">
        <f>"SHERMER                  MARK                     "</f>
        <v xml:space="preserve">SHERMER                  MARK                     </v>
      </c>
      <c r="E22812" t="str">
        <f t="shared" si="590"/>
        <v xml:space="preserve">MEMPHIS                   </v>
      </c>
      <c r="F22812" t="str">
        <f t="shared" si="587"/>
        <v>TN</v>
      </c>
    </row>
    <row r="22813" spans="1:6" x14ac:dyDescent="0.25">
      <c r="A22813" t="str">
        <f>"200001296"</f>
        <v>200001296</v>
      </c>
      <c r="B22813" t="str">
        <f>"1295394278"</f>
        <v>1295394278</v>
      </c>
      <c r="C22813" t="str">
        <f>"363L00000X"</f>
        <v>363L00000X</v>
      </c>
      <c r="D22813" t="str">
        <f>"BELL                     DANIELLE     Y           "</f>
        <v xml:space="preserve">BELL                     DANIELLE     Y           </v>
      </c>
      <c r="E22813" t="str">
        <f t="shared" si="590"/>
        <v xml:space="preserve">MEMPHIS                   </v>
      </c>
      <c r="F22813" t="str">
        <f t="shared" si="587"/>
        <v>TN</v>
      </c>
    </row>
    <row r="22814" spans="1:6" x14ac:dyDescent="0.25">
      <c r="A22814" t="str">
        <f>"200001321"</f>
        <v>200001321</v>
      </c>
      <c r="B22814" t="str">
        <f>"1538832712"</f>
        <v>1538832712</v>
      </c>
      <c r="C22814" t="str">
        <f>"363L00000X"</f>
        <v>363L00000X</v>
      </c>
      <c r="D22814" t="str">
        <f>"TIPLER                   SHARON       L           "</f>
        <v xml:space="preserve">TIPLER                   SHARON       L           </v>
      </c>
      <c r="E22814" t="str">
        <f t="shared" si="590"/>
        <v xml:space="preserve">MEMPHIS                   </v>
      </c>
      <c r="F22814" t="str">
        <f t="shared" si="587"/>
        <v>TN</v>
      </c>
    </row>
    <row r="22815" spans="1:6" x14ac:dyDescent="0.25">
      <c r="A22815" t="str">
        <f>"200001332"</f>
        <v>200001332</v>
      </c>
      <c r="B22815" t="str">
        <f>"1891131850"</f>
        <v>1891131850</v>
      </c>
      <c r="C22815" t="str">
        <f>"208G00000X"</f>
        <v>208G00000X</v>
      </c>
      <c r="D22815" t="str">
        <f>"ROSATI                   CARLO        M           "</f>
        <v xml:space="preserve">ROSATI                   CARLO        M           </v>
      </c>
      <c r="E22815" t="str">
        <f t="shared" si="590"/>
        <v xml:space="preserve">MEMPHIS                   </v>
      </c>
      <c r="F22815" t="str">
        <f t="shared" si="587"/>
        <v>TN</v>
      </c>
    </row>
    <row r="22816" spans="1:6" x14ac:dyDescent="0.25">
      <c r="A22816" t="str">
        <f>"200001340"</f>
        <v>200001340</v>
      </c>
      <c r="B22816" t="str">
        <f>"1750909404"</f>
        <v>1750909404</v>
      </c>
      <c r="C22816" t="str">
        <f>"207Y00000X"</f>
        <v>207Y00000X</v>
      </c>
      <c r="D22816" t="str">
        <f>"RICHARD                  CELINE       C           "</f>
        <v xml:space="preserve">RICHARD                  CELINE       C           </v>
      </c>
      <c r="E22816" t="str">
        <f t="shared" si="590"/>
        <v xml:space="preserve">MEMPHIS                   </v>
      </c>
      <c r="F22816" t="str">
        <f t="shared" si="587"/>
        <v>TN</v>
      </c>
    </row>
    <row r="22817" spans="1:6" x14ac:dyDescent="0.25">
      <c r="A22817" t="str">
        <f>"200001357"</f>
        <v>200001357</v>
      </c>
      <c r="B22817" t="str">
        <f>"1760824627"</f>
        <v>1760824627</v>
      </c>
      <c r="C22817" t="str">
        <f>"207R00000X"</f>
        <v>207R00000X</v>
      </c>
      <c r="D22817" t="str">
        <f>"TESHOME                  MERON        K           "</f>
        <v xml:space="preserve">TESHOME                  MERON        K           </v>
      </c>
      <c r="E22817" t="str">
        <f t="shared" si="590"/>
        <v xml:space="preserve">MEMPHIS                   </v>
      </c>
      <c r="F22817" t="str">
        <f t="shared" si="587"/>
        <v>TN</v>
      </c>
    </row>
    <row r="22818" spans="1:6" x14ac:dyDescent="0.25">
      <c r="A22818" t="str">
        <f>"200001375"</f>
        <v>200001375</v>
      </c>
      <c r="B22818" t="str">
        <f>"1275148561"</f>
        <v>1275148561</v>
      </c>
      <c r="C22818" t="str">
        <f>"363L00000X"</f>
        <v>363L00000X</v>
      </c>
      <c r="D22818" t="str">
        <f>"MOYER                    SUZANNE                  "</f>
        <v xml:space="preserve">MOYER                    SUZANNE                  </v>
      </c>
      <c r="E22818" t="str">
        <f t="shared" si="590"/>
        <v xml:space="preserve">MEMPHIS                   </v>
      </c>
      <c r="F22818" t="str">
        <f t="shared" si="587"/>
        <v>TN</v>
      </c>
    </row>
    <row r="22819" spans="1:6" x14ac:dyDescent="0.25">
      <c r="A22819" t="str">
        <f>"200001382"</f>
        <v>200001382</v>
      </c>
      <c r="B22819" t="str">
        <f>"1104192608"</f>
        <v>1104192608</v>
      </c>
      <c r="C22819" t="str">
        <f>"208000000X"</f>
        <v>208000000X</v>
      </c>
      <c r="D22819" t="str">
        <f>"CHOKSHI                  SWATI                    "</f>
        <v xml:space="preserve">CHOKSHI                  SWATI                    </v>
      </c>
      <c r="E22819" t="str">
        <f t="shared" si="590"/>
        <v xml:space="preserve">MEMPHIS                   </v>
      </c>
      <c r="F22819" t="str">
        <f t="shared" si="587"/>
        <v>TN</v>
      </c>
    </row>
    <row r="22820" spans="1:6" x14ac:dyDescent="0.25">
      <c r="A22820" t="str">
        <f>"200001396"</f>
        <v>200001396</v>
      </c>
      <c r="B22820" t="str">
        <f>"1316357189"</f>
        <v>1316357189</v>
      </c>
      <c r="C22820" t="str">
        <f>"2086S0127X"</f>
        <v>2086S0127X</v>
      </c>
      <c r="D22820" t="str">
        <f>"ALI                      YASMIN                   "</f>
        <v xml:space="preserve">ALI                      YASMIN                   </v>
      </c>
      <c r="E22820" t="str">
        <f>"MEMHIS                    "</f>
        <v xml:space="preserve">MEMHIS                    </v>
      </c>
      <c r="F22820" t="str">
        <f t="shared" si="587"/>
        <v>TN</v>
      </c>
    </row>
    <row r="22821" spans="1:6" x14ac:dyDescent="0.25">
      <c r="A22821" t="str">
        <f>"200001418"</f>
        <v>200001418</v>
      </c>
      <c r="B22821" t="str">
        <f>"1942687801"</f>
        <v>1942687801</v>
      </c>
      <c r="C22821" t="str">
        <f>"2080N0001X"</f>
        <v>2080N0001X</v>
      </c>
      <c r="D22821" t="str">
        <f>"DERRER                   MEGAN                    "</f>
        <v xml:space="preserve">DERRER                   MEGAN                    </v>
      </c>
      <c r="E22821" t="str">
        <f>"MEMPHIS                   "</f>
        <v xml:space="preserve">MEMPHIS                   </v>
      </c>
      <c r="F22821" t="str">
        <f t="shared" si="587"/>
        <v>TN</v>
      </c>
    </row>
    <row r="22822" spans="1:6" x14ac:dyDescent="0.25">
      <c r="A22822" t="str">
        <f>"200001432"</f>
        <v>200001432</v>
      </c>
      <c r="B22822" t="str">
        <f>"1487074969"</f>
        <v>1487074969</v>
      </c>
      <c r="C22822" t="str">
        <f>"207V00000X"</f>
        <v>207V00000X</v>
      </c>
      <c r="D22822" t="str">
        <f>"OWENS                    KRISTIN                  "</f>
        <v xml:space="preserve">OWENS                    KRISTIN                  </v>
      </c>
      <c r="E22822" t="str">
        <f>"BARTLETT                  "</f>
        <v xml:space="preserve">BARTLETT                  </v>
      </c>
      <c r="F22822" t="str">
        <f t="shared" si="587"/>
        <v>TN</v>
      </c>
    </row>
    <row r="22823" spans="1:6" x14ac:dyDescent="0.25">
      <c r="A22823" t="str">
        <f>"200001439"</f>
        <v>200001439</v>
      </c>
      <c r="B22823" t="str">
        <f>"1619320868"</f>
        <v>1619320868</v>
      </c>
      <c r="C22823" t="str">
        <f>"207RP1001X"</f>
        <v>207RP1001X</v>
      </c>
      <c r="D22823" t="str">
        <f>"SHAHID                   MUHAMMAD     H           "</f>
        <v xml:space="preserve">SHAHID                   MUHAMMAD     H           </v>
      </c>
      <c r="E22823" t="str">
        <f>"GERMANTOWN                "</f>
        <v xml:space="preserve">GERMANTOWN                </v>
      </c>
      <c r="F22823" t="str">
        <f t="shared" si="587"/>
        <v>TN</v>
      </c>
    </row>
    <row r="22824" spans="1:6" x14ac:dyDescent="0.25">
      <c r="A22824" t="str">
        <f>"200001447"</f>
        <v>200001447</v>
      </c>
      <c r="B22824" t="str">
        <f>"1467896886"</f>
        <v>1467896886</v>
      </c>
      <c r="C22824" t="str">
        <f>"363L00000X"</f>
        <v>363L00000X</v>
      </c>
      <c r="D22824" t="str">
        <f>"RESCHKE                  STACY        C           "</f>
        <v xml:space="preserve">RESCHKE                  STACY        C           </v>
      </c>
      <c r="E22824" t="str">
        <f>"GERMANTOWN                "</f>
        <v xml:space="preserve">GERMANTOWN                </v>
      </c>
      <c r="F22824" t="str">
        <f t="shared" si="587"/>
        <v>TN</v>
      </c>
    </row>
    <row r="22825" spans="1:6" x14ac:dyDescent="0.25">
      <c r="A22825" t="str">
        <f>"200001460"</f>
        <v>200001460</v>
      </c>
      <c r="B22825" t="str">
        <f>"1104201086"</f>
        <v>1104201086</v>
      </c>
      <c r="C22825" t="str">
        <f>"208000000X"</f>
        <v>208000000X</v>
      </c>
      <c r="D22825" t="str">
        <f>"SALEK                    MARTHA                   "</f>
        <v xml:space="preserve">SALEK                    MARTHA                   </v>
      </c>
      <c r="E22825" t="str">
        <f>"MEMPHIS                   "</f>
        <v xml:space="preserve">MEMPHIS                   </v>
      </c>
      <c r="F22825" t="str">
        <f t="shared" si="587"/>
        <v>TN</v>
      </c>
    </row>
    <row r="22826" spans="1:6" x14ac:dyDescent="0.25">
      <c r="A22826" t="str">
        <f>"200001467"</f>
        <v>200001467</v>
      </c>
      <c r="B22826" t="str">
        <f>"1437534682"</f>
        <v>1437534682</v>
      </c>
      <c r="C22826" t="str">
        <f>"2086S0122X"</f>
        <v>2086S0122X</v>
      </c>
      <c r="D22826" t="str">
        <f>"HASSOUBA                 MAHMOUD                  "</f>
        <v xml:space="preserve">HASSOUBA                 MAHMOUD                  </v>
      </c>
      <c r="E22826" t="str">
        <f>"MEMPHIS                   "</f>
        <v xml:space="preserve">MEMPHIS                   </v>
      </c>
      <c r="F22826" t="str">
        <f t="shared" si="587"/>
        <v>TN</v>
      </c>
    </row>
    <row r="22827" spans="1:6" x14ac:dyDescent="0.25">
      <c r="A22827" t="str">
        <f>"200001471"</f>
        <v>200001471</v>
      </c>
      <c r="B22827" t="str">
        <f>"1558871814"</f>
        <v>1558871814</v>
      </c>
      <c r="C22827" t="str">
        <f>"363L00000X"</f>
        <v>363L00000X</v>
      </c>
      <c r="D22827" t="str">
        <f>"GRIFFY                   BALLINA                  "</f>
        <v xml:space="preserve">GRIFFY                   BALLINA                  </v>
      </c>
      <c r="E22827" t="str">
        <f>"MEMPHIS                   "</f>
        <v xml:space="preserve">MEMPHIS                   </v>
      </c>
      <c r="F22827" t="str">
        <f t="shared" si="587"/>
        <v>TN</v>
      </c>
    </row>
    <row r="22828" spans="1:6" x14ac:dyDescent="0.25">
      <c r="A22828" t="str">
        <f>"200001551"</f>
        <v>200001551</v>
      </c>
      <c r="B22828" t="str">
        <f>"1003553520"</f>
        <v>1003553520</v>
      </c>
      <c r="C22828" t="str">
        <f>"363L00000X"</f>
        <v>363L00000X</v>
      </c>
      <c r="D22828" t="str">
        <f>"KEENAN                   RICHARD      A           "</f>
        <v xml:space="preserve">KEENAN                   RICHARD      A           </v>
      </c>
      <c r="E22828" t="str">
        <f>"COLLIERVILLE              "</f>
        <v xml:space="preserve">COLLIERVILLE              </v>
      </c>
      <c r="F22828" t="str">
        <f t="shared" si="587"/>
        <v>TN</v>
      </c>
    </row>
    <row r="22829" spans="1:6" x14ac:dyDescent="0.25">
      <c r="A22829" t="str">
        <f>"200001578"</f>
        <v>200001578</v>
      </c>
      <c r="B22829" t="str">
        <f>"1285876607"</f>
        <v>1285876607</v>
      </c>
      <c r="C22829" t="str">
        <f>"207RC0000X"</f>
        <v>207RC0000X</v>
      </c>
      <c r="D22829" t="str">
        <f>"MUKHOPADHYAY             EKANKA                   "</f>
        <v xml:space="preserve">MUKHOPADHYAY             EKANKA                   </v>
      </c>
      <c r="E22829" t="str">
        <f>"MEMPHIS                   "</f>
        <v xml:space="preserve">MEMPHIS                   </v>
      </c>
      <c r="F22829" t="str">
        <f t="shared" si="587"/>
        <v>TN</v>
      </c>
    </row>
    <row r="22830" spans="1:6" x14ac:dyDescent="0.25">
      <c r="A22830" t="str">
        <f>"200001579"</f>
        <v>200001579</v>
      </c>
      <c r="B22830" t="str">
        <f>"1477949089"</f>
        <v>1477949089</v>
      </c>
      <c r="C22830" t="str">
        <f>"2084N0402X"</f>
        <v>2084N0402X</v>
      </c>
      <c r="D22830" t="str">
        <f>"HANZLIK                  EMILY                    "</f>
        <v xml:space="preserve">HANZLIK                  EMILY                    </v>
      </c>
      <c r="E22830" t="str">
        <f>"MEMPHIS                   "</f>
        <v xml:space="preserve">MEMPHIS                   </v>
      </c>
      <c r="F22830" t="str">
        <f t="shared" si="587"/>
        <v>TN</v>
      </c>
    </row>
    <row r="22831" spans="1:6" x14ac:dyDescent="0.25">
      <c r="A22831" t="str">
        <f>"200001595"</f>
        <v>200001595</v>
      </c>
      <c r="B22831" t="str">
        <f>"1992199962"</f>
        <v>1992199962</v>
      </c>
      <c r="C22831" t="str">
        <f>"2080P0202X"</f>
        <v>2080P0202X</v>
      </c>
      <c r="D22831" t="str">
        <f>"CHIRIBOGA-SALAZAR        NICOLAS                  "</f>
        <v xml:space="preserve">CHIRIBOGA-SALAZAR        NICOLAS                  </v>
      </c>
      <c r="E22831" t="str">
        <f>"MEMPHIS                   "</f>
        <v xml:space="preserve">MEMPHIS                   </v>
      </c>
      <c r="F22831" t="str">
        <f t="shared" si="587"/>
        <v>TN</v>
      </c>
    </row>
    <row r="22832" spans="1:6" x14ac:dyDescent="0.25">
      <c r="A22832" t="str">
        <f>"200001598"</f>
        <v>200001598</v>
      </c>
      <c r="B22832" t="str">
        <f>"1811612393"</f>
        <v>1811612393</v>
      </c>
      <c r="C22832" t="str">
        <f>"2085R0204X"</f>
        <v>2085R0204X</v>
      </c>
      <c r="D22832" t="str">
        <f>"TEMPLE                   MICHAEL                  "</f>
        <v xml:space="preserve">TEMPLE                   MICHAEL                  </v>
      </c>
      <c r="E22832" t="str">
        <f>"MEMPHIS                   "</f>
        <v xml:space="preserve">MEMPHIS                   </v>
      </c>
      <c r="F22832" t="str">
        <f t="shared" si="587"/>
        <v>TN</v>
      </c>
    </row>
    <row r="22833" spans="1:6" x14ac:dyDescent="0.25">
      <c r="A22833" t="str">
        <f>"200001610"</f>
        <v>200001610</v>
      </c>
      <c r="B22833" t="str">
        <f>"1851036859"</f>
        <v>1851036859</v>
      </c>
      <c r="C22833" t="str">
        <f>"363L00000X"</f>
        <v>363L00000X</v>
      </c>
      <c r="D22833" t="str">
        <f>"SHAWA                    ELIZABETH    R           "</f>
        <v xml:space="preserve">SHAWA                    ELIZABETH    R           </v>
      </c>
      <c r="E22833" t="str">
        <f>"GERMANTOWN                "</f>
        <v xml:space="preserve">GERMANTOWN                </v>
      </c>
      <c r="F22833" t="str">
        <f t="shared" si="587"/>
        <v>TN</v>
      </c>
    </row>
    <row r="22834" spans="1:6" x14ac:dyDescent="0.25">
      <c r="A22834" t="str">
        <f>"200001654"</f>
        <v>200001654</v>
      </c>
      <c r="B22834" t="str">
        <f>"1760434062"</f>
        <v>1760434062</v>
      </c>
      <c r="C22834" t="str">
        <f>"2086S0127X"</f>
        <v>2086S0127X</v>
      </c>
      <c r="D22834" t="str">
        <f>"WEBB                     TRAVIS       P           "</f>
        <v xml:space="preserve">WEBB                     TRAVIS       P           </v>
      </c>
      <c r="E22834" t="str">
        <f>"MEMPHIS                   "</f>
        <v xml:space="preserve">MEMPHIS                   </v>
      </c>
      <c r="F22834" t="str">
        <f t="shared" si="587"/>
        <v>TN</v>
      </c>
    </row>
    <row r="22835" spans="1:6" x14ac:dyDescent="0.25">
      <c r="A22835" t="str">
        <f>"200001734"</f>
        <v>200001734</v>
      </c>
      <c r="B22835" t="str">
        <f>"1477936128"</f>
        <v>1477936128</v>
      </c>
      <c r="C22835" t="str">
        <f>"2085R0202X"</f>
        <v>2085R0202X</v>
      </c>
      <c r="D22835" t="str">
        <f>"NAVEED                   MUJTABA      Z           "</f>
        <v xml:space="preserve">NAVEED                   MUJTABA      Z           </v>
      </c>
      <c r="E22835" t="str">
        <f>"MEMPHIS                   "</f>
        <v xml:space="preserve">MEMPHIS                   </v>
      </c>
      <c r="F22835" t="str">
        <f t="shared" si="587"/>
        <v>TN</v>
      </c>
    </row>
    <row r="22836" spans="1:6" x14ac:dyDescent="0.25">
      <c r="A22836" t="str">
        <f>"200001777"</f>
        <v>200001777</v>
      </c>
      <c r="B22836" t="str">
        <f>"1861003345"</f>
        <v>1861003345</v>
      </c>
      <c r="C22836" t="str">
        <f>"363L00000X"</f>
        <v>363L00000X</v>
      </c>
      <c r="D22836" t="str">
        <f>"BANDY                    CHERISH                  "</f>
        <v xml:space="preserve">BANDY                    CHERISH                  </v>
      </c>
      <c r="E22836" t="str">
        <f>"MEMPHIS                   "</f>
        <v xml:space="preserve">MEMPHIS                   </v>
      </c>
      <c r="F22836" t="str">
        <f t="shared" si="587"/>
        <v>TN</v>
      </c>
    </row>
    <row r="22837" spans="1:6" x14ac:dyDescent="0.25">
      <c r="A22837" t="str">
        <f>"200001791"</f>
        <v>200001791</v>
      </c>
      <c r="B22837" t="str">
        <f>"1093219651"</f>
        <v>1093219651</v>
      </c>
      <c r="C22837" t="str">
        <f>"207L00000X"</f>
        <v>207L00000X</v>
      </c>
      <c r="D22837" t="str">
        <f>"ALDEN                    DANIELS                  "</f>
        <v xml:space="preserve">ALDEN                    DANIELS                  </v>
      </c>
      <c r="E22837" t="str">
        <f>"MEMPHIS                   "</f>
        <v xml:space="preserve">MEMPHIS                   </v>
      </c>
      <c r="F22837" t="str">
        <f t="shared" si="587"/>
        <v>TN</v>
      </c>
    </row>
    <row r="22838" spans="1:6" x14ac:dyDescent="0.25">
      <c r="A22838" t="str">
        <f>"200001826"</f>
        <v>200001826</v>
      </c>
      <c r="B22838" t="str">
        <f>"1093906406"</f>
        <v>1093906406</v>
      </c>
      <c r="C22838" t="str">
        <f>"207P00000X"</f>
        <v>207P00000X</v>
      </c>
      <c r="D22838" t="str">
        <f>"CARNEY CALISCH           REBECCA      K           "</f>
        <v xml:space="preserve">CARNEY CALISCH           REBECCA      K           </v>
      </c>
      <c r="E22838" t="str">
        <f>"BARTLETT                  "</f>
        <v xml:space="preserve">BARTLETT                  </v>
      </c>
      <c r="F22838" t="str">
        <f t="shared" si="587"/>
        <v>TN</v>
      </c>
    </row>
    <row r="22839" spans="1:6" x14ac:dyDescent="0.25">
      <c r="A22839" t="str">
        <f>"200001847"</f>
        <v>200001847</v>
      </c>
      <c r="B22839" t="str">
        <f>"1518319458"</f>
        <v>1518319458</v>
      </c>
      <c r="C22839" t="str">
        <f>"2085R0202X"</f>
        <v>2085R0202X</v>
      </c>
      <c r="D22839" t="str">
        <f>"MUHAMMAD                 AZAAL        U           "</f>
        <v xml:space="preserve">MUHAMMAD                 AZAAL        U           </v>
      </c>
      <c r="E22839" t="str">
        <f>"MEMPHIS                   "</f>
        <v xml:space="preserve">MEMPHIS                   </v>
      </c>
      <c r="F22839" t="str">
        <f t="shared" si="587"/>
        <v>TN</v>
      </c>
    </row>
    <row r="22840" spans="1:6" x14ac:dyDescent="0.25">
      <c r="A22840" t="str">
        <f>"200001862"</f>
        <v>200001862</v>
      </c>
      <c r="B22840" t="str">
        <f>"1518572528"</f>
        <v>1518572528</v>
      </c>
      <c r="C22840" t="str">
        <f>"363L00000X"</f>
        <v>363L00000X</v>
      </c>
      <c r="D22840" t="str">
        <f>"SANDERSON                SHAUNA       A           "</f>
        <v xml:space="preserve">SANDERSON                SHAUNA       A           </v>
      </c>
      <c r="E22840" t="str">
        <f>"GERMANTOWN                "</f>
        <v xml:space="preserve">GERMANTOWN                </v>
      </c>
      <c r="F22840" t="str">
        <f t="shared" si="587"/>
        <v>TN</v>
      </c>
    </row>
    <row r="22841" spans="1:6" x14ac:dyDescent="0.25">
      <c r="A22841" t="str">
        <f>"200001869"</f>
        <v>200001869</v>
      </c>
      <c r="B22841" t="str">
        <f>"1922214923"</f>
        <v>1922214923</v>
      </c>
      <c r="C22841" t="str">
        <f>"207X00000X"</f>
        <v>207X00000X</v>
      </c>
      <c r="D22841" t="str">
        <f>"GREAR                    BENJAMIN                 "</f>
        <v xml:space="preserve">GREAR                    BENJAMIN                 </v>
      </c>
      <c r="E22841" t="str">
        <f>"COLLIERVILLE              "</f>
        <v xml:space="preserve">COLLIERVILLE              </v>
      </c>
      <c r="F22841" t="str">
        <f t="shared" si="587"/>
        <v>TN</v>
      </c>
    </row>
    <row r="22842" spans="1:6" x14ac:dyDescent="0.25">
      <c r="A22842" t="str">
        <f>"200001880"</f>
        <v>200001880</v>
      </c>
      <c r="B22842" t="str">
        <f>"1831364330"</f>
        <v>1831364330</v>
      </c>
      <c r="C22842" t="str">
        <f>"2085R0202X"</f>
        <v>2085R0202X</v>
      </c>
      <c r="D22842" t="str">
        <f>"STANFILL                 JOHN         G           "</f>
        <v xml:space="preserve">STANFILL                 JOHN         G           </v>
      </c>
      <c r="E22842" t="str">
        <f>"MEMPHIS                   "</f>
        <v xml:space="preserve">MEMPHIS                   </v>
      </c>
      <c r="F22842" t="str">
        <f t="shared" si="587"/>
        <v>TN</v>
      </c>
    </row>
    <row r="22843" spans="1:6" x14ac:dyDescent="0.25">
      <c r="A22843" t="str">
        <f>"200001882"</f>
        <v>200001882</v>
      </c>
      <c r="B22843" t="str">
        <f>"1295834620"</f>
        <v>1295834620</v>
      </c>
      <c r="C22843" t="str">
        <f>"2086S0129X"</f>
        <v>2086S0129X</v>
      </c>
      <c r="D22843" t="str">
        <f>"NASLUND                  THOMAS                   "</f>
        <v xml:space="preserve">NASLUND                  THOMAS                   </v>
      </c>
      <c r="E22843" t="str">
        <f>"NASHVILLE                 "</f>
        <v xml:space="preserve">NASHVILLE                 </v>
      </c>
      <c r="F22843" t="str">
        <f t="shared" si="587"/>
        <v>TN</v>
      </c>
    </row>
    <row r="22844" spans="1:6" x14ac:dyDescent="0.25">
      <c r="A22844" t="str">
        <f>"200001955"</f>
        <v>200001955</v>
      </c>
      <c r="B22844" t="str">
        <f>"1982605820"</f>
        <v>1982605820</v>
      </c>
      <c r="C22844" t="str">
        <f>"207ZP0102X"</f>
        <v>207ZP0102X</v>
      </c>
      <c r="D22844" t="str">
        <f>"MAKAPUGAY                LYDIA        M           "</f>
        <v xml:space="preserve">MAKAPUGAY                LYDIA        M           </v>
      </c>
      <c r="E22844" t="str">
        <f>"CORDOVA                   "</f>
        <v xml:space="preserve">CORDOVA                   </v>
      </c>
      <c r="F22844" t="str">
        <f t="shared" si="587"/>
        <v>TN</v>
      </c>
    </row>
    <row r="22845" spans="1:6" x14ac:dyDescent="0.25">
      <c r="A22845" t="str">
        <f>"200001975"</f>
        <v>200001975</v>
      </c>
      <c r="B22845" t="str">
        <f>"1477819811"</f>
        <v>1477819811</v>
      </c>
      <c r="C22845" t="str">
        <f>"2086S0127X"</f>
        <v>2086S0127X</v>
      </c>
      <c r="D22845" t="str">
        <f>"SOULE                    SARA         C           "</f>
        <v xml:space="preserve">SOULE                    SARA         C           </v>
      </c>
      <c r="E22845" t="str">
        <f t="shared" ref="E22845:E22851" si="591">"MEMPHIS                   "</f>
        <v xml:space="preserve">MEMPHIS                   </v>
      </c>
      <c r="F22845" t="str">
        <f t="shared" si="587"/>
        <v>TN</v>
      </c>
    </row>
    <row r="22846" spans="1:6" x14ac:dyDescent="0.25">
      <c r="A22846" t="str">
        <f>"200001977"</f>
        <v>200001977</v>
      </c>
      <c r="B22846" t="str">
        <f>"1699921627"</f>
        <v>1699921627</v>
      </c>
      <c r="C22846" t="str">
        <f>"2085R0202X"</f>
        <v>2085R0202X</v>
      </c>
      <c r="D22846" t="str">
        <f>"MITCHELL                 JASON                    "</f>
        <v xml:space="preserve">MITCHELL                 JASON                    </v>
      </c>
      <c r="E22846" t="str">
        <f t="shared" si="591"/>
        <v xml:space="preserve">MEMPHIS                   </v>
      </c>
      <c r="F22846" t="str">
        <f t="shared" ref="F22846:F22909" si="592">"TN"</f>
        <v>TN</v>
      </c>
    </row>
    <row r="22847" spans="1:6" x14ac:dyDescent="0.25">
      <c r="A22847" t="str">
        <f>"200002001"</f>
        <v>200002001</v>
      </c>
      <c r="B22847" t="str">
        <f>"1285372813"</f>
        <v>1285372813</v>
      </c>
      <c r="C22847" t="str">
        <f>"363L00000X"</f>
        <v>363L00000X</v>
      </c>
      <c r="D22847" t="str">
        <f>"GLASPER                  JAVITA                   "</f>
        <v xml:space="preserve">GLASPER                  JAVITA                   </v>
      </c>
      <c r="E22847" t="str">
        <f t="shared" si="591"/>
        <v xml:space="preserve">MEMPHIS                   </v>
      </c>
      <c r="F22847" t="str">
        <f t="shared" si="592"/>
        <v>TN</v>
      </c>
    </row>
    <row r="22848" spans="1:6" x14ac:dyDescent="0.25">
      <c r="A22848" t="str">
        <f>"200002026"</f>
        <v>200002026</v>
      </c>
      <c r="B22848" t="str">
        <f>"1073578456"</f>
        <v>1073578456</v>
      </c>
      <c r="C22848" t="str">
        <f>"208000000X"</f>
        <v>208000000X</v>
      </c>
      <c r="D22848" t="str">
        <f>"JOHNSON                  AMY                      "</f>
        <v xml:space="preserve">JOHNSON                  AMY                      </v>
      </c>
      <c r="E22848" t="str">
        <f t="shared" si="591"/>
        <v xml:space="preserve">MEMPHIS                   </v>
      </c>
      <c r="F22848" t="str">
        <f t="shared" si="592"/>
        <v>TN</v>
      </c>
    </row>
    <row r="22849" spans="1:6" x14ac:dyDescent="0.25">
      <c r="A22849" t="str">
        <f>"200002116"</f>
        <v>200002116</v>
      </c>
      <c r="B22849" t="str">
        <f>"1780027144"</f>
        <v>1780027144</v>
      </c>
      <c r="C22849" t="str">
        <f>"207Q00000X"</f>
        <v>207Q00000X</v>
      </c>
      <c r="D22849" t="str">
        <f>"JUMA                     MONICA                   "</f>
        <v xml:space="preserve">JUMA                     MONICA                   </v>
      </c>
      <c r="E22849" t="str">
        <f t="shared" si="591"/>
        <v xml:space="preserve">MEMPHIS                   </v>
      </c>
      <c r="F22849" t="str">
        <f t="shared" si="592"/>
        <v>TN</v>
      </c>
    </row>
    <row r="22850" spans="1:6" x14ac:dyDescent="0.25">
      <c r="A22850" t="str">
        <f>"200002130"</f>
        <v>200002130</v>
      </c>
      <c r="B22850" t="str">
        <f>"1750540381"</f>
        <v>1750540381</v>
      </c>
      <c r="C22850" t="str">
        <f>"208000000X"</f>
        <v>208000000X</v>
      </c>
      <c r="D22850" t="str">
        <f>"WINER                    JEFFREY                  "</f>
        <v xml:space="preserve">WINER                    JEFFREY                  </v>
      </c>
      <c r="E22850" t="str">
        <f t="shared" si="591"/>
        <v xml:space="preserve">MEMPHIS                   </v>
      </c>
      <c r="F22850" t="str">
        <f t="shared" si="592"/>
        <v>TN</v>
      </c>
    </row>
    <row r="22851" spans="1:6" x14ac:dyDescent="0.25">
      <c r="A22851" t="str">
        <f>"200002153"</f>
        <v>200002153</v>
      </c>
      <c r="B22851" t="str">
        <f>"1497106629"</f>
        <v>1497106629</v>
      </c>
      <c r="C22851" t="str">
        <f>"207RN0300X"</f>
        <v>207RN0300X</v>
      </c>
      <c r="D22851" t="str">
        <f>"LIAQAT                   AIMEN                    "</f>
        <v xml:space="preserve">LIAQAT                   AIMEN                    </v>
      </c>
      <c r="E22851" t="str">
        <f t="shared" si="591"/>
        <v xml:space="preserve">MEMPHIS                   </v>
      </c>
      <c r="F22851" t="str">
        <f t="shared" si="592"/>
        <v>TN</v>
      </c>
    </row>
    <row r="22852" spans="1:6" x14ac:dyDescent="0.25">
      <c r="A22852" t="str">
        <f>"200002180"</f>
        <v>200002180</v>
      </c>
      <c r="B22852" t="str">
        <f>"1285834804"</f>
        <v>1285834804</v>
      </c>
      <c r="C22852" t="str">
        <f>"207X00000X"</f>
        <v>207X00000X</v>
      </c>
      <c r="D22852" t="str">
        <f>"WEINLEIN                 JOHN         C           "</f>
        <v xml:space="preserve">WEINLEIN                 JOHN         C           </v>
      </c>
      <c r="E22852" t="str">
        <f>"GERMANTOWN                "</f>
        <v xml:space="preserve">GERMANTOWN                </v>
      </c>
      <c r="F22852" t="str">
        <f t="shared" si="592"/>
        <v>TN</v>
      </c>
    </row>
    <row r="22853" spans="1:6" x14ac:dyDescent="0.25">
      <c r="A22853" t="str">
        <f>"200002185"</f>
        <v>200002185</v>
      </c>
      <c r="B22853" t="str">
        <f>"1760401426"</f>
        <v>1760401426</v>
      </c>
      <c r="C22853" t="str">
        <f>"363L00000X"</f>
        <v>363L00000X</v>
      </c>
      <c r="D22853" t="str">
        <f>"REESE                    JUANA        A           "</f>
        <v xml:space="preserve">REESE                    JUANA        A           </v>
      </c>
      <c r="E22853" t="str">
        <f>"MEMPHIS                   "</f>
        <v xml:space="preserve">MEMPHIS                   </v>
      </c>
      <c r="F22853" t="str">
        <f t="shared" si="592"/>
        <v>TN</v>
      </c>
    </row>
    <row r="22854" spans="1:6" x14ac:dyDescent="0.25">
      <c r="A22854" t="str">
        <f>"200002197"</f>
        <v>200002197</v>
      </c>
      <c r="B22854" t="str">
        <f>"1639816648"</f>
        <v>1639816648</v>
      </c>
      <c r="C22854" t="str">
        <f>"363L00000X"</f>
        <v>363L00000X</v>
      </c>
      <c r="D22854" t="str">
        <f>"REEVES                   NICHOLAS                 "</f>
        <v xml:space="preserve">REEVES                   NICHOLAS                 </v>
      </c>
      <c r="E22854" t="str">
        <f>"MEMPHIS                   "</f>
        <v xml:space="preserve">MEMPHIS                   </v>
      </c>
      <c r="F22854" t="str">
        <f t="shared" si="592"/>
        <v>TN</v>
      </c>
    </row>
    <row r="22855" spans="1:6" x14ac:dyDescent="0.25">
      <c r="A22855" t="str">
        <f>"200002219"</f>
        <v>200002219</v>
      </c>
      <c r="B22855" t="str">
        <f>"1154736817"</f>
        <v>1154736817</v>
      </c>
      <c r="C22855" t="str">
        <f>"207X00000X"</f>
        <v>207X00000X</v>
      </c>
      <c r="D22855" t="str">
        <f>"LAMPLOT                  JOSEPH                   "</f>
        <v xml:space="preserve">LAMPLOT                  JOSEPH                   </v>
      </c>
      <c r="E22855" t="str">
        <f>"COLLIERVILLE              "</f>
        <v xml:space="preserve">COLLIERVILLE              </v>
      </c>
      <c r="F22855" t="str">
        <f t="shared" si="592"/>
        <v>TN</v>
      </c>
    </row>
    <row r="22856" spans="1:6" x14ac:dyDescent="0.25">
      <c r="A22856" t="str">
        <f>"200002257"</f>
        <v>200002257</v>
      </c>
      <c r="B22856" t="str">
        <f>"1336844943"</f>
        <v>1336844943</v>
      </c>
      <c r="C22856" t="str">
        <f>"207R00000X"</f>
        <v>207R00000X</v>
      </c>
      <c r="D22856" t="str">
        <f>"TATUM                    ROBERT                   "</f>
        <v xml:space="preserve">TATUM                    ROBERT                   </v>
      </c>
      <c r="E22856" t="str">
        <f>"MEMPHIS                   "</f>
        <v xml:space="preserve">MEMPHIS                   </v>
      </c>
      <c r="F22856" t="str">
        <f t="shared" si="592"/>
        <v>TN</v>
      </c>
    </row>
    <row r="22857" spans="1:6" x14ac:dyDescent="0.25">
      <c r="A22857" t="str">
        <f>"200002310"</f>
        <v>200002310</v>
      </c>
      <c r="B22857" t="str">
        <f>"1932299427"</f>
        <v>1932299427</v>
      </c>
      <c r="C22857" t="str">
        <f>"207V00000X"</f>
        <v>207V00000X</v>
      </c>
      <c r="D22857" t="str">
        <f>"WENDEL                   PAUL         J           "</f>
        <v xml:space="preserve">WENDEL                   PAUL         J           </v>
      </c>
      <c r="E22857" t="str">
        <f>"MEMPHIS                   "</f>
        <v xml:space="preserve">MEMPHIS                   </v>
      </c>
      <c r="F22857" t="str">
        <f t="shared" si="592"/>
        <v>TN</v>
      </c>
    </row>
    <row r="22858" spans="1:6" x14ac:dyDescent="0.25">
      <c r="A22858" t="str">
        <f>"200002345"</f>
        <v>200002345</v>
      </c>
      <c r="B22858" t="str">
        <f>"1427792340"</f>
        <v>1427792340</v>
      </c>
      <c r="C22858" t="str">
        <f>"363L00000X"</f>
        <v>363L00000X</v>
      </c>
      <c r="D22858" t="str">
        <f>"WHEELER                  BRENNAN                  "</f>
        <v xml:space="preserve">WHEELER                  BRENNAN                  </v>
      </c>
      <c r="E22858" t="str">
        <f>"GERMANTOWN                "</f>
        <v xml:space="preserve">GERMANTOWN                </v>
      </c>
      <c r="F22858" t="str">
        <f t="shared" si="592"/>
        <v>TN</v>
      </c>
    </row>
    <row r="22859" spans="1:6" x14ac:dyDescent="0.25">
      <c r="A22859" t="str">
        <f>"200002408"</f>
        <v>200002408</v>
      </c>
      <c r="B22859" t="str">
        <f>"1679997522"</f>
        <v>1679997522</v>
      </c>
      <c r="C22859" t="str">
        <f>"363L00000X"</f>
        <v>363L00000X</v>
      </c>
      <c r="D22859" t="str">
        <f>"GRAY                     EMILY                    "</f>
        <v xml:space="preserve">GRAY                     EMILY                    </v>
      </c>
      <c r="E22859" t="str">
        <f t="shared" ref="E22859:E22870" si="593">"MEMPHIS                   "</f>
        <v xml:space="preserve">MEMPHIS                   </v>
      </c>
      <c r="F22859" t="str">
        <f t="shared" si="592"/>
        <v>TN</v>
      </c>
    </row>
    <row r="22860" spans="1:6" x14ac:dyDescent="0.25">
      <c r="A22860" t="str">
        <f>"200002483"</f>
        <v>200002483</v>
      </c>
      <c r="B22860" t="str">
        <f>"1043743594"</f>
        <v>1043743594</v>
      </c>
      <c r="C22860" t="str">
        <f>"207Q00000X"</f>
        <v>207Q00000X</v>
      </c>
      <c r="D22860" t="str">
        <f>"OWEN                     WESLEY                   "</f>
        <v xml:space="preserve">OWEN                     WESLEY                   </v>
      </c>
      <c r="E22860" t="str">
        <f t="shared" si="593"/>
        <v xml:space="preserve">MEMPHIS                   </v>
      </c>
      <c r="F22860" t="str">
        <f t="shared" si="592"/>
        <v>TN</v>
      </c>
    </row>
    <row r="22861" spans="1:6" x14ac:dyDescent="0.25">
      <c r="A22861" t="str">
        <f>"200002495"</f>
        <v>200002495</v>
      </c>
      <c r="B22861" t="str">
        <f>"1184947038"</f>
        <v>1184947038</v>
      </c>
      <c r="C22861" t="str">
        <f>"363L00000X"</f>
        <v>363L00000X</v>
      </c>
      <c r="D22861" t="str">
        <f>"STEWART                  DAWN         M           "</f>
        <v xml:space="preserve">STEWART                  DAWN         M           </v>
      </c>
      <c r="E22861" t="str">
        <f t="shared" si="593"/>
        <v xml:space="preserve">MEMPHIS                   </v>
      </c>
      <c r="F22861" t="str">
        <f t="shared" si="592"/>
        <v>TN</v>
      </c>
    </row>
    <row r="22862" spans="1:6" x14ac:dyDescent="0.25">
      <c r="A22862" t="str">
        <f>"200002504"</f>
        <v>200002504</v>
      </c>
      <c r="B22862" t="str">
        <f>"1275533580"</f>
        <v>1275533580</v>
      </c>
      <c r="C22862" t="str">
        <f>"208000000X"</f>
        <v>208000000X</v>
      </c>
      <c r="D22862" t="str">
        <f>"DELOS SANTOS             NOEL                     "</f>
        <v xml:space="preserve">DELOS SANTOS             NOEL                     </v>
      </c>
      <c r="E22862" t="str">
        <f t="shared" si="593"/>
        <v xml:space="preserve">MEMPHIS                   </v>
      </c>
      <c r="F22862" t="str">
        <f t="shared" si="592"/>
        <v>TN</v>
      </c>
    </row>
    <row r="22863" spans="1:6" x14ac:dyDescent="0.25">
      <c r="A22863" t="str">
        <f>"200002515"</f>
        <v>200002515</v>
      </c>
      <c r="B22863" t="str">
        <f>"1528792595"</f>
        <v>1528792595</v>
      </c>
      <c r="C22863" t="str">
        <f>"363L00000X"</f>
        <v>363L00000X</v>
      </c>
      <c r="D22863" t="str">
        <f>"CALDWELL-JONES           FATINA                   "</f>
        <v xml:space="preserve">CALDWELL-JONES           FATINA                   </v>
      </c>
      <c r="E22863" t="str">
        <f t="shared" si="593"/>
        <v xml:space="preserve">MEMPHIS                   </v>
      </c>
      <c r="F22863" t="str">
        <f t="shared" si="592"/>
        <v>TN</v>
      </c>
    </row>
    <row r="22864" spans="1:6" x14ac:dyDescent="0.25">
      <c r="A22864" t="str">
        <f>"200002536"</f>
        <v>200002536</v>
      </c>
      <c r="B22864" t="str">
        <f>"1902559008"</f>
        <v>1902559008</v>
      </c>
      <c r="C22864" t="str">
        <f>"367500000X"</f>
        <v>367500000X</v>
      </c>
      <c r="D22864" t="str">
        <f>"JAMES                    COLTON                   "</f>
        <v xml:space="preserve">JAMES                    COLTON                   </v>
      </c>
      <c r="E22864" t="str">
        <f t="shared" si="593"/>
        <v xml:space="preserve">MEMPHIS                   </v>
      </c>
      <c r="F22864" t="str">
        <f t="shared" si="592"/>
        <v>TN</v>
      </c>
    </row>
    <row r="22865" spans="1:6" x14ac:dyDescent="0.25">
      <c r="A22865" t="str">
        <f>"200002553"</f>
        <v>200002553</v>
      </c>
      <c r="B22865" t="str">
        <f>"1801390257"</f>
        <v>1801390257</v>
      </c>
      <c r="C22865" t="str">
        <f>"2084P0800X"</f>
        <v>2084P0800X</v>
      </c>
      <c r="D22865" t="str">
        <f>"PLOWMAN                  DUSTIN                   "</f>
        <v xml:space="preserve">PLOWMAN                  DUSTIN                   </v>
      </c>
      <c r="E22865" t="str">
        <f t="shared" si="593"/>
        <v xml:space="preserve">MEMPHIS                   </v>
      </c>
      <c r="F22865" t="str">
        <f t="shared" si="592"/>
        <v>TN</v>
      </c>
    </row>
    <row r="22866" spans="1:6" x14ac:dyDescent="0.25">
      <c r="A22866" t="str">
        <f>"200002614"</f>
        <v>200002614</v>
      </c>
      <c r="B22866" t="str">
        <f>"1619530797"</f>
        <v>1619530797</v>
      </c>
      <c r="C22866" t="str">
        <f>"207R00000X"</f>
        <v>207R00000X</v>
      </c>
      <c r="D22866" t="str">
        <f>"DILORETO                 NICHOLAS     A           "</f>
        <v xml:space="preserve">DILORETO                 NICHOLAS     A           </v>
      </c>
      <c r="E22866" t="str">
        <f t="shared" si="593"/>
        <v xml:space="preserve">MEMPHIS                   </v>
      </c>
      <c r="F22866" t="str">
        <f t="shared" si="592"/>
        <v>TN</v>
      </c>
    </row>
    <row r="22867" spans="1:6" x14ac:dyDescent="0.25">
      <c r="A22867" t="str">
        <f>"200002622"</f>
        <v>200002622</v>
      </c>
      <c r="B22867" t="str">
        <f>"1477257434"</f>
        <v>1477257434</v>
      </c>
      <c r="C22867" t="str">
        <f>"207R00000X"</f>
        <v>207R00000X</v>
      </c>
      <c r="D22867" t="str">
        <f>"MARTIN                   BRANDON                  "</f>
        <v xml:space="preserve">MARTIN                   BRANDON                  </v>
      </c>
      <c r="E22867" t="str">
        <f t="shared" si="593"/>
        <v xml:space="preserve">MEMPHIS                   </v>
      </c>
      <c r="F22867" t="str">
        <f t="shared" si="592"/>
        <v>TN</v>
      </c>
    </row>
    <row r="22868" spans="1:6" x14ac:dyDescent="0.25">
      <c r="A22868" t="str">
        <f>"200002644"</f>
        <v>200002644</v>
      </c>
      <c r="B22868" t="str">
        <f>"1265137509"</f>
        <v>1265137509</v>
      </c>
      <c r="C22868" t="str">
        <f>"207R00000X"</f>
        <v>207R00000X</v>
      </c>
      <c r="D22868" t="str">
        <f>"MINTON                   ALYSE                    "</f>
        <v xml:space="preserve">MINTON                   ALYSE                    </v>
      </c>
      <c r="E22868" t="str">
        <f t="shared" si="593"/>
        <v xml:space="preserve">MEMPHIS                   </v>
      </c>
      <c r="F22868" t="str">
        <f t="shared" si="592"/>
        <v>TN</v>
      </c>
    </row>
    <row r="22869" spans="1:6" x14ac:dyDescent="0.25">
      <c r="A22869" t="str">
        <f>"200002660"</f>
        <v>200002660</v>
      </c>
      <c r="B22869" t="str">
        <f>"1528025368"</f>
        <v>1528025368</v>
      </c>
      <c r="C22869" t="str">
        <f>"208000000X"</f>
        <v>208000000X</v>
      </c>
      <c r="D22869" t="str">
        <f>"BEEMAN                   HELEN                    "</f>
        <v xml:space="preserve">BEEMAN                   HELEN                    </v>
      </c>
      <c r="E22869" t="str">
        <f t="shared" si="593"/>
        <v xml:space="preserve">MEMPHIS                   </v>
      </c>
      <c r="F22869" t="str">
        <f t="shared" si="592"/>
        <v>TN</v>
      </c>
    </row>
    <row r="22870" spans="1:6" x14ac:dyDescent="0.25">
      <c r="A22870" t="str">
        <f>"200002757"</f>
        <v>200002757</v>
      </c>
      <c r="B22870" t="str">
        <f>"1114081999"</f>
        <v>1114081999</v>
      </c>
      <c r="C22870" t="str">
        <f>"207SG0201X"</f>
        <v>207SG0201X</v>
      </c>
      <c r="D22870" t="str">
        <f>"MEFFORD                  HEATHER                  "</f>
        <v xml:space="preserve">MEFFORD                  HEATHER                  </v>
      </c>
      <c r="E22870" t="str">
        <f t="shared" si="593"/>
        <v xml:space="preserve">MEMPHIS                   </v>
      </c>
      <c r="F22870" t="str">
        <f t="shared" si="592"/>
        <v>TN</v>
      </c>
    </row>
    <row r="22871" spans="1:6" x14ac:dyDescent="0.25">
      <c r="A22871" t="str">
        <f>"200002762"</f>
        <v>200002762</v>
      </c>
      <c r="B22871" t="str">
        <f>"1205836566"</f>
        <v>1205836566</v>
      </c>
      <c r="C22871" t="str">
        <f>"207P00000X"</f>
        <v>207P00000X</v>
      </c>
      <c r="D22871" t="str">
        <f>"FORD                     TASHA        J           "</f>
        <v xml:space="preserve">FORD                     TASHA        J           </v>
      </c>
      <c r="E22871" t="str">
        <f>"BARTLETT                  "</f>
        <v xml:space="preserve">BARTLETT                  </v>
      </c>
      <c r="F22871" t="str">
        <f t="shared" si="592"/>
        <v>TN</v>
      </c>
    </row>
    <row r="22872" spans="1:6" x14ac:dyDescent="0.25">
      <c r="A22872" t="str">
        <f>"200002777"</f>
        <v>200002777</v>
      </c>
      <c r="B22872" t="str">
        <f>"1871125864"</f>
        <v>1871125864</v>
      </c>
      <c r="C22872" t="str">
        <f>"363L00000X"</f>
        <v>363L00000X</v>
      </c>
      <c r="D22872" t="str">
        <f>"WHITE                    CASEY                    "</f>
        <v xml:space="preserve">WHITE                    CASEY                    </v>
      </c>
      <c r="E22872" t="str">
        <f>"MEMPHIS                   "</f>
        <v xml:space="preserve">MEMPHIS                   </v>
      </c>
      <c r="F22872" t="str">
        <f t="shared" si="592"/>
        <v>TN</v>
      </c>
    </row>
    <row r="22873" spans="1:6" x14ac:dyDescent="0.25">
      <c r="A22873" t="str">
        <f>"200002801"</f>
        <v>200002801</v>
      </c>
      <c r="B22873" t="str">
        <f>"1275798498"</f>
        <v>1275798498</v>
      </c>
      <c r="C22873" t="str">
        <f>"207Q00000X"</f>
        <v>207Q00000X</v>
      </c>
      <c r="D22873" t="str">
        <f>"ALVI                     RABIA                    "</f>
        <v xml:space="preserve">ALVI                     RABIA                    </v>
      </c>
      <c r="E22873" t="str">
        <f>"GERMANTOWN                "</f>
        <v xml:space="preserve">GERMANTOWN                </v>
      </c>
      <c r="F22873" t="str">
        <f t="shared" si="592"/>
        <v>TN</v>
      </c>
    </row>
    <row r="22874" spans="1:6" x14ac:dyDescent="0.25">
      <c r="A22874" t="str">
        <f>"200002840"</f>
        <v>200002840</v>
      </c>
      <c r="B22874" t="str">
        <f>"1417901570"</f>
        <v>1417901570</v>
      </c>
      <c r="C22874" t="str">
        <f>"2085R0202X"</f>
        <v>2085R0202X</v>
      </c>
      <c r="D22874" t="str">
        <f>"TIBBS                    MARTHA                   "</f>
        <v xml:space="preserve">TIBBS                    MARTHA                   </v>
      </c>
      <c r="E22874" t="str">
        <f t="shared" ref="E22874:E22886" si="594">"MEMPHIS                   "</f>
        <v xml:space="preserve">MEMPHIS                   </v>
      </c>
      <c r="F22874" t="str">
        <f t="shared" si="592"/>
        <v>TN</v>
      </c>
    </row>
    <row r="22875" spans="1:6" x14ac:dyDescent="0.25">
      <c r="A22875" t="str">
        <f>"200002844"</f>
        <v>200002844</v>
      </c>
      <c r="B22875" t="str">
        <f>"1861192932"</f>
        <v>1861192932</v>
      </c>
      <c r="C22875" t="str">
        <f>"363L00000X"</f>
        <v>363L00000X</v>
      </c>
      <c r="D22875" t="str">
        <f>"DAVENPORT                APRIL                    "</f>
        <v xml:space="preserve">DAVENPORT                APRIL                    </v>
      </c>
      <c r="E22875" t="str">
        <f t="shared" si="594"/>
        <v xml:space="preserve">MEMPHIS                   </v>
      </c>
      <c r="F22875" t="str">
        <f t="shared" si="592"/>
        <v>TN</v>
      </c>
    </row>
    <row r="22876" spans="1:6" x14ac:dyDescent="0.25">
      <c r="A22876" t="str">
        <f>"200002861"</f>
        <v>200002861</v>
      </c>
      <c r="B22876" t="str">
        <f>"1568530202"</f>
        <v>1568530202</v>
      </c>
      <c r="C22876" t="str">
        <f>"2085P0229X"</f>
        <v>2085P0229X</v>
      </c>
      <c r="D22876" t="str">
        <f>"SABHARWAL                GAURAVI                  "</f>
        <v xml:space="preserve">SABHARWAL                GAURAVI                  </v>
      </c>
      <c r="E22876" t="str">
        <f t="shared" si="594"/>
        <v xml:space="preserve">MEMPHIS                   </v>
      </c>
      <c r="F22876" t="str">
        <f t="shared" si="592"/>
        <v>TN</v>
      </c>
    </row>
    <row r="22877" spans="1:6" x14ac:dyDescent="0.25">
      <c r="A22877" t="str">
        <f>"200002864"</f>
        <v>200002864</v>
      </c>
      <c r="B22877" t="str">
        <f>"1861897241"</f>
        <v>1861897241</v>
      </c>
      <c r="C22877" t="str">
        <f>"207SG0201X"</f>
        <v>207SG0201X</v>
      </c>
      <c r="D22877" t="str">
        <f>"BOSFIELD                 KERRI                    "</f>
        <v xml:space="preserve">BOSFIELD                 KERRI                    </v>
      </c>
      <c r="E22877" t="str">
        <f t="shared" si="594"/>
        <v xml:space="preserve">MEMPHIS                   </v>
      </c>
      <c r="F22877" t="str">
        <f t="shared" si="592"/>
        <v>TN</v>
      </c>
    </row>
    <row r="22878" spans="1:6" x14ac:dyDescent="0.25">
      <c r="A22878" t="str">
        <f>"200002865"</f>
        <v>200002865</v>
      </c>
      <c r="B22878" t="str">
        <f>"1245736487"</f>
        <v>1245736487</v>
      </c>
      <c r="C22878" t="str">
        <f>"207P00000X"</f>
        <v>207P00000X</v>
      </c>
      <c r="D22878" t="str">
        <f>"INMAN                    NICHOLAS     J           "</f>
        <v xml:space="preserve">INMAN                    NICHOLAS     J           </v>
      </c>
      <c r="E22878" t="str">
        <f t="shared" si="594"/>
        <v xml:space="preserve">MEMPHIS                   </v>
      </c>
      <c r="F22878" t="str">
        <f t="shared" si="592"/>
        <v>TN</v>
      </c>
    </row>
    <row r="22879" spans="1:6" x14ac:dyDescent="0.25">
      <c r="A22879" t="str">
        <f>"200002886"</f>
        <v>200002886</v>
      </c>
      <c r="B22879" t="str">
        <f>"1942264684"</f>
        <v>1942264684</v>
      </c>
      <c r="C22879" t="str">
        <f>"2085R0202X"</f>
        <v>2085R0202X</v>
      </c>
      <c r="D22879" t="str">
        <f>"SHEFFIELD                EUGENE                   "</f>
        <v xml:space="preserve">SHEFFIELD                EUGENE                   </v>
      </c>
      <c r="E22879" t="str">
        <f t="shared" si="594"/>
        <v xml:space="preserve">MEMPHIS                   </v>
      </c>
      <c r="F22879" t="str">
        <f t="shared" si="592"/>
        <v>TN</v>
      </c>
    </row>
    <row r="22880" spans="1:6" x14ac:dyDescent="0.25">
      <c r="A22880" t="str">
        <f>"200002906"</f>
        <v>200002906</v>
      </c>
      <c r="B22880" t="str">
        <f>"1902863582"</f>
        <v>1902863582</v>
      </c>
      <c r="C22880" t="str">
        <f>"207SG0201X"</f>
        <v>207SG0201X</v>
      </c>
      <c r="D22880" t="str">
        <f>"PIVNICK                  ENIKO                    "</f>
        <v xml:space="preserve">PIVNICK                  ENIKO                    </v>
      </c>
      <c r="E22880" t="str">
        <f t="shared" si="594"/>
        <v xml:space="preserve">MEMPHIS                   </v>
      </c>
      <c r="F22880" t="str">
        <f t="shared" si="592"/>
        <v>TN</v>
      </c>
    </row>
    <row r="22881" spans="1:6" x14ac:dyDescent="0.25">
      <c r="A22881" t="str">
        <f>"200002907"</f>
        <v>200002907</v>
      </c>
      <c r="B22881" t="str">
        <f>"1457572216"</f>
        <v>1457572216</v>
      </c>
      <c r="C22881" t="str">
        <f>"2085P0229X"</f>
        <v>2085P0229X</v>
      </c>
      <c r="D22881" t="str">
        <f>"COHEN                    INBAL                    "</f>
        <v xml:space="preserve">COHEN                    INBAL                    </v>
      </c>
      <c r="E22881" t="str">
        <f t="shared" si="594"/>
        <v xml:space="preserve">MEMPHIS                   </v>
      </c>
      <c r="F22881" t="str">
        <f t="shared" si="592"/>
        <v>TN</v>
      </c>
    </row>
    <row r="22882" spans="1:6" x14ac:dyDescent="0.25">
      <c r="A22882" t="str">
        <f>"200002913"</f>
        <v>200002913</v>
      </c>
      <c r="B22882" t="str">
        <f>"1447330873"</f>
        <v>1447330873</v>
      </c>
      <c r="C22882" t="str">
        <f>"207SG0201X"</f>
        <v>207SG0201X</v>
      </c>
      <c r="D22882" t="str">
        <f>"BROWN                    CHESTER                  "</f>
        <v xml:space="preserve">BROWN                    CHESTER                  </v>
      </c>
      <c r="E22882" t="str">
        <f t="shared" si="594"/>
        <v xml:space="preserve">MEMPHIS                   </v>
      </c>
      <c r="F22882" t="str">
        <f t="shared" si="592"/>
        <v>TN</v>
      </c>
    </row>
    <row r="22883" spans="1:6" x14ac:dyDescent="0.25">
      <c r="A22883" t="str">
        <f>"200002939"</f>
        <v>200002939</v>
      </c>
      <c r="B22883" t="str">
        <f>"1457788606"</f>
        <v>1457788606</v>
      </c>
      <c r="C22883" t="str">
        <f>"363L00000X"</f>
        <v>363L00000X</v>
      </c>
      <c r="D22883" t="str">
        <f>"LOCKE                    LINDSEY                  "</f>
        <v xml:space="preserve">LOCKE                    LINDSEY                  </v>
      </c>
      <c r="E22883" t="str">
        <f t="shared" si="594"/>
        <v xml:space="preserve">MEMPHIS                   </v>
      </c>
      <c r="F22883" t="str">
        <f t="shared" si="592"/>
        <v>TN</v>
      </c>
    </row>
    <row r="22884" spans="1:6" x14ac:dyDescent="0.25">
      <c r="A22884" t="str">
        <f>"200002950"</f>
        <v>200002950</v>
      </c>
      <c r="B22884" t="str">
        <f>"1407364318"</f>
        <v>1407364318</v>
      </c>
      <c r="C22884" t="str">
        <f>"363L00000X"</f>
        <v>363L00000X</v>
      </c>
      <c r="D22884" t="str">
        <f>"PAGE                     KRISTEN                  "</f>
        <v xml:space="preserve">PAGE                     KRISTEN                  </v>
      </c>
      <c r="E22884" t="str">
        <f t="shared" si="594"/>
        <v xml:space="preserve">MEMPHIS                   </v>
      </c>
      <c r="F22884" t="str">
        <f t="shared" si="592"/>
        <v>TN</v>
      </c>
    </row>
    <row r="22885" spans="1:6" x14ac:dyDescent="0.25">
      <c r="A22885" t="str">
        <f>"200002956"</f>
        <v>200002956</v>
      </c>
      <c r="B22885" t="str">
        <f>"1639387178"</f>
        <v>1639387178</v>
      </c>
      <c r="C22885" t="str">
        <f>"208000000X"</f>
        <v>208000000X</v>
      </c>
      <c r="D22885" t="str">
        <f>"ODULANA                  ADEBOWALE    A           "</f>
        <v xml:space="preserve">ODULANA                  ADEBOWALE    A           </v>
      </c>
      <c r="E22885" t="str">
        <f t="shared" si="594"/>
        <v xml:space="preserve">MEMPHIS                   </v>
      </c>
      <c r="F22885" t="str">
        <f t="shared" si="592"/>
        <v>TN</v>
      </c>
    </row>
    <row r="22886" spans="1:6" x14ac:dyDescent="0.25">
      <c r="A22886" t="str">
        <f>"200002958"</f>
        <v>200002958</v>
      </c>
      <c r="B22886" t="str">
        <f>"1336834274"</f>
        <v>1336834274</v>
      </c>
      <c r="C22886" t="str">
        <f>"207Y00000X"</f>
        <v>207Y00000X</v>
      </c>
      <c r="D22886" t="str">
        <f>"MOORE                    SAMANTHA     M           "</f>
        <v xml:space="preserve">MOORE                    SAMANTHA     M           </v>
      </c>
      <c r="E22886" t="str">
        <f t="shared" si="594"/>
        <v xml:space="preserve">MEMPHIS                   </v>
      </c>
      <c r="F22886" t="str">
        <f t="shared" si="592"/>
        <v>TN</v>
      </c>
    </row>
    <row r="22887" spans="1:6" x14ac:dyDescent="0.25">
      <c r="A22887" t="str">
        <f>"200002963"</f>
        <v>200002963</v>
      </c>
      <c r="B22887" t="str">
        <f>"1407078710"</f>
        <v>1407078710</v>
      </c>
      <c r="C22887" t="str">
        <f>"2080N0001X"</f>
        <v>2080N0001X</v>
      </c>
      <c r="D22887" t="str">
        <f>"GOODWIN-SAMSON           AUTUMN                   "</f>
        <v xml:space="preserve">GOODWIN-SAMSON           AUTUMN                   </v>
      </c>
      <c r="E22887" t="str">
        <f>"GERMANTOWN                "</f>
        <v xml:space="preserve">GERMANTOWN                </v>
      </c>
      <c r="F22887" t="str">
        <f t="shared" si="592"/>
        <v>TN</v>
      </c>
    </row>
    <row r="22888" spans="1:6" x14ac:dyDescent="0.25">
      <c r="A22888" t="str">
        <f>"200002967"</f>
        <v>200002967</v>
      </c>
      <c r="B22888" t="str">
        <f>"1376962902"</f>
        <v>1376962902</v>
      </c>
      <c r="C22888" t="str">
        <f>"2080P0201X"</f>
        <v>2080P0201X</v>
      </c>
      <c r="D22888" t="str">
        <f>"CARLISLE                 ANNETTE                  "</f>
        <v xml:space="preserve">CARLISLE                 ANNETTE                  </v>
      </c>
      <c r="E22888" t="str">
        <f t="shared" ref="E22888:E22894" si="595">"MEMPHIS                   "</f>
        <v xml:space="preserve">MEMPHIS                   </v>
      </c>
      <c r="F22888" t="str">
        <f t="shared" si="592"/>
        <v>TN</v>
      </c>
    </row>
    <row r="22889" spans="1:6" x14ac:dyDescent="0.25">
      <c r="A22889" t="str">
        <f>"200002990"</f>
        <v>200002990</v>
      </c>
      <c r="B22889" t="str">
        <f>"1740247485"</f>
        <v>1740247485</v>
      </c>
      <c r="C22889" t="str">
        <f>"2085P0229X"</f>
        <v>2085P0229X</v>
      </c>
      <c r="D22889" t="str">
        <f>"LOUIS                    PARVEY                   "</f>
        <v xml:space="preserve">LOUIS                    PARVEY                   </v>
      </c>
      <c r="E22889" t="str">
        <f t="shared" si="595"/>
        <v xml:space="preserve">MEMPHIS                   </v>
      </c>
      <c r="F22889" t="str">
        <f t="shared" si="592"/>
        <v>TN</v>
      </c>
    </row>
    <row r="22890" spans="1:6" x14ac:dyDescent="0.25">
      <c r="A22890" t="str">
        <f>"200003028"</f>
        <v>200003028</v>
      </c>
      <c r="B22890" t="str">
        <f>"1699814699"</f>
        <v>1699814699</v>
      </c>
      <c r="C22890" t="str">
        <f>"207L00000X"</f>
        <v>207L00000X</v>
      </c>
      <c r="D22890" t="str">
        <f>"BILLSTRAND               MARY                     "</f>
        <v xml:space="preserve">BILLSTRAND               MARY                     </v>
      </c>
      <c r="E22890" t="str">
        <f t="shared" si="595"/>
        <v xml:space="preserve">MEMPHIS                   </v>
      </c>
      <c r="F22890" t="str">
        <f t="shared" si="592"/>
        <v>TN</v>
      </c>
    </row>
    <row r="22891" spans="1:6" x14ac:dyDescent="0.25">
      <c r="A22891" t="str">
        <f>"200003033"</f>
        <v>200003033</v>
      </c>
      <c r="B22891" t="str">
        <f>"1942587670"</f>
        <v>1942587670</v>
      </c>
      <c r="C22891" t="str">
        <f>"363LP0200X"</f>
        <v>363LP0200X</v>
      </c>
      <c r="D22891" t="str">
        <f>"TRAVIS                   AMANDA                   "</f>
        <v xml:space="preserve">TRAVIS                   AMANDA                   </v>
      </c>
      <c r="E22891" t="str">
        <f t="shared" si="595"/>
        <v xml:space="preserve">MEMPHIS                   </v>
      </c>
      <c r="F22891" t="str">
        <f t="shared" si="592"/>
        <v>TN</v>
      </c>
    </row>
    <row r="22892" spans="1:6" x14ac:dyDescent="0.25">
      <c r="A22892" t="str">
        <f>"200003035"</f>
        <v>200003035</v>
      </c>
      <c r="B22892" t="str">
        <f>"1336283902"</f>
        <v>1336283902</v>
      </c>
      <c r="C22892" t="str">
        <f>"2085P0229X"</f>
        <v>2085P0229X</v>
      </c>
      <c r="D22892" t="str">
        <f>"RAINES-HEPPLE            ROBERT       P           "</f>
        <v xml:space="preserve">RAINES-HEPPLE            ROBERT       P           </v>
      </c>
      <c r="E22892" t="str">
        <f t="shared" si="595"/>
        <v xml:space="preserve">MEMPHIS                   </v>
      </c>
      <c r="F22892" t="str">
        <f t="shared" si="592"/>
        <v>TN</v>
      </c>
    </row>
    <row r="22893" spans="1:6" x14ac:dyDescent="0.25">
      <c r="A22893" t="str">
        <f>"200003060"</f>
        <v>200003060</v>
      </c>
      <c r="B22893" t="str">
        <f>"1952527384"</f>
        <v>1952527384</v>
      </c>
      <c r="C22893" t="str">
        <f>"208800000X"</f>
        <v>208800000X</v>
      </c>
      <c r="D22893" t="str">
        <f>"GIEL                     DANA                     "</f>
        <v xml:space="preserve">GIEL                     DANA                     </v>
      </c>
      <c r="E22893" t="str">
        <f t="shared" si="595"/>
        <v xml:space="preserve">MEMPHIS                   </v>
      </c>
      <c r="F22893" t="str">
        <f t="shared" si="592"/>
        <v>TN</v>
      </c>
    </row>
    <row r="22894" spans="1:6" x14ac:dyDescent="0.25">
      <c r="A22894" t="str">
        <f>"200003062"</f>
        <v>200003062</v>
      </c>
      <c r="B22894" t="str">
        <f>"1467418186"</f>
        <v>1467418186</v>
      </c>
      <c r="C22894" t="str">
        <f>"2080P0201X"</f>
        <v>2080P0201X</v>
      </c>
      <c r="D22894" t="str">
        <f>"MICHAEL                  CHRISTIE                 "</f>
        <v xml:space="preserve">MICHAEL                  CHRISTIE                 </v>
      </c>
      <c r="E22894" t="str">
        <f t="shared" si="595"/>
        <v xml:space="preserve">MEMPHIS                   </v>
      </c>
      <c r="F22894" t="str">
        <f t="shared" si="592"/>
        <v>TN</v>
      </c>
    </row>
    <row r="22895" spans="1:6" x14ac:dyDescent="0.25">
      <c r="A22895" t="str">
        <f>"200003106"</f>
        <v>200003106</v>
      </c>
      <c r="B22895" t="str">
        <f>"1487362349"</f>
        <v>1487362349</v>
      </c>
      <c r="C22895" t="str">
        <f>"363L00000X"</f>
        <v>363L00000X</v>
      </c>
      <c r="D22895" t="str">
        <f>"GANT                     SHARON       C           "</f>
        <v xml:space="preserve">GANT                     SHARON       C           </v>
      </c>
      <c r="E22895" t="str">
        <f>"GERMANTOWN                "</f>
        <v xml:space="preserve">GERMANTOWN                </v>
      </c>
      <c r="F22895" t="str">
        <f t="shared" si="592"/>
        <v>TN</v>
      </c>
    </row>
    <row r="22896" spans="1:6" x14ac:dyDescent="0.25">
      <c r="A22896" t="str">
        <f>"200003113"</f>
        <v>200003113</v>
      </c>
      <c r="B22896" t="str">
        <f>"1366949786"</f>
        <v>1366949786</v>
      </c>
      <c r="C22896" t="str">
        <f>"207R00000X"</f>
        <v>207R00000X</v>
      </c>
      <c r="D22896" t="str">
        <f>"LATTIMORE                JAMAL                    "</f>
        <v xml:space="preserve">LATTIMORE                JAMAL                    </v>
      </c>
      <c r="E22896" t="str">
        <f>"MEMPHIS                   "</f>
        <v xml:space="preserve">MEMPHIS                   </v>
      </c>
      <c r="F22896" t="str">
        <f t="shared" si="592"/>
        <v>TN</v>
      </c>
    </row>
    <row r="22897" spans="1:6" x14ac:dyDescent="0.25">
      <c r="A22897" t="str">
        <f>"200003126"</f>
        <v>200003126</v>
      </c>
      <c r="B22897" t="str">
        <f>"1174815609"</f>
        <v>1174815609</v>
      </c>
      <c r="C22897" t="str">
        <f>"2080N0001X"</f>
        <v>2080N0001X</v>
      </c>
      <c r="D22897" t="str">
        <f>"ALEXANDER                CATHERINE                "</f>
        <v xml:space="preserve">ALEXANDER                CATHERINE                </v>
      </c>
      <c r="E22897" t="str">
        <f>"GERMANTOWN                "</f>
        <v xml:space="preserve">GERMANTOWN                </v>
      </c>
      <c r="F22897" t="str">
        <f t="shared" si="592"/>
        <v>TN</v>
      </c>
    </row>
    <row r="22898" spans="1:6" x14ac:dyDescent="0.25">
      <c r="A22898" t="str">
        <f>"200003132"</f>
        <v>200003132</v>
      </c>
      <c r="B22898" t="str">
        <f>"1598250599"</f>
        <v>1598250599</v>
      </c>
      <c r="C22898" t="str">
        <f>"207Q00000X"</f>
        <v>207Q00000X</v>
      </c>
      <c r="D22898" t="str">
        <f>"SAWANT                   LAXMICHAYA               "</f>
        <v xml:space="preserve">SAWANT                   LAXMICHAYA               </v>
      </c>
      <c r="E22898" t="str">
        <f t="shared" ref="E22898:E22904" si="596">"MEMPHIS                   "</f>
        <v xml:space="preserve">MEMPHIS                   </v>
      </c>
      <c r="F22898" t="str">
        <f t="shared" si="592"/>
        <v>TN</v>
      </c>
    </row>
    <row r="22899" spans="1:6" x14ac:dyDescent="0.25">
      <c r="A22899" t="str">
        <f>"200003152"</f>
        <v>200003152</v>
      </c>
      <c r="B22899" t="str">
        <f>"1801581244"</f>
        <v>1801581244</v>
      </c>
      <c r="C22899" t="str">
        <f>"208600000X"</f>
        <v>208600000X</v>
      </c>
      <c r="D22899" t="str">
        <f>"PRINGLE WILLIAMS         JORDAN                   "</f>
        <v xml:space="preserve">PRINGLE WILLIAMS         JORDAN                   </v>
      </c>
      <c r="E22899" t="str">
        <f t="shared" si="596"/>
        <v xml:space="preserve">MEMPHIS                   </v>
      </c>
      <c r="F22899" t="str">
        <f t="shared" si="592"/>
        <v>TN</v>
      </c>
    </row>
    <row r="22900" spans="1:6" x14ac:dyDescent="0.25">
      <c r="A22900" t="str">
        <f>"200003159"</f>
        <v>200003159</v>
      </c>
      <c r="B22900" t="str">
        <f>"1508800905"</f>
        <v>1508800905</v>
      </c>
      <c r="C22900" t="str">
        <f>"208G00000X"</f>
        <v>208G00000X</v>
      </c>
      <c r="D22900" t="str">
        <f>"GARRETT JR               HARVEY       E           "</f>
        <v xml:space="preserve">GARRETT JR               HARVEY       E           </v>
      </c>
      <c r="E22900" t="str">
        <f t="shared" si="596"/>
        <v xml:space="preserve">MEMPHIS                   </v>
      </c>
      <c r="F22900" t="str">
        <f t="shared" si="592"/>
        <v>TN</v>
      </c>
    </row>
    <row r="22901" spans="1:6" x14ac:dyDescent="0.25">
      <c r="A22901" t="str">
        <f>"200003165"</f>
        <v>200003165</v>
      </c>
      <c r="B22901" t="str">
        <f>"1821356478"</f>
        <v>1821356478</v>
      </c>
      <c r="C22901" t="str">
        <f>"2080P0207X"</f>
        <v>2080P0207X</v>
      </c>
      <c r="D22901" t="str">
        <f>"LEONARD                  ALEXIS                   "</f>
        <v xml:space="preserve">LEONARD                  ALEXIS                   </v>
      </c>
      <c r="E22901" t="str">
        <f t="shared" si="596"/>
        <v xml:space="preserve">MEMPHIS                   </v>
      </c>
      <c r="F22901" t="str">
        <f t="shared" si="592"/>
        <v>TN</v>
      </c>
    </row>
    <row r="22902" spans="1:6" x14ac:dyDescent="0.25">
      <c r="A22902" t="str">
        <f>"200003167"</f>
        <v>200003167</v>
      </c>
      <c r="B22902" t="str">
        <f>"1528565835"</f>
        <v>1528565835</v>
      </c>
      <c r="C22902" t="str">
        <f>"207L00000X"</f>
        <v>207L00000X</v>
      </c>
      <c r="D22902" t="str">
        <f>"CARTER                   CLEO         C           "</f>
        <v xml:space="preserve">CARTER                   CLEO         C           </v>
      </c>
      <c r="E22902" t="str">
        <f t="shared" si="596"/>
        <v xml:space="preserve">MEMPHIS                   </v>
      </c>
      <c r="F22902" t="str">
        <f t="shared" si="592"/>
        <v>TN</v>
      </c>
    </row>
    <row r="22903" spans="1:6" x14ac:dyDescent="0.25">
      <c r="A22903" t="str">
        <f>"200003194"</f>
        <v>200003194</v>
      </c>
      <c r="B22903" t="str">
        <f>"1972274421"</f>
        <v>1972274421</v>
      </c>
      <c r="C22903" t="str">
        <f>"367500000X"</f>
        <v>367500000X</v>
      </c>
      <c r="D22903" t="str">
        <f>"RAMSEY                   JESSICA      M           "</f>
        <v xml:space="preserve">RAMSEY                   JESSICA      M           </v>
      </c>
      <c r="E22903" t="str">
        <f t="shared" si="596"/>
        <v xml:space="preserve">MEMPHIS                   </v>
      </c>
      <c r="F22903" t="str">
        <f t="shared" si="592"/>
        <v>TN</v>
      </c>
    </row>
    <row r="22904" spans="1:6" x14ac:dyDescent="0.25">
      <c r="A22904" t="str">
        <f>"200003211"</f>
        <v>200003211</v>
      </c>
      <c r="B22904" t="str">
        <f>"1265137798"</f>
        <v>1265137798</v>
      </c>
      <c r="C22904" t="str">
        <f>"207R00000X"</f>
        <v>207R00000X</v>
      </c>
      <c r="D22904" t="str">
        <f>"ELONU                    AKUNNA                   "</f>
        <v xml:space="preserve">ELONU                    AKUNNA                   </v>
      </c>
      <c r="E22904" t="str">
        <f t="shared" si="596"/>
        <v xml:space="preserve">MEMPHIS                   </v>
      </c>
      <c r="F22904" t="str">
        <f t="shared" si="592"/>
        <v>TN</v>
      </c>
    </row>
    <row r="22905" spans="1:6" x14ac:dyDescent="0.25">
      <c r="A22905" t="str">
        <f>"200003222"</f>
        <v>200003222</v>
      </c>
      <c r="B22905" t="str">
        <f>"1689620627"</f>
        <v>1689620627</v>
      </c>
      <c r="C22905" t="str">
        <f>"2085R0202X"</f>
        <v>2085R0202X</v>
      </c>
      <c r="D22905" t="str">
        <f>"DECOSTA                  BRIAN                    "</f>
        <v xml:space="preserve">DECOSTA                  BRIAN                    </v>
      </c>
      <c r="E22905" t="str">
        <f>"GERMANTOWN                "</f>
        <v xml:space="preserve">GERMANTOWN                </v>
      </c>
      <c r="F22905" t="str">
        <f t="shared" si="592"/>
        <v>TN</v>
      </c>
    </row>
    <row r="22906" spans="1:6" x14ac:dyDescent="0.25">
      <c r="A22906" t="str">
        <f>"200003255"</f>
        <v>200003255</v>
      </c>
      <c r="B22906" t="str">
        <f>"1649911330"</f>
        <v>1649911330</v>
      </c>
      <c r="C22906" t="str">
        <f>"207V00000X"</f>
        <v>207V00000X</v>
      </c>
      <c r="D22906" t="str">
        <f>"ESMAIL                   JIHAN                    "</f>
        <v xml:space="preserve">ESMAIL                   JIHAN                    </v>
      </c>
      <c r="E22906" t="str">
        <f t="shared" ref="E22906:E22920" si="597">"MEMPHIS                   "</f>
        <v xml:space="preserve">MEMPHIS                   </v>
      </c>
      <c r="F22906" t="str">
        <f t="shared" si="592"/>
        <v>TN</v>
      </c>
    </row>
    <row r="22907" spans="1:6" x14ac:dyDescent="0.25">
      <c r="A22907" t="str">
        <f>"200003267"</f>
        <v>200003267</v>
      </c>
      <c r="B22907" t="str">
        <f>"1003499666"</f>
        <v>1003499666</v>
      </c>
      <c r="C22907" t="str">
        <f>"207V00000X"</f>
        <v>207V00000X</v>
      </c>
      <c r="D22907" t="str">
        <f>"SIERRA                   DANIELLE                 "</f>
        <v xml:space="preserve">SIERRA                   DANIELLE                 </v>
      </c>
      <c r="E22907" t="str">
        <f t="shared" si="597"/>
        <v xml:space="preserve">MEMPHIS                   </v>
      </c>
      <c r="F22907" t="str">
        <f t="shared" si="592"/>
        <v>TN</v>
      </c>
    </row>
    <row r="22908" spans="1:6" x14ac:dyDescent="0.25">
      <c r="A22908" t="str">
        <f>"200003289"</f>
        <v>200003289</v>
      </c>
      <c r="B22908" t="str">
        <f>"1215632625"</f>
        <v>1215632625</v>
      </c>
      <c r="C22908" t="str">
        <f>"207X00000X"</f>
        <v>207X00000X</v>
      </c>
      <c r="D22908" t="str">
        <f>"SULLIVAN                 PATRICK                  "</f>
        <v xml:space="preserve">SULLIVAN                 PATRICK                  </v>
      </c>
      <c r="E22908" t="str">
        <f t="shared" si="597"/>
        <v xml:space="preserve">MEMPHIS                   </v>
      </c>
      <c r="F22908" t="str">
        <f t="shared" si="592"/>
        <v>TN</v>
      </c>
    </row>
    <row r="22909" spans="1:6" x14ac:dyDescent="0.25">
      <c r="A22909" t="str">
        <f>"200003326"</f>
        <v>200003326</v>
      </c>
      <c r="B22909" t="str">
        <f>"1265500888"</f>
        <v>1265500888</v>
      </c>
      <c r="C22909" t="str">
        <f>"208000000X"</f>
        <v>208000000X</v>
      </c>
      <c r="D22909" t="str">
        <f>"BISSLER                  JOHN                     "</f>
        <v xml:space="preserve">BISSLER                  JOHN                     </v>
      </c>
      <c r="E22909" t="str">
        <f t="shared" si="597"/>
        <v xml:space="preserve">MEMPHIS                   </v>
      </c>
      <c r="F22909" t="str">
        <f t="shared" si="592"/>
        <v>TN</v>
      </c>
    </row>
    <row r="22910" spans="1:6" x14ac:dyDescent="0.25">
      <c r="A22910" t="str">
        <f>"200003327"</f>
        <v>200003327</v>
      </c>
      <c r="B22910" t="str">
        <f>"1366154189"</f>
        <v>1366154189</v>
      </c>
      <c r="C22910" t="str">
        <f>"363L00000X"</f>
        <v>363L00000X</v>
      </c>
      <c r="D22910" t="str">
        <f>"WOODS                    BRITTANY                 "</f>
        <v xml:space="preserve">WOODS                    BRITTANY                 </v>
      </c>
      <c r="E22910" t="str">
        <f t="shared" si="597"/>
        <v xml:space="preserve">MEMPHIS                   </v>
      </c>
      <c r="F22910" t="str">
        <f t="shared" ref="F22910:F22973" si="598">"TN"</f>
        <v>TN</v>
      </c>
    </row>
    <row r="22911" spans="1:6" x14ac:dyDescent="0.25">
      <c r="A22911" t="str">
        <f>"200003329"</f>
        <v>200003329</v>
      </c>
      <c r="B22911" t="str">
        <f>"1750380051"</f>
        <v>1750380051</v>
      </c>
      <c r="C22911" t="str">
        <f>"2080P0201X"</f>
        <v>2080P0201X</v>
      </c>
      <c r="D22911" t="str">
        <f>"ESCUE                    ASHLEY                   "</f>
        <v xml:space="preserve">ESCUE                    ASHLEY                   </v>
      </c>
      <c r="E22911" t="str">
        <f t="shared" si="597"/>
        <v xml:space="preserve">MEMPHIS                   </v>
      </c>
      <c r="F22911" t="str">
        <f t="shared" si="598"/>
        <v>TN</v>
      </c>
    </row>
    <row r="22912" spans="1:6" x14ac:dyDescent="0.25">
      <c r="A22912" t="str">
        <f>"200003333"</f>
        <v>200003333</v>
      </c>
      <c r="B22912" t="str">
        <f>"1710601414"</f>
        <v>1710601414</v>
      </c>
      <c r="C22912" t="str">
        <f>"367500000X"</f>
        <v>367500000X</v>
      </c>
      <c r="D22912" t="str">
        <f>"JONES                    MORGAN       L           "</f>
        <v xml:space="preserve">JONES                    MORGAN       L           </v>
      </c>
      <c r="E22912" t="str">
        <f t="shared" si="597"/>
        <v xml:space="preserve">MEMPHIS                   </v>
      </c>
      <c r="F22912" t="str">
        <f t="shared" si="598"/>
        <v>TN</v>
      </c>
    </row>
    <row r="22913" spans="1:6" x14ac:dyDescent="0.25">
      <c r="A22913" t="str">
        <f>"200003334"</f>
        <v>200003334</v>
      </c>
      <c r="B22913" t="str">
        <f>"1861998932"</f>
        <v>1861998932</v>
      </c>
      <c r="C22913" t="str">
        <f>"2080P0207X"</f>
        <v>2080P0207X</v>
      </c>
      <c r="D22913" t="str">
        <f>"MULLER                   BRADLEY                  "</f>
        <v xml:space="preserve">MULLER                   BRADLEY                  </v>
      </c>
      <c r="E22913" t="str">
        <f t="shared" si="597"/>
        <v xml:space="preserve">MEMPHIS                   </v>
      </c>
      <c r="F22913" t="str">
        <f t="shared" si="598"/>
        <v>TN</v>
      </c>
    </row>
    <row r="22914" spans="1:6" x14ac:dyDescent="0.25">
      <c r="A22914" t="str">
        <f>"200003367"</f>
        <v>200003367</v>
      </c>
      <c r="B22914" t="str">
        <f>"1174544811"</f>
        <v>1174544811</v>
      </c>
      <c r="C22914" t="str">
        <f>"207RN0300X"</f>
        <v>207RN0300X</v>
      </c>
      <c r="D22914" t="str">
        <f>"HASTINGS                 MARGARET     C           "</f>
        <v xml:space="preserve">HASTINGS                 MARGARET     C           </v>
      </c>
      <c r="E22914" t="str">
        <f t="shared" si="597"/>
        <v xml:space="preserve">MEMPHIS                   </v>
      </c>
      <c r="F22914" t="str">
        <f t="shared" si="598"/>
        <v>TN</v>
      </c>
    </row>
    <row r="22915" spans="1:6" x14ac:dyDescent="0.25">
      <c r="A22915" t="str">
        <f>"200003377"</f>
        <v>200003377</v>
      </c>
      <c r="B22915" t="str">
        <f>"1417190877"</f>
        <v>1417190877</v>
      </c>
      <c r="C22915" t="str">
        <f>"207W00000X"</f>
        <v>207W00000X</v>
      </c>
      <c r="D22915" t="str">
        <f>"DITTA                    LAUREN                   "</f>
        <v xml:space="preserve">DITTA                    LAUREN                   </v>
      </c>
      <c r="E22915" t="str">
        <f t="shared" si="597"/>
        <v xml:space="preserve">MEMPHIS                   </v>
      </c>
      <c r="F22915" t="str">
        <f t="shared" si="598"/>
        <v>TN</v>
      </c>
    </row>
    <row r="22916" spans="1:6" x14ac:dyDescent="0.25">
      <c r="A22916" t="str">
        <f>"200003379"</f>
        <v>200003379</v>
      </c>
      <c r="B22916" t="str">
        <f>"1720722333"</f>
        <v>1720722333</v>
      </c>
      <c r="C22916" t="str">
        <f>"208600000X"</f>
        <v>208600000X</v>
      </c>
      <c r="D22916" t="str">
        <f>"LEVINE                   EMMA                     "</f>
        <v xml:space="preserve">LEVINE                   EMMA                     </v>
      </c>
      <c r="E22916" t="str">
        <f t="shared" si="597"/>
        <v xml:space="preserve">MEMPHIS                   </v>
      </c>
      <c r="F22916" t="str">
        <f t="shared" si="598"/>
        <v>TN</v>
      </c>
    </row>
    <row r="22917" spans="1:6" x14ac:dyDescent="0.25">
      <c r="A22917" t="str">
        <f>"200003386"</f>
        <v>200003386</v>
      </c>
      <c r="B22917" t="str">
        <f>"1396430369"</f>
        <v>1396430369</v>
      </c>
      <c r="C22917" t="str">
        <f>"208000000X"</f>
        <v>208000000X</v>
      </c>
      <c r="D22917" t="str">
        <f>"BLONDEAU-LECOMTE         ESTHER                   "</f>
        <v xml:space="preserve">BLONDEAU-LECOMTE         ESTHER                   </v>
      </c>
      <c r="E22917" t="str">
        <f t="shared" si="597"/>
        <v xml:space="preserve">MEMPHIS                   </v>
      </c>
      <c r="F22917" t="str">
        <f t="shared" si="598"/>
        <v>TN</v>
      </c>
    </row>
    <row r="22918" spans="1:6" x14ac:dyDescent="0.25">
      <c r="A22918" t="str">
        <f>"200003420"</f>
        <v>200003420</v>
      </c>
      <c r="B22918" t="str">
        <f>"1255075826"</f>
        <v>1255075826</v>
      </c>
      <c r="C22918" t="str">
        <f>"207Y00000X"</f>
        <v>207Y00000X</v>
      </c>
      <c r="D22918" t="str">
        <f>"SOFFER                   JUSTIN       M           "</f>
        <v xml:space="preserve">SOFFER                   JUSTIN       M           </v>
      </c>
      <c r="E22918" t="str">
        <f t="shared" si="597"/>
        <v xml:space="preserve">MEMPHIS                   </v>
      </c>
      <c r="F22918" t="str">
        <f t="shared" si="598"/>
        <v>TN</v>
      </c>
    </row>
    <row r="22919" spans="1:6" x14ac:dyDescent="0.25">
      <c r="A22919" t="str">
        <f>"200003478"</f>
        <v>200003478</v>
      </c>
      <c r="B22919" t="str">
        <f>"1922595198"</f>
        <v>1922595198</v>
      </c>
      <c r="C22919" t="str">
        <f>"207L00000X"</f>
        <v>207L00000X</v>
      </c>
      <c r="D22919" t="str">
        <f>"CAVALCANTE GIRAO         WALTER                   "</f>
        <v xml:space="preserve">CAVALCANTE GIRAO         WALTER                   </v>
      </c>
      <c r="E22919" t="str">
        <f t="shared" si="597"/>
        <v xml:space="preserve">MEMPHIS                   </v>
      </c>
      <c r="F22919" t="str">
        <f t="shared" si="598"/>
        <v>TN</v>
      </c>
    </row>
    <row r="22920" spans="1:6" x14ac:dyDescent="0.25">
      <c r="A22920" t="str">
        <f>"200003553"</f>
        <v>200003553</v>
      </c>
      <c r="B22920" t="str">
        <f>"1932492816"</f>
        <v>1932492816</v>
      </c>
      <c r="C22920" t="str">
        <f>"363L00000X"</f>
        <v>363L00000X</v>
      </c>
      <c r="D22920" t="str">
        <f>"MORGAN                   STACEY       L           "</f>
        <v xml:space="preserve">MORGAN                   STACEY       L           </v>
      </c>
      <c r="E22920" t="str">
        <f t="shared" si="597"/>
        <v xml:space="preserve">MEMPHIS                   </v>
      </c>
      <c r="F22920" t="str">
        <f t="shared" si="598"/>
        <v>TN</v>
      </c>
    </row>
    <row r="22921" spans="1:6" x14ac:dyDescent="0.25">
      <c r="A22921" t="str">
        <f>"200003556"</f>
        <v>200003556</v>
      </c>
      <c r="B22921" t="str">
        <f>"1235692872"</f>
        <v>1235692872</v>
      </c>
      <c r="C22921" t="str">
        <f>"363L00000X"</f>
        <v>363L00000X</v>
      </c>
      <c r="D22921" t="str">
        <f>"WARREN                   ANGELA                   "</f>
        <v xml:space="preserve">WARREN                   ANGELA                   </v>
      </c>
      <c r="E22921" t="str">
        <f>"GERMANTOWN                "</f>
        <v xml:space="preserve">GERMANTOWN                </v>
      </c>
      <c r="F22921" t="str">
        <f t="shared" si="598"/>
        <v>TN</v>
      </c>
    </row>
    <row r="22922" spans="1:6" x14ac:dyDescent="0.25">
      <c r="A22922" t="str">
        <f>"200003625"</f>
        <v>200003625</v>
      </c>
      <c r="B22922" t="str">
        <f>"1629452479"</f>
        <v>1629452479</v>
      </c>
      <c r="C22922" t="str">
        <f>"207L00000X"</f>
        <v>207L00000X</v>
      </c>
      <c r="D22922" t="str">
        <f>"FRANKLIN DOS SANTOS      THAIS                    "</f>
        <v xml:space="preserve">FRANKLIN DOS SANTOS      THAIS                    </v>
      </c>
      <c r="E22922" t="str">
        <f t="shared" ref="E22922:E22936" si="599">"MEMPHIS                   "</f>
        <v xml:space="preserve">MEMPHIS                   </v>
      </c>
      <c r="F22922" t="str">
        <f t="shared" si="598"/>
        <v>TN</v>
      </c>
    </row>
    <row r="22923" spans="1:6" x14ac:dyDescent="0.25">
      <c r="A22923" t="str">
        <f>"200003652"</f>
        <v>200003652</v>
      </c>
      <c r="B22923" t="str">
        <f>"1043441652"</f>
        <v>1043441652</v>
      </c>
      <c r="C22923" t="str">
        <f>"367500000X"</f>
        <v>367500000X</v>
      </c>
      <c r="D22923" t="str">
        <f>"PENA                     MARY                     "</f>
        <v xml:space="preserve">PENA                     MARY                     </v>
      </c>
      <c r="E22923" t="str">
        <f t="shared" si="599"/>
        <v xml:space="preserve">MEMPHIS                   </v>
      </c>
      <c r="F22923" t="str">
        <f t="shared" si="598"/>
        <v>TN</v>
      </c>
    </row>
    <row r="22924" spans="1:6" x14ac:dyDescent="0.25">
      <c r="A22924" t="str">
        <f>"200003660"</f>
        <v>200003660</v>
      </c>
      <c r="B22924" t="str">
        <f>"1285368340"</f>
        <v>1285368340</v>
      </c>
      <c r="C22924" t="str">
        <f>"367500000X"</f>
        <v>367500000X</v>
      </c>
      <c r="D22924" t="str">
        <f>"JUCHHEIM                 INGA         P           "</f>
        <v xml:space="preserve">JUCHHEIM                 INGA         P           </v>
      </c>
      <c r="E22924" t="str">
        <f t="shared" si="599"/>
        <v xml:space="preserve">MEMPHIS                   </v>
      </c>
      <c r="F22924" t="str">
        <f t="shared" si="598"/>
        <v>TN</v>
      </c>
    </row>
    <row r="22925" spans="1:6" x14ac:dyDescent="0.25">
      <c r="A22925" t="str">
        <f>"200003684"</f>
        <v>200003684</v>
      </c>
      <c r="B22925" t="str">
        <f>"1902501638"</f>
        <v>1902501638</v>
      </c>
      <c r="C22925" t="str">
        <f>"207X00000X"</f>
        <v>207X00000X</v>
      </c>
      <c r="D22925" t="str">
        <f>"JOHNSON                  JOSEPH       R           "</f>
        <v xml:space="preserve">JOHNSON                  JOSEPH       R           </v>
      </c>
      <c r="E22925" t="str">
        <f t="shared" si="599"/>
        <v xml:space="preserve">MEMPHIS                   </v>
      </c>
      <c r="F22925" t="str">
        <f t="shared" si="598"/>
        <v>TN</v>
      </c>
    </row>
    <row r="22926" spans="1:6" x14ac:dyDescent="0.25">
      <c r="A22926" t="str">
        <f>"200003720"</f>
        <v>200003720</v>
      </c>
      <c r="B22926" t="str">
        <f>"1205179934"</f>
        <v>1205179934</v>
      </c>
      <c r="C22926" t="str">
        <f>"2080P0201X"</f>
        <v>2080P0201X</v>
      </c>
      <c r="D22926" t="str">
        <f>"HAMMOND                  CATHERINE                "</f>
        <v xml:space="preserve">HAMMOND                  CATHERINE                </v>
      </c>
      <c r="E22926" t="str">
        <f t="shared" si="599"/>
        <v xml:space="preserve">MEMPHIS                   </v>
      </c>
      <c r="F22926" t="str">
        <f t="shared" si="598"/>
        <v>TN</v>
      </c>
    </row>
    <row r="22927" spans="1:6" x14ac:dyDescent="0.25">
      <c r="A22927" t="str">
        <f>"200003732"</f>
        <v>200003732</v>
      </c>
      <c r="B22927" t="str">
        <f>"1932897931"</f>
        <v>1932897931</v>
      </c>
      <c r="C22927" t="str">
        <f>"207X00000X"</f>
        <v>207X00000X</v>
      </c>
      <c r="D22927" t="str">
        <f>"HUTCHINSON               JOSHUA                   "</f>
        <v xml:space="preserve">HUTCHINSON               JOSHUA                   </v>
      </c>
      <c r="E22927" t="str">
        <f t="shared" si="599"/>
        <v xml:space="preserve">MEMPHIS                   </v>
      </c>
      <c r="F22927" t="str">
        <f t="shared" si="598"/>
        <v>TN</v>
      </c>
    </row>
    <row r="22928" spans="1:6" x14ac:dyDescent="0.25">
      <c r="A22928" t="str">
        <f>"200003767"</f>
        <v>200003767</v>
      </c>
      <c r="B22928" t="str">
        <f>"1346874716"</f>
        <v>1346874716</v>
      </c>
      <c r="C22928" t="str">
        <f>"363L00000X"</f>
        <v>363L00000X</v>
      </c>
      <c r="D22928" t="str">
        <f>"CLARK                    DOMINIQUE                "</f>
        <v xml:space="preserve">CLARK                    DOMINIQUE                </v>
      </c>
      <c r="E22928" t="str">
        <f t="shared" si="599"/>
        <v xml:space="preserve">MEMPHIS                   </v>
      </c>
      <c r="F22928" t="str">
        <f t="shared" si="598"/>
        <v>TN</v>
      </c>
    </row>
    <row r="22929" spans="1:6" x14ac:dyDescent="0.25">
      <c r="A22929" t="str">
        <f>"200003775"</f>
        <v>200003775</v>
      </c>
      <c r="B22929" t="str">
        <f>"1700571825"</f>
        <v>1700571825</v>
      </c>
      <c r="C22929" t="str">
        <f>"2084N0402X"</f>
        <v>2084N0402X</v>
      </c>
      <c r="D22929" t="str">
        <f>"MYERS                    MAKENZIE     K           "</f>
        <v xml:space="preserve">MYERS                    MAKENZIE     K           </v>
      </c>
      <c r="E22929" t="str">
        <f t="shared" si="599"/>
        <v xml:space="preserve">MEMPHIS                   </v>
      </c>
      <c r="F22929" t="str">
        <f t="shared" si="598"/>
        <v>TN</v>
      </c>
    </row>
    <row r="22930" spans="1:6" x14ac:dyDescent="0.25">
      <c r="A22930" t="str">
        <f>"200003786"</f>
        <v>200003786</v>
      </c>
      <c r="B22930" t="str">
        <f>"1619465119"</f>
        <v>1619465119</v>
      </c>
      <c r="C22930" t="str">
        <f>"207P00000X"</f>
        <v>207P00000X</v>
      </c>
      <c r="D22930" t="str">
        <f>"NI                       SAMANTHA                 "</f>
        <v xml:space="preserve">NI                       SAMANTHA                 </v>
      </c>
      <c r="E22930" t="str">
        <f t="shared" si="599"/>
        <v xml:space="preserve">MEMPHIS                   </v>
      </c>
      <c r="F22930" t="str">
        <f t="shared" si="598"/>
        <v>TN</v>
      </c>
    </row>
    <row r="22931" spans="1:6" x14ac:dyDescent="0.25">
      <c r="A22931" t="str">
        <f>"200003835"</f>
        <v>200003835</v>
      </c>
      <c r="B22931" t="str">
        <f>"1851086045"</f>
        <v>1851086045</v>
      </c>
      <c r="C22931" t="str">
        <f>"207R00000X"</f>
        <v>207R00000X</v>
      </c>
      <c r="D22931" t="str">
        <f>"MISHRA                   UTKARSH                  "</f>
        <v xml:space="preserve">MISHRA                   UTKARSH                  </v>
      </c>
      <c r="E22931" t="str">
        <f t="shared" si="599"/>
        <v xml:space="preserve">MEMPHIS                   </v>
      </c>
      <c r="F22931" t="str">
        <f t="shared" si="598"/>
        <v>TN</v>
      </c>
    </row>
    <row r="22932" spans="1:6" x14ac:dyDescent="0.25">
      <c r="A22932" t="str">
        <f>"200003854"</f>
        <v>200003854</v>
      </c>
      <c r="B22932" t="str">
        <f>"1053754176"</f>
        <v>1053754176</v>
      </c>
      <c r="C22932" t="str">
        <f>"208000000X"</f>
        <v>208000000X</v>
      </c>
      <c r="D22932" t="str">
        <f>"WELLS                    DANIEL                   "</f>
        <v xml:space="preserve">WELLS                    DANIEL                   </v>
      </c>
      <c r="E22932" t="str">
        <f t="shared" si="599"/>
        <v xml:space="preserve">MEMPHIS                   </v>
      </c>
      <c r="F22932" t="str">
        <f t="shared" si="598"/>
        <v>TN</v>
      </c>
    </row>
    <row r="22933" spans="1:6" x14ac:dyDescent="0.25">
      <c r="A22933" t="str">
        <f>"200003858"</f>
        <v>200003858</v>
      </c>
      <c r="B22933" t="str">
        <f>"1295021996"</f>
        <v>1295021996</v>
      </c>
      <c r="C22933" t="str">
        <f>"207L00000X"</f>
        <v>207L00000X</v>
      </c>
      <c r="D22933" t="str">
        <f>"ARMSTEADWILLIAMS         CASSANDRA                "</f>
        <v xml:space="preserve">ARMSTEADWILLIAMS         CASSANDRA                </v>
      </c>
      <c r="E22933" t="str">
        <f t="shared" si="599"/>
        <v xml:space="preserve">MEMPHIS                   </v>
      </c>
      <c r="F22933" t="str">
        <f t="shared" si="598"/>
        <v>TN</v>
      </c>
    </row>
    <row r="22934" spans="1:6" x14ac:dyDescent="0.25">
      <c r="A22934" t="str">
        <f>"200003859"</f>
        <v>200003859</v>
      </c>
      <c r="B22934" t="str">
        <f>"1588126981"</f>
        <v>1588126981</v>
      </c>
      <c r="C22934" t="str">
        <f>"208000000X"</f>
        <v>208000000X</v>
      </c>
      <c r="D22934" t="str">
        <f>"FRAYRE                   PHILIP JAY               "</f>
        <v xml:space="preserve">FRAYRE                   PHILIP JAY               </v>
      </c>
      <c r="E22934" t="str">
        <f t="shared" si="599"/>
        <v xml:space="preserve">MEMPHIS                   </v>
      </c>
      <c r="F22934" t="str">
        <f t="shared" si="598"/>
        <v>TN</v>
      </c>
    </row>
    <row r="22935" spans="1:6" x14ac:dyDescent="0.25">
      <c r="A22935" t="str">
        <f>"200003873"</f>
        <v>200003873</v>
      </c>
      <c r="B22935" t="str">
        <f>"1124377767"</f>
        <v>1124377767</v>
      </c>
      <c r="C22935" t="str">
        <f>"208600000X"</f>
        <v>208600000X</v>
      </c>
      <c r="D22935" t="str">
        <f>"CRUTCHFIELD WHITTEN      MELANIE                  "</f>
        <v xml:space="preserve">CRUTCHFIELD WHITTEN      MELANIE                  </v>
      </c>
      <c r="E22935" t="str">
        <f t="shared" si="599"/>
        <v xml:space="preserve">MEMPHIS                   </v>
      </c>
      <c r="F22935" t="str">
        <f t="shared" si="598"/>
        <v>TN</v>
      </c>
    </row>
    <row r="22936" spans="1:6" x14ac:dyDescent="0.25">
      <c r="A22936" t="str">
        <f>"200003886"</f>
        <v>200003886</v>
      </c>
      <c r="B22936" t="str">
        <f>"1639604887"</f>
        <v>1639604887</v>
      </c>
      <c r="C22936" t="str">
        <f>"207RR0500X"</f>
        <v>207RR0500X</v>
      </c>
      <c r="D22936" t="str">
        <f>"THOMAS                   STEFFI       A           "</f>
        <v xml:space="preserve">THOMAS                   STEFFI       A           </v>
      </c>
      <c r="E22936" t="str">
        <f t="shared" si="599"/>
        <v xml:space="preserve">MEMPHIS                   </v>
      </c>
      <c r="F22936" t="str">
        <f t="shared" si="598"/>
        <v>TN</v>
      </c>
    </row>
    <row r="22937" spans="1:6" x14ac:dyDescent="0.25">
      <c r="A22937" t="str">
        <f>"200003908"</f>
        <v>200003908</v>
      </c>
      <c r="B22937" t="str">
        <f>"1730743832"</f>
        <v>1730743832</v>
      </c>
      <c r="C22937" t="str">
        <f>"207R00000X"</f>
        <v>207R00000X</v>
      </c>
      <c r="D22937" t="str">
        <f>"MISHRA                   PRASHANT     K           "</f>
        <v xml:space="preserve">MISHRA                   PRASHANT     K           </v>
      </c>
      <c r="E22937" t="str">
        <f>"COLLIERVILLE              "</f>
        <v xml:space="preserve">COLLIERVILLE              </v>
      </c>
      <c r="F22937" t="str">
        <f t="shared" si="598"/>
        <v>TN</v>
      </c>
    </row>
    <row r="22938" spans="1:6" x14ac:dyDescent="0.25">
      <c r="A22938" t="str">
        <f>"200003917"</f>
        <v>200003917</v>
      </c>
      <c r="B22938" t="str">
        <f>"1205531746"</f>
        <v>1205531746</v>
      </c>
      <c r="C22938" t="str">
        <f>"207Y00000X"</f>
        <v>207Y00000X</v>
      </c>
      <c r="D22938" t="str">
        <f>"JAMES                    JOSEPH                   "</f>
        <v xml:space="preserve">JAMES                    JOSEPH                   </v>
      </c>
      <c r="E22938" t="str">
        <f t="shared" ref="E22938:E22946" si="600">"MEMPHIS                   "</f>
        <v xml:space="preserve">MEMPHIS                   </v>
      </c>
      <c r="F22938" t="str">
        <f t="shared" si="598"/>
        <v>TN</v>
      </c>
    </row>
    <row r="22939" spans="1:6" x14ac:dyDescent="0.25">
      <c r="A22939" t="str">
        <f>"200003942"</f>
        <v>200003942</v>
      </c>
      <c r="B22939" t="str">
        <f>"1720579451"</f>
        <v>1720579451</v>
      </c>
      <c r="C22939" t="str">
        <f>"208000000X"</f>
        <v>208000000X</v>
      </c>
      <c r="D22939" t="str">
        <f>"SARVODE                  SUPRIYA                  "</f>
        <v xml:space="preserve">SARVODE                  SUPRIYA                  </v>
      </c>
      <c r="E22939" t="str">
        <f t="shared" si="600"/>
        <v xml:space="preserve">MEMPHIS                   </v>
      </c>
      <c r="F22939" t="str">
        <f t="shared" si="598"/>
        <v>TN</v>
      </c>
    </row>
    <row r="22940" spans="1:6" x14ac:dyDescent="0.25">
      <c r="A22940" t="str">
        <f>"200003967"</f>
        <v>200003967</v>
      </c>
      <c r="B22940" t="str">
        <f>"1700456910"</f>
        <v>1700456910</v>
      </c>
      <c r="C22940" t="str">
        <f>"367500000X"</f>
        <v>367500000X</v>
      </c>
      <c r="D22940" t="str">
        <f>"DONOHUE                  ELLEN                    "</f>
        <v xml:space="preserve">DONOHUE                  ELLEN                    </v>
      </c>
      <c r="E22940" t="str">
        <f t="shared" si="600"/>
        <v xml:space="preserve">MEMPHIS                   </v>
      </c>
      <c r="F22940" t="str">
        <f t="shared" si="598"/>
        <v>TN</v>
      </c>
    </row>
    <row r="22941" spans="1:6" x14ac:dyDescent="0.25">
      <c r="A22941" t="str">
        <f>"200003984"</f>
        <v>200003984</v>
      </c>
      <c r="B22941" t="str">
        <f>"1730743832"</f>
        <v>1730743832</v>
      </c>
      <c r="C22941" t="str">
        <f>"207R00000X"</f>
        <v>207R00000X</v>
      </c>
      <c r="D22941" t="str">
        <f>"MISHRA                   PRASHANT     K           "</f>
        <v xml:space="preserve">MISHRA                   PRASHANT     K           </v>
      </c>
      <c r="E22941" t="str">
        <f t="shared" si="600"/>
        <v xml:space="preserve">MEMPHIS                   </v>
      </c>
      <c r="F22941" t="str">
        <f t="shared" si="598"/>
        <v>TN</v>
      </c>
    </row>
    <row r="22942" spans="1:6" x14ac:dyDescent="0.25">
      <c r="A22942" t="str">
        <f>"200004005"</f>
        <v>200004005</v>
      </c>
      <c r="B22942" t="str">
        <f>"1801841168"</f>
        <v>1801841168</v>
      </c>
      <c r="C22942" t="str">
        <f>"2085R0202X"</f>
        <v>2085R0202X</v>
      </c>
      <c r="D22942" t="str">
        <f>"CRAMER                   TIMOTHY                  "</f>
        <v xml:space="preserve">CRAMER                   TIMOTHY                  </v>
      </c>
      <c r="E22942" t="str">
        <f t="shared" si="600"/>
        <v xml:space="preserve">MEMPHIS                   </v>
      </c>
      <c r="F22942" t="str">
        <f t="shared" si="598"/>
        <v>TN</v>
      </c>
    </row>
    <row r="22943" spans="1:6" x14ac:dyDescent="0.25">
      <c r="A22943" t="str">
        <f>"200004019"</f>
        <v>200004019</v>
      </c>
      <c r="B22943" t="str">
        <f>"1629369475"</f>
        <v>1629369475</v>
      </c>
      <c r="C22943" t="str">
        <f>"2084N0402X"</f>
        <v>2084N0402X</v>
      </c>
      <c r="D22943" t="str">
        <f>"PATTERSON                AMY          L           "</f>
        <v xml:space="preserve">PATTERSON                AMY          L           </v>
      </c>
      <c r="E22943" t="str">
        <f t="shared" si="600"/>
        <v xml:space="preserve">MEMPHIS                   </v>
      </c>
      <c r="F22943" t="str">
        <f t="shared" si="598"/>
        <v>TN</v>
      </c>
    </row>
    <row r="22944" spans="1:6" x14ac:dyDescent="0.25">
      <c r="A22944" t="str">
        <f>"200004023"</f>
        <v>200004023</v>
      </c>
      <c r="B22944" t="str">
        <f>"1639337744"</f>
        <v>1639337744</v>
      </c>
      <c r="C22944" t="str">
        <f>"208000000X"</f>
        <v>208000000X</v>
      </c>
      <c r="D22944" t="str">
        <f>"SHAPPLEY                 REBEKAH                  "</f>
        <v xml:space="preserve">SHAPPLEY                 REBEKAH                  </v>
      </c>
      <c r="E22944" t="str">
        <f t="shared" si="600"/>
        <v xml:space="preserve">MEMPHIS                   </v>
      </c>
      <c r="F22944" t="str">
        <f t="shared" si="598"/>
        <v>TN</v>
      </c>
    </row>
    <row r="22945" spans="1:6" x14ac:dyDescent="0.25">
      <c r="A22945" t="str">
        <f>"200004034"</f>
        <v>200004034</v>
      </c>
      <c r="B22945" t="str">
        <f>"1598152928"</f>
        <v>1598152928</v>
      </c>
      <c r="C22945" t="str">
        <f>"208000000X"</f>
        <v>208000000X</v>
      </c>
      <c r="D22945" t="str">
        <f>"SCHROEDER                ANDREW                   "</f>
        <v xml:space="preserve">SCHROEDER                ANDREW                   </v>
      </c>
      <c r="E22945" t="str">
        <f t="shared" si="600"/>
        <v xml:space="preserve">MEMPHIS                   </v>
      </c>
      <c r="F22945" t="str">
        <f t="shared" si="598"/>
        <v>TN</v>
      </c>
    </row>
    <row r="22946" spans="1:6" x14ac:dyDescent="0.25">
      <c r="A22946" t="str">
        <f>"200004036"</f>
        <v>200004036</v>
      </c>
      <c r="B22946" t="str">
        <f>"1104347947"</f>
        <v>1104347947</v>
      </c>
      <c r="C22946" t="str">
        <f>"207R00000X"</f>
        <v>207R00000X</v>
      </c>
      <c r="D22946" t="str">
        <f>"ALEXANDER RAJAN          VIJAY ANANDA             "</f>
        <v xml:space="preserve">ALEXANDER RAJAN          VIJAY ANANDA             </v>
      </c>
      <c r="E22946" t="str">
        <f t="shared" si="600"/>
        <v xml:space="preserve">MEMPHIS                   </v>
      </c>
      <c r="F22946" t="str">
        <f t="shared" si="598"/>
        <v>TN</v>
      </c>
    </row>
    <row r="22947" spans="1:6" x14ac:dyDescent="0.25">
      <c r="A22947" t="str">
        <f>"200004098"</f>
        <v>200004098</v>
      </c>
      <c r="B22947" t="str">
        <f>"1013992585"</f>
        <v>1013992585</v>
      </c>
      <c r="C22947" t="str">
        <f>"207R00000X"</f>
        <v>207R00000X</v>
      </c>
      <c r="D22947" t="str">
        <f>"KATHAWALA                ZULEKHA                  "</f>
        <v xml:space="preserve">KATHAWALA                ZULEKHA                  </v>
      </c>
      <c r="E22947" t="str">
        <f>"GERMANTOWN                "</f>
        <v xml:space="preserve">GERMANTOWN                </v>
      </c>
      <c r="F22947" t="str">
        <f t="shared" si="598"/>
        <v>TN</v>
      </c>
    </row>
    <row r="22948" spans="1:6" x14ac:dyDescent="0.25">
      <c r="A22948" t="str">
        <f>"200004100"</f>
        <v>200004100</v>
      </c>
      <c r="B22948" t="str">
        <f>"1235482522"</f>
        <v>1235482522</v>
      </c>
      <c r="C22948" t="str">
        <f>"363L00000X"</f>
        <v>363L00000X</v>
      </c>
      <c r="D22948" t="str">
        <f>"WEST                     ALLISON                  "</f>
        <v xml:space="preserve">WEST                     ALLISON                  </v>
      </c>
      <c r="E22948" t="str">
        <f>"GERMANTOWN                "</f>
        <v xml:space="preserve">GERMANTOWN                </v>
      </c>
      <c r="F22948" t="str">
        <f t="shared" si="598"/>
        <v>TN</v>
      </c>
    </row>
    <row r="22949" spans="1:6" x14ac:dyDescent="0.25">
      <c r="A22949" t="str">
        <f>"200004107"</f>
        <v>200004107</v>
      </c>
      <c r="B22949" t="str">
        <f>"1679235212"</f>
        <v>1679235212</v>
      </c>
      <c r="C22949" t="str">
        <f>"363A00000X"</f>
        <v>363A00000X</v>
      </c>
      <c r="D22949" t="str">
        <f>"PITTMAN                  TILLIAM                  "</f>
        <v xml:space="preserve">PITTMAN                  TILLIAM                  </v>
      </c>
      <c r="E22949" t="str">
        <f t="shared" ref="E22949:E22959" si="601">"MEMPHIS                   "</f>
        <v xml:space="preserve">MEMPHIS                   </v>
      </c>
      <c r="F22949" t="str">
        <f t="shared" si="598"/>
        <v>TN</v>
      </c>
    </row>
    <row r="22950" spans="1:6" x14ac:dyDescent="0.25">
      <c r="A22950" t="str">
        <f>"200004115"</f>
        <v>200004115</v>
      </c>
      <c r="B22950" t="str">
        <f>"1316388143"</f>
        <v>1316388143</v>
      </c>
      <c r="C22950" t="str">
        <f>"207ZP0102X"</f>
        <v>207ZP0102X</v>
      </c>
      <c r="D22950" t="str">
        <f>"JAVIDIPARSIJANI          SARA                     "</f>
        <v xml:space="preserve">JAVIDIPARSIJANI          SARA                     </v>
      </c>
      <c r="E22950" t="str">
        <f t="shared" si="601"/>
        <v xml:space="preserve">MEMPHIS                   </v>
      </c>
      <c r="F22950" t="str">
        <f t="shared" si="598"/>
        <v>TN</v>
      </c>
    </row>
    <row r="22951" spans="1:6" x14ac:dyDescent="0.25">
      <c r="A22951" t="str">
        <f>"200004118"</f>
        <v>200004118</v>
      </c>
      <c r="B22951" t="str">
        <f>"1104870237"</f>
        <v>1104870237</v>
      </c>
      <c r="C22951" t="str">
        <f>"207V00000X"</f>
        <v>207V00000X</v>
      </c>
      <c r="D22951" t="str">
        <f>"KOERTEN                  JAMES        M           "</f>
        <v xml:space="preserve">KOERTEN                  JAMES        M           </v>
      </c>
      <c r="E22951" t="str">
        <f t="shared" si="601"/>
        <v xml:space="preserve">MEMPHIS                   </v>
      </c>
      <c r="F22951" t="str">
        <f t="shared" si="598"/>
        <v>TN</v>
      </c>
    </row>
    <row r="22952" spans="1:6" x14ac:dyDescent="0.25">
      <c r="A22952" t="str">
        <f>"200004168"</f>
        <v>200004168</v>
      </c>
      <c r="B22952" t="str">
        <f>"1760187165"</f>
        <v>1760187165</v>
      </c>
      <c r="C22952" t="str">
        <f>"208000000X"</f>
        <v>208000000X</v>
      </c>
      <c r="D22952" t="str">
        <f>"O'MALLEY                 NICOLE       S           "</f>
        <v xml:space="preserve">O'MALLEY                 NICOLE       S           </v>
      </c>
      <c r="E22952" t="str">
        <f t="shared" si="601"/>
        <v xml:space="preserve">MEMPHIS                   </v>
      </c>
      <c r="F22952" t="str">
        <f t="shared" si="598"/>
        <v>TN</v>
      </c>
    </row>
    <row r="22953" spans="1:6" x14ac:dyDescent="0.25">
      <c r="A22953" t="str">
        <f>"200004182"</f>
        <v>200004182</v>
      </c>
      <c r="B22953" t="str">
        <f>"1609514769"</f>
        <v>1609514769</v>
      </c>
      <c r="C22953" t="str">
        <f>"367500000X"</f>
        <v>367500000X</v>
      </c>
      <c r="D22953" t="str">
        <f>"DEVINENI                 MILENA       B           "</f>
        <v xml:space="preserve">DEVINENI                 MILENA       B           </v>
      </c>
      <c r="E22953" t="str">
        <f t="shared" si="601"/>
        <v xml:space="preserve">MEMPHIS                   </v>
      </c>
      <c r="F22953" t="str">
        <f t="shared" si="598"/>
        <v>TN</v>
      </c>
    </row>
    <row r="22954" spans="1:6" x14ac:dyDescent="0.25">
      <c r="A22954" t="str">
        <f>"200004235"</f>
        <v>200004235</v>
      </c>
      <c r="B22954" t="str">
        <f>"1588911036"</f>
        <v>1588911036</v>
      </c>
      <c r="C22954" t="str">
        <f>"363L00000X"</f>
        <v>363L00000X</v>
      </c>
      <c r="D22954" t="str">
        <f>"NGUYEN                   PHUONGDINH               "</f>
        <v xml:space="preserve">NGUYEN                   PHUONGDINH               </v>
      </c>
      <c r="E22954" t="str">
        <f t="shared" si="601"/>
        <v xml:space="preserve">MEMPHIS                   </v>
      </c>
      <c r="F22954" t="str">
        <f t="shared" si="598"/>
        <v>TN</v>
      </c>
    </row>
    <row r="22955" spans="1:6" x14ac:dyDescent="0.25">
      <c r="A22955" t="str">
        <f>"200004254"</f>
        <v>200004254</v>
      </c>
      <c r="B22955" t="str">
        <f>"1619682010"</f>
        <v>1619682010</v>
      </c>
      <c r="C22955" t="str">
        <f>"363A00000X"</f>
        <v>363A00000X</v>
      </c>
      <c r="D22955" t="str">
        <f>"COLLINS                  TAYLOR                   "</f>
        <v xml:space="preserve">COLLINS                  TAYLOR                   </v>
      </c>
      <c r="E22955" t="str">
        <f t="shared" si="601"/>
        <v xml:space="preserve">MEMPHIS                   </v>
      </c>
      <c r="F22955" t="str">
        <f t="shared" si="598"/>
        <v>TN</v>
      </c>
    </row>
    <row r="22956" spans="1:6" x14ac:dyDescent="0.25">
      <c r="A22956" t="str">
        <f>"200004258"</f>
        <v>200004258</v>
      </c>
      <c r="B22956" t="str">
        <f>"1255728747"</f>
        <v>1255728747</v>
      </c>
      <c r="C22956" t="str">
        <f>"207RC0001X"</f>
        <v>207RC0001X</v>
      </c>
      <c r="D22956" t="str">
        <f>"IFEDILI                  IKECHUKWU    A           "</f>
        <v xml:space="preserve">IFEDILI                  IKECHUKWU    A           </v>
      </c>
      <c r="E22956" t="str">
        <f t="shared" si="601"/>
        <v xml:space="preserve">MEMPHIS                   </v>
      </c>
      <c r="F22956" t="str">
        <f t="shared" si="598"/>
        <v>TN</v>
      </c>
    </row>
    <row r="22957" spans="1:6" x14ac:dyDescent="0.25">
      <c r="A22957" t="str">
        <f>"200004276"</f>
        <v>200004276</v>
      </c>
      <c r="B22957" t="str">
        <f>"1396852273"</f>
        <v>1396852273</v>
      </c>
      <c r="C22957" t="str">
        <f>"207RH0003X"</f>
        <v>207RH0003X</v>
      </c>
      <c r="D22957" t="str">
        <f>"RAJAN                    SANDEEP      K           "</f>
        <v xml:space="preserve">RAJAN                    SANDEEP      K           </v>
      </c>
      <c r="E22957" t="str">
        <f t="shared" si="601"/>
        <v xml:space="preserve">MEMPHIS                   </v>
      </c>
      <c r="F22957" t="str">
        <f t="shared" si="598"/>
        <v>TN</v>
      </c>
    </row>
    <row r="22958" spans="1:6" x14ac:dyDescent="0.25">
      <c r="A22958" t="str">
        <f>"200004280"</f>
        <v>200004280</v>
      </c>
      <c r="B22958" t="str">
        <f>"1720780562"</f>
        <v>1720780562</v>
      </c>
      <c r="C22958" t="str">
        <f>"363A00000X"</f>
        <v>363A00000X</v>
      </c>
      <c r="D22958" t="str">
        <f>"WALTON                   BRIANNA                  "</f>
        <v xml:space="preserve">WALTON                   BRIANNA                  </v>
      </c>
      <c r="E22958" t="str">
        <f t="shared" si="601"/>
        <v xml:space="preserve">MEMPHIS                   </v>
      </c>
      <c r="F22958" t="str">
        <f t="shared" si="598"/>
        <v>TN</v>
      </c>
    </row>
    <row r="22959" spans="1:6" x14ac:dyDescent="0.25">
      <c r="A22959" t="str">
        <f>"200004285"</f>
        <v>200004285</v>
      </c>
      <c r="B22959" t="str">
        <f>"1255037057"</f>
        <v>1255037057</v>
      </c>
      <c r="C22959" t="str">
        <f>"363L00000X"</f>
        <v>363L00000X</v>
      </c>
      <c r="D22959" t="str">
        <f>"HARRIS                   JASMINE                  "</f>
        <v xml:space="preserve">HARRIS                   JASMINE                  </v>
      </c>
      <c r="E22959" t="str">
        <f t="shared" si="601"/>
        <v xml:space="preserve">MEMPHIS                   </v>
      </c>
      <c r="F22959" t="str">
        <f t="shared" si="598"/>
        <v>TN</v>
      </c>
    </row>
    <row r="22960" spans="1:6" x14ac:dyDescent="0.25">
      <c r="A22960" t="str">
        <f>"200004287"</f>
        <v>200004287</v>
      </c>
      <c r="B22960" t="str">
        <f>"1720361363"</f>
        <v>1720361363</v>
      </c>
      <c r="C22960" t="str">
        <f>"363L00000X"</f>
        <v>363L00000X</v>
      </c>
      <c r="D22960" t="str">
        <f>"CARROLL                  CARMEN                   "</f>
        <v xml:space="preserve">CARROLL                  CARMEN                   </v>
      </c>
      <c r="E22960" t="str">
        <f>"JACKSON                   "</f>
        <v xml:space="preserve">JACKSON                   </v>
      </c>
      <c r="F22960" t="str">
        <f t="shared" si="598"/>
        <v>TN</v>
      </c>
    </row>
    <row r="22961" spans="1:6" x14ac:dyDescent="0.25">
      <c r="A22961" t="str">
        <f>"200004312"</f>
        <v>200004312</v>
      </c>
      <c r="B22961" t="str">
        <f>"1679101166"</f>
        <v>1679101166</v>
      </c>
      <c r="C22961" t="str">
        <f>"207P00000X"</f>
        <v>207P00000X</v>
      </c>
      <c r="D22961" t="str">
        <f>"MCGOWEN                  ALEXANDRA                "</f>
        <v xml:space="preserve">MCGOWEN                  ALEXANDRA                </v>
      </c>
      <c r="E22961" t="str">
        <f>"GERMANTOWN                "</f>
        <v xml:space="preserve">GERMANTOWN                </v>
      </c>
      <c r="F22961" t="str">
        <f t="shared" si="598"/>
        <v>TN</v>
      </c>
    </row>
    <row r="22962" spans="1:6" x14ac:dyDescent="0.25">
      <c r="A22962" t="str">
        <f>"200004360"</f>
        <v>200004360</v>
      </c>
      <c r="B22962" t="str">
        <f>"1922529429"</f>
        <v>1922529429</v>
      </c>
      <c r="C22962" t="str">
        <f>"207ZP0101X"</f>
        <v>207ZP0101X</v>
      </c>
      <c r="D22962" t="str">
        <f>"MALIK                    FAIZAN                   "</f>
        <v xml:space="preserve">MALIK                    FAIZAN                   </v>
      </c>
      <c r="E22962" t="str">
        <f t="shared" ref="E22962:E22972" si="602">"MEMPHIS                   "</f>
        <v xml:space="preserve">MEMPHIS                   </v>
      </c>
      <c r="F22962" t="str">
        <f t="shared" si="598"/>
        <v>TN</v>
      </c>
    </row>
    <row r="22963" spans="1:6" x14ac:dyDescent="0.25">
      <c r="A22963" t="str">
        <f>"200004363"</f>
        <v>200004363</v>
      </c>
      <c r="B22963" t="str">
        <f>"1326184813"</f>
        <v>1326184813</v>
      </c>
      <c r="C22963" t="str">
        <f>"2085P0229X"</f>
        <v>2085P0229X</v>
      </c>
      <c r="D22963" t="str">
        <f>"KHALATBARI               HEDIEH                   "</f>
        <v xml:space="preserve">KHALATBARI               HEDIEH                   </v>
      </c>
      <c r="E22963" t="str">
        <f t="shared" si="602"/>
        <v xml:space="preserve">MEMPHIS                   </v>
      </c>
      <c r="F22963" t="str">
        <f t="shared" si="598"/>
        <v>TN</v>
      </c>
    </row>
    <row r="22964" spans="1:6" x14ac:dyDescent="0.25">
      <c r="A22964" t="str">
        <f>"200004364"</f>
        <v>200004364</v>
      </c>
      <c r="B22964" t="str">
        <f>"1609835909"</f>
        <v>1609835909</v>
      </c>
      <c r="C22964" t="str">
        <f>"207R00000X"</f>
        <v>207R00000X</v>
      </c>
      <c r="D22964" t="str">
        <f>"HAYDEN                   SHAWN                    "</f>
        <v xml:space="preserve">HAYDEN                   SHAWN                    </v>
      </c>
      <c r="E22964" t="str">
        <f t="shared" si="602"/>
        <v xml:space="preserve">MEMPHIS                   </v>
      </c>
      <c r="F22964" t="str">
        <f t="shared" si="598"/>
        <v>TN</v>
      </c>
    </row>
    <row r="22965" spans="1:6" x14ac:dyDescent="0.25">
      <c r="A22965" t="str">
        <f>"200004411"</f>
        <v>200004411</v>
      </c>
      <c r="B22965" t="str">
        <f>"1992090401"</f>
        <v>1992090401</v>
      </c>
      <c r="C22965" t="str">
        <f>"208600000X"</f>
        <v>208600000X</v>
      </c>
      <c r="D22965" t="str">
        <f>"GORE                     RYLAND       J           "</f>
        <v xml:space="preserve">GORE                     RYLAND       J           </v>
      </c>
      <c r="E22965" t="str">
        <f t="shared" si="602"/>
        <v xml:space="preserve">MEMPHIS                   </v>
      </c>
      <c r="F22965" t="str">
        <f t="shared" si="598"/>
        <v>TN</v>
      </c>
    </row>
    <row r="22966" spans="1:6" x14ac:dyDescent="0.25">
      <c r="A22966" t="str">
        <f>"200004419"</f>
        <v>200004419</v>
      </c>
      <c r="B22966" t="str">
        <f>"1710295464"</f>
        <v>1710295464</v>
      </c>
      <c r="C22966" t="str">
        <f>"207Q00000X"</f>
        <v>207Q00000X</v>
      </c>
      <c r="D22966" t="str">
        <f>"BHAT                     PRASHANTH    M           "</f>
        <v xml:space="preserve">BHAT                     PRASHANTH    M           </v>
      </c>
      <c r="E22966" t="str">
        <f t="shared" si="602"/>
        <v xml:space="preserve">MEMPHIS                   </v>
      </c>
      <c r="F22966" t="str">
        <f t="shared" si="598"/>
        <v>TN</v>
      </c>
    </row>
    <row r="22967" spans="1:6" x14ac:dyDescent="0.25">
      <c r="A22967" t="str">
        <f>"200004432"</f>
        <v>200004432</v>
      </c>
      <c r="B22967" t="str">
        <f>"1780927855"</f>
        <v>1780927855</v>
      </c>
      <c r="C22967" t="str">
        <f>"208000000X"</f>
        <v>208000000X</v>
      </c>
      <c r="D22967" t="str">
        <f>"COLLINS                  KATHLEEN     P           "</f>
        <v xml:space="preserve">COLLINS                  KATHLEEN     P           </v>
      </c>
      <c r="E22967" t="str">
        <f t="shared" si="602"/>
        <v xml:space="preserve">MEMPHIS                   </v>
      </c>
      <c r="F22967" t="str">
        <f t="shared" si="598"/>
        <v>TN</v>
      </c>
    </row>
    <row r="22968" spans="1:6" x14ac:dyDescent="0.25">
      <c r="A22968" t="str">
        <f>"200004456"</f>
        <v>200004456</v>
      </c>
      <c r="B22968" t="str">
        <f>"1629504063"</f>
        <v>1629504063</v>
      </c>
      <c r="C22968" t="str">
        <f>"208000000X"</f>
        <v>208000000X</v>
      </c>
      <c r="D22968" t="str">
        <f>"SCHMIDT                  JENNY        R           "</f>
        <v xml:space="preserve">SCHMIDT                  JENNY        R           </v>
      </c>
      <c r="E22968" t="str">
        <f t="shared" si="602"/>
        <v xml:space="preserve">MEMPHIS                   </v>
      </c>
      <c r="F22968" t="str">
        <f t="shared" si="598"/>
        <v>TN</v>
      </c>
    </row>
    <row r="22969" spans="1:6" x14ac:dyDescent="0.25">
      <c r="A22969" t="str">
        <f>"200004463"</f>
        <v>200004463</v>
      </c>
      <c r="B22969" t="str">
        <f>"1932381530"</f>
        <v>1932381530</v>
      </c>
      <c r="C22969" t="str">
        <f>"207VX0201X"</f>
        <v>207VX0201X</v>
      </c>
      <c r="D22969" t="str">
        <f>"KUMAR                    SANJEEV                  "</f>
        <v xml:space="preserve">KUMAR                    SANJEEV                  </v>
      </c>
      <c r="E22969" t="str">
        <f t="shared" si="602"/>
        <v xml:space="preserve">MEMPHIS                   </v>
      </c>
      <c r="F22969" t="str">
        <f t="shared" si="598"/>
        <v>TN</v>
      </c>
    </row>
    <row r="22970" spans="1:6" x14ac:dyDescent="0.25">
      <c r="A22970" t="str">
        <f>"200004509"</f>
        <v>200004509</v>
      </c>
      <c r="B22970" t="str">
        <f>"1831886019"</f>
        <v>1831886019</v>
      </c>
      <c r="C22970" t="str">
        <f>"208000000X"</f>
        <v>208000000X</v>
      </c>
      <c r="D22970" t="str">
        <f>"YOUNG                    MORGAN                   "</f>
        <v xml:space="preserve">YOUNG                    MORGAN                   </v>
      </c>
      <c r="E22970" t="str">
        <f t="shared" si="602"/>
        <v xml:space="preserve">MEMPHIS                   </v>
      </c>
      <c r="F22970" t="str">
        <f t="shared" si="598"/>
        <v>TN</v>
      </c>
    </row>
    <row r="22971" spans="1:6" x14ac:dyDescent="0.25">
      <c r="A22971" t="str">
        <f>"200004556"</f>
        <v>200004556</v>
      </c>
      <c r="B22971" t="str">
        <f>"1063426302"</f>
        <v>1063426302</v>
      </c>
      <c r="C22971" t="str">
        <f>"2084N0400X"</f>
        <v>2084N0400X</v>
      </c>
      <c r="D22971" t="str">
        <f>"KUNDU                    SUBROTO                  "</f>
        <v xml:space="preserve">KUNDU                    SUBROTO                  </v>
      </c>
      <c r="E22971" t="str">
        <f t="shared" si="602"/>
        <v xml:space="preserve">MEMPHIS                   </v>
      </c>
      <c r="F22971" t="str">
        <f t="shared" si="598"/>
        <v>TN</v>
      </c>
    </row>
    <row r="22972" spans="1:6" x14ac:dyDescent="0.25">
      <c r="A22972" t="str">
        <f>"200004571"</f>
        <v>200004571</v>
      </c>
      <c r="B22972" t="str">
        <f>"1821785593"</f>
        <v>1821785593</v>
      </c>
      <c r="C22972" t="str">
        <f>"363A00000X"</f>
        <v>363A00000X</v>
      </c>
      <c r="D22972" t="str">
        <f>"PATEL                    KRISHNA      H           "</f>
        <v xml:space="preserve">PATEL                    KRISHNA      H           </v>
      </c>
      <c r="E22972" t="str">
        <f t="shared" si="602"/>
        <v xml:space="preserve">MEMPHIS                   </v>
      </c>
      <c r="F22972" t="str">
        <f t="shared" si="598"/>
        <v>TN</v>
      </c>
    </row>
    <row r="22973" spans="1:6" x14ac:dyDescent="0.25">
      <c r="A22973" t="str">
        <f>"200004584"</f>
        <v>200004584</v>
      </c>
      <c r="B22973" t="str">
        <f>"1487218848"</f>
        <v>1487218848</v>
      </c>
      <c r="C22973" t="str">
        <f>"207ZP0102X"</f>
        <v>207ZP0102X</v>
      </c>
      <c r="D22973" t="str">
        <f>"WILLIAMSON               CLAIRE                   "</f>
        <v xml:space="preserve">WILLIAMSON               CLAIRE                   </v>
      </c>
      <c r="E22973" t="str">
        <f>"GERMANTOWN                "</f>
        <v xml:space="preserve">GERMANTOWN                </v>
      </c>
      <c r="F22973" t="str">
        <f t="shared" si="598"/>
        <v>TN</v>
      </c>
    </row>
    <row r="22974" spans="1:6" x14ac:dyDescent="0.25">
      <c r="A22974" t="str">
        <f>"200004625"</f>
        <v>200004625</v>
      </c>
      <c r="B22974" t="str">
        <f>"1831622968"</f>
        <v>1831622968</v>
      </c>
      <c r="C22974" t="str">
        <f>"2084N0400X"</f>
        <v>2084N0400X</v>
      </c>
      <c r="D22974" t="str">
        <f>"GOYANES-VASQUEZ          JUAN         J           "</f>
        <v xml:space="preserve">GOYANES-VASQUEZ          JUAN         J           </v>
      </c>
      <c r="E22974" t="str">
        <f>"MEMPHIS                   "</f>
        <v xml:space="preserve">MEMPHIS                   </v>
      </c>
      <c r="F22974" t="str">
        <f t="shared" ref="F22974:F23037" si="603">"TN"</f>
        <v>TN</v>
      </c>
    </row>
    <row r="22975" spans="1:6" x14ac:dyDescent="0.25">
      <c r="A22975" t="str">
        <f>"200004641"</f>
        <v>200004641</v>
      </c>
      <c r="B22975" t="str">
        <f>"1275199879"</f>
        <v>1275199879</v>
      </c>
      <c r="C22975" t="str">
        <f>"207R00000X"</f>
        <v>207R00000X</v>
      </c>
      <c r="D22975" t="str">
        <f>"SKINNER                  ASHLEY       A           "</f>
        <v xml:space="preserve">SKINNER                  ASHLEY       A           </v>
      </c>
      <c r="E22975" t="str">
        <f>"COLLIERVILLE              "</f>
        <v xml:space="preserve">COLLIERVILLE              </v>
      </c>
      <c r="F22975" t="str">
        <f t="shared" si="603"/>
        <v>TN</v>
      </c>
    </row>
    <row r="22976" spans="1:6" x14ac:dyDescent="0.25">
      <c r="A22976" t="str">
        <f>"200004685"</f>
        <v>200004685</v>
      </c>
      <c r="B22976" t="str">
        <f>"1740579739"</f>
        <v>1740579739</v>
      </c>
      <c r="C22976" t="str">
        <f>"2080P0207X"</f>
        <v>2080P0207X</v>
      </c>
      <c r="D22976" t="str">
        <f>"GUENTHER                 LILLIAN      M           "</f>
        <v xml:space="preserve">GUENTHER                 LILLIAN      M           </v>
      </c>
      <c r="E22976" t="str">
        <f>"MEMPHIS                   "</f>
        <v xml:space="preserve">MEMPHIS                   </v>
      </c>
      <c r="F22976" t="str">
        <f t="shared" si="603"/>
        <v>TN</v>
      </c>
    </row>
    <row r="22977" spans="1:6" x14ac:dyDescent="0.25">
      <c r="A22977" t="str">
        <f>"200004809"</f>
        <v>200004809</v>
      </c>
      <c r="B22977" t="str">
        <f>"1134820715"</f>
        <v>1134820715</v>
      </c>
      <c r="C22977" t="str">
        <f>"363L00000X"</f>
        <v>363L00000X</v>
      </c>
      <c r="D22977" t="str">
        <f>"CAIN                     SHELBY                   "</f>
        <v xml:space="preserve">CAIN                     SHELBY                   </v>
      </c>
      <c r="E22977" t="str">
        <f>"JACKSON                   "</f>
        <v xml:space="preserve">JACKSON                   </v>
      </c>
      <c r="F22977" t="str">
        <f t="shared" si="603"/>
        <v>TN</v>
      </c>
    </row>
    <row r="22978" spans="1:6" x14ac:dyDescent="0.25">
      <c r="A22978" t="str">
        <f>"200004827"</f>
        <v>200004827</v>
      </c>
      <c r="B22978" t="str">
        <f>"1427516715"</f>
        <v>1427516715</v>
      </c>
      <c r="C22978" t="str">
        <f>"363L00000X"</f>
        <v>363L00000X</v>
      </c>
      <c r="D22978" t="str">
        <f>"LASIOWSKI                JESSICA                  "</f>
        <v xml:space="preserve">LASIOWSKI                JESSICA                  </v>
      </c>
      <c r="E22978" t="str">
        <f>"MEMPHIS                   "</f>
        <v xml:space="preserve">MEMPHIS                   </v>
      </c>
      <c r="F22978" t="str">
        <f t="shared" si="603"/>
        <v>TN</v>
      </c>
    </row>
    <row r="22979" spans="1:6" x14ac:dyDescent="0.25">
      <c r="A22979" t="str">
        <f>"200004841"</f>
        <v>200004841</v>
      </c>
      <c r="B22979" t="str">
        <f>"1710188941"</f>
        <v>1710188941</v>
      </c>
      <c r="C22979" t="str">
        <f>"208000000X"</f>
        <v>208000000X</v>
      </c>
      <c r="D22979" t="str">
        <f>"SNIDER                   MARK                     "</f>
        <v xml:space="preserve">SNIDER                   MARK                     </v>
      </c>
      <c r="E22979" t="str">
        <f>"MEMPHIS                   "</f>
        <v xml:space="preserve">MEMPHIS                   </v>
      </c>
      <c r="F22979" t="str">
        <f t="shared" si="603"/>
        <v>TN</v>
      </c>
    </row>
    <row r="22980" spans="1:6" x14ac:dyDescent="0.25">
      <c r="A22980" t="str">
        <f>"200004864"</f>
        <v>200004864</v>
      </c>
      <c r="B22980" t="str">
        <f>"1659831592"</f>
        <v>1659831592</v>
      </c>
      <c r="C22980" t="str">
        <f>"208000000X"</f>
        <v>208000000X</v>
      </c>
      <c r="D22980" t="str">
        <f>"MCCALL                   JESSICA                  "</f>
        <v xml:space="preserve">MCCALL                   JESSICA                  </v>
      </c>
      <c r="E22980" t="str">
        <f>"MEMPHIS                   "</f>
        <v xml:space="preserve">MEMPHIS                   </v>
      </c>
      <c r="F22980" t="str">
        <f t="shared" si="603"/>
        <v>TN</v>
      </c>
    </row>
    <row r="22981" spans="1:6" x14ac:dyDescent="0.25">
      <c r="A22981" t="str">
        <f>"200004865"</f>
        <v>200004865</v>
      </c>
      <c r="B22981" t="str">
        <f>"1194344184"</f>
        <v>1194344184</v>
      </c>
      <c r="C22981" t="str">
        <f>"207P00000X"</f>
        <v>207P00000X</v>
      </c>
      <c r="D22981" t="str">
        <f>"PINKSTON                 JUSTIN                   "</f>
        <v xml:space="preserve">PINKSTON                 JUSTIN                   </v>
      </c>
      <c r="E22981" t="str">
        <f>"GERMANTOWN                "</f>
        <v xml:space="preserve">GERMANTOWN                </v>
      </c>
      <c r="F22981" t="str">
        <f t="shared" si="603"/>
        <v>TN</v>
      </c>
    </row>
    <row r="22982" spans="1:6" x14ac:dyDescent="0.25">
      <c r="A22982" t="str">
        <f>"200004880"</f>
        <v>200004880</v>
      </c>
      <c r="B22982" t="str">
        <f>"1588831721"</f>
        <v>1588831721</v>
      </c>
      <c r="C22982" t="str">
        <f>"207RG0100X"</f>
        <v>207RG0100X</v>
      </c>
      <c r="D22982" t="str">
        <f>"AL-RASHDAN               ABDULLAH                 "</f>
        <v xml:space="preserve">AL-RASHDAN               ABDULLAH                 </v>
      </c>
      <c r="E22982" t="str">
        <f>"MEMPHIS                   "</f>
        <v xml:space="preserve">MEMPHIS                   </v>
      </c>
      <c r="F22982" t="str">
        <f t="shared" si="603"/>
        <v>TN</v>
      </c>
    </row>
    <row r="22983" spans="1:6" x14ac:dyDescent="0.25">
      <c r="A22983" t="str">
        <f>"200004892"</f>
        <v>200004892</v>
      </c>
      <c r="B22983" t="str">
        <f>"1619547056"</f>
        <v>1619547056</v>
      </c>
      <c r="C22983" t="str">
        <f>"367500000X"</f>
        <v>367500000X</v>
      </c>
      <c r="D22983" t="str">
        <f>"THOMPSON                 KATHRYN      W           "</f>
        <v xml:space="preserve">THOMPSON                 KATHRYN      W           </v>
      </c>
      <c r="E22983" t="str">
        <f>"MEMPHIS                   "</f>
        <v xml:space="preserve">MEMPHIS                   </v>
      </c>
      <c r="F22983" t="str">
        <f t="shared" si="603"/>
        <v>TN</v>
      </c>
    </row>
    <row r="22984" spans="1:6" x14ac:dyDescent="0.25">
      <c r="A22984" t="str">
        <f>"200004903"</f>
        <v>200004903</v>
      </c>
      <c r="B22984" t="str">
        <f>"1538657457"</f>
        <v>1538657457</v>
      </c>
      <c r="C22984" t="str">
        <f>"2085R0202X"</f>
        <v>2085R0202X</v>
      </c>
      <c r="D22984" t="str">
        <f>"MOSHREF                  ABTEEN                   "</f>
        <v xml:space="preserve">MOSHREF                  ABTEEN                   </v>
      </c>
      <c r="E22984" t="str">
        <f>"GERMANTOWN                "</f>
        <v xml:space="preserve">GERMANTOWN                </v>
      </c>
      <c r="F22984" t="str">
        <f t="shared" si="603"/>
        <v>TN</v>
      </c>
    </row>
    <row r="22985" spans="1:6" x14ac:dyDescent="0.25">
      <c r="A22985" t="str">
        <f>"200004917"</f>
        <v>200004917</v>
      </c>
      <c r="B22985" t="str">
        <f>"1265125488"</f>
        <v>1265125488</v>
      </c>
      <c r="C22985" t="str">
        <f>"367500000X"</f>
        <v>367500000X</v>
      </c>
      <c r="D22985" t="str">
        <f>"CHEC                     MACIEJ                   "</f>
        <v xml:space="preserve">CHEC                     MACIEJ                   </v>
      </c>
      <c r="E22985" t="str">
        <f t="shared" ref="E22985:E22990" si="604">"MEMPHIS                   "</f>
        <v xml:space="preserve">MEMPHIS                   </v>
      </c>
      <c r="F22985" t="str">
        <f t="shared" si="603"/>
        <v>TN</v>
      </c>
    </row>
    <row r="22986" spans="1:6" x14ac:dyDescent="0.25">
      <c r="A22986" t="str">
        <f>"200004924"</f>
        <v>200004924</v>
      </c>
      <c r="B22986" t="str">
        <f>"1376075747"</f>
        <v>1376075747</v>
      </c>
      <c r="C22986" t="str">
        <f>"207R00000X"</f>
        <v>207R00000X</v>
      </c>
      <c r="D22986" t="str">
        <f>"JOWHAR                   DAWIT                    "</f>
        <v xml:space="preserve">JOWHAR                   DAWIT                    </v>
      </c>
      <c r="E22986" t="str">
        <f t="shared" si="604"/>
        <v xml:space="preserve">MEMPHIS                   </v>
      </c>
      <c r="F22986" t="str">
        <f t="shared" si="603"/>
        <v>TN</v>
      </c>
    </row>
    <row r="22987" spans="1:6" x14ac:dyDescent="0.25">
      <c r="A22987" t="str">
        <f>"200004982"</f>
        <v>200004982</v>
      </c>
      <c r="B22987" t="str">
        <f>"1902249394"</f>
        <v>1902249394</v>
      </c>
      <c r="C22987" t="str">
        <f>"363LF0000X"</f>
        <v>363LF0000X</v>
      </c>
      <c r="D22987" t="str">
        <f>"EASTERWOOD               CATHERINE                "</f>
        <v xml:space="preserve">EASTERWOOD               CATHERINE                </v>
      </c>
      <c r="E22987" t="str">
        <f t="shared" si="604"/>
        <v xml:space="preserve">MEMPHIS                   </v>
      </c>
      <c r="F22987" t="str">
        <f t="shared" si="603"/>
        <v>TN</v>
      </c>
    </row>
    <row r="22988" spans="1:6" x14ac:dyDescent="0.25">
      <c r="A22988" t="str">
        <f>"200005003"</f>
        <v>200005003</v>
      </c>
      <c r="B22988" t="str">
        <f>"1396249777"</f>
        <v>1396249777</v>
      </c>
      <c r="C22988" t="str">
        <f>"208600000X"</f>
        <v>208600000X</v>
      </c>
      <c r="D22988" t="str">
        <f>"HOGAN                    MATTHEW      G           "</f>
        <v xml:space="preserve">HOGAN                    MATTHEW      G           </v>
      </c>
      <c r="E22988" t="str">
        <f t="shared" si="604"/>
        <v xml:space="preserve">MEMPHIS                   </v>
      </c>
      <c r="F22988" t="str">
        <f t="shared" si="603"/>
        <v>TN</v>
      </c>
    </row>
    <row r="22989" spans="1:6" x14ac:dyDescent="0.25">
      <c r="A22989" t="str">
        <f>"200005004"</f>
        <v>200005004</v>
      </c>
      <c r="B22989" t="str">
        <f>"1720035785"</f>
        <v>1720035785</v>
      </c>
      <c r="C22989" t="str">
        <f>"2080P0205X"</f>
        <v>2080P0205X</v>
      </c>
      <c r="D22989" t="str">
        <f>"GRISHMAN                 ELLEN                    "</f>
        <v xml:space="preserve">GRISHMAN                 ELLEN                    </v>
      </c>
      <c r="E22989" t="str">
        <f t="shared" si="604"/>
        <v xml:space="preserve">MEMPHIS                   </v>
      </c>
      <c r="F22989" t="str">
        <f t="shared" si="603"/>
        <v>TN</v>
      </c>
    </row>
    <row r="22990" spans="1:6" x14ac:dyDescent="0.25">
      <c r="A22990" t="str">
        <f>"200005007"</f>
        <v>200005007</v>
      </c>
      <c r="B22990" t="str">
        <f>"1043771876"</f>
        <v>1043771876</v>
      </c>
      <c r="C22990" t="str">
        <f>"208000000X"</f>
        <v>208000000X</v>
      </c>
      <c r="D22990" t="str">
        <f>"LOUI                     BERTINA                  "</f>
        <v xml:space="preserve">LOUI                     BERTINA                  </v>
      </c>
      <c r="E22990" t="str">
        <f t="shared" si="604"/>
        <v xml:space="preserve">MEMPHIS                   </v>
      </c>
      <c r="F22990" t="str">
        <f t="shared" si="603"/>
        <v>TN</v>
      </c>
    </row>
    <row r="22991" spans="1:6" x14ac:dyDescent="0.25">
      <c r="A22991" t="str">
        <f>"200005095"</f>
        <v>200005095</v>
      </c>
      <c r="B22991" t="str">
        <f>"1922019702"</f>
        <v>1922019702</v>
      </c>
      <c r="C22991" t="str">
        <f>"207RP1001X"</f>
        <v>207RP1001X</v>
      </c>
      <c r="D22991" t="str">
        <f>"SHIRAZEE                 SYED         H           "</f>
        <v xml:space="preserve">SHIRAZEE                 SYED         H           </v>
      </c>
      <c r="E22991" t="str">
        <f>"COLLIERVILLE              "</f>
        <v xml:space="preserve">COLLIERVILLE              </v>
      </c>
      <c r="F22991" t="str">
        <f t="shared" si="603"/>
        <v>TN</v>
      </c>
    </row>
    <row r="22992" spans="1:6" x14ac:dyDescent="0.25">
      <c r="A22992" t="str">
        <f>"200005096"</f>
        <v>200005096</v>
      </c>
      <c r="B22992" t="str">
        <f>"1508853250"</f>
        <v>1508853250</v>
      </c>
      <c r="C22992" t="str">
        <f>"207X00000X"</f>
        <v>207X00000X</v>
      </c>
      <c r="D22992" t="str">
        <f>"CLEVELAND                KEVIN                    "</f>
        <v xml:space="preserve">CLEVELAND                KEVIN                    </v>
      </c>
      <c r="E22992" t="str">
        <f>"GERMANTOWN                "</f>
        <v xml:space="preserve">GERMANTOWN                </v>
      </c>
      <c r="F22992" t="str">
        <f t="shared" si="603"/>
        <v>TN</v>
      </c>
    </row>
    <row r="22993" spans="1:6" x14ac:dyDescent="0.25">
      <c r="A22993" t="str">
        <f>"200005098"</f>
        <v>200005098</v>
      </c>
      <c r="B22993" t="str">
        <f>"1316646318"</f>
        <v>1316646318</v>
      </c>
      <c r="C22993" t="str">
        <f>"367500000X"</f>
        <v>367500000X</v>
      </c>
      <c r="D22993" t="str">
        <f>"GRAY                     ROBERT                   "</f>
        <v xml:space="preserve">GRAY                     ROBERT                   </v>
      </c>
      <c r="E22993" t="str">
        <f>"MEMPHIS                   "</f>
        <v xml:space="preserve">MEMPHIS                   </v>
      </c>
      <c r="F22993" t="str">
        <f t="shared" si="603"/>
        <v>TN</v>
      </c>
    </row>
    <row r="22994" spans="1:6" x14ac:dyDescent="0.25">
      <c r="A22994" t="str">
        <f>"200005099"</f>
        <v>200005099</v>
      </c>
      <c r="B22994" t="str">
        <f>"1831549104"</f>
        <v>1831549104</v>
      </c>
      <c r="C22994" t="str">
        <f>"2080P0202X"</f>
        <v>2080P0202X</v>
      </c>
      <c r="D22994" t="str">
        <f>"CHAKRABORTY              ABHISHEK                 "</f>
        <v xml:space="preserve">CHAKRABORTY              ABHISHEK                 </v>
      </c>
      <c r="E22994" t="str">
        <f>"MEMPHIS                   "</f>
        <v xml:space="preserve">MEMPHIS                   </v>
      </c>
      <c r="F22994" t="str">
        <f t="shared" si="603"/>
        <v>TN</v>
      </c>
    </row>
    <row r="22995" spans="1:6" x14ac:dyDescent="0.25">
      <c r="A22995" t="str">
        <f>"200005106"</f>
        <v>200005106</v>
      </c>
      <c r="B22995" t="str">
        <f>"1144742081"</f>
        <v>1144742081</v>
      </c>
      <c r="C22995" t="str">
        <f>"207RP1001X"</f>
        <v>207RP1001X</v>
      </c>
      <c r="D22995" t="str">
        <f>"YERAMAREDDY              SNIGDHA                  "</f>
        <v xml:space="preserve">YERAMAREDDY              SNIGDHA                  </v>
      </c>
      <c r="E22995" t="str">
        <f>"GERMANTOWN                "</f>
        <v xml:space="preserve">GERMANTOWN                </v>
      </c>
      <c r="F22995" t="str">
        <f t="shared" si="603"/>
        <v>TN</v>
      </c>
    </row>
    <row r="22996" spans="1:6" x14ac:dyDescent="0.25">
      <c r="A22996" t="str">
        <f>"200005161"</f>
        <v>200005161</v>
      </c>
      <c r="B22996" t="str">
        <f>"1154762458"</f>
        <v>1154762458</v>
      </c>
      <c r="C22996" t="str">
        <f>"2084N0400X"</f>
        <v>2084N0400X</v>
      </c>
      <c r="D22996" t="str">
        <f>"SALHAB                   MAHMOUD      M           "</f>
        <v xml:space="preserve">SALHAB                   MAHMOUD      M           </v>
      </c>
      <c r="E22996" t="str">
        <f>"MEMPHIS                   "</f>
        <v xml:space="preserve">MEMPHIS                   </v>
      </c>
      <c r="F22996" t="str">
        <f t="shared" si="603"/>
        <v>TN</v>
      </c>
    </row>
    <row r="22997" spans="1:6" x14ac:dyDescent="0.25">
      <c r="A22997" t="str">
        <f>"200005206"</f>
        <v>200005206</v>
      </c>
      <c r="B22997" t="str">
        <f>"1942790928"</f>
        <v>1942790928</v>
      </c>
      <c r="C22997" t="str">
        <f>"208000000X"</f>
        <v>208000000X</v>
      </c>
      <c r="D22997" t="str">
        <f>"SMITH                    JASMINE                  "</f>
        <v xml:space="preserve">SMITH                    JASMINE                  </v>
      </c>
      <c r="E22997" t="str">
        <f>"MEMPHIS                   "</f>
        <v xml:space="preserve">MEMPHIS                   </v>
      </c>
      <c r="F22997" t="str">
        <f t="shared" si="603"/>
        <v>TN</v>
      </c>
    </row>
    <row r="22998" spans="1:6" x14ac:dyDescent="0.25">
      <c r="A22998" t="str">
        <f>"200005216"</f>
        <v>200005216</v>
      </c>
      <c r="B22998" t="str">
        <f>"1891494878"</f>
        <v>1891494878</v>
      </c>
      <c r="C22998" t="str">
        <f>"367500000X"</f>
        <v>367500000X</v>
      </c>
      <c r="D22998" t="str">
        <f>"HARDESTY                 SARAH                    "</f>
        <v xml:space="preserve">HARDESTY                 SARAH                    </v>
      </c>
      <c r="E22998" t="str">
        <f>"MEMPHIS                   "</f>
        <v xml:space="preserve">MEMPHIS                   </v>
      </c>
      <c r="F22998" t="str">
        <f t="shared" si="603"/>
        <v>TN</v>
      </c>
    </row>
    <row r="22999" spans="1:6" x14ac:dyDescent="0.25">
      <c r="A22999" t="str">
        <f>"200005255"</f>
        <v>200005255</v>
      </c>
      <c r="B22999" t="str">
        <f>"1437845997"</f>
        <v>1437845997</v>
      </c>
      <c r="C22999" t="str">
        <f>"207T00000X"</f>
        <v>207T00000X</v>
      </c>
      <c r="D22999" t="str">
        <f>"MATICHAK                 DAVID        P           "</f>
        <v xml:space="preserve">MATICHAK                 DAVID        P           </v>
      </c>
      <c r="E22999" t="str">
        <f>"MEMPHIS                   "</f>
        <v xml:space="preserve">MEMPHIS                   </v>
      </c>
      <c r="F22999" t="str">
        <f t="shared" si="603"/>
        <v>TN</v>
      </c>
    </row>
    <row r="23000" spans="1:6" x14ac:dyDescent="0.25">
      <c r="A23000" t="str">
        <f>"200005265"</f>
        <v>200005265</v>
      </c>
      <c r="B23000" t="str">
        <f>"1134534282"</f>
        <v>1134534282</v>
      </c>
      <c r="C23000" t="str">
        <f>"363A00000X"</f>
        <v>363A00000X</v>
      </c>
      <c r="D23000" t="str">
        <f>"GRUSE                    EMILEE                   "</f>
        <v xml:space="preserve">GRUSE                    EMILEE                   </v>
      </c>
      <c r="E23000" t="str">
        <f>"GERMANTOWN                "</f>
        <v xml:space="preserve">GERMANTOWN                </v>
      </c>
      <c r="F23000" t="str">
        <f t="shared" si="603"/>
        <v>TN</v>
      </c>
    </row>
    <row r="23001" spans="1:6" x14ac:dyDescent="0.25">
      <c r="A23001" t="str">
        <f>"200005319"</f>
        <v>200005319</v>
      </c>
      <c r="B23001" t="str">
        <f>"1346595014"</f>
        <v>1346595014</v>
      </c>
      <c r="C23001" t="str">
        <f>"363A00000X"</f>
        <v>363A00000X</v>
      </c>
      <c r="D23001" t="str">
        <f>"CARROLL                  MATTHEW                  "</f>
        <v xml:space="preserve">CARROLL                  MATTHEW                  </v>
      </c>
      <c r="E23001" t="str">
        <f>"COLLIERVILLE              "</f>
        <v xml:space="preserve">COLLIERVILLE              </v>
      </c>
      <c r="F23001" t="str">
        <f t="shared" si="603"/>
        <v>TN</v>
      </c>
    </row>
    <row r="23002" spans="1:6" x14ac:dyDescent="0.25">
      <c r="A23002" t="str">
        <f>"200005324"</f>
        <v>200005324</v>
      </c>
      <c r="B23002" t="str">
        <f>"1275624470"</f>
        <v>1275624470</v>
      </c>
      <c r="C23002" t="str">
        <f>"207P00000X"</f>
        <v>207P00000X</v>
      </c>
      <c r="D23002" t="str">
        <f>"MCCORMACK                JOHN                     "</f>
        <v xml:space="preserve">MCCORMACK                JOHN                     </v>
      </c>
      <c r="E23002" t="str">
        <f>"GERMANTOWN                "</f>
        <v xml:space="preserve">GERMANTOWN                </v>
      </c>
      <c r="F23002" t="str">
        <f t="shared" si="603"/>
        <v>TN</v>
      </c>
    </row>
    <row r="23003" spans="1:6" x14ac:dyDescent="0.25">
      <c r="A23003" t="str">
        <f>"200005397"</f>
        <v>200005397</v>
      </c>
      <c r="B23003" t="str">
        <f>"1942720529"</f>
        <v>1942720529</v>
      </c>
      <c r="C23003" t="str">
        <f>"363L00000X"</f>
        <v>363L00000X</v>
      </c>
      <c r="D23003" t="str">
        <f>"BOBELIS                  ALEXA                    "</f>
        <v xml:space="preserve">BOBELIS                  ALEXA                    </v>
      </c>
      <c r="E23003" t="str">
        <f>"MEMPHIS                   "</f>
        <v xml:space="preserve">MEMPHIS                   </v>
      </c>
      <c r="F23003" t="str">
        <f t="shared" si="603"/>
        <v>TN</v>
      </c>
    </row>
    <row r="23004" spans="1:6" x14ac:dyDescent="0.25">
      <c r="A23004" t="str">
        <f>"200005414"</f>
        <v>200005414</v>
      </c>
      <c r="B23004" t="str">
        <f>"1306264429"</f>
        <v>1306264429</v>
      </c>
      <c r="C23004" t="str">
        <f>"2085R0202X"</f>
        <v>2085R0202X</v>
      </c>
      <c r="D23004" t="str">
        <f>"PINTO                    SONIYA                   "</f>
        <v xml:space="preserve">PINTO                    SONIYA                   </v>
      </c>
      <c r="E23004" t="str">
        <f>"MEMPHIS                   "</f>
        <v xml:space="preserve">MEMPHIS                   </v>
      </c>
      <c r="F23004" t="str">
        <f t="shared" si="603"/>
        <v>TN</v>
      </c>
    </row>
    <row r="23005" spans="1:6" x14ac:dyDescent="0.25">
      <c r="A23005" t="str">
        <f>"200005426"</f>
        <v>200005426</v>
      </c>
      <c r="B23005" t="str">
        <f>"1831695873"</f>
        <v>1831695873</v>
      </c>
      <c r="C23005" t="str">
        <f>"208800000X"</f>
        <v>208800000X</v>
      </c>
      <c r="D23005" t="str">
        <f>"REED                     KEVIN                    "</f>
        <v xml:space="preserve">REED                     KEVIN                    </v>
      </c>
      <c r="E23005" t="str">
        <f>"GERMANTOWN                "</f>
        <v xml:space="preserve">GERMANTOWN                </v>
      </c>
      <c r="F23005" t="str">
        <f t="shared" si="603"/>
        <v>TN</v>
      </c>
    </row>
    <row r="23006" spans="1:6" x14ac:dyDescent="0.25">
      <c r="A23006" t="str">
        <f>"200005430"</f>
        <v>200005430</v>
      </c>
      <c r="B23006" t="str">
        <f>"1124658380"</f>
        <v>1124658380</v>
      </c>
      <c r="C23006" t="str">
        <f>"363L00000X"</f>
        <v>363L00000X</v>
      </c>
      <c r="D23006" t="str">
        <f>"ALBERTINE                LAUREN                   "</f>
        <v xml:space="preserve">ALBERTINE                LAUREN                   </v>
      </c>
      <c r="E23006" t="str">
        <f>"MEMPHIS                   "</f>
        <v xml:space="preserve">MEMPHIS                   </v>
      </c>
      <c r="F23006" t="str">
        <f t="shared" si="603"/>
        <v>TN</v>
      </c>
    </row>
    <row r="23007" spans="1:6" x14ac:dyDescent="0.25">
      <c r="A23007" t="str">
        <f>"200005454"</f>
        <v>200005454</v>
      </c>
      <c r="B23007" t="str">
        <f>"1356902951"</f>
        <v>1356902951</v>
      </c>
      <c r="C23007" t="str">
        <f>"207Q00000X"</f>
        <v>207Q00000X</v>
      </c>
      <c r="D23007" t="str">
        <f>"BRANDON                  JOSHUA       R           "</f>
        <v xml:space="preserve">BRANDON                  JOSHUA       R           </v>
      </c>
      <c r="E23007" t="str">
        <f>"GERMANTOWN                "</f>
        <v xml:space="preserve">GERMANTOWN                </v>
      </c>
      <c r="F23007" t="str">
        <f t="shared" si="603"/>
        <v>TN</v>
      </c>
    </row>
    <row r="23008" spans="1:6" x14ac:dyDescent="0.25">
      <c r="A23008" t="str">
        <f>"200005469"</f>
        <v>200005469</v>
      </c>
      <c r="B23008" t="str">
        <f>"1457887945"</f>
        <v>1457887945</v>
      </c>
      <c r="C23008" t="str">
        <f>"2080P0206X"</f>
        <v>2080P0206X</v>
      </c>
      <c r="D23008" t="str">
        <f>"VICKERS                  MAGGIE       M           "</f>
        <v xml:space="preserve">VICKERS                  MAGGIE       M           </v>
      </c>
      <c r="E23008" t="str">
        <f>"MEMPHIS                   "</f>
        <v xml:space="preserve">MEMPHIS                   </v>
      </c>
      <c r="F23008" t="str">
        <f t="shared" si="603"/>
        <v>TN</v>
      </c>
    </row>
    <row r="23009" spans="1:6" x14ac:dyDescent="0.25">
      <c r="A23009" t="str">
        <f>"200005493"</f>
        <v>200005493</v>
      </c>
      <c r="B23009" t="str">
        <f>"1558725424"</f>
        <v>1558725424</v>
      </c>
      <c r="C23009" t="str">
        <f>"208000000X"</f>
        <v>208000000X</v>
      </c>
      <c r="D23009" t="str">
        <f>"MENEGAZ                  COLLEEN      A           "</f>
        <v xml:space="preserve">MENEGAZ                  COLLEEN      A           </v>
      </c>
      <c r="E23009" t="str">
        <f>"MEMPHIS                   "</f>
        <v xml:space="preserve">MEMPHIS                   </v>
      </c>
      <c r="F23009" t="str">
        <f t="shared" si="603"/>
        <v>TN</v>
      </c>
    </row>
    <row r="23010" spans="1:6" x14ac:dyDescent="0.25">
      <c r="A23010" t="str">
        <f>"200005599"</f>
        <v>200005599</v>
      </c>
      <c r="B23010" t="str">
        <f>"1962417725"</f>
        <v>1962417725</v>
      </c>
      <c r="C23010" t="str">
        <f>"207P00000X"</f>
        <v>207P00000X</v>
      </c>
      <c r="D23010" t="str">
        <f>"CRINER                   ROGER                    "</f>
        <v xml:space="preserve">CRINER                   ROGER                    </v>
      </c>
      <c r="E23010" t="str">
        <f>"MEMPHIS                   "</f>
        <v xml:space="preserve">MEMPHIS                   </v>
      </c>
      <c r="F23010" t="str">
        <f t="shared" si="603"/>
        <v>TN</v>
      </c>
    </row>
    <row r="23011" spans="1:6" x14ac:dyDescent="0.25">
      <c r="A23011" t="str">
        <f>"200005628"</f>
        <v>200005628</v>
      </c>
      <c r="B23011" t="str">
        <f>"1609857416"</f>
        <v>1609857416</v>
      </c>
      <c r="C23011" t="str">
        <f>"2080P0207X"</f>
        <v>2080P0207X</v>
      </c>
      <c r="D23011" t="str">
        <f>"CHEERVA                  ALEXANDRA    C           "</f>
        <v xml:space="preserve">CHEERVA                  ALEXANDRA    C           </v>
      </c>
      <c r="E23011" t="str">
        <f>"MEMPHIS                   "</f>
        <v xml:space="preserve">MEMPHIS                   </v>
      </c>
      <c r="F23011" t="str">
        <f t="shared" si="603"/>
        <v>TN</v>
      </c>
    </row>
    <row r="23012" spans="1:6" x14ac:dyDescent="0.25">
      <c r="A23012" t="str">
        <f>"200005634"</f>
        <v>200005634</v>
      </c>
      <c r="B23012" t="str">
        <f>"1639865769"</f>
        <v>1639865769</v>
      </c>
      <c r="C23012" t="str">
        <f>"363L00000X"</f>
        <v>363L00000X</v>
      </c>
      <c r="D23012" t="str">
        <f>"SMITH                    CALLIE                   "</f>
        <v xml:space="preserve">SMITH                    CALLIE                   </v>
      </c>
      <c r="E23012" t="str">
        <f>"MEMPHIS                   "</f>
        <v xml:space="preserve">MEMPHIS                   </v>
      </c>
      <c r="F23012" t="str">
        <f t="shared" si="603"/>
        <v>TN</v>
      </c>
    </row>
    <row r="23013" spans="1:6" x14ac:dyDescent="0.25">
      <c r="A23013" t="str">
        <f>"200005644"</f>
        <v>200005644</v>
      </c>
      <c r="B23013" t="str">
        <f>"1881695997"</f>
        <v>1881695997</v>
      </c>
      <c r="C23013" t="str">
        <f>"207P00000X"</f>
        <v>207P00000X</v>
      </c>
      <c r="D23013" t="str">
        <f>"MIXON                    JOSEPH                   "</f>
        <v xml:space="preserve">MIXON                    JOSEPH                   </v>
      </c>
      <c r="E23013" t="str">
        <f>"GERMANTOWN                "</f>
        <v xml:space="preserve">GERMANTOWN                </v>
      </c>
      <c r="F23013" t="str">
        <f t="shared" si="603"/>
        <v>TN</v>
      </c>
    </row>
    <row r="23014" spans="1:6" x14ac:dyDescent="0.25">
      <c r="A23014" t="str">
        <f>"200005749"</f>
        <v>200005749</v>
      </c>
      <c r="B23014" t="str">
        <f>"1992962773"</f>
        <v>1992962773</v>
      </c>
      <c r="C23014" t="str">
        <f>"2084N0402X"</f>
        <v>2084N0402X</v>
      </c>
      <c r="D23014" t="str">
        <f>"VIORRITTO                ERICK        N           "</f>
        <v xml:space="preserve">VIORRITTO                ERICK        N           </v>
      </c>
      <c r="E23014" t="str">
        <f t="shared" ref="E23014:E23024" si="605">"MEMPHIS                   "</f>
        <v xml:space="preserve">MEMPHIS                   </v>
      </c>
      <c r="F23014" t="str">
        <f t="shared" si="603"/>
        <v>TN</v>
      </c>
    </row>
    <row r="23015" spans="1:6" x14ac:dyDescent="0.25">
      <c r="A23015" t="str">
        <f>"200005796"</f>
        <v>200005796</v>
      </c>
      <c r="B23015" t="str">
        <f>"1649681404"</f>
        <v>1649681404</v>
      </c>
      <c r="C23015" t="str">
        <f>"363L00000X"</f>
        <v>363L00000X</v>
      </c>
      <c r="D23015" t="str">
        <f>"HUNTER                   KATHERINE                "</f>
        <v xml:space="preserve">HUNTER                   KATHERINE                </v>
      </c>
      <c r="E23015" t="str">
        <f t="shared" si="605"/>
        <v xml:space="preserve">MEMPHIS                   </v>
      </c>
      <c r="F23015" t="str">
        <f t="shared" si="603"/>
        <v>TN</v>
      </c>
    </row>
    <row r="23016" spans="1:6" x14ac:dyDescent="0.25">
      <c r="A23016" t="str">
        <f>"200005806"</f>
        <v>200005806</v>
      </c>
      <c r="B23016" t="str">
        <f>"1427521053"</f>
        <v>1427521053</v>
      </c>
      <c r="C23016" t="str">
        <f>"363L00000X"</f>
        <v>363L00000X</v>
      </c>
      <c r="D23016" t="str">
        <f>"KNIGHT                   CHARLOTTE    J           "</f>
        <v xml:space="preserve">KNIGHT                   CHARLOTTE    J           </v>
      </c>
      <c r="E23016" t="str">
        <f t="shared" si="605"/>
        <v xml:space="preserve">MEMPHIS                   </v>
      </c>
      <c r="F23016" t="str">
        <f t="shared" si="603"/>
        <v>TN</v>
      </c>
    </row>
    <row r="23017" spans="1:6" x14ac:dyDescent="0.25">
      <c r="A23017" t="str">
        <f>"200005843"</f>
        <v>200005843</v>
      </c>
      <c r="B23017" t="str">
        <f>"1598149239"</f>
        <v>1598149239</v>
      </c>
      <c r="C23017" t="str">
        <f>"208600000X"</f>
        <v>208600000X</v>
      </c>
      <c r="D23017" t="str">
        <f>"SETH                     RASHMI                   "</f>
        <v xml:space="preserve">SETH                     RASHMI                   </v>
      </c>
      <c r="E23017" t="str">
        <f t="shared" si="605"/>
        <v xml:space="preserve">MEMPHIS                   </v>
      </c>
      <c r="F23017" t="str">
        <f t="shared" si="603"/>
        <v>TN</v>
      </c>
    </row>
    <row r="23018" spans="1:6" x14ac:dyDescent="0.25">
      <c r="A23018" t="str">
        <f>"200005888"</f>
        <v>200005888</v>
      </c>
      <c r="B23018" t="str">
        <f>"1861193963"</f>
        <v>1861193963</v>
      </c>
      <c r="C23018" t="str">
        <f>"363LP0200X"</f>
        <v>363LP0200X</v>
      </c>
      <c r="D23018" t="str">
        <f>"WOLFE                    BRIDGETT                 "</f>
        <v xml:space="preserve">WOLFE                    BRIDGETT                 </v>
      </c>
      <c r="E23018" t="str">
        <f t="shared" si="605"/>
        <v xml:space="preserve">MEMPHIS                   </v>
      </c>
      <c r="F23018" t="str">
        <f t="shared" si="603"/>
        <v>TN</v>
      </c>
    </row>
    <row r="23019" spans="1:6" x14ac:dyDescent="0.25">
      <c r="A23019" t="str">
        <f>"200005926"</f>
        <v>200005926</v>
      </c>
      <c r="B23019" t="str">
        <f>"1447774963"</f>
        <v>1447774963</v>
      </c>
      <c r="C23019" t="str">
        <f>"363L00000X"</f>
        <v>363L00000X</v>
      </c>
      <c r="D23019" t="str">
        <f>"CHRISTIAN                SARAH                    "</f>
        <v xml:space="preserve">CHRISTIAN                SARAH                    </v>
      </c>
      <c r="E23019" t="str">
        <f t="shared" si="605"/>
        <v xml:space="preserve">MEMPHIS                   </v>
      </c>
      <c r="F23019" t="str">
        <f t="shared" si="603"/>
        <v>TN</v>
      </c>
    </row>
    <row r="23020" spans="1:6" x14ac:dyDescent="0.25">
      <c r="A23020" t="str">
        <f>"200005979"</f>
        <v>200005979</v>
      </c>
      <c r="B23020" t="str">
        <f>"1619322765"</f>
        <v>1619322765</v>
      </c>
      <c r="C23020" t="str">
        <f>"2080P0202X"</f>
        <v>2080P0202X</v>
      </c>
      <c r="D23020" t="str">
        <f>"HARVEY                   EVAN                     "</f>
        <v xml:space="preserve">HARVEY                   EVAN                     </v>
      </c>
      <c r="E23020" t="str">
        <f t="shared" si="605"/>
        <v xml:space="preserve">MEMPHIS                   </v>
      </c>
      <c r="F23020" t="str">
        <f t="shared" si="603"/>
        <v>TN</v>
      </c>
    </row>
    <row r="23021" spans="1:6" x14ac:dyDescent="0.25">
      <c r="A23021" t="str">
        <f>"200006000"</f>
        <v>200006000</v>
      </c>
      <c r="B23021" t="str">
        <f>"1689203101"</f>
        <v>1689203101</v>
      </c>
      <c r="C23021" t="str">
        <f>"208000000X"</f>
        <v>208000000X</v>
      </c>
      <c r="D23021" t="str">
        <f>"YANISHEVSKI              DAVID                    "</f>
        <v xml:space="preserve">YANISHEVSKI              DAVID                    </v>
      </c>
      <c r="E23021" t="str">
        <f t="shared" si="605"/>
        <v xml:space="preserve">MEMPHIS                   </v>
      </c>
      <c r="F23021" t="str">
        <f t="shared" si="603"/>
        <v>TN</v>
      </c>
    </row>
    <row r="23022" spans="1:6" x14ac:dyDescent="0.25">
      <c r="A23022" t="str">
        <f>"200006051"</f>
        <v>200006051</v>
      </c>
      <c r="B23022" t="str">
        <f>"1053932996"</f>
        <v>1053932996</v>
      </c>
      <c r="C23022" t="str">
        <f>"207R00000X"</f>
        <v>207R00000X</v>
      </c>
      <c r="D23022" t="str">
        <f>"RAM                      DANNY                    "</f>
        <v xml:space="preserve">RAM                      DANNY                    </v>
      </c>
      <c r="E23022" t="str">
        <f t="shared" si="605"/>
        <v xml:space="preserve">MEMPHIS                   </v>
      </c>
      <c r="F23022" t="str">
        <f t="shared" si="603"/>
        <v>TN</v>
      </c>
    </row>
    <row r="23023" spans="1:6" x14ac:dyDescent="0.25">
      <c r="A23023" t="str">
        <f>"200006052"</f>
        <v>200006052</v>
      </c>
      <c r="B23023" t="str">
        <f>"1346248671"</f>
        <v>1346248671</v>
      </c>
      <c r="C23023" t="str">
        <f>"207V00000X"</f>
        <v>207V00000X</v>
      </c>
      <c r="D23023" t="str">
        <f>"RAULS                    STEPHEN      R           "</f>
        <v xml:space="preserve">RAULS                    STEPHEN      R           </v>
      </c>
      <c r="E23023" t="str">
        <f t="shared" si="605"/>
        <v xml:space="preserve">MEMPHIS                   </v>
      </c>
      <c r="F23023" t="str">
        <f t="shared" si="603"/>
        <v>TN</v>
      </c>
    </row>
    <row r="23024" spans="1:6" x14ac:dyDescent="0.25">
      <c r="A23024" t="str">
        <f>"200006065"</f>
        <v>200006065</v>
      </c>
      <c r="B23024" t="str">
        <f>"1952781064"</f>
        <v>1952781064</v>
      </c>
      <c r="C23024" t="str">
        <f>"2080P0205X"</f>
        <v>2080P0205X</v>
      </c>
      <c r="D23024" t="str">
        <f>"AKINSEYE                 LEAH         I           "</f>
        <v xml:space="preserve">AKINSEYE                 LEAH         I           </v>
      </c>
      <c r="E23024" t="str">
        <f t="shared" si="605"/>
        <v xml:space="preserve">MEMPHIS                   </v>
      </c>
      <c r="F23024" t="str">
        <f t="shared" si="603"/>
        <v>TN</v>
      </c>
    </row>
    <row r="23025" spans="1:6" x14ac:dyDescent="0.25">
      <c r="A23025" t="str">
        <f>"200006072"</f>
        <v>200006072</v>
      </c>
      <c r="B23025" t="str">
        <f>"1568813517"</f>
        <v>1568813517</v>
      </c>
      <c r="C23025" t="str">
        <f>"363L00000X"</f>
        <v>363L00000X</v>
      </c>
      <c r="D23025" t="str">
        <f>"MCKINNEY                 AMANDA                   "</f>
        <v xml:space="preserve">MCKINNEY                 AMANDA                   </v>
      </c>
      <c r="E23025" t="str">
        <f>"GERMANTOWN                "</f>
        <v xml:space="preserve">GERMANTOWN                </v>
      </c>
      <c r="F23025" t="str">
        <f t="shared" si="603"/>
        <v>TN</v>
      </c>
    </row>
    <row r="23026" spans="1:6" x14ac:dyDescent="0.25">
      <c r="A23026" t="str">
        <f>"200006128"</f>
        <v>200006128</v>
      </c>
      <c r="B23026" t="str">
        <f>"1841722261"</f>
        <v>1841722261</v>
      </c>
      <c r="C23026" t="str">
        <f>"208000000X"</f>
        <v>208000000X</v>
      </c>
      <c r="D23026" t="str">
        <f>"HOGAN                    JARED                    "</f>
        <v xml:space="preserve">HOGAN                    JARED                    </v>
      </c>
      <c r="E23026" t="str">
        <f>"MEMPHIS                   "</f>
        <v xml:space="preserve">MEMPHIS                   </v>
      </c>
      <c r="F23026" t="str">
        <f t="shared" si="603"/>
        <v>TN</v>
      </c>
    </row>
    <row r="23027" spans="1:6" x14ac:dyDescent="0.25">
      <c r="A23027" t="str">
        <f>"200006135"</f>
        <v>200006135</v>
      </c>
      <c r="B23027" t="str">
        <f>"1801812029"</f>
        <v>1801812029</v>
      </c>
      <c r="C23027" t="str">
        <f>"207L00000X"</f>
        <v>207L00000X</v>
      </c>
      <c r="D23027" t="str">
        <f>"RUSHING                  PAULA                    "</f>
        <v xml:space="preserve">RUSHING                  PAULA                    </v>
      </c>
      <c r="E23027" t="str">
        <f>"MEMPHIS                   "</f>
        <v xml:space="preserve">MEMPHIS                   </v>
      </c>
      <c r="F23027" t="str">
        <f t="shared" si="603"/>
        <v>TN</v>
      </c>
    </row>
    <row r="23028" spans="1:6" x14ac:dyDescent="0.25">
      <c r="A23028" t="str">
        <f>"200006216"</f>
        <v>200006216</v>
      </c>
      <c r="B23028" t="str">
        <f>"1144456427"</f>
        <v>1144456427</v>
      </c>
      <c r="C23028" t="str">
        <f>"1223S0112X"</f>
        <v>1223S0112X</v>
      </c>
      <c r="D23028" t="str">
        <f>"WEISKOPF                 SCOTT                    "</f>
        <v xml:space="preserve">WEISKOPF                 SCOTT                    </v>
      </c>
      <c r="E23028" t="str">
        <f>"MEMPHIS                   "</f>
        <v xml:space="preserve">MEMPHIS                   </v>
      </c>
      <c r="F23028" t="str">
        <f t="shared" si="603"/>
        <v>TN</v>
      </c>
    </row>
    <row r="23029" spans="1:6" x14ac:dyDescent="0.25">
      <c r="A23029" t="str">
        <f>"200006233"</f>
        <v>200006233</v>
      </c>
      <c r="B23029" t="str">
        <f>"1629481577"</f>
        <v>1629481577</v>
      </c>
      <c r="C23029" t="str">
        <f>"2084N0402X"</f>
        <v>2084N0402X</v>
      </c>
      <c r="D23029" t="str">
        <f>"CASTRI                   PAOLA                    "</f>
        <v xml:space="preserve">CASTRI                   PAOLA                    </v>
      </c>
      <c r="E23029" t="str">
        <f>"MEMPHIS                   "</f>
        <v xml:space="preserve">MEMPHIS                   </v>
      </c>
      <c r="F23029" t="str">
        <f t="shared" si="603"/>
        <v>TN</v>
      </c>
    </row>
    <row r="23030" spans="1:6" x14ac:dyDescent="0.25">
      <c r="A23030" t="str">
        <f>"200006251"</f>
        <v>200006251</v>
      </c>
      <c r="B23030" t="str">
        <f>"1043694490"</f>
        <v>1043694490</v>
      </c>
      <c r="C23030" t="str">
        <f>"207RG0100X"</f>
        <v>207RG0100X</v>
      </c>
      <c r="D23030" t="str">
        <f>"AZAM                     SHOAIB                   "</f>
        <v xml:space="preserve">AZAM                     SHOAIB                   </v>
      </c>
      <c r="E23030" t="str">
        <f>"BARTLETT                  "</f>
        <v xml:space="preserve">BARTLETT                  </v>
      </c>
      <c r="F23030" t="str">
        <f t="shared" si="603"/>
        <v>TN</v>
      </c>
    </row>
    <row r="23031" spans="1:6" x14ac:dyDescent="0.25">
      <c r="A23031" t="str">
        <f>"200006259"</f>
        <v>200006259</v>
      </c>
      <c r="B23031" t="str">
        <f>"1144739798"</f>
        <v>1144739798</v>
      </c>
      <c r="C23031" t="str">
        <f>"363A00000X"</f>
        <v>363A00000X</v>
      </c>
      <c r="D23031" t="str">
        <f>"BARTHOLOMEW              MEGAN                    "</f>
        <v xml:space="preserve">BARTHOLOMEW              MEGAN                    </v>
      </c>
      <c r="E23031" t="str">
        <f>"MEMPHIS                   "</f>
        <v xml:space="preserve">MEMPHIS                   </v>
      </c>
      <c r="F23031" t="str">
        <f t="shared" si="603"/>
        <v>TN</v>
      </c>
    </row>
    <row r="23032" spans="1:6" x14ac:dyDescent="0.25">
      <c r="A23032" t="str">
        <f>"200006262"</f>
        <v>200006262</v>
      </c>
      <c r="B23032" t="str">
        <f>"1124614284"</f>
        <v>1124614284</v>
      </c>
      <c r="C23032" t="str">
        <f>"363L00000X"</f>
        <v>363L00000X</v>
      </c>
      <c r="D23032" t="str">
        <f>"SISAM                    JAIME                    "</f>
        <v xml:space="preserve">SISAM                    JAIME                    </v>
      </c>
      <c r="E23032" t="str">
        <f>"MEMPHIS                   "</f>
        <v xml:space="preserve">MEMPHIS                   </v>
      </c>
      <c r="F23032" t="str">
        <f t="shared" si="603"/>
        <v>TN</v>
      </c>
    </row>
    <row r="23033" spans="1:6" x14ac:dyDescent="0.25">
      <c r="A23033" t="str">
        <f>"200006302"</f>
        <v>200006302</v>
      </c>
      <c r="B23033" t="str">
        <f>"1871944413"</f>
        <v>1871944413</v>
      </c>
      <c r="C23033" t="str">
        <f>"2080P0202X"</f>
        <v>2080P0202X</v>
      </c>
      <c r="D23033" t="str">
        <f>"GUTIERREZ-TORRES         MARIA                    "</f>
        <v xml:space="preserve">GUTIERREZ-TORRES         MARIA                    </v>
      </c>
      <c r="E23033" t="str">
        <f>"MEMPHIS                   "</f>
        <v xml:space="preserve">MEMPHIS                   </v>
      </c>
      <c r="F23033" t="str">
        <f t="shared" si="603"/>
        <v>TN</v>
      </c>
    </row>
    <row r="23034" spans="1:6" x14ac:dyDescent="0.25">
      <c r="A23034" t="str">
        <f>"200006348"</f>
        <v>200006348</v>
      </c>
      <c r="B23034" t="str">
        <f>"1871121863"</f>
        <v>1871121863</v>
      </c>
      <c r="C23034" t="str">
        <f>"208000000X"</f>
        <v>208000000X</v>
      </c>
      <c r="D23034" t="str">
        <f>"KUTZ                     CAITLIN      R           "</f>
        <v xml:space="preserve">KUTZ                     CAITLIN      R           </v>
      </c>
      <c r="E23034" t="str">
        <f>"MEMPHIS                   "</f>
        <v xml:space="preserve">MEMPHIS                   </v>
      </c>
      <c r="F23034" t="str">
        <f t="shared" si="603"/>
        <v>TN</v>
      </c>
    </row>
    <row r="23035" spans="1:6" x14ac:dyDescent="0.25">
      <c r="A23035" t="str">
        <f>"200006354"</f>
        <v>200006354</v>
      </c>
      <c r="B23035" t="str">
        <f>"1114495058"</f>
        <v>1114495058</v>
      </c>
      <c r="C23035" t="str">
        <f>"363L00000X"</f>
        <v>363L00000X</v>
      </c>
      <c r="D23035" t="str">
        <f>"BAXTER                   GENEVIEVE                "</f>
        <v xml:space="preserve">BAXTER                   GENEVIEVE                </v>
      </c>
      <c r="E23035" t="str">
        <f>"MEMPHIS                   "</f>
        <v xml:space="preserve">MEMPHIS                   </v>
      </c>
      <c r="F23035" t="str">
        <f t="shared" si="603"/>
        <v>TN</v>
      </c>
    </row>
    <row r="23036" spans="1:6" x14ac:dyDescent="0.25">
      <c r="A23036" t="str">
        <f>"200006360"</f>
        <v>200006360</v>
      </c>
      <c r="B23036" t="str">
        <f>"1124653340"</f>
        <v>1124653340</v>
      </c>
      <c r="C23036" t="str">
        <f>"363L00000X"</f>
        <v>363L00000X</v>
      </c>
      <c r="D23036" t="str">
        <f>"FOSTER                   ASHLEY                   "</f>
        <v xml:space="preserve">FOSTER                   ASHLEY                   </v>
      </c>
      <c r="E23036" t="str">
        <f>"GERMANTOWN                "</f>
        <v xml:space="preserve">GERMANTOWN                </v>
      </c>
      <c r="F23036" t="str">
        <f t="shared" si="603"/>
        <v>TN</v>
      </c>
    </row>
    <row r="23037" spans="1:6" x14ac:dyDescent="0.25">
      <c r="A23037" t="str">
        <f>"200006375"</f>
        <v>200006375</v>
      </c>
      <c r="B23037" t="str">
        <f>"1306804273"</f>
        <v>1306804273</v>
      </c>
      <c r="C23037" t="str">
        <f>"207W00000X"</f>
        <v>207W00000X</v>
      </c>
      <c r="D23037" t="str">
        <f>"FRY                      CONSTANCE                "</f>
        <v xml:space="preserve">FRY                      CONSTANCE                </v>
      </c>
      <c r="E23037" t="str">
        <f>"MEMPHIS                   "</f>
        <v xml:space="preserve">MEMPHIS                   </v>
      </c>
      <c r="F23037" t="str">
        <f t="shared" si="603"/>
        <v>TN</v>
      </c>
    </row>
    <row r="23038" spans="1:6" x14ac:dyDescent="0.25">
      <c r="A23038" t="str">
        <f>"200006440"</f>
        <v>200006440</v>
      </c>
      <c r="B23038" t="str">
        <f>"1215490644"</f>
        <v>1215490644</v>
      </c>
      <c r="C23038" t="str">
        <f>"207N00000X"</f>
        <v>207N00000X</v>
      </c>
      <c r="D23038" t="str">
        <f>"PULUSANI                 SRINIDHI                 "</f>
        <v xml:space="preserve">PULUSANI                 SRINIDHI                 </v>
      </c>
      <c r="E23038" t="str">
        <f>"MEMPHIS                   "</f>
        <v xml:space="preserve">MEMPHIS                   </v>
      </c>
      <c r="F23038" t="str">
        <f t="shared" ref="F23038:F23101" si="606">"TN"</f>
        <v>TN</v>
      </c>
    </row>
    <row r="23039" spans="1:6" x14ac:dyDescent="0.25">
      <c r="A23039" t="str">
        <f>"200006469"</f>
        <v>200006469</v>
      </c>
      <c r="B23039" t="str">
        <f>"1124087960"</f>
        <v>1124087960</v>
      </c>
      <c r="C23039" t="str">
        <f>"208G00000X"</f>
        <v>208G00000X</v>
      </c>
      <c r="D23039" t="str">
        <f>"MCUNU                    ARTHUR                   "</f>
        <v xml:space="preserve">MCUNU                    ARTHUR                   </v>
      </c>
      <c r="E23039" t="str">
        <f>"GERMANTOWN                "</f>
        <v xml:space="preserve">GERMANTOWN                </v>
      </c>
      <c r="F23039" t="str">
        <f t="shared" si="606"/>
        <v>TN</v>
      </c>
    </row>
    <row r="23040" spans="1:6" x14ac:dyDescent="0.25">
      <c r="A23040" t="str">
        <f>"200006539"</f>
        <v>200006539</v>
      </c>
      <c r="B23040" t="str">
        <f>"1700897709"</f>
        <v>1700897709</v>
      </c>
      <c r="C23040" t="str">
        <f>"207V00000X"</f>
        <v>207V00000X</v>
      </c>
      <c r="D23040" t="str">
        <f>"MOORE                    YVONNE                   "</f>
        <v xml:space="preserve">MOORE                    YVONNE                   </v>
      </c>
      <c r="E23040" t="str">
        <f>"MEMPHIS                   "</f>
        <v xml:space="preserve">MEMPHIS                   </v>
      </c>
      <c r="F23040" t="str">
        <f t="shared" si="606"/>
        <v>TN</v>
      </c>
    </row>
    <row r="23041" spans="1:6" x14ac:dyDescent="0.25">
      <c r="A23041" t="str">
        <f>"200006551"</f>
        <v>200006551</v>
      </c>
      <c r="B23041" t="str">
        <f>"1851317309"</f>
        <v>1851317309</v>
      </c>
      <c r="C23041" t="str">
        <f>"2085R0202X"</f>
        <v>2085R0202X</v>
      </c>
      <c r="D23041" t="str">
        <f>"SOMOGYI                  CHRISTOPHER              "</f>
        <v xml:space="preserve">SOMOGYI                  CHRISTOPHER              </v>
      </c>
      <c r="E23041" t="str">
        <f>"MEMPHIS                   "</f>
        <v xml:space="preserve">MEMPHIS                   </v>
      </c>
      <c r="F23041" t="str">
        <f t="shared" si="606"/>
        <v>TN</v>
      </c>
    </row>
    <row r="23042" spans="1:6" x14ac:dyDescent="0.25">
      <c r="A23042" t="str">
        <f>"200006555"</f>
        <v>200006555</v>
      </c>
      <c r="B23042" t="str">
        <f>"1962155846"</f>
        <v>1962155846</v>
      </c>
      <c r="C23042" t="str">
        <f>"363L00000X"</f>
        <v>363L00000X</v>
      </c>
      <c r="D23042" t="str">
        <f>"WILSON                   TASHA                    "</f>
        <v xml:space="preserve">WILSON                   TASHA                    </v>
      </c>
      <c r="E23042" t="str">
        <f>"MEMPHIS                   "</f>
        <v xml:space="preserve">MEMPHIS                   </v>
      </c>
      <c r="F23042" t="str">
        <f t="shared" si="606"/>
        <v>TN</v>
      </c>
    </row>
    <row r="23043" spans="1:6" x14ac:dyDescent="0.25">
      <c r="A23043" t="str">
        <f>"200006568"</f>
        <v>200006568</v>
      </c>
      <c r="B23043" t="str">
        <f>"1750812707"</f>
        <v>1750812707</v>
      </c>
      <c r="C23043" t="str">
        <f>"207X00000X"</f>
        <v>207X00000X</v>
      </c>
      <c r="D23043" t="str">
        <f>"SAMBORSKI                STEVEN                   "</f>
        <v xml:space="preserve">SAMBORSKI                STEVEN                   </v>
      </c>
      <c r="E23043" t="str">
        <f>"GERMANTOWN                "</f>
        <v xml:space="preserve">GERMANTOWN                </v>
      </c>
      <c r="F23043" t="str">
        <f t="shared" si="606"/>
        <v>TN</v>
      </c>
    </row>
    <row r="23044" spans="1:6" x14ac:dyDescent="0.25">
      <c r="A23044" t="str">
        <f>"200006619"</f>
        <v>200006619</v>
      </c>
      <c r="B23044" t="str">
        <f>"1801578372"</f>
        <v>1801578372</v>
      </c>
      <c r="C23044" t="str">
        <f>"363L00000X"</f>
        <v>363L00000X</v>
      </c>
      <c r="D23044" t="str">
        <f>"ANDREWS                  SHAWN        M           "</f>
        <v xml:space="preserve">ANDREWS                  SHAWN        M           </v>
      </c>
      <c r="E23044" t="str">
        <f t="shared" ref="E23044:E23049" si="607">"MEMPHIS                   "</f>
        <v xml:space="preserve">MEMPHIS                   </v>
      </c>
      <c r="F23044" t="str">
        <f t="shared" si="606"/>
        <v>TN</v>
      </c>
    </row>
    <row r="23045" spans="1:6" x14ac:dyDescent="0.25">
      <c r="A23045" t="str">
        <f>"200006634"</f>
        <v>200006634</v>
      </c>
      <c r="B23045" t="str">
        <f>"1285229559"</f>
        <v>1285229559</v>
      </c>
      <c r="C23045" t="str">
        <f>"363L00000X"</f>
        <v>363L00000X</v>
      </c>
      <c r="D23045" t="str">
        <f>"CAMPBELL                 AMY          R           "</f>
        <v xml:space="preserve">CAMPBELL                 AMY          R           </v>
      </c>
      <c r="E23045" t="str">
        <f t="shared" si="607"/>
        <v xml:space="preserve">MEMPHIS                   </v>
      </c>
      <c r="F23045" t="str">
        <f t="shared" si="606"/>
        <v>TN</v>
      </c>
    </row>
    <row r="23046" spans="1:6" x14ac:dyDescent="0.25">
      <c r="A23046" t="str">
        <f>"200006661"</f>
        <v>200006661</v>
      </c>
      <c r="B23046" t="str">
        <f>"1679834626"</f>
        <v>1679834626</v>
      </c>
      <c r="C23046" t="str">
        <f>"208M00000X"</f>
        <v>208M00000X</v>
      </c>
      <c r="D23046" t="str">
        <f>"WARFORD                  SUZANNE      S           "</f>
        <v xml:space="preserve">WARFORD                  SUZANNE      S           </v>
      </c>
      <c r="E23046" t="str">
        <f t="shared" si="607"/>
        <v xml:space="preserve">MEMPHIS                   </v>
      </c>
      <c r="F23046" t="str">
        <f t="shared" si="606"/>
        <v>TN</v>
      </c>
    </row>
    <row r="23047" spans="1:6" x14ac:dyDescent="0.25">
      <c r="A23047" t="str">
        <f>"200006680"</f>
        <v>200006680</v>
      </c>
      <c r="B23047" t="str">
        <f>"1902025034"</f>
        <v>1902025034</v>
      </c>
      <c r="C23047" t="str">
        <f>"367500000X"</f>
        <v>367500000X</v>
      </c>
      <c r="D23047" t="str">
        <f>"WADE                     KELLY                    "</f>
        <v xml:space="preserve">WADE                     KELLY                    </v>
      </c>
      <c r="E23047" t="str">
        <f t="shared" si="607"/>
        <v xml:space="preserve">MEMPHIS                   </v>
      </c>
      <c r="F23047" t="str">
        <f t="shared" si="606"/>
        <v>TN</v>
      </c>
    </row>
    <row r="23048" spans="1:6" x14ac:dyDescent="0.25">
      <c r="A23048" t="str">
        <f>"200006684"</f>
        <v>200006684</v>
      </c>
      <c r="B23048" t="str">
        <f>"1548045263"</f>
        <v>1548045263</v>
      </c>
      <c r="C23048" t="str">
        <f>"363L00000X"</f>
        <v>363L00000X</v>
      </c>
      <c r="D23048" t="str">
        <f>"DEWALT                   BRE'YOCHA                "</f>
        <v xml:space="preserve">DEWALT                   BRE'YOCHA                </v>
      </c>
      <c r="E23048" t="str">
        <f t="shared" si="607"/>
        <v xml:space="preserve">MEMPHIS                   </v>
      </c>
      <c r="F23048" t="str">
        <f t="shared" si="606"/>
        <v>TN</v>
      </c>
    </row>
    <row r="23049" spans="1:6" x14ac:dyDescent="0.25">
      <c r="A23049" t="str">
        <f>"200006690"</f>
        <v>200006690</v>
      </c>
      <c r="B23049" t="str">
        <f>"1780108852"</f>
        <v>1780108852</v>
      </c>
      <c r="C23049" t="str">
        <f>"207L00000X"</f>
        <v>207L00000X</v>
      </c>
      <c r="D23049" t="str">
        <f>"SILVA PAREDES            LEMUEL       S           "</f>
        <v xml:space="preserve">SILVA PAREDES            LEMUEL       S           </v>
      </c>
      <c r="E23049" t="str">
        <f t="shared" si="607"/>
        <v xml:space="preserve">MEMPHIS                   </v>
      </c>
      <c r="F23049" t="str">
        <f t="shared" si="606"/>
        <v>TN</v>
      </c>
    </row>
    <row r="23050" spans="1:6" x14ac:dyDescent="0.25">
      <c r="A23050" t="str">
        <f>"200006692"</f>
        <v>200006692</v>
      </c>
      <c r="B23050" t="str">
        <f>"1346773116"</f>
        <v>1346773116</v>
      </c>
      <c r="C23050" t="str">
        <f>"2080P0202X"</f>
        <v>2080P0202X</v>
      </c>
      <c r="D23050" t="str">
        <f>"WALSH                    AARON                    "</f>
        <v xml:space="preserve">WALSH                    AARON                    </v>
      </c>
      <c r="E23050" t="str">
        <f>"JACKSON                   "</f>
        <v xml:space="preserve">JACKSON                   </v>
      </c>
      <c r="F23050" t="str">
        <f t="shared" si="606"/>
        <v>TN</v>
      </c>
    </row>
    <row r="23051" spans="1:6" x14ac:dyDescent="0.25">
      <c r="A23051" t="str">
        <f>"200006711"</f>
        <v>200006711</v>
      </c>
      <c r="B23051" t="str">
        <f>"1487960605"</f>
        <v>1487960605</v>
      </c>
      <c r="C23051" t="str">
        <f>"367500000X"</f>
        <v>367500000X</v>
      </c>
      <c r="D23051" t="str">
        <f>"DAY                      MARY                     "</f>
        <v xml:space="preserve">DAY                      MARY                     </v>
      </c>
      <c r="E23051" t="str">
        <f>"MEMPHIS                   "</f>
        <v xml:space="preserve">MEMPHIS                   </v>
      </c>
      <c r="F23051" t="str">
        <f t="shared" si="606"/>
        <v>TN</v>
      </c>
    </row>
    <row r="23052" spans="1:6" x14ac:dyDescent="0.25">
      <c r="A23052" t="str">
        <f>"200006723"</f>
        <v>200006723</v>
      </c>
      <c r="B23052" t="str">
        <f>"1144783374"</f>
        <v>1144783374</v>
      </c>
      <c r="C23052" t="str">
        <f>"208000000X"</f>
        <v>208000000X</v>
      </c>
      <c r="D23052" t="str">
        <f>"COOK                     MATTHEW                  "</f>
        <v xml:space="preserve">COOK                     MATTHEW                  </v>
      </c>
      <c r="E23052" t="str">
        <f>"MEMPHIS                   "</f>
        <v xml:space="preserve">MEMPHIS                   </v>
      </c>
      <c r="F23052" t="str">
        <f t="shared" si="606"/>
        <v>TN</v>
      </c>
    </row>
    <row r="23053" spans="1:6" x14ac:dyDescent="0.25">
      <c r="A23053" t="str">
        <f>"200006765"</f>
        <v>200006765</v>
      </c>
      <c r="B23053" t="str">
        <f>"1760844823"</f>
        <v>1760844823</v>
      </c>
      <c r="C23053" t="str">
        <f>"207R00000X"</f>
        <v>207R00000X</v>
      </c>
      <c r="D23053" t="str">
        <f>"SISTANI                  BOBBAK                   "</f>
        <v xml:space="preserve">SISTANI                  BOBBAK                   </v>
      </c>
      <c r="E23053" t="str">
        <f>"MEMPHIS                   "</f>
        <v xml:space="preserve">MEMPHIS                   </v>
      </c>
      <c r="F23053" t="str">
        <f t="shared" si="606"/>
        <v>TN</v>
      </c>
    </row>
    <row r="23054" spans="1:6" x14ac:dyDescent="0.25">
      <c r="A23054" t="str">
        <f>"200006786"</f>
        <v>200006786</v>
      </c>
      <c r="B23054" t="str">
        <f>"1073967949"</f>
        <v>1073967949</v>
      </c>
      <c r="C23054" t="str">
        <f>"207Y00000X"</f>
        <v>207Y00000X</v>
      </c>
      <c r="D23054" t="str">
        <f>"SMITH                    SAMUEL       H           "</f>
        <v xml:space="preserve">SMITH                    SAMUEL       H           </v>
      </c>
      <c r="E23054" t="str">
        <f>"GERMANTOWN                "</f>
        <v xml:space="preserve">GERMANTOWN                </v>
      </c>
      <c r="F23054" t="str">
        <f t="shared" si="606"/>
        <v>TN</v>
      </c>
    </row>
    <row r="23055" spans="1:6" x14ac:dyDescent="0.25">
      <c r="A23055" t="str">
        <f>"200006800"</f>
        <v>200006800</v>
      </c>
      <c r="B23055" t="str">
        <f>"1992903157"</f>
        <v>1992903157</v>
      </c>
      <c r="C23055" t="str">
        <f>"207RN0300X"</f>
        <v>207RN0300X</v>
      </c>
      <c r="D23055" t="str">
        <f>"RAZA                     SYED         M           "</f>
        <v xml:space="preserve">RAZA                     SYED         M           </v>
      </c>
      <c r="E23055" t="str">
        <f t="shared" ref="E23055:E23061" si="608">"MEMPHIS                   "</f>
        <v xml:space="preserve">MEMPHIS                   </v>
      </c>
      <c r="F23055" t="str">
        <f t="shared" si="606"/>
        <v>TN</v>
      </c>
    </row>
    <row r="23056" spans="1:6" x14ac:dyDescent="0.25">
      <c r="A23056" t="str">
        <f>"200006831"</f>
        <v>200006831</v>
      </c>
      <c r="B23056" t="str">
        <f>"1275896201"</f>
        <v>1275896201</v>
      </c>
      <c r="C23056" t="str">
        <f>"207V00000X"</f>
        <v>207V00000X</v>
      </c>
      <c r="D23056" t="str">
        <f>"BELL                     BRANDON                  "</f>
        <v xml:space="preserve">BELL                     BRANDON                  </v>
      </c>
      <c r="E23056" t="str">
        <f t="shared" si="608"/>
        <v xml:space="preserve">MEMPHIS                   </v>
      </c>
      <c r="F23056" t="str">
        <f t="shared" si="606"/>
        <v>TN</v>
      </c>
    </row>
    <row r="23057" spans="1:6" x14ac:dyDescent="0.25">
      <c r="A23057" t="str">
        <f>"200006835"</f>
        <v>200006835</v>
      </c>
      <c r="B23057" t="str">
        <f>"1710546213"</f>
        <v>1710546213</v>
      </c>
      <c r="C23057" t="str">
        <f>"2084P0800X"</f>
        <v>2084P0800X</v>
      </c>
      <c r="D23057" t="str">
        <f>"BASTIAN                  KELSEY                   "</f>
        <v xml:space="preserve">BASTIAN                  KELSEY                   </v>
      </c>
      <c r="E23057" t="str">
        <f t="shared" si="608"/>
        <v xml:space="preserve">MEMPHIS                   </v>
      </c>
      <c r="F23057" t="str">
        <f t="shared" si="606"/>
        <v>TN</v>
      </c>
    </row>
    <row r="23058" spans="1:6" x14ac:dyDescent="0.25">
      <c r="A23058" t="str">
        <f>"200006844"</f>
        <v>200006844</v>
      </c>
      <c r="B23058" t="str">
        <f>"1306539168"</f>
        <v>1306539168</v>
      </c>
      <c r="C23058" t="str">
        <f>"363L00000X"</f>
        <v>363L00000X</v>
      </c>
      <c r="D23058" t="str">
        <f>"WILHAUCKS                ANNA         T           "</f>
        <v xml:space="preserve">WILHAUCKS                ANNA         T           </v>
      </c>
      <c r="E23058" t="str">
        <f t="shared" si="608"/>
        <v xml:space="preserve">MEMPHIS                   </v>
      </c>
      <c r="F23058" t="str">
        <f t="shared" si="606"/>
        <v>TN</v>
      </c>
    </row>
    <row r="23059" spans="1:6" x14ac:dyDescent="0.25">
      <c r="A23059" t="str">
        <f>"200006856"</f>
        <v>200006856</v>
      </c>
      <c r="B23059" t="str">
        <f>"1821483306"</f>
        <v>1821483306</v>
      </c>
      <c r="C23059" t="str">
        <f>"207L00000X"</f>
        <v>207L00000X</v>
      </c>
      <c r="D23059" t="str">
        <f>"MAROSE                   KYLE                     "</f>
        <v xml:space="preserve">MAROSE                   KYLE                     </v>
      </c>
      <c r="E23059" t="str">
        <f t="shared" si="608"/>
        <v xml:space="preserve">MEMPHIS                   </v>
      </c>
      <c r="F23059" t="str">
        <f t="shared" si="606"/>
        <v>TN</v>
      </c>
    </row>
    <row r="23060" spans="1:6" x14ac:dyDescent="0.25">
      <c r="A23060" t="str">
        <f>"200006860"</f>
        <v>200006860</v>
      </c>
      <c r="B23060" t="str">
        <f>"1497194864"</f>
        <v>1497194864</v>
      </c>
      <c r="C23060" t="str">
        <f>"207V00000X"</f>
        <v>207V00000X</v>
      </c>
      <c r="D23060" t="str">
        <f>"DAFALLA                  AMINA                    "</f>
        <v xml:space="preserve">DAFALLA                  AMINA                    </v>
      </c>
      <c r="E23060" t="str">
        <f t="shared" si="608"/>
        <v xml:space="preserve">MEMPHIS                   </v>
      </c>
      <c r="F23060" t="str">
        <f t="shared" si="606"/>
        <v>TN</v>
      </c>
    </row>
    <row r="23061" spans="1:6" x14ac:dyDescent="0.25">
      <c r="A23061" t="str">
        <f>"200006870"</f>
        <v>200006870</v>
      </c>
      <c r="B23061" t="str">
        <f>"1932729217"</f>
        <v>1932729217</v>
      </c>
      <c r="C23061" t="str">
        <f>"367500000X"</f>
        <v>367500000X</v>
      </c>
      <c r="D23061" t="str">
        <f>"RANDLE                   SIERRA                   "</f>
        <v xml:space="preserve">RANDLE                   SIERRA                   </v>
      </c>
      <c r="E23061" t="str">
        <f t="shared" si="608"/>
        <v xml:space="preserve">MEMPHIS                   </v>
      </c>
      <c r="F23061" t="str">
        <f t="shared" si="606"/>
        <v>TN</v>
      </c>
    </row>
    <row r="23062" spans="1:6" x14ac:dyDescent="0.25">
      <c r="A23062" t="str">
        <f>"200006871"</f>
        <v>200006871</v>
      </c>
      <c r="B23062" t="str">
        <f>"1376757245"</f>
        <v>1376757245</v>
      </c>
      <c r="C23062" t="str">
        <f>"207T00000X"</f>
        <v>207T00000X</v>
      </c>
      <c r="D23062" t="str">
        <f>"NAFTEL                   ROBERT                   "</f>
        <v xml:space="preserve">NAFTEL                   ROBERT                   </v>
      </c>
      <c r="E23062" t="str">
        <f>"NASHVILLE                 "</f>
        <v xml:space="preserve">NASHVILLE                 </v>
      </c>
      <c r="F23062" t="str">
        <f t="shared" si="606"/>
        <v>TN</v>
      </c>
    </row>
    <row r="23063" spans="1:6" x14ac:dyDescent="0.25">
      <c r="A23063" t="str">
        <f>"200006899"</f>
        <v>200006899</v>
      </c>
      <c r="B23063" t="str">
        <f>"1467744151"</f>
        <v>1467744151</v>
      </c>
      <c r="C23063" t="str">
        <f>"207P00000X"</f>
        <v>207P00000X</v>
      </c>
      <c r="D23063" t="str">
        <f>"RUPP                     JORDAN                   "</f>
        <v xml:space="preserve">RUPP                     JORDAN                   </v>
      </c>
      <c r="E23063" t="str">
        <f>"NASHVILLE                 "</f>
        <v xml:space="preserve">NASHVILLE                 </v>
      </c>
      <c r="F23063" t="str">
        <f t="shared" si="606"/>
        <v>TN</v>
      </c>
    </row>
    <row r="23064" spans="1:6" x14ac:dyDescent="0.25">
      <c r="A23064" t="str">
        <f>"200006901"</f>
        <v>200006901</v>
      </c>
      <c r="B23064" t="str">
        <f>"1780079475"</f>
        <v>1780079475</v>
      </c>
      <c r="C23064" t="str">
        <f>"207R00000X"</f>
        <v>207R00000X</v>
      </c>
      <c r="D23064" t="str">
        <f>"HICKS                    LAURAE                   "</f>
        <v xml:space="preserve">HICKS                    LAURAE                   </v>
      </c>
      <c r="E23064" t="str">
        <f t="shared" ref="E23064:E23077" si="609">"MEMPHIS                   "</f>
        <v xml:space="preserve">MEMPHIS                   </v>
      </c>
      <c r="F23064" t="str">
        <f t="shared" si="606"/>
        <v>TN</v>
      </c>
    </row>
    <row r="23065" spans="1:6" x14ac:dyDescent="0.25">
      <c r="A23065" t="str">
        <f>"200006921"</f>
        <v>200006921</v>
      </c>
      <c r="B23065" t="str">
        <f>"1194388710"</f>
        <v>1194388710</v>
      </c>
      <c r="C23065" t="str">
        <f>"207R00000X"</f>
        <v>207R00000X</v>
      </c>
      <c r="D23065" t="str">
        <f>"MOHAMMED                 OMAR                     "</f>
        <v xml:space="preserve">MOHAMMED                 OMAR                     </v>
      </c>
      <c r="E23065" t="str">
        <f t="shared" si="609"/>
        <v xml:space="preserve">MEMPHIS                   </v>
      </c>
      <c r="F23065" t="str">
        <f t="shared" si="606"/>
        <v>TN</v>
      </c>
    </row>
    <row r="23066" spans="1:6" x14ac:dyDescent="0.25">
      <c r="A23066" t="str">
        <f>"200006949"</f>
        <v>200006949</v>
      </c>
      <c r="B23066" t="str">
        <f>"1417364779"</f>
        <v>1417364779</v>
      </c>
      <c r="C23066" t="str">
        <f>"208G00000X"</f>
        <v>208G00000X</v>
      </c>
      <c r="D23066" t="str">
        <f>"ZHAO                     JANE         Y           "</f>
        <v xml:space="preserve">ZHAO                     JANE         Y           </v>
      </c>
      <c r="E23066" t="str">
        <f t="shared" si="609"/>
        <v xml:space="preserve">MEMPHIS                   </v>
      </c>
      <c r="F23066" t="str">
        <f t="shared" si="606"/>
        <v>TN</v>
      </c>
    </row>
    <row r="23067" spans="1:6" x14ac:dyDescent="0.25">
      <c r="A23067" t="str">
        <f>"200006961"</f>
        <v>200006961</v>
      </c>
      <c r="B23067" t="str">
        <f>"1720502842"</f>
        <v>1720502842</v>
      </c>
      <c r="C23067" t="str">
        <f>"2084N0400X"</f>
        <v>2084N0400X</v>
      </c>
      <c r="D23067" t="str">
        <f>"BUSHNAQ                  SAJI                     "</f>
        <v xml:space="preserve">BUSHNAQ                  SAJI                     </v>
      </c>
      <c r="E23067" t="str">
        <f t="shared" si="609"/>
        <v xml:space="preserve">MEMPHIS                   </v>
      </c>
      <c r="F23067" t="str">
        <f t="shared" si="606"/>
        <v>TN</v>
      </c>
    </row>
    <row r="23068" spans="1:6" x14ac:dyDescent="0.25">
      <c r="A23068" t="str">
        <f>"200006980"</f>
        <v>200006980</v>
      </c>
      <c r="B23068" t="str">
        <f>"1710541305"</f>
        <v>1710541305</v>
      </c>
      <c r="C23068" t="str">
        <f>"207R00000X"</f>
        <v>207R00000X</v>
      </c>
      <c r="D23068" t="str">
        <f>"BERKEY                   LINDI                    "</f>
        <v xml:space="preserve">BERKEY                   LINDI                    </v>
      </c>
      <c r="E23068" t="str">
        <f t="shared" si="609"/>
        <v xml:space="preserve">MEMPHIS                   </v>
      </c>
      <c r="F23068" t="str">
        <f t="shared" si="606"/>
        <v>TN</v>
      </c>
    </row>
    <row r="23069" spans="1:6" x14ac:dyDescent="0.25">
      <c r="A23069" t="str">
        <f>"200006981"</f>
        <v>200006981</v>
      </c>
      <c r="B23069" t="str">
        <f>"1871904680"</f>
        <v>1871904680</v>
      </c>
      <c r="C23069" t="str">
        <f>"208600000X"</f>
        <v>208600000X</v>
      </c>
      <c r="D23069" t="str">
        <f>"CERISE                   ADAM                     "</f>
        <v xml:space="preserve">CERISE                   ADAM                     </v>
      </c>
      <c r="E23069" t="str">
        <f t="shared" si="609"/>
        <v xml:space="preserve">MEMPHIS                   </v>
      </c>
      <c r="F23069" t="str">
        <f t="shared" si="606"/>
        <v>TN</v>
      </c>
    </row>
    <row r="23070" spans="1:6" x14ac:dyDescent="0.25">
      <c r="A23070" t="str">
        <f>"200006982"</f>
        <v>200006982</v>
      </c>
      <c r="B23070" t="str">
        <f>"1821476334"</f>
        <v>1821476334</v>
      </c>
      <c r="C23070" t="str">
        <f>"207Q00000X"</f>
        <v>207Q00000X</v>
      </c>
      <c r="D23070" t="str">
        <f>"GAMBLE                   LOUIS                    "</f>
        <v xml:space="preserve">GAMBLE                   LOUIS                    </v>
      </c>
      <c r="E23070" t="str">
        <f t="shared" si="609"/>
        <v xml:space="preserve">MEMPHIS                   </v>
      </c>
      <c r="F23070" t="str">
        <f t="shared" si="606"/>
        <v>TN</v>
      </c>
    </row>
    <row r="23071" spans="1:6" x14ac:dyDescent="0.25">
      <c r="A23071" t="str">
        <f>"200007029"</f>
        <v>200007029</v>
      </c>
      <c r="B23071" t="str">
        <f>"1205281912"</f>
        <v>1205281912</v>
      </c>
      <c r="C23071" t="str">
        <f>"208800000X"</f>
        <v>208800000X</v>
      </c>
      <c r="D23071" t="str">
        <f>"SAIDIAN                  AVA                      "</f>
        <v xml:space="preserve">SAIDIAN                  AVA                      </v>
      </c>
      <c r="E23071" t="str">
        <f t="shared" si="609"/>
        <v xml:space="preserve">MEMPHIS                   </v>
      </c>
      <c r="F23071" t="str">
        <f t="shared" si="606"/>
        <v>TN</v>
      </c>
    </row>
    <row r="23072" spans="1:6" x14ac:dyDescent="0.25">
      <c r="A23072" t="str">
        <f>"200007034"</f>
        <v>200007034</v>
      </c>
      <c r="B23072" t="str">
        <f>"1306409966"</f>
        <v>1306409966</v>
      </c>
      <c r="C23072" t="str">
        <f>"207Q00000X"</f>
        <v>207Q00000X</v>
      </c>
      <c r="D23072" t="str">
        <f>"NEWSOME                  ASHLEY                   "</f>
        <v xml:space="preserve">NEWSOME                  ASHLEY                   </v>
      </c>
      <c r="E23072" t="str">
        <f t="shared" si="609"/>
        <v xml:space="preserve">MEMPHIS                   </v>
      </c>
      <c r="F23072" t="str">
        <f t="shared" si="606"/>
        <v>TN</v>
      </c>
    </row>
    <row r="23073" spans="1:6" x14ac:dyDescent="0.25">
      <c r="A23073" t="str">
        <f>"200007050"</f>
        <v>200007050</v>
      </c>
      <c r="B23073" t="str">
        <f>"1922567064"</f>
        <v>1922567064</v>
      </c>
      <c r="C23073" t="str">
        <f>"2080P0207X"</f>
        <v>2080P0207X</v>
      </c>
      <c r="D23073" t="str">
        <f>"MIKKELSEN                MARGIT                   "</f>
        <v xml:space="preserve">MIKKELSEN                MARGIT                   </v>
      </c>
      <c r="E23073" t="str">
        <f t="shared" si="609"/>
        <v xml:space="preserve">MEMPHIS                   </v>
      </c>
      <c r="F23073" t="str">
        <f t="shared" si="606"/>
        <v>TN</v>
      </c>
    </row>
    <row r="23074" spans="1:6" x14ac:dyDescent="0.25">
      <c r="A23074" t="str">
        <f>"200007079"</f>
        <v>200007079</v>
      </c>
      <c r="B23074" t="str">
        <f>"1972119527"</f>
        <v>1972119527</v>
      </c>
      <c r="C23074" t="str">
        <f>"363L00000X"</f>
        <v>363L00000X</v>
      </c>
      <c r="D23074" t="str">
        <f>"POINDEXTER               ONEKA                    "</f>
        <v xml:space="preserve">POINDEXTER               ONEKA                    </v>
      </c>
      <c r="E23074" t="str">
        <f t="shared" si="609"/>
        <v xml:space="preserve">MEMPHIS                   </v>
      </c>
      <c r="F23074" t="str">
        <f t="shared" si="606"/>
        <v>TN</v>
      </c>
    </row>
    <row r="23075" spans="1:6" x14ac:dyDescent="0.25">
      <c r="A23075" t="str">
        <f>"200007083"</f>
        <v>200007083</v>
      </c>
      <c r="B23075" t="str">
        <f>"1255563128"</f>
        <v>1255563128</v>
      </c>
      <c r="C23075" t="str">
        <f>"2085R0001X"</f>
        <v>2085R0001X</v>
      </c>
      <c r="D23075" t="str">
        <f>"PEREZ                    CARMEN                   "</f>
        <v xml:space="preserve">PEREZ                    CARMEN                   </v>
      </c>
      <c r="E23075" t="str">
        <f t="shared" si="609"/>
        <v xml:space="preserve">MEMPHIS                   </v>
      </c>
      <c r="F23075" t="str">
        <f t="shared" si="606"/>
        <v>TN</v>
      </c>
    </row>
    <row r="23076" spans="1:6" x14ac:dyDescent="0.25">
      <c r="A23076" t="str">
        <f>"200007108"</f>
        <v>200007108</v>
      </c>
      <c r="B23076" t="str">
        <f>"1700147790"</f>
        <v>1700147790</v>
      </c>
      <c r="C23076" t="str">
        <f>"207R00000X"</f>
        <v>207R00000X</v>
      </c>
      <c r="D23076" t="str">
        <f>"MUNN                     JULES                    "</f>
        <v xml:space="preserve">MUNN                     JULES                    </v>
      </c>
      <c r="E23076" t="str">
        <f t="shared" si="609"/>
        <v xml:space="preserve">MEMPHIS                   </v>
      </c>
      <c r="F23076" t="str">
        <f t="shared" si="606"/>
        <v>TN</v>
      </c>
    </row>
    <row r="23077" spans="1:6" x14ac:dyDescent="0.25">
      <c r="A23077" t="str">
        <f>"200007149"</f>
        <v>200007149</v>
      </c>
      <c r="B23077" t="str">
        <f>"1538426333"</f>
        <v>1538426333</v>
      </c>
      <c r="C23077" t="str">
        <f>"2080P0207X"</f>
        <v>2080P0207X</v>
      </c>
      <c r="D23077" t="str">
        <f>"ZEBLEY                   CAITLIN                  "</f>
        <v xml:space="preserve">ZEBLEY                   CAITLIN                  </v>
      </c>
      <c r="E23077" t="str">
        <f t="shared" si="609"/>
        <v xml:space="preserve">MEMPHIS                   </v>
      </c>
      <c r="F23077" t="str">
        <f t="shared" si="606"/>
        <v>TN</v>
      </c>
    </row>
    <row r="23078" spans="1:6" x14ac:dyDescent="0.25">
      <c r="A23078" t="str">
        <f>"200007153"</f>
        <v>200007153</v>
      </c>
      <c r="B23078" t="str">
        <f>"1033834692"</f>
        <v>1033834692</v>
      </c>
      <c r="C23078" t="str">
        <f>"363L00000X"</f>
        <v>363L00000X</v>
      </c>
      <c r="D23078" t="str">
        <f>"MEAD                     KAMRYN                   "</f>
        <v xml:space="preserve">MEAD                     KAMRYN                   </v>
      </c>
      <c r="E23078" t="str">
        <f>"GERMANTOWN                "</f>
        <v xml:space="preserve">GERMANTOWN                </v>
      </c>
      <c r="F23078" t="str">
        <f t="shared" si="606"/>
        <v>TN</v>
      </c>
    </row>
    <row r="23079" spans="1:6" x14ac:dyDescent="0.25">
      <c r="A23079" t="str">
        <f>"200007162"</f>
        <v>200007162</v>
      </c>
      <c r="B23079" t="str">
        <f>"1538388863"</f>
        <v>1538388863</v>
      </c>
      <c r="C23079" t="str">
        <f>"207L00000X"</f>
        <v>207L00000X</v>
      </c>
      <c r="D23079" t="str">
        <f>"MOORE                    ARTHURA                  "</f>
        <v xml:space="preserve">MOORE                    ARTHURA                  </v>
      </c>
      <c r="E23079" t="str">
        <f>"MEMPHIS                   "</f>
        <v xml:space="preserve">MEMPHIS                   </v>
      </c>
      <c r="F23079" t="str">
        <f t="shared" si="606"/>
        <v>TN</v>
      </c>
    </row>
    <row r="23080" spans="1:6" x14ac:dyDescent="0.25">
      <c r="A23080" t="str">
        <f>"200007166"</f>
        <v>200007166</v>
      </c>
      <c r="B23080" t="str">
        <f>"1760800239"</f>
        <v>1760800239</v>
      </c>
      <c r="C23080" t="str">
        <f>"2086X0206X"</f>
        <v>2086X0206X</v>
      </c>
      <c r="D23080" t="str">
        <f>"SOLSKY                   IAN                      "</f>
        <v xml:space="preserve">SOLSKY                   IAN                      </v>
      </c>
      <c r="E23080" t="str">
        <f>"MEMPHIS                   "</f>
        <v xml:space="preserve">MEMPHIS                   </v>
      </c>
      <c r="F23080" t="str">
        <f t="shared" si="606"/>
        <v>TN</v>
      </c>
    </row>
    <row r="23081" spans="1:6" x14ac:dyDescent="0.25">
      <c r="A23081" t="str">
        <f>"200007168"</f>
        <v>200007168</v>
      </c>
      <c r="B23081" t="str">
        <f>"1326041062"</f>
        <v>1326041062</v>
      </c>
      <c r="C23081" t="str">
        <f>"207L00000X"</f>
        <v>207L00000X</v>
      </c>
      <c r="D23081" t="str">
        <f>"PERIRAS                  LILIA        A           "</f>
        <v xml:space="preserve">PERIRAS                  LILIA        A           </v>
      </c>
      <c r="E23081" t="str">
        <f>"MEMPHIS                   "</f>
        <v xml:space="preserve">MEMPHIS                   </v>
      </c>
      <c r="F23081" t="str">
        <f t="shared" si="606"/>
        <v>TN</v>
      </c>
    </row>
    <row r="23082" spans="1:6" x14ac:dyDescent="0.25">
      <c r="A23082" t="str">
        <f>"200007172"</f>
        <v>200007172</v>
      </c>
      <c r="B23082" t="str">
        <f>"1740721950"</f>
        <v>1740721950</v>
      </c>
      <c r="C23082" t="str">
        <f>"207RC0000X"</f>
        <v>207RC0000X</v>
      </c>
      <c r="D23082" t="str">
        <f>"PATEL                    MIT          V           "</f>
        <v xml:space="preserve">PATEL                    MIT          V           </v>
      </c>
      <c r="E23082" t="str">
        <f>"GERMANTOWN                "</f>
        <v xml:space="preserve">GERMANTOWN                </v>
      </c>
      <c r="F23082" t="str">
        <f t="shared" si="606"/>
        <v>TN</v>
      </c>
    </row>
    <row r="23083" spans="1:6" x14ac:dyDescent="0.25">
      <c r="A23083" t="str">
        <f>"200007174"</f>
        <v>200007174</v>
      </c>
      <c r="B23083" t="str">
        <f>"1447538798"</f>
        <v>1447538798</v>
      </c>
      <c r="C23083" t="str">
        <f>"207Q00000X"</f>
        <v>207Q00000X</v>
      </c>
      <c r="D23083" t="str">
        <f>"MORRIS                   MEGHAN       R           "</f>
        <v xml:space="preserve">MORRIS                   MEGHAN       R           </v>
      </c>
      <c r="E23083" t="str">
        <f>"GERMANTOWN                "</f>
        <v xml:space="preserve">GERMANTOWN                </v>
      </c>
      <c r="F23083" t="str">
        <f t="shared" si="606"/>
        <v>TN</v>
      </c>
    </row>
    <row r="23084" spans="1:6" x14ac:dyDescent="0.25">
      <c r="A23084" t="str">
        <f>"200007221"</f>
        <v>200007221</v>
      </c>
      <c r="B23084" t="str">
        <f>"1073576484"</f>
        <v>1073576484</v>
      </c>
      <c r="C23084" t="str">
        <f>"2085R0202X"</f>
        <v>2085R0202X</v>
      </c>
      <c r="D23084" t="str">
        <f>"CLEMENTE                 MARC                     "</f>
        <v xml:space="preserve">CLEMENTE                 MARC                     </v>
      </c>
      <c r="E23084" t="str">
        <f>"MEMPHIS                   "</f>
        <v xml:space="preserve">MEMPHIS                   </v>
      </c>
      <c r="F23084" t="str">
        <f t="shared" si="606"/>
        <v>TN</v>
      </c>
    </row>
    <row r="23085" spans="1:6" x14ac:dyDescent="0.25">
      <c r="A23085" t="str">
        <f>"200007327"</f>
        <v>200007327</v>
      </c>
      <c r="B23085" t="str">
        <f>"1255548665"</f>
        <v>1255548665</v>
      </c>
      <c r="C23085" t="str">
        <f>"207RP1001X"</f>
        <v>207RP1001X</v>
      </c>
      <c r="D23085" t="str">
        <f>"NORFOLK                  STEPHANIE                "</f>
        <v xml:space="preserve">NORFOLK                  STEPHANIE                </v>
      </c>
      <c r="E23085" t="str">
        <f>"NASHVILLE                 "</f>
        <v xml:space="preserve">NASHVILLE                 </v>
      </c>
      <c r="F23085" t="str">
        <f t="shared" si="606"/>
        <v>TN</v>
      </c>
    </row>
    <row r="23086" spans="1:6" x14ac:dyDescent="0.25">
      <c r="A23086" t="str">
        <f>"200007333"</f>
        <v>200007333</v>
      </c>
      <c r="B23086" t="str">
        <f>"1063192961"</f>
        <v>1063192961</v>
      </c>
      <c r="C23086" t="str">
        <f>"363L00000X"</f>
        <v>363L00000X</v>
      </c>
      <c r="D23086" t="str">
        <f>"BENNETT                  THOMAS                   "</f>
        <v xml:space="preserve">BENNETT                  THOMAS                   </v>
      </c>
      <c r="E23086" t="str">
        <f>"MEMPHIS                   "</f>
        <v xml:space="preserve">MEMPHIS                   </v>
      </c>
      <c r="F23086" t="str">
        <f t="shared" si="606"/>
        <v>TN</v>
      </c>
    </row>
    <row r="23087" spans="1:6" x14ac:dyDescent="0.25">
      <c r="A23087" t="str">
        <f>"200007339"</f>
        <v>200007339</v>
      </c>
      <c r="B23087" t="str">
        <f>"1295180248"</f>
        <v>1295180248</v>
      </c>
      <c r="C23087" t="str">
        <f>"2080P0202X"</f>
        <v>2080P0202X</v>
      </c>
      <c r="D23087" t="str">
        <f>"MILLER                   ELYSE                    "</f>
        <v xml:space="preserve">MILLER                   ELYSE                    </v>
      </c>
      <c r="E23087" t="str">
        <f>"MEMPHIS                   "</f>
        <v xml:space="preserve">MEMPHIS                   </v>
      </c>
      <c r="F23087" t="str">
        <f t="shared" si="606"/>
        <v>TN</v>
      </c>
    </row>
    <row r="23088" spans="1:6" x14ac:dyDescent="0.25">
      <c r="A23088" t="str">
        <f>"200007340"</f>
        <v>200007340</v>
      </c>
      <c r="B23088" t="str">
        <f>"1649740424"</f>
        <v>1649740424</v>
      </c>
      <c r="C23088" t="str">
        <f>"2086S0122X"</f>
        <v>2086S0122X</v>
      </c>
      <c r="D23088" t="str">
        <f>"EVANS                    ROBIN                    "</f>
        <v xml:space="preserve">EVANS                    ROBIN                    </v>
      </c>
      <c r="E23088" t="str">
        <f>"MEMPHIS                   "</f>
        <v xml:space="preserve">MEMPHIS                   </v>
      </c>
      <c r="F23088" t="str">
        <f t="shared" si="606"/>
        <v>TN</v>
      </c>
    </row>
    <row r="23089" spans="1:6" x14ac:dyDescent="0.25">
      <c r="A23089" t="str">
        <f>"200007422"</f>
        <v>200007422</v>
      </c>
      <c r="B23089" t="str">
        <f>"1740667484"</f>
        <v>1740667484</v>
      </c>
      <c r="C23089" t="str">
        <f>"363L00000X"</f>
        <v>363L00000X</v>
      </c>
      <c r="D23089" t="str">
        <f>"PATTERSON                BRITTNI                  "</f>
        <v xml:space="preserve">PATTERSON                BRITTNI                  </v>
      </c>
      <c r="E23089" t="str">
        <f>"MEMPHIS                   "</f>
        <v xml:space="preserve">MEMPHIS                   </v>
      </c>
      <c r="F23089" t="str">
        <f t="shared" si="606"/>
        <v>TN</v>
      </c>
    </row>
    <row r="23090" spans="1:6" x14ac:dyDescent="0.25">
      <c r="A23090" t="str">
        <f>"200007452"</f>
        <v>200007452</v>
      </c>
      <c r="B23090" t="str">
        <f>"1194866186"</f>
        <v>1194866186</v>
      </c>
      <c r="C23090" t="str">
        <f>"363L00000X"</f>
        <v>363L00000X</v>
      </c>
      <c r="D23090" t="str">
        <f>"SMITH                    CHRISTA                  "</f>
        <v xml:space="preserve">SMITH                    CHRISTA                  </v>
      </c>
      <c r="E23090" t="str">
        <f>"GERMANTOWN                "</f>
        <v xml:space="preserve">GERMANTOWN                </v>
      </c>
      <c r="F23090" t="str">
        <f t="shared" si="606"/>
        <v>TN</v>
      </c>
    </row>
    <row r="23091" spans="1:6" x14ac:dyDescent="0.25">
      <c r="A23091" t="str">
        <f>"200007455"</f>
        <v>200007455</v>
      </c>
      <c r="B23091" t="str">
        <f>"1124642491"</f>
        <v>1124642491</v>
      </c>
      <c r="C23091" t="str">
        <f>"363L00000X"</f>
        <v>363L00000X</v>
      </c>
      <c r="D23091" t="str">
        <f>"DAVIS                    SHIREA                   "</f>
        <v xml:space="preserve">DAVIS                    SHIREA                   </v>
      </c>
      <c r="E23091" t="str">
        <f>"MEMPHIS                   "</f>
        <v xml:space="preserve">MEMPHIS                   </v>
      </c>
      <c r="F23091" t="str">
        <f t="shared" si="606"/>
        <v>TN</v>
      </c>
    </row>
    <row r="23092" spans="1:6" x14ac:dyDescent="0.25">
      <c r="A23092" t="str">
        <f>"200007471"</f>
        <v>200007471</v>
      </c>
      <c r="B23092" t="str">
        <f>"1245763721"</f>
        <v>1245763721</v>
      </c>
      <c r="C23092" t="str">
        <f>"2080P0207X"</f>
        <v>2080P0207X</v>
      </c>
      <c r="D23092" t="str">
        <f>"CHRISTAKOPOULOS          GEORGIOS                 "</f>
        <v xml:space="preserve">CHRISTAKOPOULOS          GEORGIOS                 </v>
      </c>
      <c r="E23092" t="str">
        <f>"MEMPHIS                   "</f>
        <v xml:space="preserve">MEMPHIS                   </v>
      </c>
      <c r="F23092" t="str">
        <f t="shared" si="606"/>
        <v>TN</v>
      </c>
    </row>
    <row r="23093" spans="1:6" x14ac:dyDescent="0.25">
      <c r="A23093" t="str">
        <f>"200007503"</f>
        <v>200007503</v>
      </c>
      <c r="B23093" t="str">
        <f>"1316265820"</f>
        <v>1316265820</v>
      </c>
      <c r="C23093" t="str">
        <f>"207Q00000X"</f>
        <v>207Q00000X</v>
      </c>
      <c r="D23093" t="str">
        <f>"RAINEY                   COLLINS      W           "</f>
        <v xml:space="preserve">RAINEY                   COLLINS      W           </v>
      </c>
      <c r="E23093" t="str">
        <f>"MEMPHIS                   "</f>
        <v xml:space="preserve">MEMPHIS                   </v>
      </c>
      <c r="F23093" t="str">
        <f t="shared" si="606"/>
        <v>TN</v>
      </c>
    </row>
    <row r="23094" spans="1:6" x14ac:dyDescent="0.25">
      <c r="A23094" t="str">
        <f>"200007527"</f>
        <v>200007527</v>
      </c>
      <c r="B23094" t="str">
        <f>"1528683836"</f>
        <v>1528683836</v>
      </c>
      <c r="C23094" t="str">
        <f>"207R00000X"</f>
        <v>207R00000X</v>
      </c>
      <c r="D23094" t="str">
        <f>"ELASSOULI                SHUROOK                  "</f>
        <v xml:space="preserve">ELASSOULI                SHUROOK                  </v>
      </c>
      <c r="E23094" t="str">
        <f>"MEMPHIS                   "</f>
        <v xml:space="preserve">MEMPHIS                   </v>
      </c>
      <c r="F23094" t="str">
        <f t="shared" si="606"/>
        <v>TN</v>
      </c>
    </row>
    <row r="23095" spans="1:6" x14ac:dyDescent="0.25">
      <c r="A23095" t="str">
        <f>"200007530"</f>
        <v>200007530</v>
      </c>
      <c r="B23095" t="str">
        <f>"1023432549"</f>
        <v>1023432549</v>
      </c>
      <c r="C23095" t="str">
        <f>"363L00000X"</f>
        <v>363L00000X</v>
      </c>
      <c r="D23095" t="str">
        <f>"WONG                     CAROLYN                  "</f>
        <v xml:space="preserve">WONG                     CAROLYN                  </v>
      </c>
      <c r="E23095" t="str">
        <f>"GERMANTOWN                "</f>
        <v xml:space="preserve">GERMANTOWN                </v>
      </c>
      <c r="F23095" t="str">
        <f t="shared" si="606"/>
        <v>TN</v>
      </c>
    </row>
    <row r="23096" spans="1:6" x14ac:dyDescent="0.25">
      <c r="A23096" t="str">
        <f>"200007547"</f>
        <v>200007547</v>
      </c>
      <c r="B23096" t="str">
        <f>"1710229737"</f>
        <v>1710229737</v>
      </c>
      <c r="C23096" t="str">
        <f>"367500000X"</f>
        <v>367500000X</v>
      </c>
      <c r="D23096" t="str">
        <f>"FONTENOT                 ANDREW                   "</f>
        <v xml:space="preserve">FONTENOT                 ANDREW                   </v>
      </c>
      <c r="E23096" t="str">
        <f>"MEMPHIS                   "</f>
        <v xml:space="preserve">MEMPHIS                   </v>
      </c>
      <c r="F23096" t="str">
        <f t="shared" si="606"/>
        <v>TN</v>
      </c>
    </row>
    <row r="23097" spans="1:6" x14ac:dyDescent="0.25">
      <c r="A23097" t="str">
        <f>"200007570"</f>
        <v>200007570</v>
      </c>
      <c r="B23097" t="str">
        <f>"1801573076"</f>
        <v>1801573076</v>
      </c>
      <c r="C23097" t="str">
        <f>"367500000X"</f>
        <v>367500000X</v>
      </c>
      <c r="D23097" t="str">
        <f>"WOOTEN                   ERICA                    "</f>
        <v xml:space="preserve">WOOTEN                   ERICA                    </v>
      </c>
      <c r="E23097" t="str">
        <f>"MEMPHIS                   "</f>
        <v xml:space="preserve">MEMPHIS                   </v>
      </c>
      <c r="F23097" t="str">
        <f t="shared" si="606"/>
        <v>TN</v>
      </c>
    </row>
    <row r="23098" spans="1:6" x14ac:dyDescent="0.25">
      <c r="A23098" t="str">
        <f>"200007609"</f>
        <v>200007609</v>
      </c>
      <c r="B23098" t="str">
        <f>"1598394652"</f>
        <v>1598394652</v>
      </c>
      <c r="C23098" t="str">
        <f>"207R00000X"</f>
        <v>207R00000X</v>
      </c>
      <c r="D23098" t="str">
        <f>"SHOWUNMI                 ABOSEDE                  "</f>
        <v xml:space="preserve">SHOWUNMI                 ABOSEDE                  </v>
      </c>
      <c r="E23098" t="str">
        <f>"MEMPHIS                   "</f>
        <v xml:space="preserve">MEMPHIS                   </v>
      </c>
      <c r="F23098" t="str">
        <f t="shared" si="606"/>
        <v>TN</v>
      </c>
    </row>
    <row r="23099" spans="1:6" x14ac:dyDescent="0.25">
      <c r="A23099" t="str">
        <f>"200007615"</f>
        <v>200007615</v>
      </c>
      <c r="B23099" t="str">
        <f>"1861929531"</f>
        <v>1861929531</v>
      </c>
      <c r="C23099" t="str">
        <f>"208000000X"</f>
        <v>208000000X</v>
      </c>
      <c r="D23099" t="str">
        <f>"MOLLOY                   PAUL                     "</f>
        <v xml:space="preserve">MOLLOY                   PAUL                     </v>
      </c>
      <c r="E23099" t="str">
        <f>"GERMANTOWN                "</f>
        <v xml:space="preserve">GERMANTOWN                </v>
      </c>
      <c r="F23099" t="str">
        <f t="shared" si="606"/>
        <v>TN</v>
      </c>
    </row>
    <row r="23100" spans="1:6" x14ac:dyDescent="0.25">
      <c r="A23100" t="str">
        <f>"200007618"</f>
        <v>200007618</v>
      </c>
      <c r="B23100" t="str">
        <f>"1417510660"</f>
        <v>1417510660</v>
      </c>
      <c r="C23100" t="str">
        <f>"208000000X"</f>
        <v>208000000X</v>
      </c>
      <c r="D23100" t="str">
        <f>"MURPHY                   DEVIN                    "</f>
        <v xml:space="preserve">MURPHY                   DEVIN                    </v>
      </c>
      <c r="E23100" t="str">
        <f>"MEMPHIS                   "</f>
        <v xml:space="preserve">MEMPHIS                   </v>
      </c>
      <c r="F23100" t="str">
        <f t="shared" si="606"/>
        <v>TN</v>
      </c>
    </row>
    <row r="23101" spans="1:6" x14ac:dyDescent="0.25">
      <c r="A23101" t="str">
        <f>"200007625"</f>
        <v>200007625</v>
      </c>
      <c r="B23101" t="str">
        <f>"1760894976"</f>
        <v>1760894976</v>
      </c>
      <c r="C23101" t="str">
        <f>"207R00000X"</f>
        <v>207R00000X</v>
      </c>
      <c r="D23101" t="str">
        <f>"GROESCHEL                CHARLES                  "</f>
        <v xml:space="preserve">GROESCHEL                CHARLES                  </v>
      </c>
      <c r="E23101" t="str">
        <f>"MEMPHIS                   "</f>
        <v xml:space="preserve">MEMPHIS                   </v>
      </c>
      <c r="F23101" t="str">
        <f t="shared" si="606"/>
        <v>TN</v>
      </c>
    </row>
    <row r="23102" spans="1:6" x14ac:dyDescent="0.25">
      <c r="A23102" t="str">
        <f>"200007640"</f>
        <v>200007640</v>
      </c>
      <c r="B23102" t="str">
        <f>"1295098226"</f>
        <v>1295098226</v>
      </c>
      <c r="C23102" t="str">
        <f>"122300000X"</f>
        <v>122300000X</v>
      </c>
      <c r="D23102" t="str">
        <f>"DAGEN                    RYAN                     "</f>
        <v xml:space="preserve">DAGEN                    RYAN                     </v>
      </c>
      <c r="E23102" t="str">
        <f>"MEMPHIS                   "</f>
        <v xml:space="preserve">MEMPHIS                   </v>
      </c>
      <c r="F23102" t="str">
        <f t="shared" ref="F23102:F23165" si="610">"TN"</f>
        <v>TN</v>
      </c>
    </row>
    <row r="23103" spans="1:6" x14ac:dyDescent="0.25">
      <c r="A23103" t="str">
        <f>"200007658"</f>
        <v>200007658</v>
      </c>
      <c r="B23103" t="str">
        <f>"1811474950"</f>
        <v>1811474950</v>
      </c>
      <c r="C23103" t="str">
        <f>"208000000X"</f>
        <v>208000000X</v>
      </c>
      <c r="D23103" t="str">
        <f>"ZEIAD                    RAWAH                    "</f>
        <v xml:space="preserve">ZEIAD                    RAWAH                    </v>
      </c>
      <c r="E23103" t="str">
        <f>"JACKSON                   "</f>
        <v xml:space="preserve">JACKSON                   </v>
      </c>
      <c r="F23103" t="str">
        <f t="shared" si="610"/>
        <v>TN</v>
      </c>
    </row>
    <row r="23104" spans="1:6" x14ac:dyDescent="0.25">
      <c r="A23104" t="str">
        <f>"200007664"</f>
        <v>200007664</v>
      </c>
      <c r="B23104" t="str">
        <f>"1013064906"</f>
        <v>1013064906</v>
      </c>
      <c r="C23104" t="str">
        <f>"2084N0402X"</f>
        <v>2084N0402X</v>
      </c>
      <c r="D23104" t="str">
        <f>"JAMES                    KAITLIN                  "</f>
        <v xml:space="preserve">JAMES                    KAITLIN                  </v>
      </c>
      <c r="E23104" t="str">
        <f>"NASHVILLE                 "</f>
        <v xml:space="preserve">NASHVILLE                 </v>
      </c>
      <c r="F23104" t="str">
        <f t="shared" si="610"/>
        <v>TN</v>
      </c>
    </row>
    <row r="23105" spans="1:6" x14ac:dyDescent="0.25">
      <c r="A23105" t="str">
        <f>"200007680"</f>
        <v>200007680</v>
      </c>
      <c r="B23105" t="str">
        <f>"1588396378"</f>
        <v>1588396378</v>
      </c>
      <c r="C23105" t="str">
        <f>"363A00000X"</f>
        <v>363A00000X</v>
      </c>
      <c r="D23105" t="str">
        <f>"HOLT                     VICTORIA                 "</f>
        <v xml:space="preserve">HOLT                     VICTORIA                 </v>
      </c>
      <c r="E23105" t="str">
        <f>"MEMPHIS                   "</f>
        <v xml:space="preserve">MEMPHIS                   </v>
      </c>
      <c r="F23105" t="str">
        <f t="shared" si="610"/>
        <v>TN</v>
      </c>
    </row>
    <row r="23106" spans="1:6" x14ac:dyDescent="0.25">
      <c r="A23106" t="str">
        <f>"200007681"</f>
        <v>200007681</v>
      </c>
      <c r="B23106" t="str">
        <f>"1932633591"</f>
        <v>1932633591</v>
      </c>
      <c r="C23106" t="str">
        <f>"207X00000X"</f>
        <v>207X00000X</v>
      </c>
      <c r="D23106" t="str">
        <f>"MEDINA                   OMAR                     "</f>
        <v xml:space="preserve">MEDINA                   OMAR                     </v>
      </c>
      <c r="E23106" t="str">
        <f>"GERMANTOWN                "</f>
        <v xml:space="preserve">GERMANTOWN                </v>
      </c>
      <c r="F23106" t="str">
        <f t="shared" si="610"/>
        <v>TN</v>
      </c>
    </row>
    <row r="23107" spans="1:6" x14ac:dyDescent="0.25">
      <c r="A23107" t="str">
        <f>"200007692"</f>
        <v>200007692</v>
      </c>
      <c r="B23107" t="str">
        <f>"1063066108"</f>
        <v>1063066108</v>
      </c>
      <c r="C23107" t="str">
        <f>"363A00000X"</f>
        <v>363A00000X</v>
      </c>
      <c r="D23107" t="str">
        <f>"HOUSTON                  ANTHONY      F           "</f>
        <v xml:space="preserve">HOUSTON                  ANTHONY      F           </v>
      </c>
      <c r="E23107" t="str">
        <f>"MEMPHIS                   "</f>
        <v xml:space="preserve">MEMPHIS                   </v>
      </c>
      <c r="F23107" t="str">
        <f t="shared" si="610"/>
        <v>TN</v>
      </c>
    </row>
    <row r="23108" spans="1:6" x14ac:dyDescent="0.25">
      <c r="A23108" t="str">
        <f>"200007716"</f>
        <v>200007716</v>
      </c>
      <c r="B23108" t="str">
        <f>"1194933143"</f>
        <v>1194933143</v>
      </c>
      <c r="C23108" t="str">
        <f>"208000000X"</f>
        <v>208000000X</v>
      </c>
      <c r="D23108" t="str">
        <f>"SALMON                   JASON        J           "</f>
        <v xml:space="preserve">SALMON                   JASON        J           </v>
      </c>
      <c r="E23108" t="str">
        <f>"MEMPHIS                   "</f>
        <v xml:space="preserve">MEMPHIS                   </v>
      </c>
      <c r="F23108" t="str">
        <f t="shared" si="610"/>
        <v>TN</v>
      </c>
    </row>
    <row r="23109" spans="1:6" x14ac:dyDescent="0.25">
      <c r="A23109" t="str">
        <f>"200007719"</f>
        <v>200007719</v>
      </c>
      <c r="B23109" t="str">
        <f>"1336348085"</f>
        <v>1336348085</v>
      </c>
      <c r="C23109" t="str">
        <f>"2084P0800X"</f>
        <v>2084P0800X</v>
      </c>
      <c r="D23109" t="str">
        <f>"DOSS                     VINODH       T           "</f>
        <v xml:space="preserve">DOSS                     VINODH       T           </v>
      </c>
      <c r="E23109" t="str">
        <f>"MEMPHIS                   "</f>
        <v xml:space="preserve">MEMPHIS                   </v>
      </c>
      <c r="F23109" t="str">
        <f t="shared" si="610"/>
        <v>TN</v>
      </c>
    </row>
    <row r="23110" spans="1:6" x14ac:dyDescent="0.25">
      <c r="A23110" t="str">
        <f>"200007761"</f>
        <v>200007761</v>
      </c>
      <c r="B23110" t="str">
        <f>"1568091205"</f>
        <v>1568091205</v>
      </c>
      <c r="C23110" t="str">
        <f>"207R00000X"</f>
        <v>207R00000X</v>
      </c>
      <c r="D23110" t="str">
        <f>"VANDILLEN                ARIANA                   "</f>
        <v xml:space="preserve">VANDILLEN                ARIANA                   </v>
      </c>
      <c r="E23110" t="str">
        <f>"MEMPHIS                   "</f>
        <v xml:space="preserve">MEMPHIS                   </v>
      </c>
      <c r="F23110" t="str">
        <f t="shared" si="610"/>
        <v>TN</v>
      </c>
    </row>
    <row r="23111" spans="1:6" x14ac:dyDescent="0.25">
      <c r="A23111" t="str">
        <f>"200007767"</f>
        <v>200007767</v>
      </c>
      <c r="B23111" t="str">
        <f>"1508252487"</f>
        <v>1508252487</v>
      </c>
      <c r="C23111" t="str">
        <f>"208000000X"</f>
        <v>208000000X</v>
      </c>
      <c r="D23111" t="str">
        <f>"KEMME                    SARAH                    "</f>
        <v xml:space="preserve">KEMME                    SARAH                    </v>
      </c>
      <c r="E23111" t="str">
        <f>"NASHVILLE                 "</f>
        <v xml:space="preserve">NASHVILLE                 </v>
      </c>
      <c r="F23111" t="str">
        <f t="shared" si="610"/>
        <v>TN</v>
      </c>
    </row>
    <row r="23112" spans="1:6" x14ac:dyDescent="0.25">
      <c r="A23112" t="str">
        <f>"200007784"</f>
        <v>200007784</v>
      </c>
      <c r="B23112" t="str">
        <f>"1780242909"</f>
        <v>1780242909</v>
      </c>
      <c r="C23112" t="str">
        <f>"207P00000X"</f>
        <v>207P00000X</v>
      </c>
      <c r="D23112" t="str">
        <f>"ANDERSON                 ALEXA                    "</f>
        <v xml:space="preserve">ANDERSON                 ALEXA                    </v>
      </c>
      <c r="E23112" t="str">
        <f>"MEMPHIS                   "</f>
        <v xml:space="preserve">MEMPHIS                   </v>
      </c>
      <c r="F23112" t="str">
        <f t="shared" si="610"/>
        <v>TN</v>
      </c>
    </row>
    <row r="23113" spans="1:6" x14ac:dyDescent="0.25">
      <c r="A23113" t="str">
        <f>"200007859"</f>
        <v>200007859</v>
      </c>
      <c r="B23113" t="str">
        <f>"1063123016"</f>
        <v>1063123016</v>
      </c>
      <c r="C23113" t="str">
        <f>"2086S0122X"</f>
        <v>2086S0122X</v>
      </c>
      <c r="D23113" t="str">
        <f>"KRUCHEVSKY               DANI                     "</f>
        <v xml:space="preserve">KRUCHEVSKY               DANI                     </v>
      </c>
      <c r="E23113" t="str">
        <f>"MEMPHIS                   "</f>
        <v xml:space="preserve">MEMPHIS                   </v>
      </c>
      <c r="F23113" t="str">
        <f t="shared" si="610"/>
        <v>TN</v>
      </c>
    </row>
    <row r="23114" spans="1:6" x14ac:dyDescent="0.25">
      <c r="A23114" t="str">
        <f>"200007878"</f>
        <v>200007878</v>
      </c>
      <c r="B23114" t="str">
        <f>"1215433578"</f>
        <v>1215433578</v>
      </c>
      <c r="C23114" t="str">
        <f>"207U00000X"</f>
        <v>207U00000X</v>
      </c>
      <c r="D23114" t="str">
        <f>"SAWANT                   DEVENDRA                 "</f>
        <v xml:space="preserve">SAWANT                   DEVENDRA                 </v>
      </c>
      <c r="E23114" t="str">
        <f>"MEMPHIS                   "</f>
        <v xml:space="preserve">MEMPHIS                   </v>
      </c>
      <c r="F23114" t="str">
        <f t="shared" si="610"/>
        <v>TN</v>
      </c>
    </row>
    <row r="23115" spans="1:6" x14ac:dyDescent="0.25">
      <c r="A23115" t="str">
        <f>"200007897"</f>
        <v>200007897</v>
      </c>
      <c r="B23115" t="str">
        <f>"1750797700"</f>
        <v>1750797700</v>
      </c>
      <c r="C23115" t="str">
        <f>"363A00000X"</f>
        <v>363A00000X</v>
      </c>
      <c r="D23115" t="str">
        <f>"SWIFT                    RICHARD                  "</f>
        <v xml:space="preserve">SWIFT                    RICHARD                  </v>
      </c>
      <c r="E23115" t="str">
        <f>"GERMANTOWN                "</f>
        <v xml:space="preserve">GERMANTOWN                </v>
      </c>
      <c r="F23115" t="str">
        <f t="shared" si="610"/>
        <v>TN</v>
      </c>
    </row>
    <row r="23116" spans="1:6" x14ac:dyDescent="0.25">
      <c r="A23116" t="str">
        <f>"200007970"</f>
        <v>200007970</v>
      </c>
      <c r="B23116" t="str">
        <f>"1295363216"</f>
        <v>1295363216</v>
      </c>
      <c r="C23116" t="str">
        <f>"208000000X"</f>
        <v>208000000X</v>
      </c>
      <c r="D23116" t="str">
        <f>"ESTES                    HANNAH                   "</f>
        <v xml:space="preserve">ESTES                    HANNAH                   </v>
      </c>
      <c r="E23116" t="str">
        <f>"MEMPHIS                   "</f>
        <v xml:space="preserve">MEMPHIS                   </v>
      </c>
      <c r="F23116" t="str">
        <f t="shared" si="610"/>
        <v>TN</v>
      </c>
    </row>
    <row r="23117" spans="1:6" x14ac:dyDescent="0.25">
      <c r="A23117" t="str">
        <f>"200007992"</f>
        <v>200007992</v>
      </c>
      <c r="B23117" t="str">
        <f>"1841796505"</f>
        <v>1841796505</v>
      </c>
      <c r="C23117" t="str">
        <f>"207R00000X"</f>
        <v>207R00000X</v>
      </c>
      <c r="D23117" t="str">
        <f>"BORRA                    PHANI                    "</f>
        <v xml:space="preserve">BORRA                    PHANI                    </v>
      </c>
      <c r="E23117" t="str">
        <f>"GERMANTOWN                "</f>
        <v xml:space="preserve">GERMANTOWN                </v>
      </c>
      <c r="F23117" t="str">
        <f t="shared" si="610"/>
        <v>TN</v>
      </c>
    </row>
    <row r="23118" spans="1:6" x14ac:dyDescent="0.25">
      <c r="A23118" t="str">
        <f>"200007994"</f>
        <v>200007994</v>
      </c>
      <c r="B23118" t="str">
        <f>"1396372603"</f>
        <v>1396372603</v>
      </c>
      <c r="C23118" t="str">
        <f>"207R00000X"</f>
        <v>207R00000X</v>
      </c>
      <c r="D23118" t="str">
        <f>"TEMPAKORNKUL             THAVIN                   "</f>
        <v xml:space="preserve">TEMPAKORNKUL             THAVIN                   </v>
      </c>
      <c r="E23118" t="str">
        <f t="shared" ref="E23118:E23125" si="611">"MEMPHIS                   "</f>
        <v xml:space="preserve">MEMPHIS                   </v>
      </c>
      <c r="F23118" t="str">
        <f t="shared" si="610"/>
        <v>TN</v>
      </c>
    </row>
    <row r="23119" spans="1:6" x14ac:dyDescent="0.25">
      <c r="A23119" t="str">
        <f>"200008000"</f>
        <v>200008000</v>
      </c>
      <c r="B23119" t="str">
        <f>"1477037786"</f>
        <v>1477037786</v>
      </c>
      <c r="C23119" t="str">
        <f>"363L00000X"</f>
        <v>363L00000X</v>
      </c>
      <c r="D23119" t="str">
        <f>"JOHNSON                  MORGIN                   "</f>
        <v xml:space="preserve">JOHNSON                  MORGIN                   </v>
      </c>
      <c r="E23119" t="str">
        <f t="shared" si="611"/>
        <v xml:space="preserve">MEMPHIS                   </v>
      </c>
      <c r="F23119" t="str">
        <f t="shared" si="610"/>
        <v>TN</v>
      </c>
    </row>
    <row r="23120" spans="1:6" x14ac:dyDescent="0.25">
      <c r="A23120" t="str">
        <f>"200008013"</f>
        <v>200008013</v>
      </c>
      <c r="B23120" t="str">
        <f>"1497378681"</f>
        <v>1497378681</v>
      </c>
      <c r="C23120" t="str">
        <f>"208000000X"</f>
        <v>208000000X</v>
      </c>
      <c r="D23120" t="str">
        <f>"PAL                      JAYATI                   "</f>
        <v xml:space="preserve">PAL                      JAYATI                   </v>
      </c>
      <c r="E23120" t="str">
        <f t="shared" si="611"/>
        <v xml:space="preserve">MEMPHIS                   </v>
      </c>
      <c r="F23120" t="str">
        <f t="shared" si="610"/>
        <v>TN</v>
      </c>
    </row>
    <row r="23121" spans="1:6" x14ac:dyDescent="0.25">
      <c r="A23121" t="str">
        <f>"200008044"</f>
        <v>200008044</v>
      </c>
      <c r="B23121" t="str">
        <f>"1770365249"</f>
        <v>1770365249</v>
      </c>
      <c r="C23121" t="str">
        <f>"363L00000X"</f>
        <v>363L00000X</v>
      </c>
      <c r="D23121" t="str">
        <f>"WEATHERLY                PAUL                     "</f>
        <v xml:space="preserve">WEATHERLY                PAUL                     </v>
      </c>
      <c r="E23121" t="str">
        <f t="shared" si="611"/>
        <v xml:space="preserve">MEMPHIS                   </v>
      </c>
      <c r="F23121" t="str">
        <f t="shared" si="610"/>
        <v>TN</v>
      </c>
    </row>
    <row r="23122" spans="1:6" x14ac:dyDescent="0.25">
      <c r="A23122" t="str">
        <f>"200008084"</f>
        <v>200008084</v>
      </c>
      <c r="B23122" t="str">
        <f>"1386212033"</f>
        <v>1386212033</v>
      </c>
      <c r="C23122" t="str">
        <f>"367500000X"</f>
        <v>367500000X</v>
      </c>
      <c r="D23122" t="str">
        <f>"GRAY                     BRANDON                  "</f>
        <v xml:space="preserve">GRAY                     BRANDON                  </v>
      </c>
      <c r="E23122" t="str">
        <f t="shared" si="611"/>
        <v xml:space="preserve">MEMPHIS                   </v>
      </c>
      <c r="F23122" t="str">
        <f t="shared" si="610"/>
        <v>TN</v>
      </c>
    </row>
    <row r="23123" spans="1:6" x14ac:dyDescent="0.25">
      <c r="A23123" t="str">
        <f>"200008095"</f>
        <v>200008095</v>
      </c>
      <c r="B23123" t="str">
        <f>"1477015006"</f>
        <v>1477015006</v>
      </c>
      <c r="C23123" t="str">
        <f>"363L00000X"</f>
        <v>363L00000X</v>
      </c>
      <c r="D23123" t="str">
        <f>"BROWNE                   ADORA        M           "</f>
        <v xml:space="preserve">BROWNE                   ADORA        M           </v>
      </c>
      <c r="E23123" t="str">
        <f t="shared" si="611"/>
        <v xml:space="preserve">MEMPHIS                   </v>
      </c>
      <c r="F23123" t="str">
        <f t="shared" si="610"/>
        <v>TN</v>
      </c>
    </row>
    <row r="23124" spans="1:6" x14ac:dyDescent="0.25">
      <c r="A23124" t="str">
        <f>"200008109"</f>
        <v>200008109</v>
      </c>
      <c r="B23124" t="str">
        <f>"1083690341"</f>
        <v>1083690341</v>
      </c>
      <c r="C23124" t="str">
        <f>"207L00000X"</f>
        <v>207L00000X</v>
      </c>
      <c r="D23124" t="str">
        <f>"RUIZ                     JUDITH                   "</f>
        <v xml:space="preserve">RUIZ                     JUDITH                   </v>
      </c>
      <c r="E23124" t="str">
        <f t="shared" si="611"/>
        <v xml:space="preserve">MEMPHIS                   </v>
      </c>
      <c r="F23124" t="str">
        <f t="shared" si="610"/>
        <v>TN</v>
      </c>
    </row>
    <row r="23125" spans="1:6" x14ac:dyDescent="0.25">
      <c r="A23125" t="str">
        <f>"200008110"</f>
        <v>200008110</v>
      </c>
      <c r="B23125" t="str">
        <f>"1003080615"</f>
        <v>1003080615</v>
      </c>
      <c r="C23125" t="str">
        <f>"208000000X"</f>
        <v>208000000X</v>
      </c>
      <c r="D23125" t="str">
        <f>"NEARN                    ANDREW                   "</f>
        <v xml:space="preserve">NEARN                    ANDREW                   </v>
      </c>
      <c r="E23125" t="str">
        <f t="shared" si="611"/>
        <v xml:space="preserve">MEMPHIS                   </v>
      </c>
      <c r="F23125" t="str">
        <f t="shared" si="610"/>
        <v>TN</v>
      </c>
    </row>
    <row r="23126" spans="1:6" x14ac:dyDescent="0.25">
      <c r="A23126" t="str">
        <f>"200008139"</f>
        <v>200008139</v>
      </c>
      <c r="B23126" t="str">
        <f>"1316088321"</f>
        <v>1316088321</v>
      </c>
      <c r="C23126" t="str">
        <f>"363L00000X"</f>
        <v>363L00000X</v>
      </c>
      <c r="D23126" t="str">
        <f>"IVEY                     ELIZABETH                "</f>
        <v xml:space="preserve">IVEY                     ELIZABETH                </v>
      </c>
      <c r="E23126" t="str">
        <f>"GERMANTOWN                "</f>
        <v xml:space="preserve">GERMANTOWN                </v>
      </c>
      <c r="F23126" t="str">
        <f t="shared" si="610"/>
        <v>TN</v>
      </c>
    </row>
    <row r="23127" spans="1:6" x14ac:dyDescent="0.25">
      <c r="A23127" t="str">
        <f>"200008141"</f>
        <v>200008141</v>
      </c>
      <c r="B23127" t="str">
        <f>"1922190396"</f>
        <v>1922190396</v>
      </c>
      <c r="C23127" t="str">
        <f>"207RC0000X"</f>
        <v>207RC0000X</v>
      </c>
      <c r="D23127" t="str">
        <f>"MCGREW                   FRANK        A           "</f>
        <v xml:space="preserve">MCGREW                   FRANK        A           </v>
      </c>
      <c r="E23127" t="str">
        <f>"GERMANTOWN                "</f>
        <v xml:space="preserve">GERMANTOWN                </v>
      </c>
      <c r="F23127" t="str">
        <f t="shared" si="610"/>
        <v>TN</v>
      </c>
    </row>
    <row r="23128" spans="1:6" x14ac:dyDescent="0.25">
      <c r="A23128" t="str">
        <f>"200008143"</f>
        <v>200008143</v>
      </c>
      <c r="B23128" t="str">
        <f>"1902460223"</f>
        <v>1902460223</v>
      </c>
      <c r="C23128" t="str">
        <f>"207ZP0102X"</f>
        <v>207ZP0102X</v>
      </c>
      <c r="D23128" t="str">
        <f>"NOUBOUOSSIE FONDJIE      DENIS CHAMBER            "</f>
        <v xml:space="preserve">NOUBOUOSSIE FONDJIE      DENIS CHAMBER            </v>
      </c>
      <c r="E23128" t="str">
        <f>"MEMPHIS                   "</f>
        <v xml:space="preserve">MEMPHIS                   </v>
      </c>
      <c r="F23128" t="str">
        <f t="shared" si="610"/>
        <v>TN</v>
      </c>
    </row>
    <row r="23129" spans="1:6" x14ac:dyDescent="0.25">
      <c r="A23129" t="str">
        <f>"200008152"</f>
        <v>200008152</v>
      </c>
      <c r="B23129" t="str">
        <f>"1841837788"</f>
        <v>1841837788</v>
      </c>
      <c r="C23129" t="str">
        <f>"2080P0202X"</f>
        <v>2080P0202X</v>
      </c>
      <c r="D23129" t="str">
        <f>"HUSSAIN                  ARIF                     "</f>
        <v xml:space="preserve">HUSSAIN                  ARIF                     </v>
      </c>
      <c r="E23129" t="str">
        <f>"JACKSON                   "</f>
        <v xml:space="preserve">JACKSON                   </v>
      </c>
      <c r="F23129" t="str">
        <f t="shared" si="610"/>
        <v>TN</v>
      </c>
    </row>
    <row r="23130" spans="1:6" x14ac:dyDescent="0.25">
      <c r="A23130" t="str">
        <f>"200008173"</f>
        <v>200008173</v>
      </c>
      <c r="B23130" t="str">
        <f>"1114556107"</f>
        <v>1114556107</v>
      </c>
      <c r="C23130" t="str">
        <f>"207P00000X"</f>
        <v>207P00000X</v>
      </c>
      <c r="D23130" t="str">
        <f>"STANFORD                 NATHAN                   "</f>
        <v xml:space="preserve">STANFORD                 NATHAN                   </v>
      </c>
      <c r="E23130" t="str">
        <f>"MEMPHIS                   "</f>
        <v xml:space="preserve">MEMPHIS                   </v>
      </c>
      <c r="F23130" t="str">
        <f t="shared" si="610"/>
        <v>TN</v>
      </c>
    </row>
    <row r="23131" spans="1:6" x14ac:dyDescent="0.25">
      <c r="A23131" t="str">
        <f>"200008222"</f>
        <v>200008222</v>
      </c>
      <c r="B23131" t="str">
        <f>"1659829521"</f>
        <v>1659829521</v>
      </c>
      <c r="C23131" t="str">
        <f>"363L00000X"</f>
        <v>363L00000X</v>
      </c>
      <c r="D23131" t="str">
        <f>"KING                     JENNIFER     A           "</f>
        <v xml:space="preserve">KING                     JENNIFER     A           </v>
      </c>
      <c r="E23131" t="str">
        <f>"COLLIERVILLE              "</f>
        <v xml:space="preserve">COLLIERVILLE              </v>
      </c>
      <c r="F23131" t="str">
        <f t="shared" si="610"/>
        <v>TN</v>
      </c>
    </row>
    <row r="23132" spans="1:6" x14ac:dyDescent="0.25">
      <c r="A23132" t="str">
        <f>"200008276"</f>
        <v>200008276</v>
      </c>
      <c r="B23132" t="str">
        <f>"1649633009"</f>
        <v>1649633009</v>
      </c>
      <c r="C23132" t="str">
        <f>"2080P0207X"</f>
        <v>2080P0207X</v>
      </c>
      <c r="D23132" t="str">
        <f>"COWFER                   BRITTANY                 "</f>
        <v xml:space="preserve">COWFER                   BRITTANY                 </v>
      </c>
      <c r="E23132" t="str">
        <f t="shared" ref="E23132:E23137" si="612">"MEMPHIS                   "</f>
        <v xml:space="preserve">MEMPHIS                   </v>
      </c>
      <c r="F23132" t="str">
        <f t="shared" si="610"/>
        <v>TN</v>
      </c>
    </row>
    <row r="23133" spans="1:6" x14ac:dyDescent="0.25">
      <c r="A23133" t="str">
        <f>"200008285"</f>
        <v>200008285</v>
      </c>
      <c r="B23133" t="str">
        <f>"1255089926"</f>
        <v>1255089926</v>
      </c>
      <c r="C23133" t="str">
        <f>"363L00000X"</f>
        <v>363L00000X</v>
      </c>
      <c r="D23133" t="str">
        <f>"HARDEE                   ANDREW                   "</f>
        <v xml:space="preserve">HARDEE                   ANDREW                   </v>
      </c>
      <c r="E23133" t="str">
        <f t="shared" si="612"/>
        <v xml:space="preserve">MEMPHIS                   </v>
      </c>
      <c r="F23133" t="str">
        <f t="shared" si="610"/>
        <v>TN</v>
      </c>
    </row>
    <row r="23134" spans="1:6" x14ac:dyDescent="0.25">
      <c r="A23134" t="str">
        <f>"200008287"</f>
        <v>200008287</v>
      </c>
      <c r="B23134" t="str">
        <f>"1710339643"</f>
        <v>1710339643</v>
      </c>
      <c r="C23134" t="str">
        <f>"2080P0207X"</f>
        <v>2080P0207X</v>
      </c>
      <c r="D23134" t="str">
        <f>"TLAIS                    DANA                     "</f>
        <v xml:space="preserve">TLAIS                    DANA                     </v>
      </c>
      <c r="E23134" t="str">
        <f t="shared" si="612"/>
        <v xml:space="preserve">MEMPHIS                   </v>
      </c>
      <c r="F23134" t="str">
        <f t="shared" si="610"/>
        <v>TN</v>
      </c>
    </row>
    <row r="23135" spans="1:6" x14ac:dyDescent="0.25">
      <c r="A23135" t="str">
        <f>"200008290"</f>
        <v>200008290</v>
      </c>
      <c r="B23135" t="str">
        <f>"1477086999"</f>
        <v>1477086999</v>
      </c>
      <c r="C23135" t="str">
        <f>"207X00000X"</f>
        <v>207X00000X</v>
      </c>
      <c r="D23135" t="str">
        <f>"CHEN                     STEPHANIE                "</f>
        <v xml:space="preserve">CHEN                     STEPHANIE                </v>
      </c>
      <c r="E23135" t="str">
        <f t="shared" si="612"/>
        <v xml:space="preserve">MEMPHIS                   </v>
      </c>
      <c r="F23135" t="str">
        <f t="shared" si="610"/>
        <v>TN</v>
      </c>
    </row>
    <row r="23136" spans="1:6" x14ac:dyDescent="0.25">
      <c r="A23136" t="str">
        <f>"200008296"</f>
        <v>200008296</v>
      </c>
      <c r="B23136" t="str">
        <f>"1588147078"</f>
        <v>1588147078</v>
      </c>
      <c r="C23136" t="str">
        <f>"363L00000X"</f>
        <v>363L00000X</v>
      </c>
      <c r="D23136" t="str">
        <f>"MULLINS IV               JAMES        E           "</f>
        <v xml:space="preserve">MULLINS IV               JAMES        E           </v>
      </c>
      <c r="E23136" t="str">
        <f t="shared" si="612"/>
        <v xml:space="preserve">MEMPHIS                   </v>
      </c>
      <c r="F23136" t="str">
        <f t="shared" si="610"/>
        <v>TN</v>
      </c>
    </row>
    <row r="23137" spans="1:6" x14ac:dyDescent="0.25">
      <c r="A23137" t="str">
        <f>"200008317"</f>
        <v>200008317</v>
      </c>
      <c r="B23137" t="str">
        <f>"1831198472"</f>
        <v>1831198472</v>
      </c>
      <c r="C23137" t="str">
        <f>"2085P0229X"</f>
        <v>2085P0229X</v>
      </c>
      <c r="D23137" t="str">
        <f>"CRAYCHEE                 JUDITH                   "</f>
        <v xml:space="preserve">CRAYCHEE                 JUDITH                   </v>
      </c>
      <c r="E23137" t="str">
        <f t="shared" si="612"/>
        <v xml:space="preserve">MEMPHIS                   </v>
      </c>
      <c r="F23137" t="str">
        <f t="shared" si="610"/>
        <v>TN</v>
      </c>
    </row>
    <row r="23138" spans="1:6" x14ac:dyDescent="0.25">
      <c r="A23138" t="str">
        <f>"200008364"</f>
        <v>200008364</v>
      </c>
      <c r="B23138" t="str">
        <f>"1417376179"</f>
        <v>1417376179</v>
      </c>
      <c r="C23138" t="str">
        <f>"363L00000X"</f>
        <v>363L00000X</v>
      </c>
      <c r="D23138" t="str">
        <f>"ERKEL                    MARY         K           "</f>
        <v xml:space="preserve">ERKEL                    MARY         K           </v>
      </c>
      <c r="E23138" t="str">
        <f>"BARTLETT                  "</f>
        <v xml:space="preserve">BARTLETT                  </v>
      </c>
      <c r="F23138" t="str">
        <f t="shared" si="610"/>
        <v>TN</v>
      </c>
    </row>
    <row r="23139" spans="1:6" x14ac:dyDescent="0.25">
      <c r="A23139" t="str">
        <f>"200008379"</f>
        <v>200008379</v>
      </c>
      <c r="B23139" t="str">
        <f>"1821352220"</f>
        <v>1821352220</v>
      </c>
      <c r="C23139" t="str">
        <f>"207RC0000X"</f>
        <v>207RC0000X</v>
      </c>
      <c r="D23139" t="str">
        <f>"SWE                      EI           K           "</f>
        <v xml:space="preserve">SWE                      EI           K           </v>
      </c>
      <c r="E23139" t="str">
        <f>"GERMANTOWN                "</f>
        <v xml:space="preserve">GERMANTOWN                </v>
      </c>
      <c r="F23139" t="str">
        <f t="shared" si="610"/>
        <v>TN</v>
      </c>
    </row>
    <row r="23140" spans="1:6" x14ac:dyDescent="0.25">
      <c r="A23140" t="str">
        <f>"200008386"</f>
        <v>200008386</v>
      </c>
      <c r="B23140" t="str">
        <f>"1386025963"</f>
        <v>1386025963</v>
      </c>
      <c r="C23140" t="str">
        <f>"1223S0112X"</f>
        <v>1223S0112X</v>
      </c>
      <c r="D23140" t="str">
        <f>"WILSON                   BRETT                    "</f>
        <v xml:space="preserve">WILSON                   BRETT                    </v>
      </c>
      <c r="E23140" t="str">
        <f t="shared" ref="E23140:E23148" si="613">"MEMPHIS                   "</f>
        <v xml:space="preserve">MEMPHIS                   </v>
      </c>
      <c r="F23140" t="str">
        <f t="shared" si="610"/>
        <v>TN</v>
      </c>
    </row>
    <row r="23141" spans="1:6" x14ac:dyDescent="0.25">
      <c r="A23141" t="str">
        <f>"200008396"</f>
        <v>200008396</v>
      </c>
      <c r="B23141" t="str">
        <f>"1750595138"</f>
        <v>1750595138</v>
      </c>
      <c r="C23141" t="str">
        <f>"2085R0204X"</f>
        <v>2085R0204X</v>
      </c>
      <c r="D23141" t="str">
        <f>"AGUADO                   ALLISON                  "</f>
        <v xml:space="preserve">AGUADO                   ALLISON                  </v>
      </c>
      <c r="E23141" t="str">
        <f t="shared" si="613"/>
        <v xml:space="preserve">MEMPHIS                   </v>
      </c>
      <c r="F23141" t="str">
        <f t="shared" si="610"/>
        <v>TN</v>
      </c>
    </row>
    <row r="23142" spans="1:6" x14ac:dyDescent="0.25">
      <c r="A23142" t="str">
        <f>"200008403"</f>
        <v>200008403</v>
      </c>
      <c r="B23142" t="str">
        <f>"1215928544"</f>
        <v>1215928544</v>
      </c>
      <c r="C23142" t="str">
        <f>"2080P0207X"</f>
        <v>2080P0207X</v>
      </c>
      <c r="D23142" t="str">
        <f>"NEUFELD                  ELLIS                    "</f>
        <v xml:space="preserve">NEUFELD                  ELLIS                    </v>
      </c>
      <c r="E23142" t="str">
        <f t="shared" si="613"/>
        <v xml:space="preserve">MEMPHIS                   </v>
      </c>
      <c r="F23142" t="str">
        <f t="shared" si="610"/>
        <v>TN</v>
      </c>
    </row>
    <row r="23143" spans="1:6" x14ac:dyDescent="0.25">
      <c r="A23143" t="str">
        <f>"200008417"</f>
        <v>200008417</v>
      </c>
      <c r="B23143" t="str">
        <f>"1912094020"</f>
        <v>1912094020</v>
      </c>
      <c r="C23143" t="str">
        <f>"2084P0800X"</f>
        <v>2084P0800X</v>
      </c>
      <c r="D23143" t="str">
        <f>"COWAN                    RONALD                   "</f>
        <v xml:space="preserve">COWAN                    RONALD                   </v>
      </c>
      <c r="E23143" t="str">
        <f t="shared" si="613"/>
        <v xml:space="preserve">MEMPHIS                   </v>
      </c>
      <c r="F23143" t="str">
        <f t="shared" si="610"/>
        <v>TN</v>
      </c>
    </row>
    <row r="23144" spans="1:6" x14ac:dyDescent="0.25">
      <c r="A23144" t="str">
        <f>"200008422"</f>
        <v>200008422</v>
      </c>
      <c r="B23144" t="str">
        <f>"1184819203"</f>
        <v>1184819203</v>
      </c>
      <c r="C23144" t="str">
        <f>"207L00000X"</f>
        <v>207L00000X</v>
      </c>
      <c r="D23144" t="str">
        <f>"WADHWA                   MUKESH                   "</f>
        <v xml:space="preserve">WADHWA                   MUKESH                   </v>
      </c>
      <c r="E23144" t="str">
        <f t="shared" si="613"/>
        <v xml:space="preserve">MEMPHIS                   </v>
      </c>
      <c r="F23144" t="str">
        <f t="shared" si="610"/>
        <v>TN</v>
      </c>
    </row>
    <row r="23145" spans="1:6" x14ac:dyDescent="0.25">
      <c r="A23145" t="str">
        <f>"200008447"</f>
        <v>200008447</v>
      </c>
      <c r="B23145" t="str">
        <f>"1710592720"</f>
        <v>1710592720</v>
      </c>
      <c r="C23145" t="str">
        <f>"363L00000X"</f>
        <v>363L00000X</v>
      </c>
      <c r="D23145" t="str">
        <f>"DOWDEN                   KELLY                    "</f>
        <v xml:space="preserve">DOWDEN                   KELLY                    </v>
      </c>
      <c r="E23145" t="str">
        <f t="shared" si="613"/>
        <v xml:space="preserve">MEMPHIS                   </v>
      </c>
      <c r="F23145" t="str">
        <f t="shared" si="610"/>
        <v>TN</v>
      </c>
    </row>
    <row r="23146" spans="1:6" x14ac:dyDescent="0.25">
      <c r="A23146" t="str">
        <f>"200008451"</f>
        <v>200008451</v>
      </c>
      <c r="B23146" t="str">
        <f>"1124751094"</f>
        <v>1124751094</v>
      </c>
      <c r="C23146" t="str">
        <f>"363L00000X"</f>
        <v>363L00000X</v>
      </c>
      <c r="D23146" t="str">
        <f>"ZIMMERMAN                DANA                     "</f>
        <v xml:space="preserve">ZIMMERMAN                DANA                     </v>
      </c>
      <c r="E23146" t="str">
        <f t="shared" si="613"/>
        <v xml:space="preserve">MEMPHIS                   </v>
      </c>
      <c r="F23146" t="str">
        <f t="shared" si="610"/>
        <v>TN</v>
      </c>
    </row>
    <row r="23147" spans="1:6" x14ac:dyDescent="0.25">
      <c r="A23147" t="str">
        <f>"200008491"</f>
        <v>200008491</v>
      </c>
      <c r="B23147" t="str">
        <f>"1629265632"</f>
        <v>1629265632</v>
      </c>
      <c r="C23147" t="str">
        <f>"2085R0202X"</f>
        <v>2085R0202X</v>
      </c>
      <c r="D23147" t="str">
        <f>"MOSZKOWICZ               ARIE                     "</f>
        <v xml:space="preserve">MOSZKOWICZ               ARIE                     </v>
      </c>
      <c r="E23147" t="str">
        <f t="shared" si="613"/>
        <v xml:space="preserve">MEMPHIS                   </v>
      </c>
      <c r="F23147" t="str">
        <f t="shared" si="610"/>
        <v>TN</v>
      </c>
    </row>
    <row r="23148" spans="1:6" x14ac:dyDescent="0.25">
      <c r="A23148" t="str">
        <f>"200008517"</f>
        <v>200008517</v>
      </c>
      <c r="B23148" t="str">
        <f>"1780950055"</f>
        <v>1780950055</v>
      </c>
      <c r="C23148" t="str">
        <f>"363L00000X"</f>
        <v>363L00000X</v>
      </c>
      <c r="D23148" t="str">
        <f>"BOUCHER                  ANDREA                   "</f>
        <v xml:space="preserve">BOUCHER                  ANDREA                   </v>
      </c>
      <c r="E23148" t="str">
        <f t="shared" si="613"/>
        <v xml:space="preserve">MEMPHIS                   </v>
      </c>
      <c r="F23148" t="str">
        <f t="shared" si="610"/>
        <v>TN</v>
      </c>
    </row>
    <row r="23149" spans="1:6" x14ac:dyDescent="0.25">
      <c r="A23149" t="str">
        <f>"200008527"</f>
        <v>200008527</v>
      </c>
      <c r="B23149" t="str">
        <f>"1932529195"</f>
        <v>1932529195</v>
      </c>
      <c r="C23149" t="str">
        <f>"207RC0000X"</f>
        <v>207RC0000X</v>
      </c>
      <c r="D23149" t="str">
        <f>"JOHN                     LEAH                     "</f>
        <v xml:space="preserve">JOHN                     LEAH                     </v>
      </c>
      <c r="E23149" t="str">
        <f>"GERMANTOWN                "</f>
        <v xml:space="preserve">GERMANTOWN                </v>
      </c>
      <c r="F23149" t="str">
        <f t="shared" si="610"/>
        <v>TN</v>
      </c>
    </row>
    <row r="23150" spans="1:6" x14ac:dyDescent="0.25">
      <c r="A23150" t="str">
        <f>"200008572"</f>
        <v>200008572</v>
      </c>
      <c r="B23150" t="str">
        <f>"1790739027"</f>
        <v>1790739027</v>
      </c>
      <c r="C23150" t="str">
        <f>"2086S0120X"</f>
        <v>2086S0120X</v>
      </c>
      <c r="D23150" t="str">
        <f>"EUBANKS                  JAMES                    "</f>
        <v xml:space="preserve">EUBANKS                  JAMES                    </v>
      </c>
      <c r="E23150" t="str">
        <f>"MEMPHIS                   "</f>
        <v xml:space="preserve">MEMPHIS                   </v>
      </c>
      <c r="F23150" t="str">
        <f t="shared" si="610"/>
        <v>TN</v>
      </c>
    </row>
    <row r="23151" spans="1:6" x14ac:dyDescent="0.25">
      <c r="A23151" t="str">
        <f>"200008576"</f>
        <v>200008576</v>
      </c>
      <c r="B23151" t="str">
        <f>"1467831917"</f>
        <v>1467831917</v>
      </c>
      <c r="C23151" t="str">
        <f>"207P00000X"</f>
        <v>207P00000X</v>
      </c>
      <c r="D23151" t="str">
        <f>"RENDE                    ANDREW                   "</f>
        <v xml:space="preserve">RENDE                    ANDREW                   </v>
      </c>
      <c r="E23151" t="str">
        <f>"ARLINGTON                 "</f>
        <v xml:space="preserve">ARLINGTON                 </v>
      </c>
      <c r="F23151" t="str">
        <f t="shared" si="610"/>
        <v>TN</v>
      </c>
    </row>
    <row r="23152" spans="1:6" x14ac:dyDescent="0.25">
      <c r="A23152" t="str">
        <f>"200008607"</f>
        <v>200008607</v>
      </c>
      <c r="B23152" t="str">
        <f>"1396304598"</f>
        <v>1396304598</v>
      </c>
      <c r="C23152" t="str">
        <f>"207P00000X"</f>
        <v>207P00000X</v>
      </c>
      <c r="D23152" t="str">
        <f>"OJEABULU                 PHILIP                   "</f>
        <v xml:space="preserve">OJEABULU                 PHILIP                   </v>
      </c>
      <c r="E23152" t="str">
        <f>"BARTLETT                  "</f>
        <v xml:space="preserve">BARTLETT                  </v>
      </c>
      <c r="F23152" t="str">
        <f t="shared" si="610"/>
        <v>TN</v>
      </c>
    </row>
    <row r="23153" spans="1:6" x14ac:dyDescent="0.25">
      <c r="A23153" t="str">
        <f>"200008626"</f>
        <v>200008626</v>
      </c>
      <c r="B23153" t="str">
        <f>"1871806240"</f>
        <v>1871806240</v>
      </c>
      <c r="C23153" t="str">
        <f>"207L00000X"</f>
        <v>207L00000X</v>
      </c>
      <c r="D23153" t="str">
        <f>"CHAN                     LISA                     "</f>
        <v xml:space="preserve">CHAN                     LISA                     </v>
      </c>
      <c r="E23153" t="str">
        <f>"MEMPHIS                   "</f>
        <v xml:space="preserve">MEMPHIS                   </v>
      </c>
      <c r="F23153" t="str">
        <f t="shared" si="610"/>
        <v>TN</v>
      </c>
    </row>
    <row r="23154" spans="1:6" x14ac:dyDescent="0.25">
      <c r="A23154" t="str">
        <f>"200008629"</f>
        <v>200008629</v>
      </c>
      <c r="B23154" t="str">
        <f>"1548435761"</f>
        <v>1548435761</v>
      </c>
      <c r="C23154" t="str">
        <f>"363L00000X"</f>
        <v>363L00000X</v>
      </c>
      <c r="D23154" t="str">
        <f>"SEARS                    CHRISTINA                "</f>
        <v xml:space="preserve">SEARS                    CHRISTINA                </v>
      </c>
      <c r="E23154" t="str">
        <f>"MEMPHIS                   "</f>
        <v xml:space="preserve">MEMPHIS                   </v>
      </c>
      <c r="F23154" t="str">
        <f t="shared" si="610"/>
        <v>TN</v>
      </c>
    </row>
    <row r="23155" spans="1:6" x14ac:dyDescent="0.25">
      <c r="A23155" t="str">
        <f>"200008636"</f>
        <v>200008636</v>
      </c>
      <c r="B23155" t="str">
        <f>"1295223543"</f>
        <v>1295223543</v>
      </c>
      <c r="C23155" t="str">
        <f>"2084P0800X"</f>
        <v>2084P0800X</v>
      </c>
      <c r="D23155" t="str">
        <f>"ATAGA                    ONOMEASIKE               "</f>
        <v xml:space="preserve">ATAGA                    ONOMEASIKE               </v>
      </c>
      <c r="E23155" t="str">
        <f>"MEMPHIS                   "</f>
        <v xml:space="preserve">MEMPHIS                   </v>
      </c>
      <c r="F23155" t="str">
        <f t="shared" si="610"/>
        <v>TN</v>
      </c>
    </row>
    <row r="23156" spans="1:6" x14ac:dyDescent="0.25">
      <c r="A23156" t="str">
        <f>"200008637"</f>
        <v>200008637</v>
      </c>
      <c r="B23156" t="str">
        <f>"1508321621"</f>
        <v>1508321621</v>
      </c>
      <c r="C23156" t="str">
        <f>"363L00000X"</f>
        <v>363L00000X</v>
      </c>
      <c r="D23156" t="str">
        <f>"WHITTEN                  PATIENCE                 "</f>
        <v xml:space="preserve">WHITTEN                  PATIENCE                 </v>
      </c>
      <c r="E23156" t="str">
        <f>"MEMPHIS                   "</f>
        <v xml:space="preserve">MEMPHIS                   </v>
      </c>
      <c r="F23156" t="str">
        <f t="shared" si="610"/>
        <v>TN</v>
      </c>
    </row>
    <row r="23157" spans="1:6" x14ac:dyDescent="0.25">
      <c r="A23157" t="str">
        <f>"200008671"</f>
        <v>200008671</v>
      </c>
      <c r="B23157" t="str">
        <f>"1144223306"</f>
        <v>1144223306</v>
      </c>
      <c r="C23157" t="str">
        <f>"2085R0202X"</f>
        <v>2085R0202X</v>
      </c>
      <c r="D23157" t="str">
        <f>"DONOVAN                  TIMOTHY                  "</f>
        <v xml:space="preserve">DONOVAN                  TIMOTHY                  </v>
      </c>
      <c r="E23157" t="str">
        <f>"COLLIERVILLE              "</f>
        <v xml:space="preserve">COLLIERVILLE              </v>
      </c>
      <c r="F23157" t="str">
        <f t="shared" si="610"/>
        <v>TN</v>
      </c>
    </row>
    <row r="23158" spans="1:6" x14ac:dyDescent="0.25">
      <c r="A23158" t="str">
        <f>"200008677"</f>
        <v>200008677</v>
      </c>
      <c r="B23158" t="str">
        <f>"1063114445"</f>
        <v>1063114445</v>
      </c>
      <c r="C23158" t="str">
        <f>"363A00000X"</f>
        <v>363A00000X</v>
      </c>
      <c r="D23158" t="str">
        <f>"WHITE                    SHAY         A           "</f>
        <v xml:space="preserve">WHITE                    SHAY         A           </v>
      </c>
      <c r="E23158" t="str">
        <f>"MEMPHIS                   "</f>
        <v xml:space="preserve">MEMPHIS                   </v>
      </c>
      <c r="F23158" t="str">
        <f t="shared" si="610"/>
        <v>TN</v>
      </c>
    </row>
    <row r="23159" spans="1:6" x14ac:dyDescent="0.25">
      <c r="A23159" t="str">
        <f>"200008683"</f>
        <v>200008683</v>
      </c>
      <c r="B23159" t="str">
        <f>"1629106281"</f>
        <v>1629106281</v>
      </c>
      <c r="C23159" t="str">
        <f>"207ZP0102X"</f>
        <v>207ZP0102X</v>
      </c>
      <c r="D23159" t="str">
        <f>"ZHANG                    JIE                      "</f>
        <v xml:space="preserve">ZHANG                    JIE                      </v>
      </c>
      <c r="E23159" t="str">
        <f>"MEMPHS                    "</f>
        <v xml:space="preserve">MEMPHS                    </v>
      </c>
      <c r="F23159" t="str">
        <f t="shared" si="610"/>
        <v>TN</v>
      </c>
    </row>
    <row r="23160" spans="1:6" x14ac:dyDescent="0.25">
      <c r="A23160" t="str">
        <f>"200008698"</f>
        <v>200008698</v>
      </c>
      <c r="B23160" t="str">
        <f>"1386330538"</f>
        <v>1386330538</v>
      </c>
      <c r="C23160" t="str">
        <f>"363L00000X"</f>
        <v>363L00000X</v>
      </c>
      <c r="D23160" t="str">
        <f>"GUNTER                   LAKEICHA     D           "</f>
        <v xml:space="preserve">GUNTER                   LAKEICHA     D           </v>
      </c>
      <c r="E23160" t="str">
        <f>"MEMPHIS                   "</f>
        <v xml:space="preserve">MEMPHIS                   </v>
      </c>
      <c r="F23160" t="str">
        <f t="shared" si="610"/>
        <v>TN</v>
      </c>
    </row>
    <row r="23161" spans="1:6" x14ac:dyDescent="0.25">
      <c r="A23161" t="str">
        <f>"200008724"</f>
        <v>200008724</v>
      </c>
      <c r="B23161" t="str">
        <f>"1265052575"</f>
        <v>1265052575</v>
      </c>
      <c r="C23161" t="str">
        <f>"207R00000X"</f>
        <v>207R00000X</v>
      </c>
      <c r="D23161" t="str">
        <f>"MCGUIRE                  RICHARD      D           "</f>
        <v xml:space="preserve">MCGUIRE                  RICHARD      D           </v>
      </c>
      <c r="E23161" t="str">
        <f>"COLLIERVILLE              "</f>
        <v xml:space="preserve">COLLIERVILLE              </v>
      </c>
      <c r="F23161" t="str">
        <f t="shared" si="610"/>
        <v>TN</v>
      </c>
    </row>
    <row r="23162" spans="1:6" x14ac:dyDescent="0.25">
      <c r="A23162" t="str">
        <f>"200008741"</f>
        <v>200008741</v>
      </c>
      <c r="B23162" t="str">
        <f>"1891068623"</f>
        <v>1891068623</v>
      </c>
      <c r="C23162" t="str">
        <f>"367500000X"</f>
        <v>367500000X</v>
      </c>
      <c r="D23162" t="str">
        <f>"SELLS                    GRACE                    "</f>
        <v xml:space="preserve">SELLS                    GRACE                    </v>
      </c>
      <c r="E23162" t="str">
        <f>"MEMPHIS                   "</f>
        <v xml:space="preserve">MEMPHIS                   </v>
      </c>
      <c r="F23162" t="str">
        <f t="shared" si="610"/>
        <v>TN</v>
      </c>
    </row>
    <row r="23163" spans="1:6" x14ac:dyDescent="0.25">
      <c r="A23163" t="str">
        <f>"200008765"</f>
        <v>200008765</v>
      </c>
      <c r="B23163" t="str">
        <f>"1245417013"</f>
        <v>1245417013</v>
      </c>
      <c r="C23163" t="str">
        <f>"208000000X"</f>
        <v>208000000X</v>
      </c>
      <c r="D23163" t="str">
        <f>"NADINE                   SYMONS                   "</f>
        <v xml:space="preserve">NADINE                   SYMONS                   </v>
      </c>
      <c r="E23163" t="str">
        <f>"MEMPHIS                   "</f>
        <v xml:space="preserve">MEMPHIS                   </v>
      </c>
      <c r="F23163" t="str">
        <f t="shared" si="610"/>
        <v>TN</v>
      </c>
    </row>
    <row r="23164" spans="1:6" x14ac:dyDescent="0.25">
      <c r="A23164" t="str">
        <f>"200008772"</f>
        <v>200008772</v>
      </c>
      <c r="B23164" t="str">
        <f>"1699020651"</f>
        <v>1699020651</v>
      </c>
      <c r="C23164" t="str">
        <f>"208000000X"</f>
        <v>208000000X</v>
      </c>
      <c r="D23164" t="str">
        <f>"ARYEE                    IRENE                    "</f>
        <v xml:space="preserve">ARYEE                    IRENE                    </v>
      </c>
      <c r="E23164" t="str">
        <f>"MEMPHIS                   "</f>
        <v xml:space="preserve">MEMPHIS                   </v>
      </c>
      <c r="F23164" t="str">
        <f t="shared" si="610"/>
        <v>TN</v>
      </c>
    </row>
    <row r="23165" spans="1:6" x14ac:dyDescent="0.25">
      <c r="A23165" t="str">
        <f>"200008799"</f>
        <v>200008799</v>
      </c>
      <c r="B23165" t="str">
        <f>"1760592935"</f>
        <v>1760592935</v>
      </c>
      <c r="C23165" t="str">
        <f>"208C00000X"</f>
        <v>208C00000X</v>
      </c>
      <c r="D23165" t="str">
        <f>"MONROE                   JUSTIN                   "</f>
        <v xml:space="preserve">MONROE                   JUSTIN                   </v>
      </c>
      <c r="E23165" t="str">
        <f>"MEMPHIS                   "</f>
        <v xml:space="preserve">MEMPHIS                   </v>
      </c>
      <c r="F23165" t="str">
        <f t="shared" si="610"/>
        <v>TN</v>
      </c>
    </row>
    <row r="23166" spans="1:6" x14ac:dyDescent="0.25">
      <c r="A23166" t="str">
        <f>"200008849"</f>
        <v>200008849</v>
      </c>
      <c r="B23166" t="str">
        <f>"1962751636"</f>
        <v>1962751636</v>
      </c>
      <c r="C23166" t="str">
        <f>"363L00000X"</f>
        <v>363L00000X</v>
      </c>
      <c r="D23166" t="str">
        <f>"BURNS                    ERIN                     "</f>
        <v xml:space="preserve">BURNS                    ERIN                     </v>
      </c>
      <c r="E23166" t="str">
        <f>"GERMANTOWN                "</f>
        <v xml:space="preserve">GERMANTOWN                </v>
      </c>
      <c r="F23166" t="str">
        <f t="shared" ref="F23166:F23229" si="614">"TN"</f>
        <v>TN</v>
      </c>
    </row>
    <row r="23167" spans="1:6" x14ac:dyDescent="0.25">
      <c r="A23167" t="str">
        <f>"200008855"</f>
        <v>200008855</v>
      </c>
      <c r="B23167" t="str">
        <f>"1033140496"</f>
        <v>1033140496</v>
      </c>
      <c r="C23167" t="str">
        <f>"363L00000X"</f>
        <v>363L00000X</v>
      </c>
      <c r="D23167" t="str">
        <f>"HARFORD                  JAMIE                    "</f>
        <v xml:space="preserve">HARFORD                  JAMIE                    </v>
      </c>
      <c r="E23167" t="str">
        <f>"GERMANTOWN                "</f>
        <v xml:space="preserve">GERMANTOWN                </v>
      </c>
      <c r="F23167" t="str">
        <f t="shared" si="614"/>
        <v>TN</v>
      </c>
    </row>
    <row r="23168" spans="1:6" x14ac:dyDescent="0.25">
      <c r="A23168" t="str">
        <f>"200008862"</f>
        <v>200008862</v>
      </c>
      <c r="B23168" t="str">
        <f>"1013015635"</f>
        <v>1013015635</v>
      </c>
      <c r="C23168" t="str">
        <f>"207R00000X"</f>
        <v>207R00000X</v>
      </c>
      <c r="D23168" t="str">
        <f>"RAWLINSON                WILLIAM      T           "</f>
        <v xml:space="preserve">RAWLINSON                WILLIAM      T           </v>
      </c>
      <c r="E23168" t="str">
        <f>"GERMANTOWN                "</f>
        <v xml:space="preserve">GERMANTOWN                </v>
      </c>
      <c r="F23168" t="str">
        <f t="shared" si="614"/>
        <v>TN</v>
      </c>
    </row>
    <row r="23169" spans="1:6" x14ac:dyDescent="0.25">
      <c r="A23169" t="str">
        <f>"200008870"</f>
        <v>200008870</v>
      </c>
      <c r="B23169" t="str">
        <f>"1033196704"</f>
        <v>1033196704</v>
      </c>
      <c r="C23169" t="str">
        <f>"363LP0200X"</f>
        <v>363LP0200X</v>
      </c>
      <c r="D23169" t="str">
        <f>"BROWNE                   EMILY                    "</f>
        <v xml:space="preserve">BROWNE                   EMILY                    </v>
      </c>
      <c r="E23169" t="str">
        <f>"MEMPHIS                   "</f>
        <v xml:space="preserve">MEMPHIS                   </v>
      </c>
      <c r="F23169" t="str">
        <f t="shared" si="614"/>
        <v>TN</v>
      </c>
    </row>
    <row r="23170" spans="1:6" x14ac:dyDescent="0.25">
      <c r="A23170" t="str">
        <f>"200008871"</f>
        <v>200008871</v>
      </c>
      <c r="B23170" t="str">
        <f>"1982677167"</f>
        <v>1982677167</v>
      </c>
      <c r="C23170" t="str">
        <f>"2086S0120X"</f>
        <v>2086S0120X</v>
      </c>
      <c r="D23170" t="str">
        <f>"FELIZ                    ALEXANDER                "</f>
        <v xml:space="preserve">FELIZ                    ALEXANDER                </v>
      </c>
      <c r="E23170" t="str">
        <f>"MEMPHIS                   "</f>
        <v xml:space="preserve">MEMPHIS                   </v>
      </c>
      <c r="F23170" t="str">
        <f t="shared" si="614"/>
        <v>TN</v>
      </c>
    </row>
    <row r="23171" spans="1:6" x14ac:dyDescent="0.25">
      <c r="A23171" t="str">
        <f>"200008874"</f>
        <v>200008874</v>
      </c>
      <c r="B23171" t="str">
        <f>"1437678919"</f>
        <v>1437678919</v>
      </c>
      <c r="C23171" t="str">
        <f>"2085R0202X"</f>
        <v>2085R0202X</v>
      </c>
      <c r="D23171" t="str">
        <f>"UPRETY                   KHEM                     "</f>
        <v xml:space="preserve">UPRETY                   KHEM                     </v>
      </c>
      <c r="E23171" t="str">
        <f>"MEMPHIS                   "</f>
        <v xml:space="preserve">MEMPHIS                   </v>
      </c>
      <c r="F23171" t="str">
        <f t="shared" si="614"/>
        <v>TN</v>
      </c>
    </row>
    <row r="23172" spans="1:6" x14ac:dyDescent="0.25">
      <c r="A23172" t="str">
        <f>"200008887"</f>
        <v>200008887</v>
      </c>
      <c r="B23172" t="str">
        <f>"1487611141"</f>
        <v>1487611141</v>
      </c>
      <c r="C23172" t="str">
        <f>"2085P0229X"</f>
        <v>2085P0229X</v>
      </c>
      <c r="D23172" t="str">
        <f>"SMOTHERS                 CHANDREA                 "</f>
        <v xml:space="preserve">SMOTHERS                 CHANDREA                 </v>
      </c>
      <c r="E23172" t="str">
        <f>"MEMPHIS                   "</f>
        <v xml:space="preserve">MEMPHIS                   </v>
      </c>
      <c r="F23172" t="str">
        <f t="shared" si="614"/>
        <v>TN</v>
      </c>
    </row>
    <row r="23173" spans="1:6" x14ac:dyDescent="0.25">
      <c r="A23173" t="str">
        <f>"200008894"</f>
        <v>200008894</v>
      </c>
      <c r="B23173" t="str">
        <f>"1306263678"</f>
        <v>1306263678</v>
      </c>
      <c r="C23173" t="str">
        <f>"207P00000X"</f>
        <v>207P00000X</v>
      </c>
      <c r="D23173" t="str">
        <f>"WYNNE                    MATTHEW                  "</f>
        <v xml:space="preserve">WYNNE                    MATTHEW                  </v>
      </c>
      <c r="E23173" t="str">
        <f>"BARTLETT                  "</f>
        <v xml:space="preserve">BARTLETT                  </v>
      </c>
      <c r="F23173" t="str">
        <f t="shared" si="614"/>
        <v>TN</v>
      </c>
    </row>
    <row r="23174" spans="1:6" x14ac:dyDescent="0.25">
      <c r="A23174" t="str">
        <f>"200008896"</f>
        <v>200008896</v>
      </c>
      <c r="B23174" t="str">
        <f>"1073719944"</f>
        <v>1073719944</v>
      </c>
      <c r="C23174" t="str">
        <f>"208000000X"</f>
        <v>208000000X</v>
      </c>
      <c r="D23174" t="str">
        <f>"PISHKO                   STEPHEN                  "</f>
        <v xml:space="preserve">PISHKO                   STEPHEN                  </v>
      </c>
      <c r="E23174" t="str">
        <f>"MEMPHIS                   "</f>
        <v xml:space="preserve">MEMPHIS                   </v>
      </c>
      <c r="F23174" t="str">
        <f t="shared" si="614"/>
        <v>TN</v>
      </c>
    </row>
    <row r="23175" spans="1:6" x14ac:dyDescent="0.25">
      <c r="A23175" t="str">
        <f>"200008899"</f>
        <v>200008899</v>
      </c>
      <c r="B23175" t="str">
        <f>"1962630699"</f>
        <v>1962630699</v>
      </c>
      <c r="C23175" t="str">
        <f>"208000000X"</f>
        <v>208000000X</v>
      </c>
      <c r="D23175" t="str">
        <f>"SANDHU                   HITESH                   "</f>
        <v xml:space="preserve">SANDHU                   HITESH                   </v>
      </c>
      <c r="E23175" t="str">
        <f>"MEMPHIS                   "</f>
        <v xml:space="preserve">MEMPHIS                   </v>
      </c>
      <c r="F23175" t="str">
        <f t="shared" si="614"/>
        <v>TN</v>
      </c>
    </row>
    <row r="23176" spans="1:6" x14ac:dyDescent="0.25">
      <c r="A23176" t="str">
        <f>"200008904"</f>
        <v>200008904</v>
      </c>
      <c r="B23176" t="str">
        <f>"1497208177"</f>
        <v>1497208177</v>
      </c>
      <c r="C23176" t="str">
        <f>"363A00000X"</f>
        <v>363A00000X</v>
      </c>
      <c r="D23176" t="str">
        <f>"SABBATINI                GINA                     "</f>
        <v xml:space="preserve">SABBATINI                GINA                     </v>
      </c>
      <c r="E23176" t="str">
        <f>"MEMPHIS                   "</f>
        <v xml:space="preserve">MEMPHIS                   </v>
      </c>
      <c r="F23176" t="str">
        <f t="shared" si="614"/>
        <v>TN</v>
      </c>
    </row>
    <row r="23177" spans="1:6" x14ac:dyDescent="0.25">
      <c r="A23177" t="str">
        <f>"200008910"</f>
        <v>200008910</v>
      </c>
      <c r="B23177" t="str">
        <f>"1275829418"</f>
        <v>1275829418</v>
      </c>
      <c r="C23177" t="str">
        <f>"2080P0202X"</f>
        <v>2080P0202X</v>
      </c>
      <c r="D23177" t="str">
        <f>"BEARL                    DAVID                    "</f>
        <v xml:space="preserve">BEARL                    DAVID                    </v>
      </c>
      <c r="E23177" t="str">
        <f>"NASHVILLE                 "</f>
        <v xml:space="preserve">NASHVILLE                 </v>
      </c>
      <c r="F23177" t="str">
        <f t="shared" si="614"/>
        <v>TN</v>
      </c>
    </row>
    <row r="23178" spans="1:6" x14ac:dyDescent="0.25">
      <c r="A23178" t="str">
        <f>"200008936"</f>
        <v>200008936</v>
      </c>
      <c r="B23178" t="str">
        <f>"1841493749"</f>
        <v>1841493749</v>
      </c>
      <c r="C23178" t="str">
        <f>"367500000X"</f>
        <v>367500000X</v>
      </c>
      <c r="D23178" t="str">
        <f>"BARGER III               DEAN                     "</f>
        <v xml:space="preserve">BARGER III               DEAN                     </v>
      </c>
      <c r="E23178" t="str">
        <f>"MEMPHIS                   "</f>
        <v xml:space="preserve">MEMPHIS                   </v>
      </c>
      <c r="F23178" t="str">
        <f t="shared" si="614"/>
        <v>TN</v>
      </c>
    </row>
    <row r="23179" spans="1:6" x14ac:dyDescent="0.25">
      <c r="A23179" t="str">
        <f>"200008946"</f>
        <v>200008946</v>
      </c>
      <c r="B23179" t="str">
        <f>"1699928150"</f>
        <v>1699928150</v>
      </c>
      <c r="C23179" t="str">
        <f>"2085R0202X"</f>
        <v>2085R0202X</v>
      </c>
      <c r="D23179" t="str">
        <f>"DHILLON                  SANJAM                   "</f>
        <v xml:space="preserve">DHILLON                  SANJAM                   </v>
      </c>
      <c r="E23179" t="str">
        <f>"BRENTWOOD                 "</f>
        <v xml:space="preserve">BRENTWOOD                 </v>
      </c>
      <c r="F23179" t="str">
        <f t="shared" si="614"/>
        <v>TN</v>
      </c>
    </row>
    <row r="23180" spans="1:6" x14ac:dyDescent="0.25">
      <c r="A23180" t="str">
        <f>"200009002"</f>
        <v>200009002</v>
      </c>
      <c r="B23180" t="str">
        <f>"1164805479"</f>
        <v>1164805479</v>
      </c>
      <c r="C23180" t="str">
        <f>"207RC0200X"</f>
        <v>207RC0200X</v>
      </c>
      <c r="D23180" t="str">
        <f>"HINNANT                  GEORGE                   "</f>
        <v xml:space="preserve">HINNANT                  GEORGE                   </v>
      </c>
      <c r="E23180" t="str">
        <f>"MEMPHIS                   "</f>
        <v xml:space="preserve">MEMPHIS                   </v>
      </c>
      <c r="F23180" t="str">
        <f t="shared" si="614"/>
        <v>TN</v>
      </c>
    </row>
    <row r="23181" spans="1:6" x14ac:dyDescent="0.25">
      <c r="A23181" t="str">
        <f>"200009067"</f>
        <v>200009067</v>
      </c>
      <c r="B23181" t="str">
        <f>"1407812415"</f>
        <v>1407812415</v>
      </c>
      <c r="C23181" t="str">
        <f>"2080P0206X"</f>
        <v>2080P0206X</v>
      </c>
      <c r="D23181" t="str">
        <f>"BLACK                    DENNIS                   "</f>
        <v xml:space="preserve">BLACK                    DENNIS                   </v>
      </c>
      <c r="E23181" t="str">
        <f>"MEMPHIS                   "</f>
        <v xml:space="preserve">MEMPHIS                   </v>
      </c>
      <c r="F23181" t="str">
        <f t="shared" si="614"/>
        <v>TN</v>
      </c>
    </row>
    <row r="23182" spans="1:6" x14ac:dyDescent="0.25">
      <c r="A23182" t="str">
        <f>"200009071"</f>
        <v>200009071</v>
      </c>
      <c r="B23182" t="str">
        <f>"1730965864"</f>
        <v>1730965864</v>
      </c>
      <c r="C23182" t="str">
        <f>"363L00000X"</f>
        <v>363L00000X</v>
      </c>
      <c r="D23182" t="str">
        <f>"SHERROD                  TATIANA                  "</f>
        <v xml:space="preserve">SHERROD                  TATIANA                  </v>
      </c>
      <c r="E23182" t="str">
        <f>"GERMANTOWN                "</f>
        <v xml:space="preserve">GERMANTOWN                </v>
      </c>
      <c r="F23182" t="str">
        <f t="shared" si="614"/>
        <v>TN</v>
      </c>
    </row>
    <row r="23183" spans="1:6" x14ac:dyDescent="0.25">
      <c r="A23183" t="str">
        <f>"200009075"</f>
        <v>200009075</v>
      </c>
      <c r="B23183" t="str">
        <f>"1114666807"</f>
        <v>1114666807</v>
      </c>
      <c r="C23183" t="str">
        <f>"363L00000X"</f>
        <v>363L00000X</v>
      </c>
      <c r="D23183" t="str">
        <f>"WILSON                   JESSICA                  "</f>
        <v xml:space="preserve">WILSON                   JESSICA                  </v>
      </c>
      <c r="E23183" t="str">
        <f t="shared" ref="E23183:E23190" si="615">"MEMPHIS                   "</f>
        <v xml:space="preserve">MEMPHIS                   </v>
      </c>
      <c r="F23183" t="str">
        <f t="shared" si="614"/>
        <v>TN</v>
      </c>
    </row>
    <row r="23184" spans="1:6" x14ac:dyDescent="0.25">
      <c r="A23184" t="str">
        <f>"200009105"</f>
        <v>200009105</v>
      </c>
      <c r="B23184" t="str">
        <f>"1922398361"</f>
        <v>1922398361</v>
      </c>
      <c r="C23184" t="str">
        <f>"207R00000X"</f>
        <v>207R00000X</v>
      </c>
      <c r="D23184" t="str">
        <f>"MERRY AFOAKWA            SHAYLA                   "</f>
        <v xml:space="preserve">MERRY AFOAKWA            SHAYLA                   </v>
      </c>
      <c r="E23184" t="str">
        <f t="shared" si="615"/>
        <v xml:space="preserve">MEMPHIS                   </v>
      </c>
      <c r="F23184" t="str">
        <f t="shared" si="614"/>
        <v>TN</v>
      </c>
    </row>
    <row r="23185" spans="1:6" x14ac:dyDescent="0.25">
      <c r="A23185" t="str">
        <f>"200009116"</f>
        <v>200009116</v>
      </c>
      <c r="B23185" t="str">
        <f>"1396760617"</f>
        <v>1396760617</v>
      </c>
      <c r="C23185" t="str">
        <f>"207L00000X"</f>
        <v>207L00000X</v>
      </c>
      <c r="D23185" t="str">
        <f>"KATHAWALA                ARIFA                    "</f>
        <v xml:space="preserve">KATHAWALA                ARIFA                    </v>
      </c>
      <c r="E23185" t="str">
        <f t="shared" si="615"/>
        <v xml:space="preserve">MEMPHIS                   </v>
      </c>
      <c r="F23185" t="str">
        <f t="shared" si="614"/>
        <v>TN</v>
      </c>
    </row>
    <row r="23186" spans="1:6" x14ac:dyDescent="0.25">
      <c r="A23186" t="str">
        <f>"200009121"</f>
        <v>200009121</v>
      </c>
      <c r="B23186" t="str">
        <f>"1285991521"</f>
        <v>1285991521</v>
      </c>
      <c r="C23186" t="str">
        <f>"207L00000X"</f>
        <v>207L00000X</v>
      </c>
      <c r="D23186" t="str">
        <f>"DWEIK                    WASIF                    "</f>
        <v xml:space="preserve">DWEIK                    WASIF                    </v>
      </c>
      <c r="E23186" t="str">
        <f t="shared" si="615"/>
        <v xml:space="preserve">MEMPHIS                   </v>
      </c>
      <c r="F23186" t="str">
        <f t="shared" si="614"/>
        <v>TN</v>
      </c>
    </row>
    <row r="23187" spans="1:6" x14ac:dyDescent="0.25">
      <c r="A23187" t="str">
        <f>"200009163"</f>
        <v>200009163</v>
      </c>
      <c r="B23187" t="str">
        <f>"1982961058"</f>
        <v>1982961058</v>
      </c>
      <c r="C23187" t="str">
        <f>"2086S0102X"</f>
        <v>2086S0102X</v>
      </c>
      <c r="D23187" t="str">
        <f>"LANDISCH                 RACHEL                   "</f>
        <v xml:space="preserve">LANDISCH                 RACHEL                   </v>
      </c>
      <c r="E23187" t="str">
        <f t="shared" si="615"/>
        <v xml:space="preserve">MEMPHIS                   </v>
      </c>
      <c r="F23187" t="str">
        <f t="shared" si="614"/>
        <v>TN</v>
      </c>
    </row>
    <row r="23188" spans="1:6" x14ac:dyDescent="0.25">
      <c r="A23188" t="str">
        <f>"200009168"</f>
        <v>200009168</v>
      </c>
      <c r="B23188" t="str">
        <f>"1952667503"</f>
        <v>1952667503</v>
      </c>
      <c r="C23188" t="str">
        <f>"207RC0200X"</f>
        <v>207RC0200X</v>
      </c>
      <c r="D23188" t="str">
        <f>"MARSH                    KIMBERLY     A           "</f>
        <v xml:space="preserve">MARSH                    KIMBERLY     A           </v>
      </c>
      <c r="E23188" t="str">
        <f t="shared" si="615"/>
        <v xml:space="preserve">MEMPHIS                   </v>
      </c>
      <c r="F23188" t="str">
        <f t="shared" si="614"/>
        <v>TN</v>
      </c>
    </row>
    <row r="23189" spans="1:6" x14ac:dyDescent="0.25">
      <c r="A23189" t="str">
        <f>"200009193"</f>
        <v>200009193</v>
      </c>
      <c r="B23189" t="str">
        <f>"1073133013"</f>
        <v>1073133013</v>
      </c>
      <c r="C23189" t="str">
        <f>"207R00000X"</f>
        <v>207R00000X</v>
      </c>
      <c r="D23189" t="str">
        <f>"AKNOUK                   MINA         A           "</f>
        <v xml:space="preserve">AKNOUK                   MINA         A           </v>
      </c>
      <c r="E23189" t="str">
        <f t="shared" si="615"/>
        <v xml:space="preserve">MEMPHIS                   </v>
      </c>
      <c r="F23189" t="str">
        <f t="shared" si="614"/>
        <v>TN</v>
      </c>
    </row>
    <row r="23190" spans="1:6" x14ac:dyDescent="0.25">
      <c r="A23190" t="str">
        <f>"200009247"</f>
        <v>200009247</v>
      </c>
      <c r="B23190" t="str">
        <f>"1568938504"</f>
        <v>1568938504</v>
      </c>
      <c r="C23190" t="str">
        <f>"363LP0200X"</f>
        <v>363LP0200X</v>
      </c>
      <c r="D23190" t="str">
        <f>"NEWSOME                  CASSANDRA                "</f>
        <v xml:space="preserve">NEWSOME                  CASSANDRA                </v>
      </c>
      <c r="E23190" t="str">
        <f t="shared" si="615"/>
        <v xml:space="preserve">MEMPHIS                   </v>
      </c>
      <c r="F23190" t="str">
        <f t="shared" si="614"/>
        <v>TN</v>
      </c>
    </row>
    <row r="23191" spans="1:6" x14ac:dyDescent="0.25">
      <c r="A23191" t="str">
        <f>"200009276"</f>
        <v>200009276</v>
      </c>
      <c r="B23191" t="str">
        <f>"1518020015"</f>
        <v>1518020015</v>
      </c>
      <c r="C23191" t="str">
        <f>"208000000X"</f>
        <v>208000000X</v>
      </c>
      <c r="D23191" t="str">
        <f>"WHITE                    TERESA                   "</f>
        <v xml:space="preserve">WHITE                    TERESA                   </v>
      </c>
      <c r="E23191" t="str">
        <f>"NASHVILLE                 "</f>
        <v xml:space="preserve">NASHVILLE                 </v>
      </c>
      <c r="F23191" t="str">
        <f t="shared" si="614"/>
        <v>TN</v>
      </c>
    </row>
    <row r="23192" spans="1:6" x14ac:dyDescent="0.25">
      <c r="A23192" t="str">
        <f>"200009277"</f>
        <v>200009277</v>
      </c>
      <c r="B23192" t="str">
        <f>"1801281258"</f>
        <v>1801281258</v>
      </c>
      <c r="C23192" t="str">
        <f>"2085R0202X"</f>
        <v>2085R0202X</v>
      </c>
      <c r="D23192" t="str">
        <f>"WINTER                   WILLIAM                  "</f>
        <v xml:space="preserve">WINTER                   WILLIAM                  </v>
      </c>
      <c r="E23192" t="str">
        <f>"NASHVILLE                 "</f>
        <v xml:space="preserve">NASHVILLE                 </v>
      </c>
      <c r="F23192" t="str">
        <f t="shared" si="614"/>
        <v>TN</v>
      </c>
    </row>
    <row r="23193" spans="1:6" x14ac:dyDescent="0.25">
      <c r="A23193" t="str">
        <f>"200009278"</f>
        <v>200009278</v>
      </c>
      <c r="B23193" t="str">
        <f>"1215919121"</f>
        <v>1215919121</v>
      </c>
      <c r="C23193" t="str">
        <f>"2085R0202X"</f>
        <v>2085R0202X</v>
      </c>
      <c r="D23193" t="str">
        <f>"RIDINGS-HESSER           SANDRA                   "</f>
        <v xml:space="preserve">RIDINGS-HESSER           SANDRA                   </v>
      </c>
      <c r="E23193" t="str">
        <f>"GERMANTOWN                "</f>
        <v xml:space="preserve">GERMANTOWN                </v>
      </c>
      <c r="F23193" t="str">
        <f t="shared" si="614"/>
        <v>TN</v>
      </c>
    </row>
    <row r="23194" spans="1:6" x14ac:dyDescent="0.25">
      <c r="A23194" t="str">
        <f>"200009288"</f>
        <v>200009288</v>
      </c>
      <c r="B23194" t="str">
        <f>"1770112435"</f>
        <v>1770112435</v>
      </c>
      <c r="C23194" t="str">
        <f>"208000000X"</f>
        <v>208000000X</v>
      </c>
      <c r="D23194" t="str">
        <f>"SHAH                     HEEMA                    "</f>
        <v xml:space="preserve">SHAH                     HEEMA                    </v>
      </c>
      <c r="E23194" t="str">
        <f>"MEMPHIS                   "</f>
        <v xml:space="preserve">MEMPHIS                   </v>
      </c>
      <c r="F23194" t="str">
        <f t="shared" si="614"/>
        <v>TN</v>
      </c>
    </row>
    <row r="23195" spans="1:6" x14ac:dyDescent="0.25">
      <c r="A23195" t="str">
        <f>"200009294"</f>
        <v>200009294</v>
      </c>
      <c r="B23195" t="str">
        <f>"1962769828"</f>
        <v>1962769828</v>
      </c>
      <c r="C23195" t="str">
        <f>"207R00000X"</f>
        <v>207R00000X</v>
      </c>
      <c r="D23195" t="str">
        <f>"PHILLIPS                 WESLEY                   "</f>
        <v xml:space="preserve">PHILLIPS                 WESLEY                   </v>
      </c>
      <c r="E23195" t="str">
        <f>"GERMANTOWN                "</f>
        <v xml:space="preserve">GERMANTOWN                </v>
      </c>
      <c r="F23195" t="str">
        <f t="shared" si="614"/>
        <v>TN</v>
      </c>
    </row>
    <row r="23196" spans="1:6" x14ac:dyDescent="0.25">
      <c r="A23196" t="str">
        <f>"200009324"</f>
        <v>200009324</v>
      </c>
      <c r="B23196" t="str">
        <f>"1871673202"</f>
        <v>1871673202</v>
      </c>
      <c r="C23196" t="str">
        <f>"208000000X"</f>
        <v>208000000X</v>
      </c>
      <c r="D23196" t="str">
        <f>"SELLHORN                 ALLIE                    "</f>
        <v xml:space="preserve">SELLHORN                 ALLIE                    </v>
      </c>
      <c r="E23196" t="str">
        <f>"MEMPHIS                   "</f>
        <v xml:space="preserve">MEMPHIS                   </v>
      </c>
      <c r="F23196" t="str">
        <f t="shared" si="614"/>
        <v>TN</v>
      </c>
    </row>
    <row r="23197" spans="1:6" x14ac:dyDescent="0.25">
      <c r="A23197" t="str">
        <f>"200009328"</f>
        <v>200009328</v>
      </c>
      <c r="B23197" t="str">
        <f>"1952749228"</f>
        <v>1952749228</v>
      </c>
      <c r="C23197" t="str">
        <f>"208100000X"</f>
        <v>208100000X</v>
      </c>
      <c r="D23197" t="str">
        <f>"QUIROLGICO               KRISTINA                 "</f>
        <v xml:space="preserve">QUIROLGICO               KRISTINA                 </v>
      </c>
      <c r="E23197" t="str">
        <f>"COLLIERVILLE              "</f>
        <v xml:space="preserve">COLLIERVILLE              </v>
      </c>
      <c r="F23197" t="str">
        <f t="shared" si="614"/>
        <v>TN</v>
      </c>
    </row>
    <row r="23198" spans="1:6" x14ac:dyDescent="0.25">
      <c r="A23198" t="str">
        <f>"200009344"</f>
        <v>200009344</v>
      </c>
      <c r="B23198" t="str">
        <f>"1194043661"</f>
        <v>1194043661</v>
      </c>
      <c r="C23198" t="str">
        <f>"208000000X"</f>
        <v>208000000X</v>
      </c>
      <c r="D23198" t="str">
        <f>"BETTIN                   KRISTEN                  "</f>
        <v xml:space="preserve">BETTIN                   KRISTEN                  </v>
      </c>
      <c r="E23198" t="str">
        <f t="shared" ref="E23198:E23209" si="616">"MEMPHIS                   "</f>
        <v xml:space="preserve">MEMPHIS                   </v>
      </c>
      <c r="F23198" t="str">
        <f t="shared" si="614"/>
        <v>TN</v>
      </c>
    </row>
    <row r="23199" spans="1:6" x14ac:dyDescent="0.25">
      <c r="A23199" t="str">
        <f>"200009349"</f>
        <v>200009349</v>
      </c>
      <c r="B23199" t="str">
        <f>"1023678588"</f>
        <v>1023678588</v>
      </c>
      <c r="C23199" t="str">
        <f>"363A00000X"</f>
        <v>363A00000X</v>
      </c>
      <c r="D23199" t="str">
        <f>"CATES                    HANAH                    "</f>
        <v xml:space="preserve">CATES                    HANAH                    </v>
      </c>
      <c r="E23199" t="str">
        <f t="shared" si="616"/>
        <v xml:space="preserve">MEMPHIS                   </v>
      </c>
      <c r="F23199" t="str">
        <f t="shared" si="614"/>
        <v>TN</v>
      </c>
    </row>
    <row r="23200" spans="1:6" x14ac:dyDescent="0.25">
      <c r="A23200" t="str">
        <f>"200009414"</f>
        <v>200009414</v>
      </c>
      <c r="B23200" t="str">
        <f>"1629346481"</f>
        <v>1629346481</v>
      </c>
      <c r="C23200" t="str">
        <f>"363L00000X"</f>
        <v>363L00000X</v>
      </c>
      <c r="D23200" t="str">
        <f>"WHITLOW                  CARLISHA                 "</f>
        <v xml:space="preserve">WHITLOW                  CARLISHA                 </v>
      </c>
      <c r="E23200" t="str">
        <f t="shared" si="616"/>
        <v xml:space="preserve">MEMPHIS                   </v>
      </c>
      <c r="F23200" t="str">
        <f t="shared" si="614"/>
        <v>TN</v>
      </c>
    </row>
    <row r="23201" spans="1:6" x14ac:dyDescent="0.25">
      <c r="A23201" t="str">
        <f>"200009423"</f>
        <v>200009423</v>
      </c>
      <c r="B23201" t="str">
        <f>"1811544281"</f>
        <v>1811544281</v>
      </c>
      <c r="C23201" t="str">
        <f>"367500000X"</f>
        <v>367500000X</v>
      </c>
      <c r="D23201" t="str">
        <f>"GUDGER                   NAHADA                   "</f>
        <v xml:space="preserve">GUDGER                   NAHADA                   </v>
      </c>
      <c r="E23201" t="str">
        <f t="shared" si="616"/>
        <v xml:space="preserve">MEMPHIS                   </v>
      </c>
      <c r="F23201" t="str">
        <f t="shared" si="614"/>
        <v>TN</v>
      </c>
    </row>
    <row r="23202" spans="1:6" x14ac:dyDescent="0.25">
      <c r="A23202" t="str">
        <f>"200009445"</f>
        <v>200009445</v>
      </c>
      <c r="B23202" t="str">
        <f>"1548471071"</f>
        <v>1548471071</v>
      </c>
      <c r="C23202" t="str">
        <f>"207N00000X"</f>
        <v>207N00000X</v>
      </c>
      <c r="D23202" t="str">
        <f>"SAHU                     JOYA                     "</f>
        <v xml:space="preserve">SAHU                     JOYA                     </v>
      </c>
      <c r="E23202" t="str">
        <f t="shared" si="616"/>
        <v xml:space="preserve">MEMPHIS                   </v>
      </c>
      <c r="F23202" t="str">
        <f t="shared" si="614"/>
        <v>TN</v>
      </c>
    </row>
    <row r="23203" spans="1:6" x14ac:dyDescent="0.25">
      <c r="A23203" t="str">
        <f>"200009448"</f>
        <v>200009448</v>
      </c>
      <c r="B23203" t="str">
        <f>"1356029896"</f>
        <v>1356029896</v>
      </c>
      <c r="C23203" t="str">
        <f>"363L00000X"</f>
        <v>363L00000X</v>
      </c>
      <c r="D23203" t="str">
        <f>"MCCRACKEN                KATHY                    "</f>
        <v xml:space="preserve">MCCRACKEN                KATHY                    </v>
      </c>
      <c r="E23203" t="str">
        <f t="shared" si="616"/>
        <v xml:space="preserve">MEMPHIS                   </v>
      </c>
      <c r="F23203" t="str">
        <f t="shared" si="614"/>
        <v>TN</v>
      </c>
    </row>
    <row r="23204" spans="1:6" x14ac:dyDescent="0.25">
      <c r="A23204" t="str">
        <f>"200009459"</f>
        <v>200009459</v>
      </c>
      <c r="B23204" t="str">
        <f>"1134462666"</f>
        <v>1134462666</v>
      </c>
      <c r="C23204" t="str">
        <f>"207RE0101X"</f>
        <v>207RE0101X</v>
      </c>
      <c r="D23204" t="str">
        <f>"WYNN                     ANNE                     "</f>
        <v xml:space="preserve">WYNN                     ANNE                     </v>
      </c>
      <c r="E23204" t="str">
        <f t="shared" si="616"/>
        <v xml:space="preserve">MEMPHIS                   </v>
      </c>
      <c r="F23204" t="str">
        <f t="shared" si="614"/>
        <v>TN</v>
      </c>
    </row>
    <row r="23205" spans="1:6" x14ac:dyDescent="0.25">
      <c r="A23205" t="str">
        <f>"200009461"</f>
        <v>200009461</v>
      </c>
      <c r="B23205" t="str">
        <f>"1073126553"</f>
        <v>1073126553</v>
      </c>
      <c r="C23205" t="str">
        <f>"363L00000X"</f>
        <v>363L00000X</v>
      </c>
      <c r="D23205" t="str">
        <f>"PALO                     KATHERINE    A           "</f>
        <v xml:space="preserve">PALO                     KATHERINE    A           </v>
      </c>
      <c r="E23205" t="str">
        <f t="shared" si="616"/>
        <v xml:space="preserve">MEMPHIS                   </v>
      </c>
      <c r="F23205" t="str">
        <f t="shared" si="614"/>
        <v>TN</v>
      </c>
    </row>
    <row r="23206" spans="1:6" x14ac:dyDescent="0.25">
      <c r="A23206" t="str">
        <f>"200009473"</f>
        <v>200009473</v>
      </c>
      <c r="B23206" t="str">
        <f>"1730524216"</f>
        <v>1730524216</v>
      </c>
      <c r="C23206" t="str">
        <f>"208000000X"</f>
        <v>208000000X</v>
      </c>
      <c r="D23206" t="str">
        <f>"BOWDEN                   MARTHA                   "</f>
        <v xml:space="preserve">BOWDEN                   MARTHA                   </v>
      </c>
      <c r="E23206" t="str">
        <f t="shared" si="616"/>
        <v xml:space="preserve">MEMPHIS                   </v>
      </c>
      <c r="F23206" t="str">
        <f t="shared" si="614"/>
        <v>TN</v>
      </c>
    </row>
    <row r="23207" spans="1:6" x14ac:dyDescent="0.25">
      <c r="A23207" t="str">
        <f>"200009475"</f>
        <v>200009475</v>
      </c>
      <c r="B23207" t="str">
        <f>"1487031365"</f>
        <v>1487031365</v>
      </c>
      <c r="C23207" t="str">
        <f>"207RC0200X"</f>
        <v>207RC0200X</v>
      </c>
      <c r="D23207" t="str">
        <f>"STANTON                  CRYSTAL      A           "</f>
        <v xml:space="preserve">STANTON                  CRYSTAL      A           </v>
      </c>
      <c r="E23207" t="str">
        <f t="shared" si="616"/>
        <v xml:space="preserve">MEMPHIS                   </v>
      </c>
      <c r="F23207" t="str">
        <f t="shared" si="614"/>
        <v>TN</v>
      </c>
    </row>
    <row r="23208" spans="1:6" x14ac:dyDescent="0.25">
      <c r="A23208" t="str">
        <f>"200009476"</f>
        <v>200009476</v>
      </c>
      <c r="B23208" t="str">
        <f>"1487031365"</f>
        <v>1487031365</v>
      </c>
      <c r="C23208" t="str">
        <f>"207RP1001X"</f>
        <v>207RP1001X</v>
      </c>
      <c r="D23208" t="str">
        <f>"STANTON                  CRYSTAL      A           "</f>
        <v xml:space="preserve">STANTON                  CRYSTAL      A           </v>
      </c>
      <c r="E23208" t="str">
        <f t="shared" si="616"/>
        <v xml:space="preserve">MEMPHIS                   </v>
      </c>
      <c r="F23208" t="str">
        <f t="shared" si="614"/>
        <v>TN</v>
      </c>
    </row>
    <row r="23209" spans="1:6" x14ac:dyDescent="0.25">
      <c r="A23209" t="str">
        <f>"200009513"</f>
        <v>200009513</v>
      </c>
      <c r="B23209" t="str">
        <f>"1366965071"</f>
        <v>1366965071</v>
      </c>
      <c r="C23209" t="str">
        <f>"363A00000X"</f>
        <v>363A00000X</v>
      </c>
      <c r="D23209" t="str">
        <f>"ARNOLD                   CHANDRA                  "</f>
        <v xml:space="preserve">ARNOLD                   CHANDRA                  </v>
      </c>
      <c r="E23209" t="str">
        <f t="shared" si="616"/>
        <v xml:space="preserve">MEMPHIS                   </v>
      </c>
      <c r="F23209" t="str">
        <f t="shared" si="614"/>
        <v>TN</v>
      </c>
    </row>
    <row r="23210" spans="1:6" x14ac:dyDescent="0.25">
      <c r="A23210" t="str">
        <f>"200009526"</f>
        <v>200009526</v>
      </c>
      <c r="B23210" t="str">
        <f>"1891757761"</f>
        <v>1891757761</v>
      </c>
      <c r="C23210" t="str">
        <f>"207R00000X"</f>
        <v>207R00000X</v>
      </c>
      <c r="D23210" t="str">
        <f>"GARCIA-GAYOSO            AILEEN       S           "</f>
        <v xml:space="preserve">GARCIA-GAYOSO            AILEEN       S           </v>
      </c>
      <c r="E23210" t="str">
        <f>"COLLIERVILLE              "</f>
        <v xml:space="preserve">COLLIERVILLE              </v>
      </c>
      <c r="F23210" t="str">
        <f t="shared" si="614"/>
        <v>TN</v>
      </c>
    </row>
    <row r="23211" spans="1:6" x14ac:dyDescent="0.25">
      <c r="A23211" t="str">
        <f>"200009557"</f>
        <v>200009557</v>
      </c>
      <c r="B23211" t="str">
        <f>"1255312336"</f>
        <v>1255312336</v>
      </c>
      <c r="C23211" t="str">
        <f>"207RS0012X"</f>
        <v>207RS0012X</v>
      </c>
      <c r="D23211" t="str">
        <f>"ANDREWS                  JAMES        M           "</f>
        <v xml:space="preserve">ANDREWS                  JAMES        M           </v>
      </c>
      <c r="E23211" t="str">
        <f t="shared" ref="E23211:E23216" si="617">"MEMPHIS                   "</f>
        <v xml:space="preserve">MEMPHIS                   </v>
      </c>
      <c r="F23211" t="str">
        <f t="shared" si="614"/>
        <v>TN</v>
      </c>
    </row>
    <row r="23212" spans="1:6" x14ac:dyDescent="0.25">
      <c r="A23212" t="str">
        <f>"200009558"</f>
        <v>200009558</v>
      </c>
      <c r="B23212" t="str">
        <f>"1255312336"</f>
        <v>1255312336</v>
      </c>
      <c r="C23212" t="str">
        <f>"207RP1001X"</f>
        <v>207RP1001X</v>
      </c>
      <c r="D23212" t="str">
        <f>"ANDREWS                  JAMES        M           "</f>
        <v xml:space="preserve">ANDREWS                  JAMES        M           </v>
      </c>
      <c r="E23212" t="str">
        <f t="shared" si="617"/>
        <v xml:space="preserve">MEMPHIS                   </v>
      </c>
      <c r="F23212" t="str">
        <f t="shared" si="614"/>
        <v>TN</v>
      </c>
    </row>
    <row r="23213" spans="1:6" x14ac:dyDescent="0.25">
      <c r="A23213" t="str">
        <f>"200009587"</f>
        <v>200009587</v>
      </c>
      <c r="B23213" t="str">
        <f>"1578794483"</f>
        <v>1578794483</v>
      </c>
      <c r="C23213" t="str">
        <f>"367500000X"</f>
        <v>367500000X</v>
      </c>
      <c r="D23213" t="str">
        <f>"STUART                   WALTER                   "</f>
        <v xml:space="preserve">STUART                   WALTER                   </v>
      </c>
      <c r="E23213" t="str">
        <f t="shared" si="617"/>
        <v xml:space="preserve">MEMPHIS                   </v>
      </c>
      <c r="F23213" t="str">
        <f t="shared" si="614"/>
        <v>TN</v>
      </c>
    </row>
    <row r="23214" spans="1:6" x14ac:dyDescent="0.25">
      <c r="A23214" t="str">
        <f>"200009592"</f>
        <v>200009592</v>
      </c>
      <c r="B23214" t="str">
        <f>"1376211664"</f>
        <v>1376211664</v>
      </c>
      <c r="C23214" t="str">
        <f>"363L00000X"</f>
        <v>363L00000X</v>
      </c>
      <c r="D23214" t="str">
        <f>"CRAWFORD                 CARISSA                  "</f>
        <v xml:space="preserve">CRAWFORD                 CARISSA                  </v>
      </c>
      <c r="E23214" t="str">
        <f t="shared" si="617"/>
        <v xml:space="preserve">MEMPHIS                   </v>
      </c>
      <c r="F23214" t="str">
        <f t="shared" si="614"/>
        <v>TN</v>
      </c>
    </row>
    <row r="23215" spans="1:6" x14ac:dyDescent="0.25">
      <c r="A23215" t="str">
        <f>"200009620"</f>
        <v>200009620</v>
      </c>
      <c r="B23215" t="str">
        <f>"1952171977"</f>
        <v>1952171977</v>
      </c>
      <c r="C23215" t="str">
        <f>"363L00000X"</f>
        <v>363L00000X</v>
      </c>
      <c r="D23215" t="str">
        <f>"RASWANT                  UJJWAL                   "</f>
        <v xml:space="preserve">RASWANT                  UJJWAL                   </v>
      </c>
      <c r="E23215" t="str">
        <f t="shared" si="617"/>
        <v xml:space="preserve">MEMPHIS                   </v>
      </c>
      <c r="F23215" t="str">
        <f t="shared" si="614"/>
        <v>TN</v>
      </c>
    </row>
    <row r="23216" spans="1:6" x14ac:dyDescent="0.25">
      <c r="A23216" t="str">
        <f>"200009641"</f>
        <v>200009641</v>
      </c>
      <c r="B23216" t="str">
        <f>"1467688044"</f>
        <v>1467688044</v>
      </c>
      <c r="C23216" t="str">
        <f>"2080P0202X"</f>
        <v>2080P0202X</v>
      </c>
      <c r="D23216" t="str">
        <f>"NAIK                     RONAK                    "</f>
        <v xml:space="preserve">NAIK                     RONAK                    </v>
      </c>
      <c r="E23216" t="str">
        <f t="shared" si="617"/>
        <v xml:space="preserve">MEMPHIS                   </v>
      </c>
      <c r="F23216" t="str">
        <f t="shared" si="614"/>
        <v>TN</v>
      </c>
    </row>
    <row r="23217" spans="1:6" x14ac:dyDescent="0.25">
      <c r="A23217" t="str">
        <f>"200009648"</f>
        <v>200009648</v>
      </c>
      <c r="B23217" t="str">
        <f>"1093580896"</f>
        <v>1093580896</v>
      </c>
      <c r="C23217" t="str">
        <f>"363L00000X"</f>
        <v>363L00000X</v>
      </c>
      <c r="D23217" t="str">
        <f>"BROWN                    GEORGIA                  "</f>
        <v xml:space="preserve">BROWN                    GEORGIA                  </v>
      </c>
      <c r="E23217" t="str">
        <f>"GERMANTOWN                "</f>
        <v xml:space="preserve">GERMANTOWN                </v>
      </c>
      <c r="F23217" t="str">
        <f t="shared" si="614"/>
        <v>TN</v>
      </c>
    </row>
    <row r="23218" spans="1:6" x14ac:dyDescent="0.25">
      <c r="A23218" t="str">
        <f>"200009660"</f>
        <v>200009660</v>
      </c>
      <c r="B23218" t="str">
        <f>"1598547341"</f>
        <v>1598547341</v>
      </c>
      <c r="C23218" t="str">
        <f>"363L00000X"</f>
        <v>363L00000X</v>
      </c>
      <c r="D23218" t="str">
        <f>"KIDD                     SHANDELL                 "</f>
        <v xml:space="preserve">KIDD                     SHANDELL                 </v>
      </c>
      <c r="E23218" t="str">
        <f>"GERMANTOWN                "</f>
        <v xml:space="preserve">GERMANTOWN                </v>
      </c>
      <c r="F23218" t="str">
        <f t="shared" si="614"/>
        <v>TN</v>
      </c>
    </row>
    <row r="23219" spans="1:6" x14ac:dyDescent="0.25">
      <c r="A23219" t="str">
        <f>"200009715"</f>
        <v>200009715</v>
      </c>
      <c r="B23219" t="str">
        <f>"1447889134"</f>
        <v>1447889134</v>
      </c>
      <c r="C23219" t="str">
        <f>"207R00000X"</f>
        <v>207R00000X</v>
      </c>
      <c r="D23219" t="str">
        <f>"JOHNSON                  KAYANNA      C           "</f>
        <v xml:space="preserve">JOHNSON                  KAYANNA      C           </v>
      </c>
      <c r="E23219" t="str">
        <f>"MEMPHIS                   "</f>
        <v xml:space="preserve">MEMPHIS                   </v>
      </c>
      <c r="F23219" t="str">
        <f t="shared" si="614"/>
        <v>TN</v>
      </c>
    </row>
    <row r="23220" spans="1:6" x14ac:dyDescent="0.25">
      <c r="A23220" t="str">
        <f>"200009731"</f>
        <v>200009731</v>
      </c>
      <c r="B23220" t="str">
        <f>"1518497825"</f>
        <v>1518497825</v>
      </c>
      <c r="C23220" t="str">
        <f>"207R00000X"</f>
        <v>207R00000X</v>
      </c>
      <c r="D23220" t="str">
        <f>"YAHYA                    OWAIS                    "</f>
        <v xml:space="preserve">YAHYA                    OWAIS                    </v>
      </c>
      <c r="E23220" t="str">
        <f>"MEMPHIS                   "</f>
        <v xml:space="preserve">MEMPHIS                   </v>
      </c>
      <c r="F23220" t="str">
        <f t="shared" si="614"/>
        <v>TN</v>
      </c>
    </row>
    <row r="23221" spans="1:6" x14ac:dyDescent="0.25">
      <c r="A23221" t="str">
        <f>"200009735"</f>
        <v>200009735</v>
      </c>
      <c r="B23221" t="str">
        <f>"1205240041"</f>
        <v>1205240041</v>
      </c>
      <c r="C23221" t="str">
        <f>"363L00000X"</f>
        <v>363L00000X</v>
      </c>
      <c r="D23221" t="str">
        <f>"SNYDER                   DANIEL                   "</f>
        <v xml:space="preserve">SNYDER                   DANIEL                   </v>
      </c>
      <c r="E23221" t="str">
        <f>"MEMPHIS                   "</f>
        <v xml:space="preserve">MEMPHIS                   </v>
      </c>
      <c r="F23221" t="str">
        <f t="shared" si="614"/>
        <v>TN</v>
      </c>
    </row>
    <row r="23222" spans="1:6" x14ac:dyDescent="0.25">
      <c r="A23222" t="str">
        <f>"200009777"</f>
        <v>200009777</v>
      </c>
      <c r="B23222" t="str">
        <f>"1699880534"</f>
        <v>1699880534</v>
      </c>
      <c r="C23222" t="str">
        <f>"207R00000X"</f>
        <v>207R00000X</v>
      </c>
      <c r="D23222" t="str">
        <f>"BROWN                    CHARLES                  "</f>
        <v xml:space="preserve">BROWN                    CHARLES                  </v>
      </c>
      <c r="E23222" t="str">
        <f>"MEMPHIS                   "</f>
        <v xml:space="preserve">MEMPHIS                   </v>
      </c>
      <c r="F23222" t="str">
        <f t="shared" si="614"/>
        <v>TN</v>
      </c>
    </row>
    <row r="23223" spans="1:6" x14ac:dyDescent="0.25">
      <c r="A23223" t="str">
        <f>"200009781"</f>
        <v>200009781</v>
      </c>
      <c r="B23223" t="str">
        <f>"1669253100"</f>
        <v>1669253100</v>
      </c>
      <c r="C23223" t="str">
        <f>"363L00000X"</f>
        <v>363L00000X</v>
      </c>
      <c r="D23223" t="str">
        <f>"JOHNSON                  VICTORIA                 "</f>
        <v xml:space="preserve">JOHNSON                  VICTORIA                 </v>
      </c>
      <c r="E23223" t="str">
        <f>"MEMPHIS                   "</f>
        <v xml:space="preserve">MEMPHIS                   </v>
      </c>
      <c r="F23223" t="str">
        <f t="shared" si="614"/>
        <v>TN</v>
      </c>
    </row>
    <row r="23224" spans="1:6" x14ac:dyDescent="0.25">
      <c r="A23224" t="str">
        <f>"200009828"</f>
        <v>200009828</v>
      </c>
      <c r="B23224" t="str">
        <f>"1205202504"</f>
        <v>1205202504</v>
      </c>
      <c r="C23224" t="str">
        <f>"363A00000X"</f>
        <v>363A00000X</v>
      </c>
      <c r="D23224" t="str">
        <f>"HARRIS                   ELIZABETH                "</f>
        <v xml:space="preserve">HARRIS                   ELIZABETH                </v>
      </c>
      <c r="E23224" t="str">
        <f>"GERMANTOWN                "</f>
        <v xml:space="preserve">GERMANTOWN                </v>
      </c>
      <c r="F23224" t="str">
        <f t="shared" si="614"/>
        <v>TN</v>
      </c>
    </row>
    <row r="23225" spans="1:6" x14ac:dyDescent="0.25">
      <c r="A23225" t="str">
        <f>"200009840"</f>
        <v>200009840</v>
      </c>
      <c r="B23225" t="str">
        <f>"1003379108"</f>
        <v>1003379108</v>
      </c>
      <c r="C23225" t="str">
        <f>"261QM1300X"</f>
        <v>261QM1300X</v>
      </c>
      <c r="D23225" t="str">
        <f>"IVX HEALTH                                        "</f>
        <v xml:space="preserve">IVX HEALTH                                        </v>
      </c>
      <c r="E23225" t="str">
        <f>"MEMPHIS                   "</f>
        <v xml:space="preserve">MEMPHIS                   </v>
      </c>
      <c r="F23225" t="str">
        <f t="shared" si="614"/>
        <v>TN</v>
      </c>
    </row>
    <row r="23226" spans="1:6" x14ac:dyDescent="0.25">
      <c r="A23226" t="str">
        <f>"200009851"</f>
        <v>200009851</v>
      </c>
      <c r="B23226" t="str">
        <f>"1568782738"</f>
        <v>1568782738</v>
      </c>
      <c r="C23226" t="str">
        <f>"207R00000X"</f>
        <v>207R00000X</v>
      </c>
      <c r="D23226" t="str">
        <f>"FORTE                    KIMBERLY     S           "</f>
        <v xml:space="preserve">FORTE                    KIMBERLY     S           </v>
      </c>
      <c r="E23226" t="str">
        <f>"COLLIERVILLE              "</f>
        <v xml:space="preserve">COLLIERVILLE              </v>
      </c>
      <c r="F23226" t="str">
        <f t="shared" si="614"/>
        <v>TN</v>
      </c>
    </row>
    <row r="23227" spans="1:6" x14ac:dyDescent="0.25">
      <c r="A23227" t="str">
        <f>"200009933"</f>
        <v>200009933</v>
      </c>
      <c r="B23227" t="str">
        <f>"1669884763"</f>
        <v>1669884763</v>
      </c>
      <c r="C23227" t="str">
        <f>"207R00000X"</f>
        <v>207R00000X</v>
      </c>
      <c r="D23227" t="str">
        <f>"MISTRY                   SAPNA                    "</f>
        <v xml:space="preserve">MISTRY                   SAPNA                    </v>
      </c>
      <c r="E23227" t="str">
        <f>"MEMPHIS                   "</f>
        <v xml:space="preserve">MEMPHIS                   </v>
      </c>
      <c r="F23227" t="str">
        <f t="shared" si="614"/>
        <v>TN</v>
      </c>
    </row>
    <row r="23228" spans="1:6" x14ac:dyDescent="0.25">
      <c r="A23228" t="str">
        <f>"200009934"</f>
        <v>200009934</v>
      </c>
      <c r="B23228" t="str">
        <f>"1174394688"</f>
        <v>1174394688</v>
      </c>
      <c r="C23228" t="str">
        <f>"363A00000X"</f>
        <v>363A00000X</v>
      </c>
      <c r="D23228" t="str">
        <f>"CROCKER                  CAROLINE                 "</f>
        <v xml:space="preserve">CROCKER                  CAROLINE                 </v>
      </c>
      <c r="E23228" t="str">
        <f>"CORDOVA                   "</f>
        <v xml:space="preserve">CORDOVA                   </v>
      </c>
      <c r="F23228" t="str">
        <f t="shared" si="614"/>
        <v>TN</v>
      </c>
    </row>
    <row r="23229" spans="1:6" x14ac:dyDescent="0.25">
      <c r="A23229" t="str">
        <f>"200009940"</f>
        <v>200009940</v>
      </c>
      <c r="B23229" t="str">
        <f>"1881359271"</f>
        <v>1881359271</v>
      </c>
      <c r="C23229" t="str">
        <f>"363L00000X"</f>
        <v>363L00000X</v>
      </c>
      <c r="D23229" t="str">
        <f>"LACY                     NICOLE                   "</f>
        <v xml:space="preserve">LACY                     NICOLE                   </v>
      </c>
      <c r="E23229" t="str">
        <f>"COLLIERVILLE              "</f>
        <v xml:space="preserve">COLLIERVILLE              </v>
      </c>
      <c r="F23229" t="str">
        <f t="shared" si="614"/>
        <v>TN</v>
      </c>
    </row>
    <row r="23230" spans="1:6" x14ac:dyDescent="0.25">
      <c r="A23230" t="str">
        <f>"200009951"</f>
        <v>200009951</v>
      </c>
      <c r="B23230" t="str">
        <f>"1346458817"</f>
        <v>1346458817</v>
      </c>
      <c r="C23230" t="str">
        <f>"207P00000X"</f>
        <v>207P00000X</v>
      </c>
      <c r="D23230" t="str">
        <f>"NORMAN                   CANDICE                  "</f>
        <v xml:space="preserve">NORMAN                   CANDICE                  </v>
      </c>
      <c r="E23230" t="str">
        <f>"MEMPHIS                   "</f>
        <v xml:space="preserve">MEMPHIS                   </v>
      </c>
      <c r="F23230" t="str">
        <f t="shared" ref="F23230:F23293" si="618">"TN"</f>
        <v>TN</v>
      </c>
    </row>
    <row r="23231" spans="1:6" x14ac:dyDescent="0.25">
      <c r="A23231" t="str">
        <f>"200009953"</f>
        <v>200009953</v>
      </c>
      <c r="B23231" t="str">
        <f>"1346223724"</f>
        <v>1346223724</v>
      </c>
      <c r="C23231" t="str">
        <f>"207RP1001X"</f>
        <v>207RP1001X</v>
      </c>
      <c r="D23231" t="str">
        <f>"ERASMUS                  DAVID                    "</f>
        <v xml:space="preserve">ERASMUS                  DAVID                    </v>
      </c>
      <c r="E23231" t="str">
        <f>"NASHVILLE                 "</f>
        <v xml:space="preserve">NASHVILLE                 </v>
      </c>
      <c r="F23231" t="str">
        <f t="shared" si="618"/>
        <v>TN</v>
      </c>
    </row>
    <row r="23232" spans="1:6" x14ac:dyDescent="0.25">
      <c r="A23232" t="str">
        <f>"200009954"</f>
        <v>200009954</v>
      </c>
      <c r="B23232" t="str">
        <f>"1548645799"</f>
        <v>1548645799</v>
      </c>
      <c r="C23232" t="str">
        <f>"207ZP0102X"</f>
        <v>207ZP0102X</v>
      </c>
      <c r="D23232" t="str">
        <f>"MIR                      FATIMA                   "</f>
        <v xml:space="preserve">MIR                      FATIMA                   </v>
      </c>
      <c r="E23232" t="str">
        <f>"MEMPHIS                   "</f>
        <v xml:space="preserve">MEMPHIS                   </v>
      </c>
      <c r="F23232" t="str">
        <f t="shared" si="618"/>
        <v>TN</v>
      </c>
    </row>
    <row r="23233" spans="1:6" x14ac:dyDescent="0.25">
      <c r="A23233" t="str">
        <f>"200009956"</f>
        <v>200009956</v>
      </c>
      <c r="B23233" t="str">
        <f>"1497348916"</f>
        <v>1497348916</v>
      </c>
      <c r="C23233" t="str">
        <f>"363L00000X"</f>
        <v>363L00000X</v>
      </c>
      <c r="D23233" t="str">
        <f>"ARLOTTO                  CLAIRE                   "</f>
        <v xml:space="preserve">ARLOTTO                  CLAIRE                   </v>
      </c>
      <c r="E23233" t="str">
        <f>"MEMPHIS                   "</f>
        <v xml:space="preserve">MEMPHIS                   </v>
      </c>
      <c r="F23233" t="str">
        <f t="shared" si="618"/>
        <v>TN</v>
      </c>
    </row>
    <row r="23234" spans="1:6" x14ac:dyDescent="0.25">
      <c r="A23234" t="str">
        <f>"200009969"</f>
        <v>200009969</v>
      </c>
      <c r="B23234" t="str">
        <f>"1922107358"</f>
        <v>1922107358</v>
      </c>
      <c r="C23234" t="str">
        <f>"208800000X"</f>
        <v>208800000X</v>
      </c>
      <c r="D23234" t="str">
        <f>"CHANG                    SAM                      "</f>
        <v xml:space="preserve">CHANG                    SAM                      </v>
      </c>
      <c r="E23234" t="str">
        <f>"NASHVILLE                 "</f>
        <v xml:space="preserve">NASHVILLE                 </v>
      </c>
      <c r="F23234" t="str">
        <f t="shared" si="618"/>
        <v>TN</v>
      </c>
    </row>
    <row r="23235" spans="1:6" x14ac:dyDescent="0.25">
      <c r="A23235" t="str">
        <f>"200010037"</f>
        <v>200010037</v>
      </c>
      <c r="B23235" t="str">
        <f>"1972006716"</f>
        <v>1972006716</v>
      </c>
      <c r="C23235" t="str">
        <f>"208000000X"</f>
        <v>208000000X</v>
      </c>
      <c r="D23235" t="str">
        <f>"HAWTHORNE                CHELSEA                  "</f>
        <v xml:space="preserve">HAWTHORNE                CHELSEA                  </v>
      </c>
      <c r="E23235" t="str">
        <f t="shared" ref="E23235:E23241" si="619">"MEMPHIS                   "</f>
        <v xml:space="preserve">MEMPHIS                   </v>
      </c>
      <c r="F23235" t="str">
        <f t="shared" si="618"/>
        <v>TN</v>
      </c>
    </row>
    <row r="23236" spans="1:6" x14ac:dyDescent="0.25">
      <c r="A23236" t="str">
        <f>"200010038"</f>
        <v>200010038</v>
      </c>
      <c r="B23236" t="str">
        <f>"1649206913"</f>
        <v>1649206913</v>
      </c>
      <c r="C23236" t="str">
        <f>"208000000X"</f>
        <v>208000000X</v>
      </c>
      <c r="D23236" t="str">
        <f>"ASSFOURA                 RANA                     "</f>
        <v xml:space="preserve">ASSFOURA                 RANA                     </v>
      </c>
      <c r="E23236" t="str">
        <f t="shared" si="619"/>
        <v xml:space="preserve">MEMPHIS                   </v>
      </c>
      <c r="F23236" t="str">
        <f t="shared" si="618"/>
        <v>TN</v>
      </c>
    </row>
    <row r="23237" spans="1:6" x14ac:dyDescent="0.25">
      <c r="A23237" t="str">
        <f>"200010061"</f>
        <v>200010061</v>
      </c>
      <c r="B23237" t="str">
        <f>"1760665327"</f>
        <v>1760665327</v>
      </c>
      <c r="C23237" t="str">
        <f>"2084N0400X"</f>
        <v>2084N0400X</v>
      </c>
      <c r="D23237" t="str">
        <f>"SHIN                     HAE WON                  "</f>
        <v xml:space="preserve">SHIN                     HAE WON                  </v>
      </c>
      <c r="E23237" t="str">
        <f t="shared" si="619"/>
        <v xml:space="preserve">MEMPHIS                   </v>
      </c>
      <c r="F23237" t="str">
        <f t="shared" si="618"/>
        <v>TN</v>
      </c>
    </row>
    <row r="23238" spans="1:6" x14ac:dyDescent="0.25">
      <c r="A23238" t="str">
        <f>"200010073"</f>
        <v>200010073</v>
      </c>
      <c r="B23238" t="str">
        <f>"1003819269"</f>
        <v>1003819269</v>
      </c>
      <c r="C23238" t="str">
        <f>"207RH0003X"</f>
        <v>207RH0003X</v>
      </c>
      <c r="D23238" t="str">
        <f>"JANKOV                   ALEKSANDAR               "</f>
        <v xml:space="preserve">JANKOV                   ALEKSANDAR               </v>
      </c>
      <c r="E23238" t="str">
        <f t="shared" si="619"/>
        <v xml:space="preserve">MEMPHIS                   </v>
      </c>
      <c r="F23238" t="str">
        <f t="shared" si="618"/>
        <v>TN</v>
      </c>
    </row>
    <row r="23239" spans="1:6" x14ac:dyDescent="0.25">
      <c r="A23239" t="str">
        <f>"200010087"</f>
        <v>200010087</v>
      </c>
      <c r="B23239" t="str">
        <f>"1316367071"</f>
        <v>1316367071</v>
      </c>
      <c r="C23239" t="str">
        <f>"207RC0200X"</f>
        <v>207RC0200X</v>
      </c>
      <c r="D23239" t="str">
        <f>"HOLT                     ANDREW       P           "</f>
        <v xml:space="preserve">HOLT                     ANDREW       P           </v>
      </c>
      <c r="E23239" t="str">
        <f t="shared" si="619"/>
        <v xml:space="preserve">MEMPHIS                   </v>
      </c>
      <c r="F23239" t="str">
        <f t="shared" si="618"/>
        <v>TN</v>
      </c>
    </row>
    <row r="23240" spans="1:6" x14ac:dyDescent="0.25">
      <c r="A23240" t="str">
        <f>"200010088"</f>
        <v>200010088</v>
      </c>
      <c r="B23240" t="str">
        <f>"1316367071"</f>
        <v>1316367071</v>
      </c>
      <c r="C23240" t="str">
        <f>"207RP1001X"</f>
        <v>207RP1001X</v>
      </c>
      <c r="D23240" t="str">
        <f>"HOLT                     ANDREW       P           "</f>
        <v xml:space="preserve">HOLT                     ANDREW       P           </v>
      </c>
      <c r="E23240" t="str">
        <f t="shared" si="619"/>
        <v xml:space="preserve">MEMPHIS                   </v>
      </c>
      <c r="F23240" t="str">
        <f t="shared" si="618"/>
        <v>TN</v>
      </c>
    </row>
    <row r="23241" spans="1:6" x14ac:dyDescent="0.25">
      <c r="A23241" t="str">
        <f>"200010106"</f>
        <v>200010106</v>
      </c>
      <c r="B23241" t="str">
        <f>"1568968535"</f>
        <v>1568968535</v>
      </c>
      <c r="C23241" t="str">
        <f>"207R00000X"</f>
        <v>207R00000X</v>
      </c>
      <c r="D23241" t="str">
        <f>"HAMMOUD                  NABIH        A           "</f>
        <v xml:space="preserve">HAMMOUD                  NABIH        A           </v>
      </c>
      <c r="E23241" t="str">
        <f t="shared" si="619"/>
        <v xml:space="preserve">MEMPHIS                   </v>
      </c>
      <c r="F23241" t="str">
        <f t="shared" si="618"/>
        <v>TN</v>
      </c>
    </row>
    <row r="23242" spans="1:6" x14ac:dyDescent="0.25">
      <c r="A23242" t="str">
        <f>"200010117"</f>
        <v>200010117</v>
      </c>
      <c r="B23242" t="str">
        <f>"1114055845"</f>
        <v>1114055845</v>
      </c>
      <c r="C23242" t="str">
        <f>"207P00000X"</f>
        <v>207P00000X</v>
      </c>
      <c r="D23242" t="str">
        <f>"CAMPFIELD                BRETT                    "</f>
        <v xml:space="preserve">CAMPFIELD                BRETT                    </v>
      </c>
      <c r="E23242" t="str">
        <f>"BARTLETT                  "</f>
        <v xml:space="preserve">BARTLETT                  </v>
      </c>
      <c r="F23242" t="str">
        <f t="shared" si="618"/>
        <v>TN</v>
      </c>
    </row>
    <row r="23243" spans="1:6" x14ac:dyDescent="0.25">
      <c r="A23243" t="str">
        <f>"200010191"</f>
        <v>200010191</v>
      </c>
      <c r="B23243" t="str">
        <f>"1962068387"</f>
        <v>1962068387</v>
      </c>
      <c r="C23243" t="str">
        <f>"207Q00000X"</f>
        <v>207Q00000X</v>
      </c>
      <c r="D23243" t="str">
        <f>"PITTMAN                  GEOFFREY                 "</f>
        <v xml:space="preserve">PITTMAN                  GEOFFREY                 </v>
      </c>
      <c r="E23243" t="str">
        <f>"MEMPHIS                   "</f>
        <v xml:space="preserve">MEMPHIS                   </v>
      </c>
      <c r="F23243" t="str">
        <f t="shared" si="618"/>
        <v>TN</v>
      </c>
    </row>
    <row r="23244" spans="1:6" x14ac:dyDescent="0.25">
      <c r="A23244" t="str">
        <f>"200010215"</f>
        <v>200010215</v>
      </c>
      <c r="B23244" t="str">
        <f>"1295503886"</f>
        <v>1295503886</v>
      </c>
      <c r="C23244" t="str">
        <f>"363L00000X"</f>
        <v>363L00000X</v>
      </c>
      <c r="D23244" t="str">
        <f>"BRANNAN                  SOMMER                   "</f>
        <v xml:space="preserve">BRANNAN                  SOMMER                   </v>
      </c>
      <c r="E23244" t="str">
        <f>"GERMANTOWN                "</f>
        <v xml:space="preserve">GERMANTOWN                </v>
      </c>
      <c r="F23244" t="str">
        <f t="shared" si="618"/>
        <v>TN</v>
      </c>
    </row>
    <row r="23245" spans="1:6" x14ac:dyDescent="0.25">
      <c r="A23245" t="str">
        <f>"200010269"</f>
        <v>200010269</v>
      </c>
      <c r="B23245" t="str">
        <f>"1043415490"</f>
        <v>1043415490</v>
      </c>
      <c r="C23245" t="str">
        <f>"208600000X"</f>
        <v>208600000X</v>
      </c>
      <c r="D23245" t="str">
        <f>"MOHANKA                  RAVI                     "</f>
        <v xml:space="preserve">MOHANKA                  RAVI                     </v>
      </c>
      <c r="E23245" t="str">
        <f t="shared" ref="E23245:E23264" si="620">"MEMPHIS                   "</f>
        <v xml:space="preserve">MEMPHIS                   </v>
      </c>
      <c r="F23245" t="str">
        <f t="shared" si="618"/>
        <v>TN</v>
      </c>
    </row>
    <row r="23246" spans="1:6" x14ac:dyDescent="0.25">
      <c r="A23246" t="str">
        <f>"200010289"</f>
        <v>200010289</v>
      </c>
      <c r="B23246" t="str">
        <f>"1881959013"</f>
        <v>1881959013</v>
      </c>
      <c r="C23246" t="str">
        <f>"208600000X"</f>
        <v>208600000X</v>
      </c>
      <c r="D23246" t="str">
        <f>"PETROSKY                 JACOB        A           "</f>
        <v xml:space="preserve">PETROSKY                 JACOB        A           </v>
      </c>
      <c r="E23246" t="str">
        <f t="shared" si="620"/>
        <v xml:space="preserve">MEMPHIS                   </v>
      </c>
      <c r="F23246" t="str">
        <f t="shared" si="618"/>
        <v>TN</v>
      </c>
    </row>
    <row r="23247" spans="1:6" x14ac:dyDescent="0.25">
      <c r="A23247" t="str">
        <f>"200010353"</f>
        <v>200010353</v>
      </c>
      <c r="B23247" t="str">
        <f>"1285952572"</f>
        <v>1285952572</v>
      </c>
      <c r="C23247" t="str">
        <f>"2085R0204X"</f>
        <v>2085R0204X</v>
      </c>
      <c r="D23247" t="str">
        <f>"TEMIYAKARN               LOYRIRK                  "</f>
        <v xml:space="preserve">TEMIYAKARN               LOYRIRK                  </v>
      </c>
      <c r="E23247" t="str">
        <f t="shared" si="620"/>
        <v xml:space="preserve">MEMPHIS                   </v>
      </c>
      <c r="F23247" t="str">
        <f t="shared" si="618"/>
        <v>TN</v>
      </c>
    </row>
    <row r="23248" spans="1:6" x14ac:dyDescent="0.25">
      <c r="A23248" t="str">
        <f>"200010446"</f>
        <v>200010446</v>
      </c>
      <c r="B23248" t="str">
        <f>"1285402537"</f>
        <v>1285402537</v>
      </c>
      <c r="C23248" t="str">
        <f>"363L00000X"</f>
        <v>363L00000X</v>
      </c>
      <c r="D23248" t="str">
        <f>"ISABEL                   CHARLOTTE                "</f>
        <v xml:space="preserve">ISABEL                   CHARLOTTE                </v>
      </c>
      <c r="E23248" t="str">
        <f t="shared" si="620"/>
        <v xml:space="preserve">MEMPHIS                   </v>
      </c>
      <c r="F23248" t="str">
        <f t="shared" si="618"/>
        <v>TN</v>
      </c>
    </row>
    <row r="23249" spans="1:6" x14ac:dyDescent="0.25">
      <c r="A23249" t="str">
        <f>"200010462"</f>
        <v>200010462</v>
      </c>
      <c r="B23249" t="str">
        <f>"1174100341"</f>
        <v>1174100341</v>
      </c>
      <c r="C23249" t="str">
        <f>"208000000X"</f>
        <v>208000000X</v>
      </c>
      <c r="D23249" t="str">
        <f>"BATCHELOR                DINAH                    "</f>
        <v xml:space="preserve">BATCHELOR                DINAH                    </v>
      </c>
      <c r="E23249" t="str">
        <f t="shared" si="620"/>
        <v xml:space="preserve">MEMPHIS                   </v>
      </c>
      <c r="F23249" t="str">
        <f t="shared" si="618"/>
        <v>TN</v>
      </c>
    </row>
    <row r="23250" spans="1:6" x14ac:dyDescent="0.25">
      <c r="A23250" t="str">
        <f>"200010482"</f>
        <v>200010482</v>
      </c>
      <c r="B23250" t="str">
        <f>"1851488977"</f>
        <v>1851488977</v>
      </c>
      <c r="C23250" t="str">
        <f>"207L00000X"</f>
        <v>207L00000X</v>
      </c>
      <c r="D23250" t="str">
        <f>"SAUNDERS                 KEVIN                    "</f>
        <v xml:space="preserve">SAUNDERS                 KEVIN                    </v>
      </c>
      <c r="E23250" t="str">
        <f t="shared" si="620"/>
        <v xml:space="preserve">MEMPHIS                   </v>
      </c>
      <c r="F23250" t="str">
        <f t="shared" si="618"/>
        <v>TN</v>
      </c>
    </row>
    <row r="23251" spans="1:6" x14ac:dyDescent="0.25">
      <c r="A23251" t="str">
        <f>"200010529"</f>
        <v>200010529</v>
      </c>
      <c r="B23251" t="str">
        <f>"1285720672"</f>
        <v>1285720672</v>
      </c>
      <c r="C23251" t="str">
        <f>"207W00000X"</f>
        <v>207W00000X</v>
      </c>
      <c r="D23251" t="str">
        <f>"WESBERRY                 JESSE                    "</f>
        <v xml:space="preserve">WESBERRY                 JESSE                    </v>
      </c>
      <c r="E23251" t="str">
        <f t="shared" si="620"/>
        <v xml:space="preserve">MEMPHIS                   </v>
      </c>
      <c r="F23251" t="str">
        <f t="shared" si="618"/>
        <v>TN</v>
      </c>
    </row>
    <row r="23252" spans="1:6" x14ac:dyDescent="0.25">
      <c r="A23252" t="str">
        <f>"200010538"</f>
        <v>200010538</v>
      </c>
      <c r="B23252" t="str">
        <f>"1588284459"</f>
        <v>1588284459</v>
      </c>
      <c r="C23252" t="str">
        <f>"367500000X"</f>
        <v>367500000X</v>
      </c>
      <c r="D23252" t="str">
        <f>"KILPATRICK               TYLER                    "</f>
        <v xml:space="preserve">KILPATRICK               TYLER                    </v>
      </c>
      <c r="E23252" t="str">
        <f t="shared" si="620"/>
        <v xml:space="preserve">MEMPHIS                   </v>
      </c>
      <c r="F23252" t="str">
        <f t="shared" si="618"/>
        <v>TN</v>
      </c>
    </row>
    <row r="23253" spans="1:6" x14ac:dyDescent="0.25">
      <c r="A23253" t="str">
        <f>"200010563"</f>
        <v>200010563</v>
      </c>
      <c r="B23253" t="str">
        <f>"1942065347"</f>
        <v>1942065347</v>
      </c>
      <c r="C23253" t="str">
        <f>"207R00000X"</f>
        <v>207R00000X</v>
      </c>
      <c r="D23253" t="str">
        <f>"ROBISON                  PEYTON                   "</f>
        <v xml:space="preserve">ROBISON                  PEYTON                   </v>
      </c>
      <c r="E23253" t="str">
        <f t="shared" si="620"/>
        <v xml:space="preserve">MEMPHIS                   </v>
      </c>
      <c r="F23253" t="str">
        <f t="shared" si="618"/>
        <v>TN</v>
      </c>
    </row>
    <row r="23254" spans="1:6" x14ac:dyDescent="0.25">
      <c r="A23254" t="str">
        <f>"200010599"</f>
        <v>200010599</v>
      </c>
      <c r="B23254" t="str">
        <f>"1366437543"</f>
        <v>1366437543</v>
      </c>
      <c r="C23254" t="str">
        <f>"207V00000X"</f>
        <v>207V00000X</v>
      </c>
      <c r="D23254" t="str">
        <f>"ANDERSON                 LANETTA                  "</f>
        <v xml:space="preserve">ANDERSON                 LANETTA                  </v>
      </c>
      <c r="E23254" t="str">
        <f t="shared" si="620"/>
        <v xml:space="preserve">MEMPHIS                   </v>
      </c>
      <c r="F23254" t="str">
        <f t="shared" si="618"/>
        <v>TN</v>
      </c>
    </row>
    <row r="23255" spans="1:6" x14ac:dyDescent="0.25">
      <c r="A23255" t="str">
        <f>"200010603"</f>
        <v>200010603</v>
      </c>
      <c r="B23255" t="str">
        <f>"1366480196"</f>
        <v>1366480196</v>
      </c>
      <c r="C23255" t="str">
        <f>"367500000X"</f>
        <v>367500000X</v>
      </c>
      <c r="D23255" t="str">
        <f>"WEEDEN                   CHARLES                  "</f>
        <v xml:space="preserve">WEEDEN                   CHARLES                  </v>
      </c>
      <c r="E23255" t="str">
        <f t="shared" si="620"/>
        <v xml:space="preserve">MEMPHIS                   </v>
      </c>
      <c r="F23255" t="str">
        <f t="shared" si="618"/>
        <v>TN</v>
      </c>
    </row>
    <row r="23256" spans="1:6" x14ac:dyDescent="0.25">
      <c r="A23256" t="str">
        <f>"200010606"</f>
        <v>200010606</v>
      </c>
      <c r="B23256" t="str">
        <f>"1316226319"</f>
        <v>1316226319</v>
      </c>
      <c r="C23256" t="str">
        <f>"2085R0202X"</f>
        <v>2085R0202X</v>
      </c>
      <c r="D23256" t="str">
        <f>"SHAH                     JIGNESH      N           "</f>
        <v xml:space="preserve">SHAH                     JIGNESH      N           </v>
      </c>
      <c r="E23256" t="str">
        <f t="shared" si="620"/>
        <v xml:space="preserve">MEMPHIS                   </v>
      </c>
      <c r="F23256" t="str">
        <f t="shared" si="618"/>
        <v>TN</v>
      </c>
    </row>
    <row r="23257" spans="1:6" x14ac:dyDescent="0.25">
      <c r="A23257" t="str">
        <f>"200010622"</f>
        <v>200010622</v>
      </c>
      <c r="B23257" t="str">
        <f>"1851372932"</f>
        <v>1851372932</v>
      </c>
      <c r="C23257" t="str">
        <f>"2085R0202X"</f>
        <v>2085R0202X</v>
      </c>
      <c r="D23257" t="str">
        <f>"TIPPS                    JEFFREY                  "</f>
        <v xml:space="preserve">TIPPS                    JEFFREY                  </v>
      </c>
      <c r="E23257" t="str">
        <f t="shared" si="620"/>
        <v xml:space="preserve">MEMPHIS                   </v>
      </c>
      <c r="F23257" t="str">
        <f t="shared" si="618"/>
        <v>TN</v>
      </c>
    </row>
    <row r="23258" spans="1:6" x14ac:dyDescent="0.25">
      <c r="A23258" t="str">
        <f>"200010626"</f>
        <v>200010626</v>
      </c>
      <c r="B23258" t="str">
        <f>"1083943070"</f>
        <v>1083943070</v>
      </c>
      <c r="C23258" t="str">
        <f>"363L00000X"</f>
        <v>363L00000X</v>
      </c>
      <c r="D23258" t="str">
        <f>"BARKER-ALLEN             NADENE                   "</f>
        <v xml:space="preserve">BARKER-ALLEN             NADENE                   </v>
      </c>
      <c r="E23258" t="str">
        <f t="shared" si="620"/>
        <v xml:space="preserve">MEMPHIS                   </v>
      </c>
      <c r="F23258" t="str">
        <f t="shared" si="618"/>
        <v>TN</v>
      </c>
    </row>
    <row r="23259" spans="1:6" x14ac:dyDescent="0.25">
      <c r="A23259" t="str">
        <f>"200010634"</f>
        <v>200010634</v>
      </c>
      <c r="B23259" t="str">
        <f>"1053163220"</f>
        <v>1053163220</v>
      </c>
      <c r="C23259" t="str">
        <f>"208000000X"</f>
        <v>208000000X</v>
      </c>
      <c r="D23259" t="str">
        <f>"SCHALL                   KYLIE                    "</f>
        <v xml:space="preserve">SCHALL                   KYLIE                    </v>
      </c>
      <c r="E23259" t="str">
        <f t="shared" si="620"/>
        <v xml:space="preserve">MEMPHIS                   </v>
      </c>
      <c r="F23259" t="str">
        <f t="shared" si="618"/>
        <v>TN</v>
      </c>
    </row>
    <row r="23260" spans="1:6" x14ac:dyDescent="0.25">
      <c r="A23260" t="str">
        <f>"200010706"</f>
        <v>200010706</v>
      </c>
      <c r="B23260" t="str">
        <f>"1932436649"</f>
        <v>1932436649</v>
      </c>
      <c r="C23260" t="str">
        <f>"367500000X"</f>
        <v>367500000X</v>
      </c>
      <c r="D23260" t="str">
        <f>"HAYS                     APRIL                    "</f>
        <v xml:space="preserve">HAYS                     APRIL                    </v>
      </c>
      <c r="E23260" t="str">
        <f t="shared" si="620"/>
        <v xml:space="preserve">MEMPHIS                   </v>
      </c>
      <c r="F23260" t="str">
        <f t="shared" si="618"/>
        <v>TN</v>
      </c>
    </row>
    <row r="23261" spans="1:6" x14ac:dyDescent="0.25">
      <c r="A23261" t="str">
        <f>"200010707"</f>
        <v>200010707</v>
      </c>
      <c r="B23261" t="str">
        <f>"1558725424"</f>
        <v>1558725424</v>
      </c>
      <c r="C23261" t="str">
        <f>"207RC0200X"</f>
        <v>207RC0200X</v>
      </c>
      <c r="D23261" t="str">
        <f>"MENEGAZ                  COLLEEN                  "</f>
        <v xml:space="preserve">MENEGAZ                  COLLEEN                  </v>
      </c>
      <c r="E23261" t="str">
        <f t="shared" si="620"/>
        <v xml:space="preserve">MEMPHIS                   </v>
      </c>
      <c r="F23261" t="str">
        <f t="shared" si="618"/>
        <v>TN</v>
      </c>
    </row>
    <row r="23262" spans="1:6" x14ac:dyDescent="0.25">
      <c r="A23262" t="str">
        <f>"200010732"</f>
        <v>200010732</v>
      </c>
      <c r="B23262" t="str">
        <f>"1073364824"</f>
        <v>1073364824</v>
      </c>
      <c r="C23262" t="str">
        <f>"207P00000X"</f>
        <v>207P00000X</v>
      </c>
      <c r="D23262" t="str">
        <f>"PATEL                    PRISHA                   "</f>
        <v xml:space="preserve">PATEL                    PRISHA                   </v>
      </c>
      <c r="E23262" t="str">
        <f t="shared" si="620"/>
        <v xml:space="preserve">MEMPHIS                   </v>
      </c>
      <c r="F23262" t="str">
        <f t="shared" si="618"/>
        <v>TN</v>
      </c>
    </row>
    <row r="23263" spans="1:6" x14ac:dyDescent="0.25">
      <c r="A23263" t="str">
        <f>"200010759"</f>
        <v>200010759</v>
      </c>
      <c r="B23263" t="str">
        <f>"1407607815"</f>
        <v>1407607815</v>
      </c>
      <c r="C23263" t="str">
        <f>"207R00000X"</f>
        <v>207R00000X</v>
      </c>
      <c r="D23263" t="str">
        <f>"CRUZ                     KAITLIN                  "</f>
        <v xml:space="preserve">CRUZ                     KAITLIN                  </v>
      </c>
      <c r="E23263" t="str">
        <f t="shared" si="620"/>
        <v xml:space="preserve">MEMPHIS                   </v>
      </c>
      <c r="F23263" t="str">
        <f t="shared" si="618"/>
        <v>TN</v>
      </c>
    </row>
    <row r="23264" spans="1:6" x14ac:dyDescent="0.25">
      <c r="A23264" t="str">
        <f>"200010772"</f>
        <v>200010772</v>
      </c>
      <c r="B23264" t="str">
        <f>"1659123669"</f>
        <v>1659123669</v>
      </c>
      <c r="C23264" t="str">
        <f>"207R00000X"</f>
        <v>207R00000X</v>
      </c>
      <c r="D23264" t="str">
        <f>"HAN                      SHANNON                  "</f>
        <v xml:space="preserve">HAN                      SHANNON                  </v>
      </c>
      <c r="E23264" t="str">
        <f t="shared" si="620"/>
        <v xml:space="preserve">MEMPHIS                   </v>
      </c>
      <c r="F23264" t="str">
        <f t="shared" si="618"/>
        <v>TN</v>
      </c>
    </row>
    <row r="23265" spans="1:6" x14ac:dyDescent="0.25">
      <c r="A23265" t="str">
        <f>"200010792"</f>
        <v>200010792</v>
      </c>
      <c r="B23265" t="str">
        <f>"1821016031"</f>
        <v>1821016031</v>
      </c>
      <c r="C23265" t="str">
        <f>"207P00000X"</f>
        <v>207P00000X</v>
      </c>
      <c r="D23265" t="str">
        <f>"HOLDER JR                MICHAEL                  "</f>
        <v xml:space="preserve">HOLDER JR                MICHAEL                  </v>
      </c>
      <c r="E23265" t="str">
        <f>"UNION CITY                "</f>
        <v xml:space="preserve">UNION CITY                </v>
      </c>
      <c r="F23265" t="str">
        <f t="shared" si="618"/>
        <v>TN</v>
      </c>
    </row>
    <row r="23266" spans="1:6" x14ac:dyDescent="0.25">
      <c r="A23266" t="str">
        <f>"200010819"</f>
        <v>200010819</v>
      </c>
      <c r="B23266" t="str">
        <f>"1568947893"</f>
        <v>1568947893</v>
      </c>
      <c r="C23266" t="str">
        <f>"363A00000X"</f>
        <v>363A00000X</v>
      </c>
      <c r="D23266" t="str">
        <f>"COLARUSSO                ISABELLA                 "</f>
        <v xml:space="preserve">COLARUSSO                ISABELLA                 </v>
      </c>
      <c r="E23266" t="str">
        <f>"MEMPHIS                   "</f>
        <v xml:space="preserve">MEMPHIS                   </v>
      </c>
      <c r="F23266" t="str">
        <f t="shared" si="618"/>
        <v>TN</v>
      </c>
    </row>
    <row r="23267" spans="1:6" x14ac:dyDescent="0.25">
      <c r="A23267" t="str">
        <f>"200010837"</f>
        <v>200010837</v>
      </c>
      <c r="B23267" t="str">
        <f>"1275385965"</f>
        <v>1275385965</v>
      </c>
      <c r="C23267" t="str">
        <f>"207R00000X"</f>
        <v>207R00000X</v>
      </c>
      <c r="D23267" t="str">
        <f>"WILSON                   JENNIFER                 "</f>
        <v xml:space="preserve">WILSON                   JENNIFER                 </v>
      </c>
      <c r="E23267" t="str">
        <f>"MEMPHIS                   "</f>
        <v xml:space="preserve">MEMPHIS                   </v>
      </c>
      <c r="F23267" t="str">
        <f t="shared" si="618"/>
        <v>TN</v>
      </c>
    </row>
    <row r="23268" spans="1:6" x14ac:dyDescent="0.25">
      <c r="A23268" t="str">
        <f>"200010838"</f>
        <v>200010838</v>
      </c>
      <c r="B23268" t="str">
        <f>"1134972508"</f>
        <v>1134972508</v>
      </c>
      <c r="C23268" t="str">
        <f>"207R00000X"</f>
        <v>207R00000X</v>
      </c>
      <c r="D23268" t="str">
        <f>"BYRD                     RILEY        E           "</f>
        <v xml:space="preserve">BYRD                     RILEY        E           </v>
      </c>
      <c r="E23268" t="str">
        <f>"MEMPHIS                   "</f>
        <v xml:space="preserve">MEMPHIS                   </v>
      </c>
      <c r="F23268" t="str">
        <f t="shared" si="618"/>
        <v>TN</v>
      </c>
    </row>
    <row r="23269" spans="1:6" x14ac:dyDescent="0.25">
      <c r="A23269" t="str">
        <f>"200010853"</f>
        <v>200010853</v>
      </c>
      <c r="B23269" t="str">
        <f>"1013993872"</f>
        <v>1013993872</v>
      </c>
      <c r="C23269" t="str">
        <f>"207L00000X"</f>
        <v>207L00000X</v>
      </c>
      <c r="D23269" t="str">
        <f>"LANZEROTTE               MARK                     "</f>
        <v xml:space="preserve">LANZEROTTE               MARK                     </v>
      </c>
      <c r="E23269" t="str">
        <f>"MEMPHIS                   "</f>
        <v xml:space="preserve">MEMPHIS                   </v>
      </c>
      <c r="F23269" t="str">
        <f t="shared" si="618"/>
        <v>TN</v>
      </c>
    </row>
    <row r="23270" spans="1:6" x14ac:dyDescent="0.25">
      <c r="A23270" t="str">
        <f>"200010929"</f>
        <v>200010929</v>
      </c>
      <c r="B23270" t="str">
        <f>"1659751386"</f>
        <v>1659751386</v>
      </c>
      <c r="C23270" t="str">
        <f>"207L00000X"</f>
        <v>207L00000X</v>
      </c>
      <c r="D23270" t="str">
        <f>"BALAKRISHNA              ADITI                    "</f>
        <v xml:space="preserve">BALAKRISHNA              ADITI                    </v>
      </c>
      <c r="E23270" t="str">
        <f>"NASHVILLE                 "</f>
        <v xml:space="preserve">NASHVILLE                 </v>
      </c>
      <c r="F23270" t="str">
        <f t="shared" si="618"/>
        <v>TN</v>
      </c>
    </row>
    <row r="23271" spans="1:6" x14ac:dyDescent="0.25">
      <c r="A23271" t="str">
        <f>"200010965"</f>
        <v>200010965</v>
      </c>
      <c r="B23271" t="str">
        <f>"1194108936"</f>
        <v>1194108936</v>
      </c>
      <c r="C23271" t="str">
        <f>"363L00000X"</f>
        <v>363L00000X</v>
      </c>
      <c r="D23271" t="str">
        <f>"SMITH                    SARAH                    "</f>
        <v xml:space="preserve">SMITH                    SARAH                    </v>
      </c>
      <c r="E23271" t="str">
        <f>"NASHVILLE                 "</f>
        <v xml:space="preserve">NASHVILLE                 </v>
      </c>
      <c r="F23271" t="str">
        <f t="shared" si="618"/>
        <v>TN</v>
      </c>
    </row>
    <row r="23272" spans="1:6" x14ac:dyDescent="0.25">
      <c r="A23272" t="str">
        <f>"200010967"</f>
        <v>200010967</v>
      </c>
      <c r="B23272" t="str">
        <f>"1548494289"</f>
        <v>1548494289</v>
      </c>
      <c r="C23272" t="str">
        <f>"2084N0400X"</f>
        <v>2084N0400X</v>
      </c>
      <c r="D23272" t="str">
        <f>"STONE                    BRITT                    "</f>
        <v xml:space="preserve">STONE                    BRITT                    </v>
      </c>
      <c r="E23272" t="str">
        <f>"NASHVILLE                 "</f>
        <v xml:space="preserve">NASHVILLE                 </v>
      </c>
      <c r="F23272" t="str">
        <f t="shared" si="618"/>
        <v>TN</v>
      </c>
    </row>
    <row r="23273" spans="1:6" x14ac:dyDescent="0.25">
      <c r="A23273" t="str">
        <f>"200010988"</f>
        <v>200010988</v>
      </c>
      <c r="B23273" t="str">
        <f>"1902677040"</f>
        <v>1902677040</v>
      </c>
      <c r="C23273" t="str">
        <f>"363L00000X"</f>
        <v>363L00000X</v>
      </c>
      <c r="D23273" t="str">
        <f>"YARBRO                   CARLEY                   "</f>
        <v xml:space="preserve">YARBRO                   CARLEY                   </v>
      </c>
      <c r="E23273" t="str">
        <f>"MEMPHIS                   "</f>
        <v xml:space="preserve">MEMPHIS                   </v>
      </c>
      <c r="F23273" t="str">
        <f t="shared" si="618"/>
        <v>TN</v>
      </c>
    </row>
    <row r="23274" spans="1:6" x14ac:dyDescent="0.25">
      <c r="A23274" t="str">
        <f>"200011016"</f>
        <v>200011016</v>
      </c>
      <c r="B23274" t="str">
        <f>"1699038810"</f>
        <v>1699038810</v>
      </c>
      <c r="C23274" t="str">
        <f>"207L00000X"</f>
        <v>207L00000X</v>
      </c>
      <c r="D23274" t="str">
        <f>"NGUYEN                   TUAN                     "</f>
        <v xml:space="preserve">NGUYEN                   TUAN                     </v>
      </c>
      <c r="E23274" t="str">
        <f>"MEMPHIS                   "</f>
        <v xml:space="preserve">MEMPHIS                   </v>
      </c>
      <c r="F23274" t="str">
        <f t="shared" si="618"/>
        <v>TN</v>
      </c>
    </row>
    <row r="23275" spans="1:6" x14ac:dyDescent="0.25">
      <c r="A23275" t="str">
        <f>"200011021"</f>
        <v>200011021</v>
      </c>
      <c r="B23275" t="str">
        <f>"1255036828"</f>
        <v>1255036828</v>
      </c>
      <c r="C23275" t="str">
        <f>"207R00000X"</f>
        <v>207R00000X</v>
      </c>
      <c r="D23275" t="str">
        <f>"GARCIA                   AARON                    "</f>
        <v xml:space="preserve">GARCIA                   AARON                    </v>
      </c>
      <c r="E23275" t="str">
        <f>"MEMPHIS                   "</f>
        <v xml:space="preserve">MEMPHIS                   </v>
      </c>
      <c r="F23275" t="str">
        <f t="shared" si="618"/>
        <v>TN</v>
      </c>
    </row>
    <row r="23276" spans="1:6" x14ac:dyDescent="0.25">
      <c r="A23276" t="str">
        <f>"200011024"</f>
        <v>200011024</v>
      </c>
      <c r="B23276" t="str">
        <f>"1003050972"</f>
        <v>1003050972</v>
      </c>
      <c r="C23276" t="str">
        <f>"207RP1001X"</f>
        <v>207RP1001X</v>
      </c>
      <c r="D23276" t="str">
        <f>"LENTZ                    ROBERT                   "</f>
        <v xml:space="preserve">LENTZ                    ROBERT                   </v>
      </c>
      <c r="E23276" t="str">
        <f>"NASHVILLE                 "</f>
        <v xml:space="preserve">NASHVILLE                 </v>
      </c>
      <c r="F23276" t="str">
        <f t="shared" si="618"/>
        <v>TN</v>
      </c>
    </row>
    <row r="23277" spans="1:6" x14ac:dyDescent="0.25">
      <c r="A23277" t="str">
        <f>"200011028"</f>
        <v>200011028</v>
      </c>
      <c r="B23277" t="str">
        <f>"1144395120"</f>
        <v>1144395120</v>
      </c>
      <c r="C23277" t="str">
        <f>"363L00000X"</f>
        <v>363L00000X</v>
      </c>
      <c r="D23277" t="str">
        <f>"WARD                     SUZANNE                  "</f>
        <v xml:space="preserve">WARD                     SUZANNE                  </v>
      </c>
      <c r="E23277" t="str">
        <f>"GERMANTOWN                "</f>
        <v xml:space="preserve">GERMANTOWN                </v>
      </c>
      <c r="F23277" t="str">
        <f t="shared" si="618"/>
        <v>TN</v>
      </c>
    </row>
    <row r="23278" spans="1:6" x14ac:dyDescent="0.25">
      <c r="A23278" t="str">
        <f>"200011031"</f>
        <v>200011031</v>
      </c>
      <c r="B23278" t="str">
        <f>"1053721050"</f>
        <v>1053721050</v>
      </c>
      <c r="C23278" t="str">
        <f>"208000000X"</f>
        <v>208000000X</v>
      </c>
      <c r="D23278" t="str">
        <f>"NELSON                   GRACE                    "</f>
        <v xml:space="preserve">NELSON                   GRACE                    </v>
      </c>
      <c r="E23278" t="str">
        <f t="shared" ref="E23278:E23287" si="621">"MEMPHIS                   "</f>
        <v xml:space="preserve">MEMPHIS                   </v>
      </c>
      <c r="F23278" t="str">
        <f t="shared" si="618"/>
        <v>TN</v>
      </c>
    </row>
    <row r="23279" spans="1:6" x14ac:dyDescent="0.25">
      <c r="A23279" t="str">
        <f>"200011096"</f>
        <v>200011096</v>
      </c>
      <c r="B23279" t="str">
        <f>"1942266713"</f>
        <v>1942266713</v>
      </c>
      <c r="C23279" t="str">
        <f>"208600000X"</f>
        <v>208600000X</v>
      </c>
      <c r="D23279" t="str">
        <f>"BEHRMAN                  STEPHEN                  "</f>
        <v xml:space="preserve">BEHRMAN                  STEPHEN                  </v>
      </c>
      <c r="E23279" t="str">
        <f t="shared" si="621"/>
        <v xml:space="preserve">MEMPHIS                   </v>
      </c>
      <c r="F23279" t="str">
        <f t="shared" si="618"/>
        <v>TN</v>
      </c>
    </row>
    <row r="23280" spans="1:6" x14ac:dyDescent="0.25">
      <c r="A23280" t="str">
        <f>"200011097"</f>
        <v>200011097</v>
      </c>
      <c r="B23280" t="str">
        <f>"1427839026"</f>
        <v>1427839026</v>
      </c>
      <c r="C23280" t="str">
        <f>"363L00000X"</f>
        <v>363L00000X</v>
      </c>
      <c r="D23280" t="str">
        <f>"SHIRLEY                  KAITLYN                  "</f>
        <v xml:space="preserve">SHIRLEY                  KAITLYN                  </v>
      </c>
      <c r="E23280" t="str">
        <f t="shared" si="621"/>
        <v xml:space="preserve">MEMPHIS                   </v>
      </c>
      <c r="F23280" t="str">
        <f t="shared" si="618"/>
        <v>TN</v>
      </c>
    </row>
    <row r="23281" spans="1:6" x14ac:dyDescent="0.25">
      <c r="A23281" t="str">
        <f>"200011132"</f>
        <v>200011132</v>
      </c>
      <c r="B23281" t="str">
        <f>"1851070908"</f>
        <v>1851070908</v>
      </c>
      <c r="C23281" t="str">
        <f>"207R00000X"</f>
        <v>207R00000X</v>
      </c>
      <c r="D23281" t="str">
        <f>"TIRUMALAREDDY            RAHUL REDDY              "</f>
        <v xml:space="preserve">TIRUMALAREDDY            RAHUL REDDY              </v>
      </c>
      <c r="E23281" t="str">
        <f t="shared" si="621"/>
        <v xml:space="preserve">MEMPHIS                   </v>
      </c>
      <c r="F23281" t="str">
        <f t="shared" si="618"/>
        <v>TN</v>
      </c>
    </row>
    <row r="23282" spans="1:6" x14ac:dyDescent="0.25">
      <c r="A23282" t="str">
        <f>"200011166"</f>
        <v>200011166</v>
      </c>
      <c r="B23282" t="str">
        <f>"1477306215"</f>
        <v>1477306215</v>
      </c>
      <c r="C23282" t="str">
        <f>"207W00000X"</f>
        <v>207W00000X</v>
      </c>
      <c r="D23282" t="str">
        <f>"MARTIN                   COLE         A           "</f>
        <v xml:space="preserve">MARTIN                   COLE         A           </v>
      </c>
      <c r="E23282" t="str">
        <f t="shared" si="621"/>
        <v xml:space="preserve">MEMPHIS                   </v>
      </c>
      <c r="F23282" t="str">
        <f t="shared" si="618"/>
        <v>TN</v>
      </c>
    </row>
    <row r="23283" spans="1:6" x14ac:dyDescent="0.25">
      <c r="A23283" t="str">
        <f>"200011196"</f>
        <v>200011196</v>
      </c>
      <c r="B23283" t="str">
        <f>"1508103144"</f>
        <v>1508103144</v>
      </c>
      <c r="C23283" t="str">
        <f>"367500000X"</f>
        <v>367500000X</v>
      </c>
      <c r="D23283" t="str">
        <f>"AGUERO                   CHRISTINA                "</f>
        <v xml:space="preserve">AGUERO                   CHRISTINA                </v>
      </c>
      <c r="E23283" t="str">
        <f t="shared" si="621"/>
        <v xml:space="preserve">MEMPHIS                   </v>
      </c>
      <c r="F23283" t="str">
        <f t="shared" si="618"/>
        <v>TN</v>
      </c>
    </row>
    <row r="23284" spans="1:6" x14ac:dyDescent="0.25">
      <c r="A23284" t="str">
        <f>"200011218"</f>
        <v>200011218</v>
      </c>
      <c r="B23284" t="str">
        <f>"1720377583"</f>
        <v>1720377583</v>
      </c>
      <c r="C23284" t="str">
        <f>"2085R0202X"</f>
        <v>2085R0202X</v>
      </c>
      <c r="D23284" t="str">
        <f>"SIDDIQUI                 ADEEL                    "</f>
        <v xml:space="preserve">SIDDIQUI                 ADEEL                    </v>
      </c>
      <c r="E23284" t="str">
        <f t="shared" si="621"/>
        <v xml:space="preserve">MEMPHIS                   </v>
      </c>
      <c r="F23284" t="str">
        <f t="shared" si="618"/>
        <v>TN</v>
      </c>
    </row>
    <row r="23285" spans="1:6" x14ac:dyDescent="0.25">
      <c r="A23285" t="str">
        <f>"200011224"</f>
        <v>200011224</v>
      </c>
      <c r="B23285" t="str">
        <f>"1790550465"</f>
        <v>1790550465</v>
      </c>
      <c r="C23285" t="str">
        <f>"363L00000X"</f>
        <v>363L00000X</v>
      </c>
      <c r="D23285" t="str">
        <f>"BURROW                   ANTASIA                  "</f>
        <v xml:space="preserve">BURROW                   ANTASIA                  </v>
      </c>
      <c r="E23285" t="str">
        <f t="shared" si="621"/>
        <v xml:space="preserve">MEMPHIS                   </v>
      </c>
      <c r="F23285" t="str">
        <f t="shared" si="618"/>
        <v>TN</v>
      </c>
    </row>
    <row r="23286" spans="1:6" x14ac:dyDescent="0.25">
      <c r="A23286" t="str">
        <f>"200011264"</f>
        <v>200011264</v>
      </c>
      <c r="B23286" t="str">
        <f>"1144630823"</f>
        <v>1144630823</v>
      </c>
      <c r="C23286" t="str">
        <f>"2085R0202X"</f>
        <v>2085R0202X</v>
      </c>
      <c r="D23286" t="str">
        <f>"SINANAN                  JESSE                    "</f>
        <v xml:space="preserve">SINANAN                  JESSE                    </v>
      </c>
      <c r="E23286" t="str">
        <f t="shared" si="621"/>
        <v xml:space="preserve">MEMPHIS                   </v>
      </c>
      <c r="F23286" t="str">
        <f t="shared" si="618"/>
        <v>TN</v>
      </c>
    </row>
    <row r="23287" spans="1:6" x14ac:dyDescent="0.25">
      <c r="A23287" t="str">
        <f>"200011273"</f>
        <v>200011273</v>
      </c>
      <c r="B23287" t="str">
        <f>"1205047727"</f>
        <v>1205047727</v>
      </c>
      <c r="C23287" t="str">
        <f>"2086S0120X"</f>
        <v>2086S0120X</v>
      </c>
      <c r="D23287" t="str">
        <f>"WEATHERALL               YING                     "</f>
        <v xml:space="preserve">WEATHERALL               YING                     </v>
      </c>
      <c r="E23287" t="str">
        <f t="shared" si="621"/>
        <v xml:space="preserve">MEMPHIS                   </v>
      </c>
      <c r="F23287" t="str">
        <f t="shared" si="618"/>
        <v>TN</v>
      </c>
    </row>
    <row r="23288" spans="1:6" x14ac:dyDescent="0.25">
      <c r="A23288" t="str">
        <f>"200011275"</f>
        <v>200011275</v>
      </c>
      <c r="B23288" t="str">
        <f>"1861255127"</f>
        <v>1861255127</v>
      </c>
      <c r="C23288" t="str">
        <f>"363L00000X"</f>
        <v>363L00000X</v>
      </c>
      <c r="D23288" t="str">
        <f>"MORGAN                   JEREMY                   "</f>
        <v xml:space="preserve">MORGAN                   JEREMY                   </v>
      </c>
      <c r="E23288" t="str">
        <f>"GERMANTOWN                "</f>
        <v xml:space="preserve">GERMANTOWN                </v>
      </c>
      <c r="F23288" t="str">
        <f t="shared" si="618"/>
        <v>TN</v>
      </c>
    </row>
    <row r="23289" spans="1:6" x14ac:dyDescent="0.25">
      <c r="A23289" t="str">
        <f>"200011301"</f>
        <v>200011301</v>
      </c>
      <c r="B23289" t="str">
        <f>"1275682965"</f>
        <v>1275682965</v>
      </c>
      <c r="C23289" t="str">
        <f>"207V00000X"</f>
        <v>207V00000X</v>
      </c>
      <c r="D23289" t="str">
        <f>"MULLENIX                 JASON                    "</f>
        <v xml:space="preserve">MULLENIX                 JASON                    </v>
      </c>
      <c r="E23289" t="str">
        <f>"MEMPHIS                   "</f>
        <v xml:space="preserve">MEMPHIS                   </v>
      </c>
      <c r="F23289" t="str">
        <f t="shared" si="618"/>
        <v>TN</v>
      </c>
    </row>
    <row r="23290" spans="1:6" x14ac:dyDescent="0.25">
      <c r="A23290" t="str">
        <f>"200011303"</f>
        <v>200011303</v>
      </c>
      <c r="B23290" t="str">
        <f>"1154640324"</f>
        <v>1154640324</v>
      </c>
      <c r="C23290" t="str">
        <f>"207RN0300X"</f>
        <v>207RN0300X</v>
      </c>
      <c r="D23290" t="str">
        <f>"SIDDIQUE                 KHURRUM                  "</f>
        <v xml:space="preserve">SIDDIQUE                 KHURRUM                  </v>
      </c>
      <c r="E23290" t="str">
        <f>"MEMPHIS                   "</f>
        <v xml:space="preserve">MEMPHIS                   </v>
      </c>
      <c r="F23290" t="str">
        <f t="shared" si="618"/>
        <v>TN</v>
      </c>
    </row>
    <row r="23291" spans="1:6" x14ac:dyDescent="0.25">
      <c r="A23291" t="str">
        <f>"200011308"</f>
        <v>200011308</v>
      </c>
      <c r="B23291" t="str">
        <f>"1518718915"</f>
        <v>1518718915</v>
      </c>
      <c r="C23291" t="str">
        <f>"208000000X"</f>
        <v>208000000X</v>
      </c>
      <c r="D23291" t="str">
        <f>"MYERS                    JACOB        W           "</f>
        <v xml:space="preserve">MYERS                    JACOB        W           </v>
      </c>
      <c r="E23291" t="str">
        <f>"MEMPHIS                   "</f>
        <v xml:space="preserve">MEMPHIS                   </v>
      </c>
      <c r="F23291" t="str">
        <f t="shared" si="618"/>
        <v>TN</v>
      </c>
    </row>
    <row r="23292" spans="1:6" x14ac:dyDescent="0.25">
      <c r="A23292" t="str">
        <f>"200011309"</f>
        <v>200011309</v>
      </c>
      <c r="B23292" t="str">
        <f>"1124021258"</f>
        <v>1124021258</v>
      </c>
      <c r="C23292" t="str">
        <f>"2080P0208X"</f>
        <v>2080P0208X</v>
      </c>
      <c r="D23292" t="str">
        <f>"GAUR                     ADITYA                   "</f>
        <v xml:space="preserve">GAUR                     ADITYA                   </v>
      </c>
      <c r="E23292" t="str">
        <f>"MEMPHIS                   "</f>
        <v xml:space="preserve">MEMPHIS                   </v>
      </c>
      <c r="F23292" t="str">
        <f t="shared" si="618"/>
        <v>TN</v>
      </c>
    </row>
    <row r="23293" spans="1:6" x14ac:dyDescent="0.25">
      <c r="A23293" t="str">
        <f>"200011314"</f>
        <v>200011314</v>
      </c>
      <c r="B23293" t="str">
        <f>"1699515346"</f>
        <v>1699515346</v>
      </c>
      <c r="C23293" t="str">
        <f>"207V00000X"</f>
        <v>207V00000X</v>
      </c>
      <c r="D23293" t="str">
        <f>"ADAMS-NELSON             IVANNA                   "</f>
        <v xml:space="preserve">ADAMS-NELSON             IVANNA                   </v>
      </c>
      <c r="E23293" t="str">
        <f>"MEMPHIS                   "</f>
        <v xml:space="preserve">MEMPHIS                   </v>
      </c>
      <c r="F23293" t="str">
        <f t="shared" si="618"/>
        <v>TN</v>
      </c>
    </row>
    <row r="23294" spans="1:6" x14ac:dyDescent="0.25">
      <c r="A23294" t="str">
        <f>"200011340"</f>
        <v>200011340</v>
      </c>
      <c r="B23294" t="str">
        <f>"1629609342"</f>
        <v>1629609342</v>
      </c>
      <c r="C23294" t="str">
        <f>"363L00000X"</f>
        <v>363L00000X</v>
      </c>
      <c r="D23294" t="str">
        <f>"MURDOCK                  LAUREN                   "</f>
        <v xml:space="preserve">MURDOCK                  LAUREN                   </v>
      </c>
      <c r="E23294" t="str">
        <f>"GERMANTOWN                "</f>
        <v xml:space="preserve">GERMANTOWN                </v>
      </c>
      <c r="F23294" t="str">
        <f t="shared" ref="F23294:F23357" si="622">"TN"</f>
        <v>TN</v>
      </c>
    </row>
    <row r="23295" spans="1:6" x14ac:dyDescent="0.25">
      <c r="A23295" t="str">
        <f>"200011344"</f>
        <v>200011344</v>
      </c>
      <c r="B23295" t="str">
        <f>"1457814774"</f>
        <v>1457814774</v>
      </c>
      <c r="C23295" t="str">
        <f>"2085R0001X"</f>
        <v>2085R0001X</v>
      </c>
      <c r="D23295" t="str">
        <f>"LANE                     SHELBY                   "</f>
        <v xml:space="preserve">LANE                     SHELBY                   </v>
      </c>
      <c r="E23295" t="str">
        <f t="shared" ref="E23295:E23304" si="623">"MEMPHIS                   "</f>
        <v xml:space="preserve">MEMPHIS                   </v>
      </c>
      <c r="F23295" t="str">
        <f t="shared" si="622"/>
        <v>TN</v>
      </c>
    </row>
    <row r="23296" spans="1:6" x14ac:dyDescent="0.25">
      <c r="A23296" t="str">
        <f>"200011358"</f>
        <v>200011358</v>
      </c>
      <c r="B23296" t="str">
        <f>"1477307882"</f>
        <v>1477307882</v>
      </c>
      <c r="C23296" t="str">
        <f>"207R00000X"</f>
        <v>207R00000X</v>
      </c>
      <c r="D23296" t="str">
        <f>"BERKLEY                  SHALANDA                 "</f>
        <v xml:space="preserve">BERKLEY                  SHALANDA                 </v>
      </c>
      <c r="E23296" t="str">
        <f t="shared" si="623"/>
        <v xml:space="preserve">MEMPHIS                   </v>
      </c>
      <c r="F23296" t="str">
        <f t="shared" si="622"/>
        <v>TN</v>
      </c>
    </row>
    <row r="23297" spans="1:6" x14ac:dyDescent="0.25">
      <c r="A23297" t="str">
        <f>"200011379"</f>
        <v>200011379</v>
      </c>
      <c r="B23297" t="str">
        <f>"1326897240"</f>
        <v>1326897240</v>
      </c>
      <c r="C23297" t="str">
        <f>"208000000X"</f>
        <v>208000000X</v>
      </c>
      <c r="D23297" t="str">
        <f>"WARD                     ELIZABETH    C           "</f>
        <v xml:space="preserve">WARD                     ELIZABETH    C           </v>
      </c>
      <c r="E23297" t="str">
        <f t="shared" si="623"/>
        <v xml:space="preserve">MEMPHIS                   </v>
      </c>
      <c r="F23297" t="str">
        <f t="shared" si="622"/>
        <v>TN</v>
      </c>
    </row>
    <row r="23298" spans="1:6" x14ac:dyDescent="0.25">
      <c r="A23298" t="str">
        <f>"200011408"</f>
        <v>200011408</v>
      </c>
      <c r="B23298" t="str">
        <f>"1245928142"</f>
        <v>1245928142</v>
      </c>
      <c r="C23298" t="str">
        <f>"363A00000X"</f>
        <v>363A00000X</v>
      </c>
      <c r="D23298" t="str">
        <f>"AL HAYALI                ZUBAIDAH                 "</f>
        <v xml:space="preserve">AL HAYALI                ZUBAIDAH                 </v>
      </c>
      <c r="E23298" t="str">
        <f t="shared" si="623"/>
        <v xml:space="preserve">MEMPHIS                   </v>
      </c>
      <c r="F23298" t="str">
        <f t="shared" si="622"/>
        <v>TN</v>
      </c>
    </row>
    <row r="23299" spans="1:6" x14ac:dyDescent="0.25">
      <c r="A23299" t="str">
        <f>"200011456"</f>
        <v>200011456</v>
      </c>
      <c r="B23299" t="str">
        <f>"1134209489"</f>
        <v>1134209489</v>
      </c>
      <c r="C23299" t="str">
        <f>"2080P0207X"</f>
        <v>2080P0207X</v>
      </c>
      <c r="D23299" t="str">
        <f>"GOTTSCHALK               STEPHEN                  "</f>
        <v xml:space="preserve">GOTTSCHALK               STEPHEN                  </v>
      </c>
      <c r="E23299" t="str">
        <f t="shared" si="623"/>
        <v xml:space="preserve">MEMPHIS                   </v>
      </c>
      <c r="F23299" t="str">
        <f t="shared" si="622"/>
        <v>TN</v>
      </c>
    </row>
    <row r="23300" spans="1:6" x14ac:dyDescent="0.25">
      <c r="A23300" t="str">
        <f>"200011462"</f>
        <v>200011462</v>
      </c>
      <c r="B23300" t="str">
        <f>"1902178577"</f>
        <v>1902178577</v>
      </c>
      <c r="C23300" t="str">
        <f>"207X00000X"</f>
        <v>207X00000X</v>
      </c>
      <c r="D23300" t="str">
        <f>"SIFEN                    LENA                     "</f>
        <v xml:space="preserve">SIFEN                    LENA                     </v>
      </c>
      <c r="E23300" t="str">
        <f t="shared" si="623"/>
        <v xml:space="preserve">MEMPHIS                   </v>
      </c>
      <c r="F23300" t="str">
        <f t="shared" si="622"/>
        <v>TN</v>
      </c>
    </row>
    <row r="23301" spans="1:6" x14ac:dyDescent="0.25">
      <c r="A23301" t="str">
        <f>"200011468"</f>
        <v>200011468</v>
      </c>
      <c r="B23301" t="str">
        <f>"1710474655"</f>
        <v>1710474655</v>
      </c>
      <c r="C23301" t="str">
        <f>"207Q00000X"</f>
        <v>207Q00000X</v>
      </c>
      <c r="D23301" t="str">
        <f>"BACCINO                  STEFANIA                 "</f>
        <v xml:space="preserve">BACCINO                  STEFANIA                 </v>
      </c>
      <c r="E23301" t="str">
        <f t="shared" si="623"/>
        <v xml:space="preserve">MEMPHIS                   </v>
      </c>
      <c r="F23301" t="str">
        <f t="shared" si="622"/>
        <v>TN</v>
      </c>
    </row>
    <row r="23302" spans="1:6" x14ac:dyDescent="0.25">
      <c r="A23302" t="str">
        <f>"200011471"</f>
        <v>200011471</v>
      </c>
      <c r="B23302" t="str">
        <f>"1144754516"</f>
        <v>1144754516</v>
      </c>
      <c r="C23302" t="str">
        <f>"2080N0001X"</f>
        <v>2080N0001X</v>
      </c>
      <c r="D23302" t="str">
        <f>"MARTINEZ                 STEPHANIE    C           "</f>
        <v xml:space="preserve">MARTINEZ                 STEPHANIE    C           </v>
      </c>
      <c r="E23302" t="str">
        <f t="shared" si="623"/>
        <v xml:space="preserve">MEMPHIS                   </v>
      </c>
      <c r="F23302" t="str">
        <f t="shared" si="622"/>
        <v>TN</v>
      </c>
    </row>
    <row r="23303" spans="1:6" x14ac:dyDescent="0.25">
      <c r="A23303" t="str">
        <f>"200011485"</f>
        <v>200011485</v>
      </c>
      <c r="B23303" t="str">
        <f>"1619932894"</f>
        <v>1619932894</v>
      </c>
      <c r="C23303" t="str">
        <f>"2085R0202X"</f>
        <v>2085R0202X</v>
      </c>
      <c r="D23303" t="str">
        <f>"FISHER                   PAUL         D           "</f>
        <v xml:space="preserve">FISHER                   PAUL         D           </v>
      </c>
      <c r="E23303" t="str">
        <f t="shared" si="623"/>
        <v xml:space="preserve">MEMPHIS                   </v>
      </c>
      <c r="F23303" t="str">
        <f t="shared" si="622"/>
        <v>TN</v>
      </c>
    </row>
    <row r="23304" spans="1:6" x14ac:dyDescent="0.25">
      <c r="A23304" t="str">
        <f>"200011488"</f>
        <v>200011488</v>
      </c>
      <c r="B23304" t="str">
        <f>"1639923311"</f>
        <v>1639923311</v>
      </c>
      <c r="C23304" t="str">
        <f>"207R00000X"</f>
        <v>207R00000X</v>
      </c>
      <c r="D23304" t="str">
        <f>"QALADIZE                 BAWAN        F           "</f>
        <v xml:space="preserve">QALADIZE                 BAWAN        F           </v>
      </c>
      <c r="E23304" t="str">
        <f t="shared" si="623"/>
        <v xml:space="preserve">MEMPHIS                   </v>
      </c>
      <c r="F23304" t="str">
        <f t="shared" si="622"/>
        <v>TN</v>
      </c>
    </row>
    <row r="23305" spans="1:6" x14ac:dyDescent="0.25">
      <c r="A23305" t="str">
        <f>"200011552"</f>
        <v>200011552</v>
      </c>
      <c r="B23305" t="str">
        <f>"1972862654"</f>
        <v>1972862654</v>
      </c>
      <c r="C23305" t="str">
        <f>"207L00000X"</f>
        <v>207L00000X</v>
      </c>
      <c r="D23305" t="str">
        <f>"CLEMMONS                 JEFFERY                  "</f>
        <v xml:space="preserve">CLEMMONS                 JEFFERY                  </v>
      </c>
      <c r="E23305" t="str">
        <f>"NASHVILLE                 "</f>
        <v xml:space="preserve">NASHVILLE                 </v>
      </c>
      <c r="F23305" t="str">
        <f t="shared" si="622"/>
        <v>TN</v>
      </c>
    </row>
    <row r="23306" spans="1:6" x14ac:dyDescent="0.25">
      <c r="A23306" t="str">
        <f>"200011562"</f>
        <v>200011562</v>
      </c>
      <c r="B23306" t="str">
        <f>"1356193791"</f>
        <v>1356193791</v>
      </c>
      <c r="C23306" t="str">
        <f>"207R00000X"</f>
        <v>207R00000X</v>
      </c>
      <c r="D23306" t="str">
        <f>"SIMPSON DOWNS            CAROLYN                  "</f>
        <v xml:space="preserve">SIMPSON DOWNS            CAROLYN                  </v>
      </c>
      <c r="E23306" t="str">
        <f>"MEMPHIS                   "</f>
        <v xml:space="preserve">MEMPHIS                   </v>
      </c>
      <c r="F23306" t="str">
        <f t="shared" si="622"/>
        <v>TN</v>
      </c>
    </row>
    <row r="23307" spans="1:6" x14ac:dyDescent="0.25">
      <c r="A23307" t="str">
        <f>"200011573"</f>
        <v>200011573</v>
      </c>
      <c r="B23307" t="str">
        <f>"1477132546"</f>
        <v>1477132546</v>
      </c>
      <c r="C23307" t="str">
        <f>"208000000X"</f>
        <v>208000000X</v>
      </c>
      <c r="D23307" t="str">
        <f>"LEUTHOLD                 NICOLE       L           "</f>
        <v xml:space="preserve">LEUTHOLD                 NICOLE       L           </v>
      </c>
      <c r="E23307" t="str">
        <f>"MEMPHIS                   "</f>
        <v xml:space="preserve">MEMPHIS                   </v>
      </c>
      <c r="F23307" t="str">
        <f t="shared" si="622"/>
        <v>TN</v>
      </c>
    </row>
    <row r="23308" spans="1:6" x14ac:dyDescent="0.25">
      <c r="A23308" t="str">
        <f>"200011605"</f>
        <v>200011605</v>
      </c>
      <c r="B23308" t="str">
        <f>"1902467194"</f>
        <v>1902467194</v>
      </c>
      <c r="C23308" t="str">
        <f>"207L00000X"</f>
        <v>207L00000X</v>
      </c>
      <c r="D23308" t="str">
        <f>"YOUNG                    DWAYNE                   "</f>
        <v xml:space="preserve">YOUNG                    DWAYNE                   </v>
      </c>
      <c r="E23308" t="str">
        <f>"MEMPHIS                   "</f>
        <v xml:space="preserve">MEMPHIS                   </v>
      </c>
      <c r="F23308" t="str">
        <f t="shared" si="622"/>
        <v>TN</v>
      </c>
    </row>
    <row r="23309" spans="1:6" x14ac:dyDescent="0.25">
      <c r="A23309" t="str">
        <f>"200011613"</f>
        <v>200011613</v>
      </c>
      <c r="B23309" t="str">
        <f>"1912759333"</f>
        <v>1912759333</v>
      </c>
      <c r="C23309" t="str">
        <f>"207P00000X"</f>
        <v>207P00000X</v>
      </c>
      <c r="D23309" t="str">
        <f>"DOWNS                    WILLIAM      C           "</f>
        <v xml:space="preserve">DOWNS                    WILLIAM      C           </v>
      </c>
      <c r="E23309" t="str">
        <f>"MEMPHIS                   "</f>
        <v xml:space="preserve">MEMPHIS                   </v>
      </c>
      <c r="F23309" t="str">
        <f t="shared" si="622"/>
        <v>TN</v>
      </c>
    </row>
    <row r="23310" spans="1:6" x14ac:dyDescent="0.25">
      <c r="A23310" t="str">
        <f>"200011629"</f>
        <v>200011629</v>
      </c>
      <c r="B23310" t="str">
        <f>"1700849759"</f>
        <v>1700849759</v>
      </c>
      <c r="C23310" t="str">
        <f>"208600000X"</f>
        <v>208600000X</v>
      </c>
      <c r="D23310" t="str">
        <f>"GLEASON                  CATHERINE                "</f>
        <v xml:space="preserve">GLEASON                  CATHERINE                </v>
      </c>
      <c r="E23310" t="str">
        <f>"GERMANTOWN                "</f>
        <v xml:space="preserve">GERMANTOWN                </v>
      </c>
      <c r="F23310" t="str">
        <f t="shared" si="622"/>
        <v>TN</v>
      </c>
    </row>
    <row r="23311" spans="1:6" x14ac:dyDescent="0.25">
      <c r="A23311" t="str">
        <f>"200011686"</f>
        <v>200011686</v>
      </c>
      <c r="B23311" t="str">
        <f>"1528540341"</f>
        <v>1528540341</v>
      </c>
      <c r="C23311" t="str">
        <f>"363LG0600X"</f>
        <v>363LG0600X</v>
      </c>
      <c r="D23311" t="str">
        <f>"CHAPIN                   KAITLYN                  "</f>
        <v xml:space="preserve">CHAPIN                   KAITLYN                  </v>
      </c>
      <c r="E23311" t="str">
        <f>"NASHVILLE                 "</f>
        <v xml:space="preserve">NASHVILLE                 </v>
      </c>
      <c r="F23311" t="str">
        <f t="shared" si="622"/>
        <v>TN</v>
      </c>
    </row>
    <row r="23312" spans="1:6" x14ac:dyDescent="0.25">
      <c r="A23312" t="str">
        <f>"200011698"</f>
        <v>200011698</v>
      </c>
      <c r="B23312" t="str">
        <f>"1104603653"</f>
        <v>1104603653</v>
      </c>
      <c r="C23312" t="str">
        <f>"363L00000X"</f>
        <v>363L00000X</v>
      </c>
      <c r="D23312" t="str">
        <f>"HOY                      JAMELMENIQUE             "</f>
        <v xml:space="preserve">HOY                      JAMELMENIQUE             </v>
      </c>
      <c r="E23312" t="str">
        <f>"CORDOVA                   "</f>
        <v xml:space="preserve">CORDOVA                   </v>
      </c>
      <c r="F23312" t="str">
        <f t="shared" si="622"/>
        <v>TN</v>
      </c>
    </row>
    <row r="23313" spans="1:6" x14ac:dyDescent="0.25">
      <c r="A23313" t="str">
        <f>"200011700"</f>
        <v>200011700</v>
      </c>
      <c r="B23313" t="str">
        <f>"1114779477"</f>
        <v>1114779477</v>
      </c>
      <c r="C23313" t="str">
        <f>"207R00000X"</f>
        <v>207R00000X</v>
      </c>
      <c r="D23313" t="str">
        <f>"SPRINGETTE               MAKEDA                   "</f>
        <v xml:space="preserve">SPRINGETTE               MAKEDA                   </v>
      </c>
      <c r="E23313" t="str">
        <f t="shared" ref="E23313:E23320" si="624">"MEMPHIS                   "</f>
        <v xml:space="preserve">MEMPHIS                   </v>
      </c>
      <c r="F23313" t="str">
        <f t="shared" si="622"/>
        <v>TN</v>
      </c>
    </row>
    <row r="23314" spans="1:6" x14ac:dyDescent="0.25">
      <c r="A23314" t="str">
        <f>"200011701"</f>
        <v>200011701</v>
      </c>
      <c r="B23314" t="str">
        <f>"1063475192"</f>
        <v>1063475192</v>
      </c>
      <c r="C23314" t="str">
        <f>"207R00000X"</f>
        <v>207R00000X</v>
      </c>
      <c r="D23314" t="str">
        <f>"DUCLOS                   MARTIN                   "</f>
        <v xml:space="preserve">DUCLOS                   MARTIN                   </v>
      </c>
      <c r="E23314" t="str">
        <f t="shared" si="624"/>
        <v xml:space="preserve">MEMPHIS                   </v>
      </c>
      <c r="F23314" t="str">
        <f t="shared" si="622"/>
        <v>TN</v>
      </c>
    </row>
    <row r="23315" spans="1:6" x14ac:dyDescent="0.25">
      <c r="A23315" t="str">
        <f>"200011707"</f>
        <v>200011707</v>
      </c>
      <c r="B23315" t="str">
        <f>"1396597761"</f>
        <v>1396597761</v>
      </c>
      <c r="C23315" t="str">
        <f>"207P00000X"</f>
        <v>207P00000X</v>
      </c>
      <c r="D23315" t="str">
        <f>"SCOTT                    MATTHEW                  "</f>
        <v xml:space="preserve">SCOTT                    MATTHEW                  </v>
      </c>
      <c r="E23315" t="str">
        <f t="shared" si="624"/>
        <v xml:space="preserve">MEMPHIS                   </v>
      </c>
      <c r="F23315" t="str">
        <f t="shared" si="622"/>
        <v>TN</v>
      </c>
    </row>
    <row r="23316" spans="1:6" x14ac:dyDescent="0.25">
      <c r="A23316" t="str">
        <f>"200011722"</f>
        <v>200011722</v>
      </c>
      <c r="B23316" t="str">
        <f>"1164276697"</f>
        <v>1164276697</v>
      </c>
      <c r="C23316" t="str">
        <f>"207X00000X"</f>
        <v>207X00000X</v>
      </c>
      <c r="D23316" t="str">
        <f>"RUTH                     JAMES        M           "</f>
        <v xml:space="preserve">RUTH                     JAMES        M           </v>
      </c>
      <c r="E23316" t="str">
        <f t="shared" si="624"/>
        <v xml:space="preserve">MEMPHIS                   </v>
      </c>
      <c r="F23316" t="str">
        <f t="shared" si="622"/>
        <v>TN</v>
      </c>
    </row>
    <row r="23317" spans="1:6" x14ac:dyDescent="0.25">
      <c r="A23317" t="str">
        <f>"200011738"</f>
        <v>200011738</v>
      </c>
      <c r="B23317" t="str">
        <f>"1154181790"</f>
        <v>1154181790</v>
      </c>
      <c r="C23317" t="str">
        <f>"363LA2100X"</f>
        <v>363LA2100X</v>
      </c>
      <c r="D23317" t="str">
        <f>"DANIELS                  WAKONDA                  "</f>
        <v xml:space="preserve">DANIELS                  WAKONDA                  </v>
      </c>
      <c r="E23317" t="str">
        <f t="shared" si="624"/>
        <v xml:space="preserve">MEMPHIS                   </v>
      </c>
      <c r="F23317" t="str">
        <f t="shared" si="622"/>
        <v>TN</v>
      </c>
    </row>
    <row r="23318" spans="1:6" x14ac:dyDescent="0.25">
      <c r="A23318" t="str">
        <f>"200011751"</f>
        <v>200011751</v>
      </c>
      <c r="B23318" t="str">
        <f>"1184875262"</f>
        <v>1184875262</v>
      </c>
      <c r="C23318" t="str">
        <f>"2080P0210X"</f>
        <v>2080P0210X</v>
      </c>
      <c r="D23318" t="str">
        <f>"ELHADI                   SARAH                    "</f>
        <v xml:space="preserve">ELHADI                   SARAH                    </v>
      </c>
      <c r="E23318" t="str">
        <f t="shared" si="624"/>
        <v xml:space="preserve">MEMPHIS                   </v>
      </c>
      <c r="F23318" t="str">
        <f t="shared" si="622"/>
        <v>TN</v>
      </c>
    </row>
    <row r="23319" spans="1:6" x14ac:dyDescent="0.25">
      <c r="A23319" t="str">
        <f>"200011760"</f>
        <v>200011760</v>
      </c>
      <c r="B23319" t="str">
        <f>"1922865401"</f>
        <v>1922865401</v>
      </c>
      <c r="C23319" t="str">
        <f>"363LA2100X"</f>
        <v>363LA2100X</v>
      </c>
      <c r="D23319" t="str">
        <f>"MARTINEZ                 SARAH        E           "</f>
        <v xml:space="preserve">MARTINEZ                 SARAH        E           </v>
      </c>
      <c r="E23319" t="str">
        <f t="shared" si="624"/>
        <v xml:space="preserve">MEMPHIS                   </v>
      </c>
      <c r="F23319" t="str">
        <f t="shared" si="622"/>
        <v>TN</v>
      </c>
    </row>
    <row r="23320" spans="1:6" x14ac:dyDescent="0.25">
      <c r="A23320" t="str">
        <f>"200011770"</f>
        <v>200011770</v>
      </c>
      <c r="B23320" t="str">
        <f>"1659866382"</f>
        <v>1659866382</v>
      </c>
      <c r="C23320" t="str">
        <f>"2080P0203X"</f>
        <v>2080P0203X</v>
      </c>
      <c r="D23320" t="str">
        <f>"GABELA SANCHEZ           MARIAALEJANDA            "</f>
        <v xml:space="preserve">GABELA SANCHEZ           MARIAALEJANDA            </v>
      </c>
      <c r="E23320" t="str">
        <f t="shared" si="624"/>
        <v xml:space="preserve">MEMPHIS                   </v>
      </c>
      <c r="F23320" t="str">
        <f t="shared" si="622"/>
        <v>TN</v>
      </c>
    </row>
    <row r="23321" spans="1:6" x14ac:dyDescent="0.25">
      <c r="A23321" t="str">
        <f>"200011771"</f>
        <v>200011771</v>
      </c>
      <c r="B23321" t="str">
        <f>"1043618945"</f>
        <v>1043618945</v>
      </c>
      <c r="C23321" t="str">
        <f>"363L00000X"</f>
        <v>363L00000X</v>
      </c>
      <c r="D23321" t="str">
        <f>"PHELPS DONAHOO           CATHERINE    G           "</f>
        <v xml:space="preserve">PHELPS DONAHOO           CATHERINE    G           </v>
      </c>
      <c r="E23321" t="str">
        <f>"GERMANTOWN                "</f>
        <v xml:space="preserve">GERMANTOWN                </v>
      </c>
      <c r="F23321" t="str">
        <f t="shared" si="622"/>
        <v>TN</v>
      </c>
    </row>
    <row r="23322" spans="1:6" x14ac:dyDescent="0.25">
      <c r="A23322" t="str">
        <f>"200011784"</f>
        <v>200011784</v>
      </c>
      <c r="B23322" t="str">
        <f>"1013406008"</f>
        <v>1013406008</v>
      </c>
      <c r="C23322" t="str">
        <f>"2080N0001X"</f>
        <v>2080N0001X</v>
      </c>
      <c r="D23322" t="str">
        <f>"RUIZ                     EDSON                    "</f>
        <v xml:space="preserve">RUIZ                     EDSON                    </v>
      </c>
      <c r="E23322" t="str">
        <f t="shared" ref="E23322:E23331" si="625">"MEMPHIS                   "</f>
        <v xml:space="preserve">MEMPHIS                   </v>
      </c>
      <c r="F23322" t="str">
        <f t="shared" si="622"/>
        <v>TN</v>
      </c>
    </row>
    <row r="23323" spans="1:6" x14ac:dyDescent="0.25">
      <c r="A23323" t="str">
        <f>"200011791"</f>
        <v>200011791</v>
      </c>
      <c r="B23323" t="str">
        <f>"1619721974"</f>
        <v>1619721974</v>
      </c>
      <c r="C23323" t="str">
        <f>"207X00000X"</f>
        <v>207X00000X</v>
      </c>
      <c r="D23323" t="str">
        <f>"HAJEK                    BLAKE                    "</f>
        <v xml:space="preserve">HAJEK                    BLAKE                    </v>
      </c>
      <c r="E23323" t="str">
        <f t="shared" si="625"/>
        <v xml:space="preserve">MEMPHIS                   </v>
      </c>
      <c r="F23323" t="str">
        <f t="shared" si="622"/>
        <v>TN</v>
      </c>
    </row>
    <row r="23324" spans="1:6" x14ac:dyDescent="0.25">
      <c r="A23324" t="str">
        <f>"200011804"</f>
        <v>200011804</v>
      </c>
      <c r="B23324" t="str">
        <f>"1154389955"</f>
        <v>1154389955</v>
      </c>
      <c r="C23324" t="str">
        <f>"363L00000X"</f>
        <v>363L00000X</v>
      </c>
      <c r="D23324" t="str">
        <f>"DANIEL                   LUCRETIA                 "</f>
        <v xml:space="preserve">DANIEL                   LUCRETIA                 </v>
      </c>
      <c r="E23324" t="str">
        <f t="shared" si="625"/>
        <v xml:space="preserve">MEMPHIS                   </v>
      </c>
      <c r="F23324" t="str">
        <f t="shared" si="622"/>
        <v>TN</v>
      </c>
    </row>
    <row r="23325" spans="1:6" x14ac:dyDescent="0.25">
      <c r="A23325" t="str">
        <f>"200011806"</f>
        <v>200011806</v>
      </c>
      <c r="B23325" t="str">
        <f>"1699338798"</f>
        <v>1699338798</v>
      </c>
      <c r="C23325" t="str">
        <f>"2084N0400X"</f>
        <v>2084N0400X</v>
      </c>
      <c r="D23325" t="str">
        <f>"NOORBAKHSH SABET         NARIMAN                  "</f>
        <v xml:space="preserve">NOORBAKHSH SABET         NARIMAN                  </v>
      </c>
      <c r="E23325" t="str">
        <f t="shared" si="625"/>
        <v xml:space="preserve">MEMPHIS                   </v>
      </c>
      <c r="F23325" t="str">
        <f t="shared" si="622"/>
        <v>TN</v>
      </c>
    </row>
    <row r="23326" spans="1:6" x14ac:dyDescent="0.25">
      <c r="A23326" t="str">
        <f>"200011807"</f>
        <v>200011807</v>
      </c>
      <c r="B23326" t="str">
        <f>"1841056330"</f>
        <v>1841056330</v>
      </c>
      <c r="C23326" t="str">
        <f>"363LA2100X"</f>
        <v>363LA2100X</v>
      </c>
      <c r="D23326" t="str">
        <f>"EDWARDS                  WILLIAM      M           "</f>
        <v xml:space="preserve">EDWARDS                  WILLIAM      M           </v>
      </c>
      <c r="E23326" t="str">
        <f t="shared" si="625"/>
        <v xml:space="preserve">MEMPHIS                   </v>
      </c>
      <c r="F23326" t="str">
        <f t="shared" si="622"/>
        <v>TN</v>
      </c>
    </row>
    <row r="23327" spans="1:6" x14ac:dyDescent="0.25">
      <c r="A23327" t="str">
        <f>"200011839"</f>
        <v>200011839</v>
      </c>
      <c r="B23327" t="str">
        <f>"1922653526"</f>
        <v>1922653526</v>
      </c>
      <c r="C23327" t="str">
        <f>"363AS0400X"</f>
        <v>363AS0400X</v>
      </c>
      <c r="D23327" t="str">
        <f>"RAMSEY                   LAUREN       J           "</f>
        <v xml:space="preserve">RAMSEY                   LAUREN       J           </v>
      </c>
      <c r="E23327" t="str">
        <f t="shared" si="625"/>
        <v xml:space="preserve">MEMPHIS                   </v>
      </c>
      <c r="F23327" t="str">
        <f t="shared" si="622"/>
        <v>TN</v>
      </c>
    </row>
    <row r="23328" spans="1:6" x14ac:dyDescent="0.25">
      <c r="A23328" t="str">
        <f>"200011853"</f>
        <v>200011853</v>
      </c>
      <c r="B23328" t="str">
        <f>"1154106177"</f>
        <v>1154106177</v>
      </c>
      <c r="C23328" t="str">
        <f>"363LA2100X"</f>
        <v>363LA2100X</v>
      </c>
      <c r="D23328" t="str">
        <f>"MILLER                   WYNTER                   "</f>
        <v xml:space="preserve">MILLER                   WYNTER                   </v>
      </c>
      <c r="E23328" t="str">
        <f t="shared" si="625"/>
        <v xml:space="preserve">MEMPHIS                   </v>
      </c>
      <c r="F23328" t="str">
        <f t="shared" si="622"/>
        <v>TN</v>
      </c>
    </row>
    <row r="23329" spans="1:6" x14ac:dyDescent="0.25">
      <c r="A23329" t="str">
        <f>"200011858"</f>
        <v>200011858</v>
      </c>
      <c r="B23329" t="str">
        <f>"1063266781"</f>
        <v>1063266781</v>
      </c>
      <c r="C23329" t="str">
        <f>"207T00000X"</f>
        <v>207T00000X</v>
      </c>
      <c r="D23329" t="str">
        <f>"ORR                      TAYLOR                   "</f>
        <v xml:space="preserve">ORR                      TAYLOR                   </v>
      </c>
      <c r="E23329" t="str">
        <f t="shared" si="625"/>
        <v xml:space="preserve">MEMPHIS                   </v>
      </c>
      <c r="F23329" t="str">
        <f t="shared" si="622"/>
        <v>TN</v>
      </c>
    </row>
    <row r="23330" spans="1:6" x14ac:dyDescent="0.25">
      <c r="A23330" t="str">
        <f>"200011882"</f>
        <v>200011882</v>
      </c>
      <c r="B23330" t="str">
        <f>"1982336814"</f>
        <v>1982336814</v>
      </c>
      <c r="C23330" t="str">
        <f>"363LA2100X"</f>
        <v>363LA2100X</v>
      </c>
      <c r="D23330" t="str">
        <f>"BIGGS                    JESSICA      L           "</f>
        <v xml:space="preserve">BIGGS                    JESSICA      L           </v>
      </c>
      <c r="E23330" t="str">
        <f t="shared" si="625"/>
        <v xml:space="preserve">MEMPHIS                   </v>
      </c>
      <c r="F23330" t="str">
        <f t="shared" si="622"/>
        <v>TN</v>
      </c>
    </row>
    <row r="23331" spans="1:6" x14ac:dyDescent="0.25">
      <c r="A23331" t="str">
        <f>"200011902"</f>
        <v>200011902</v>
      </c>
      <c r="B23331" t="str">
        <f>"1316503444"</f>
        <v>1316503444</v>
      </c>
      <c r="C23331" t="str">
        <f>"207RR0500X"</f>
        <v>207RR0500X</v>
      </c>
      <c r="D23331" t="str">
        <f>"ABUTINEH                 IMAN                     "</f>
        <v xml:space="preserve">ABUTINEH                 IMAN                     </v>
      </c>
      <c r="E23331" t="str">
        <f t="shared" si="625"/>
        <v xml:space="preserve">MEMPHIS                   </v>
      </c>
      <c r="F23331" t="str">
        <f t="shared" si="622"/>
        <v>TN</v>
      </c>
    </row>
    <row r="23332" spans="1:6" x14ac:dyDescent="0.25">
      <c r="A23332" t="str">
        <f>"200011918"</f>
        <v>200011918</v>
      </c>
      <c r="B23332" t="str">
        <f>"1154036721"</f>
        <v>1154036721</v>
      </c>
      <c r="C23332" t="str">
        <f>"363L00000X"</f>
        <v>363L00000X</v>
      </c>
      <c r="D23332" t="str">
        <f>"OLIVER                   TANECIA                  "</f>
        <v xml:space="preserve">OLIVER                   TANECIA                  </v>
      </c>
      <c r="E23332" t="str">
        <f>"CORDOVA                   "</f>
        <v xml:space="preserve">CORDOVA                   </v>
      </c>
      <c r="F23332" t="str">
        <f t="shared" si="622"/>
        <v>TN</v>
      </c>
    </row>
    <row r="23333" spans="1:6" x14ac:dyDescent="0.25">
      <c r="A23333" t="str">
        <f>"200011942"</f>
        <v>200011942</v>
      </c>
      <c r="B23333" t="str">
        <f>"1831583103"</f>
        <v>1831583103</v>
      </c>
      <c r="C23333" t="str">
        <f>"207RC0000X"</f>
        <v>207RC0000X</v>
      </c>
      <c r="D23333" t="str">
        <f>"AMANCHERLA               KAUSHIK                  "</f>
        <v xml:space="preserve">AMANCHERLA               KAUSHIK                  </v>
      </c>
      <c r="E23333" t="str">
        <f>"NASHVILLE                 "</f>
        <v xml:space="preserve">NASHVILLE                 </v>
      </c>
      <c r="F23333" t="str">
        <f t="shared" si="622"/>
        <v>TN</v>
      </c>
    </row>
    <row r="23334" spans="1:6" x14ac:dyDescent="0.25">
      <c r="A23334" t="str">
        <f>"200011975"</f>
        <v>200011975</v>
      </c>
      <c r="B23334" t="str">
        <f>"1992863849"</f>
        <v>1992863849</v>
      </c>
      <c r="C23334" t="str">
        <f>"207L00000X"</f>
        <v>207L00000X</v>
      </c>
      <c r="D23334" t="str">
        <f>"PRITTS                   CHAD                     "</f>
        <v xml:space="preserve">PRITTS                   CHAD                     </v>
      </c>
      <c r="E23334" t="str">
        <f>"MEMPHIS                   "</f>
        <v xml:space="preserve">MEMPHIS                   </v>
      </c>
      <c r="F23334" t="str">
        <f t="shared" si="622"/>
        <v>TN</v>
      </c>
    </row>
    <row r="23335" spans="1:6" x14ac:dyDescent="0.25">
      <c r="A23335" t="str">
        <f>"200012010"</f>
        <v>200012010</v>
      </c>
      <c r="B23335" t="str">
        <f>"1164779393"</f>
        <v>1164779393</v>
      </c>
      <c r="C23335" t="str">
        <f>"207RN0300X"</f>
        <v>207RN0300X</v>
      </c>
      <c r="D23335" t="str">
        <f>"SHAWAR                   SAED                     "</f>
        <v xml:space="preserve">SHAWAR                   SAED                     </v>
      </c>
      <c r="E23335" t="str">
        <f>"NASHVILLE                 "</f>
        <v xml:space="preserve">NASHVILLE                 </v>
      </c>
      <c r="F23335" t="str">
        <f t="shared" si="622"/>
        <v>TN</v>
      </c>
    </row>
    <row r="23336" spans="1:6" x14ac:dyDescent="0.25">
      <c r="A23336" t="str">
        <f>"200012011"</f>
        <v>200012011</v>
      </c>
      <c r="B23336" t="str">
        <f>"1427588284"</f>
        <v>1427588284</v>
      </c>
      <c r="C23336" t="str">
        <f>"2080P0202X"</f>
        <v>2080P0202X</v>
      </c>
      <c r="D23336" t="str">
        <f>"IKEDA                    NOBUYUKI                 "</f>
        <v xml:space="preserve">IKEDA                    NOBUYUKI                 </v>
      </c>
      <c r="E23336" t="str">
        <f t="shared" ref="E23336:E23341" si="626">"MEMPHIS                   "</f>
        <v xml:space="preserve">MEMPHIS                   </v>
      </c>
      <c r="F23336" t="str">
        <f t="shared" si="622"/>
        <v>TN</v>
      </c>
    </row>
    <row r="23337" spans="1:6" x14ac:dyDescent="0.25">
      <c r="A23337" t="str">
        <f>"200012063"</f>
        <v>200012063</v>
      </c>
      <c r="B23337" t="str">
        <f>"1952474710"</f>
        <v>1952474710</v>
      </c>
      <c r="C23337" t="str">
        <f>"2080P0214X"</f>
        <v>2080P0214X</v>
      </c>
      <c r="D23337" t="str">
        <f>"WILLIAMS                 OLATUNJI                 "</f>
        <v xml:space="preserve">WILLIAMS                 OLATUNJI                 </v>
      </c>
      <c r="E23337" t="str">
        <f t="shared" si="626"/>
        <v xml:space="preserve">MEMPHIS                   </v>
      </c>
      <c r="F23337" t="str">
        <f t="shared" si="622"/>
        <v>TN</v>
      </c>
    </row>
    <row r="23338" spans="1:6" x14ac:dyDescent="0.25">
      <c r="A23338" t="str">
        <f>"200012084"</f>
        <v>200012084</v>
      </c>
      <c r="B23338" t="str">
        <f>"1871174896"</f>
        <v>1871174896</v>
      </c>
      <c r="C23338" t="str">
        <f>"207Q00000X"</f>
        <v>207Q00000X</v>
      </c>
      <c r="D23338" t="str">
        <f>"GARCIA                   MARIO                    "</f>
        <v xml:space="preserve">GARCIA                   MARIO                    </v>
      </c>
      <c r="E23338" t="str">
        <f t="shared" si="626"/>
        <v xml:space="preserve">MEMPHIS                   </v>
      </c>
      <c r="F23338" t="str">
        <f t="shared" si="622"/>
        <v>TN</v>
      </c>
    </row>
    <row r="23339" spans="1:6" x14ac:dyDescent="0.25">
      <c r="A23339" t="str">
        <f>"200012087"</f>
        <v>200012087</v>
      </c>
      <c r="B23339" t="str">
        <f>"1700248069"</f>
        <v>1700248069</v>
      </c>
      <c r="C23339" t="str">
        <f>"207SG0201X"</f>
        <v>207SG0201X</v>
      </c>
      <c r="D23339" t="str">
        <f>"SIMPSON                  BRITTANY                 "</f>
        <v xml:space="preserve">SIMPSON                  BRITTANY                 </v>
      </c>
      <c r="E23339" t="str">
        <f t="shared" si="626"/>
        <v xml:space="preserve">MEMPHIS                   </v>
      </c>
      <c r="F23339" t="str">
        <f t="shared" si="622"/>
        <v>TN</v>
      </c>
    </row>
    <row r="23340" spans="1:6" x14ac:dyDescent="0.25">
      <c r="A23340" t="str">
        <f>"200012099"</f>
        <v>200012099</v>
      </c>
      <c r="B23340" t="str">
        <f>"1073231825"</f>
        <v>1073231825</v>
      </c>
      <c r="C23340" t="str">
        <f>"363LA2100X"</f>
        <v>363LA2100X</v>
      </c>
      <c r="D23340" t="str">
        <f>"PERSON                   MARIANNE     E           "</f>
        <v xml:space="preserve">PERSON                   MARIANNE     E           </v>
      </c>
      <c r="E23340" t="str">
        <f t="shared" si="626"/>
        <v xml:space="preserve">MEMPHIS                   </v>
      </c>
      <c r="F23340" t="str">
        <f t="shared" si="622"/>
        <v>TN</v>
      </c>
    </row>
    <row r="23341" spans="1:6" x14ac:dyDescent="0.25">
      <c r="A23341" t="str">
        <f>"200012101"</f>
        <v>200012101</v>
      </c>
      <c r="B23341" t="str">
        <f>"1316478167"</f>
        <v>1316478167</v>
      </c>
      <c r="C23341" t="str">
        <f>"207P00000X"</f>
        <v>207P00000X</v>
      </c>
      <c r="D23341" t="str">
        <f>"CHU                      FREDERICK                "</f>
        <v xml:space="preserve">CHU                      FREDERICK                </v>
      </c>
      <c r="E23341" t="str">
        <f t="shared" si="626"/>
        <v xml:space="preserve">MEMPHIS                   </v>
      </c>
      <c r="F23341" t="str">
        <f t="shared" si="622"/>
        <v>TN</v>
      </c>
    </row>
    <row r="23342" spans="1:6" x14ac:dyDescent="0.25">
      <c r="A23342" t="str">
        <f>"200012113"</f>
        <v>200012113</v>
      </c>
      <c r="B23342" t="str">
        <f>"1124608880"</f>
        <v>1124608880</v>
      </c>
      <c r="C23342" t="str">
        <f>"261QE0700X"</f>
        <v>261QE0700X</v>
      </c>
      <c r="D23342" t="str">
        <f>"FRESENIUS KIDNEY CARE WOLF RIVER                  "</f>
        <v xml:space="preserve">FRESENIUS KIDNEY CARE WOLF RIVER                  </v>
      </c>
      <c r="E23342" t="str">
        <f>"GERMANTOWN                "</f>
        <v xml:space="preserve">GERMANTOWN                </v>
      </c>
      <c r="F23342" t="str">
        <f t="shared" si="622"/>
        <v>TN</v>
      </c>
    </row>
    <row r="23343" spans="1:6" x14ac:dyDescent="0.25">
      <c r="A23343" t="str">
        <f>"200012118"</f>
        <v>200012118</v>
      </c>
      <c r="B23343" t="str">
        <f>"1114158938"</f>
        <v>1114158938</v>
      </c>
      <c r="C23343" t="str">
        <f>"207L00000X"</f>
        <v>207L00000X</v>
      </c>
      <c r="D23343" t="str">
        <f>"SCHARR                   NERMA                    "</f>
        <v xml:space="preserve">SCHARR                   NERMA                    </v>
      </c>
      <c r="E23343" t="str">
        <f t="shared" ref="E23343:E23352" si="627">"MEMPHIS                   "</f>
        <v xml:space="preserve">MEMPHIS                   </v>
      </c>
      <c r="F23343" t="str">
        <f t="shared" si="622"/>
        <v>TN</v>
      </c>
    </row>
    <row r="23344" spans="1:6" x14ac:dyDescent="0.25">
      <c r="A23344" t="str">
        <f>"200012119"</f>
        <v>200012119</v>
      </c>
      <c r="B23344" t="str">
        <f>"1013479849"</f>
        <v>1013479849</v>
      </c>
      <c r="C23344" t="str">
        <f>"363LA2100X"</f>
        <v>363LA2100X</v>
      </c>
      <c r="D23344" t="str">
        <f>"GUENTHER                 AMY          E           "</f>
        <v xml:space="preserve">GUENTHER                 AMY          E           </v>
      </c>
      <c r="E23344" t="str">
        <f t="shared" si="627"/>
        <v xml:space="preserve">MEMPHIS                   </v>
      </c>
      <c r="F23344" t="str">
        <f t="shared" si="622"/>
        <v>TN</v>
      </c>
    </row>
    <row r="23345" spans="1:6" x14ac:dyDescent="0.25">
      <c r="A23345" t="str">
        <f>"200012130"</f>
        <v>200012130</v>
      </c>
      <c r="B23345" t="str">
        <f>"1700220050"</f>
        <v>1700220050</v>
      </c>
      <c r="C23345" t="str">
        <f>"2085N0700X"</f>
        <v>2085N0700X</v>
      </c>
      <c r="D23345" t="str">
        <f>"ANGEL                    JACQUELINE               "</f>
        <v xml:space="preserve">ANGEL                    JACQUELINE               </v>
      </c>
      <c r="E23345" t="str">
        <f t="shared" si="627"/>
        <v xml:space="preserve">MEMPHIS                   </v>
      </c>
      <c r="F23345" t="str">
        <f t="shared" si="622"/>
        <v>TN</v>
      </c>
    </row>
    <row r="23346" spans="1:6" x14ac:dyDescent="0.25">
      <c r="A23346" t="str">
        <f>"200012161"</f>
        <v>200012161</v>
      </c>
      <c r="B23346" t="str">
        <f>"1568984698"</f>
        <v>1568984698</v>
      </c>
      <c r="C23346" t="str">
        <f>"363LP0200X"</f>
        <v>363LP0200X</v>
      </c>
      <c r="D23346" t="str">
        <f>"RULEMAN                  HALEY                    "</f>
        <v xml:space="preserve">RULEMAN                  HALEY                    </v>
      </c>
      <c r="E23346" t="str">
        <f t="shared" si="627"/>
        <v xml:space="preserve">MEMPHIS                   </v>
      </c>
      <c r="F23346" t="str">
        <f t="shared" si="622"/>
        <v>TN</v>
      </c>
    </row>
    <row r="23347" spans="1:6" x14ac:dyDescent="0.25">
      <c r="A23347" t="str">
        <f>"200012172"</f>
        <v>200012172</v>
      </c>
      <c r="B23347" t="str">
        <f>"1598297244"</f>
        <v>1598297244</v>
      </c>
      <c r="C23347" t="str">
        <f>"2086S0129X"</f>
        <v>2086S0129X</v>
      </c>
      <c r="D23347" t="str">
        <f>"PELLICCIO                NICHOLAS                 "</f>
        <v xml:space="preserve">PELLICCIO                NICHOLAS                 </v>
      </c>
      <c r="E23347" t="str">
        <f t="shared" si="627"/>
        <v xml:space="preserve">MEMPHIS                   </v>
      </c>
      <c r="F23347" t="str">
        <f t="shared" si="622"/>
        <v>TN</v>
      </c>
    </row>
    <row r="23348" spans="1:6" x14ac:dyDescent="0.25">
      <c r="A23348" t="str">
        <f>"200012196"</f>
        <v>200012196</v>
      </c>
      <c r="B23348" t="str">
        <f>"1124671060"</f>
        <v>1124671060</v>
      </c>
      <c r="C23348" t="str">
        <f>"363LA2100X"</f>
        <v>363LA2100X</v>
      </c>
      <c r="D23348" t="str">
        <f>"ROBERSON                 ANNE         E           "</f>
        <v xml:space="preserve">ROBERSON                 ANNE         E           </v>
      </c>
      <c r="E23348" t="str">
        <f t="shared" si="627"/>
        <v xml:space="preserve">MEMPHIS                   </v>
      </c>
      <c r="F23348" t="str">
        <f t="shared" si="622"/>
        <v>TN</v>
      </c>
    </row>
    <row r="23349" spans="1:6" x14ac:dyDescent="0.25">
      <c r="A23349" t="str">
        <f>"200012206"</f>
        <v>200012206</v>
      </c>
      <c r="B23349" t="str">
        <f>"1013368430"</f>
        <v>1013368430</v>
      </c>
      <c r="C23349" t="str">
        <f>"207RR0500X"</f>
        <v>207RR0500X</v>
      </c>
      <c r="D23349" t="str">
        <f>"CASTRO GUTIERREZ         ADELA        M           "</f>
        <v xml:space="preserve">CASTRO GUTIERREZ         ADELA        M           </v>
      </c>
      <c r="E23349" t="str">
        <f t="shared" si="627"/>
        <v xml:space="preserve">MEMPHIS                   </v>
      </c>
      <c r="F23349" t="str">
        <f t="shared" si="622"/>
        <v>TN</v>
      </c>
    </row>
    <row r="23350" spans="1:6" x14ac:dyDescent="0.25">
      <c r="A23350" t="str">
        <f>"200012208"</f>
        <v>200012208</v>
      </c>
      <c r="B23350" t="str">
        <f>"1972965036"</f>
        <v>1972965036</v>
      </c>
      <c r="C23350" t="str">
        <f>"2080P0203X"</f>
        <v>2080P0203X</v>
      </c>
      <c r="D23350" t="str">
        <f>"BUYUKGOZ                 CIHANGIR                 "</f>
        <v xml:space="preserve">BUYUKGOZ                 CIHANGIR                 </v>
      </c>
      <c r="E23350" t="str">
        <f t="shared" si="627"/>
        <v xml:space="preserve">MEMPHIS                   </v>
      </c>
      <c r="F23350" t="str">
        <f t="shared" si="622"/>
        <v>TN</v>
      </c>
    </row>
    <row r="23351" spans="1:6" x14ac:dyDescent="0.25">
      <c r="A23351" t="str">
        <f>"200012249"</f>
        <v>200012249</v>
      </c>
      <c r="B23351" t="str">
        <f>"1982387650"</f>
        <v>1982387650</v>
      </c>
      <c r="C23351" t="str">
        <f>"207R00000X"</f>
        <v>207R00000X</v>
      </c>
      <c r="D23351" t="str">
        <f>"MCMILLAN                 KATHRYN                  "</f>
        <v xml:space="preserve">MCMILLAN                 KATHRYN                  </v>
      </c>
      <c r="E23351" t="str">
        <f t="shared" si="627"/>
        <v xml:space="preserve">MEMPHIS                   </v>
      </c>
      <c r="F23351" t="str">
        <f t="shared" si="622"/>
        <v>TN</v>
      </c>
    </row>
    <row r="23352" spans="1:6" x14ac:dyDescent="0.25">
      <c r="A23352" t="str">
        <f>"200012279"</f>
        <v>200012279</v>
      </c>
      <c r="B23352" t="str">
        <f>"1679279210"</f>
        <v>1679279210</v>
      </c>
      <c r="C23352" t="str">
        <f>"363L00000X"</f>
        <v>363L00000X</v>
      </c>
      <c r="D23352" t="str">
        <f>"BARRANTES                NADJA                    "</f>
        <v xml:space="preserve">BARRANTES                NADJA                    </v>
      </c>
      <c r="E23352" t="str">
        <f t="shared" si="627"/>
        <v xml:space="preserve">MEMPHIS                   </v>
      </c>
      <c r="F23352" t="str">
        <f t="shared" si="622"/>
        <v>TN</v>
      </c>
    </row>
    <row r="23353" spans="1:6" x14ac:dyDescent="0.25">
      <c r="A23353" t="str">
        <f>"200012307"</f>
        <v>200012307</v>
      </c>
      <c r="B23353" t="str">
        <f>"1336327295"</f>
        <v>1336327295</v>
      </c>
      <c r="C23353" t="str">
        <f>"207RC0000X"</f>
        <v>207RC0000X</v>
      </c>
      <c r="D23353" t="str">
        <f>"BORKOWSKI                BRIAN        J           "</f>
        <v xml:space="preserve">BORKOWSKI                BRIAN        J           </v>
      </c>
      <c r="E23353" t="str">
        <f>"GERMANTOWN                "</f>
        <v xml:space="preserve">GERMANTOWN                </v>
      </c>
      <c r="F23353" t="str">
        <f t="shared" si="622"/>
        <v>TN</v>
      </c>
    </row>
    <row r="23354" spans="1:6" x14ac:dyDescent="0.25">
      <c r="A23354" t="str">
        <f>"200012347"</f>
        <v>200012347</v>
      </c>
      <c r="B23354" t="str">
        <f>"1891315339"</f>
        <v>1891315339</v>
      </c>
      <c r="C23354" t="str">
        <f>"207V00000X"</f>
        <v>207V00000X</v>
      </c>
      <c r="D23354" t="str">
        <f>"ROGERS                   ANNA JOY                 "</f>
        <v xml:space="preserve">ROGERS                   ANNA JOY                 </v>
      </c>
      <c r="E23354" t="str">
        <f t="shared" ref="E23354:E23361" si="628">"MEMPHIS                   "</f>
        <v xml:space="preserve">MEMPHIS                   </v>
      </c>
      <c r="F23354" t="str">
        <f t="shared" si="622"/>
        <v>TN</v>
      </c>
    </row>
    <row r="23355" spans="1:6" x14ac:dyDescent="0.25">
      <c r="A23355" t="str">
        <f>"200012383"</f>
        <v>200012383</v>
      </c>
      <c r="B23355" t="str">
        <f>"1568583532"</f>
        <v>1568583532</v>
      </c>
      <c r="C23355" t="str">
        <f>"208100000X"</f>
        <v>208100000X</v>
      </c>
      <c r="D23355" t="str">
        <f>"HASSEL                   DANIELLE                 "</f>
        <v xml:space="preserve">HASSEL                   DANIELLE                 </v>
      </c>
      <c r="E23355" t="str">
        <f t="shared" si="628"/>
        <v xml:space="preserve">MEMPHIS                   </v>
      </c>
      <c r="F23355" t="str">
        <f t="shared" si="622"/>
        <v>TN</v>
      </c>
    </row>
    <row r="23356" spans="1:6" x14ac:dyDescent="0.25">
      <c r="A23356" t="str">
        <f>"200012385"</f>
        <v>200012385</v>
      </c>
      <c r="B23356" t="str">
        <f>"1154704500"</f>
        <v>1154704500</v>
      </c>
      <c r="C23356" t="str">
        <f>"207P00000X"</f>
        <v>207P00000X</v>
      </c>
      <c r="D23356" t="str">
        <f>"LU                       KEVIN                    "</f>
        <v xml:space="preserve">LU                       KEVIN                    </v>
      </c>
      <c r="E23356" t="str">
        <f t="shared" si="628"/>
        <v xml:space="preserve">MEMPHIS                   </v>
      </c>
      <c r="F23356" t="str">
        <f t="shared" si="622"/>
        <v>TN</v>
      </c>
    </row>
    <row r="23357" spans="1:6" x14ac:dyDescent="0.25">
      <c r="A23357" t="str">
        <f>"200012387"</f>
        <v>200012387</v>
      </c>
      <c r="B23357" t="str">
        <f>"1548048671"</f>
        <v>1548048671</v>
      </c>
      <c r="C23357" t="str">
        <f>"363A00000X"</f>
        <v>363A00000X</v>
      </c>
      <c r="D23357" t="str">
        <f>"ABBAS                    ANUM                     "</f>
        <v xml:space="preserve">ABBAS                    ANUM                     </v>
      </c>
      <c r="E23357" t="str">
        <f t="shared" si="628"/>
        <v xml:space="preserve">MEMPHIS                   </v>
      </c>
      <c r="F23357" t="str">
        <f t="shared" si="622"/>
        <v>TN</v>
      </c>
    </row>
    <row r="23358" spans="1:6" x14ac:dyDescent="0.25">
      <c r="A23358" t="str">
        <f>"200012391"</f>
        <v>200012391</v>
      </c>
      <c r="B23358" t="str">
        <f>"1134976210"</f>
        <v>1134976210</v>
      </c>
      <c r="C23358" t="str">
        <f>"367500000X"</f>
        <v>367500000X</v>
      </c>
      <c r="D23358" t="str">
        <f>"CLARK                    ARIEL                    "</f>
        <v xml:space="preserve">CLARK                    ARIEL                    </v>
      </c>
      <c r="E23358" t="str">
        <f t="shared" si="628"/>
        <v xml:space="preserve">MEMPHIS                   </v>
      </c>
      <c r="F23358" t="str">
        <f t="shared" ref="F23358:F23421" si="629">"TN"</f>
        <v>TN</v>
      </c>
    </row>
    <row r="23359" spans="1:6" x14ac:dyDescent="0.25">
      <c r="A23359" t="str">
        <f>"200012406"</f>
        <v>200012406</v>
      </c>
      <c r="B23359" t="str">
        <f>"1922034271"</f>
        <v>1922034271</v>
      </c>
      <c r="C23359" t="str">
        <f>"207V00000X"</f>
        <v>207V00000X</v>
      </c>
      <c r="D23359" t="str">
        <f>"BANNISTER                LEA                      "</f>
        <v xml:space="preserve">BANNISTER                LEA                      </v>
      </c>
      <c r="E23359" t="str">
        <f t="shared" si="628"/>
        <v xml:space="preserve">MEMPHIS                   </v>
      </c>
      <c r="F23359" t="str">
        <f t="shared" si="629"/>
        <v>TN</v>
      </c>
    </row>
    <row r="23360" spans="1:6" x14ac:dyDescent="0.25">
      <c r="A23360" t="str">
        <f>"200012418"</f>
        <v>200012418</v>
      </c>
      <c r="B23360" t="str">
        <f>"1619553393"</f>
        <v>1619553393</v>
      </c>
      <c r="C23360" t="str">
        <f>"207Q00000X"</f>
        <v>207Q00000X</v>
      </c>
      <c r="D23360" t="str">
        <f>"MCKISSICK                JASMINE                  "</f>
        <v xml:space="preserve">MCKISSICK                JASMINE                  </v>
      </c>
      <c r="E23360" t="str">
        <f t="shared" si="628"/>
        <v xml:space="preserve">MEMPHIS                   </v>
      </c>
      <c r="F23360" t="str">
        <f t="shared" si="629"/>
        <v>TN</v>
      </c>
    </row>
    <row r="23361" spans="1:6" x14ac:dyDescent="0.25">
      <c r="A23361" t="str">
        <f>"200012438"</f>
        <v>200012438</v>
      </c>
      <c r="B23361" t="str">
        <f>"1669911756"</f>
        <v>1669911756</v>
      </c>
      <c r="C23361" t="str">
        <f>"363LP0200X"</f>
        <v>363LP0200X</v>
      </c>
      <c r="D23361" t="str">
        <f>"STRELSIN                 JENNY                    "</f>
        <v xml:space="preserve">STRELSIN                 JENNY                    </v>
      </c>
      <c r="E23361" t="str">
        <f t="shared" si="628"/>
        <v xml:space="preserve">MEMPHIS                   </v>
      </c>
      <c r="F23361" t="str">
        <f t="shared" si="629"/>
        <v>TN</v>
      </c>
    </row>
    <row r="23362" spans="1:6" x14ac:dyDescent="0.25">
      <c r="A23362" t="str">
        <f>"200012476"</f>
        <v>200012476</v>
      </c>
      <c r="B23362" t="str">
        <f>"1285900597"</f>
        <v>1285900597</v>
      </c>
      <c r="C23362" t="str">
        <f>"2086S0129X"</f>
        <v>2086S0129X</v>
      </c>
      <c r="D23362" t="str">
        <f>"FLETCHER                 BRIAN                    "</f>
        <v xml:space="preserve">FLETCHER                 BRIAN                    </v>
      </c>
      <c r="E23362" t="str">
        <f>"LAWRENCEBURG              "</f>
        <v xml:space="preserve">LAWRENCEBURG              </v>
      </c>
      <c r="F23362" t="str">
        <f t="shared" si="629"/>
        <v>TN</v>
      </c>
    </row>
    <row r="23363" spans="1:6" x14ac:dyDescent="0.25">
      <c r="A23363" t="str">
        <f>"200012505"</f>
        <v>200012505</v>
      </c>
      <c r="B23363" t="str">
        <f>"1205147105"</f>
        <v>1205147105</v>
      </c>
      <c r="C23363" t="str">
        <f>"2080P0202X"</f>
        <v>2080P0202X</v>
      </c>
      <c r="D23363" t="str">
        <f>"PARASHAR                 NIRBHAY                  "</f>
        <v xml:space="preserve">PARASHAR                 NIRBHAY                  </v>
      </c>
      <c r="E23363" t="str">
        <f>"JACKSON                   "</f>
        <v xml:space="preserve">JACKSON                   </v>
      </c>
      <c r="F23363" t="str">
        <f t="shared" si="629"/>
        <v>TN</v>
      </c>
    </row>
    <row r="23364" spans="1:6" x14ac:dyDescent="0.25">
      <c r="A23364" t="str">
        <f>"200012506"</f>
        <v>200012506</v>
      </c>
      <c r="B23364" t="str">
        <f>"1639666449"</f>
        <v>1639666449</v>
      </c>
      <c r="C23364" t="str">
        <f>"2084A2900X"</f>
        <v>2084A2900X</v>
      </c>
      <c r="D23364" t="str">
        <f>"FARAG                    NUJUD                    "</f>
        <v xml:space="preserve">FARAG                    NUJUD                    </v>
      </c>
      <c r="E23364" t="str">
        <f>"MEMPHIS                   "</f>
        <v xml:space="preserve">MEMPHIS                   </v>
      </c>
      <c r="F23364" t="str">
        <f t="shared" si="629"/>
        <v>TN</v>
      </c>
    </row>
    <row r="23365" spans="1:6" x14ac:dyDescent="0.25">
      <c r="A23365" t="str">
        <f>"200012509"</f>
        <v>200012509</v>
      </c>
      <c r="B23365" t="str">
        <f>"1487094397"</f>
        <v>1487094397</v>
      </c>
      <c r="C23365" t="str">
        <f>"207RG0100X"</f>
        <v>207RG0100X</v>
      </c>
      <c r="D23365" t="str">
        <f>"GANAPINI                 VINCENT                  "</f>
        <v xml:space="preserve">GANAPINI                 VINCENT                  </v>
      </c>
      <c r="E23365" t="str">
        <f>"GERMANTOWN                "</f>
        <v xml:space="preserve">GERMANTOWN                </v>
      </c>
      <c r="F23365" t="str">
        <f t="shared" si="629"/>
        <v>TN</v>
      </c>
    </row>
    <row r="23366" spans="1:6" x14ac:dyDescent="0.25">
      <c r="A23366" t="str">
        <f>"200012550"</f>
        <v>200012550</v>
      </c>
      <c r="B23366" t="str">
        <f>"1841829140"</f>
        <v>1841829140</v>
      </c>
      <c r="C23366" t="str">
        <f>"207P00000X"</f>
        <v>207P00000X</v>
      </c>
      <c r="D23366" t="str">
        <f>"SMITH                    JOSEPH                   "</f>
        <v xml:space="preserve">SMITH                    JOSEPH                   </v>
      </c>
      <c r="E23366" t="str">
        <f>"MEMPHIS                   "</f>
        <v xml:space="preserve">MEMPHIS                   </v>
      </c>
      <c r="F23366" t="str">
        <f t="shared" si="629"/>
        <v>TN</v>
      </c>
    </row>
    <row r="23367" spans="1:6" x14ac:dyDescent="0.25">
      <c r="A23367" t="str">
        <f>"200012553"</f>
        <v>200012553</v>
      </c>
      <c r="B23367" t="str">
        <f>"1295232882"</f>
        <v>1295232882</v>
      </c>
      <c r="C23367" t="str">
        <f>"207P00000X"</f>
        <v>207P00000X</v>
      </c>
      <c r="D23367" t="str">
        <f>"SHAH                     ZAEEM                    "</f>
        <v xml:space="preserve">SHAH                     ZAEEM                    </v>
      </c>
      <c r="E23367" t="str">
        <f>"MEMPHIS                   "</f>
        <v xml:space="preserve">MEMPHIS                   </v>
      </c>
      <c r="F23367" t="str">
        <f t="shared" si="629"/>
        <v>TN</v>
      </c>
    </row>
    <row r="23368" spans="1:6" x14ac:dyDescent="0.25">
      <c r="A23368" t="str">
        <f>"200012566"</f>
        <v>200012566</v>
      </c>
      <c r="B23368" t="str">
        <f>"1609988278"</f>
        <v>1609988278</v>
      </c>
      <c r="C23368" t="str">
        <f>"208000000X"</f>
        <v>208000000X</v>
      </c>
      <c r="D23368" t="str">
        <f>"HUMPHREY                 SALLY                    "</f>
        <v xml:space="preserve">HUMPHREY                 SALLY                    </v>
      </c>
      <c r="E23368" t="str">
        <f>"MEMPHIS                   "</f>
        <v xml:space="preserve">MEMPHIS                   </v>
      </c>
      <c r="F23368" t="str">
        <f t="shared" si="629"/>
        <v>TN</v>
      </c>
    </row>
    <row r="23369" spans="1:6" x14ac:dyDescent="0.25">
      <c r="A23369" t="str">
        <f>"200012567"</f>
        <v>200012567</v>
      </c>
      <c r="B23369" t="str">
        <f>"1922324011"</f>
        <v>1922324011</v>
      </c>
      <c r="C23369" t="str">
        <f>"207RI0200X"</f>
        <v>207RI0200X</v>
      </c>
      <c r="D23369" t="str">
        <f>"NAZINITSKY               ALLISON                  "</f>
        <v xml:space="preserve">NAZINITSKY               ALLISON                  </v>
      </c>
      <c r="E23369" t="str">
        <f>"MEMPHIS                   "</f>
        <v xml:space="preserve">MEMPHIS                   </v>
      </c>
      <c r="F23369" t="str">
        <f t="shared" si="629"/>
        <v>TN</v>
      </c>
    </row>
    <row r="23370" spans="1:6" x14ac:dyDescent="0.25">
      <c r="A23370" t="str">
        <f>"200012607"</f>
        <v>200012607</v>
      </c>
      <c r="B23370" t="str">
        <f>"1972827962"</f>
        <v>1972827962</v>
      </c>
      <c r="C23370" t="str">
        <f>"207RC0000X"</f>
        <v>207RC0000X</v>
      </c>
      <c r="D23370" t="str">
        <f>"JONES                    DAVID        W           "</f>
        <v xml:space="preserve">JONES                    DAVID        W           </v>
      </c>
      <c r="E23370" t="str">
        <f>"MEMPHIS                   "</f>
        <v xml:space="preserve">MEMPHIS                   </v>
      </c>
      <c r="F23370" t="str">
        <f t="shared" si="629"/>
        <v>TN</v>
      </c>
    </row>
    <row r="23371" spans="1:6" x14ac:dyDescent="0.25">
      <c r="A23371" t="str">
        <f>"200012640"</f>
        <v>200012640</v>
      </c>
      <c r="B23371" t="str">
        <f>"1215234505"</f>
        <v>1215234505</v>
      </c>
      <c r="C23371" t="str">
        <f>"363L00000X"</f>
        <v>363L00000X</v>
      </c>
      <c r="D23371" t="str">
        <f>"NORMAN                   LESLIE       B           "</f>
        <v xml:space="preserve">NORMAN                   LESLIE       B           </v>
      </c>
      <c r="E23371" t="str">
        <f>"GERMANTOWN                "</f>
        <v xml:space="preserve">GERMANTOWN                </v>
      </c>
      <c r="F23371" t="str">
        <f t="shared" si="629"/>
        <v>TN</v>
      </c>
    </row>
    <row r="23372" spans="1:6" x14ac:dyDescent="0.25">
      <c r="A23372" t="str">
        <f>"200012653"</f>
        <v>200012653</v>
      </c>
      <c r="B23372" t="str">
        <f>"1417709940"</f>
        <v>1417709940</v>
      </c>
      <c r="C23372" t="str">
        <f>"363A00000X"</f>
        <v>363A00000X</v>
      </c>
      <c r="D23372" t="str">
        <f>"MANNING                  HANNAH                   "</f>
        <v xml:space="preserve">MANNING                  HANNAH                   </v>
      </c>
      <c r="E23372" t="str">
        <f t="shared" ref="E23372:E23386" si="630">"MEMPHIS                   "</f>
        <v xml:space="preserve">MEMPHIS                   </v>
      </c>
      <c r="F23372" t="str">
        <f t="shared" si="629"/>
        <v>TN</v>
      </c>
    </row>
    <row r="23373" spans="1:6" x14ac:dyDescent="0.25">
      <c r="A23373" t="str">
        <f>"200012664"</f>
        <v>200012664</v>
      </c>
      <c r="B23373" t="str">
        <f>"1144560053"</f>
        <v>1144560053</v>
      </c>
      <c r="C23373" t="str">
        <f>"207P00000X"</f>
        <v>207P00000X</v>
      </c>
      <c r="D23373" t="str">
        <f>"PIEPER                   RUSSELL                  "</f>
        <v xml:space="preserve">PIEPER                   RUSSELL                  </v>
      </c>
      <c r="E23373" t="str">
        <f t="shared" si="630"/>
        <v xml:space="preserve">MEMPHIS                   </v>
      </c>
      <c r="F23373" t="str">
        <f t="shared" si="629"/>
        <v>TN</v>
      </c>
    </row>
    <row r="23374" spans="1:6" x14ac:dyDescent="0.25">
      <c r="A23374" t="str">
        <f>"200012671"</f>
        <v>200012671</v>
      </c>
      <c r="B23374" t="str">
        <f>"1053310961"</f>
        <v>1053310961</v>
      </c>
      <c r="C23374" t="str">
        <f>"367500000X"</f>
        <v>367500000X</v>
      </c>
      <c r="D23374" t="str">
        <f>"COSTLEY                  AMY                      "</f>
        <v xml:space="preserve">COSTLEY                  AMY                      </v>
      </c>
      <c r="E23374" t="str">
        <f t="shared" si="630"/>
        <v xml:space="preserve">MEMPHIS                   </v>
      </c>
      <c r="F23374" t="str">
        <f t="shared" si="629"/>
        <v>TN</v>
      </c>
    </row>
    <row r="23375" spans="1:6" x14ac:dyDescent="0.25">
      <c r="A23375" t="str">
        <f>"200012688"</f>
        <v>200012688</v>
      </c>
      <c r="B23375" t="str">
        <f>"1417169574"</f>
        <v>1417169574</v>
      </c>
      <c r="C23375" t="str">
        <f>"207P00000X"</f>
        <v>207P00000X</v>
      </c>
      <c r="D23375" t="str">
        <f>"SOOCH                    YADAVINDER               "</f>
        <v xml:space="preserve">SOOCH                    YADAVINDER               </v>
      </c>
      <c r="E23375" t="str">
        <f t="shared" si="630"/>
        <v xml:space="preserve">MEMPHIS                   </v>
      </c>
      <c r="F23375" t="str">
        <f t="shared" si="629"/>
        <v>TN</v>
      </c>
    </row>
    <row r="23376" spans="1:6" x14ac:dyDescent="0.25">
      <c r="A23376" t="str">
        <f>"200012691"</f>
        <v>200012691</v>
      </c>
      <c r="B23376" t="str">
        <f>"1811563547"</f>
        <v>1811563547</v>
      </c>
      <c r="C23376" t="str">
        <f>"207Q00000X"</f>
        <v>207Q00000X</v>
      </c>
      <c r="D23376" t="str">
        <f>"LLANEZA SANTACRUZ        ALBERTO MAXIM            "</f>
        <v xml:space="preserve">LLANEZA SANTACRUZ        ALBERTO MAXIM            </v>
      </c>
      <c r="E23376" t="str">
        <f t="shared" si="630"/>
        <v xml:space="preserve">MEMPHIS                   </v>
      </c>
      <c r="F23376" t="str">
        <f t="shared" si="629"/>
        <v>TN</v>
      </c>
    </row>
    <row r="23377" spans="1:6" x14ac:dyDescent="0.25">
      <c r="A23377" t="str">
        <f>"200012696"</f>
        <v>200012696</v>
      </c>
      <c r="B23377" t="str">
        <f>"1558418822"</f>
        <v>1558418822</v>
      </c>
      <c r="C23377" t="str">
        <f>"208000000X"</f>
        <v>208000000X</v>
      </c>
      <c r="D23377" t="str">
        <f>"ROBLES                   MONIQUE                  "</f>
        <v xml:space="preserve">ROBLES                   MONIQUE                  </v>
      </c>
      <c r="E23377" t="str">
        <f t="shared" si="630"/>
        <v xml:space="preserve">MEMPHIS                   </v>
      </c>
      <c r="F23377" t="str">
        <f t="shared" si="629"/>
        <v>TN</v>
      </c>
    </row>
    <row r="23378" spans="1:6" x14ac:dyDescent="0.25">
      <c r="A23378" t="str">
        <f>"200012704"</f>
        <v>200012704</v>
      </c>
      <c r="B23378" t="str">
        <f>"1508445693"</f>
        <v>1508445693</v>
      </c>
      <c r="C23378" t="str">
        <f>"208000000X"</f>
        <v>208000000X</v>
      </c>
      <c r="D23378" t="str">
        <f>"CANDIA ANDERSON          TACHELE                  "</f>
        <v xml:space="preserve">CANDIA ANDERSON          TACHELE                  </v>
      </c>
      <c r="E23378" t="str">
        <f t="shared" si="630"/>
        <v xml:space="preserve">MEMPHIS                   </v>
      </c>
      <c r="F23378" t="str">
        <f t="shared" si="629"/>
        <v>TN</v>
      </c>
    </row>
    <row r="23379" spans="1:6" x14ac:dyDescent="0.25">
      <c r="A23379" t="str">
        <f>"200012736"</f>
        <v>200012736</v>
      </c>
      <c r="B23379" t="str">
        <f>"1851421705"</f>
        <v>1851421705</v>
      </c>
      <c r="C23379" t="str">
        <f>"208600000X"</f>
        <v>208600000X</v>
      </c>
      <c r="D23379" t="str">
        <f>"AL-GEBORY                FARIS                    "</f>
        <v xml:space="preserve">AL-GEBORY                FARIS                    </v>
      </c>
      <c r="E23379" t="str">
        <f t="shared" si="630"/>
        <v xml:space="preserve">MEMPHIS                   </v>
      </c>
      <c r="F23379" t="str">
        <f t="shared" si="629"/>
        <v>TN</v>
      </c>
    </row>
    <row r="23380" spans="1:6" x14ac:dyDescent="0.25">
      <c r="A23380" t="str">
        <f>"200012740"</f>
        <v>200012740</v>
      </c>
      <c r="B23380" t="str">
        <f>"1174919765"</f>
        <v>1174919765</v>
      </c>
      <c r="C23380" t="str">
        <f>"2086S0120X"</f>
        <v>2086S0120X</v>
      </c>
      <c r="D23380" t="str">
        <f>"LIN                      SAUNDERS                 "</f>
        <v xml:space="preserve">LIN                      SAUNDERS                 </v>
      </c>
      <c r="E23380" t="str">
        <f t="shared" si="630"/>
        <v xml:space="preserve">MEMPHIS                   </v>
      </c>
      <c r="F23380" t="str">
        <f t="shared" si="629"/>
        <v>TN</v>
      </c>
    </row>
    <row r="23381" spans="1:6" x14ac:dyDescent="0.25">
      <c r="A23381" t="str">
        <f>"200012741"</f>
        <v>200012741</v>
      </c>
      <c r="B23381" t="str">
        <f>"1619758620"</f>
        <v>1619758620</v>
      </c>
      <c r="C23381" t="str">
        <f>"363A00000X"</f>
        <v>363A00000X</v>
      </c>
      <c r="D23381" t="str">
        <f>"PENA-TEJEDA              ERNESTO                  "</f>
        <v xml:space="preserve">PENA-TEJEDA              ERNESTO                  </v>
      </c>
      <c r="E23381" t="str">
        <f t="shared" si="630"/>
        <v xml:space="preserve">MEMPHIS                   </v>
      </c>
      <c r="F23381" t="str">
        <f t="shared" si="629"/>
        <v>TN</v>
      </c>
    </row>
    <row r="23382" spans="1:6" x14ac:dyDescent="0.25">
      <c r="A23382" t="str">
        <f>"200012803"</f>
        <v>200012803</v>
      </c>
      <c r="B23382" t="str">
        <f>"1477201440"</f>
        <v>1477201440</v>
      </c>
      <c r="C23382" t="str">
        <f>"207P00000X"</f>
        <v>207P00000X</v>
      </c>
      <c r="D23382" t="str">
        <f>"WALLACE                  CHRISTIAN                "</f>
        <v xml:space="preserve">WALLACE                  CHRISTIAN                </v>
      </c>
      <c r="E23382" t="str">
        <f t="shared" si="630"/>
        <v xml:space="preserve">MEMPHIS                   </v>
      </c>
      <c r="F23382" t="str">
        <f t="shared" si="629"/>
        <v>TN</v>
      </c>
    </row>
    <row r="23383" spans="1:6" x14ac:dyDescent="0.25">
      <c r="A23383" t="str">
        <f>"200012817"</f>
        <v>200012817</v>
      </c>
      <c r="B23383" t="str">
        <f>"1578302287"</f>
        <v>1578302287</v>
      </c>
      <c r="C23383" t="str">
        <f>"363L00000X"</f>
        <v>363L00000X</v>
      </c>
      <c r="D23383" t="str">
        <f>"BLACKWELL                SHANNA       N           "</f>
        <v xml:space="preserve">BLACKWELL                SHANNA       N           </v>
      </c>
      <c r="E23383" t="str">
        <f t="shared" si="630"/>
        <v xml:space="preserve">MEMPHIS                   </v>
      </c>
      <c r="F23383" t="str">
        <f t="shared" si="629"/>
        <v>TN</v>
      </c>
    </row>
    <row r="23384" spans="1:6" x14ac:dyDescent="0.25">
      <c r="A23384" t="str">
        <f>"200012826"</f>
        <v>200012826</v>
      </c>
      <c r="B23384" t="str">
        <f>"1619461951"</f>
        <v>1619461951</v>
      </c>
      <c r="C23384" t="str">
        <f>"2080P0207X"</f>
        <v>2080P0207X</v>
      </c>
      <c r="D23384" t="str">
        <f>"LOPEZ GARCIA             MARIA                    "</f>
        <v xml:space="preserve">LOPEZ GARCIA             MARIA                    </v>
      </c>
      <c r="E23384" t="str">
        <f t="shared" si="630"/>
        <v xml:space="preserve">MEMPHIS                   </v>
      </c>
      <c r="F23384" t="str">
        <f t="shared" si="629"/>
        <v>TN</v>
      </c>
    </row>
    <row r="23385" spans="1:6" x14ac:dyDescent="0.25">
      <c r="A23385" t="str">
        <f>"200012831"</f>
        <v>200012831</v>
      </c>
      <c r="B23385" t="str">
        <f>"1336768092"</f>
        <v>1336768092</v>
      </c>
      <c r="C23385" t="str">
        <f>"2085P0229X"</f>
        <v>2085P0229X</v>
      </c>
      <c r="D23385" t="str">
        <f>"PRASAD                   PREETI                   "</f>
        <v xml:space="preserve">PRASAD                   PREETI                   </v>
      </c>
      <c r="E23385" t="str">
        <f t="shared" si="630"/>
        <v xml:space="preserve">MEMPHIS                   </v>
      </c>
      <c r="F23385" t="str">
        <f t="shared" si="629"/>
        <v>TN</v>
      </c>
    </row>
    <row r="23386" spans="1:6" x14ac:dyDescent="0.25">
      <c r="A23386" t="str">
        <f>"200012833"</f>
        <v>200012833</v>
      </c>
      <c r="B23386" t="str">
        <f>"1548657281"</f>
        <v>1548657281</v>
      </c>
      <c r="C23386" t="str">
        <f>"207RS0012X"</f>
        <v>207RS0012X</v>
      </c>
      <c r="D23386" t="str">
        <f>"LONG                     ARIEL                    "</f>
        <v xml:space="preserve">LONG                     ARIEL                    </v>
      </c>
      <c r="E23386" t="str">
        <f t="shared" si="630"/>
        <v xml:space="preserve">MEMPHIS                   </v>
      </c>
      <c r="F23386" t="str">
        <f t="shared" si="629"/>
        <v>TN</v>
      </c>
    </row>
    <row r="23387" spans="1:6" x14ac:dyDescent="0.25">
      <c r="A23387" t="str">
        <f>"200012863"</f>
        <v>200012863</v>
      </c>
      <c r="B23387" t="str">
        <f>"1457861478"</f>
        <v>1457861478</v>
      </c>
      <c r="C23387" t="str">
        <f>"363LA2100X"</f>
        <v>363LA2100X</v>
      </c>
      <c r="D23387" t="str">
        <f>"BIRCH                    LINDSAY                  "</f>
        <v xml:space="preserve">BIRCH                    LINDSAY                  </v>
      </c>
      <c r="E23387" t="str">
        <f>"GERMANTOWN                "</f>
        <v xml:space="preserve">GERMANTOWN                </v>
      </c>
      <c r="F23387" t="str">
        <f t="shared" si="629"/>
        <v>TN</v>
      </c>
    </row>
    <row r="23388" spans="1:6" x14ac:dyDescent="0.25">
      <c r="A23388" t="str">
        <f>"200012876"</f>
        <v>200012876</v>
      </c>
      <c r="B23388" t="str">
        <f>"1558473017"</f>
        <v>1558473017</v>
      </c>
      <c r="C23388" t="str">
        <f>"2080P0203X"</f>
        <v>2080P0203X</v>
      </c>
      <c r="D23388" t="str">
        <f>"GRANGER                  MARY                     "</f>
        <v xml:space="preserve">GRANGER                  MARY                     </v>
      </c>
      <c r="E23388" t="str">
        <f t="shared" ref="E23388:E23395" si="631">"MEMPHIS                   "</f>
        <v xml:space="preserve">MEMPHIS                   </v>
      </c>
      <c r="F23388" t="str">
        <f t="shared" si="629"/>
        <v>TN</v>
      </c>
    </row>
    <row r="23389" spans="1:6" x14ac:dyDescent="0.25">
      <c r="A23389" t="str">
        <f>"200012879"</f>
        <v>200012879</v>
      </c>
      <c r="B23389" t="str">
        <f>"1356703177"</f>
        <v>1356703177</v>
      </c>
      <c r="C23389" t="str">
        <f>"2080P0203X"</f>
        <v>2080P0203X</v>
      </c>
      <c r="D23389" t="str">
        <f>"HEIFNER                  ANDREA       L           "</f>
        <v xml:space="preserve">HEIFNER                  ANDREA       L           </v>
      </c>
      <c r="E23389" t="str">
        <f t="shared" si="631"/>
        <v xml:space="preserve">MEMPHIS                   </v>
      </c>
      <c r="F23389" t="str">
        <f t="shared" si="629"/>
        <v>TN</v>
      </c>
    </row>
    <row r="23390" spans="1:6" x14ac:dyDescent="0.25">
      <c r="A23390" t="str">
        <f>"200012926"</f>
        <v>200012926</v>
      </c>
      <c r="B23390" t="str">
        <f>"1598373615"</f>
        <v>1598373615</v>
      </c>
      <c r="C23390" t="str">
        <f>"208000000X"</f>
        <v>208000000X</v>
      </c>
      <c r="D23390" t="str">
        <f>"MIRCHANDANI              SHARAN                   "</f>
        <v xml:space="preserve">MIRCHANDANI              SHARAN                   </v>
      </c>
      <c r="E23390" t="str">
        <f t="shared" si="631"/>
        <v xml:space="preserve">MEMPHIS                   </v>
      </c>
      <c r="F23390" t="str">
        <f t="shared" si="629"/>
        <v>TN</v>
      </c>
    </row>
    <row r="23391" spans="1:6" x14ac:dyDescent="0.25">
      <c r="A23391" t="str">
        <f>"200012932"</f>
        <v>200012932</v>
      </c>
      <c r="B23391" t="str">
        <f>"1700339983"</f>
        <v>1700339983</v>
      </c>
      <c r="C23391" t="str">
        <f>"2080P0203X"</f>
        <v>2080P0203X</v>
      </c>
      <c r="D23391" t="str">
        <f>"NAEEM                    BURIA                    "</f>
        <v xml:space="preserve">NAEEM                    BURIA                    </v>
      </c>
      <c r="E23391" t="str">
        <f t="shared" si="631"/>
        <v xml:space="preserve">MEMPHIS                   </v>
      </c>
      <c r="F23391" t="str">
        <f t="shared" si="629"/>
        <v>TN</v>
      </c>
    </row>
    <row r="23392" spans="1:6" x14ac:dyDescent="0.25">
      <c r="A23392" t="str">
        <f>"200012937"</f>
        <v>200012937</v>
      </c>
      <c r="B23392" t="str">
        <f>"1164452223"</f>
        <v>1164452223</v>
      </c>
      <c r="C23392" t="str">
        <f>"207P00000X"</f>
        <v>207P00000X</v>
      </c>
      <c r="D23392" t="str">
        <f>"JOHNSON                  DARREN                   "</f>
        <v xml:space="preserve">JOHNSON                  DARREN                   </v>
      </c>
      <c r="E23392" t="str">
        <f t="shared" si="631"/>
        <v xml:space="preserve">MEMPHIS                   </v>
      </c>
      <c r="F23392" t="str">
        <f t="shared" si="629"/>
        <v>TN</v>
      </c>
    </row>
    <row r="23393" spans="1:6" x14ac:dyDescent="0.25">
      <c r="A23393" t="str">
        <f>"200012938"</f>
        <v>200012938</v>
      </c>
      <c r="B23393" t="str">
        <f>"1801393921"</f>
        <v>1801393921</v>
      </c>
      <c r="C23393" t="str">
        <f>"207ND0900X"</f>
        <v>207ND0900X</v>
      </c>
      <c r="D23393" t="str">
        <f>"ADELANWA                 AYODELE                  "</f>
        <v xml:space="preserve">ADELANWA                 AYODELE                  </v>
      </c>
      <c r="E23393" t="str">
        <f t="shared" si="631"/>
        <v xml:space="preserve">MEMPHIS                   </v>
      </c>
      <c r="F23393" t="str">
        <f t="shared" si="629"/>
        <v>TN</v>
      </c>
    </row>
    <row r="23394" spans="1:6" x14ac:dyDescent="0.25">
      <c r="A23394" t="str">
        <f>"200012939"</f>
        <v>200012939</v>
      </c>
      <c r="B23394" t="str">
        <f>"1801393921"</f>
        <v>1801393921</v>
      </c>
      <c r="C23394" t="str">
        <f>"207ZP0102X"</f>
        <v>207ZP0102X</v>
      </c>
      <c r="D23394" t="str">
        <f>"ADELANWA                 AYODELE                  "</f>
        <v xml:space="preserve">ADELANWA                 AYODELE                  </v>
      </c>
      <c r="E23394" t="str">
        <f t="shared" si="631"/>
        <v xml:space="preserve">MEMPHIS                   </v>
      </c>
      <c r="F23394" t="str">
        <f t="shared" si="629"/>
        <v>TN</v>
      </c>
    </row>
    <row r="23395" spans="1:6" x14ac:dyDescent="0.25">
      <c r="A23395" t="str">
        <f>"200012988"</f>
        <v>200012988</v>
      </c>
      <c r="B23395" t="str">
        <f>"1497040299"</f>
        <v>1497040299</v>
      </c>
      <c r="C23395" t="str">
        <f>"2080P0207X"</f>
        <v>2080P0207X</v>
      </c>
      <c r="D23395" t="str">
        <f>"OGU                      UGOCHI                   "</f>
        <v xml:space="preserve">OGU                      UGOCHI                   </v>
      </c>
      <c r="E23395" t="str">
        <f t="shared" si="631"/>
        <v xml:space="preserve">MEMPHIS                   </v>
      </c>
      <c r="F23395" t="str">
        <f t="shared" si="629"/>
        <v>TN</v>
      </c>
    </row>
    <row r="23396" spans="1:6" x14ac:dyDescent="0.25">
      <c r="A23396" t="str">
        <f>"200012996"</f>
        <v>200012996</v>
      </c>
      <c r="B23396" t="str">
        <f>"1114189677"</f>
        <v>1114189677</v>
      </c>
      <c r="C23396" t="str">
        <f>"207P00000X"</f>
        <v>207P00000X</v>
      </c>
      <c r="D23396" t="str">
        <f>"KRECH                    RYAN                     "</f>
        <v xml:space="preserve">KRECH                    RYAN                     </v>
      </c>
      <c r="E23396" t="str">
        <f>"BARTLETT                  "</f>
        <v xml:space="preserve">BARTLETT                  </v>
      </c>
      <c r="F23396" t="str">
        <f t="shared" si="629"/>
        <v>TN</v>
      </c>
    </row>
    <row r="23397" spans="1:6" x14ac:dyDescent="0.25">
      <c r="A23397" t="str">
        <f>"200013018"</f>
        <v>200013018</v>
      </c>
      <c r="B23397" t="str">
        <f>"1558892042"</f>
        <v>1558892042</v>
      </c>
      <c r="C23397" t="str">
        <f>"2080P0210X"</f>
        <v>2080P0210X</v>
      </c>
      <c r="D23397" t="str">
        <f>"HYMAN                    BRADLEY      K           "</f>
        <v xml:space="preserve">HYMAN                    BRADLEY      K           </v>
      </c>
      <c r="E23397" t="str">
        <f>"MEMPHIS                   "</f>
        <v xml:space="preserve">MEMPHIS                   </v>
      </c>
      <c r="F23397" t="str">
        <f t="shared" si="629"/>
        <v>TN</v>
      </c>
    </row>
    <row r="23398" spans="1:6" x14ac:dyDescent="0.25">
      <c r="A23398" t="str">
        <f>"200013066"</f>
        <v>200013066</v>
      </c>
      <c r="B23398" t="str">
        <f>"1477045284"</f>
        <v>1477045284</v>
      </c>
      <c r="C23398" t="str">
        <f>"2085R0202X"</f>
        <v>2085R0202X</v>
      </c>
      <c r="D23398" t="str">
        <f>"KNOUSE                   MATTHEW      R           "</f>
        <v xml:space="preserve">KNOUSE                   MATTHEW      R           </v>
      </c>
      <c r="E23398" t="str">
        <f>"GERMANTOWN                "</f>
        <v xml:space="preserve">GERMANTOWN                </v>
      </c>
      <c r="F23398" t="str">
        <f t="shared" si="629"/>
        <v>TN</v>
      </c>
    </row>
    <row r="23399" spans="1:6" x14ac:dyDescent="0.25">
      <c r="A23399" t="str">
        <f>"200013094"</f>
        <v>200013094</v>
      </c>
      <c r="B23399" t="str">
        <f>"1750591129"</f>
        <v>1750591129</v>
      </c>
      <c r="C23399" t="str">
        <f>"2085R0202X"</f>
        <v>2085R0202X</v>
      </c>
      <c r="D23399" t="str">
        <f>"TAYLOR JR                EDDIE                    "</f>
        <v xml:space="preserve">TAYLOR JR                EDDIE                    </v>
      </c>
      <c r="E23399" t="str">
        <f t="shared" ref="E23399:E23417" si="632">"MEMPHIS                   "</f>
        <v xml:space="preserve">MEMPHIS                   </v>
      </c>
      <c r="F23399" t="str">
        <f t="shared" si="629"/>
        <v>TN</v>
      </c>
    </row>
    <row r="23400" spans="1:6" x14ac:dyDescent="0.25">
      <c r="A23400" t="str">
        <f>"200013099"</f>
        <v>200013099</v>
      </c>
      <c r="B23400" t="str">
        <f>"1457980328"</f>
        <v>1457980328</v>
      </c>
      <c r="C23400" t="str">
        <f>"207V00000X"</f>
        <v>207V00000X</v>
      </c>
      <c r="D23400" t="str">
        <f>"HIMEL                    LAURA                    "</f>
        <v xml:space="preserve">HIMEL                    LAURA                    </v>
      </c>
      <c r="E23400" t="str">
        <f t="shared" si="632"/>
        <v xml:space="preserve">MEMPHIS                   </v>
      </c>
      <c r="F23400" t="str">
        <f t="shared" si="629"/>
        <v>TN</v>
      </c>
    </row>
    <row r="23401" spans="1:6" x14ac:dyDescent="0.25">
      <c r="A23401" t="str">
        <f>"200013102"</f>
        <v>200013102</v>
      </c>
      <c r="B23401" t="str">
        <f>"1043890783"</f>
        <v>1043890783</v>
      </c>
      <c r="C23401" t="str">
        <f>"208M00000X"</f>
        <v>208M00000X</v>
      </c>
      <c r="D23401" t="str">
        <f>"GLICK                    RAMELLE      M           "</f>
        <v xml:space="preserve">GLICK                    RAMELLE      M           </v>
      </c>
      <c r="E23401" t="str">
        <f t="shared" si="632"/>
        <v xml:space="preserve">MEMPHIS                   </v>
      </c>
      <c r="F23401" t="str">
        <f t="shared" si="629"/>
        <v>TN</v>
      </c>
    </row>
    <row r="23402" spans="1:6" x14ac:dyDescent="0.25">
      <c r="A23402" t="str">
        <f>"200013165"</f>
        <v>200013165</v>
      </c>
      <c r="B23402" t="str">
        <f>"1629055397"</f>
        <v>1629055397</v>
      </c>
      <c r="C23402" t="str">
        <f>"363LF0000X"</f>
        <v>363LF0000X</v>
      </c>
      <c r="D23402" t="str">
        <f>"CHANDLER                 MICHELLE                 "</f>
        <v xml:space="preserve">CHANDLER                 MICHELLE                 </v>
      </c>
      <c r="E23402" t="str">
        <f t="shared" si="632"/>
        <v xml:space="preserve">MEMPHIS                   </v>
      </c>
      <c r="F23402" t="str">
        <f t="shared" si="629"/>
        <v>TN</v>
      </c>
    </row>
    <row r="23403" spans="1:6" x14ac:dyDescent="0.25">
      <c r="A23403" t="str">
        <f>"200013178"</f>
        <v>200013178</v>
      </c>
      <c r="B23403" t="str">
        <f>"1558949594"</f>
        <v>1558949594</v>
      </c>
      <c r="C23403" t="str">
        <f>"207R00000X"</f>
        <v>207R00000X</v>
      </c>
      <c r="D23403" t="str">
        <f>"TANDRA                   VAISHNAVI                "</f>
        <v xml:space="preserve">TANDRA                   VAISHNAVI                </v>
      </c>
      <c r="E23403" t="str">
        <f t="shared" si="632"/>
        <v xml:space="preserve">MEMPHIS                   </v>
      </c>
      <c r="F23403" t="str">
        <f t="shared" si="629"/>
        <v>TN</v>
      </c>
    </row>
    <row r="23404" spans="1:6" x14ac:dyDescent="0.25">
      <c r="A23404" t="str">
        <f>"200013191"</f>
        <v>200013191</v>
      </c>
      <c r="B23404" t="str">
        <f>"1760046197"</f>
        <v>1760046197</v>
      </c>
      <c r="C23404" t="str">
        <f>"208000000X"</f>
        <v>208000000X</v>
      </c>
      <c r="D23404" t="str">
        <f>"MUMANACHIT               SARAH                    "</f>
        <v xml:space="preserve">MUMANACHIT               SARAH                    </v>
      </c>
      <c r="E23404" t="str">
        <f t="shared" si="632"/>
        <v xml:space="preserve">MEMPHIS                   </v>
      </c>
      <c r="F23404" t="str">
        <f t="shared" si="629"/>
        <v>TN</v>
      </c>
    </row>
    <row r="23405" spans="1:6" x14ac:dyDescent="0.25">
      <c r="A23405" t="str">
        <f>"200013211"</f>
        <v>200013211</v>
      </c>
      <c r="B23405" t="str">
        <f>"1245868744"</f>
        <v>1245868744</v>
      </c>
      <c r="C23405" t="str">
        <f>"208M00000X"</f>
        <v>208M00000X</v>
      </c>
      <c r="D23405" t="str">
        <f>"WENDELBO                 HANNAH                   "</f>
        <v xml:space="preserve">WENDELBO                 HANNAH                   </v>
      </c>
      <c r="E23405" t="str">
        <f t="shared" si="632"/>
        <v xml:space="preserve">MEMPHIS                   </v>
      </c>
      <c r="F23405" t="str">
        <f t="shared" si="629"/>
        <v>TN</v>
      </c>
    </row>
    <row r="23406" spans="1:6" x14ac:dyDescent="0.25">
      <c r="A23406" t="str">
        <f>"200013225"</f>
        <v>200013225</v>
      </c>
      <c r="B23406" t="str">
        <f>"1205280161"</f>
        <v>1205280161</v>
      </c>
      <c r="C23406" t="str">
        <f>"2080P0203X"</f>
        <v>2080P0203X</v>
      </c>
      <c r="D23406" t="str">
        <f>"NEESE                    JEREMY                   "</f>
        <v xml:space="preserve">NEESE                    JEREMY                   </v>
      </c>
      <c r="E23406" t="str">
        <f t="shared" si="632"/>
        <v xml:space="preserve">MEMPHIS                   </v>
      </c>
      <c r="F23406" t="str">
        <f t="shared" si="629"/>
        <v>TN</v>
      </c>
    </row>
    <row r="23407" spans="1:6" x14ac:dyDescent="0.25">
      <c r="A23407" t="str">
        <f>"200013242"</f>
        <v>200013242</v>
      </c>
      <c r="B23407" t="str">
        <f>"1730262114"</f>
        <v>1730262114</v>
      </c>
      <c r="C23407" t="str">
        <f>"207P00000X"</f>
        <v>207P00000X</v>
      </c>
      <c r="D23407" t="str">
        <f>"EULER, JR                DONALD                   "</f>
        <v xml:space="preserve">EULER, JR                DONALD                   </v>
      </c>
      <c r="E23407" t="str">
        <f t="shared" si="632"/>
        <v xml:space="preserve">MEMPHIS                   </v>
      </c>
      <c r="F23407" t="str">
        <f t="shared" si="629"/>
        <v>TN</v>
      </c>
    </row>
    <row r="23408" spans="1:6" x14ac:dyDescent="0.25">
      <c r="A23408" t="str">
        <f>"200013245"</f>
        <v>200013245</v>
      </c>
      <c r="B23408" t="str">
        <f>"1528089752"</f>
        <v>1528089752</v>
      </c>
      <c r="C23408" t="str">
        <f>"208000000X"</f>
        <v>208000000X</v>
      </c>
      <c r="D23408" t="str">
        <f>"KINK                     RUDY                     "</f>
        <v xml:space="preserve">KINK                     RUDY                     </v>
      </c>
      <c r="E23408" t="str">
        <f t="shared" si="632"/>
        <v xml:space="preserve">MEMPHIS                   </v>
      </c>
      <c r="F23408" t="str">
        <f t="shared" si="629"/>
        <v>TN</v>
      </c>
    </row>
    <row r="23409" spans="1:6" x14ac:dyDescent="0.25">
      <c r="A23409" t="str">
        <f>"200013248"</f>
        <v>200013248</v>
      </c>
      <c r="B23409" t="str">
        <f>"1407090129"</f>
        <v>1407090129</v>
      </c>
      <c r="C23409" t="str">
        <f>"207L00000X"</f>
        <v>207L00000X</v>
      </c>
      <c r="D23409" t="str">
        <f>"WEIRICH                  ERIC         M           "</f>
        <v xml:space="preserve">WEIRICH                  ERIC         M           </v>
      </c>
      <c r="E23409" t="str">
        <f t="shared" si="632"/>
        <v xml:space="preserve">MEMPHIS                   </v>
      </c>
      <c r="F23409" t="str">
        <f t="shared" si="629"/>
        <v>TN</v>
      </c>
    </row>
    <row r="23410" spans="1:6" x14ac:dyDescent="0.25">
      <c r="A23410" t="str">
        <f>"200013251"</f>
        <v>200013251</v>
      </c>
      <c r="B23410" t="str">
        <f>"1942059324"</f>
        <v>1942059324</v>
      </c>
      <c r="C23410" t="str">
        <f>"367500000X"</f>
        <v>367500000X</v>
      </c>
      <c r="D23410" t="str">
        <f>"BROWNING                 DEXTER                   "</f>
        <v xml:space="preserve">BROWNING                 DEXTER                   </v>
      </c>
      <c r="E23410" t="str">
        <f t="shared" si="632"/>
        <v xml:space="preserve">MEMPHIS                   </v>
      </c>
      <c r="F23410" t="str">
        <f t="shared" si="629"/>
        <v>TN</v>
      </c>
    </row>
    <row r="23411" spans="1:6" x14ac:dyDescent="0.25">
      <c r="A23411" t="str">
        <f>"200013259"</f>
        <v>200013259</v>
      </c>
      <c r="B23411" t="str">
        <f>"1205316072"</f>
        <v>1205316072</v>
      </c>
      <c r="C23411" t="str">
        <f>"363LF0000X"</f>
        <v>363LF0000X</v>
      </c>
      <c r="D23411" t="str">
        <f>"DULANEY                  MEAGAN                   "</f>
        <v xml:space="preserve">DULANEY                  MEAGAN                   </v>
      </c>
      <c r="E23411" t="str">
        <f t="shared" si="632"/>
        <v xml:space="preserve">MEMPHIS                   </v>
      </c>
      <c r="F23411" t="str">
        <f t="shared" si="629"/>
        <v>TN</v>
      </c>
    </row>
    <row r="23412" spans="1:6" x14ac:dyDescent="0.25">
      <c r="A23412" t="str">
        <f>"200013260"</f>
        <v>200013260</v>
      </c>
      <c r="B23412" t="str">
        <f>"1568637056"</f>
        <v>1568637056</v>
      </c>
      <c r="C23412" t="str">
        <f>"207L00000X"</f>
        <v>207L00000X</v>
      </c>
      <c r="D23412" t="str">
        <f>"HIRSCHFELD              MATTHEW                   "</f>
        <v xml:space="preserve">HIRSCHFELD              MATTHEW                   </v>
      </c>
      <c r="E23412" t="str">
        <f t="shared" si="632"/>
        <v xml:space="preserve">MEMPHIS                   </v>
      </c>
      <c r="F23412" t="str">
        <f t="shared" si="629"/>
        <v>TN</v>
      </c>
    </row>
    <row r="23413" spans="1:6" x14ac:dyDescent="0.25">
      <c r="A23413" t="str">
        <f>"200013263"</f>
        <v>200013263</v>
      </c>
      <c r="B23413" t="str">
        <f>"1912233321"</f>
        <v>1912233321</v>
      </c>
      <c r="C23413" t="str">
        <f>"367500000X"</f>
        <v>367500000X</v>
      </c>
      <c r="D23413" t="str">
        <f>"BAILEY                   CHANDRA                  "</f>
        <v xml:space="preserve">BAILEY                   CHANDRA                  </v>
      </c>
      <c r="E23413" t="str">
        <f t="shared" si="632"/>
        <v xml:space="preserve">MEMPHIS                   </v>
      </c>
      <c r="F23413" t="str">
        <f t="shared" si="629"/>
        <v>TN</v>
      </c>
    </row>
    <row r="23414" spans="1:6" x14ac:dyDescent="0.25">
      <c r="A23414" t="str">
        <f>"200013266"</f>
        <v>200013266</v>
      </c>
      <c r="B23414" t="str">
        <f>"1386485100"</f>
        <v>1386485100</v>
      </c>
      <c r="C23414" t="str">
        <f>"363LF0000X"</f>
        <v>363LF0000X</v>
      </c>
      <c r="D23414" t="str">
        <f>"WIGINTON                 NATHAN                   "</f>
        <v xml:space="preserve">WIGINTON                 NATHAN                   </v>
      </c>
      <c r="E23414" t="str">
        <f t="shared" si="632"/>
        <v xml:space="preserve">MEMPHIS                   </v>
      </c>
      <c r="F23414" t="str">
        <f t="shared" si="629"/>
        <v>TN</v>
      </c>
    </row>
    <row r="23415" spans="1:6" x14ac:dyDescent="0.25">
      <c r="A23415" t="str">
        <f>"200013271"</f>
        <v>200013271</v>
      </c>
      <c r="B23415" t="str">
        <f>"1194349563"</f>
        <v>1194349563</v>
      </c>
      <c r="C23415" t="str">
        <f>"207W00000X"</f>
        <v>207W00000X</v>
      </c>
      <c r="D23415" t="str">
        <f>"MAGAZIN                  MAJA                     "</f>
        <v xml:space="preserve">MAGAZIN                  MAJA                     </v>
      </c>
      <c r="E23415" t="str">
        <f t="shared" si="632"/>
        <v xml:space="preserve">MEMPHIS                   </v>
      </c>
      <c r="F23415" t="str">
        <f t="shared" si="629"/>
        <v>TN</v>
      </c>
    </row>
    <row r="23416" spans="1:6" x14ac:dyDescent="0.25">
      <c r="A23416" t="str">
        <f>"200013288"</f>
        <v>200013288</v>
      </c>
      <c r="B23416" t="str">
        <f>"1912354853"</f>
        <v>1912354853</v>
      </c>
      <c r="C23416" t="str">
        <f>"207RC0200X"</f>
        <v>207RC0200X</v>
      </c>
      <c r="D23416" t="str">
        <f>"HALTOM                   MATTHEW      B           "</f>
        <v xml:space="preserve">HALTOM                   MATTHEW      B           </v>
      </c>
      <c r="E23416" t="str">
        <f t="shared" si="632"/>
        <v xml:space="preserve">MEMPHIS                   </v>
      </c>
      <c r="F23416" t="str">
        <f t="shared" si="629"/>
        <v>TN</v>
      </c>
    </row>
    <row r="23417" spans="1:6" x14ac:dyDescent="0.25">
      <c r="A23417" t="str">
        <f>"200013292"</f>
        <v>200013292</v>
      </c>
      <c r="B23417" t="str">
        <f>"1477675932"</f>
        <v>1477675932</v>
      </c>
      <c r="C23417" t="str">
        <f>"2080P0203X"</f>
        <v>2080P0203X</v>
      </c>
      <c r="D23417" t="str">
        <f>"TEN                      IRINA                    "</f>
        <v xml:space="preserve">TEN                      IRINA                    </v>
      </c>
      <c r="E23417" t="str">
        <f t="shared" si="632"/>
        <v xml:space="preserve">MEMPHIS                   </v>
      </c>
      <c r="F23417" t="str">
        <f t="shared" si="629"/>
        <v>TN</v>
      </c>
    </row>
    <row r="23418" spans="1:6" x14ac:dyDescent="0.25">
      <c r="A23418" t="str">
        <f>"200013307"</f>
        <v>200013307</v>
      </c>
      <c r="B23418" t="str">
        <f>"1821529298"</f>
        <v>1821529298</v>
      </c>
      <c r="C23418" t="str">
        <f>"207P00000X"</f>
        <v>207P00000X</v>
      </c>
      <c r="D23418" t="str">
        <f>"WILLIAMS                 BRITNI                   "</f>
        <v xml:space="preserve">WILLIAMS                 BRITNI                   </v>
      </c>
      <c r="E23418" t="str">
        <f>"ARLINGTON                 "</f>
        <v xml:space="preserve">ARLINGTON                 </v>
      </c>
      <c r="F23418" t="str">
        <f t="shared" si="629"/>
        <v>TN</v>
      </c>
    </row>
    <row r="23419" spans="1:6" x14ac:dyDescent="0.25">
      <c r="A23419" t="str">
        <f>"200013329"</f>
        <v>200013329</v>
      </c>
      <c r="B23419" t="str">
        <f>"1699741496"</f>
        <v>1699741496</v>
      </c>
      <c r="C23419" t="str">
        <f>"207L00000X"</f>
        <v>207L00000X</v>
      </c>
      <c r="D23419" t="str">
        <f>"DUGGIRALA,                VIJAYA                  "</f>
        <v xml:space="preserve">DUGGIRALA,                VIJAYA                  </v>
      </c>
      <c r="E23419" t="str">
        <f>"MEMPHIS                   "</f>
        <v xml:space="preserve">MEMPHIS                   </v>
      </c>
      <c r="F23419" t="str">
        <f t="shared" si="629"/>
        <v>TN</v>
      </c>
    </row>
    <row r="23420" spans="1:6" x14ac:dyDescent="0.25">
      <c r="A23420" t="str">
        <f>"200013339"</f>
        <v>200013339</v>
      </c>
      <c r="B23420" t="str">
        <f>"1093235715"</f>
        <v>1093235715</v>
      </c>
      <c r="C23420" t="str">
        <f>"207VX0201X"</f>
        <v>207VX0201X</v>
      </c>
      <c r="D23420" t="str">
        <f>"HARBIN                   LAURA        M           "</f>
        <v xml:space="preserve">HARBIN                   LAURA        M           </v>
      </c>
      <c r="E23420" t="str">
        <f>"GERMANTOWN                "</f>
        <v xml:space="preserve">GERMANTOWN                </v>
      </c>
      <c r="F23420" t="str">
        <f t="shared" si="629"/>
        <v>TN</v>
      </c>
    </row>
    <row r="23421" spans="1:6" x14ac:dyDescent="0.25">
      <c r="A23421" t="str">
        <f>"200013343"</f>
        <v>200013343</v>
      </c>
      <c r="B23421" t="str">
        <f>"1801412283"</f>
        <v>1801412283</v>
      </c>
      <c r="C23421" t="str">
        <f>"363LP0200X"</f>
        <v>363LP0200X</v>
      </c>
      <c r="D23421" t="str">
        <f>"MASCOLO                  MALLORY      W           "</f>
        <v xml:space="preserve">MASCOLO                  MALLORY      W           </v>
      </c>
      <c r="E23421" t="str">
        <f t="shared" ref="E23421:E23426" si="633">"MEMPHIS                   "</f>
        <v xml:space="preserve">MEMPHIS                   </v>
      </c>
      <c r="F23421" t="str">
        <f t="shared" si="629"/>
        <v>TN</v>
      </c>
    </row>
    <row r="23422" spans="1:6" x14ac:dyDescent="0.25">
      <c r="A23422" t="str">
        <f>"200013351"</f>
        <v>200013351</v>
      </c>
      <c r="B23422" t="str">
        <f>"1619120532"</f>
        <v>1619120532</v>
      </c>
      <c r="C23422" t="str">
        <f>"207L00000X"</f>
        <v>207L00000X</v>
      </c>
      <c r="D23422" t="str">
        <f>"TRUJILLO HUACCHO         LUIS                     "</f>
        <v xml:space="preserve">TRUJILLO HUACCHO         LUIS                     </v>
      </c>
      <c r="E23422" t="str">
        <f t="shared" si="633"/>
        <v xml:space="preserve">MEMPHIS                   </v>
      </c>
      <c r="F23422" t="str">
        <f t="shared" ref="F23422:F23485" si="634">"TN"</f>
        <v>TN</v>
      </c>
    </row>
    <row r="23423" spans="1:6" x14ac:dyDescent="0.25">
      <c r="A23423" t="str">
        <f>"200013357"</f>
        <v>200013357</v>
      </c>
      <c r="B23423" t="str">
        <f>"1689309593"</f>
        <v>1689309593</v>
      </c>
      <c r="C23423" t="str">
        <f>"367500000X"</f>
        <v>367500000X</v>
      </c>
      <c r="D23423" t="str">
        <f>"KINUTHIA                 PATRICK                  "</f>
        <v xml:space="preserve">KINUTHIA                 PATRICK                  </v>
      </c>
      <c r="E23423" t="str">
        <f t="shared" si="633"/>
        <v xml:space="preserve">MEMPHIS                   </v>
      </c>
      <c r="F23423" t="str">
        <f t="shared" si="634"/>
        <v>TN</v>
      </c>
    </row>
    <row r="23424" spans="1:6" x14ac:dyDescent="0.25">
      <c r="A23424" t="str">
        <f>"200013358"</f>
        <v>200013358</v>
      </c>
      <c r="B23424" t="str">
        <f>"1902311384"</f>
        <v>1902311384</v>
      </c>
      <c r="C23424" t="str">
        <f>"363LP0200X"</f>
        <v>363LP0200X</v>
      </c>
      <c r="D23424" t="str">
        <f>"DAVIDOFF                 SOPHIE                   "</f>
        <v xml:space="preserve">DAVIDOFF                 SOPHIE                   </v>
      </c>
      <c r="E23424" t="str">
        <f t="shared" si="633"/>
        <v xml:space="preserve">MEMPHIS                   </v>
      </c>
      <c r="F23424" t="str">
        <f t="shared" si="634"/>
        <v>TN</v>
      </c>
    </row>
    <row r="23425" spans="1:6" x14ac:dyDescent="0.25">
      <c r="A23425" t="str">
        <f>"200013366"</f>
        <v>200013366</v>
      </c>
      <c r="B23425" t="str">
        <f>"1639326507"</f>
        <v>1639326507</v>
      </c>
      <c r="C23425" t="str">
        <f>"207LP3000X"</f>
        <v>207LP3000X</v>
      </c>
      <c r="D23425" t="str">
        <f>"VO                       DANIEL                   "</f>
        <v xml:space="preserve">VO                       DANIEL                   </v>
      </c>
      <c r="E23425" t="str">
        <f t="shared" si="633"/>
        <v xml:space="preserve">MEMPHIS                   </v>
      </c>
      <c r="F23425" t="str">
        <f t="shared" si="634"/>
        <v>TN</v>
      </c>
    </row>
    <row r="23426" spans="1:6" x14ac:dyDescent="0.25">
      <c r="A23426" t="str">
        <f>"200013378"</f>
        <v>200013378</v>
      </c>
      <c r="B23426" t="str">
        <f>"1245791409"</f>
        <v>1245791409</v>
      </c>
      <c r="C23426" t="str">
        <f>"208000000X"</f>
        <v>208000000X</v>
      </c>
      <c r="D23426" t="str">
        <f>"LION                     RYAN         R           "</f>
        <v xml:space="preserve">LION                     RYAN         R           </v>
      </c>
      <c r="E23426" t="str">
        <f t="shared" si="633"/>
        <v xml:space="preserve">MEMPHIS                   </v>
      </c>
      <c r="F23426" t="str">
        <f t="shared" si="634"/>
        <v>TN</v>
      </c>
    </row>
    <row r="23427" spans="1:6" x14ac:dyDescent="0.25">
      <c r="A23427" t="str">
        <f>"200013394"</f>
        <v>200013394</v>
      </c>
      <c r="B23427" t="str">
        <f>"1407858368"</f>
        <v>1407858368</v>
      </c>
      <c r="C23427" t="str">
        <f>"207QH0002X"</f>
        <v>207QH0002X</v>
      </c>
      <c r="D23427" t="str">
        <f>"JACKSON                  WILLIAM      C           "</f>
        <v xml:space="preserve">JACKSON                  WILLIAM      C           </v>
      </c>
      <c r="E23427" t="str">
        <f>"GERMANTOWN                "</f>
        <v xml:space="preserve">GERMANTOWN                </v>
      </c>
      <c r="F23427" t="str">
        <f t="shared" si="634"/>
        <v>TN</v>
      </c>
    </row>
    <row r="23428" spans="1:6" x14ac:dyDescent="0.25">
      <c r="A23428" t="str">
        <f>"200013401"</f>
        <v>200013401</v>
      </c>
      <c r="B23428" t="str">
        <f>"1972595189"</f>
        <v>1972595189</v>
      </c>
      <c r="C23428" t="str">
        <f>"207P00000X"</f>
        <v>207P00000X</v>
      </c>
      <c r="D23428" t="str">
        <f>"SMITH                    WILLIAM                  "</f>
        <v xml:space="preserve">SMITH                    WILLIAM                  </v>
      </c>
      <c r="E23428" t="str">
        <f>"MEMPHIS                   "</f>
        <v xml:space="preserve">MEMPHIS                   </v>
      </c>
      <c r="F23428" t="str">
        <f t="shared" si="634"/>
        <v>TN</v>
      </c>
    </row>
    <row r="23429" spans="1:6" x14ac:dyDescent="0.25">
      <c r="A23429" t="str">
        <f>"200013423"</f>
        <v>200013423</v>
      </c>
      <c r="B23429" t="str">
        <f>"1154811248"</f>
        <v>1154811248</v>
      </c>
      <c r="C23429" t="str">
        <f>"2080P0202X"</f>
        <v>2080P0202X</v>
      </c>
      <c r="D23429" t="str">
        <f>"SAHNI                    DEEPANK                  "</f>
        <v xml:space="preserve">SAHNI                    DEEPANK                  </v>
      </c>
      <c r="E23429" t="str">
        <f>"JACKSON                   "</f>
        <v xml:space="preserve">JACKSON                   </v>
      </c>
      <c r="F23429" t="str">
        <f t="shared" si="634"/>
        <v>TN</v>
      </c>
    </row>
    <row r="23430" spans="1:6" x14ac:dyDescent="0.25">
      <c r="A23430" t="str">
        <f>"200013430"</f>
        <v>200013430</v>
      </c>
      <c r="B23430" t="str">
        <f>"1922072099"</f>
        <v>1922072099</v>
      </c>
      <c r="C23430" t="str">
        <f>"2085R0202X"</f>
        <v>2085R0202X</v>
      </c>
      <c r="D23430" t="str">
        <f>"HAUSCHILDT               JOHN                     "</f>
        <v xml:space="preserve">HAUSCHILDT               JOHN                     </v>
      </c>
      <c r="E23430" t="str">
        <f t="shared" ref="E23430:E23436" si="635">"MEMPHIS                   "</f>
        <v xml:space="preserve">MEMPHIS                   </v>
      </c>
      <c r="F23430" t="str">
        <f t="shared" si="634"/>
        <v>TN</v>
      </c>
    </row>
    <row r="23431" spans="1:6" x14ac:dyDescent="0.25">
      <c r="A23431" t="str">
        <f>"200013441"</f>
        <v>200013441</v>
      </c>
      <c r="B23431" t="str">
        <f>"1386420966"</f>
        <v>1386420966</v>
      </c>
      <c r="C23431" t="str">
        <f>"363LP0200X"</f>
        <v>363LP0200X</v>
      </c>
      <c r="D23431" t="str">
        <f>"GOCLIK                   KELLY                    "</f>
        <v xml:space="preserve">GOCLIK                   KELLY                    </v>
      </c>
      <c r="E23431" t="str">
        <f t="shared" si="635"/>
        <v xml:space="preserve">MEMPHIS                   </v>
      </c>
      <c r="F23431" t="str">
        <f t="shared" si="634"/>
        <v>TN</v>
      </c>
    </row>
    <row r="23432" spans="1:6" x14ac:dyDescent="0.25">
      <c r="A23432" t="str">
        <f>"200013468"</f>
        <v>200013468</v>
      </c>
      <c r="B23432" t="str">
        <f>"1942461983"</f>
        <v>1942461983</v>
      </c>
      <c r="C23432" t="str">
        <f>"208M00000X"</f>
        <v>208M00000X</v>
      </c>
      <c r="D23432" t="str">
        <f>"HARROLD                  LAPRECIOUS               "</f>
        <v xml:space="preserve">HARROLD                  LAPRECIOUS               </v>
      </c>
      <c r="E23432" t="str">
        <f t="shared" si="635"/>
        <v xml:space="preserve">MEMPHIS                   </v>
      </c>
      <c r="F23432" t="str">
        <f t="shared" si="634"/>
        <v>TN</v>
      </c>
    </row>
    <row r="23433" spans="1:6" x14ac:dyDescent="0.25">
      <c r="A23433" t="str">
        <f>"200013477"</f>
        <v>200013477</v>
      </c>
      <c r="B23433" t="str">
        <f>"1063631141"</f>
        <v>1063631141</v>
      </c>
      <c r="C23433" t="str">
        <f>"2080P0203X"</f>
        <v>2080P0203X</v>
      </c>
      <c r="D23433" t="str">
        <f>"ESTEP                    MICHELLE                 "</f>
        <v xml:space="preserve">ESTEP                    MICHELLE                 </v>
      </c>
      <c r="E23433" t="str">
        <f t="shared" si="635"/>
        <v xml:space="preserve">MEMPHIS                   </v>
      </c>
      <c r="F23433" t="str">
        <f t="shared" si="634"/>
        <v>TN</v>
      </c>
    </row>
    <row r="23434" spans="1:6" x14ac:dyDescent="0.25">
      <c r="A23434" t="str">
        <f>"200013495"</f>
        <v>200013495</v>
      </c>
      <c r="B23434" t="str">
        <f>"1083032346"</f>
        <v>1083032346</v>
      </c>
      <c r="C23434" t="str">
        <f>"2080P0203X"</f>
        <v>2080P0203X</v>
      </c>
      <c r="D23434" t="str">
        <f>"PIERRE LOUIS             MARIE                    "</f>
        <v xml:space="preserve">PIERRE LOUIS             MARIE                    </v>
      </c>
      <c r="E23434" t="str">
        <f t="shared" si="635"/>
        <v xml:space="preserve">MEMPHIS                   </v>
      </c>
      <c r="F23434" t="str">
        <f t="shared" si="634"/>
        <v>TN</v>
      </c>
    </row>
    <row r="23435" spans="1:6" x14ac:dyDescent="0.25">
      <c r="A23435" t="str">
        <f>"200013514"</f>
        <v>200013514</v>
      </c>
      <c r="B23435" t="str">
        <f>"1578939583"</f>
        <v>1578939583</v>
      </c>
      <c r="C23435" t="str">
        <f>"363LA2100X"</f>
        <v>363LA2100X</v>
      </c>
      <c r="D23435" t="str">
        <f>"O'DONNELL                DANIEL       J           "</f>
        <v xml:space="preserve">O'DONNELL                DANIEL       J           </v>
      </c>
      <c r="E23435" t="str">
        <f t="shared" si="635"/>
        <v xml:space="preserve">MEMPHIS                   </v>
      </c>
      <c r="F23435" t="str">
        <f t="shared" si="634"/>
        <v>TN</v>
      </c>
    </row>
    <row r="23436" spans="1:6" x14ac:dyDescent="0.25">
      <c r="A23436" t="str">
        <f>"200013520"</f>
        <v>200013520</v>
      </c>
      <c r="B23436" t="str">
        <f>"1235972969"</f>
        <v>1235972969</v>
      </c>
      <c r="C23436" t="str">
        <f>"363LA2100X"</f>
        <v>363LA2100X</v>
      </c>
      <c r="D23436" t="str">
        <f>"JOSEPH                   ERIN         C           "</f>
        <v xml:space="preserve">JOSEPH                   ERIN         C           </v>
      </c>
      <c r="E23436" t="str">
        <f t="shared" si="635"/>
        <v xml:space="preserve">MEMPHIS                   </v>
      </c>
      <c r="F23436" t="str">
        <f t="shared" si="634"/>
        <v>TN</v>
      </c>
    </row>
    <row r="23437" spans="1:6" x14ac:dyDescent="0.25">
      <c r="A23437" t="str">
        <f>"200013524"</f>
        <v>200013524</v>
      </c>
      <c r="B23437" t="str">
        <f>"1528066495"</f>
        <v>1528066495</v>
      </c>
      <c r="C23437" t="str">
        <f>"207RX0202X"</f>
        <v>207RX0202X</v>
      </c>
      <c r="D23437" t="str">
        <f>"TIAN                     GANG         G           "</f>
        <v xml:space="preserve">TIAN                     GANG         G           </v>
      </c>
      <c r="E23437" t="str">
        <f>"GERMANTOWN                "</f>
        <v xml:space="preserve">GERMANTOWN                </v>
      </c>
      <c r="F23437" t="str">
        <f t="shared" si="634"/>
        <v>TN</v>
      </c>
    </row>
    <row r="23438" spans="1:6" x14ac:dyDescent="0.25">
      <c r="A23438" t="str">
        <f>"200013526"</f>
        <v>200013526</v>
      </c>
      <c r="B23438" t="str">
        <f>"1932105004"</f>
        <v>1932105004</v>
      </c>
      <c r="C23438" t="str">
        <f>"207RC0200X"</f>
        <v>207RC0200X</v>
      </c>
      <c r="D23438" t="str">
        <f>"RICHARDS                 WILLIAM      S           "</f>
        <v xml:space="preserve">RICHARDS                 WILLIAM      S           </v>
      </c>
      <c r="E23438" t="str">
        <f t="shared" ref="E23438:E23444" si="636">"MEMPHIS                   "</f>
        <v xml:space="preserve">MEMPHIS                   </v>
      </c>
      <c r="F23438" t="str">
        <f t="shared" si="634"/>
        <v>TN</v>
      </c>
    </row>
    <row r="23439" spans="1:6" x14ac:dyDescent="0.25">
      <c r="A23439" t="str">
        <f>"200013545"</f>
        <v>200013545</v>
      </c>
      <c r="B23439" t="str">
        <f>"1972014942"</f>
        <v>1972014942</v>
      </c>
      <c r="C23439" t="str">
        <f>"363LA2100X"</f>
        <v>363LA2100X</v>
      </c>
      <c r="D23439" t="str">
        <f>"PICKETT                  NICHOLAS     L           "</f>
        <v xml:space="preserve">PICKETT                  NICHOLAS     L           </v>
      </c>
      <c r="E23439" t="str">
        <f t="shared" si="636"/>
        <v xml:space="preserve">MEMPHIS                   </v>
      </c>
      <c r="F23439" t="str">
        <f t="shared" si="634"/>
        <v>TN</v>
      </c>
    </row>
    <row r="23440" spans="1:6" x14ac:dyDescent="0.25">
      <c r="A23440" t="str">
        <f>"200013546"</f>
        <v>200013546</v>
      </c>
      <c r="B23440" t="str">
        <f>"1639326705"</f>
        <v>1639326705</v>
      </c>
      <c r="C23440" t="str">
        <f>"207R00000X"</f>
        <v>207R00000X</v>
      </c>
      <c r="D23440" t="str">
        <f>"RAHMAN                   AKHIL                    "</f>
        <v xml:space="preserve">RAHMAN                   AKHIL                    </v>
      </c>
      <c r="E23440" t="str">
        <f t="shared" si="636"/>
        <v xml:space="preserve">MEMPHIS                   </v>
      </c>
      <c r="F23440" t="str">
        <f t="shared" si="634"/>
        <v>TN</v>
      </c>
    </row>
    <row r="23441" spans="1:6" x14ac:dyDescent="0.25">
      <c r="A23441" t="str">
        <f>"200013565"</f>
        <v>200013565</v>
      </c>
      <c r="B23441" t="str">
        <f>"1356422612"</f>
        <v>1356422612</v>
      </c>
      <c r="C23441" t="str">
        <f>"2080P0207X"</f>
        <v>2080P0207X</v>
      </c>
      <c r="D23441" t="str">
        <f>"PARK                     JULIE                    "</f>
        <v xml:space="preserve">PARK                     JULIE                    </v>
      </c>
      <c r="E23441" t="str">
        <f t="shared" si="636"/>
        <v xml:space="preserve">MEMPHIS                   </v>
      </c>
      <c r="F23441" t="str">
        <f t="shared" si="634"/>
        <v>TN</v>
      </c>
    </row>
    <row r="23442" spans="1:6" x14ac:dyDescent="0.25">
      <c r="A23442" t="str">
        <f>"200013589"</f>
        <v>200013589</v>
      </c>
      <c r="B23442" t="str">
        <f>"1013641232"</f>
        <v>1013641232</v>
      </c>
      <c r="C23442" t="str">
        <f>"363LA2100X"</f>
        <v>363LA2100X</v>
      </c>
      <c r="D23442" t="str">
        <f>"MILLER                   NATHAN       L           "</f>
        <v xml:space="preserve">MILLER                   NATHAN       L           </v>
      </c>
      <c r="E23442" t="str">
        <f t="shared" si="636"/>
        <v xml:space="preserve">MEMPHIS                   </v>
      </c>
      <c r="F23442" t="str">
        <f t="shared" si="634"/>
        <v>TN</v>
      </c>
    </row>
    <row r="23443" spans="1:6" x14ac:dyDescent="0.25">
      <c r="A23443" t="str">
        <f>"200013591"</f>
        <v>200013591</v>
      </c>
      <c r="B23443" t="str">
        <f>"1215921226"</f>
        <v>1215921226</v>
      </c>
      <c r="C23443" t="str">
        <f>"2080P0006X"</f>
        <v>2080P0006X</v>
      </c>
      <c r="D23443" t="str">
        <f>"ESPINAL                  RONALD                   "</f>
        <v xml:space="preserve">ESPINAL                  RONALD                   </v>
      </c>
      <c r="E23443" t="str">
        <f t="shared" si="636"/>
        <v xml:space="preserve">MEMPHIS                   </v>
      </c>
      <c r="F23443" t="str">
        <f t="shared" si="634"/>
        <v>TN</v>
      </c>
    </row>
    <row r="23444" spans="1:6" x14ac:dyDescent="0.25">
      <c r="A23444" t="str">
        <f>"200013595"</f>
        <v>200013595</v>
      </c>
      <c r="B23444" t="str">
        <f>"1639556699"</f>
        <v>1639556699</v>
      </c>
      <c r="C23444" t="str">
        <f>"363LA2100X"</f>
        <v>363LA2100X</v>
      </c>
      <c r="D23444" t="str">
        <f>"HUTCHISON-GIBSON         MELANIE      N           "</f>
        <v xml:space="preserve">HUTCHISON-GIBSON         MELANIE      N           </v>
      </c>
      <c r="E23444" t="str">
        <f t="shared" si="636"/>
        <v xml:space="preserve">MEMPHIS                   </v>
      </c>
      <c r="F23444" t="str">
        <f t="shared" si="634"/>
        <v>TN</v>
      </c>
    </row>
    <row r="23445" spans="1:6" x14ac:dyDescent="0.25">
      <c r="A23445" t="str">
        <f>"200013608"</f>
        <v>200013608</v>
      </c>
      <c r="B23445" t="str">
        <f>"1245262336"</f>
        <v>1245262336</v>
      </c>
      <c r="C23445" t="str">
        <f>"207RH0003X"</f>
        <v>207RH0003X</v>
      </c>
      <c r="D23445" t="str">
        <f>"JOHNSON                  ROBERT       A           "</f>
        <v xml:space="preserve">JOHNSON                  ROBERT       A           </v>
      </c>
      <c r="E23445" t="str">
        <f>"GERMANTOWN                "</f>
        <v xml:space="preserve">GERMANTOWN                </v>
      </c>
      <c r="F23445" t="str">
        <f t="shared" si="634"/>
        <v>TN</v>
      </c>
    </row>
    <row r="23446" spans="1:6" x14ac:dyDescent="0.25">
      <c r="A23446" t="str">
        <f>"200013612"</f>
        <v>200013612</v>
      </c>
      <c r="B23446" t="str">
        <f>"1568198778"</f>
        <v>1568198778</v>
      </c>
      <c r="C23446" t="str">
        <f>"363L00000X"</f>
        <v>363L00000X</v>
      </c>
      <c r="D23446" t="str">
        <f>"REED                     GILLIAN      P           "</f>
        <v xml:space="preserve">REED                     GILLIAN      P           </v>
      </c>
      <c r="E23446" t="str">
        <f>"GERMANTOWN                "</f>
        <v xml:space="preserve">GERMANTOWN                </v>
      </c>
      <c r="F23446" t="str">
        <f t="shared" si="634"/>
        <v>TN</v>
      </c>
    </row>
    <row r="23447" spans="1:6" x14ac:dyDescent="0.25">
      <c r="A23447" t="str">
        <f>"200013643"</f>
        <v>200013643</v>
      </c>
      <c r="B23447" t="str">
        <f>"1396746269"</f>
        <v>1396746269</v>
      </c>
      <c r="C23447" t="str">
        <f>"207P00000X"</f>
        <v>207P00000X</v>
      </c>
      <c r="D23447" t="str">
        <f>"DARGIE                   TRIPP                    "</f>
        <v xml:space="preserve">DARGIE                   TRIPP                    </v>
      </c>
      <c r="E23447" t="str">
        <f>"MEMPHIS                   "</f>
        <v xml:space="preserve">MEMPHIS                   </v>
      </c>
      <c r="F23447" t="str">
        <f t="shared" si="634"/>
        <v>TN</v>
      </c>
    </row>
    <row r="23448" spans="1:6" x14ac:dyDescent="0.25">
      <c r="A23448" t="str">
        <f>"200013649"</f>
        <v>200013649</v>
      </c>
      <c r="B23448" t="str">
        <f>"1639392400"</f>
        <v>1639392400</v>
      </c>
      <c r="C23448" t="str">
        <f>"208600000X"</f>
        <v>208600000X</v>
      </c>
      <c r="D23448" t="str">
        <f>"WILLIAMS                 REGAN                    "</f>
        <v xml:space="preserve">WILLIAMS                 REGAN                    </v>
      </c>
      <c r="E23448" t="str">
        <f>"MEMPHIS                   "</f>
        <v xml:space="preserve">MEMPHIS                   </v>
      </c>
      <c r="F23448" t="str">
        <f t="shared" si="634"/>
        <v>TN</v>
      </c>
    </row>
    <row r="23449" spans="1:6" x14ac:dyDescent="0.25">
      <c r="A23449" t="str">
        <f>"200013673"</f>
        <v>200013673</v>
      </c>
      <c r="B23449" t="str">
        <f>"1225445034"</f>
        <v>1225445034</v>
      </c>
      <c r="C23449" t="str">
        <f>"367500000X"</f>
        <v>367500000X</v>
      </c>
      <c r="D23449" t="str">
        <f>"WILLIAMS                 JENNIFER     E           "</f>
        <v xml:space="preserve">WILLIAMS                 JENNIFER     E           </v>
      </c>
      <c r="E23449" t="str">
        <f>"MEMPHIS                   "</f>
        <v xml:space="preserve">MEMPHIS                   </v>
      </c>
      <c r="F23449" t="str">
        <f t="shared" si="634"/>
        <v>TN</v>
      </c>
    </row>
    <row r="23450" spans="1:6" x14ac:dyDescent="0.25">
      <c r="A23450" t="str">
        <f>"200013704"</f>
        <v>200013704</v>
      </c>
      <c r="B23450" t="str">
        <f>"1558781492"</f>
        <v>1558781492</v>
      </c>
      <c r="C23450" t="str">
        <f>"207R00000X"</f>
        <v>207R00000X</v>
      </c>
      <c r="D23450" t="str">
        <f>"MATTOX                   ANTHONY      R           "</f>
        <v xml:space="preserve">MATTOX                   ANTHONY      R           </v>
      </c>
      <c r="E23450" t="str">
        <f>"MEMPHIS                   "</f>
        <v xml:space="preserve">MEMPHIS                   </v>
      </c>
      <c r="F23450" t="str">
        <f t="shared" si="634"/>
        <v>TN</v>
      </c>
    </row>
    <row r="23451" spans="1:6" x14ac:dyDescent="0.25">
      <c r="A23451" t="str">
        <f>"200013733"</f>
        <v>200013733</v>
      </c>
      <c r="B23451" t="str">
        <f>"1619553393"</f>
        <v>1619553393</v>
      </c>
      <c r="C23451" t="str">
        <f>"207VX0000X"</f>
        <v>207VX0000X</v>
      </c>
      <c r="D23451" t="str">
        <f>"MCKISSICK                JASMINE                  "</f>
        <v xml:space="preserve">MCKISSICK                JASMINE                  </v>
      </c>
      <c r="E23451" t="str">
        <f>"MEMPHIS                   "</f>
        <v xml:space="preserve">MEMPHIS                   </v>
      </c>
      <c r="F23451" t="str">
        <f t="shared" si="634"/>
        <v>TN</v>
      </c>
    </row>
    <row r="23452" spans="1:6" x14ac:dyDescent="0.25">
      <c r="A23452" t="str">
        <f>"200013748"</f>
        <v>200013748</v>
      </c>
      <c r="B23452" t="str">
        <f>"1508546912"</f>
        <v>1508546912</v>
      </c>
      <c r="C23452" t="str">
        <f>"363A00000X"</f>
        <v>363A00000X</v>
      </c>
      <c r="D23452" t="str">
        <f>"POLESKI                  CAROLYN                  "</f>
        <v xml:space="preserve">POLESKI                  CAROLYN                  </v>
      </c>
      <c r="E23452" t="str">
        <f>"GERMANTOWN                "</f>
        <v xml:space="preserve">GERMANTOWN                </v>
      </c>
      <c r="F23452" t="str">
        <f t="shared" si="634"/>
        <v>TN</v>
      </c>
    </row>
    <row r="23453" spans="1:6" x14ac:dyDescent="0.25">
      <c r="A23453" t="str">
        <f>"200013749"</f>
        <v>200013749</v>
      </c>
      <c r="B23453" t="str">
        <f>"1205491461"</f>
        <v>1205491461</v>
      </c>
      <c r="C23453" t="str">
        <f>"207W00000X"</f>
        <v>207W00000X</v>
      </c>
      <c r="D23453" t="str">
        <f>"WALSH                    ANNA                     "</f>
        <v xml:space="preserve">WALSH                    ANNA                     </v>
      </c>
      <c r="E23453" t="str">
        <f>"MEMPHIS                   "</f>
        <v xml:space="preserve">MEMPHIS                   </v>
      </c>
      <c r="F23453" t="str">
        <f t="shared" si="634"/>
        <v>TN</v>
      </c>
    </row>
    <row r="23454" spans="1:6" x14ac:dyDescent="0.25">
      <c r="A23454" t="str">
        <f>"200013772"</f>
        <v>200013772</v>
      </c>
      <c r="B23454" t="str">
        <f>"1871886028"</f>
        <v>1871886028</v>
      </c>
      <c r="C23454" t="str">
        <f>"2080P0203X"</f>
        <v>2080P0203X</v>
      </c>
      <c r="D23454" t="str">
        <f>"KIMURA                   DAI                      "</f>
        <v xml:space="preserve">KIMURA                   DAI                      </v>
      </c>
      <c r="E23454" t="str">
        <f>"MEMPHIS                   "</f>
        <v xml:space="preserve">MEMPHIS                   </v>
      </c>
      <c r="F23454" t="str">
        <f t="shared" si="634"/>
        <v>TN</v>
      </c>
    </row>
    <row r="23455" spans="1:6" x14ac:dyDescent="0.25">
      <c r="A23455" t="str">
        <f>"200013775"</f>
        <v>200013775</v>
      </c>
      <c r="B23455" t="str">
        <f>"1235843285"</f>
        <v>1235843285</v>
      </c>
      <c r="C23455" t="str">
        <f>"363A00000X"</f>
        <v>363A00000X</v>
      </c>
      <c r="D23455" t="str">
        <f>"BLAKE                    PARKER                   "</f>
        <v xml:space="preserve">BLAKE                    PARKER                   </v>
      </c>
      <c r="E23455" t="str">
        <f>"BARTLETT                  "</f>
        <v xml:space="preserve">BARTLETT                  </v>
      </c>
      <c r="F23455" t="str">
        <f t="shared" si="634"/>
        <v>TN</v>
      </c>
    </row>
    <row r="23456" spans="1:6" x14ac:dyDescent="0.25">
      <c r="A23456" t="str">
        <f>"200013777"</f>
        <v>200013777</v>
      </c>
      <c r="B23456" t="str">
        <f>"1336147263"</f>
        <v>1336147263</v>
      </c>
      <c r="C23456" t="str">
        <f>"207RH0003X"</f>
        <v>207RH0003X</v>
      </c>
      <c r="D23456" t="str">
        <f>"WEEKS                    ALBERT                   "</f>
        <v xml:space="preserve">WEEKS                    ALBERT                   </v>
      </c>
      <c r="E23456" t="str">
        <f>"GERMANTOWN                "</f>
        <v xml:space="preserve">GERMANTOWN                </v>
      </c>
      <c r="F23456" t="str">
        <f t="shared" si="634"/>
        <v>TN</v>
      </c>
    </row>
    <row r="23457" spans="1:6" x14ac:dyDescent="0.25">
      <c r="A23457" t="str">
        <f>"200013789"</f>
        <v>200013789</v>
      </c>
      <c r="B23457" t="str">
        <f>"1053743534"</f>
        <v>1053743534</v>
      </c>
      <c r="C23457" t="str">
        <f>"152W00000X"</f>
        <v>152W00000X</v>
      </c>
      <c r="D23457" t="str">
        <f>"TOMPKINS                 AMANDA                   "</f>
        <v xml:space="preserve">TOMPKINS                 AMANDA                   </v>
      </c>
      <c r="E23457" t="str">
        <f>"MEMPHIS                   "</f>
        <v xml:space="preserve">MEMPHIS                   </v>
      </c>
      <c r="F23457" t="str">
        <f t="shared" si="634"/>
        <v>TN</v>
      </c>
    </row>
    <row r="23458" spans="1:6" x14ac:dyDescent="0.25">
      <c r="A23458" t="str">
        <f>"200013790"</f>
        <v>200013790</v>
      </c>
      <c r="B23458" t="str">
        <f>"1760822795"</f>
        <v>1760822795</v>
      </c>
      <c r="C23458" t="str">
        <f>"207P00000X"</f>
        <v>207P00000X</v>
      </c>
      <c r="D23458" t="str">
        <f>"WATSON                   NICHOLAS                 "</f>
        <v xml:space="preserve">WATSON                   NICHOLAS                 </v>
      </c>
      <c r="E23458" t="str">
        <f>"BARTLETT                  "</f>
        <v xml:space="preserve">BARTLETT                  </v>
      </c>
      <c r="F23458" t="str">
        <f t="shared" si="634"/>
        <v>TN</v>
      </c>
    </row>
    <row r="23459" spans="1:6" x14ac:dyDescent="0.25">
      <c r="A23459" t="str">
        <f>"200013805"</f>
        <v>200013805</v>
      </c>
      <c r="B23459" t="str">
        <f>"1124608971"</f>
        <v>1124608971</v>
      </c>
      <c r="C23459" t="str">
        <f>"207P00000X"</f>
        <v>207P00000X</v>
      </c>
      <c r="D23459" t="str">
        <f>"MYLHOUSEN                EMILY                    "</f>
        <v xml:space="preserve">MYLHOUSEN                EMILY                    </v>
      </c>
      <c r="E23459" t="str">
        <f>"MEMPHIS                   "</f>
        <v xml:space="preserve">MEMPHIS                   </v>
      </c>
      <c r="F23459" t="str">
        <f t="shared" si="634"/>
        <v>TN</v>
      </c>
    </row>
    <row r="23460" spans="1:6" x14ac:dyDescent="0.25">
      <c r="A23460" t="str">
        <f>"200013812"</f>
        <v>200013812</v>
      </c>
      <c r="B23460" t="str">
        <f>"1366774382"</f>
        <v>1366774382</v>
      </c>
      <c r="C23460" t="str">
        <f>"363L00000X"</f>
        <v>363L00000X</v>
      </c>
      <c r="D23460" t="str">
        <f>"JOHNSON                  EMILY                    "</f>
        <v xml:space="preserve">JOHNSON                  EMILY                    </v>
      </c>
      <c r="E23460" t="str">
        <f>"MEMPHIS                   "</f>
        <v xml:space="preserve">MEMPHIS                   </v>
      </c>
      <c r="F23460" t="str">
        <f t="shared" si="634"/>
        <v>TN</v>
      </c>
    </row>
    <row r="23461" spans="1:6" x14ac:dyDescent="0.25">
      <c r="A23461" t="str">
        <f>"200013815"</f>
        <v>200013815</v>
      </c>
      <c r="B23461" t="str">
        <f>"1093101156"</f>
        <v>1093101156</v>
      </c>
      <c r="C23461" t="str">
        <f>"208M00000X"</f>
        <v>208M00000X</v>
      </c>
      <c r="D23461" t="str">
        <f>"ROGERS                   NATHANIEL                "</f>
        <v xml:space="preserve">ROGERS                   NATHANIEL                </v>
      </c>
      <c r="E23461" t="str">
        <f>"MEMPHIS                   "</f>
        <v xml:space="preserve">MEMPHIS                   </v>
      </c>
      <c r="F23461" t="str">
        <f t="shared" si="634"/>
        <v>TN</v>
      </c>
    </row>
    <row r="23462" spans="1:6" x14ac:dyDescent="0.25">
      <c r="A23462" t="str">
        <f>"200013819"</f>
        <v>200013819</v>
      </c>
      <c r="B23462" t="str">
        <f>"1497966469"</f>
        <v>1497966469</v>
      </c>
      <c r="C23462" t="str">
        <f>"2084P0800X"</f>
        <v>2084P0800X</v>
      </c>
      <c r="D23462" t="str">
        <f>"SHAKTI                   SHUBI                    "</f>
        <v xml:space="preserve">SHAKTI                   SHUBI                    </v>
      </c>
      <c r="E23462" t="str">
        <f>"BARTLETT                  "</f>
        <v xml:space="preserve">BARTLETT                  </v>
      </c>
      <c r="F23462" t="str">
        <f t="shared" si="634"/>
        <v>TN</v>
      </c>
    </row>
    <row r="23463" spans="1:6" x14ac:dyDescent="0.25">
      <c r="A23463" t="str">
        <f>"200013822"</f>
        <v>200013822</v>
      </c>
      <c r="B23463" t="str">
        <f>"1407427362"</f>
        <v>1407427362</v>
      </c>
      <c r="C23463" t="str">
        <f>"363LA2100X"</f>
        <v>363LA2100X</v>
      </c>
      <c r="D23463" t="str">
        <f>"MCDANIEL                 ANNA                     "</f>
        <v xml:space="preserve">MCDANIEL                 ANNA                     </v>
      </c>
      <c r="E23463" t="str">
        <f>"MEMPHIS                   "</f>
        <v xml:space="preserve">MEMPHIS                   </v>
      </c>
      <c r="F23463" t="str">
        <f t="shared" si="634"/>
        <v>TN</v>
      </c>
    </row>
    <row r="23464" spans="1:6" x14ac:dyDescent="0.25">
      <c r="A23464" t="str">
        <f>"200013826"</f>
        <v>200013826</v>
      </c>
      <c r="B23464" t="str">
        <f>"1679530778"</f>
        <v>1679530778</v>
      </c>
      <c r="C23464" t="str">
        <f>"2080P0006X"</f>
        <v>2080P0006X</v>
      </c>
      <c r="D23464" t="str">
        <f>"WHITAKER                 TONI                     "</f>
        <v xml:space="preserve">WHITAKER                 TONI                     </v>
      </c>
      <c r="E23464" t="str">
        <f>"MEMPHIS                   "</f>
        <v xml:space="preserve">MEMPHIS                   </v>
      </c>
      <c r="F23464" t="str">
        <f t="shared" si="634"/>
        <v>TN</v>
      </c>
    </row>
    <row r="23465" spans="1:6" x14ac:dyDescent="0.25">
      <c r="A23465" t="str">
        <f>"200013875"</f>
        <v>200013875</v>
      </c>
      <c r="B23465" t="str">
        <f>"1912579400"</f>
        <v>1912579400</v>
      </c>
      <c r="C23465" t="str">
        <f>"363LF0000X"</f>
        <v>363LF0000X</v>
      </c>
      <c r="D23465" t="str">
        <f>"BARTHOLOMEW              JEFFREY                  "</f>
        <v xml:space="preserve">BARTHOLOMEW              JEFFREY                  </v>
      </c>
      <c r="E23465" t="str">
        <f>"BARTLETT                  "</f>
        <v xml:space="preserve">BARTLETT                  </v>
      </c>
      <c r="F23465" t="str">
        <f t="shared" si="634"/>
        <v>TN</v>
      </c>
    </row>
    <row r="23466" spans="1:6" x14ac:dyDescent="0.25">
      <c r="A23466" t="str">
        <f>"200013884"</f>
        <v>200013884</v>
      </c>
      <c r="B23466" t="str">
        <f>"1679647754"</f>
        <v>1679647754</v>
      </c>
      <c r="C23466" t="str">
        <f>"207L00000X"</f>
        <v>207L00000X</v>
      </c>
      <c r="D23466" t="str">
        <f>"AKIN                     CAROL                    "</f>
        <v xml:space="preserve">AKIN                     CAROL                    </v>
      </c>
      <c r="E23466" t="str">
        <f>"MEMPHIS                   "</f>
        <v xml:space="preserve">MEMPHIS                   </v>
      </c>
      <c r="F23466" t="str">
        <f t="shared" si="634"/>
        <v>TN</v>
      </c>
    </row>
    <row r="23467" spans="1:6" x14ac:dyDescent="0.25">
      <c r="A23467" t="str">
        <f>"200013895"</f>
        <v>200013895</v>
      </c>
      <c r="B23467" t="str">
        <f>"1922840495"</f>
        <v>1922840495</v>
      </c>
      <c r="C23467" t="str">
        <f>"363AM0700X"</f>
        <v>363AM0700X</v>
      </c>
      <c r="D23467" t="str">
        <f>"CLARK                    PEYTON                   "</f>
        <v xml:space="preserve">CLARK                    PEYTON                   </v>
      </c>
      <c r="E23467" t="str">
        <f>"MEMPHIS                   "</f>
        <v xml:space="preserve">MEMPHIS                   </v>
      </c>
      <c r="F23467" t="str">
        <f t="shared" si="634"/>
        <v>TN</v>
      </c>
    </row>
    <row r="23468" spans="1:6" x14ac:dyDescent="0.25">
      <c r="A23468" t="str">
        <f>"200013906"</f>
        <v>200013906</v>
      </c>
      <c r="B23468" t="str">
        <f>"1053397935"</f>
        <v>1053397935</v>
      </c>
      <c r="C23468" t="str">
        <f>"207L00000X"</f>
        <v>207L00000X</v>
      </c>
      <c r="D23468" t="str">
        <f>"REID                     DAVID                    "</f>
        <v xml:space="preserve">REID                     DAVID                    </v>
      </c>
      <c r="E23468" t="str">
        <f>"MEMPHIS                   "</f>
        <v xml:space="preserve">MEMPHIS                   </v>
      </c>
      <c r="F23468" t="str">
        <f t="shared" si="634"/>
        <v>TN</v>
      </c>
    </row>
    <row r="23469" spans="1:6" x14ac:dyDescent="0.25">
      <c r="A23469" t="str">
        <f>"200013909"</f>
        <v>200013909</v>
      </c>
      <c r="B23469" t="str">
        <f>"1447743729"</f>
        <v>1447743729</v>
      </c>
      <c r="C23469" t="str">
        <f>"2080P0203X"</f>
        <v>2080P0203X</v>
      </c>
      <c r="D23469" t="str">
        <f>"NIGRI                    DANIEL                   "</f>
        <v xml:space="preserve">NIGRI                    DANIEL                   </v>
      </c>
      <c r="E23469" t="str">
        <f>"MEMPHIS                   "</f>
        <v xml:space="preserve">MEMPHIS                   </v>
      </c>
      <c r="F23469" t="str">
        <f t="shared" si="634"/>
        <v>TN</v>
      </c>
    </row>
    <row r="23470" spans="1:6" x14ac:dyDescent="0.25">
      <c r="A23470" t="str">
        <f>"200013922"</f>
        <v>200013922</v>
      </c>
      <c r="B23470" t="str">
        <f>"1760820625"</f>
        <v>1760820625</v>
      </c>
      <c r="C23470" t="str">
        <f>"2085R0204X"</f>
        <v>2085R0204X</v>
      </c>
      <c r="D23470" t="str">
        <f>"BARBEITO                 BRIAN                    "</f>
        <v xml:space="preserve">BARBEITO                 BRIAN                    </v>
      </c>
      <c r="E23470" t="str">
        <f>"MEMPHIS                   "</f>
        <v xml:space="preserve">MEMPHIS                   </v>
      </c>
      <c r="F23470" t="str">
        <f t="shared" si="634"/>
        <v>TN</v>
      </c>
    </row>
    <row r="23471" spans="1:6" x14ac:dyDescent="0.25">
      <c r="A23471" t="str">
        <f>"200013944"</f>
        <v>200013944</v>
      </c>
      <c r="B23471" t="str">
        <f>"1538161559"</f>
        <v>1538161559</v>
      </c>
      <c r="C23471" t="str">
        <f>"207P00000X"</f>
        <v>207P00000X</v>
      </c>
      <c r="D23471" t="str">
        <f>"TUPPER                   JOHNATHAN                "</f>
        <v xml:space="preserve">TUPPER                   JOHNATHAN                </v>
      </c>
      <c r="E23471" t="str">
        <f>"GERMANTOWN                "</f>
        <v xml:space="preserve">GERMANTOWN                </v>
      </c>
      <c r="F23471" t="str">
        <f t="shared" si="634"/>
        <v>TN</v>
      </c>
    </row>
    <row r="23472" spans="1:6" x14ac:dyDescent="0.25">
      <c r="A23472" t="str">
        <f>"200013948"</f>
        <v>200013948</v>
      </c>
      <c r="B23472" t="str">
        <f>"1093133464"</f>
        <v>1093133464</v>
      </c>
      <c r="C23472" t="str">
        <f>"208100000X"</f>
        <v>208100000X</v>
      </c>
      <c r="D23472" t="str">
        <f>"ROBBINS                  GREGORY                  "</f>
        <v xml:space="preserve">ROBBINS                  GREGORY                  </v>
      </c>
      <c r="E23472" t="str">
        <f>"MEMPHIS                   "</f>
        <v xml:space="preserve">MEMPHIS                   </v>
      </c>
      <c r="F23472" t="str">
        <f t="shared" si="634"/>
        <v>TN</v>
      </c>
    </row>
    <row r="23473" spans="1:6" x14ac:dyDescent="0.25">
      <c r="A23473" t="str">
        <f>"200013949"</f>
        <v>200013949</v>
      </c>
      <c r="B23473" t="str">
        <f>"1407023294"</f>
        <v>1407023294</v>
      </c>
      <c r="C23473" t="str">
        <f>"207L00000X"</f>
        <v>207L00000X</v>
      </c>
      <c r="D23473" t="str">
        <f>"BRYAN                    KAYLA        D           "</f>
        <v xml:space="preserve">BRYAN                    KAYLA        D           </v>
      </c>
      <c r="E23473" t="str">
        <f>"MEMPHIS                   "</f>
        <v xml:space="preserve">MEMPHIS                   </v>
      </c>
      <c r="F23473" t="str">
        <f t="shared" si="634"/>
        <v>TN</v>
      </c>
    </row>
    <row r="23474" spans="1:6" x14ac:dyDescent="0.25">
      <c r="A23474" t="str">
        <f>"200013971"</f>
        <v>200013971</v>
      </c>
      <c r="B23474" t="str">
        <f>"1285829085"</f>
        <v>1285829085</v>
      </c>
      <c r="C23474" t="str">
        <f>"207L00000X"</f>
        <v>207L00000X</v>
      </c>
      <c r="D23474" t="str">
        <f>"WILLIS                   DAVID        M           "</f>
        <v xml:space="preserve">WILLIS                   DAVID        M           </v>
      </c>
      <c r="E23474" t="str">
        <f>"MEMPHIS                   "</f>
        <v xml:space="preserve">MEMPHIS                   </v>
      </c>
      <c r="F23474" t="str">
        <f t="shared" si="634"/>
        <v>TN</v>
      </c>
    </row>
    <row r="23475" spans="1:6" x14ac:dyDescent="0.25">
      <c r="A23475" t="str">
        <f>"200013987"</f>
        <v>200013987</v>
      </c>
      <c r="B23475" t="str">
        <f>"1174054613"</f>
        <v>1174054613</v>
      </c>
      <c r="C23475" t="str">
        <f>"2080P0207X"</f>
        <v>2080P0207X</v>
      </c>
      <c r="D23475" t="str">
        <f>"ESEN                     AYSENUR                  "</f>
        <v xml:space="preserve">ESEN                     AYSENUR                  </v>
      </c>
      <c r="E23475" t="str">
        <f>"MEMPHIS                   "</f>
        <v xml:space="preserve">MEMPHIS                   </v>
      </c>
      <c r="F23475" t="str">
        <f t="shared" si="634"/>
        <v>TN</v>
      </c>
    </row>
    <row r="23476" spans="1:6" x14ac:dyDescent="0.25">
      <c r="A23476" t="str">
        <f>"200014010"</f>
        <v>200014010</v>
      </c>
      <c r="B23476" t="str">
        <f>"1619616984"</f>
        <v>1619616984</v>
      </c>
      <c r="C23476" t="str">
        <f>"367500000X"</f>
        <v>367500000X</v>
      </c>
      <c r="D23476" t="str">
        <f>"ACRED                    ALEKSANDER               "</f>
        <v xml:space="preserve">ACRED                    ALEKSANDER               </v>
      </c>
      <c r="E23476" t="str">
        <f>"MEMPHIS                   "</f>
        <v xml:space="preserve">MEMPHIS                   </v>
      </c>
      <c r="F23476" t="str">
        <f t="shared" si="634"/>
        <v>TN</v>
      </c>
    </row>
    <row r="23477" spans="1:6" x14ac:dyDescent="0.25">
      <c r="A23477" t="str">
        <f>"200014015"</f>
        <v>200014015</v>
      </c>
      <c r="B23477" t="str">
        <f>"1235452723"</f>
        <v>1235452723</v>
      </c>
      <c r="C23477" t="str">
        <f>"2085R0204X"</f>
        <v>2085R0204X</v>
      </c>
      <c r="D23477" t="str">
        <f>"POWELL                   DANIEL       K           "</f>
        <v xml:space="preserve">POWELL                   DANIEL       K           </v>
      </c>
      <c r="E23477" t="str">
        <f>"GERMANTOWN                "</f>
        <v xml:space="preserve">GERMANTOWN                </v>
      </c>
      <c r="F23477" t="str">
        <f t="shared" si="634"/>
        <v>TN</v>
      </c>
    </row>
    <row r="23478" spans="1:6" x14ac:dyDescent="0.25">
      <c r="A23478" t="str">
        <f>"200014016"</f>
        <v>200014016</v>
      </c>
      <c r="B23478" t="str">
        <f>"1275265001"</f>
        <v>1275265001</v>
      </c>
      <c r="C23478" t="str">
        <f>"363A00000X"</f>
        <v>363A00000X</v>
      </c>
      <c r="D23478" t="str">
        <f>"VAN VLIET                TREVOR                   "</f>
        <v xml:space="preserve">VAN VLIET                TREVOR                   </v>
      </c>
      <c r="E23478" t="str">
        <f>"MEMPHIS                   "</f>
        <v xml:space="preserve">MEMPHIS                   </v>
      </c>
      <c r="F23478" t="str">
        <f t="shared" si="634"/>
        <v>TN</v>
      </c>
    </row>
    <row r="23479" spans="1:6" x14ac:dyDescent="0.25">
      <c r="A23479" t="str">
        <f>"200014029"</f>
        <v>200014029</v>
      </c>
      <c r="B23479" t="str">
        <f>"1710566187"</f>
        <v>1710566187</v>
      </c>
      <c r="C23479" t="str">
        <f>"207R00000X"</f>
        <v>207R00000X</v>
      </c>
      <c r="D23479" t="str">
        <f>"MOORE                    WILLIAM      H           "</f>
        <v xml:space="preserve">MOORE                    WILLIAM      H           </v>
      </c>
      <c r="E23479" t="str">
        <f>"MEMPHIS                   "</f>
        <v xml:space="preserve">MEMPHIS                   </v>
      </c>
      <c r="F23479" t="str">
        <f t="shared" si="634"/>
        <v>TN</v>
      </c>
    </row>
    <row r="23480" spans="1:6" x14ac:dyDescent="0.25">
      <c r="A23480" t="str">
        <f>"200014087"</f>
        <v>200014087</v>
      </c>
      <c r="B23480" t="str">
        <f>"1518357086"</f>
        <v>1518357086</v>
      </c>
      <c r="C23480" t="str">
        <f>"363A00000X"</f>
        <v>363A00000X</v>
      </c>
      <c r="D23480" t="str">
        <f>"GUILLO                   BROOKE                   "</f>
        <v xml:space="preserve">GUILLO                   BROOKE                   </v>
      </c>
      <c r="E23480" t="str">
        <f>"BARTLETT                  "</f>
        <v xml:space="preserve">BARTLETT                  </v>
      </c>
      <c r="F23480" t="str">
        <f t="shared" si="634"/>
        <v>TN</v>
      </c>
    </row>
    <row r="23481" spans="1:6" x14ac:dyDescent="0.25">
      <c r="A23481" t="str">
        <f>"200014098"</f>
        <v>200014098</v>
      </c>
      <c r="B23481" t="str">
        <f>"1235110313"</f>
        <v>1235110313</v>
      </c>
      <c r="C23481" t="str">
        <f>"207RC0200X"</f>
        <v>207RC0200X</v>
      </c>
      <c r="D23481" t="str">
        <f>"DEATON                   PAUL         R           "</f>
        <v xml:space="preserve">DEATON                   PAUL         R           </v>
      </c>
      <c r="E23481" t="str">
        <f>"MEMPHIS                   "</f>
        <v xml:space="preserve">MEMPHIS                   </v>
      </c>
      <c r="F23481" t="str">
        <f t="shared" si="634"/>
        <v>TN</v>
      </c>
    </row>
    <row r="23482" spans="1:6" x14ac:dyDescent="0.25">
      <c r="A23482" t="str">
        <f>"200014121"</f>
        <v>200014121</v>
      </c>
      <c r="B23482" t="str">
        <f>"1558927608"</f>
        <v>1558927608</v>
      </c>
      <c r="C23482" t="str">
        <f>"2084P0804X"</f>
        <v>2084P0804X</v>
      </c>
      <c r="D23482" t="str">
        <f>"MICHALAK                 IAN                      "</f>
        <v xml:space="preserve">MICHALAK                 IAN                      </v>
      </c>
      <c r="E23482" t="str">
        <f>"MEMPHIS                   "</f>
        <v xml:space="preserve">MEMPHIS                   </v>
      </c>
      <c r="F23482" t="str">
        <f t="shared" si="634"/>
        <v>TN</v>
      </c>
    </row>
    <row r="23483" spans="1:6" x14ac:dyDescent="0.25">
      <c r="A23483" t="str">
        <f>"200014124"</f>
        <v>200014124</v>
      </c>
      <c r="B23483" t="str">
        <f>"1912403312"</f>
        <v>1912403312</v>
      </c>
      <c r="C23483" t="str">
        <f>"2080P0202X"</f>
        <v>2080P0202X</v>
      </c>
      <c r="D23483" t="str">
        <f>"MILLER                   NOAH                     "</f>
        <v xml:space="preserve">MILLER                   NOAH                     </v>
      </c>
      <c r="E23483" t="str">
        <f>"MEMPHIS                   "</f>
        <v xml:space="preserve">MEMPHIS                   </v>
      </c>
      <c r="F23483" t="str">
        <f t="shared" si="634"/>
        <v>TN</v>
      </c>
    </row>
    <row r="23484" spans="1:6" x14ac:dyDescent="0.25">
      <c r="A23484" t="str">
        <f>"200014133"</f>
        <v>200014133</v>
      </c>
      <c r="B23484" t="str">
        <f>"1568791259"</f>
        <v>1568791259</v>
      </c>
      <c r="C23484" t="str">
        <f>"363LF0000X"</f>
        <v>363LF0000X</v>
      </c>
      <c r="D23484" t="str">
        <f>"MOSS                     JACLYN                   "</f>
        <v xml:space="preserve">MOSS                     JACLYN                   </v>
      </c>
      <c r="E23484" t="str">
        <f>"BARTLETT                  "</f>
        <v xml:space="preserve">BARTLETT                  </v>
      </c>
      <c r="F23484" t="str">
        <f t="shared" si="634"/>
        <v>TN</v>
      </c>
    </row>
    <row r="23485" spans="1:6" x14ac:dyDescent="0.25">
      <c r="A23485" t="str">
        <f>"200014230"</f>
        <v>200014230</v>
      </c>
      <c r="B23485" t="str">
        <f>"1730403072"</f>
        <v>1730403072</v>
      </c>
      <c r="C23485" t="str">
        <f>"207RX0202X"</f>
        <v>207RX0202X</v>
      </c>
      <c r="D23485" t="str">
        <f>"VIDAL                    GREGORY      A           "</f>
        <v xml:space="preserve">VIDAL                    GREGORY      A           </v>
      </c>
      <c r="E23485" t="str">
        <f>"GERMANTOWN                "</f>
        <v xml:space="preserve">GERMANTOWN                </v>
      </c>
      <c r="F23485" t="str">
        <f t="shared" si="634"/>
        <v>TN</v>
      </c>
    </row>
    <row r="23486" spans="1:6" x14ac:dyDescent="0.25">
      <c r="A23486" t="str">
        <f>"200014234"</f>
        <v>200014234</v>
      </c>
      <c r="B23486" t="str">
        <f>"1689628323"</f>
        <v>1689628323</v>
      </c>
      <c r="C23486" t="str">
        <f>"207Q00000X"</f>
        <v>207Q00000X</v>
      </c>
      <c r="D23486" t="str">
        <f>"MULLINIX                 DEREK                    "</f>
        <v xml:space="preserve">MULLINIX                 DEREK                    </v>
      </c>
      <c r="E23486" t="str">
        <f>"BARTLETT                  "</f>
        <v xml:space="preserve">BARTLETT                  </v>
      </c>
      <c r="F23486" t="str">
        <f t="shared" ref="F23486:F23549" si="637">"TN"</f>
        <v>TN</v>
      </c>
    </row>
    <row r="23487" spans="1:6" x14ac:dyDescent="0.25">
      <c r="A23487" t="str">
        <f>"200014239"</f>
        <v>200014239</v>
      </c>
      <c r="B23487" t="str">
        <f>"1801825781"</f>
        <v>1801825781</v>
      </c>
      <c r="C23487" t="str">
        <f>"207RX0202X"</f>
        <v>207RX0202X</v>
      </c>
      <c r="D23487" t="str">
        <f>"BENN                     SONIA        M           "</f>
        <v xml:space="preserve">BENN                     SONIA        M           </v>
      </c>
      <c r="E23487" t="str">
        <f>"GERMANTOWN                "</f>
        <v xml:space="preserve">GERMANTOWN                </v>
      </c>
      <c r="F23487" t="str">
        <f t="shared" si="637"/>
        <v>TN</v>
      </c>
    </row>
    <row r="23488" spans="1:6" x14ac:dyDescent="0.25">
      <c r="A23488" t="str">
        <f>"200014274"</f>
        <v>200014274</v>
      </c>
      <c r="B23488" t="str">
        <f>"1740289701"</f>
        <v>1740289701</v>
      </c>
      <c r="C23488" t="str">
        <f>"2086X0206X"</f>
        <v>2086X0206X</v>
      </c>
      <c r="D23488" t="str">
        <f>"HAN                      LINDA        K           "</f>
        <v xml:space="preserve">HAN                      LINDA        K           </v>
      </c>
      <c r="E23488" t="str">
        <f>"GERMANTOWN                "</f>
        <v xml:space="preserve">GERMANTOWN                </v>
      </c>
      <c r="F23488" t="str">
        <f t="shared" si="637"/>
        <v>TN</v>
      </c>
    </row>
    <row r="23489" spans="1:6" x14ac:dyDescent="0.25">
      <c r="A23489" t="str">
        <f>"200014285"</f>
        <v>200014285</v>
      </c>
      <c r="B23489" t="str">
        <f>"1831518588"</f>
        <v>1831518588</v>
      </c>
      <c r="C23489" t="str">
        <f>"367500000X"</f>
        <v>367500000X</v>
      </c>
      <c r="D23489" t="str">
        <f>"LOW                      JOSEPHINE                "</f>
        <v xml:space="preserve">LOW                      JOSEPHINE                </v>
      </c>
      <c r="E23489" t="str">
        <f>"MEMPHIS                   "</f>
        <v xml:space="preserve">MEMPHIS                   </v>
      </c>
      <c r="F23489" t="str">
        <f t="shared" si="637"/>
        <v>TN</v>
      </c>
    </row>
    <row r="23490" spans="1:6" x14ac:dyDescent="0.25">
      <c r="A23490" t="str">
        <f>"200014319"</f>
        <v>200014319</v>
      </c>
      <c r="B23490" t="str">
        <f>"1457536559"</f>
        <v>1457536559</v>
      </c>
      <c r="C23490" t="str">
        <f>"207RN0300X"</f>
        <v>207RN0300X</v>
      </c>
      <c r="D23490" t="str">
        <f>"TALWAR                   MANISH                   "</f>
        <v xml:space="preserve">TALWAR                   MANISH                   </v>
      </c>
      <c r="E23490" t="str">
        <f>"MEMPHIS                   "</f>
        <v xml:space="preserve">MEMPHIS                   </v>
      </c>
      <c r="F23490" t="str">
        <f t="shared" si="637"/>
        <v>TN</v>
      </c>
    </row>
    <row r="23491" spans="1:6" x14ac:dyDescent="0.25">
      <c r="A23491" t="str">
        <f>"200014331"</f>
        <v>200014331</v>
      </c>
      <c r="B23491" t="str">
        <f>"1639170665"</f>
        <v>1639170665</v>
      </c>
      <c r="C23491" t="str">
        <f>"207RH0003X"</f>
        <v>207RH0003X</v>
      </c>
      <c r="D23491" t="str">
        <f>"RATLIFF                  THOMAS       W           "</f>
        <v xml:space="preserve">RATLIFF                  THOMAS       W           </v>
      </c>
      <c r="E23491" t="str">
        <f>"GERMANTOWN                "</f>
        <v xml:space="preserve">GERMANTOWN                </v>
      </c>
      <c r="F23491" t="str">
        <f t="shared" si="637"/>
        <v>TN</v>
      </c>
    </row>
    <row r="23492" spans="1:6" x14ac:dyDescent="0.25">
      <c r="A23492" t="str">
        <f>"200014350"</f>
        <v>200014350</v>
      </c>
      <c r="B23492" t="str">
        <f>"1871546580"</f>
        <v>1871546580</v>
      </c>
      <c r="C23492" t="str">
        <f>"207L00000X"</f>
        <v>207L00000X</v>
      </c>
      <c r="D23492" t="str">
        <f>"ZAFER                    GHANY                    "</f>
        <v xml:space="preserve">ZAFER                    GHANY                    </v>
      </c>
      <c r="E23492" t="str">
        <f>"MEMPHIS                   "</f>
        <v xml:space="preserve">MEMPHIS                   </v>
      </c>
      <c r="F23492" t="str">
        <f t="shared" si="637"/>
        <v>TN</v>
      </c>
    </row>
    <row r="23493" spans="1:6" x14ac:dyDescent="0.25">
      <c r="A23493" t="str">
        <f>"200014351"</f>
        <v>200014351</v>
      </c>
      <c r="B23493" t="str">
        <f>"1902883713"</f>
        <v>1902883713</v>
      </c>
      <c r="C23493" t="str">
        <f>"207L00000X"</f>
        <v>207L00000X</v>
      </c>
      <c r="D23493" t="str">
        <f>"WILSON                   RAYMOND                  "</f>
        <v xml:space="preserve">WILSON                   RAYMOND                  </v>
      </c>
      <c r="E23493" t="str">
        <f>"MEMPHIS                   "</f>
        <v xml:space="preserve">MEMPHIS                   </v>
      </c>
      <c r="F23493" t="str">
        <f t="shared" si="637"/>
        <v>TN</v>
      </c>
    </row>
    <row r="23494" spans="1:6" x14ac:dyDescent="0.25">
      <c r="A23494" t="str">
        <f>"200014359"</f>
        <v>200014359</v>
      </c>
      <c r="B23494" t="str">
        <f>"1710760392"</f>
        <v>1710760392</v>
      </c>
      <c r="C23494" t="str">
        <f>"363LF0000X"</f>
        <v>363LF0000X</v>
      </c>
      <c r="D23494" t="str">
        <f>"HAMMON                   GARRETT                  "</f>
        <v xml:space="preserve">HAMMON                   GARRETT                  </v>
      </c>
      <c r="E23494" t="str">
        <f>"MEMPHIS                   "</f>
        <v xml:space="preserve">MEMPHIS                   </v>
      </c>
      <c r="F23494" t="str">
        <f t="shared" si="637"/>
        <v>TN</v>
      </c>
    </row>
    <row r="23495" spans="1:6" x14ac:dyDescent="0.25">
      <c r="A23495" t="str">
        <f>"200014363"</f>
        <v>200014363</v>
      </c>
      <c r="B23495" t="str">
        <f>"1891954376"</f>
        <v>1891954376</v>
      </c>
      <c r="C23495" t="str">
        <f>"207P00000X"</f>
        <v>207P00000X</v>
      </c>
      <c r="D23495" t="str">
        <f>"TEJWANI                  NATASHA                  "</f>
        <v xml:space="preserve">TEJWANI                  NATASHA                  </v>
      </c>
      <c r="E23495" t="str">
        <f>"MEMPHIS                   "</f>
        <v xml:space="preserve">MEMPHIS                   </v>
      </c>
      <c r="F23495" t="str">
        <f t="shared" si="637"/>
        <v>TN</v>
      </c>
    </row>
    <row r="23496" spans="1:6" x14ac:dyDescent="0.25">
      <c r="A23496" t="str">
        <f>"200014387"</f>
        <v>200014387</v>
      </c>
      <c r="B23496" t="str">
        <f>"1154633857"</f>
        <v>1154633857</v>
      </c>
      <c r="C23496" t="str">
        <f>"207RH0003X"</f>
        <v>207RH0003X</v>
      </c>
      <c r="D23496" t="str">
        <f>"WIEDOWER                 ERIC         R           "</f>
        <v xml:space="preserve">WIEDOWER                 ERIC         R           </v>
      </c>
      <c r="E23496" t="str">
        <f>"GERMANTOWN                "</f>
        <v xml:space="preserve">GERMANTOWN                </v>
      </c>
      <c r="F23496" t="str">
        <f t="shared" si="637"/>
        <v>TN</v>
      </c>
    </row>
    <row r="23497" spans="1:6" x14ac:dyDescent="0.25">
      <c r="A23497" t="str">
        <f>"200014409"</f>
        <v>200014409</v>
      </c>
      <c r="B23497" t="str">
        <f>"1780217125"</f>
        <v>1780217125</v>
      </c>
      <c r="C23497" t="str">
        <f>"367500000X"</f>
        <v>367500000X</v>
      </c>
      <c r="D23497" t="str">
        <f>"DESRUISSEAUX             KEMENS                   "</f>
        <v xml:space="preserve">DESRUISSEAUX             KEMENS                   </v>
      </c>
      <c r="E23497" t="str">
        <f>"MEMPHIS                   "</f>
        <v xml:space="preserve">MEMPHIS                   </v>
      </c>
      <c r="F23497" t="str">
        <f t="shared" si="637"/>
        <v>TN</v>
      </c>
    </row>
    <row r="23498" spans="1:6" x14ac:dyDescent="0.25">
      <c r="A23498" t="str">
        <f>"200014447"</f>
        <v>200014447</v>
      </c>
      <c r="B23498" t="str">
        <f>"1720017577"</f>
        <v>1720017577</v>
      </c>
      <c r="C23498" t="str">
        <f>"207VX0201X"</f>
        <v>207VX0201X</v>
      </c>
      <c r="D23498" t="str">
        <f>"TILLMANNS                TODD         D           "</f>
        <v xml:space="preserve">TILLMANNS                TODD         D           </v>
      </c>
      <c r="E23498" t="str">
        <f>"GERMANTOWN                "</f>
        <v xml:space="preserve">GERMANTOWN                </v>
      </c>
      <c r="F23498" t="str">
        <f t="shared" si="637"/>
        <v>TN</v>
      </c>
    </row>
    <row r="23499" spans="1:6" x14ac:dyDescent="0.25">
      <c r="A23499" t="str">
        <f>"200014478"</f>
        <v>200014478</v>
      </c>
      <c r="B23499" t="str">
        <f>"1972343697"</f>
        <v>1972343697</v>
      </c>
      <c r="C23499" t="str">
        <f>"367500000X"</f>
        <v>367500000X</v>
      </c>
      <c r="D23499" t="str">
        <f>"CONNOR                   MARY                     "</f>
        <v xml:space="preserve">CONNOR                   MARY                     </v>
      </c>
      <c r="E23499" t="str">
        <f>"MEMPHIS                   "</f>
        <v xml:space="preserve">MEMPHIS                   </v>
      </c>
      <c r="F23499" t="str">
        <f t="shared" si="637"/>
        <v>TN</v>
      </c>
    </row>
    <row r="23500" spans="1:6" x14ac:dyDescent="0.25">
      <c r="A23500" t="str">
        <f>"200014525"</f>
        <v>200014525</v>
      </c>
      <c r="B23500" t="str">
        <f>"1932185600"</f>
        <v>1932185600</v>
      </c>
      <c r="C23500" t="str">
        <f>"207L00000X"</f>
        <v>207L00000X</v>
      </c>
      <c r="D23500" t="str">
        <f>"HAZELHURST               WARING                   "</f>
        <v xml:space="preserve">HAZELHURST               WARING                   </v>
      </c>
      <c r="E23500" t="str">
        <f>"MEMPHIS                   "</f>
        <v xml:space="preserve">MEMPHIS                   </v>
      </c>
      <c r="F23500" t="str">
        <f t="shared" si="637"/>
        <v>TN</v>
      </c>
    </row>
    <row r="23501" spans="1:6" x14ac:dyDescent="0.25">
      <c r="A23501" t="str">
        <f>"200014554"</f>
        <v>200014554</v>
      </c>
      <c r="B23501" t="str">
        <f>"1134748577"</f>
        <v>1134748577</v>
      </c>
      <c r="C23501" t="str">
        <f>"208000000X"</f>
        <v>208000000X</v>
      </c>
      <c r="D23501" t="str">
        <f>"FLATTMANN                KAITLIN                  "</f>
        <v xml:space="preserve">FLATTMANN                KAITLIN                  </v>
      </c>
      <c r="E23501" t="str">
        <f>"MEMPHIS                   "</f>
        <v xml:space="preserve">MEMPHIS                   </v>
      </c>
      <c r="F23501" t="str">
        <f t="shared" si="637"/>
        <v>TN</v>
      </c>
    </row>
    <row r="23502" spans="1:6" x14ac:dyDescent="0.25">
      <c r="A23502" t="str">
        <f>"200014560"</f>
        <v>200014560</v>
      </c>
      <c r="B23502" t="str">
        <f>"1487861357"</f>
        <v>1487861357</v>
      </c>
      <c r="C23502" t="str">
        <f>"208000000X"</f>
        <v>208000000X</v>
      </c>
      <c r="D23502" t="str">
        <f>"STANCIL                  STEPHEN                  "</f>
        <v xml:space="preserve">STANCIL                  STEPHEN                  </v>
      </c>
      <c r="E23502" t="str">
        <f>"MEMPHIS                   "</f>
        <v xml:space="preserve">MEMPHIS                   </v>
      </c>
      <c r="F23502" t="str">
        <f t="shared" si="637"/>
        <v>TN</v>
      </c>
    </row>
    <row r="23503" spans="1:6" x14ac:dyDescent="0.25">
      <c r="A23503" t="str">
        <f>"200014567"</f>
        <v>200014567</v>
      </c>
      <c r="B23503" t="str">
        <f>"1881858165"</f>
        <v>1881858165</v>
      </c>
      <c r="C23503" t="str">
        <f>"207RI0200X"</f>
        <v>207RI0200X</v>
      </c>
      <c r="D23503" t="str">
        <f>"ANIMALU                  CHINELO                  "</f>
        <v xml:space="preserve">ANIMALU                  CHINELO                  </v>
      </c>
      <c r="E23503" t="str">
        <f>"MEMPHIS                   "</f>
        <v xml:space="preserve">MEMPHIS                   </v>
      </c>
      <c r="F23503" t="str">
        <f t="shared" si="637"/>
        <v>TN</v>
      </c>
    </row>
    <row r="23504" spans="1:6" x14ac:dyDescent="0.25">
      <c r="A23504" t="str">
        <f>"200014592"</f>
        <v>200014592</v>
      </c>
      <c r="B23504" t="str">
        <f>"1437188273"</f>
        <v>1437188273</v>
      </c>
      <c r="C23504" t="str">
        <f>"207VX0201X"</f>
        <v>207VX0201X</v>
      </c>
      <c r="D23504" t="str">
        <f>"SMILEY                   LINDA        M           "</f>
        <v xml:space="preserve">SMILEY                   LINDA        M           </v>
      </c>
      <c r="E23504" t="str">
        <f>"GERMANTOWN                "</f>
        <v xml:space="preserve">GERMANTOWN                </v>
      </c>
      <c r="F23504" t="str">
        <f t="shared" si="637"/>
        <v>TN</v>
      </c>
    </row>
    <row r="23505" spans="1:6" x14ac:dyDescent="0.25">
      <c r="A23505" t="str">
        <f>"200014596"</f>
        <v>200014596</v>
      </c>
      <c r="B23505" t="str">
        <f>"1184917544"</f>
        <v>1184917544</v>
      </c>
      <c r="C23505" t="str">
        <f>"207VX0201X"</f>
        <v>207VX0201X</v>
      </c>
      <c r="D23505" t="str">
        <f>"ULM                      MICHAEL      A           "</f>
        <v xml:space="preserve">ULM                      MICHAEL      A           </v>
      </c>
      <c r="E23505" t="str">
        <f>"GERMANTOWN                "</f>
        <v xml:space="preserve">GERMANTOWN                </v>
      </c>
      <c r="F23505" t="str">
        <f t="shared" si="637"/>
        <v>TN</v>
      </c>
    </row>
    <row r="23506" spans="1:6" x14ac:dyDescent="0.25">
      <c r="A23506" t="str">
        <f>"200014603"</f>
        <v>200014603</v>
      </c>
      <c r="B23506" t="str">
        <f>"1093072654"</f>
        <v>1093072654</v>
      </c>
      <c r="C23506" t="str">
        <f>"207RC0001X"</f>
        <v>207RC0001X</v>
      </c>
      <c r="D23506" t="str">
        <f>"HOLMES                   BENJAMIN                 "</f>
        <v xml:space="preserve">HOLMES                   BENJAMIN                 </v>
      </c>
      <c r="E23506" t="str">
        <f>"CORDOVA                   "</f>
        <v xml:space="preserve">CORDOVA                   </v>
      </c>
      <c r="F23506" t="str">
        <f t="shared" si="637"/>
        <v>TN</v>
      </c>
    </row>
    <row r="23507" spans="1:6" x14ac:dyDescent="0.25">
      <c r="A23507" t="str">
        <f>"200014660"</f>
        <v>200014660</v>
      </c>
      <c r="B23507" t="str">
        <f>"1003864893"</f>
        <v>1003864893</v>
      </c>
      <c r="C23507" t="str">
        <f>"2080P0207X"</f>
        <v>2080P0207X</v>
      </c>
      <c r="D23507" t="str">
        <f>"BALL                     JAMES                    "</f>
        <v xml:space="preserve">BALL                     JAMES                    </v>
      </c>
      <c r="E23507" t="str">
        <f>"MEMPHIS                   "</f>
        <v xml:space="preserve">MEMPHIS                   </v>
      </c>
      <c r="F23507" t="str">
        <f t="shared" si="637"/>
        <v>TN</v>
      </c>
    </row>
    <row r="23508" spans="1:6" x14ac:dyDescent="0.25">
      <c r="A23508" t="str">
        <f>"200014669"</f>
        <v>200014669</v>
      </c>
      <c r="B23508" t="str">
        <f>"1578889580"</f>
        <v>1578889580</v>
      </c>
      <c r="C23508" t="str">
        <f>"2080P0214X"</f>
        <v>2080P0214X</v>
      </c>
      <c r="D23508" t="str">
        <f>"O'CONNOR                 MICHAEL                  "</f>
        <v xml:space="preserve">O'CONNOR                 MICHAEL                  </v>
      </c>
      <c r="E23508" t="str">
        <f>"NASHVILLE                 "</f>
        <v xml:space="preserve">NASHVILLE                 </v>
      </c>
      <c r="F23508" t="str">
        <f t="shared" si="637"/>
        <v>TN</v>
      </c>
    </row>
    <row r="23509" spans="1:6" x14ac:dyDescent="0.25">
      <c r="A23509" t="str">
        <f>"200014690"</f>
        <v>200014690</v>
      </c>
      <c r="B23509" t="str">
        <f>"1093752198"</f>
        <v>1093752198</v>
      </c>
      <c r="C23509" t="str">
        <f>"207Q00000X"</f>
        <v>207Q00000X</v>
      </c>
      <c r="D23509" t="str">
        <f>"JACKSON                  ANNA                     "</f>
        <v xml:space="preserve">JACKSON                  ANNA                     </v>
      </c>
      <c r="E23509" t="str">
        <f>"MEMPHIS                   "</f>
        <v xml:space="preserve">MEMPHIS                   </v>
      </c>
      <c r="F23509" t="str">
        <f t="shared" si="637"/>
        <v>TN</v>
      </c>
    </row>
    <row r="23510" spans="1:6" x14ac:dyDescent="0.25">
      <c r="A23510" t="str">
        <f>"200014695"</f>
        <v>200014695</v>
      </c>
      <c r="B23510" t="str">
        <f>"1053311241"</f>
        <v>1053311241</v>
      </c>
      <c r="C23510" t="str">
        <f>"207PP0204X"</f>
        <v>207PP0204X</v>
      </c>
      <c r="D23510" t="str">
        <f>"MORETTA                  ANTHONY                  "</f>
        <v xml:space="preserve">MORETTA                  ANTHONY                  </v>
      </c>
      <c r="E23510" t="str">
        <f>"MEMPHIS                   "</f>
        <v xml:space="preserve">MEMPHIS                   </v>
      </c>
      <c r="F23510" t="str">
        <f t="shared" si="637"/>
        <v>TN</v>
      </c>
    </row>
    <row r="23511" spans="1:6" x14ac:dyDescent="0.25">
      <c r="A23511" t="str">
        <f>"200014703"</f>
        <v>200014703</v>
      </c>
      <c r="B23511" t="str">
        <f>"1124874482"</f>
        <v>1124874482</v>
      </c>
      <c r="C23511" t="str">
        <f>"367500000X"</f>
        <v>367500000X</v>
      </c>
      <c r="D23511" t="str">
        <f>"SCHULTZ                  SAMANTHA                 "</f>
        <v xml:space="preserve">SCHULTZ                  SAMANTHA                 </v>
      </c>
      <c r="E23511" t="str">
        <f>"MEMPHIS                   "</f>
        <v xml:space="preserve">MEMPHIS                   </v>
      </c>
      <c r="F23511" t="str">
        <f t="shared" si="637"/>
        <v>TN</v>
      </c>
    </row>
    <row r="23512" spans="1:6" x14ac:dyDescent="0.25">
      <c r="A23512" t="str">
        <f>"200014716"</f>
        <v>200014716</v>
      </c>
      <c r="B23512" t="str">
        <f>"1083879381"</f>
        <v>1083879381</v>
      </c>
      <c r="C23512" t="str">
        <f>"207L00000X"</f>
        <v>207L00000X</v>
      </c>
      <c r="D23512" t="str">
        <f>"SWAIN                    RYAN                     "</f>
        <v xml:space="preserve">SWAIN                    RYAN                     </v>
      </c>
      <c r="E23512" t="str">
        <f>"MEMPHIS                   "</f>
        <v xml:space="preserve">MEMPHIS                   </v>
      </c>
      <c r="F23512" t="str">
        <f t="shared" si="637"/>
        <v>TN</v>
      </c>
    </row>
    <row r="23513" spans="1:6" x14ac:dyDescent="0.25">
      <c r="A23513" t="str">
        <f>"200014726"</f>
        <v>200014726</v>
      </c>
      <c r="B23513" t="str">
        <f>"1205093085"</f>
        <v>1205093085</v>
      </c>
      <c r="C23513" t="str">
        <f>"207Q00000X"</f>
        <v>207Q00000X</v>
      </c>
      <c r="D23513" t="str">
        <f>"RAJU                     SAILAJA                  "</f>
        <v xml:space="preserve">RAJU                     SAILAJA                  </v>
      </c>
      <c r="E23513" t="str">
        <f>"GERMANTOWN                "</f>
        <v xml:space="preserve">GERMANTOWN                </v>
      </c>
      <c r="F23513" t="str">
        <f t="shared" si="637"/>
        <v>TN</v>
      </c>
    </row>
    <row r="23514" spans="1:6" x14ac:dyDescent="0.25">
      <c r="A23514" t="str">
        <f>"200014730"</f>
        <v>200014730</v>
      </c>
      <c r="B23514" t="str">
        <f>"1235710021"</f>
        <v>1235710021</v>
      </c>
      <c r="C23514" t="str">
        <f>"207P00000X"</f>
        <v>207P00000X</v>
      </c>
      <c r="D23514" t="str">
        <f>"WILSON                   JOSHUA       D           "</f>
        <v xml:space="preserve">WILSON                   JOSHUA       D           </v>
      </c>
      <c r="E23514" t="str">
        <f t="shared" ref="E23514:E23520" si="638">"MEMPHIS                   "</f>
        <v xml:space="preserve">MEMPHIS                   </v>
      </c>
      <c r="F23514" t="str">
        <f t="shared" si="637"/>
        <v>TN</v>
      </c>
    </row>
    <row r="23515" spans="1:6" x14ac:dyDescent="0.25">
      <c r="A23515" t="str">
        <f>"200014731"</f>
        <v>200014731</v>
      </c>
      <c r="B23515" t="str">
        <f>"1962138339"</f>
        <v>1962138339</v>
      </c>
      <c r="C23515" t="str">
        <f>"367500000X"</f>
        <v>367500000X</v>
      </c>
      <c r="D23515" t="str">
        <f>"ARYAL                    RAJU                     "</f>
        <v xml:space="preserve">ARYAL                    RAJU                     </v>
      </c>
      <c r="E23515" t="str">
        <f t="shared" si="638"/>
        <v xml:space="preserve">MEMPHIS                   </v>
      </c>
      <c r="F23515" t="str">
        <f t="shared" si="637"/>
        <v>TN</v>
      </c>
    </row>
    <row r="23516" spans="1:6" x14ac:dyDescent="0.25">
      <c r="A23516" t="str">
        <f>"200014795"</f>
        <v>200014795</v>
      </c>
      <c r="B23516" t="str">
        <f>"1225482425"</f>
        <v>1225482425</v>
      </c>
      <c r="C23516" t="str">
        <f>"2086S0102X"</f>
        <v>2086S0102X</v>
      </c>
      <c r="D23516" t="str">
        <f>"BLACK                    KENDRA                   "</f>
        <v xml:space="preserve">BLACK                    KENDRA                   </v>
      </c>
      <c r="E23516" t="str">
        <f t="shared" si="638"/>
        <v xml:space="preserve">MEMPHIS                   </v>
      </c>
      <c r="F23516" t="str">
        <f t="shared" si="637"/>
        <v>TN</v>
      </c>
    </row>
    <row r="23517" spans="1:6" x14ac:dyDescent="0.25">
      <c r="A23517" t="str">
        <f>"200014799"</f>
        <v>200014799</v>
      </c>
      <c r="B23517" t="str">
        <f>"1861597742"</f>
        <v>1861597742</v>
      </c>
      <c r="C23517" t="str">
        <f>"207L00000X"</f>
        <v>207L00000X</v>
      </c>
      <c r="D23517" t="str">
        <f>"THANNUM                  SHELLY                   "</f>
        <v xml:space="preserve">THANNUM                  SHELLY                   </v>
      </c>
      <c r="E23517" t="str">
        <f t="shared" si="638"/>
        <v xml:space="preserve">MEMPHIS                   </v>
      </c>
      <c r="F23517" t="str">
        <f t="shared" si="637"/>
        <v>TN</v>
      </c>
    </row>
    <row r="23518" spans="1:6" x14ac:dyDescent="0.25">
      <c r="A23518" t="str">
        <f>"200014816"</f>
        <v>200014816</v>
      </c>
      <c r="B23518" t="str">
        <f>"1659691350"</f>
        <v>1659691350</v>
      </c>
      <c r="C23518" t="str">
        <f>"207L00000X"</f>
        <v>207L00000X</v>
      </c>
      <c r="D23518" t="str">
        <f>"WU                       MEI          L           "</f>
        <v xml:space="preserve">WU                       MEI          L           </v>
      </c>
      <c r="E23518" t="str">
        <f t="shared" si="638"/>
        <v xml:space="preserve">MEMPHIS                   </v>
      </c>
      <c r="F23518" t="str">
        <f t="shared" si="637"/>
        <v>TN</v>
      </c>
    </row>
    <row r="23519" spans="1:6" x14ac:dyDescent="0.25">
      <c r="A23519" t="str">
        <f>"200014865"</f>
        <v>200014865</v>
      </c>
      <c r="B23519" t="str">
        <f>"1821651282"</f>
        <v>1821651282</v>
      </c>
      <c r="C23519" t="str">
        <f>"207RA0401X"</f>
        <v>207RA0401X</v>
      </c>
      <c r="D23519" t="str">
        <f>"BEZOLD                   JACOB                    "</f>
        <v xml:space="preserve">BEZOLD                   JACOB                    </v>
      </c>
      <c r="E23519" t="str">
        <f t="shared" si="638"/>
        <v xml:space="preserve">MEMPHIS                   </v>
      </c>
      <c r="F23519" t="str">
        <f t="shared" si="637"/>
        <v>TN</v>
      </c>
    </row>
    <row r="23520" spans="1:6" x14ac:dyDescent="0.25">
      <c r="A23520" t="str">
        <f>"200014879"</f>
        <v>200014879</v>
      </c>
      <c r="B23520" t="str">
        <f>"1639909955"</f>
        <v>1639909955</v>
      </c>
      <c r="C23520" t="str">
        <f>"363LA2100X"</f>
        <v>363LA2100X</v>
      </c>
      <c r="D23520" t="str">
        <f>"CRONE                    ALLISON      C           "</f>
        <v xml:space="preserve">CRONE                    ALLISON      C           </v>
      </c>
      <c r="E23520" t="str">
        <f t="shared" si="638"/>
        <v xml:space="preserve">MEMPHIS                   </v>
      </c>
      <c r="F23520" t="str">
        <f t="shared" si="637"/>
        <v>TN</v>
      </c>
    </row>
    <row r="23521" spans="1:6" x14ac:dyDescent="0.25">
      <c r="A23521" t="str">
        <f>"200014893"</f>
        <v>200014893</v>
      </c>
      <c r="B23521" t="str">
        <f>"1730263849"</f>
        <v>1730263849</v>
      </c>
      <c r="C23521" t="str">
        <f>"2080P0206X"</f>
        <v>2080P0206X</v>
      </c>
      <c r="D23521" t="str">
        <f>"ACRA                     SARI                     "</f>
        <v xml:space="preserve">ACRA                     SARI                     </v>
      </c>
      <c r="E23521" t="str">
        <f>"NASHVILLE                 "</f>
        <v xml:space="preserve">NASHVILLE                 </v>
      </c>
      <c r="F23521" t="str">
        <f t="shared" si="637"/>
        <v>TN</v>
      </c>
    </row>
    <row r="23522" spans="1:6" x14ac:dyDescent="0.25">
      <c r="A23522" t="str">
        <f>"200014908"</f>
        <v>200014908</v>
      </c>
      <c r="B23522" t="str">
        <f>"1336672476"</f>
        <v>1336672476</v>
      </c>
      <c r="C23522" t="str">
        <f>"2084N0400X"</f>
        <v>2084N0400X</v>
      </c>
      <c r="D23522" t="str">
        <f>"ADAMS                    CHRISTOPHER  A           "</f>
        <v xml:space="preserve">ADAMS                    CHRISTOPHER  A           </v>
      </c>
      <c r="E23522" t="str">
        <f>"MEMPHIS                   "</f>
        <v xml:space="preserve">MEMPHIS                   </v>
      </c>
      <c r="F23522" t="str">
        <f t="shared" si="637"/>
        <v>TN</v>
      </c>
    </row>
    <row r="23523" spans="1:6" x14ac:dyDescent="0.25">
      <c r="A23523" t="str">
        <f>"200014932"</f>
        <v>200014932</v>
      </c>
      <c r="B23523" t="str">
        <f>"1023143740"</f>
        <v>1023143740</v>
      </c>
      <c r="C23523" t="str">
        <f>"207Q00000X"</f>
        <v>207Q00000X</v>
      </c>
      <c r="D23523" t="str">
        <f>"ROBBINS                  MELISSA                  "</f>
        <v xml:space="preserve">ROBBINS                  MELISSA                  </v>
      </c>
      <c r="E23523" t="str">
        <f>"GERMANTOWN                "</f>
        <v xml:space="preserve">GERMANTOWN                </v>
      </c>
      <c r="F23523" t="str">
        <f t="shared" si="637"/>
        <v>TN</v>
      </c>
    </row>
    <row r="23524" spans="1:6" x14ac:dyDescent="0.25">
      <c r="A23524" t="str">
        <f>"200014943"</f>
        <v>200014943</v>
      </c>
      <c r="B23524" t="str">
        <f>"1497140636"</f>
        <v>1497140636</v>
      </c>
      <c r="C23524" t="str">
        <f>"1223P0221X"</f>
        <v>1223P0221X</v>
      </c>
      <c r="D23524" t="str">
        <f>"SMITH                    MARY                     "</f>
        <v xml:space="preserve">SMITH                    MARY                     </v>
      </c>
      <c r="E23524" t="str">
        <f>"MEMPHIS                   "</f>
        <v xml:space="preserve">MEMPHIS                   </v>
      </c>
      <c r="F23524" t="str">
        <f t="shared" si="637"/>
        <v>TN</v>
      </c>
    </row>
    <row r="23525" spans="1:6" x14ac:dyDescent="0.25">
      <c r="A23525" t="str">
        <f>"200014945"</f>
        <v>200014945</v>
      </c>
      <c r="B23525" t="str">
        <f>"1841633823"</f>
        <v>1841633823</v>
      </c>
      <c r="C23525" t="str">
        <f>"208000000X"</f>
        <v>208000000X</v>
      </c>
      <c r="D23525" t="str">
        <f>"EJIKE                    OLUWADAMILOLA            "</f>
        <v xml:space="preserve">EJIKE                    OLUWADAMILOLA            </v>
      </c>
      <c r="E23525" t="str">
        <f>"MEMPHIS                   "</f>
        <v xml:space="preserve">MEMPHIS                   </v>
      </c>
      <c r="F23525" t="str">
        <f t="shared" si="637"/>
        <v>TN</v>
      </c>
    </row>
    <row r="23526" spans="1:6" x14ac:dyDescent="0.25">
      <c r="A23526" t="str">
        <f>"200014978"</f>
        <v>200014978</v>
      </c>
      <c r="B23526" t="str">
        <f>"1114556941"</f>
        <v>1114556941</v>
      </c>
      <c r="C23526" t="str">
        <f>"208000000X"</f>
        <v>208000000X</v>
      </c>
      <c r="D23526" t="str">
        <f>"DANIELS                  KATELYN      P           "</f>
        <v xml:space="preserve">DANIELS                  KATELYN      P           </v>
      </c>
      <c r="E23526" t="str">
        <f>"MEMPHIS                   "</f>
        <v xml:space="preserve">MEMPHIS                   </v>
      </c>
      <c r="F23526" t="str">
        <f t="shared" si="637"/>
        <v>TN</v>
      </c>
    </row>
    <row r="23527" spans="1:6" x14ac:dyDescent="0.25">
      <c r="A23527" t="str">
        <f>"200014999"</f>
        <v>200014999</v>
      </c>
      <c r="B23527" t="str">
        <f>"1750954640"</f>
        <v>1750954640</v>
      </c>
      <c r="C23527" t="str">
        <f>"363LF0000X"</f>
        <v>363LF0000X</v>
      </c>
      <c r="D23527" t="str">
        <f>"BASS                     NATALIE                  "</f>
        <v xml:space="preserve">BASS                     NATALIE                  </v>
      </c>
      <c r="E23527" t="str">
        <f>"BARTLETT                  "</f>
        <v xml:space="preserve">BARTLETT                  </v>
      </c>
      <c r="F23527" t="str">
        <f t="shared" si="637"/>
        <v>TN</v>
      </c>
    </row>
    <row r="23528" spans="1:6" x14ac:dyDescent="0.25">
      <c r="A23528" t="str">
        <f>"200015007"</f>
        <v>200015007</v>
      </c>
      <c r="B23528" t="str">
        <f>"1467292425"</f>
        <v>1467292425</v>
      </c>
      <c r="C23528" t="str">
        <f>"367500000X"</f>
        <v>367500000X</v>
      </c>
      <c r="D23528" t="str">
        <f>"TUBRE                    ORAN                     "</f>
        <v xml:space="preserve">TUBRE                    ORAN                     </v>
      </c>
      <c r="E23528" t="str">
        <f t="shared" ref="E23528:E23537" si="639">"MEMPHIS                   "</f>
        <v xml:space="preserve">MEMPHIS                   </v>
      </c>
      <c r="F23528" t="str">
        <f t="shared" si="637"/>
        <v>TN</v>
      </c>
    </row>
    <row r="23529" spans="1:6" x14ac:dyDescent="0.25">
      <c r="A23529" t="str">
        <f>"200015015"</f>
        <v>200015015</v>
      </c>
      <c r="B23529" t="str">
        <f>"1790542561"</f>
        <v>1790542561</v>
      </c>
      <c r="C23529" t="str">
        <f>"363LF0000X"</f>
        <v>363LF0000X</v>
      </c>
      <c r="D23529" t="str">
        <f>"WEBSTER                  LAUREN                   "</f>
        <v xml:space="preserve">WEBSTER                  LAUREN                   </v>
      </c>
      <c r="E23529" t="str">
        <f t="shared" si="639"/>
        <v xml:space="preserve">MEMPHIS                   </v>
      </c>
      <c r="F23529" t="str">
        <f t="shared" si="637"/>
        <v>TN</v>
      </c>
    </row>
    <row r="23530" spans="1:6" x14ac:dyDescent="0.25">
      <c r="A23530" t="str">
        <f>"200015017"</f>
        <v>200015017</v>
      </c>
      <c r="B23530" t="str">
        <f>"1912070632"</f>
        <v>1912070632</v>
      </c>
      <c r="C23530" t="str">
        <f>"2080P0203X"</f>
        <v>2080P0203X</v>
      </c>
      <c r="D23530" t="str">
        <f>"HASAN                    MUHAMMAD                 "</f>
        <v xml:space="preserve">HASAN                    MUHAMMAD                 </v>
      </c>
      <c r="E23530" t="str">
        <f t="shared" si="639"/>
        <v xml:space="preserve">MEMPHIS                   </v>
      </c>
      <c r="F23530" t="str">
        <f t="shared" si="637"/>
        <v>TN</v>
      </c>
    </row>
    <row r="23531" spans="1:6" x14ac:dyDescent="0.25">
      <c r="A23531" t="str">
        <f>"200015024"</f>
        <v>200015024</v>
      </c>
      <c r="B23531" t="str">
        <f>"1881288694"</f>
        <v>1881288694</v>
      </c>
      <c r="C23531" t="str">
        <f>"207P00000X"</f>
        <v>207P00000X</v>
      </c>
      <c r="D23531" t="str">
        <f>"ISENNOCK                 CHRISTOPHER              "</f>
        <v xml:space="preserve">ISENNOCK                 CHRISTOPHER              </v>
      </c>
      <c r="E23531" t="str">
        <f t="shared" si="639"/>
        <v xml:space="preserve">MEMPHIS                   </v>
      </c>
      <c r="F23531" t="str">
        <f t="shared" si="637"/>
        <v>TN</v>
      </c>
    </row>
    <row r="23532" spans="1:6" x14ac:dyDescent="0.25">
      <c r="A23532" t="str">
        <f>"200015046"</f>
        <v>200015046</v>
      </c>
      <c r="B23532" t="str">
        <f>"1831332626"</f>
        <v>1831332626</v>
      </c>
      <c r="C23532" t="str">
        <f>"2080P0202X"</f>
        <v>2080P0202X</v>
      </c>
      <c r="D23532" t="str">
        <f>"GUERRIER                 KARINE                   "</f>
        <v xml:space="preserve">GUERRIER                 KARINE                   </v>
      </c>
      <c r="E23532" t="str">
        <f t="shared" si="639"/>
        <v xml:space="preserve">MEMPHIS                   </v>
      </c>
      <c r="F23532" t="str">
        <f t="shared" si="637"/>
        <v>TN</v>
      </c>
    </row>
    <row r="23533" spans="1:6" x14ac:dyDescent="0.25">
      <c r="A23533" t="str">
        <f>"200015062"</f>
        <v>200015062</v>
      </c>
      <c r="B23533" t="str">
        <f>"1326005927"</f>
        <v>1326005927</v>
      </c>
      <c r="C23533" t="str">
        <f>"208600000X"</f>
        <v>208600000X</v>
      </c>
      <c r="D23533" t="str">
        <f>"MARTIN                   RODNEY       A           "</f>
        <v xml:space="preserve">MARTIN                   RODNEY       A           </v>
      </c>
      <c r="E23533" t="str">
        <f t="shared" si="639"/>
        <v xml:space="preserve">MEMPHIS                   </v>
      </c>
      <c r="F23533" t="str">
        <f t="shared" si="637"/>
        <v>TN</v>
      </c>
    </row>
    <row r="23534" spans="1:6" x14ac:dyDescent="0.25">
      <c r="A23534" t="str">
        <f>"200015063"</f>
        <v>200015063</v>
      </c>
      <c r="B23534" t="str">
        <f>"1396951687"</f>
        <v>1396951687</v>
      </c>
      <c r="C23534" t="str">
        <f>"2080P0202X"</f>
        <v>2080P0202X</v>
      </c>
      <c r="D23534" t="str">
        <f>"ABSI                     MOHAMMED                 "</f>
        <v xml:space="preserve">ABSI                     MOHAMMED                 </v>
      </c>
      <c r="E23534" t="str">
        <f t="shared" si="639"/>
        <v xml:space="preserve">MEMPHIS                   </v>
      </c>
      <c r="F23534" t="str">
        <f t="shared" si="637"/>
        <v>TN</v>
      </c>
    </row>
    <row r="23535" spans="1:6" x14ac:dyDescent="0.25">
      <c r="A23535" t="str">
        <f>"200015075"</f>
        <v>200015075</v>
      </c>
      <c r="B23535" t="str">
        <f>"1841630894"</f>
        <v>1841630894</v>
      </c>
      <c r="C23535" t="str">
        <f>"2080P0202X"</f>
        <v>2080P0202X</v>
      </c>
      <c r="D23535" t="str">
        <f>"KARIKARI                 YAA                      "</f>
        <v xml:space="preserve">KARIKARI                 YAA                      </v>
      </c>
      <c r="E23535" t="str">
        <f t="shared" si="639"/>
        <v xml:space="preserve">MEMPHIS                   </v>
      </c>
      <c r="F23535" t="str">
        <f t="shared" si="637"/>
        <v>TN</v>
      </c>
    </row>
    <row r="23536" spans="1:6" x14ac:dyDescent="0.25">
      <c r="A23536" t="str">
        <f>"200015092"</f>
        <v>200015092</v>
      </c>
      <c r="B23536" t="str">
        <f>"1932769346"</f>
        <v>1932769346</v>
      </c>
      <c r="C23536" t="str">
        <f>"2080P0207X"</f>
        <v>2080P0207X</v>
      </c>
      <c r="D23536" t="str">
        <f>"LILLEY                   MEGAN                    "</f>
        <v xml:space="preserve">LILLEY                   MEGAN                    </v>
      </c>
      <c r="E23536" t="str">
        <f t="shared" si="639"/>
        <v xml:space="preserve">MEMPHIS                   </v>
      </c>
      <c r="F23536" t="str">
        <f t="shared" si="637"/>
        <v>TN</v>
      </c>
    </row>
    <row r="23537" spans="1:6" x14ac:dyDescent="0.25">
      <c r="A23537" t="str">
        <f>"200015094"</f>
        <v>200015094</v>
      </c>
      <c r="B23537" t="str">
        <f>"1235759986"</f>
        <v>1235759986</v>
      </c>
      <c r="C23537" t="str">
        <f>"208000000X"</f>
        <v>208000000X</v>
      </c>
      <c r="D23537" t="str">
        <f>"GEHLE                    STEPHANIE                "</f>
        <v xml:space="preserve">GEHLE                    STEPHANIE                </v>
      </c>
      <c r="E23537" t="str">
        <f t="shared" si="639"/>
        <v xml:space="preserve">MEMPHIS                   </v>
      </c>
      <c r="F23537" t="str">
        <f t="shared" si="637"/>
        <v>TN</v>
      </c>
    </row>
    <row r="23538" spans="1:6" x14ac:dyDescent="0.25">
      <c r="A23538" t="str">
        <f>"200015097"</f>
        <v>200015097</v>
      </c>
      <c r="B23538" t="str">
        <f>"1427674878"</f>
        <v>1427674878</v>
      </c>
      <c r="C23538" t="str">
        <f>"207P00000X"</f>
        <v>207P00000X</v>
      </c>
      <c r="D23538" t="str">
        <f>"MCDONOUGH                CHRISTINA                "</f>
        <v xml:space="preserve">MCDONOUGH                CHRISTINA                </v>
      </c>
      <c r="E23538" t="str">
        <f>"COLLIERVILLE              "</f>
        <v xml:space="preserve">COLLIERVILLE              </v>
      </c>
      <c r="F23538" t="str">
        <f t="shared" si="637"/>
        <v>TN</v>
      </c>
    </row>
    <row r="23539" spans="1:6" x14ac:dyDescent="0.25">
      <c r="A23539" t="str">
        <f>"200015098"</f>
        <v>200015098</v>
      </c>
      <c r="B23539" t="str">
        <f>"1003339011"</f>
        <v>1003339011</v>
      </c>
      <c r="C23539" t="str">
        <f>"367500000X"</f>
        <v>367500000X</v>
      </c>
      <c r="D23539" t="str">
        <f>"TOWNSEND                 SOPHIA       N           "</f>
        <v xml:space="preserve">TOWNSEND                 SOPHIA       N           </v>
      </c>
      <c r="E23539" t="str">
        <f>"MEMPHIS                   "</f>
        <v xml:space="preserve">MEMPHIS                   </v>
      </c>
      <c r="F23539" t="str">
        <f t="shared" si="637"/>
        <v>TN</v>
      </c>
    </row>
    <row r="23540" spans="1:6" x14ac:dyDescent="0.25">
      <c r="A23540" t="str">
        <f>"200015115"</f>
        <v>200015115</v>
      </c>
      <c r="B23540" t="str">
        <f>"1417922675"</f>
        <v>1417922675</v>
      </c>
      <c r="C23540" t="str">
        <f>"207L00000X"</f>
        <v>207L00000X</v>
      </c>
      <c r="D23540" t="str">
        <f>"PATEL                    VIKRAM       P           "</f>
        <v xml:space="preserve">PATEL                    VIKRAM       P           </v>
      </c>
      <c r="E23540" t="str">
        <f>"MEMPHIS                   "</f>
        <v xml:space="preserve">MEMPHIS                   </v>
      </c>
      <c r="F23540" t="str">
        <f t="shared" si="637"/>
        <v>TN</v>
      </c>
    </row>
    <row r="23541" spans="1:6" x14ac:dyDescent="0.25">
      <c r="A23541" t="str">
        <f>"200015118"</f>
        <v>200015118</v>
      </c>
      <c r="B23541" t="str">
        <f>"1881160059"</f>
        <v>1881160059</v>
      </c>
      <c r="C23541" t="str">
        <f>"363L00000X"</f>
        <v>363L00000X</v>
      </c>
      <c r="D23541" t="str">
        <f>"HERNANDEZ                CHRISTOPHER  P           "</f>
        <v xml:space="preserve">HERNANDEZ                CHRISTOPHER  P           </v>
      </c>
      <c r="E23541" t="str">
        <f>"MEMPHIS                   "</f>
        <v xml:space="preserve">MEMPHIS                   </v>
      </c>
      <c r="F23541" t="str">
        <f t="shared" si="637"/>
        <v>TN</v>
      </c>
    </row>
    <row r="23542" spans="1:6" x14ac:dyDescent="0.25">
      <c r="A23542" t="str">
        <f>"200015127"</f>
        <v>200015127</v>
      </c>
      <c r="B23542" t="str">
        <f>"1467892695"</f>
        <v>1467892695</v>
      </c>
      <c r="C23542" t="str">
        <f>"2080P0208X"</f>
        <v>2080P0208X</v>
      </c>
      <c r="D23542" t="str">
        <f>"HISKEY                   LISA                     "</f>
        <v xml:space="preserve">HISKEY                   LISA                     </v>
      </c>
      <c r="E23542" t="str">
        <f>"MEMPHIS                   "</f>
        <v xml:space="preserve">MEMPHIS                   </v>
      </c>
      <c r="F23542" t="str">
        <f t="shared" si="637"/>
        <v>TN</v>
      </c>
    </row>
    <row r="23543" spans="1:6" x14ac:dyDescent="0.25">
      <c r="A23543" t="str">
        <f>"200015131"</f>
        <v>200015131</v>
      </c>
      <c r="B23543" t="str">
        <f>"1265644090"</f>
        <v>1265644090</v>
      </c>
      <c r="C23543" t="str">
        <f>"207X00000X"</f>
        <v>207X00000X</v>
      </c>
      <c r="D23543" t="str">
        <f>"RUDLOFF                  MATTHEW                  "</f>
        <v xml:space="preserve">RUDLOFF                  MATTHEW                  </v>
      </c>
      <c r="E23543" t="str">
        <f>"MEMPHIS                   "</f>
        <v xml:space="preserve">MEMPHIS                   </v>
      </c>
      <c r="F23543" t="str">
        <f t="shared" si="637"/>
        <v>TN</v>
      </c>
    </row>
    <row r="23544" spans="1:6" x14ac:dyDescent="0.25">
      <c r="A23544" t="str">
        <f>"200015137"</f>
        <v>200015137</v>
      </c>
      <c r="B23544" t="str">
        <f>"1962405746"</f>
        <v>1962405746</v>
      </c>
      <c r="C23544" t="str">
        <f>"207ZP0101X"</f>
        <v>207ZP0101X</v>
      </c>
      <c r="D23544" t="str">
        <f>"ONCIU                    MIHAELA                  "</f>
        <v xml:space="preserve">ONCIU                    MIHAELA                  </v>
      </c>
      <c r="E23544" t="str">
        <f>"GERMANTOWN                "</f>
        <v xml:space="preserve">GERMANTOWN                </v>
      </c>
      <c r="F23544" t="str">
        <f t="shared" si="637"/>
        <v>TN</v>
      </c>
    </row>
    <row r="23545" spans="1:6" x14ac:dyDescent="0.25">
      <c r="A23545" t="str">
        <f>"200015145"</f>
        <v>200015145</v>
      </c>
      <c r="B23545" t="str">
        <f>"1376004176"</f>
        <v>1376004176</v>
      </c>
      <c r="C23545" t="str">
        <f>"207X00000X"</f>
        <v>207X00000X</v>
      </c>
      <c r="D23545" t="str">
        <f>"SCHATZ                   MARC                     "</f>
        <v xml:space="preserve">SCHATZ                   MARC                     </v>
      </c>
      <c r="E23545" t="str">
        <f>"GERMANTOWN                "</f>
        <v xml:space="preserve">GERMANTOWN                </v>
      </c>
      <c r="F23545" t="str">
        <f t="shared" si="637"/>
        <v>TN</v>
      </c>
    </row>
    <row r="23546" spans="1:6" x14ac:dyDescent="0.25">
      <c r="A23546" t="str">
        <f>"200015171"</f>
        <v>200015171</v>
      </c>
      <c r="B23546" t="str">
        <f>"1073600177"</f>
        <v>1073600177</v>
      </c>
      <c r="C23546" t="str">
        <f>"2080P0214X"</f>
        <v>2080P0214X</v>
      </c>
      <c r="D23546" t="str">
        <f>"MOORE                    PAUL                     "</f>
        <v xml:space="preserve">MOORE                    PAUL                     </v>
      </c>
      <c r="E23546" t="str">
        <f>"NASHVILLE                 "</f>
        <v xml:space="preserve">NASHVILLE                 </v>
      </c>
      <c r="F23546" t="str">
        <f t="shared" si="637"/>
        <v>TN</v>
      </c>
    </row>
    <row r="23547" spans="1:6" x14ac:dyDescent="0.25">
      <c r="A23547" t="str">
        <f>"200015192"</f>
        <v>200015192</v>
      </c>
      <c r="B23547" t="str">
        <f>"1134325426"</f>
        <v>1134325426</v>
      </c>
      <c r="C23547" t="str">
        <f>"207P00000X"</f>
        <v>207P00000X</v>
      </c>
      <c r="D23547" t="str">
        <f>"ADELMAN                  CHRISTOPHER              "</f>
        <v xml:space="preserve">ADELMAN                  CHRISTOPHER              </v>
      </c>
      <c r="E23547" t="str">
        <f>"MEMPHIS                   "</f>
        <v xml:space="preserve">MEMPHIS                   </v>
      </c>
      <c r="F23547" t="str">
        <f t="shared" si="637"/>
        <v>TN</v>
      </c>
    </row>
    <row r="23548" spans="1:6" x14ac:dyDescent="0.25">
      <c r="A23548" t="str">
        <f>"200015209"</f>
        <v>200015209</v>
      </c>
      <c r="B23548" t="str">
        <f>"1891798989"</f>
        <v>1891798989</v>
      </c>
      <c r="C23548" t="str">
        <f>"2084P0800X"</f>
        <v>2084P0800X</v>
      </c>
      <c r="D23548" t="str">
        <f>"BOYD                     DANIEL                   "</f>
        <v xml:space="preserve">BOYD                     DANIEL                   </v>
      </c>
      <c r="E23548" t="str">
        <f>"BARTLETT                  "</f>
        <v xml:space="preserve">BARTLETT                  </v>
      </c>
      <c r="F23548" t="str">
        <f t="shared" si="637"/>
        <v>TN</v>
      </c>
    </row>
    <row r="23549" spans="1:6" x14ac:dyDescent="0.25">
      <c r="A23549" t="str">
        <f>"200015227"</f>
        <v>200015227</v>
      </c>
      <c r="B23549" t="str">
        <f>"1528260460"</f>
        <v>1528260460</v>
      </c>
      <c r="C23549" t="str">
        <f>"207RC0000X"</f>
        <v>207RC0000X</v>
      </c>
      <c r="D23549" t="str">
        <f>"DAS                      PRANAB                   "</f>
        <v xml:space="preserve">DAS                      PRANAB                   </v>
      </c>
      <c r="E23549" t="str">
        <f>"MEMPHIS                   "</f>
        <v xml:space="preserve">MEMPHIS                   </v>
      </c>
      <c r="F23549" t="str">
        <f t="shared" si="637"/>
        <v>TN</v>
      </c>
    </row>
    <row r="23550" spans="1:6" x14ac:dyDescent="0.25">
      <c r="A23550" t="str">
        <f>"200015239"</f>
        <v>200015239</v>
      </c>
      <c r="B23550" t="str">
        <f>"1700373768"</f>
        <v>1700373768</v>
      </c>
      <c r="C23550" t="str">
        <f>"207Y00000X"</f>
        <v>207Y00000X</v>
      </c>
      <c r="D23550" t="str">
        <f>"MULLER                   RICHARD      G           "</f>
        <v xml:space="preserve">MULLER                   RICHARD      G           </v>
      </c>
      <c r="E23550" t="str">
        <f>"GERMANTOWN                "</f>
        <v xml:space="preserve">GERMANTOWN                </v>
      </c>
      <c r="F23550" t="str">
        <f t="shared" ref="F23550:F23613" si="640">"TN"</f>
        <v>TN</v>
      </c>
    </row>
    <row r="23551" spans="1:6" x14ac:dyDescent="0.25">
      <c r="A23551" t="str">
        <f>"200015248"</f>
        <v>200015248</v>
      </c>
      <c r="B23551" t="str">
        <f>"1801152400"</f>
        <v>1801152400</v>
      </c>
      <c r="C23551" t="str">
        <f>"207L00000X"</f>
        <v>207L00000X</v>
      </c>
      <c r="D23551" t="str">
        <f>"DIDYUK                   OKSANA                   "</f>
        <v xml:space="preserve">DIDYUK                   OKSANA                   </v>
      </c>
      <c r="E23551" t="str">
        <f>"MEMPHIS                   "</f>
        <v xml:space="preserve">MEMPHIS                   </v>
      </c>
      <c r="F23551" t="str">
        <f t="shared" si="640"/>
        <v>TN</v>
      </c>
    </row>
    <row r="23552" spans="1:6" x14ac:dyDescent="0.25">
      <c r="A23552" t="str">
        <f>"200015251"</f>
        <v>200015251</v>
      </c>
      <c r="B23552" t="str">
        <f>"1639622889"</f>
        <v>1639622889</v>
      </c>
      <c r="C23552" t="str">
        <f>"363A00000X"</f>
        <v>363A00000X</v>
      </c>
      <c r="D23552" t="str">
        <f>"WEAVER                   BRANDI                   "</f>
        <v xml:space="preserve">WEAVER                   BRANDI                   </v>
      </c>
      <c r="E23552" t="str">
        <f>"MEMPHIS                   "</f>
        <v xml:space="preserve">MEMPHIS                   </v>
      </c>
      <c r="F23552" t="str">
        <f t="shared" si="640"/>
        <v>TN</v>
      </c>
    </row>
    <row r="23553" spans="1:6" x14ac:dyDescent="0.25">
      <c r="A23553" t="str">
        <f>"200015271"</f>
        <v>200015271</v>
      </c>
      <c r="B23553" t="str">
        <f>"1184679409"</f>
        <v>1184679409</v>
      </c>
      <c r="C23553" t="str">
        <f>"208600000X"</f>
        <v>208600000X</v>
      </c>
      <c r="D23553" t="str">
        <f>"THOMAE                   KEITH                    "</f>
        <v xml:space="preserve">THOMAE                   KEITH                    </v>
      </c>
      <c r="E23553" t="str">
        <f>"GERMANTOWN                "</f>
        <v xml:space="preserve">GERMANTOWN                </v>
      </c>
      <c r="F23553" t="str">
        <f t="shared" si="640"/>
        <v>TN</v>
      </c>
    </row>
    <row r="23554" spans="1:6" x14ac:dyDescent="0.25">
      <c r="A23554" t="str">
        <f>"200015275"</f>
        <v>200015275</v>
      </c>
      <c r="B23554" t="str">
        <f>"1427589506"</f>
        <v>1427589506</v>
      </c>
      <c r="C23554" t="str">
        <f>"1223S0112X"</f>
        <v>1223S0112X</v>
      </c>
      <c r="D23554" t="str">
        <f>"SALMON                   BRYANT                   "</f>
        <v xml:space="preserve">SALMON                   BRYANT                   </v>
      </c>
      <c r="E23554" t="str">
        <f>"MEMPHIS                   "</f>
        <v xml:space="preserve">MEMPHIS                   </v>
      </c>
      <c r="F23554" t="str">
        <f t="shared" si="640"/>
        <v>TN</v>
      </c>
    </row>
    <row r="23555" spans="1:6" x14ac:dyDescent="0.25">
      <c r="A23555" t="str">
        <f>"200015287"</f>
        <v>200015287</v>
      </c>
      <c r="B23555" t="str">
        <f>"1205814274"</f>
        <v>1205814274</v>
      </c>
      <c r="C23555" t="str">
        <f>"207P00000X"</f>
        <v>207P00000X</v>
      </c>
      <c r="D23555" t="str">
        <f>"KARI                     SURESH                   "</f>
        <v xml:space="preserve">KARI                     SURESH                   </v>
      </c>
      <c r="E23555" t="str">
        <f>"MEMPHIS                   "</f>
        <v xml:space="preserve">MEMPHIS                   </v>
      </c>
      <c r="F23555" t="str">
        <f t="shared" si="640"/>
        <v>TN</v>
      </c>
    </row>
    <row r="23556" spans="1:6" x14ac:dyDescent="0.25">
      <c r="A23556" t="str">
        <f>"200015291"</f>
        <v>200015291</v>
      </c>
      <c r="B23556" t="str">
        <f>"1821121955"</f>
        <v>1821121955</v>
      </c>
      <c r="C23556" t="str">
        <f>"207RI0011X"</f>
        <v>207RI0011X</v>
      </c>
      <c r="D23556" t="str">
        <f>"JANJUA                   MUHAMMAD                 "</f>
        <v xml:space="preserve">JANJUA                   MUHAMMAD                 </v>
      </c>
      <c r="E23556" t="str">
        <f>"BARTLETT                  "</f>
        <v xml:space="preserve">BARTLETT                  </v>
      </c>
      <c r="F23556" t="str">
        <f t="shared" si="640"/>
        <v>TN</v>
      </c>
    </row>
    <row r="23557" spans="1:6" x14ac:dyDescent="0.25">
      <c r="A23557" t="str">
        <f>"200015298"</f>
        <v>200015298</v>
      </c>
      <c r="B23557" t="str">
        <f>"1215371570"</f>
        <v>1215371570</v>
      </c>
      <c r="C23557" t="str">
        <f>"207RC0200X"</f>
        <v>207RC0200X</v>
      </c>
      <c r="D23557" t="str">
        <f>"WOODS JR                 STEVEN       A           "</f>
        <v xml:space="preserve">WOODS JR                 STEVEN       A           </v>
      </c>
      <c r="E23557" t="str">
        <f t="shared" ref="E23557:E23567" si="641">"MEMPHIS                   "</f>
        <v xml:space="preserve">MEMPHIS                   </v>
      </c>
      <c r="F23557" t="str">
        <f t="shared" si="640"/>
        <v>TN</v>
      </c>
    </row>
    <row r="23558" spans="1:6" x14ac:dyDescent="0.25">
      <c r="A23558" t="str">
        <f>"200015300"</f>
        <v>200015300</v>
      </c>
      <c r="B23558" t="str">
        <f>"1215198056"</f>
        <v>1215198056</v>
      </c>
      <c r="C23558" t="str">
        <f>"2084A2900X"</f>
        <v>2084A2900X</v>
      </c>
      <c r="D23558" t="str">
        <f>"CHJANG                   JASON                    "</f>
        <v xml:space="preserve">CHJANG                   JASON                    </v>
      </c>
      <c r="E23558" t="str">
        <f t="shared" si="641"/>
        <v xml:space="preserve">MEMPHIS                   </v>
      </c>
      <c r="F23558" t="str">
        <f t="shared" si="640"/>
        <v>TN</v>
      </c>
    </row>
    <row r="23559" spans="1:6" x14ac:dyDescent="0.25">
      <c r="A23559" t="str">
        <f>"200015309"</f>
        <v>200015309</v>
      </c>
      <c r="B23559" t="str">
        <f>"1295364867"</f>
        <v>1295364867</v>
      </c>
      <c r="C23559" t="str">
        <f>"207P00000X"</f>
        <v>207P00000X</v>
      </c>
      <c r="D23559" t="str">
        <f>"KLEMANN                  KYLIE                    "</f>
        <v xml:space="preserve">KLEMANN                  KYLIE                    </v>
      </c>
      <c r="E23559" t="str">
        <f t="shared" si="641"/>
        <v xml:space="preserve">MEMPHIS                   </v>
      </c>
      <c r="F23559" t="str">
        <f t="shared" si="640"/>
        <v>TN</v>
      </c>
    </row>
    <row r="23560" spans="1:6" x14ac:dyDescent="0.25">
      <c r="A23560" t="str">
        <f>"200015352"</f>
        <v>200015352</v>
      </c>
      <c r="B23560" t="str">
        <f>"1710413885"</f>
        <v>1710413885</v>
      </c>
      <c r="C23560" t="str">
        <f>"207P00000X"</f>
        <v>207P00000X</v>
      </c>
      <c r="D23560" t="str">
        <f>"REICH                    MICHAEL                  "</f>
        <v xml:space="preserve">REICH                    MICHAEL                  </v>
      </c>
      <c r="E23560" t="str">
        <f t="shared" si="641"/>
        <v xml:space="preserve">MEMPHIS                   </v>
      </c>
      <c r="F23560" t="str">
        <f t="shared" si="640"/>
        <v>TN</v>
      </c>
    </row>
    <row r="23561" spans="1:6" x14ac:dyDescent="0.25">
      <c r="A23561" t="str">
        <f>"200015394"</f>
        <v>200015394</v>
      </c>
      <c r="B23561" t="str">
        <f>"1043743594"</f>
        <v>1043743594</v>
      </c>
      <c r="C23561" t="str">
        <f>"207X00000X"</f>
        <v>207X00000X</v>
      </c>
      <c r="D23561" t="str">
        <f>"OWEN                     WESLEY                   "</f>
        <v xml:space="preserve">OWEN                     WESLEY                   </v>
      </c>
      <c r="E23561" t="str">
        <f t="shared" si="641"/>
        <v xml:space="preserve">MEMPHIS                   </v>
      </c>
      <c r="F23561" t="str">
        <f t="shared" si="640"/>
        <v>TN</v>
      </c>
    </row>
    <row r="23562" spans="1:6" x14ac:dyDescent="0.25">
      <c r="A23562" t="str">
        <f>"200015420"</f>
        <v>200015420</v>
      </c>
      <c r="B23562" t="str">
        <f>"1447775408"</f>
        <v>1447775408</v>
      </c>
      <c r="C23562" t="str">
        <f>"363LA2100X"</f>
        <v>363LA2100X</v>
      </c>
      <c r="D23562" t="str">
        <f>"HARDY                    MICHAEL                  "</f>
        <v xml:space="preserve">HARDY                    MICHAEL                  </v>
      </c>
      <c r="E23562" t="str">
        <f t="shared" si="641"/>
        <v xml:space="preserve">MEMPHIS                   </v>
      </c>
      <c r="F23562" t="str">
        <f t="shared" si="640"/>
        <v>TN</v>
      </c>
    </row>
    <row r="23563" spans="1:6" x14ac:dyDescent="0.25">
      <c r="A23563" t="str">
        <f>"200015422"</f>
        <v>200015422</v>
      </c>
      <c r="B23563" t="str">
        <f>"1033143714"</f>
        <v>1033143714</v>
      </c>
      <c r="C23563" t="str">
        <f>"2085R0202X"</f>
        <v>2085R0202X</v>
      </c>
      <c r="D23563" t="str">
        <f>"GREEN                    BRIAN                    "</f>
        <v xml:space="preserve">GREEN                    BRIAN                    </v>
      </c>
      <c r="E23563" t="str">
        <f t="shared" si="641"/>
        <v xml:space="preserve">MEMPHIS                   </v>
      </c>
      <c r="F23563" t="str">
        <f t="shared" si="640"/>
        <v>TN</v>
      </c>
    </row>
    <row r="23564" spans="1:6" x14ac:dyDescent="0.25">
      <c r="A23564" t="str">
        <f>"200015434"</f>
        <v>200015434</v>
      </c>
      <c r="B23564" t="str">
        <f>"1114556958"</f>
        <v>1114556958</v>
      </c>
      <c r="C23564" t="str">
        <f>"2084P0800X"</f>
        <v>2084P0800X</v>
      </c>
      <c r="D23564" t="str">
        <f>"LINCOLN                  SOPHIA       A           "</f>
        <v xml:space="preserve">LINCOLN                  SOPHIA       A           </v>
      </c>
      <c r="E23564" t="str">
        <f t="shared" si="641"/>
        <v xml:space="preserve">MEMPHIS                   </v>
      </c>
      <c r="F23564" t="str">
        <f t="shared" si="640"/>
        <v>TN</v>
      </c>
    </row>
    <row r="23565" spans="1:6" x14ac:dyDescent="0.25">
      <c r="A23565" t="str">
        <f>"200015435"</f>
        <v>200015435</v>
      </c>
      <c r="B23565" t="str">
        <f>"1477757912"</f>
        <v>1477757912</v>
      </c>
      <c r="C23565" t="str">
        <f>"2080N0001X"</f>
        <v>2080N0001X</v>
      </c>
      <c r="D23565" t="str">
        <f>"RANA                     DIVYA                    "</f>
        <v xml:space="preserve">RANA                     DIVYA                    </v>
      </c>
      <c r="E23565" t="str">
        <f t="shared" si="641"/>
        <v xml:space="preserve">MEMPHIS                   </v>
      </c>
      <c r="F23565" t="str">
        <f t="shared" si="640"/>
        <v>TN</v>
      </c>
    </row>
    <row r="23566" spans="1:6" x14ac:dyDescent="0.25">
      <c r="A23566" t="str">
        <f>"200015461"</f>
        <v>200015461</v>
      </c>
      <c r="B23566" t="str">
        <f>"1952980377"</f>
        <v>1952980377</v>
      </c>
      <c r="C23566" t="str">
        <f>"207P00000X"</f>
        <v>207P00000X</v>
      </c>
      <c r="D23566" t="str">
        <f>"GABRIELSON               HANNAH       M           "</f>
        <v xml:space="preserve">GABRIELSON               HANNAH       M           </v>
      </c>
      <c r="E23566" t="str">
        <f t="shared" si="641"/>
        <v xml:space="preserve">MEMPHIS                   </v>
      </c>
      <c r="F23566" t="str">
        <f t="shared" si="640"/>
        <v>TN</v>
      </c>
    </row>
    <row r="23567" spans="1:6" x14ac:dyDescent="0.25">
      <c r="A23567" t="str">
        <f>"200015465"</f>
        <v>200015465</v>
      </c>
      <c r="B23567" t="str">
        <f>"1467730986"</f>
        <v>1467730986</v>
      </c>
      <c r="C23567" t="str">
        <f>"2080P0203X"</f>
        <v>2080P0203X</v>
      </c>
      <c r="D23567" t="str">
        <f>"NORMAN                   ERIC                     "</f>
        <v xml:space="preserve">NORMAN                   ERIC                     </v>
      </c>
      <c r="E23567" t="str">
        <f t="shared" si="641"/>
        <v xml:space="preserve">MEMPHIS                   </v>
      </c>
      <c r="F23567" t="str">
        <f t="shared" si="640"/>
        <v>TN</v>
      </c>
    </row>
    <row r="23568" spans="1:6" x14ac:dyDescent="0.25">
      <c r="A23568" t="str">
        <f>"200015481"</f>
        <v>200015481</v>
      </c>
      <c r="B23568" t="str">
        <f>"1073768032"</f>
        <v>1073768032</v>
      </c>
      <c r="C23568" t="str">
        <f>"363LP0200X"</f>
        <v>363LP0200X</v>
      </c>
      <c r="D23568" t="str">
        <f>"EAGLE                    SAMANTHA                 "</f>
        <v xml:space="preserve">EAGLE                    SAMANTHA                 </v>
      </c>
      <c r="E23568" t="str">
        <f>"NASHVILLE                 "</f>
        <v xml:space="preserve">NASHVILLE                 </v>
      </c>
      <c r="F23568" t="str">
        <f t="shared" si="640"/>
        <v>TN</v>
      </c>
    </row>
    <row r="23569" spans="1:6" x14ac:dyDescent="0.25">
      <c r="A23569" t="str">
        <f>"200015500"</f>
        <v>200015500</v>
      </c>
      <c r="B23569" t="str">
        <f>"1043062193"</f>
        <v>1043062193</v>
      </c>
      <c r="C23569" t="str">
        <f>"363A00000X"</f>
        <v>363A00000X</v>
      </c>
      <c r="D23569" t="str">
        <f>"PIGORSH                  THOMAS                   "</f>
        <v xml:space="preserve">PIGORSH                  THOMAS                   </v>
      </c>
      <c r="E23569" t="str">
        <f>"GERMANTOWN                "</f>
        <v xml:space="preserve">GERMANTOWN                </v>
      </c>
      <c r="F23569" t="str">
        <f t="shared" si="640"/>
        <v>TN</v>
      </c>
    </row>
    <row r="23570" spans="1:6" x14ac:dyDescent="0.25">
      <c r="A23570" t="str">
        <f>"200015504"</f>
        <v>200015504</v>
      </c>
      <c r="B23570" t="str">
        <f>"1245845247"</f>
        <v>1245845247</v>
      </c>
      <c r="C23570" t="str">
        <f>"363LA2100X"</f>
        <v>363LA2100X</v>
      </c>
      <c r="D23570" t="str">
        <f>"MARZULLI                 CALLIE                   "</f>
        <v xml:space="preserve">MARZULLI                 CALLIE                   </v>
      </c>
      <c r="E23570" t="str">
        <f>"MEMPHIS                   "</f>
        <v xml:space="preserve">MEMPHIS                   </v>
      </c>
      <c r="F23570" t="str">
        <f t="shared" si="640"/>
        <v>TN</v>
      </c>
    </row>
    <row r="23571" spans="1:6" x14ac:dyDescent="0.25">
      <c r="A23571" t="str">
        <f>"200015517"</f>
        <v>200015517</v>
      </c>
      <c r="B23571" t="str">
        <f>"1316152598"</f>
        <v>1316152598</v>
      </c>
      <c r="C23571" t="str">
        <f>"207P00000X"</f>
        <v>207P00000X</v>
      </c>
      <c r="D23571" t="str">
        <f>"CUSTODIO                 DON                      "</f>
        <v xml:space="preserve">CUSTODIO                 DON                      </v>
      </c>
      <c r="E23571" t="str">
        <f>"MEMPHIS                   "</f>
        <v xml:space="preserve">MEMPHIS                   </v>
      </c>
      <c r="F23571" t="str">
        <f t="shared" si="640"/>
        <v>TN</v>
      </c>
    </row>
    <row r="23572" spans="1:6" x14ac:dyDescent="0.25">
      <c r="A23572" t="str">
        <f>"200015539"</f>
        <v>200015539</v>
      </c>
      <c r="B23572" t="str">
        <f>"1780884734"</f>
        <v>1780884734</v>
      </c>
      <c r="C23572" t="str">
        <f>"207L00000X"</f>
        <v>207L00000X</v>
      </c>
      <c r="D23572" t="str">
        <f>"GILL                     RAVPREET                 "</f>
        <v xml:space="preserve">GILL                     RAVPREET                 </v>
      </c>
      <c r="E23572" t="str">
        <f>"MEMPHIS                   "</f>
        <v xml:space="preserve">MEMPHIS                   </v>
      </c>
      <c r="F23572" t="str">
        <f t="shared" si="640"/>
        <v>TN</v>
      </c>
    </row>
    <row r="23573" spans="1:6" x14ac:dyDescent="0.25">
      <c r="A23573" t="str">
        <f>"200015545"</f>
        <v>200015545</v>
      </c>
      <c r="B23573" t="str">
        <f>"1528563178"</f>
        <v>1528563178</v>
      </c>
      <c r="C23573" t="str">
        <f>"367500000X"</f>
        <v>367500000X</v>
      </c>
      <c r="D23573" t="str">
        <f>"FISHER                   KASYN        D           "</f>
        <v xml:space="preserve">FISHER                   KASYN        D           </v>
      </c>
      <c r="E23573" t="str">
        <f>"MEMPHIS                   "</f>
        <v xml:space="preserve">MEMPHIS                   </v>
      </c>
      <c r="F23573" t="str">
        <f t="shared" si="640"/>
        <v>TN</v>
      </c>
    </row>
    <row r="23574" spans="1:6" x14ac:dyDescent="0.25">
      <c r="A23574" t="str">
        <f>"200015570"</f>
        <v>200015570</v>
      </c>
      <c r="B23574" t="str">
        <f>"1265925358"</f>
        <v>1265925358</v>
      </c>
      <c r="C23574" t="str">
        <f>"363LF0000X"</f>
        <v>363LF0000X</v>
      </c>
      <c r="D23574" t="str">
        <f>"MILLER                   JENNIFER     M           "</f>
        <v xml:space="preserve">MILLER                   JENNIFER     M           </v>
      </c>
      <c r="E23574" t="str">
        <f>"GERMANTOWN                "</f>
        <v xml:space="preserve">GERMANTOWN                </v>
      </c>
      <c r="F23574" t="str">
        <f t="shared" si="640"/>
        <v>TN</v>
      </c>
    </row>
    <row r="23575" spans="1:6" x14ac:dyDescent="0.25">
      <c r="A23575" t="str">
        <f>"200015571"</f>
        <v>200015571</v>
      </c>
      <c r="B23575" t="str">
        <f>"1578252276"</f>
        <v>1578252276</v>
      </c>
      <c r="C23575" t="str">
        <f>"363LF0000X"</f>
        <v>363LF0000X</v>
      </c>
      <c r="D23575" t="str">
        <f>"PAYNE                    PORTIA                   "</f>
        <v xml:space="preserve">PAYNE                    PORTIA                   </v>
      </c>
      <c r="E23575" t="str">
        <f t="shared" ref="E23575:E23581" si="642">"MEMPHIS                   "</f>
        <v xml:space="preserve">MEMPHIS                   </v>
      </c>
      <c r="F23575" t="str">
        <f t="shared" si="640"/>
        <v>TN</v>
      </c>
    </row>
    <row r="23576" spans="1:6" x14ac:dyDescent="0.25">
      <c r="A23576" t="str">
        <f>"200015591"</f>
        <v>200015591</v>
      </c>
      <c r="B23576" t="str">
        <f>"1851070817"</f>
        <v>1851070817</v>
      </c>
      <c r="C23576" t="str">
        <f>"363LA2100X"</f>
        <v>363LA2100X</v>
      </c>
      <c r="D23576" t="str">
        <f>"STEPHENS                 CRYSTAL                  "</f>
        <v xml:space="preserve">STEPHENS                 CRYSTAL                  </v>
      </c>
      <c r="E23576" t="str">
        <f t="shared" si="642"/>
        <v xml:space="preserve">MEMPHIS                   </v>
      </c>
      <c r="F23576" t="str">
        <f t="shared" si="640"/>
        <v>TN</v>
      </c>
    </row>
    <row r="23577" spans="1:6" x14ac:dyDescent="0.25">
      <c r="A23577" t="str">
        <f>"200015594"</f>
        <v>200015594</v>
      </c>
      <c r="B23577" t="str">
        <f>"1003255241"</f>
        <v>1003255241</v>
      </c>
      <c r="C23577" t="str">
        <f>"367500000X"</f>
        <v>367500000X</v>
      </c>
      <c r="D23577" t="str">
        <f>"BEST                     MICAH                    "</f>
        <v xml:space="preserve">BEST                     MICAH                    </v>
      </c>
      <c r="E23577" t="str">
        <f t="shared" si="642"/>
        <v xml:space="preserve">MEMPHIS                   </v>
      </c>
      <c r="F23577" t="str">
        <f t="shared" si="640"/>
        <v>TN</v>
      </c>
    </row>
    <row r="23578" spans="1:6" x14ac:dyDescent="0.25">
      <c r="A23578" t="str">
        <f>"200015611"</f>
        <v>200015611</v>
      </c>
      <c r="B23578" t="str">
        <f>"1174986749"</f>
        <v>1174986749</v>
      </c>
      <c r="C23578" t="str">
        <f>"2084P0800X"</f>
        <v>2084P0800X</v>
      </c>
      <c r="D23578" t="str">
        <f>"DERY                     MEGAN        E           "</f>
        <v xml:space="preserve">DERY                     MEGAN        E           </v>
      </c>
      <c r="E23578" t="str">
        <f t="shared" si="642"/>
        <v xml:space="preserve">MEMPHIS                   </v>
      </c>
      <c r="F23578" t="str">
        <f t="shared" si="640"/>
        <v>TN</v>
      </c>
    </row>
    <row r="23579" spans="1:6" x14ac:dyDescent="0.25">
      <c r="A23579" t="str">
        <f>"200015624"</f>
        <v>200015624</v>
      </c>
      <c r="B23579" t="str">
        <f>"1801860945"</f>
        <v>1801860945</v>
      </c>
      <c r="C23579" t="str">
        <f>"207L00000X"</f>
        <v>207L00000X</v>
      </c>
      <c r="D23579" t="str">
        <f>"MEZA                     PRAXEDIZ     A           "</f>
        <v xml:space="preserve">MEZA                     PRAXEDIZ     A           </v>
      </c>
      <c r="E23579" t="str">
        <f t="shared" si="642"/>
        <v xml:space="preserve">MEMPHIS                   </v>
      </c>
      <c r="F23579" t="str">
        <f t="shared" si="640"/>
        <v>TN</v>
      </c>
    </row>
    <row r="23580" spans="1:6" x14ac:dyDescent="0.25">
      <c r="A23580" t="str">
        <f>"200015635"</f>
        <v>200015635</v>
      </c>
      <c r="B23580" t="str">
        <f>"1184676421"</f>
        <v>1184676421</v>
      </c>
      <c r="C23580" t="str">
        <f>"367500000X"</f>
        <v>367500000X</v>
      </c>
      <c r="D23580" t="str">
        <f>"MARLOWE                  JAMES                    "</f>
        <v xml:space="preserve">MARLOWE                  JAMES                    </v>
      </c>
      <c r="E23580" t="str">
        <f t="shared" si="642"/>
        <v xml:space="preserve">MEMPHIS                   </v>
      </c>
      <c r="F23580" t="str">
        <f t="shared" si="640"/>
        <v>TN</v>
      </c>
    </row>
    <row r="23581" spans="1:6" x14ac:dyDescent="0.25">
      <c r="A23581" t="str">
        <f>"200015642"</f>
        <v>200015642</v>
      </c>
      <c r="B23581" t="str">
        <f>"1407053036"</f>
        <v>1407053036</v>
      </c>
      <c r="C23581" t="str">
        <f>"208G00000X"</f>
        <v>208G00000X</v>
      </c>
      <c r="D23581" t="str">
        <f>"GIBSON                   VANESSA                  "</f>
        <v xml:space="preserve">GIBSON                   VANESSA                  </v>
      </c>
      <c r="E23581" t="str">
        <f t="shared" si="642"/>
        <v xml:space="preserve">MEMPHIS                   </v>
      </c>
      <c r="F23581" t="str">
        <f t="shared" si="640"/>
        <v>TN</v>
      </c>
    </row>
    <row r="23582" spans="1:6" x14ac:dyDescent="0.25">
      <c r="A23582" t="str">
        <f>"200015645"</f>
        <v>200015645</v>
      </c>
      <c r="B23582" t="str">
        <f>"1376635797"</f>
        <v>1376635797</v>
      </c>
      <c r="C23582" t="str">
        <f>"2080P0202X"</f>
        <v>2080P0202X</v>
      </c>
      <c r="D23582" t="str">
        <f>"DOYLE                    THOMAS                   "</f>
        <v xml:space="preserve">DOYLE                    THOMAS                   </v>
      </c>
      <c r="E23582" t="str">
        <f>"NASHVILLE                 "</f>
        <v xml:space="preserve">NASHVILLE                 </v>
      </c>
      <c r="F23582" t="str">
        <f t="shared" si="640"/>
        <v>TN</v>
      </c>
    </row>
    <row r="23583" spans="1:6" x14ac:dyDescent="0.25">
      <c r="A23583" t="str">
        <f>"200015648"</f>
        <v>200015648</v>
      </c>
      <c r="B23583" t="str">
        <f>"1710389507"</f>
        <v>1710389507</v>
      </c>
      <c r="C23583" t="str">
        <f>"207L00000X"</f>
        <v>207L00000X</v>
      </c>
      <c r="D23583" t="str">
        <f>"TULIO                    MICHAEL      P           "</f>
        <v xml:space="preserve">TULIO                    MICHAEL      P           </v>
      </c>
      <c r="E23583" t="str">
        <f>"MEMPHIS                   "</f>
        <v xml:space="preserve">MEMPHIS                   </v>
      </c>
      <c r="F23583" t="str">
        <f t="shared" si="640"/>
        <v>TN</v>
      </c>
    </row>
    <row r="23584" spans="1:6" x14ac:dyDescent="0.25">
      <c r="A23584" t="str">
        <f>"200015652"</f>
        <v>200015652</v>
      </c>
      <c r="B23584" t="str">
        <f>"1124110531"</f>
        <v>1124110531</v>
      </c>
      <c r="C23584" t="str">
        <f>"2080P0202X"</f>
        <v>2080P0202X</v>
      </c>
      <c r="D23584" t="str">
        <f>"KAVANAUGH-MCHUGH         ANN                      "</f>
        <v xml:space="preserve">KAVANAUGH-MCHUGH         ANN                      </v>
      </c>
      <c r="E23584" t="str">
        <f>"NASHVILE                  "</f>
        <v xml:space="preserve">NASHVILE                  </v>
      </c>
      <c r="F23584" t="str">
        <f t="shared" si="640"/>
        <v>TN</v>
      </c>
    </row>
    <row r="23585" spans="1:6" x14ac:dyDescent="0.25">
      <c r="A23585" t="str">
        <f>"200015696"</f>
        <v>200015696</v>
      </c>
      <c r="B23585" t="str">
        <f>"1114904893"</f>
        <v>1114904893</v>
      </c>
      <c r="C23585" t="str">
        <f>"363LP0200X"</f>
        <v>363LP0200X</v>
      </c>
      <c r="D23585" t="str">
        <f>"SNYDER                   ANGELA                   "</f>
        <v xml:space="preserve">SNYDER                   ANGELA                   </v>
      </c>
      <c r="E23585" t="str">
        <f>"MEMPHIS                   "</f>
        <v xml:space="preserve">MEMPHIS                   </v>
      </c>
      <c r="F23585" t="str">
        <f t="shared" si="640"/>
        <v>TN</v>
      </c>
    </row>
    <row r="23586" spans="1:6" x14ac:dyDescent="0.25">
      <c r="A23586" t="str">
        <f>"200015713"</f>
        <v>200015713</v>
      </c>
      <c r="B23586" t="str">
        <f>"1922505387"</f>
        <v>1922505387</v>
      </c>
      <c r="C23586" t="str">
        <f>"207L00000X"</f>
        <v>207L00000X</v>
      </c>
      <c r="D23586" t="str">
        <f>"BRAL                     DANIEL                   "</f>
        <v xml:space="preserve">BRAL                     DANIEL                   </v>
      </c>
      <c r="E23586" t="str">
        <f>"MEMPHIS                   "</f>
        <v xml:space="preserve">MEMPHIS                   </v>
      </c>
      <c r="F23586" t="str">
        <f t="shared" si="640"/>
        <v>TN</v>
      </c>
    </row>
    <row r="23587" spans="1:6" x14ac:dyDescent="0.25">
      <c r="A23587" t="str">
        <f>"200015718"</f>
        <v>200015718</v>
      </c>
      <c r="B23587" t="str">
        <f>"1275367252"</f>
        <v>1275367252</v>
      </c>
      <c r="C23587" t="str">
        <f>"363LF0000X"</f>
        <v>363LF0000X</v>
      </c>
      <c r="D23587" t="str">
        <f>"SWANSON                  TATIANA      E           "</f>
        <v xml:space="preserve">SWANSON                  TATIANA      E           </v>
      </c>
      <c r="E23587" t="str">
        <f>"GERMANTOWN                "</f>
        <v xml:space="preserve">GERMANTOWN                </v>
      </c>
      <c r="F23587" t="str">
        <f t="shared" si="640"/>
        <v>TN</v>
      </c>
    </row>
    <row r="23588" spans="1:6" x14ac:dyDescent="0.25">
      <c r="A23588" t="str">
        <f>"200015744"</f>
        <v>200015744</v>
      </c>
      <c r="B23588" t="str">
        <f>"1134675465"</f>
        <v>1134675465</v>
      </c>
      <c r="C23588" t="str">
        <f>"363A00000X"</f>
        <v>363A00000X</v>
      </c>
      <c r="D23588" t="str">
        <f>"KILPATRICK               NIKARA                   "</f>
        <v xml:space="preserve">KILPATRICK               NIKARA                   </v>
      </c>
      <c r="E23588" t="str">
        <f>"MEMPHIS                   "</f>
        <v xml:space="preserve">MEMPHIS                   </v>
      </c>
      <c r="F23588" t="str">
        <f t="shared" si="640"/>
        <v>TN</v>
      </c>
    </row>
    <row r="23589" spans="1:6" x14ac:dyDescent="0.25">
      <c r="A23589" t="str">
        <f>"200015746"</f>
        <v>200015746</v>
      </c>
      <c r="B23589" t="str">
        <f>"1952980377"</f>
        <v>1952980377</v>
      </c>
      <c r="C23589" t="str">
        <f>"207P00000X"</f>
        <v>207P00000X</v>
      </c>
      <c r="D23589" t="str">
        <f>"GABRIELSON               HANNAH                   "</f>
        <v xml:space="preserve">GABRIELSON               HANNAH                   </v>
      </c>
      <c r="E23589" t="str">
        <f>"COLLIERVILLE              "</f>
        <v xml:space="preserve">COLLIERVILLE              </v>
      </c>
      <c r="F23589" t="str">
        <f t="shared" si="640"/>
        <v>TN</v>
      </c>
    </row>
    <row r="23590" spans="1:6" x14ac:dyDescent="0.25">
      <c r="A23590" t="str">
        <f>"200015756"</f>
        <v>200015756</v>
      </c>
      <c r="B23590" t="str">
        <f>"1700405941"</f>
        <v>1700405941</v>
      </c>
      <c r="C23590" t="str">
        <f>"207P00000X"</f>
        <v>207P00000X</v>
      </c>
      <c r="D23590" t="str">
        <f>"LAVEY                    BRENT                    "</f>
        <v xml:space="preserve">LAVEY                    BRENT                    </v>
      </c>
      <c r="E23590" t="str">
        <f t="shared" ref="E23590:E23597" si="643">"MEMPHIS                   "</f>
        <v xml:space="preserve">MEMPHIS                   </v>
      </c>
      <c r="F23590" t="str">
        <f t="shared" si="640"/>
        <v>TN</v>
      </c>
    </row>
    <row r="23591" spans="1:6" x14ac:dyDescent="0.25">
      <c r="A23591" t="str">
        <f>"200015758"</f>
        <v>200015758</v>
      </c>
      <c r="B23591" t="str">
        <f>"1992449268"</f>
        <v>1992449268</v>
      </c>
      <c r="C23591" t="str">
        <f>"367A00000X"</f>
        <v>367A00000X</v>
      </c>
      <c r="D23591" t="str">
        <f>"WALKER                   JASMINE      N           "</f>
        <v xml:space="preserve">WALKER                   JASMINE      N           </v>
      </c>
      <c r="E23591" t="str">
        <f t="shared" si="643"/>
        <v xml:space="preserve">MEMPHIS                   </v>
      </c>
      <c r="F23591" t="str">
        <f t="shared" si="640"/>
        <v>TN</v>
      </c>
    </row>
    <row r="23592" spans="1:6" x14ac:dyDescent="0.25">
      <c r="A23592" t="str">
        <f>"200015762"</f>
        <v>200015762</v>
      </c>
      <c r="B23592" t="str">
        <f>"1063532828"</f>
        <v>1063532828</v>
      </c>
      <c r="C23592" t="str">
        <f>"208G00000X"</f>
        <v>208G00000X</v>
      </c>
      <c r="D23592" t="str">
        <f>"METTLER                  BRET         A           "</f>
        <v xml:space="preserve">METTLER                  BRET         A           </v>
      </c>
      <c r="E23592" t="str">
        <f t="shared" si="643"/>
        <v xml:space="preserve">MEMPHIS                   </v>
      </c>
      <c r="F23592" t="str">
        <f t="shared" si="640"/>
        <v>TN</v>
      </c>
    </row>
    <row r="23593" spans="1:6" x14ac:dyDescent="0.25">
      <c r="A23593" t="str">
        <f>"200015767"</f>
        <v>200015767</v>
      </c>
      <c r="B23593" t="str">
        <f>"1366608010"</f>
        <v>1366608010</v>
      </c>
      <c r="C23593" t="str">
        <f>"207L00000X"</f>
        <v>207L00000X</v>
      </c>
      <c r="D23593" t="str">
        <f>"MODES                    KATHARINA    B           "</f>
        <v xml:space="preserve">MODES                    KATHARINA    B           </v>
      </c>
      <c r="E23593" t="str">
        <f t="shared" si="643"/>
        <v xml:space="preserve">MEMPHIS                   </v>
      </c>
      <c r="F23593" t="str">
        <f t="shared" si="640"/>
        <v>TN</v>
      </c>
    </row>
    <row r="23594" spans="1:6" x14ac:dyDescent="0.25">
      <c r="A23594" t="str">
        <f>"200015774"</f>
        <v>200015774</v>
      </c>
      <c r="B23594" t="str">
        <f>"1215564349"</f>
        <v>1215564349</v>
      </c>
      <c r="C23594" t="str">
        <f>"2084N0400X"</f>
        <v>2084N0400X</v>
      </c>
      <c r="D23594" t="str">
        <f>"VALLEJO                  GRACE        K           "</f>
        <v xml:space="preserve">VALLEJO                  GRACE        K           </v>
      </c>
      <c r="E23594" t="str">
        <f t="shared" si="643"/>
        <v xml:space="preserve">MEMPHIS                   </v>
      </c>
      <c r="F23594" t="str">
        <f t="shared" si="640"/>
        <v>TN</v>
      </c>
    </row>
    <row r="23595" spans="1:6" x14ac:dyDescent="0.25">
      <c r="A23595" t="str">
        <f>"200015787"</f>
        <v>200015787</v>
      </c>
      <c r="B23595" t="str">
        <f>"1154959161"</f>
        <v>1154959161</v>
      </c>
      <c r="C23595" t="str">
        <f>"2084P0800X"</f>
        <v>2084P0800X</v>
      </c>
      <c r="D23595" t="str">
        <f>"DELIGENT                 REGINALD                 "</f>
        <v xml:space="preserve">DELIGENT                 REGINALD                 </v>
      </c>
      <c r="E23595" t="str">
        <f t="shared" si="643"/>
        <v xml:space="preserve">MEMPHIS                   </v>
      </c>
      <c r="F23595" t="str">
        <f t="shared" si="640"/>
        <v>TN</v>
      </c>
    </row>
    <row r="23596" spans="1:6" x14ac:dyDescent="0.25">
      <c r="A23596" t="str">
        <f>"200015824"</f>
        <v>200015824</v>
      </c>
      <c r="B23596" t="str">
        <f>"1003643529"</f>
        <v>1003643529</v>
      </c>
      <c r="C23596" t="str">
        <f>"363LF0000X"</f>
        <v>363LF0000X</v>
      </c>
      <c r="D23596" t="str">
        <f>"REYNOLDS                 STEPHANIE    M           "</f>
        <v xml:space="preserve">REYNOLDS                 STEPHANIE    M           </v>
      </c>
      <c r="E23596" t="str">
        <f t="shared" si="643"/>
        <v xml:space="preserve">MEMPHIS                   </v>
      </c>
      <c r="F23596" t="str">
        <f t="shared" si="640"/>
        <v>TN</v>
      </c>
    </row>
    <row r="23597" spans="1:6" x14ac:dyDescent="0.25">
      <c r="A23597" t="str">
        <f>"200015833"</f>
        <v>200015833</v>
      </c>
      <c r="B23597" t="str">
        <f>"1760951842"</f>
        <v>1760951842</v>
      </c>
      <c r="C23597" t="str">
        <f>"207RN0300X"</f>
        <v>207RN0300X</v>
      </c>
      <c r="D23597" t="str">
        <f>"ZABIULLAH                SYED                     "</f>
        <v xml:space="preserve">ZABIULLAH                SYED                     </v>
      </c>
      <c r="E23597" t="str">
        <f t="shared" si="643"/>
        <v xml:space="preserve">MEMPHIS                   </v>
      </c>
      <c r="F23597" t="str">
        <f t="shared" si="640"/>
        <v>TN</v>
      </c>
    </row>
    <row r="23598" spans="1:6" x14ac:dyDescent="0.25">
      <c r="A23598" t="str">
        <f>"200015836"</f>
        <v>200015836</v>
      </c>
      <c r="B23598" t="str">
        <f>"1902218795"</f>
        <v>1902218795</v>
      </c>
      <c r="C23598" t="str">
        <f>"2080P0204X"</f>
        <v>2080P0204X</v>
      </c>
      <c r="D23598" t="str">
        <f>"ANDERSON                 TUCKER                   "</f>
        <v xml:space="preserve">ANDERSON                 TUCKER                   </v>
      </c>
      <c r="E23598" t="str">
        <f>"NASHVILLE                 "</f>
        <v xml:space="preserve">NASHVILLE                 </v>
      </c>
      <c r="F23598" t="str">
        <f t="shared" si="640"/>
        <v>TN</v>
      </c>
    </row>
    <row r="23599" spans="1:6" x14ac:dyDescent="0.25">
      <c r="A23599" t="str">
        <f>"200015838"</f>
        <v>200015838</v>
      </c>
      <c r="B23599" t="str">
        <f>"1417302118"</f>
        <v>1417302118</v>
      </c>
      <c r="C23599" t="str">
        <f>"2084P0800X"</f>
        <v>2084P0800X</v>
      </c>
      <c r="D23599" t="str">
        <f>"MAHAUTMR                 PANRAPEE     J           "</f>
        <v xml:space="preserve">MAHAUTMR                 PANRAPEE     J           </v>
      </c>
      <c r="E23599" t="str">
        <f t="shared" ref="E23599:E23610" si="644">"MEMPHIS                   "</f>
        <v xml:space="preserve">MEMPHIS                   </v>
      </c>
      <c r="F23599" t="str">
        <f t="shared" si="640"/>
        <v>TN</v>
      </c>
    </row>
    <row r="23600" spans="1:6" x14ac:dyDescent="0.25">
      <c r="A23600" t="str">
        <f>"200015849"</f>
        <v>200015849</v>
      </c>
      <c r="B23600" t="str">
        <f>"1912641630"</f>
        <v>1912641630</v>
      </c>
      <c r="C23600" t="str">
        <f>"207P00000X"</f>
        <v>207P00000X</v>
      </c>
      <c r="D23600" t="str">
        <f>"MARKS                    JONATHAN                 "</f>
        <v xml:space="preserve">MARKS                    JONATHAN                 </v>
      </c>
      <c r="E23600" t="str">
        <f t="shared" si="644"/>
        <v xml:space="preserve">MEMPHIS                   </v>
      </c>
      <c r="F23600" t="str">
        <f t="shared" si="640"/>
        <v>TN</v>
      </c>
    </row>
    <row r="23601" spans="1:6" x14ac:dyDescent="0.25">
      <c r="A23601" t="str">
        <f>"200015851"</f>
        <v>200015851</v>
      </c>
      <c r="B23601" t="str">
        <f>"1912909508"</f>
        <v>1912909508</v>
      </c>
      <c r="C23601" t="str">
        <f>"207R00000X"</f>
        <v>207R00000X</v>
      </c>
      <c r="D23601" t="str">
        <f>"BLAKNEY                  ERIC                     "</f>
        <v xml:space="preserve">BLAKNEY                  ERIC                     </v>
      </c>
      <c r="E23601" t="str">
        <f t="shared" si="644"/>
        <v xml:space="preserve">MEMPHIS                   </v>
      </c>
      <c r="F23601" t="str">
        <f t="shared" si="640"/>
        <v>TN</v>
      </c>
    </row>
    <row r="23602" spans="1:6" x14ac:dyDescent="0.25">
      <c r="A23602" t="str">
        <f>"200015855"</f>
        <v>200015855</v>
      </c>
      <c r="B23602" t="str">
        <f>"1659950970"</f>
        <v>1659950970</v>
      </c>
      <c r="C23602" t="str">
        <f>"208000000X"</f>
        <v>208000000X</v>
      </c>
      <c r="D23602" t="str">
        <f>"STRONG                   MAURY                    "</f>
        <v xml:space="preserve">STRONG                   MAURY                    </v>
      </c>
      <c r="E23602" t="str">
        <f t="shared" si="644"/>
        <v xml:space="preserve">MEMPHIS                   </v>
      </c>
      <c r="F23602" t="str">
        <f t="shared" si="640"/>
        <v>TN</v>
      </c>
    </row>
    <row r="23603" spans="1:6" x14ac:dyDescent="0.25">
      <c r="A23603" t="str">
        <f>"200015893"</f>
        <v>200015893</v>
      </c>
      <c r="B23603" t="str">
        <f>"1548681315"</f>
        <v>1548681315</v>
      </c>
      <c r="C23603" t="str">
        <f>"367A00000X"</f>
        <v>367A00000X</v>
      </c>
      <c r="D23603" t="str">
        <f>"JOHNSON                  DAVIN        P           "</f>
        <v xml:space="preserve">JOHNSON                  DAVIN        P           </v>
      </c>
      <c r="E23603" t="str">
        <f t="shared" si="644"/>
        <v xml:space="preserve">MEMPHIS                   </v>
      </c>
      <c r="F23603" t="str">
        <f t="shared" si="640"/>
        <v>TN</v>
      </c>
    </row>
    <row r="23604" spans="1:6" x14ac:dyDescent="0.25">
      <c r="A23604" t="str">
        <f>"200015905"</f>
        <v>200015905</v>
      </c>
      <c r="B23604" t="str">
        <f>"1124113832"</f>
        <v>1124113832</v>
      </c>
      <c r="C23604" t="str">
        <f>"207RG0100X"</f>
        <v>207RG0100X</v>
      </c>
      <c r="D23604" t="str">
        <f>"SIDDIQ                   MUHAMMAD                 "</f>
        <v xml:space="preserve">SIDDIQ                   MUHAMMAD                 </v>
      </c>
      <c r="E23604" t="str">
        <f t="shared" si="644"/>
        <v xml:space="preserve">MEMPHIS                   </v>
      </c>
      <c r="F23604" t="str">
        <f t="shared" si="640"/>
        <v>TN</v>
      </c>
    </row>
    <row r="23605" spans="1:6" x14ac:dyDescent="0.25">
      <c r="A23605" t="str">
        <f>"200015910"</f>
        <v>200015910</v>
      </c>
      <c r="B23605" t="str">
        <f>"1295786010"</f>
        <v>1295786010</v>
      </c>
      <c r="C23605" t="str">
        <f>"207L00000X"</f>
        <v>207L00000X</v>
      </c>
      <c r="D23605" t="str">
        <f>"DADSON                   JESSE                    "</f>
        <v xml:space="preserve">DADSON                   JESSE                    </v>
      </c>
      <c r="E23605" t="str">
        <f t="shared" si="644"/>
        <v xml:space="preserve">MEMPHIS                   </v>
      </c>
      <c r="F23605" t="str">
        <f t="shared" si="640"/>
        <v>TN</v>
      </c>
    </row>
    <row r="23606" spans="1:6" x14ac:dyDescent="0.25">
      <c r="A23606" t="str">
        <f>"200015954"</f>
        <v>200015954</v>
      </c>
      <c r="B23606" t="str">
        <f>"1710973532"</f>
        <v>1710973532</v>
      </c>
      <c r="C23606" t="str">
        <f>"2080P0214X"</f>
        <v>2080P0214X</v>
      </c>
      <c r="D23606" t="str">
        <f>"RUSAKOW                  LEE                      "</f>
        <v xml:space="preserve">RUSAKOW                  LEE                      </v>
      </c>
      <c r="E23606" t="str">
        <f t="shared" si="644"/>
        <v xml:space="preserve">MEMPHIS                   </v>
      </c>
      <c r="F23606" t="str">
        <f t="shared" si="640"/>
        <v>TN</v>
      </c>
    </row>
    <row r="23607" spans="1:6" x14ac:dyDescent="0.25">
      <c r="A23607" t="str">
        <f>"200015964"</f>
        <v>200015964</v>
      </c>
      <c r="B23607" t="str">
        <f>"1750302584"</f>
        <v>1750302584</v>
      </c>
      <c r="C23607" t="str">
        <f>"2080P0207X"</f>
        <v>2080P0207X</v>
      </c>
      <c r="D23607" t="str">
        <f>"GUTIERREZ                ALEJANDRO                "</f>
        <v xml:space="preserve">GUTIERREZ                ALEJANDRO                </v>
      </c>
      <c r="E23607" t="str">
        <f t="shared" si="644"/>
        <v xml:space="preserve">MEMPHIS                   </v>
      </c>
      <c r="F23607" t="str">
        <f t="shared" si="640"/>
        <v>TN</v>
      </c>
    </row>
    <row r="23608" spans="1:6" x14ac:dyDescent="0.25">
      <c r="A23608" t="str">
        <f>"200015976"</f>
        <v>200015976</v>
      </c>
      <c r="B23608" t="str">
        <f>"1215930029"</f>
        <v>1215930029</v>
      </c>
      <c r="C23608" t="str">
        <f>"207R00000X"</f>
        <v>207R00000X</v>
      </c>
      <c r="D23608" t="str">
        <f>"SHIFFMAN                 STEPHEN                  "</f>
        <v xml:space="preserve">SHIFFMAN                 STEPHEN                  </v>
      </c>
      <c r="E23608" t="str">
        <f t="shared" si="644"/>
        <v xml:space="preserve">MEMPHIS                   </v>
      </c>
      <c r="F23608" t="str">
        <f t="shared" si="640"/>
        <v>TN</v>
      </c>
    </row>
    <row r="23609" spans="1:6" x14ac:dyDescent="0.25">
      <c r="A23609" t="str">
        <f>"200015981"</f>
        <v>200015981</v>
      </c>
      <c r="B23609" t="str">
        <f>"1255694527"</f>
        <v>1255694527</v>
      </c>
      <c r="C23609" t="str">
        <f>"2080P0207X"</f>
        <v>2080P0207X</v>
      </c>
      <c r="D23609" t="str">
        <f>"DURBIN                   ADAM         D           "</f>
        <v xml:space="preserve">DURBIN                   ADAM         D           </v>
      </c>
      <c r="E23609" t="str">
        <f t="shared" si="644"/>
        <v xml:space="preserve">MEMPHIS                   </v>
      </c>
      <c r="F23609" t="str">
        <f t="shared" si="640"/>
        <v>TN</v>
      </c>
    </row>
    <row r="23610" spans="1:6" x14ac:dyDescent="0.25">
      <c r="A23610" t="str">
        <f>"200015982"</f>
        <v>200015982</v>
      </c>
      <c r="B23610" t="str">
        <f>"1982229076"</f>
        <v>1982229076</v>
      </c>
      <c r="C23610" t="str">
        <f>"2080H0002X"</f>
        <v>2080H0002X</v>
      </c>
      <c r="D23610" t="str">
        <f>"BARROWS                  CORY                     "</f>
        <v xml:space="preserve">BARROWS                  CORY                     </v>
      </c>
      <c r="E23610" t="str">
        <f t="shared" si="644"/>
        <v xml:space="preserve">MEMPHIS                   </v>
      </c>
      <c r="F23610" t="str">
        <f t="shared" si="640"/>
        <v>TN</v>
      </c>
    </row>
    <row r="23611" spans="1:6" x14ac:dyDescent="0.25">
      <c r="A23611" t="str">
        <f>"200015996"</f>
        <v>200015996</v>
      </c>
      <c r="B23611" t="str">
        <f>"1689111718"</f>
        <v>1689111718</v>
      </c>
      <c r="C23611" t="str">
        <f>"207P00000X"</f>
        <v>207P00000X</v>
      </c>
      <c r="D23611" t="str">
        <f>"ESKEW                    CHARITY                  "</f>
        <v xml:space="preserve">ESKEW                    CHARITY                  </v>
      </c>
      <c r="E23611" t="str">
        <f>"BARTLETT                  "</f>
        <v xml:space="preserve">BARTLETT                  </v>
      </c>
      <c r="F23611" t="str">
        <f t="shared" si="640"/>
        <v>TN</v>
      </c>
    </row>
    <row r="23612" spans="1:6" x14ac:dyDescent="0.25">
      <c r="A23612" t="str">
        <f>"200016005"</f>
        <v>200016005</v>
      </c>
      <c r="B23612" t="str">
        <f>"1902661598"</f>
        <v>1902661598</v>
      </c>
      <c r="C23612" t="str">
        <f>"363A00000X"</f>
        <v>363A00000X</v>
      </c>
      <c r="D23612" t="str">
        <f>"HUTSON                   CHARLIE                  "</f>
        <v xml:space="preserve">HUTSON                   CHARLIE                  </v>
      </c>
      <c r="E23612" t="str">
        <f>"GERMANTOWN                "</f>
        <v xml:space="preserve">GERMANTOWN                </v>
      </c>
      <c r="F23612" t="str">
        <f t="shared" si="640"/>
        <v>TN</v>
      </c>
    </row>
    <row r="23613" spans="1:6" x14ac:dyDescent="0.25">
      <c r="A23613" t="str">
        <f>"200016024"</f>
        <v>200016024</v>
      </c>
      <c r="B23613" t="str">
        <f>"1942599220"</f>
        <v>1942599220</v>
      </c>
      <c r="C23613" t="str">
        <f>"207R00000X"</f>
        <v>207R00000X</v>
      </c>
      <c r="D23613" t="str">
        <f>"VAQAR                    SAROSH                   "</f>
        <v xml:space="preserve">VAQAR                    SAROSH                   </v>
      </c>
      <c r="E23613" t="str">
        <f>"COLLIERVILLE              "</f>
        <v xml:space="preserve">COLLIERVILLE              </v>
      </c>
      <c r="F23613" t="str">
        <f t="shared" si="640"/>
        <v>TN</v>
      </c>
    </row>
    <row r="23614" spans="1:6" x14ac:dyDescent="0.25">
      <c r="A23614" t="str">
        <f>"200016026"</f>
        <v>200016026</v>
      </c>
      <c r="B23614" t="str">
        <f>"1326356890"</f>
        <v>1326356890</v>
      </c>
      <c r="C23614" t="str">
        <f>"363LF0000X"</f>
        <v>363LF0000X</v>
      </c>
      <c r="D23614" t="str">
        <f>"KEEL                     HOLLY        R           "</f>
        <v xml:space="preserve">KEEL                     HOLLY        R           </v>
      </c>
      <c r="E23614" t="str">
        <f t="shared" ref="E23614:E23632" si="645">"MEMPHIS                   "</f>
        <v xml:space="preserve">MEMPHIS                   </v>
      </c>
      <c r="F23614" t="str">
        <f t="shared" ref="F23614:F23677" si="646">"TN"</f>
        <v>TN</v>
      </c>
    </row>
    <row r="23615" spans="1:6" x14ac:dyDescent="0.25">
      <c r="A23615" t="str">
        <f>"200016045"</f>
        <v>200016045</v>
      </c>
      <c r="B23615" t="str">
        <f>"1124647920"</f>
        <v>1124647920</v>
      </c>
      <c r="C23615" t="str">
        <f>"208M00000X"</f>
        <v>208M00000X</v>
      </c>
      <c r="D23615" t="str">
        <f>"HARDY                    AMANDA                   "</f>
        <v xml:space="preserve">HARDY                    AMANDA                   </v>
      </c>
      <c r="E23615" t="str">
        <f t="shared" si="645"/>
        <v xml:space="preserve">MEMPHIS                   </v>
      </c>
      <c r="F23615" t="str">
        <f t="shared" si="646"/>
        <v>TN</v>
      </c>
    </row>
    <row r="23616" spans="1:6" x14ac:dyDescent="0.25">
      <c r="A23616" t="str">
        <f>"200016053"</f>
        <v>200016053</v>
      </c>
      <c r="B23616" t="str">
        <f>"1457849713"</f>
        <v>1457849713</v>
      </c>
      <c r="C23616" t="str">
        <f>"207R00000X"</f>
        <v>207R00000X</v>
      </c>
      <c r="D23616" t="str">
        <f>"MATURANA                 GONZALEZ     M           "</f>
        <v xml:space="preserve">MATURANA                 GONZALEZ     M           </v>
      </c>
      <c r="E23616" t="str">
        <f t="shared" si="645"/>
        <v xml:space="preserve">MEMPHIS                   </v>
      </c>
      <c r="F23616" t="str">
        <f t="shared" si="646"/>
        <v>TN</v>
      </c>
    </row>
    <row r="23617" spans="1:6" x14ac:dyDescent="0.25">
      <c r="A23617" t="str">
        <f>"200016109"</f>
        <v>200016109</v>
      </c>
      <c r="B23617" t="str">
        <f>"1952130486"</f>
        <v>1952130486</v>
      </c>
      <c r="C23617" t="str">
        <f>"367500000X"</f>
        <v>367500000X</v>
      </c>
      <c r="D23617" t="str">
        <f>"KING                     CARLIE       A           "</f>
        <v xml:space="preserve">KING                     CARLIE       A           </v>
      </c>
      <c r="E23617" t="str">
        <f t="shared" si="645"/>
        <v xml:space="preserve">MEMPHIS                   </v>
      </c>
      <c r="F23617" t="str">
        <f t="shared" si="646"/>
        <v>TN</v>
      </c>
    </row>
    <row r="23618" spans="1:6" x14ac:dyDescent="0.25">
      <c r="A23618" t="str">
        <f>"200016111"</f>
        <v>200016111</v>
      </c>
      <c r="B23618" t="str">
        <f>"1215316047"</f>
        <v>1215316047</v>
      </c>
      <c r="C23618" t="str">
        <f>"207L00000X"</f>
        <v>207L00000X</v>
      </c>
      <c r="D23618" t="str">
        <f>"ZADORA                   STEVEN                   "</f>
        <v xml:space="preserve">ZADORA                   STEVEN                   </v>
      </c>
      <c r="E23618" t="str">
        <f t="shared" si="645"/>
        <v xml:space="preserve">MEMPHIS                   </v>
      </c>
      <c r="F23618" t="str">
        <f t="shared" si="646"/>
        <v>TN</v>
      </c>
    </row>
    <row r="23619" spans="1:6" x14ac:dyDescent="0.25">
      <c r="A23619" t="str">
        <f>"200016116"</f>
        <v>200016116</v>
      </c>
      <c r="B23619" t="str">
        <f>"1962263178"</f>
        <v>1962263178</v>
      </c>
      <c r="C23619" t="str">
        <f>"363A00000X"</f>
        <v>363A00000X</v>
      </c>
      <c r="D23619" t="str">
        <f>"RAHMAN                   AMANEE       A           "</f>
        <v xml:space="preserve">RAHMAN                   AMANEE       A           </v>
      </c>
      <c r="E23619" t="str">
        <f t="shared" si="645"/>
        <v xml:space="preserve">MEMPHIS                   </v>
      </c>
      <c r="F23619" t="str">
        <f t="shared" si="646"/>
        <v>TN</v>
      </c>
    </row>
    <row r="23620" spans="1:6" x14ac:dyDescent="0.25">
      <c r="A23620" t="str">
        <f>"200016128"</f>
        <v>200016128</v>
      </c>
      <c r="B23620" t="str">
        <f>"1235721960"</f>
        <v>1235721960</v>
      </c>
      <c r="C23620" t="str">
        <f>"363L00000X"</f>
        <v>363L00000X</v>
      </c>
      <c r="D23620" t="str">
        <f>"WEBB                     ROBYN                    "</f>
        <v xml:space="preserve">WEBB                     ROBYN                    </v>
      </c>
      <c r="E23620" t="str">
        <f t="shared" si="645"/>
        <v xml:space="preserve">MEMPHIS                   </v>
      </c>
      <c r="F23620" t="str">
        <f t="shared" si="646"/>
        <v>TN</v>
      </c>
    </row>
    <row r="23621" spans="1:6" x14ac:dyDescent="0.25">
      <c r="A23621" t="str">
        <f>"200016129"</f>
        <v>200016129</v>
      </c>
      <c r="B23621" t="str">
        <f>"1609856616"</f>
        <v>1609856616</v>
      </c>
      <c r="C23621" t="str">
        <f>"207L00000X"</f>
        <v>207L00000X</v>
      </c>
      <c r="D23621" t="str">
        <f>"DWEIK                    HUSNI        W           "</f>
        <v xml:space="preserve">DWEIK                    HUSNI        W           </v>
      </c>
      <c r="E23621" t="str">
        <f t="shared" si="645"/>
        <v xml:space="preserve">MEMPHIS                   </v>
      </c>
      <c r="F23621" t="str">
        <f t="shared" si="646"/>
        <v>TN</v>
      </c>
    </row>
    <row r="23622" spans="1:6" x14ac:dyDescent="0.25">
      <c r="A23622" t="str">
        <f>"200016164"</f>
        <v>200016164</v>
      </c>
      <c r="B23622" t="str">
        <f>"1578084778"</f>
        <v>1578084778</v>
      </c>
      <c r="C23622" t="str">
        <f>"363LP0200X"</f>
        <v>363LP0200X</v>
      </c>
      <c r="D23622" t="str">
        <f>"IRELAND                  BRITTANI                 "</f>
        <v xml:space="preserve">IRELAND                  BRITTANI                 </v>
      </c>
      <c r="E23622" t="str">
        <f t="shared" si="645"/>
        <v xml:space="preserve">MEMPHIS                   </v>
      </c>
      <c r="F23622" t="str">
        <f t="shared" si="646"/>
        <v>TN</v>
      </c>
    </row>
    <row r="23623" spans="1:6" x14ac:dyDescent="0.25">
      <c r="A23623" t="str">
        <f>"200016201"</f>
        <v>200016201</v>
      </c>
      <c r="B23623" t="str">
        <f>"1760420483"</f>
        <v>1760420483</v>
      </c>
      <c r="C23623" t="str">
        <f>"367500000X"</f>
        <v>367500000X</v>
      </c>
      <c r="D23623" t="str">
        <f>"MCKAY                    STEVEN                   "</f>
        <v xml:space="preserve">MCKAY                    STEVEN                   </v>
      </c>
      <c r="E23623" t="str">
        <f t="shared" si="645"/>
        <v xml:space="preserve">MEMPHIS                   </v>
      </c>
      <c r="F23623" t="str">
        <f t="shared" si="646"/>
        <v>TN</v>
      </c>
    </row>
    <row r="23624" spans="1:6" x14ac:dyDescent="0.25">
      <c r="A23624" t="str">
        <f>"200016207"</f>
        <v>200016207</v>
      </c>
      <c r="B23624" t="str">
        <f>"1689136004"</f>
        <v>1689136004</v>
      </c>
      <c r="C23624" t="str">
        <f>"367500000X"</f>
        <v>367500000X</v>
      </c>
      <c r="D23624" t="str">
        <f>"VAUGHN                   CONTESSA                 "</f>
        <v xml:space="preserve">VAUGHN                   CONTESSA                 </v>
      </c>
      <c r="E23624" t="str">
        <f t="shared" si="645"/>
        <v xml:space="preserve">MEMPHIS                   </v>
      </c>
      <c r="F23624" t="str">
        <f t="shared" si="646"/>
        <v>TN</v>
      </c>
    </row>
    <row r="23625" spans="1:6" x14ac:dyDescent="0.25">
      <c r="A23625" t="str">
        <f>"200016211"</f>
        <v>200016211</v>
      </c>
      <c r="B23625" t="str">
        <f>"1215653282"</f>
        <v>1215653282</v>
      </c>
      <c r="C23625" t="str">
        <f>"2088P0231X"</f>
        <v>2088P0231X</v>
      </c>
      <c r="D23625" t="str">
        <f>"SOLTAN                   MOHAMED                  "</f>
        <v xml:space="preserve">SOLTAN                   MOHAMED                  </v>
      </c>
      <c r="E23625" t="str">
        <f t="shared" si="645"/>
        <v xml:space="preserve">MEMPHIS                   </v>
      </c>
      <c r="F23625" t="str">
        <f t="shared" si="646"/>
        <v>TN</v>
      </c>
    </row>
    <row r="23626" spans="1:6" x14ac:dyDescent="0.25">
      <c r="A23626" t="str">
        <f>"200016215"</f>
        <v>200016215</v>
      </c>
      <c r="B23626" t="str">
        <f>"1811003635"</f>
        <v>1811003635</v>
      </c>
      <c r="C23626" t="str">
        <f>"207RG0100X"</f>
        <v>207RG0100X</v>
      </c>
      <c r="D23626" t="str">
        <f>"BOWDEN                   PHILLIP                  "</f>
        <v xml:space="preserve">BOWDEN                   PHILLIP                  </v>
      </c>
      <c r="E23626" t="str">
        <f t="shared" si="645"/>
        <v xml:space="preserve">MEMPHIS                   </v>
      </c>
      <c r="F23626" t="str">
        <f t="shared" si="646"/>
        <v>TN</v>
      </c>
    </row>
    <row r="23627" spans="1:6" x14ac:dyDescent="0.25">
      <c r="A23627" t="str">
        <f>"200016229"</f>
        <v>200016229</v>
      </c>
      <c r="B23627" t="str">
        <f>"1548011034"</f>
        <v>1548011034</v>
      </c>
      <c r="C23627" t="str">
        <f>"367500000X"</f>
        <v>367500000X</v>
      </c>
      <c r="D23627" t="str">
        <f>"PATRICK                  ABIGAIL      K           "</f>
        <v xml:space="preserve">PATRICK                  ABIGAIL      K           </v>
      </c>
      <c r="E23627" t="str">
        <f t="shared" si="645"/>
        <v xml:space="preserve">MEMPHIS                   </v>
      </c>
      <c r="F23627" t="str">
        <f t="shared" si="646"/>
        <v>TN</v>
      </c>
    </row>
    <row r="23628" spans="1:6" x14ac:dyDescent="0.25">
      <c r="A23628" t="str">
        <f>"200016260"</f>
        <v>200016260</v>
      </c>
      <c r="B23628" t="str">
        <f>"1639294358"</f>
        <v>1639294358</v>
      </c>
      <c r="C23628" t="str">
        <f>"367500000X"</f>
        <v>367500000X</v>
      </c>
      <c r="D23628" t="str">
        <f>"HOY                      SHANNON                  "</f>
        <v xml:space="preserve">HOY                      SHANNON                  </v>
      </c>
      <c r="E23628" t="str">
        <f t="shared" si="645"/>
        <v xml:space="preserve">MEMPHIS                   </v>
      </c>
      <c r="F23628" t="str">
        <f t="shared" si="646"/>
        <v>TN</v>
      </c>
    </row>
    <row r="23629" spans="1:6" x14ac:dyDescent="0.25">
      <c r="A23629" t="str">
        <f>"200016271"</f>
        <v>200016271</v>
      </c>
      <c r="B23629" t="str">
        <f>"1255821146"</f>
        <v>1255821146</v>
      </c>
      <c r="C23629" t="str">
        <f>"2080P0208X"</f>
        <v>2080P0208X</v>
      </c>
      <c r="D23629" t="str">
        <f>"SHAPIRO                  KATE                     "</f>
        <v xml:space="preserve">SHAPIRO                  KATE                     </v>
      </c>
      <c r="E23629" t="str">
        <f t="shared" si="645"/>
        <v xml:space="preserve">MEMPHIS                   </v>
      </c>
      <c r="F23629" t="str">
        <f t="shared" si="646"/>
        <v>TN</v>
      </c>
    </row>
    <row r="23630" spans="1:6" x14ac:dyDescent="0.25">
      <c r="A23630" t="str">
        <f>"200016285"</f>
        <v>200016285</v>
      </c>
      <c r="B23630" t="str">
        <f>"1467711770"</f>
        <v>1467711770</v>
      </c>
      <c r="C23630" t="str">
        <f>"207L00000X"</f>
        <v>207L00000X</v>
      </c>
      <c r="D23630" t="str">
        <f>"HUYNH                    PAUL                     "</f>
        <v xml:space="preserve">HUYNH                    PAUL                     </v>
      </c>
      <c r="E23630" t="str">
        <f t="shared" si="645"/>
        <v xml:space="preserve">MEMPHIS                   </v>
      </c>
      <c r="F23630" t="str">
        <f t="shared" si="646"/>
        <v>TN</v>
      </c>
    </row>
    <row r="23631" spans="1:6" x14ac:dyDescent="0.25">
      <c r="A23631" t="str">
        <f>"200016286"</f>
        <v>200016286</v>
      </c>
      <c r="B23631" t="str">
        <f>"1851527485"</f>
        <v>1851527485</v>
      </c>
      <c r="C23631" t="str">
        <f>"207L00000X"</f>
        <v>207L00000X</v>
      </c>
      <c r="D23631" t="str">
        <f>"PERSON                   BRETT                    "</f>
        <v xml:space="preserve">PERSON                   BRETT                    </v>
      </c>
      <c r="E23631" t="str">
        <f t="shared" si="645"/>
        <v xml:space="preserve">MEMPHIS                   </v>
      </c>
      <c r="F23631" t="str">
        <f t="shared" si="646"/>
        <v>TN</v>
      </c>
    </row>
    <row r="23632" spans="1:6" x14ac:dyDescent="0.25">
      <c r="A23632" t="str">
        <f>"200016288"</f>
        <v>200016288</v>
      </c>
      <c r="B23632" t="str">
        <f>"1629416268"</f>
        <v>1629416268</v>
      </c>
      <c r="C23632" t="str">
        <f>"367500000X"</f>
        <v>367500000X</v>
      </c>
      <c r="D23632" t="str">
        <f>"HOVER                    LEE          K           "</f>
        <v xml:space="preserve">HOVER                    LEE          K           </v>
      </c>
      <c r="E23632" t="str">
        <f t="shared" si="645"/>
        <v xml:space="preserve">MEMPHIS                   </v>
      </c>
      <c r="F23632" t="str">
        <f t="shared" si="646"/>
        <v>TN</v>
      </c>
    </row>
    <row r="23633" spans="1:6" x14ac:dyDescent="0.25">
      <c r="A23633" t="str">
        <f>"200016291"</f>
        <v>200016291</v>
      </c>
      <c r="B23633" t="str">
        <f>"1811412612"</f>
        <v>1811412612</v>
      </c>
      <c r="C23633" t="str">
        <f>"363A00000X"</f>
        <v>363A00000X</v>
      </c>
      <c r="D23633" t="str">
        <f>"STILES                   LAURA                    "</f>
        <v xml:space="preserve">STILES                   LAURA                    </v>
      </c>
      <c r="E23633" t="str">
        <f>"BARTLETT                  "</f>
        <v xml:space="preserve">BARTLETT                  </v>
      </c>
      <c r="F23633" t="str">
        <f t="shared" si="646"/>
        <v>TN</v>
      </c>
    </row>
    <row r="23634" spans="1:6" x14ac:dyDescent="0.25">
      <c r="A23634" t="str">
        <f>"200016293"</f>
        <v>200016293</v>
      </c>
      <c r="B23634" t="str">
        <f>"1568406551"</f>
        <v>1568406551</v>
      </c>
      <c r="C23634" t="str">
        <f>"207Q00000X"</f>
        <v>207Q00000X</v>
      </c>
      <c r="D23634" t="str">
        <f>"CRAWFORD                 JOHN                     "</f>
        <v xml:space="preserve">CRAWFORD                 JOHN                     </v>
      </c>
      <c r="E23634" t="str">
        <f>"COLLIERVILLE              "</f>
        <v xml:space="preserve">COLLIERVILLE              </v>
      </c>
      <c r="F23634" t="str">
        <f t="shared" si="646"/>
        <v>TN</v>
      </c>
    </row>
    <row r="23635" spans="1:6" x14ac:dyDescent="0.25">
      <c r="A23635" t="str">
        <f>"200016303"</f>
        <v>200016303</v>
      </c>
      <c r="B23635" t="str">
        <f>"1831940329"</f>
        <v>1831940329</v>
      </c>
      <c r="C23635" t="str">
        <f>"367500000X"</f>
        <v>367500000X</v>
      </c>
      <c r="D23635" t="str">
        <f>"RAMSEY                   ABIGAIL                  "</f>
        <v xml:space="preserve">RAMSEY                   ABIGAIL                  </v>
      </c>
      <c r="E23635" t="str">
        <f>"MEMPHIS                   "</f>
        <v xml:space="preserve">MEMPHIS                   </v>
      </c>
      <c r="F23635" t="str">
        <f t="shared" si="646"/>
        <v>TN</v>
      </c>
    </row>
    <row r="23636" spans="1:6" x14ac:dyDescent="0.25">
      <c r="A23636" t="str">
        <f>"200016311"</f>
        <v>200016311</v>
      </c>
      <c r="B23636" t="str">
        <f>"1194088054"</f>
        <v>1194088054</v>
      </c>
      <c r="C23636" t="str">
        <f>"207Q00000X"</f>
        <v>207Q00000X</v>
      </c>
      <c r="D23636" t="str">
        <f>"SCOTT                    MARK                     "</f>
        <v xml:space="preserve">SCOTT                    MARK                     </v>
      </c>
      <c r="E23636" t="str">
        <f>"MEMPHIS                   "</f>
        <v xml:space="preserve">MEMPHIS                   </v>
      </c>
      <c r="F23636" t="str">
        <f t="shared" si="646"/>
        <v>TN</v>
      </c>
    </row>
    <row r="23637" spans="1:6" x14ac:dyDescent="0.25">
      <c r="A23637" t="str">
        <f>"200016312"</f>
        <v>200016312</v>
      </c>
      <c r="B23637" t="str">
        <f>"1336341726"</f>
        <v>1336341726</v>
      </c>
      <c r="C23637" t="str">
        <f>"2085R0202X"</f>
        <v>2085R0202X</v>
      </c>
      <c r="D23637" t="str">
        <f>"YOCHIM                   SCOTT        E           "</f>
        <v xml:space="preserve">YOCHIM                   SCOTT        E           </v>
      </c>
      <c r="E23637" t="str">
        <f>"GERMANTOWN                "</f>
        <v xml:space="preserve">GERMANTOWN                </v>
      </c>
      <c r="F23637" t="str">
        <f t="shared" si="646"/>
        <v>TN</v>
      </c>
    </row>
    <row r="23638" spans="1:6" x14ac:dyDescent="0.25">
      <c r="A23638" t="str">
        <f>"200016322"</f>
        <v>200016322</v>
      </c>
      <c r="B23638" t="str">
        <f>"1316168057"</f>
        <v>1316168057</v>
      </c>
      <c r="C23638" t="str">
        <f>"367500000X"</f>
        <v>367500000X</v>
      </c>
      <c r="D23638" t="str">
        <f>"FEINSTONE                CHRISTINA                "</f>
        <v xml:space="preserve">FEINSTONE                CHRISTINA                </v>
      </c>
      <c r="E23638" t="str">
        <f>"MEMPHIS                   "</f>
        <v xml:space="preserve">MEMPHIS                   </v>
      </c>
      <c r="F23638" t="str">
        <f t="shared" si="646"/>
        <v>TN</v>
      </c>
    </row>
    <row r="23639" spans="1:6" x14ac:dyDescent="0.25">
      <c r="A23639" t="str">
        <f>"200016331"</f>
        <v>200016331</v>
      </c>
      <c r="B23639" t="str">
        <f>"1831481159"</f>
        <v>1831481159</v>
      </c>
      <c r="C23639" t="str">
        <f>"367500000X"</f>
        <v>367500000X</v>
      </c>
      <c r="D23639" t="str">
        <f>"RYAN                     SAMANTHA     L           "</f>
        <v xml:space="preserve">RYAN                     SAMANTHA     L           </v>
      </c>
      <c r="E23639" t="str">
        <f>"MEMPHIS                   "</f>
        <v xml:space="preserve">MEMPHIS                   </v>
      </c>
      <c r="F23639" t="str">
        <f t="shared" si="646"/>
        <v>TN</v>
      </c>
    </row>
    <row r="23640" spans="1:6" x14ac:dyDescent="0.25">
      <c r="A23640" t="str">
        <f>"200016340"</f>
        <v>200016340</v>
      </c>
      <c r="B23640" t="str">
        <f>"1801171129"</f>
        <v>1801171129</v>
      </c>
      <c r="C23640" t="str">
        <f>"2080N0001X"</f>
        <v>2080N0001X</v>
      </c>
      <c r="D23640" t="str">
        <f>"MAXWELL                  ABIGAEL                  "</f>
        <v xml:space="preserve">MAXWELL                  ABIGAEL                  </v>
      </c>
      <c r="E23640" t="str">
        <f>"MEMPHIS                   "</f>
        <v xml:space="preserve">MEMPHIS                   </v>
      </c>
      <c r="F23640" t="str">
        <f t="shared" si="646"/>
        <v>TN</v>
      </c>
    </row>
    <row r="23641" spans="1:6" x14ac:dyDescent="0.25">
      <c r="A23641" t="str">
        <f>"200016345"</f>
        <v>200016345</v>
      </c>
      <c r="B23641" t="str">
        <f>"1740333756"</f>
        <v>1740333756</v>
      </c>
      <c r="C23641" t="str">
        <f>"363LF0000X"</f>
        <v>363LF0000X</v>
      </c>
      <c r="D23641" t="str">
        <f>"CRAFTON                  JULIE        W           "</f>
        <v xml:space="preserve">CRAFTON                  JULIE        W           </v>
      </c>
      <c r="E23641" t="str">
        <f>"MEMPHIS                   "</f>
        <v xml:space="preserve">MEMPHIS                   </v>
      </c>
      <c r="F23641" t="str">
        <f t="shared" si="646"/>
        <v>TN</v>
      </c>
    </row>
    <row r="23642" spans="1:6" x14ac:dyDescent="0.25">
      <c r="A23642" t="str">
        <f>"200016348"</f>
        <v>200016348</v>
      </c>
      <c r="B23642" t="str">
        <f>"1992043285"</f>
        <v>1992043285</v>
      </c>
      <c r="C23642" t="str">
        <f>"367500000X"</f>
        <v>367500000X</v>
      </c>
      <c r="D23642" t="str">
        <f>"BOONE                    RACHEL       S           "</f>
        <v xml:space="preserve">BOONE                    RACHEL       S           </v>
      </c>
      <c r="E23642" t="str">
        <f>"MEMPHIS                   "</f>
        <v xml:space="preserve">MEMPHIS                   </v>
      </c>
      <c r="F23642" t="str">
        <f t="shared" si="646"/>
        <v>TN</v>
      </c>
    </row>
    <row r="23643" spans="1:6" x14ac:dyDescent="0.25">
      <c r="A23643" t="str">
        <f>"200016356"</f>
        <v>200016356</v>
      </c>
      <c r="B23643" t="str">
        <f>"1225022395"</f>
        <v>1225022395</v>
      </c>
      <c r="C23643" t="str">
        <f>"207Q00000X"</f>
        <v>207Q00000X</v>
      </c>
      <c r="D23643" t="str">
        <f>"MAY                      JEFFREY                  "</f>
        <v xml:space="preserve">MAY                      JEFFREY                  </v>
      </c>
      <c r="E23643" t="str">
        <f>"MUNFORD                   "</f>
        <v xml:space="preserve">MUNFORD                   </v>
      </c>
      <c r="F23643" t="str">
        <f t="shared" si="646"/>
        <v>TN</v>
      </c>
    </row>
    <row r="23644" spans="1:6" x14ac:dyDescent="0.25">
      <c r="A23644" t="str">
        <f>"200016362"</f>
        <v>200016362</v>
      </c>
      <c r="B23644" t="str">
        <f>"1982085106"</f>
        <v>1982085106</v>
      </c>
      <c r="C23644" t="str">
        <f>"207RI0011X"</f>
        <v>207RI0011X</v>
      </c>
      <c r="D23644" t="str">
        <f>"QUTRIO BALOCH            ZULFIQAR     A           "</f>
        <v xml:space="preserve">QUTRIO BALOCH            ZULFIQAR     A           </v>
      </c>
      <c r="E23644" t="str">
        <f>"BARTLETT                  "</f>
        <v xml:space="preserve">BARTLETT                  </v>
      </c>
      <c r="F23644" t="str">
        <f t="shared" si="646"/>
        <v>TN</v>
      </c>
    </row>
    <row r="23645" spans="1:6" x14ac:dyDescent="0.25">
      <c r="A23645" t="str">
        <f>"200016374"</f>
        <v>200016374</v>
      </c>
      <c r="B23645" t="str">
        <f>"1821821125"</f>
        <v>1821821125</v>
      </c>
      <c r="C23645" t="str">
        <f>"363L00000X"</f>
        <v>363L00000X</v>
      </c>
      <c r="D23645" t="str">
        <f>"ODIPO                    BENTA        A           "</f>
        <v xml:space="preserve">ODIPO                    BENTA        A           </v>
      </c>
      <c r="E23645" t="str">
        <f t="shared" ref="E23645:E23655" si="647">"MEMPHIS                   "</f>
        <v xml:space="preserve">MEMPHIS                   </v>
      </c>
      <c r="F23645" t="str">
        <f t="shared" si="646"/>
        <v>TN</v>
      </c>
    </row>
    <row r="23646" spans="1:6" x14ac:dyDescent="0.25">
      <c r="A23646" t="str">
        <f>"200016380"</f>
        <v>200016380</v>
      </c>
      <c r="B23646" t="str">
        <f>"1740809169"</f>
        <v>1740809169</v>
      </c>
      <c r="C23646" t="str">
        <f>"208000000X"</f>
        <v>208000000X</v>
      </c>
      <c r="D23646" t="str">
        <f>"MCKAY-CORKUM             GRACE                    "</f>
        <v xml:space="preserve">MCKAY-CORKUM             GRACE                    </v>
      </c>
      <c r="E23646" t="str">
        <f t="shared" si="647"/>
        <v xml:space="preserve">MEMPHIS                   </v>
      </c>
      <c r="F23646" t="str">
        <f t="shared" si="646"/>
        <v>TN</v>
      </c>
    </row>
    <row r="23647" spans="1:6" x14ac:dyDescent="0.25">
      <c r="A23647" t="str">
        <f>"200016396"</f>
        <v>200016396</v>
      </c>
      <c r="B23647" t="str">
        <f>"1144062720"</f>
        <v>1144062720</v>
      </c>
      <c r="C23647" t="str">
        <f>"367500000X"</f>
        <v>367500000X</v>
      </c>
      <c r="D23647" t="str">
        <f>"SCHOLL                   MADISON                  "</f>
        <v xml:space="preserve">SCHOLL                   MADISON                  </v>
      </c>
      <c r="E23647" t="str">
        <f t="shared" si="647"/>
        <v xml:space="preserve">MEMPHIS                   </v>
      </c>
      <c r="F23647" t="str">
        <f t="shared" si="646"/>
        <v>TN</v>
      </c>
    </row>
    <row r="23648" spans="1:6" x14ac:dyDescent="0.25">
      <c r="A23648" t="str">
        <f>"200016413"</f>
        <v>200016413</v>
      </c>
      <c r="B23648" t="str">
        <f>"1770903882"</f>
        <v>1770903882</v>
      </c>
      <c r="C23648" t="str">
        <f>"208000000X"</f>
        <v>208000000X</v>
      </c>
      <c r="D23648" t="str">
        <f>"THACKER                  AMBER                    "</f>
        <v xml:space="preserve">THACKER                  AMBER                    </v>
      </c>
      <c r="E23648" t="str">
        <f t="shared" si="647"/>
        <v xml:space="preserve">MEMPHIS                   </v>
      </c>
      <c r="F23648" t="str">
        <f t="shared" si="646"/>
        <v>TN</v>
      </c>
    </row>
    <row r="23649" spans="1:6" x14ac:dyDescent="0.25">
      <c r="A23649" t="str">
        <f>"200016414"</f>
        <v>200016414</v>
      </c>
      <c r="B23649" t="str">
        <f>"1891089744"</f>
        <v>1891089744</v>
      </c>
      <c r="C23649" t="str">
        <f>"207R00000X"</f>
        <v>207R00000X</v>
      </c>
      <c r="D23649" t="str">
        <f>"KAZIE                    NELSON                   "</f>
        <v xml:space="preserve">KAZIE                    NELSON                   </v>
      </c>
      <c r="E23649" t="str">
        <f t="shared" si="647"/>
        <v xml:space="preserve">MEMPHIS                   </v>
      </c>
      <c r="F23649" t="str">
        <f t="shared" si="646"/>
        <v>TN</v>
      </c>
    </row>
    <row r="23650" spans="1:6" x14ac:dyDescent="0.25">
      <c r="A23650" t="str">
        <f>"200016417"</f>
        <v>200016417</v>
      </c>
      <c r="B23650" t="str">
        <f>"1750501623"</f>
        <v>1750501623</v>
      </c>
      <c r="C23650" t="str">
        <f>"207RN0300X"</f>
        <v>207RN0300X</v>
      </c>
      <c r="D23650" t="str">
        <f>"KAZMI                    ASIF                     "</f>
        <v xml:space="preserve">KAZMI                    ASIF                     </v>
      </c>
      <c r="E23650" t="str">
        <f t="shared" si="647"/>
        <v xml:space="preserve">MEMPHIS                   </v>
      </c>
      <c r="F23650" t="str">
        <f t="shared" si="646"/>
        <v>TN</v>
      </c>
    </row>
    <row r="23651" spans="1:6" x14ac:dyDescent="0.25">
      <c r="A23651" t="str">
        <f>"200016426"</f>
        <v>200016426</v>
      </c>
      <c r="B23651" t="str">
        <f>"1538506936"</f>
        <v>1538506936</v>
      </c>
      <c r="C23651" t="str">
        <f>"207L00000X"</f>
        <v>207L00000X</v>
      </c>
      <c r="D23651" t="str">
        <f>"WEST                     ALEXIS                   "</f>
        <v xml:space="preserve">WEST                     ALEXIS                   </v>
      </c>
      <c r="E23651" t="str">
        <f t="shared" si="647"/>
        <v xml:space="preserve">MEMPHIS                   </v>
      </c>
      <c r="F23651" t="str">
        <f t="shared" si="646"/>
        <v>TN</v>
      </c>
    </row>
    <row r="23652" spans="1:6" x14ac:dyDescent="0.25">
      <c r="A23652" t="str">
        <f>"200016436"</f>
        <v>200016436</v>
      </c>
      <c r="B23652" t="str">
        <f>"1659698280"</f>
        <v>1659698280</v>
      </c>
      <c r="C23652" t="str">
        <f>"208C00000X"</f>
        <v>208C00000X</v>
      </c>
      <c r="D23652" t="str">
        <f>"WRIGHT                   MORIAH                   "</f>
        <v xml:space="preserve">WRIGHT                   MORIAH                   </v>
      </c>
      <c r="E23652" t="str">
        <f t="shared" si="647"/>
        <v xml:space="preserve">MEMPHIS                   </v>
      </c>
      <c r="F23652" t="str">
        <f t="shared" si="646"/>
        <v>TN</v>
      </c>
    </row>
    <row r="23653" spans="1:6" x14ac:dyDescent="0.25">
      <c r="A23653" t="str">
        <f>"200016441"</f>
        <v>200016441</v>
      </c>
      <c r="B23653" t="str">
        <f>"1104871433"</f>
        <v>1104871433</v>
      </c>
      <c r="C23653" t="str">
        <f>"207RI0011X"</f>
        <v>207RI0011X</v>
      </c>
      <c r="D23653" t="str">
        <f>"OKOLO                    JOSEPH                   "</f>
        <v xml:space="preserve">OKOLO                    JOSEPH                   </v>
      </c>
      <c r="E23653" t="str">
        <f t="shared" si="647"/>
        <v xml:space="preserve">MEMPHIS                   </v>
      </c>
      <c r="F23653" t="str">
        <f t="shared" si="646"/>
        <v>TN</v>
      </c>
    </row>
    <row r="23654" spans="1:6" x14ac:dyDescent="0.25">
      <c r="A23654" t="str">
        <f>"200016458"</f>
        <v>200016458</v>
      </c>
      <c r="B23654" t="str">
        <f>"1285103705"</f>
        <v>1285103705</v>
      </c>
      <c r="C23654" t="str">
        <f>"367500000X"</f>
        <v>367500000X</v>
      </c>
      <c r="D23654" t="str">
        <f>"HAUMESSER                LAURA                    "</f>
        <v xml:space="preserve">HAUMESSER                LAURA                    </v>
      </c>
      <c r="E23654" t="str">
        <f t="shared" si="647"/>
        <v xml:space="preserve">MEMPHIS                   </v>
      </c>
      <c r="F23654" t="str">
        <f t="shared" si="646"/>
        <v>TN</v>
      </c>
    </row>
    <row r="23655" spans="1:6" x14ac:dyDescent="0.25">
      <c r="A23655" t="str">
        <f>"200016478"</f>
        <v>200016478</v>
      </c>
      <c r="B23655" t="str">
        <f>"1982048047"</f>
        <v>1982048047</v>
      </c>
      <c r="C23655" t="str">
        <f>"207RG0300X"</f>
        <v>207RG0300X</v>
      </c>
      <c r="D23655" t="str">
        <f>"GOUVEIA                  NURLELA                  "</f>
        <v xml:space="preserve">GOUVEIA                  NURLELA                  </v>
      </c>
      <c r="E23655" t="str">
        <f t="shared" si="647"/>
        <v xml:space="preserve">MEMPHIS                   </v>
      </c>
      <c r="F23655" t="str">
        <f t="shared" si="646"/>
        <v>TN</v>
      </c>
    </row>
    <row r="23656" spans="1:6" x14ac:dyDescent="0.25">
      <c r="A23656" t="str">
        <f>"200016495"</f>
        <v>200016495</v>
      </c>
      <c r="B23656" t="str">
        <f>"1750355038"</f>
        <v>1750355038</v>
      </c>
      <c r="C23656" t="str">
        <f>"208600000X"</f>
        <v>208600000X</v>
      </c>
      <c r="D23656" t="str">
        <f>"HAMMOND                  DOUGLAS                  "</f>
        <v xml:space="preserve">HAMMOND                  DOUGLAS                  </v>
      </c>
      <c r="E23656" t="str">
        <f>"BARTLETT                  "</f>
        <v xml:space="preserve">BARTLETT                  </v>
      </c>
      <c r="F23656" t="str">
        <f t="shared" si="646"/>
        <v>TN</v>
      </c>
    </row>
    <row r="23657" spans="1:6" x14ac:dyDescent="0.25">
      <c r="A23657" t="str">
        <f>"200016506"</f>
        <v>200016506</v>
      </c>
      <c r="B23657" t="str">
        <f>"1639326507"</f>
        <v>1639326507</v>
      </c>
      <c r="C23657" t="str">
        <f>"207L00000X"</f>
        <v>207L00000X</v>
      </c>
      <c r="D23657" t="str">
        <f>"VO                       DANIEL                   "</f>
        <v xml:space="preserve">VO                       DANIEL                   </v>
      </c>
      <c r="E23657" t="str">
        <f>"MEMPHIS                   "</f>
        <v xml:space="preserve">MEMPHIS                   </v>
      </c>
      <c r="F23657" t="str">
        <f t="shared" si="646"/>
        <v>TN</v>
      </c>
    </row>
    <row r="23658" spans="1:6" x14ac:dyDescent="0.25">
      <c r="A23658" t="str">
        <f>"200016524"</f>
        <v>200016524</v>
      </c>
      <c r="B23658" t="str">
        <f>"1558509166"</f>
        <v>1558509166</v>
      </c>
      <c r="C23658" t="str">
        <f>"2085R0202X"</f>
        <v>2085R0202X</v>
      </c>
      <c r="D23658" t="str">
        <f>"MENN                     KIRSTEN                  "</f>
        <v xml:space="preserve">MENN                     KIRSTEN                  </v>
      </c>
      <c r="E23658" t="str">
        <f>"MEMPHIS                   "</f>
        <v xml:space="preserve">MEMPHIS                   </v>
      </c>
      <c r="F23658" t="str">
        <f t="shared" si="646"/>
        <v>TN</v>
      </c>
    </row>
    <row r="23659" spans="1:6" x14ac:dyDescent="0.25">
      <c r="A23659" t="str">
        <f>"200016541"</f>
        <v>200016541</v>
      </c>
      <c r="B23659" t="str">
        <f>"1063514321"</f>
        <v>1063514321</v>
      </c>
      <c r="C23659" t="str">
        <f>"2086S0129X"</f>
        <v>2086S0129X</v>
      </c>
      <c r="D23659" t="str">
        <f>"CHAO                     ALEXANDER    B           "</f>
        <v xml:space="preserve">CHAO                     ALEXANDER    B           </v>
      </c>
      <c r="E23659" t="str">
        <f>"MEMPHIS                   "</f>
        <v xml:space="preserve">MEMPHIS                   </v>
      </c>
      <c r="F23659" t="str">
        <f t="shared" si="646"/>
        <v>TN</v>
      </c>
    </row>
    <row r="23660" spans="1:6" x14ac:dyDescent="0.25">
      <c r="A23660" t="str">
        <f>"200016548"</f>
        <v>200016548</v>
      </c>
      <c r="B23660" t="str">
        <f>"1942402284"</f>
        <v>1942402284</v>
      </c>
      <c r="C23660" t="str">
        <f>"207R00000X"</f>
        <v>207R00000X</v>
      </c>
      <c r="D23660" t="str">
        <f>"ALLAN                    KATHERINE                "</f>
        <v xml:space="preserve">ALLAN                    KATHERINE                </v>
      </c>
      <c r="E23660" t="str">
        <f>"MEMPHIS                   "</f>
        <v xml:space="preserve">MEMPHIS                   </v>
      </c>
      <c r="F23660" t="str">
        <f t="shared" si="646"/>
        <v>TN</v>
      </c>
    </row>
    <row r="23661" spans="1:6" x14ac:dyDescent="0.25">
      <c r="A23661" t="str">
        <f>"200016549"</f>
        <v>200016549</v>
      </c>
      <c r="B23661" t="str">
        <f>"1801001680"</f>
        <v>1801001680</v>
      </c>
      <c r="C23661" t="str">
        <f>"2085R0202X"</f>
        <v>2085R0202X</v>
      </c>
      <c r="D23661" t="str">
        <f>"UMPHREY                  HEIDI        R           "</f>
        <v xml:space="preserve">UMPHREY                  HEIDI        R           </v>
      </c>
      <c r="E23661" t="str">
        <f>"GERMANTOWN                "</f>
        <v xml:space="preserve">GERMANTOWN                </v>
      </c>
      <c r="F23661" t="str">
        <f t="shared" si="646"/>
        <v>TN</v>
      </c>
    </row>
    <row r="23662" spans="1:6" x14ac:dyDescent="0.25">
      <c r="A23662" t="str">
        <f>"200016550"</f>
        <v>200016550</v>
      </c>
      <c r="B23662" t="str">
        <f>"1225182637"</f>
        <v>1225182637</v>
      </c>
      <c r="C23662" t="str">
        <f>"2085R0202X"</f>
        <v>2085R0202X</v>
      </c>
      <c r="D23662" t="str">
        <f>"GULLA                    SHANNON      M           "</f>
        <v xml:space="preserve">GULLA                    SHANNON      M           </v>
      </c>
      <c r="E23662" t="str">
        <f>"GERMANTOWN                "</f>
        <v xml:space="preserve">GERMANTOWN                </v>
      </c>
      <c r="F23662" t="str">
        <f t="shared" si="646"/>
        <v>TN</v>
      </c>
    </row>
    <row r="23663" spans="1:6" x14ac:dyDescent="0.25">
      <c r="A23663" t="str">
        <f>"200016556"</f>
        <v>200016556</v>
      </c>
      <c r="B23663" t="str">
        <f>"1467680686"</f>
        <v>1467680686</v>
      </c>
      <c r="C23663" t="str">
        <f>"208600000X"</f>
        <v>208600000X</v>
      </c>
      <c r="D23663" t="str">
        <f>"WEGNER                   ROBERT                   "</f>
        <v xml:space="preserve">WEGNER                   ROBERT                   </v>
      </c>
      <c r="E23663" t="str">
        <f t="shared" ref="E23663:E23668" si="648">"MEMPHIS                   "</f>
        <v xml:space="preserve">MEMPHIS                   </v>
      </c>
      <c r="F23663" t="str">
        <f t="shared" si="646"/>
        <v>TN</v>
      </c>
    </row>
    <row r="23664" spans="1:6" x14ac:dyDescent="0.25">
      <c r="A23664" t="str">
        <f>"200016580"</f>
        <v>200016580</v>
      </c>
      <c r="B23664" t="str">
        <f>"1811989098"</f>
        <v>1811989098</v>
      </c>
      <c r="C23664" t="str">
        <f>"207VM0101X"</f>
        <v>207VM0101X</v>
      </c>
      <c r="D23664" t="str">
        <f>"ADAIR                    CHARLES      D           "</f>
        <v xml:space="preserve">ADAIR                    CHARLES      D           </v>
      </c>
      <c r="E23664" t="str">
        <f t="shared" si="648"/>
        <v xml:space="preserve">MEMPHIS                   </v>
      </c>
      <c r="F23664" t="str">
        <f t="shared" si="646"/>
        <v>TN</v>
      </c>
    </row>
    <row r="23665" spans="1:6" x14ac:dyDescent="0.25">
      <c r="A23665" t="str">
        <f>"200016581"</f>
        <v>200016581</v>
      </c>
      <c r="B23665" t="str">
        <f>"1619422888"</f>
        <v>1619422888</v>
      </c>
      <c r="C23665" t="str">
        <f>"363LF0000X"</f>
        <v>363LF0000X</v>
      </c>
      <c r="D23665" t="str">
        <f>"BOWERS                   KIMBERLY                 "</f>
        <v xml:space="preserve">BOWERS                   KIMBERLY                 </v>
      </c>
      <c r="E23665" t="str">
        <f t="shared" si="648"/>
        <v xml:space="preserve">MEMPHIS                   </v>
      </c>
      <c r="F23665" t="str">
        <f t="shared" si="646"/>
        <v>TN</v>
      </c>
    </row>
    <row r="23666" spans="1:6" x14ac:dyDescent="0.25">
      <c r="A23666" t="str">
        <f>"200016586"</f>
        <v>200016586</v>
      </c>
      <c r="B23666" t="str">
        <f>"1194305367"</f>
        <v>1194305367</v>
      </c>
      <c r="C23666" t="str">
        <f>"208000000X"</f>
        <v>208000000X</v>
      </c>
      <c r="D23666" t="str">
        <f>"GIOVANNI                 MEAGAN                   "</f>
        <v xml:space="preserve">GIOVANNI                 MEAGAN                   </v>
      </c>
      <c r="E23666" t="str">
        <f t="shared" si="648"/>
        <v xml:space="preserve">MEMPHIS                   </v>
      </c>
      <c r="F23666" t="str">
        <f t="shared" si="646"/>
        <v>TN</v>
      </c>
    </row>
    <row r="23667" spans="1:6" x14ac:dyDescent="0.25">
      <c r="A23667" t="str">
        <f>"200016598"</f>
        <v>200016598</v>
      </c>
      <c r="B23667" t="str">
        <f>"1023835626"</f>
        <v>1023835626</v>
      </c>
      <c r="C23667" t="str">
        <f>"363LF0000X"</f>
        <v>363LF0000X</v>
      </c>
      <c r="D23667" t="str">
        <f>"RICHARDSON               MONICA       M           "</f>
        <v xml:space="preserve">RICHARDSON               MONICA       M           </v>
      </c>
      <c r="E23667" t="str">
        <f t="shared" si="648"/>
        <v xml:space="preserve">MEMPHIS                   </v>
      </c>
      <c r="F23667" t="str">
        <f t="shared" si="646"/>
        <v>TN</v>
      </c>
    </row>
    <row r="23668" spans="1:6" x14ac:dyDescent="0.25">
      <c r="A23668" t="str">
        <f>"200016605"</f>
        <v>200016605</v>
      </c>
      <c r="B23668" t="str">
        <f>"1174580401"</f>
        <v>1174580401</v>
      </c>
      <c r="C23668" t="str">
        <f>"207P00000X"</f>
        <v>207P00000X</v>
      </c>
      <c r="D23668" t="str">
        <f>"SURBROOK                 MICHELLE                 "</f>
        <v xml:space="preserve">SURBROOK                 MICHELLE                 </v>
      </c>
      <c r="E23668" t="str">
        <f t="shared" si="648"/>
        <v xml:space="preserve">MEMPHIS                   </v>
      </c>
      <c r="F23668" t="str">
        <f t="shared" si="646"/>
        <v>TN</v>
      </c>
    </row>
    <row r="23669" spans="1:6" x14ac:dyDescent="0.25">
      <c r="A23669" t="str">
        <f>"200016624"</f>
        <v>200016624</v>
      </c>
      <c r="B23669" t="str">
        <f>"1497847867"</f>
        <v>1497847867</v>
      </c>
      <c r="C23669" t="str">
        <f>"207RC0000X"</f>
        <v>207RC0000X</v>
      </c>
      <c r="D23669" t="str">
        <f>"GUBIN                    STEVEN                   "</f>
        <v xml:space="preserve">GUBIN                    STEVEN                   </v>
      </c>
      <c r="E23669" t="str">
        <f>"GERMANTOWN                "</f>
        <v xml:space="preserve">GERMANTOWN                </v>
      </c>
      <c r="F23669" t="str">
        <f t="shared" si="646"/>
        <v>TN</v>
      </c>
    </row>
    <row r="23670" spans="1:6" x14ac:dyDescent="0.25">
      <c r="A23670" t="str">
        <f>"200016630"</f>
        <v>200016630</v>
      </c>
      <c r="B23670" t="str">
        <f>"1427804483"</f>
        <v>1427804483</v>
      </c>
      <c r="C23670" t="str">
        <f>"363LA2100X"</f>
        <v>363LA2100X</v>
      </c>
      <c r="D23670" t="str">
        <f>"FAULKNER                 LAUREN       N           "</f>
        <v xml:space="preserve">FAULKNER                 LAUREN       N           </v>
      </c>
      <c r="E23670" t="str">
        <f t="shared" ref="E23670:E23678" si="649">"MEMPHIS                   "</f>
        <v xml:space="preserve">MEMPHIS                   </v>
      </c>
      <c r="F23670" t="str">
        <f t="shared" si="646"/>
        <v>TN</v>
      </c>
    </row>
    <row r="23671" spans="1:6" x14ac:dyDescent="0.25">
      <c r="A23671" t="str">
        <f>"200016631"</f>
        <v>200016631</v>
      </c>
      <c r="B23671" t="str">
        <f>"1891137485"</f>
        <v>1891137485</v>
      </c>
      <c r="C23671" t="str">
        <f>"208600000X"</f>
        <v>208600000X</v>
      </c>
      <c r="D23671" t="str">
        <f>"LINGAMANENI              GOWTHAM      R           "</f>
        <v xml:space="preserve">LINGAMANENI              GOWTHAM      R           </v>
      </c>
      <c r="E23671" t="str">
        <f t="shared" si="649"/>
        <v xml:space="preserve">MEMPHIS                   </v>
      </c>
      <c r="F23671" t="str">
        <f t="shared" si="646"/>
        <v>TN</v>
      </c>
    </row>
    <row r="23672" spans="1:6" x14ac:dyDescent="0.25">
      <c r="A23672" t="str">
        <f>"200016633"</f>
        <v>200016633</v>
      </c>
      <c r="B23672" t="str">
        <f>"1124647920"</f>
        <v>1124647920</v>
      </c>
      <c r="C23672" t="str">
        <f>"207R00000X"</f>
        <v>207R00000X</v>
      </c>
      <c r="D23672" t="str">
        <f>"HARDY                    AMANDA                   "</f>
        <v xml:space="preserve">HARDY                    AMANDA                   </v>
      </c>
      <c r="E23672" t="str">
        <f t="shared" si="649"/>
        <v xml:space="preserve">MEMPHIS                   </v>
      </c>
      <c r="F23672" t="str">
        <f t="shared" si="646"/>
        <v>TN</v>
      </c>
    </row>
    <row r="23673" spans="1:6" x14ac:dyDescent="0.25">
      <c r="A23673" t="str">
        <f>"200016651"</f>
        <v>200016651</v>
      </c>
      <c r="B23673" t="str">
        <f>"1114785771"</f>
        <v>1114785771</v>
      </c>
      <c r="C23673" t="str">
        <f>"363A00000X"</f>
        <v>363A00000X</v>
      </c>
      <c r="D23673" t="str">
        <f>"BEVILL                   FAITH        K           "</f>
        <v xml:space="preserve">BEVILL                   FAITH        K           </v>
      </c>
      <c r="E23673" t="str">
        <f t="shared" si="649"/>
        <v xml:space="preserve">MEMPHIS                   </v>
      </c>
      <c r="F23673" t="str">
        <f t="shared" si="646"/>
        <v>TN</v>
      </c>
    </row>
    <row r="23674" spans="1:6" x14ac:dyDescent="0.25">
      <c r="A23674" t="str">
        <f>"200016661"</f>
        <v>200016661</v>
      </c>
      <c r="B23674" t="str">
        <f>"1336871904"</f>
        <v>1336871904</v>
      </c>
      <c r="C23674" t="str">
        <f>"363A00000X"</f>
        <v>363A00000X</v>
      </c>
      <c r="D23674" t="str">
        <f>"MARCELLUS                CHRIS                    "</f>
        <v xml:space="preserve">MARCELLUS                CHRIS                    </v>
      </c>
      <c r="E23674" t="str">
        <f t="shared" si="649"/>
        <v xml:space="preserve">MEMPHIS                   </v>
      </c>
      <c r="F23674" t="str">
        <f t="shared" si="646"/>
        <v>TN</v>
      </c>
    </row>
    <row r="23675" spans="1:6" x14ac:dyDescent="0.25">
      <c r="A23675" t="str">
        <f>"200016670"</f>
        <v>200016670</v>
      </c>
      <c r="B23675" t="str">
        <f>"1225072044"</f>
        <v>1225072044</v>
      </c>
      <c r="C23675" t="str">
        <f>"207Q00000X"</f>
        <v>207Q00000X</v>
      </c>
      <c r="D23675" t="str">
        <f>"SUNEELA                  GOTTUMUKKALA             "</f>
        <v xml:space="preserve">SUNEELA                  GOTTUMUKKALA             </v>
      </c>
      <c r="E23675" t="str">
        <f t="shared" si="649"/>
        <v xml:space="preserve">MEMPHIS                   </v>
      </c>
      <c r="F23675" t="str">
        <f t="shared" si="646"/>
        <v>TN</v>
      </c>
    </row>
    <row r="23676" spans="1:6" x14ac:dyDescent="0.25">
      <c r="A23676" t="str">
        <f>"200016704"</f>
        <v>200016704</v>
      </c>
      <c r="B23676" t="str">
        <f>"1437160322"</f>
        <v>1437160322</v>
      </c>
      <c r="C23676" t="str">
        <f>"207L00000X"</f>
        <v>207L00000X</v>
      </c>
      <c r="D23676" t="str">
        <f>"ABAD                     FERNANDO     O           "</f>
        <v xml:space="preserve">ABAD                     FERNANDO     O           </v>
      </c>
      <c r="E23676" t="str">
        <f t="shared" si="649"/>
        <v xml:space="preserve">MEMPHIS                   </v>
      </c>
      <c r="F23676" t="str">
        <f t="shared" si="646"/>
        <v>TN</v>
      </c>
    </row>
    <row r="23677" spans="1:6" x14ac:dyDescent="0.25">
      <c r="A23677" t="str">
        <f>"200016742"</f>
        <v>200016742</v>
      </c>
      <c r="B23677" t="str">
        <f>"1669052353"</f>
        <v>1669052353</v>
      </c>
      <c r="C23677" t="str">
        <f>"207R00000X"</f>
        <v>207R00000X</v>
      </c>
      <c r="D23677" t="str">
        <f>"JOHNSON                  ASHLEE       S           "</f>
        <v xml:space="preserve">JOHNSON                  ASHLEE       S           </v>
      </c>
      <c r="E23677" t="str">
        <f t="shared" si="649"/>
        <v xml:space="preserve">MEMPHIS                   </v>
      </c>
      <c r="F23677" t="str">
        <f t="shared" si="646"/>
        <v>TN</v>
      </c>
    </row>
    <row r="23678" spans="1:6" x14ac:dyDescent="0.25">
      <c r="A23678" t="str">
        <f>"200016763"</f>
        <v>200016763</v>
      </c>
      <c r="B23678" t="str">
        <f>"1659726404"</f>
        <v>1659726404</v>
      </c>
      <c r="C23678" t="str">
        <f>"207LP3000X"</f>
        <v>207LP3000X</v>
      </c>
      <c r="D23678" t="str">
        <f>"DONTUKURTHY              SUJANA                   "</f>
        <v xml:space="preserve">DONTUKURTHY              SUJANA                   </v>
      </c>
      <c r="E23678" t="str">
        <f t="shared" si="649"/>
        <v xml:space="preserve">MEMPHIS                   </v>
      </c>
      <c r="F23678" t="str">
        <f t="shared" ref="F23678:F23741" si="650">"TN"</f>
        <v>TN</v>
      </c>
    </row>
    <row r="23679" spans="1:6" x14ac:dyDescent="0.25">
      <c r="A23679" t="str">
        <f>"200016769"</f>
        <v>200016769</v>
      </c>
      <c r="B23679" t="str">
        <f>"1871634295"</f>
        <v>1871634295</v>
      </c>
      <c r="C23679" t="str">
        <f>"207RG0100X"</f>
        <v>207RG0100X</v>
      </c>
      <c r="D23679" t="str">
        <f>"FISKE                    WILLIAM                  "</f>
        <v xml:space="preserve">FISKE                    WILLIAM                  </v>
      </c>
      <c r="E23679" t="str">
        <f>"NASHVILLE                 "</f>
        <v xml:space="preserve">NASHVILLE                 </v>
      </c>
      <c r="F23679" t="str">
        <f t="shared" si="650"/>
        <v>TN</v>
      </c>
    </row>
    <row r="23680" spans="1:6" x14ac:dyDescent="0.25">
      <c r="A23680" t="str">
        <f>"200016786"</f>
        <v>200016786</v>
      </c>
      <c r="B23680" t="str">
        <f>"1417682642"</f>
        <v>1417682642</v>
      </c>
      <c r="C23680" t="str">
        <f>"363A00000X"</f>
        <v>363A00000X</v>
      </c>
      <c r="D23680" t="str">
        <f>"NGUYEN                   LONG                     "</f>
        <v xml:space="preserve">NGUYEN                   LONG                     </v>
      </c>
      <c r="E23680" t="str">
        <f>"MEMPHIS                   "</f>
        <v xml:space="preserve">MEMPHIS                   </v>
      </c>
      <c r="F23680" t="str">
        <f t="shared" si="650"/>
        <v>TN</v>
      </c>
    </row>
    <row r="23681" spans="1:6" x14ac:dyDescent="0.25">
      <c r="A23681" t="str">
        <f>"200016838"</f>
        <v>200016838</v>
      </c>
      <c r="B23681" t="str">
        <f>"1366599250"</f>
        <v>1366599250</v>
      </c>
      <c r="C23681" t="str">
        <f>"2084N0402X"</f>
        <v>2084N0402X</v>
      </c>
      <c r="D23681" t="str">
        <f>"CARSON                   ROBERT                   "</f>
        <v xml:space="preserve">CARSON                   ROBERT                   </v>
      </c>
      <c r="E23681" t="str">
        <f>"NASHVILLE                 "</f>
        <v xml:space="preserve">NASHVILLE                 </v>
      </c>
      <c r="F23681" t="str">
        <f t="shared" si="650"/>
        <v>TN</v>
      </c>
    </row>
    <row r="23682" spans="1:6" x14ac:dyDescent="0.25">
      <c r="A23682" t="str">
        <f>"200016864"</f>
        <v>200016864</v>
      </c>
      <c r="B23682" t="str">
        <f>"1982830915"</f>
        <v>1982830915</v>
      </c>
      <c r="C23682" t="str">
        <f>"363LF0000X"</f>
        <v>363LF0000X</v>
      </c>
      <c r="D23682" t="str">
        <f>"SUBLETTE                 NINA                     "</f>
        <v xml:space="preserve">SUBLETTE                 NINA                     </v>
      </c>
      <c r="E23682" t="str">
        <f t="shared" ref="E23682:E23688" si="651">"MEMPHIS                   "</f>
        <v xml:space="preserve">MEMPHIS                   </v>
      </c>
      <c r="F23682" t="str">
        <f t="shared" si="650"/>
        <v>TN</v>
      </c>
    </row>
    <row r="23683" spans="1:6" x14ac:dyDescent="0.25">
      <c r="A23683" t="str">
        <f>"200016869"</f>
        <v>200016869</v>
      </c>
      <c r="B23683" t="str">
        <f>"1538189147"</f>
        <v>1538189147</v>
      </c>
      <c r="C23683" t="str">
        <f>"207YP0228X"</f>
        <v>207YP0228X</v>
      </c>
      <c r="D23683" t="str">
        <f>"ARJMAND                  ELLIS                    "</f>
        <v xml:space="preserve">ARJMAND                  ELLIS                    </v>
      </c>
      <c r="E23683" t="str">
        <f t="shared" si="651"/>
        <v xml:space="preserve">MEMPHIS                   </v>
      </c>
      <c r="F23683" t="str">
        <f t="shared" si="650"/>
        <v>TN</v>
      </c>
    </row>
    <row r="23684" spans="1:6" x14ac:dyDescent="0.25">
      <c r="A23684" t="str">
        <f>"200016882"</f>
        <v>200016882</v>
      </c>
      <c r="B23684" t="str">
        <f>"1710303060"</f>
        <v>1710303060</v>
      </c>
      <c r="C23684" t="str">
        <f>"367500000X"</f>
        <v>367500000X</v>
      </c>
      <c r="D23684" t="str">
        <f>"FULLER                   ISAIAH       D           "</f>
        <v xml:space="preserve">FULLER                   ISAIAH       D           </v>
      </c>
      <c r="E23684" t="str">
        <f t="shared" si="651"/>
        <v xml:space="preserve">MEMPHIS                   </v>
      </c>
      <c r="F23684" t="str">
        <f t="shared" si="650"/>
        <v>TN</v>
      </c>
    </row>
    <row r="23685" spans="1:6" x14ac:dyDescent="0.25">
      <c r="A23685" t="str">
        <f>"200016891"</f>
        <v>200016891</v>
      </c>
      <c r="B23685" t="str">
        <f>"1225230915"</f>
        <v>1225230915</v>
      </c>
      <c r="C23685" t="str">
        <f>"207NP0225X"</f>
        <v>207NP0225X</v>
      </c>
      <c r="D23685" t="str">
        <f>"POURCIAU                 CRYSTAL                  "</f>
        <v xml:space="preserve">POURCIAU                 CRYSTAL                  </v>
      </c>
      <c r="E23685" t="str">
        <f t="shared" si="651"/>
        <v xml:space="preserve">MEMPHIS                   </v>
      </c>
      <c r="F23685" t="str">
        <f t="shared" si="650"/>
        <v>TN</v>
      </c>
    </row>
    <row r="23686" spans="1:6" x14ac:dyDescent="0.25">
      <c r="A23686" t="str">
        <f>"200016894"</f>
        <v>200016894</v>
      </c>
      <c r="B23686" t="str">
        <f>"1982138764"</f>
        <v>1982138764</v>
      </c>
      <c r="C23686" t="str">
        <f>"207R00000X"</f>
        <v>207R00000X</v>
      </c>
      <c r="D23686" t="str">
        <f>"VERDELL                  JONATHAN     T           "</f>
        <v xml:space="preserve">VERDELL                  JONATHAN     T           </v>
      </c>
      <c r="E23686" t="str">
        <f t="shared" si="651"/>
        <v xml:space="preserve">MEMPHIS                   </v>
      </c>
      <c r="F23686" t="str">
        <f t="shared" si="650"/>
        <v>TN</v>
      </c>
    </row>
    <row r="23687" spans="1:6" x14ac:dyDescent="0.25">
      <c r="A23687" t="str">
        <f>"200016895"</f>
        <v>200016895</v>
      </c>
      <c r="B23687" t="str">
        <f>"1194727073"</f>
        <v>1194727073</v>
      </c>
      <c r="C23687" t="str">
        <f>"207P00000X"</f>
        <v>207P00000X</v>
      </c>
      <c r="D23687" t="str">
        <f>"WALTHER                  RAY                      "</f>
        <v xml:space="preserve">WALTHER                  RAY                      </v>
      </c>
      <c r="E23687" t="str">
        <f t="shared" si="651"/>
        <v xml:space="preserve">MEMPHIS                   </v>
      </c>
      <c r="F23687" t="str">
        <f t="shared" si="650"/>
        <v>TN</v>
      </c>
    </row>
    <row r="23688" spans="1:6" x14ac:dyDescent="0.25">
      <c r="A23688" t="str">
        <f>"200016909"</f>
        <v>200016909</v>
      </c>
      <c r="B23688" t="str">
        <f>"1053722959"</f>
        <v>1053722959</v>
      </c>
      <c r="C23688" t="str">
        <f>"367500000X"</f>
        <v>367500000X</v>
      </c>
      <c r="D23688" t="str">
        <f>"MITCHELL                 RACHEL       A           "</f>
        <v xml:space="preserve">MITCHELL                 RACHEL       A           </v>
      </c>
      <c r="E23688" t="str">
        <f t="shared" si="651"/>
        <v xml:space="preserve">MEMPHIS                   </v>
      </c>
      <c r="F23688" t="str">
        <f t="shared" si="650"/>
        <v>TN</v>
      </c>
    </row>
    <row r="23689" spans="1:6" x14ac:dyDescent="0.25">
      <c r="A23689" t="str">
        <f>"200016912"</f>
        <v>200016912</v>
      </c>
      <c r="B23689" t="str">
        <f>"1326687328"</f>
        <v>1326687328</v>
      </c>
      <c r="C23689" t="str">
        <f>"363A00000X"</f>
        <v>363A00000X</v>
      </c>
      <c r="D23689" t="str">
        <f>"NIXON                    JOSEPH                   "</f>
        <v xml:space="preserve">NIXON                    JOSEPH                   </v>
      </c>
      <c r="E23689" t="str">
        <f>"BARTLETT                  "</f>
        <v xml:space="preserve">BARTLETT                  </v>
      </c>
      <c r="F23689" t="str">
        <f t="shared" si="650"/>
        <v>TN</v>
      </c>
    </row>
    <row r="23690" spans="1:6" x14ac:dyDescent="0.25">
      <c r="A23690" t="str">
        <f>"200016913"</f>
        <v>200016913</v>
      </c>
      <c r="B23690" t="str">
        <f>"1700021870"</f>
        <v>1700021870</v>
      </c>
      <c r="C23690" t="str">
        <f>"363A00000X"</f>
        <v>363A00000X</v>
      </c>
      <c r="D23690" t="str">
        <f>"ROEMER                   ASHLEY                   "</f>
        <v xml:space="preserve">ROEMER                   ASHLEY                   </v>
      </c>
      <c r="E23690" t="str">
        <f>"MEMPHIS                   "</f>
        <v xml:space="preserve">MEMPHIS                   </v>
      </c>
      <c r="F23690" t="str">
        <f t="shared" si="650"/>
        <v>TN</v>
      </c>
    </row>
    <row r="23691" spans="1:6" x14ac:dyDescent="0.25">
      <c r="A23691" t="str">
        <f>"200016929"</f>
        <v>200016929</v>
      </c>
      <c r="B23691" t="str">
        <f>"1831773704"</f>
        <v>1831773704</v>
      </c>
      <c r="C23691" t="str">
        <f>"207R00000X"</f>
        <v>207R00000X</v>
      </c>
      <c r="D23691" t="str">
        <f>"RAMOS FELICIANO          KARLA        M           "</f>
        <v xml:space="preserve">RAMOS FELICIANO          KARLA        M           </v>
      </c>
      <c r="E23691" t="str">
        <f>"MEMPHIS                   "</f>
        <v xml:space="preserve">MEMPHIS                   </v>
      </c>
      <c r="F23691" t="str">
        <f t="shared" si="650"/>
        <v>TN</v>
      </c>
    </row>
    <row r="23692" spans="1:6" x14ac:dyDescent="0.25">
      <c r="A23692" t="str">
        <f>"200016930"</f>
        <v>200016930</v>
      </c>
      <c r="B23692" t="str">
        <f>"1073960365"</f>
        <v>1073960365</v>
      </c>
      <c r="C23692" t="str">
        <f>"367500000X"</f>
        <v>367500000X</v>
      </c>
      <c r="D23692" t="str">
        <f>"DORSEY                   JASMINE      D           "</f>
        <v xml:space="preserve">DORSEY                   JASMINE      D           </v>
      </c>
      <c r="E23692" t="str">
        <f>"MEMPHIS                   "</f>
        <v xml:space="preserve">MEMPHIS                   </v>
      </c>
      <c r="F23692" t="str">
        <f t="shared" si="650"/>
        <v>TN</v>
      </c>
    </row>
    <row r="23693" spans="1:6" x14ac:dyDescent="0.25">
      <c r="A23693" t="str">
        <f>"200016934"</f>
        <v>200016934</v>
      </c>
      <c r="B23693" t="str">
        <f>"1710397260"</f>
        <v>1710397260</v>
      </c>
      <c r="C23693" t="str">
        <f>"363LF0000X"</f>
        <v>363LF0000X</v>
      </c>
      <c r="D23693" t="str">
        <f>"WILSON                   AMY          K           "</f>
        <v xml:space="preserve">WILSON                   AMY          K           </v>
      </c>
      <c r="E23693" t="str">
        <f>"MEMPHIS                   "</f>
        <v xml:space="preserve">MEMPHIS                   </v>
      </c>
      <c r="F23693" t="str">
        <f t="shared" si="650"/>
        <v>TN</v>
      </c>
    </row>
    <row r="23694" spans="1:6" x14ac:dyDescent="0.25">
      <c r="A23694" t="str">
        <f>"200016938"</f>
        <v>200016938</v>
      </c>
      <c r="B23694" t="str">
        <f>"1982066460"</f>
        <v>1982066460</v>
      </c>
      <c r="C23694" t="str">
        <f>"363LF0000X"</f>
        <v>363LF0000X</v>
      </c>
      <c r="D23694" t="str">
        <f>"TEMPLE                   JENNIFER     R           "</f>
        <v xml:space="preserve">TEMPLE                   JENNIFER     R           </v>
      </c>
      <c r="E23694" t="str">
        <f>"GERMANTOWN                "</f>
        <v xml:space="preserve">GERMANTOWN                </v>
      </c>
      <c r="F23694" t="str">
        <f t="shared" si="650"/>
        <v>TN</v>
      </c>
    </row>
    <row r="23695" spans="1:6" x14ac:dyDescent="0.25">
      <c r="A23695" t="str">
        <f>"200016960"</f>
        <v>200016960</v>
      </c>
      <c r="B23695" t="str">
        <f>"1467125120"</f>
        <v>1467125120</v>
      </c>
      <c r="C23695" t="str">
        <f>"207R00000X"</f>
        <v>207R00000X</v>
      </c>
      <c r="D23695" t="str">
        <f>"NASEER                   MINHA                    "</f>
        <v xml:space="preserve">NASEER                   MINHA                    </v>
      </c>
      <c r="E23695" t="str">
        <f>"MEMPHIS                   "</f>
        <v xml:space="preserve">MEMPHIS                   </v>
      </c>
      <c r="F23695" t="str">
        <f t="shared" si="650"/>
        <v>TN</v>
      </c>
    </row>
    <row r="23696" spans="1:6" x14ac:dyDescent="0.25">
      <c r="A23696" t="str">
        <f>"200016965"</f>
        <v>200016965</v>
      </c>
      <c r="B23696" t="str">
        <f>"1427657220"</f>
        <v>1427657220</v>
      </c>
      <c r="C23696" t="str">
        <f>"363A00000X"</f>
        <v>363A00000X</v>
      </c>
      <c r="D23696" t="str">
        <f>"SLIGH                    JONATHAN                 "</f>
        <v xml:space="preserve">SLIGH                    JONATHAN                 </v>
      </c>
      <c r="E23696" t="str">
        <f>"MEMPHIS                   "</f>
        <v xml:space="preserve">MEMPHIS                   </v>
      </c>
      <c r="F23696" t="str">
        <f t="shared" si="650"/>
        <v>TN</v>
      </c>
    </row>
    <row r="23697" spans="1:6" x14ac:dyDescent="0.25">
      <c r="A23697" t="str">
        <f>"200016979"</f>
        <v>200016979</v>
      </c>
      <c r="B23697" t="str">
        <f>"1609530955"</f>
        <v>1609530955</v>
      </c>
      <c r="C23697" t="str">
        <f>"363LG0600X"</f>
        <v>363LG0600X</v>
      </c>
      <c r="D23697" t="str">
        <f>"BUGGS                    CHERI        Y           "</f>
        <v xml:space="preserve">BUGGS                    CHERI        Y           </v>
      </c>
      <c r="E23697" t="str">
        <f>"MEMPHIS                   "</f>
        <v xml:space="preserve">MEMPHIS                   </v>
      </c>
      <c r="F23697" t="str">
        <f t="shared" si="650"/>
        <v>TN</v>
      </c>
    </row>
    <row r="23698" spans="1:6" x14ac:dyDescent="0.25">
      <c r="A23698" t="str">
        <f>"200016985"</f>
        <v>200016985</v>
      </c>
      <c r="B23698" t="str">
        <f>"1316764145"</f>
        <v>1316764145</v>
      </c>
      <c r="C23698" t="str">
        <f>"367500000X"</f>
        <v>367500000X</v>
      </c>
      <c r="D23698" t="str">
        <f>"WISE                     MARY                     "</f>
        <v xml:space="preserve">WISE                     MARY                     </v>
      </c>
      <c r="E23698" t="str">
        <f>"MEMPHIS                   "</f>
        <v xml:space="preserve">MEMPHIS                   </v>
      </c>
      <c r="F23698" t="str">
        <f t="shared" si="650"/>
        <v>TN</v>
      </c>
    </row>
    <row r="23699" spans="1:6" x14ac:dyDescent="0.25">
      <c r="A23699" t="str">
        <f>"200017003"</f>
        <v>200017003</v>
      </c>
      <c r="B23699" t="str">
        <f>"1306493887"</f>
        <v>1306493887</v>
      </c>
      <c r="C23699" t="str">
        <f>"363LA2100X"</f>
        <v>363LA2100X</v>
      </c>
      <c r="D23699" t="str">
        <f>"MADISON                  AMBER                    "</f>
        <v xml:space="preserve">MADISON                  AMBER                    </v>
      </c>
      <c r="E23699" t="str">
        <f>"BARTLETT                  "</f>
        <v xml:space="preserve">BARTLETT                  </v>
      </c>
      <c r="F23699" t="str">
        <f t="shared" si="650"/>
        <v>TN</v>
      </c>
    </row>
    <row r="23700" spans="1:6" x14ac:dyDescent="0.25">
      <c r="A23700" t="str">
        <f>"200017004"</f>
        <v>200017004</v>
      </c>
      <c r="B23700" t="str">
        <f>"1306493887"</f>
        <v>1306493887</v>
      </c>
      <c r="C23700" t="str">
        <f>"363LF0000X"</f>
        <v>363LF0000X</v>
      </c>
      <c r="D23700" t="str">
        <f>"MADISON                  AMBER                    "</f>
        <v xml:space="preserve">MADISON                  AMBER                    </v>
      </c>
      <c r="E23700" t="str">
        <f>"BARTLETT                  "</f>
        <v xml:space="preserve">BARTLETT                  </v>
      </c>
      <c r="F23700" t="str">
        <f t="shared" si="650"/>
        <v>TN</v>
      </c>
    </row>
    <row r="23701" spans="1:6" x14ac:dyDescent="0.25">
      <c r="A23701" t="str">
        <f>"200017013"</f>
        <v>200017013</v>
      </c>
      <c r="B23701" t="str">
        <f>"1356055099"</f>
        <v>1356055099</v>
      </c>
      <c r="C23701" t="str">
        <f>"363AS0400X"</f>
        <v>363AS0400X</v>
      </c>
      <c r="D23701" t="str">
        <f>"LAST                     RHEA                     "</f>
        <v xml:space="preserve">LAST                     RHEA                     </v>
      </c>
      <c r="E23701" t="str">
        <f>"GERMANTOWN                "</f>
        <v xml:space="preserve">GERMANTOWN                </v>
      </c>
      <c r="F23701" t="str">
        <f t="shared" si="650"/>
        <v>TN</v>
      </c>
    </row>
    <row r="23702" spans="1:6" x14ac:dyDescent="0.25">
      <c r="A23702" t="str">
        <f>"200017020"</f>
        <v>200017020</v>
      </c>
      <c r="B23702" t="str">
        <f>"1578979084"</f>
        <v>1578979084</v>
      </c>
      <c r="C23702" t="str">
        <f>"363LF0000X"</f>
        <v>363LF0000X</v>
      </c>
      <c r="D23702" t="str">
        <f>"SPELLINGS                CARYN                    "</f>
        <v xml:space="preserve">SPELLINGS                CARYN                    </v>
      </c>
      <c r="E23702" t="str">
        <f>"BARTLETT                  "</f>
        <v xml:space="preserve">BARTLETT                  </v>
      </c>
      <c r="F23702" t="str">
        <f t="shared" si="650"/>
        <v>TN</v>
      </c>
    </row>
    <row r="23703" spans="1:6" x14ac:dyDescent="0.25">
      <c r="A23703" t="str">
        <f>"200017033"</f>
        <v>200017033</v>
      </c>
      <c r="B23703" t="str">
        <f>"1881301968"</f>
        <v>1881301968</v>
      </c>
      <c r="C23703" t="str">
        <f>"363LF0000X"</f>
        <v>363LF0000X</v>
      </c>
      <c r="D23703" t="str">
        <f>"OLIVER                   TAYLOR       A           "</f>
        <v xml:space="preserve">OLIVER                   TAYLOR       A           </v>
      </c>
      <c r="E23703" t="str">
        <f>"GERMANTOWN                "</f>
        <v xml:space="preserve">GERMANTOWN                </v>
      </c>
      <c r="F23703" t="str">
        <f t="shared" si="650"/>
        <v>TN</v>
      </c>
    </row>
    <row r="23704" spans="1:6" x14ac:dyDescent="0.25">
      <c r="A23704" t="str">
        <f>"200017034"</f>
        <v>200017034</v>
      </c>
      <c r="B23704" t="str">
        <f>"1124112727"</f>
        <v>1124112727</v>
      </c>
      <c r="C23704" t="str">
        <f>"207Q00000X"</f>
        <v>207Q00000X</v>
      </c>
      <c r="D23704" t="str">
        <f>"NELSON                   MICHAEL                  "</f>
        <v xml:space="preserve">NELSON                   MICHAEL                  </v>
      </c>
      <c r="E23704" t="str">
        <f>"HUNTINGDON                "</f>
        <v xml:space="preserve">HUNTINGDON                </v>
      </c>
      <c r="F23704" t="str">
        <f t="shared" si="650"/>
        <v>TN</v>
      </c>
    </row>
    <row r="23705" spans="1:6" x14ac:dyDescent="0.25">
      <c r="A23705" t="str">
        <f>"200017035"</f>
        <v>200017035</v>
      </c>
      <c r="B23705" t="str">
        <f>"1124112727"</f>
        <v>1124112727</v>
      </c>
      <c r="C23705" t="str">
        <f>"207P00000X"</f>
        <v>207P00000X</v>
      </c>
      <c r="D23705" t="str">
        <f>"NELSON                   MICHAEL                  "</f>
        <v xml:space="preserve">NELSON                   MICHAEL                  </v>
      </c>
      <c r="E23705" t="str">
        <f>"HUNTINGDON                "</f>
        <v xml:space="preserve">HUNTINGDON                </v>
      </c>
      <c r="F23705" t="str">
        <f t="shared" si="650"/>
        <v>TN</v>
      </c>
    </row>
    <row r="23706" spans="1:6" x14ac:dyDescent="0.25">
      <c r="A23706" t="str">
        <f>"200017036"</f>
        <v>200017036</v>
      </c>
      <c r="B23706" t="str">
        <f>"1144295072"</f>
        <v>1144295072</v>
      </c>
      <c r="C23706" t="str">
        <f>"207L00000X"</f>
        <v>207L00000X</v>
      </c>
      <c r="D23706" t="str">
        <f>"LASTER                   ANGELA       G           "</f>
        <v xml:space="preserve">LASTER                   ANGELA       G           </v>
      </c>
      <c r="E23706" t="str">
        <f>"MEMPHIS                   "</f>
        <v xml:space="preserve">MEMPHIS                   </v>
      </c>
      <c r="F23706" t="str">
        <f t="shared" si="650"/>
        <v>TN</v>
      </c>
    </row>
    <row r="23707" spans="1:6" x14ac:dyDescent="0.25">
      <c r="A23707" t="str">
        <f>"200017043"</f>
        <v>200017043</v>
      </c>
      <c r="B23707" t="str">
        <f>"1841768868"</f>
        <v>1841768868</v>
      </c>
      <c r="C23707" t="str">
        <f>"367500000X"</f>
        <v>367500000X</v>
      </c>
      <c r="D23707" t="str">
        <f>"TO                       EMMA                     "</f>
        <v xml:space="preserve">TO                       EMMA                     </v>
      </c>
      <c r="E23707" t="str">
        <f>"MEMPHIS                   "</f>
        <v xml:space="preserve">MEMPHIS                   </v>
      </c>
      <c r="F23707" t="str">
        <f t="shared" si="650"/>
        <v>TN</v>
      </c>
    </row>
    <row r="23708" spans="1:6" x14ac:dyDescent="0.25">
      <c r="A23708" t="str">
        <f>"200017046"</f>
        <v>200017046</v>
      </c>
      <c r="B23708" t="str">
        <f>"1740005438"</f>
        <v>1740005438</v>
      </c>
      <c r="C23708" t="str">
        <f>"363L00000X"</f>
        <v>363L00000X</v>
      </c>
      <c r="D23708" t="str">
        <f>"KHADER                   ANGHAM                   "</f>
        <v xml:space="preserve">KHADER                   ANGHAM                   </v>
      </c>
      <c r="E23708" t="str">
        <f>"MEMPHIS                   "</f>
        <v xml:space="preserve">MEMPHIS                   </v>
      </c>
      <c r="F23708" t="str">
        <f t="shared" si="650"/>
        <v>TN</v>
      </c>
    </row>
    <row r="23709" spans="1:6" x14ac:dyDescent="0.25">
      <c r="A23709" t="str">
        <f>"200017068"</f>
        <v>200017068</v>
      </c>
      <c r="B23709" t="str">
        <f>"1720822620"</f>
        <v>1720822620</v>
      </c>
      <c r="C23709" t="str">
        <f>"367500000X"</f>
        <v>367500000X</v>
      </c>
      <c r="D23709" t="str">
        <f>"BONE                     ERICA                    "</f>
        <v xml:space="preserve">BONE                     ERICA                    </v>
      </c>
      <c r="E23709" t="str">
        <f>"MEMPHIS                   "</f>
        <v xml:space="preserve">MEMPHIS                   </v>
      </c>
      <c r="F23709" t="str">
        <f t="shared" si="650"/>
        <v>TN</v>
      </c>
    </row>
    <row r="23710" spans="1:6" x14ac:dyDescent="0.25">
      <c r="A23710" t="str">
        <f>"200017102"</f>
        <v>200017102</v>
      </c>
      <c r="B23710" t="str">
        <f>"1578507661"</f>
        <v>1578507661</v>
      </c>
      <c r="C23710" t="str">
        <f>"207R00000X"</f>
        <v>207R00000X</v>
      </c>
      <c r="D23710" t="str">
        <f>"WARD                     FORREST                  "</f>
        <v xml:space="preserve">WARD                     FORREST                  </v>
      </c>
      <c r="E23710" t="str">
        <f>"BARTLETT                  "</f>
        <v xml:space="preserve">BARTLETT                  </v>
      </c>
      <c r="F23710" t="str">
        <f t="shared" si="650"/>
        <v>TN</v>
      </c>
    </row>
    <row r="23711" spans="1:6" x14ac:dyDescent="0.25">
      <c r="A23711" t="str">
        <f>"200017112"</f>
        <v>200017112</v>
      </c>
      <c r="B23711" t="str">
        <f>"1033223599"</f>
        <v>1033223599</v>
      </c>
      <c r="C23711" t="str">
        <f>"363A00000X"</f>
        <v>363A00000X</v>
      </c>
      <c r="D23711" t="str">
        <f>"ELLENDER                 CLAIRE       C           "</f>
        <v xml:space="preserve">ELLENDER                 CLAIRE       C           </v>
      </c>
      <c r="E23711" t="str">
        <f>"GERMANTOWN                "</f>
        <v xml:space="preserve">GERMANTOWN                </v>
      </c>
      <c r="F23711" t="str">
        <f t="shared" si="650"/>
        <v>TN</v>
      </c>
    </row>
    <row r="23712" spans="1:6" x14ac:dyDescent="0.25">
      <c r="A23712" t="str">
        <f>"200017113"</f>
        <v>200017113</v>
      </c>
      <c r="B23712" t="str">
        <f>"1932216439"</f>
        <v>1932216439</v>
      </c>
      <c r="C23712" t="str">
        <f>"207RG0100X"</f>
        <v>207RG0100X</v>
      </c>
      <c r="D23712" t="str">
        <f>"ORLEANS-LINDSAY          KODWO                    "</f>
        <v xml:space="preserve">ORLEANS-LINDSAY          KODWO                    </v>
      </c>
      <c r="E23712" t="str">
        <f t="shared" ref="E23712:E23719" si="652">"MEMPHIS                   "</f>
        <v xml:space="preserve">MEMPHIS                   </v>
      </c>
      <c r="F23712" t="str">
        <f t="shared" si="650"/>
        <v>TN</v>
      </c>
    </row>
    <row r="23713" spans="1:6" x14ac:dyDescent="0.25">
      <c r="A23713" t="str">
        <f>"200017120"</f>
        <v>200017120</v>
      </c>
      <c r="B23713" t="str">
        <f>"1992538623"</f>
        <v>1992538623</v>
      </c>
      <c r="C23713" t="str">
        <f>"363LP0200X"</f>
        <v>363LP0200X</v>
      </c>
      <c r="D23713" t="str">
        <f>"CRENSHAW                 MALLORY                  "</f>
        <v xml:space="preserve">CRENSHAW                 MALLORY                  </v>
      </c>
      <c r="E23713" t="str">
        <f t="shared" si="652"/>
        <v xml:space="preserve">MEMPHIS                   </v>
      </c>
      <c r="F23713" t="str">
        <f t="shared" si="650"/>
        <v>TN</v>
      </c>
    </row>
    <row r="23714" spans="1:6" x14ac:dyDescent="0.25">
      <c r="A23714" t="str">
        <f>"200017150"</f>
        <v>200017150</v>
      </c>
      <c r="B23714" t="str">
        <f>"1114310711"</f>
        <v>1114310711</v>
      </c>
      <c r="C23714" t="str">
        <f>"363LF0000X"</f>
        <v>363LF0000X</v>
      </c>
      <c r="D23714" t="str">
        <f>"SNYDER                   KATE         W           "</f>
        <v xml:space="preserve">SNYDER                   KATE         W           </v>
      </c>
      <c r="E23714" t="str">
        <f t="shared" si="652"/>
        <v xml:space="preserve">MEMPHIS                   </v>
      </c>
      <c r="F23714" t="str">
        <f t="shared" si="650"/>
        <v>TN</v>
      </c>
    </row>
    <row r="23715" spans="1:6" x14ac:dyDescent="0.25">
      <c r="A23715" t="str">
        <f>"200017151"</f>
        <v>200017151</v>
      </c>
      <c r="B23715" t="str">
        <f>"1437526704"</f>
        <v>1437526704</v>
      </c>
      <c r="C23715" t="str">
        <f>"367500000X"</f>
        <v>367500000X</v>
      </c>
      <c r="D23715" t="str">
        <f>"HANLEY                   JAMES                    "</f>
        <v xml:space="preserve">HANLEY                   JAMES                    </v>
      </c>
      <c r="E23715" t="str">
        <f t="shared" si="652"/>
        <v xml:space="preserve">MEMPHIS                   </v>
      </c>
      <c r="F23715" t="str">
        <f t="shared" si="650"/>
        <v>TN</v>
      </c>
    </row>
    <row r="23716" spans="1:6" x14ac:dyDescent="0.25">
      <c r="A23716" t="str">
        <f>"200017153"</f>
        <v>200017153</v>
      </c>
      <c r="B23716" t="str">
        <f>"1467974170"</f>
        <v>1467974170</v>
      </c>
      <c r="C23716" t="str">
        <f>"207R00000X"</f>
        <v>207R00000X</v>
      </c>
      <c r="D23716" t="str">
        <f>"HAQUE                    MADIHA                   "</f>
        <v xml:space="preserve">HAQUE                    MADIHA                   </v>
      </c>
      <c r="E23716" t="str">
        <f t="shared" si="652"/>
        <v xml:space="preserve">MEMPHIS                   </v>
      </c>
      <c r="F23716" t="str">
        <f t="shared" si="650"/>
        <v>TN</v>
      </c>
    </row>
    <row r="23717" spans="1:6" x14ac:dyDescent="0.25">
      <c r="A23717" t="str">
        <f>"200017155"</f>
        <v>200017155</v>
      </c>
      <c r="B23717" t="str">
        <f>"1295346260"</f>
        <v>1295346260</v>
      </c>
      <c r="C23717" t="str">
        <f>"363LF0000X"</f>
        <v>363LF0000X</v>
      </c>
      <c r="D23717" t="str">
        <f>"NELSON                   JIMARIE                  "</f>
        <v xml:space="preserve">NELSON                   JIMARIE                  </v>
      </c>
      <c r="E23717" t="str">
        <f t="shared" si="652"/>
        <v xml:space="preserve">MEMPHIS                   </v>
      </c>
      <c r="F23717" t="str">
        <f t="shared" si="650"/>
        <v>TN</v>
      </c>
    </row>
    <row r="23718" spans="1:6" x14ac:dyDescent="0.25">
      <c r="A23718" t="str">
        <f>"200017170"</f>
        <v>200017170</v>
      </c>
      <c r="B23718" t="str">
        <f>"1497374649"</f>
        <v>1497374649</v>
      </c>
      <c r="C23718" t="str">
        <f>"2080P0206X"</f>
        <v>2080P0206X</v>
      </c>
      <c r="D23718" t="str">
        <f>"DAVENPORT                STEPHANIE                "</f>
        <v xml:space="preserve">DAVENPORT                STEPHANIE                </v>
      </c>
      <c r="E23718" t="str">
        <f t="shared" si="652"/>
        <v xml:space="preserve">MEMPHIS                   </v>
      </c>
      <c r="F23718" t="str">
        <f t="shared" si="650"/>
        <v>TN</v>
      </c>
    </row>
    <row r="23719" spans="1:6" x14ac:dyDescent="0.25">
      <c r="A23719" t="str">
        <f>"200017188"</f>
        <v>200017188</v>
      </c>
      <c r="B23719" t="str">
        <f>"1629059357"</f>
        <v>1629059357</v>
      </c>
      <c r="C23719" t="str">
        <f>"207L00000X"</f>
        <v>207L00000X</v>
      </c>
      <c r="D23719" t="str">
        <f>"GUNN                     MARK         M           "</f>
        <v xml:space="preserve">GUNN                     MARK         M           </v>
      </c>
      <c r="E23719" t="str">
        <f t="shared" si="652"/>
        <v xml:space="preserve">MEMPHIS                   </v>
      </c>
      <c r="F23719" t="str">
        <f t="shared" si="650"/>
        <v>TN</v>
      </c>
    </row>
    <row r="23720" spans="1:6" x14ac:dyDescent="0.25">
      <c r="A23720" t="str">
        <f>"200017189"</f>
        <v>200017189</v>
      </c>
      <c r="B23720" t="str">
        <f>"1437288016"</f>
        <v>1437288016</v>
      </c>
      <c r="C23720" t="str">
        <f>"2085R0202X"</f>
        <v>2085R0202X</v>
      </c>
      <c r="D23720" t="str">
        <f>"WRIGHT                   JEREMIAH     H           "</f>
        <v xml:space="preserve">WRIGHT                   JEREMIAH     H           </v>
      </c>
      <c r="E23720" t="str">
        <f>"GERMANTOWN                "</f>
        <v xml:space="preserve">GERMANTOWN                </v>
      </c>
      <c r="F23720" t="str">
        <f t="shared" si="650"/>
        <v>TN</v>
      </c>
    </row>
    <row r="23721" spans="1:6" x14ac:dyDescent="0.25">
      <c r="A23721" t="str">
        <f>"200017192"</f>
        <v>200017192</v>
      </c>
      <c r="B23721" t="str">
        <f>"1124553110"</f>
        <v>1124553110</v>
      </c>
      <c r="C23721" t="str">
        <f>"2080P0205X"</f>
        <v>2080P0205X</v>
      </c>
      <c r="D23721" t="str">
        <f>"ALLAN                    SARAH                    "</f>
        <v xml:space="preserve">ALLAN                    SARAH                    </v>
      </c>
      <c r="E23721" t="str">
        <f>"MEMPHIS                   "</f>
        <v xml:space="preserve">MEMPHIS                   </v>
      </c>
      <c r="F23721" t="str">
        <f t="shared" si="650"/>
        <v>TN</v>
      </c>
    </row>
    <row r="23722" spans="1:6" x14ac:dyDescent="0.25">
      <c r="A23722" t="str">
        <f>"200017197"</f>
        <v>200017197</v>
      </c>
      <c r="B23722" t="str">
        <f>"1184373680"</f>
        <v>1184373680</v>
      </c>
      <c r="C23722" t="str">
        <f>"363A00000X"</f>
        <v>363A00000X</v>
      </c>
      <c r="D23722" t="str">
        <f>"KAISER                   ABIGAIL                  "</f>
        <v xml:space="preserve">KAISER                   ABIGAIL                  </v>
      </c>
      <c r="E23722" t="str">
        <f>"MEMPHIS                   "</f>
        <v xml:space="preserve">MEMPHIS                   </v>
      </c>
      <c r="F23722" t="str">
        <f t="shared" si="650"/>
        <v>TN</v>
      </c>
    </row>
    <row r="23723" spans="1:6" x14ac:dyDescent="0.25">
      <c r="A23723" t="str">
        <f>"200017206"</f>
        <v>200017206</v>
      </c>
      <c r="B23723" t="str">
        <f>"1891927182"</f>
        <v>1891927182</v>
      </c>
      <c r="C23723" t="str">
        <f>"207RN0300X"</f>
        <v>207RN0300X</v>
      </c>
      <c r="D23723" t="str">
        <f>"ELEFAN                   DARRYL                   "</f>
        <v xml:space="preserve">ELEFAN                   DARRYL                   </v>
      </c>
      <c r="E23723" t="str">
        <f>"MEMPHIS                   "</f>
        <v xml:space="preserve">MEMPHIS                   </v>
      </c>
      <c r="F23723" t="str">
        <f t="shared" si="650"/>
        <v>TN</v>
      </c>
    </row>
    <row r="23724" spans="1:6" x14ac:dyDescent="0.25">
      <c r="A23724" t="str">
        <f>"200017208"</f>
        <v>200017208</v>
      </c>
      <c r="B23724" t="str">
        <f>"1124134374"</f>
        <v>1124134374</v>
      </c>
      <c r="C23724" t="str">
        <f>"207L00000X"</f>
        <v>207L00000X</v>
      </c>
      <c r="D23724" t="str">
        <f>"JOBE                     TINA                     "</f>
        <v xml:space="preserve">JOBE                     TINA                     </v>
      </c>
      <c r="E23724" t="str">
        <f>"MEMPHIS                   "</f>
        <v xml:space="preserve">MEMPHIS                   </v>
      </c>
      <c r="F23724" t="str">
        <f t="shared" si="650"/>
        <v>TN</v>
      </c>
    </row>
    <row r="23725" spans="1:6" x14ac:dyDescent="0.25">
      <c r="A23725" t="str">
        <f>"200017221"</f>
        <v>200017221</v>
      </c>
      <c r="B23725" t="str">
        <f>"1992140784"</f>
        <v>1992140784</v>
      </c>
      <c r="C23725" t="str">
        <f>"2080P0210X"</f>
        <v>2080P0210X</v>
      </c>
      <c r="D23725" t="str">
        <f>"BJORNSTAD                ERICA                    "</f>
        <v xml:space="preserve">BJORNSTAD                ERICA                    </v>
      </c>
      <c r="E23725" t="str">
        <f>"MEMPHIS                   "</f>
        <v xml:space="preserve">MEMPHIS                   </v>
      </c>
      <c r="F23725" t="str">
        <f t="shared" si="650"/>
        <v>TN</v>
      </c>
    </row>
    <row r="23726" spans="1:6" x14ac:dyDescent="0.25">
      <c r="A23726" t="str">
        <f>"200017229"</f>
        <v>200017229</v>
      </c>
      <c r="B23726" t="str">
        <f>"1992711758"</f>
        <v>1992711758</v>
      </c>
      <c r="C23726" t="str">
        <f>"2080P0204X"</f>
        <v>2080P0204X</v>
      </c>
      <c r="D23726" t="str">
        <f>"LEVINE                   MARLA                    "</f>
        <v xml:space="preserve">LEVINE                   MARLA                    </v>
      </c>
      <c r="E23726" t="str">
        <f>"NASHVILLE                 "</f>
        <v xml:space="preserve">NASHVILLE                 </v>
      </c>
      <c r="F23726" t="str">
        <f t="shared" si="650"/>
        <v>TN</v>
      </c>
    </row>
    <row r="23727" spans="1:6" x14ac:dyDescent="0.25">
      <c r="A23727" t="str">
        <f>"200017242"</f>
        <v>200017242</v>
      </c>
      <c r="B23727" t="str">
        <f>"1144048422"</f>
        <v>1144048422</v>
      </c>
      <c r="C23727" t="str">
        <f>"367500000X"</f>
        <v>367500000X</v>
      </c>
      <c r="D23727" t="str">
        <f>"GUY                      ANGEL                    "</f>
        <v xml:space="preserve">GUY                      ANGEL                    </v>
      </c>
      <c r="E23727" t="str">
        <f>"MEMPHIS                   "</f>
        <v xml:space="preserve">MEMPHIS                   </v>
      </c>
      <c r="F23727" t="str">
        <f t="shared" si="650"/>
        <v>TN</v>
      </c>
    </row>
    <row r="23728" spans="1:6" x14ac:dyDescent="0.25">
      <c r="A23728" t="str">
        <f>"200017244"</f>
        <v>200017244</v>
      </c>
      <c r="B23728" t="str">
        <f>"1295358695"</f>
        <v>1295358695</v>
      </c>
      <c r="C23728" t="str">
        <f>"363L00000X"</f>
        <v>363L00000X</v>
      </c>
      <c r="D23728" t="str">
        <f>"HIGHTOWER-PARKS          CANDACE                  "</f>
        <v xml:space="preserve">HIGHTOWER-PARKS          CANDACE                  </v>
      </c>
      <c r="E23728" t="str">
        <f>"MEMPHIS                   "</f>
        <v xml:space="preserve">MEMPHIS                   </v>
      </c>
      <c r="F23728" t="str">
        <f t="shared" si="650"/>
        <v>TN</v>
      </c>
    </row>
    <row r="23729" spans="1:6" x14ac:dyDescent="0.25">
      <c r="A23729" t="str">
        <f>"200017255"</f>
        <v>200017255</v>
      </c>
      <c r="B23729" t="str">
        <f>"1205918182"</f>
        <v>1205918182</v>
      </c>
      <c r="C23729" t="str">
        <f>"207ZP0213X"</f>
        <v>207ZP0213X</v>
      </c>
      <c r="D23729" t="str">
        <f>"RUIZ                     ROBERT                   "</f>
        <v xml:space="preserve">RUIZ                     ROBERT                   </v>
      </c>
      <c r="E23729" t="str">
        <f>"MEMPHIS                   "</f>
        <v xml:space="preserve">MEMPHIS                   </v>
      </c>
      <c r="F23729" t="str">
        <f t="shared" si="650"/>
        <v>TN</v>
      </c>
    </row>
    <row r="23730" spans="1:6" x14ac:dyDescent="0.25">
      <c r="A23730" t="str">
        <f>"200017256"</f>
        <v>200017256</v>
      </c>
      <c r="B23730" t="str">
        <f>"1205918182"</f>
        <v>1205918182</v>
      </c>
      <c r="C23730" t="str">
        <f>"207ZP0102X"</f>
        <v>207ZP0102X</v>
      </c>
      <c r="D23730" t="str">
        <f>"RUIZ                     ROBERT                   "</f>
        <v xml:space="preserve">RUIZ                     ROBERT                   </v>
      </c>
      <c r="E23730" t="str">
        <f>"MEMPHIS                   "</f>
        <v xml:space="preserve">MEMPHIS                   </v>
      </c>
      <c r="F23730" t="str">
        <f t="shared" si="650"/>
        <v>TN</v>
      </c>
    </row>
    <row r="23731" spans="1:6" x14ac:dyDescent="0.25">
      <c r="A23731" t="str">
        <f>"200017258"</f>
        <v>200017258</v>
      </c>
      <c r="B23731" t="str">
        <f>"1922089192"</f>
        <v>1922089192</v>
      </c>
      <c r="C23731" t="str">
        <f>"2084N0402X"</f>
        <v>2084N0402X</v>
      </c>
      <c r="D23731" t="str">
        <f>"WISE III                 MERRILL      S           "</f>
        <v xml:space="preserve">WISE III                 MERRILL      S           </v>
      </c>
      <c r="E23731" t="str">
        <f>"MEMPHIS                   "</f>
        <v xml:space="preserve">MEMPHIS                   </v>
      </c>
      <c r="F23731" t="str">
        <f t="shared" si="650"/>
        <v>TN</v>
      </c>
    </row>
    <row r="23732" spans="1:6" x14ac:dyDescent="0.25">
      <c r="A23732" t="str">
        <f>"200017279"</f>
        <v>200017279</v>
      </c>
      <c r="B23732" t="str">
        <f>"1679599039"</f>
        <v>1679599039</v>
      </c>
      <c r="C23732" t="str">
        <f>"2080P0205X"</f>
        <v>2080P0205X</v>
      </c>
      <c r="D23732" t="str">
        <f>"LOMENICK                 JEFFERSON                "</f>
        <v xml:space="preserve">LOMENICK                 JEFFERSON                </v>
      </c>
      <c r="E23732" t="str">
        <f>"NASHVILLE                 "</f>
        <v xml:space="preserve">NASHVILLE                 </v>
      </c>
      <c r="F23732" t="str">
        <f t="shared" si="650"/>
        <v>TN</v>
      </c>
    </row>
    <row r="23733" spans="1:6" x14ac:dyDescent="0.25">
      <c r="A23733" t="str">
        <f>"200017286"</f>
        <v>200017286</v>
      </c>
      <c r="B23733" t="str">
        <f>"1073909479"</f>
        <v>1073909479</v>
      </c>
      <c r="C23733" t="str">
        <f>"2084P0804X"</f>
        <v>2084P0804X</v>
      </c>
      <c r="D23733" t="str">
        <f>"SMITH                    JOSHUA                   "</f>
        <v xml:space="preserve">SMITH                    JOSHUA                   </v>
      </c>
      <c r="E23733" t="str">
        <f>"NASHVILLE                 "</f>
        <v xml:space="preserve">NASHVILLE                 </v>
      </c>
      <c r="F23733" t="str">
        <f t="shared" si="650"/>
        <v>TN</v>
      </c>
    </row>
    <row r="23734" spans="1:6" x14ac:dyDescent="0.25">
      <c r="A23734" t="str">
        <f>"200017293"</f>
        <v>200017293</v>
      </c>
      <c r="B23734" t="str">
        <f>"1811459985"</f>
        <v>1811459985</v>
      </c>
      <c r="C23734" t="str">
        <f>"207ZP0101X"</f>
        <v>207ZP0101X</v>
      </c>
      <c r="D23734" t="str">
        <f>"TABISH                   NABIL                    "</f>
        <v xml:space="preserve">TABISH                   NABIL                    </v>
      </c>
      <c r="E23734" t="str">
        <f>"MEMPHIS                   "</f>
        <v xml:space="preserve">MEMPHIS                   </v>
      </c>
      <c r="F23734" t="str">
        <f t="shared" si="650"/>
        <v>TN</v>
      </c>
    </row>
    <row r="23735" spans="1:6" x14ac:dyDescent="0.25">
      <c r="A23735" t="str">
        <f>"200017295"</f>
        <v>200017295</v>
      </c>
      <c r="B23735" t="str">
        <f>"1366790487"</f>
        <v>1366790487</v>
      </c>
      <c r="C23735" t="str">
        <f>"367500000X"</f>
        <v>367500000X</v>
      </c>
      <c r="D23735" t="str">
        <f>"POWELL                   CYNTHIA      S           "</f>
        <v xml:space="preserve">POWELL                   CYNTHIA      S           </v>
      </c>
      <c r="E23735" t="str">
        <f>"MEMPHIS                   "</f>
        <v xml:space="preserve">MEMPHIS                   </v>
      </c>
      <c r="F23735" t="str">
        <f t="shared" si="650"/>
        <v>TN</v>
      </c>
    </row>
    <row r="23736" spans="1:6" x14ac:dyDescent="0.25">
      <c r="A23736" t="str">
        <f>"200017297"</f>
        <v>200017297</v>
      </c>
      <c r="B23736" t="str">
        <f>"1518958107"</f>
        <v>1518958107</v>
      </c>
      <c r="C23736" t="str">
        <f>"208G00000X"</f>
        <v>208G00000X</v>
      </c>
      <c r="D23736" t="str">
        <f>"SEN                      DANIELLE                 "</f>
        <v xml:space="preserve">SEN                      DANIELLE                 </v>
      </c>
      <c r="E23736" t="str">
        <f>"MEMPHIS                   "</f>
        <v xml:space="preserve">MEMPHIS                   </v>
      </c>
      <c r="F23736" t="str">
        <f t="shared" si="650"/>
        <v>TN</v>
      </c>
    </row>
    <row r="23737" spans="1:6" x14ac:dyDescent="0.25">
      <c r="A23737" t="str">
        <f>"200017311"</f>
        <v>200017311</v>
      </c>
      <c r="B23737" t="str">
        <f>"1467077529"</f>
        <v>1467077529</v>
      </c>
      <c r="C23737" t="str">
        <f>"207P00000X"</f>
        <v>207P00000X</v>
      </c>
      <c r="D23737" t="str">
        <f>"KREBS                    JOSEPH                   "</f>
        <v xml:space="preserve">KREBS                    JOSEPH                   </v>
      </c>
      <c r="E23737" t="str">
        <f>"HUNTINGDON                "</f>
        <v xml:space="preserve">HUNTINGDON                </v>
      </c>
      <c r="F23737" t="str">
        <f t="shared" si="650"/>
        <v>TN</v>
      </c>
    </row>
    <row r="23738" spans="1:6" x14ac:dyDescent="0.25">
      <c r="A23738" t="str">
        <f>"200017320"</f>
        <v>200017320</v>
      </c>
      <c r="B23738" t="str">
        <f>"1932863263"</f>
        <v>1932863263</v>
      </c>
      <c r="C23738" t="str">
        <f>"367500000X"</f>
        <v>367500000X</v>
      </c>
      <c r="D23738" t="str">
        <f>"KNIGHT                   BRIANNE                  "</f>
        <v xml:space="preserve">KNIGHT                   BRIANNE                  </v>
      </c>
      <c r="E23738" t="str">
        <f>"MEMPHIS                   "</f>
        <v xml:space="preserve">MEMPHIS                   </v>
      </c>
      <c r="F23738" t="str">
        <f t="shared" si="650"/>
        <v>TN</v>
      </c>
    </row>
    <row r="23739" spans="1:6" x14ac:dyDescent="0.25">
      <c r="A23739" t="str">
        <f>"200017352"</f>
        <v>200017352</v>
      </c>
      <c r="B23739" t="str">
        <f>"1437576337"</f>
        <v>1437576337</v>
      </c>
      <c r="C23739" t="str">
        <f>"207L00000X"</f>
        <v>207L00000X</v>
      </c>
      <c r="D23739" t="str">
        <f>"WIPFLI                   CAMRON                   "</f>
        <v xml:space="preserve">WIPFLI                   CAMRON                   </v>
      </c>
      <c r="E23739" t="str">
        <f>"MEMPHIS                   "</f>
        <v xml:space="preserve">MEMPHIS                   </v>
      </c>
      <c r="F23739" t="str">
        <f t="shared" si="650"/>
        <v>TN</v>
      </c>
    </row>
    <row r="23740" spans="1:6" x14ac:dyDescent="0.25">
      <c r="A23740" t="str">
        <f>"200017362"</f>
        <v>200017362</v>
      </c>
      <c r="B23740" t="str">
        <f>"1669141669"</f>
        <v>1669141669</v>
      </c>
      <c r="C23740" t="str">
        <f>"363LP0200X"</f>
        <v>363LP0200X</v>
      </c>
      <c r="D23740" t="str">
        <f>"SHERIDAN                 KRISTI                   "</f>
        <v xml:space="preserve">SHERIDAN                 KRISTI                   </v>
      </c>
      <c r="E23740" t="str">
        <f>"MEMPHIS                   "</f>
        <v xml:space="preserve">MEMPHIS                   </v>
      </c>
      <c r="F23740" t="str">
        <f t="shared" si="650"/>
        <v>TN</v>
      </c>
    </row>
    <row r="23741" spans="1:6" x14ac:dyDescent="0.25">
      <c r="A23741" t="str">
        <f>"200017377"</f>
        <v>200017377</v>
      </c>
      <c r="B23741" t="str">
        <f>"1609801000"</f>
        <v>1609801000</v>
      </c>
      <c r="C23741" t="str">
        <f>"207K00000X"</f>
        <v>207K00000X</v>
      </c>
      <c r="D23741" t="str">
        <f>"MCCULLEY                 TAMMY                    "</f>
        <v xml:space="preserve">MCCULLEY                 TAMMY                    </v>
      </c>
      <c r="E23741" t="str">
        <f>"GERMANTOWN                "</f>
        <v xml:space="preserve">GERMANTOWN                </v>
      </c>
      <c r="F23741" t="str">
        <f t="shared" si="650"/>
        <v>TN</v>
      </c>
    </row>
    <row r="23742" spans="1:6" x14ac:dyDescent="0.25">
      <c r="A23742" t="str">
        <f>"200017389"</f>
        <v>200017389</v>
      </c>
      <c r="B23742" t="str">
        <f>"1720057714"</f>
        <v>1720057714</v>
      </c>
      <c r="C23742" t="str">
        <f>"207RN0300X"</f>
        <v>207RN0300X</v>
      </c>
      <c r="D23742" t="str">
        <f>"KULUBYA                  PATRICK                  "</f>
        <v xml:space="preserve">KULUBYA                  PATRICK                  </v>
      </c>
      <c r="E23742" t="str">
        <f t="shared" ref="E23742:E23747" si="653">"MEMPHIS                   "</f>
        <v xml:space="preserve">MEMPHIS                   </v>
      </c>
      <c r="F23742" t="str">
        <f t="shared" ref="F23742:F23805" si="654">"TN"</f>
        <v>TN</v>
      </c>
    </row>
    <row r="23743" spans="1:6" x14ac:dyDescent="0.25">
      <c r="A23743" t="str">
        <f>"200017390"</f>
        <v>200017390</v>
      </c>
      <c r="B23743" t="str">
        <f>"1235155599"</f>
        <v>1235155599</v>
      </c>
      <c r="C23743" t="str">
        <f>"207L00000X"</f>
        <v>207L00000X</v>
      </c>
      <c r="D23743" t="str">
        <f>"SHAH                     ANANT                    "</f>
        <v xml:space="preserve">SHAH                     ANANT                    </v>
      </c>
      <c r="E23743" t="str">
        <f t="shared" si="653"/>
        <v xml:space="preserve">MEMPHIS                   </v>
      </c>
      <c r="F23743" t="str">
        <f t="shared" si="654"/>
        <v>TN</v>
      </c>
    </row>
    <row r="23744" spans="1:6" x14ac:dyDescent="0.25">
      <c r="A23744" t="str">
        <f>"200017392"</f>
        <v>200017392</v>
      </c>
      <c r="B23744" t="str">
        <f>"1609233022"</f>
        <v>1609233022</v>
      </c>
      <c r="C23744" t="str">
        <f>"367500000X"</f>
        <v>367500000X</v>
      </c>
      <c r="D23744" t="str">
        <f>"MCMINN                   ZACHARY      A           "</f>
        <v xml:space="preserve">MCMINN                   ZACHARY      A           </v>
      </c>
      <c r="E23744" t="str">
        <f t="shared" si="653"/>
        <v xml:space="preserve">MEMPHIS                   </v>
      </c>
      <c r="F23744" t="str">
        <f t="shared" si="654"/>
        <v>TN</v>
      </c>
    </row>
    <row r="23745" spans="1:6" x14ac:dyDescent="0.25">
      <c r="A23745" t="str">
        <f>"200017407"</f>
        <v>200017407</v>
      </c>
      <c r="B23745" t="str">
        <f>"1841644267"</f>
        <v>1841644267</v>
      </c>
      <c r="C23745" t="str">
        <f>"207ZP0102X"</f>
        <v>207ZP0102X</v>
      </c>
      <c r="D23745" t="str">
        <f>"ARISPE ANGULO            KAREN        R           "</f>
        <v xml:space="preserve">ARISPE ANGULO            KAREN        R           </v>
      </c>
      <c r="E23745" t="str">
        <f t="shared" si="653"/>
        <v xml:space="preserve">MEMPHIS                   </v>
      </c>
      <c r="F23745" t="str">
        <f t="shared" si="654"/>
        <v>TN</v>
      </c>
    </row>
    <row r="23746" spans="1:6" x14ac:dyDescent="0.25">
      <c r="A23746" t="str">
        <f>"200017414"</f>
        <v>200017414</v>
      </c>
      <c r="B23746" t="str">
        <f>"1265755938"</f>
        <v>1265755938</v>
      </c>
      <c r="C23746" t="str">
        <f>"2080P0207X"</f>
        <v>2080P0207X</v>
      </c>
      <c r="D23746" t="str">
        <f>"STEWART                  ELIZABETH                "</f>
        <v xml:space="preserve">STEWART                  ELIZABETH                </v>
      </c>
      <c r="E23746" t="str">
        <f t="shared" si="653"/>
        <v xml:space="preserve">MEMPHIS                   </v>
      </c>
      <c r="F23746" t="str">
        <f t="shared" si="654"/>
        <v>TN</v>
      </c>
    </row>
    <row r="23747" spans="1:6" x14ac:dyDescent="0.25">
      <c r="A23747" t="str">
        <f>"200017435"</f>
        <v>200017435</v>
      </c>
      <c r="B23747" t="str">
        <f>"1518519057"</f>
        <v>1518519057</v>
      </c>
      <c r="C23747" t="str">
        <f>"363AS0400X"</f>
        <v>363AS0400X</v>
      </c>
      <c r="D23747" t="str">
        <f>"HOUSEAL                  MICHEAL      T           "</f>
        <v xml:space="preserve">HOUSEAL                  MICHEAL      T           </v>
      </c>
      <c r="E23747" t="str">
        <f t="shared" si="653"/>
        <v xml:space="preserve">MEMPHIS                   </v>
      </c>
      <c r="F23747" t="str">
        <f t="shared" si="654"/>
        <v>TN</v>
      </c>
    </row>
    <row r="23748" spans="1:6" x14ac:dyDescent="0.25">
      <c r="A23748" t="str">
        <f>"200017437"</f>
        <v>200017437</v>
      </c>
      <c r="B23748" t="str">
        <f>"1780684696"</f>
        <v>1780684696</v>
      </c>
      <c r="C23748" t="str">
        <f>"207R00000X"</f>
        <v>207R00000X</v>
      </c>
      <c r="D23748" t="str">
        <f>"PITTMAN                  BEAU                     "</f>
        <v xml:space="preserve">PITTMAN                  BEAU                     </v>
      </c>
      <c r="E23748" t="str">
        <f>"CORDOVA                   "</f>
        <v xml:space="preserve">CORDOVA                   </v>
      </c>
      <c r="F23748" t="str">
        <f t="shared" si="654"/>
        <v>TN</v>
      </c>
    </row>
    <row r="23749" spans="1:6" x14ac:dyDescent="0.25">
      <c r="A23749" t="str">
        <f>"200017444"</f>
        <v>200017444</v>
      </c>
      <c r="B23749" t="str">
        <f>"1114224391"</f>
        <v>1114224391</v>
      </c>
      <c r="C23749" t="str">
        <f>"208600000X"</f>
        <v>208600000X</v>
      </c>
      <c r="D23749" t="str">
        <f>"SCHLANSER                VICTORIA     L           "</f>
        <v xml:space="preserve">SCHLANSER                VICTORIA     L           </v>
      </c>
      <c r="E23749" t="str">
        <f>"MEMPHIS                   "</f>
        <v xml:space="preserve">MEMPHIS                   </v>
      </c>
      <c r="F23749" t="str">
        <f t="shared" si="654"/>
        <v>TN</v>
      </c>
    </row>
    <row r="23750" spans="1:6" x14ac:dyDescent="0.25">
      <c r="A23750" t="str">
        <f>"200017449"</f>
        <v>200017449</v>
      </c>
      <c r="B23750" t="str">
        <f>"1871335315"</f>
        <v>1871335315</v>
      </c>
      <c r="C23750" t="str">
        <f>"367500000X"</f>
        <v>367500000X</v>
      </c>
      <c r="D23750" t="str">
        <f>"YOUNG                    JAMES                    "</f>
        <v xml:space="preserve">YOUNG                    JAMES                    </v>
      </c>
      <c r="E23750" t="str">
        <f>"MEMPHIS                   "</f>
        <v xml:space="preserve">MEMPHIS                   </v>
      </c>
      <c r="F23750" t="str">
        <f t="shared" si="654"/>
        <v>TN</v>
      </c>
    </row>
    <row r="23751" spans="1:6" x14ac:dyDescent="0.25">
      <c r="A23751" t="str">
        <f>"200017450"</f>
        <v>200017450</v>
      </c>
      <c r="B23751" t="str">
        <f>"1215307863"</f>
        <v>1215307863</v>
      </c>
      <c r="C23751" t="str">
        <f>"363A00000X"</f>
        <v>363A00000X</v>
      </c>
      <c r="D23751" t="str">
        <f>"MILLER                   LADAWN       M           "</f>
        <v xml:space="preserve">MILLER                   LADAWN       M           </v>
      </c>
      <c r="E23751" t="str">
        <f>"MEMPHIS                   "</f>
        <v xml:space="preserve">MEMPHIS                   </v>
      </c>
      <c r="F23751" t="str">
        <f t="shared" si="654"/>
        <v>TN</v>
      </c>
    </row>
    <row r="23752" spans="1:6" x14ac:dyDescent="0.25">
      <c r="A23752" t="str">
        <f>"200017453"</f>
        <v>200017453</v>
      </c>
      <c r="B23752" t="str">
        <f>"1770927105"</f>
        <v>1770927105</v>
      </c>
      <c r="C23752" t="str">
        <f>"207P00000X"</f>
        <v>207P00000X</v>
      </c>
      <c r="D23752" t="str">
        <f>"LONG                     DAVID                    "</f>
        <v xml:space="preserve">LONG                     DAVID                    </v>
      </c>
      <c r="E23752" t="str">
        <f>"MEMPHIS                   "</f>
        <v xml:space="preserve">MEMPHIS                   </v>
      </c>
      <c r="F23752" t="str">
        <f t="shared" si="654"/>
        <v>TN</v>
      </c>
    </row>
    <row r="23753" spans="1:6" x14ac:dyDescent="0.25">
      <c r="A23753" t="str">
        <f>"200017460"</f>
        <v>200017460</v>
      </c>
      <c r="B23753" t="str">
        <f>"1073607784"</f>
        <v>1073607784</v>
      </c>
      <c r="C23753" t="str">
        <f>"207RC0000X"</f>
        <v>207RC0000X</v>
      </c>
      <c r="D23753" t="str">
        <f>"BAGAI                    JAYANT                   "</f>
        <v xml:space="preserve">BAGAI                    JAYANT                   </v>
      </c>
      <c r="E23753" t="str">
        <f>"NASHVILLE                 "</f>
        <v xml:space="preserve">NASHVILLE                 </v>
      </c>
      <c r="F23753" t="str">
        <f t="shared" si="654"/>
        <v>TN</v>
      </c>
    </row>
    <row r="23754" spans="1:6" x14ac:dyDescent="0.25">
      <c r="A23754" t="str">
        <f>"200017465"</f>
        <v>200017465</v>
      </c>
      <c r="B23754" t="str">
        <f>"1164469409"</f>
        <v>1164469409</v>
      </c>
      <c r="C23754" t="str">
        <f>"207R00000X"</f>
        <v>207R00000X</v>
      </c>
      <c r="D23754" t="str">
        <f>"RASSOUL                  KHALID                   "</f>
        <v xml:space="preserve">RASSOUL                  KHALID                   </v>
      </c>
      <c r="E23754" t="str">
        <f>"MEMPHIS                   "</f>
        <v xml:space="preserve">MEMPHIS                   </v>
      </c>
      <c r="F23754" t="str">
        <f t="shared" si="654"/>
        <v>TN</v>
      </c>
    </row>
    <row r="23755" spans="1:6" x14ac:dyDescent="0.25">
      <c r="A23755" t="str">
        <f>"200017471"</f>
        <v>200017471</v>
      </c>
      <c r="B23755" t="str">
        <f>"1346222312"</f>
        <v>1346222312</v>
      </c>
      <c r="C23755" t="str">
        <f>"2085P0229X"</f>
        <v>2085P0229X</v>
      </c>
      <c r="D23755" t="str">
        <f>"EY                       ELIZABETH    H           "</f>
        <v xml:space="preserve">EY                       ELIZABETH    H           </v>
      </c>
      <c r="E23755" t="str">
        <f>"MEMPHIS                   "</f>
        <v xml:space="preserve">MEMPHIS                   </v>
      </c>
      <c r="F23755" t="str">
        <f t="shared" si="654"/>
        <v>TN</v>
      </c>
    </row>
    <row r="23756" spans="1:6" x14ac:dyDescent="0.25">
      <c r="A23756" t="str">
        <f>"200017483"</f>
        <v>200017483</v>
      </c>
      <c r="B23756" t="str">
        <f>"1245556554"</f>
        <v>1245556554</v>
      </c>
      <c r="C23756" t="str">
        <f>"207RA0001X"</f>
        <v>207RA0001X</v>
      </c>
      <c r="D23756" t="str">
        <f>"MENACHEM                 JONATHAN                 "</f>
        <v xml:space="preserve">MENACHEM                 JONATHAN                 </v>
      </c>
      <c r="E23756" t="str">
        <f>"NASHVILLE                 "</f>
        <v xml:space="preserve">NASHVILLE                 </v>
      </c>
      <c r="F23756" t="str">
        <f t="shared" si="654"/>
        <v>TN</v>
      </c>
    </row>
    <row r="23757" spans="1:6" x14ac:dyDescent="0.25">
      <c r="A23757" t="str">
        <f>"200017493"</f>
        <v>200017493</v>
      </c>
      <c r="B23757" t="str">
        <f>"1427228816"</f>
        <v>1427228816</v>
      </c>
      <c r="C23757" t="str">
        <f>"363L00000X"</f>
        <v>363L00000X</v>
      </c>
      <c r="D23757" t="str">
        <f>"MUNDY                    KELLY                    "</f>
        <v xml:space="preserve">MUNDY                    KELLY                    </v>
      </c>
      <c r="E23757" t="str">
        <f>"MEMPHIS                   "</f>
        <v xml:space="preserve">MEMPHIS                   </v>
      </c>
      <c r="F23757" t="str">
        <f t="shared" si="654"/>
        <v>TN</v>
      </c>
    </row>
    <row r="23758" spans="1:6" x14ac:dyDescent="0.25">
      <c r="A23758" t="str">
        <f>"200017494"</f>
        <v>200017494</v>
      </c>
      <c r="B23758" t="str">
        <f>"1699262840"</f>
        <v>1699262840</v>
      </c>
      <c r="C23758" t="str">
        <f>"207R00000X"</f>
        <v>207R00000X</v>
      </c>
      <c r="D23758" t="str">
        <f>"ADKINS                   ALIVIA                   "</f>
        <v xml:space="preserve">ADKINS                   ALIVIA                   </v>
      </c>
      <c r="E23758" t="str">
        <f>"COLLIERVILLE              "</f>
        <v xml:space="preserve">COLLIERVILLE              </v>
      </c>
      <c r="F23758" t="str">
        <f t="shared" si="654"/>
        <v>TN</v>
      </c>
    </row>
    <row r="23759" spans="1:6" x14ac:dyDescent="0.25">
      <c r="A23759" t="str">
        <f>"200017537"</f>
        <v>200017537</v>
      </c>
      <c r="B23759" t="str">
        <f>"1619479821"</f>
        <v>1619479821</v>
      </c>
      <c r="C23759" t="str">
        <f>"363LA2100X"</f>
        <v>363LA2100X</v>
      </c>
      <c r="D23759" t="str">
        <f>"GATES                    KATRINA                  "</f>
        <v xml:space="preserve">GATES                    KATRINA                  </v>
      </c>
      <c r="E23759" t="str">
        <f>"GERMANTOWN                "</f>
        <v xml:space="preserve">GERMANTOWN                </v>
      </c>
      <c r="F23759" t="str">
        <f t="shared" si="654"/>
        <v>TN</v>
      </c>
    </row>
    <row r="23760" spans="1:6" x14ac:dyDescent="0.25">
      <c r="A23760" t="str">
        <f>"200017568"</f>
        <v>200017568</v>
      </c>
      <c r="B23760" t="str">
        <f>"1649536608"</f>
        <v>1649536608</v>
      </c>
      <c r="C23760" t="str">
        <f>"207P00000X"</f>
        <v>207P00000X</v>
      </c>
      <c r="D23760" t="str">
        <f>"REZNIKOV                 BORIS                    "</f>
        <v xml:space="preserve">REZNIKOV                 BORIS                    </v>
      </c>
      <c r="E23760" t="str">
        <f>"MEMPHIS                   "</f>
        <v xml:space="preserve">MEMPHIS                   </v>
      </c>
      <c r="F23760" t="str">
        <f t="shared" si="654"/>
        <v>TN</v>
      </c>
    </row>
    <row r="23761" spans="1:6" x14ac:dyDescent="0.25">
      <c r="A23761" t="str">
        <f>"200017576"</f>
        <v>200017576</v>
      </c>
      <c r="B23761" t="str">
        <f>"1750376737"</f>
        <v>1750376737</v>
      </c>
      <c r="C23761" t="str">
        <f>"2080P0203X"</f>
        <v>2080P0203X</v>
      </c>
      <c r="D23761" t="str">
        <f>"MORRISON                 RONALD                   "</f>
        <v xml:space="preserve">MORRISON                 RONALD                   </v>
      </c>
      <c r="E23761" t="str">
        <f>"MEMPHIS                   "</f>
        <v xml:space="preserve">MEMPHIS                   </v>
      </c>
      <c r="F23761" t="str">
        <f t="shared" si="654"/>
        <v>TN</v>
      </c>
    </row>
    <row r="23762" spans="1:6" x14ac:dyDescent="0.25">
      <c r="A23762" t="str">
        <f>"200017577"</f>
        <v>200017577</v>
      </c>
      <c r="B23762" t="str">
        <f>"1720251754"</f>
        <v>1720251754</v>
      </c>
      <c r="C23762" t="str">
        <f>"363L00000X"</f>
        <v>363L00000X</v>
      </c>
      <c r="D23762" t="str">
        <f>"WOODLEY                  DELORES                  "</f>
        <v xml:space="preserve">WOODLEY                  DELORES                  </v>
      </c>
      <c r="E23762" t="str">
        <f>"GERMANTOWN                "</f>
        <v xml:space="preserve">GERMANTOWN                </v>
      </c>
      <c r="F23762" t="str">
        <f t="shared" si="654"/>
        <v>TN</v>
      </c>
    </row>
    <row r="23763" spans="1:6" x14ac:dyDescent="0.25">
      <c r="A23763" t="str">
        <f>"200017601"</f>
        <v>200017601</v>
      </c>
      <c r="B23763" t="str">
        <f>"1992949309"</f>
        <v>1992949309</v>
      </c>
      <c r="C23763" t="str">
        <f>"207ZP0102X"</f>
        <v>207ZP0102X</v>
      </c>
      <c r="D23763" t="str">
        <f>"GILL                     FARRUKH      I           "</f>
        <v xml:space="preserve">GILL                     FARRUKH      I           </v>
      </c>
      <c r="E23763" t="str">
        <f>"MEMPHIS                   "</f>
        <v xml:space="preserve">MEMPHIS                   </v>
      </c>
      <c r="F23763" t="str">
        <f t="shared" si="654"/>
        <v>TN</v>
      </c>
    </row>
    <row r="23764" spans="1:6" x14ac:dyDescent="0.25">
      <c r="A23764" t="str">
        <f>"200017635"</f>
        <v>200017635</v>
      </c>
      <c r="B23764" t="str">
        <f>"1457461105"</f>
        <v>1457461105</v>
      </c>
      <c r="C23764" t="str">
        <f>"207Q00000X"</f>
        <v>207Q00000X</v>
      </c>
      <c r="D23764" t="str">
        <f>"SINGH                    RAJEEV                   "</f>
        <v xml:space="preserve">SINGH                    RAJEEV                   </v>
      </c>
      <c r="E23764" t="str">
        <f>"MEMPHIS                   "</f>
        <v xml:space="preserve">MEMPHIS                   </v>
      </c>
      <c r="F23764" t="str">
        <f t="shared" si="654"/>
        <v>TN</v>
      </c>
    </row>
    <row r="23765" spans="1:6" x14ac:dyDescent="0.25">
      <c r="A23765" t="str">
        <f>"200017645"</f>
        <v>200017645</v>
      </c>
      <c r="B23765" t="str">
        <f>"1033824792"</f>
        <v>1033824792</v>
      </c>
      <c r="C23765" t="str">
        <f>"363L00000X"</f>
        <v>363L00000X</v>
      </c>
      <c r="D23765" t="str">
        <f>"CASE                     HANNAH       Z           "</f>
        <v xml:space="preserve">CASE                     HANNAH       Z           </v>
      </c>
      <c r="E23765" t="str">
        <f>"GERMANTOWN                "</f>
        <v xml:space="preserve">GERMANTOWN                </v>
      </c>
      <c r="F23765" t="str">
        <f t="shared" si="654"/>
        <v>TN</v>
      </c>
    </row>
    <row r="23766" spans="1:6" x14ac:dyDescent="0.25">
      <c r="A23766" t="str">
        <f>"200017666"</f>
        <v>200017666</v>
      </c>
      <c r="B23766" t="str">
        <f>"1295760734"</f>
        <v>1295760734</v>
      </c>
      <c r="C23766" t="str">
        <f>"2085R0202X"</f>
        <v>2085R0202X</v>
      </c>
      <c r="D23766" t="str">
        <f>"COCHIOLO                 JEFFREY                  "</f>
        <v xml:space="preserve">COCHIOLO                 JEFFREY                  </v>
      </c>
      <c r="E23766" t="str">
        <f>"MEMPHIS                   "</f>
        <v xml:space="preserve">MEMPHIS                   </v>
      </c>
      <c r="F23766" t="str">
        <f t="shared" si="654"/>
        <v>TN</v>
      </c>
    </row>
    <row r="23767" spans="1:6" x14ac:dyDescent="0.25">
      <c r="A23767" t="str">
        <f>"200017667"</f>
        <v>200017667</v>
      </c>
      <c r="B23767" t="str">
        <f>"1104569649"</f>
        <v>1104569649</v>
      </c>
      <c r="C23767" t="str">
        <f>"363AS0400X"</f>
        <v>363AS0400X</v>
      </c>
      <c r="D23767" t="str">
        <f>"HOMA                     MELINDA                  "</f>
        <v xml:space="preserve">HOMA                     MELINDA                  </v>
      </c>
      <c r="E23767" t="str">
        <f>"MEMPHIS                   "</f>
        <v xml:space="preserve">MEMPHIS                   </v>
      </c>
      <c r="F23767" t="str">
        <f t="shared" si="654"/>
        <v>TN</v>
      </c>
    </row>
    <row r="23768" spans="1:6" x14ac:dyDescent="0.25">
      <c r="A23768" t="str">
        <f>"200017672"</f>
        <v>200017672</v>
      </c>
      <c r="B23768" t="str">
        <f>"1366564809"</f>
        <v>1366564809</v>
      </c>
      <c r="C23768" t="str">
        <f>"2085R0202X"</f>
        <v>2085R0202X</v>
      </c>
      <c r="D23768" t="str">
        <f>"ELLIS                    NANCY        L           "</f>
        <v xml:space="preserve">ELLIS                    NANCY        L           </v>
      </c>
      <c r="E23768" t="str">
        <f>"GERMANTOWN                "</f>
        <v xml:space="preserve">GERMANTOWN                </v>
      </c>
      <c r="F23768" t="str">
        <f t="shared" si="654"/>
        <v>TN</v>
      </c>
    </row>
    <row r="23769" spans="1:6" x14ac:dyDescent="0.25">
      <c r="A23769" t="str">
        <f>"200017707"</f>
        <v>200017707</v>
      </c>
      <c r="B23769" t="str">
        <f>"1265413876"</f>
        <v>1265413876</v>
      </c>
      <c r="C23769" t="str">
        <f>"207RG0100X"</f>
        <v>207RG0100X</v>
      </c>
      <c r="D23769" t="str">
        <f>"MCCALL                   RICARDO                  "</f>
        <v xml:space="preserve">MCCALL                   RICARDO                  </v>
      </c>
      <c r="E23769" t="str">
        <f>"MEMPHIS                   "</f>
        <v xml:space="preserve">MEMPHIS                   </v>
      </c>
      <c r="F23769" t="str">
        <f t="shared" si="654"/>
        <v>TN</v>
      </c>
    </row>
    <row r="23770" spans="1:6" x14ac:dyDescent="0.25">
      <c r="A23770" t="str">
        <f>"200017708"</f>
        <v>200017708</v>
      </c>
      <c r="B23770" t="str">
        <f>"1174387682"</f>
        <v>1174387682</v>
      </c>
      <c r="C23770" t="str">
        <f>"363L00000X"</f>
        <v>363L00000X</v>
      </c>
      <c r="D23770" t="str">
        <f>"EASON                    SIERRA                   "</f>
        <v xml:space="preserve">EASON                    SIERRA                   </v>
      </c>
      <c r="E23770" t="str">
        <f>"BARTLETT                  "</f>
        <v xml:space="preserve">BARTLETT                  </v>
      </c>
      <c r="F23770" t="str">
        <f t="shared" si="654"/>
        <v>TN</v>
      </c>
    </row>
    <row r="23771" spans="1:6" x14ac:dyDescent="0.25">
      <c r="A23771" t="str">
        <f>"200017721"</f>
        <v>200017721</v>
      </c>
      <c r="B23771" t="str">
        <f>"1417760745"</f>
        <v>1417760745</v>
      </c>
      <c r="C23771" t="str">
        <f>"363LA2200X"</f>
        <v>363LA2200X</v>
      </c>
      <c r="D23771" t="str">
        <f>"MCDANIEL                 STEPHEN      H           "</f>
        <v xml:space="preserve">MCDANIEL                 STEPHEN      H           </v>
      </c>
      <c r="E23771" t="str">
        <f>"MEMPHIS                   "</f>
        <v xml:space="preserve">MEMPHIS                   </v>
      </c>
      <c r="F23771" t="str">
        <f t="shared" si="654"/>
        <v>TN</v>
      </c>
    </row>
    <row r="23772" spans="1:6" x14ac:dyDescent="0.25">
      <c r="A23772" t="str">
        <f>"200017722"</f>
        <v>200017722</v>
      </c>
      <c r="B23772" t="str">
        <f>"1437683281"</f>
        <v>1437683281</v>
      </c>
      <c r="C23772" t="str">
        <f>"207L00000X"</f>
        <v>207L00000X</v>
      </c>
      <c r="D23772" t="str">
        <f>"RESNICK                  ANDREW       S           "</f>
        <v xml:space="preserve">RESNICK                  ANDREW       S           </v>
      </c>
      <c r="E23772" t="str">
        <f>"MEMPHIS                   "</f>
        <v xml:space="preserve">MEMPHIS                   </v>
      </c>
      <c r="F23772" t="str">
        <f t="shared" si="654"/>
        <v>TN</v>
      </c>
    </row>
    <row r="23773" spans="1:6" x14ac:dyDescent="0.25">
      <c r="A23773" t="str">
        <f>"200017727"</f>
        <v>200017727</v>
      </c>
      <c r="B23773" t="str">
        <f>"1710906375"</f>
        <v>1710906375</v>
      </c>
      <c r="C23773" t="str">
        <f>"207L00000X"</f>
        <v>207L00000X</v>
      </c>
      <c r="D23773" t="str">
        <f>"GREENBERG                MARK         J           "</f>
        <v xml:space="preserve">GREENBERG                MARK         J           </v>
      </c>
      <c r="E23773" t="str">
        <f>"MEMPHIS                   "</f>
        <v xml:space="preserve">MEMPHIS                   </v>
      </c>
      <c r="F23773" t="str">
        <f t="shared" si="654"/>
        <v>TN</v>
      </c>
    </row>
    <row r="23774" spans="1:6" x14ac:dyDescent="0.25">
      <c r="A23774" t="str">
        <f>"200017778"</f>
        <v>200017778</v>
      </c>
      <c r="B23774" t="str">
        <f>"1780107219"</f>
        <v>1780107219</v>
      </c>
      <c r="C23774" t="str">
        <f>"363LF0000X"</f>
        <v>363LF0000X</v>
      </c>
      <c r="D23774" t="str">
        <f>"HOMAN                    SAUNDRA                  "</f>
        <v xml:space="preserve">HOMAN                    SAUNDRA                  </v>
      </c>
      <c r="E23774" t="str">
        <f>"MEMPHIS                   "</f>
        <v xml:space="preserve">MEMPHIS                   </v>
      </c>
      <c r="F23774" t="str">
        <f t="shared" si="654"/>
        <v>TN</v>
      </c>
    </row>
    <row r="23775" spans="1:6" x14ac:dyDescent="0.25">
      <c r="A23775" t="str">
        <f>"200017808"</f>
        <v>200017808</v>
      </c>
      <c r="B23775" t="str">
        <f>"1407195548"</f>
        <v>1407195548</v>
      </c>
      <c r="C23775" t="str">
        <f>"207P00000X"</f>
        <v>207P00000X</v>
      </c>
      <c r="D23775" t="str">
        <f>"KYLE                     ADRIANA                  "</f>
        <v xml:space="preserve">KYLE                     ADRIANA                  </v>
      </c>
      <c r="E23775" t="str">
        <f>"BARTLETT                  "</f>
        <v xml:space="preserve">BARTLETT                  </v>
      </c>
      <c r="F23775" t="str">
        <f t="shared" si="654"/>
        <v>TN</v>
      </c>
    </row>
    <row r="23776" spans="1:6" x14ac:dyDescent="0.25">
      <c r="A23776" t="str">
        <f>"200017809"</f>
        <v>200017809</v>
      </c>
      <c r="B23776" t="str">
        <f>"1316387095"</f>
        <v>1316387095</v>
      </c>
      <c r="C23776" t="str">
        <f>"2084N0402X"</f>
        <v>2084N0402X</v>
      </c>
      <c r="D23776" t="str">
        <f>"CHOURASIA                NITISH                   "</f>
        <v xml:space="preserve">CHOURASIA                NITISH                   </v>
      </c>
      <c r="E23776" t="str">
        <f>"MEMPHIS                   "</f>
        <v xml:space="preserve">MEMPHIS                   </v>
      </c>
      <c r="F23776" t="str">
        <f t="shared" si="654"/>
        <v>TN</v>
      </c>
    </row>
    <row r="23777" spans="1:6" x14ac:dyDescent="0.25">
      <c r="A23777" t="str">
        <f>"200017837"</f>
        <v>200017837</v>
      </c>
      <c r="B23777" t="str">
        <f>"1699859793"</f>
        <v>1699859793</v>
      </c>
      <c r="C23777" t="str">
        <f>"207P00000X"</f>
        <v>207P00000X</v>
      </c>
      <c r="D23777" t="str">
        <f>"PALM                     KENNETH                  "</f>
        <v xml:space="preserve">PALM                     KENNETH                  </v>
      </c>
      <c r="E23777" t="str">
        <f>"NASHVILLE                 "</f>
        <v xml:space="preserve">NASHVILLE                 </v>
      </c>
      <c r="F23777" t="str">
        <f t="shared" si="654"/>
        <v>TN</v>
      </c>
    </row>
    <row r="23778" spans="1:6" x14ac:dyDescent="0.25">
      <c r="A23778" t="str">
        <f>"200017852"</f>
        <v>200017852</v>
      </c>
      <c r="B23778" t="str">
        <f>"1295834620"</f>
        <v>1295834620</v>
      </c>
      <c r="C23778" t="str">
        <f>"2086S0129X"</f>
        <v>2086S0129X</v>
      </c>
      <c r="D23778" t="str">
        <f>"NASLUND                  THOMAS                   "</f>
        <v xml:space="preserve">NASLUND                  THOMAS                   </v>
      </c>
      <c r="E23778" t="str">
        <f>"NASHVILLE                 "</f>
        <v xml:space="preserve">NASHVILLE                 </v>
      </c>
      <c r="F23778" t="str">
        <f t="shared" si="654"/>
        <v>TN</v>
      </c>
    </row>
    <row r="23779" spans="1:6" x14ac:dyDescent="0.25">
      <c r="A23779" t="str">
        <f>"200017865"</f>
        <v>200017865</v>
      </c>
      <c r="B23779" t="str">
        <f>"1962285825"</f>
        <v>1962285825</v>
      </c>
      <c r="C23779" t="str">
        <f>"363A00000X"</f>
        <v>363A00000X</v>
      </c>
      <c r="D23779" t="str">
        <f>"PHAM                     KARI         N           "</f>
        <v xml:space="preserve">PHAM                     KARI         N           </v>
      </c>
      <c r="E23779" t="str">
        <f>"MEMPHIS                   "</f>
        <v xml:space="preserve">MEMPHIS                   </v>
      </c>
      <c r="F23779" t="str">
        <f t="shared" si="654"/>
        <v>TN</v>
      </c>
    </row>
    <row r="23780" spans="1:6" x14ac:dyDescent="0.25">
      <c r="A23780" t="str">
        <f>"200017891"</f>
        <v>200017891</v>
      </c>
      <c r="B23780" t="str">
        <f>"1720177595"</f>
        <v>1720177595</v>
      </c>
      <c r="C23780" t="str">
        <f>"207P00000X"</f>
        <v>207P00000X</v>
      </c>
      <c r="D23780" t="str">
        <f>"BRYANT                   VONZELLA     A           "</f>
        <v xml:space="preserve">BRYANT                   VONZELLA     A           </v>
      </c>
      <c r="E23780" t="str">
        <f>"MEMPHIS                   "</f>
        <v xml:space="preserve">MEMPHIS                   </v>
      </c>
      <c r="F23780" t="str">
        <f t="shared" si="654"/>
        <v>TN</v>
      </c>
    </row>
    <row r="23781" spans="1:6" x14ac:dyDescent="0.25">
      <c r="A23781" t="str">
        <f>"200017900"</f>
        <v>200017900</v>
      </c>
      <c r="B23781" t="str">
        <f>"1396992137"</f>
        <v>1396992137</v>
      </c>
      <c r="C23781" t="str">
        <f>"207R00000X"</f>
        <v>207R00000X</v>
      </c>
      <c r="D23781" t="str">
        <f>"LOVE                     ROBERT                   "</f>
        <v xml:space="preserve">LOVE                     ROBERT                   </v>
      </c>
      <c r="E23781" t="str">
        <f>"MEMPHIS                   "</f>
        <v xml:space="preserve">MEMPHIS                   </v>
      </c>
      <c r="F23781" t="str">
        <f t="shared" si="654"/>
        <v>TN</v>
      </c>
    </row>
    <row r="23782" spans="1:6" x14ac:dyDescent="0.25">
      <c r="A23782" t="str">
        <f>"200017930"</f>
        <v>200017930</v>
      </c>
      <c r="B23782" t="str">
        <f>"1396724746"</f>
        <v>1396724746</v>
      </c>
      <c r="C23782" t="str">
        <f>"207P00000X"</f>
        <v>207P00000X</v>
      </c>
      <c r="D23782" t="str">
        <f>"JOHNSTON                 STEPHEN                  "</f>
        <v xml:space="preserve">JOHNSTON                 STEPHEN                  </v>
      </c>
      <c r="E23782" t="str">
        <f>"BARLETT                   "</f>
        <v xml:space="preserve">BARLETT                   </v>
      </c>
      <c r="F23782" t="str">
        <f t="shared" si="654"/>
        <v>TN</v>
      </c>
    </row>
    <row r="23783" spans="1:6" x14ac:dyDescent="0.25">
      <c r="A23783" t="str">
        <f>"200017933"</f>
        <v>200017933</v>
      </c>
      <c r="B23783" t="str">
        <f>"1013435718"</f>
        <v>1013435718</v>
      </c>
      <c r="C23783" t="str">
        <f>"363A00000X"</f>
        <v>363A00000X</v>
      </c>
      <c r="D23783" t="str">
        <f>"ROBERTSON                CHANDLER                 "</f>
        <v xml:space="preserve">ROBERTSON                CHANDLER                 </v>
      </c>
      <c r="E23783" t="str">
        <f>"GERMANTOWN                "</f>
        <v xml:space="preserve">GERMANTOWN                </v>
      </c>
      <c r="F23783" t="str">
        <f t="shared" si="654"/>
        <v>TN</v>
      </c>
    </row>
    <row r="23784" spans="1:6" x14ac:dyDescent="0.25">
      <c r="A23784" t="str">
        <f>"200017940"</f>
        <v>200017940</v>
      </c>
      <c r="B23784" t="str">
        <f>"1295702314"</f>
        <v>1295702314</v>
      </c>
      <c r="C23784" t="str">
        <f>"2080P0210X"</f>
        <v>2080P0210X</v>
      </c>
      <c r="D23784" t="str">
        <f>"FELDENBERG               LOUIS                    "</f>
        <v xml:space="preserve">FELDENBERG               LOUIS                    </v>
      </c>
      <c r="E23784" t="str">
        <f t="shared" ref="E23784:E23790" si="655">"MEMPHIS                   "</f>
        <v xml:space="preserve">MEMPHIS                   </v>
      </c>
      <c r="F23784" t="str">
        <f t="shared" si="654"/>
        <v>TN</v>
      </c>
    </row>
    <row r="23785" spans="1:6" x14ac:dyDescent="0.25">
      <c r="A23785" t="str">
        <f>"200017983"</f>
        <v>200017983</v>
      </c>
      <c r="B23785" t="str">
        <f>"1639313208"</f>
        <v>1639313208</v>
      </c>
      <c r="C23785" t="str">
        <f>"208M00000X"</f>
        <v>208M00000X</v>
      </c>
      <c r="D23785" t="str">
        <f>"BERGERON                 JACLYN                   "</f>
        <v xml:space="preserve">BERGERON                 JACLYN                   </v>
      </c>
      <c r="E23785" t="str">
        <f t="shared" si="655"/>
        <v xml:space="preserve">MEMPHIS                   </v>
      </c>
      <c r="F23785" t="str">
        <f t="shared" si="654"/>
        <v>TN</v>
      </c>
    </row>
    <row r="23786" spans="1:6" x14ac:dyDescent="0.25">
      <c r="A23786" t="str">
        <f>"200017990"</f>
        <v>200017990</v>
      </c>
      <c r="B23786" t="str">
        <f>"1790917318"</f>
        <v>1790917318</v>
      </c>
      <c r="C23786" t="str">
        <f>"207P00000X"</f>
        <v>207P00000X</v>
      </c>
      <c r="D23786" t="str">
        <f>"JACKSON                  MICHAEL                  "</f>
        <v xml:space="preserve">JACKSON                  MICHAEL                  </v>
      </c>
      <c r="E23786" t="str">
        <f t="shared" si="655"/>
        <v xml:space="preserve">MEMPHIS                   </v>
      </c>
      <c r="F23786" t="str">
        <f t="shared" si="654"/>
        <v>TN</v>
      </c>
    </row>
    <row r="23787" spans="1:6" x14ac:dyDescent="0.25">
      <c r="A23787" t="str">
        <f>"200018014"</f>
        <v>200018014</v>
      </c>
      <c r="B23787" t="str">
        <f>"1932737095"</f>
        <v>1932737095</v>
      </c>
      <c r="C23787" t="str">
        <f>"207P00000X"</f>
        <v>207P00000X</v>
      </c>
      <c r="D23787" t="str">
        <f>"NELSON                   DENISE                   "</f>
        <v xml:space="preserve">NELSON                   DENISE                   </v>
      </c>
      <c r="E23787" t="str">
        <f t="shared" si="655"/>
        <v xml:space="preserve">MEMPHIS                   </v>
      </c>
      <c r="F23787" t="str">
        <f t="shared" si="654"/>
        <v>TN</v>
      </c>
    </row>
    <row r="23788" spans="1:6" x14ac:dyDescent="0.25">
      <c r="A23788" t="str">
        <f>"200018022"</f>
        <v>200018022</v>
      </c>
      <c r="B23788" t="str">
        <f>"1538492442"</f>
        <v>1538492442</v>
      </c>
      <c r="C23788" t="str">
        <f>"2085R0204X"</f>
        <v>2085R0204X</v>
      </c>
      <c r="D23788" t="str">
        <f>"DABROWIECKI              ALEXANDER    M           "</f>
        <v xml:space="preserve">DABROWIECKI              ALEXANDER    M           </v>
      </c>
      <c r="E23788" t="str">
        <f t="shared" si="655"/>
        <v xml:space="preserve">MEMPHIS                   </v>
      </c>
      <c r="F23788" t="str">
        <f t="shared" si="654"/>
        <v>TN</v>
      </c>
    </row>
    <row r="23789" spans="1:6" x14ac:dyDescent="0.25">
      <c r="A23789" t="str">
        <f>"200018039"</f>
        <v>200018039</v>
      </c>
      <c r="B23789" t="str">
        <f>"1104172378"</f>
        <v>1104172378</v>
      </c>
      <c r="C23789" t="str">
        <f>"207RN0300X"</f>
        <v>207RN0300X</v>
      </c>
      <c r="D23789" t="str">
        <f>"HUSSEIN                  WAEL                     "</f>
        <v xml:space="preserve">HUSSEIN                  WAEL                     </v>
      </c>
      <c r="E23789" t="str">
        <f t="shared" si="655"/>
        <v xml:space="preserve">MEMPHIS                   </v>
      </c>
      <c r="F23789" t="str">
        <f t="shared" si="654"/>
        <v>TN</v>
      </c>
    </row>
    <row r="23790" spans="1:6" x14ac:dyDescent="0.25">
      <c r="A23790" t="str">
        <f>"200018044"</f>
        <v>200018044</v>
      </c>
      <c r="B23790" t="str">
        <f>"1215713771"</f>
        <v>1215713771</v>
      </c>
      <c r="C23790" t="str">
        <f>"363LF0000X"</f>
        <v>363LF0000X</v>
      </c>
      <c r="D23790" t="str">
        <f>"DAVIS                    SARA                     "</f>
        <v xml:space="preserve">DAVIS                    SARA                     </v>
      </c>
      <c r="E23790" t="str">
        <f t="shared" si="655"/>
        <v xml:space="preserve">MEMPHIS                   </v>
      </c>
      <c r="F23790" t="str">
        <f t="shared" si="654"/>
        <v>TN</v>
      </c>
    </row>
    <row r="23791" spans="1:6" x14ac:dyDescent="0.25">
      <c r="A23791" t="str">
        <f>"200018055"</f>
        <v>200018055</v>
      </c>
      <c r="B23791" t="str">
        <f>"1609432855"</f>
        <v>1609432855</v>
      </c>
      <c r="C23791" t="str">
        <f>"208600000X"</f>
        <v>208600000X</v>
      </c>
      <c r="D23791" t="str">
        <f>"PITTMAN                  ALYSSA       K           "</f>
        <v xml:space="preserve">PITTMAN                  ALYSSA       K           </v>
      </c>
      <c r="E23791" t="str">
        <f>"GERMANTOWN                "</f>
        <v xml:space="preserve">GERMANTOWN                </v>
      </c>
      <c r="F23791" t="str">
        <f t="shared" si="654"/>
        <v>TN</v>
      </c>
    </row>
    <row r="23792" spans="1:6" x14ac:dyDescent="0.25">
      <c r="A23792" t="str">
        <f>"200018061"</f>
        <v>200018061</v>
      </c>
      <c r="B23792" t="str">
        <f>"1174887632"</f>
        <v>1174887632</v>
      </c>
      <c r="C23792" t="str">
        <f>"207LC0200X"</f>
        <v>207LC0200X</v>
      </c>
      <c r="D23792" t="str">
        <f>"JELLY                    CHRISTINA                "</f>
        <v xml:space="preserve">JELLY                    CHRISTINA                </v>
      </c>
      <c r="E23792" t="str">
        <f>"NASHVILLE                 "</f>
        <v xml:space="preserve">NASHVILLE                 </v>
      </c>
      <c r="F23792" t="str">
        <f t="shared" si="654"/>
        <v>TN</v>
      </c>
    </row>
    <row r="23793" spans="1:6" x14ac:dyDescent="0.25">
      <c r="A23793" t="str">
        <f>"200018067"</f>
        <v>200018067</v>
      </c>
      <c r="B23793" t="str">
        <f>"1437998390"</f>
        <v>1437998390</v>
      </c>
      <c r="C23793" t="str">
        <f>"363LA2100X"</f>
        <v>363LA2100X</v>
      </c>
      <c r="D23793" t="str">
        <f>"PICKENS                  BRETT                    "</f>
        <v xml:space="preserve">PICKENS                  BRETT                    </v>
      </c>
      <c r="E23793" t="str">
        <f>"MEMPHIS                   "</f>
        <v xml:space="preserve">MEMPHIS                   </v>
      </c>
      <c r="F23793" t="str">
        <f t="shared" si="654"/>
        <v>TN</v>
      </c>
    </row>
    <row r="23794" spans="1:6" x14ac:dyDescent="0.25">
      <c r="A23794" t="str">
        <f>"200018077"</f>
        <v>200018077</v>
      </c>
      <c r="B23794" t="str">
        <f>"1841639507"</f>
        <v>1841639507</v>
      </c>
      <c r="C23794" t="str">
        <f>"208600000X"</f>
        <v>208600000X</v>
      </c>
      <c r="D23794" t="str">
        <f>"CHOUDHURY                NABAJIT                  "</f>
        <v xml:space="preserve">CHOUDHURY                NABAJIT                  </v>
      </c>
      <c r="E23794" t="str">
        <f>"MEMPHIS                   "</f>
        <v xml:space="preserve">MEMPHIS                   </v>
      </c>
      <c r="F23794" t="str">
        <f t="shared" si="654"/>
        <v>TN</v>
      </c>
    </row>
    <row r="23795" spans="1:6" x14ac:dyDescent="0.25">
      <c r="A23795" t="str">
        <f>"200018083"</f>
        <v>200018083</v>
      </c>
      <c r="B23795" t="str">
        <f>"1225125339"</f>
        <v>1225125339</v>
      </c>
      <c r="C23795" t="str">
        <f>"207PP0204X"</f>
        <v>207PP0204X</v>
      </c>
      <c r="D23795" t="str">
        <f>"ARNOLD                   DONALD                   "</f>
        <v xml:space="preserve">ARNOLD                   DONALD                   </v>
      </c>
      <c r="E23795" t="str">
        <f>"NASHVILLE                 "</f>
        <v xml:space="preserve">NASHVILLE                 </v>
      </c>
      <c r="F23795" t="str">
        <f t="shared" si="654"/>
        <v>TN</v>
      </c>
    </row>
    <row r="23796" spans="1:6" x14ac:dyDescent="0.25">
      <c r="A23796" t="str">
        <f>"200018088"</f>
        <v>200018088</v>
      </c>
      <c r="B23796" t="str">
        <f>"1154405256"</f>
        <v>1154405256</v>
      </c>
      <c r="C23796" t="str">
        <f>"2080P0214X"</f>
        <v>2080P0214X</v>
      </c>
      <c r="D23796" t="str">
        <f>"FAZILI                   MOHAMMAD                 "</f>
        <v xml:space="preserve">FAZILI                   MOHAMMAD                 </v>
      </c>
      <c r="E23796" t="str">
        <f>"NASHVILLE                 "</f>
        <v xml:space="preserve">NASHVILLE                 </v>
      </c>
      <c r="F23796" t="str">
        <f t="shared" si="654"/>
        <v>TN</v>
      </c>
    </row>
    <row r="23797" spans="1:6" x14ac:dyDescent="0.25">
      <c r="A23797" t="str">
        <f>"200018129"</f>
        <v>200018129</v>
      </c>
      <c r="B23797" t="str">
        <f>"1760459747"</f>
        <v>1760459747</v>
      </c>
      <c r="C23797" t="str">
        <f>"208G00000X"</f>
        <v>208G00000X</v>
      </c>
      <c r="D23797" t="str">
        <f>"PORET III                HARVEY       A           "</f>
        <v xml:space="preserve">PORET III                HARVEY       A           </v>
      </c>
      <c r="E23797" t="str">
        <f>"MEMPHIS                   "</f>
        <v xml:space="preserve">MEMPHIS                   </v>
      </c>
      <c r="F23797" t="str">
        <f t="shared" si="654"/>
        <v>TN</v>
      </c>
    </row>
    <row r="23798" spans="1:6" x14ac:dyDescent="0.25">
      <c r="A23798" t="str">
        <f>"200018149"</f>
        <v>200018149</v>
      </c>
      <c r="B23798" t="str">
        <f>"1316502693"</f>
        <v>1316502693</v>
      </c>
      <c r="C23798" t="str">
        <f>"207Q00000X"</f>
        <v>207Q00000X</v>
      </c>
      <c r="D23798" t="str">
        <f>"ROGERS                   JOSHUA                   "</f>
        <v xml:space="preserve">ROGERS                   JOSHUA                   </v>
      </c>
      <c r="E23798" t="str">
        <f>"MEMPHIS                   "</f>
        <v xml:space="preserve">MEMPHIS                   </v>
      </c>
      <c r="F23798" t="str">
        <f t="shared" si="654"/>
        <v>TN</v>
      </c>
    </row>
    <row r="23799" spans="1:6" x14ac:dyDescent="0.25">
      <c r="A23799" t="str">
        <f>"200018161"</f>
        <v>200018161</v>
      </c>
      <c r="B23799" t="str">
        <f>"1174866891"</f>
        <v>1174866891</v>
      </c>
      <c r="C23799" t="str">
        <f>"207RH0003X"</f>
        <v>207RH0003X</v>
      </c>
      <c r="D23799" t="str">
        <f>"NELSON                   MARQUITA                 "</f>
        <v xml:space="preserve">NELSON                   MARQUITA                 </v>
      </c>
      <c r="E23799" t="str">
        <f>"MEMPHIS                   "</f>
        <v xml:space="preserve">MEMPHIS                   </v>
      </c>
      <c r="F23799" t="str">
        <f t="shared" si="654"/>
        <v>TN</v>
      </c>
    </row>
    <row r="23800" spans="1:6" x14ac:dyDescent="0.25">
      <c r="A23800" t="str">
        <f>"200018172"</f>
        <v>200018172</v>
      </c>
      <c r="B23800" t="str">
        <f>"1851663462"</f>
        <v>1851663462</v>
      </c>
      <c r="C23800" t="str">
        <f>"207RR0500X"</f>
        <v>207RR0500X</v>
      </c>
      <c r="D23800" t="str">
        <f>"POSTLETHWAITE            BRADLEY                  "</f>
        <v xml:space="preserve">POSTLETHWAITE            BRADLEY                  </v>
      </c>
      <c r="E23800" t="str">
        <f>"GERMANTOWN                "</f>
        <v xml:space="preserve">GERMANTOWN                </v>
      </c>
      <c r="F23800" t="str">
        <f t="shared" si="654"/>
        <v>TN</v>
      </c>
    </row>
    <row r="23801" spans="1:6" x14ac:dyDescent="0.25">
      <c r="A23801" t="str">
        <f>"200018173"</f>
        <v>200018173</v>
      </c>
      <c r="B23801" t="str">
        <f>"1871638429"</f>
        <v>1871638429</v>
      </c>
      <c r="C23801" t="str">
        <f>"363LF0000X"</f>
        <v>363LF0000X</v>
      </c>
      <c r="D23801" t="str">
        <f>"FORTUNE                  ROBERT                   "</f>
        <v xml:space="preserve">FORTUNE                  ROBERT                   </v>
      </c>
      <c r="E23801" t="str">
        <f>"GERMANTOWN                "</f>
        <v xml:space="preserve">GERMANTOWN                </v>
      </c>
      <c r="F23801" t="str">
        <f t="shared" si="654"/>
        <v>TN</v>
      </c>
    </row>
    <row r="23802" spans="1:6" x14ac:dyDescent="0.25">
      <c r="A23802" t="str">
        <f>"200018180"</f>
        <v>200018180</v>
      </c>
      <c r="B23802" t="str">
        <f>"1659531861"</f>
        <v>1659531861</v>
      </c>
      <c r="C23802" t="str">
        <f>"2086S0120X"</f>
        <v>2086S0120X</v>
      </c>
      <c r="D23802" t="str">
        <f>"TALBOT                   LINDSAY                  "</f>
        <v xml:space="preserve">TALBOT                   LINDSAY                  </v>
      </c>
      <c r="E23802" t="str">
        <f>"MEMPHIS                   "</f>
        <v xml:space="preserve">MEMPHIS                   </v>
      </c>
      <c r="F23802" t="str">
        <f t="shared" si="654"/>
        <v>TN</v>
      </c>
    </row>
    <row r="23803" spans="1:6" x14ac:dyDescent="0.25">
      <c r="A23803" t="str">
        <f>"200018184"</f>
        <v>200018184</v>
      </c>
      <c r="B23803" t="str">
        <f>"1427691823"</f>
        <v>1427691823</v>
      </c>
      <c r="C23803" t="str">
        <f>"363LF0000X"</f>
        <v>363LF0000X</v>
      </c>
      <c r="D23803" t="str">
        <f>"BETHEA-GOLDEN            ILIA                     "</f>
        <v xml:space="preserve">BETHEA-GOLDEN            ILIA                     </v>
      </c>
      <c r="E23803" t="str">
        <f>"MEMPHIS                   "</f>
        <v xml:space="preserve">MEMPHIS                   </v>
      </c>
      <c r="F23803" t="str">
        <f t="shared" si="654"/>
        <v>TN</v>
      </c>
    </row>
    <row r="23804" spans="1:6" x14ac:dyDescent="0.25">
      <c r="A23804" t="str">
        <f>"200018188"</f>
        <v>200018188</v>
      </c>
      <c r="B23804" t="str">
        <f>"1831172618"</f>
        <v>1831172618</v>
      </c>
      <c r="C23804" t="str">
        <f>"207RP1001X"</f>
        <v>207RP1001X</v>
      </c>
      <c r="D23804" t="str">
        <f>"TOLLE                    JAMES                    "</f>
        <v xml:space="preserve">TOLLE                    JAMES                    </v>
      </c>
      <c r="E23804" t="str">
        <f>"NASHVILLE                 "</f>
        <v xml:space="preserve">NASHVILLE                 </v>
      </c>
      <c r="F23804" t="str">
        <f t="shared" si="654"/>
        <v>TN</v>
      </c>
    </row>
    <row r="23805" spans="1:6" x14ac:dyDescent="0.25">
      <c r="A23805" t="str">
        <f>"200018261"</f>
        <v>200018261</v>
      </c>
      <c r="B23805" t="str">
        <f>"1952567703"</f>
        <v>1952567703</v>
      </c>
      <c r="C23805" t="str">
        <f>"2080P0208X"</f>
        <v>2080P0208X</v>
      </c>
      <c r="D23805" t="str">
        <f>"DEHORITY                 WALTER                   "</f>
        <v xml:space="preserve">DEHORITY                 WALTER                   </v>
      </c>
      <c r="E23805" t="str">
        <f>"NASHVILLE                 "</f>
        <v xml:space="preserve">NASHVILLE                 </v>
      </c>
      <c r="F23805" t="str">
        <f t="shared" si="654"/>
        <v>TN</v>
      </c>
    </row>
    <row r="23806" spans="1:6" x14ac:dyDescent="0.25">
      <c r="A23806" t="str">
        <f>"200018265"</f>
        <v>200018265</v>
      </c>
      <c r="B23806" t="str">
        <f>"1790384329"</f>
        <v>1790384329</v>
      </c>
      <c r="C23806" t="str">
        <f>"363L00000X"</f>
        <v>363L00000X</v>
      </c>
      <c r="D23806" t="str">
        <f>"TISDELL                  SHANNON                  "</f>
        <v xml:space="preserve">TISDELL                  SHANNON                  </v>
      </c>
      <c r="E23806" t="str">
        <f>"MEMPHIS                   "</f>
        <v xml:space="preserve">MEMPHIS                   </v>
      </c>
      <c r="F23806" t="str">
        <f t="shared" ref="F23806:F23869" si="656">"TN"</f>
        <v>TN</v>
      </c>
    </row>
    <row r="23807" spans="1:6" x14ac:dyDescent="0.25">
      <c r="A23807" t="str">
        <f>"200018269"</f>
        <v>200018269</v>
      </c>
      <c r="B23807" t="str">
        <f>"1245763069"</f>
        <v>1245763069</v>
      </c>
      <c r="C23807" t="str">
        <f>"207Y00000X"</f>
        <v>207Y00000X</v>
      </c>
      <c r="D23807" t="str">
        <f>"HICKS                    MELANIE                  "</f>
        <v xml:space="preserve">HICKS                    MELANIE                  </v>
      </c>
      <c r="E23807" t="str">
        <f>"NASHVILLE                 "</f>
        <v xml:space="preserve">NASHVILLE                 </v>
      </c>
      <c r="F23807" t="str">
        <f t="shared" si="656"/>
        <v>TN</v>
      </c>
    </row>
    <row r="23808" spans="1:6" x14ac:dyDescent="0.25">
      <c r="A23808" t="str">
        <f>"200018270"</f>
        <v>200018270</v>
      </c>
      <c r="B23808" t="str">
        <f>"1285168914"</f>
        <v>1285168914</v>
      </c>
      <c r="C23808" t="str">
        <f>"2080A0000X"</f>
        <v>2080A0000X</v>
      </c>
      <c r="D23808" t="str">
        <f>"BELL                     LAUREN                   "</f>
        <v xml:space="preserve">BELL                     LAUREN                   </v>
      </c>
      <c r="E23808" t="str">
        <f>"MEMPHIS                   "</f>
        <v xml:space="preserve">MEMPHIS                   </v>
      </c>
      <c r="F23808" t="str">
        <f t="shared" si="656"/>
        <v>TN</v>
      </c>
    </row>
    <row r="23809" spans="1:6" x14ac:dyDescent="0.25">
      <c r="A23809" t="str">
        <f>"200018273"</f>
        <v>200018273</v>
      </c>
      <c r="B23809" t="str">
        <f>"1861791444"</f>
        <v>1861791444</v>
      </c>
      <c r="C23809" t="str">
        <f>"2080P0203X"</f>
        <v>2080P0203X</v>
      </c>
      <c r="D23809" t="str">
        <f>"KING                     JENNIFER                 "</f>
        <v xml:space="preserve">KING                     JENNIFER                 </v>
      </c>
      <c r="E23809" t="str">
        <f>"NASHVILLE                 "</f>
        <v xml:space="preserve">NASHVILLE                 </v>
      </c>
      <c r="F23809" t="str">
        <f t="shared" si="656"/>
        <v>TN</v>
      </c>
    </row>
    <row r="23810" spans="1:6" x14ac:dyDescent="0.25">
      <c r="A23810" t="str">
        <f>"200018276"</f>
        <v>200018276</v>
      </c>
      <c r="B23810" t="str">
        <f>"1285490516"</f>
        <v>1285490516</v>
      </c>
      <c r="C23810" t="str">
        <f>"363AM0700X"</f>
        <v>363AM0700X</v>
      </c>
      <c r="D23810" t="str">
        <f>"GAMBILL                  GARRETT                  "</f>
        <v xml:space="preserve">GAMBILL                  GARRETT                  </v>
      </c>
      <c r="E23810" t="str">
        <f>"MEMPHIS                   "</f>
        <v xml:space="preserve">MEMPHIS                   </v>
      </c>
      <c r="F23810" t="str">
        <f t="shared" si="656"/>
        <v>TN</v>
      </c>
    </row>
    <row r="23811" spans="1:6" x14ac:dyDescent="0.25">
      <c r="A23811" t="str">
        <f>"200018290"</f>
        <v>200018290</v>
      </c>
      <c r="B23811" t="str">
        <f>"1083091110"</f>
        <v>1083091110</v>
      </c>
      <c r="C23811" t="str">
        <f>"207V00000X"</f>
        <v>207V00000X</v>
      </c>
      <c r="D23811" t="str">
        <f>"ODULANA                  FLORENE      D           "</f>
        <v xml:space="preserve">ODULANA                  FLORENE      D           </v>
      </c>
      <c r="E23811" t="str">
        <f>"MEMPHIS                   "</f>
        <v xml:space="preserve">MEMPHIS                   </v>
      </c>
      <c r="F23811" t="str">
        <f t="shared" si="656"/>
        <v>TN</v>
      </c>
    </row>
    <row r="23812" spans="1:6" x14ac:dyDescent="0.25">
      <c r="A23812" t="str">
        <f>"200018300"</f>
        <v>200018300</v>
      </c>
      <c r="B23812" t="str">
        <f>"1831576560"</f>
        <v>1831576560</v>
      </c>
      <c r="C23812" t="str">
        <f>"2080P0214X"</f>
        <v>2080P0214X</v>
      </c>
      <c r="D23812" t="str">
        <f>"FRANCIS                  NATALIE                  "</f>
        <v xml:space="preserve">FRANCIS                  NATALIE                  </v>
      </c>
      <c r="E23812" t="str">
        <f>"MEMPHIS                   "</f>
        <v xml:space="preserve">MEMPHIS                   </v>
      </c>
      <c r="F23812" t="str">
        <f t="shared" si="656"/>
        <v>TN</v>
      </c>
    </row>
    <row r="23813" spans="1:6" x14ac:dyDescent="0.25">
      <c r="A23813" t="str">
        <f>"200018310"</f>
        <v>200018310</v>
      </c>
      <c r="B23813" t="str">
        <f>"1316110927"</f>
        <v>1316110927</v>
      </c>
      <c r="C23813" t="str">
        <f>"207R00000X"</f>
        <v>207R00000X</v>
      </c>
      <c r="D23813" t="str">
        <f>"SPENCER                  JASON                    "</f>
        <v xml:space="preserve">SPENCER                  JASON                    </v>
      </c>
      <c r="E23813" t="str">
        <f>"MEMPHIS                   "</f>
        <v xml:space="preserve">MEMPHIS                   </v>
      </c>
      <c r="F23813" t="str">
        <f t="shared" si="656"/>
        <v>TN</v>
      </c>
    </row>
    <row r="23814" spans="1:6" x14ac:dyDescent="0.25">
      <c r="A23814" t="str">
        <f>"200018321"</f>
        <v>200018321</v>
      </c>
      <c r="B23814" t="str">
        <f>"1427587245"</f>
        <v>1427587245</v>
      </c>
      <c r="C23814" t="str">
        <f>"208M00000X"</f>
        <v>208M00000X</v>
      </c>
      <c r="D23814" t="str">
        <f>"GASTINEAU                KELSEY                   "</f>
        <v xml:space="preserve">GASTINEAU                KELSEY                   </v>
      </c>
      <c r="E23814" t="str">
        <f>"NASHVILLE                 "</f>
        <v xml:space="preserve">NASHVILLE                 </v>
      </c>
      <c r="F23814" t="str">
        <f t="shared" si="656"/>
        <v>TN</v>
      </c>
    </row>
    <row r="23815" spans="1:6" x14ac:dyDescent="0.25">
      <c r="A23815" t="str">
        <f>"200018327"</f>
        <v>200018327</v>
      </c>
      <c r="B23815" t="str">
        <f>"1356368831"</f>
        <v>1356368831</v>
      </c>
      <c r="C23815" t="str">
        <f>"367500000X"</f>
        <v>367500000X</v>
      </c>
      <c r="D23815" t="str">
        <f>"JOHNSON                  AMY          L           "</f>
        <v xml:space="preserve">JOHNSON                  AMY          L           </v>
      </c>
      <c r="E23815" t="str">
        <f t="shared" ref="E23815:E23822" si="657">"MEMPHIS                   "</f>
        <v xml:space="preserve">MEMPHIS                   </v>
      </c>
      <c r="F23815" t="str">
        <f t="shared" si="656"/>
        <v>TN</v>
      </c>
    </row>
    <row r="23816" spans="1:6" x14ac:dyDescent="0.25">
      <c r="A23816" t="str">
        <f>"200018359"</f>
        <v>200018359</v>
      </c>
      <c r="B23816" t="str">
        <f>"1902050776"</f>
        <v>1902050776</v>
      </c>
      <c r="C23816" t="str">
        <f>"367500000X"</f>
        <v>367500000X</v>
      </c>
      <c r="D23816" t="str">
        <f>"RIMMER                   CHRISTINE                "</f>
        <v xml:space="preserve">RIMMER                   CHRISTINE                </v>
      </c>
      <c r="E23816" t="str">
        <f t="shared" si="657"/>
        <v xml:space="preserve">MEMPHIS                   </v>
      </c>
      <c r="F23816" t="str">
        <f t="shared" si="656"/>
        <v>TN</v>
      </c>
    </row>
    <row r="23817" spans="1:6" x14ac:dyDescent="0.25">
      <c r="A23817" t="str">
        <f>"200018361"</f>
        <v>200018361</v>
      </c>
      <c r="B23817" t="str">
        <f>"1497721179"</f>
        <v>1497721179</v>
      </c>
      <c r="C23817" t="str">
        <f>"207L00000X"</f>
        <v>207L00000X</v>
      </c>
      <c r="D23817" t="str">
        <f>"LIVESAY                  CHRISTOPHER              "</f>
        <v xml:space="preserve">LIVESAY                  CHRISTOPHER              </v>
      </c>
      <c r="E23817" t="str">
        <f t="shared" si="657"/>
        <v xml:space="preserve">MEMPHIS                   </v>
      </c>
      <c r="F23817" t="str">
        <f t="shared" si="656"/>
        <v>TN</v>
      </c>
    </row>
    <row r="23818" spans="1:6" x14ac:dyDescent="0.25">
      <c r="A23818" t="str">
        <f>"200018366"</f>
        <v>200018366</v>
      </c>
      <c r="B23818" t="str">
        <f>"1013390467"</f>
        <v>1013390467</v>
      </c>
      <c r="C23818" t="str">
        <f>"207RN0300X"</f>
        <v>207RN0300X</v>
      </c>
      <c r="D23818" t="str">
        <f>"YANCEY                   JUSTIN                   "</f>
        <v xml:space="preserve">YANCEY                   JUSTIN                   </v>
      </c>
      <c r="E23818" t="str">
        <f t="shared" si="657"/>
        <v xml:space="preserve">MEMPHIS                   </v>
      </c>
      <c r="F23818" t="str">
        <f t="shared" si="656"/>
        <v>TN</v>
      </c>
    </row>
    <row r="23819" spans="1:6" x14ac:dyDescent="0.25">
      <c r="A23819" t="str">
        <f>"200018378"</f>
        <v>200018378</v>
      </c>
      <c r="B23819" t="str">
        <f>"1750380754"</f>
        <v>1750380754</v>
      </c>
      <c r="C23819" t="str">
        <f>"207L00000X"</f>
        <v>207L00000X</v>
      </c>
      <c r="D23819" t="str">
        <f>"GEORGE                   KERRI        J           "</f>
        <v xml:space="preserve">GEORGE                   KERRI        J           </v>
      </c>
      <c r="E23819" t="str">
        <f t="shared" si="657"/>
        <v xml:space="preserve">MEMPHIS                   </v>
      </c>
      <c r="F23819" t="str">
        <f t="shared" si="656"/>
        <v>TN</v>
      </c>
    </row>
    <row r="23820" spans="1:6" x14ac:dyDescent="0.25">
      <c r="A23820" t="str">
        <f>"200018406"</f>
        <v>200018406</v>
      </c>
      <c r="B23820" t="str">
        <f>"1912701210"</f>
        <v>1912701210</v>
      </c>
      <c r="C23820" t="str">
        <f>"207R00000X"</f>
        <v>207R00000X</v>
      </c>
      <c r="D23820" t="str">
        <f>"STARK                    MADELINE     G           "</f>
        <v xml:space="preserve">STARK                    MADELINE     G           </v>
      </c>
      <c r="E23820" t="str">
        <f t="shared" si="657"/>
        <v xml:space="preserve">MEMPHIS                   </v>
      </c>
      <c r="F23820" t="str">
        <f t="shared" si="656"/>
        <v>TN</v>
      </c>
    </row>
    <row r="23821" spans="1:6" x14ac:dyDescent="0.25">
      <c r="A23821" t="str">
        <f>"200018415"</f>
        <v>200018415</v>
      </c>
      <c r="B23821" t="str">
        <f>"1215131792"</f>
        <v>1215131792</v>
      </c>
      <c r="C23821" t="str">
        <f>"2086S0120X"</f>
        <v>2086S0120X</v>
      </c>
      <c r="D23821" t="str">
        <f>"MURPHY                   ANDREW                   "</f>
        <v xml:space="preserve">MURPHY                   ANDREW                   </v>
      </c>
      <c r="E23821" t="str">
        <f t="shared" si="657"/>
        <v xml:space="preserve">MEMPHIS                   </v>
      </c>
      <c r="F23821" t="str">
        <f t="shared" si="656"/>
        <v>TN</v>
      </c>
    </row>
    <row r="23822" spans="1:6" x14ac:dyDescent="0.25">
      <c r="A23822" t="str">
        <f>"200018421"</f>
        <v>200018421</v>
      </c>
      <c r="B23822" t="str">
        <f>"1437278272"</f>
        <v>1437278272</v>
      </c>
      <c r="C23822" t="str">
        <f>"363LF0000X"</f>
        <v>363LF0000X</v>
      </c>
      <c r="D23822" t="str">
        <f>"GOODE                    GARY                     "</f>
        <v xml:space="preserve">GOODE                    GARY                     </v>
      </c>
      <c r="E23822" t="str">
        <f t="shared" si="657"/>
        <v xml:space="preserve">MEMPHIS                   </v>
      </c>
      <c r="F23822" t="str">
        <f t="shared" si="656"/>
        <v>TN</v>
      </c>
    </row>
    <row r="23823" spans="1:6" x14ac:dyDescent="0.25">
      <c r="A23823" t="str">
        <f>"200018434"</f>
        <v>200018434</v>
      </c>
      <c r="B23823" t="str">
        <f>"1023281185"</f>
        <v>1023281185</v>
      </c>
      <c r="C23823" t="str">
        <f>"363L00000X"</f>
        <v>363L00000X</v>
      </c>
      <c r="D23823" t="str">
        <f>"CAMPBELL                 ANIKO                    "</f>
        <v xml:space="preserve">CAMPBELL                 ANIKO                    </v>
      </c>
      <c r="E23823" t="str">
        <f>"CORDOVA                   "</f>
        <v xml:space="preserve">CORDOVA                   </v>
      </c>
      <c r="F23823" t="str">
        <f t="shared" si="656"/>
        <v>TN</v>
      </c>
    </row>
    <row r="23824" spans="1:6" x14ac:dyDescent="0.25">
      <c r="A23824" t="str">
        <f>"200018442"</f>
        <v>200018442</v>
      </c>
      <c r="B23824" t="str">
        <f>"1609195924"</f>
        <v>1609195924</v>
      </c>
      <c r="C23824" t="str">
        <f>"207R00000X"</f>
        <v>207R00000X</v>
      </c>
      <c r="D23824" t="str">
        <f>"LEVEILLE                 PHILIPPE                 "</f>
        <v xml:space="preserve">LEVEILLE                 PHILIPPE                 </v>
      </c>
      <c r="E23824" t="str">
        <f>"MEMPHIS                   "</f>
        <v xml:space="preserve">MEMPHIS                   </v>
      </c>
      <c r="F23824" t="str">
        <f t="shared" si="656"/>
        <v>TN</v>
      </c>
    </row>
    <row r="23825" spans="1:6" x14ac:dyDescent="0.25">
      <c r="A23825" t="str">
        <f>"200018453"</f>
        <v>200018453</v>
      </c>
      <c r="B23825" t="str">
        <f>"1316933138"</f>
        <v>1316933138</v>
      </c>
      <c r="C23825" t="str">
        <f>"207XS0106X"</f>
        <v>207XS0106X</v>
      </c>
      <c r="D23825" t="str">
        <f>"CALANDRUCCIO             JAMES                    "</f>
        <v xml:space="preserve">CALANDRUCCIO             JAMES                    </v>
      </c>
      <c r="E23825" t="str">
        <f>"GERMANTOWN                "</f>
        <v xml:space="preserve">GERMANTOWN                </v>
      </c>
      <c r="F23825" t="str">
        <f t="shared" si="656"/>
        <v>TN</v>
      </c>
    </row>
    <row r="23826" spans="1:6" x14ac:dyDescent="0.25">
      <c r="A23826" t="str">
        <f>"200018460"</f>
        <v>200018460</v>
      </c>
      <c r="B23826" t="str">
        <f>"1306342605"</f>
        <v>1306342605</v>
      </c>
      <c r="C23826" t="str">
        <f>"2080P0202X"</f>
        <v>2080P0202X</v>
      </c>
      <c r="D23826" t="str">
        <f>"PARKERSON                SARAH                    "</f>
        <v xml:space="preserve">PARKERSON                SARAH                    </v>
      </c>
      <c r="E23826" t="str">
        <f>"MEMPHIS                   "</f>
        <v xml:space="preserve">MEMPHIS                   </v>
      </c>
      <c r="F23826" t="str">
        <f t="shared" si="656"/>
        <v>TN</v>
      </c>
    </row>
    <row r="23827" spans="1:6" x14ac:dyDescent="0.25">
      <c r="A23827" t="str">
        <f>"200018461"</f>
        <v>200018461</v>
      </c>
      <c r="B23827" t="str">
        <f>"1336506880"</f>
        <v>1336506880</v>
      </c>
      <c r="C23827" t="str">
        <f>"363A00000X"</f>
        <v>363A00000X</v>
      </c>
      <c r="D23827" t="str">
        <f>"GUY                      JEREMY                   "</f>
        <v xml:space="preserve">GUY                      JEREMY                   </v>
      </c>
      <c r="E23827" t="str">
        <f>"MEMPHIS                   "</f>
        <v xml:space="preserve">MEMPHIS                   </v>
      </c>
      <c r="F23827" t="str">
        <f t="shared" si="656"/>
        <v>TN</v>
      </c>
    </row>
    <row r="23828" spans="1:6" x14ac:dyDescent="0.25">
      <c r="A23828" t="str">
        <f>"200018467"</f>
        <v>200018467</v>
      </c>
      <c r="B23828" t="str">
        <f>"1598593824"</f>
        <v>1598593824</v>
      </c>
      <c r="C23828" t="str">
        <f>"207V00000X"</f>
        <v>207V00000X</v>
      </c>
      <c r="D23828" t="str">
        <f>"GOEL                     DIVYA                    "</f>
        <v xml:space="preserve">GOEL                     DIVYA                    </v>
      </c>
      <c r="E23828" t="str">
        <f>"MEMPHIS                   "</f>
        <v xml:space="preserve">MEMPHIS                   </v>
      </c>
      <c r="F23828" t="str">
        <f t="shared" si="656"/>
        <v>TN</v>
      </c>
    </row>
    <row r="23829" spans="1:6" x14ac:dyDescent="0.25">
      <c r="A23829" t="str">
        <f>"200018510"</f>
        <v>200018510</v>
      </c>
      <c r="B23829" t="str">
        <f>"1669665808"</f>
        <v>1669665808</v>
      </c>
      <c r="C23829" t="str">
        <f>"207RX0202X"</f>
        <v>207RX0202X</v>
      </c>
      <c r="D23829" t="str">
        <f>"RAMIREZ                  ROBERT                   "</f>
        <v xml:space="preserve">RAMIREZ                  ROBERT                   </v>
      </c>
      <c r="E23829" t="str">
        <f>"NASHVILLE                 "</f>
        <v xml:space="preserve">NASHVILLE                 </v>
      </c>
      <c r="F23829" t="str">
        <f t="shared" si="656"/>
        <v>TN</v>
      </c>
    </row>
    <row r="23830" spans="1:6" x14ac:dyDescent="0.25">
      <c r="A23830" t="str">
        <f>"200018512"</f>
        <v>200018512</v>
      </c>
      <c r="B23830" t="str">
        <f>"1669665808"</f>
        <v>1669665808</v>
      </c>
      <c r="C23830" t="str">
        <f>"207R00000X"</f>
        <v>207R00000X</v>
      </c>
      <c r="D23830" t="str">
        <f>"RAMIREZ                  ROBERT                   "</f>
        <v xml:space="preserve">RAMIREZ                  ROBERT                   </v>
      </c>
      <c r="E23830" t="str">
        <f>"NASHVILLE                 "</f>
        <v xml:space="preserve">NASHVILLE                 </v>
      </c>
      <c r="F23830" t="str">
        <f t="shared" si="656"/>
        <v>TN</v>
      </c>
    </row>
    <row r="23831" spans="1:6" x14ac:dyDescent="0.25">
      <c r="A23831" t="str">
        <f>"200018518"</f>
        <v>200018518</v>
      </c>
      <c r="B23831" t="str">
        <f>"1083064364"</f>
        <v>1083064364</v>
      </c>
      <c r="C23831" t="str">
        <f>"363LP0222X"</f>
        <v>363LP0222X</v>
      </c>
      <c r="D23831" t="str">
        <f>"MORGAN                   JESSICA                  "</f>
        <v xml:space="preserve">MORGAN                   JESSICA                  </v>
      </c>
      <c r="E23831" t="str">
        <f>"MEMPHIS                   "</f>
        <v xml:space="preserve">MEMPHIS                   </v>
      </c>
      <c r="F23831" t="str">
        <f t="shared" si="656"/>
        <v>TN</v>
      </c>
    </row>
    <row r="23832" spans="1:6" x14ac:dyDescent="0.25">
      <c r="A23832" t="str">
        <f>"200018527"</f>
        <v>200018527</v>
      </c>
      <c r="B23832" t="str">
        <f>"1356630644"</f>
        <v>1356630644</v>
      </c>
      <c r="C23832" t="str">
        <f>"2080P0207X"</f>
        <v>2080P0207X</v>
      </c>
      <c r="D23832" t="str">
        <f>"BJORNARD                 KARI         L           "</f>
        <v xml:space="preserve">BJORNARD                 KARI         L           </v>
      </c>
      <c r="E23832" t="str">
        <f>"MEMPHIS                   "</f>
        <v xml:space="preserve">MEMPHIS                   </v>
      </c>
      <c r="F23832" t="str">
        <f t="shared" si="656"/>
        <v>TN</v>
      </c>
    </row>
    <row r="23833" spans="1:6" x14ac:dyDescent="0.25">
      <c r="A23833" t="str">
        <f>"200018530"</f>
        <v>200018530</v>
      </c>
      <c r="B23833" t="str">
        <f>"1063988996"</f>
        <v>1063988996</v>
      </c>
      <c r="C23833" t="str">
        <f>"363LF0000X"</f>
        <v>363LF0000X</v>
      </c>
      <c r="D23833" t="str">
        <f>"MCCAFFREY                NOUR                     "</f>
        <v xml:space="preserve">MCCAFFREY                NOUR                     </v>
      </c>
      <c r="E23833" t="str">
        <f>"MEMPHIS                   "</f>
        <v xml:space="preserve">MEMPHIS                   </v>
      </c>
      <c r="F23833" t="str">
        <f t="shared" si="656"/>
        <v>TN</v>
      </c>
    </row>
    <row r="23834" spans="1:6" x14ac:dyDescent="0.25">
      <c r="A23834" t="str">
        <f>"200018533"</f>
        <v>200018533</v>
      </c>
      <c r="B23834" t="str">
        <f>"1134346919"</f>
        <v>1134346919</v>
      </c>
      <c r="C23834" t="str">
        <f>"2080P0206X"</f>
        <v>2080P0206X</v>
      </c>
      <c r="D23834" t="str">
        <f>"BHATT                    RIHA                     "</f>
        <v xml:space="preserve">BHATT                    RIHA                     </v>
      </c>
      <c r="E23834" t="str">
        <f>"NASHVILLE                 "</f>
        <v xml:space="preserve">NASHVILLE                 </v>
      </c>
      <c r="F23834" t="str">
        <f t="shared" si="656"/>
        <v>TN</v>
      </c>
    </row>
    <row r="23835" spans="1:6" x14ac:dyDescent="0.25">
      <c r="A23835" t="str">
        <f>"200018539"</f>
        <v>200018539</v>
      </c>
      <c r="B23835" t="str">
        <f>"1801634589"</f>
        <v>1801634589</v>
      </c>
      <c r="C23835" t="str">
        <f>"363LF0000X"</f>
        <v>363LF0000X</v>
      </c>
      <c r="D23835" t="str">
        <f>"FUGLER                   BEVERLY                  "</f>
        <v xml:space="preserve">FUGLER                   BEVERLY                  </v>
      </c>
      <c r="E23835" t="str">
        <f>"MEMPHIS                   "</f>
        <v xml:space="preserve">MEMPHIS                   </v>
      </c>
      <c r="F23835" t="str">
        <f t="shared" si="656"/>
        <v>TN</v>
      </c>
    </row>
    <row r="23836" spans="1:6" x14ac:dyDescent="0.25">
      <c r="A23836" t="str">
        <f>"200018543"</f>
        <v>200018543</v>
      </c>
      <c r="B23836" t="str">
        <f>"1457795239"</f>
        <v>1457795239</v>
      </c>
      <c r="C23836" t="str">
        <f>"207RH0003X"</f>
        <v>207RH0003X</v>
      </c>
      <c r="D23836" t="str">
        <f>"REID                     SONYA                    "</f>
        <v xml:space="preserve">REID                     SONYA                    </v>
      </c>
      <c r="E23836" t="str">
        <f>"NASHVILLE                 "</f>
        <v xml:space="preserve">NASHVILLE                 </v>
      </c>
      <c r="F23836" t="str">
        <f t="shared" si="656"/>
        <v>TN</v>
      </c>
    </row>
    <row r="23837" spans="1:6" x14ac:dyDescent="0.25">
      <c r="A23837" t="str">
        <f>"200018549"</f>
        <v>200018549</v>
      </c>
      <c r="B23837" t="str">
        <f>"1871167338"</f>
        <v>1871167338</v>
      </c>
      <c r="C23837" t="str">
        <f>"363LF0000X"</f>
        <v>363LF0000X</v>
      </c>
      <c r="D23837" t="str">
        <f>"HIGGINS                  DARCEL                   "</f>
        <v xml:space="preserve">HIGGINS                  DARCEL                   </v>
      </c>
      <c r="E23837" t="str">
        <f t="shared" ref="E23837:E23846" si="658">"MEMPHIS                   "</f>
        <v xml:space="preserve">MEMPHIS                   </v>
      </c>
      <c r="F23837" t="str">
        <f t="shared" si="656"/>
        <v>TN</v>
      </c>
    </row>
    <row r="23838" spans="1:6" x14ac:dyDescent="0.25">
      <c r="A23838" t="str">
        <f>"200018551"</f>
        <v>200018551</v>
      </c>
      <c r="B23838" t="str">
        <f>"1225750771"</f>
        <v>1225750771</v>
      </c>
      <c r="C23838" t="str">
        <f>"363LP0200X"</f>
        <v>363LP0200X</v>
      </c>
      <c r="D23838" t="str">
        <f>"ANDERSON                 KATHERINE                "</f>
        <v xml:space="preserve">ANDERSON                 KATHERINE                </v>
      </c>
      <c r="E23838" t="str">
        <f t="shared" si="658"/>
        <v xml:space="preserve">MEMPHIS                   </v>
      </c>
      <c r="F23838" t="str">
        <f t="shared" si="656"/>
        <v>TN</v>
      </c>
    </row>
    <row r="23839" spans="1:6" x14ac:dyDescent="0.25">
      <c r="A23839" t="str">
        <f>"200018570"</f>
        <v>200018570</v>
      </c>
      <c r="B23839" t="str">
        <f>"1750510293"</f>
        <v>1750510293</v>
      </c>
      <c r="C23839" t="str">
        <f>"2080P0214X"</f>
        <v>2080P0214X</v>
      </c>
      <c r="D23839" t="str">
        <f>"HOTHI                    JASPAL                   "</f>
        <v xml:space="preserve">HOTHI                    JASPAL                   </v>
      </c>
      <c r="E23839" t="str">
        <f t="shared" si="658"/>
        <v xml:space="preserve">MEMPHIS                   </v>
      </c>
      <c r="F23839" t="str">
        <f t="shared" si="656"/>
        <v>TN</v>
      </c>
    </row>
    <row r="23840" spans="1:6" x14ac:dyDescent="0.25">
      <c r="A23840" t="str">
        <f>"200018606"</f>
        <v>200018606</v>
      </c>
      <c r="B23840" t="str">
        <f>"1881457323"</f>
        <v>1881457323</v>
      </c>
      <c r="C23840" t="str">
        <f>"208000000X"</f>
        <v>208000000X</v>
      </c>
      <c r="D23840" t="str">
        <f>"BASS                     MARY                     "</f>
        <v xml:space="preserve">BASS                     MARY                     </v>
      </c>
      <c r="E23840" t="str">
        <f t="shared" si="658"/>
        <v xml:space="preserve">MEMPHIS                   </v>
      </c>
      <c r="F23840" t="str">
        <f t="shared" si="656"/>
        <v>TN</v>
      </c>
    </row>
    <row r="23841" spans="1:6" x14ac:dyDescent="0.25">
      <c r="A23841" t="str">
        <f>"200018612"</f>
        <v>200018612</v>
      </c>
      <c r="B23841" t="str">
        <f>"1205184819"</f>
        <v>1205184819</v>
      </c>
      <c r="C23841" t="str">
        <f>"367500000X"</f>
        <v>367500000X</v>
      </c>
      <c r="D23841" t="str">
        <f>"SMITH                    JOSHUA                   "</f>
        <v xml:space="preserve">SMITH                    JOSHUA                   </v>
      </c>
      <c r="E23841" t="str">
        <f t="shared" si="658"/>
        <v xml:space="preserve">MEMPHIS                   </v>
      </c>
      <c r="F23841" t="str">
        <f t="shared" si="656"/>
        <v>TN</v>
      </c>
    </row>
    <row r="23842" spans="1:6" x14ac:dyDescent="0.25">
      <c r="A23842" t="str">
        <f>"200018613"</f>
        <v>200018613</v>
      </c>
      <c r="B23842" t="str">
        <f>"1639973472"</f>
        <v>1639973472</v>
      </c>
      <c r="C23842" t="str">
        <f>"207P00000X"</f>
        <v>207P00000X</v>
      </c>
      <c r="D23842" t="str">
        <f>"CHANDLER                 SEARS                    "</f>
        <v xml:space="preserve">CHANDLER                 SEARS                    </v>
      </c>
      <c r="E23842" t="str">
        <f t="shared" si="658"/>
        <v xml:space="preserve">MEMPHIS                   </v>
      </c>
      <c r="F23842" t="str">
        <f t="shared" si="656"/>
        <v>TN</v>
      </c>
    </row>
    <row r="23843" spans="1:6" x14ac:dyDescent="0.25">
      <c r="A23843" t="str">
        <f>"200018620"</f>
        <v>200018620</v>
      </c>
      <c r="B23843" t="str">
        <f>"1376077149"</f>
        <v>1376077149</v>
      </c>
      <c r="C23843" t="str">
        <f>"367500000X"</f>
        <v>367500000X</v>
      </c>
      <c r="D23843" t="str">
        <f>"HERNANDEZ                AMANDA       A           "</f>
        <v xml:space="preserve">HERNANDEZ                AMANDA       A           </v>
      </c>
      <c r="E23843" t="str">
        <f t="shared" si="658"/>
        <v xml:space="preserve">MEMPHIS                   </v>
      </c>
      <c r="F23843" t="str">
        <f t="shared" si="656"/>
        <v>TN</v>
      </c>
    </row>
    <row r="23844" spans="1:6" x14ac:dyDescent="0.25">
      <c r="A23844" t="str">
        <f>"200018628"</f>
        <v>200018628</v>
      </c>
      <c r="B23844" t="str">
        <f>"1619761590"</f>
        <v>1619761590</v>
      </c>
      <c r="C23844" t="str">
        <f>"207P00000X"</f>
        <v>207P00000X</v>
      </c>
      <c r="D23844" t="str">
        <f>"FRIEDMAN                 NATHAN                   "</f>
        <v xml:space="preserve">FRIEDMAN                 NATHAN                   </v>
      </c>
      <c r="E23844" t="str">
        <f t="shared" si="658"/>
        <v xml:space="preserve">MEMPHIS                   </v>
      </c>
      <c r="F23844" t="str">
        <f t="shared" si="656"/>
        <v>TN</v>
      </c>
    </row>
    <row r="23845" spans="1:6" x14ac:dyDescent="0.25">
      <c r="A23845" t="str">
        <f>"200018629"</f>
        <v>200018629</v>
      </c>
      <c r="B23845" t="str">
        <f>"1871120964"</f>
        <v>1871120964</v>
      </c>
      <c r="C23845" t="str">
        <f>"2080S0012X"</f>
        <v>2080S0012X</v>
      </c>
      <c r="D23845" t="str">
        <f>"HUSSAIN                  SHAHNOOR                 "</f>
        <v xml:space="preserve">HUSSAIN                  SHAHNOOR                 </v>
      </c>
      <c r="E23845" t="str">
        <f t="shared" si="658"/>
        <v xml:space="preserve">MEMPHIS                   </v>
      </c>
      <c r="F23845" t="str">
        <f t="shared" si="656"/>
        <v>TN</v>
      </c>
    </row>
    <row r="23846" spans="1:6" x14ac:dyDescent="0.25">
      <c r="A23846" t="str">
        <f>"200018642"</f>
        <v>200018642</v>
      </c>
      <c r="B23846" t="str">
        <f>"1467764381"</f>
        <v>1467764381</v>
      </c>
      <c r="C23846" t="str">
        <f>"207R00000X"</f>
        <v>207R00000X</v>
      </c>
      <c r="D23846" t="str">
        <f>"ELIE                     CHECO HEINSENJ           "</f>
        <v xml:space="preserve">ELIE                     CHECO HEINSENJ           </v>
      </c>
      <c r="E23846" t="str">
        <f t="shared" si="658"/>
        <v xml:space="preserve">MEMPHIS                   </v>
      </c>
      <c r="F23846" t="str">
        <f t="shared" si="656"/>
        <v>TN</v>
      </c>
    </row>
    <row r="23847" spans="1:6" x14ac:dyDescent="0.25">
      <c r="A23847" t="str">
        <f>"200018643"</f>
        <v>200018643</v>
      </c>
      <c r="B23847" t="str">
        <f>"1063778231"</f>
        <v>1063778231</v>
      </c>
      <c r="C23847" t="str">
        <f>"207RP1001X"</f>
        <v>207RP1001X</v>
      </c>
      <c r="D23847" t="str">
        <f>"HEWLETT                  JUSTIN                   "</f>
        <v xml:space="preserve">HEWLETT                  JUSTIN                   </v>
      </c>
      <c r="E23847" t="str">
        <f>"NASHVILLE                 "</f>
        <v xml:space="preserve">NASHVILLE                 </v>
      </c>
      <c r="F23847" t="str">
        <f t="shared" si="656"/>
        <v>TN</v>
      </c>
    </row>
    <row r="23848" spans="1:6" x14ac:dyDescent="0.25">
      <c r="A23848" t="str">
        <f>"200018650"</f>
        <v>200018650</v>
      </c>
      <c r="B23848" t="str">
        <f>"1487746897"</f>
        <v>1487746897</v>
      </c>
      <c r="C23848" t="str">
        <f>"208000000X"</f>
        <v>208000000X</v>
      </c>
      <c r="D23848" t="str">
        <f>"PLEMMONS                 GREGORY                  "</f>
        <v xml:space="preserve">PLEMMONS                 GREGORY                  </v>
      </c>
      <c r="E23848" t="str">
        <f>"NASHVILLE                 "</f>
        <v xml:space="preserve">NASHVILLE                 </v>
      </c>
      <c r="F23848" t="str">
        <f t="shared" si="656"/>
        <v>TN</v>
      </c>
    </row>
    <row r="23849" spans="1:6" x14ac:dyDescent="0.25">
      <c r="A23849" t="str">
        <f>"200018657"</f>
        <v>200018657</v>
      </c>
      <c r="B23849" t="str">
        <f>"1043048200"</f>
        <v>1043048200</v>
      </c>
      <c r="C23849" t="str">
        <f>"363LG0600X"</f>
        <v>363LG0600X</v>
      </c>
      <c r="D23849" t="str">
        <f>"TERRY                    PAMALA                   "</f>
        <v xml:space="preserve">TERRY                    PAMALA                   </v>
      </c>
      <c r="E23849" t="str">
        <f>"MEMPHIS                   "</f>
        <v xml:space="preserve">MEMPHIS                   </v>
      </c>
      <c r="F23849" t="str">
        <f t="shared" si="656"/>
        <v>TN</v>
      </c>
    </row>
    <row r="23850" spans="1:6" x14ac:dyDescent="0.25">
      <c r="A23850" t="str">
        <f>"200018665"</f>
        <v>200018665</v>
      </c>
      <c r="B23850" t="str">
        <f>"1376787101"</f>
        <v>1376787101</v>
      </c>
      <c r="C23850" t="str">
        <f>"2086S0120X"</f>
        <v>2086S0120X</v>
      </c>
      <c r="D23850" t="str">
        <f>"LOPEZ                    MONICA                   "</f>
        <v xml:space="preserve">LOPEZ                    MONICA                   </v>
      </c>
      <c r="E23850" t="str">
        <f>"NASHVILLE                 "</f>
        <v xml:space="preserve">NASHVILLE                 </v>
      </c>
      <c r="F23850" t="str">
        <f t="shared" si="656"/>
        <v>TN</v>
      </c>
    </row>
    <row r="23851" spans="1:6" x14ac:dyDescent="0.25">
      <c r="A23851" t="str">
        <f>"200018682"</f>
        <v>200018682</v>
      </c>
      <c r="B23851" t="str">
        <f>"1104320019"</f>
        <v>1104320019</v>
      </c>
      <c r="C23851" t="str">
        <f>"207P00000X"</f>
        <v>207P00000X</v>
      </c>
      <c r="D23851" t="str">
        <f>"HASBUN AVALOS            OSWALDO                  "</f>
        <v xml:space="preserve">HASBUN AVALOS            OSWALDO                  </v>
      </c>
      <c r="E23851" t="str">
        <f t="shared" ref="E23851:E23859" si="659">"MEMPHIS                   "</f>
        <v xml:space="preserve">MEMPHIS                   </v>
      </c>
      <c r="F23851" t="str">
        <f t="shared" si="656"/>
        <v>TN</v>
      </c>
    </row>
    <row r="23852" spans="1:6" x14ac:dyDescent="0.25">
      <c r="A23852" t="str">
        <f>"200018684"</f>
        <v>200018684</v>
      </c>
      <c r="B23852" t="str">
        <f>"1285330183"</f>
        <v>1285330183</v>
      </c>
      <c r="C23852" t="str">
        <f>"363L00000X"</f>
        <v>363L00000X</v>
      </c>
      <c r="D23852" t="str">
        <f>"BOX                      MACKENZIE                "</f>
        <v xml:space="preserve">BOX                      MACKENZIE                </v>
      </c>
      <c r="E23852" t="str">
        <f t="shared" si="659"/>
        <v xml:space="preserve">MEMPHIS                   </v>
      </c>
      <c r="F23852" t="str">
        <f t="shared" si="656"/>
        <v>TN</v>
      </c>
    </row>
    <row r="23853" spans="1:6" x14ac:dyDescent="0.25">
      <c r="A23853" t="str">
        <f>"200018720"</f>
        <v>200018720</v>
      </c>
      <c r="B23853" t="str">
        <f>"1275162380"</f>
        <v>1275162380</v>
      </c>
      <c r="C23853" t="str">
        <f>"207R00000X"</f>
        <v>207R00000X</v>
      </c>
      <c r="D23853" t="str">
        <f>"CALLICOTT                WILLIAM      C           "</f>
        <v xml:space="preserve">CALLICOTT                WILLIAM      C           </v>
      </c>
      <c r="E23853" t="str">
        <f t="shared" si="659"/>
        <v xml:space="preserve">MEMPHIS                   </v>
      </c>
      <c r="F23853" t="str">
        <f t="shared" si="656"/>
        <v>TN</v>
      </c>
    </row>
    <row r="23854" spans="1:6" x14ac:dyDescent="0.25">
      <c r="A23854" t="str">
        <f>"200018721"</f>
        <v>200018721</v>
      </c>
      <c r="B23854" t="str">
        <f>"1578653044"</f>
        <v>1578653044</v>
      </c>
      <c r="C23854" t="str">
        <f>"207L00000X"</f>
        <v>207L00000X</v>
      </c>
      <c r="D23854" t="str">
        <f>"GENDZEL                  LEONARDO                 "</f>
        <v xml:space="preserve">GENDZEL                  LEONARDO                 </v>
      </c>
      <c r="E23854" t="str">
        <f t="shared" si="659"/>
        <v xml:space="preserve">MEMPHIS                   </v>
      </c>
      <c r="F23854" t="str">
        <f t="shared" si="656"/>
        <v>TN</v>
      </c>
    </row>
    <row r="23855" spans="1:6" x14ac:dyDescent="0.25">
      <c r="A23855" t="str">
        <f>"200018722"</f>
        <v>200018722</v>
      </c>
      <c r="B23855" t="str">
        <f>"1023538279"</f>
        <v>1023538279</v>
      </c>
      <c r="C23855" t="str">
        <f>"207R00000X"</f>
        <v>207R00000X</v>
      </c>
      <c r="D23855" t="str">
        <f>"MASSON                   SARBJIT      S           "</f>
        <v xml:space="preserve">MASSON                   SARBJIT      S           </v>
      </c>
      <c r="E23855" t="str">
        <f t="shared" si="659"/>
        <v xml:space="preserve">MEMPHIS                   </v>
      </c>
      <c r="F23855" t="str">
        <f t="shared" si="656"/>
        <v>TN</v>
      </c>
    </row>
    <row r="23856" spans="1:6" x14ac:dyDescent="0.25">
      <c r="A23856" t="str">
        <f>"200018734"</f>
        <v>200018734</v>
      </c>
      <c r="B23856" t="str">
        <f>"1306189857"</f>
        <v>1306189857</v>
      </c>
      <c r="C23856" t="str">
        <f>"2086S0102X"</f>
        <v>2086S0102X</v>
      </c>
      <c r="D23856" t="str">
        <f>"LENART                   EMILY                    "</f>
        <v xml:space="preserve">LENART                   EMILY                    </v>
      </c>
      <c r="E23856" t="str">
        <f t="shared" si="659"/>
        <v xml:space="preserve">MEMPHIS                   </v>
      </c>
      <c r="F23856" t="str">
        <f t="shared" si="656"/>
        <v>TN</v>
      </c>
    </row>
    <row r="23857" spans="1:6" x14ac:dyDescent="0.25">
      <c r="A23857" t="str">
        <f>"200018755"</f>
        <v>200018755</v>
      </c>
      <c r="B23857" t="str">
        <f>"1841827805"</f>
        <v>1841827805</v>
      </c>
      <c r="C23857" t="str">
        <f>"207R00000X"</f>
        <v>207R00000X</v>
      </c>
      <c r="D23857" t="str">
        <f>"MALIK                    MAIRA                    "</f>
        <v xml:space="preserve">MALIK                    MAIRA                    </v>
      </c>
      <c r="E23857" t="str">
        <f t="shared" si="659"/>
        <v xml:space="preserve">MEMPHIS                   </v>
      </c>
      <c r="F23857" t="str">
        <f t="shared" si="656"/>
        <v>TN</v>
      </c>
    </row>
    <row r="23858" spans="1:6" x14ac:dyDescent="0.25">
      <c r="A23858" t="str">
        <f>"200018776"</f>
        <v>200018776</v>
      </c>
      <c r="B23858" t="str">
        <f>"1497320758"</f>
        <v>1497320758</v>
      </c>
      <c r="C23858" t="str">
        <f>"207R00000X"</f>
        <v>207R00000X</v>
      </c>
      <c r="D23858" t="str">
        <f>"IMRAN                    HIRA                     "</f>
        <v xml:space="preserve">IMRAN                    HIRA                     </v>
      </c>
      <c r="E23858" t="str">
        <f t="shared" si="659"/>
        <v xml:space="preserve">MEMPHIS                   </v>
      </c>
      <c r="F23858" t="str">
        <f t="shared" si="656"/>
        <v>TN</v>
      </c>
    </row>
    <row r="23859" spans="1:6" x14ac:dyDescent="0.25">
      <c r="A23859" t="str">
        <f>"200018782"</f>
        <v>200018782</v>
      </c>
      <c r="B23859" t="str">
        <f>"1306085766"</f>
        <v>1306085766</v>
      </c>
      <c r="C23859" t="str">
        <f>"207L00000X"</f>
        <v>207L00000X</v>
      </c>
      <c r="D23859" t="str">
        <f>"WIDELITZ                 JEFFREY      S           "</f>
        <v xml:space="preserve">WIDELITZ                 JEFFREY      S           </v>
      </c>
      <c r="E23859" t="str">
        <f t="shared" si="659"/>
        <v xml:space="preserve">MEMPHIS                   </v>
      </c>
      <c r="F23859" t="str">
        <f t="shared" si="656"/>
        <v>TN</v>
      </c>
    </row>
    <row r="23860" spans="1:6" x14ac:dyDescent="0.25">
      <c r="A23860" t="str">
        <f>"200018789"</f>
        <v>200018789</v>
      </c>
      <c r="B23860" t="str">
        <f>"1174758296"</f>
        <v>1174758296</v>
      </c>
      <c r="C23860" t="str">
        <f>"208000000X"</f>
        <v>208000000X</v>
      </c>
      <c r="D23860" t="str">
        <f>"RUSSELL                  ALEXANDRA                "</f>
        <v xml:space="preserve">RUSSELL                  ALEXANDRA                </v>
      </c>
      <c r="E23860" t="str">
        <f>"NASHVILLE                 "</f>
        <v xml:space="preserve">NASHVILLE                 </v>
      </c>
      <c r="F23860" t="str">
        <f t="shared" si="656"/>
        <v>TN</v>
      </c>
    </row>
    <row r="23861" spans="1:6" x14ac:dyDescent="0.25">
      <c r="A23861" t="str">
        <f>"200018793"</f>
        <v>200018793</v>
      </c>
      <c r="B23861" t="str">
        <f>"1013396092"</f>
        <v>1013396092</v>
      </c>
      <c r="C23861" t="str">
        <f>"208000000X"</f>
        <v>208000000X</v>
      </c>
      <c r="D23861" t="str">
        <f>"CASSINI                  THOMAS                   "</f>
        <v xml:space="preserve">CASSINI                  THOMAS                   </v>
      </c>
      <c r="E23861" t="str">
        <f>"NASHVILLE                 "</f>
        <v xml:space="preserve">NASHVILLE                 </v>
      </c>
      <c r="F23861" t="str">
        <f t="shared" si="656"/>
        <v>TN</v>
      </c>
    </row>
    <row r="23862" spans="1:6" x14ac:dyDescent="0.25">
      <c r="A23862" t="str">
        <f>"200018803"</f>
        <v>200018803</v>
      </c>
      <c r="B23862" t="str">
        <f>"1194174318"</f>
        <v>1194174318</v>
      </c>
      <c r="C23862" t="str">
        <f>"207P00000X"</f>
        <v>207P00000X</v>
      </c>
      <c r="D23862" t="str">
        <f>"CASATANEDA GUARDERAS     ANA                      "</f>
        <v xml:space="preserve">CASATANEDA GUARDERAS     ANA                      </v>
      </c>
      <c r="E23862" t="str">
        <f>"MEMPHIS                   "</f>
        <v xml:space="preserve">MEMPHIS                   </v>
      </c>
      <c r="F23862" t="str">
        <f t="shared" si="656"/>
        <v>TN</v>
      </c>
    </row>
    <row r="23863" spans="1:6" x14ac:dyDescent="0.25">
      <c r="A23863" t="str">
        <f>"200018812"</f>
        <v>200018812</v>
      </c>
      <c r="B23863" t="str">
        <f>"1629506860"</f>
        <v>1629506860</v>
      </c>
      <c r="C23863" t="str">
        <f>"363A00000X"</f>
        <v>363A00000X</v>
      </c>
      <c r="D23863" t="str">
        <f>"MORGAN                   CHELSEA                  "</f>
        <v xml:space="preserve">MORGAN                   CHELSEA                  </v>
      </c>
      <c r="E23863" t="str">
        <f>"MEMPHIS                   "</f>
        <v xml:space="preserve">MEMPHIS                   </v>
      </c>
      <c r="F23863" t="str">
        <f t="shared" si="656"/>
        <v>TN</v>
      </c>
    </row>
    <row r="23864" spans="1:6" x14ac:dyDescent="0.25">
      <c r="A23864" t="str">
        <f>"200018887"</f>
        <v>200018887</v>
      </c>
      <c r="B23864" t="str">
        <f>"1780278499"</f>
        <v>1780278499</v>
      </c>
      <c r="C23864" t="str">
        <f>"363A00000X"</f>
        <v>363A00000X</v>
      </c>
      <c r="D23864" t="str">
        <f>"ELLIS JR.                ROBERT                   "</f>
        <v xml:space="preserve">ELLIS JR.                ROBERT                   </v>
      </c>
      <c r="E23864" t="str">
        <f>"MEMPHIS                   "</f>
        <v xml:space="preserve">MEMPHIS                   </v>
      </c>
      <c r="F23864" t="str">
        <f t="shared" si="656"/>
        <v>TN</v>
      </c>
    </row>
    <row r="23865" spans="1:6" x14ac:dyDescent="0.25">
      <c r="A23865" t="str">
        <f>"200018904"</f>
        <v>200018904</v>
      </c>
      <c r="B23865" t="str">
        <f>"1700024593"</f>
        <v>1700024593</v>
      </c>
      <c r="C23865" t="str">
        <f>"207L00000X"</f>
        <v>207L00000X</v>
      </c>
      <c r="D23865" t="str">
        <f>"CHOI                     SUNG         W           "</f>
        <v xml:space="preserve">CHOI                     SUNG         W           </v>
      </c>
      <c r="E23865" t="str">
        <f>"MEMPHIS                   "</f>
        <v xml:space="preserve">MEMPHIS                   </v>
      </c>
      <c r="F23865" t="str">
        <f t="shared" si="656"/>
        <v>TN</v>
      </c>
    </row>
    <row r="23866" spans="1:6" x14ac:dyDescent="0.25">
      <c r="A23866" t="str">
        <f>"200018908"</f>
        <v>200018908</v>
      </c>
      <c r="B23866" t="str">
        <f>"1235662412"</f>
        <v>1235662412</v>
      </c>
      <c r="C23866" t="str">
        <f>"2080P0206X"</f>
        <v>2080P0206X</v>
      </c>
      <c r="D23866" t="str">
        <f>"BUENDIA                  MATTHEW                  "</f>
        <v xml:space="preserve">BUENDIA                  MATTHEW                  </v>
      </c>
      <c r="E23866" t="str">
        <f>"NASHVILLE                 "</f>
        <v xml:space="preserve">NASHVILLE                 </v>
      </c>
      <c r="F23866" t="str">
        <f t="shared" si="656"/>
        <v>TN</v>
      </c>
    </row>
    <row r="23867" spans="1:6" x14ac:dyDescent="0.25">
      <c r="A23867" t="str">
        <f>"200018929"</f>
        <v>200018929</v>
      </c>
      <c r="B23867" t="str">
        <f>"1962666420"</f>
        <v>1962666420</v>
      </c>
      <c r="C23867" t="str">
        <f>"2086S0102X"</f>
        <v>2086S0102X</v>
      </c>
      <c r="D23867" t="str">
        <f>"EVANS                    CORY                     "</f>
        <v xml:space="preserve">EVANS                    CORY                     </v>
      </c>
      <c r="E23867" t="str">
        <f>"MEMPHIS                   "</f>
        <v xml:space="preserve">MEMPHIS                   </v>
      </c>
      <c r="F23867" t="str">
        <f t="shared" si="656"/>
        <v>TN</v>
      </c>
    </row>
    <row r="23868" spans="1:6" x14ac:dyDescent="0.25">
      <c r="A23868" t="str">
        <f>"200018952"</f>
        <v>200018952</v>
      </c>
      <c r="B23868" t="str">
        <f>"1710771944"</f>
        <v>1710771944</v>
      </c>
      <c r="C23868" t="str">
        <f>"207P00000X"</f>
        <v>207P00000X</v>
      </c>
      <c r="D23868" t="str">
        <f>"MIDLICK                  DAVID                    "</f>
        <v xml:space="preserve">MIDLICK                  DAVID                    </v>
      </c>
      <c r="E23868" t="str">
        <f>"MEMPHIS                   "</f>
        <v xml:space="preserve">MEMPHIS                   </v>
      </c>
      <c r="F23868" t="str">
        <f t="shared" si="656"/>
        <v>TN</v>
      </c>
    </row>
    <row r="23869" spans="1:6" x14ac:dyDescent="0.25">
      <c r="A23869" t="str">
        <f>"200018977"</f>
        <v>200018977</v>
      </c>
      <c r="B23869" t="str">
        <f>"1396108692"</f>
        <v>1396108692</v>
      </c>
      <c r="C23869" t="str">
        <f>"207T00000X"</f>
        <v>207T00000X</v>
      </c>
      <c r="D23869" t="str">
        <f>"POMERANIEC               ISAAC        J           "</f>
        <v xml:space="preserve">POMERANIEC               ISAAC        J           </v>
      </c>
      <c r="E23869" t="str">
        <f>"MEMPHIS                   "</f>
        <v xml:space="preserve">MEMPHIS                   </v>
      </c>
      <c r="F23869" t="str">
        <f t="shared" si="656"/>
        <v>TN</v>
      </c>
    </row>
    <row r="23870" spans="1:6" x14ac:dyDescent="0.25">
      <c r="A23870" t="str">
        <f>"200018985"</f>
        <v>200018985</v>
      </c>
      <c r="B23870" t="str">
        <f>"1396004099"</f>
        <v>1396004099</v>
      </c>
      <c r="C23870" t="str">
        <f>"207RI0011X"</f>
        <v>207RI0011X</v>
      </c>
      <c r="D23870" t="str">
        <f>"AKANBI                   OLABISI                  "</f>
        <v xml:space="preserve">AKANBI                   OLABISI                  </v>
      </c>
      <c r="E23870" t="str">
        <f>"GERMANTOWN                "</f>
        <v xml:space="preserve">GERMANTOWN                </v>
      </c>
      <c r="F23870" t="str">
        <f t="shared" ref="F23870:F23933" si="660">"TN"</f>
        <v>TN</v>
      </c>
    </row>
    <row r="23871" spans="1:6" x14ac:dyDescent="0.25">
      <c r="A23871" t="str">
        <f>"200018994"</f>
        <v>200018994</v>
      </c>
      <c r="B23871" t="str">
        <f>"1871270504"</f>
        <v>1871270504</v>
      </c>
      <c r="C23871" t="str">
        <f>"363A00000X"</f>
        <v>363A00000X</v>
      </c>
      <c r="D23871" t="str">
        <f>"AKROUK                   RAGHAD                   "</f>
        <v xml:space="preserve">AKROUK                   RAGHAD                   </v>
      </c>
      <c r="E23871" t="str">
        <f>"MEMPHIS                   "</f>
        <v xml:space="preserve">MEMPHIS                   </v>
      </c>
      <c r="F23871" t="str">
        <f t="shared" si="660"/>
        <v>TN</v>
      </c>
    </row>
    <row r="23872" spans="1:6" x14ac:dyDescent="0.25">
      <c r="A23872" t="str">
        <f>"200018997"</f>
        <v>200018997</v>
      </c>
      <c r="B23872" t="str">
        <f>"1275655466"</f>
        <v>1275655466</v>
      </c>
      <c r="C23872" t="str">
        <f>"2080P0207X"</f>
        <v>2080P0207X</v>
      </c>
      <c r="D23872" t="str">
        <f>"FEDERICO                 SARA                     "</f>
        <v xml:space="preserve">FEDERICO                 SARA                     </v>
      </c>
      <c r="E23872" t="str">
        <f>"MEMPHIS                   "</f>
        <v xml:space="preserve">MEMPHIS                   </v>
      </c>
      <c r="F23872" t="str">
        <f t="shared" si="660"/>
        <v>TN</v>
      </c>
    </row>
    <row r="23873" spans="1:6" x14ac:dyDescent="0.25">
      <c r="A23873" t="str">
        <f>"200019016"</f>
        <v>200019016</v>
      </c>
      <c r="B23873" t="str">
        <f>"1326857160"</f>
        <v>1326857160</v>
      </c>
      <c r="C23873" t="str">
        <f>"363LA2100X"</f>
        <v>363LA2100X</v>
      </c>
      <c r="D23873" t="str">
        <f>"BIRCHFIELD               MADELYNE                 "</f>
        <v xml:space="preserve">BIRCHFIELD               MADELYNE                 </v>
      </c>
      <c r="E23873" t="str">
        <f>"GERMANTOWN                "</f>
        <v xml:space="preserve">GERMANTOWN                </v>
      </c>
      <c r="F23873" t="str">
        <f t="shared" si="660"/>
        <v>TN</v>
      </c>
    </row>
    <row r="23874" spans="1:6" x14ac:dyDescent="0.25">
      <c r="A23874" t="str">
        <f>"200019021"</f>
        <v>200019021</v>
      </c>
      <c r="B23874" t="str">
        <f>"1548843642"</f>
        <v>1548843642</v>
      </c>
      <c r="C23874" t="str">
        <f>"207RR0500X"</f>
        <v>207RR0500X</v>
      </c>
      <c r="D23874" t="str">
        <f>"ALI                      HYDER                    "</f>
        <v xml:space="preserve">ALI                      HYDER                    </v>
      </c>
      <c r="E23874" t="str">
        <f t="shared" ref="E23874:E23886" si="661">"MEMPHIS                   "</f>
        <v xml:space="preserve">MEMPHIS                   </v>
      </c>
      <c r="F23874" t="str">
        <f t="shared" si="660"/>
        <v>TN</v>
      </c>
    </row>
    <row r="23875" spans="1:6" x14ac:dyDescent="0.25">
      <c r="A23875" t="str">
        <f>"200019022"</f>
        <v>200019022</v>
      </c>
      <c r="B23875" t="str">
        <f>"1447053558"</f>
        <v>1447053558</v>
      </c>
      <c r="C23875" t="str">
        <f>"207P00000X"</f>
        <v>207P00000X</v>
      </c>
      <c r="D23875" t="str">
        <f>"CROSS                    CINNAMIN     C           "</f>
        <v xml:space="preserve">CROSS                    CINNAMIN     C           </v>
      </c>
      <c r="E23875" t="str">
        <f t="shared" si="661"/>
        <v xml:space="preserve">MEMPHIS                   </v>
      </c>
      <c r="F23875" t="str">
        <f t="shared" si="660"/>
        <v>TN</v>
      </c>
    </row>
    <row r="23876" spans="1:6" x14ac:dyDescent="0.25">
      <c r="A23876" t="str">
        <f>"200019024"</f>
        <v>200019024</v>
      </c>
      <c r="B23876" t="str">
        <f>"1821099839"</f>
        <v>1821099839</v>
      </c>
      <c r="C23876" t="str">
        <f>"207R00000X"</f>
        <v>207R00000X</v>
      </c>
      <c r="D23876" t="str">
        <f>"SANFORD                  MARTHA       H           "</f>
        <v xml:space="preserve">SANFORD                  MARTHA       H           </v>
      </c>
      <c r="E23876" t="str">
        <f t="shared" si="661"/>
        <v xml:space="preserve">MEMPHIS                   </v>
      </c>
      <c r="F23876" t="str">
        <f t="shared" si="660"/>
        <v>TN</v>
      </c>
    </row>
    <row r="23877" spans="1:6" x14ac:dyDescent="0.25">
      <c r="A23877" t="str">
        <f>"200019028"</f>
        <v>200019028</v>
      </c>
      <c r="B23877" t="str">
        <f>"1487231874"</f>
        <v>1487231874</v>
      </c>
      <c r="C23877" t="str">
        <f>"2080P0216X"</f>
        <v>2080P0216X</v>
      </c>
      <c r="D23877" t="str">
        <f>"GERHOLD                  KERSTIN                  "</f>
        <v xml:space="preserve">GERHOLD                  KERSTIN                  </v>
      </c>
      <c r="E23877" t="str">
        <f t="shared" si="661"/>
        <v xml:space="preserve">MEMPHIS                   </v>
      </c>
      <c r="F23877" t="str">
        <f t="shared" si="660"/>
        <v>TN</v>
      </c>
    </row>
    <row r="23878" spans="1:6" x14ac:dyDescent="0.25">
      <c r="A23878" t="str">
        <f>"200019033"</f>
        <v>200019033</v>
      </c>
      <c r="B23878" t="str">
        <f>"1760245328"</f>
        <v>1760245328</v>
      </c>
      <c r="C23878" t="str">
        <f>"208800000X"</f>
        <v>208800000X</v>
      </c>
      <c r="D23878" t="str">
        <f>"DUNN                     ALEXIS       M           "</f>
        <v xml:space="preserve">DUNN                     ALEXIS       M           </v>
      </c>
      <c r="E23878" t="str">
        <f t="shared" si="661"/>
        <v xml:space="preserve">MEMPHIS                   </v>
      </c>
      <c r="F23878" t="str">
        <f t="shared" si="660"/>
        <v>TN</v>
      </c>
    </row>
    <row r="23879" spans="1:6" x14ac:dyDescent="0.25">
      <c r="A23879" t="str">
        <f>"200019034"</f>
        <v>200019034</v>
      </c>
      <c r="B23879" t="str">
        <f>"1760245328"</f>
        <v>1760245328</v>
      </c>
      <c r="C23879" t="str">
        <f>"2088P0231X"</f>
        <v>2088P0231X</v>
      </c>
      <c r="D23879" t="str">
        <f>"DUNN                     ALEXIS       M           "</f>
        <v xml:space="preserve">DUNN                     ALEXIS       M           </v>
      </c>
      <c r="E23879" t="str">
        <f t="shared" si="661"/>
        <v xml:space="preserve">MEMPHIS                   </v>
      </c>
      <c r="F23879" t="str">
        <f t="shared" si="660"/>
        <v>TN</v>
      </c>
    </row>
    <row r="23880" spans="1:6" x14ac:dyDescent="0.25">
      <c r="A23880" t="str">
        <f>"200019035"</f>
        <v>200019035</v>
      </c>
      <c r="B23880" t="str">
        <f>"1811799158"</f>
        <v>1811799158</v>
      </c>
      <c r="C23880" t="str">
        <f>"208000000X"</f>
        <v>208000000X</v>
      </c>
      <c r="D23880" t="str">
        <f>"DOAN                     KEVIN                    "</f>
        <v xml:space="preserve">DOAN                     KEVIN                    </v>
      </c>
      <c r="E23880" t="str">
        <f t="shared" si="661"/>
        <v xml:space="preserve">MEMPHIS                   </v>
      </c>
      <c r="F23880" t="str">
        <f t="shared" si="660"/>
        <v>TN</v>
      </c>
    </row>
    <row r="23881" spans="1:6" x14ac:dyDescent="0.25">
      <c r="A23881" t="str">
        <f>"200019049"</f>
        <v>200019049</v>
      </c>
      <c r="B23881" t="str">
        <f>"1649006008"</f>
        <v>1649006008</v>
      </c>
      <c r="C23881" t="str">
        <f>"363LF0000X"</f>
        <v>363LF0000X</v>
      </c>
      <c r="D23881" t="str">
        <f>"ROBINSON                 AMY                      "</f>
        <v xml:space="preserve">ROBINSON                 AMY                      </v>
      </c>
      <c r="E23881" t="str">
        <f t="shared" si="661"/>
        <v xml:space="preserve">MEMPHIS                   </v>
      </c>
      <c r="F23881" t="str">
        <f t="shared" si="660"/>
        <v>TN</v>
      </c>
    </row>
    <row r="23882" spans="1:6" x14ac:dyDescent="0.25">
      <c r="A23882" t="str">
        <f>"200019058"</f>
        <v>200019058</v>
      </c>
      <c r="B23882" t="str">
        <f>"1770172975"</f>
        <v>1770172975</v>
      </c>
      <c r="C23882" t="str">
        <f>"363A00000X"</f>
        <v>363A00000X</v>
      </c>
      <c r="D23882" t="str">
        <f>"WOOLLEY                  ADAM                     "</f>
        <v xml:space="preserve">WOOLLEY                  ADAM                     </v>
      </c>
      <c r="E23882" t="str">
        <f t="shared" si="661"/>
        <v xml:space="preserve">MEMPHIS                   </v>
      </c>
      <c r="F23882" t="str">
        <f t="shared" si="660"/>
        <v>TN</v>
      </c>
    </row>
    <row r="23883" spans="1:6" x14ac:dyDescent="0.25">
      <c r="A23883" t="str">
        <f>"200019071"</f>
        <v>200019071</v>
      </c>
      <c r="B23883" t="str">
        <f>"1891772570"</f>
        <v>1891772570</v>
      </c>
      <c r="C23883" t="str">
        <f>"363LP0200X"</f>
        <v>363LP0200X</v>
      </c>
      <c r="D23883" t="str">
        <f>"PRITCHARD                MICHELE                  "</f>
        <v xml:space="preserve">PRITCHARD                MICHELE                  </v>
      </c>
      <c r="E23883" t="str">
        <f t="shared" si="661"/>
        <v xml:space="preserve">MEMPHIS                   </v>
      </c>
      <c r="F23883" t="str">
        <f t="shared" si="660"/>
        <v>TN</v>
      </c>
    </row>
    <row r="23884" spans="1:6" x14ac:dyDescent="0.25">
      <c r="A23884" t="str">
        <f>"200019090"</f>
        <v>200019090</v>
      </c>
      <c r="B23884" t="str">
        <f>"1659371102"</f>
        <v>1659371102</v>
      </c>
      <c r="C23884" t="str">
        <f>"207L00000X"</f>
        <v>207L00000X</v>
      </c>
      <c r="D23884" t="str">
        <f>"GRIGORE                  ALINA                    "</f>
        <v xml:space="preserve">GRIGORE                  ALINA                    </v>
      </c>
      <c r="E23884" t="str">
        <f t="shared" si="661"/>
        <v xml:space="preserve">MEMPHIS                   </v>
      </c>
      <c r="F23884" t="str">
        <f t="shared" si="660"/>
        <v>TN</v>
      </c>
    </row>
    <row r="23885" spans="1:6" x14ac:dyDescent="0.25">
      <c r="A23885" t="str">
        <f>"200019092"</f>
        <v>200019092</v>
      </c>
      <c r="B23885" t="str">
        <f>"1184374803"</f>
        <v>1184374803</v>
      </c>
      <c r="C23885" t="str">
        <f>"207RE0101X"</f>
        <v>207RE0101X</v>
      </c>
      <c r="D23885" t="str">
        <f>"SHEHNAZ                  SARAH TAYYAB             "</f>
        <v xml:space="preserve">SHEHNAZ                  SARAH TAYYAB             </v>
      </c>
      <c r="E23885" t="str">
        <f t="shared" si="661"/>
        <v xml:space="preserve">MEMPHIS                   </v>
      </c>
      <c r="F23885" t="str">
        <f t="shared" si="660"/>
        <v>TN</v>
      </c>
    </row>
    <row r="23886" spans="1:6" x14ac:dyDescent="0.25">
      <c r="A23886" t="str">
        <f>"200019111"</f>
        <v>200019111</v>
      </c>
      <c r="B23886" t="str">
        <f>"1992202899"</f>
        <v>1992202899</v>
      </c>
      <c r="C23886" t="str">
        <f>"207RN0300X"</f>
        <v>207RN0300X</v>
      </c>
      <c r="D23886" t="str">
        <f>"VATANAPRADITH            ATHIP                    "</f>
        <v xml:space="preserve">VATANAPRADITH            ATHIP                    </v>
      </c>
      <c r="E23886" t="str">
        <f t="shared" si="661"/>
        <v xml:space="preserve">MEMPHIS                   </v>
      </c>
      <c r="F23886" t="str">
        <f t="shared" si="660"/>
        <v>TN</v>
      </c>
    </row>
    <row r="23887" spans="1:6" x14ac:dyDescent="0.25">
      <c r="A23887" t="str">
        <f>"200019126"</f>
        <v>200019126</v>
      </c>
      <c r="B23887" t="str">
        <f>"1497204960"</f>
        <v>1497204960</v>
      </c>
      <c r="C23887" t="str">
        <f>"363LA2100X"</f>
        <v>363LA2100X</v>
      </c>
      <c r="D23887" t="str">
        <f>"KELLY                    HALLIE       R           "</f>
        <v xml:space="preserve">KELLY                    HALLIE       R           </v>
      </c>
      <c r="E23887" t="str">
        <f>"GERMANTOWN                "</f>
        <v xml:space="preserve">GERMANTOWN                </v>
      </c>
      <c r="F23887" t="str">
        <f t="shared" si="660"/>
        <v>TN</v>
      </c>
    </row>
    <row r="23888" spans="1:6" x14ac:dyDescent="0.25">
      <c r="A23888" t="str">
        <f>"200019134"</f>
        <v>200019134</v>
      </c>
      <c r="B23888" t="str">
        <f>"1003887449"</f>
        <v>1003887449</v>
      </c>
      <c r="C23888" t="str">
        <f>"2086S0129X"</f>
        <v>2086S0129X</v>
      </c>
      <c r="D23888" t="str">
        <f>"PANNETON                 JEAN                     "</f>
        <v xml:space="preserve">PANNETON                 JEAN                     </v>
      </c>
      <c r="E23888" t="str">
        <f>"MEMPHIS                   "</f>
        <v xml:space="preserve">MEMPHIS                   </v>
      </c>
      <c r="F23888" t="str">
        <f t="shared" si="660"/>
        <v>TN</v>
      </c>
    </row>
    <row r="23889" spans="1:6" x14ac:dyDescent="0.25">
      <c r="A23889" t="str">
        <f>"200019168"</f>
        <v>200019168</v>
      </c>
      <c r="B23889" t="str">
        <f>"1528529476"</f>
        <v>1528529476</v>
      </c>
      <c r="C23889" t="str">
        <f>"363L00000X"</f>
        <v>363L00000X</v>
      </c>
      <c r="D23889" t="str">
        <f>"LOWRY                    KAYLAN                   "</f>
        <v xml:space="preserve">LOWRY                    KAYLAN                   </v>
      </c>
      <c r="E23889" t="str">
        <f>"MEMPHIS                   "</f>
        <v xml:space="preserve">MEMPHIS                   </v>
      </c>
      <c r="F23889" t="str">
        <f t="shared" si="660"/>
        <v>TN</v>
      </c>
    </row>
    <row r="23890" spans="1:6" x14ac:dyDescent="0.25">
      <c r="A23890" t="str">
        <f>"200019230"</f>
        <v>200019230</v>
      </c>
      <c r="B23890" t="str">
        <f>"1699354712"</f>
        <v>1699354712</v>
      </c>
      <c r="C23890" t="str">
        <f>"207P00000X"</f>
        <v>207P00000X</v>
      </c>
      <c r="D23890" t="str">
        <f>"CARRILLO ALCALA          OSCAR                    "</f>
        <v xml:space="preserve">CARRILLO ALCALA          OSCAR                    </v>
      </c>
      <c r="E23890" t="str">
        <f>"ARLINGTON                 "</f>
        <v xml:space="preserve">ARLINGTON                 </v>
      </c>
      <c r="F23890" t="str">
        <f t="shared" si="660"/>
        <v>TN</v>
      </c>
    </row>
    <row r="23891" spans="1:6" x14ac:dyDescent="0.25">
      <c r="A23891" t="str">
        <f>"200019238"</f>
        <v>200019238</v>
      </c>
      <c r="B23891" t="str">
        <f>"1083963656"</f>
        <v>1083963656</v>
      </c>
      <c r="C23891" t="str">
        <f>"367500000X"</f>
        <v>367500000X</v>
      </c>
      <c r="D23891" t="str">
        <f>"MACKEY                   RANDOL                   "</f>
        <v xml:space="preserve">MACKEY                   RANDOL                   </v>
      </c>
      <c r="E23891" t="str">
        <f>"GERMANTOWN                "</f>
        <v xml:space="preserve">GERMANTOWN                </v>
      </c>
      <c r="F23891" t="str">
        <f t="shared" si="660"/>
        <v>TN</v>
      </c>
    </row>
    <row r="23892" spans="1:6" x14ac:dyDescent="0.25">
      <c r="A23892" t="str">
        <f>"200019248"</f>
        <v>200019248</v>
      </c>
      <c r="B23892" t="str">
        <f>"1275648461"</f>
        <v>1275648461</v>
      </c>
      <c r="C23892" t="str">
        <f>"207L00000X"</f>
        <v>207L00000X</v>
      </c>
      <c r="D23892" t="str">
        <f>"EVANS                    JOY          I           "</f>
        <v xml:space="preserve">EVANS                    JOY          I           </v>
      </c>
      <c r="E23892" t="str">
        <f t="shared" ref="E23892:E23897" si="662">"MEMPHIS                   "</f>
        <v xml:space="preserve">MEMPHIS                   </v>
      </c>
      <c r="F23892" t="str">
        <f t="shared" si="660"/>
        <v>TN</v>
      </c>
    </row>
    <row r="23893" spans="1:6" x14ac:dyDescent="0.25">
      <c r="A23893" t="str">
        <f>"200019257"</f>
        <v>200019257</v>
      </c>
      <c r="B23893" t="str">
        <f>"1396556999"</f>
        <v>1396556999</v>
      </c>
      <c r="C23893" t="str">
        <f>"363LF0000X"</f>
        <v>363LF0000X</v>
      </c>
      <c r="D23893" t="str">
        <f>"BARNETT                  ANNA                     "</f>
        <v xml:space="preserve">BARNETT                  ANNA                     </v>
      </c>
      <c r="E23893" t="str">
        <f t="shared" si="662"/>
        <v xml:space="preserve">MEMPHIS                   </v>
      </c>
      <c r="F23893" t="str">
        <f t="shared" si="660"/>
        <v>TN</v>
      </c>
    </row>
    <row r="23894" spans="1:6" x14ac:dyDescent="0.25">
      <c r="A23894" t="str">
        <f>"200019272"</f>
        <v>200019272</v>
      </c>
      <c r="B23894" t="str">
        <f>"1386824290"</f>
        <v>1386824290</v>
      </c>
      <c r="C23894" t="str">
        <f>"2080P0202X"</f>
        <v>2080P0202X</v>
      </c>
      <c r="D23894" t="str">
        <f>"YOHANNAN                 THOMAS                   "</f>
        <v xml:space="preserve">YOHANNAN                 THOMAS                   </v>
      </c>
      <c r="E23894" t="str">
        <f t="shared" si="662"/>
        <v xml:space="preserve">MEMPHIS                   </v>
      </c>
      <c r="F23894" t="str">
        <f t="shared" si="660"/>
        <v>TN</v>
      </c>
    </row>
    <row r="23895" spans="1:6" x14ac:dyDescent="0.25">
      <c r="A23895" t="str">
        <f>"200019278"</f>
        <v>200019278</v>
      </c>
      <c r="B23895" t="str">
        <f>"1366294845"</f>
        <v>1366294845</v>
      </c>
      <c r="C23895" t="str">
        <f>"207N00000X"</f>
        <v>207N00000X</v>
      </c>
      <c r="D23895" t="str">
        <f>"FIELDS                   KAITLIN                  "</f>
        <v xml:space="preserve">FIELDS                   KAITLIN                  </v>
      </c>
      <c r="E23895" t="str">
        <f t="shared" si="662"/>
        <v xml:space="preserve">MEMPHIS                   </v>
      </c>
      <c r="F23895" t="str">
        <f t="shared" si="660"/>
        <v>TN</v>
      </c>
    </row>
    <row r="23896" spans="1:6" x14ac:dyDescent="0.25">
      <c r="A23896" t="str">
        <f>"200019279"</f>
        <v>200019279</v>
      </c>
      <c r="B23896" t="str">
        <f>"1992599542"</f>
        <v>1992599542</v>
      </c>
      <c r="C23896" t="str">
        <f>"208000000X"</f>
        <v>208000000X</v>
      </c>
      <c r="D23896" t="str">
        <f>"SCHMIDT                  JENNIFER                 "</f>
        <v xml:space="preserve">SCHMIDT                  JENNIFER                 </v>
      </c>
      <c r="E23896" t="str">
        <f t="shared" si="662"/>
        <v xml:space="preserve">MEMPHIS                   </v>
      </c>
      <c r="F23896" t="str">
        <f t="shared" si="660"/>
        <v>TN</v>
      </c>
    </row>
    <row r="23897" spans="1:6" x14ac:dyDescent="0.25">
      <c r="A23897" t="str">
        <f>"200019289"</f>
        <v>200019289</v>
      </c>
      <c r="B23897" t="str">
        <f>"1194436568"</f>
        <v>1194436568</v>
      </c>
      <c r="C23897" t="str">
        <f>"363A00000X"</f>
        <v>363A00000X</v>
      </c>
      <c r="D23897" t="str">
        <f>"BREITNER                 HANNAH       E           "</f>
        <v xml:space="preserve">BREITNER                 HANNAH       E           </v>
      </c>
      <c r="E23897" t="str">
        <f t="shared" si="662"/>
        <v xml:space="preserve">MEMPHIS                   </v>
      </c>
      <c r="F23897" t="str">
        <f t="shared" si="660"/>
        <v>TN</v>
      </c>
    </row>
    <row r="23898" spans="1:6" x14ac:dyDescent="0.25">
      <c r="A23898" t="str">
        <f>"200019296"</f>
        <v>200019296</v>
      </c>
      <c r="B23898" t="str">
        <f>"1669907325"</f>
        <v>1669907325</v>
      </c>
      <c r="C23898" t="str">
        <f>"207Q00000X"</f>
        <v>207Q00000X</v>
      </c>
      <c r="D23898" t="str">
        <f>"LEE                      STEPHEN      D           "</f>
        <v xml:space="preserve">LEE                      STEPHEN      D           </v>
      </c>
      <c r="E23898" t="str">
        <f>"BARTLETT                  "</f>
        <v xml:space="preserve">BARTLETT                  </v>
      </c>
      <c r="F23898" t="str">
        <f t="shared" si="660"/>
        <v>TN</v>
      </c>
    </row>
    <row r="23899" spans="1:6" x14ac:dyDescent="0.25">
      <c r="A23899" t="str">
        <f>"200019314"</f>
        <v>200019314</v>
      </c>
      <c r="B23899" t="str">
        <f>"1669405759"</f>
        <v>1669405759</v>
      </c>
      <c r="C23899" t="str">
        <f>"207P00000X"</f>
        <v>207P00000X</v>
      </c>
      <c r="D23899" t="str">
        <f>"KAUFMAN                  NESREEN      H           "</f>
        <v xml:space="preserve">KAUFMAN                  NESREEN      H           </v>
      </c>
      <c r="E23899" t="str">
        <f>"COLLIERVILLE              "</f>
        <v xml:space="preserve">COLLIERVILLE              </v>
      </c>
      <c r="F23899" t="str">
        <f t="shared" si="660"/>
        <v>TN</v>
      </c>
    </row>
    <row r="23900" spans="1:6" x14ac:dyDescent="0.25">
      <c r="A23900" t="str">
        <f>"200019320"</f>
        <v>200019320</v>
      </c>
      <c r="B23900" t="str">
        <f>"1710368444"</f>
        <v>1710368444</v>
      </c>
      <c r="C23900" t="str">
        <f>"207RC0200X"</f>
        <v>207RC0200X</v>
      </c>
      <c r="D23900" t="str">
        <f>"HARRIS                   DANNY                    "</f>
        <v xml:space="preserve">HARRIS                   DANNY                    </v>
      </c>
      <c r="E23900" t="str">
        <f t="shared" ref="E23900:E23912" si="663">"MEMPHIS                   "</f>
        <v xml:space="preserve">MEMPHIS                   </v>
      </c>
      <c r="F23900" t="str">
        <f t="shared" si="660"/>
        <v>TN</v>
      </c>
    </row>
    <row r="23901" spans="1:6" x14ac:dyDescent="0.25">
      <c r="A23901" t="str">
        <f>"200019322"</f>
        <v>200019322</v>
      </c>
      <c r="B23901" t="str">
        <f>"1467417246"</f>
        <v>1467417246</v>
      </c>
      <c r="C23901" t="str">
        <f>"207RE0101X"</f>
        <v>207RE0101X</v>
      </c>
      <c r="D23901" t="str">
        <f>"STEINBERG                HELMUT                   "</f>
        <v xml:space="preserve">STEINBERG                HELMUT                   </v>
      </c>
      <c r="E23901" t="str">
        <f t="shared" si="663"/>
        <v xml:space="preserve">MEMPHIS                   </v>
      </c>
      <c r="F23901" t="str">
        <f t="shared" si="660"/>
        <v>TN</v>
      </c>
    </row>
    <row r="23902" spans="1:6" x14ac:dyDescent="0.25">
      <c r="A23902" t="str">
        <f>"200019348"</f>
        <v>200019348</v>
      </c>
      <c r="B23902" t="str">
        <f>"1710583596"</f>
        <v>1710583596</v>
      </c>
      <c r="C23902" t="str">
        <f>"363A00000X"</f>
        <v>363A00000X</v>
      </c>
      <c r="D23902" t="str">
        <f>"TYNER                    RYAN                     "</f>
        <v xml:space="preserve">TYNER                    RYAN                     </v>
      </c>
      <c r="E23902" t="str">
        <f t="shared" si="663"/>
        <v xml:space="preserve">MEMPHIS                   </v>
      </c>
      <c r="F23902" t="str">
        <f t="shared" si="660"/>
        <v>TN</v>
      </c>
    </row>
    <row r="23903" spans="1:6" x14ac:dyDescent="0.25">
      <c r="A23903" t="str">
        <f>"200019363"</f>
        <v>200019363</v>
      </c>
      <c r="B23903" t="str">
        <f>"1841642204"</f>
        <v>1841642204</v>
      </c>
      <c r="C23903" t="str">
        <f>"207RA0000X"</f>
        <v>207RA0000X</v>
      </c>
      <c r="D23903" t="str">
        <f>"JONES                    RAKIYAH                  "</f>
        <v xml:space="preserve">JONES                    RAKIYAH                  </v>
      </c>
      <c r="E23903" t="str">
        <f t="shared" si="663"/>
        <v xml:space="preserve">MEMPHIS                   </v>
      </c>
      <c r="F23903" t="str">
        <f t="shared" si="660"/>
        <v>TN</v>
      </c>
    </row>
    <row r="23904" spans="1:6" x14ac:dyDescent="0.25">
      <c r="A23904" t="str">
        <f>"200019380"</f>
        <v>200019380</v>
      </c>
      <c r="B23904" t="str">
        <f>"1740921352"</f>
        <v>1740921352</v>
      </c>
      <c r="C23904" t="str">
        <f>"2086S0122X"</f>
        <v>2086S0122X</v>
      </c>
      <c r="D23904" t="str">
        <f>"CHOI                     JOON KOO                 "</f>
        <v xml:space="preserve">CHOI                     JOON KOO                 </v>
      </c>
      <c r="E23904" t="str">
        <f t="shared" si="663"/>
        <v xml:space="preserve">MEMPHIS                   </v>
      </c>
      <c r="F23904" t="str">
        <f t="shared" si="660"/>
        <v>TN</v>
      </c>
    </row>
    <row r="23905" spans="1:6" x14ac:dyDescent="0.25">
      <c r="A23905" t="str">
        <f>"200019381"</f>
        <v>200019381</v>
      </c>
      <c r="B23905" t="str">
        <f>"1033176250"</f>
        <v>1033176250</v>
      </c>
      <c r="C23905" t="str">
        <f>"207RN0300X"</f>
        <v>207RN0300X</v>
      </c>
      <c r="D23905" t="str">
        <f>"CANADA                   ROBERT                   "</f>
        <v xml:space="preserve">CANADA                   ROBERT                   </v>
      </c>
      <c r="E23905" t="str">
        <f t="shared" si="663"/>
        <v xml:space="preserve">MEMPHIS                   </v>
      </c>
      <c r="F23905" t="str">
        <f t="shared" si="660"/>
        <v>TN</v>
      </c>
    </row>
    <row r="23906" spans="1:6" x14ac:dyDescent="0.25">
      <c r="A23906" t="str">
        <f>"200019389"</f>
        <v>200019389</v>
      </c>
      <c r="B23906" t="str">
        <f>"1366246985"</f>
        <v>1366246985</v>
      </c>
      <c r="C23906" t="str">
        <f>"207L00000X"</f>
        <v>207L00000X</v>
      </c>
      <c r="D23906" t="str">
        <f>"GRIFFITH                 KATHERINE    S           "</f>
        <v xml:space="preserve">GRIFFITH                 KATHERINE    S           </v>
      </c>
      <c r="E23906" t="str">
        <f t="shared" si="663"/>
        <v xml:space="preserve">MEMPHIS                   </v>
      </c>
      <c r="F23906" t="str">
        <f t="shared" si="660"/>
        <v>TN</v>
      </c>
    </row>
    <row r="23907" spans="1:6" x14ac:dyDescent="0.25">
      <c r="A23907" t="str">
        <f>"200019401"</f>
        <v>200019401</v>
      </c>
      <c r="B23907" t="str">
        <f>"1710290416"</f>
        <v>1710290416</v>
      </c>
      <c r="C23907" t="str">
        <f>"363LF0000X"</f>
        <v>363LF0000X</v>
      </c>
      <c r="D23907" t="str">
        <f>"MOTLOW                   SHAWANDA                 "</f>
        <v xml:space="preserve">MOTLOW                   SHAWANDA                 </v>
      </c>
      <c r="E23907" t="str">
        <f t="shared" si="663"/>
        <v xml:space="preserve">MEMPHIS                   </v>
      </c>
      <c r="F23907" t="str">
        <f t="shared" si="660"/>
        <v>TN</v>
      </c>
    </row>
    <row r="23908" spans="1:6" x14ac:dyDescent="0.25">
      <c r="A23908" t="str">
        <f>"200019414"</f>
        <v>200019414</v>
      </c>
      <c r="B23908" t="str">
        <f>"1346463130"</f>
        <v>1346463130</v>
      </c>
      <c r="C23908" t="str">
        <f>"2080N0001X"</f>
        <v>2080N0001X</v>
      </c>
      <c r="D23908" t="str">
        <f>"ELABIAD                  MOHAMAD                  "</f>
        <v xml:space="preserve">ELABIAD                  MOHAMAD                  </v>
      </c>
      <c r="E23908" t="str">
        <f t="shared" si="663"/>
        <v xml:space="preserve">MEMPHIS                   </v>
      </c>
      <c r="F23908" t="str">
        <f t="shared" si="660"/>
        <v>TN</v>
      </c>
    </row>
    <row r="23909" spans="1:6" x14ac:dyDescent="0.25">
      <c r="A23909" t="str">
        <f>"200019419"</f>
        <v>200019419</v>
      </c>
      <c r="B23909" t="str">
        <f>"1043013345"</f>
        <v>1043013345</v>
      </c>
      <c r="C23909" t="str">
        <f>"208000000X"</f>
        <v>208000000X</v>
      </c>
      <c r="D23909" t="str">
        <f>"MCREYNOLDS               JEANITA                  "</f>
        <v xml:space="preserve">MCREYNOLDS               JEANITA                  </v>
      </c>
      <c r="E23909" t="str">
        <f t="shared" si="663"/>
        <v xml:space="preserve">MEMPHIS                   </v>
      </c>
      <c r="F23909" t="str">
        <f t="shared" si="660"/>
        <v>TN</v>
      </c>
    </row>
    <row r="23910" spans="1:6" x14ac:dyDescent="0.25">
      <c r="A23910" t="str">
        <f>"200019434"</f>
        <v>200019434</v>
      </c>
      <c r="B23910" t="str">
        <f>"1851994651"</f>
        <v>1851994651</v>
      </c>
      <c r="C23910" t="str">
        <f>"208000000X"</f>
        <v>208000000X</v>
      </c>
      <c r="D23910" t="str">
        <f>"DIMAGGIO                 STEPHEN                  "</f>
        <v xml:space="preserve">DIMAGGIO                 STEPHEN                  </v>
      </c>
      <c r="E23910" t="str">
        <f t="shared" si="663"/>
        <v xml:space="preserve">MEMPHIS                   </v>
      </c>
      <c r="F23910" t="str">
        <f t="shared" si="660"/>
        <v>TN</v>
      </c>
    </row>
    <row r="23911" spans="1:6" x14ac:dyDescent="0.25">
      <c r="A23911" t="str">
        <f>"200019450"</f>
        <v>200019450</v>
      </c>
      <c r="B23911" t="str">
        <f>"1972157196"</f>
        <v>1972157196</v>
      </c>
      <c r="C23911" t="str">
        <f>"208000000X"</f>
        <v>208000000X</v>
      </c>
      <c r="D23911" t="str">
        <f>"JOHNSON                  MCKENZIE                 "</f>
        <v xml:space="preserve">JOHNSON                  MCKENZIE                 </v>
      </c>
      <c r="E23911" t="str">
        <f t="shared" si="663"/>
        <v xml:space="preserve">MEMPHIS                   </v>
      </c>
      <c r="F23911" t="str">
        <f t="shared" si="660"/>
        <v>TN</v>
      </c>
    </row>
    <row r="23912" spans="1:6" x14ac:dyDescent="0.25">
      <c r="A23912" t="str">
        <f>"200019451"</f>
        <v>200019451</v>
      </c>
      <c r="B23912" t="str">
        <f>"1659174076"</f>
        <v>1659174076</v>
      </c>
      <c r="C23912" t="str">
        <f>"208000000X"</f>
        <v>208000000X</v>
      </c>
      <c r="D23912" t="str">
        <f>"SPIVEY                   HANNAH                   "</f>
        <v xml:space="preserve">SPIVEY                   HANNAH                   </v>
      </c>
      <c r="E23912" t="str">
        <f t="shared" si="663"/>
        <v xml:space="preserve">MEMPHIS                   </v>
      </c>
      <c r="F23912" t="str">
        <f t="shared" si="660"/>
        <v>TN</v>
      </c>
    </row>
    <row r="23913" spans="1:6" x14ac:dyDescent="0.25">
      <c r="A23913" t="str">
        <f>"200019454"</f>
        <v>200019454</v>
      </c>
      <c r="B23913" t="str">
        <f>"1326493461"</f>
        <v>1326493461</v>
      </c>
      <c r="C23913" t="str">
        <f>"2086S0122X"</f>
        <v>2086S0122X</v>
      </c>
      <c r="D23913" t="str">
        <f>"BHANDARI                 PANAMBUR                 "</f>
        <v xml:space="preserve">BHANDARI                 PANAMBUR                 </v>
      </c>
      <c r="E23913" t="str">
        <f>"NASHVILLE                 "</f>
        <v xml:space="preserve">NASHVILLE                 </v>
      </c>
      <c r="F23913" t="str">
        <f t="shared" si="660"/>
        <v>TN</v>
      </c>
    </row>
    <row r="23914" spans="1:6" x14ac:dyDescent="0.25">
      <c r="A23914" t="str">
        <f>"200019457"</f>
        <v>200019457</v>
      </c>
      <c r="B23914" t="str">
        <f>"1306847918"</f>
        <v>1306847918</v>
      </c>
      <c r="C23914" t="str">
        <f>"207ZP0102X"</f>
        <v>207ZP0102X</v>
      </c>
      <c r="D23914" t="str">
        <f>"JOHNS                    CAMEILA                  "</f>
        <v xml:space="preserve">JOHNS                    CAMEILA                  </v>
      </c>
      <c r="E23914" t="str">
        <f>"MEMPHIS                   "</f>
        <v xml:space="preserve">MEMPHIS                   </v>
      </c>
      <c r="F23914" t="str">
        <f t="shared" si="660"/>
        <v>TN</v>
      </c>
    </row>
    <row r="23915" spans="1:6" x14ac:dyDescent="0.25">
      <c r="A23915" t="str">
        <f>"200019459"</f>
        <v>200019459</v>
      </c>
      <c r="B23915" t="str">
        <f>"1285299537"</f>
        <v>1285299537</v>
      </c>
      <c r="C23915" t="str">
        <f>"207R00000X"</f>
        <v>207R00000X</v>
      </c>
      <c r="D23915" t="str">
        <f>"TRIPLETT                 DAVID        H           "</f>
        <v xml:space="preserve">TRIPLETT                 DAVID        H           </v>
      </c>
      <c r="E23915" t="str">
        <f>"MEMPHIS                   "</f>
        <v xml:space="preserve">MEMPHIS                   </v>
      </c>
      <c r="F23915" t="str">
        <f t="shared" si="660"/>
        <v>TN</v>
      </c>
    </row>
    <row r="23916" spans="1:6" x14ac:dyDescent="0.25">
      <c r="A23916" t="str">
        <f>"200019460"</f>
        <v>200019460</v>
      </c>
      <c r="B23916" t="str">
        <f>"1073514022"</f>
        <v>1073514022</v>
      </c>
      <c r="C23916" t="str">
        <f>"207R00000X"</f>
        <v>207R00000X</v>
      </c>
      <c r="D23916" t="str">
        <f>"MOHAN                    KAMAL                    "</f>
        <v xml:space="preserve">MOHAN                    KAMAL                    </v>
      </c>
      <c r="E23916" t="str">
        <f>"COLLIERVILLE              "</f>
        <v xml:space="preserve">COLLIERVILLE              </v>
      </c>
      <c r="F23916" t="str">
        <f t="shared" si="660"/>
        <v>TN</v>
      </c>
    </row>
    <row r="23917" spans="1:6" x14ac:dyDescent="0.25">
      <c r="A23917" t="str">
        <f>"200019461"</f>
        <v>200019461</v>
      </c>
      <c r="B23917" t="str">
        <f>"1891020871"</f>
        <v>1891020871</v>
      </c>
      <c r="C23917" t="str">
        <f>"207RN0300X"</f>
        <v>207RN0300X</v>
      </c>
      <c r="D23917" t="str">
        <f>"HTIKE                    NAING                    "</f>
        <v xml:space="preserve">HTIKE                    NAING                    </v>
      </c>
      <c r="E23917" t="str">
        <f t="shared" ref="E23917:E23932" si="664">"MEMPHIS                   "</f>
        <v xml:space="preserve">MEMPHIS                   </v>
      </c>
      <c r="F23917" t="str">
        <f t="shared" si="660"/>
        <v>TN</v>
      </c>
    </row>
    <row r="23918" spans="1:6" x14ac:dyDescent="0.25">
      <c r="A23918" t="str">
        <f>"200019464"</f>
        <v>200019464</v>
      </c>
      <c r="B23918" t="str">
        <f>"1871504126"</f>
        <v>1871504126</v>
      </c>
      <c r="C23918" t="str">
        <f>"2086S0129X"</f>
        <v>2086S0129X</v>
      </c>
      <c r="D23918" t="str">
        <f>"MOURSI                   MOHAMMED                 "</f>
        <v xml:space="preserve">MOURSI                   MOHAMMED                 </v>
      </c>
      <c r="E23918" t="str">
        <f t="shared" si="664"/>
        <v xml:space="preserve">MEMPHIS                   </v>
      </c>
      <c r="F23918" t="str">
        <f t="shared" si="660"/>
        <v>TN</v>
      </c>
    </row>
    <row r="23919" spans="1:6" x14ac:dyDescent="0.25">
      <c r="A23919" t="str">
        <f>"200019477"</f>
        <v>200019477</v>
      </c>
      <c r="B23919" t="str">
        <f>"1902329121"</f>
        <v>1902329121</v>
      </c>
      <c r="C23919" t="str">
        <f>"207P00000X"</f>
        <v>207P00000X</v>
      </c>
      <c r="D23919" t="str">
        <f>"SKINNER III, MD          ROBERT                   "</f>
        <v xml:space="preserve">SKINNER III, MD          ROBERT                   </v>
      </c>
      <c r="E23919" t="str">
        <f t="shared" si="664"/>
        <v xml:space="preserve">MEMPHIS                   </v>
      </c>
      <c r="F23919" t="str">
        <f t="shared" si="660"/>
        <v>TN</v>
      </c>
    </row>
    <row r="23920" spans="1:6" x14ac:dyDescent="0.25">
      <c r="A23920" t="str">
        <f>"200019479"</f>
        <v>200019479</v>
      </c>
      <c r="B23920" t="str">
        <f>"1043285943"</f>
        <v>1043285943</v>
      </c>
      <c r="C23920" t="str">
        <f>"207L00000X"</f>
        <v>207L00000X</v>
      </c>
      <c r="D23920" t="str">
        <f>"GAIRHAN                  CHARLES                  "</f>
        <v xml:space="preserve">GAIRHAN                  CHARLES                  </v>
      </c>
      <c r="E23920" t="str">
        <f t="shared" si="664"/>
        <v xml:space="preserve">MEMPHIS                   </v>
      </c>
      <c r="F23920" t="str">
        <f t="shared" si="660"/>
        <v>TN</v>
      </c>
    </row>
    <row r="23921" spans="1:6" x14ac:dyDescent="0.25">
      <c r="A23921" t="str">
        <f>"200019486"</f>
        <v>200019486</v>
      </c>
      <c r="B23921" t="str">
        <f>"1811791809"</f>
        <v>1811791809</v>
      </c>
      <c r="C23921" t="str">
        <f>"2084P0800X"</f>
        <v>2084P0800X</v>
      </c>
      <c r="D23921" t="str">
        <f>"DIEBOLD                  COURTNEY                 "</f>
        <v xml:space="preserve">DIEBOLD                  COURTNEY                 </v>
      </c>
      <c r="E23921" t="str">
        <f t="shared" si="664"/>
        <v xml:space="preserve">MEMPHIS                   </v>
      </c>
      <c r="F23921" t="str">
        <f t="shared" si="660"/>
        <v>TN</v>
      </c>
    </row>
    <row r="23922" spans="1:6" x14ac:dyDescent="0.25">
      <c r="A23922" t="str">
        <f>"200019489"</f>
        <v>200019489</v>
      </c>
      <c r="B23922" t="str">
        <f>"1487232641"</f>
        <v>1487232641</v>
      </c>
      <c r="C23922" t="str">
        <f>"207R00000X"</f>
        <v>207R00000X</v>
      </c>
      <c r="D23922" t="str">
        <f>"PEARSON                  JAMES                    "</f>
        <v xml:space="preserve">PEARSON                  JAMES                    </v>
      </c>
      <c r="E23922" t="str">
        <f t="shared" si="664"/>
        <v xml:space="preserve">MEMPHIS                   </v>
      </c>
      <c r="F23922" t="str">
        <f t="shared" si="660"/>
        <v>TN</v>
      </c>
    </row>
    <row r="23923" spans="1:6" x14ac:dyDescent="0.25">
      <c r="A23923" t="str">
        <f>"200019494"</f>
        <v>200019494</v>
      </c>
      <c r="B23923" t="str">
        <f>"1598569485"</f>
        <v>1598569485</v>
      </c>
      <c r="C23923" t="str">
        <f>"207V00000X"</f>
        <v>207V00000X</v>
      </c>
      <c r="D23923" t="str">
        <f>"NORUZI                   KALEB        A           "</f>
        <v xml:space="preserve">NORUZI                   KALEB        A           </v>
      </c>
      <c r="E23923" t="str">
        <f t="shared" si="664"/>
        <v xml:space="preserve">MEMPHIS                   </v>
      </c>
      <c r="F23923" t="str">
        <f t="shared" si="660"/>
        <v>TN</v>
      </c>
    </row>
    <row r="23924" spans="1:6" x14ac:dyDescent="0.25">
      <c r="A23924" t="str">
        <f>"200019510"</f>
        <v>200019510</v>
      </c>
      <c r="B23924" t="str">
        <f>"1639975923"</f>
        <v>1639975923</v>
      </c>
      <c r="C23924" t="str">
        <f>"363A00000X"</f>
        <v>363A00000X</v>
      </c>
      <c r="D23924" t="str">
        <f>"CARRASCO                 CAROLINE                 "</f>
        <v xml:space="preserve">CARRASCO                 CAROLINE                 </v>
      </c>
      <c r="E23924" t="str">
        <f t="shared" si="664"/>
        <v xml:space="preserve">MEMPHIS                   </v>
      </c>
      <c r="F23924" t="str">
        <f t="shared" si="660"/>
        <v>TN</v>
      </c>
    </row>
    <row r="23925" spans="1:6" x14ac:dyDescent="0.25">
      <c r="A23925" t="str">
        <f>"200019514"</f>
        <v>200019514</v>
      </c>
      <c r="B23925" t="str">
        <f>"1235213331"</f>
        <v>1235213331</v>
      </c>
      <c r="C23925" t="str">
        <f>"207P00000X"</f>
        <v>207P00000X</v>
      </c>
      <c r="D23925" t="str">
        <f>"ORRIS                    MICHAEL                  "</f>
        <v xml:space="preserve">ORRIS                    MICHAEL                  </v>
      </c>
      <c r="E23925" t="str">
        <f t="shared" si="664"/>
        <v xml:space="preserve">MEMPHIS                   </v>
      </c>
      <c r="F23925" t="str">
        <f t="shared" si="660"/>
        <v>TN</v>
      </c>
    </row>
    <row r="23926" spans="1:6" x14ac:dyDescent="0.25">
      <c r="A23926" t="str">
        <f>"200019526"</f>
        <v>200019526</v>
      </c>
      <c r="B23926" t="str">
        <f>"1801102330"</f>
        <v>1801102330</v>
      </c>
      <c r="C23926" t="str">
        <f>"2084P0800X"</f>
        <v>2084P0800X</v>
      </c>
      <c r="D23926" t="str">
        <f>"KOTHARI                  KHYATI                   "</f>
        <v xml:space="preserve">KOTHARI                  KHYATI                   </v>
      </c>
      <c r="E23926" t="str">
        <f t="shared" si="664"/>
        <v xml:space="preserve">MEMPHIS                   </v>
      </c>
      <c r="F23926" t="str">
        <f t="shared" si="660"/>
        <v>TN</v>
      </c>
    </row>
    <row r="23927" spans="1:6" x14ac:dyDescent="0.25">
      <c r="A23927" t="str">
        <f>"200019533"</f>
        <v>200019533</v>
      </c>
      <c r="B23927" t="str">
        <f>"1740030550"</f>
        <v>1740030550</v>
      </c>
      <c r="C23927" t="str">
        <f>"207N00000X"</f>
        <v>207N00000X</v>
      </c>
      <c r="D23927" t="str">
        <f>"JASON                    EAKES                    "</f>
        <v xml:space="preserve">JASON                    EAKES                    </v>
      </c>
      <c r="E23927" t="str">
        <f t="shared" si="664"/>
        <v xml:space="preserve">MEMPHIS                   </v>
      </c>
      <c r="F23927" t="str">
        <f t="shared" si="660"/>
        <v>TN</v>
      </c>
    </row>
    <row r="23928" spans="1:6" x14ac:dyDescent="0.25">
      <c r="A23928" t="str">
        <f>"200019545"</f>
        <v>200019545</v>
      </c>
      <c r="B23928" t="str">
        <f>"1164683827"</f>
        <v>1164683827</v>
      </c>
      <c r="C23928" t="str">
        <f>"363AM0700X"</f>
        <v>363AM0700X</v>
      </c>
      <c r="D23928" t="str">
        <f>"MULROONEY                SHELLEY      N           "</f>
        <v xml:space="preserve">MULROONEY                SHELLEY      N           </v>
      </c>
      <c r="E23928" t="str">
        <f t="shared" si="664"/>
        <v xml:space="preserve">MEMPHIS                   </v>
      </c>
      <c r="F23928" t="str">
        <f t="shared" si="660"/>
        <v>TN</v>
      </c>
    </row>
    <row r="23929" spans="1:6" x14ac:dyDescent="0.25">
      <c r="A23929" t="str">
        <f>"200019546"</f>
        <v>200019546</v>
      </c>
      <c r="B23929" t="str">
        <f>"1306640115"</f>
        <v>1306640115</v>
      </c>
      <c r="C23929" t="str">
        <f>"207V00000X"</f>
        <v>207V00000X</v>
      </c>
      <c r="D23929" t="str">
        <f>"GIRTAIN HAYWOOD          KATELYN                  "</f>
        <v xml:space="preserve">GIRTAIN HAYWOOD          KATELYN                  </v>
      </c>
      <c r="E23929" t="str">
        <f t="shared" si="664"/>
        <v xml:space="preserve">MEMPHIS                   </v>
      </c>
      <c r="F23929" t="str">
        <f t="shared" si="660"/>
        <v>TN</v>
      </c>
    </row>
    <row r="23930" spans="1:6" x14ac:dyDescent="0.25">
      <c r="A23930" t="str">
        <f>"200019548"</f>
        <v>200019548</v>
      </c>
      <c r="B23930" t="str">
        <f>"1760445241"</f>
        <v>1760445241</v>
      </c>
      <c r="C23930" t="str">
        <f>"207T00000X"</f>
        <v>207T00000X</v>
      </c>
      <c r="D23930" t="str">
        <f>"CROSBY                   GLENN                    "</f>
        <v xml:space="preserve">CROSBY                   GLENN                    </v>
      </c>
      <c r="E23930" t="str">
        <f t="shared" si="664"/>
        <v xml:space="preserve">MEMPHIS                   </v>
      </c>
      <c r="F23930" t="str">
        <f t="shared" si="660"/>
        <v>TN</v>
      </c>
    </row>
    <row r="23931" spans="1:6" x14ac:dyDescent="0.25">
      <c r="A23931" t="str">
        <f>"200019559"</f>
        <v>200019559</v>
      </c>
      <c r="B23931" t="str">
        <f>"1184073835"</f>
        <v>1184073835</v>
      </c>
      <c r="C23931" t="str">
        <f>"207P00000X"</f>
        <v>207P00000X</v>
      </c>
      <c r="D23931" t="str">
        <f>"SINGLETON                RODMOND                  "</f>
        <v xml:space="preserve">SINGLETON                RODMOND                  </v>
      </c>
      <c r="E23931" t="str">
        <f t="shared" si="664"/>
        <v xml:space="preserve">MEMPHIS                   </v>
      </c>
      <c r="F23931" t="str">
        <f t="shared" si="660"/>
        <v>TN</v>
      </c>
    </row>
    <row r="23932" spans="1:6" x14ac:dyDescent="0.25">
      <c r="A23932" t="str">
        <f>"200019560"</f>
        <v>200019560</v>
      </c>
      <c r="B23932" t="str">
        <f>"1801606371"</f>
        <v>1801606371</v>
      </c>
      <c r="C23932" t="str">
        <f>"208000000X"</f>
        <v>208000000X</v>
      </c>
      <c r="D23932" t="str">
        <f>"MOON                     BRIANNA                  "</f>
        <v xml:space="preserve">MOON                     BRIANNA                  </v>
      </c>
      <c r="E23932" t="str">
        <f t="shared" si="664"/>
        <v xml:space="preserve">MEMPHIS                   </v>
      </c>
      <c r="F23932" t="str">
        <f t="shared" si="660"/>
        <v>TN</v>
      </c>
    </row>
    <row r="23933" spans="1:6" x14ac:dyDescent="0.25">
      <c r="A23933" t="str">
        <f>"200019562"</f>
        <v>200019562</v>
      </c>
      <c r="B23933" t="str">
        <f>"1710905989"</f>
        <v>1710905989</v>
      </c>
      <c r="C23933" t="str">
        <f>"207P00000X"</f>
        <v>207P00000X</v>
      </c>
      <c r="D23933" t="str">
        <f>"DANIELS                  RUTH         A           "</f>
        <v xml:space="preserve">DANIELS                  RUTH         A           </v>
      </c>
      <c r="E23933" t="str">
        <f>"HUNTINGDON                "</f>
        <v xml:space="preserve">HUNTINGDON                </v>
      </c>
      <c r="F23933" t="str">
        <f t="shared" si="660"/>
        <v>TN</v>
      </c>
    </row>
    <row r="23934" spans="1:6" x14ac:dyDescent="0.25">
      <c r="A23934" t="str">
        <f>"200019563"</f>
        <v>200019563</v>
      </c>
      <c r="B23934" t="str">
        <f>"1346034501"</f>
        <v>1346034501</v>
      </c>
      <c r="C23934" t="str">
        <f>"207R00000X"</f>
        <v>207R00000X</v>
      </c>
      <c r="D23934" t="str">
        <f>"TALEBI-TALGHIAN          TARA                     "</f>
        <v xml:space="preserve">TALEBI-TALGHIAN          TARA                     </v>
      </c>
      <c r="E23934" t="str">
        <f>"MEMPHIS                   "</f>
        <v xml:space="preserve">MEMPHIS                   </v>
      </c>
      <c r="F23934" t="str">
        <f t="shared" ref="F23934:F23997" si="665">"TN"</f>
        <v>TN</v>
      </c>
    </row>
    <row r="23935" spans="1:6" x14ac:dyDescent="0.25">
      <c r="A23935" t="str">
        <f>"200019567"</f>
        <v>200019567</v>
      </c>
      <c r="B23935" t="str">
        <f>"1306640271"</f>
        <v>1306640271</v>
      </c>
      <c r="C23935" t="str">
        <f>"207R00000X"</f>
        <v>207R00000X</v>
      </c>
      <c r="D23935" t="str">
        <f>"OLIVARES                 MATIAS                   "</f>
        <v xml:space="preserve">OLIVARES                 MATIAS                   </v>
      </c>
      <c r="E23935" t="str">
        <f>"MEMPHIS                   "</f>
        <v xml:space="preserve">MEMPHIS                   </v>
      </c>
      <c r="F23935" t="str">
        <f t="shared" si="665"/>
        <v>TN</v>
      </c>
    </row>
    <row r="23936" spans="1:6" x14ac:dyDescent="0.25">
      <c r="A23936" t="str">
        <f>"200019572"</f>
        <v>200019572</v>
      </c>
      <c r="B23936" t="str">
        <f>"1770682114"</f>
        <v>1770682114</v>
      </c>
      <c r="C23936" t="str">
        <f>"207U00000X"</f>
        <v>207U00000X</v>
      </c>
      <c r="D23936" t="str">
        <f>"SANDLER                  MARTIN                   "</f>
        <v xml:space="preserve">SANDLER                  MARTIN                   </v>
      </c>
      <c r="E23936" t="str">
        <f>"NASHVILLE                 "</f>
        <v xml:space="preserve">NASHVILLE                 </v>
      </c>
      <c r="F23936" t="str">
        <f t="shared" si="665"/>
        <v>TN</v>
      </c>
    </row>
    <row r="23937" spans="1:6" x14ac:dyDescent="0.25">
      <c r="A23937" t="str">
        <f>"200019574"</f>
        <v>200019574</v>
      </c>
      <c r="B23937" t="str">
        <f>"1053010819"</f>
        <v>1053010819</v>
      </c>
      <c r="C23937" t="str">
        <f>"363L00000X"</f>
        <v>363L00000X</v>
      </c>
      <c r="D23937" t="str">
        <f>"MORRIS                   OWAIRNA                  "</f>
        <v xml:space="preserve">MORRIS                   OWAIRNA                  </v>
      </c>
      <c r="E23937" t="str">
        <f t="shared" ref="E23937:E23948" si="666">"MEMPHIS                   "</f>
        <v xml:space="preserve">MEMPHIS                   </v>
      </c>
      <c r="F23937" t="str">
        <f t="shared" si="665"/>
        <v>TN</v>
      </c>
    </row>
    <row r="23938" spans="1:6" x14ac:dyDescent="0.25">
      <c r="A23938" t="str">
        <f>"200019590"</f>
        <v>200019590</v>
      </c>
      <c r="B23938" t="str">
        <f>"1073547741"</f>
        <v>1073547741</v>
      </c>
      <c r="C23938" t="str">
        <f>"2084N0402X"</f>
        <v>2084N0402X</v>
      </c>
      <c r="D23938" t="str">
        <f>"FINKEL                   RICHARD                  "</f>
        <v xml:space="preserve">FINKEL                   RICHARD                  </v>
      </c>
      <c r="E23938" t="str">
        <f t="shared" si="666"/>
        <v xml:space="preserve">MEMPHIS                   </v>
      </c>
      <c r="F23938" t="str">
        <f t="shared" si="665"/>
        <v>TN</v>
      </c>
    </row>
    <row r="23939" spans="1:6" x14ac:dyDescent="0.25">
      <c r="A23939" t="str">
        <f>"200019592"</f>
        <v>200019592</v>
      </c>
      <c r="B23939" t="str">
        <f>"1881488567"</f>
        <v>1881488567</v>
      </c>
      <c r="C23939" t="str">
        <f>"207R00000X"</f>
        <v>207R00000X</v>
      </c>
      <c r="D23939" t="str">
        <f>"MEHRA                    RAHUL                    "</f>
        <v xml:space="preserve">MEHRA                    RAHUL                    </v>
      </c>
      <c r="E23939" t="str">
        <f t="shared" si="666"/>
        <v xml:space="preserve">MEMPHIS                   </v>
      </c>
      <c r="F23939" t="str">
        <f t="shared" si="665"/>
        <v>TN</v>
      </c>
    </row>
    <row r="23940" spans="1:6" x14ac:dyDescent="0.25">
      <c r="A23940" t="str">
        <f>"200019601"</f>
        <v>200019601</v>
      </c>
      <c r="B23940" t="str">
        <f>"1477793362"</f>
        <v>1477793362</v>
      </c>
      <c r="C23940" t="str">
        <f>"2080N0001X"</f>
        <v>2080N0001X</v>
      </c>
      <c r="D23940" t="str">
        <f>"WEEMS                    MARK                     "</f>
        <v xml:space="preserve">WEEMS                    MARK                     </v>
      </c>
      <c r="E23940" t="str">
        <f t="shared" si="666"/>
        <v xml:space="preserve">MEMPHIS                   </v>
      </c>
      <c r="F23940" t="str">
        <f t="shared" si="665"/>
        <v>TN</v>
      </c>
    </row>
    <row r="23941" spans="1:6" x14ac:dyDescent="0.25">
      <c r="A23941" t="str">
        <f>"200019607"</f>
        <v>200019607</v>
      </c>
      <c r="B23941" t="str">
        <f>"1003137571"</f>
        <v>1003137571</v>
      </c>
      <c r="C23941" t="str">
        <f>"2080N0001X"</f>
        <v>2080N0001X</v>
      </c>
      <c r="D23941" t="str">
        <f>"HARSONO                  MIMILY                   "</f>
        <v xml:space="preserve">HARSONO                  MIMILY                   </v>
      </c>
      <c r="E23941" t="str">
        <f t="shared" si="666"/>
        <v xml:space="preserve">MEMPHIS                   </v>
      </c>
      <c r="F23941" t="str">
        <f t="shared" si="665"/>
        <v>TN</v>
      </c>
    </row>
    <row r="23942" spans="1:6" x14ac:dyDescent="0.25">
      <c r="A23942" t="str">
        <f>"200019634"</f>
        <v>200019634</v>
      </c>
      <c r="B23942" t="str">
        <f>"1235549270"</f>
        <v>1235549270</v>
      </c>
      <c r="C23942" t="str">
        <f>"2085R0202X"</f>
        <v>2085R0202X</v>
      </c>
      <c r="D23942" t="str">
        <f>"YI                       PAUL                     "</f>
        <v xml:space="preserve">YI                       PAUL                     </v>
      </c>
      <c r="E23942" t="str">
        <f t="shared" si="666"/>
        <v xml:space="preserve">MEMPHIS                   </v>
      </c>
      <c r="F23942" t="str">
        <f t="shared" si="665"/>
        <v>TN</v>
      </c>
    </row>
    <row r="23943" spans="1:6" x14ac:dyDescent="0.25">
      <c r="A23943" t="str">
        <f>"200019642"</f>
        <v>200019642</v>
      </c>
      <c r="B23943" t="str">
        <f>"1336943505"</f>
        <v>1336943505</v>
      </c>
      <c r="C23943" t="str">
        <f>"207R00000X"</f>
        <v>207R00000X</v>
      </c>
      <c r="D23943" t="str">
        <f>"MCGOWIN                  MATTHEW      D           "</f>
        <v xml:space="preserve">MCGOWIN                  MATTHEW      D           </v>
      </c>
      <c r="E23943" t="str">
        <f t="shared" si="666"/>
        <v xml:space="preserve">MEMPHIS                   </v>
      </c>
      <c r="F23943" t="str">
        <f t="shared" si="665"/>
        <v>TN</v>
      </c>
    </row>
    <row r="23944" spans="1:6" x14ac:dyDescent="0.25">
      <c r="A23944" t="str">
        <f>"200019644"</f>
        <v>200019644</v>
      </c>
      <c r="B23944" t="str">
        <f>"1225867369"</f>
        <v>1225867369</v>
      </c>
      <c r="C23944" t="str">
        <f>"2084P0800X"</f>
        <v>2084P0800X</v>
      </c>
      <c r="D23944" t="str">
        <f>"LOGAN                    CONNOR                   "</f>
        <v xml:space="preserve">LOGAN                    CONNOR                   </v>
      </c>
      <c r="E23944" t="str">
        <f t="shared" si="666"/>
        <v xml:space="preserve">MEMPHIS                   </v>
      </c>
      <c r="F23944" t="str">
        <f t="shared" si="665"/>
        <v>TN</v>
      </c>
    </row>
    <row r="23945" spans="1:6" x14ac:dyDescent="0.25">
      <c r="A23945" t="str">
        <f>"200019654"</f>
        <v>200019654</v>
      </c>
      <c r="B23945" t="str">
        <f>"1184462129"</f>
        <v>1184462129</v>
      </c>
      <c r="C23945" t="str">
        <f>"207T00000X"</f>
        <v>207T00000X</v>
      </c>
      <c r="D23945" t="str">
        <f>"YOUNG                    KAILAH                   "</f>
        <v xml:space="preserve">YOUNG                    KAILAH                   </v>
      </c>
      <c r="E23945" t="str">
        <f t="shared" si="666"/>
        <v xml:space="preserve">MEMPHIS                   </v>
      </c>
      <c r="F23945" t="str">
        <f t="shared" si="665"/>
        <v>TN</v>
      </c>
    </row>
    <row r="23946" spans="1:6" x14ac:dyDescent="0.25">
      <c r="A23946" t="str">
        <f>"200019658"</f>
        <v>200019658</v>
      </c>
      <c r="B23946" t="str">
        <f>"1033149232"</f>
        <v>1033149232</v>
      </c>
      <c r="C23946" t="str">
        <f>"207P00000X"</f>
        <v>207P00000X</v>
      </c>
      <c r="D23946" t="str">
        <f>"MIRZA                    ABBAS                    "</f>
        <v xml:space="preserve">MIRZA                    ABBAS                    </v>
      </c>
      <c r="E23946" t="str">
        <f t="shared" si="666"/>
        <v xml:space="preserve">MEMPHIS                   </v>
      </c>
      <c r="F23946" t="str">
        <f t="shared" si="665"/>
        <v>TN</v>
      </c>
    </row>
    <row r="23947" spans="1:6" x14ac:dyDescent="0.25">
      <c r="A23947" t="str">
        <f>"200019666"</f>
        <v>200019666</v>
      </c>
      <c r="B23947" t="str">
        <f>"1346635117"</f>
        <v>1346635117</v>
      </c>
      <c r="C23947" t="str">
        <f>"208600000X"</f>
        <v>208600000X</v>
      </c>
      <c r="D23947" t="str">
        <f>"TAYLOR                   ASHLEY       M           "</f>
        <v xml:space="preserve">TAYLOR                   ASHLEY       M           </v>
      </c>
      <c r="E23947" t="str">
        <f t="shared" si="666"/>
        <v xml:space="preserve">MEMPHIS                   </v>
      </c>
      <c r="F23947" t="str">
        <f t="shared" si="665"/>
        <v>TN</v>
      </c>
    </row>
    <row r="23948" spans="1:6" x14ac:dyDescent="0.25">
      <c r="A23948" t="str">
        <f>"200019681"</f>
        <v>200019681</v>
      </c>
      <c r="B23948" t="str">
        <f>"1750083069"</f>
        <v>1750083069</v>
      </c>
      <c r="C23948" t="str">
        <f>"207N00000X"</f>
        <v>207N00000X</v>
      </c>
      <c r="D23948" t="str">
        <f>"CARR                     ZACHARY      H           "</f>
        <v xml:space="preserve">CARR                     ZACHARY      H           </v>
      </c>
      <c r="E23948" t="str">
        <f t="shared" si="666"/>
        <v xml:space="preserve">MEMPHIS                   </v>
      </c>
      <c r="F23948" t="str">
        <f t="shared" si="665"/>
        <v>TN</v>
      </c>
    </row>
    <row r="23949" spans="1:6" x14ac:dyDescent="0.25">
      <c r="A23949" t="str">
        <f>"200019683"</f>
        <v>200019683</v>
      </c>
      <c r="B23949" t="str">
        <f>"1811303449"</f>
        <v>1811303449</v>
      </c>
      <c r="C23949" t="str">
        <f>"208000000X"</f>
        <v>208000000X</v>
      </c>
      <c r="D23949" t="str">
        <f>"GRADWOHL                 STEPHEN                  "</f>
        <v xml:space="preserve">GRADWOHL                 STEPHEN                  </v>
      </c>
      <c r="E23949" t="str">
        <f>"NASHVILLE                 "</f>
        <v xml:space="preserve">NASHVILLE                 </v>
      </c>
      <c r="F23949" t="str">
        <f t="shared" si="665"/>
        <v>TN</v>
      </c>
    </row>
    <row r="23950" spans="1:6" x14ac:dyDescent="0.25">
      <c r="A23950" t="str">
        <f>"200019712"</f>
        <v>200019712</v>
      </c>
      <c r="B23950" t="str">
        <f>"1033960604"</f>
        <v>1033960604</v>
      </c>
      <c r="C23950" t="str">
        <f>"363LF0000X"</f>
        <v>363LF0000X</v>
      </c>
      <c r="D23950" t="str">
        <f>"EVANS                    MARY                     "</f>
        <v xml:space="preserve">EVANS                    MARY                     </v>
      </c>
      <c r="E23950" t="str">
        <f t="shared" ref="E23950:E23955" si="667">"MEMPHIS                   "</f>
        <v xml:space="preserve">MEMPHIS                   </v>
      </c>
      <c r="F23950" t="str">
        <f t="shared" si="665"/>
        <v>TN</v>
      </c>
    </row>
    <row r="23951" spans="1:6" x14ac:dyDescent="0.25">
      <c r="A23951" t="str">
        <f>"200019713"</f>
        <v>200019713</v>
      </c>
      <c r="B23951" t="str">
        <f>"1609879865"</f>
        <v>1609879865</v>
      </c>
      <c r="C23951" t="str">
        <f>"2080P0208X"</f>
        <v>2080P0208X</v>
      </c>
      <c r="D23951" t="str">
        <f>"FLYNN                    PATRICIA                 "</f>
        <v xml:space="preserve">FLYNN                    PATRICIA                 </v>
      </c>
      <c r="E23951" t="str">
        <f t="shared" si="667"/>
        <v xml:space="preserve">MEMPHIS                   </v>
      </c>
      <c r="F23951" t="str">
        <f t="shared" si="665"/>
        <v>TN</v>
      </c>
    </row>
    <row r="23952" spans="1:6" x14ac:dyDescent="0.25">
      <c r="A23952" t="str">
        <f>"200019719"</f>
        <v>200019719</v>
      </c>
      <c r="B23952" t="str">
        <f>"1447044250"</f>
        <v>1447044250</v>
      </c>
      <c r="C23952" t="str">
        <f>"207P00000X"</f>
        <v>207P00000X</v>
      </c>
      <c r="D23952" t="str">
        <f>"KRAUSE                   JORDYN       E           "</f>
        <v xml:space="preserve">KRAUSE                   JORDYN       E           </v>
      </c>
      <c r="E23952" t="str">
        <f t="shared" si="667"/>
        <v xml:space="preserve">MEMPHIS                   </v>
      </c>
      <c r="F23952" t="str">
        <f t="shared" si="665"/>
        <v>TN</v>
      </c>
    </row>
    <row r="23953" spans="1:6" x14ac:dyDescent="0.25">
      <c r="A23953" t="str">
        <f>"200019727"</f>
        <v>200019727</v>
      </c>
      <c r="B23953" t="str">
        <f>"1598559619"</f>
        <v>1598559619</v>
      </c>
      <c r="C23953" t="str">
        <f>"207R00000X"</f>
        <v>207R00000X</v>
      </c>
      <c r="D23953" t="str">
        <f>"SINGH                    KRISSANA                 "</f>
        <v xml:space="preserve">SINGH                    KRISSANA                 </v>
      </c>
      <c r="E23953" t="str">
        <f t="shared" si="667"/>
        <v xml:space="preserve">MEMPHIS                   </v>
      </c>
      <c r="F23953" t="str">
        <f t="shared" si="665"/>
        <v>TN</v>
      </c>
    </row>
    <row r="23954" spans="1:6" x14ac:dyDescent="0.25">
      <c r="A23954" t="str">
        <f>"200019743"</f>
        <v>200019743</v>
      </c>
      <c r="B23954" t="str">
        <f>"1720821630"</f>
        <v>1720821630</v>
      </c>
      <c r="C23954" t="str">
        <f>"363LC0200X"</f>
        <v>363LC0200X</v>
      </c>
      <c r="D23954" t="str">
        <f>"SHOEMAKER                JAMIE        L           "</f>
        <v xml:space="preserve">SHOEMAKER                JAMIE        L           </v>
      </c>
      <c r="E23954" t="str">
        <f t="shared" si="667"/>
        <v xml:space="preserve">MEMPHIS                   </v>
      </c>
      <c r="F23954" t="str">
        <f t="shared" si="665"/>
        <v>TN</v>
      </c>
    </row>
    <row r="23955" spans="1:6" x14ac:dyDescent="0.25">
      <c r="A23955" t="str">
        <f>"200019763"</f>
        <v>200019763</v>
      </c>
      <c r="B23955" t="str">
        <f>"1386383701"</f>
        <v>1386383701</v>
      </c>
      <c r="C23955" t="str">
        <f>"363LF0000X"</f>
        <v>363LF0000X</v>
      </c>
      <c r="D23955" t="str">
        <f>"SILVIS                   SHELBY       R           "</f>
        <v xml:space="preserve">SILVIS                   SHELBY       R           </v>
      </c>
      <c r="E23955" t="str">
        <f t="shared" si="667"/>
        <v xml:space="preserve">MEMPHIS                   </v>
      </c>
      <c r="F23955" t="str">
        <f t="shared" si="665"/>
        <v>TN</v>
      </c>
    </row>
    <row r="23956" spans="1:6" x14ac:dyDescent="0.25">
      <c r="A23956" t="str">
        <f>"200019764"</f>
        <v>200019764</v>
      </c>
      <c r="B23956" t="str">
        <f>"1487141024"</f>
        <v>1487141024</v>
      </c>
      <c r="C23956" t="str">
        <f>"363LP0808X"</f>
        <v>363LP0808X</v>
      </c>
      <c r="D23956" t="str">
        <f>"SALIM                    MARIAH                   "</f>
        <v xml:space="preserve">SALIM                    MARIAH                   </v>
      </c>
      <c r="E23956" t="str">
        <f>"BARTLETT                  "</f>
        <v xml:space="preserve">BARTLETT                  </v>
      </c>
      <c r="F23956" t="str">
        <f t="shared" si="665"/>
        <v>TN</v>
      </c>
    </row>
    <row r="23957" spans="1:6" x14ac:dyDescent="0.25">
      <c r="A23957" t="str">
        <f>"200019785"</f>
        <v>200019785</v>
      </c>
      <c r="B23957" t="str">
        <f>"1528883584"</f>
        <v>1528883584</v>
      </c>
      <c r="C23957" t="str">
        <f>"363LF0000X"</f>
        <v>363LF0000X</v>
      </c>
      <c r="D23957" t="str">
        <f>"DELGADO                  MARY                     "</f>
        <v xml:space="preserve">DELGADO                  MARY                     </v>
      </c>
      <c r="E23957" t="str">
        <f>"MEMPHIS                   "</f>
        <v xml:space="preserve">MEMPHIS                   </v>
      </c>
      <c r="F23957" t="str">
        <f t="shared" si="665"/>
        <v>TN</v>
      </c>
    </row>
    <row r="23958" spans="1:6" x14ac:dyDescent="0.25">
      <c r="A23958" t="str">
        <f>"200019790"</f>
        <v>200019790</v>
      </c>
      <c r="B23958" t="str">
        <f>"1760011977"</f>
        <v>1760011977</v>
      </c>
      <c r="C23958" t="str">
        <f>"207Y00000X"</f>
        <v>207Y00000X</v>
      </c>
      <c r="D23958" t="str">
        <f>"MAY II                   JEFFERY                  "</f>
        <v xml:space="preserve">MAY II                   JEFFERY                  </v>
      </c>
      <c r="E23958" t="str">
        <f>"GERMANTOWN                "</f>
        <v xml:space="preserve">GERMANTOWN                </v>
      </c>
      <c r="F23958" t="str">
        <f t="shared" si="665"/>
        <v>TN</v>
      </c>
    </row>
    <row r="23959" spans="1:6" x14ac:dyDescent="0.25">
      <c r="A23959" t="str">
        <f>"200019809"</f>
        <v>200019809</v>
      </c>
      <c r="B23959" t="str">
        <f>"1811139306"</f>
        <v>1811139306</v>
      </c>
      <c r="C23959" t="str">
        <f>"207Q00000X"</f>
        <v>207Q00000X</v>
      </c>
      <c r="D23959" t="str">
        <f>"MANGEL                   RYAN         S           "</f>
        <v xml:space="preserve">MANGEL                   RYAN         S           </v>
      </c>
      <c r="E23959" t="str">
        <f>"HUNTINGDON                "</f>
        <v xml:space="preserve">HUNTINGDON                </v>
      </c>
      <c r="F23959" t="str">
        <f t="shared" si="665"/>
        <v>TN</v>
      </c>
    </row>
    <row r="23960" spans="1:6" x14ac:dyDescent="0.25">
      <c r="A23960" t="str">
        <f>"200019816"</f>
        <v>200019816</v>
      </c>
      <c r="B23960" t="str">
        <f>"1134917123"</f>
        <v>1134917123</v>
      </c>
      <c r="C23960" t="str">
        <f>"207R00000X"</f>
        <v>207R00000X</v>
      </c>
      <c r="D23960" t="str">
        <f>"MADDOX                   COURTNEY                 "</f>
        <v xml:space="preserve">MADDOX                   COURTNEY                 </v>
      </c>
      <c r="E23960" t="str">
        <f>"MEMPHIS                   "</f>
        <v xml:space="preserve">MEMPHIS                   </v>
      </c>
      <c r="F23960" t="str">
        <f t="shared" si="665"/>
        <v>TN</v>
      </c>
    </row>
    <row r="23961" spans="1:6" x14ac:dyDescent="0.25">
      <c r="A23961" t="str">
        <f>"200019824"</f>
        <v>200019824</v>
      </c>
      <c r="B23961" t="str">
        <f>"1821884180"</f>
        <v>1821884180</v>
      </c>
      <c r="C23961" t="str">
        <f>"207Y00000X"</f>
        <v>207Y00000X</v>
      </c>
      <c r="D23961" t="str">
        <f>"SHAWKEY                  ERIC                     "</f>
        <v xml:space="preserve">SHAWKEY                  ERIC                     </v>
      </c>
      <c r="E23961" t="str">
        <f>"MEMPHIS                   "</f>
        <v xml:space="preserve">MEMPHIS                   </v>
      </c>
      <c r="F23961" t="str">
        <f t="shared" si="665"/>
        <v>TN</v>
      </c>
    </row>
    <row r="23962" spans="1:6" x14ac:dyDescent="0.25">
      <c r="A23962" t="str">
        <f>"200019838"</f>
        <v>200019838</v>
      </c>
      <c r="B23962" t="str">
        <f>"1477114239"</f>
        <v>1477114239</v>
      </c>
      <c r="C23962" t="str">
        <f>"363LP0200X"</f>
        <v>363LP0200X</v>
      </c>
      <c r="D23962" t="str">
        <f>"KEMPKA                   JESSICA      D           "</f>
        <v xml:space="preserve">KEMPKA                   JESSICA      D           </v>
      </c>
      <c r="E23962" t="str">
        <f>"MEMPHIS                   "</f>
        <v xml:space="preserve">MEMPHIS                   </v>
      </c>
      <c r="F23962" t="str">
        <f t="shared" si="665"/>
        <v>TN</v>
      </c>
    </row>
    <row r="23963" spans="1:6" x14ac:dyDescent="0.25">
      <c r="A23963" t="str">
        <f>"200019846"</f>
        <v>200019846</v>
      </c>
      <c r="B23963" t="str">
        <f>"1285429266"</f>
        <v>1285429266</v>
      </c>
      <c r="C23963" t="str">
        <f>"2084P0800X"</f>
        <v>2084P0800X</v>
      </c>
      <c r="D23963" t="str">
        <f>"TURNER                   BRITNEY                  "</f>
        <v xml:space="preserve">TURNER                   BRITNEY                  </v>
      </c>
      <c r="E23963" t="str">
        <f>"MEMPHIS                   "</f>
        <v xml:space="preserve">MEMPHIS                   </v>
      </c>
      <c r="F23963" t="str">
        <f t="shared" si="665"/>
        <v>TN</v>
      </c>
    </row>
    <row r="23964" spans="1:6" x14ac:dyDescent="0.25">
      <c r="A23964" t="str">
        <f>"200019872"</f>
        <v>200019872</v>
      </c>
      <c r="B23964" t="str">
        <f>"1255825113"</f>
        <v>1255825113</v>
      </c>
      <c r="C23964" t="str">
        <f>"363LF0000X"</f>
        <v>363LF0000X</v>
      </c>
      <c r="D23964" t="str">
        <f>"MCCALLA                  AMANDA       S           "</f>
        <v xml:space="preserve">MCCALLA                  AMANDA       S           </v>
      </c>
      <c r="E23964" t="str">
        <f>"CORDOVA                   "</f>
        <v xml:space="preserve">CORDOVA                   </v>
      </c>
      <c r="F23964" t="str">
        <f t="shared" si="665"/>
        <v>TN</v>
      </c>
    </row>
    <row r="23965" spans="1:6" x14ac:dyDescent="0.25">
      <c r="A23965" t="str">
        <f>"200019879"</f>
        <v>200019879</v>
      </c>
      <c r="B23965" t="str">
        <f>"1811767866"</f>
        <v>1811767866</v>
      </c>
      <c r="C23965" t="str">
        <f>"363LP2300X"</f>
        <v>363LP2300X</v>
      </c>
      <c r="D23965" t="str">
        <f>"FRENZEL                  LISA                     "</f>
        <v xml:space="preserve">FRENZEL                  LISA                     </v>
      </c>
      <c r="E23965" t="str">
        <f>"GERMANTOWN                "</f>
        <v xml:space="preserve">GERMANTOWN                </v>
      </c>
      <c r="F23965" t="str">
        <f t="shared" si="665"/>
        <v>TN</v>
      </c>
    </row>
    <row r="23966" spans="1:6" x14ac:dyDescent="0.25">
      <c r="A23966" t="str">
        <f>"200019883"</f>
        <v>200019883</v>
      </c>
      <c r="B23966" t="str">
        <f>"1679836530"</f>
        <v>1679836530</v>
      </c>
      <c r="C23966" t="str">
        <f>"207P00000X"</f>
        <v>207P00000X</v>
      </c>
      <c r="D23966" t="str">
        <f>"KINDRAT                  JASON        K           "</f>
        <v xml:space="preserve">KINDRAT                  JASON        K           </v>
      </c>
      <c r="E23966" t="str">
        <f>"HUNTINGDON                "</f>
        <v xml:space="preserve">HUNTINGDON                </v>
      </c>
      <c r="F23966" t="str">
        <f t="shared" si="665"/>
        <v>TN</v>
      </c>
    </row>
    <row r="23967" spans="1:6" x14ac:dyDescent="0.25">
      <c r="A23967" t="str">
        <f>"200019885"</f>
        <v>200019885</v>
      </c>
      <c r="B23967" t="str">
        <f>"1497835805"</f>
        <v>1497835805</v>
      </c>
      <c r="C23967" t="str">
        <f>"2080P0207X"</f>
        <v>2080P0207X</v>
      </c>
      <c r="D23967" t="str">
        <f>"MYERS                    GARY                     "</f>
        <v xml:space="preserve">MYERS                    GARY                     </v>
      </c>
      <c r="E23967" t="str">
        <f>"MEMPHIS                   "</f>
        <v xml:space="preserve">MEMPHIS                   </v>
      </c>
      <c r="F23967" t="str">
        <f t="shared" si="665"/>
        <v>TN</v>
      </c>
    </row>
    <row r="23968" spans="1:6" x14ac:dyDescent="0.25">
      <c r="A23968" t="str">
        <f>"200019901"</f>
        <v>200019901</v>
      </c>
      <c r="B23968" t="str">
        <f>"1710362041"</f>
        <v>1710362041</v>
      </c>
      <c r="C23968" t="str">
        <f>"367500000X"</f>
        <v>367500000X</v>
      </c>
      <c r="D23968" t="str">
        <f>"KOVARIK                  AMANDA                   "</f>
        <v xml:space="preserve">KOVARIK                  AMANDA                   </v>
      </c>
      <c r="E23968" t="str">
        <f>"MEMPHIS                   "</f>
        <v xml:space="preserve">MEMPHIS                   </v>
      </c>
      <c r="F23968" t="str">
        <f t="shared" si="665"/>
        <v>TN</v>
      </c>
    </row>
    <row r="23969" spans="1:6" x14ac:dyDescent="0.25">
      <c r="A23969" t="str">
        <f>"200019907"</f>
        <v>200019907</v>
      </c>
      <c r="B23969" t="str">
        <f>"1225887847"</f>
        <v>1225887847</v>
      </c>
      <c r="C23969" t="str">
        <f>"363LF0000X"</f>
        <v>363LF0000X</v>
      </c>
      <c r="D23969" t="str">
        <f>"HILL                     KELLY                    "</f>
        <v xml:space="preserve">HILL                     KELLY                    </v>
      </c>
      <c r="E23969" t="str">
        <f>"MEMPHIS                   "</f>
        <v xml:space="preserve">MEMPHIS                   </v>
      </c>
      <c r="F23969" t="str">
        <f t="shared" si="665"/>
        <v>TN</v>
      </c>
    </row>
    <row r="23970" spans="1:6" x14ac:dyDescent="0.25">
      <c r="A23970" t="str">
        <f>"200019912"</f>
        <v>200019912</v>
      </c>
      <c r="B23970" t="str">
        <f>"1780996447"</f>
        <v>1780996447</v>
      </c>
      <c r="C23970" t="str">
        <f>"2080P0202X"</f>
        <v>2080P0202X</v>
      </c>
      <c r="D23970" t="str">
        <f>"WEINGARTEN               ANGELA                   "</f>
        <v xml:space="preserve">WEINGARTEN               ANGELA                   </v>
      </c>
      <c r="E23970" t="str">
        <f>"NASHVILLE                 "</f>
        <v xml:space="preserve">NASHVILLE                 </v>
      </c>
      <c r="F23970" t="str">
        <f t="shared" si="665"/>
        <v>TN</v>
      </c>
    </row>
    <row r="23971" spans="1:6" x14ac:dyDescent="0.25">
      <c r="A23971" t="str">
        <f>"200019915"</f>
        <v>200019915</v>
      </c>
      <c r="B23971" t="str">
        <f>"1891595765"</f>
        <v>1891595765</v>
      </c>
      <c r="C23971" t="str">
        <f>"207V00000X"</f>
        <v>207V00000X</v>
      </c>
      <c r="D23971" t="str">
        <f>"BROWN                    GRACE        A           "</f>
        <v xml:space="preserve">BROWN                    GRACE        A           </v>
      </c>
      <c r="E23971" t="str">
        <f>"MEMPHIS                   "</f>
        <v xml:space="preserve">MEMPHIS                   </v>
      </c>
      <c r="F23971" t="str">
        <f t="shared" si="665"/>
        <v>TN</v>
      </c>
    </row>
    <row r="23972" spans="1:6" x14ac:dyDescent="0.25">
      <c r="A23972" t="str">
        <f>"200019926"</f>
        <v>200019926</v>
      </c>
      <c r="B23972" t="str">
        <f>"1992019129"</f>
        <v>1992019129</v>
      </c>
      <c r="C23972" t="str">
        <f>"207RN0300X"</f>
        <v>207RN0300X</v>
      </c>
      <c r="D23972" t="str">
        <f>"PATEL                    ABHISHEK                 "</f>
        <v xml:space="preserve">PATEL                    ABHISHEK                 </v>
      </c>
      <c r="E23972" t="str">
        <f>"MEMPHIS                   "</f>
        <v xml:space="preserve">MEMPHIS                   </v>
      </c>
      <c r="F23972" t="str">
        <f t="shared" si="665"/>
        <v>TN</v>
      </c>
    </row>
    <row r="23973" spans="1:6" x14ac:dyDescent="0.25">
      <c r="A23973" t="str">
        <f>"200019936"</f>
        <v>200019936</v>
      </c>
      <c r="B23973" t="str">
        <f>"1780771808"</f>
        <v>1780771808</v>
      </c>
      <c r="C23973" t="str">
        <f>"2080P0202X"</f>
        <v>2080P0202X</v>
      </c>
      <c r="D23973" t="str">
        <f>"PARRA                    DAVID                    "</f>
        <v xml:space="preserve">PARRA                    DAVID                    </v>
      </c>
      <c r="E23973" t="str">
        <f>"NASHVILLE                 "</f>
        <v xml:space="preserve">NASHVILLE                 </v>
      </c>
      <c r="F23973" t="str">
        <f t="shared" si="665"/>
        <v>TN</v>
      </c>
    </row>
    <row r="23974" spans="1:6" x14ac:dyDescent="0.25">
      <c r="A23974" t="str">
        <f>"200019947"</f>
        <v>200019947</v>
      </c>
      <c r="B23974" t="str">
        <f>"1902800618"</f>
        <v>1902800618</v>
      </c>
      <c r="C23974" t="str">
        <f>"207P00000X"</f>
        <v>207P00000X</v>
      </c>
      <c r="D23974" t="str">
        <f>"SOUTHALL                 PAUL                     "</f>
        <v xml:space="preserve">SOUTHALL                 PAUL                     </v>
      </c>
      <c r="E23974" t="str">
        <f>"LAWRENCEBURG              "</f>
        <v xml:space="preserve">LAWRENCEBURG              </v>
      </c>
      <c r="F23974" t="str">
        <f t="shared" si="665"/>
        <v>TN</v>
      </c>
    </row>
    <row r="23975" spans="1:6" x14ac:dyDescent="0.25">
      <c r="A23975" t="str">
        <f>"200019948"</f>
        <v>200019948</v>
      </c>
      <c r="B23975" t="str">
        <f>"1033913330"</f>
        <v>1033913330</v>
      </c>
      <c r="C23975" t="str">
        <f>"207R00000X"</f>
        <v>207R00000X</v>
      </c>
      <c r="D23975" t="str">
        <f>"GONZALEZ                 NICOLE                   "</f>
        <v xml:space="preserve">GONZALEZ                 NICOLE                   </v>
      </c>
      <c r="E23975" t="str">
        <f t="shared" ref="E23975:E23988" si="668">"MEMPHIS                   "</f>
        <v xml:space="preserve">MEMPHIS                   </v>
      </c>
      <c r="F23975" t="str">
        <f t="shared" si="665"/>
        <v>TN</v>
      </c>
    </row>
    <row r="23976" spans="1:6" x14ac:dyDescent="0.25">
      <c r="A23976" t="str">
        <f>"200019950"</f>
        <v>200019950</v>
      </c>
      <c r="B23976" t="str">
        <f>"1497063044"</f>
        <v>1497063044</v>
      </c>
      <c r="C23976" t="str">
        <f>"363LF0000X"</f>
        <v>363LF0000X</v>
      </c>
      <c r="D23976" t="str">
        <f>"RICE                     ALISON                   "</f>
        <v xml:space="preserve">RICE                     ALISON                   </v>
      </c>
      <c r="E23976" t="str">
        <f t="shared" si="668"/>
        <v xml:space="preserve">MEMPHIS                   </v>
      </c>
      <c r="F23976" t="str">
        <f t="shared" si="665"/>
        <v>TN</v>
      </c>
    </row>
    <row r="23977" spans="1:6" x14ac:dyDescent="0.25">
      <c r="A23977" t="str">
        <f>"200019955"</f>
        <v>200019955</v>
      </c>
      <c r="B23977" t="str">
        <f>"1871387811"</f>
        <v>1871387811</v>
      </c>
      <c r="C23977" t="str">
        <f>"207R00000X"</f>
        <v>207R00000X</v>
      </c>
      <c r="D23977" t="str">
        <f>"BORKOSKI                 ROBERT       L           "</f>
        <v xml:space="preserve">BORKOSKI                 ROBERT       L           </v>
      </c>
      <c r="E23977" t="str">
        <f t="shared" si="668"/>
        <v xml:space="preserve">MEMPHIS                   </v>
      </c>
      <c r="F23977" t="str">
        <f t="shared" si="665"/>
        <v>TN</v>
      </c>
    </row>
    <row r="23978" spans="1:6" x14ac:dyDescent="0.25">
      <c r="A23978" t="str">
        <f>"200019965"</f>
        <v>200019965</v>
      </c>
      <c r="B23978" t="str">
        <f>"1871298901"</f>
        <v>1871298901</v>
      </c>
      <c r="C23978" t="str">
        <f>"207R00000X"</f>
        <v>207R00000X</v>
      </c>
      <c r="D23978" t="str">
        <f>"ABEL                     KAITLIN                  "</f>
        <v xml:space="preserve">ABEL                     KAITLIN                  </v>
      </c>
      <c r="E23978" t="str">
        <f t="shared" si="668"/>
        <v xml:space="preserve">MEMPHIS                   </v>
      </c>
      <c r="F23978" t="str">
        <f t="shared" si="665"/>
        <v>TN</v>
      </c>
    </row>
    <row r="23979" spans="1:6" x14ac:dyDescent="0.25">
      <c r="A23979" t="str">
        <f>"200019971"</f>
        <v>200019971</v>
      </c>
      <c r="B23979" t="str">
        <f>"1356301972"</f>
        <v>1356301972</v>
      </c>
      <c r="C23979" t="str">
        <f>"2085R0202X"</f>
        <v>2085R0202X</v>
      </c>
      <c r="D23979" t="str">
        <f>"SMITH                    ANDREW                   "</f>
        <v xml:space="preserve">SMITH                    ANDREW                   </v>
      </c>
      <c r="E23979" t="str">
        <f t="shared" si="668"/>
        <v xml:space="preserve">MEMPHIS                   </v>
      </c>
      <c r="F23979" t="str">
        <f t="shared" si="665"/>
        <v>TN</v>
      </c>
    </row>
    <row r="23980" spans="1:6" x14ac:dyDescent="0.25">
      <c r="A23980" t="str">
        <f>"200019984"</f>
        <v>200019984</v>
      </c>
      <c r="B23980" t="str">
        <f>"1558165811"</f>
        <v>1558165811</v>
      </c>
      <c r="C23980" t="str">
        <f>"207P00000X"</f>
        <v>207P00000X</v>
      </c>
      <c r="D23980" t="str">
        <f>"ORSHOSKI                 OLIVIA                   "</f>
        <v xml:space="preserve">ORSHOSKI                 OLIVIA                   </v>
      </c>
      <c r="E23980" t="str">
        <f t="shared" si="668"/>
        <v xml:space="preserve">MEMPHIS                   </v>
      </c>
      <c r="F23980" t="str">
        <f t="shared" si="665"/>
        <v>TN</v>
      </c>
    </row>
    <row r="23981" spans="1:6" x14ac:dyDescent="0.25">
      <c r="A23981" t="str">
        <f>"200019992"</f>
        <v>200019992</v>
      </c>
      <c r="B23981" t="str">
        <f>"1881488955"</f>
        <v>1881488955</v>
      </c>
      <c r="C23981" t="str">
        <f>"208800000X"</f>
        <v>208800000X</v>
      </c>
      <c r="D23981" t="str">
        <f>"MOODY                    ROBERT                   "</f>
        <v xml:space="preserve">MOODY                    ROBERT                   </v>
      </c>
      <c r="E23981" t="str">
        <f t="shared" si="668"/>
        <v xml:space="preserve">MEMPHIS                   </v>
      </c>
      <c r="F23981" t="str">
        <f t="shared" si="665"/>
        <v>TN</v>
      </c>
    </row>
    <row r="23982" spans="1:6" x14ac:dyDescent="0.25">
      <c r="A23982" t="str">
        <f>"200020001"</f>
        <v>200020001</v>
      </c>
      <c r="B23982" t="str">
        <f>"1841004033"</f>
        <v>1841004033</v>
      </c>
      <c r="C23982" t="str">
        <f>"207R00000X"</f>
        <v>207R00000X</v>
      </c>
      <c r="D23982" t="str">
        <f>"LE VEY                   AUSTIN                   "</f>
        <v xml:space="preserve">LE VEY                   AUSTIN                   </v>
      </c>
      <c r="E23982" t="str">
        <f t="shared" si="668"/>
        <v xml:space="preserve">MEMPHIS                   </v>
      </c>
      <c r="F23982" t="str">
        <f t="shared" si="665"/>
        <v>TN</v>
      </c>
    </row>
    <row r="23983" spans="1:6" x14ac:dyDescent="0.25">
      <c r="A23983" t="str">
        <f>"200020011"</f>
        <v>200020011</v>
      </c>
      <c r="B23983" t="str">
        <f>"1437341096"</f>
        <v>1437341096</v>
      </c>
      <c r="C23983" t="str">
        <f>"2085R0202X"</f>
        <v>2085R0202X</v>
      </c>
      <c r="D23983" t="str">
        <f>"CHEN                     ALLEN                    "</f>
        <v xml:space="preserve">CHEN                     ALLEN                    </v>
      </c>
      <c r="E23983" t="str">
        <f t="shared" si="668"/>
        <v xml:space="preserve">MEMPHIS                   </v>
      </c>
      <c r="F23983" t="str">
        <f t="shared" si="665"/>
        <v>TN</v>
      </c>
    </row>
    <row r="23984" spans="1:6" x14ac:dyDescent="0.25">
      <c r="A23984" t="str">
        <f>"200020015"</f>
        <v>200020015</v>
      </c>
      <c r="B23984" t="str">
        <f>"1558150516"</f>
        <v>1558150516</v>
      </c>
      <c r="C23984" t="str">
        <f>"2084P0800X"</f>
        <v>2084P0800X</v>
      </c>
      <c r="D23984" t="str">
        <f>"GME                      UTHSC                    "</f>
        <v xml:space="preserve">GME                      UTHSC                    </v>
      </c>
      <c r="E23984" t="str">
        <f t="shared" si="668"/>
        <v xml:space="preserve">MEMPHIS                   </v>
      </c>
      <c r="F23984" t="str">
        <f t="shared" si="665"/>
        <v>TN</v>
      </c>
    </row>
    <row r="23985" spans="1:6" x14ac:dyDescent="0.25">
      <c r="A23985" t="str">
        <f>"200020036"</f>
        <v>200020036</v>
      </c>
      <c r="B23985" t="str">
        <f>"1508650391"</f>
        <v>1508650391</v>
      </c>
      <c r="C23985" t="str">
        <f>"207R00000X"</f>
        <v>207R00000X</v>
      </c>
      <c r="D23985" t="str">
        <f>"KHAN                     SOMAN                    "</f>
        <v xml:space="preserve">KHAN                     SOMAN                    </v>
      </c>
      <c r="E23985" t="str">
        <f t="shared" si="668"/>
        <v xml:space="preserve">MEMPHIS                   </v>
      </c>
      <c r="F23985" t="str">
        <f t="shared" si="665"/>
        <v>TN</v>
      </c>
    </row>
    <row r="23986" spans="1:6" x14ac:dyDescent="0.25">
      <c r="A23986" t="str">
        <f>"200020053"</f>
        <v>200020053</v>
      </c>
      <c r="B23986" t="str">
        <f>"1669574653"</f>
        <v>1669574653</v>
      </c>
      <c r="C23986" t="str">
        <f>"207R00000X"</f>
        <v>207R00000X</v>
      </c>
      <c r="D23986" t="str">
        <f>"ACHARYA                  SATYA                    "</f>
        <v xml:space="preserve">ACHARYA                  SATYA                    </v>
      </c>
      <c r="E23986" t="str">
        <f t="shared" si="668"/>
        <v xml:space="preserve">MEMPHIS                   </v>
      </c>
      <c r="F23986" t="str">
        <f t="shared" si="665"/>
        <v>TN</v>
      </c>
    </row>
    <row r="23987" spans="1:6" x14ac:dyDescent="0.25">
      <c r="A23987" t="str">
        <f>"200020056"</f>
        <v>200020056</v>
      </c>
      <c r="B23987" t="str">
        <f>"1124404066"</f>
        <v>1124404066</v>
      </c>
      <c r="C23987" t="str">
        <f>"207R00000X"</f>
        <v>207R00000X</v>
      </c>
      <c r="D23987" t="str">
        <f>"SOLIMAN                  FAISAL                   "</f>
        <v xml:space="preserve">SOLIMAN                  FAISAL                   </v>
      </c>
      <c r="E23987" t="str">
        <f t="shared" si="668"/>
        <v xml:space="preserve">MEMPHIS                   </v>
      </c>
      <c r="F23987" t="str">
        <f t="shared" si="665"/>
        <v>TN</v>
      </c>
    </row>
    <row r="23988" spans="1:6" x14ac:dyDescent="0.25">
      <c r="A23988" t="str">
        <f>"200020081"</f>
        <v>200020081</v>
      </c>
      <c r="B23988" t="str">
        <f>"1154116291"</f>
        <v>1154116291</v>
      </c>
      <c r="C23988" t="str">
        <f>"2084P0800X"</f>
        <v>2084P0800X</v>
      </c>
      <c r="D23988" t="str">
        <f>"ARSHAD                   MUHAMMAD     H           "</f>
        <v xml:space="preserve">ARSHAD                   MUHAMMAD     H           </v>
      </c>
      <c r="E23988" t="str">
        <f t="shared" si="668"/>
        <v xml:space="preserve">MEMPHIS                   </v>
      </c>
      <c r="F23988" t="str">
        <f t="shared" si="665"/>
        <v>TN</v>
      </c>
    </row>
    <row r="23989" spans="1:6" x14ac:dyDescent="0.25">
      <c r="A23989" t="str">
        <f>"200020104"</f>
        <v>200020104</v>
      </c>
      <c r="B23989" t="str">
        <f>"1922816370"</f>
        <v>1922816370</v>
      </c>
      <c r="C23989" t="str">
        <f>"363A00000X"</f>
        <v>363A00000X</v>
      </c>
      <c r="D23989" t="str">
        <f>"TANSEY                   ANNA         G           "</f>
        <v xml:space="preserve">TANSEY                   ANNA         G           </v>
      </c>
      <c r="E23989" t="str">
        <f>"ARLINGTON                 "</f>
        <v xml:space="preserve">ARLINGTON                 </v>
      </c>
      <c r="F23989" t="str">
        <f t="shared" si="665"/>
        <v>TN</v>
      </c>
    </row>
    <row r="23990" spans="1:6" x14ac:dyDescent="0.25">
      <c r="A23990" t="str">
        <f>"200020108"</f>
        <v>200020108</v>
      </c>
      <c r="B23990" t="str">
        <f>"1275092009"</f>
        <v>1275092009</v>
      </c>
      <c r="C23990" t="str">
        <f>"207RH0003X"</f>
        <v>207RH0003X</v>
      </c>
      <c r="D23990" t="str">
        <f>"VON BUTTLAR              XINYU                    "</f>
        <v xml:space="preserve">VON BUTTLAR              XINYU                    </v>
      </c>
      <c r="E23990" t="str">
        <f t="shared" ref="E23990:E23995" si="669">"MEMPHIS                   "</f>
        <v xml:space="preserve">MEMPHIS                   </v>
      </c>
      <c r="F23990" t="str">
        <f t="shared" si="665"/>
        <v>TN</v>
      </c>
    </row>
    <row r="23991" spans="1:6" x14ac:dyDescent="0.25">
      <c r="A23991" t="str">
        <f>"200020129"</f>
        <v>200020129</v>
      </c>
      <c r="B23991" t="str">
        <f>"1003043043"</f>
        <v>1003043043</v>
      </c>
      <c r="C23991" t="str">
        <f>"207RP1001X"</f>
        <v>207RP1001X</v>
      </c>
      <c r="D23991" t="str">
        <f>"MUDDASSIR                KHAWAJA                  "</f>
        <v xml:space="preserve">MUDDASSIR                KHAWAJA                  </v>
      </c>
      <c r="E23991" t="str">
        <f t="shared" si="669"/>
        <v xml:space="preserve">MEMPHIS                   </v>
      </c>
      <c r="F23991" t="str">
        <f t="shared" si="665"/>
        <v>TN</v>
      </c>
    </row>
    <row r="23992" spans="1:6" x14ac:dyDescent="0.25">
      <c r="A23992" t="str">
        <f>"200020142"</f>
        <v>200020142</v>
      </c>
      <c r="B23992" t="str">
        <f>"1356513394"</f>
        <v>1356513394</v>
      </c>
      <c r="C23992" t="str">
        <f>"207Q00000X"</f>
        <v>207Q00000X</v>
      </c>
      <c r="D23992" t="str">
        <f>"ZHOU                     FANG                     "</f>
        <v xml:space="preserve">ZHOU                     FANG                     </v>
      </c>
      <c r="E23992" t="str">
        <f t="shared" si="669"/>
        <v xml:space="preserve">MEMPHIS                   </v>
      </c>
      <c r="F23992" t="str">
        <f t="shared" si="665"/>
        <v>TN</v>
      </c>
    </row>
    <row r="23993" spans="1:6" x14ac:dyDescent="0.25">
      <c r="A23993" t="str">
        <f>"200020151"</f>
        <v>200020151</v>
      </c>
      <c r="B23993" t="str">
        <f>"1821627076"</f>
        <v>1821627076</v>
      </c>
      <c r="C23993" t="str">
        <f>"208M00000X"</f>
        <v>208M00000X</v>
      </c>
      <c r="D23993" t="str">
        <f>"FISHER                   MERLA                    "</f>
        <v xml:space="preserve">FISHER                   MERLA                    </v>
      </c>
      <c r="E23993" t="str">
        <f t="shared" si="669"/>
        <v xml:space="preserve">MEMPHIS                   </v>
      </c>
      <c r="F23993" t="str">
        <f t="shared" si="665"/>
        <v>TN</v>
      </c>
    </row>
    <row r="23994" spans="1:6" x14ac:dyDescent="0.25">
      <c r="A23994" t="str">
        <f>"200020152"</f>
        <v>200020152</v>
      </c>
      <c r="B23994" t="str">
        <f>"1861992505"</f>
        <v>1861992505</v>
      </c>
      <c r="C23994" t="str">
        <f>"207RC0200X"</f>
        <v>207RC0200X</v>
      </c>
      <c r="D23994" t="str">
        <f>"CONLON                   CHRISTIAN                "</f>
        <v xml:space="preserve">CONLON                   CHRISTIAN                </v>
      </c>
      <c r="E23994" t="str">
        <f t="shared" si="669"/>
        <v xml:space="preserve">MEMPHIS                   </v>
      </c>
      <c r="F23994" t="str">
        <f t="shared" si="665"/>
        <v>TN</v>
      </c>
    </row>
    <row r="23995" spans="1:6" x14ac:dyDescent="0.25">
      <c r="A23995" t="str">
        <f>"200020169"</f>
        <v>200020169</v>
      </c>
      <c r="B23995" t="str">
        <f>"1093509119"</f>
        <v>1093509119</v>
      </c>
      <c r="C23995" t="str">
        <f>"207R00000X"</f>
        <v>207R00000X</v>
      </c>
      <c r="D23995" t="str">
        <f>"BURLE                    VENKATASATHYA            "</f>
        <v xml:space="preserve">BURLE                    VENKATASATHYA            </v>
      </c>
      <c r="E23995" t="str">
        <f t="shared" si="669"/>
        <v xml:space="preserve">MEMPHIS                   </v>
      </c>
      <c r="F23995" t="str">
        <f t="shared" si="665"/>
        <v>TN</v>
      </c>
    </row>
    <row r="23996" spans="1:6" x14ac:dyDescent="0.25">
      <c r="A23996" t="str">
        <f>"200020179"</f>
        <v>200020179</v>
      </c>
      <c r="B23996" t="str">
        <f>"1558868455"</f>
        <v>1558868455</v>
      </c>
      <c r="C23996" t="str">
        <f>"208000000X"</f>
        <v>208000000X</v>
      </c>
      <c r="D23996" t="str">
        <f>"GILMARTIN                THOMAS                   "</f>
        <v xml:space="preserve">GILMARTIN                THOMAS                   </v>
      </c>
      <c r="E23996" t="str">
        <f>"NASHVILLE                 "</f>
        <v xml:space="preserve">NASHVILLE                 </v>
      </c>
      <c r="F23996" t="str">
        <f t="shared" si="665"/>
        <v>TN</v>
      </c>
    </row>
    <row r="23997" spans="1:6" x14ac:dyDescent="0.25">
      <c r="A23997" t="str">
        <f>"200020205"</f>
        <v>200020205</v>
      </c>
      <c r="B23997" t="str">
        <f>"1114418084"</f>
        <v>1114418084</v>
      </c>
      <c r="C23997" t="str">
        <f>"207L00000X"</f>
        <v>207L00000X</v>
      </c>
      <c r="D23997" t="str">
        <f>"MAHESHWARI               NEERAJ                   "</f>
        <v xml:space="preserve">MAHESHWARI               NEERAJ                   </v>
      </c>
      <c r="E23997" t="str">
        <f>"MEMPHIS                   "</f>
        <v xml:space="preserve">MEMPHIS                   </v>
      </c>
      <c r="F23997" t="str">
        <f t="shared" si="665"/>
        <v>TN</v>
      </c>
    </row>
    <row r="23998" spans="1:6" x14ac:dyDescent="0.25">
      <c r="A23998" t="str">
        <f>"200020214"</f>
        <v>200020214</v>
      </c>
      <c r="B23998" t="str">
        <f>"1013703966"</f>
        <v>1013703966</v>
      </c>
      <c r="C23998" t="str">
        <f>"363LG0600X"</f>
        <v>363LG0600X</v>
      </c>
      <c r="D23998" t="str">
        <f>"THETFORD                 CASSIDY                  "</f>
        <v xml:space="preserve">THETFORD                 CASSIDY                  </v>
      </c>
      <c r="E23998" t="str">
        <f>"MEMPHIS                   "</f>
        <v xml:space="preserve">MEMPHIS                   </v>
      </c>
      <c r="F23998" t="str">
        <f t="shared" ref="F23998:F24061" si="670">"TN"</f>
        <v>TN</v>
      </c>
    </row>
    <row r="23999" spans="1:6" x14ac:dyDescent="0.25">
      <c r="A23999" t="str">
        <f>"200020220"</f>
        <v>200020220</v>
      </c>
      <c r="B23999" t="str">
        <f>"1710741400"</f>
        <v>1710741400</v>
      </c>
      <c r="C23999" t="str">
        <f>"207R00000X"</f>
        <v>207R00000X</v>
      </c>
      <c r="D23999" t="str">
        <f>"SHEPARD                  ANNA                     "</f>
        <v xml:space="preserve">SHEPARD                  ANNA                     </v>
      </c>
      <c r="E23999" t="str">
        <f>"MEMPHIS                   "</f>
        <v xml:space="preserve">MEMPHIS                   </v>
      </c>
      <c r="F23999" t="str">
        <f t="shared" si="670"/>
        <v>TN</v>
      </c>
    </row>
    <row r="24000" spans="1:6" x14ac:dyDescent="0.25">
      <c r="A24000" t="str">
        <f>"200020238"</f>
        <v>200020238</v>
      </c>
      <c r="B24000" t="str">
        <f>"1639343346"</f>
        <v>1639343346</v>
      </c>
      <c r="C24000" t="str">
        <f>"207R00000X"</f>
        <v>207R00000X</v>
      </c>
      <c r="D24000" t="str">
        <f>"MONTGOMERY               JAY                      "</f>
        <v xml:space="preserve">MONTGOMERY               JAY                      </v>
      </c>
      <c r="E24000" t="str">
        <f>"NASHVILLE                 "</f>
        <v xml:space="preserve">NASHVILLE                 </v>
      </c>
      <c r="F24000" t="str">
        <f t="shared" si="670"/>
        <v>TN</v>
      </c>
    </row>
    <row r="24001" spans="1:6" x14ac:dyDescent="0.25">
      <c r="A24001" t="str">
        <f>"200020243"</f>
        <v>200020243</v>
      </c>
      <c r="B24001" t="str">
        <f>"1942934179"</f>
        <v>1942934179</v>
      </c>
      <c r="C24001" t="str">
        <f>"2084P0804X"</f>
        <v>2084P0804X</v>
      </c>
      <c r="D24001" t="str">
        <f>"ROBINSON                 ZACHARY                  "</f>
        <v xml:space="preserve">ROBINSON                 ZACHARY                  </v>
      </c>
      <c r="E24001" t="str">
        <f>"MEMPHIS                   "</f>
        <v xml:space="preserve">MEMPHIS                   </v>
      </c>
      <c r="F24001" t="str">
        <f t="shared" si="670"/>
        <v>TN</v>
      </c>
    </row>
    <row r="24002" spans="1:6" x14ac:dyDescent="0.25">
      <c r="A24002" t="str">
        <f>"200020286"</f>
        <v>200020286</v>
      </c>
      <c r="B24002" t="str">
        <f>"1598578346"</f>
        <v>1598578346</v>
      </c>
      <c r="C24002" t="str">
        <f>"363AM0700X"</f>
        <v>363AM0700X</v>
      </c>
      <c r="D24002" t="str">
        <f>"FRISCO                   JENNA        L           "</f>
        <v xml:space="preserve">FRISCO                   JENNA        L           </v>
      </c>
      <c r="E24002" t="str">
        <f>"ARLINGTON                 "</f>
        <v xml:space="preserve">ARLINGTON                 </v>
      </c>
      <c r="F24002" t="str">
        <f t="shared" si="670"/>
        <v>TN</v>
      </c>
    </row>
    <row r="24003" spans="1:6" x14ac:dyDescent="0.25">
      <c r="A24003" t="str">
        <f>"200020292"</f>
        <v>200020292</v>
      </c>
      <c r="B24003" t="str">
        <f>"1710771704"</f>
        <v>1710771704</v>
      </c>
      <c r="C24003" t="str">
        <f>"207R00000X"</f>
        <v>207R00000X</v>
      </c>
      <c r="D24003" t="str">
        <f>"HILLIARD                 GRANT                    "</f>
        <v xml:space="preserve">HILLIARD                 GRANT                    </v>
      </c>
      <c r="E24003" t="str">
        <f>"MEMPHIS                   "</f>
        <v xml:space="preserve">MEMPHIS                   </v>
      </c>
      <c r="F24003" t="str">
        <f t="shared" si="670"/>
        <v>TN</v>
      </c>
    </row>
    <row r="24004" spans="1:6" x14ac:dyDescent="0.25">
      <c r="A24004" t="str">
        <f>"200020296"</f>
        <v>200020296</v>
      </c>
      <c r="B24004" t="str">
        <f>"1467255091"</f>
        <v>1467255091</v>
      </c>
      <c r="C24004" t="str">
        <f>"208000000X"</f>
        <v>208000000X</v>
      </c>
      <c r="D24004" t="str">
        <f>"ROLLINS                  RYAN                     "</f>
        <v xml:space="preserve">ROLLINS                  RYAN                     </v>
      </c>
      <c r="E24004" t="str">
        <f>"MEMPHIS                   "</f>
        <v xml:space="preserve">MEMPHIS                   </v>
      </c>
      <c r="F24004" t="str">
        <f t="shared" si="670"/>
        <v>TN</v>
      </c>
    </row>
    <row r="24005" spans="1:6" x14ac:dyDescent="0.25">
      <c r="A24005" t="str">
        <f>"200020312"</f>
        <v>200020312</v>
      </c>
      <c r="B24005" t="str">
        <f>"1417018748"</f>
        <v>1417018748</v>
      </c>
      <c r="C24005" t="str">
        <f>"207L00000X"</f>
        <v>207L00000X</v>
      </c>
      <c r="D24005" t="str">
        <f>"PANOMITROS               GREGORY                  "</f>
        <v xml:space="preserve">PANOMITROS               GREGORY                  </v>
      </c>
      <c r="E24005" t="str">
        <f>"NASHVILLE                 "</f>
        <v xml:space="preserve">NASHVILLE                 </v>
      </c>
      <c r="F24005" t="str">
        <f t="shared" si="670"/>
        <v>TN</v>
      </c>
    </row>
    <row r="24006" spans="1:6" x14ac:dyDescent="0.25">
      <c r="A24006" t="str">
        <f>"200020318"</f>
        <v>200020318</v>
      </c>
      <c r="B24006" t="str">
        <f>"1518997220"</f>
        <v>1518997220</v>
      </c>
      <c r="C24006" t="str">
        <f>"2085R0202X"</f>
        <v>2085R0202X</v>
      </c>
      <c r="D24006" t="str">
        <f>"SALEM                    ARAM                     "</f>
        <v xml:space="preserve">SALEM                    ARAM                     </v>
      </c>
      <c r="E24006" t="str">
        <f t="shared" ref="E24006:E24011" si="671">"MEMPHIS                   "</f>
        <v xml:space="preserve">MEMPHIS                   </v>
      </c>
      <c r="F24006" t="str">
        <f t="shared" si="670"/>
        <v>TN</v>
      </c>
    </row>
    <row r="24007" spans="1:6" x14ac:dyDescent="0.25">
      <c r="A24007" t="str">
        <f>"200020325"</f>
        <v>200020325</v>
      </c>
      <c r="B24007" t="str">
        <f>"1023819174"</f>
        <v>1023819174</v>
      </c>
      <c r="C24007" t="str">
        <f>"207V00000X"</f>
        <v>207V00000X</v>
      </c>
      <c r="D24007" t="str">
        <f>"INGELMO                  KIMBERLY                 "</f>
        <v xml:space="preserve">INGELMO                  KIMBERLY                 </v>
      </c>
      <c r="E24007" t="str">
        <f t="shared" si="671"/>
        <v xml:space="preserve">MEMPHIS                   </v>
      </c>
      <c r="F24007" t="str">
        <f t="shared" si="670"/>
        <v>TN</v>
      </c>
    </row>
    <row r="24008" spans="1:6" x14ac:dyDescent="0.25">
      <c r="A24008" t="str">
        <f>"200020327"</f>
        <v>200020327</v>
      </c>
      <c r="B24008" t="str">
        <f>"1205626397"</f>
        <v>1205626397</v>
      </c>
      <c r="C24008" t="str">
        <f>"207V00000X"</f>
        <v>207V00000X</v>
      </c>
      <c r="D24008" t="str">
        <f>"COLE                     ALYSSA                   "</f>
        <v xml:space="preserve">COLE                     ALYSSA                   </v>
      </c>
      <c r="E24008" t="str">
        <f t="shared" si="671"/>
        <v xml:space="preserve">MEMPHIS                   </v>
      </c>
      <c r="F24008" t="str">
        <f t="shared" si="670"/>
        <v>TN</v>
      </c>
    </row>
    <row r="24009" spans="1:6" x14ac:dyDescent="0.25">
      <c r="A24009" t="str">
        <f>"200020335"</f>
        <v>200020335</v>
      </c>
      <c r="B24009" t="str">
        <f>"1023857869"</f>
        <v>1023857869</v>
      </c>
      <c r="C24009" t="str">
        <f>"363LF0000X"</f>
        <v>363LF0000X</v>
      </c>
      <c r="D24009" t="str">
        <f>"HARLAN                   JANE         A           "</f>
        <v xml:space="preserve">HARLAN                   JANE         A           </v>
      </c>
      <c r="E24009" t="str">
        <f t="shared" si="671"/>
        <v xml:space="preserve">MEMPHIS                   </v>
      </c>
      <c r="F24009" t="str">
        <f t="shared" si="670"/>
        <v>TN</v>
      </c>
    </row>
    <row r="24010" spans="1:6" x14ac:dyDescent="0.25">
      <c r="A24010" t="str">
        <f>"200020336"</f>
        <v>200020336</v>
      </c>
      <c r="B24010" t="str">
        <f>"1598571226"</f>
        <v>1598571226</v>
      </c>
      <c r="C24010" t="str">
        <f>"367500000X"</f>
        <v>367500000X</v>
      </c>
      <c r="D24010" t="str">
        <f>"PARISH                   JADA                     "</f>
        <v xml:space="preserve">PARISH                   JADA                     </v>
      </c>
      <c r="E24010" t="str">
        <f t="shared" si="671"/>
        <v xml:space="preserve">MEMPHIS                   </v>
      </c>
      <c r="F24010" t="str">
        <f t="shared" si="670"/>
        <v>TN</v>
      </c>
    </row>
    <row r="24011" spans="1:6" x14ac:dyDescent="0.25">
      <c r="A24011" t="str">
        <f>"200020339"</f>
        <v>200020339</v>
      </c>
      <c r="B24011" t="str">
        <f>"1578870853"</f>
        <v>1578870853</v>
      </c>
      <c r="C24011" t="str">
        <f>"363LF0000X"</f>
        <v>363LF0000X</v>
      </c>
      <c r="D24011" t="str">
        <f>"SCOTT                    ANGELA                   "</f>
        <v xml:space="preserve">SCOTT                    ANGELA                   </v>
      </c>
      <c r="E24011" t="str">
        <f t="shared" si="671"/>
        <v xml:space="preserve">MEMPHIS                   </v>
      </c>
      <c r="F24011" t="str">
        <f t="shared" si="670"/>
        <v>TN</v>
      </c>
    </row>
    <row r="24012" spans="1:6" x14ac:dyDescent="0.25">
      <c r="A24012" t="str">
        <f>"200020361"</f>
        <v>200020361</v>
      </c>
      <c r="B24012" t="str">
        <f>"1821594797"</f>
        <v>1821594797</v>
      </c>
      <c r="C24012" t="str">
        <f>"207RI0011X"</f>
        <v>207RI0011X</v>
      </c>
      <c r="D24012" t="str">
        <f>"RAJA                     JOEL         M           "</f>
        <v xml:space="preserve">RAJA                     JOEL         M           </v>
      </c>
      <c r="E24012" t="str">
        <f>"GERMANTOWN                "</f>
        <v xml:space="preserve">GERMANTOWN                </v>
      </c>
      <c r="F24012" t="str">
        <f t="shared" si="670"/>
        <v>TN</v>
      </c>
    </row>
    <row r="24013" spans="1:6" x14ac:dyDescent="0.25">
      <c r="A24013" t="str">
        <f>"200020381"</f>
        <v>200020381</v>
      </c>
      <c r="B24013" t="str">
        <f>"1114591534"</f>
        <v>1114591534</v>
      </c>
      <c r="C24013" t="str">
        <f>"207P00000X"</f>
        <v>207P00000X</v>
      </c>
      <c r="D24013" t="str">
        <f>"BECKER                   JUSTIN       C           "</f>
        <v xml:space="preserve">BECKER                   JUSTIN       C           </v>
      </c>
      <c r="E24013" t="str">
        <f>"ARLINGTON                 "</f>
        <v xml:space="preserve">ARLINGTON                 </v>
      </c>
      <c r="F24013" t="str">
        <f t="shared" si="670"/>
        <v>TN</v>
      </c>
    </row>
    <row r="24014" spans="1:6" x14ac:dyDescent="0.25">
      <c r="A24014" t="str">
        <f>"200020388"</f>
        <v>200020388</v>
      </c>
      <c r="B24014" t="str">
        <f>"1295390516"</f>
        <v>1295390516</v>
      </c>
      <c r="C24014" t="str">
        <f>"207R00000X"</f>
        <v>207R00000X</v>
      </c>
      <c r="D24014" t="str">
        <f>"JONES                    TERRENCE                 "</f>
        <v xml:space="preserve">JONES                    TERRENCE                 </v>
      </c>
      <c r="E24014" t="str">
        <f t="shared" ref="E24014:E24022" si="672">"MEMPHIS                   "</f>
        <v xml:space="preserve">MEMPHIS                   </v>
      </c>
      <c r="F24014" t="str">
        <f t="shared" si="670"/>
        <v>TN</v>
      </c>
    </row>
    <row r="24015" spans="1:6" x14ac:dyDescent="0.25">
      <c r="A24015" t="str">
        <f>"200020409"</f>
        <v>200020409</v>
      </c>
      <c r="B24015" t="str">
        <f>"1598187452"</f>
        <v>1598187452</v>
      </c>
      <c r="C24015" t="str">
        <f>"363LF0000X"</f>
        <v>363LF0000X</v>
      </c>
      <c r="D24015" t="str">
        <f>"DAVIS                    KELLY                    "</f>
        <v xml:space="preserve">DAVIS                    KELLY                    </v>
      </c>
      <c r="E24015" t="str">
        <f t="shared" si="672"/>
        <v xml:space="preserve">MEMPHIS                   </v>
      </c>
      <c r="F24015" t="str">
        <f t="shared" si="670"/>
        <v>TN</v>
      </c>
    </row>
    <row r="24016" spans="1:6" x14ac:dyDescent="0.25">
      <c r="A24016" t="str">
        <f>"200020411"</f>
        <v>200020411</v>
      </c>
      <c r="B24016" t="str">
        <f>"1265938757"</f>
        <v>1265938757</v>
      </c>
      <c r="C24016" t="str">
        <f>"207P00000X"</f>
        <v>207P00000X</v>
      </c>
      <c r="D24016" t="str">
        <f>"GONZALEZ                 SARA                     "</f>
        <v xml:space="preserve">GONZALEZ                 SARA                     </v>
      </c>
      <c r="E24016" t="str">
        <f t="shared" si="672"/>
        <v xml:space="preserve">MEMPHIS                   </v>
      </c>
      <c r="F24016" t="str">
        <f t="shared" si="670"/>
        <v>TN</v>
      </c>
    </row>
    <row r="24017" spans="1:6" x14ac:dyDescent="0.25">
      <c r="A24017" t="str">
        <f>"200020419"</f>
        <v>200020419</v>
      </c>
      <c r="B24017" t="str">
        <f>"1689807455"</f>
        <v>1689807455</v>
      </c>
      <c r="C24017" t="str">
        <f>"207RN0300X"</f>
        <v>207RN0300X</v>
      </c>
      <c r="D24017" t="str">
        <f>"VO                       HIEU                     "</f>
        <v xml:space="preserve">VO                       HIEU                     </v>
      </c>
      <c r="E24017" t="str">
        <f t="shared" si="672"/>
        <v xml:space="preserve">MEMPHIS                   </v>
      </c>
      <c r="F24017" t="str">
        <f t="shared" si="670"/>
        <v>TN</v>
      </c>
    </row>
    <row r="24018" spans="1:6" x14ac:dyDescent="0.25">
      <c r="A24018" t="str">
        <f>"200020421"</f>
        <v>200020421</v>
      </c>
      <c r="B24018" t="str">
        <f>"1316148547"</f>
        <v>1316148547</v>
      </c>
      <c r="C24018" t="str">
        <f>"207RH0003X"</f>
        <v>207RH0003X</v>
      </c>
      <c r="D24018" t="str">
        <f>"RANDOLPH                 BRION                    "</f>
        <v xml:space="preserve">RANDOLPH                 BRION                    </v>
      </c>
      <c r="E24018" t="str">
        <f t="shared" si="672"/>
        <v xml:space="preserve">MEMPHIS                   </v>
      </c>
      <c r="F24018" t="str">
        <f t="shared" si="670"/>
        <v>TN</v>
      </c>
    </row>
    <row r="24019" spans="1:6" x14ac:dyDescent="0.25">
      <c r="A24019" t="str">
        <f>"200020424"</f>
        <v>200020424</v>
      </c>
      <c r="B24019" t="str">
        <f>"1063978948"</f>
        <v>1063978948</v>
      </c>
      <c r="C24019" t="str">
        <f>"363LF0000X"</f>
        <v>363LF0000X</v>
      </c>
      <c r="D24019" t="str">
        <f>"WRIGHT                   KATHYRN                  "</f>
        <v xml:space="preserve">WRIGHT                   KATHYRN                  </v>
      </c>
      <c r="E24019" t="str">
        <f t="shared" si="672"/>
        <v xml:space="preserve">MEMPHIS                   </v>
      </c>
      <c r="F24019" t="str">
        <f t="shared" si="670"/>
        <v>TN</v>
      </c>
    </row>
    <row r="24020" spans="1:6" x14ac:dyDescent="0.25">
      <c r="A24020" t="str">
        <f>"200020425"</f>
        <v>200020425</v>
      </c>
      <c r="B24020" t="str">
        <f>"1992119937"</f>
        <v>1992119937</v>
      </c>
      <c r="C24020" t="str">
        <f>"207L00000X"</f>
        <v>207L00000X</v>
      </c>
      <c r="D24020" t="str">
        <f>"THIMMARAYAN              GOKUL                    "</f>
        <v xml:space="preserve">THIMMARAYAN              GOKUL                    </v>
      </c>
      <c r="E24020" t="str">
        <f t="shared" si="672"/>
        <v xml:space="preserve">MEMPHIS                   </v>
      </c>
      <c r="F24020" t="str">
        <f t="shared" si="670"/>
        <v>TN</v>
      </c>
    </row>
    <row r="24021" spans="1:6" x14ac:dyDescent="0.25">
      <c r="A24021" t="str">
        <f>"200020431"</f>
        <v>200020431</v>
      </c>
      <c r="B24021" t="str">
        <f>"1831170612"</f>
        <v>1831170612</v>
      </c>
      <c r="C24021" t="str">
        <f>"207RG0100X"</f>
        <v>207RG0100X</v>
      </c>
      <c r="D24021" t="str">
        <f>"NEW                      MARC                     "</f>
        <v xml:space="preserve">NEW                      MARC                     </v>
      </c>
      <c r="E24021" t="str">
        <f t="shared" si="672"/>
        <v xml:space="preserve">MEMPHIS                   </v>
      </c>
      <c r="F24021" t="str">
        <f t="shared" si="670"/>
        <v>TN</v>
      </c>
    </row>
    <row r="24022" spans="1:6" x14ac:dyDescent="0.25">
      <c r="A24022" t="str">
        <f>"200020432"</f>
        <v>200020432</v>
      </c>
      <c r="B24022" t="str">
        <f>"1932849189"</f>
        <v>1932849189</v>
      </c>
      <c r="C24022" t="str">
        <f>"208000000X"</f>
        <v>208000000X</v>
      </c>
      <c r="D24022" t="str">
        <f>"CLAIR                    BRENDAN                  "</f>
        <v xml:space="preserve">CLAIR                    BRENDAN                  </v>
      </c>
      <c r="E24022" t="str">
        <f t="shared" si="672"/>
        <v xml:space="preserve">MEMPHIS                   </v>
      </c>
      <c r="F24022" t="str">
        <f t="shared" si="670"/>
        <v>TN</v>
      </c>
    </row>
    <row r="24023" spans="1:6" x14ac:dyDescent="0.25">
      <c r="A24023" t="str">
        <f>"200020436"</f>
        <v>200020436</v>
      </c>
      <c r="B24023" t="str">
        <f>"1821860354"</f>
        <v>1821860354</v>
      </c>
      <c r="C24023" t="str">
        <f>"207W00000X"</f>
        <v>207W00000X</v>
      </c>
      <c r="D24023" t="str">
        <f>"CENGIZ                   OSMAN                    "</f>
        <v xml:space="preserve">CENGIZ                   OSMAN                    </v>
      </c>
      <c r="E24023" t="str">
        <f>"GERMANTOWN                "</f>
        <v xml:space="preserve">GERMANTOWN                </v>
      </c>
      <c r="F24023" t="str">
        <f t="shared" si="670"/>
        <v>TN</v>
      </c>
    </row>
    <row r="24024" spans="1:6" x14ac:dyDescent="0.25">
      <c r="A24024" t="str">
        <f>"200020456"</f>
        <v>200020456</v>
      </c>
      <c r="B24024" t="str">
        <f>"1366191207"</f>
        <v>1366191207</v>
      </c>
      <c r="C24024" t="str">
        <f>"207R00000X"</f>
        <v>207R00000X</v>
      </c>
      <c r="D24024" t="str">
        <f>"CLOUD                    JAMES                    "</f>
        <v xml:space="preserve">CLOUD                    JAMES                    </v>
      </c>
      <c r="E24024" t="str">
        <f>"MEMPHIS                   "</f>
        <v xml:space="preserve">MEMPHIS                   </v>
      </c>
      <c r="F24024" t="str">
        <f t="shared" si="670"/>
        <v>TN</v>
      </c>
    </row>
    <row r="24025" spans="1:6" x14ac:dyDescent="0.25">
      <c r="A24025" t="str">
        <f>"200020457"</f>
        <v>200020457</v>
      </c>
      <c r="B24025" t="str">
        <f>"1629727664"</f>
        <v>1629727664</v>
      </c>
      <c r="C24025" t="str">
        <f>"363LP0200X"</f>
        <v>363LP0200X</v>
      </c>
      <c r="D24025" t="str">
        <f>"DEAN                     KATHERINE                "</f>
        <v xml:space="preserve">DEAN                     KATHERINE                </v>
      </c>
      <c r="E24025" t="str">
        <f>"MEMPHIS                   "</f>
        <v xml:space="preserve">MEMPHIS                   </v>
      </c>
      <c r="F24025" t="str">
        <f t="shared" si="670"/>
        <v>TN</v>
      </c>
    </row>
    <row r="24026" spans="1:6" x14ac:dyDescent="0.25">
      <c r="A24026" t="str">
        <f>"200020468"</f>
        <v>200020468</v>
      </c>
      <c r="B24026" t="str">
        <f>"1598559122"</f>
        <v>1598559122</v>
      </c>
      <c r="C24026" t="str">
        <f>"207Y00000X"</f>
        <v>207Y00000X</v>
      </c>
      <c r="D24026" t="str">
        <f>"PUTNAM                   PAUL         M           "</f>
        <v xml:space="preserve">PUTNAM                   PAUL         M           </v>
      </c>
      <c r="E24026" t="str">
        <f>"MEMPHIS                   "</f>
        <v xml:space="preserve">MEMPHIS                   </v>
      </c>
      <c r="F24026" t="str">
        <f t="shared" si="670"/>
        <v>TN</v>
      </c>
    </row>
    <row r="24027" spans="1:6" x14ac:dyDescent="0.25">
      <c r="A24027" t="str">
        <f>"200020469"</f>
        <v>200020469</v>
      </c>
      <c r="B24027" t="str">
        <f>"1013258243"</f>
        <v>1013258243</v>
      </c>
      <c r="C24027" t="str">
        <f>"363AM0700X"</f>
        <v>363AM0700X</v>
      </c>
      <c r="D24027" t="str">
        <f>"VARNER                   ZOE                      "</f>
        <v xml:space="preserve">VARNER                   ZOE                      </v>
      </c>
      <c r="E24027" t="str">
        <f>"GERMANTOWN                "</f>
        <v xml:space="preserve">GERMANTOWN                </v>
      </c>
      <c r="F24027" t="str">
        <f t="shared" si="670"/>
        <v>TN</v>
      </c>
    </row>
    <row r="24028" spans="1:6" x14ac:dyDescent="0.25">
      <c r="A24028" t="str">
        <f>"200020486"</f>
        <v>200020486</v>
      </c>
      <c r="B24028" t="str">
        <f>"1427291038"</f>
        <v>1427291038</v>
      </c>
      <c r="C24028" t="str">
        <f>"2080P0205X"</f>
        <v>2080P0205X</v>
      </c>
      <c r="D24028" t="str">
        <f>"BRADY                    CASSANDRA                "</f>
        <v xml:space="preserve">BRADY                    CASSANDRA                </v>
      </c>
      <c r="E24028" t="str">
        <f>"NASHVILLE                 "</f>
        <v xml:space="preserve">NASHVILLE                 </v>
      </c>
      <c r="F24028" t="str">
        <f t="shared" si="670"/>
        <v>TN</v>
      </c>
    </row>
    <row r="24029" spans="1:6" x14ac:dyDescent="0.25">
      <c r="A24029" t="str">
        <f>"200020492"</f>
        <v>200020492</v>
      </c>
      <c r="B24029" t="str">
        <f>"1942973516"</f>
        <v>1942973516</v>
      </c>
      <c r="C24029" t="str">
        <f>"2085P0229X"</f>
        <v>2085P0229X</v>
      </c>
      <c r="D24029" t="str">
        <f>"DOBARIA                  DUSHYANT                 "</f>
        <v xml:space="preserve">DOBARIA                  DUSHYANT                 </v>
      </c>
      <c r="E24029" t="str">
        <f>"MEMPHIS                   "</f>
        <v xml:space="preserve">MEMPHIS                   </v>
      </c>
      <c r="F24029" t="str">
        <f t="shared" si="670"/>
        <v>TN</v>
      </c>
    </row>
    <row r="24030" spans="1:6" x14ac:dyDescent="0.25">
      <c r="A24030" t="str">
        <f>"200020496"</f>
        <v>200020496</v>
      </c>
      <c r="B24030" t="str">
        <f>"1588654685"</f>
        <v>1588654685</v>
      </c>
      <c r="C24030" t="str">
        <f>"207R00000X"</f>
        <v>207R00000X</v>
      </c>
      <c r="D24030" t="str">
        <f>"LEE                      KATHY                    "</f>
        <v xml:space="preserve">LEE                      KATHY                    </v>
      </c>
      <c r="E24030" t="str">
        <f>"MEMPHIS                   "</f>
        <v xml:space="preserve">MEMPHIS                   </v>
      </c>
      <c r="F24030" t="str">
        <f t="shared" si="670"/>
        <v>TN</v>
      </c>
    </row>
    <row r="24031" spans="1:6" x14ac:dyDescent="0.25">
      <c r="A24031" t="str">
        <f>"200020512"</f>
        <v>200020512</v>
      </c>
      <c r="B24031" t="str">
        <f>"1700227196"</f>
        <v>1700227196</v>
      </c>
      <c r="C24031" t="str">
        <f>"363LF0000X"</f>
        <v>363LF0000X</v>
      </c>
      <c r="D24031" t="str">
        <f>"HOLLAND                  ASHLEY                   "</f>
        <v xml:space="preserve">HOLLAND                  ASHLEY                   </v>
      </c>
      <c r="E24031" t="str">
        <f>"MEMPHIS                   "</f>
        <v xml:space="preserve">MEMPHIS                   </v>
      </c>
      <c r="F24031" t="str">
        <f t="shared" si="670"/>
        <v>TN</v>
      </c>
    </row>
    <row r="24032" spans="1:6" x14ac:dyDescent="0.25">
      <c r="A24032" t="str">
        <f>"200020516"</f>
        <v>200020516</v>
      </c>
      <c r="B24032" t="str">
        <f>"1942898408"</f>
        <v>1942898408</v>
      </c>
      <c r="C24032" t="str">
        <f>"363L00000X"</f>
        <v>363L00000X</v>
      </c>
      <c r="D24032" t="str">
        <f>"SCHIVERS                 MICHELLE                 "</f>
        <v xml:space="preserve">SCHIVERS                 MICHELLE                 </v>
      </c>
      <c r="E24032" t="str">
        <f>"MEMPHIS                   "</f>
        <v xml:space="preserve">MEMPHIS                   </v>
      </c>
      <c r="F24032" t="str">
        <f t="shared" si="670"/>
        <v>TN</v>
      </c>
    </row>
    <row r="24033" spans="1:6" x14ac:dyDescent="0.25">
      <c r="A24033" t="str">
        <f>"200020540"</f>
        <v>200020540</v>
      </c>
      <c r="B24033" t="str">
        <f>"1619395258"</f>
        <v>1619395258</v>
      </c>
      <c r="C24033" t="str">
        <f>"2080P0207X"</f>
        <v>2080P0207X</v>
      </c>
      <c r="D24033" t="str">
        <f>"EPPERLY                  REBECCA                  "</f>
        <v xml:space="preserve">EPPERLY                  REBECCA                  </v>
      </c>
      <c r="E24033" t="str">
        <f>"MEMPHIS                   "</f>
        <v xml:space="preserve">MEMPHIS                   </v>
      </c>
      <c r="F24033" t="str">
        <f t="shared" si="670"/>
        <v>TN</v>
      </c>
    </row>
    <row r="24034" spans="1:6" x14ac:dyDescent="0.25">
      <c r="A24034" t="str">
        <f>"200020544"</f>
        <v>200020544</v>
      </c>
      <c r="B24034" t="str">
        <f>"1205839727"</f>
        <v>1205839727</v>
      </c>
      <c r="C24034" t="str">
        <f>"367500000X"</f>
        <v>367500000X</v>
      </c>
      <c r="D24034" t="str">
        <f>"BANKS                    TONEY                    "</f>
        <v xml:space="preserve">BANKS                    TONEY                    </v>
      </c>
      <c r="E24034" t="str">
        <f>"GERMANTOWN                "</f>
        <v xml:space="preserve">GERMANTOWN                </v>
      </c>
      <c r="F24034" t="str">
        <f t="shared" si="670"/>
        <v>TN</v>
      </c>
    </row>
    <row r="24035" spans="1:6" x14ac:dyDescent="0.25">
      <c r="A24035" t="str">
        <f>"200020545"</f>
        <v>200020545</v>
      </c>
      <c r="B24035" t="str">
        <f>"1114908639"</f>
        <v>1114908639</v>
      </c>
      <c r="C24035" t="str">
        <f>"207V00000X"</f>
        <v>207V00000X</v>
      </c>
      <c r="D24035" t="str">
        <f>"HOMSI                    RIAD         I           "</f>
        <v xml:space="preserve">HOMSI                    RIAD         I           </v>
      </c>
      <c r="E24035" t="str">
        <f>"MEMPHIS                   "</f>
        <v xml:space="preserve">MEMPHIS                   </v>
      </c>
      <c r="F24035" t="str">
        <f t="shared" si="670"/>
        <v>TN</v>
      </c>
    </row>
    <row r="24036" spans="1:6" x14ac:dyDescent="0.25">
      <c r="A24036" t="str">
        <f>"200020556"</f>
        <v>200020556</v>
      </c>
      <c r="B24036" t="str">
        <f>"1780203620"</f>
        <v>1780203620</v>
      </c>
      <c r="C24036" t="str">
        <f>"207P00000X"</f>
        <v>207P00000X</v>
      </c>
      <c r="D24036" t="str">
        <f>"COSTERS                  VINCENT                  "</f>
        <v xml:space="preserve">COSTERS                  VINCENT                  </v>
      </c>
      <c r="E24036" t="str">
        <f>"ARLINGTON                 "</f>
        <v xml:space="preserve">ARLINGTON                 </v>
      </c>
      <c r="F24036" t="str">
        <f t="shared" si="670"/>
        <v>TN</v>
      </c>
    </row>
    <row r="24037" spans="1:6" x14ac:dyDescent="0.25">
      <c r="A24037" t="str">
        <f>"200020568"</f>
        <v>200020568</v>
      </c>
      <c r="B24037" t="str">
        <f>"1386386092"</f>
        <v>1386386092</v>
      </c>
      <c r="C24037" t="str">
        <f>"207R00000X"</f>
        <v>207R00000X</v>
      </c>
      <c r="D24037" t="str">
        <f>"HIGUERA                  JUAN                     "</f>
        <v xml:space="preserve">HIGUERA                  JUAN                     </v>
      </c>
      <c r="E24037" t="str">
        <f t="shared" ref="E24037:E24042" si="673">"MEMPHIS                   "</f>
        <v xml:space="preserve">MEMPHIS                   </v>
      </c>
      <c r="F24037" t="str">
        <f t="shared" si="670"/>
        <v>TN</v>
      </c>
    </row>
    <row r="24038" spans="1:6" x14ac:dyDescent="0.25">
      <c r="A24038" t="str">
        <f>"200020571"</f>
        <v>200020571</v>
      </c>
      <c r="B24038" t="str">
        <f>"1083190359"</f>
        <v>1083190359</v>
      </c>
      <c r="C24038" t="str">
        <f>"363LF0000X"</f>
        <v>363LF0000X</v>
      </c>
      <c r="D24038" t="str">
        <f>"CHARLES                  NICOLE                   "</f>
        <v xml:space="preserve">CHARLES                  NICOLE                   </v>
      </c>
      <c r="E24038" t="str">
        <f t="shared" si="673"/>
        <v xml:space="preserve">MEMPHIS                   </v>
      </c>
      <c r="F24038" t="str">
        <f t="shared" si="670"/>
        <v>TN</v>
      </c>
    </row>
    <row r="24039" spans="1:6" x14ac:dyDescent="0.25">
      <c r="A24039" t="str">
        <f>"200020581"</f>
        <v>200020581</v>
      </c>
      <c r="B24039" t="str">
        <f>"1548836182"</f>
        <v>1548836182</v>
      </c>
      <c r="C24039" t="str">
        <f>"207Q00000X"</f>
        <v>207Q00000X</v>
      </c>
      <c r="D24039" t="str">
        <f>"MASOODI                  ADBULLAH                 "</f>
        <v xml:space="preserve">MASOODI                  ADBULLAH                 </v>
      </c>
      <c r="E24039" t="str">
        <f t="shared" si="673"/>
        <v xml:space="preserve">MEMPHIS                   </v>
      </c>
      <c r="F24039" t="str">
        <f t="shared" si="670"/>
        <v>TN</v>
      </c>
    </row>
    <row r="24040" spans="1:6" x14ac:dyDescent="0.25">
      <c r="A24040" t="str">
        <f>"200020586"</f>
        <v>200020586</v>
      </c>
      <c r="B24040" t="str">
        <f>"1720309750"</f>
        <v>1720309750</v>
      </c>
      <c r="C24040" t="str">
        <f>"207V00000X"</f>
        <v>207V00000X</v>
      </c>
      <c r="D24040" t="str">
        <f>"JOHNSON                  MARY         K           "</f>
        <v xml:space="preserve">JOHNSON                  MARY         K           </v>
      </c>
      <c r="E24040" t="str">
        <f t="shared" si="673"/>
        <v xml:space="preserve">MEMPHIS                   </v>
      </c>
      <c r="F24040" t="str">
        <f t="shared" si="670"/>
        <v>TN</v>
      </c>
    </row>
    <row r="24041" spans="1:6" x14ac:dyDescent="0.25">
      <c r="A24041" t="str">
        <f>"200020592"</f>
        <v>200020592</v>
      </c>
      <c r="B24041" t="str">
        <f>"1053490417"</f>
        <v>1053490417</v>
      </c>
      <c r="C24041" t="str">
        <f>"208600000X"</f>
        <v>208600000X</v>
      </c>
      <c r="D24041" t="str">
        <f>"SWAFFORD                 CRAIG                    "</f>
        <v xml:space="preserve">SWAFFORD                 CRAIG                    </v>
      </c>
      <c r="E24041" t="str">
        <f t="shared" si="673"/>
        <v xml:space="preserve">MEMPHIS                   </v>
      </c>
      <c r="F24041" t="str">
        <f t="shared" si="670"/>
        <v>TN</v>
      </c>
    </row>
    <row r="24042" spans="1:6" x14ac:dyDescent="0.25">
      <c r="A24042" t="str">
        <f>"200020594"</f>
        <v>200020594</v>
      </c>
      <c r="B24042" t="str">
        <f>"1558436337"</f>
        <v>1558436337</v>
      </c>
      <c r="C24042" t="str">
        <f>"207RX0202X"</f>
        <v>207RX0202X</v>
      </c>
      <c r="D24042" t="str">
        <f>"HAYES                    DAVID                    "</f>
        <v xml:space="preserve">HAYES                    DAVID                    </v>
      </c>
      <c r="E24042" t="str">
        <f t="shared" si="673"/>
        <v xml:space="preserve">MEMPHIS                   </v>
      </c>
      <c r="F24042" t="str">
        <f t="shared" si="670"/>
        <v>TN</v>
      </c>
    </row>
    <row r="24043" spans="1:6" x14ac:dyDescent="0.25">
      <c r="A24043" t="str">
        <f>"200020620"</f>
        <v>200020620</v>
      </c>
      <c r="B24043" t="str">
        <f>"1558323501"</f>
        <v>1558323501</v>
      </c>
      <c r="C24043" t="str">
        <f>"207X00000X"</f>
        <v>207X00000X</v>
      </c>
      <c r="D24043" t="str">
        <f>"LINDY                    PETER        B           "</f>
        <v xml:space="preserve">LINDY                    PETER        B           </v>
      </c>
      <c r="E24043" t="str">
        <f>"GERMANTOWN                "</f>
        <v xml:space="preserve">GERMANTOWN                </v>
      </c>
      <c r="F24043" t="str">
        <f t="shared" si="670"/>
        <v>TN</v>
      </c>
    </row>
    <row r="24044" spans="1:6" x14ac:dyDescent="0.25">
      <c r="A24044" t="str">
        <f>"200020627"</f>
        <v>200020627</v>
      </c>
      <c r="B24044" t="str">
        <f>"1932912458"</f>
        <v>1932912458</v>
      </c>
      <c r="C24044" t="str">
        <f>"363LP0200X"</f>
        <v>363LP0200X</v>
      </c>
      <c r="D24044" t="str">
        <f>"PARNELL                  CHRISTEN     N           "</f>
        <v xml:space="preserve">PARNELL                  CHRISTEN     N           </v>
      </c>
      <c r="E24044" t="str">
        <f>"MEMPHIS                   "</f>
        <v xml:space="preserve">MEMPHIS                   </v>
      </c>
      <c r="F24044" t="str">
        <f t="shared" si="670"/>
        <v>TN</v>
      </c>
    </row>
    <row r="24045" spans="1:6" x14ac:dyDescent="0.25">
      <c r="A24045" t="str">
        <f>"200020637"</f>
        <v>200020637</v>
      </c>
      <c r="B24045" t="str">
        <f>"1194519215"</f>
        <v>1194519215</v>
      </c>
      <c r="C24045" t="str">
        <f>"207R00000X"</f>
        <v>207R00000X</v>
      </c>
      <c r="D24045" t="str">
        <f>"KARNES                   BETHANY                  "</f>
        <v xml:space="preserve">KARNES                   BETHANY                  </v>
      </c>
      <c r="E24045" t="str">
        <f>"MEMPHIS                   "</f>
        <v xml:space="preserve">MEMPHIS                   </v>
      </c>
      <c r="F24045" t="str">
        <f t="shared" si="670"/>
        <v>TN</v>
      </c>
    </row>
    <row r="24046" spans="1:6" x14ac:dyDescent="0.25">
      <c r="A24046" t="str">
        <f>"200020669"</f>
        <v>200020669</v>
      </c>
      <c r="B24046" t="str">
        <f>"1942945100"</f>
        <v>1942945100</v>
      </c>
      <c r="C24046" t="str">
        <f>"207R00000X"</f>
        <v>207R00000X</v>
      </c>
      <c r="D24046" t="str">
        <f>"PATEL                    KEVIN                    "</f>
        <v xml:space="preserve">PATEL                    KEVIN                    </v>
      </c>
      <c r="E24046" t="str">
        <f>"MEMPHIS                   "</f>
        <v xml:space="preserve">MEMPHIS                   </v>
      </c>
      <c r="F24046" t="str">
        <f t="shared" si="670"/>
        <v>TN</v>
      </c>
    </row>
    <row r="24047" spans="1:6" x14ac:dyDescent="0.25">
      <c r="A24047" t="str">
        <f>"200020690"</f>
        <v>200020690</v>
      </c>
      <c r="B24047" t="str">
        <f>"1013238054"</f>
        <v>1013238054</v>
      </c>
      <c r="C24047" t="str">
        <f>"207V00000X"</f>
        <v>207V00000X</v>
      </c>
      <c r="D24047" t="str">
        <f>"WILLIAMS                 JASON                    "</f>
        <v xml:space="preserve">WILLIAMS                 JASON                    </v>
      </c>
      <c r="E24047" t="str">
        <f>"MEMPHIS                   "</f>
        <v xml:space="preserve">MEMPHIS                   </v>
      </c>
      <c r="F24047" t="str">
        <f t="shared" si="670"/>
        <v>TN</v>
      </c>
    </row>
    <row r="24048" spans="1:6" x14ac:dyDescent="0.25">
      <c r="A24048" t="str">
        <f>"200020696"</f>
        <v>200020696</v>
      </c>
      <c r="B24048" t="str">
        <f>"1811659394"</f>
        <v>1811659394</v>
      </c>
      <c r="C24048" t="str">
        <f>"363LF0000X"</f>
        <v>363LF0000X</v>
      </c>
      <c r="D24048" t="str">
        <f>"ROLEN                    MOLLY                    "</f>
        <v xml:space="preserve">ROLEN                    MOLLY                    </v>
      </c>
      <c r="E24048" t="str">
        <f>"GERMANTOWN                "</f>
        <v xml:space="preserve">GERMANTOWN                </v>
      </c>
      <c r="F24048" t="str">
        <f t="shared" si="670"/>
        <v>TN</v>
      </c>
    </row>
    <row r="24049" spans="1:6" x14ac:dyDescent="0.25">
      <c r="A24049" t="str">
        <f>"200020698"</f>
        <v>200020698</v>
      </c>
      <c r="B24049" t="str">
        <f>"1376365270"</f>
        <v>1376365270</v>
      </c>
      <c r="C24049" t="str">
        <f>"367500000X"</f>
        <v>367500000X</v>
      </c>
      <c r="D24049" t="str">
        <f>"WHITE                    HANNAH       G           "</f>
        <v xml:space="preserve">WHITE                    HANNAH       G           </v>
      </c>
      <c r="E24049" t="str">
        <f>"MEMPHIS                   "</f>
        <v xml:space="preserve">MEMPHIS                   </v>
      </c>
      <c r="F24049" t="str">
        <f t="shared" si="670"/>
        <v>TN</v>
      </c>
    </row>
    <row r="24050" spans="1:6" x14ac:dyDescent="0.25">
      <c r="A24050" t="str">
        <f>"200020738"</f>
        <v>200020738</v>
      </c>
      <c r="B24050" t="str">
        <f>"1184484933"</f>
        <v>1184484933</v>
      </c>
      <c r="C24050" t="str">
        <f>"363LA2100X"</f>
        <v>363LA2100X</v>
      </c>
      <c r="D24050" t="str">
        <f>"HAYES                    NYKIEA                   "</f>
        <v xml:space="preserve">HAYES                    NYKIEA                   </v>
      </c>
      <c r="E24050" t="str">
        <f>"MEMPHIS                   "</f>
        <v xml:space="preserve">MEMPHIS                   </v>
      </c>
      <c r="F24050" t="str">
        <f t="shared" si="670"/>
        <v>TN</v>
      </c>
    </row>
    <row r="24051" spans="1:6" x14ac:dyDescent="0.25">
      <c r="A24051" t="str">
        <f>"200020743"</f>
        <v>200020743</v>
      </c>
      <c r="B24051" t="str">
        <f>"1790508349"</f>
        <v>1790508349</v>
      </c>
      <c r="C24051" t="str">
        <f>"367500000X"</f>
        <v>367500000X</v>
      </c>
      <c r="D24051" t="str">
        <f>"CALLONAS                 MICHAEL                  "</f>
        <v xml:space="preserve">CALLONAS                 MICHAEL                  </v>
      </c>
      <c r="E24051" t="str">
        <f>"MEMPHIS                   "</f>
        <v xml:space="preserve">MEMPHIS                   </v>
      </c>
      <c r="F24051" t="str">
        <f t="shared" si="670"/>
        <v>TN</v>
      </c>
    </row>
    <row r="24052" spans="1:6" x14ac:dyDescent="0.25">
      <c r="A24052" t="str">
        <f>"200020755"</f>
        <v>200020755</v>
      </c>
      <c r="B24052" t="str">
        <f>"1699230037"</f>
        <v>1699230037</v>
      </c>
      <c r="C24052" t="str">
        <f>"363LF0000X"</f>
        <v>363LF0000X</v>
      </c>
      <c r="D24052" t="str">
        <f>"CARRUTHERS               KATHARINE                "</f>
        <v xml:space="preserve">CARRUTHERS               KATHARINE                </v>
      </c>
      <c r="E24052" t="str">
        <f>"MEMPHIS                   "</f>
        <v xml:space="preserve">MEMPHIS                   </v>
      </c>
      <c r="F24052" t="str">
        <f t="shared" si="670"/>
        <v>TN</v>
      </c>
    </row>
    <row r="24053" spans="1:6" x14ac:dyDescent="0.25">
      <c r="A24053" t="str">
        <f>"200020779"</f>
        <v>200020779</v>
      </c>
      <c r="B24053" t="str">
        <f>"1073308490"</f>
        <v>1073308490</v>
      </c>
      <c r="C24053" t="str">
        <f>"207R00000X"</f>
        <v>207R00000X</v>
      </c>
      <c r="D24053" t="str">
        <f>"KRISHNA MURTHY           MONISHA                  "</f>
        <v xml:space="preserve">KRISHNA MURTHY           MONISHA                  </v>
      </c>
      <c r="E24053" t="str">
        <f>"MEMPHIS                   "</f>
        <v xml:space="preserve">MEMPHIS                   </v>
      </c>
      <c r="F24053" t="str">
        <f t="shared" si="670"/>
        <v>TN</v>
      </c>
    </row>
    <row r="24054" spans="1:6" x14ac:dyDescent="0.25">
      <c r="A24054" t="str">
        <f>"200020792"</f>
        <v>200020792</v>
      </c>
      <c r="B24054" t="str">
        <f>"1154060515"</f>
        <v>1154060515</v>
      </c>
      <c r="C24054" t="str">
        <f>"207Q00000X"</f>
        <v>207Q00000X</v>
      </c>
      <c r="D24054" t="str">
        <f>"MIRZA                    FARUKH                   "</f>
        <v xml:space="preserve">MIRZA                    FARUKH                   </v>
      </c>
      <c r="E24054" t="str">
        <f>"CORDOVA                   "</f>
        <v xml:space="preserve">CORDOVA                   </v>
      </c>
      <c r="F24054" t="str">
        <f t="shared" si="670"/>
        <v>TN</v>
      </c>
    </row>
    <row r="24055" spans="1:6" x14ac:dyDescent="0.25">
      <c r="A24055" t="str">
        <f>"200020810"</f>
        <v>200020810</v>
      </c>
      <c r="B24055" t="str">
        <f>"1356499438"</f>
        <v>1356499438</v>
      </c>
      <c r="C24055" t="str">
        <f>"2080P0205X"</f>
        <v>2080P0205X</v>
      </c>
      <c r="D24055" t="str">
        <f>"SHOEMAKER                ASHLEY                   "</f>
        <v xml:space="preserve">SHOEMAKER                ASHLEY                   </v>
      </c>
      <c r="E24055" t="str">
        <f>"NASHVILLE                 "</f>
        <v xml:space="preserve">NASHVILLE                 </v>
      </c>
      <c r="F24055" t="str">
        <f t="shared" si="670"/>
        <v>TN</v>
      </c>
    </row>
    <row r="24056" spans="1:6" x14ac:dyDescent="0.25">
      <c r="A24056" t="str">
        <f>"200020813"</f>
        <v>200020813</v>
      </c>
      <c r="B24056" t="str">
        <f>"1679730212"</f>
        <v>1679730212</v>
      </c>
      <c r="C24056" t="str">
        <f>"2080P0205X"</f>
        <v>2080P0205X</v>
      </c>
      <c r="D24056" t="str">
        <f>"GREGORY                  JUSTIN                   "</f>
        <v xml:space="preserve">GREGORY                  JUSTIN                   </v>
      </c>
      <c r="E24056" t="str">
        <f>"NASHVILLE                 "</f>
        <v xml:space="preserve">NASHVILLE                 </v>
      </c>
      <c r="F24056" t="str">
        <f t="shared" si="670"/>
        <v>TN</v>
      </c>
    </row>
    <row r="24057" spans="1:6" x14ac:dyDescent="0.25">
      <c r="A24057" t="str">
        <f>"200020853"</f>
        <v>200020853</v>
      </c>
      <c r="B24057" t="str">
        <f>"1881271492"</f>
        <v>1881271492</v>
      </c>
      <c r="C24057" t="str">
        <f>"208000000X"</f>
        <v>208000000X</v>
      </c>
      <c r="D24057" t="str">
        <f>"WALKER                   AMANDA       M           "</f>
        <v xml:space="preserve">WALKER                   AMANDA       M           </v>
      </c>
      <c r="E24057" t="str">
        <f>"MEMPHIS                   "</f>
        <v xml:space="preserve">MEMPHIS                   </v>
      </c>
      <c r="F24057" t="str">
        <f t="shared" si="670"/>
        <v>TN</v>
      </c>
    </row>
    <row r="24058" spans="1:6" x14ac:dyDescent="0.25">
      <c r="A24058" t="str">
        <f>"200020891"</f>
        <v>200020891</v>
      </c>
      <c r="B24058" t="str">
        <f>"1356135685"</f>
        <v>1356135685</v>
      </c>
      <c r="C24058" t="str">
        <f>"2085R0202X"</f>
        <v>2085R0202X</v>
      </c>
      <c r="D24058" t="str">
        <f>"KUMAR                    RAKESH                   "</f>
        <v xml:space="preserve">KUMAR                    RAKESH                   </v>
      </c>
      <c r="E24058" t="str">
        <f>"MEMPHIS                   "</f>
        <v xml:space="preserve">MEMPHIS                   </v>
      </c>
      <c r="F24058" t="str">
        <f t="shared" si="670"/>
        <v>TN</v>
      </c>
    </row>
    <row r="24059" spans="1:6" x14ac:dyDescent="0.25">
      <c r="A24059" t="str">
        <f>"200020935"</f>
        <v>200020935</v>
      </c>
      <c r="B24059" t="str">
        <f>"1255135877"</f>
        <v>1255135877</v>
      </c>
      <c r="C24059" t="str">
        <f>"208000000X"</f>
        <v>208000000X</v>
      </c>
      <c r="D24059" t="str">
        <f>"GEORGE                   HAYDY                    "</f>
        <v xml:space="preserve">GEORGE                   HAYDY                    </v>
      </c>
      <c r="E24059" t="str">
        <f>"MEMPHIS                   "</f>
        <v xml:space="preserve">MEMPHIS                   </v>
      </c>
      <c r="F24059" t="str">
        <f t="shared" si="670"/>
        <v>TN</v>
      </c>
    </row>
    <row r="24060" spans="1:6" x14ac:dyDescent="0.25">
      <c r="A24060" t="str">
        <f>"200020950"</f>
        <v>200020950</v>
      </c>
      <c r="B24060" t="str">
        <f>"1184889610"</f>
        <v>1184889610</v>
      </c>
      <c r="C24060" t="str">
        <f>"363LP0200X"</f>
        <v>363LP0200X</v>
      </c>
      <c r="D24060" t="str">
        <f>"JERKINS                  WILLIAM                  "</f>
        <v xml:space="preserve">JERKINS                  WILLIAM                  </v>
      </c>
      <c r="E24060" t="str">
        <f>"MEMPHIS                   "</f>
        <v xml:space="preserve">MEMPHIS                   </v>
      </c>
      <c r="F24060" t="str">
        <f t="shared" si="670"/>
        <v>TN</v>
      </c>
    </row>
    <row r="24061" spans="1:6" x14ac:dyDescent="0.25">
      <c r="A24061" t="str">
        <f>"200020971"</f>
        <v>200020971</v>
      </c>
      <c r="B24061" t="str">
        <f>"1710871330"</f>
        <v>1710871330</v>
      </c>
      <c r="C24061" t="str">
        <f>"367500000X"</f>
        <v>367500000X</v>
      </c>
      <c r="D24061" t="str">
        <f>"GUBIN                    CASSIDY                  "</f>
        <v xml:space="preserve">GUBIN                    CASSIDY                  </v>
      </c>
      <c r="E24061" t="str">
        <f>"MEMPHIS                   "</f>
        <v xml:space="preserve">MEMPHIS                   </v>
      </c>
      <c r="F24061" t="str">
        <f t="shared" si="670"/>
        <v>TN</v>
      </c>
    </row>
    <row r="24062" spans="1:6" x14ac:dyDescent="0.25">
      <c r="A24062" t="str">
        <f>"200020974"</f>
        <v>200020974</v>
      </c>
      <c r="B24062" t="str">
        <f>"1841786852"</f>
        <v>1841786852</v>
      </c>
      <c r="C24062" t="str">
        <f>"208600000X"</f>
        <v>208600000X</v>
      </c>
      <c r="D24062" t="str">
        <f>"LIPPE                    CAROLINE     E           "</f>
        <v xml:space="preserve">LIPPE                    CAROLINE     E           </v>
      </c>
      <c r="E24062" t="str">
        <f>"GERMANTOWN                "</f>
        <v xml:space="preserve">GERMANTOWN                </v>
      </c>
      <c r="F24062" t="str">
        <f t="shared" ref="F24062:F24125" si="674">"TN"</f>
        <v>TN</v>
      </c>
    </row>
    <row r="24063" spans="1:6" x14ac:dyDescent="0.25">
      <c r="A24063" t="str">
        <f>"200020982"</f>
        <v>200020982</v>
      </c>
      <c r="B24063" t="str">
        <f>"1174056501"</f>
        <v>1174056501</v>
      </c>
      <c r="C24063" t="str">
        <f>"2080P0205X"</f>
        <v>2080P0205X</v>
      </c>
      <c r="D24063" t="str">
        <f>"ROSS                     JORDAN                   "</f>
        <v xml:space="preserve">ROSS                     JORDAN                   </v>
      </c>
      <c r="E24063" t="str">
        <f>"MEMPHIS                   "</f>
        <v xml:space="preserve">MEMPHIS                   </v>
      </c>
      <c r="F24063" t="str">
        <f t="shared" si="674"/>
        <v>TN</v>
      </c>
    </row>
    <row r="24064" spans="1:6" x14ac:dyDescent="0.25">
      <c r="A24064" t="str">
        <f>"200021001"</f>
        <v>200021001</v>
      </c>
      <c r="B24064" t="str">
        <f>"1891518411"</f>
        <v>1891518411</v>
      </c>
      <c r="C24064" t="str">
        <f>"367500000X"</f>
        <v>367500000X</v>
      </c>
      <c r="D24064" t="str">
        <f>"JAMISON                  SCOTT                    "</f>
        <v xml:space="preserve">JAMISON                  SCOTT                    </v>
      </c>
      <c r="E24064" t="str">
        <f>"MEMPHIS                   "</f>
        <v xml:space="preserve">MEMPHIS                   </v>
      </c>
      <c r="F24064" t="str">
        <f t="shared" si="674"/>
        <v>TN</v>
      </c>
    </row>
    <row r="24065" spans="1:6" x14ac:dyDescent="0.25">
      <c r="A24065" t="str">
        <f>"200021006"</f>
        <v>200021006</v>
      </c>
      <c r="B24065" t="str">
        <f>"1033606041"</f>
        <v>1033606041</v>
      </c>
      <c r="C24065" t="str">
        <f>"207ZP0102X"</f>
        <v>207ZP0102X</v>
      </c>
      <c r="D24065" t="str">
        <f>"E                        SHUYU                    "</f>
        <v xml:space="preserve">E                        SHUYU                    </v>
      </c>
      <c r="E24065" t="str">
        <f>"MEMPHIS                   "</f>
        <v xml:space="preserve">MEMPHIS                   </v>
      </c>
      <c r="F24065" t="str">
        <f t="shared" si="674"/>
        <v>TN</v>
      </c>
    </row>
    <row r="24066" spans="1:6" x14ac:dyDescent="0.25">
      <c r="A24066" t="str">
        <f>"200021029"</f>
        <v>200021029</v>
      </c>
      <c r="B24066" t="str">
        <f>"1821675950"</f>
        <v>1821675950</v>
      </c>
      <c r="C24066" t="str">
        <f>"207P00000X"</f>
        <v>207P00000X</v>
      </c>
      <c r="D24066" t="str">
        <f>"ALSAMMAN                 MARYA                    "</f>
        <v xml:space="preserve">ALSAMMAN                 MARYA                    </v>
      </c>
      <c r="E24066" t="str">
        <f>"HUNTINGDON                "</f>
        <v xml:space="preserve">HUNTINGDON                </v>
      </c>
      <c r="F24066" t="str">
        <f t="shared" si="674"/>
        <v>TN</v>
      </c>
    </row>
    <row r="24067" spans="1:6" x14ac:dyDescent="0.25">
      <c r="A24067" t="str">
        <f>"200021053"</f>
        <v>200021053</v>
      </c>
      <c r="B24067" t="str">
        <f>"1508502246"</f>
        <v>1508502246</v>
      </c>
      <c r="C24067" t="str">
        <f>"208000000X"</f>
        <v>208000000X</v>
      </c>
      <c r="D24067" t="str">
        <f>"BRYANT                   MOLLY                    "</f>
        <v xml:space="preserve">BRYANT                   MOLLY                    </v>
      </c>
      <c r="E24067" t="str">
        <f>"MEMPHIS                   "</f>
        <v xml:space="preserve">MEMPHIS                   </v>
      </c>
      <c r="F24067" t="str">
        <f t="shared" si="674"/>
        <v>TN</v>
      </c>
    </row>
    <row r="24068" spans="1:6" x14ac:dyDescent="0.25">
      <c r="A24068" t="str">
        <f>"200021056"</f>
        <v>200021056</v>
      </c>
      <c r="B24068" t="str">
        <f>"1154959856"</f>
        <v>1154959856</v>
      </c>
      <c r="C24068" t="str">
        <f>"2084N0402X"</f>
        <v>2084N0402X</v>
      </c>
      <c r="D24068" t="str">
        <f>"KHAN                     NATASHA                  "</f>
        <v xml:space="preserve">KHAN                     NATASHA                  </v>
      </c>
      <c r="E24068" t="str">
        <f>"MEMPHIS                   "</f>
        <v xml:space="preserve">MEMPHIS                   </v>
      </c>
      <c r="F24068" t="str">
        <f t="shared" si="674"/>
        <v>TN</v>
      </c>
    </row>
    <row r="24069" spans="1:6" x14ac:dyDescent="0.25">
      <c r="A24069" t="str">
        <f>"200021080"</f>
        <v>200021080</v>
      </c>
      <c r="B24069" t="str">
        <f>"1689171688"</f>
        <v>1689171688</v>
      </c>
      <c r="C24069" t="str">
        <f>"207T00000X"</f>
        <v>207T00000X</v>
      </c>
      <c r="D24069" t="str">
        <f>"LILLARD                  JOCK                     "</f>
        <v xml:space="preserve">LILLARD                  JOCK                     </v>
      </c>
      <c r="E24069" t="str">
        <f>"MEMPHIS                   "</f>
        <v xml:space="preserve">MEMPHIS                   </v>
      </c>
      <c r="F24069" t="str">
        <f t="shared" si="674"/>
        <v>TN</v>
      </c>
    </row>
    <row r="24070" spans="1:6" x14ac:dyDescent="0.25">
      <c r="A24070" t="str">
        <f>"200021106"</f>
        <v>200021106</v>
      </c>
      <c r="B24070" t="str">
        <f>"1952192114"</f>
        <v>1952192114</v>
      </c>
      <c r="C24070" t="str">
        <f>"363A00000X"</f>
        <v>363A00000X</v>
      </c>
      <c r="D24070" t="str">
        <f>"GILLESPIE                AMANDA                   "</f>
        <v xml:space="preserve">GILLESPIE                AMANDA                   </v>
      </c>
      <c r="E24070" t="str">
        <f>"GERMANTOWN                "</f>
        <v xml:space="preserve">GERMANTOWN                </v>
      </c>
      <c r="F24070" t="str">
        <f t="shared" si="674"/>
        <v>TN</v>
      </c>
    </row>
    <row r="24071" spans="1:6" x14ac:dyDescent="0.25">
      <c r="A24071" t="str">
        <f>"200021116"</f>
        <v>200021116</v>
      </c>
      <c r="B24071" t="str">
        <f>"1558165852"</f>
        <v>1558165852</v>
      </c>
      <c r="C24071" t="str">
        <f>"207R00000X"</f>
        <v>207R00000X</v>
      </c>
      <c r="D24071" t="str">
        <f>"CARMICHAEL               ANNA                     "</f>
        <v xml:space="preserve">CARMICHAEL               ANNA                     </v>
      </c>
      <c r="E24071" t="str">
        <f>"MEMPHIS                   "</f>
        <v xml:space="preserve">MEMPHIS                   </v>
      </c>
      <c r="F24071" t="str">
        <f t="shared" si="674"/>
        <v>TN</v>
      </c>
    </row>
    <row r="24072" spans="1:6" x14ac:dyDescent="0.25">
      <c r="A24072" t="str">
        <f>"200021141"</f>
        <v>200021141</v>
      </c>
      <c r="B24072" t="str">
        <f>"1922822824"</f>
        <v>1922822824</v>
      </c>
      <c r="C24072" t="str">
        <f>"367500000X"</f>
        <v>367500000X</v>
      </c>
      <c r="D24072" t="str">
        <f>"RILEY                    WILLIAM                  "</f>
        <v xml:space="preserve">RILEY                    WILLIAM                  </v>
      </c>
      <c r="E24072" t="str">
        <f>"MEMPHIS                   "</f>
        <v xml:space="preserve">MEMPHIS                   </v>
      </c>
      <c r="F24072" t="str">
        <f t="shared" si="674"/>
        <v>TN</v>
      </c>
    </row>
    <row r="24073" spans="1:6" x14ac:dyDescent="0.25">
      <c r="A24073" t="str">
        <f>"200021158"</f>
        <v>200021158</v>
      </c>
      <c r="B24073" t="str">
        <f>"1558935726"</f>
        <v>1558935726</v>
      </c>
      <c r="C24073" t="str">
        <f>"207ZP0102X"</f>
        <v>207ZP0102X</v>
      </c>
      <c r="D24073" t="str">
        <f>"ALLEN-WINTERS            STEPHANIE    L           "</f>
        <v xml:space="preserve">ALLEN-WINTERS            STEPHANIE    L           </v>
      </c>
      <c r="E24073" t="str">
        <f>"CORDOVA                   "</f>
        <v xml:space="preserve">CORDOVA                   </v>
      </c>
      <c r="F24073" t="str">
        <f t="shared" si="674"/>
        <v>TN</v>
      </c>
    </row>
    <row r="24074" spans="1:6" x14ac:dyDescent="0.25">
      <c r="A24074" t="str">
        <f>"200021205"</f>
        <v>200021205</v>
      </c>
      <c r="B24074" t="str">
        <f>"1255071973"</f>
        <v>1255071973</v>
      </c>
      <c r="C24074" t="str">
        <f>"207P00000X"</f>
        <v>207P00000X</v>
      </c>
      <c r="D24074" t="str">
        <f>"BROOKS                   LILY         M           "</f>
        <v xml:space="preserve">BROOKS                   LILY         M           </v>
      </c>
      <c r="E24074" t="str">
        <f>"COLLIERVILLE              "</f>
        <v xml:space="preserve">COLLIERVILLE              </v>
      </c>
      <c r="F24074" t="str">
        <f t="shared" si="674"/>
        <v>TN</v>
      </c>
    </row>
    <row r="24075" spans="1:6" x14ac:dyDescent="0.25">
      <c r="A24075" t="str">
        <f>"200021230"</f>
        <v>200021230</v>
      </c>
      <c r="B24075" t="str">
        <f>"1609321827"</f>
        <v>1609321827</v>
      </c>
      <c r="C24075" t="str">
        <f>"363LF0000X"</f>
        <v>363LF0000X</v>
      </c>
      <c r="D24075" t="str">
        <f>"WROBLEWSKI               SHERRIE                  "</f>
        <v xml:space="preserve">WROBLEWSKI               SHERRIE                  </v>
      </c>
      <c r="E24075" t="str">
        <f t="shared" ref="E24075:E24083" si="675">"MEMPHIS                   "</f>
        <v xml:space="preserve">MEMPHIS                   </v>
      </c>
      <c r="F24075" t="str">
        <f t="shared" si="674"/>
        <v>TN</v>
      </c>
    </row>
    <row r="24076" spans="1:6" x14ac:dyDescent="0.25">
      <c r="A24076" t="str">
        <f>"200021278"</f>
        <v>200021278</v>
      </c>
      <c r="B24076" t="str">
        <f>"1316644180"</f>
        <v>1316644180</v>
      </c>
      <c r="C24076" t="str">
        <f>"207Y00000X"</f>
        <v>207Y00000X</v>
      </c>
      <c r="D24076" t="str">
        <f>"MAHARAJ                  SHIVANAND                "</f>
        <v xml:space="preserve">MAHARAJ                  SHIVANAND                </v>
      </c>
      <c r="E24076" t="str">
        <f t="shared" si="675"/>
        <v xml:space="preserve">MEMPHIS                   </v>
      </c>
      <c r="F24076" t="str">
        <f t="shared" si="674"/>
        <v>TN</v>
      </c>
    </row>
    <row r="24077" spans="1:6" x14ac:dyDescent="0.25">
      <c r="A24077" t="str">
        <f>"200021298"</f>
        <v>200021298</v>
      </c>
      <c r="B24077" t="str">
        <f>"1861953481"</f>
        <v>1861953481</v>
      </c>
      <c r="C24077" t="str">
        <f>"207L00000X"</f>
        <v>207L00000X</v>
      </c>
      <c r="D24077" t="str">
        <f>"GARCIA                   MICHELLE                 "</f>
        <v xml:space="preserve">GARCIA                   MICHELLE                 </v>
      </c>
      <c r="E24077" t="str">
        <f t="shared" si="675"/>
        <v xml:space="preserve">MEMPHIS                   </v>
      </c>
      <c r="F24077" t="str">
        <f t="shared" si="674"/>
        <v>TN</v>
      </c>
    </row>
    <row r="24078" spans="1:6" x14ac:dyDescent="0.25">
      <c r="A24078" t="str">
        <f>"200021316"</f>
        <v>200021316</v>
      </c>
      <c r="B24078" t="str">
        <f>"1891967147"</f>
        <v>1891967147</v>
      </c>
      <c r="C24078" t="str">
        <f>"207X00000X"</f>
        <v>207X00000X</v>
      </c>
      <c r="D24078" t="str">
        <f>"CANNON                   TYLER        A           "</f>
        <v xml:space="preserve">CANNON                   TYLER        A           </v>
      </c>
      <c r="E24078" t="str">
        <f t="shared" si="675"/>
        <v xml:space="preserve">MEMPHIS                   </v>
      </c>
      <c r="F24078" t="str">
        <f t="shared" si="674"/>
        <v>TN</v>
      </c>
    </row>
    <row r="24079" spans="1:6" x14ac:dyDescent="0.25">
      <c r="A24079" t="str">
        <f>"200021342"</f>
        <v>200021342</v>
      </c>
      <c r="B24079" t="str">
        <f>"1922077544"</f>
        <v>1922077544</v>
      </c>
      <c r="C24079" t="str">
        <f>"2080P0207X"</f>
        <v>2080P0207X</v>
      </c>
      <c r="D24079" t="str">
        <f>"MANWANI                  DEEPA                    "</f>
        <v xml:space="preserve">MANWANI                  DEEPA                    </v>
      </c>
      <c r="E24079" t="str">
        <f t="shared" si="675"/>
        <v xml:space="preserve">MEMPHIS                   </v>
      </c>
      <c r="F24079" t="str">
        <f t="shared" si="674"/>
        <v>TN</v>
      </c>
    </row>
    <row r="24080" spans="1:6" x14ac:dyDescent="0.25">
      <c r="A24080" t="str">
        <f>"200021380"</f>
        <v>200021380</v>
      </c>
      <c r="B24080" t="str">
        <f>"1578295333"</f>
        <v>1578295333</v>
      </c>
      <c r="C24080" t="str">
        <f>"363A00000X"</f>
        <v>363A00000X</v>
      </c>
      <c r="D24080" t="str">
        <f>"HUDSON                   KEELY                    "</f>
        <v xml:space="preserve">HUDSON                   KEELY                    </v>
      </c>
      <c r="E24080" t="str">
        <f t="shared" si="675"/>
        <v xml:space="preserve">MEMPHIS                   </v>
      </c>
      <c r="F24080" t="str">
        <f t="shared" si="674"/>
        <v>TN</v>
      </c>
    </row>
    <row r="24081" spans="1:6" x14ac:dyDescent="0.25">
      <c r="A24081" t="str">
        <f>"200021390"</f>
        <v>200021390</v>
      </c>
      <c r="B24081" t="str">
        <f>"1386273274"</f>
        <v>1386273274</v>
      </c>
      <c r="C24081" t="str">
        <f>"2084N0400X"</f>
        <v>2084N0400X</v>
      </c>
      <c r="D24081" t="str">
        <f>"KHALILI                  ROZITA                   "</f>
        <v xml:space="preserve">KHALILI                  ROZITA                   </v>
      </c>
      <c r="E24081" t="str">
        <f t="shared" si="675"/>
        <v xml:space="preserve">MEMPHIS                   </v>
      </c>
      <c r="F24081" t="str">
        <f t="shared" si="674"/>
        <v>TN</v>
      </c>
    </row>
    <row r="24082" spans="1:6" x14ac:dyDescent="0.25">
      <c r="A24082" t="str">
        <f>"200021391"</f>
        <v>200021391</v>
      </c>
      <c r="B24082" t="str">
        <f>"1366839870"</f>
        <v>1366839870</v>
      </c>
      <c r="C24082" t="str">
        <f>"208M00000X"</f>
        <v>208M00000X</v>
      </c>
      <c r="D24082" t="str">
        <f>"MCKLEMURRY               JULIANNA                 "</f>
        <v xml:space="preserve">MCKLEMURRY               JULIANNA                 </v>
      </c>
      <c r="E24082" t="str">
        <f t="shared" si="675"/>
        <v xml:space="preserve">MEMPHIS                   </v>
      </c>
      <c r="F24082" t="str">
        <f t="shared" si="674"/>
        <v>TN</v>
      </c>
    </row>
    <row r="24083" spans="1:6" x14ac:dyDescent="0.25">
      <c r="A24083" t="str">
        <f>"200021418"</f>
        <v>200021418</v>
      </c>
      <c r="B24083" t="str">
        <f>"1255154878"</f>
        <v>1255154878</v>
      </c>
      <c r="C24083" t="str">
        <f>"367500000X"</f>
        <v>367500000X</v>
      </c>
      <c r="D24083" t="str">
        <f>"PEGRIM                   LAUREN       A           "</f>
        <v xml:space="preserve">PEGRIM                   LAUREN       A           </v>
      </c>
      <c r="E24083" t="str">
        <f t="shared" si="675"/>
        <v xml:space="preserve">MEMPHIS                   </v>
      </c>
      <c r="F24083" t="str">
        <f t="shared" si="674"/>
        <v>TN</v>
      </c>
    </row>
    <row r="24084" spans="1:6" x14ac:dyDescent="0.25">
      <c r="A24084" t="str">
        <f>"200021424"</f>
        <v>200021424</v>
      </c>
      <c r="B24084" t="str">
        <f>"1548370992"</f>
        <v>1548370992</v>
      </c>
      <c r="C24084" t="str">
        <f>"207V00000X"</f>
        <v>207V00000X</v>
      </c>
      <c r="D24084" t="str">
        <f>"DULANEY                  BETTY        J           "</f>
        <v xml:space="preserve">DULANEY                  BETTY        J           </v>
      </c>
      <c r="E24084" t="str">
        <f>"BARTLETT                  "</f>
        <v xml:space="preserve">BARTLETT                  </v>
      </c>
      <c r="F24084" t="str">
        <f t="shared" si="674"/>
        <v>TN</v>
      </c>
    </row>
    <row r="24085" spans="1:6" x14ac:dyDescent="0.25">
      <c r="A24085" t="str">
        <f>"200021446"</f>
        <v>200021446</v>
      </c>
      <c r="B24085" t="str">
        <f>"1598185084"</f>
        <v>1598185084</v>
      </c>
      <c r="C24085" t="str">
        <f>"208600000X"</f>
        <v>208600000X</v>
      </c>
      <c r="D24085" t="str">
        <f>"TURNER                   DREW                     "</f>
        <v xml:space="preserve">TURNER                   DREW                     </v>
      </c>
      <c r="E24085" t="str">
        <f>"MEMPHIS                   "</f>
        <v xml:space="preserve">MEMPHIS                   </v>
      </c>
      <c r="F24085" t="str">
        <f t="shared" si="674"/>
        <v>TN</v>
      </c>
    </row>
    <row r="24086" spans="1:6" x14ac:dyDescent="0.25">
      <c r="A24086" t="str">
        <f>"200021479"</f>
        <v>200021479</v>
      </c>
      <c r="B24086" t="str">
        <f>"1538304035"</f>
        <v>1538304035</v>
      </c>
      <c r="C24086" t="str">
        <f>"2085R0202X"</f>
        <v>2085R0202X</v>
      </c>
      <c r="D24086" t="str">
        <f>"ZHANG                    YUYANG                   "</f>
        <v xml:space="preserve">ZHANG                    YUYANG                   </v>
      </c>
      <c r="E24086" t="str">
        <f>"MEMPHIS                   "</f>
        <v xml:space="preserve">MEMPHIS                   </v>
      </c>
      <c r="F24086" t="str">
        <f t="shared" si="674"/>
        <v>TN</v>
      </c>
    </row>
    <row r="24087" spans="1:6" x14ac:dyDescent="0.25">
      <c r="A24087" t="str">
        <f>"200021506"</f>
        <v>200021506</v>
      </c>
      <c r="B24087" t="str">
        <f>"1821558982"</f>
        <v>1821558982</v>
      </c>
      <c r="C24087" t="str">
        <f>"2080N0001X"</f>
        <v>2080N0001X</v>
      </c>
      <c r="D24087" t="str">
        <f>"MIRE                     ANDREW                   "</f>
        <v xml:space="preserve">MIRE                     ANDREW                   </v>
      </c>
      <c r="E24087" t="str">
        <f>"MEMPHIS                   "</f>
        <v xml:space="preserve">MEMPHIS                   </v>
      </c>
      <c r="F24087" t="str">
        <f t="shared" si="674"/>
        <v>TN</v>
      </c>
    </row>
    <row r="24088" spans="1:6" x14ac:dyDescent="0.25">
      <c r="A24088" t="str">
        <f>"200021538"</f>
        <v>200021538</v>
      </c>
      <c r="B24088" t="str">
        <f>"1265412563"</f>
        <v>1265412563</v>
      </c>
      <c r="C24088" t="str">
        <f>"207Q00000X"</f>
        <v>207Q00000X</v>
      </c>
      <c r="D24088" t="str">
        <f>"CLENDENIN                JOHN                     "</f>
        <v xml:space="preserve">CLENDENIN                JOHN                     </v>
      </c>
      <c r="E24088" t="str">
        <f>"UNION CITY                "</f>
        <v xml:space="preserve">UNION CITY                </v>
      </c>
      <c r="F24088" t="str">
        <f t="shared" si="674"/>
        <v>TN</v>
      </c>
    </row>
    <row r="24089" spans="1:6" x14ac:dyDescent="0.25">
      <c r="A24089" t="str">
        <f>"200021545"</f>
        <v>200021545</v>
      </c>
      <c r="B24089" t="str">
        <f>"1528878246"</f>
        <v>1528878246</v>
      </c>
      <c r="C24089" t="str">
        <f>"363L00000X"</f>
        <v>363L00000X</v>
      </c>
      <c r="D24089" t="str">
        <f>"BOOKER                   BLYTHE       E           "</f>
        <v xml:space="preserve">BOOKER                   BLYTHE       E           </v>
      </c>
      <c r="E24089" t="str">
        <f>"MEMPHIS                   "</f>
        <v xml:space="preserve">MEMPHIS                   </v>
      </c>
      <c r="F24089" t="str">
        <f t="shared" si="674"/>
        <v>TN</v>
      </c>
    </row>
    <row r="24090" spans="1:6" x14ac:dyDescent="0.25">
      <c r="A24090" t="str">
        <f>"200021548"</f>
        <v>200021548</v>
      </c>
      <c r="B24090" t="str">
        <f>"1457528911"</f>
        <v>1457528911</v>
      </c>
      <c r="C24090" t="str">
        <f>"2080P0204X"</f>
        <v>2080P0204X</v>
      </c>
      <c r="D24090" t="str">
        <f>"RAINBOLT                 WESLEY                   "</f>
        <v xml:space="preserve">RAINBOLT                 WESLEY                   </v>
      </c>
      <c r="E24090" t="str">
        <f>"KNOXVILLE                 "</f>
        <v xml:space="preserve">KNOXVILLE                 </v>
      </c>
      <c r="F24090" t="str">
        <f t="shared" si="674"/>
        <v>TN</v>
      </c>
    </row>
    <row r="24091" spans="1:6" x14ac:dyDescent="0.25">
      <c r="A24091" t="str">
        <f>"200021577"</f>
        <v>200021577</v>
      </c>
      <c r="B24091" t="str">
        <f>"1902542368"</f>
        <v>1902542368</v>
      </c>
      <c r="C24091" t="str">
        <f>"207PE0004X"</f>
        <v>207PE0004X</v>
      </c>
      <c r="D24091" t="str">
        <f>"HERLEVICH                THOMAS       D           "</f>
        <v xml:space="preserve">HERLEVICH                THOMAS       D           </v>
      </c>
      <c r="E24091" t="str">
        <f>"COLLIERVILLE              "</f>
        <v xml:space="preserve">COLLIERVILLE              </v>
      </c>
      <c r="F24091" t="str">
        <f t="shared" si="674"/>
        <v>TN</v>
      </c>
    </row>
    <row r="24092" spans="1:6" x14ac:dyDescent="0.25">
      <c r="A24092" t="str">
        <f>"200021630"</f>
        <v>200021630</v>
      </c>
      <c r="B24092" t="str">
        <f>"1386687150"</f>
        <v>1386687150</v>
      </c>
      <c r="C24092" t="str">
        <f>"207V00000X"</f>
        <v>207V00000X</v>
      </c>
      <c r="D24092" t="str">
        <f>"LI                       BO           C           "</f>
        <v xml:space="preserve">LI                       BO           C           </v>
      </c>
      <c r="E24092" t="str">
        <f>"BARTLETT                  "</f>
        <v xml:space="preserve">BARTLETT                  </v>
      </c>
      <c r="F24092" t="str">
        <f t="shared" si="674"/>
        <v>TN</v>
      </c>
    </row>
    <row r="24093" spans="1:6" x14ac:dyDescent="0.25">
      <c r="A24093" t="str">
        <f>"200021633"</f>
        <v>200021633</v>
      </c>
      <c r="B24093" t="str">
        <f>"1689318545"</f>
        <v>1689318545</v>
      </c>
      <c r="C24093" t="str">
        <f>"208M00000X"</f>
        <v>208M00000X</v>
      </c>
      <c r="D24093" t="str">
        <f>"DENEEN                   KRISTIN      C           "</f>
        <v xml:space="preserve">DENEEN                   KRISTIN      C           </v>
      </c>
      <c r="E24093" t="str">
        <f t="shared" ref="E24093:E24100" si="676">"MEMPHIS                   "</f>
        <v xml:space="preserve">MEMPHIS                   </v>
      </c>
      <c r="F24093" t="str">
        <f t="shared" si="674"/>
        <v>TN</v>
      </c>
    </row>
    <row r="24094" spans="1:6" x14ac:dyDescent="0.25">
      <c r="A24094" t="str">
        <f>"200021646"</f>
        <v>200021646</v>
      </c>
      <c r="B24094" t="str">
        <f>"1497215594"</f>
        <v>1497215594</v>
      </c>
      <c r="C24094" t="str">
        <f>"2084N0402X"</f>
        <v>2084N0402X</v>
      </c>
      <c r="D24094" t="str">
        <f>"GATEWOOD                 CONNOR                   "</f>
        <v xml:space="preserve">GATEWOOD                 CONNOR                   </v>
      </c>
      <c r="E24094" t="str">
        <f t="shared" si="676"/>
        <v xml:space="preserve">MEMPHIS                   </v>
      </c>
      <c r="F24094" t="str">
        <f t="shared" si="674"/>
        <v>TN</v>
      </c>
    </row>
    <row r="24095" spans="1:6" x14ac:dyDescent="0.25">
      <c r="A24095" t="str">
        <f>"200021647"</f>
        <v>200021647</v>
      </c>
      <c r="B24095" t="str">
        <f>"1437655974"</f>
        <v>1437655974</v>
      </c>
      <c r="C24095" t="str">
        <f>"208G00000X"</f>
        <v>208G00000X</v>
      </c>
      <c r="D24095" t="str">
        <f>"DESAI                    NIDHI                    "</f>
        <v xml:space="preserve">DESAI                    NIDHI                    </v>
      </c>
      <c r="E24095" t="str">
        <f t="shared" si="676"/>
        <v xml:space="preserve">MEMPHIS                   </v>
      </c>
      <c r="F24095" t="str">
        <f t="shared" si="674"/>
        <v>TN</v>
      </c>
    </row>
    <row r="24096" spans="1:6" x14ac:dyDescent="0.25">
      <c r="A24096" t="str">
        <f>"200021655"</f>
        <v>200021655</v>
      </c>
      <c r="B24096" t="str">
        <f>"1043576952"</f>
        <v>1043576952</v>
      </c>
      <c r="C24096" t="str">
        <f>"207RH0003X"</f>
        <v>207RH0003X</v>
      </c>
      <c r="D24096" t="str">
        <f>"CHOKSHI                  SAURIN                   "</f>
        <v xml:space="preserve">CHOKSHI                  SAURIN                   </v>
      </c>
      <c r="E24096" t="str">
        <f t="shared" si="676"/>
        <v xml:space="preserve">MEMPHIS                   </v>
      </c>
      <c r="F24096" t="str">
        <f t="shared" si="674"/>
        <v>TN</v>
      </c>
    </row>
    <row r="24097" spans="1:6" x14ac:dyDescent="0.25">
      <c r="A24097" t="str">
        <f>"200021673"</f>
        <v>200021673</v>
      </c>
      <c r="B24097" t="str">
        <f>"1891324075"</f>
        <v>1891324075</v>
      </c>
      <c r="C24097" t="str">
        <f>"207W00000X"</f>
        <v>207W00000X</v>
      </c>
      <c r="D24097" t="str">
        <f>"MUKIT                    FABLIHA                  "</f>
        <v xml:space="preserve">MUKIT                    FABLIHA                  </v>
      </c>
      <c r="E24097" t="str">
        <f t="shared" si="676"/>
        <v xml:space="preserve">MEMPHIS                   </v>
      </c>
      <c r="F24097" t="str">
        <f t="shared" si="674"/>
        <v>TN</v>
      </c>
    </row>
    <row r="24098" spans="1:6" x14ac:dyDescent="0.25">
      <c r="A24098" t="str">
        <f>"200021674"</f>
        <v>200021674</v>
      </c>
      <c r="B24098" t="str">
        <f>"1740501881"</f>
        <v>1740501881</v>
      </c>
      <c r="C24098" t="str">
        <f>"207R00000X"</f>
        <v>207R00000X</v>
      </c>
      <c r="D24098" t="str">
        <f>"KNABE                    SARA                     "</f>
        <v xml:space="preserve">KNABE                    SARA                     </v>
      </c>
      <c r="E24098" t="str">
        <f t="shared" si="676"/>
        <v xml:space="preserve">MEMPHIS                   </v>
      </c>
      <c r="F24098" t="str">
        <f t="shared" si="674"/>
        <v>TN</v>
      </c>
    </row>
    <row r="24099" spans="1:6" x14ac:dyDescent="0.25">
      <c r="A24099" t="str">
        <f>"200021687"</f>
        <v>200021687</v>
      </c>
      <c r="B24099" t="str">
        <f>"1548082514"</f>
        <v>1548082514</v>
      </c>
      <c r="C24099" t="str">
        <f>"367500000X"</f>
        <v>367500000X</v>
      </c>
      <c r="D24099" t="str">
        <f>"MILLETTE                 MARION       E           "</f>
        <v xml:space="preserve">MILLETTE                 MARION       E           </v>
      </c>
      <c r="E24099" t="str">
        <f t="shared" si="676"/>
        <v xml:space="preserve">MEMPHIS                   </v>
      </c>
      <c r="F24099" t="str">
        <f t="shared" si="674"/>
        <v>TN</v>
      </c>
    </row>
    <row r="24100" spans="1:6" x14ac:dyDescent="0.25">
      <c r="A24100" t="str">
        <f>"200021697"</f>
        <v>200021697</v>
      </c>
      <c r="B24100" t="str">
        <f>"1629759485"</f>
        <v>1629759485</v>
      </c>
      <c r="C24100" t="str">
        <f>"363LG0600X"</f>
        <v>363LG0600X</v>
      </c>
      <c r="D24100" t="str">
        <f>"FELIX                    KIARA                    "</f>
        <v xml:space="preserve">FELIX                    KIARA                    </v>
      </c>
      <c r="E24100" t="str">
        <f t="shared" si="676"/>
        <v xml:space="preserve">MEMPHIS                   </v>
      </c>
      <c r="F24100" t="str">
        <f t="shared" si="674"/>
        <v>TN</v>
      </c>
    </row>
    <row r="24101" spans="1:6" x14ac:dyDescent="0.25">
      <c r="A24101" t="str">
        <f>"200021700"</f>
        <v>200021700</v>
      </c>
      <c r="B24101" t="str">
        <f>"1003055252"</f>
        <v>1003055252</v>
      </c>
      <c r="C24101" t="str">
        <f>"207R00000X"</f>
        <v>207R00000X</v>
      </c>
      <c r="D24101" t="str">
        <f>"DIMITRIJEVIC             OLIVER                   "</f>
        <v xml:space="preserve">DIMITRIJEVIC             OLIVER                   </v>
      </c>
      <c r="E24101" t="str">
        <f>"COLLIERVILLE              "</f>
        <v xml:space="preserve">COLLIERVILLE              </v>
      </c>
      <c r="F24101" t="str">
        <f t="shared" si="674"/>
        <v>TN</v>
      </c>
    </row>
    <row r="24102" spans="1:6" x14ac:dyDescent="0.25">
      <c r="A24102" t="str">
        <f>"200021721"</f>
        <v>200021721</v>
      </c>
      <c r="B24102" t="str">
        <f>"1902898562"</f>
        <v>1902898562</v>
      </c>
      <c r="C24102" t="str">
        <f>"207RG0100X"</f>
        <v>207RG0100X</v>
      </c>
      <c r="D24102" t="str">
        <f>"FOULKS                   CARL         A           "</f>
        <v xml:space="preserve">FOULKS                   CARL         A           </v>
      </c>
      <c r="E24102" t="str">
        <f>"MEMPHIS                   "</f>
        <v xml:space="preserve">MEMPHIS                   </v>
      </c>
      <c r="F24102" t="str">
        <f t="shared" si="674"/>
        <v>TN</v>
      </c>
    </row>
    <row r="24103" spans="1:6" x14ac:dyDescent="0.25">
      <c r="A24103" t="str">
        <f>"200021736"</f>
        <v>200021736</v>
      </c>
      <c r="B24103" t="str">
        <f>"1205575909"</f>
        <v>1205575909</v>
      </c>
      <c r="C24103" t="str">
        <f>"207R00000X"</f>
        <v>207R00000X</v>
      </c>
      <c r="D24103" t="str">
        <f>"MALIK                    NIKHIL                   "</f>
        <v xml:space="preserve">MALIK                    NIKHIL                   </v>
      </c>
      <c r="E24103" t="str">
        <f>"MEMPHIS                   "</f>
        <v xml:space="preserve">MEMPHIS                   </v>
      </c>
      <c r="F24103" t="str">
        <f t="shared" si="674"/>
        <v>TN</v>
      </c>
    </row>
    <row r="24104" spans="1:6" x14ac:dyDescent="0.25">
      <c r="A24104" t="str">
        <f>"200021754"</f>
        <v>200021754</v>
      </c>
      <c r="B24104" t="str">
        <f>"1194534412"</f>
        <v>1194534412</v>
      </c>
      <c r="C24104" t="str">
        <f>"367500000X"</f>
        <v>367500000X</v>
      </c>
      <c r="D24104" t="str">
        <f>"JULIAN                   BRIAN                    "</f>
        <v xml:space="preserve">JULIAN                   BRIAN                    </v>
      </c>
      <c r="E24104" t="str">
        <f>"MEMPHIS                   "</f>
        <v xml:space="preserve">MEMPHIS                   </v>
      </c>
      <c r="F24104" t="str">
        <f t="shared" si="674"/>
        <v>TN</v>
      </c>
    </row>
    <row r="24105" spans="1:6" x14ac:dyDescent="0.25">
      <c r="A24105" t="str">
        <f>"200021757"</f>
        <v>200021757</v>
      </c>
      <c r="B24105" t="str">
        <f>"1205586187"</f>
        <v>1205586187</v>
      </c>
      <c r="C24105" t="str">
        <f>"207R00000X"</f>
        <v>207R00000X</v>
      </c>
      <c r="D24105" t="str">
        <f>"MINTZ                    JOEL                     "</f>
        <v xml:space="preserve">MINTZ                    JOEL                     </v>
      </c>
      <c r="E24105" t="str">
        <f>"MEMPHIS                   "</f>
        <v xml:space="preserve">MEMPHIS                   </v>
      </c>
      <c r="F24105" t="str">
        <f t="shared" si="674"/>
        <v>TN</v>
      </c>
    </row>
    <row r="24106" spans="1:6" x14ac:dyDescent="0.25">
      <c r="A24106" t="str">
        <f>"200021769"</f>
        <v>200021769</v>
      </c>
      <c r="B24106" t="str">
        <f>"1598348880"</f>
        <v>1598348880</v>
      </c>
      <c r="C24106" t="str">
        <f>"207V00000X"</f>
        <v>207V00000X</v>
      </c>
      <c r="D24106" t="str">
        <f>"HALFORD                  MARTHA                   "</f>
        <v xml:space="preserve">HALFORD                  MARTHA                   </v>
      </c>
      <c r="E24106" t="str">
        <f>"MEMPHIS                   "</f>
        <v xml:space="preserve">MEMPHIS                   </v>
      </c>
      <c r="F24106" t="str">
        <f t="shared" si="674"/>
        <v>TN</v>
      </c>
    </row>
    <row r="24107" spans="1:6" x14ac:dyDescent="0.25">
      <c r="A24107" t="str">
        <f>"200021777"</f>
        <v>200021777</v>
      </c>
      <c r="B24107" t="str">
        <f>"1932192556"</f>
        <v>1932192556</v>
      </c>
      <c r="C24107" t="str">
        <f>"207Q00000X"</f>
        <v>207Q00000X</v>
      </c>
      <c r="D24107" t="str">
        <f>"WALLACE                  MICHAEL                  "</f>
        <v xml:space="preserve">WALLACE                  MICHAEL                  </v>
      </c>
      <c r="E24107" t="str">
        <f>"GERMANTOWN                "</f>
        <v xml:space="preserve">GERMANTOWN                </v>
      </c>
      <c r="F24107" t="str">
        <f t="shared" si="674"/>
        <v>TN</v>
      </c>
    </row>
    <row r="24108" spans="1:6" x14ac:dyDescent="0.25">
      <c r="A24108" t="str">
        <f>"200021788"</f>
        <v>200021788</v>
      </c>
      <c r="B24108" t="str">
        <f>"1154075893"</f>
        <v>1154075893</v>
      </c>
      <c r="C24108" t="str">
        <f>"363LF0000X"</f>
        <v>363LF0000X</v>
      </c>
      <c r="D24108" t="str">
        <f>"HOOPER                   VICTORIA                 "</f>
        <v xml:space="preserve">HOOPER                   VICTORIA                 </v>
      </c>
      <c r="E24108" t="str">
        <f>"MARTIN                    "</f>
        <v xml:space="preserve">MARTIN                    </v>
      </c>
      <c r="F24108" t="str">
        <f t="shared" si="674"/>
        <v>TN</v>
      </c>
    </row>
    <row r="24109" spans="1:6" x14ac:dyDescent="0.25">
      <c r="A24109" t="str">
        <f>"200021791"</f>
        <v>200021791</v>
      </c>
      <c r="B24109" t="str">
        <f>"1881867141"</f>
        <v>1881867141</v>
      </c>
      <c r="C24109" t="str">
        <f>"2080P0202X"</f>
        <v>2080P0202X</v>
      </c>
      <c r="D24109" t="str">
        <f>"HOLMES                   PATRICK                  "</f>
        <v xml:space="preserve">HOLMES                   PATRICK                  </v>
      </c>
      <c r="E24109" t="str">
        <f>"NASHVILLE                 "</f>
        <v xml:space="preserve">NASHVILLE                 </v>
      </c>
      <c r="F24109" t="str">
        <f t="shared" si="674"/>
        <v>TN</v>
      </c>
    </row>
    <row r="24110" spans="1:6" x14ac:dyDescent="0.25">
      <c r="A24110" t="str">
        <f>"200021797"</f>
        <v>200021797</v>
      </c>
      <c r="B24110" t="str">
        <f>"1730821448"</f>
        <v>1730821448</v>
      </c>
      <c r="C24110" t="str">
        <f>"207Q00000X"</f>
        <v>207Q00000X</v>
      </c>
      <c r="D24110" t="str">
        <f>"CHOUDHURY                ZAHEER                   "</f>
        <v xml:space="preserve">CHOUDHURY                ZAHEER                   </v>
      </c>
      <c r="E24110" t="str">
        <f>"COLLIERVILLE              "</f>
        <v xml:space="preserve">COLLIERVILLE              </v>
      </c>
      <c r="F24110" t="str">
        <f t="shared" si="674"/>
        <v>TN</v>
      </c>
    </row>
    <row r="24111" spans="1:6" x14ac:dyDescent="0.25">
      <c r="A24111" t="str">
        <f>"200021826"</f>
        <v>200021826</v>
      </c>
      <c r="B24111" t="str">
        <f>"1134863004"</f>
        <v>1134863004</v>
      </c>
      <c r="C24111" t="str">
        <f>"207R00000X"</f>
        <v>207R00000X</v>
      </c>
      <c r="D24111" t="str">
        <f>"WEBSTER                  WALKER                   "</f>
        <v xml:space="preserve">WEBSTER                  WALKER                   </v>
      </c>
      <c r="E24111" t="str">
        <f>"MEMPHIS                   "</f>
        <v xml:space="preserve">MEMPHIS                   </v>
      </c>
      <c r="F24111" t="str">
        <f t="shared" si="674"/>
        <v>TN</v>
      </c>
    </row>
    <row r="24112" spans="1:6" x14ac:dyDescent="0.25">
      <c r="A24112" t="str">
        <f>"200021848"</f>
        <v>200021848</v>
      </c>
      <c r="B24112" t="str">
        <f>"1841392784"</f>
        <v>1841392784</v>
      </c>
      <c r="C24112" t="str">
        <f>"363L00000X"</f>
        <v>363L00000X</v>
      </c>
      <c r="D24112" t="str">
        <f>"HARDIN                   KIMBERLY                 "</f>
        <v xml:space="preserve">HARDIN                   KIMBERLY                 </v>
      </c>
      <c r="E24112" t="str">
        <f>"MEMPHIS                   "</f>
        <v xml:space="preserve">MEMPHIS                   </v>
      </c>
      <c r="F24112" t="str">
        <f t="shared" si="674"/>
        <v>TN</v>
      </c>
    </row>
    <row r="24113" spans="1:6" x14ac:dyDescent="0.25">
      <c r="A24113" t="str">
        <f>"200021852"</f>
        <v>200021852</v>
      </c>
      <c r="B24113" t="str">
        <f>"1952606055"</f>
        <v>1952606055</v>
      </c>
      <c r="C24113" t="str">
        <f>"363L00000X"</f>
        <v>363L00000X</v>
      </c>
      <c r="D24113" t="str">
        <f>"MEREDITH                 NICOLE                   "</f>
        <v xml:space="preserve">MEREDITH                 NICOLE                   </v>
      </c>
      <c r="E24113" t="str">
        <f>"MEMPHIS                   "</f>
        <v xml:space="preserve">MEMPHIS                   </v>
      </c>
      <c r="F24113" t="str">
        <f t="shared" si="674"/>
        <v>TN</v>
      </c>
    </row>
    <row r="24114" spans="1:6" x14ac:dyDescent="0.25">
      <c r="A24114" t="str">
        <f>"200021853"</f>
        <v>200021853</v>
      </c>
      <c r="B24114" t="str">
        <f>"1730121930"</f>
        <v>1730121930</v>
      </c>
      <c r="C24114" t="str">
        <f>"2081P2900X"</f>
        <v>2081P2900X</v>
      </c>
      <c r="D24114" t="str">
        <f>"BERKWITS                 LELAND                   "</f>
        <v xml:space="preserve">BERKWITS                 LELAND                   </v>
      </c>
      <c r="E24114" t="str">
        <f>"MEMPHIS                   "</f>
        <v xml:space="preserve">MEMPHIS                   </v>
      </c>
      <c r="F24114" t="str">
        <f t="shared" si="674"/>
        <v>TN</v>
      </c>
    </row>
    <row r="24115" spans="1:6" x14ac:dyDescent="0.25">
      <c r="A24115" t="str">
        <f>"200021859"</f>
        <v>200021859</v>
      </c>
      <c r="B24115" t="str">
        <f>"1609079003"</f>
        <v>1609079003</v>
      </c>
      <c r="C24115" t="str">
        <f>"207T00000X"</f>
        <v>207T00000X</v>
      </c>
      <c r="D24115" t="str">
        <f>"FUSCO                    MATTHEW                  "</f>
        <v xml:space="preserve">FUSCO                    MATTHEW                  </v>
      </c>
      <c r="E24115" t="str">
        <f>"NASHVILLE                 "</f>
        <v xml:space="preserve">NASHVILLE                 </v>
      </c>
      <c r="F24115" t="str">
        <f t="shared" si="674"/>
        <v>TN</v>
      </c>
    </row>
    <row r="24116" spans="1:6" x14ac:dyDescent="0.25">
      <c r="A24116" t="str">
        <f>"200021871"</f>
        <v>200021871</v>
      </c>
      <c r="B24116" t="str">
        <f>"1215559109"</f>
        <v>1215559109</v>
      </c>
      <c r="C24116" t="str">
        <f>"207P00000X"</f>
        <v>207P00000X</v>
      </c>
      <c r="D24116" t="str">
        <f>"SIMON                    ANDREW                   "</f>
        <v xml:space="preserve">SIMON                    ANDREW                   </v>
      </c>
      <c r="E24116" t="str">
        <f>"MEMPHIS                   "</f>
        <v xml:space="preserve">MEMPHIS                   </v>
      </c>
      <c r="F24116" t="str">
        <f t="shared" si="674"/>
        <v>TN</v>
      </c>
    </row>
    <row r="24117" spans="1:6" x14ac:dyDescent="0.25">
      <c r="A24117" t="str">
        <f>"200021877"</f>
        <v>200021877</v>
      </c>
      <c r="B24117" t="str">
        <f>"1699220905"</f>
        <v>1699220905</v>
      </c>
      <c r="C24117" t="str">
        <f>"363A00000X"</f>
        <v>363A00000X</v>
      </c>
      <c r="D24117" t="str">
        <f>"REID                     JENNA                    "</f>
        <v xml:space="preserve">REID                     JENNA                    </v>
      </c>
      <c r="E24117" t="str">
        <f>"MEMPHIS                   "</f>
        <v xml:space="preserve">MEMPHIS                   </v>
      </c>
      <c r="F24117" t="str">
        <f t="shared" si="674"/>
        <v>TN</v>
      </c>
    </row>
    <row r="24118" spans="1:6" x14ac:dyDescent="0.25">
      <c r="A24118" t="str">
        <f>"200021878"</f>
        <v>200021878</v>
      </c>
      <c r="B24118" t="str">
        <f>"1801013842"</f>
        <v>1801013842</v>
      </c>
      <c r="C24118" t="str">
        <f>"2080P0214X"</f>
        <v>2080P0214X</v>
      </c>
      <c r="D24118" t="str">
        <f>"BROWN                    REBEKAH                  "</f>
        <v xml:space="preserve">BROWN                    REBEKAH                  </v>
      </c>
      <c r="E24118" t="str">
        <f>"NASHVILLE                 "</f>
        <v xml:space="preserve">NASHVILLE                 </v>
      </c>
      <c r="F24118" t="str">
        <f t="shared" si="674"/>
        <v>TN</v>
      </c>
    </row>
    <row r="24119" spans="1:6" x14ac:dyDescent="0.25">
      <c r="A24119" t="str">
        <f>"200021883"</f>
        <v>200021883</v>
      </c>
      <c r="B24119" t="str">
        <f>"1124085485"</f>
        <v>1124085485</v>
      </c>
      <c r="C24119" t="str">
        <f>"208600000X"</f>
        <v>208600000X</v>
      </c>
      <c r="D24119" t="str">
        <f>"VOELLER                  GUY                      "</f>
        <v xml:space="preserve">VOELLER                  GUY                      </v>
      </c>
      <c r="E24119" t="str">
        <f t="shared" ref="E24119:E24124" si="677">"MEMPHIS                   "</f>
        <v xml:space="preserve">MEMPHIS                   </v>
      </c>
      <c r="F24119" t="str">
        <f t="shared" si="674"/>
        <v>TN</v>
      </c>
    </row>
    <row r="24120" spans="1:6" x14ac:dyDescent="0.25">
      <c r="A24120" t="str">
        <f>"200021887"</f>
        <v>200021887</v>
      </c>
      <c r="B24120" t="str">
        <f>"1770988297"</f>
        <v>1770988297</v>
      </c>
      <c r="C24120" t="str">
        <f>"207ZP0102X"</f>
        <v>207ZP0102X</v>
      </c>
      <c r="D24120" t="str">
        <f>"KUMAR                    PRIYADARSHINI            "</f>
        <v xml:space="preserve">KUMAR                    PRIYADARSHINI            </v>
      </c>
      <c r="E24120" t="str">
        <f t="shared" si="677"/>
        <v xml:space="preserve">MEMPHIS                   </v>
      </c>
      <c r="F24120" t="str">
        <f t="shared" si="674"/>
        <v>TN</v>
      </c>
    </row>
    <row r="24121" spans="1:6" x14ac:dyDescent="0.25">
      <c r="A24121" t="str">
        <f>"200021889"</f>
        <v>200021889</v>
      </c>
      <c r="B24121" t="str">
        <f>"1477291060"</f>
        <v>1477291060</v>
      </c>
      <c r="C24121" t="str">
        <f>"208000000X"</f>
        <v>208000000X</v>
      </c>
      <c r="D24121" t="str">
        <f>"MORAN III                EDWARD       R           "</f>
        <v xml:space="preserve">MORAN III                EDWARD       R           </v>
      </c>
      <c r="E24121" t="str">
        <f t="shared" si="677"/>
        <v xml:space="preserve">MEMPHIS                   </v>
      </c>
      <c r="F24121" t="str">
        <f t="shared" si="674"/>
        <v>TN</v>
      </c>
    </row>
    <row r="24122" spans="1:6" x14ac:dyDescent="0.25">
      <c r="A24122" t="str">
        <f>"200021899"</f>
        <v>200021899</v>
      </c>
      <c r="B24122" t="str">
        <f>"1720669328"</f>
        <v>1720669328</v>
      </c>
      <c r="C24122" t="str">
        <f>"207L00000X"</f>
        <v>207L00000X</v>
      </c>
      <c r="D24122" t="str">
        <f>"LUNDBY                   ZACHARY      M           "</f>
        <v xml:space="preserve">LUNDBY                   ZACHARY      M           </v>
      </c>
      <c r="E24122" t="str">
        <f t="shared" si="677"/>
        <v xml:space="preserve">MEMPHIS                   </v>
      </c>
      <c r="F24122" t="str">
        <f t="shared" si="674"/>
        <v>TN</v>
      </c>
    </row>
    <row r="24123" spans="1:6" x14ac:dyDescent="0.25">
      <c r="A24123" t="str">
        <f>"200021916"</f>
        <v>200021916</v>
      </c>
      <c r="B24123" t="str">
        <f>"1750306858"</f>
        <v>1750306858</v>
      </c>
      <c r="C24123" t="str">
        <f>"207V00000X"</f>
        <v>207V00000X</v>
      </c>
      <c r="D24123" t="str">
        <f>"BISHOP                   LAURA                    "</f>
        <v xml:space="preserve">BISHOP                   LAURA                    </v>
      </c>
      <c r="E24123" t="str">
        <f t="shared" si="677"/>
        <v xml:space="preserve">MEMPHIS                   </v>
      </c>
      <c r="F24123" t="str">
        <f t="shared" si="674"/>
        <v>TN</v>
      </c>
    </row>
    <row r="24124" spans="1:6" x14ac:dyDescent="0.25">
      <c r="A24124" t="str">
        <f>"200021928"</f>
        <v>200021928</v>
      </c>
      <c r="B24124" t="str">
        <f>"1326337932"</f>
        <v>1326337932</v>
      </c>
      <c r="C24124" t="str">
        <f>"2085R0202X"</f>
        <v>2085R0202X</v>
      </c>
      <c r="D24124" t="str">
        <f>"HELLER III               RANDALL                  "</f>
        <v xml:space="preserve">HELLER III               RANDALL                  </v>
      </c>
      <c r="E24124" t="str">
        <f t="shared" si="677"/>
        <v xml:space="preserve">MEMPHIS                   </v>
      </c>
      <c r="F24124" t="str">
        <f t="shared" si="674"/>
        <v>TN</v>
      </c>
    </row>
    <row r="24125" spans="1:6" x14ac:dyDescent="0.25">
      <c r="A24125" t="str">
        <f>"200021934"</f>
        <v>200021934</v>
      </c>
      <c r="B24125" t="str">
        <f>"1235330218"</f>
        <v>1235330218</v>
      </c>
      <c r="C24125" t="str">
        <f>"363LP0200X"</f>
        <v>363LP0200X</v>
      </c>
      <c r="D24125" t="str">
        <f>"LACHENMYER               LISA                     "</f>
        <v xml:space="preserve">LACHENMYER               LISA                     </v>
      </c>
      <c r="E24125" t="str">
        <f>"NASHVILLE                 "</f>
        <v xml:space="preserve">NASHVILLE                 </v>
      </c>
      <c r="F24125" t="str">
        <f t="shared" si="674"/>
        <v>TN</v>
      </c>
    </row>
    <row r="24126" spans="1:6" x14ac:dyDescent="0.25">
      <c r="A24126" t="str">
        <f>"200021936"</f>
        <v>200021936</v>
      </c>
      <c r="B24126" t="str">
        <f>"1396249009"</f>
        <v>1396249009</v>
      </c>
      <c r="C24126" t="str">
        <f>"2085R0202X"</f>
        <v>2085R0202X</v>
      </c>
      <c r="D24126" t="str">
        <f>"NAKHAIMA                 SELASI                   "</f>
        <v xml:space="preserve">NAKHAIMA                 SELASI                   </v>
      </c>
      <c r="E24126" t="str">
        <f>"MEMPHIS                   "</f>
        <v xml:space="preserve">MEMPHIS                   </v>
      </c>
      <c r="F24126" t="str">
        <f t="shared" ref="F24126:F24189" si="678">"TN"</f>
        <v>TN</v>
      </c>
    </row>
    <row r="24127" spans="1:6" x14ac:dyDescent="0.25">
      <c r="A24127" t="str">
        <f>"200021943"</f>
        <v>200021943</v>
      </c>
      <c r="B24127" t="str">
        <f>"1487910071"</f>
        <v>1487910071</v>
      </c>
      <c r="C24127" t="str">
        <f>"2080P0206X"</f>
        <v>2080P0206X</v>
      </c>
      <c r="D24127" t="str">
        <f>"ORSAGH-YENTIS            DANIELLE                 "</f>
        <v xml:space="preserve">ORSAGH-YENTIS            DANIELLE                 </v>
      </c>
      <c r="E24127" t="str">
        <f>"NASHVILLE                 "</f>
        <v xml:space="preserve">NASHVILLE                 </v>
      </c>
      <c r="F24127" t="str">
        <f t="shared" si="678"/>
        <v>TN</v>
      </c>
    </row>
    <row r="24128" spans="1:6" x14ac:dyDescent="0.25">
      <c r="A24128" t="str">
        <f>"200021949"</f>
        <v>200021949</v>
      </c>
      <c r="B24128" t="str">
        <f>"1750689105"</f>
        <v>1750689105</v>
      </c>
      <c r="C24128" t="str">
        <f>"363LF0000X"</f>
        <v>363LF0000X</v>
      </c>
      <c r="D24128" t="str">
        <f>"TAYLOR                   HEATHER                  "</f>
        <v xml:space="preserve">TAYLOR                   HEATHER                  </v>
      </c>
      <c r="E24128" t="str">
        <f t="shared" ref="E24128:E24141" si="679">"MEMPHIS                   "</f>
        <v xml:space="preserve">MEMPHIS                   </v>
      </c>
      <c r="F24128" t="str">
        <f t="shared" si="678"/>
        <v>TN</v>
      </c>
    </row>
    <row r="24129" spans="1:6" x14ac:dyDescent="0.25">
      <c r="A24129" t="str">
        <f>"200021950"</f>
        <v>200021950</v>
      </c>
      <c r="B24129" t="str">
        <f>"1427457639"</f>
        <v>1427457639</v>
      </c>
      <c r="C24129" t="str">
        <f>"363LF0000X"</f>
        <v>363LF0000X</v>
      </c>
      <c r="D24129" t="str">
        <f>"SCOTT                    SHANNON                  "</f>
        <v xml:space="preserve">SCOTT                    SHANNON                  </v>
      </c>
      <c r="E24129" t="str">
        <f t="shared" si="679"/>
        <v xml:space="preserve">MEMPHIS                   </v>
      </c>
      <c r="F24129" t="str">
        <f t="shared" si="678"/>
        <v>TN</v>
      </c>
    </row>
    <row r="24130" spans="1:6" x14ac:dyDescent="0.25">
      <c r="A24130" t="str">
        <f>"200021953"</f>
        <v>200021953</v>
      </c>
      <c r="B24130" t="str">
        <f>"1124002175"</f>
        <v>1124002175</v>
      </c>
      <c r="C24130" t="str">
        <f>"207ZD0900X"</f>
        <v>207ZD0900X</v>
      </c>
      <c r="D24130" t="str">
        <f>"RANDALL                  MILTON                   "</f>
        <v xml:space="preserve">RANDALL                  MILTON                   </v>
      </c>
      <c r="E24130" t="str">
        <f t="shared" si="679"/>
        <v xml:space="preserve">MEMPHIS                   </v>
      </c>
      <c r="F24130" t="str">
        <f t="shared" si="678"/>
        <v>TN</v>
      </c>
    </row>
    <row r="24131" spans="1:6" x14ac:dyDescent="0.25">
      <c r="A24131" t="str">
        <f>"200021957"</f>
        <v>200021957</v>
      </c>
      <c r="B24131" t="str">
        <f>"1063426625"</f>
        <v>1063426625</v>
      </c>
      <c r="C24131" t="str">
        <f>"207P00000X"</f>
        <v>207P00000X</v>
      </c>
      <c r="D24131" t="str">
        <f>"SHERIDAN                 INDRANI                  "</f>
        <v xml:space="preserve">SHERIDAN                 INDRANI                  </v>
      </c>
      <c r="E24131" t="str">
        <f t="shared" si="679"/>
        <v xml:space="preserve">MEMPHIS                   </v>
      </c>
      <c r="F24131" t="str">
        <f t="shared" si="678"/>
        <v>TN</v>
      </c>
    </row>
    <row r="24132" spans="1:6" x14ac:dyDescent="0.25">
      <c r="A24132" t="str">
        <f>"200021962"</f>
        <v>200021962</v>
      </c>
      <c r="B24132" t="str">
        <f>"1376285403"</f>
        <v>1376285403</v>
      </c>
      <c r="C24132" t="str">
        <f>"208M00000X"</f>
        <v>208M00000X</v>
      </c>
      <c r="D24132" t="str">
        <f>"LANG                     LAURA                    "</f>
        <v xml:space="preserve">LANG                     LAURA                    </v>
      </c>
      <c r="E24132" t="str">
        <f t="shared" si="679"/>
        <v xml:space="preserve">MEMPHIS                   </v>
      </c>
      <c r="F24132" t="str">
        <f t="shared" si="678"/>
        <v>TN</v>
      </c>
    </row>
    <row r="24133" spans="1:6" x14ac:dyDescent="0.25">
      <c r="A24133" t="str">
        <f>"200021963"</f>
        <v>200021963</v>
      </c>
      <c r="B24133" t="str">
        <f>"1659505089"</f>
        <v>1659505089</v>
      </c>
      <c r="C24133" t="str">
        <f>"2085R0202X"</f>
        <v>2085R0202X</v>
      </c>
      <c r="D24133" t="str">
        <f>"BISHOP                   PAULINE                  "</f>
        <v xml:space="preserve">BISHOP                   PAULINE                  </v>
      </c>
      <c r="E24133" t="str">
        <f t="shared" si="679"/>
        <v xml:space="preserve">MEMPHIS                   </v>
      </c>
      <c r="F24133" t="str">
        <f t="shared" si="678"/>
        <v>TN</v>
      </c>
    </row>
    <row r="24134" spans="1:6" x14ac:dyDescent="0.25">
      <c r="A24134" t="str">
        <f>"200021967"</f>
        <v>200021967</v>
      </c>
      <c r="B24134" t="str">
        <f>"1518456805"</f>
        <v>1518456805</v>
      </c>
      <c r="C24134" t="str">
        <f>"208000000X"</f>
        <v>208000000X</v>
      </c>
      <c r="D24134" t="str">
        <f>"RAMOS                    MELANIE      W           "</f>
        <v xml:space="preserve">RAMOS                    MELANIE      W           </v>
      </c>
      <c r="E24134" t="str">
        <f t="shared" si="679"/>
        <v xml:space="preserve">MEMPHIS                   </v>
      </c>
      <c r="F24134" t="str">
        <f t="shared" si="678"/>
        <v>TN</v>
      </c>
    </row>
    <row r="24135" spans="1:6" x14ac:dyDescent="0.25">
      <c r="A24135" t="str">
        <f>"200021980"</f>
        <v>200021980</v>
      </c>
      <c r="B24135" t="str">
        <f>"1396207882"</f>
        <v>1396207882</v>
      </c>
      <c r="C24135" t="str">
        <f>"363LF0000X"</f>
        <v>363LF0000X</v>
      </c>
      <c r="D24135" t="str">
        <f>"HATCHETT                 ASHLEY                   "</f>
        <v xml:space="preserve">HATCHETT                 ASHLEY                   </v>
      </c>
      <c r="E24135" t="str">
        <f t="shared" si="679"/>
        <v xml:space="preserve">MEMPHIS                   </v>
      </c>
      <c r="F24135" t="str">
        <f t="shared" si="678"/>
        <v>TN</v>
      </c>
    </row>
    <row r="24136" spans="1:6" x14ac:dyDescent="0.25">
      <c r="A24136" t="str">
        <f>"200021995"</f>
        <v>200021995</v>
      </c>
      <c r="B24136" t="str">
        <f>"1841799053"</f>
        <v>1841799053</v>
      </c>
      <c r="C24136" t="str">
        <f>"363LF0000X"</f>
        <v>363LF0000X</v>
      </c>
      <c r="D24136" t="str">
        <f>"DAVIS                    TOYREE       S           "</f>
        <v xml:space="preserve">DAVIS                    TOYREE       S           </v>
      </c>
      <c r="E24136" t="str">
        <f t="shared" si="679"/>
        <v xml:space="preserve">MEMPHIS                   </v>
      </c>
      <c r="F24136" t="str">
        <f t="shared" si="678"/>
        <v>TN</v>
      </c>
    </row>
    <row r="24137" spans="1:6" x14ac:dyDescent="0.25">
      <c r="A24137" t="str">
        <f>"200021998"</f>
        <v>200021998</v>
      </c>
      <c r="B24137" t="str">
        <f>"1063939007"</f>
        <v>1063939007</v>
      </c>
      <c r="C24137" t="str">
        <f>"207R00000X"</f>
        <v>207R00000X</v>
      </c>
      <c r="D24137" t="str">
        <f>"WALUSIMBI                ABRAHAM                  "</f>
        <v xml:space="preserve">WALUSIMBI                ABRAHAM                  </v>
      </c>
      <c r="E24137" t="str">
        <f t="shared" si="679"/>
        <v xml:space="preserve">MEMPHIS                   </v>
      </c>
      <c r="F24137" t="str">
        <f t="shared" si="678"/>
        <v>TN</v>
      </c>
    </row>
    <row r="24138" spans="1:6" x14ac:dyDescent="0.25">
      <c r="A24138" t="str">
        <f>"200022002"</f>
        <v>200022002</v>
      </c>
      <c r="B24138" t="str">
        <f>"1295503886"</f>
        <v>1295503886</v>
      </c>
      <c r="C24138" t="str">
        <f>"363LF0000X"</f>
        <v>363LF0000X</v>
      </c>
      <c r="D24138" t="str">
        <f>"BRANNAN                  SOMMER                   "</f>
        <v xml:space="preserve">BRANNAN                  SOMMER                   </v>
      </c>
      <c r="E24138" t="str">
        <f t="shared" si="679"/>
        <v xml:space="preserve">MEMPHIS                   </v>
      </c>
      <c r="F24138" t="str">
        <f t="shared" si="678"/>
        <v>TN</v>
      </c>
    </row>
    <row r="24139" spans="1:6" x14ac:dyDescent="0.25">
      <c r="A24139" t="str">
        <f>"200022030"</f>
        <v>200022030</v>
      </c>
      <c r="B24139" t="str">
        <f>"1841843166"</f>
        <v>1841843166</v>
      </c>
      <c r="C24139" t="str">
        <f>"207RI0011X"</f>
        <v>207RI0011X</v>
      </c>
      <c r="D24139" t="str">
        <f>"HANAYNEH                 SERI         B           "</f>
        <v xml:space="preserve">HANAYNEH                 SERI         B           </v>
      </c>
      <c r="E24139" t="str">
        <f t="shared" si="679"/>
        <v xml:space="preserve">MEMPHIS                   </v>
      </c>
      <c r="F24139" t="str">
        <f t="shared" si="678"/>
        <v>TN</v>
      </c>
    </row>
    <row r="24140" spans="1:6" x14ac:dyDescent="0.25">
      <c r="A24140" t="str">
        <f>"200022038"</f>
        <v>200022038</v>
      </c>
      <c r="B24140" t="str">
        <f>"1801204383"</f>
        <v>1801204383</v>
      </c>
      <c r="C24140" t="str">
        <f>"367500000X"</f>
        <v>367500000X</v>
      </c>
      <c r="D24140" t="str">
        <f>"BARRETT                  TONNICHAKA               "</f>
        <v xml:space="preserve">BARRETT                  TONNICHAKA               </v>
      </c>
      <c r="E24140" t="str">
        <f t="shared" si="679"/>
        <v xml:space="preserve">MEMPHIS                   </v>
      </c>
      <c r="F24140" t="str">
        <f t="shared" si="678"/>
        <v>TN</v>
      </c>
    </row>
    <row r="24141" spans="1:6" x14ac:dyDescent="0.25">
      <c r="A24141" t="str">
        <f>"200022041"</f>
        <v>200022041</v>
      </c>
      <c r="B24141" t="str">
        <f>"1568671246"</f>
        <v>1568671246</v>
      </c>
      <c r="C24141" t="str">
        <f>"363LW0102X"</f>
        <v>363LW0102X</v>
      </c>
      <c r="D24141" t="str">
        <f>"MILLER                   ANGELA                   "</f>
        <v xml:space="preserve">MILLER                   ANGELA                   </v>
      </c>
      <c r="E24141" t="str">
        <f t="shared" si="679"/>
        <v xml:space="preserve">MEMPHIS                   </v>
      </c>
      <c r="F24141" t="str">
        <f t="shared" si="678"/>
        <v>TN</v>
      </c>
    </row>
    <row r="24142" spans="1:6" x14ac:dyDescent="0.25">
      <c r="A24142" t="str">
        <f>"200022064"</f>
        <v>200022064</v>
      </c>
      <c r="B24142" t="str">
        <f>"1740626837"</f>
        <v>1740626837</v>
      </c>
      <c r="C24142" t="str">
        <f>"207RA0001X"</f>
        <v>207RA0001X</v>
      </c>
      <c r="D24142" t="str">
        <f>"SIDDIQI                  HASAN                    "</f>
        <v xml:space="preserve">SIDDIQI                  HASAN                    </v>
      </c>
      <c r="E24142" t="str">
        <f>"NASHVILLE                 "</f>
        <v xml:space="preserve">NASHVILLE                 </v>
      </c>
      <c r="F24142" t="str">
        <f t="shared" si="678"/>
        <v>TN</v>
      </c>
    </row>
    <row r="24143" spans="1:6" x14ac:dyDescent="0.25">
      <c r="A24143" t="str">
        <f>"200022073"</f>
        <v>200022073</v>
      </c>
      <c r="B24143" t="str">
        <f>"1689109217"</f>
        <v>1689109217</v>
      </c>
      <c r="C24143" t="str">
        <f>"207RE0101X"</f>
        <v>207RE0101X</v>
      </c>
      <c r="D24143" t="str">
        <f>"TURNER                   JAMES                    "</f>
        <v xml:space="preserve">TURNER                   JAMES                    </v>
      </c>
      <c r="E24143" t="str">
        <f>"MEMPHIS                   "</f>
        <v xml:space="preserve">MEMPHIS                   </v>
      </c>
      <c r="F24143" t="str">
        <f t="shared" si="678"/>
        <v>TN</v>
      </c>
    </row>
    <row r="24144" spans="1:6" x14ac:dyDescent="0.25">
      <c r="A24144" t="str">
        <f>"200022089"</f>
        <v>200022089</v>
      </c>
      <c r="B24144" t="str">
        <f>"1881170538"</f>
        <v>1881170538</v>
      </c>
      <c r="C24144" t="str">
        <f>"363LF0000X"</f>
        <v>363LF0000X</v>
      </c>
      <c r="D24144" t="str">
        <f>"BOYLE                    ASHLEY                   "</f>
        <v xml:space="preserve">BOYLE                    ASHLEY                   </v>
      </c>
      <c r="E24144" t="str">
        <f>"MEMPHIS                   "</f>
        <v xml:space="preserve">MEMPHIS                   </v>
      </c>
      <c r="F24144" t="str">
        <f t="shared" si="678"/>
        <v>TN</v>
      </c>
    </row>
    <row r="24145" spans="1:6" x14ac:dyDescent="0.25">
      <c r="A24145" t="str">
        <f>"200022094"</f>
        <v>200022094</v>
      </c>
      <c r="B24145" t="str">
        <f>"1578723276"</f>
        <v>1578723276</v>
      </c>
      <c r="C24145" t="str">
        <f>"207RH0003X"</f>
        <v>207RH0003X</v>
      </c>
      <c r="D24145" t="str">
        <f>"DILL                     DREW                     "</f>
        <v xml:space="preserve">DILL                     DREW                     </v>
      </c>
      <c r="E24145" t="str">
        <f>"COLLIERVILLE              "</f>
        <v xml:space="preserve">COLLIERVILLE              </v>
      </c>
      <c r="F24145" t="str">
        <f t="shared" si="678"/>
        <v>TN</v>
      </c>
    </row>
    <row r="24146" spans="1:6" x14ac:dyDescent="0.25">
      <c r="A24146" t="str">
        <f>"200022098"</f>
        <v>200022098</v>
      </c>
      <c r="B24146" t="str">
        <f>"1194779850"</f>
        <v>1194779850</v>
      </c>
      <c r="C24146" t="str">
        <f>"2080P0207X"</f>
        <v>2080P0207X</v>
      </c>
      <c r="D24146" t="str">
        <f>"WEIGEL                   BRENDA                   "</f>
        <v xml:space="preserve">WEIGEL                   BRENDA                   </v>
      </c>
      <c r="E24146" t="str">
        <f>"MEMPHIS                   "</f>
        <v xml:space="preserve">MEMPHIS                   </v>
      </c>
      <c r="F24146" t="str">
        <f t="shared" si="678"/>
        <v>TN</v>
      </c>
    </row>
    <row r="24147" spans="1:6" x14ac:dyDescent="0.25">
      <c r="A24147" t="str">
        <f>"200022104"</f>
        <v>200022104</v>
      </c>
      <c r="B24147" t="str">
        <f>"1376512533"</f>
        <v>1376512533</v>
      </c>
      <c r="C24147" t="str">
        <f>"2080P0207X"</f>
        <v>2080P0207X</v>
      </c>
      <c r="D24147" t="str">
        <f>"MITCHELL                 WILLIAM                  "</f>
        <v xml:space="preserve">MITCHELL                 WILLIAM                  </v>
      </c>
      <c r="E24147" t="str">
        <f>"MEMPHIS                   "</f>
        <v xml:space="preserve">MEMPHIS                   </v>
      </c>
      <c r="F24147" t="str">
        <f t="shared" si="678"/>
        <v>TN</v>
      </c>
    </row>
    <row r="24148" spans="1:6" x14ac:dyDescent="0.25">
      <c r="A24148" t="str">
        <f>"200022110"</f>
        <v>200022110</v>
      </c>
      <c r="B24148" t="str">
        <f>"1558701912"</f>
        <v>1558701912</v>
      </c>
      <c r="C24148" t="str">
        <f>"363AS0400X"</f>
        <v>363AS0400X</v>
      </c>
      <c r="D24148" t="str">
        <f>"WIPFLI                   KARI         R           "</f>
        <v xml:space="preserve">WIPFLI                   KARI         R           </v>
      </c>
      <c r="E24148" t="str">
        <f>"MEMPHIS                   "</f>
        <v xml:space="preserve">MEMPHIS                   </v>
      </c>
      <c r="F24148" t="str">
        <f t="shared" si="678"/>
        <v>TN</v>
      </c>
    </row>
    <row r="24149" spans="1:6" x14ac:dyDescent="0.25">
      <c r="A24149" t="str">
        <f>"200022125"</f>
        <v>200022125</v>
      </c>
      <c r="B24149" t="str">
        <f>"1366948028"</f>
        <v>1366948028</v>
      </c>
      <c r="C24149" t="str">
        <f>"207RC0200X"</f>
        <v>207RC0200X</v>
      </c>
      <c r="D24149" t="str">
        <f>"BRADSHER                 ANDREW       J           "</f>
        <v xml:space="preserve">BRADSHER                 ANDREW       J           </v>
      </c>
      <c r="E24149" t="str">
        <f>"MEMPHIS                   "</f>
        <v xml:space="preserve">MEMPHIS                   </v>
      </c>
      <c r="F24149" t="str">
        <f t="shared" si="678"/>
        <v>TN</v>
      </c>
    </row>
    <row r="24150" spans="1:6" x14ac:dyDescent="0.25">
      <c r="A24150" t="str">
        <f>"200022126"</f>
        <v>200022126</v>
      </c>
      <c r="B24150" t="str">
        <f>"1649594219"</f>
        <v>1649594219</v>
      </c>
      <c r="C24150" t="str">
        <f>"207Q00000X"</f>
        <v>207Q00000X</v>
      </c>
      <c r="D24150" t="str">
        <f>"CONWAY                   ALISHA                   "</f>
        <v xml:space="preserve">CONWAY                   ALISHA                   </v>
      </c>
      <c r="E24150" t="str">
        <f>"ARLINGTON                 "</f>
        <v xml:space="preserve">ARLINGTON                 </v>
      </c>
      <c r="F24150" t="str">
        <f t="shared" si="678"/>
        <v>TN</v>
      </c>
    </row>
    <row r="24151" spans="1:6" x14ac:dyDescent="0.25">
      <c r="A24151" t="str">
        <f>"200022129"</f>
        <v>200022129</v>
      </c>
      <c r="B24151" t="str">
        <f>"1578212312"</f>
        <v>1578212312</v>
      </c>
      <c r="C24151" t="str">
        <f>"207Q00000X"</f>
        <v>207Q00000X</v>
      </c>
      <c r="D24151" t="str">
        <f>"SCHUBERT                 HANS                     "</f>
        <v xml:space="preserve">SCHUBERT                 HANS                     </v>
      </c>
      <c r="E24151" t="str">
        <f>"HUNTINGDON                "</f>
        <v xml:space="preserve">HUNTINGDON                </v>
      </c>
      <c r="F24151" t="str">
        <f t="shared" si="678"/>
        <v>TN</v>
      </c>
    </row>
    <row r="24152" spans="1:6" x14ac:dyDescent="0.25">
      <c r="A24152" t="str">
        <f>"200022135"</f>
        <v>200022135</v>
      </c>
      <c r="B24152" t="str">
        <f>"1255588950"</f>
        <v>1255588950</v>
      </c>
      <c r="C24152" t="str">
        <f>"207V00000X"</f>
        <v>207V00000X</v>
      </c>
      <c r="D24152" t="str">
        <f>"HAYSLETT                 KENDRA                   "</f>
        <v xml:space="preserve">HAYSLETT                 KENDRA                   </v>
      </c>
      <c r="E24152" t="str">
        <f>"MARTIN                    "</f>
        <v xml:space="preserve">MARTIN                    </v>
      </c>
      <c r="F24152" t="str">
        <f t="shared" si="678"/>
        <v>TN</v>
      </c>
    </row>
    <row r="24153" spans="1:6" x14ac:dyDescent="0.25">
      <c r="A24153" t="str">
        <f>"200022172"</f>
        <v>200022172</v>
      </c>
      <c r="B24153" t="str">
        <f>"1396551859"</f>
        <v>1396551859</v>
      </c>
      <c r="C24153" t="str">
        <f>"367500000X"</f>
        <v>367500000X</v>
      </c>
      <c r="D24153" t="str">
        <f>"SMITH                    HALEY                    "</f>
        <v xml:space="preserve">SMITH                    HALEY                    </v>
      </c>
      <c r="E24153" t="str">
        <f>"MEMPHIS                   "</f>
        <v xml:space="preserve">MEMPHIS                   </v>
      </c>
      <c r="F24153" t="str">
        <f t="shared" si="678"/>
        <v>TN</v>
      </c>
    </row>
    <row r="24154" spans="1:6" x14ac:dyDescent="0.25">
      <c r="A24154" t="str">
        <f>"200022194"</f>
        <v>200022194</v>
      </c>
      <c r="B24154" t="str">
        <f>"1912494105"</f>
        <v>1912494105</v>
      </c>
      <c r="C24154" t="str">
        <f>"208000000X"</f>
        <v>208000000X</v>
      </c>
      <c r="D24154" t="str">
        <f>"CAMPER                   SARAH                    "</f>
        <v xml:space="preserve">CAMPER                   SARAH                    </v>
      </c>
      <c r="E24154" t="str">
        <f>"JACKSON                   "</f>
        <v xml:space="preserve">JACKSON                   </v>
      </c>
      <c r="F24154" t="str">
        <f t="shared" si="678"/>
        <v>TN</v>
      </c>
    </row>
    <row r="24155" spans="1:6" x14ac:dyDescent="0.25">
      <c r="A24155" t="str">
        <f>"200022212"</f>
        <v>200022212</v>
      </c>
      <c r="B24155" t="str">
        <f>"1801412416"</f>
        <v>1801412416</v>
      </c>
      <c r="C24155" t="str">
        <f>"207RI0200X"</f>
        <v>207RI0200X</v>
      </c>
      <c r="D24155" t="str">
        <f>"KUMAR                    VISHAK                   "</f>
        <v xml:space="preserve">KUMAR                    VISHAK                   </v>
      </c>
      <c r="E24155" t="str">
        <f>"MEMPHIS                   "</f>
        <v xml:space="preserve">MEMPHIS                   </v>
      </c>
      <c r="F24155" t="str">
        <f t="shared" si="678"/>
        <v>TN</v>
      </c>
    </row>
    <row r="24156" spans="1:6" x14ac:dyDescent="0.25">
      <c r="A24156" t="str">
        <f>"200022220"</f>
        <v>200022220</v>
      </c>
      <c r="B24156" t="str">
        <f>"1407261449"</f>
        <v>1407261449</v>
      </c>
      <c r="C24156" t="str">
        <f>"2085R0202X"</f>
        <v>2085R0202X</v>
      </c>
      <c r="D24156" t="str">
        <f>"MA                       JENSON                   "</f>
        <v xml:space="preserve">MA                       JENSON                   </v>
      </c>
      <c r="E24156" t="str">
        <f>"MEMPHIS                   "</f>
        <v xml:space="preserve">MEMPHIS                   </v>
      </c>
      <c r="F24156" t="str">
        <f t="shared" si="678"/>
        <v>TN</v>
      </c>
    </row>
    <row r="24157" spans="1:6" x14ac:dyDescent="0.25">
      <c r="A24157" t="str">
        <f>"200022235"</f>
        <v>200022235</v>
      </c>
      <c r="B24157" t="str">
        <f>"1336899814"</f>
        <v>1336899814</v>
      </c>
      <c r="C24157" t="str">
        <f>"207R00000X"</f>
        <v>207R00000X</v>
      </c>
      <c r="D24157" t="str">
        <f>"ONUOHA                   NICOLE                   "</f>
        <v xml:space="preserve">ONUOHA                   NICOLE                   </v>
      </c>
      <c r="E24157" t="str">
        <f>"GERMANTOWN                "</f>
        <v xml:space="preserve">GERMANTOWN                </v>
      </c>
      <c r="F24157" t="str">
        <f t="shared" si="678"/>
        <v>TN</v>
      </c>
    </row>
    <row r="24158" spans="1:6" x14ac:dyDescent="0.25">
      <c r="A24158" t="str">
        <f>"200022238"</f>
        <v>200022238</v>
      </c>
      <c r="B24158" t="str">
        <f>"1427252188"</f>
        <v>1427252188</v>
      </c>
      <c r="C24158" t="str">
        <f>"2080P0203X"</f>
        <v>2080P0203X</v>
      </c>
      <c r="D24158" t="str">
        <f>"SMITH-PARRISH            MELISSA                  "</f>
        <v xml:space="preserve">SMITH-PARRISH            MELISSA                  </v>
      </c>
      <c r="E24158" t="str">
        <f>"NASHVILLE                 "</f>
        <v xml:space="preserve">NASHVILLE                 </v>
      </c>
      <c r="F24158" t="str">
        <f t="shared" si="678"/>
        <v>TN</v>
      </c>
    </row>
    <row r="24159" spans="1:6" x14ac:dyDescent="0.25">
      <c r="A24159" t="str">
        <f>"200022258"</f>
        <v>200022258</v>
      </c>
      <c r="B24159" t="str">
        <f>"1134603905"</f>
        <v>1134603905</v>
      </c>
      <c r="C24159" t="str">
        <f>"363LF0000X"</f>
        <v>363LF0000X</v>
      </c>
      <c r="D24159" t="str">
        <f>"JAMES                    JOSLYNN                  "</f>
        <v xml:space="preserve">JAMES                    JOSLYNN                  </v>
      </c>
      <c r="E24159" t="str">
        <f>"MEMPHIS                   "</f>
        <v xml:space="preserve">MEMPHIS                   </v>
      </c>
      <c r="F24159" t="str">
        <f t="shared" si="678"/>
        <v>TN</v>
      </c>
    </row>
    <row r="24160" spans="1:6" x14ac:dyDescent="0.25">
      <c r="A24160" t="str">
        <f>"200022265"</f>
        <v>200022265</v>
      </c>
      <c r="B24160" t="str">
        <f>"1740819036"</f>
        <v>1740819036</v>
      </c>
      <c r="C24160" t="str">
        <f>"2084N0400X"</f>
        <v>2084N0400X</v>
      </c>
      <c r="D24160" t="str">
        <f>"CORNEJO LEON             MARILHIA                 "</f>
        <v xml:space="preserve">CORNEJO LEON             MARILHIA                 </v>
      </c>
      <c r="E24160" t="str">
        <f>"MEMPHIS                   "</f>
        <v xml:space="preserve">MEMPHIS                   </v>
      </c>
      <c r="F24160" t="str">
        <f t="shared" si="678"/>
        <v>TN</v>
      </c>
    </row>
    <row r="24161" spans="1:6" x14ac:dyDescent="0.25">
      <c r="A24161" t="str">
        <f>"200022266"</f>
        <v>200022266</v>
      </c>
      <c r="B24161" t="str">
        <f>"1316649189"</f>
        <v>1316649189</v>
      </c>
      <c r="C24161" t="str">
        <f>"363LF0000X"</f>
        <v>363LF0000X</v>
      </c>
      <c r="D24161" t="str">
        <f>"RICE                     SUSAN                    "</f>
        <v xml:space="preserve">RICE                     SUSAN                    </v>
      </c>
      <c r="E24161" t="str">
        <f>"GERMANTOWN                "</f>
        <v xml:space="preserve">GERMANTOWN                </v>
      </c>
      <c r="F24161" t="str">
        <f t="shared" si="678"/>
        <v>TN</v>
      </c>
    </row>
    <row r="24162" spans="1:6" x14ac:dyDescent="0.25">
      <c r="A24162" t="str">
        <f>"200022273"</f>
        <v>200022273</v>
      </c>
      <c r="B24162" t="str">
        <f>"1710798244"</f>
        <v>1710798244</v>
      </c>
      <c r="C24162" t="str">
        <f>"367500000X"</f>
        <v>367500000X</v>
      </c>
      <c r="D24162" t="str">
        <f>"SELLERS                  ALLISON                  "</f>
        <v xml:space="preserve">SELLERS                  ALLISON                  </v>
      </c>
      <c r="E24162" t="str">
        <f>"MEMPHIS                   "</f>
        <v xml:space="preserve">MEMPHIS                   </v>
      </c>
      <c r="F24162" t="str">
        <f t="shared" si="678"/>
        <v>TN</v>
      </c>
    </row>
    <row r="24163" spans="1:6" x14ac:dyDescent="0.25">
      <c r="A24163" t="str">
        <f>"200022308"</f>
        <v>200022308</v>
      </c>
      <c r="B24163" t="str">
        <f>"1063971349"</f>
        <v>1063971349</v>
      </c>
      <c r="C24163" t="str">
        <f>"2080P0006X"</f>
        <v>2080P0006X</v>
      </c>
      <c r="D24163" t="str">
        <f>"LANE                     SARAH                    "</f>
        <v xml:space="preserve">LANE                     SARAH                    </v>
      </c>
      <c r="E24163" t="str">
        <f>"MEMPHIS                   "</f>
        <v xml:space="preserve">MEMPHIS                   </v>
      </c>
      <c r="F24163" t="str">
        <f t="shared" si="678"/>
        <v>TN</v>
      </c>
    </row>
    <row r="24164" spans="1:6" x14ac:dyDescent="0.25">
      <c r="A24164" t="str">
        <f>"200022311"</f>
        <v>200022311</v>
      </c>
      <c r="B24164" t="str">
        <f>"1609139625"</f>
        <v>1609139625</v>
      </c>
      <c r="C24164" t="str">
        <f>"207RP1001X"</f>
        <v>207RP1001X</v>
      </c>
      <c r="D24164" t="str">
        <f>"KHAN                     MUHAMMAD                 "</f>
        <v xml:space="preserve">KHAN                     MUHAMMAD                 </v>
      </c>
      <c r="E24164" t="str">
        <f>"GERMANTOWN                "</f>
        <v xml:space="preserve">GERMANTOWN                </v>
      </c>
      <c r="F24164" t="str">
        <f t="shared" si="678"/>
        <v>TN</v>
      </c>
    </row>
    <row r="24165" spans="1:6" x14ac:dyDescent="0.25">
      <c r="A24165" t="str">
        <f>"200022312"</f>
        <v>200022312</v>
      </c>
      <c r="B24165" t="str">
        <f>"1609142470"</f>
        <v>1609142470</v>
      </c>
      <c r="C24165" t="str">
        <f>"208G00000X"</f>
        <v>208G00000X</v>
      </c>
      <c r="D24165" t="str">
        <f>"BOMMAREDDI               SWAROOP                  "</f>
        <v xml:space="preserve">BOMMAREDDI               SWAROOP                  </v>
      </c>
      <c r="E24165" t="str">
        <f>"NASHVILLE                 "</f>
        <v xml:space="preserve">NASHVILLE                 </v>
      </c>
      <c r="F24165" t="str">
        <f t="shared" si="678"/>
        <v>TN</v>
      </c>
    </row>
    <row r="24166" spans="1:6" x14ac:dyDescent="0.25">
      <c r="A24166" t="str">
        <f>"200022319"</f>
        <v>200022319</v>
      </c>
      <c r="B24166" t="str">
        <f>"1558983072"</f>
        <v>1558983072</v>
      </c>
      <c r="C24166" t="str">
        <f>"207RI0200X"</f>
        <v>207RI0200X</v>
      </c>
      <c r="D24166" t="str">
        <f>"SHRIMANKER               ISHA                     "</f>
        <v xml:space="preserve">SHRIMANKER               ISHA                     </v>
      </c>
      <c r="E24166" t="str">
        <f>"MEMPHIS                   "</f>
        <v xml:space="preserve">MEMPHIS                   </v>
      </c>
      <c r="F24166" t="str">
        <f t="shared" si="678"/>
        <v>TN</v>
      </c>
    </row>
    <row r="24167" spans="1:6" x14ac:dyDescent="0.25">
      <c r="A24167" t="str">
        <f>"200022320"</f>
        <v>200022320</v>
      </c>
      <c r="B24167" t="str">
        <f>"1659364545"</f>
        <v>1659364545</v>
      </c>
      <c r="C24167" t="str">
        <f>"207Q00000X"</f>
        <v>207Q00000X</v>
      </c>
      <c r="D24167" t="str">
        <f>"VENEGAS                  JULIAN                   "</f>
        <v xml:space="preserve">VENEGAS                  JULIAN                   </v>
      </c>
      <c r="E24167" t="str">
        <f>"GERMANTOWN                "</f>
        <v xml:space="preserve">GERMANTOWN                </v>
      </c>
      <c r="F24167" t="str">
        <f t="shared" si="678"/>
        <v>TN</v>
      </c>
    </row>
    <row r="24168" spans="1:6" x14ac:dyDescent="0.25">
      <c r="A24168" t="str">
        <f>"200022325"</f>
        <v>200022325</v>
      </c>
      <c r="B24168" t="str">
        <f>"1629899836"</f>
        <v>1629899836</v>
      </c>
      <c r="C24168" t="str">
        <f>"363A00000X"</f>
        <v>363A00000X</v>
      </c>
      <c r="D24168" t="str">
        <f>"LAURENCE                 ANDREW                   "</f>
        <v xml:space="preserve">LAURENCE                 ANDREW                   </v>
      </c>
      <c r="E24168" t="str">
        <f>"MEMPHIS                   "</f>
        <v xml:space="preserve">MEMPHIS                   </v>
      </c>
      <c r="F24168" t="str">
        <f t="shared" si="678"/>
        <v>TN</v>
      </c>
    </row>
    <row r="24169" spans="1:6" x14ac:dyDescent="0.25">
      <c r="A24169" t="str">
        <f>"200022329"</f>
        <v>200022329</v>
      </c>
      <c r="B24169" t="str">
        <f>"1376124016"</f>
        <v>1376124016</v>
      </c>
      <c r="C24169" t="str">
        <f>"207R00000X"</f>
        <v>207R00000X</v>
      </c>
      <c r="D24169" t="str">
        <f>"SEABROOK                 PAIGE                    "</f>
        <v xml:space="preserve">SEABROOK                 PAIGE                    </v>
      </c>
      <c r="E24169" t="str">
        <f>"MEMPHIS                   "</f>
        <v xml:space="preserve">MEMPHIS                   </v>
      </c>
      <c r="F24169" t="str">
        <f t="shared" si="678"/>
        <v>TN</v>
      </c>
    </row>
    <row r="24170" spans="1:6" x14ac:dyDescent="0.25">
      <c r="A24170" t="str">
        <f>"200022342"</f>
        <v>200022342</v>
      </c>
      <c r="B24170" t="str">
        <f>"1356392567"</f>
        <v>1356392567</v>
      </c>
      <c r="C24170" t="str">
        <f>"207RA0401X"</f>
        <v>207RA0401X</v>
      </c>
      <c r="D24170" t="str">
        <f>"O'CAIN                   PEGGY                    "</f>
        <v xml:space="preserve">O'CAIN                   PEGGY                    </v>
      </c>
      <c r="E24170" t="str">
        <f>"MEMPHIS                   "</f>
        <v xml:space="preserve">MEMPHIS                   </v>
      </c>
      <c r="F24170" t="str">
        <f t="shared" si="678"/>
        <v>TN</v>
      </c>
    </row>
    <row r="24171" spans="1:6" x14ac:dyDescent="0.25">
      <c r="A24171" t="str">
        <f>"200022347"</f>
        <v>200022347</v>
      </c>
      <c r="B24171" t="str">
        <f>"1598758120"</f>
        <v>1598758120</v>
      </c>
      <c r="C24171" t="str">
        <f>"207Q00000X"</f>
        <v>207Q00000X</v>
      </c>
      <c r="D24171" t="str">
        <f>"WONG                     JOSEPH                   "</f>
        <v xml:space="preserve">WONG                     JOSEPH                   </v>
      </c>
      <c r="E24171" t="str">
        <f>"GERMANTOWN                "</f>
        <v xml:space="preserve">GERMANTOWN                </v>
      </c>
      <c r="F24171" t="str">
        <f t="shared" si="678"/>
        <v>TN</v>
      </c>
    </row>
    <row r="24172" spans="1:6" x14ac:dyDescent="0.25">
      <c r="A24172" t="str">
        <f>"200022351"</f>
        <v>200022351</v>
      </c>
      <c r="B24172" t="str">
        <f>"1245223866"</f>
        <v>1245223866</v>
      </c>
      <c r="C24172" t="str">
        <f>"207Q00000X"</f>
        <v>207Q00000X</v>
      </c>
      <c r="D24172" t="str">
        <f>"WOODALL                  CHARLES                  "</f>
        <v xml:space="preserve">WOODALL                  CHARLES                  </v>
      </c>
      <c r="E24172" t="str">
        <f>"GERMANTOWN                "</f>
        <v xml:space="preserve">GERMANTOWN                </v>
      </c>
      <c r="F24172" t="str">
        <f t="shared" si="678"/>
        <v>TN</v>
      </c>
    </row>
    <row r="24173" spans="1:6" x14ac:dyDescent="0.25">
      <c r="A24173" t="str">
        <f>"200022361"</f>
        <v>200022361</v>
      </c>
      <c r="B24173" t="str">
        <f>"1770218901"</f>
        <v>1770218901</v>
      </c>
      <c r="C24173" t="str">
        <f>"363A00000X"</f>
        <v>363A00000X</v>
      </c>
      <c r="D24173" t="str">
        <f>"GUIMERA                  MATTHEW RAPHA            "</f>
        <v xml:space="preserve">GUIMERA                  MATTHEW RAPHA            </v>
      </c>
      <c r="E24173" t="str">
        <f>"MEMPHIS                   "</f>
        <v xml:space="preserve">MEMPHIS                   </v>
      </c>
      <c r="F24173" t="str">
        <f t="shared" si="678"/>
        <v>TN</v>
      </c>
    </row>
    <row r="24174" spans="1:6" x14ac:dyDescent="0.25">
      <c r="A24174" t="str">
        <f>"200022362"</f>
        <v>200022362</v>
      </c>
      <c r="B24174" t="str">
        <f>"1558253195"</f>
        <v>1558253195</v>
      </c>
      <c r="C24174" t="str">
        <f>"363LA2100X"</f>
        <v>363LA2100X</v>
      </c>
      <c r="D24174" t="str">
        <f>"WHITE                    ASIA                     "</f>
        <v xml:space="preserve">WHITE                    ASIA                     </v>
      </c>
      <c r="E24174" t="str">
        <f>"GERMANTOWN                "</f>
        <v xml:space="preserve">GERMANTOWN                </v>
      </c>
      <c r="F24174" t="str">
        <f t="shared" si="678"/>
        <v>TN</v>
      </c>
    </row>
    <row r="24175" spans="1:6" x14ac:dyDescent="0.25">
      <c r="A24175" t="str">
        <f>"200022364"</f>
        <v>200022364</v>
      </c>
      <c r="B24175" t="str">
        <f>"1053791616"</f>
        <v>1053791616</v>
      </c>
      <c r="C24175" t="str">
        <f>"363L00000X"</f>
        <v>363L00000X</v>
      </c>
      <c r="D24175" t="str">
        <f>"ADAMS                    AMBER                    "</f>
        <v xml:space="preserve">ADAMS                    AMBER                    </v>
      </c>
      <c r="E24175" t="str">
        <f>"MEMPHIS                   "</f>
        <v xml:space="preserve">MEMPHIS                   </v>
      </c>
      <c r="F24175" t="str">
        <f t="shared" si="678"/>
        <v>TN</v>
      </c>
    </row>
    <row r="24176" spans="1:6" x14ac:dyDescent="0.25">
      <c r="A24176" t="str">
        <f>"200022374"</f>
        <v>200022374</v>
      </c>
      <c r="B24176" t="str">
        <f>"1174139182"</f>
        <v>1174139182</v>
      </c>
      <c r="C24176" t="str">
        <f>"363LF0000X"</f>
        <v>363LF0000X</v>
      </c>
      <c r="D24176" t="str">
        <f>"WILLIAMS                 MICHAEL                  "</f>
        <v xml:space="preserve">WILLIAMS                 MICHAEL                  </v>
      </c>
      <c r="E24176" t="str">
        <f>"MEMPHIS                   "</f>
        <v xml:space="preserve">MEMPHIS                   </v>
      </c>
      <c r="F24176" t="str">
        <f t="shared" si="678"/>
        <v>TN</v>
      </c>
    </row>
    <row r="24177" spans="1:6" x14ac:dyDescent="0.25">
      <c r="A24177" t="str">
        <f>"200022382"</f>
        <v>200022382</v>
      </c>
      <c r="B24177" t="str">
        <f>"1689295222"</f>
        <v>1689295222</v>
      </c>
      <c r="C24177" t="str">
        <f>"207L00000X"</f>
        <v>207L00000X</v>
      </c>
      <c r="D24177" t="str">
        <f>"BARRON                   MICHAEL                  "</f>
        <v xml:space="preserve">BARRON                   MICHAEL                  </v>
      </c>
      <c r="E24177" t="str">
        <f>"GERMANTOWN                "</f>
        <v xml:space="preserve">GERMANTOWN                </v>
      </c>
      <c r="F24177" t="str">
        <f t="shared" si="678"/>
        <v>TN</v>
      </c>
    </row>
    <row r="24178" spans="1:6" x14ac:dyDescent="0.25">
      <c r="A24178" t="str">
        <f>"200022384"</f>
        <v>200022384</v>
      </c>
      <c r="B24178" t="str">
        <f>"1396122982"</f>
        <v>1396122982</v>
      </c>
      <c r="C24178" t="str">
        <f>"207T00000X"</f>
        <v>207T00000X</v>
      </c>
      <c r="D24178" t="str">
        <f>"KELLY                    PATRICK                  "</f>
        <v xml:space="preserve">KELLY                    PATRICK                  </v>
      </c>
      <c r="E24178" t="str">
        <f>"NASHVILLE                 "</f>
        <v xml:space="preserve">NASHVILLE                 </v>
      </c>
      <c r="F24178" t="str">
        <f t="shared" si="678"/>
        <v>TN</v>
      </c>
    </row>
    <row r="24179" spans="1:6" x14ac:dyDescent="0.25">
      <c r="A24179" t="str">
        <f>"200022388"</f>
        <v>200022388</v>
      </c>
      <c r="B24179" t="str">
        <f>"1215100193"</f>
        <v>1215100193</v>
      </c>
      <c r="C24179" t="str">
        <f>"207L00000X"</f>
        <v>207L00000X</v>
      </c>
      <c r="D24179" t="str">
        <f>"YATSULA JR.              MICHAEL                  "</f>
        <v xml:space="preserve">YATSULA JR.              MICHAEL                  </v>
      </c>
      <c r="E24179" t="str">
        <f>"MEMPHIS                   "</f>
        <v xml:space="preserve">MEMPHIS                   </v>
      </c>
      <c r="F24179" t="str">
        <f t="shared" si="678"/>
        <v>TN</v>
      </c>
    </row>
    <row r="24180" spans="1:6" x14ac:dyDescent="0.25">
      <c r="A24180" t="str">
        <f>"200022399"</f>
        <v>200022399</v>
      </c>
      <c r="B24180" t="str">
        <f>"1548240856"</f>
        <v>1548240856</v>
      </c>
      <c r="C24180" t="str">
        <f>"207Q00000X"</f>
        <v>207Q00000X</v>
      </c>
      <c r="D24180" t="str">
        <f>"STONE                    WILLIAM                  "</f>
        <v xml:space="preserve">STONE                    WILLIAM                  </v>
      </c>
      <c r="E24180" t="str">
        <f>"UNION CITY                "</f>
        <v xml:space="preserve">UNION CITY                </v>
      </c>
      <c r="F24180" t="str">
        <f t="shared" si="678"/>
        <v>TN</v>
      </c>
    </row>
    <row r="24181" spans="1:6" x14ac:dyDescent="0.25">
      <c r="A24181" t="str">
        <f>"200022401"</f>
        <v>200022401</v>
      </c>
      <c r="B24181" t="str">
        <f>"1699017962"</f>
        <v>1699017962</v>
      </c>
      <c r="C24181" t="str">
        <f>"363LA2200X"</f>
        <v>363LA2200X</v>
      </c>
      <c r="D24181" t="str">
        <f>"POLMANARI                HEATHER                  "</f>
        <v xml:space="preserve">POLMANARI                HEATHER                  </v>
      </c>
      <c r="E24181" t="str">
        <f>"GERMANTOWN                "</f>
        <v xml:space="preserve">GERMANTOWN                </v>
      </c>
      <c r="F24181" t="str">
        <f t="shared" si="678"/>
        <v>TN</v>
      </c>
    </row>
    <row r="24182" spans="1:6" x14ac:dyDescent="0.25">
      <c r="A24182" t="str">
        <f>"200022409"</f>
        <v>200022409</v>
      </c>
      <c r="B24182" t="str">
        <f>"1093240046"</f>
        <v>1093240046</v>
      </c>
      <c r="C24182" t="str">
        <f>"207T00000X"</f>
        <v>207T00000X</v>
      </c>
      <c r="D24182" t="str">
        <f>"CARROLL                  BENJAMIN     W           "</f>
        <v xml:space="preserve">CARROLL                  BENJAMIN     W           </v>
      </c>
      <c r="E24182" t="str">
        <f>"MEMPHIS                   "</f>
        <v xml:space="preserve">MEMPHIS                   </v>
      </c>
      <c r="F24182" t="str">
        <f t="shared" si="678"/>
        <v>TN</v>
      </c>
    </row>
    <row r="24183" spans="1:6" x14ac:dyDescent="0.25">
      <c r="A24183" t="str">
        <f>"200022419"</f>
        <v>200022419</v>
      </c>
      <c r="B24183" t="str">
        <f>"1255154894"</f>
        <v>1255154894</v>
      </c>
      <c r="C24183" t="str">
        <f>"367500000X"</f>
        <v>367500000X</v>
      </c>
      <c r="D24183" t="str">
        <f>"WILHAUCKS                MATTHEW                  "</f>
        <v xml:space="preserve">WILHAUCKS                MATTHEW                  </v>
      </c>
      <c r="E24183" t="str">
        <f>"MEMPHIS                   "</f>
        <v xml:space="preserve">MEMPHIS                   </v>
      </c>
      <c r="F24183" t="str">
        <f t="shared" si="678"/>
        <v>TN</v>
      </c>
    </row>
    <row r="24184" spans="1:6" x14ac:dyDescent="0.25">
      <c r="A24184" t="str">
        <f>"200022422"</f>
        <v>200022422</v>
      </c>
      <c r="B24184" t="str">
        <f>"1154379659"</f>
        <v>1154379659</v>
      </c>
      <c r="C24184" t="str">
        <f>"207X00000X"</f>
        <v>207X00000X</v>
      </c>
      <c r="D24184" t="str">
        <f>"HECK                     MICHAEL                  "</f>
        <v xml:space="preserve">HECK                     MICHAEL                  </v>
      </c>
      <c r="E24184" t="str">
        <f>"GERMANTOWN                "</f>
        <v xml:space="preserve">GERMANTOWN                </v>
      </c>
      <c r="F24184" t="str">
        <f t="shared" si="678"/>
        <v>TN</v>
      </c>
    </row>
    <row r="24185" spans="1:6" x14ac:dyDescent="0.25">
      <c r="A24185" t="str">
        <f>"200022428"</f>
        <v>200022428</v>
      </c>
      <c r="B24185" t="str">
        <f>"1154314771"</f>
        <v>1154314771</v>
      </c>
      <c r="C24185" t="str">
        <f>"207Q00000X"</f>
        <v>207Q00000X</v>
      </c>
      <c r="D24185" t="str">
        <f>"NEAL                     MICHELE      E           "</f>
        <v xml:space="preserve">NEAL                     MICHELE      E           </v>
      </c>
      <c r="E24185" t="str">
        <f>"GERMANTOWN                "</f>
        <v xml:space="preserve">GERMANTOWN                </v>
      </c>
      <c r="F24185" t="str">
        <f t="shared" si="678"/>
        <v>TN</v>
      </c>
    </row>
    <row r="24186" spans="1:6" x14ac:dyDescent="0.25">
      <c r="A24186" t="str">
        <f>"200022434"</f>
        <v>200022434</v>
      </c>
      <c r="B24186" t="str">
        <f>"1720461015"</f>
        <v>1720461015</v>
      </c>
      <c r="C24186" t="str">
        <f>"2086S0122X"</f>
        <v>2086S0122X</v>
      </c>
      <c r="D24186" t="str">
        <f>"ASSI                     PATRICK                  "</f>
        <v xml:space="preserve">ASSI                     PATRICK                  </v>
      </c>
      <c r="E24186" t="str">
        <f>"NASHVILLE                 "</f>
        <v xml:space="preserve">NASHVILLE                 </v>
      </c>
      <c r="F24186" t="str">
        <f t="shared" si="678"/>
        <v>TN</v>
      </c>
    </row>
    <row r="24187" spans="1:6" x14ac:dyDescent="0.25">
      <c r="A24187" t="str">
        <f>"200022441"</f>
        <v>200022441</v>
      </c>
      <c r="B24187" t="str">
        <f>"1255137741"</f>
        <v>1255137741</v>
      </c>
      <c r="C24187" t="str">
        <f>"363LA2100X"</f>
        <v>363LA2100X</v>
      </c>
      <c r="D24187" t="str">
        <f>"WILKINS                  MORGAN                   "</f>
        <v xml:space="preserve">WILKINS                  MORGAN                   </v>
      </c>
      <c r="E24187" t="str">
        <f>"MEMPHIS                   "</f>
        <v xml:space="preserve">MEMPHIS                   </v>
      </c>
      <c r="F24187" t="str">
        <f t="shared" si="678"/>
        <v>TN</v>
      </c>
    </row>
    <row r="24188" spans="1:6" x14ac:dyDescent="0.25">
      <c r="A24188" t="str">
        <f>"200022455"</f>
        <v>200022455</v>
      </c>
      <c r="B24188" t="str">
        <f>"1316901309"</f>
        <v>1316901309</v>
      </c>
      <c r="C24188" t="str">
        <f>"363LA2200X"</f>
        <v>363LA2200X</v>
      </c>
      <c r="D24188" t="str">
        <f>"WEST                     DOUGLAS                  "</f>
        <v xml:space="preserve">WEST                     DOUGLAS                  </v>
      </c>
      <c r="E24188" t="str">
        <f>"NASHVILLE                 "</f>
        <v xml:space="preserve">NASHVILLE                 </v>
      </c>
      <c r="F24188" t="str">
        <f t="shared" si="678"/>
        <v>TN</v>
      </c>
    </row>
    <row r="24189" spans="1:6" x14ac:dyDescent="0.25">
      <c r="A24189" t="str">
        <f>"200022480"</f>
        <v>200022480</v>
      </c>
      <c r="B24189" t="str">
        <f>"1306826524"</f>
        <v>1306826524</v>
      </c>
      <c r="C24189" t="str">
        <f>"367A00000X"</f>
        <v>367A00000X</v>
      </c>
      <c r="D24189" t="str">
        <f>"MADDOX                   JAMI                     "</f>
        <v xml:space="preserve">MADDOX                   JAMI                     </v>
      </c>
      <c r="E24189" t="str">
        <f>"MARTIN                    "</f>
        <v xml:space="preserve">MARTIN                    </v>
      </c>
      <c r="F24189" t="str">
        <f t="shared" si="678"/>
        <v>TN</v>
      </c>
    </row>
    <row r="24190" spans="1:6" x14ac:dyDescent="0.25">
      <c r="A24190" t="str">
        <f>"200022495"</f>
        <v>200022495</v>
      </c>
      <c r="B24190" t="str">
        <f>"1679362388"</f>
        <v>1679362388</v>
      </c>
      <c r="C24190" t="str">
        <f>"363LF0000X"</f>
        <v>363LF0000X</v>
      </c>
      <c r="D24190" t="str">
        <f>"MULLINS                  WHITNEY                  "</f>
        <v xml:space="preserve">MULLINS                  WHITNEY                  </v>
      </c>
      <c r="E24190" t="str">
        <f>"MEMPHIS                   "</f>
        <v xml:space="preserve">MEMPHIS                   </v>
      </c>
      <c r="F24190" t="str">
        <f t="shared" ref="F24190:F24253" si="680">"TN"</f>
        <v>TN</v>
      </c>
    </row>
    <row r="24191" spans="1:6" x14ac:dyDescent="0.25">
      <c r="A24191" t="str">
        <f>"200022508"</f>
        <v>200022508</v>
      </c>
      <c r="B24191" t="str">
        <f>"1023253119"</f>
        <v>1023253119</v>
      </c>
      <c r="C24191" t="str">
        <f>"207Q00000X"</f>
        <v>207Q00000X</v>
      </c>
      <c r="D24191" t="str">
        <f>"DOZIER                   SELENA                   "</f>
        <v xml:space="preserve">DOZIER                   SELENA                   </v>
      </c>
      <c r="E24191" t="str">
        <f>"UNION CITY                "</f>
        <v xml:space="preserve">UNION CITY                </v>
      </c>
      <c r="F24191" t="str">
        <f t="shared" si="680"/>
        <v>TN</v>
      </c>
    </row>
    <row r="24192" spans="1:6" x14ac:dyDescent="0.25">
      <c r="A24192" t="str">
        <f>"200022510"</f>
        <v>200022510</v>
      </c>
      <c r="B24192" t="str">
        <f>"1417690868"</f>
        <v>1417690868</v>
      </c>
      <c r="C24192" t="str">
        <f>"207Q00000X"</f>
        <v>207Q00000X</v>
      </c>
      <c r="D24192" t="str">
        <f>"MAY                      BRITTANY                 "</f>
        <v xml:space="preserve">MAY                      BRITTANY                 </v>
      </c>
      <c r="E24192" t="str">
        <f>"COLLIERVILLE              "</f>
        <v xml:space="preserve">COLLIERVILLE              </v>
      </c>
      <c r="F24192" t="str">
        <f t="shared" si="680"/>
        <v>TN</v>
      </c>
    </row>
    <row r="24193" spans="1:6" x14ac:dyDescent="0.25">
      <c r="A24193" t="str">
        <f>"200022518"</f>
        <v>200022518</v>
      </c>
      <c r="B24193" t="str">
        <f>"1669416889"</f>
        <v>1669416889</v>
      </c>
      <c r="C24193" t="str">
        <f>"207R00000X"</f>
        <v>207R00000X</v>
      </c>
      <c r="D24193" t="str">
        <f>"SPINZIG                  BRUCE                    "</f>
        <v xml:space="preserve">SPINZIG                  BRUCE                    </v>
      </c>
      <c r="E24193" t="str">
        <f>"HUNTINGDON                "</f>
        <v xml:space="preserve">HUNTINGDON                </v>
      </c>
      <c r="F24193" t="str">
        <f t="shared" si="680"/>
        <v>TN</v>
      </c>
    </row>
    <row r="24194" spans="1:6" x14ac:dyDescent="0.25">
      <c r="A24194" t="str">
        <f>"200022519"</f>
        <v>200022519</v>
      </c>
      <c r="B24194" t="str">
        <f>"1275964645"</f>
        <v>1275964645</v>
      </c>
      <c r="C24194" t="str">
        <f>"363LF0000X"</f>
        <v>363LF0000X</v>
      </c>
      <c r="D24194" t="str">
        <f>"KINDRICK                 HEATHER                  "</f>
        <v xml:space="preserve">KINDRICK                 HEATHER                  </v>
      </c>
      <c r="E24194" t="str">
        <f>"GERMANTOWN                "</f>
        <v xml:space="preserve">GERMANTOWN                </v>
      </c>
      <c r="F24194" t="str">
        <f t="shared" si="680"/>
        <v>TN</v>
      </c>
    </row>
    <row r="24195" spans="1:6" x14ac:dyDescent="0.25">
      <c r="A24195" t="str">
        <f>"200022522"</f>
        <v>200022522</v>
      </c>
      <c r="B24195" t="str">
        <f>"1144513326"</f>
        <v>1144513326</v>
      </c>
      <c r="C24195" t="str">
        <f>"207L00000X"</f>
        <v>207L00000X</v>
      </c>
      <c r="D24195" t="str">
        <f>"SHERROD                  JONATHAN                 "</f>
        <v xml:space="preserve">SHERROD                  JONATHAN                 </v>
      </c>
      <c r="E24195" t="str">
        <f>"MEMPHIS                   "</f>
        <v xml:space="preserve">MEMPHIS                   </v>
      </c>
      <c r="F24195" t="str">
        <f t="shared" si="680"/>
        <v>TN</v>
      </c>
    </row>
    <row r="24196" spans="1:6" x14ac:dyDescent="0.25">
      <c r="A24196" t="str">
        <f>"200022566"</f>
        <v>200022566</v>
      </c>
      <c r="B24196" t="str">
        <f>"1508359092"</f>
        <v>1508359092</v>
      </c>
      <c r="C24196" t="str">
        <f>"207P00000X"</f>
        <v>207P00000X</v>
      </c>
      <c r="D24196" t="str">
        <f>"KACHE                    SHAWN                    "</f>
        <v xml:space="preserve">KACHE                    SHAWN                    </v>
      </c>
      <c r="E24196" t="str">
        <f>"MEMPHIS                   "</f>
        <v xml:space="preserve">MEMPHIS                   </v>
      </c>
      <c r="F24196" t="str">
        <f t="shared" si="680"/>
        <v>TN</v>
      </c>
    </row>
    <row r="24197" spans="1:6" x14ac:dyDescent="0.25">
      <c r="A24197" t="str">
        <f>"200022599"</f>
        <v>200022599</v>
      </c>
      <c r="B24197" t="str">
        <f>"1346233913"</f>
        <v>1346233913</v>
      </c>
      <c r="C24197" t="str">
        <f>"207Q00000X"</f>
        <v>207Q00000X</v>
      </c>
      <c r="D24197" t="str">
        <f>"WOODALL                  MELANIE                  "</f>
        <v xml:space="preserve">WOODALL                  MELANIE                  </v>
      </c>
      <c r="E24197" t="str">
        <f>"GERMANTOWN                "</f>
        <v xml:space="preserve">GERMANTOWN                </v>
      </c>
      <c r="F24197" t="str">
        <f t="shared" si="680"/>
        <v>TN</v>
      </c>
    </row>
    <row r="24198" spans="1:6" x14ac:dyDescent="0.25">
      <c r="A24198" t="str">
        <f>"200022612"</f>
        <v>200022612</v>
      </c>
      <c r="B24198" t="str">
        <f>"1225051246"</f>
        <v>1225051246</v>
      </c>
      <c r="C24198" t="str">
        <f>"207R00000X"</f>
        <v>207R00000X</v>
      </c>
      <c r="D24198" t="str">
        <f>"JENKINS                  GREGORY                  "</f>
        <v xml:space="preserve">JENKINS                  GREGORY                  </v>
      </c>
      <c r="E24198" t="str">
        <f>"GERMANTOWN                "</f>
        <v xml:space="preserve">GERMANTOWN                </v>
      </c>
      <c r="F24198" t="str">
        <f t="shared" si="680"/>
        <v>TN</v>
      </c>
    </row>
    <row r="24199" spans="1:6" x14ac:dyDescent="0.25">
      <c r="A24199" t="str">
        <f>"200022617"</f>
        <v>200022617</v>
      </c>
      <c r="B24199" t="str">
        <f>"1083364350"</f>
        <v>1083364350</v>
      </c>
      <c r="C24199" t="str">
        <f>"207Q00000X"</f>
        <v>207Q00000X</v>
      </c>
      <c r="D24199" t="str">
        <f>"LOESCHER                 SAMUEL                   "</f>
        <v xml:space="preserve">LOESCHER                 SAMUEL                   </v>
      </c>
      <c r="E24199" t="str">
        <f>"MEMPHIS                   "</f>
        <v xml:space="preserve">MEMPHIS                   </v>
      </c>
      <c r="F24199" t="str">
        <f t="shared" si="680"/>
        <v>TN</v>
      </c>
    </row>
    <row r="24200" spans="1:6" x14ac:dyDescent="0.25">
      <c r="A24200" t="str">
        <f>"200022619"</f>
        <v>200022619</v>
      </c>
      <c r="B24200" t="str">
        <f>"1184114902"</f>
        <v>1184114902</v>
      </c>
      <c r="C24200" t="str">
        <f>"261QR1300X"</f>
        <v>261QR1300X</v>
      </c>
      <c r="D24200" t="str">
        <f>"BAPTIST MEMORIAL HOSPITAL - HUNTINGDON            "</f>
        <v xml:space="preserve">BAPTIST MEMORIAL HOSPITAL - HUNTINGDON            </v>
      </c>
      <c r="E24200" t="str">
        <f>"HUNTINGDON                "</f>
        <v xml:space="preserve">HUNTINGDON                </v>
      </c>
      <c r="F24200" t="str">
        <f t="shared" si="680"/>
        <v>TN</v>
      </c>
    </row>
    <row r="24201" spans="1:6" x14ac:dyDescent="0.25">
      <c r="A24201" t="str">
        <f>"200022625"</f>
        <v>200022625</v>
      </c>
      <c r="B24201" t="str">
        <f>"1467549899"</f>
        <v>1467549899</v>
      </c>
      <c r="C24201" t="str">
        <f>"207RC0000X"</f>
        <v>207RC0000X</v>
      </c>
      <c r="D24201" t="str">
        <f>"SHEN                     SHARON                   "</f>
        <v xml:space="preserve">SHEN                     SHARON                   </v>
      </c>
      <c r="E24201" t="str">
        <f>"NASHVILLE                 "</f>
        <v xml:space="preserve">NASHVILLE                 </v>
      </c>
      <c r="F24201" t="str">
        <f t="shared" si="680"/>
        <v>TN</v>
      </c>
    </row>
    <row r="24202" spans="1:6" x14ac:dyDescent="0.25">
      <c r="A24202" t="str">
        <f>"200022633"</f>
        <v>200022633</v>
      </c>
      <c r="B24202" t="str">
        <f>"1740669332"</f>
        <v>1740669332</v>
      </c>
      <c r="C24202" t="str">
        <f>"363LF0000X"</f>
        <v>363LF0000X</v>
      </c>
      <c r="D24202" t="str">
        <f>"REEVES                   TROY                     "</f>
        <v xml:space="preserve">REEVES                   TROY                     </v>
      </c>
      <c r="E24202" t="str">
        <f>"MEMPHIS                   "</f>
        <v xml:space="preserve">MEMPHIS                   </v>
      </c>
      <c r="F24202" t="str">
        <f t="shared" si="680"/>
        <v>TN</v>
      </c>
    </row>
    <row r="24203" spans="1:6" x14ac:dyDescent="0.25">
      <c r="A24203" t="str">
        <f>"200022637"</f>
        <v>200022637</v>
      </c>
      <c r="B24203" t="str">
        <f>"1831182526"</f>
        <v>1831182526</v>
      </c>
      <c r="C24203" t="str">
        <f>"207Q00000X"</f>
        <v>207Q00000X</v>
      </c>
      <c r="D24203" t="str">
        <f>"FILIPCIC                 RAMUNE                   "</f>
        <v xml:space="preserve">FILIPCIC                 RAMUNE                   </v>
      </c>
      <c r="E24203" t="str">
        <f>"GERMANTOWN                "</f>
        <v xml:space="preserve">GERMANTOWN                </v>
      </c>
      <c r="F24203" t="str">
        <f t="shared" si="680"/>
        <v>TN</v>
      </c>
    </row>
    <row r="24204" spans="1:6" x14ac:dyDescent="0.25">
      <c r="A24204" t="str">
        <f>"200022649"</f>
        <v>200022649</v>
      </c>
      <c r="B24204" t="str">
        <f>"1487004560"</f>
        <v>1487004560</v>
      </c>
      <c r="C24204" t="str">
        <f>"207Q00000X"</f>
        <v>207Q00000X</v>
      </c>
      <c r="D24204" t="str">
        <f>"EZELL                    EMILY                    "</f>
        <v xml:space="preserve">EZELL                    EMILY                    </v>
      </c>
      <c r="E24204" t="str">
        <f>"HUNTINGDON                "</f>
        <v xml:space="preserve">HUNTINGDON                </v>
      </c>
      <c r="F24204" t="str">
        <f t="shared" si="680"/>
        <v>TN</v>
      </c>
    </row>
    <row r="24205" spans="1:6" x14ac:dyDescent="0.25">
      <c r="A24205" t="str">
        <f>"200022652"</f>
        <v>200022652</v>
      </c>
      <c r="B24205" t="str">
        <f>"1831354935"</f>
        <v>1831354935</v>
      </c>
      <c r="C24205" t="str">
        <f>"207Q00000X"</f>
        <v>207Q00000X</v>
      </c>
      <c r="D24205" t="str">
        <f>"ONGSINGCO                JOSE                     "</f>
        <v xml:space="preserve">ONGSINGCO                JOSE                     </v>
      </c>
      <c r="E24205" t="str">
        <f>"GERMANTOWN                "</f>
        <v xml:space="preserve">GERMANTOWN                </v>
      </c>
      <c r="F24205" t="str">
        <f t="shared" si="680"/>
        <v>TN</v>
      </c>
    </row>
    <row r="24206" spans="1:6" x14ac:dyDescent="0.25">
      <c r="A24206" t="str">
        <f>"200022664"</f>
        <v>200022664</v>
      </c>
      <c r="B24206" t="str">
        <f>"1780147231"</f>
        <v>1780147231</v>
      </c>
      <c r="C24206" t="str">
        <f>"2080P0207X"</f>
        <v>2080P0207X</v>
      </c>
      <c r="D24206" t="str">
        <f>"BROWNE                   LA'RON       L           "</f>
        <v xml:space="preserve">BROWNE                   LA'RON       L           </v>
      </c>
      <c r="E24206" t="str">
        <f>"MEMPHIS                   "</f>
        <v xml:space="preserve">MEMPHIS                   </v>
      </c>
      <c r="F24206" t="str">
        <f t="shared" si="680"/>
        <v>TN</v>
      </c>
    </row>
    <row r="24207" spans="1:6" x14ac:dyDescent="0.25">
      <c r="A24207" t="str">
        <f>"200022673"</f>
        <v>200022673</v>
      </c>
      <c r="B24207" t="str">
        <f>"1639868722"</f>
        <v>1639868722</v>
      </c>
      <c r="C24207" t="str">
        <f>"208000000X"</f>
        <v>208000000X</v>
      </c>
      <c r="D24207" t="str">
        <f>"ARMSTRONG                JOHNI                    "</f>
        <v xml:space="preserve">ARMSTRONG                JOHNI                    </v>
      </c>
      <c r="E24207" t="str">
        <f>"MEMPHIS                   "</f>
        <v xml:space="preserve">MEMPHIS                   </v>
      </c>
      <c r="F24207" t="str">
        <f t="shared" si="680"/>
        <v>TN</v>
      </c>
    </row>
    <row r="24208" spans="1:6" x14ac:dyDescent="0.25">
      <c r="A24208" t="str">
        <f>"200022685"</f>
        <v>200022685</v>
      </c>
      <c r="B24208" t="str">
        <f>"1376577619"</f>
        <v>1376577619</v>
      </c>
      <c r="C24208" t="str">
        <f>"207R00000X"</f>
        <v>207R00000X</v>
      </c>
      <c r="D24208" t="str">
        <f>"KUPERMAN                 AARON                    "</f>
        <v xml:space="preserve">KUPERMAN                 AARON                    </v>
      </c>
      <c r="E24208" t="str">
        <f>"MEMPHIS                   "</f>
        <v xml:space="preserve">MEMPHIS                   </v>
      </c>
      <c r="F24208" t="str">
        <f t="shared" si="680"/>
        <v>TN</v>
      </c>
    </row>
    <row r="24209" spans="1:6" x14ac:dyDescent="0.25">
      <c r="A24209" t="str">
        <f>"200022690"</f>
        <v>200022690</v>
      </c>
      <c r="B24209" t="str">
        <f>"1295744134"</f>
        <v>1295744134</v>
      </c>
      <c r="C24209" t="str">
        <f>"207Q00000X"</f>
        <v>207Q00000X</v>
      </c>
      <c r="D24209" t="str">
        <f>"HUMPHREYS                ROBERT                   "</f>
        <v xml:space="preserve">HUMPHREYS                ROBERT                   </v>
      </c>
      <c r="E24209" t="str">
        <f>"MEMPHIS                   "</f>
        <v xml:space="preserve">MEMPHIS                   </v>
      </c>
      <c r="F24209" t="str">
        <f t="shared" si="680"/>
        <v>TN</v>
      </c>
    </row>
    <row r="24210" spans="1:6" x14ac:dyDescent="0.25">
      <c r="A24210" t="str">
        <f>"200022696"</f>
        <v>200022696</v>
      </c>
      <c r="B24210" t="str">
        <f>"1316930944"</f>
        <v>1316930944</v>
      </c>
      <c r="C24210" t="str">
        <f>"207Q00000X"</f>
        <v>207Q00000X</v>
      </c>
      <c r="D24210" t="str">
        <f>"SMITH                    JAY                      "</f>
        <v xml:space="preserve">SMITH                    JAY                      </v>
      </c>
      <c r="E24210" t="str">
        <f>"GERMANTOWN                "</f>
        <v xml:space="preserve">GERMANTOWN                </v>
      </c>
      <c r="F24210" t="str">
        <f t="shared" si="680"/>
        <v>TN</v>
      </c>
    </row>
    <row r="24211" spans="1:6" x14ac:dyDescent="0.25">
      <c r="A24211" t="str">
        <f>"200022720"</f>
        <v>200022720</v>
      </c>
      <c r="B24211" t="str">
        <f>"1891444113"</f>
        <v>1891444113</v>
      </c>
      <c r="C24211" t="str">
        <f>"207Q00000X"</f>
        <v>207Q00000X</v>
      </c>
      <c r="D24211" t="str">
        <f>"SU                       MELODY                   "</f>
        <v xml:space="preserve">SU                       MELODY                   </v>
      </c>
      <c r="E24211" t="str">
        <f>"MEMPHIS                   "</f>
        <v xml:space="preserve">MEMPHIS                   </v>
      </c>
      <c r="F24211" t="str">
        <f t="shared" si="680"/>
        <v>TN</v>
      </c>
    </row>
    <row r="24212" spans="1:6" x14ac:dyDescent="0.25">
      <c r="A24212" t="str">
        <f>"200022737"</f>
        <v>200022737</v>
      </c>
      <c r="B24212" t="str">
        <f>"1629694575"</f>
        <v>1629694575</v>
      </c>
      <c r="C24212" t="str">
        <f>"2086S0129X"</f>
        <v>2086S0129X</v>
      </c>
      <c r="D24212" t="str">
        <f>"TIMBALIA                 SHRISHIV                 "</f>
        <v xml:space="preserve">TIMBALIA                 SHRISHIV                 </v>
      </c>
      <c r="E24212" t="str">
        <f>"MEMPHIS                   "</f>
        <v xml:space="preserve">MEMPHIS                   </v>
      </c>
      <c r="F24212" t="str">
        <f t="shared" si="680"/>
        <v>TN</v>
      </c>
    </row>
    <row r="24213" spans="1:6" x14ac:dyDescent="0.25">
      <c r="A24213" t="str">
        <f>"200022748"</f>
        <v>200022748</v>
      </c>
      <c r="B24213" t="str">
        <f>"1003813437"</f>
        <v>1003813437</v>
      </c>
      <c r="C24213" t="str">
        <f>"207V00000X"</f>
        <v>207V00000X</v>
      </c>
      <c r="D24213" t="str">
        <f>"DONATO                   HEATHER                  "</f>
        <v xml:space="preserve">DONATO                   HEATHER                  </v>
      </c>
      <c r="E24213" t="str">
        <f>"BARTLETT                  "</f>
        <v xml:space="preserve">BARTLETT                  </v>
      </c>
      <c r="F24213" t="str">
        <f t="shared" si="680"/>
        <v>TN</v>
      </c>
    </row>
    <row r="24214" spans="1:6" x14ac:dyDescent="0.25">
      <c r="A24214" t="str">
        <f>"200022762"</f>
        <v>200022762</v>
      </c>
      <c r="B24214" t="str">
        <f>"1972863165"</f>
        <v>1972863165</v>
      </c>
      <c r="C24214" t="str">
        <f>"207V00000X"</f>
        <v>207V00000X</v>
      </c>
      <c r="D24214" t="str">
        <f>"TAYLOR                   ROBIN                    "</f>
        <v xml:space="preserve">TAYLOR                   ROBIN                    </v>
      </c>
      <c r="E24214" t="str">
        <f>"MEMPHIS                   "</f>
        <v xml:space="preserve">MEMPHIS                   </v>
      </c>
      <c r="F24214" t="str">
        <f t="shared" si="680"/>
        <v>TN</v>
      </c>
    </row>
    <row r="24215" spans="1:6" x14ac:dyDescent="0.25">
      <c r="A24215" t="str">
        <f>"200022769"</f>
        <v>200022769</v>
      </c>
      <c r="B24215" t="str">
        <f>"1366774382"</f>
        <v>1366774382</v>
      </c>
      <c r="C24215" t="str">
        <f>"363LF0000X"</f>
        <v>363LF0000X</v>
      </c>
      <c r="D24215" t="str">
        <f>"JOHNSON                  EMILY                    "</f>
        <v xml:space="preserve">JOHNSON                  EMILY                    </v>
      </c>
      <c r="E24215" t="str">
        <f>"MEMPHIS                   "</f>
        <v xml:space="preserve">MEMPHIS                   </v>
      </c>
      <c r="F24215" t="str">
        <f t="shared" si="680"/>
        <v>TN</v>
      </c>
    </row>
    <row r="24216" spans="1:6" x14ac:dyDescent="0.25">
      <c r="A24216" t="str">
        <f>"200022787"</f>
        <v>200022787</v>
      </c>
      <c r="B24216" t="str">
        <f>"1356845572"</f>
        <v>1356845572</v>
      </c>
      <c r="C24216" t="str">
        <f>"207T00000X"</f>
        <v>207T00000X</v>
      </c>
      <c r="D24216" t="str">
        <f>"SILVEIRA                 LUKE                     "</f>
        <v xml:space="preserve">SILVEIRA                 LUKE                     </v>
      </c>
      <c r="E24216" t="str">
        <f>"MEMPHIS                   "</f>
        <v xml:space="preserve">MEMPHIS                   </v>
      </c>
      <c r="F24216" t="str">
        <f t="shared" si="680"/>
        <v>TN</v>
      </c>
    </row>
    <row r="24217" spans="1:6" x14ac:dyDescent="0.25">
      <c r="A24217" t="str">
        <f>"200022825"</f>
        <v>200022825</v>
      </c>
      <c r="B24217" t="str">
        <f>"1528008703"</f>
        <v>1528008703</v>
      </c>
      <c r="C24217" t="str">
        <f>"363LA2200X"</f>
        <v>363LA2200X</v>
      </c>
      <c r="D24217" t="str">
        <f>"ROBINSON                 ELIZABETH                "</f>
        <v xml:space="preserve">ROBINSON                 ELIZABETH                </v>
      </c>
      <c r="E24217" t="str">
        <f>"MEMPHIS                   "</f>
        <v xml:space="preserve">MEMPHIS                   </v>
      </c>
      <c r="F24217" t="str">
        <f t="shared" si="680"/>
        <v>TN</v>
      </c>
    </row>
    <row r="24218" spans="1:6" x14ac:dyDescent="0.25">
      <c r="A24218" t="str">
        <f>"200022834"</f>
        <v>200022834</v>
      </c>
      <c r="B24218" t="str">
        <f>"1912266156"</f>
        <v>1912266156</v>
      </c>
      <c r="C24218" t="str">
        <f>"2080P0207X"</f>
        <v>2080P0207X</v>
      </c>
      <c r="D24218" t="str">
        <f>"KENNEDY                  ALYSSA                   "</f>
        <v xml:space="preserve">KENNEDY                  ALYSSA                   </v>
      </c>
      <c r="E24218" t="str">
        <f>"MEMPHIS                   "</f>
        <v xml:space="preserve">MEMPHIS                   </v>
      </c>
      <c r="F24218" t="str">
        <f t="shared" si="680"/>
        <v>TN</v>
      </c>
    </row>
    <row r="24219" spans="1:6" x14ac:dyDescent="0.25">
      <c r="A24219" t="str">
        <f>"200022839"</f>
        <v>200022839</v>
      </c>
      <c r="B24219" t="str">
        <f>"1134591290"</f>
        <v>1134591290</v>
      </c>
      <c r="C24219" t="str">
        <f>"363AM0700X"</f>
        <v>363AM0700X</v>
      </c>
      <c r="D24219" t="str">
        <f>"CHAPPELL                 KATHERINE                "</f>
        <v xml:space="preserve">CHAPPELL                 KATHERINE                </v>
      </c>
      <c r="E24219" t="str">
        <f>"GERMANTOWN                "</f>
        <v xml:space="preserve">GERMANTOWN                </v>
      </c>
      <c r="F24219" t="str">
        <f t="shared" si="680"/>
        <v>TN</v>
      </c>
    </row>
    <row r="24220" spans="1:6" x14ac:dyDescent="0.25">
      <c r="A24220" t="str">
        <f>"200022876"</f>
        <v>200022876</v>
      </c>
      <c r="B24220" t="str">
        <f>"1477086619"</f>
        <v>1477086619</v>
      </c>
      <c r="C24220" t="str">
        <f>"207P00000X"</f>
        <v>207P00000X</v>
      </c>
      <c r="D24220" t="str">
        <f>"DE ANDRADE PEREIRA       RACHEL                   "</f>
        <v xml:space="preserve">DE ANDRADE PEREIRA       RACHEL                   </v>
      </c>
      <c r="E24220" t="str">
        <f>"MEMPHIS                   "</f>
        <v xml:space="preserve">MEMPHIS                   </v>
      </c>
      <c r="F24220" t="str">
        <f t="shared" si="680"/>
        <v>TN</v>
      </c>
    </row>
    <row r="24221" spans="1:6" x14ac:dyDescent="0.25">
      <c r="A24221" t="str">
        <f>"200022877"</f>
        <v>200022877</v>
      </c>
      <c r="B24221" t="str">
        <f>"1952757684"</f>
        <v>1952757684</v>
      </c>
      <c r="C24221" t="str">
        <f>"207RH0003X"</f>
        <v>207RH0003X</v>
      </c>
      <c r="D24221" t="str">
        <f>"ALTAHAN                  ALAA                     "</f>
        <v xml:space="preserve">ALTAHAN                  ALAA                     </v>
      </c>
      <c r="E24221" t="str">
        <f>"MEMPHIS                   "</f>
        <v xml:space="preserve">MEMPHIS                   </v>
      </c>
      <c r="F24221" t="str">
        <f t="shared" si="680"/>
        <v>TN</v>
      </c>
    </row>
    <row r="24222" spans="1:6" x14ac:dyDescent="0.25">
      <c r="A24222" t="str">
        <f>"200022883"</f>
        <v>200022883</v>
      </c>
      <c r="B24222" t="str">
        <f>"1619647153"</f>
        <v>1619647153</v>
      </c>
      <c r="C24222" t="str">
        <f>"363LF0000X"</f>
        <v>363LF0000X</v>
      </c>
      <c r="D24222" t="str">
        <f>"ROBERTS                  JESSICA                  "</f>
        <v xml:space="preserve">ROBERTS                  JESSICA                  </v>
      </c>
      <c r="E24222" t="str">
        <f>"MEMPHIS                   "</f>
        <v xml:space="preserve">MEMPHIS                   </v>
      </c>
      <c r="F24222" t="str">
        <f t="shared" si="680"/>
        <v>TN</v>
      </c>
    </row>
    <row r="24223" spans="1:6" x14ac:dyDescent="0.25">
      <c r="A24223" t="str">
        <f>"200022892"</f>
        <v>200022892</v>
      </c>
      <c r="B24223" t="str">
        <f>"1346253184"</f>
        <v>1346253184</v>
      </c>
      <c r="C24223" t="str">
        <f>"363LW0102X"</f>
        <v>363LW0102X</v>
      </c>
      <c r="D24223" t="str">
        <f>"CONNER                   MARCIA                   "</f>
        <v xml:space="preserve">CONNER                   MARCIA                   </v>
      </c>
      <c r="E24223" t="str">
        <f>"GERMANTOWN                "</f>
        <v xml:space="preserve">GERMANTOWN                </v>
      </c>
      <c r="F24223" t="str">
        <f t="shared" si="680"/>
        <v>TN</v>
      </c>
    </row>
    <row r="24224" spans="1:6" x14ac:dyDescent="0.25">
      <c r="A24224" t="str">
        <f>"200022896"</f>
        <v>200022896</v>
      </c>
      <c r="B24224" t="str">
        <f>"1871594457"</f>
        <v>1871594457</v>
      </c>
      <c r="C24224" t="str">
        <f>"207R00000X"</f>
        <v>207R00000X</v>
      </c>
      <c r="D24224" t="str">
        <f>"JORDAN                   RICHARD      J           "</f>
        <v xml:space="preserve">JORDAN                   RICHARD      J           </v>
      </c>
      <c r="E24224" t="str">
        <f>"GERMANTOWN                "</f>
        <v xml:space="preserve">GERMANTOWN                </v>
      </c>
      <c r="F24224" t="str">
        <f t="shared" si="680"/>
        <v>TN</v>
      </c>
    </row>
    <row r="24225" spans="1:6" x14ac:dyDescent="0.25">
      <c r="A24225" t="str">
        <f>"200022900"</f>
        <v>200022900</v>
      </c>
      <c r="B24225" t="str">
        <f>"1841498532"</f>
        <v>1841498532</v>
      </c>
      <c r="C24225" t="str">
        <f>"207V00000X"</f>
        <v>207V00000X</v>
      </c>
      <c r="D24225" t="str">
        <f>"FILETTI                  LUSIA                    "</f>
        <v xml:space="preserve">FILETTI                  LUSIA                    </v>
      </c>
      <c r="E24225" t="str">
        <f>"COVINGTON                 "</f>
        <v xml:space="preserve">COVINGTON                 </v>
      </c>
      <c r="F24225" t="str">
        <f t="shared" si="680"/>
        <v>TN</v>
      </c>
    </row>
    <row r="24226" spans="1:6" x14ac:dyDescent="0.25">
      <c r="A24226" t="str">
        <f>"200022904"</f>
        <v>200022904</v>
      </c>
      <c r="B24226" t="str">
        <f>"1376348664"</f>
        <v>1376348664</v>
      </c>
      <c r="C24226" t="str">
        <f>"367500000X"</f>
        <v>367500000X</v>
      </c>
      <c r="D24226" t="str">
        <f>"MORGAN                   BRITTANY                 "</f>
        <v xml:space="preserve">MORGAN                   BRITTANY                 </v>
      </c>
      <c r="E24226" t="str">
        <f>"MEMPHIS                   "</f>
        <v xml:space="preserve">MEMPHIS                   </v>
      </c>
      <c r="F24226" t="str">
        <f t="shared" si="680"/>
        <v>TN</v>
      </c>
    </row>
    <row r="24227" spans="1:6" x14ac:dyDescent="0.25">
      <c r="A24227" t="str">
        <f>"200022913"</f>
        <v>200022913</v>
      </c>
      <c r="B24227" t="str">
        <f>"1144462896"</f>
        <v>1144462896</v>
      </c>
      <c r="C24227" t="str">
        <f>"2085R0204X"</f>
        <v>2085R0204X</v>
      </c>
      <c r="D24227" t="str">
        <f>"DALSANIA                 HENRY                    "</f>
        <v xml:space="preserve">DALSANIA                 HENRY                    </v>
      </c>
      <c r="E24227" t="str">
        <f>"GERMANTOWN                "</f>
        <v xml:space="preserve">GERMANTOWN                </v>
      </c>
      <c r="F24227" t="str">
        <f t="shared" si="680"/>
        <v>TN</v>
      </c>
    </row>
    <row r="24228" spans="1:6" x14ac:dyDescent="0.25">
      <c r="A24228" t="str">
        <f>"200022914"</f>
        <v>200022914</v>
      </c>
      <c r="B24228" t="str">
        <f>"1144462896"</f>
        <v>1144462896</v>
      </c>
      <c r="C24228" t="str">
        <f>"2085R0202X"</f>
        <v>2085R0202X</v>
      </c>
      <c r="D24228" t="str">
        <f>"DALSANIA                 HENRY                    "</f>
        <v xml:space="preserve">DALSANIA                 HENRY                    </v>
      </c>
      <c r="E24228" t="str">
        <f>"GERMANTOWN                "</f>
        <v xml:space="preserve">GERMANTOWN                </v>
      </c>
      <c r="F24228" t="str">
        <f t="shared" si="680"/>
        <v>TN</v>
      </c>
    </row>
    <row r="24229" spans="1:6" x14ac:dyDescent="0.25">
      <c r="A24229" t="str">
        <f>"200022926"</f>
        <v>200022926</v>
      </c>
      <c r="B24229" t="str">
        <f>"1760401251"</f>
        <v>1760401251</v>
      </c>
      <c r="C24229" t="str">
        <f>"2080P0203X"</f>
        <v>2080P0203X</v>
      </c>
      <c r="D24229" t="str">
        <f>"TURNER                   MARION                   "</f>
        <v xml:space="preserve">TURNER                   MARION                   </v>
      </c>
      <c r="E24229" t="str">
        <f>"MEMPHIS                   "</f>
        <v xml:space="preserve">MEMPHIS                   </v>
      </c>
      <c r="F24229" t="str">
        <f t="shared" si="680"/>
        <v>TN</v>
      </c>
    </row>
    <row r="24230" spans="1:6" x14ac:dyDescent="0.25">
      <c r="A24230" t="str">
        <f>"200022936"</f>
        <v>200022936</v>
      </c>
      <c r="B24230" t="str">
        <f>"1346530672"</f>
        <v>1346530672</v>
      </c>
      <c r="C24230" t="str">
        <f>"207YP0228X"</f>
        <v>207YP0228X</v>
      </c>
      <c r="D24230" t="str">
        <f>"WILCOX                   LYNDY                    "</f>
        <v xml:space="preserve">WILCOX                   LYNDY                    </v>
      </c>
      <c r="E24230" t="str">
        <f>"NASHVILLE                 "</f>
        <v xml:space="preserve">NASHVILLE                 </v>
      </c>
      <c r="F24230" t="str">
        <f t="shared" si="680"/>
        <v>TN</v>
      </c>
    </row>
    <row r="24231" spans="1:6" x14ac:dyDescent="0.25">
      <c r="A24231" t="str">
        <f>"200022979"</f>
        <v>200022979</v>
      </c>
      <c r="B24231" t="str">
        <f>"1417511239"</f>
        <v>1417511239</v>
      </c>
      <c r="C24231" t="str">
        <f>"363L00000X"</f>
        <v>363L00000X</v>
      </c>
      <c r="D24231" t="str">
        <f>"WILLIAMS                 MATTHEW                  "</f>
        <v xml:space="preserve">WILLIAMS                 MATTHEW                  </v>
      </c>
      <c r="E24231" t="str">
        <f>"MEMPHIS                   "</f>
        <v xml:space="preserve">MEMPHIS                   </v>
      </c>
      <c r="F24231" t="str">
        <f t="shared" si="680"/>
        <v>TN</v>
      </c>
    </row>
    <row r="24232" spans="1:6" x14ac:dyDescent="0.25">
      <c r="A24232" t="str">
        <f>"200022989"</f>
        <v>200022989</v>
      </c>
      <c r="B24232" t="str">
        <f>"1053790352"</f>
        <v>1053790352</v>
      </c>
      <c r="C24232" t="str">
        <f>"2085R0204X"</f>
        <v>2085R0204X</v>
      </c>
      <c r="D24232" t="str">
        <f>"VOUTSINAS                NICHOLAS                 "</f>
        <v xml:space="preserve">VOUTSINAS                NICHOLAS                 </v>
      </c>
      <c r="E24232" t="str">
        <f>"NASHVILLE                 "</f>
        <v xml:space="preserve">NASHVILLE                 </v>
      </c>
      <c r="F24232" t="str">
        <f t="shared" si="680"/>
        <v>TN</v>
      </c>
    </row>
    <row r="24233" spans="1:6" x14ac:dyDescent="0.25">
      <c r="A24233" t="str">
        <f>"200022990"</f>
        <v>200022990</v>
      </c>
      <c r="B24233" t="str">
        <f>"1407831985"</f>
        <v>1407831985</v>
      </c>
      <c r="C24233" t="str">
        <f>"363L00000X"</f>
        <v>363L00000X</v>
      </c>
      <c r="D24233" t="str">
        <f>"TYSON                    JANE                     "</f>
        <v xml:space="preserve">TYSON                    JANE                     </v>
      </c>
      <c r="E24233" t="str">
        <f>"GERMANTOWN                "</f>
        <v xml:space="preserve">GERMANTOWN                </v>
      </c>
      <c r="F24233" t="str">
        <f t="shared" si="680"/>
        <v>TN</v>
      </c>
    </row>
    <row r="24234" spans="1:6" x14ac:dyDescent="0.25">
      <c r="A24234" t="str">
        <f>"200022994"</f>
        <v>200022994</v>
      </c>
      <c r="B24234" t="str">
        <f>"1629450127"</f>
        <v>1629450127</v>
      </c>
      <c r="C24234" t="str">
        <f>"207R00000X"</f>
        <v>207R00000X</v>
      </c>
      <c r="D24234" t="str">
        <f>"CHHINA                   SULTAN                   "</f>
        <v xml:space="preserve">CHHINA                   SULTAN                   </v>
      </c>
      <c r="E24234" t="str">
        <f>"MEMPHIS                   "</f>
        <v xml:space="preserve">MEMPHIS                   </v>
      </c>
      <c r="F24234" t="str">
        <f t="shared" si="680"/>
        <v>TN</v>
      </c>
    </row>
    <row r="24235" spans="1:6" x14ac:dyDescent="0.25">
      <c r="A24235" t="str">
        <f>"200023003"</f>
        <v>200023003</v>
      </c>
      <c r="B24235" t="str">
        <f>"1235303462"</f>
        <v>1235303462</v>
      </c>
      <c r="C24235" t="str">
        <f>"2080N0001X"</f>
        <v>2080N0001X</v>
      </c>
      <c r="D24235" t="str">
        <f>"HATCH                    LEON                     "</f>
        <v xml:space="preserve">HATCH                    LEON                     </v>
      </c>
      <c r="E24235" t="str">
        <f>"NASHVILLE                 "</f>
        <v xml:space="preserve">NASHVILLE                 </v>
      </c>
      <c r="F24235" t="str">
        <f t="shared" si="680"/>
        <v>TN</v>
      </c>
    </row>
    <row r="24236" spans="1:6" x14ac:dyDescent="0.25">
      <c r="A24236" t="str">
        <f>"200023008"</f>
        <v>200023008</v>
      </c>
      <c r="B24236" t="str">
        <f>"1710448469"</f>
        <v>1710448469</v>
      </c>
      <c r="C24236" t="str">
        <f>"2080P0203X"</f>
        <v>2080P0203X</v>
      </c>
      <c r="D24236" t="str">
        <f>"CAO                      KATHLEEN                 "</f>
        <v xml:space="preserve">CAO                      KATHLEEN                 </v>
      </c>
      <c r="E24236" t="str">
        <f>"MEMPHIS                   "</f>
        <v xml:space="preserve">MEMPHIS                   </v>
      </c>
      <c r="F24236" t="str">
        <f t="shared" si="680"/>
        <v>TN</v>
      </c>
    </row>
    <row r="24237" spans="1:6" x14ac:dyDescent="0.25">
      <c r="A24237" t="str">
        <f>"200023011"</f>
        <v>200023011</v>
      </c>
      <c r="B24237" t="str">
        <f>"1538998265"</f>
        <v>1538998265</v>
      </c>
      <c r="C24237" t="str">
        <f>"363LP2300X"</f>
        <v>363LP2300X</v>
      </c>
      <c r="D24237" t="str">
        <f>"ANTONACCIO               BRENDA                   "</f>
        <v xml:space="preserve">ANTONACCIO               BRENDA                   </v>
      </c>
      <c r="E24237" t="str">
        <f>"MEMPHIS                   "</f>
        <v xml:space="preserve">MEMPHIS                   </v>
      </c>
      <c r="F24237" t="str">
        <f t="shared" si="680"/>
        <v>TN</v>
      </c>
    </row>
    <row r="24238" spans="1:6" x14ac:dyDescent="0.25">
      <c r="A24238" t="str">
        <f>"200023024"</f>
        <v>200023024</v>
      </c>
      <c r="B24238" t="str">
        <f>"1538800453"</f>
        <v>1538800453</v>
      </c>
      <c r="C24238" t="str">
        <f>"207R00000X"</f>
        <v>207R00000X</v>
      </c>
      <c r="D24238" t="str">
        <f>"KHAN                     ZUBASH                   "</f>
        <v xml:space="preserve">KHAN                     ZUBASH                   </v>
      </c>
      <c r="E24238" t="str">
        <f>"MEMPHIS                   "</f>
        <v xml:space="preserve">MEMPHIS                   </v>
      </c>
      <c r="F24238" t="str">
        <f t="shared" si="680"/>
        <v>TN</v>
      </c>
    </row>
    <row r="24239" spans="1:6" x14ac:dyDescent="0.25">
      <c r="A24239" t="str">
        <f>"200023047"</f>
        <v>200023047</v>
      </c>
      <c r="B24239" t="str">
        <f>"1255224150"</f>
        <v>1255224150</v>
      </c>
      <c r="C24239" t="str">
        <f>"363LA2100X"</f>
        <v>363LA2100X</v>
      </c>
      <c r="D24239" t="str">
        <f>"TERHUNE                  CORTNEY                  "</f>
        <v xml:space="preserve">TERHUNE                  CORTNEY                  </v>
      </c>
      <c r="E24239" t="str">
        <f>"MEMPHIS                   "</f>
        <v xml:space="preserve">MEMPHIS                   </v>
      </c>
      <c r="F24239" t="str">
        <f t="shared" si="680"/>
        <v>TN</v>
      </c>
    </row>
    <row r="24240" spans="1:6" x14ac:dyDescent="0.25">
      <c r="A24240" t="str">
        <f>"200023055"</f>
        <v>200023055</v>
      </c>
      <c r="B24240" t="str">
        <f>"1558603407"</f>
        <v>1558603407</v>
      </c>
      <c r="C24240" t="str">
        <f>"363LF0000X"</f>
        <v>363LF0000X</v>
      </c>
      <c r="D24240" t="str">
        <f>"WISE                     JAMIE                    "</f>
        <v xml:space="preserve">WISE                     JAMIE                    </v>
      </c>
      <c r="E24240" t="str">
        <f>"MEMPHIS                   "</f>
        <v xml:space="preserve">MEMPHIS                   </v>
      </c>
      <c r="F24240" t="str">
        <f t="shared" si="680"/>
        <v>TN</v>
      </c>
    </row>
    <row r="24241" spans="1:6" x14ac:dyDescent="0.25">
      <c r="A24241" t="str">
        <f>"200023057"</f>
        <v>200023057</v>
      </c>
      <c r="B24241" t="str">
        <f>"1659360733"</f>
        <v>1659360733</v>
      </c>
      <c r="C24241" t="str">
        <f>"207RP1001X"</f>
        <v>207RP1001X</v>
      </c>
      <c r="D24241" t="str">
        <f>"CARRUTH                  JAMES                    "</f>
        <v xml:space="preserve">CARRUTH                  JAMES                    </v>
      </c>
      <c r="E24241" t="str">
        <f>"HUNTINGDON                "</f>
        <v xml:space="preserve">HUNTINGDON                </v>
      </c>
      <c r="F24241" t="str">
        <f t="shared" si="680"/>
        <v>TN</v>
      </c>
    </row>
    <row r="24242" spans="1:6" x14ac:dyDescent="0.25">
      <c r="A24242" t="str">
        <f>"200023070"</f>
        <v>200023070</v>
      </c>
      <c r="B24242" t="str">
        <f>"1942035472"</f>
        <v>1942035472</v>
      </c>
      <c r="C24242" t="str">
        <f>"363LF0000X"</f>
        <v>363LF0000X</v>
      </c>
      <c r="D24242" t="str">
        <f>"OLAYA                    MABEL                    "</f>
        <v xml:space="preserve">OLAYA                    MABEL                    </v>
      </c>
      <c r="E24242" t="str">
        <f>"GERMANTOWN                "</f>
        <v xml:space="preserve">GERMANTOWN                </v>
      </c>
      <c r="F24242" t="str">
        <f t="shared" si="680"/>
        <v>TN</v>
      </c>
    </row>
    <row r="24243" spans="1:6" x14ac:dyDescent="0.25">
      <c r="A24243" t="str">
        <f>"200023090"</f>
        <v>200023090</v>
      </c>
      <c r="B24243" t="str">
        <f>"1356786651"</f>
        <v>1356786651</v>
      </c>
      <c r="C24243" t="str">
        <f>"207P00000X"</f>
        <v>207P00000X</v>
      </c>
      <c r="D24243" t="str">
        <f>"OGHOGHO                  EYITEMI                  "</f>
        <v xml:space="preserve">OGHOGHO                  EYITEMI                  </v>
      </c>
      <c r="E24243" t="str">
        <f>"MEMPHIS                   "</f>
        <v xml:space="preserve">MEMPHIS                   </v>
      </c>
      <c r="F24243" t="str">
        <f t="shared" si="680"/>
        <v>TN</v>
      </c>
    </row>
    <row r="24244" spans="1:6" x14ac:dyDescent="0.25">
      <c r="A24244" t="str">
        <f>"200023096"</f>
        <v>200023096</v>
      </c>
      <c r="B24244" t="str">
        <f>"1730226804"</f>
        <v>1730226804</v>
      </c>
      <c r="C24244" t="str">
        <f>"363A00000X"</f>
        <v>363A00000X</v>
      </c>
      <c r="D24244" t="str">
        <f>"BADURA                   KELLY                    "</f>
        <v xml:space="preserve">BADURA                   KELLY                    </v>
      </c>
      <c r="E24244" t="str">
        <f>"MEMPHIS                   "</f>
        <v xml:space="preserve">MEMPHIS                   </v>
      </c>
      <c r="F24244" t="str">
        <f t="shared" si="680"/>
        <v>TN</v>
      </c>
    </row>
    <row r="24245" spans="1:6" x14ac:dyDescent="0.25">
      <c r="A24245" t="str">
        <f>"200023123"</f>
        <v>200023123</v>
      </c>
      <c r="B24245" t="str">
        <f>"1376512491"</f>
        <v>1376512491</v>
      </c>
      <c r="C24245" t="str">
        <f>"363LF0000X"</f>
        <v>363LF0000X</v>
      </c>
      <c r="D24245" t="str">
        <f>"BULLOCK                  EMILY                    "</f>
        <v xml:space="preserve">BULLOCK                  EMILY                    </v>
      </c>
      <c r="E24245" t="str">
        <f>"HUNTINGDON                "</f>
        <v xml:space="preserve">HUNTINGDON                </v>
      </c>
      <c r="F24245" t="str">
        <f t="shared" si="680"/>
        <v>TN</v>
      </c>
    </row>
    <row r="24246" spans="1:6" x14ac:dyDescent="0.25">
      <c r="A24246" t="str">
        <f>"200023133"</f>
        <v>200023133</v>
      </c>
      <c r="B24246" t="str">
        <f>"1710341961"</f>
        <v>1710341961</v>
      </c>
      <c r="C24246" t="str">
        <f>"2085R0204X"</f>
        <v>2085R0204X</v>
      </c>
      <c r="D24246" t="str">
        <f>"HALAIBEH                 MOHAMMAD                 "</f>
        <v xml:space="preserve">HALAIBEH                 MOHAMMAD                 </v>
      </c>
      <c r="E24246" t="str">
        <f>"MEMPHIS                   "</f>
        <v xml:space="preserve">MEMPHIS                   </v>
      </c>
      <c r="F24246" t="str">
        <f t="shared" si="680"/>
        <v>TN</v>
      </c>
    </row>
    <row r="24247" spans="1:6" x14ac:dyDescent="0.25">
      <c r="A24247" t="str">
        <f>"200023147"</f>
        <v>200023147</v>
      </c>
      <c r="B24247" t="str">
        <f>"1720720386"</f>
        <v>1720720386</v>
      </c>
      <c r="C24247" t="str">
        <f>"207Q00000X"</f>
        <v>207Q00000X</v>
      </c>
      <c r="D24247" t="str">
        <f>"GUTIERREZ                SAMANTHA                 "</f>
        <v xml:space="preserve">GUTIERREZ                SAMANTHA                 </v>
      </c>
      <c r="E24247" t="str">
        <f>"MEMPHIS                   "</f>
        <v xml:space="preserve">MEMPHIS                   </v>
      </c>
      <c r="F24247" t="str">
        <f t="shared" si="680"/>
        <v>TN</v>
      </c>
    </row>
    <row r="24248" spans="1:6" x14ac:dyDescent="0.25">
      <c r="A24248" t="str">
        <f>"200023161"</f>
        <v>200023161</v>
      </c>
      <c r="B24248" t="str">
        <f>"1891087433"</f>
        <v>1891087433</v>
      </c>
      <c r="C24248" t="str">
        <f>"207P00000X"</f>
        <v>207P00000X</v>
      </c>
      <c r="D24248" t="str">
        <f>"GUSTAVE                  RICK                     "</f>
        <v xml:space="preserve">GUSTAVE                  RICK                     </v>
      </c>
      <c r="E24248" t="str">
        <f>"MEMPHIS                   "</f>
        <v xml:space="preserve">MEMPHIS                   </v>
      </c>
      <c r="F24248" t="str">
        <f t="shared" si="680"/>
        <v>TN</v>
      </c>
    </row>
    <row r="24249" spans="1:6" x14ac:dyDescent="0.25">
      <c r="A24249" t="str">
        <f>"200023165"</f>
        <v>200023165</v>
      </c>
      <c r="B24249" t="str">
        <f>"1538639935"</f>
        <v>1538639935</v>
      </c>
      <c r="C24249" t="str">
        <f>"363LA2100X"</f>
        <v>363LA2100X</v>
      </c>
      <c r="D24249" t="str">
        <f>"SHORTER                  CARL                     "</f>
        <v xml:space="preserve">SHORTER                  CARL                     </v>
      </c>
      <c r="E24249" t="str">
        <f>"MEMPHIS                   "</f>
        <v xml:space="preserve">MEMPHIS                   </v>
      </c>
      <c r="F24249" t="str">
        <f t="shared" si="680"/>
        <v>TN</v>
      </c>
    </row>
    <row r="24250" spans="1:6" x14ac:dyDescent="0.25">
      <c r="A24250" t="str">
        <f>"200023203"</f>
        <v>200023203</v>
      </c>
      <c r="B24250" t="str">
        <f>"1265540363"</f>
        <v>1265540363</v>
      </c>
      <c r="C24250" t="str">
        <f>"207Y00000X"</f>
        <v>207Y00000X</v>
      </c>
      <c r="D24250" t="str">
        <f>"BECKFORD                 NEAL                     "</f>
        <v xml:space="preserve">BECKFORD                 NEAL                     </v>
      </c>
      <c r="E24250" t="str">
        <f>"GERMANTOWN                "</f>
        <v xml:space="preserve">GERMANTOWN                </v>
      </c>
      <c r="F24250" t="str">
        <f t="shared" si="680"/>
        <v>TN</v>
      </c>
    </row>
    <row r="24251" spans="1:6" x14ac:dyDescent="0.25">
      <c r="A24251" t="str">
        <f>"200023217"</f>
        <v>200023217</v>
      </c>
      <c r="B24251" t="str">
        <f>"1144869827"</f>
        <v>1144869827</v>
      </c>
      <c r="C24251" t="str">
        <f>"363LF0000X"</f>
        <v>363LF0000X</v>
      </c>
      <c r="D24251" t="str">
        <f>"DAVIS                    TAYLOR       F           "</f>
        <v xml:space="preserve">DAVIS                    TAYLOR       F           </v>
      </c>
      <c r="E24251" t="str">
        <f>"MEMPHIS                   "</f>
        <v xml:space="preserve">MEMPHIS                   </v>
      </c>
      <c r="F24251" t="str">
        <f t="shared" si="680"/>
        <v>TN</v>
      </c>
    </row>
    <row r="24252" spans="1:6" x14ac:dyDescent="0.25">
      <c r="A24252" t="str">
        <f>"200023224"</f>
        <v>200023224</v>
      </c>
      <c r="B24252" t="str">
        <f>"1306139597"</f>
        <v>1306139597</v>
      </c>
      <c r="C24252" t="str">
        <f>"2084N0400X"</f>
        <v>2084N0400X</v>
      </c>
      <c r="D24252" t="str">
        <f>"FISHER                   TIFFANY                  "</f>
        <v xml:space="preserve">FISHER                   TIFFANY                  </v>
      </c>
      <c r="E24252" t="str">
        <f>"MEMPHIS                   "</f>
        <v xml:space="preserve">MEMPHIS                   </v>
      </c>
      <c r="F24252" t="str">
        <f t="shared" si="680"/>
        <v>TN</v>
      </c>
    </row>
    <row r="24253" spans="1:6" x14ac:dyDescent="0.25">
      <c r="A24253" t="str">
        <f>"200023240"</f>
        <v>200023240</v>
      </c>
      <c r="B24253" t="str">
        <f>"1942854336"</f>
        <v>1942854336</v>
      </c>
      <c r="C24253" t="str">
        <f>"207RI0200X"</f>
        <v>207RI0200X</v>
      </c>
      <c r="D24253" t="str">
        <f>"ALEXANDER                ELMARIE                  "</f>
        <v xml:space="preserve">ALEXANDER                ELMARIE                  </v>
      </c>
      <c r="E24253" t="str">
        <f>"MEMPHIS                   "</f>
        <v xml:space="preserve">MEMPHIS                   </v>
      </c>
      <c r="F24253" t="str">
        <f t="shared" si="680"/>
        <v>TN</v>
      </c>
    </row>
    <row r="24254" spans="1:6" x14ac:dyDescent="0.25">
      <c r="A24254" t="str">
        <f>"200023251"</f>
        <v>200023251</v>
      </c>
      <c r="B24254" t="str">
        <f>"1083433825"</f>
        <v>1083433825</v>
      </c>
      <c r="C24254" t="str">
        <f>"261QA1903X"</f>
        <v>261QA1903X</v>
      </c>
      <c r="D24254" t="str">
        <f>"APOLLO SURGERY CENTER                             "</f>
        <v xml:space="preserve">APOLLO SURGERY CENTER                             </v>
      </c>
      <c r="E24254" t="str">
        <f>"MEMPHIS                   "</f>
        <v xml:space="preserve">MEMPHIS                   </v>
      </c>
      <c r="F24254" t="str">
        <f t="shared" ref="F24254:F24317" si="681">"TN"</f>
        <v>TN</v>
      </c>
    </row>
    <row r="24255" spans="1:6" x14ac:dyDescent="0.25">
      <c r="A24255" t="str">
        <f>"200023252"</f>
        <v>200023252</v>
      </c>
      <c r="B24255" t="str">
        <f>"1356784318"</f>
        <v>1356784318</v>
      </c>
      <c r="C24255" t="str">
        <f>"207L00000X"</f>
        <v>207L00000X</v>
      </c>
      <c r="D24255" t="str">
        <f>"KINGETER                 MEREDITH                 "</f>
        <v xml:space="preserve">KINGETER                 MEREDITH                 </v>
      </c>
      <c r="E24255" t="str">
        <f>"NASHVILLE                 "</f>
        <v xml:space="preserve">NASHVILLE                 </v>
      </c>
      <c r="F24255" t="str">
        <f t="shared" si="681"/>
        <v>TN</v>
      </c>
    </row>
    <row r="24256" spans="1:6" x14ac:dyDescent="0.25">
      <c r="A24256" t="str">
        <f>"200023254"</f>
        <v>200023254</v>
      </c>
      <c r="B24256" t="str">
        <f>"1720001928"</f>
        <v>1720001928</v>
      </c>
      <c r="C24256" t="str">
        <f>"261QA1903X"</f>
        <v>261QA1903X</v>
      </c>
      <c r="D24256" t="str">
        <f>"CAMPBELL CLINIC SURGERY CENTER                    "</f>
        <v xml:space="preserve">CAMPBELL CLINIC SURGERY CENTER                    </v>
      </c>
      <c r="E24256" t="str">
        <f>"GERMANTOWN                "</f>
        <v xml:space="preserve">GERMANTOWN                </v>
      </c>
      <c r="F24256" t="str">
        <f t="shared" si="681"/>
        <v>TN</v>
      </c>
    </row>
    <row r="24257" spans="1:6" x14ac:dyDescent="0.25">
      <c r="A24257" t="str">
        <f>"200023259"</f>
        <v>200023259</v>
      </c>
      <c r="B24257" t="str">
        <f>"1639804537"</f>
        <v>1639804537</v>
      </c>
      <c r="C24257" t="str">
        <f>"363A00000X"</f>
        <v>363A00000X</v>
      </c>
      <c r="D24257" t="str">
        <f>"COLEMAN-SCRUGGS          OLIVIA                   "</f>
        <v xml:space="preserve">COLEMAN-SCRUGGS          OLIVIA                   </v>
      </c>
      <c r="E24257" t="str">
        <f>"MEMPHIS                   "</f>
        <v xml:space="preserve">MEMPHIS                   </v>
      </c>
      <c r="F24257" t="str">
        <f t="shared" si="681"/>
        <v>TN</v>
      </c>
    </row>
    <row r="24258" spans="1:6" x14ac:dyDescent="0.25">
      <c r="A24258" t="str">
        <f>"200023260"</f>
        <v>200023260</v>
      </c>
      <c r="B24258" t="str">
        <f>"1649284720"</f>
        <v>1649284720</v>
      </c>
      <c r="C24258" t="str">
        <f>"208G00000X"</f>
        <v>208G00000X</v>
      </c>
      <c r="D24258" t="str">
        <f>"NGUYEN                   DUC                      "</f>
        <v xml:space="preserve">NGUYEN                   DUC                      </v>
      </c>
      <c r="E24258" t="str">
        <f>"NASHVILLE                 "</f>
        <v xml:space="preserve">NASHVILLE                 </v>
      </c>
      <c r="F24258" t="str">
        <f t="shared" si="681"/>
        <v>TN</v>
      </c>
    </row>
    <row r="24259" spans="1:6" x14ac:dyDescent="0.25">
      <c r="A24259" t="str">
        <f>"200023279"</f>
        <v>200023279</v>
      </c>
      <c r="B24259" t="str">
        <f>"1710338876"</f>
        <v>1710338876</v>
      </c>
      <c r="C24259" t="str">
        <f>"207R00000X"</f>
        <v>207R00000X</v>
      </c>
      <c r="D24259" t="str">
        <f>"KHADKA                   SUKHDEV                  "</f>
        <v xml:space="preserve">KHADKA                   SUKHDEV                  </v>
      </c>
      <c r="E24259" t="str">
        <f>"MEMPHIS                   "</f>
        <v xml:space="preserve">MEMPHIS                   </v>
      </c>
      <c r="F24259" t="str">
        <f t="shared" si="681"/>
        <v>TN</v>
      </c>
    </row>
    <row r="24260" spans="1:6" x14ac:dyDescent="0.25">
      <c r="A24260" t="str">
        <f>"200023294"</f>
        <v>200023294</v>
      </c>
      <c r="B24260" t="str">
        <f>"1427671569"</f>
        <v>1427671569</v>
      </c>
      <c r="C24260" t="str">
        <f>"2084P0800X"</f>
        <v>2084P0800X</v>
      </c>
      <c r="D24260" t="str">
        <f>"HA                       ERIC                     "</f>
        <v xml:space="preserve">HA                       ERIC                     </v>
      </c>
      <c r="E24260" t="str">
        <f>"MEMPHIS                   "</f>
        <v xml:space="preserve">MEMPHIS                   </v>
      </c>
      <c r="F24260" t="str">
        <f t="shared" si="681"/>
        <v>TN</v>
      </c>
    </row>
    <row r="24261" spans="1:6" x14ac:dyDescent="0.25">
      <c r="A24261" t="str">
        <f>"200023297"</f>
        <v>200023297</v>
      </c>
      <c r="B24261" t="str">
        <f>"1396554648"</f>
        <v>1396554648</v>
      </c>
      <c r="C24261" t="str">
        <f>"367500000X"</f>
        <v>367500000X</v>
      </c>
      <c r="D24261" t="str">
        <f>"JONES                    SAMUEL                   "</f>
        <v xml:space="preserve">JONES                    SAMUEL                   </v>
      </c>
      <c r="E24261" t="str">
        <f>"MEMPHIS                   "</f>
        <v xml:space="preserve">MEMPHIS                   </v>
      </c>
      <c r="F24261" t="str">
        <f t="shared" si="681"/>
        <v>TN</v>
      </c>
    </row>
    <row r="24262" spans="1:6" x14ac:dyDescent="0.25">
      <c r="A24262" t="str">
        <f>"200023325"</f>
        <v>200023325</v>
      </c>
      <c r="B24262" t="str">
        <f>"1467567875"</f>
        <v>1467567875</v>
      </c>
      <c r="C24262" t="str">
        <f>"2085R0202X"</f>
        <v>2085R0202X</v>
      </c>
      <c r="D24262" t="str">
        <f>"BECKER                   DANIEL                   "</f>
        <v xml:space="preserve">BECKER                   DANIEL                   </v>
      </c>
      <c r="E24262" t="str">
        <f>"GERMANTOWN                "</f>
        <v xml:space="preserve">GERMANTOWN                </v>
      </c>
      <c r="F24262" t="str">
        <f t="shared" si="681"/>
        <v>TN</v>
      </c>
    </row>
    <row r="24263" spans="1:6" x14ac:dyDescent="0.25">
      <c r="A24263" t="str">
        <f>"200023327"</f>
        <v>200023327</v>
      </c>
      <c r="B24263" t="str">
        <f>"1366406589"</f>
        <v>1366406589</v>
      </c>
      <c r="C24263" t="str">
        <f>"2086S0129X"</f>
        <v>2086S0129X</v>
      </c>
      <c r="D24263" t="str">
        <f>"CLAIR                    DANIEL                   "</f>
        <v xml:space="preserve">CLAIR                    DANIEL                   </v>
      </c>
      <c r="E24263" t="str">
        <f>"NASHVILLE                 "</f>
        <v xml:space="preserve">NASHVILLE                 </v>
      </c>
      <c r="F24263" t="str">
        <f t="shared" si="681"/>
        <v>TN</v>
      </c>
    </row>
    <row r="24264" spans="1:6" x14ac:dyDescent="0.25">
      <c r="A24264" t="str">
        <f>"200023342"</f>
        <v>200023342</v>
      </c>
      <c r="B24264" t="str">
        <f>"1245727494"</f>
        <v>1245727494</v>
      </c>
      <c r="C24264" t="str">
        <f>"207VM0101X"</f>
        <v>207VM0101X</v>
      </c>
      <c r="D24264" t="str">
        <f>"NAKAHARA                 ANGELA                   "</f>
        <v xml:space="preserve">NAKAHARA                 ANGELA                   </v>
      </c>
      <c r="E24264" t="str">
        <f>"MEMPHIS                   "</f>
        <v xml:space="preserve">MEMPHIS                   </v>
      </c>
      <c r="F24264" t="str">
        <f t="shared" si="681"/>
        <v>TN</v>
      </c>
    </row>
    <row r="24265" spans="1:6" x14ac:dyDescent="0.25">
      <c r="A24265" t="str">
        <f>"200023352"</f>
        <v>200023352</v>
      </c>
      <c r="B24265" t="str">
        <f>"1881447936"</f>
        <v>1881447936</v>
      </c>
      <c r="C24265" t="str">
        <f>"363A00000X"</f>
        <v>363A00000X</v>
      </c>
      <c r="D24265" t="str">
        <f>"DESROCHERS               JAMES                    "</f>
        <v xml:space="preserve">DESROCHERS               JAMES                    </v>
      </c>
      <c r="E24265" t="str">
        <f>"MEMPHIS                   "</f>
        <v xml:space="preserve">MEMPHIS                   </v>
      </c>
      <c r="F24265" t="str">
        <f t="shared" si="681"/>
        <v>TN</v>
      </c>
    </row>
    <row r="24266" spans="1:6" x14ac:dyDescent="0.25">
      <c r="A24266" t="str">
        <f>"200023372"</f>
        <v>200023372</v>
      </c>
      <c r="B24266" t="str">
        <f>"1003553520"</f>
        <v>1003553520</v>
      </c>
      <c r="C24266" t="str">
        <f>"363LF0000X"</f>
        <v>363LF0000X</v>
      </c>
      <c r="D24266" t="str">
        <f>"KEENAN                   RICHARD                  "</f>
        <v xml:space="preserve">KEENAN                   RICHARD                  </v>
      </c>
      <c r="E24266" t="str">
        <f>"COLLIERVILLE              "</f>
        <v xml:space="preserve">COLLIERVILLE              </v>
      </c>
      <c r="F24266" t="str">
        <f t="shared" si="681"/>
        <v>TN</v>
      </c>
    </row>
    <row r="24267" spans="1:6" x14ac:dyDescent="0.25">
      <c r="A24267" t="str">
        <f>"200023383"</f>
        <v>200023383</v>
      </c>
      <c r="B24267" t="str">
        <f>"1013478429"</f>
        <v>1013478429</v>
      </c>
      <c r="C24267" t="str">
        <f>"2084N0400X"</f>
        <v>2084N0400X</v>
      </c>
      <c r="D24267" t="str">
        <f>"HAKOUN                   ABDULLAH                 "</f>
        <v xml:space="preserve">HAKOUN                   ABDULLAH                 </v>
      </c>
      <c r="E24267" t="str">
        <f>"MEMPHIS                   "</f>
        <v xml:space="preserve">MEMPHIS                   </v>
      </c>
      <c r="F24267" t="str">
        <f t="shared" si="681"/>
        <v>TN</v>
      </c>
    </row>
    <row r="24268" spans="1:6" x14ac:dyDescent="0.25">
      <c r="A24268" t="str">
        <f>"200023384"</f>
        <v>200023384</v>
      </c>
      <c r="B24268" t="str">
        <f>"1306189899"</f>
        <v>1306189899</v>
      </c>
      <c r="C24268" t="str">
        <f>"363L00000X"</f>
        <v>363L00000X</v>
      </c>
      <c r="D24268" t="str">
        <f>"CORNELIUS-WELLS          TAMARYN                  "</f>
        <v xml:space="preserve">CORNELIUS-WELLS          TAMARYN                  </v>
      </c>
      <c r="E24268" t="str">
        <f>"MEMPHIS                   "</f>
        <v xml:space="preserve">MEMPHIS                   </v>
      </c>
      <c r="F24268" t="str">
        <f t="shared" si="681"/>
        <v>TN</v>
      </c>
    </row>
    <row r="24269" spans="1:6" x14ac:dyDescent="0.25">
      <c r="A24269" t="str">
        <f>"200023403"</f>
        <v>200023403</v>
      </c>
      <c r="B24269" t="str">
        <f>"1073856514"</f>
        <v>1073856514</v>
      </c>
      <c r="C24269" t="str">
        <f>"363LA2200X"</f>
        <v>363LA2200X</v>
      </c>
      <c r="D24269" t="str">
        <f>"FARRIS                   QUANESHIA                "</f>
        <v xml:space="preserve">FARRIS                   QUANESHIA                </v>
      </c>
      <c r="E24269" t="str">
        <f>"GERMANTOWN                "</f>
        <v xml:space="preserve">GERMANTOWN                </v>
      </c>
      <c r="F24269" t="str">
        <f t="shared" si="681"/>
        <v>TN</v>
      </c>
    </row>
    <row r="24270" spans="1:6" x14ac:dyDescent="0.25">
      <c r="A24270" t="str">
        <f>"200023441"</f>
        <v>200023441</v>
      </c>
      <c r="B24270" t="str">
        <f>"1285098806"</f>
        <v>1285098806</v>
      </c>
      <c r="C24270" t="str">
        <f>"207P00000X"</f>
        <v>207P00000X</v>
      </c>
      <c r="D24270" t="str">
        <f>"WALLACE                  DOUG                     "</f>
        <v xml:space="preserve">WALLACE                  DOUG                     </v>
      </c>
      <c r="E24270" t="str">
        <f>"NASHVILLE                 "</f>
        <v xml:space="preserve">NASHVILLE                 </v>
      </c>
      <c r="F24270" t="str">
        <f t="shared" si="681"/>
        <v>TN</v>
      </c>
    </row>
    <row r="24271" spans="1:6" x14ac:dyDescent="0.25">
      <c r="A24271" t="str">
        <f>"200023481"</f>
        <v>200023481</v>
      </c>
      <c r="B24271" t="str">
        <f>"1447717160"</f>
        <v>1447717160</v>
      </c>
      <c r="C24271" t="str">
        <f>"208600000X"</f>
        <v>208600000X</v>
      </c>
      <c r="D24271" t="str">
        <f>"LEHRMAN                  BENJAMIN                 "</f>
        <v xml:space="preserve">LEHRMAN                  BENJAMIN                 </v>
      </c>
      <c r="E24271" t="str">
        <f>"MEMPHIS                   "</f>
        <v xml:space="preserve">MEMPHIS                   </v>
      </c>
      <c r="F24271" t="str">
        <f t="shared" si="681"/>
        <v>TN</v>
      </c>
    </row>
    <row r="24272" spans="1:6" x14ac:dyDescent="0.25">
      <c r="A24272" t="str">
        <f>"200023504"</f>
        <v>200023504</v>
      </c>
      <c r="B24272" t="str">
        <f>"1093160343"</f>
        <v>1093160343</v>
      </c>
      <c r="C24272" t="str">
        <f>"207RS0012X"</f>
        <v>207RS0012X</v>
      </c>
      <c r="D24272" t="str">
        <f>"MCGHEE                   VERA                     "</f>
        <v xml:space="preserve">MCGHEE                   VERA                     </v>
      </c>
      <c r="E24272" t="str">
        <f>"GERMANTOWN                "</f>
        <v xml:space="preserve">GERMANTOWN                </v>
      </c>
      <c r="F24272" t="str">
        <f t="shared" si="681"/>
        <v>TN</v>
      </c>
    </row>
    <row r="24273" spans="1:6" x14ac:dyDescent="0.25">
      <c r="A24273" t="str">
        <f>"200023516"</f>
        <v>200023516</v>
      </c>
      <c r="B24273" t="str">
        <f>"1457437782"</f>
        <v>1457437782</v>
      </c>
      <c r="C24273" t="str">
        <f>"207RI0011X"</f>
        <v>207RI0011X</v>
      </c>
      <c r="D24273" t="str">
        <f>"RICHARDSON               THOMAS                   "</f>
        <v xml:space="preserve">RICHARDSON               THOMAS                   </v>
      </c>
      <c r="E24273" t="str">
        <f>"NASHVILLE                 "</f>
        <v xml:space="preserve">NASHVILLE                 </v>
      </c>
      <c r="F24273" t="str">
        <f t="shared" si="681"/>
        <v>TN</v>
      </c>
    </row>
    <row r="24274" spans="1:6" x14ac:dyDescent="0.25">
      <c r="A24274" t="str">
        <f>"200023518"</f>
        <v>200023518</v>
      </c>
      <c r="B24274" t="str">
        <f>"1659016921"</f>
        <v>1659016921</v>
      </c>
      <c r="C24274" t="str">
        <f>"207P00000X"</f>
        <v>207P00000X</v>
      </c>
      <c r="D24274" t="str">
        <f>"EDWARDS                  ASIA                     "</f>
        <v xml:space="preserve">EDWARDS                  ASIA                     </v>
      </c>
      <c r="E24274" t="str">
        <f>"MEMPHIS                   "</f>
        <v xml:space="preserve">MEMPHIS                   </v>
      </c>
      <c r="F24274" t="str">
        <f t="shared" si="681"/>
        <v>TN</v>
      </c>
    </row>
    <row r="24275" spans="1:6" x14ac:dyDescent="0.25">
      <c r="A24275" t="str">
        <f>"200023524"</f>
        <v>200023524</v>
      </c>
      <c r="B24275" t="str">
        <f>"1881071264"</f>
        <v>1881071264</v>
      </c>
      <c r="C24275" t="str">
        <f>"207R00000X"</f>
        <v>207R00000X</v>
      </c>
      <c r="D24275" t="str">
        <f>"MCAMIS                   MICHELE                  "</f>
        <v xml:space="preserve">MCAMIS                   MICHELE                  </v>
      </c>
      <c r="E24275" t="str">
        <f>"GERMANTOWN                "</f>
        <v xml:space="preserve">GERMANTOWN                </v>
      </c>
      <c r="F24275" t="str">
        <f t="shared" si="681"/>
        <v>TN</v>
      </c>
    </row>
    <row r="24276" spans="1:6" x14ac:dyDescent="0.25">
      <c r="A24276" t="str">
        <f>"200023526"</f>
        <v>200023526</v>
      </c>
      <c r="B24276" t="str">
        <f>"1407388010"</f>
        <v>1407388010</v>
      </c>
      <c r="C24276" t="str">
        <f>"207RH0003X"</f>
        <v>207RH0003X</v>
      </c>
      <c r="D24276" t="str">
        <f>"NGUYEN                   NGAN                     "</f>
        <v xml:space="preserve">NGUYEN                   NGAN                     </v>
      </c>
      <c r="E24276" t="str">
        <f>"MEMPHIS                   "</f>
        <v xml:space="preserve">MEMPHIS                   </v>
      </c>
      <c r="F24276" t="str">
        <f t="shared" si="681"/>
        <v>TN</v>
      </c>
    </row>
    <row r="24277" spans="1:6" x14ac:dyDescent="0.25">
      <c r="A24277" t="str">
        <f>"200023527"</f>
        <v>200023527</v>
      </c>
      <c r="B24277" t="str">
        <f>"1104116755"</f>
        <v>1104116755</v>
      </c>
      <c r="C24277" t="str">
        <f>"2080P0214X"</f>
        <v>2080P0214X</v>
      </c>
      <c r="D24277" t="str">
        <f>"GALVEZ                   CHIARINA                 "</f>
        <v xml:space="preserve">GALVEZ                   CHIARINA                 </v>
      </c>
      <c r="E24277" t="str">
        <f>"MEMPHIS                   "</f>
        <v xml:space="preserve">MEMPHIS                   </v>
      </c>
      <c r="F24277" t="str">
        <f t="shared" si="681"/>
        <v>TN</v>
      </c>
    </row>
    <row r="24278" spans="1:6" x14ac:dyDescent="0.25">
      <c r="A24278" t="str">
        <f>"200023535"</f>
        <v>200023535</v>
      </c>
      <c r="B24278" t="str">
        <f>"1477796241"</f>
        <v>1477796241</v>
      </c>
      <c r="C24278" t="str">
        <f>"2085R0202X"</f>
        <v>2085R0202X</v>
      </c>
      <c r="D24278" t="str">
        <f>"CARROLL                  JIMMY                    "</f>
        <v xml:space="preserve">CARROLL                  JIMMY                    </v>
      </c>
      <c r="E24278" t="str">
        <f>"GERMANTOWN                "</f>
        <v xml:space="preserve">GERMANTOWN                </v>
      </c>
      <c r="F24278" t="str">
        <f t="shared" si="681"/>
        <v>TN</v>
      </c>
    </row>
    <row r="24279" spans="1:6" x14ac:dyDescent="0.25">
      <c r="A24279" t="str">
        <f>"200023574"</f>
        <v>200023574</v>
      </c>
      <c r="B24279" t="str">
        <f>"1255914628"</f>
        <v>1255914628</v>
      </c>
      <c r="C24279" t="str">
        <f>"2080H0002X"</f>
        <v>2080H0002X</v>
      </c>
      <c r="D24279" t="str">
        <f>"ENGLAND                  REBECCA                  "</f>
        <v xml:space="preserve">ENGLAND                  REBECCA                  </v>
      </c>
      <c r="E24279" t="str">
        <f>"MEMPHIS                   "</f>
        <v xml:space="preserve">MEMPHIS                   </v>
      </c>
      <c r="F24279" t="str">
        <f t="shared" si="681"/>
        <v>TN</v>
      </c>
    </row>
    <row r="24280" spans="1:6" x14ac:dyDescent="0.25">
      <c r="A24280" t="str">
        <f>"200023586"</f>
        <v>200023586</v>
      </c>
      <c r="B24280" t="str">
        <f>"1679579072"</f>
        <v>1679579072</v>
      </c>
      <c r="C24280" t="str">
        <f>"207V00000X"</f>
        <v>207V00000X</v>
      </c>
      <c r="D24280" t="str">
        <f>"NEBLETT                  PAUL                     "</f>
        <v xml:space="preserve">NEBLETT                  PAUL                     </v>
      </c>
      <c r="E24280" t="str">
        <f>"MEMPHIS                   "</f>
        <v xml:space="preserve">MEMPHIS                   </v>
      </c>
      <c r="F24280" t="str">
        <f t="shared" si="681"/>
        <v>TN</v>
      </c>
    </row>
    <row r="24281" spans="1:6" x14ac:dyDescent="0.25">
      <c r="A24281" t="str">
        <f>"200023589"</f>
        <v>200023589</v>
      </c>
      <c r="B24281" t="str">
        <f>"1982662961"</f>
        <v>1982662961</v>
      </c>
      <c r="C24281" t="str">
        <f>"207RI0200X"</f>
        <v>207RI0200X</v>
      </c>
      <c r="D24281" t="str">
        <f>"GELFAND                  MICHAEL                  "</f>
        <v xml:space="preserve">GELFAND                  MICHAEL                  </v>
      </c>
      <c r="E24281" t="str">
        <f>"MEMPHIS                   "</f>
        <v xml:space="preserve">MEMPHIS                   </v>
      </c>
      <c r="F24281" t="str">
        <f t="shared" si="681"/>
        <v>TN</v>
      </c>
    </row>
    <row r="24282" spans="1:6" x14ac:dyDescent="0.25">
      <c r="A24282" t="str">
        <f>"200023590"</f>
        <v>200023590</v>
      </c>
      <c r="B24282" t="str">
        <f>"1972090108"</f>
        <v>1972090108</v>
      </c>
      <c r="C24282" t="str">
        <f>"207P00000X"</f>
        <v>207P00000X</v>
      </c>
      <c r="D24282" t="str">
        <f>"SMITH                    AMANDA                   "</f>
        <v xml:space="preserve">SMITH                    AMANDA                   </v>
      </c>
      <c r="E24282" t="str">
        <f>"NASHVILLE                 "</f>
        <v xml:space="preserve">NASHVILLE                 </v>
      </c>
      <c r="F24282" t="str">
        <f t="shared" si="681"/>
        <v>TN</v>
      </c>
    </row>
    <row r="24283" spans="1:6" x14ac:dyDescent="0.25">
      <c r="A24283" t="str">
        <f>"200023601"</f>
        <v>200023601</v>
      </c>
      <c r="B24283" t="str">
        <f>"1801391206"</f>
        <v>1801391206</v>
      </c>
      <c r="C24283" t="str">
        <f>"208600000X"</f>
        <v>208600000X</v>
      </c>
      <c r="D24283" t="str">
        <f>"OLSON                    CHELSEA                  "</f>
        <v xml:space="preserve">OLSON                    CHELSEA                  </v>
      </c>
      <c r="E24283" t="str">
        <f>"MEMPHIS                   "</f>
        <v xml:space="preserve">MEMPHIS                   </v>
      </c>
      <c r="F24283" t="str">
        <f t="shared" si="681"/>
        <v>TN</v>
      </c>
    </row>
    <row r="24284" spans="1:6" x14ac:dyDescent="0.25">
      <c r="A24284" t="str">
        <f>"200023608"</f>
        <v>200023608</v>
      </c>
      <c r="B24284" t="str">
        <f>"1508351610"</f>
        <v>1508351610</v>
      </c>
      <c r="C24284" t="str">
        <f>"2086S0129X"</f>
        <v>2086S0129X</v>
      </c>
      <c r="D24284" t="str">
        <f>"POTTI                    CHINMAYEE                "</f>
        <v xml:space="preserve">POTTI                    CHINMAYEE                </v>
      </c>
      <c r="E24284" t="str">
        <f>"MEMPHIS                   "</f>
        <v xml:space="preserve">MEMPHIS                   </v>
      </c>
      <c r="F24284" t="str">
        <f t="shared" si="681"/>
        <v>TN</v>
      </c>
    </row>
    <row r="24285" spans="1:6" x14ac:dyDescent="0.25">
      <c r="A24285" t="str">
        <f>"200023614"</f>
        <v>200023614</v>
      </c>
      <c r="B24285" t="str">
        <f>"1306591060"</f>
        <v>1306591060</v>
      </c>
      <c r="C24285" t="str">
        <f>"367A00000X"</f>
        <v>367A00000X</v>
      </c>
      <c r="D24285" t="str">
        <f>"GREEN                    MADISON                  "</f>
        <v xml:space="preserve">GREEN                    MADISON                  </v>
      </c>
      <c r="E24285" t="str">
        <f>"MARTIN                    "</f>
        <v xml:space="preserve">MARTIN                    </v>
      </c>
      <c r="F24285" t="str">
        <f t="shared" si="681"/>
        <v>TN</v>
      </c>
    </row>
    <row r="24286" spans="1:6" x14ac:dyDescent="0.25">
      <c r="A24286" t="str">
        <f>"200023615"</f>
        <v>200023615</v>
      </c>
      <c r="B24286" t="str">
        <f>"1841291762"</f>
        <v>1841291762</v>
      </c>
      <c r="C24286" t="str">
        <f>"207RN0300X"</f>
        <v>207RN0300X</v>
      </c>
      <c r="D24286" t="str">
        <f>"BALLOUK                  WESAM                    "</f>
        <v xml:space="preserve">BALLOUK                  WESAM                    </v>
      </c>
      <c r="E24286" t="str">
        <f>"MEMPHIS                   "</f>
        <v xml:space="preserve">MEMPHIS                   </v>
      </c>
      <c r="F24286" t="str">
        <f t="shared" si="681"/>
        <v>TN</v>
      </c>
    </row>
    <row r="24287" spans="1:6" x14ac:dyDescent="0.25">
      <c r="A24287" t="str">
        <f>"200023621"</f>
        <v>200023621</v>
      </c>
      <c r="B24287" t="str">
        <f>"1659586113"</f>
        <v>1659586113</v>
      </c>
      <c r="C24287" t="str">
        <f>"207V00000X"</f>
        <v>207V00000X</v>
      </c>
      <c r="D24287" t="str">
        <f>"RIEDLEY MALONE           SHANNON                  "</f>
        <v xml:space="preserve">RIEDLEY MALONE           SHANNON                  </v>
      </c>
      <c r="E24287" t="str">
        <f>"MEMPHIS                   "</f>
        <v xml:space="preserve">MEMPHIS                   </v>
      </c>
      <c r="F24287" t="str">
        <f t="shared" si="681"/>
        <v>TN</v>
      </c>
    </row>
    <row r="24288" spans="1:6" x14ac:dyDescent="0.25">
      <c r="A24288" t="str">
        <f>"200023623"</f>
        <v>200023623</v>
      </c>
      <c r="B24288" t="str">
        <f>"1528521689"</f>
        <v>1528521689</v>
      </c>
      <c r="C24288" t="str">
        <f>"2080P0202X"</f>
        <v>2080P0202X</v>
      </c>
      <c r="D24288" t="str">
        <f>"CHOW                     CHRISTOPHER              "</f>
        <v xml:space="preserve">CHOW                     CHRISTOPHER              </v>
      </c>
      <c r="E24288" t="str">
        <f>"MEMPHIS                   "</f>
        <v xml:space="preserve">MEMPHIS                   </v>
      </c>
      <c r="F24288" t="str">
        <f t="shared" si="681"/>
        <v>TN</v>
      </c>
    </row>
    <row r="24289" spans="1:6" x14ac:dyDescent="0.25">
      <c r="A24289" t="str">
        <f>"200023631"</f>
        <v>200023631</v>
      </c>
      <c r="B24289" t="str">
        <f>"1003145327"</f>
        <v>1003145327</v>
      </c>
      <c r="C24289" t="str">
        <f>"363LN0000X"</f>
        <v>363LN0000X</v>
      </c>
      <c r="D24289" t="str">
        <f>"NEWMAN                   LESLIE       E           "</f>
        <v xml:space="preserve">NEWMAN                   LESLIE       E           </v>
      </c>
      <c r="E24289" t="str">
        <f>"JACKSON                   "</f>
        <v xml:space="preserve">JACKSON                   </v>
      </c>
      <c r="F24289" t="str">
        <f t="shared" si="681"/>
        <v>TN</v>
      </c>
    </row>
    <row r="24290" spans="1:6" x14ac:dyDescent="0.25">
      <c r="A24290" t="str">
        <f>"200023636"</f>
        <v>200023636</v>
      </c>
      <c r="B24290" t="str">
        <f>"1417056250"</f>
        <v>1417056250</v>
      </c>
      <c r="C24290" t="str">
        <f>"207Q00000X"</f>
        <v>207Q00000X</v>
      </c>
      <c r="D24290" t="str">
        <f>"QURESHI                  SHOAIB                   "</f>
        <v xml:space="preserve">QURESHI                  SHOAIB                   </v>
      </c>
      <c r="E24290" t="str">
        <f>"MEMPHIS                   "</f>
        <v xml:space="preserve">MEMPHIS                   </v>
      </c>
      <c r="F24290" t="str">
        <f t="shared" si="681"/>
        <v>TN</v>
      </c>
    </row>
    <row r="24291" spans="1:6" x14ac:dyDescent="0.25">
      <c r="A24291" t="str">
        <f>"200023642"</f>
        <v>200023642</v>
      </c>
      <c r="B24291" t="str">
        <f>"1255077939"</f>
        <v>1255077939</v>
      </c>
      <c r="C24291" t="str">
        <f>"207R00000X"</f>
        <v>207R00000X</v>
      </c>
      <c r="D24291" t="str">
        <f>"BRYANT                   GRADY                    "</f>
        <v xml:space="preserve">BRYANT                   GRADY                    </v>
      </c>
      <c r="E24291" t="str">
        <f>"MEMPHIS                   "</f>
        <v xml:space="preserve">MEMPHIS                   </v>
      </c>
      <c r="F24291" t="str">
        <f t="shared" si="681"/>
        <v>TN</v>
      </c>
    </row>
    <row r="24292" spans="1:6" x14ac:dyDescent="0.25">
      <c r="A24292" t="str">
        <f>"200023663"</f>
        <v>200023663</v>
      </c>
      <c r="B24292" t="str">
        <f>"1437197696"</f>
        <v>1437197696</v>
      </c>
      <c r="C24292" t="str">
        <f>"2080N0001X"</f>
        <v>2080N0001X</v>
      </c>
      <c r="D24292" t="str">
        <f>"GUTHRIE                  SCOTT                    "</f>
        <v xml:space="preserve">GUTHRIE                  SCOTT                    </v>
      </c>
      <c r="E24292" t="str">
        <f>"NASHVILLE                 "</f>
        <v xml:space="preserve">NASHVILLE                 </v>
      </c>
      <c r="F24292" t="str">
        <f t="shared" si="681"/>
        <v>TN</v>
      </c>
    </row>
    <row r="24293" spans="1:6" x14ac:dyDescent="0.25">
      <c r="A24293" t="str">
        <f>"200023665"</f>
        <v>200023665</v>
      </c>
      <c r="B24293" t="str">
        <f>"1205100260"</f>
        <v>1205100260</v>
      </c>
      <c r="C24293" t="str">
        <f>"207R00000X"</f>
        <v>207R00000X</v>
      </c>
      <c r="D24293" t="str">
        <f>"VO                       HOANG                    "</f>
        <v xml:space="preserve">VO                       HOANG                    </v>
      </c>
      <c r="E24293" t="str">
        <f>"MEMPHIS                   "</f>
        <v xml:space="preserve">MEMPHIS                   </v>
      </c>
      <c r="F24293" t="str">
        <f t="shared" si="681"/>
        <v>TN</v>
      </c>
    </row>
    <row r="24294" spans="1:6" x14ac:dyDescent="0.25">
      <c r="A24294" t="str">
        <f>"200023672"</f>
        <v>200023672</v>
      </c>
      <c r="B24294" t="str">
        <f>"1396489704"</f>
        <v>1396489704</v>
      </c>
      <c r="C24294" t="str">
        <f>"207P00000X"</f>
        <v>207P00000X</v>
      </c>
      <c r="D24294" t="str">
        <f>"BODE                     JOHN                     "</f>
        <v xml:space="preserve">BODE                     JOHN                     </v>
      </c>
      <c r="E24294" t="str">
        <f>"MEMPHIS                   "</f>
        <v xml:space="preserve">MEMPHIS                   </v>
      </c>
      <c r="F24294" t="str">
        <f t="shared" si="681"/>
        <v>TN</v>
      </c>
    </row>
    <row r="24295" spans="1:6" x14ac:dyDescent="0.25">
      <c r="A24295" t="str">
        <f>"200023673"</f>
        <v>200023673</v>
      </c>
      <c r="B24295" t="str">
        <f>"1487477022"</f>
        <v>1487477022</v>
      </c>
      <c r="C24295" t="str">
        <f>"367500000X"</f>
        <v>367500000X</v>
      </c>
      <c r="D24295" t="str">
        <f>"JOINER                   MARY                     "</f>
        <v xml:space="preserve">JOINER                   MARY                     </v>
      </c>
      <c r="E24295" t="str">
        <f>"MEMPHIS                   "</f>
        <v xml:space="preserve">MEMPHIS                   </v>
      </c>
      <c r="F24295" t="str">
        <f t="shared" si="681"/>
        <v>TN</v>
      </c>
    </row>
    <row r="24296" spans="1:6" x14ac:dyDescent="0.25">
      <c r="A24296" t="str">
        <f>"200023678"</f>
        <v>200023678</v>
      </c>
      <c r="B24296" t="str">
        <f>"1043666597"</f>
        <v>1043666597</v>
      </c>
      <c r="C24296" t="str">
        <f>"363LF0000X"</f>
        <v>363LF0000X</v>
      </c>
      <c r="D24296" t="str">
        <f>"MOSS                     PEGGY                    "</f>
        <v xml:space="preserve">MOSS                     PEGGY                    </v>
      </c>
      <c r="E24296" t="str">
        <f>"HUNTINGDON                "</f>
        <v xml:space="preserve">HUNTINGDON                </v>
      </c>
      <c r="F24296" t="str">
        <f t="shared" si="681"/>
        <v>TN</v>
      </c>
    </row>
    <row r="24297" spans="1:6" x14ac:dyDescent="0.25">
      <c r="A24297" t="str">
        <f>"200023703"</f>
        <v>200023703</v>
      </c>
      <c r="B24297" t="str">
        <f>"1548895568"</f>
        <v>1548895568</v>
      </c>
      <c r="C24297" t="str">
        <f>"363A00000X"</f>
        <v>363A00000X</v>
      </c>
      <c r="D24297" t="str">
        <f>"NEZAKAT                  SINA                     "</f>
        <v xml:space="preserve">NEZAKAT                  SINA                     </v>
      </c>
      <c r="E24297" t="str">
        <f>"MEMPHIS                   "</f>
        <v xml:space="preserve">MEMPHIS                   </v>
      </c>
      <c r="F24297" t="str">
        <f t="shared" si="681"/>
        <v>TN</v>
      </c>
    </row>
    <row r="24298" spans="1:6" x14ac:dyDescent="0.25">
      <c r="A24298" t="str">
        <f>"200023711"</f>
        <v>200023711</v>
      </c>
      <c r="B24298" t="str">
        <f>"1528487675"</f>
        <v>1528487675</v>
      </c>
      <c r="C24298" t="str">
        <f>"2080N0001X"</f>
        <v>2080N0001X</v>
      </c>
      <c r="D24298" t="str">
        <f>"LOUIE                    KEVIN                    "</f>
        <v xml:space="preserve">LOUIE                    KEVIN                    </v>
      </c>
      <c r="E24298" t="str">
        <f>"NASHVILLE                 "</f>
        <v xml:space="preserve">NASHVILLE                 </v>
      </c>
      <c r="F24298" t="str">
        <f t="shared" si="681"/>
        <v>TN</v>
      </c>
    </row>
    <row r="24299" spans="1:6" x14ac:dyDescent="0.25">
      <c r="A24299" t="str">
        <f>"200023713"</f>
        <v>200023713</v>
      </c>
      <c r="B24299" t="str">
        <f>"1275025561"</f>
        <v>1275025561</v>
      </c>
      <c r="C24299" t="str">
        <f>"363LP0200X"</f>
        <v>363LP0200X</v>
      </c>
      <c r="D24299" t="str">
        <f>"ALLMON                   PATRICIA                 "</f>
        <v xml:space="preserve">ALLMON                   PATRICIA                 </v>
      </c>
      <c r="E24299" t="str">
        <f>"MEMPHIS                   "</f>
        <v xml:space="preserve">MEMPHIS                   </v>
      </c>
      <c r="F24299" t="str">
        <f t="shared" si="681"/>
        <v>TN</v>
      </c>
    </row>
    <row r="24300" spans="1:6" x14ac:dyDescent="0.25">
      <c r="A24300" t="str">
        <f>"200023717"</f>
        <v>200023717</v>
      </c>
      <c r="B24300" t="str">
        <f>"1902695083"</f>
        <v>1902695083</v>
      </c>
      <c r="C24300" t="str">
        <f>"363A00000X"</f>
        <v>363A00000X</v>
      </c>
      <c r="D24300" t="str">
        <f>"AMUNDSON                 SARAH                    "</f>
        <v xml:space="preserve">AMUNDSON                 SARAH                    </v>
      </c>
      <c r="E24300" t="str">
        <f>"COLLIERVILLE              "</f>
        <v xml:space="preserve">COLLIERVILLE              </v>
      </c>
      <c r="F24300" t="str">
        <f t="shared" si="681"/>
        <v>TN</v>
      </c>
    </row>
    <row r="24301" spans="1:6" x14ac:dyDescent="0.25">
      <c r="A24301" t="str">
        <f>"200023724"</f>
        <v>200023724</v>
      </c>
      <c r="B24301" t="str">
        <f>"1164554572"</f>
        <v>1164554572</v>
      </c>
      <c r="C24301" t="str">
        <f>"207RN0300X"</f>
        <v>207RN0300X</v>
      </c>
      <c r="D24301" t="str">
        <f>"DAHER                    FADI                     "</f>
        <v xml:space="preserve">DAHER                    FADI                     </v>
      </c>
      <c r="E24301" t="str">
        <f>"MEMPHIS                   "</f>
        <v xml:space="preserve">MEMPHIS                   </v>
      </c>
      <c r="F24301" t="str">
        <f t="shared" si="681"/>
        <v>TN</v>
      </c>
    </row>
    <row r="24302" spans="1:6" x14ac:dyDescent="0.25">
      <c r="A24302" t="str">
        <f>"200023727"</f>
        <v>200023727</v>
      </c>
      <c r="B24302" t="str">
        <f>"1104806413"</f>
        <v>1104806413</v>
      </c>
      <c r="C24302" t="str">
        <f>"207Q00000X"</f>
        <v>207Q00000X</v>
      </c>
      <c r="D24302" t="str">
        <f>"HALE                     JOHN                     "</f>
        <v xml:space="preserve">HALE                     JOHN                     </v>
      </c>
      <c r="E24302" t="str">
        <f>"UNION CITY                "</f>
        <v xml:space="preserve">UNION CITY                </v>
      </c>
      <c r="F24302" t="str">
        <f t="shared" si="681"/>
        <v>TN</v>
      </c>
    </row>
    <row r="24303" spans="1:6" x14ac:dyDescent="0.25">
      <c r="A24303" t="str">
        <f>"200023737"</f>
        <v>200023737</v>
      </c>
      <c r="B24303" t="str">
        <f>"1710736350"</f>
        <v>1710736350</v>
      </c>
      <c r="C24303" t="str">
        <f>"363L00000X"</f>
        <v>363L00000X</v>
      </c>
      <c r="D24303" t="str">
        <f>"MERRYMAN                 OLIVIA                   "</f>
        <v xml:space="preserve">MERRYMAN                 OLIVIA                   </v>
      </c>
      <c r="E24303" t="str">
        <f t="shared" ref="E24303:E24308" si="682">"MEMPHIS                   "</f>
        <v xml:space="preserve">MEMPHIS                   </v>
      </c>
      <c r="F24303" t="str">
        <f t="shared" si="681"/>
        <v>TN</v>
      </c>
    </row>
    <row r="24304" spans="1:6" x14ac:dyDescent="0.25">
      <c r="A24304" t="str">
        <f>"200023750"</f>
        <v>200023750</v>
      </c>
      <c r="B24304" t="str">
        <f>"1790538486"</f>
        <v>1790538486</v>
      </c>
      <c r="C24304" t="str">
        <f>"367500000X"</f>
        <v>367500000X</v>
      </c>
      <c r="D24304" t="str">
        <f>"MURPHY                   MADISON      H           "</f>
        <v xml:space="preserve">MURPHY                   MADISON      H           </v>
      </c>
      <c r="E24304" t="str">
        <f t="shared" si="682"/>
        <v xml:space="preserve">MEMPHIS                   </v>
      </c>
      <c r="F24304" t="str">
        <f t="shared" si="681"/>
        <v>TN</v>
      </c>
    </row>
    <row r="24305" spans="1:6" x14ac:dyDescent="0.25">
      <c r="A24305" t="str">
        <f>"200023751"</f>
        <v>200023751</v>
      </c>
      <c r="B24305" t="str">
        <f>"1720001928"</f>
        <v>1720001928</v>
      </c>
      <c r="C24305" t="str">
        <f>"261QA1903X"</f>
        <v>261QA1903X</v>
      </c>
      <c r="D24305" t="str">
        <f>"CAMPBELL CLINIC SURGERY CENTER MIDTOWN            "</f>
        <v xml:space="preserve">CAMPBELL CLINIC SURGERY CENTER MIDTOWN            </v>
      </c>
      <c r="E24305" t="str">
        <f t="shared" si="682"/>
        <v xml:space="preserve">MEMPHIS                   </v>
      </c>
      <c r="F24305" t="str">
        <f t="shared" si="681"/>
        <v>TN</v>
      </c>
    </row>
    <row r="24306" spans="1:6" x14ac:dyDescent="0.25">
      <c r="A24306" t="str">
        <f>"200023755"</f>
        <v>200023755</v>
      </c>
      <c r="B24306" t="str">
        <f>"1730820416"</f>
        <v>1730820416</v>
      </c>
      <c r="C24306" t="str">
        <f>"208000000X"</f>
        <v>208000000X</v>
      </c>
      <c r="D24306" t="str">
        <f>"WATKINS                  HALLYE                   "</f>
        <v xml:space="preserve">WATKINS                  HALLYE                   </v>
      </c>
      <c r="E24306" t="str">
        <f t="shared" si="682"/>
        <v xml:space="preserve">MEMPHIS                   </v>
      </c>
      <c r="F24306" t="str">
        <f t="shared" si="681"/>
        <v>TN</v>
      </c>
    </row>
    <row r="24307" spans="1:6" x14ac:dyDescent="0.25">
      <c r="A24307" t="str">
        <f>"200023758"</f>
        <v>200023758</v>
      </c>
      <c r="B24307" t="str">
        <f>"1669561692"</f>
        <v>1669561692</v>
      </c>
      <c r="C24307" t="str">
        <f>"207L00000X"</f>
        <v>207L00000X</v>
      </c>
      <c r="D24307" t="str">
        <f>"ADAMS                    JOHN         L           "</f>
        <v xml:space="preserve">ADAMS                    JOHN         L           </v>
      </c>
      <c r="E24307" t="str">
        <f t="shared" si="682"/>
        <v xml:space="preserve">MEMPHIS                   </v>
      </c>
      <c r="F24307" t="str">
        <f t="shared" si="681"/>
        <v>TN</v>
      </c>
    </row>
    <row r="24308" spans="1:6" x14ac:dyDescent="0.25">
      <c r="A24308" t="str">
        <f>"200023766"</f>
        <v>200023766</v>
      </c>
      <c r="B24308" t="str">
        <f>"1740514728"</f>
        <v>1740514728</v>
      </c>
      <c r="C24308" t="str">
        <f>"363LF0000X"</f>
        <v>363LF0000X</v>
      </c>
      <c r="D24308" t="str">
        <f>"EARLE                    CINDY                    "</f>
        <v xml:space="preserve">EARLE                    CINDY                    </v>
      </c>
      <c r="E24308" t="str">
        <f t="shared" si="682"/>
        <v xml:space="preserve">MEMPHIS                   </v>
      </c>
      <c r="F24308" t="str">
        <f t="shared" si="681"/>
        <v>TN</v>
      </c>
    </row>
    <row r="24309" spans="1:6" x14ac:dyDescent="0.25">
      <c r="A24309" t="str">
        <f>"200023774"</f>
        <v>200023774</v>
      </c>
      <c r="B24309" t="str">
        <f>"1649474123"</f>
        <v>1649474123</v>
      </c>
      <c r="C24309" t="str">
        <f>"207LP3000X"</f>
        <v>207LP3000X</v>
      </c>
      <c r="D24309" t="str">
        <f>"LORINC                   AMANDA                   "</f>
        <v xml:space="preserve">LORINC                   AMANDA                   </v>
      </c>
      <c r="E24309" t="str">
        <f>"NASHVILLE                 "</f>
        <v xml:space="preserve">NASHVILLE                 </v>
      </c>
      <c r="F24309" t="str">
        <f t="shared" si="681"/>
        <v>TN</v>
      </c>
    </row>
    <row r="24310" spans="1:6" x14ac:dyDescent="0.25">
      <c r="A24310" t="str">
        <f>"200023785"</f>
        <v>200023785</v>
      </c>
      <c r="B24310" t="str">
        <f>"1356457634"</f>
        <v>1356457634</v>
      </c>
      <c r="C24310" t="str">
        <f>"208600000X"</f>
        <v>208600000X</v>
      </c>
      <c r="D24310" t="str">
        <f>"EKHAESE                  OBONORUMA                "</f>
        <v xml:space="preserve">EKHAESE                  OBONORUMA                </v>
      </c>
      <c r="E24310" t="str">
        <f>"MEMPHIS                   "</f>
        <v xml:space="preserve">MEMPHIS                   </v>
      </c>
      <c r="F24310" t="str">
        <f t="shared" si="681"/>
        <v>TN</v>
      </c>
    </row>
    <row r="24311" spans="1:6" x14ac:dyDescent="0.25">
      <c r="A24311" t="str">
        <f>"200023791"</f>
        <v>200023791</v>
      </c>
      <c r="B24311" t="str">
        <f>"1568697522"</f>
        <v>1568697522</v>
      </c>
      <c r="C24311" t="str">
        <f>"2085R0202X"</f>
        <v>2085R0202X</v>
      </c>
      <c r="D24311" t="str">
        <f>"BARAD                    UDAYKAMAL                "</f>
        <v xml:space="preserve">BARAD                    UDAYKAMAL                </v>
      </c>
      <c r="E24311" t="str">
        <f>"GERMANTOWN                "</f>
        <v xml:space="preserve">GERMANTOWN                </v>
      </c>
      <c r="F24311" t="str">
        <f t="shared" si="681"/>
        <v>TN</v>
      </c>
    </row>
    <row r="24312" spans="1:6" x14ac:dyDescent="0.25">
      <c r="A24312" t="str">
        <f>"200023801"</f>
        <v>200023801</v>
      </c>
      <c r="B24312" t="str">
        <f>"1619496866"</f>
        <v>1619496866</v>
      </c>
      <c r="C24312" t="str">
        <f>"363LP0200X"</f>
        <v>363LP0200X</v>
      </c>
      <c r="D24312" t="str">
        <f>"DEMPSEY                  AMY                      "</f>
        <v xml:space="preserve">DEMPSEY                  AMY                      </v>
      </c>
      <c r="E24312" t="str">
        <f>"MEMPHIS                   "</f>
        <v xml:space="preserve">MEMPHIS                   </v>
      </c>
      <c r="F24312" t="str">
        <f t="shared" si="681"/>
        <v>TN</v>
      </c>
    </row>
    <row r="24313" spans="1:6" x14ac:dyDescent="0.25">
      <c r="A24313" t="str">
        <f>"200023807"</f>
        <v>200023807</v>
      </c>
      <c r="B24313" t="str">
        <f>"1457810350"</f>
        <v>1457810350</v>
      </c>
      <c r="C24313" t="str">
        <f>"2086S0127X"</f>
        <v>2086S0127X</v>
      </c>
      <c r="D24313" t="str">
        <f>"BRAVERMAN                JOEL                     "</f>
        <v xml:space="preserve">BRAVERMAN                JOEL                     </v>
      </c>
      <c r="E24313" t="str">
        <f>"MEMPHIS                   "</f>
        <v xml:space="preserve">MEMPHIS                   </v>
      </c>
      <c r="F24313" t="str">
        <f t="shared" si="681"/>
        <v>TN</v>
      </c>
    </row>
    <row r="24314" spans="1:6" x14ac:dyDescent="0.25">
      <c r="A24314" t="str">
        <f>"200023821"</f>
        <v>200023821</v>
      </c>
      <c r="B24314" t="str">
        <f>"1518124106"</f>
        <v>1518124106</v>
      </c>
      <c r="C24314" t="str">
        <f>"207L00000X"</f>
        <v>207L00000X</v>
      </c>
      <c r="D24314" t="str">
        <f>"KERTAI                   MIKLOS                   "</f>
        <v xml:space="preserve">KERTAI                   MIKLOS                   </v>
      </c>
      <c r="E24314" t="str">
        <f>"NASHVILLE                 "</f>
        <v xml:space="preserve">NASHVILLE                 </v>
      </c>
      <c r="F24314" t="str">
        <f t="shared" si="681"/>
        <v>TN</v>
      </c>
    </row>
    <row r="24315" spans="1:6" x14ac:dyDescent="0.25">
      <c r="A24315" t="str">
        <f>"200023842"</f>
        <v>200023842</v>
      </c>
      <c r="B24315" t="str">
        <f>"1285083717"</f>
        <v>1285083717</v>
      </c>
      <c r="C24315" t="str">
        <f>"363AM0700X"</f>
        <v>363AM0700X</v>
      </c>
      <c r="D24315" t="str">
        <f>"ROBINSON                 COREY                    "</f>
        <v xml:space="preserve">ROBINSON                 COREY                    </v>
      </c>
      <c r="E24315" t="str">
        <f>"GERMANTOWN                "</f>
        <v xml:space="preserve">GERMANTOWN                </v>
      </c>
      <c r="F24315" t="str">
        <f t="shared" si="681"/>
        <v>TN</v>
      </c>
    </row>
    <row r="24316" spans="1:6" x14ac:dyDescent="0.25">
      <c r="A24316" t="str">
        <f>"200023867"</f>
        <v>200023867</v>
      </c>
      <c r="B24316" t="str">
        <f>"1467956961"</f>
        <v>1467956961</v>
      </c>
      <c r="C24316" t="str">
        <f>"208000000X"</f>
        <v>208000000X</v>
      </c>
      <c r="D24316" t="str">
        <f>"EIGES                    ALEXIA                   "</f>
        <v xml:space="preserve">EIGES                    ALEXIA                   </v>
      </c>
      <c r="E24316" t="str">
        <f>"NASHVILLE                 "</f>
        <v xml:space="preserve">NASHVILLE                 </v>
      </c>
      <c r="F24316" t="str">
        <f t="shared" si="681"/>
        <v>TN</v>
      </c>
    </row>
    <row r="24317" spans="1:6" x14ac:dyDescent="0.25">
      <c r="A24317" t="str">
        <f>"200023871"</f>
        <v>200023871</v>
      </c>
      <c r="B24317" t="str">
        <f>"1720514003"</f>
        <v>1720514003</v>
      </c>
      <c r="C24317" t="str">
        <f>"2084P0804X"</f>
        <v>2084P0804X</v>
      </c>
      <c r="D24317" t="str">
        <f>"MITCHELL                 MALLORY                  "</f>
        <v xml:space="preserve">MITCHELL                 MALLORY                  </v>
      </c>
      <c r="E24317" t="str">
        <f>"BARTLETT                  "</f>
        <v xml:space="preserve">BARTLETT                  </v>
      </c>
      <c r="F24317" t="str">
        <f t="shared" si="681"/>
        <v>TN</v>
      </c>
    </row>
    <row r="24318" spans="1:6" x14ac:dyDescent="0.25">
      <c r="A24318" t="str">
        <f>"200023873"</f>
        <v>200023873</v>
      </c>
      <c r="B24318" t="str">
        <f>"1235405796"</f>
        <v>1235405796</v>
      </c>
      <c r="C24318" t="str">
        <f>"207RI0011X"</f>
        <v>207RI0011X</v>
      </c>
      <c r="D24318" t="str">
        <f>"LOWENSTERN               ANGELA                   "</f>
        <v xml:space="preserve">LOWENSTERN               ANGELA                   </v>
      </c>
      <c r="E24318" t="str">
        <f>"NASHVILLE                 "</f>
        <v xml:space="preserve">NASHVILLE                 </v>
      </c>
      <c r="F24318" t="str">
        <f t="shared" ref="F24318:F24381" si="683">"TN"</f>
        <v>TN</v>
      </c>
    </row>
    <row r="24319" spans="1:6" x14ac:dyDescent="0.25">
      <c r="A24319" t="str">
        <f>"200023874"</f>
        <v>200023874</v>
      </c>
      <c r="B24319" t="str">
        <f>"1720502842"</f>
        <v>1720502842</v>
      </c>
      <c r="C24319" t="str">
        <f>"2084A2900X"</f>
        <v>2084A2900X</v>
      </c>
      <c r="D24319" t="str">
        <f>"BUSHNAQ                  SAJI                     "</f>
        <v xml:space="preserve">BUSHNAQ                  SAJI                     </v>
      </c>
      <c r="E24319" t="str">
        <f>"MEMPHIS                   "</f>
        <v xml:space="preserve">MEMPHIS                   </v>
      </c>
      <c r="F24319" t="str">
        <f t="shared" si="683"/>
        <v>TN</v>
      </c>
    </row>
    <row r="24320" spans="1:6" x14ac:dyDescent="0.25">
      <c r="A24320" t="str">
        <f>"200023890"</f>
        <v>200023890</v>
      </c>
      <c r="B24320" t="str">
        <f>"1225565880"</f>
        <v>1225565880</v>
      </c>
      <c r="C24320" t="str">
        <f>"207RG0100X"</f>
        <v>207RG0100X</v>
      </c>
      <c r="D24320" t="str">
        <f>"BARRY                    HADIATOU                 "</f>
        <v xml:space="preserve">BARRY                    HADIATOU                 </v>
      </c>
      <c r="E24320" t="str">
        <f>"MEMPHIS                   "</f>
        <v xml:space="preserve">MEMPHIS                   </v>
      </c>
      <c r="F24320" t="str">
        <f t="shared" si="683"/>
        <v>TN</v>
      </c>
    </row>
    <row r="24321" spans="1:6" x14ac:dyDescent="0.25">
      <c r="A24321" t="str">
        <f>"200023893"</f>
        <v>200023893</v>
      </c>
      <c r="B24321" t="str">
        <f>"1194726679"</f>
        <v>1194726679</v>
      </c>
      <c r="C24321" t="str">
        <f>"207R00000X"</f>
        <v>207R00000X</v>
      </c>
      <c r="D24321" t="str">
        <f>"OVERBY                   STEVEN                   "</f>
        <v xml:space="preserve">OVERBY                   STEVEN                   </v>
      </c>
      <c r="E24321" t="str">
        <f>"GERMANTOWN                "</f>
        <v xml:space="preserve">GERMANTOWN                </v>
      </c>
      <c r="F24321" t="str">
        <f t="shared" si="683"/>
        <v>TN</v>
      </c>
    </row>
    <row r="24322" spans="1:6" x14ac:dyDescent="0.25">
      <c r="A24322" t="str">
        <f>"200023894"</f>
        <v>200023894</v>
      </c>
      <c r="B24322" t="str">
        <f>"1275613408"</f>
        <v>1275613408</v>
      </c>
      <c r="C24322" t="str">
        <f>"208800000X"</f>
        <v>208800000X</v>
      </c>
      <c r="D24322" t="str">
        <f>"BINGHAM                  WILLIAM                  "</f>
        <v xml:space="preserve">BINGHAM                  WILLIAM                  </v>
      </c>
      <c r="E24322" t="str">
        <f>"GERMANTOWN                "</f>
        <v xml:space="preserve">GERMANTOWN                </v>
      </c>
      <c r="F24322" t="str">
        <f t="shared" si="683"/>
        <v>TN</v>
      </c>
    </row>
    <row r="24323" spans="1:6" x14ac:dyDescent="0.25">
      <c r="A24323" t="str">
        <f>"200023895"</f>
        <v>200023895</v>
      </c>
      <c r="B24323" t="str">
        <f>"1588220032"</f>
        <v>1588220032</v>
      </c>
      <c r="C24323" t="str">
        <f>"2084N0402X"</f>
        <v>2084N0402X</v>
      </c>
      <c r="D24323" t="str">
        <f>"COOKE                    AMBER                    "</f>
        <v xml:space="preserve">COOKE                    AMBER                    </v>
      </c>
      <c r="E24323" t="str">
        <f>"NASHVILLE                 "</f>
        <v xml:space="preserve">NASHVILLE                 </v>
      </c>
      <c r="F24323" t="str">
        <f t="shared" si="683"/>
        <v>TN</v>
      </c>
    </row>
    <row r="24324" spans="1:6" x14ac:dyDescent="0.25">
      <c r="A24324" t="str">
        <f>"200023902"</f>
        <v>200023902</v>
      </c>
      <c r="B24324" t="str">
        <f>"1023738796"</f>
        <v>1023738796</v>
      </c>
      <c r="C24324" t="str">
        <f>"2080P0208X"</f>
        <v>2080P0208X</v>
      </c>
      <c r="D24324" t="str">
        <f>"CASTEJON RAMIREZ         SANDRA                   "</f>
        <v xml:space="preserve">CASTEJON RAMIREZ         SANDRA                   </v>
      </c>
      <c r="E24324" t="str">
        <f t="shared" ref="E24324:E24334" si="684">"MEMPHIS                   "</f>
        <v xml:space="preserve">MEMPHIS                   </v>
      </c>
      <c r="F24324" t="str">
        <f t="shared" si="683"/>
        <v>TN</v>
      </c>
    </row>
    <row r="24325" spans="1:6" x14ac:dyDescent="0.25">
      <c r="A24325" t="str">
        <f>"200023914"</f>
        <v>200023914</v>
      </c>
      <c r="B24325" t="str">
        <f>"1184205825"</f>
        <v>1184205825</v>
      </c>
      <c r="C24325" t="str">
        <f>"207V00000X"</f>
        <v>207V00000X</v>
      </c>
      <c r="D24325" t="str">
        <f>"MCCLURE                  LOGAN                    "</f>
        <v xml:space="preserve">MCCLURE                  LOGAN                    </v>
      </c>
      <c r="E24325" t="str">
        <f t="shared" si="684"/>
        <v xml:space="preserve">MEMPHIS                   </v>
      </c>
      <c r="F24325" t="str">
        <f t="shared" si="683"/>
        <v>TN</v>
      </c>
    </row>
    <row r="24326" spans="1:6" x14ac:dyDescent="0.25">
      <c r="A24326" t="str">
        <f>"200023915"</f>
        <v>200023915</v>
      </c>
      <c r="B24326" t="str">
        <f>"1346363231"</f>
        <v>1346363231</v>
      </c>
      <c r="C24326" t="str">
        <f>"363A00000X"</f>
        <v>363A00000X</v>
      </c>
      <c r="D24326" t="str">
        <f>"ROBERTS                  DAVID        A           "</f>
        <v xml:space="preserve">ROBERTS                  DAVID        A           </v>
      </c>
      <c r="E24326" t="str">
        <f t="shared" si="684"/>
        <v xml:space="preserve">MEMPHIS                   </v>
      </c>
      <c r="F24326" t="str">
        <f t="shared" si="683"/>
        <v>TN</v>
      </c>
    </row>
    <row r="24327" spans="1:6" x14ac:dyDescent="0.25">
      <c r="A24327" t="str">
        <f>"200023934"</f>
        <v>200023934</v>
      </c>
      <c r="B24327" t="str">
        <f>"1255203550"</f>
        <v>1255203550</v>
      </c>
      <c r="C24327" t="str">
        <f>"367500000X"</f>
        <v>367500000X</v>
      </c>
      <c r="D24327" t="str">
        <f>"FOREE                    NICOLE       M           "</f>
        <v xml:space="preserve">FOREE                    NICOLE       M           </v>
      </c>
      <c r="E24327" t="str">
        <f t="shared" si="684"/>
        <v xml:space="preserve">MEMPHIS                   </v>
      </c>
      <c r="F24327" t="str">
        <f t="shared" si="683"/>
        <v>TN</v>
      </c>
    </row>
    <row r="24328" spans="1:6" x14ac:dyDescent="0.25">
      <c r="A24328" t="str">
        <f>"200023939"</f>
        <v>200023939</v>
      </c>
      <c r="B24328" t="str">
        <f>"1275925901"</f>
        <v>1275925901</v>
      </c>
      <c r="C24328" t="str">
        <f>"207P00000X"</f>
        <v>207P00000X</v>
      </c>
      <c r="D24328" t="str">
        <f>"CHARBONNET               CAROLYN                  "</f>
        <v xml:space="preserve">CHARBONNET               CAROLYN                  </v>
      </c>
      <c r="E24328" t="str">
        <f t="shared" si="684"/>
        <v xml:space="preserve">MEMPHIS                   </v>
      </c>
      <c r="F24328" t="str">
        <f t="shared" si="683"/>
        <v>TN</v>
      </c>
    </row>
    <row r="24329" spans="1:6" x14ac:dyDescent="0.25">
      <c r="A24329" t="str">
        <f>"200023948"</f>
        <v>200023948</v>
      </c>
      <c r="B24329" t="str">
        <f>"1194546671"</f>
        <v>1194546671</v>
      </c>
      <c r="C24329" t="str">
        <f>"363A00000X"</f>
        <v>363A00000X</v>
      </c>
      <c r="D24329" t="str">
        <f>"ASSAF                    NADINE                   "</f>
        <v xml:space="preserve">ASSAF                    NADINE                   </v>
      </c>
      <c r="E24329" t="str">
        <f t="shared" si="684"/>
        <v xml:space="preserve">MEMPHIS                   </v>
      </c>
      <c r="F24329" t="str">
        <f t="shared" si="683"/>
        <v>TN</v>
      </c>
    </row>
    <row r="24330" spans="1:6" x14ac:dyDescent="0.25">
      <c r="A24330" t="str">
        <f>"200023961"</f>
        <v>200023961</v>
      </c>
      <c r="B24330" t="str">
        <f>"1922515667"</f>
        <v>1922515667</v>
      </c>
      <c r="C24330" t="str">
        <f>"363LF0000X"</f>
        <v>363LF0000X</v>
      </c>
      <c r="D24330" t="str">
        <f>"BROOKS                   YVETTE                   "</f>
        <v xml:space="preserve">BROOKS                   YVETTE                   </v>
      </c>
      <c r="E24330" t="str">
        <f t="shared" si="684"/>
        <v xml:space="preserve">MEMPHIS                   </v>
      </c>
      <c r="F24330" t="str">
        <f t="shared" si="683"/>
        <v>TN</v>
      </c>
    </row>
    <row r="24331" spans="1:6" x14ac:dyDescent="0.25">
      <c r="A24331" t="str">
        <f>"200023963"</f>
        <v>200023963</v>
      </c>
      <c r="B24331" t="str">
        <f>"1871231159"</f>
        <v>1871231159</v>
      </c>
      <c r="C24331" t="str">
        <f>"207P00000X"</f>
        <v>207P00000X</v>
      </c>
      <c r="D24331" t="str">
        <f>"ZHOU                     DIANA                    "</f>
        <v xml:space="preserve">ZHOU                     DIANA                    </v>
      </c>
      <c r="E24331" t="str">
        <f t="shared" si="684"/>
        <v xml:space="preserve">MEMPHIS                   </v>
      </c>
      <c r="F24331" t="str">
        <f t="shared" si="683"/>
        <v>TN</v>
      </c>
    </row>
    <row r="24332" spans="1:6" x14ac:dyDescent="0.25">
      <c r="A24332" t="str">
        <f>"200023969"</f>
        <v>200023969</v>
      </c>
      <c r="B24332" t="str">
        <f>"1760640692"</f>
        <v>1760640692</v>
      </c>
      <c r="C24332" t="str">
        <f>"2086S0120X"</f>
        <v>2086S0120X</v>
      </c>
      <c r="D24332" t="str">
        <f>"FRISCHER                 JASON                    "</f>
        <v xml:space="preserve">FRISCHER                 JASON                    </v>
      </c>
      <c r="E24332" t="str">
        <f t="shared" si="684"/>
        <v xml:space="preserve">MEMPHIS                   </v>
      </c>
      <c r="F24332" t="str">
        <f t="shared" si="683"/>
        <v>TN</v>
      </c>
    </row>
    <row r="24333" spans="1:6" x14ac:dyDescent="0.25">
      <c r="A24333" t="str">
        <f>"200023972"</f>
        <v>200023972</v>
      </c>
      <c r="B24333" t="str">
        <f>"1255586202"</f>
        <v>1255586202</v>
      </c>
      <c r="C24333" t="str">
        <f>"2080P0208X"</f>
        <v>2080P0208X</v>
      </c>
      <c r="D24333" t="str">
        <f>"MEJIAS                   MARIA                    "</f>
        <v xml:space="preserve">MEJIAS                   MARIA                    </v>
      </c>
      <c r="E24333" t="str">
        <f t="shared" si="684"/>
        <v xml:space="preserve">MEMPHIS                   </v>
      </c>
      <c r="F24333" t="str">
        <f t="shared" si="683"/>
        <v>TN</v>
      </c>
    </row>
    <row r="24334" spans="1:6" x14ac:dyDescent="0.25">
      <c r="A24334" t="str">
        <f>"200023997"</f>
        <v>200023997</v>
      </c>
      <c r="B24334" t="str">
        <f>"1174788558"</f>
        <v>1174788558</v>
      </c>
      <c r="C24334" t="str">
        <f>"2085R0202X"</f>
        <v>2085R0202X</v>
      </c>
      <c r="D24334" t="str">
        <f>"ORMSBY                   CHRISTINE                "</f>
        <v xml:space="preserve">ORMSBY                   CHRISTINE                </v>
      </c>
      <c r="E24334" t="str">
        <f t="shared" si="684"/>
        <v xml:space="preserve">MEMPHIS                   </v>
      </c>
      <c r="F24334" t="str">
        <f t="shared" si="683"/>
        <v>TN</v>
      </c>
    </row>
    <row r="24335" spans="1:6" x14ac:dyDescent="0.25">
      <c r="A24335" t="str">
        <f>"200024003"</f>
        <v>200024003</v>
      </c>
      <c r="B24335" t="str">
        <f>"1174539159"</f>
        <v>1174539159</v>
      </c>
      <c r="C24335" t="str">
        <f>"207RH0003X"</f>
        <v>207RH0003X</v>
      </c>
      <c r="D24335" t="str">
        <f>"MUIR                     EDWARD                   "</f>
        <v xml:space="preserve">MUIR                     EDWARD                   </v>
      </c>
      <c r="E24335" t="str">
        <f>"COLLIERVILLE              "</f>
        <v xml:space="preserve">COLLIERVILLE              </v>
      </c>
      <c r="F24335" t="str">
        <f t="shared" si="683"/>
        <v>TN</v>
      </c>
    </row>
    <row r="24336" spans="1:6" x14ac:dyDescent="0.25">
      <c r="A24336" t="str">
        <f>"200024018"</f>
        <v>200024018</v>
      </c>
      <c r="B24336" t="str">
        <f>"1205537164"</f>
        <v>1205537164</v>
      </c>
      <c r="C24336" t="str">
        <f>"363LF0000X"</f>
        <v>363LF0000X</v>
      </c>
      <c r="D24336" t="str">
        <f>"ANDERSON                 BRITTANY     G           "</f>
        <v xml:space="preserve">ANDERSON                 BRITTANY     G           </v>
      </c>
      <c r="E24336" t="str">
        <f>"MEMPHIS                   "</f>
        <v xml:space="preserve">MEMPHIS                   </v>
      </c>
      <c r="F24336" t="str">
        <f t="shared" si="683"/>
        <v>TN</v>
      </c>
    </row>
    <row r="24337" spans="1:6" x14ac:dyDescent="0.25">
      <c r="A24337" t="str">
        <f>"200024070"</f>
        <v>200024070</v>
      </c>
      <c r="B24337" t="str">
        <f>"1427745975"</f>
        <v>1427745975</v>
      </c>
      <c r="C24337" t="str">
        <f>"207RN0300X"</f>
        <v>207RN0300X</v>
      </c>
      <c r="D24337" t="str">
        <f>"KABEIL                   AHMED                    "</f>
        <v xml:space="preserve">KABEIL                   AHMED                    </v>
      </c>
      <c r="E24337" t="str">
        <f>"MEMPHIS                   "</f>
        <v xml:space="preserve">MEMPHIS                   </v>
      </c>
      <c r="F24337" t="str">
        <f t="shared" si="683"/>
        <v>TN</v>
      </c>
    </row>
    <row r="24338" spans="1:6" x14ac:dyDescent="0.25">
      <c r="A24338" t="str">
        <f>"200024077"</f>
        <v>200024077</v>
      </c>
      <c r="B24338" t="str">
        <f>"1194303834"</f>
        <v>1194303834</v>
      </c>
      <c r="C24338" t="str">
        <f>"208000000X"</f>
        <v>208000000X</v>
      </c>
      <c r="D24338" t="str">
        <f>"STAFFORD                 WILLIAM                  "</f>
        <v xml:space="preserve">STAFFORD                 WILLIAM                  </v>
      </c>
      <c r="E24338" t="str">
        <f>"MEMPHIS                   "</f>
        <v xml:space="preserve">MEMPHIS                   </v>
      </c>
      <c r="F24338" t="str">
        <f t="shared" si="683"/>
        <v>TN</v>
      </c>
    </row>
    <row r="24339" spans="1:6" x14ac:dyDescent="0.25">
      <c r="A24339" t="str">
        <f>"200024091"</f>
        <v>200024091</v>
      </c>
      <c r="B24339" t="str">
        <f>"1972820769"</f>
        <v>1972820769</v>
      </c>
      <c r="C24339" t="str">
        <f>"363LF0000X"</f>
        <v>363LF0000X</v>
      </c>
      <c r="D24339" t="str">
        <f>"CARMICHAEL               LEEANN                   "</f>
        <v xml:space="preserve">CARMICHAEL               LEEANN                   </v>
      </c>
      <c r="E24339" t="str">
        <f>"MEMPHIS                   "</f>
        <v xml:space="preserve">MEMPHIS                   </v>
      </c>
      <c r="F24339" t="str">
        <f t="shared" si="683"/>
        <v>TN</v>
      </c>
    </row>
    <row r="24340" spans="1:6" x14ac:dyDescent="0.25">
      <c r="A24340" t="str">
        <f>"200024093"</f>
        <v>200024093</v>
      </c>
      <c r="B24340" t="str">
        <f>"1942887237"</f>
        <v>1942887237</v>
      </c>
      <c r="C24340" t="str">
        <f>"207R00000X"</f>
        <v>207R00000X</v>
      </c>
      <c r="D24340" t="str">
        <f>"TUTTLE                   MEGAN                    "</f>
        <v xml:space="preserve">TUTTLE                   MEGAN                    </v>
      </c>
      <c r="E24340" t="str">
        <f>"UNION CITY                "</f>
        <v xml:space="preserve">UNION CITY                </v>
      </c>
      <c r="F24340" t="str">
        <f t="shared" si="683"/>
        <v>TN</v>
      </c>
    </row>
    <row r="24341" spans="1:6" x14ac:dyDescent="0.25">
      <c r="A24341" t="str">
        <f>"200024097"</f>
        <v>200024097</v>
      </c>
      <c r="B24341" t="str">
        <f>"1881233468"</f>
        <v>1881233468</v>
      </c>
      <c r="C24341" t="str">
        <f>"367500000X"</f>
        <v>367500000X</v>
      </c>
      <c r="D24341" t="str">
        <f>"CHULIRASHANEEKORN        RADHA                    "</f>
        <v xml:space="preserve">CHULIRASHANEEKORN        RADHA                    </v>
      </c>
      <c r="E24341" t="str">
        <f>"NASHVILLE                 "</f>
        <v xml:space="preserve">NASHVILLE                 </v>
      </c>
      <c r="F24341" t="str">
        <f t="shared" si="683"/>
        <v>TN</v>
      </c>
    </row>
    <row r="24342" spans="1:6" x14ac:dyDescent="0.25">
      <c r="A24342" t="str">
        <f>"200024105"</f>
        <v>200024105</v>
      </c>
      <c r="B24342" t="str">
        <f>"1417323478"</f>
        <v>1417323478</v>
      </c>
      <c r="C24342" t="str">
        <f>"207L00000X"</f>
        <v>207L00000X</v>
      </c>
      <c r="D24342" t="str">
        <f>"KALSI                    AMANPREET                "</f>
        <v xml:space="preserve">KALSI                    AMANPREET                </v>
      </c>
      <c r="E24342" t="str">
        <f>"NASHVILLE                 "</f>
        <v xml:space="preserve">NASHVILLE                 </v>
      </c>
      <c r="F24342" t="str">
        <f t="shared" si="683"/>
        <v>TN</v>
      </c>
    </row>
    <row r="24343" spans="1:6" x14ac:dyDescent="0.25">
      <c r="A24343" t="str">
        <f>"200024106"</f>
        <v>200024106</v>
      </c>
      <c r="B24343" t="str">
        <f>"1821418104"</f>
        <v>1821418104</v>
      </c>
      <c r="C24343" t="str">
        <f>"363LF0000X"</f>
        <v>363LF0000X</v>
      </c>
      <c r="D24343" t="str">
        <f>"THOMAS                   AMY                      "</f>
        <v xml:space="preserve">THOMAS                   AMY                      </v>
      </c>
      <c r="E24343" t="str">
        <f>"GERMANTOWN                "</f>
        <v xml:space="preserve">GERMANTOWN                </v>
      </c>
      <c r="F24343" t="str">
        <f t="shared" si="683"/>
        <v>TN</v>
      </c>
    </row>
    <row r="24344" spans="1:6" x14ac:dyDescent="0.25">
      <c r="A24344" t="str">
        <f>"200024115"</f>
        <v>200024115</v>
      </c>
      <c r="B24344" t="str">
        <f>"1700629391"</f>
        <v>1700629391</v>
      </c>
      <c r="C24344" t="str">
        <f>"363LP0200X"</f>
        <v>363LP0200X</v>
      </c>
      <c r="D24344" t="str">
        <f>"CHERRY                   KIANNA                   "</f>
        <v xml:space="preserve">CHERRY                   KIANNA                   </v>
      </c>
      <c r="E24344" t="str">
        <f>"GERMANTOWN                "</f>
        <v xml:space="preserve">GERMANTOWN                </v>
      </c>
      <c r="F24344" t="str">
        <f t="shared" si="683"/>
        <v>TN</v>
      </c>
    </row>
    <row r="24345" spans="1:6" x14ac:dyDescent="0.25">
      <c r="A24345" t="str">
        <f>"200024119"</f>
        <v>200024119</v>
      </c>
      <c r="B24345" t="str">
        <f>"1225240476"</f>
        <v>1225240476</v>
      </c>
      <c r="C24345" t="str">
        <f>"207RN0300X"</f>
        <v>207RN0300X</v>
      </c>
      <c r="D24345" t="str">
        <f>"AMIN                     HASSAN                   "</f>
        <v xml:space="preserve">AMIN                     HASSAN                   </v>
      </c>
      <c r="E24345" t="str">
        <f>"MEMPHIS                   "</f>
        <v xml:space="preserve">MEMPHIS                   </v>
      </c>
      <c r="F24345" t="str">
        <f t="shared" si="683"/>
        <v>TN</v>
      </c>
    </row>
    <row r="24346" spans="1:6" x14ac:dyDescent="0.25">
      <c r="A24346" t="str">
        <f>"200024124"</f>
        <v>200024124</v>
      </c>
      <c r="B24346" t="str">
        <f>"1598082992"</f>
        <v>1598082992</v>
      </c>
      <c r="C24346" t="str">
        <f>"2084P0800X"</f>
        <v>2084P0800X</v>
      </c>
      <c r="D24346" t="str">
        <f>"ELLIOTT                  DARRELL      A           "</f>
        <v xml:space="preserve">ELLIOTT                  DARRELL      A           </v>
      </c>
      <c r="E24346" t="str">
        <f>"MEMPHIS                   "</f>
        <v xml:space="preserve">MEMPHIS                   </v>
      </c>
      <c r="F24346" t="str">
        <f t="shared" si="683"/>
        <v>TN</v>
      </c>
    </row>
    <row r="24347" spans="1:6" x14ac:dyDescent="0.25">
      <c r="A24347" t="str">
        <f>"200024126"</f>
        <v>200024126</v>
      </c>
      <c r="B24347" t="str">
        <f>"1558377721"</f>
        <v>1558377721</v>
      </c>
      <c r="C24347" t="str">
        <f>"208000000X"</f>
        <v>208000000X</v>
      </c>
      <c r="D24347" t="str">
        <f>"FLEMING                  AMY                      "</f>
        <v xml:space="preserve">FLEMING                  AMY                      </v>
      </c>
      <c r="E24347" t="str">
        <f>"NASHVILLE                 "</f>
        <v xml:space="preserve">NASHVILLE                 </v>
      </c>
      <c r="F24347" t="str">
        <f t="shared" si="683"/>
        <v>TN</v>
      </c>
    </row>
    <row r="24348" spans="1:6" x14ac:dyDescent="0.25">
      <c r="A24348" t="str">
        <f>"200024140"</f>
        <v>200024140</v>
      </c>
      <c r="B24348" t="str">
        <f>"1518919901"</f>
        <v>1518919901</v>
      </c>
      <c r="C24348" t="str">
        <f>"208000000X"</f>
        <v>208000000X</v>
      </c>
      <c r="D24348" t="str">
        <f>"BIALOSTOZKY              ADRIANA                  "</f>
        <v xml:space="preserve">BIALOSTOZKY              ADRIANA                  </v>
      </c>
      <c r="E24348" t="str">
        <f>"NASHVILLE                 "</f>
        <v xml:space="preserve">NASHVILLE                 </v>
      </c>
      <c r="F24348" t="str">
        <f t="shared" si="683"/>
        <v>TN</v>
      </c>
    </row>
    <row r="24349" spans="1:6" x14ac:dyDescent="0.25">
      <c r="A24349" t="str">
        <f>"200024144"</f>
        <v>200024144</v>
      </c>
      <c r="B24349" t="str">
        <f>"1376280701"</f>
        <v>1376280701</v>
      </c>
      <c r="C24349" t="str">
        <f>"207P00000X"</f>
        <v>207P00000X</v>
      </c>
      <c r="D24349" t="str">
        <f>"GABLE                    RICKY                    "</f>
        <v xml:space="preserve">GABLE                    RICKY                    </v>
      </c>
      <c r="E24349" t="str">
        <f>"MEMPHIS                   "</f>
        <v xml:space="preserve">MEMPHIS                   </v>
      </c>
      <c r="F24349" t="str">
        <f t="shared" si="683"/>
        <v>TN</v>
      </c>
    </row>
    <row r="24350" spans="1:6" x14ac:dyDescent="0.25">
      <c r="A24350" t="str">
        <f>"200024206"</f>
        <v>200024206</v>
      </c>
      <c r="B24350" t="str">
        <f>"1114452943"</f>
        <v>1114452943</v>
      </c>
      <c r="C24350" t="str">
        <f>"207R00000X"</f>
        <v>207R00000X</v>
      </c>
      <c r="D24350" t="str">
        <f>"TRAN                     HUONG                    "</f>
        <v xml:space="preserve">TRAN                     HUONG                    </v>
      </c>
      <c r="E24350" t="str">
        <f>"COLLIERVILLE              "</f>
        <v xml:space="preserve">COLLIERVILLE              </v>
      </c>
      <c r="F24350" t="str">
        <f t="shared" si="683"/>
        <v>TN</v>
      </c>
    </row>
    <row r="24351" spans="1:6" x14ac:dyDescent="0.25">
      <c r="A24351" t="str">
        <f>"200024223"</f>
        <v>200024223</v>
      </c>
      <c r="B24351" t="str">
        <f>"1316583990"</f>
        <v>1316583990</v>
      </c>
      <c r="C24351" t="str">
        <f>"367500000X"</f>
        <v>367500000X</v>
      </c>
      <c r="D24351" t="str">
        <f>"MONGER                   KELSEY                   "</f>
        <v xml:space="preserve">MONGER                   KELSEY                   </v>
      </c>
      <c r="E24351" t="str">
        <f>"MEMPHIS                   "</f>
        <v xml:space="preserve">MEMPHIS                   </v>
      </c>
      <c r="F24351" t="str">
        <f t="shared" si="683"/>
        <v>TN</v>
      </c>
    </row>
    <row r="24352" spans="1:6" x14ac:dyDescent="0.25">
      <c r="A24352" t="str">
        <f>"200024232"</f>
        <v>200024232</v>
      </c>
      <c r="B24352" t="str">
        <f>"1023335338"</f>
        <v>1023335338</v>
      </c>
      <c r="C24352" t="str">
        <f>"2080P0205X"</f>
        <v>2080P0205X</v>
      </c>
      <c r="D24352" t="str">
        <f>"DATYE                    KARISHMA                 "</f>
        <v xml:space="preserve">DATYE                    KARISHMA                 </v>
      </c>
      <c r="E24352" t="str">
        <f>"NASHVILLE                 "</f>
        <v xml:space="preserve">NASHVILLE                 </v>
      </c>
      <c r="F24352" t="str">
        <f t="shared" si="683"/>
        <v>TN</v>
      </c>
    </row>
    <row r="24353" spans="1:6" x14ac:dyDescent="0.25">
      <c r="A24353" t="str">
        <f>"200024273"</f>
        <v>200024273</v>
      </c>
      <c r="B24353" t="str">
        <f>"1699922807"</f>
        <v>1699922807</v>
      </c>
      <c r="C24353" t="str">
        <f>"207P00000X"</f>
        <v>207P00000X</v>
      </c>
      <c r="D24353" t="str">
        <f>"AHMED                    QADEER                   "</f>
        <v xml:space="preserve">AHMED                    QADEER                   </v>
      </c>
      <c r="E24353" t="str">
        <f>"MEMPHIS                   "</f>
        <v xml:space="preserve">MEMPHIS                   </v>
      </c>
      <c r="F24353" t="str">
        <f t="shared" si="683"/>
        <v>TN</v>
      </c>
    </row>
    <row r="24354" spans="1:6" x14ac:dyDescent="0.25">
      <c r="A24354" t="str">
        <f>"200024296"</f>
        <v>200024296</v>
      </c>
      <c r="B24354" t="str">
        <f>"1780116202"</f>
        <v>1780116202</v>
      </c>
      <c r="C24354" t="str">
        <f>"207RP1001X"</f>
        <v>207RP1001X</v>
      </c>
      <c r="D24354" t="str">
        <f>"TOPOREK                  ALEXANDRA                "</f>
        <v xml:space="preserve">TOPOREK                  ALEXANDRA                </v>
      </c>
      <c r="E24354" t="str">
        <f>"NASHVILLE                 "</f>
        <v xml:space="preserve">NASHVILLE                 </v>
      </c>
      <c r="F24354" t="str">
        <f t="shared" si="683"/>
        <v>TN</v>
      </c>
    </row>
    <row r="24355" spans="1:6" x14ac:dyDescent="0.25">
      <c r="A24355" t="str">
        <f>"200024301"</f>
        <v>200024301</v>
      </c>
      <c r="B24355" t="str">
        <f>"1689409757"</f>
        <v>1689409757</v>
      </c>
      <c r="C24355" t="str">
        <f>"363LA2100X"</f>
        <v>363LA2100X</v>
      </c>
      <c r="D24355" t="str">
        <f>"MCFARLAND                RYAN                     "</f>
        <v xml:space="preserve">MCFARLAND                RYAN                     </v>
      </c>
      <c r="E24355" t="str">
        <f>"GERMANTOWN                "</f>
        <v xml:space="preserve">GERMANTOWN                </v>
      </c>
      <c r="F24355" t="str">
        <f t="shared" si="683"/>
        <v>TN</v>
      </c>
    </row>
    <row r="24356" spans="1:6" x14ac:dyDescent="0.25">
      <c r="A24356" t="str">
        <f>"200024308"</f>
        <v>200024308</v>
      </c>
      <c r="B24356" t="str">
        <f>"1952689135"</f>
        <v>1952689135</v>
      </c>
      <c r="C24356" t="str">
        <f>"207R00000X"</f>
        <v>207R00000X</v>
      </c>
      <c r="D24356" t="str">
        <f>"WOOLDRIDGE               KATHLEENE                "</f>
        <v xml:space="preserve">WOOLDRIDGE               KATHLEENE                </v>
      </c>
      <c r="E24356" t="str">
        <f>"NASHVILLE                 "</f>
        <v xml:space="preserve">NASHVILLE                 </v>
      </c>
      <c r="F24356" t="str">
        <f t="shared" si="683"/>
        <v>TN</v>
      </c>
    </row>
    <row r="24357" spans="1:6" x14ac:dyDescent="0.25">
      <c r="A24357" t="str">
        <f>"200024312"</f>
        <v>200024312</v>
      </c>
      <c r="B24357" t="str">
        <f>"1891967360"</f>
        <v>1891967360</v>
      </c>
      <c r="C24357" t="str">
        <f>"363LF0000X"</f>
        <v>363LF0000X</v>
      </c>
      <c r="D24357" t="str">
        <f>"MCKEE                    MEREDITH                 "</f>
        <v xml:space="preserve">MCKEE                    MEREDITH                 </v>
      </c>
      <c r="E24357" t="str">
        <f>"MEMPHIS                   "</f>
        <v xml:space="preserve">MEMPHIS                   </v>
      </c>
      <c r="F24357" t="str">
        <f t="shared" si="683"/>
        <v>TN</v>
      </c>
    </row>
    <row r="24358" spans="1:6" x14ac:dyDescent="0.25">
      <c r="A24358" t="str">
        <f>"200024351"</f>
        <v>200024351</v>
      </c>
      <c r="B24358" t="str">
        <f>"1215148473"</f>
        <v>1215148473</v>
      </c>
      <c r="C24358" t="str">
        <f>"207P00000X"</f>
        <v>207P00000X</v>
      </c>
      <c r="D24358" t="str">
        <f>"CHRISTIANSON             MATTHEW      S           "</f>
        <v xml:space="preserve">CHRISTIANSON             MATTHEW      S           </v>
      </c>
      <c r="E24358" t="str">
        <f>"MEMPHIS                   "</f>
        <v xml:space="preserve">MEMPHIS                   </v>
      </c>
      <c r="F24358" t="str">
        <f t="shared" si="683"/>
        <v>TN</v>
      </c>
    </row>
    <row r="24359" spans="1:6" x14ac:dyDescent="0.25">
      <c r="A24359" t="str">
        <f>"200024356"</f>
        <v>200024356</v>
      </c>
      <c r="B24359" t="str">
        <f>"1386175750"</f>
        <v>1386175750</v>
      </c>
      <c r="C24359" t="str">
        <f>"207RP1001X"</f>
        <v>207RP1001X</v>
      </c>
      <c r="D24359" t="str">
        <f>"DRAGNICH                 ALEXANDER                "</f>
        <v xml:space="preserve">DRAGNICH                 ALEXANDER                </v>
      </c>
      <c r="E24359" t="str">
        <f>"NASHVILLE                 "</f>
        <v xml:space="preserve">NASHVILLE                 </v>
      </c>
      <c r="F24359" t="str">
        <f t="shared" si="683"/>
        <v>TN</v>
      </c>
    </row>
    <row r="24360" spans="1:6" x14ac:dyDescent="0.25">
      <c r="A24360" t="str">
        <f>"200024357"</f>
        <v>200024357</v>
      </c>
      <c r="B24360" t="str">
        <f>"1861895419"</f>
        <v>1861895419</v>
      </c>
      <c r="C24360" t="str">
        <f>"363LP0200X"</f>
        <v>363LP0200X</v>
      </c>
      <c r="D24360" t="str">
        <f>"SPICKLER                 VIRGINIA                 "</f>
        <v xml:space="preserve">SPICKLER                 VIRGINIA                 </v>
      </c>
      <c r="E24360" t="str">
        <f>"MEMPHIS                   "</f>
        <v xml:space="preserve">MEMPHIS                   </v>
      </c>
      <c r="F24360" t="str">
        <f t="shared" si="683"/>
        <v>TN</v>
      </c>
    </row>
    <row r="24361" spans="1:6" x14ac:dyDescent="0.25">
      <c r="A24361" t="str">
        <f>"200024375"</f>
        <v>200024375</v>
      </c>
      <c r="B24361" t="str">
        <f>"1639120991"</f>
        <v>1639120991</v>
      </c>
      <c r="C24361" t="str">
        <f>"367500000X"</f>
        <v>367500000X</v>
      </c>
      <c r="D24361" t="str">
        <f>"ROBY                     LINDA                    "</f>
        <v xml:space="preserve">ROBY                     LINDA                    </v>
      </c>
      <c r="E24361" t="str">
        <f>"MEMPHIS                   "</f>
        <v xml:space="preserve">MEMPHIS                   </v>
      </c>
      <c r="F24361" t="str">
        <f t="shared" si="683"/>
        <v>TN</v>
      </c>
    </row>
    <row r="24362" spans="1:6" x14ac:dyDescent="0.25">
      <c r="A24362" t="str">
        <f>"200024379"</f>
        <v>200024379</v>
      </c>
      <c r="B24362" t="str">
        <f>"1992758882"</f>
        <v>1992758882</v>
      </c>
      <c r="C24362" t="str">
        <f>"261QM1300X"</f>
        <v>261QM1300X</v>
      </c>
      <c r="D24362" t="str">
        <f>"CONRAD PEARSON CLINIC, PC                         "</f>
        <v xml:space="preserve">CONRAD PEARSON CLINIC, PC                         </v>
      </c>
      <c r="E24362" t="str">
        <f>"MEMPHIS                   "</f>
        <v xml:space="preserve">MEMPHIS                   </v>
      </c>
      <c r="F24362" t="str">
        <f t="shared" si="683"/>
        <v>TN</v>
      </c>
    </row>
    <row r="24363" spans="1:6" x14ac:dyDescent="0.25">
      <c r="A24363" t="str">
        <f>"200024397"</f>
        <v>200024397</v>
      </c>
      <c r="B24363" t="str">
        <f>"1649538117"</f>
        <v>1649538117</v>
      </c>
      <c r="C24363" t="str">
        <f>"208M00000X"</f>
        <v>208M00000X</v>
      </c>
      <c r="D24363" t="str">
        <f>"ANTOON                   JAMES                    "</f>
        <v xml:space="preserve">ANTOON                   JAMES                    </v>
      </c>
      <c r="E24363" t="str">
        <f>"NASHVILLE                 "</f>
        <v xml:space="preserve">NASHVILLE                 </v>
      </c>
      <c r="F24363" t="str">
        <f t="shared" si="683"/>
        <v>TN</v>
      </c>
    </row>
    <row r="24364" spans="1:6" x14ac:dyDescent="0.25">
      <c r="A24364" t="str">
        <f>"200024404"</f>
        <v>200024404</v>
      </c>
      <c r="B24364" t="str">
        <f>"1902814957"</f>
        <v>1902814957</v>
      </c>
      <c r="C24364" t="str">
        <f>"2084N0400X"</f>
        <v>2084N0400X</v>
      </c>
      <c r="D24364" t="str">
        <f>"HAFEZ                    WALID                    "</f>
        <v xml:space="preserve">HAFEZ                    WALID                    </v>
      </c>
      <c r="E24364" t="str">
        <f>"GERMANTOWN                "</f>
        <v xml:space="preserve">GERMANTOWN                </v>
      </c>
      <c r="F24364" t="str">
        <f t="shared" si="683"/>
        <v>TN</v>
      </c>
    </row>
    <row r="24365" spans="1:6" x14ac:dyDescent="0.25">
      <c r="A24365" t="str">
        <f>"200024408"</f>
        <v>200024408</v>
      </c>
      <c r="B24365" t="str">
        <f>"1699588384"</f>
        <v>1699588384</v>
      </c>
      <c r="C24365" t="str">
        <f>"363L00000X"</f>
        <v>363L00000X</v>
      </c>
      <c r="D24365" t="str">
        <f>"TAYLOR                   SHAMEIKA                 "</f>
        <v xml:space="preserve">TAYLOR                   SHAMEIKA                 </v>
      </c>
      <c r="E24365" t="str">
        <f>"MEMPHIS                   "</f>
        <v xml:space="preserve">MEMPHIS                   </v>
      </c>
      <c r="F24365" t="str">
        <f t="shared" si="683"/>
        <v>TN</v>
      </c>
    </row>
    <row r="24366" spans="1:6" x14ac:dyDescent="0.25">
      <c r="A24366" t="str">
        <f>"200024411"</f>
        <v>200024411</v>
      </c>
      <c r="B24366" t="str">
        <f>"1437301900"</f>
        <v>1437301900</v>
      </c>
      <c r="C24366" t="str">
        <f>"2080N0001X"</f>
        <v>2080N0001X</v>
      </c>
      <c r="D24366" t="str">
        <f>"GOYAL                    VAIBHAV                  "</f>
        <v xml:space="preserve">GOYAL                    VAIBHAV                  </v>
      </c>
      <c r="E24366" t="str">
        <f>"MEMPHIS                   "</f>
        <v xml:space="preserve">MEMPHIS                   </v>
      </c>
      <c r="F24366" t="str">
        <f t="shared" si="683"/>
        <v>TN</v>
      </c>
    </row>
    <row r="24367" spans="1:6" x14ac:dyDescent="0.25">
      <c r="A24367" t="str">
        <f>"200024435"</f>
        <v>200024435</v>
      </c>
      <c r="B24367" t="str">
        <f>"1033530761"</f>
        <v>1033530761</v>
      </c>
      <c r="C24367" t="str">
        <f>"2080P0207X"</f>
        <v>2080P0207X</v>
      </c>
      <c r="D24367" t="str">
        <f>"CHAMDINE                 OMAR                     "</f>
        <v xml:space="preserve">CHAMDINE                 OMAR                     </v>
      </c>
      <c r="E24367" t="str">
        <f>"MEMPHIS                   "</f>
        <v xml:space="preserve">MEMPHIS                   </v>
      </c>
      <c r="F24367" t="str">
        <f t="shared" si="683"/>
        <v>TN</v>
      </c>
    </row>
    <row r="24368" spans="1:6" x14ac:dyDescent="0.25">
      <c r="A24368" t="str">
        <f>"200024436"</f>
        <v>200024436</v>
      </c>
      <c r="B24368" t="str">
        <f>"1992758882"</f>
        <v>1992758882</v>
      </c>
      <c r="C24368" t="str">
        <f>"261QM1300X"</f>
        <v>261QM1300X</v>
      </c>
      <c r="D24368" t="str">
        <f>"CONRAD PEARSON CLINIC, PC                         "</f>
        <v xml:space="preserve">CONRAD PEARSON CLINIC, PC                         </v>
      </c>
      <c r="E24368" t="str">
        <f>"GERMANTOWN                "</f>
        <v xml:space="preserve">GERMANTOWN                </v>
      </c>
      <c r="F24368" t="str">
        <f t="shared" si="683"/>
        <v>TN</v>
      </c>
    </row>
    <row r="24369" spans="1:6" x14ac:dyDescent="0.25">
      <c r="A24369" t="str">
        <f>"200024454"</f>
        <v>200024454</v>
      </c>
      <c r="B24369" t="str">
        <f>"1871955385"</f>
        <v>1871955385</v>
      </c>
      <c r="C24369" t="str">
        <f>"2080P0206X"</f>
        <v>2080P0206X</v>
      </c>
      <c r="D24369" t="str">
        <f>"MERCEDES                 REBECCA                  "</f>
        <v xml:space="preserve">MERCEDES                 REBECCA                  </v>
      </c>
      <c r="E24369" t="str">
        <f>"NASHVILLE                 "</f>
        <v xml:space="preserve">NASHVILLE                 </v>
      </c>
      <c r="F24369" t="str">
        <f t="shared" si="683"/>
        <v>TN</v>
      </c>
    </row>
    <row r="24370" spans="1:6" x14ac:dyDescent="0.25">
      <c r="A24370" t="str">
        <f>"200024462"</f>
        <v>200024462</v>
      </c>
      <c r="B24370" t="str">
        <f>"1093751745"</f>
        <v>1093751745</v>
      </c>
      <c r="C24370" t="str">
        <f>"207P00000X"</f>
        <v>207P00000X</v>
      </c>
      <c r="D24370" t="str">
        <f>"DUKE                     HAROLD                   "</f>
        <v xml:space="preserve">DUKE                     HAROLD                   </v>
      </c>
      <c r="E24370" t="str">
        <f>"HUNTINGDON                "</f>
        <v xml:space="preserve">HUNTINGDON                </v>
      </c>
      <c r="F24370" t="str">
        <f t="shared" si="683"/>
        <v>TN</v>
      </c>
    </row>
    <row r="24371" spans="1:6" x14ac:dyDescent="0.25">
      <c r="A24371" t="str">
        <f>"200024472"</f>
        <v>200024472</v>
      </c>
      <c r="B24371" t="str">
        <f>"1215982046"</f>
        <v>1215982046</v>
      </c>
      <c r="C24371" t="str">
        <f>"2080N0001X"</f>
        <v>2080N0001X</v>
      </c>
      <c r="D24371" t="str">
        <f>"GO                       JOSEFINA                 "</f>
        <v xml:space="preserve">GO                       JOSEFINA                 </v>
      </c>
      <c r="E24371" t="str">
        <f>"JACKSON                   "</f>
        <v xml:space="preserve">JACKSON                   </v>
      </c>
      <c r="F24371" t="str">
        <f t="shared" si="683"/>
        <v>TN</v>
      </c>
    </row>
    <row r="24372" spans="1:6" x14ac:dyDescent="0.25">
      <c r="A24372" t="str">
        <f>"200024474"</f>
        <v>200024474</v>
      </c>
      <c r="B24372" t="str">
        <f>"1659647899"</f>
        <v>1659647899</v>
      </c>
      <c r="C24372" t="str">
        <f>"207RG0100X"</f>
        <v>207RG0100X</v>
      </c>
      <c r="D24372" t="str">
        <f>"PATEL                    DHYANESH                 "</f>
        <v xml:space="preserve">PATEL                    DHYANESH                 </v>
      </c>
      <c r="E24372" t="str">
        <f>"NASHVILLE                 "</f>
        <v xml:space="preserve">NASHVILLE                 </v>
      </c>
      <c r="F24372" t="str">
        <f t="shared" si="683"/>
        <v>TN</v>
      </c>
    </row>
    <row r="24373" spans="1:6" x14ac:dyDescent="0.25">
      <c r="A24373" t="str">
        <f>"200024493"</f>
        <v>200024493</v>
      </c>
      <c r="B24373" t="str">
        <f>"1538243639"</f>
        <v>1538243639</v>
      </c>
      <c r="C24373" t="str">
        <f>"2084P0800X"</f>
        <v>2084P0800X</v>
      </c>
      <c r="D24373" t="str">
        <f>"FINLAYSON                ALISTAIR                 "</f>
        <v xml:space="preserve">FINLAYSON                ALISTAIR                 </v>
      </c>
      <c r="E24373" t="str">
        <f>"NASHVILLE                 "</f>
        <v xml:space="preserve">NASHVILLE                 </v>
      </c>
      <c r="F24373" t="str">
        <f t="shared" si="683"/>
        <v>TN</v>
      </c>
    </row>
    <row r="24374" spans="1:6" x14ac:dyDescent="0.25">
      <c r="A24374" t="str">
        <f>"200024503"</f>
        <v>200024503</v>
      </c>
      <c r="B24374" t="str">
        <f>"1639518897"</f>
        <v>1639518897</v>
      </c>
      <c r="C24374" t="str">
        <f>"207P00000X"</f>
        <v>207P00000X</v>
      </c>
      <c r="D24374" t="str">
        <f>"AHMED                    ALI          S           "</f>
        <v xml:space="preserve">AHMED                    ALI          S           </v>
      </c>
      <c r="E24374" t="str">
        <f>"BARTLETT                  "</f>
        <v xml:space="preserve">BARTLETT                  </v>
      </c>
      <c r="F24374" t="str">
        <f t="shared" si="683"/>
        <v>TN</v>
      </c>
    </row>
    <row r="24375" spans="1:6" x14ac:dyDescent="0.25">
      <c r="A24375" t="str">
        <f>"200024509"</f>
        <v>200024509</v>
      </c>
      <c r="B24375" t="str">
        <f>"1164624060"</f>
        <v>1164624060</v>
      </c>
      <c r="C24375" t="str">
        <f>"2080P0202X"</f>
        <v>2080P0202X</v>
      </c>
      <c r="D24375" t="str">
        <f>"DALAL                    AARTI                    "</f>
        <v xml:space="preserve">DALAL                    AARTI                    </v>
      </c>
      <c r="E24375" t="str">
        <f>"NASHVILLE                 "</f>
        <v xml:space="preserve">NASHVILLE                 </v>
      </c>
      <c r="F24375" t="str">
        <f t="shared" si="683"/>
        <v>TN</v>
      </c>
    </row>
    <row r="24376" spans="1:6" x14ac:dyDescent="0.25">
      <c r="A24376" t="str">
        <f>"200024512"</f>
        <v>200024512</v>
      </c>
      <c r="B24376" t="str">
        <f>"1376842047"</f>
        <v>1376842047</v>
      </c>
      <c r="C24376" t="str">
        <f>"208M00000X"</f>
        <v>208M00000X</v>
      </c>
      <c r="D24376" t="str">
        <f>"DOUPNIK                  STEPHANIE                "</f>
        <v xml:space="preserve">DOUPNIK                  STEPHANIE                </v>
      </c>
      <c r="E24376" t="str">
        <f>"NASHVILLE                 "</f>
        <v xml:space="preserve">NASHVILLE                 </v>
      </c>
      <c r="F24376" t="str">
        <f t="shared" si="683"/>
        <v>TN</v>
      </c>
    </row>
    <row r="24377" spans="1:6" x14ac:dyDescent="0.25">
      <c r="A24377" t="str">
        <f>"200024514"</f>
        <v>200024514</v>
      </c>
      <c r="B24377" t="str">
        <f>"1174071633"</f>
        <v>1174071633</v>
      </c>
      <c r="C24377" t="str">
        <f>"363LF0000X"</f>
        <v>363LF0000X</v>
      </c>
      <c r="D24377" t="str">
        <f>"TAYLOR                   LINDA                    "</f>
        <v xml:space="preserve">TAYLOR                   LINDA                    </v>
      </c>
      <c r="E24377" t="str">
        <f>"MEMPHIS                   "</f>
        <v xml:space="preserve">MEMPHIS                   </v>
      </c>
      <c r="F24377" t="str">
        <f t="shared" si="683"/>
        <v>TN</v>
      </c>
    </row>
    <row r="24378" spans="1:6" x14ac:dyDescent="0.25">
      <c r="A24378" t="str">
        <f>"200024518"</f>
        <v>200024518</v>
      </c>
      <c r="B24378" t="str">
        <f>"1437345436"</f>
        <v>1437345436</v>
      </c>
      <c r="C24378" t="str">
        <f>"261QE0700X"</f>
        <v>261QE0700X</v>
      </c>
      <c r="D24378" t="str">
        <f>"MEMPHIS DOWNTOWN DIALYSIS                         "</f>
        <v xml:space="preserve">MEMPHIS DOWNTOWN DIALYSIS                         </v>
      </c>
      <c r="E24378" t="str">
        <f>"MEMPHIS                   "</f>
        <v xml:space="preserve">MEMPHIS                   </v>
      </c>
      <c r="F24378" t="str">
        <f t="shared" si="683"/>
        <v>TN</v>
      </c>
    </row>
    <row r="24379" spans="1:6" x14ac:dyDescent="0.25">
      <c r="A24379" t="str">
        <f>"200024534"</f>
        <v>200024534</v>
      </c>
      <c r="B24379" t="str">
        <f>"1053722959"</f>
        <v>1053722959</v>
      </c>
      <c r="C24379" t="str">
        <f>"367500000X"</f>
        <v>367500000X</v>
      </c>
      <c r="D24379" t="str">
        <f>"MITCHELL                 RACHEL                   "</f>
        <v xml:space="preserve">MITCHELL                 RACHEL                   </v>
      </c>
      <c r="E24379" t="str">
        <f>"MEMPHIS                   "</f>
        <v xml:space="preserve">MEMPHIS                   </v>
      </c>
      <c r="F24379" t="str">
        <f t="shared" si="683"/>
        <v>TN</v>
      </c>
    </row>
    <row r="24380" spans="1:6" x14ac:dyDescent="0.25">
      <c r="A24380" t="str">
        <f>"200024536"</f>
        <v>200024536</v>
      </c>
      <c r="B24380" t="str">
        <f>"1265829493"</f>
        <v>1265829493</v>
      </c>
      <c r="C24380" t="str">
        <f>"207L00000X"</f>
        <v>207L00000X</v>
      </c>
      <c r="D24380" t="str">
        <f>"FOUSHEE                  MADISON      S           "</f>
        <v xml:space="preserve">FOUSHEE                  MADISON      S           </v>
      </c>
      <c r="E24380" t="str">
        <f>"MEMPHIS                   "</f>
        <v xml:space="preserve">MEMPHIS                   </v>
      </c>
      <c r="F24380" t="str">
        <f t="shared" si="683"/>
        <v>TN</v>
      </c>
    </row>
    <row r="24381" spans="1:6" x14ac:dyDescent="0.25">
      <c r="A24381" t="str">
        <f>"200024538"</f>
        <v>200024538</v>
      </c>
      <c r="B24381" t="str">
        <f>"1932543550"</f>
        <v>1932543550</v>
      </c>
      <c r="C24381" t="str">
        <f>"208M00000X"</f>
        <v>208M00000X</v>
      </c>
      <c r="D24381" t="str">
        <f>"OLINGER                  ANDREW                   "</f>
        <v xml:space="preserve">OLINGER                  ANDREW                   </v>
      </c>
      <c r="E24381" t="str">
        <f>"MEMPHIS                   "</f>
        <v xml:space="preserve">MEMPHIS                   </v>
      </c>
      <c r="F24381" t="str">
        <f t="shared" si="683"/>
        <v>TN</v>
      </c>
    </row>
    <row r="24382" spans="1:6" x14ac:dyDescent="0.25">
      <c r="A24382" t="str">
        <f>"200024553"</f>
        <v>200024553</v>
      </c>
      <c r="B24382" t="str">
        <f>"1154803666"</f>
        <v>1154803666</v>
      </c>
      <c r="C24382" t="str">
        <f>"363L00000X"</f>
        <v>363L00000X</v>
      </c>
      <c r="D24382" t="str">
        <f>"KEOWN                    AMANDA                   "</f>
        <v xml:space="preserve">KEOWN                    AMANDA                   </v>
      </c>
      <c r="E24382" t="str">
        <f>"UNION CITY                "</f>
        <v xml:space="preserve">UNION CITY                </v>
      </c>
      <c r="F24382" t="str">
        <f t="shared" ref="F24382:F24445" si="685">"TN"</f>
        <v>TN</v>
      </c>
    </row>
    <row r="24383" spans="1:6" x14ac:dyDescent="0.25">
      <c r="A24383" t="str">
        <f>"200024557"</f>
        <v>200024557</v>
      </c>
      <c r="B24383" t="str">
        <f>"1174358568"</f>
        <v>1174358568</v>
      </c>
      <c r="C24383" t="str">
        <f>"363LA2100X"</f>
        <v>363LA2100X</v>
      </c>
      <c r="D24383" t="str">
        <f>"MARINO                   MELISSA                  "</f>
        <v xml:space="preserve">MARINO                   MELISSA                  </v>
      </c>
      <c r="E24383" t="str">
        <f>"MEMPHIS                   "</f>
        <v xml:space="preserve">MEMPHIS                   </v>
      </c>
      <c r="F24383" t="str">
        <f t="shared" si="685"/>
        <v>TN</v>
      </c>
    </row>
    <row r="24384" spans="1:6" x14ac:dyDescent="0.25">
      <c r="A24384" t="str">
        <f>"200024563"</f>
        <v>200024563</v>
      </c>
      <c r="B24384" t="str">
        <f>"1619866738"</f>
        <v>1619866738</v>
      </c>
      <c r="C24384" t="str">
        <f>"363LP0200X"</f>
        <v>363LP0200X</v>
      </c>
      <c r="D24384" t="str">
        <f>"KAYALI                   SUZANNE                  "</f>
        <v xml:space="preserve">KAYALI                   SUZANNE                  </v>
      </c>
      <c r="E24384" t="str">
        <f>"MEMPHIS                   "</f>
        <v xml:space="preserve">MEMPHIS                   </v>
      </c>
      <c r="F24384" t="str">
        <f t="shared" si="685"/>
        <v>TN</v>
      </c>
    </row>
    <row r="24385" spans="1:6" x14ac:dyDescent="0.25">
      <c r="A24385" t="str">
        <f>"200024566"</f>
        <v>200024566</v>
      </c>
      <c r="B24385" t="str">
        <f>"1922041896"</f>
        <v>1922041896</v>
      </c>
      <c r="C24385" t="str">
        <f>"2085R0202X"</f>
        <v>2085R0202X</v>
      </c>
      <c r="D24385" t="str">
        <f>"JONES                    GEOFFREY                 "</f>
        <v xml:space="preserve">JONES                    GEOFFREY                 </v>
      </c>
      <c r="E24385" t="str">
        <f>"MEMPHIS                   "</f>
        <v xml:space="preserve">MEMPHIS                   </v>
      </c>
      <c r="F24385" t="str">
        <f t="shared" si="685"/>
        <v>TN</v>
      </c>
    </row>
    <row r="24386" spans="1:6" x14ac:dyDescent="0.25">
      <c r="A24386" t="str">
        <f>"200024585"</f>
        <v>200024585</v>
      </c>
      <c r="B24386" t="str">
        <f>"1649551714"</f>
        <v>1649551714</v>
      </c>
      <c r="C24386" t="str">
        <f>"363LN0000X"</f>
        <v>363LN0000X</v>
      </c>
      <c r="D24386" t="str">
        <f>"LAWSON                   JENNIFER                 "</f>
        <v xml:space="preserve">LAWSON                   JENNIFER                 </v>
      </c>
      <c r="E24386" t="str">
        <f>"JACKSON                   "</f>
        <v xml:space="preserve">JACKSON                   </v>
      </c>
      <c r="F24386" t="str">
        <f t="shared" si="685"/>
        <v>TN</v>
      </c>
    </row>
    <row r="24387" spans="1:6" x14ac:dyDescent="0.25">
      <c r="A24387" t="str">
        <f>"200024605"</f>
        <v>200024605</v>
      </c>
      <c r="B24387" t="str">
        <f>"1134203243"</f>
        <v>1134203243</v>
      </c>
      <c r="C24387" t="str">
        <f>"207RC0000X"</f>
        <v>207RC0000X</v>
      </c>
      <c r="D24387" t="str">
        <f>"HUNG                     REBECCA                  "</f>
        <v xml:space="preserve">HUNG                     REBECCA                  </v>
      </c>
      <c r="E24387" t="str">
        <f>"NASHVILLE                 "</f>
        <v xml:space="preserve">NASHVILLE                 </v>
      </c>
      <c r="F24387" t="str">
        <f t="shared" si="685"/>
        <v>TN</v>
      </c>
    </row>
    <row r="24388" spans="1:6" x14ac:dyDescent="0.25">
      <c r="A24388" t="str">
        <f>"200024616"</f>
        <v>200024616</v>
      </c>
      <c r="B24388" t="str">
        <f>"1629407473"</f>
        <v>1629407473</v>
      </c>
      <c r="C24388" t="str">
        <f>"363LF0000X"</f>
        <v>363LF0000X</v>
      </c>
      <c r="D24388" t="str">
        <f>"GRAHAM                   COURTNEY                 "</f>
        <v xml:space="preserve">GRAHAM                   COURTNEY                 </v>
      </c>
      <c r="E24388" t="str">
        <f>"GERMANTOWN                "</f>
        <v xml:space="preserve">GERMANTOWN                </v>
      </c>
      <c r="F24388" t="str">
        <f t="shared" si="685"/>
        <v>TN</v>
      </c>
    </row>
    <row r="24389" spans="1:6" x14ac:dyDescent="0.25">
      <c r="A24389" t="str">
        <f>"200024617"</f>
        <v>200024617</v>
      </c>
      <c r="B24389" t="str">
        <f>"1346664166"</f>
        <v>1346664166</v>
      </c>
      <c r="C24389" t="str">
        <f>"363LP0200X"</f>
        <v>363LP0200X</v>
      </c>
      <c r="D24389" t="str">
        <f>"CARTER                   AMANDA                   "</f>
        <v xml:space="preserve">CARTER                   AMANDA                   </v>
      </c>
      <c r="E24389" t="str">
        <f>"MEMPHIS                   "</f>
        <v xml:space="preserve">MEMPHIS                   </v>
      </c>
      <c r="F24389" t="str">
        <f t="shared" si="685"/>
        <v>TN</v>
      </c>
    </row>
    <row r="24390" spans="1:6" x14ac:dyDescent="0.25">
      <c r="A24390" t="str">
        <f>"200024620"</f>
        <v>200024620</v>
      </c>
      <c r="B24390" t="str">
        <f>"1942399209"</f>
        <v>1942399209</v>
      </c>
      <c r="C24390" t="str">
        <f>"208M00000X"</f>
        <v>208M00000X</v>
      </c>
      <c r="D24390" t="str">
        <f>"MULLICK                  DEBAROTI                 "</f>
        <v xml:space="preserve">MULLICK                  DEBAROTI                 </v>
      </c>
      <c r="E24390" t="str">
        <f>"MEMPHIS                   "</f>
        <v xml:space="preserve">MEMPHIS                   </v>
      </c>
      <c r="F24390" t="str">
        <f t="shared" si="685"/>
        <v>TN</v>
      </c>
    </row>
    <row r="24391" spans="1:6" x14ac:dyDescent="0.25">
      <c r="A24391" t="str">
        <f>"200024621"</f>
        <v>200024621</v>
      </c>
      <c r="B24391" t="str">
        <f>"1033491642"</f>
        <v>1033491642</v>
      </c>
      <c r="C24391" t="str">
        <f>"207RH0003X"</f>
        <v>207RH0003X</v>
      </c>
      <c r="D24391" t="str">
        <f>"DHOLARIA                 BHAGIRATHBHAI            "</f>
        <v xml:space="preserve">DHOLARIA                 BHAGIRATHBHAI            </v>
      </c>
      <c r="E24391" t="str">
        <f>"NASHVILLE                 "</f>
        <v xml:space="preserve">NASHVILLE                 </v>
      </c>
      <c r="F24391" t="str">
        <f t="shared" si="685"/>
        <v>TN</v>
      </c>
    </row>
    <row r="24392" spans="1:6" x14ac:dyDescent="0.25">
      <c r="A24392" t="str">
        <f>"200024622"</f>
        <v>200024622</v>
      </c>
      <c r="B24392" t="str">
        <f>"1629787510"</f>
        <v>1629787510</v>
      </c>
      <c r="C24392" t="str">
        <f>"363LN0000X"</f>
        <v>363LN0000X</v>
      </c>
      <c r="D24392" t="str">
        <f>"MCMINN                   BRIANNA                  "</f>
        <v xml:space="preserve">MCMINN                   BRIANNA                  </v>
      </c>
      <c r="E24392" t="str">
        <f>"JACKSON                   "</f>
        <v xml:space="preserve">JACKSON                   </v>
      </c>
      <c r="F24392" t="str">
        <f t="shared" si="685"/>
        <v>TN</v>
      </c>
    </row>
    <row r="24393" spans="1:6" x14ac:dyDescent="0.25">
      <c r="A24393" t="str">
        <f>"200024623"</f>
        <v>200024623</v>
      </c>
      <c r="B24393" t="str">
        <f>"1164460325"</f>
        <v>1164460325</v>
      </c>
      <c r="C24393" t="str">
        <f>"363LN0000X"</f>
        <v>363LN0000X</v>
      </c>
      <c r="D24393" t="str">
        <f>"PRICE                    KIM                      "</f>
        <v xml:space="preserve">PRICE                    KIM                      </v>
      </c>
      <c r="E24393" t="str">
        <f>"JACKSON                   "</f>
        <v xml:space="preserve">JACKSON                   </v>
      </c>
      <c r="F24393" t="str">
        <f t="shared" si="685"/>
        <v>TN</v>
      </c>
    </row>
    <row r="24394" spans="1:6" x14ac:dyDescent="0.25">
      <c r="A24394" t="str">
        <f>"200024635"</f>
        <v>200024635</v>
      </c>
      <c r="B24394" t="str">
        <f>"1154881241"</f>
        <v>1154881241</v>
      </c>
      <c r="C24394" t="str">
        <f>"2084N0400X"</f>
        <v>2084N0400X</v>
      </c>
      <c r="D24394" t="str">
        <f>"CHEN                     AMALIE                   "</f>
        <v xml:space="preserve">CHEN                     AMALIE                   </v>
      </c>
      <c r="E24394" t="str">
        <f>"NASHVILLE                 "</f>
        <v xml:space="preserve">NASHVILLE                 </v>
      </c>
      <c r="F24394" t="str">
        <f t="shared" si="685"/>
        <v>TN</v>
      </c>
    </row>
    <row r="24395" spans="1:6" x14ac:dyDescent="0.25">
      <c r="A24395" t="str">
        <f>"200024640"</f>
        <v>200024640</v>
      </c>
      <c r="B24395" t="str">
        <f>"1184870958"</f>
        <v>1184870958</v>
      </c>
      <c r="C24395" t="str">
        <f>"2084N0402X"</f>
        <v>2084N0402X</v>
      </c>
      <c r="D24395" t="str">
        <f>"SHAH                     NAMRATA                  "</f>
        <v xml:space="preserve">SHAH                     NAMRATA                  </v>
      </c>
      <c r="E24395" t="str">
        <f t="shared" ref="E24395:E24401" si="686">"MEMPHIS                   "</f>
        <v xml:space="preserve">MEMPHIS                   </v>
      </c>
      <c r="F24395" t="str">
        <f t="shared" si="685"/>
        <v>TN</v>
      </c>
    </row>
    <row r="24396" spans="1:6" x14ac:dyDescent="0.25">
      <c r="A24396" t="str">
        <f>"200024657"</f>
        <v>200024657</v>
      </c>
      <c r="B24396" t="str">
        <f>"1760796791"</f>
        <v>1760796791</v>
      </c>
      <c r="C24396" t="str">
        <f>"207RN0300X"</f>
        <v>207RN0300X</v>
      </c>
      <c r="D24396" t="str">
        <f>"AWAN                     HASSAN                   "</f>
        <v xml:space="preserve">AWAN                     HASSAN                   </v>
      </c>
      <c r="E24396" t="str">
        <f t="shared" si="686"/>
        <v xml:space="preserve">MEMPHIS                   </v>
      </c>
      <c r="F24396" t="str">
        <f t="shared" si="685"/>
        <v>TN</v>
      </c>
    </row>
    <row r="24397" spans="1:6" x14ac:dyDescent="0.25">
      <c r="A24397" t="str">
        <f>"200024665"</f>
        <v>200024665</v>
      </c>
      <c r="B24397" t="str">
        <f>"1336383728"</f>
        <v>1336383728</v>
      </c>
      <c r="C24397" t="str">
        <f>"2080P0207X"</f>
        <v>2080P0207X</v>
      </c>
      <c r="D24397" t="str">
        <f>"TALLEUR                  AIMEE                    "</f>
        <v xml:space="preserve">TALLEUR                  AIMEE                    </v>
      </c>
      <c r="E24397" t="str">
        <f t="shared" si="686"/>
        <v xml:space="preserve">MEMPHIS                   </v>
      </c>
      <c r="F24397" t="str">
        <f t="shared" si="685"/>
        <v>TN</v>
      </c>
    </row>
    <row r="24398" spans="1:6" x14ac:dyDescent="0.25">
      <c r="A24398" t="str">
        <f>"200024673"</f>
        <v>200024673</v>
      </c>
      <c r="B24398" t="str">
        <f>"1164001707"</f>
        <v>1164001707</v>
      </c>
      <c r="C24398" t="str">
        <f>"208000000X"</f>
        <v>208000000X</v>
      </c>
      <c r="D24398" t="str">
        <f>"ZAHEER                   EESHA                    "</f>
        <v xml:space="preserve">ZAHEER                   EESHA                    </v>
      </c>
      <c r="E24398" t="str">
        <f t="shared" si="686"/>
        <v xml:space="preserve">MEMPHIS                   </v>
      </c>
      <c r="F24398" t="str">
        <f t="shared" si="685"/>
        <v>TN</v>
      </c>
    </row>
    <row r="24399" spans="1:6" x14ac:dyDescent="0.25">
      <c r="A24399" t="str">
        <f>"200024676"</f>
        <v>200024676</v>
      </c>
      <c r="B24399" t="str">
        <f>"1558898783"</f>
        <v>1558898783</v>
      </c>
      <c r="C24399" t="str">
        <f>"207P00000X"</f>
        <v>207P00000X</v>
      </c>
      <c r="D24399" t="str">
        <f>"NGUYEN                   UYEN                     "</f>
        <v xml:space="preserve">NGUYEN                   UYEN                     </v>
      </c>
      <c r="E24399" t="str">
        <f t="shared" si="686"/>
        <v xml:space="preserve">MEMPHIS                   </v>
      </c>
      <c r="F24399" t="str">
        <f t="shared" si="685"/>
        <v>TN</v>
      </c>
    </row>
    <row r="24400" spans="1:6" x14ac:dyDescent="0.25">
      <c r="A24400" t="str">
        <f>"200024686"</f>
        <v>200024686</v>
      </c>
      <c r="B24400" t="str">
        <f>"1295393221"</f>
        <v>1295393221</v>
      </c>
      <c r="C24400" t="str">
        <f>"2080P0207X"</f>
        <v>2080P0207X</v>
      </c>
      <c r="D24400" t="str">
        <f>"SURYAPRAKASH             SHRUTHI                  "</f>
        <v xml:space="preserve">SURYAPRAKASH             SHRUTHI                  </v>
      </c>
      <c r="E24400" t="str">
        <f t="shared" si="686"/>
        <v xml:space="preserve">MEMPHIS                   </v>
      </c>
      <c r="F24400" t="str">
        <f t="shared" si="685"/>
        <v>TN</v>
      </c>
    </row>
    <row r="24401" spans="1:6" x14ac:dyDescent="0.25">
      <c r="A24401" t="str">
        <f>"200024705"</f>
        <v>200024705</v>
      </c>
      <c r="B24401" t="str">
        <f>"1346982162"</f>
        <v>1346982162</v>
      </c>
      <c r="C24401" t="str">
        <f>"208000000X"</f>
        <v>208000000X</v>
      </c>
      <c r="D24401" t="str">
        <f>"PORTER                   BRIAN                    "</f>
        <v xml:space="preserve">PORTER                   BRIAN                    </v>
      </c>
      <c r="E24401" t="str">
        <f t="shared" si="686"/>
        <v xml:space="preserve">MEMPHIS                   </v>
      </c>
      <c r="F24401" t="str">
        <f t="shared" si="685"/>
        <v>TN</v>
      </c>
    </row>
    <row r="24402" spans="1:6" x14ac:dyDescent="0.25">
      <c r="A24402" t="str">
        <f>"200024709"</f>
        <v>200024709</v>
      </c>
      <c r="B24402" t="str">
        <f>"1326374257"</f>
        <v>1326374257</v>
      </c>
      <c r="C24402" t="str">
        <f>"363LN0000X"</f>
        <v>363LN0000X</v>
      </c>
      <c r="D24402" t="str">
        <f>"WRIGHT                   LINDSEY                  "</f>
        <v xml:space="preserve">WRIGHT                   LINDSEY                  </v>
      </c>
      <c r="E24402" t="str">
        <f>"JACKSON                   "</f>
        <v xml:space="preserve">JACKSON                   </v>
      </c>
      <c r="F24402" t="str">
        <f t="shared" si="685"/>
        <v>TN</v>
      </c>
    </row>
    <row r="24403" spans="1:6" x14ac:dyDescent="0.25">
      <c r="A24403" t="str">
        <f>"200024723"</f>
        <v>200024723</v>
      </c>
      <c r="B24403" t="str">
        <f>"1720003155"</f>
        <v>1720003155</v>
      </c>
      <c r="C24403" t="str">
        <f>"207V00000X"</f>
        <v>207V00000X</v>
      </c>
      <c r="D24403" t="str">
        <f>"LING                     FRANK                    "</f>
        <v xml:space="preserve">LING                     FRANK                    </v>
      </c>
      <c r="E24403" t="str">
        <f>"MEMPHIS                   "</f>
        <v xml:space="preserve">MEMPHIS                   </v>
      </c>
      <c r="F24403" t="str">
        <f t="shared" si="685"/>
        <v>TN</v>
      </c>
    </row>
    <row r="24404" spans="1:6" x14ac:dyDescent="0.25">
      <c r="A24404" t="str">
        <f>"200024727"</f>
        <v>200024727</v>
      </c>
      <c r="B24404" t="str">
        <f>"1467400077"</f>
        <v>1467400077</v>
      </c>
      <c r="C24404" t="str">
        <f>"207U00000X"</f>
        <v>207U00000X</v>
      </c>
      <c r="D24404" t="str">
        <f>"WU                       GUIYUN                   "</f>
        <v xml:space="preserve">WU                       GUIYUN                   </v>
      </c>
      <c r="E24404" t="str">
        <f>"NASHVILLE                 "</f>
        <v xml:space="preserve">NASHVILLE                 </v>
      </c>
      <c r="F24404" t="str">
        <f t="shared" si="685"/>
        <v>TN</v>
      </c>
    </row>
    <row r="24405" spans="1:6" x14ac:dyDescent="0.25">
      <c r="A24405" t="str">
        <f>"200024743"</f>
        <v>200024743</v>
      </c>
      <c r="B24405" t="str">
        <f>"1821185596"</f>
        <v>1821185596</v>
      </c>
      <c r="C24405" t="str">
        <f>"2080P0216X"</f>
        <v>2080P0216X</v>
      </c>
      <c r="D24405" t="str">
        <f>"GRAHAM                   THOMAS                   "</f>
        <v xml:space="preserve">GRAHAM                   THOMAS                   </v>
      </c>
      <c r="E24405" t="str">
        <f>"NASHVILLE                 "</f>
        <v xml:space="preserve">NASHVILLE                 </v>
      </c>
      <c r="F24405" t="str">
        <f t="shared" si="685"/>
        <v>TN</v>
      </c>
    </row>
    <row r="24406" spans="1:6" x14ac:dyDescent="0.25">
      <c r="A24406" t="str">
        <f>"200024793"</f>
        <v>200024793</v>
      </c>
      <c r="B24406" t="str">
        <f>"1912172305"</f>
        <v>1912172305</v>
      </c>
      <c r="C24406" t="str">
        <f>"363LA2100X"</f>
        <v>363LA2100X</v>
      </c>
      <c r="D24406" t="str">
        <f>"COOPER                   THOMAS                   "</f>
        <v xml:space="preserve">COOPER                   THOMAS                   </v>
      </c>
      <c r="E24406" t="str">
        <f>"MEMPHIS                   "</f>
        <v xml:space="preserve">MEMPHIS                   </v>
      </c>
      <c r="F24406" t="str">
        <f t="shared" si="685"/>
        <v>TN</v>
      </c>
    </row>
    <row r="24407" spans="1:6" x14ac:dyDescent="0.25">
      <c r="A24407" t="str">
        <f>"200024798"</f>
        <v>200024798</v>
      </c>
      <c r="B24407" t="str">
        <f>"1871755447"</f>
        <v>1871755447</v>
      </c>
      <c r="C24407" t="str">
        <f>"2080P0207X"</f>
        <v>2080P0207X</v>
      </c>
      <c r="D24407" t="str">
        <f>"DERENZO                  CHRISTOPHER              "</f>
        <v xml:space="preserve">DERENZO                  CHRISTOPHER              </v>
      </c>
      <c r="E24407" t="str">
        <f>"MEMPHIS                   "</f>
        <v xml:space="preserve">MEMPHIS                   </v>
      </c>
      <c r="F24407" t="str">
        <f t="shared" si="685"/>
        <v>TN</v>
      </c>
    </row>
    <row r="24408" spans="1:6" x14ac:dyDescent="0.25">
      <c r="A24408" t="str">
        <f>"200024804"</f>
        <v>200024804</v>
      </c>
      <c r="B24408" t="str">
        <f>"1710559109"</f>
        <v>1710559109</v>
      </c>
      <c r="C24408" t="str">
        <f>"367500000X"</f>
        <v>367500000X</v>
      </c>
      <c r="D24408" t="str">
        <f>"DALEY                    LYSSA        A           "</f>
        <v xml:space="preserve">DALEY                    LYSSA        A           </v>
      </c>
      <c r="E24408" t="str">
        <f>"MEMPHIS                   "</f>
        <v xml:space="preserve">MEMPHIS                   </v>
      </c>
      <c r="F24408" t="str">
        <f t="shared" si="685"/>
        <v>TN</v>
      </c>
    </row>
    <row r="24409" spans="1:6" x14ac:dyDescent="0.25">
      <c r="A24409" t="str">
        <f>"200024819"</f>
        <v>200024819</v>
      </c>
      <c r="B24409" t="str">
        <f>"1720828676"</f>
        <v>1720828676</v>
      </c>
      <c r="C24409" t="str">
        <f>"363A00000X"</f>
        <v>363A00000X</v>
      </c>
      <c r="D24409" t="str">
        <f>"PAYTON                   ROBIN        S           "</f>
        <v xml:space="preserve">PAYTON                   ROBIN        S           </v>
      </c>
      <c r="E24409" t="str">
        <f>"GERMANTOWN                "</f>
        <v xml:space="preserve">GERMANTOWN                </v>
      </c>
      <c r="F24409" t="str">
        <f t="shared" si="685"/>
        <v>TN</v>
      </c>
    </row>
    <row r="24410" spans="1:6" x14ac:dyDescent="0.25">
      <c r="A24410" t="str">
        <f>"200024821"</f>
        <v>200024821</v>
      </c>
      <c r="B24410" t="str">
        <f>"1558669804"</f>
        <v>1558669804</v>
      </c>
      <c r="C24410" t="str">
        <f>"207ZP0102X"</f>
        <v>207ZP0102X</v>
      </c>
      <c r="D24410" t="str">
        <f>"LEE                      SOLOMON                  "</f>
        <v xml:space="preserve">LEE                      SOLOMON                  </v>
      </c>
      <c r="E24410" t="str">
        <f>"COLUMBIA                  "</f>
        <v xml:space="preserve">COLUMBIA                  </v>
      </c>
      <c r="F24410" t="str">
        <f t="shared" si="685"/>
        <v>TN</v>
      </c>
    </row>
    <row r="24411" spans="1:6" x14ac:dyDescent="0.25">
      <c r="A24411" t="str">
        <f>"200024853"</f>
        <v>200024853</v>
      </c>
      <c r="B24411" t="str">
        <f>"1427492693"</f>
        <v>1427492693</v>
      </c>
      <c r="C24411" t="str">
        <f>"363L00000X"</f>
        <v>363L00000X</v>
      </c>
      <c r="D24411" t="str">
        <f>"BILLINGTON               ANIKIA                   "</f>
        <v xml:space="preserve">BILLINGTON               ANIKIA                   </v>
      </c>
      <c r="E24411" t="str">
        <f>"MEMPHIS                   "</f>
        <v xml:space="preserve">MEMPHIS                   </v>
      </c>
      <c r="F24411" t="str">
        <f t="shared" si="685"/>
        <v>TN</v>
      </c>
    </row>
    <row r="24412" spans="1:6" x14ac:dyDescent="0.25">
      <c r="A24412" t="str">
        <f>"200024858"</f>
        <v>200024858</v>
      </c>
      <c r="B24412" t="str">
        <f>"1316941040"</f>
        <v>1316941040</v>
      </c>
      <c r="C24412" t="str">
        <f>"363A00000X"</f>
        <v>363A00000X</v>
      </c>
      <c r="D24412" t="str">
        <f>"BLOUNT                   GARY                     "</f>
        <v xml:space="preserve">BLOUNT                   GARY                     </v>
      </c>
      <c r="E24412" t="str">
        <f>"HUNTINGDON                "</f>
        <v xml:space="preserve">HUNTINGDON                </v>
      </c>
      <c r="F24412" t="str">
        <f t="shared" si="685"/>
        <v>TN</v>
      </c>
    </row>
    <row r="24413" spans="1:6" x14ac:dyDescent="0.25">
      <c r="A24413" t="str">
        <f>"200024866"</f>
        <v>200024866</v>
      </c>
      <c r="B24413" t="str">
        <f>"1790678829"</f>
        <v>1790678829</v>
      </c>
      <c r="C24413" t="str">
        <f>"363A00000X"</f>
        <v>363A00000X</v>
      </c>
      <c r="D24413" t="str">
        <f>"FAULKNER                 MADISON                  "</f>
        <v xml:space="preserve">FAULKNER                 MADISON                  </v>
      </c>
      <c r="E24413" t="str">
        <f>"MEMPHIS                   "</f>
        <v xml:space="preserve">MEMPHIS                   </v>
      </c>
      <c r="F24413" t="str">
        <f t="shared" si="685"/>
        <v>TN</v>
      </c>
    </row>
    <row r="24414" spans="1:6" x14ac:dyDescent="0.25">
      <c r="A24414" t="str">
        <f>"200024869"</f>
        <v>200024869</v>
      </c>
      <c r="B24414" t="str">
        <f>"1487487088"</f>
        <v>1487487088</v>
      </c>
      <c r="C24414" t="str">
        <f>"363L00000X"</f>
        <v>363L00000X</v>
      </c>
      <c r="D24414" t="str">
        <f>"SHEARIN                  ANNE         M           "</f>
        <v xml:space="preserve">SHEARIN                  ANNE         M           </v>
      </c>
      <c r="E24414" t="str">
        <f>"GERMANTOWN                "</f>
        <v xml:space="preserve">GERMANTOWN                </v>
      </c>
      <c r="F24414" t="str">
        <f t="shared" si="685"/>
        <v>TN</v>
      </c>
    </row>
    <row r="24415" spans="1:6" x14ac:dyDescent="0.25">
      <c r="A24415" t="str">
        <f>"200024873"</f>
        <v>200024873</v>
      </c>
      <c r="B24415" t="str">
        <f>"1285909234"</f>
        <v>1285909234</v>
      </c>
      <c r="C24415" t="str">
        <f>"363LF0000X"</f>
        <v>363LF0000X</v>
      </c>
      <c r="D24415" t="str">
        <f>"GEMMELL                  JAIMA        B           "</f>
        <v xml:space="preserve">GEMMELL                  JAIMA        B           </v>
      </c>
      <c r="E24415" t="str">
        <f>"MEMPHIS                   "</f>
        <v xml:space="preserve">MEMPHIS                   </v>
      </c>
      <c r="F24415" t="str">
        <f t="shared" si="685"/>
        <v>TN</v>
      </c>
    </row>
    <row r="24416" spans="1:6" x14ac:dyDescent="0.25">
      <c r="A24416" t="str">
        <f>"200024874"</f>
        <v>200024874</v>
      </c>
      <c r="B24416" t="str">
        <f>"1881630861"</f>
        <v>1881630861</v>
      </c>
      <c r="C24416" t="str">
        <f>"2085R0202X"</f>
        <v>2085R0202X</v>
      </c>
      <c r="D24416" t="str">
        <f>"ISUANI                   BERNARDO     H           "</f>
        <v xml:space="preserve">ISUANI                   BERNARDO     H           </v>
      </c>
      <c r="E24416" t="str">
        <f>"GERMANTOWN                "</f>
        <v xml:space="preserve">GERMANTOWN                </v>
      </c>
      <c r="F24416" t="str">
        <f t="shared" si="685"/>
        <v>TN</v>
      </c>
    </row>
    <row r="24417" spans="1:6" x14ac:dyDescent="0.25">
      <c r="A24417" t="str">
        <f>"200024884"</f>
        <v>200024884</v>
      </c>
      <c r="B24417" t="str">
        <f>"1396015350"</f>
        <v>1396015350</v>
      </c>
      <c r="C24417" t="str">
        <f>"367500000X"</f>
        <v>367500000X</v>
      </c>
      <c r="D24417" t="str">
        <f>"STEWART                  HALEY                    "</f>
        <v xml:space="preserve">STEWART                  HALEY                    </v>
      </c>
      <c r="E24417" t="str">
        <f>"GERMANTOWN                "</f>
        <v xml:space="preserve">GERMANTOWN                </v>
      </c>
      <c r="F24417" t="str">
        <f t="shared" si="685"/>
        <v>TN</v>
      </c>
    </row>
    <row r="24418" spans="1:6" x14ac:dyDescent="0.25">
      <c r="A24418" t="str">
        <f>"200024891"</f>
        <v>200024891</v>
      </c>
      <c r="B24418" t="str">
        <f>"1447135355"</f>
        <v>1447135355</v>
      </c>
      <c r="C24418" t="str">
        <f>"363LP0200X"</f>
        <v>363LP0200X</v>
      </c>
      <c r="D24418" t="str">
        <f>"SMITH                    EMILY        R           "</f>
        <v xml:space="preserve">SMITH                    EMILY        R           </v>
      </c>
      <c r="E24418" t="str">
        <f>"MEMPHIS                   "</f>
        <v xml:space="preserve">MEMPHIS                   </v>
      </c>
      <c r="F24418" t="str">
        <f t="shared" si="685"/>
        <v>TN</v>
      </c>
    </row>
    <row r="24419" spans="1:6" x14ac:dyDescent="0.25">
      <c r="A24419" t="str">
        <f>"200024921"</f>
        <v>200024921</v>
      </c>
      <c r="B24419" t="str">
        <f>"1609340827"</f>
        <v>1609340827</v>
      </c>
      <c r="C24419" t="str">
        <f>"367500000X"</f>
        <v>367500000X</v>
      </c>
      <c r="D24419" t="str">
        <f>"STANFILL                 ALEX         T           "</f>
        <v xml:space="preserve">STANFILL                 ALEX         T           </v>
      </c>
      <c r="E24419" t="str">
        <f>"MEMPHIS                   "</f>
        <v xml:space="preserve">MEMPHIS                   </v>
      </c>
      <c r="F24419" t="str">
        <f t="shared" si="685"/>
        <v>TN</v>
      </c>
    </row>
    <row r="24420" spans="1:6" x14ac:dyDescent="0.25">
      <c r="A24420" t="str">
        <f>"200024928"</f>
        <v>200024928</v>
      </c>
      <c r="B24420" t="str">
        <f>"1528212982"</f>
        <v>1528212982</v>
      </c>
      <c r="C24420" t="str">
        <f>"207P00000X"</f>
        <v>207P00000X</v>
      </c>
      <c r="D24420" t="str">
        <f>"OHAR                     ANDREW                   "</f>
        <v xml:space="preserve">OHAR                     ANDREW                   </v>
      </c>
      <c r="E24420" t="str">
        <f>"BARTLETT                  "</f>
        <v xml:space="preserve">BARTLETT                  </v>
      </c>
      <c r="F24420" t="str">
        <f t="shared" si="685"/>
        <v>TN</v>
      </c>
    </row>
    <row r="24421" spans="1:6" x14ac:dyDescent="0.25">
      <c r="A24421" t="str">
        <f>"200024931"</f>
        <v>200024931</v>
      </c>
      <c r="B24421" t="str">
        <f>"1255653812"</f>
        <v>1255653812</v>
      </c>
      <c r="C24421" t="str">
        <f>"367500000X"</f>
        <v>367500000X</v>
      </c>
      <c r="D24421" t="str">
        <f>"CAMP                     JESSICA                  "</f>
        <v xml:space="preserve">CAMP                     JESSICA                  </v>
      </c>
      <c r="E24421" t="str">
        <f>"MEMPHIS                   "</f>
        <v xml:space="preserve">MEMPHIS                   </v>
      </c>
      <c r="F24421" t="str">
        <f t="shared" si="685"/>
        <v>TN</v>
      </c>
    </row>
    <row r="24422" spans="1:6" x14ac:dyDescent="0.25">
      <c r="A24422" t="str">
        <f>"200024948"</f>
        <v>200024948</v>
      </c>
      <c r="B24422" t="str">
        <f>"1548805260"</f>
        <v>1548805260</v>
      </c>
      <c r="C24422" t="str">
        <f>"367A00000X"</f>
        <v>367A00000X</v>
      </c>
      <c r="D24422" t="str">
        <f>"HUFF                     TRACY                    "</f>
        <v xml:space="preserve">HUFF                     TRACY                    </v>
      </c>
      <c r="E24422" t="str">
        <f>"UNION CITY                "</f>
        <v xml:space="preserve">UNION CITY                </v>
      </c>
      <c r="F24422" t="str">
        <f t="shared" si="685"/>
        <v>TN</v>
      </c>
    </row>
    <row r="24423" spans="1:6" x14ac:dyDescent="0.25">
      <c r="A24423" t="str">
        <f>"200024952"</f>
        <v>200024952</v>
      </c>
      <c r="B24423" t="str">
        <f>"1972365542"</f>
        <v>1972365542</v>
      </c>
      <c r="C24423" t="str">
        <f>"363LP0200X"</f>
        <v>363LP0200X</v>
      </c>
      <c r="D24423" t="str">
        <f>"CARTER                   HEATHER                  "</f>
        <v xml:space="preserve">CARTER                   HEATHER                  </v>
      </c>
      <c r="E24423" t="str">
        <f>"MEMPHIS                   "</f>
        <v xml:space="preserve">MEMPHIS                   </v>
      </c>
      <c r="F24423" t="str">
        <f t="shared" si="685"/>
        <v>TN</v>
      </c>
    </row>
    <row r="24424" spans="1:6" x14ac:dyDescent="0.25">
      <c r="A24424" t="str">
        <f>"200024974"</f>
        <v>200024974</v>
      </c>
      <c r="B24424" t="str">
        <f>"1164837829"</f>
        <v>1164837829</v>
      </c>
      <c r="C24424" t="str">
        <f>"207RH0003X"</f>
        <v>207RH0003X</v>
      </c>
      <c r="D24424" t="str">
        <f>"AHMED                    BILAWAL                  "</f>
        <v xml:space="preserve">AHMED                    BILAWAL                  </v>
      </c>
      <c r="E24424" t="str">
        <f>"MEMPHIS                   "</f>
        <v xml:space="preserve">MEMPHIS                   </v>
      </c>
      <c r="F24424" t="str">
        <f t="shared" si="685"/>
        <v>TN</v>
      </c>
    </row>
    <row r="24425" spans="1:6" x14ac:dyDescent="0.25">
      <c r="A24425" t="str">
        <f>"200024988"</f>
        <v>200024988</v>
      </c>
      <c r="B24425" t="str">
        <f>"1386442473"</f>
        <v>1386442473</v>
      </c>
      <c r="C24425" t="str">
        <f>"363A00000X"</f>
        <v>363A00000X</v>
      </c>
      <c r="D24425" t="str">
        <f>"MCEWEN                   MATTHEW                  "</f>
        <v xml:space="preserve">MCEWEN                   MATTHEW                  </v>
      </c>
      <c r="E24425" t="str">
        <f>"MEMPHIS                   "</f>
        <v xml:space="preserve">MEMPHIS                   </v>
      </c>
      <c r="F24425" t="str">
        <f t="shared" si="685"/>
        <v>TN</v>
      </c>
    </row>
    <row r="24426" spans="1:6" x14ac:dyDescent="0.25">
      <c r="A24426" t="str">
        <f>"200025008"</f>
        <v>200025008</v>
      </c>
      <c r="B24426" t="str">
        <f>"1114241619"</f>
        <v>1114241619</v>
      </c>
      <c r="C24426" t="str">
        <f>"207RI0011X"</f>
        <v>207RI0011X</v>
      </c>
      <c r="D24426" t="str">
        <f>"BETANCOR                 JORGE                    "</f>
        <v xml:space="preserve">BETANCOR                 JORGE                    </v>
      </c>
      <c r="E24426" t="str">
        <f>"GERMANTOWN                "</f>
        <v xml:space="preserve">GERMANTOWN                </v>
      </c>
      <c r="F24426" t="str">
        <f t="shared" si="685"/>
        <v>TN</v>
      </c>
    </row>
    <row r="24427" spans="1:6" x14ac:dyDescent="0.25">
      <c r="A24427" t="str">
        <f>"200025013"</f>
        <v>200025013</v>
      </c>
      <c r="B24427" t="str">
        <f>"1629367529"</f>
        <v>1629367529</v>
      </c>
      <c r="C24427" t="str">
        <f>"208000000X"</f>
        <v>208000000X</v>
      </c>
      <c r="D24427" t="str">
        <f>"SZEFLER                  PAUL                     "</f>
        <v xml:space="preserve">SZEFLER                  PAUL                     </v>
      </c>
      <c r="E24427" t="str">
        <f>"MEMPHIS                   "</f>
        <v xml:space="preserve">MEMPHIS                   </v>
      </c>
      <c r="F24427" t="str">
        <f t="shared" si="685"/>
        <v>TN</v>
      </c>
    </row>
    <row r="24428" spans="1:6" x14ac:dyDescent="0.25">
      <c r="A24428" t="str">
        <f>"200025015"</f>
        <v>200025015</v>
      </c>
      <c r="B24428" t="str">
        <f>"1518903632"</f>
        <v>1518903632</v>
      </c>
      <c r="C24428" t="str">
        <f>"207ZP0102X"</f>
        <v>207ZP0102X</v>
      </c>
      <c r="D24428" t="str">
        <f>"BRAMLETT JR              CHARLES                  "</f>
        <v xml:space="preserve">BRAMLETT JR              CHARLES                  </v>
      </c>
      <c r="E24428" t="str">
        <f>"COLUMBIA                  "</f>
        <v xml:space="preserve">COLUMBIA                  </v>
      </c>
      <c r="F24428" t="str">
        <f t="shared" si="685"/>
        <v>TN</v>
      </c>
    </row>
    <row r="24429" spans="1:6" x14ac:dyDescent="0.25">
      <c r="A24429" t="str">
        <f>"200025016"</f>
        <v>200025016</v>
      </c>
      <c r="B24429" t="str">
        <f>"1184657272"</f>
        <v>1184657272</v>
      </c>
      <c r="C24429" t="str">
        <f>"208G00000X"</f>
        <v>208G00000X</v>
      </c>
      <c r="D24429" t="str">
        <f>"LAMBRIGHT                ERIC                     "</f>
        <v xml:space="preserve">LAMBRIGHT                ERIC                     </v>
      </c>
      <c r="E24429" t="str">
        <f>"NASHVILLE                 "</f>
        <v xml:space="preserve">NASHVILLE                 </v>
      </c>
      <c r="F24429" t="str">
        <f t="shared" si="685"/>
        <v>TN</v>
      </c>
    </row>
    <row r="24430" spans="1:6" x14ac:dyDescent="0.25">
      <c r="A24430" t="str">
        <f>"200025047"</f>
        <v>200025047</v>
      </c>
      <c r="B24430" t="str">
        <f>"1528240686"</f>
        <v>1528240686</v>
      </c>
      <c r="C24430" t="str">
        <f>"207RG0100X"</f>
        <v>207RG0100X</v>
      </c>
      <c r="D24430" t="str">
        <f>"NEMOTO                   DAVID                    "</f>
        <v xml:space="preserve">NEMOTO                   DAVID                    </v>
      </c>
      <c r="E24430" t="str">
        <f>"MEMPHIS                   "</f>
        <v xml:space="preserve">MEMPHIS                   </v>
      </c>
      <c r="F24430" t="str">
        <f t="shared" si="685"/>
        <v>TN</v>
      </c>
    </row>
    <row r="24431" spans="1:6" x14ac:dyDescent="0.25">
      <c r="A24431" t="str">
        <f>"200025054"</f>
        <v>200025054</v>
      </c>
      <c r="B24431" t="str">
        <f>"1982284758"</f>
        <v>1982284758</v>
      </c>
      <c r="C24431" t="str">
        <f>"208000000X"</f>
        <v>208000000X</v>
      </c>
      <c r="D24431" t="str">
        <f>"VICENZI                  PAIGE                    "</f>
        <v xml:space="preserve">VICENZI                  PAIGE                    </v>
      </c>
      <c r="E24431" t="str">
        <f>"MEMPHIS                   "</f>
        <v xml:space="preserve">MEMPHIS                   </v>
      </c>
      <c r="F24431" t="str">
        <f t="shared" si="685"/>
        <v>TN</v>
      </c>
    </row>
    <row r="24432" spans="1:6" x14ac:dyDescent="0.25">
      <c r="A24432" t="str">
        <f>"200025059"</f>
        <v>200025059</v>
      </c>
      <c r="B24432" t="str">
        <f>"1114184462"</f>
        <v>1114184462</v>
      </c>
      <c r="C24432" t="str">
        <f>"2080N0001X"</f>
        <v>2080N0001X</v>
      </c>
      <c r="D24432" t="str">
        <f>"SLAGLE                   STACEY       B           "</f>
        <v xml:space="preserve">SLAGLE                   STACEY       B           </v>
      </c>
      <c r="E24432" t="str">
        <f>"JACKSON                   "</f>
        <v xml:space="preserve">JACKSON                   </v>
      </c>
      <c r="F24432" t="str">
        <f t="shared" si="685"/>
        <v>TN</v>
      </c>
    </row>
    <row r="24433" spans="1:6" x14ac:dyDescent="0.25">
      <c r="A24433" t="str">
        <f>"200025060"</f>
        <v>200025060</v>
      </c>
      <c r="B24433" t="str">
        <f>"1790983542"</f>
        <v>1790983542</v>
      </c>
      <c r="C24433" t="str">
        <f>"207ZP0102X"</f>
        <v>207ZP0102X</v>
      </c>
      <c r="D24433" t="str">
        <f>"ORR                      BRENT                    "</f>
        <v xml:space="preserve">ORR                      BRENT                    </v>
      </c>
      <c r="E24433" t="str">
        <f>"MEMPHIS                   "</f>
        <v xml:space="preserve">MEMPHIS                   </v>
      </c>
      <c r="F24433" t="str">
        <f t="shared" si="685"/>
        <v>TN</v>
      </c>
    </row>
    <row r="24434" spans="1:6" x14ac:dyDescent="0.25">
      <c r="A24434" t="str">
        <f>"200025068"</f>
        <v>200025068</v>
      </c>
      <c r="B24434" t="str">
        <f>"1841638814"</f>
        <v>1841638814</v>
      </c>
      <c r="C24434" t="str">
        <f>"207P00000X"</f>
        <v>207P00000X</v>
      </c>
      <c r="D24434" t="str">
        <f>"SINGLETON                WARREN                   "</f>
        <v xml:space="preserve">SINGLETON                WARREN                   </v>
      </c>
      <c r="E24434" t="str">
        <f>"MEMPHIS                   "</f>
        <v xml:space="preserve">MEMPHIS                   </v>
      </c>
      <c r="F24434" t="str">
        <f t="shared" si="685"/>
        <v>TN</v>
      </c>
    </row>
    <row r="24435" spans="1:6" x14ac:dyDescent="0.25">
      <c r="A24435" t="str">
        <f>"200025076"</f>
        <v>200025076</v>
      </c>
      <c r="B24435" t="str">
        <f>"1962859892"</f>
        <v>1962859892</v>
      </c>
      <c r="C24435" t="str">
        <f>"2086S0122X"</f>
        <v>2086S0122X</v>
      </c>
      <c r="D24435" t="str">
        <f>"WOLBERT                  THAO                     "</f>
        <v xml:space="preserve">WOLBERT                  THAO                     </v>
      </c>
      <c r="E24435" t="str">
        <f>"MEMPHIS                   "</f>
        <v xml:space="preserve">MEMPHIS                   </v>
      </c>
      <c r="F24435" t="str">
        <f t="shared" si="685"/>
        <v>TN</v>
      </c>
    </row>
    <row r="24436" spans="1:6" x14ac:dyDescent="0.25">
      <c r="A24436" t="str">
        <f>"200025077"</f>
        <v>200025077</v>
      </c>
      <c r="B24436" t="str">
        <f>"1669438719"</f>
        <v>1669438719</v>
      </c>
      <c r="C24436" t="str">
        <f>"207P00000X"</f>
        <v>207P00000X</v>
      </c>
      <c r="D24436" t="str">
        <f>"SHAMAA                   SHERIF                   "</f>
        <v xml:space="preserve">SHAMAA                   SHERIF                   </v>
      </c>
      <c r="E24436" t="str">
        <f>"MEMPHIS                   "</f>
        <v xml:space="preserve">MEMPHIS                   </v>
      </c>
      <c r="F24436" t="str">
        <f t="shared" si="685"/>
        <v>TN</v>
      </c>
    </row>
    <row r="24437" spans="1:6" x14ac:dyDescent="0.25">
      <c r="A24437" t="str">
        <f>"200025108"</f>
        <v>200025108</v>
      </c>
      <c r="B24437" t="str">
        <f>"1770877821"</f>
        <v>1770877821</v>
      </c>
      <c r="C24437" t="str">
        <f>"363L00000X"</f>
        <v>363L00000X</v>
      </c>
      <c r="D24437" t="str">
        <f>"COCHRAN                  STEPHANIE                "</f>
        <v xml:space="preserve">COCHRAN                  STEPHANIE                </v>
      </c>
      <c r="E24437" t="str">
        <f>"GERMANTOWN                "</f>
        <v xml:space="preserve">GERMANTOWN                </v>
      </c>
      <c r="F24437" t="str">
        <f t="shared" si="685"/>
        <v>TN</v>
      </c>
    </row>
    <row r="24438" spans="1:6" x14ac:dyDescent="0.25">
      <c r="A24438" t="str">
        <f>"200025114"</f>
        <v>200025114</v>
      </c>
      <c r="B24438" t="str">
        <f>"1790583383"</f>
        <v>1790583383</v>
      </c>
      <c r="C24438" t="str">
        <f>"363L00000X"</f>
        <v>363L00000X</v>
      </c>
      <c r="D24438" t="str">
        <f>"SLUDER                   HEATHER      L           "</f>
        <v xml:space="preserve">SLUDER                   HEATHER      L           </v>
      </c>
      <c r="E24438" t="str">
        <f>"GERMANTOWN                "</f>
        <v xml:space="preserve">GERMANTOWN                </v>
      </c>
      <c r="F24438" t="str">
        <f t="shared" si="685"/>
        <v>TN</v>
      </c>
    </row>
    <row r="24439" spans="1:6" x14ac:dyDescent="0.25">
      <c r="A24439" t="str">
        <f>"200025133"</f>
        <v>200025133</v>
      </c>
      <c r="B24439" t="str">
        <f>"1154350759"</f>
        <v>1154350759</v>
      </c>
      <c r="C24439" t="str">
        <f>"208G00000X"</f>
        <v>208G00000X</v>
      </c>
      <c r="D24439" t="str">
        <f>"SHAH                     ASHISH                   "</f>
        <v xml:space="preserve">SHAH                     ASHISH                   </v>
      </c>
      <c r="E24439" t="str">
        <f>"NASHVILLE                 "</f>
        <v xml:space="preserve">NASHVILLE                 </v>
      </c>
      <c r="F24439" t="str">
        <f t="shared" si="685"/>
        <v>TN</v>
      </c>
    </row>
    <row r="24440" spans="1:6" x14ac:dyDescent="0.25">
      <c r="A24440" t="str">
        <f>"200025146"</f>
        <v>200025146</v>
      </c>
      <c r="B24440" t="str">
        <f>"1700272234"</f>
        <v>1700272234</v>
      </c>
      <c r="C24440" t="str">
        <f>"208M00000X"</f>
        <v>208M00000X</v>
      </c>
      <c r="D24440" t="str">
        <f>"THOMAS                   JOSEPH                   "</f>
        <v xml:space="preserve">THOMAS                   JOSEPH                   </v>
      </c>
      <c r="E24440" t="str">
        <f>"MEMPHIS                   "</f>
        <v xml:space="preserve">MEMPHIS                   </v>
      </c>
      <c r="F24440" t="str">
        <f t="shared" si="685"/>
        <v>TN</v>
      </c>
    </row>
    <row r="24441" spans="1:6" x14ac:dyDescent="0.25">
      <c r="A24441" t="str">
        <f>"200025165"</f>
        <v>200025165</v>
      </c>
      <c r="B24441" t="str">
        <f>"1912380809"</f>
        <v>1912380809</v>
      </c>
      <c r="C24441" t="str">
        <f>"207R00000X"</f>
        <v>207R00000X</v>
      </c>
      <c r="D24441" t="str">
        <f>"MOHINDRA                 VIKAS                    "</f>
        <v xml:space="preserve">MOHINDRA                 VIKAS                    </v>
      </c>
      <c r="E24441" t="str">
        <f>"MEMPHIS                   "</f>
        <v xml:space="preserve">MEMPHIS                   </v>
      </c>
      <c r="F24441" t="str">
        <f t="shared" si="685"/>
        <v>TN</v>
      </c>
    </row>
    <row r="24442" spans="1:6" x14ac:dyDescent="0.25">
      <c r="A24442" t="str">
        <f>"200025167"</f>
        <v>200025167</v>
      </c>
      <c r="B24442" t="str">
        <f>"1619533643"</f>
        <v>1619533643</v>
      </c>
      <c r="C24442" t="str">
        <f>"207P00000X"</f>
        <v>207P00000X</v>
      </c>
      <c r="D24442" t="str">
        <f>"VARGAS                   BRANDON                  "</f>
        <v xml:space="preserve">VARGAS                   BRANDON                  </v>
      </c>
      <c r="E24442" t="str">
        <f>"MEMPHIS                   "</f>
        <v xml:space="preserve">MEMPHIS                   </v>
      </c>
      <c r="F24442" t="str">
        <f t="shared" si="685"/>
        <v>TN</v>
      </c>
    </row>
    <row r="24443" spans="1:6" x14ac:dyDescent="0.25">
      <c r="A24443" t="str">
        <f>"200025173"</f>
        <v>200025173</v>
      </c>
      <c r="B24443" t="str">
        <f>"1083713424"</f>
        <v>1083713424</v>
      </c>
      <c r="C24443" t="str">
        <f>"207RP1001X"</f>
        <v>207RP1001X</v>
      </c>
      <c r="D24443" t="str">
        <f>"ROBBINS                  IVAN                     "</f>
        <v xml:space="preserve">ROBBINS                  IVAN                     </v>
      </c>
      <c r="E24443" t="str">
        <f>"NASHVILLE                 "</f>
        <v xml:space="preserve">NASHVILLE                 </v>
      </c>
      <c r="F24443" t="str">
        <f t="shared" si="685"/>
        <v>TN</v>
      </c>
    </row>
    <row r="24444" spans="1:6" x14ac:dyDescent="0.25">
      <c r="A24444" t="str">
        <f>"200025177"</f>
        <v>200025177</v>
      </c>
      <c r="B24444" t="str">
        <f>"1790926798"</f>
        <v>1790926798</v>
      </c>
      <c r="C24444" t="str">
        <f>"363LF0000X"</f>
        <v>363LF0000X</v>
      </c>
      <c r="D24444" t="str">
        <f>"PARKS                    CHRISTY                  "</f>
        <v xml:space="preserve">PARKS                    CHRISTY                  </v>
      </c>
      <c r="E24444" t="str">
        <f>"MEMPHIS                   "</f>
        <v xml:space="preserve">MEMPHIS                   </v>
      </c>
      <c r="F24444" t="str">
        <f t="shared" si="685"/>
        <v>TN</v>
      </c>
    </row>
    <row r="24445" spans="1:6" x14ac:dyDescent="0.25">
      <c r="A24445" t="str">
        <f>"200025192"</f>
        <v>200025192</v>
      </c>
      <c r="B24445" t="str">
        <f>"1386497865"</f>
        <v>1386497865</v>
      </c>
      <c r="C24445" t="str">
        <f>"363LG0600X"</f>
        <v>363LG0600X</v>
      </c>
      <c r="D24445" t="str">
        <f>"MARTIN                   LEELLON                  "</f>
        <v xml:space="preserve">MARTIN                   LEELLON                  </v>
      </c>
      <c r="E24445" t="str">
        <f>"MEMPHIS                   "</f>
        <v xml:space="preserve">MEMPHIS                   </v>
      </c>
      <c r="F24445" t="str">
        <f t="shared" si="685"/>
        <v>TN</v>
      </c>
    </row>
    <row r="24446" spans="1:6" x14ac:dyDescent="0.25">
      <c r="A24446" t="str">
        <f>"200025201"</f>
        <v>200025201</v>
      </c>
      <c r="B24446" t="str">
        <f>"1326451774"</f>
        <v>1326451774</v>
      </c>
      <c r="C24446" t="str">
        <f>"207RG0100X"</f>
        <v>207RG0100X</v>
      </c>
      <c r="D24446" t="str">
        <f>"CHALIFOUX                SARA                     "</f>
        <v xml:space="preserve">CHALIFOUX                SARA                     </v>
      </c>
      <c r="E24446" t="str">
        <f>"MEMPHIS                   "</f>
        <v xml:space="preserve">MEMPHIS                   </v>
      </c>
      <c r="F24446" t="str">
        <f t="shared" ref="F24446:F24509" si="687">"TN"</f>
        <v>TN</v>
      </c>
    </row>
    <row r="24447" spans="1:6" x14ac:dyDescent="0.25">
      <c r="A24447" t="str">
        <f>"200025214"</f>
        <v>200025214</v>
      </c>
      <c r="B24447" t="str">
        <f>"1699861708"</f>
        <v>1699861708</v>
      </c>
      <c r="C24447" t="str">
        <f>"1223P0221X"</f>
        <v>1223P0221X</v>
      </c>
      <c r="D24447" t="str">
        <f>"WELLS                    MARTHA                   "</f>
        <v xml:space="preserve">WELLS                    MARTHA                   </v>
      </c>
      <c r="E24447" t="str">
        <f>"MEMPHIS                   "</f>
        <v xml:space="preserve">MEMPHIS                   </v>
      </c>
      <c r="F24447" t="str">
        <f t="shared" si="687"/>
        <v>TN</v>
      </c>
    </row>
    <row r="24448" spans="1:6" x14ac:dyDescent="0.25">
      <c r="A24448" t="str">
        <f>"200025237"</f>
        <v>200025237</v>
      </c>
      <c r="B24448" t="str">
        <f>"1992293286"</f>
        <v>1992293286</v>
      </c>
      <c r="C24448" t="str">
        <f>"208000000X"</f>
        <v>208000000X</v>
      </c>
      <c r="D24448" t="str">
        <f>"AYERS                    CLACI                    "</f>
        <v xml:space="preserve">AYERS                    CLACI                    </v>
      </c>
      <c r="E24448" t="str">
        <f>"NASHVILLE                 "</f>
        <v xml:space="preserve">NASHVILLE                 </v>
      </c>
      <c r="F24448" t="str">
        <f t="shared" si="687"/>
        <v>TN</v>
      </c>
    </row>
    <row r="24449" spans="1:6" x14ac:dyDescent="0.25">
      <c r="A24449" t="str">
        <f>"200025239"</f>
        <v>200025239</v>
      </c>
      <c r="B24449" t="str">
        <f>"1588950307"</f>
        <v>1588950307</v>
      </c>
      <c r="C24449" t="str">
        <f>"2080P0203X"</f>
        <v>2080P0203X</v>
      </c>
      <c r="D24449" t="str">
        <f>"DIPIETRO                 LISA                     "</f>
        <v xml:space="preserve">DIPIETRO                 LISA                     </v>
      </c>
      <c r="E24449" t="str">
        <f>"NASHVILLE                 "</f>
        <v xml:space="preserve">NASHVILLE                 </v>
      </c>
      <c r="F24449" t="str">
        <f t="shared" si="687"/>
        <v>TN</v>
      </c>
    </row>
    <row r="24450" spans="1:6" x14ac:dyDescent="0.25">
      <c r="A24450" t="str">
        <f>"200025242"</f>
        <v>200025242</v>
      </c>
      <c r="B24450" t="str">
        <f>"1952832347"</f>
        <v>1952832347</v>
      </c>
      <c r="C24450" t="str">
        <f>"208000000X"</f>
        <v>208000000X</v>
      </c>
      <c r="D24450" t="str">
        <f>"COLEMAN                  CASSANDRA                "</f>
        <v xml:space="preserve">COLEMAN                  CASSANDRA                </v>
      </c>
      <c r="E24450" t="str">
        <f>"NASHVILLE                 "</f>
        <v xml:space="preserve">NASHVILLE                 </v>
      </c>
      <c r="F24450" t="str">
        <f t="shared" si="687"/>
        <v>TN</v>
      </c>
    </row>
    <row r="24451" spans="1:6" x14ac:dyDescent="0.25">
      <c r="A24451" t="str">
        <f>"200025246"</f>
        <v>200025246</v>
      </c>
      <c r="B24451" t="str">
        <f>"1124791629"</f>
        <v>1124791629</v>
      </c>
      <c r="C24451" t="str">
        <f>"208000000X"</f>
        <v>208000000X</v>
      </c>
      <c r="D24451" t="str">
        <f>"SELNER                   EMMA                     "</f>
        <v xml:space="preserve">SELNER                   EMMA                     </v>
      </c>
      <c r="E24451" t="str">
        <f>"MEMPHIS                   "</f>
        <v xml:space="preserve">MEMPHIS                   </v>
      </c>
      <c r="F24451" t="str">
        <f t="shared" si="687"/>
        <v>TN</v>
      </c>
    </row>
    <row r="24452" spans="1:6" x14ac:dyDescent="0.25">
      <c r="A24452" t="str">
        <f>"200025249"</f>
        <v>200025249</v>
      </c>
      <c r="B24452" t="str">
        <f>"1952516973"</f>
        <v>1952516973</v>
      </c>
      <c r="C24452" t="str">
        <f>"2084P0800X"</f>
        <v>2084P0800X</v>
      </c>
      <c r="D24452" t="str">
        <f>"MALEY                    CHRISTOPHER              "</f>
        <v xml:space="preserve">MALEY                    CHRISTOPHER              </v>
      </c>
      <c r="E24452" t="str">
        <f>"NASHVILLE                 "</f>
        <v xml:space="preserve">NASHVILLE                 </v>
      </c>
      <c r="F24452" t="str">
        <f t="shared" si="687"/>
        <v>TN</v>
      </c>
    </row>
    <row r="24453" spans="1:6" x14ac:dyDescent="0.25">
      <c r="A24453" t="str">
        <f>"200025250"</f>
        <v>200025250</v>
      </c>
      <c r="B24453" t="str">
        <f>"1609309590"</f>
        <v>1609309590</v>
      </c>
      <c r="C24453" t="str">
        <f>"207R00000X"</f>
        <v>207R00000X</v>
      </c>
      <c r="D24453" t="str">
        <f>"HANEFELD-FOX             LILIANNA     E           "</f>
        <v xml:space="preserve">HANEFELD-FOX             LILIANNA     E           </v>
      </c>
      <c r="E24453" t="str">
        <f>"MEMPHIS                   "</f>
        <v xml:space="preserve">MEMPHIS                   </v>
      </c>
      <c r="F24453" t="str">
        <f t="shared" si="687"/>
        <v>TN</v>
      </c>
    </row>
    <row r="24454" spans="1:6" x14ac:dyDescent="0.25">
      <c r="A24454" t="str">
        <f>"200025258"</f>
        <v>200025258</v>
      </c>
      <c r="B24454" t="str">
        <f>"1841970076"</f>
        <v>1841970076</v>
      </c>
      <c r="C24454" t="str">
        <f>"363LA2100X"</f>
        <v>363LA2100X</v>
      </c>
      <c r="D24454" t="str">
        <f>"LYNN                     KATHRYN      R           "</f>
        <v xml:space="preserve">LYNN                     KATHRYN      R           </v>
      </c>
      <c r="E24454" t="str">
        <f>"MEMPHIS                   "</f>
        <v xml:space="preserve">MEMPHIS                   </v>
      </c>
      <c r="F24454" t="str">
        <f t="shared" si="687"/>
        <v>TN</v>
      </c>
    </row>
    <row r="24455" spans="1:6" x14ac:dyDescent="0.25">
      <c r="A24455" t="str">
        <f>"200025299"</f>
        <v>200025299</v>
      </c>
      <c r="B24455" t="str">
        <f>"1518415280"</f>
        <v>1518415280</v>
      </c>
      <c r="C24455" t="str">
        <f>"363L00000X"</f>
        <v>363L00000X</v>
      </c>
      <c r="D24455" t="str">
        <f>"PITMAN                   AUSTIN                   "</f>
        <v xml:space="preserve">PITMAN                   AUSTIN                   </v>
      </c>
      <c r="E24455" t="str">
        <f>"MEMPHIS                   "</f>
        <v xml:space="preserve">MEMPHIS                   </v>
      </c>
      <c r="F24455" t="str">
        <f t="shared" si="687"/>
        <v>TN</v>
      </c>
    </row>
    <row r="24456" spans="1:6" x14ac:dyDescent="0.25">
      <c r="A24456" t="str">
        <f>"200025315"</f>
        <v>200025315</v>
      </c>
      <c r="B24456" t="str">
        <f>"1639392400"</f>
        <v>1639392400</v>
      </c>
      <c r="C24456" t="str">
        <f>"2086S0120X"</f>
        <v>2086S0120X</v>
      </c>
      <c r="D24456" t="str">
        <f>"WILLIAMS                 REGAN                    "</f>
        <v xml:space="preserve">WILLIAMS                 REGAN                    </v>
      </c>
      <c r="E24456" t="str">
        <f>"MEMPHIS                   "</f>
        <v xml:space="preserve">MEMPHIS                   </v>
      </c>
      <c r="F24456" t="str">
        <f t="shared" si="687"/>
        <v>TN</v>
      </c>
    </row>
    <row r="24457" spans="1:6" x14ac:dyDescent="0.25">
      <c r="A24457" t="str">
        <f>"200025344"</f>
        <v>200025344</v>
      </c>
      <c r="B24457" t="str">
        <f>"1962480368"</f>
        <v>1962480368</v>
      </c>
      <c r="C24457" t="str">
        <f>"207P00000X"</f>
        <v>207P00000X</v>
      </c>
      <c r="D24457" t="str">
        <f>"THOTA                    SURESH                   "</f>
        <v xml:space="preserve">THOTA                    SURESH                   </v>
      </c>
      <c r="E24457" t="str">
        <f>"MEMPHIS                   "</f>
        <v xml:space="preserve">MEMPHIS                   </v>
      </c>
      <c r="F24457" t="str">
        <f t="shared" si="687"/>
        <v>TN</v>
      </c>
    </row>
    <row r="24458" spans="1:6" x14ac:dyDescent="0.25">
      <c r="A24458" t="str">
        <f>"200025360"</f>
        <v>200025360</v>
      </c>
      <c r="B24458" t="str">
        <f>"1992284434"</f>
        <v>1992284434</v>
      </c>
      <c r="C24458" t="str">
        <f>"363L00000X"</f>
        <v>363L00000X</v>
      </c>
      <c r="D24458" t="str">
        <f>"NAPIER                   ANN                      "</f>
        <v xml:space="preserve">NAPIER                   ANN                      </v>
      </c>
      <c r="E24458" t="str">
        <f>"MARTIN                    "</f>
        <v xml:space="preserve">MARTIN                    </v>
      </c>
      <c r="F24458" t="str">
        <f t="shared" si="687"/>
        <v>TN</v>
      </c>
    </row>
    <row r="24459" spans="1:6" x14ac:dyDescent="0.25">
      <c r="A24459" t="str">
        <f>"200025364"</f>
        <v>200025364</v>
      </c>
      <c r="B24459" t="str">
        <f>"1619858644"</f>
        <v>1619858644</v>
      </c>
      <c r="C24459" t="str">
        <f>"363LA2100X"</f>
        <v>363LA2100X</v>
      </c>
      <c r="D24459" t="str">
        <f>"ANDRADE                  TONI                     "</f>
        <v xml:space="preserve">ANDRADE                  TONI                     </v>
      </c>
      <c r="E24459" t="str">
        <f>"GERMANTOWN                "</f>
        <v xml:space="preserve">GERMANTOWN                </v>
      </c>
      <c r="F24459" t="str">
        <f t="shared" si="687"/>
        <v>TN</v>
      </c>
    </row>
    <row r="24460" spans="1:6" x14ac:dyDescent="0.25">
      <c r="A24460" t="str">
        <f>"200025418"</f>
        <v>200025418</v>
      </c>
      <c r="B24460" t="str">
        <f>"1952465874"</f>
        <v>1952465874</v>
      </c>
      <c r="C24460" t="str">
        <f>"2080P0204X"</f>
        <v>2080P0204X</v>
      </c>
      <c r="D24460" t="str">
        <f>"WALSH                    MICHELE                  "</f>
        <v xml:space="preserve">WALSH                    MICHELE                  </v>
      </c>
      <c r="E24460" t="str">
        <f>"NASHVILLE                 "</f>
        <v xml:space="preserve">NASHVILLE                 </v>
      </c>
      <c r="F24460" t="str">
        <f t="shared" si="687"/>
        <v>TN</v>
      </c>
    </row>
    <row r="24461" spans="1:6" x14ac:dyDescent="0.25">
      <c r="A24461" t="str">
        <f>"200025435"</f>
        <v>200025435</v>
      </c>
      <c r="B24461" t="str">
        <f>"1518412311"</f>
        <v>1518412311</v>
      </c>
      <c r="C24461" t="str">
        <f>"207P00000X"</f>
        <v>207P00000X</v>
      </c>
      <c r="D24461" t="str">
        <f>"GRULLON                  SAUL                     "</f>
        <v xml:space="preserve">GRULLON                  SAUL                     </v>
      </c>
      <c r="E24461" t="str">
        <f>"ARLINGTON                 "</f>
        <v xml:space="preserve">ARLINGTON                 </v>
      </c>
      <c r="F24461" t="str">
        <f t="shared" si="687"/>
        <v>TN</v>
      </c>
    </row>
    <row r="24462" spans="1:6" x14ac:dyDescent="0.25">
      <c r="A24462" t="str">
        <f>"200025447"</f>
        <v>200025447</v>
      </c>
      <c r="B24462" t="str">
        <f>"1720723224"</f>
        <v>1720723224</v>
      </c>
      <c r="C24462" t="str">
        <f>"207P00000X"</f>
        <v>207P00000X</v>
      </c>
      <c r="D24462" t="str">
        <f>"HOOK                     BENJAMIN                 "</f>
        <v xml:space="preserve">HOOK                     BENJAMIN                 </v>
      </c>
      <c r="E24462" t="str">
        <f>"MEMPHIS                   "</f>
        <v xml:space="preserve">MEMPHIS                   </v>
      </c>
      <c r="F24462" t="str">
        <f t="shared" si="687"/>
        <v>TN</v>
      </c>
    </row>
    <row r="24463" spans="1:6" x14ac:dyDescent="0.25">
      <c r="A24463" t="str">
        <f>"200025465"</f>
        <v>200025465</v>
      </c>
      <c r="B24463" t="str">
        <f>"1447454921"</f>
        <v>1447454921</v>
      </c>
      <c r="C24463" t="str">
        <f>"2080P0202X"</f>
        <v>2080P0202X</v>
      </c>
      <c r="D24463" t="str">
        <f>"ZOELLER                  BRIDGET                  "</f>
        <v xml:space="preserve">ZOELLER                  BRIDGET                  </v>
      </c>
      <c r="E24463" t="str">
        <f>"NASHVILLE                 "</f>
        <v xml:space="preserve">NASHVILLE                 </v>
      </c>
      <c r="F24463" t="str">
        <f t="shared" si="687"/>
        <v>TN</v>
      </c>
    </row>
    <row r="24464" spans="1:6" x14ac:dyDescent="0.25">
      <c r="A24464" t="str">
        <f>"200025468"</f>
        <v>200025468</v>
      </c>
      <c r="B24464" t="str">
        <f>"1417388893"</f>
        <v>1417388893</v>
      </c>
      <c r="C24464" t="str">
        <f>"363LF0000X"</f>
        <v>363LF0000X</v>
      </c>
      <c r="D24464" t="str">
        <f>"ROBERTSON                BRITTANY                 "</f>
        <v xml:space="preserve">ROBERTSON                BRITTANY                 </v>
      </c>
      <c r="E24464" t="str">
        <f>"GERMANTOWN                "</f>
        <v xml:space="preserve">GERMANTOWN                </v>
      </c>
      <c r="F24464" t="str">
        <f t="shared" si="687"/>
        <v>TN</v>
      </c>
    </row>
    <row r="24465" spans="1:6" x14ac:dyDescent="0.25">
      <c r="A24465" t="str">
        <f>"200025475"</f>
        <v>200025475</v>
      </c>
      <c r="B24465" t="str">
        <f>"1699948281"</f>
        <v>1699948281</v>
      </c>
      <c r="C24465" t="str">
        <f>"207RC0000X"</f>
        <v>207RC0000X</v>
      </c>
      <c r="D24465" t="str">
        <f>"ADEBOYE                  ADEDAYO                  "</f>
        <v xml:space="preserve">ADEBOYE                  ADEDAYO                  </v>
      </c>
      <c r="E24465" t="str">
        <f>"GERMANTOWN                "</f>
        <v xml:space="preserve">GERMANTOWN                </v>
      </c>
      <c r="F24465" t="str">
        <f t="shared" si="687"/>
        <v>TN</v>
      </c>
    </row>
    <row r="24466" spans="1:6" x14ac:dyDescent="0.25">
      <c r="A24466" t="str">
        <f>"200025478"</f>
        <v>200025478</v>
      </c>
      <c r="B24466" t="str">
        <f>"1346327723"</f>
        <v>1346327723</v>
      </c>
      <c r="C24466" t="str">
        <f>"207L00000X"</f>
        <v>207L00000X</v>
      </c>
      <c r="D24466" t="str">
        <f>"GRAZULIS                 ARTURAS                  "</f>
        <v xml:space="preserve">GRAZULIS                 ARTURAS                  </v>
      </c>
      <c r="E24466" t="str">
        <f t="shared" ref="E24466:E24472" si="688">"MEMPHIS                   "</f>
        <v xml:space="preserve">MEMPHIS                   </v>
      </c>
      <c r="F24466" t="str">
        <f t="shared" si="687"/>
        <v>TN</v>
      </c>
    </row>
    <row r="24467" spans="1:6" x14ac:dyDescent="0.25">
      <c r="A24467" t="str">
        <f>"200025481"</f>
        <v>200025481</v>
      </c>
      <c r="B24467" t="str">
        <f>"1881697266"</f>
        <v>1881697266</v>
      </c>
      <c r="C24467" t="str">
        <f>"2085R0001X"</f>
        <v>2085R0001X</v>
      </c>
      <c r="D24467" t="str">
        <f>"RINKER                   LILLIAN                  "</f>
        <v xml:space="preserve">RINKER                   LILLIAN                  </v>
      </c>
      <c r="E24467" t="str">
        <f t="shared" si="688"/>
        <v xml:space="preserve">MEMPHIS                   </v>
      </c>
      <c r="F24467" t="str">
        <f t="shared" si="687"/>
        <v>TN</v>
      </c>
    </row>
    <row r="24468" spans="1:6" x14ac:dyDescent="0.25">
      <c r="A24468" t="str">
        <f>"200025484"</f>
        <v>200025484</v>
      </c>
      <c r="B24468" t="str">
        <f>"1700070299"</f>
        <v>1700070299</v>
      </c>
      <c r="C24468" t="str">
        <f>"207P00000X"</f>
        <v>207P00000X</v>
      </c>
      <c r="D24468" t="str">
        <f>"LEMUS                    JESUS                    "</f>
        <v xml:space="preserve">LEMUS                    JESUS                    </v>
      </c>
      <c r="E24468" t="str">
        <f t="shared" si="688"/>
        <v xml:space="preserve">MEMPHIS                   </v>
      </c>
      <c r="F24468" t="str">
        <f t="shared" si="687"/>
        <v>TN</v>
      </c>
    </row>
    <row r="24469" spans="1:6" x14ac:dyDescent="0.25">
      <c r="A24469" t="str">
        <f>"200025485"</f>
        <v>200025485</v>
      </c>
      <c r="B24469" t="str">
        <f>"1881173896"</f>
        <v>1881173896</v>
      </c>
      <c r="C24469" t="str">
        <f>"363LF0000X"</f>
        <v>363LF0000X</v>
      </c>
      <c r="D24469" t="str">
        <f>"EISENMAN                 ELIZABETH                "</f>
        <v xml:space="preserve">EISENMAN                 ELIZABETH                </v>
      </c>
      <c r="E24469" t="str">
        <f t="shared" si="688"/>
        <v xml:space="preserve">MEMPHIS                   </v>
      </c>
      <c r="F24469" t="str">
        <f t="shared" si="687"/>
        <v>TN</v>
      </c>
    </row>
    <row r="24470" spans="1:6" x14ac:dyDescent="0.25">
      <c r="A24470" t="str">
        <f>"200025492"</f>
        <v>200025492</v>
      </c>
      <c r="B24470" t="str">
        <f>"1275156945"</f>
        <v>1275156945</v>
      </c>
      <c r="C24470" t="str">
        <f>"208M00000X"</f>
        <v>208M00000X</v>
      </c>
      <c r="D24470" t="str">
        <f>"JUDGE                    CALEB                    "</f>
        <v xml:space="preserve">JUDGE                    CALEB                    </v>
      </c>
      <c r="E24470" t="str">
        <f t="shared" si="688"/>
        <v xml:space="preserve">MEMPHIS                   </v>
      </c>
      <c r="F24470" t="str">
        <f t="shared" si="687"/>
        <v>TN</v>
      </c>
    </row>
    <row r="24471" spans="1:6" x14ac:dyDescent="0.25">
      <c r="A24471" t="str">
        <f>"200025493"</f>
        <v>200025493</v>
      </c>
      <c r="B24471" t="str">
        <f>"1225666076"</f>
        <v>1225666076</v>
      </c>
      <c r="C24471" t="str">
        <f>"208M00000X"</f>
        <v>208M00000X</v>
      </c>
      <c r="D24471" t="str">
        <f>"JAYACHANDRAN             SOWMYA                   "</f>
        <v xml:space="preserve">JAYACHANDRAN             SOWMYA                   </v>
      </c>
      <c r="E24471" t="str">
        <f t="shared" si="688"/>
        <v xml:space="preserve">MEMPHIS                   </v>
      </c>
      <c r="F24471" t="str">
        <f t="shared" si="687"/>
        <v>TN</v>
      </c>
    </row>
    <row r="24472" spans="1:6" x14ac:dyDescent="0.25">
      <c r="A24472" t="str">
        <f>"200025495"</f>
        <v>200025495</v>
      </c>
      <c r="B24472" t="str">
        <f>"1407352347"</f>
        <v>1407352347</v>
      </c>
      <c r="C24472" t="str">
        <f>"207L00000X"</f>
        <v>207L00000X</v>
      </c>
      <c r="D24472" t="str">
        <f>"FOGELMAN                 SPENCER      T           "</f>
        <v xml:space="preserve">FOGELMAN                 SPENCER      T           </v>
      </c>
      <c r="E24472" t="str">
        <f t="shared" si="688"/>
        <v xml:space="preserve">MEMPHIS                   </v>
      </c>
      <c r="F24472" t="str">
        <f t="shared" si="687"/>
        <v>TN</v>
      </c>
    </row>
    <row r="24473" spans="1:6" x14ac:dyDescent="0.25">
      <c r="A24473" t="str">
        <f>"200025496"</f>
        <v>200025496</v>
      </c>
      <c r="B24473" t="str">
        <f>"1700143468"</f>
        <v>1700143468</v>
      </c>
      <c r="C24473" t="str">
        <f>"2085R0202X"</f>
        <v>2085R0202X</v>
      </c>
      <c r="D24473" t="str">
        <f>"MINSHEW                  LINDSEY      J           "</f>
        <v xml:space="preserve">MINSHEW                  LINDSEY      J           </v>
      </c>
      <c r="E24473" t="str">
        <f>"GERMANTOWN                "</f>
        <v xml:space="preserve">GERMANTOWN                </v>
      </c>
      <c r="F24473" t="str">
        <f t="shared" si="687"/>
        <v>TN</v>
      </c>
    </row>
    <row r="24474" spans="1:6" x14ac:dyDescent="0.25">
      <c r="A24474" t="str">
        <f>"200025506"</f>
        <v>200025506</v>
      </c>
      <c r="B24474" t="str">
        <f>"1700332384"</f>
        <v>1700332384</v>
      </c>
      <c r="C24474" t="str">
        <f>"367500000X"</f>
        <v>367500000X</v>
      </c>
      <c r="D24474" t="str">
        <f>"PATTON                   GLORIA       M           "</f>
        <v xml:space="preserve">PATTON                   GLORIA       M           </v>
      </c>
      <c r="E24474" t="str">
        <f>"MEMPHIS                   "</f>
        <v xml:space="preserve">MEMPHIS                   </v>
      </c>
      <c r="F24474" t="str">
        <f t="shared" si="687"/>
        <v>TN</v>
      </c>
    </row>
    <row r="24475" spans="1:6" x14ac:dyDescent="0.25">
      <c r="A24475" t="str">
        <f>"200025544"</f>
        <v>200025544</v>
      </c>
      <c r="B24475" t="str">
        <f>"1922483882"</f>
        <v>1922483882</v>
      </c>
      <c r="C24475" t="str">
        <f>"207R00000X"</f>
        <v>207R00000X</v>
      </c>
      <c r="D24475" t="str">
        <f>"SWEENEY                  MATTHEW                  "</f>
        <v xml:space="preserve">SWEENEY                  MATTHEW                  </v>
      </c>
      <c r="E24475" t="str">
        <f>"NASHVILLE                 "</f>
        <v xml:space="preserve">NASHVILLE                 </v>
      </c>
      <c r="F24475" t="str">
        <f t="shared" si="687"/>
        <v>TN</v>
      </c>
    </row>
    <row r="24476" spans="1:6" x14ac:dyDescent="0.25">
      <c r="A24476" t="str">
        <f>"200025547"</f>
        <v>200025547</v>
      </c>
      <c r="B24476" t="str">
        <f>"1558810036"</f>
        <v>1558810036</v>
      </c>
      <c r="C24476" t="str">
        <f>"363A00000X"</f>
        <v>363A00000X</v>
      </c>
      <c r="D24476" t="str">
        <f>"ARCENEAUX                HAYLEY                   "</f>
        <v xml:space="preserve">ARCENEAUX                HAYLEY                   </v>
      </c>
      <c r="E24476" t="str">
        <f>"MEMPHIS                   "</f>
        <v xml:space="preserve">MEMPHIS                   </v>
      </c>
      <c r="F24476" t="str">
        <f t="shared" si="687"/>
        <v>TN</v>
      </c>
    </row>
    <row r="24477" spans="1:6" x14ac:dyDescent="0.25">
      <c r="A24477" t="str">
        <f>"200025553"</f>
        <v>200025553</v>
      </c>
      <c r="B24477" t="str">
        <f>"1346804572"</f>
        <v>1346804572</v>
      </c>
      <c r="C24477" t="str">
        <f>"207XX0801X"</f>
        <v>207XX0801X</v>
      </c>
      <c r="D24477" t="str">
        <f>"RICKERT                  MARIEL                   "</f>
        <v xml:space="preserve">RICKERT                  MARIEL                   </v>
      </c>
      <c r="E24477" t="str">
        <f>"NASHVILLE                 "</f>
        <v xml:space="preserve">NASHVILLE                 </v>
      </c>
      <c r="F24477" t="str">
        <f t="shared" si="687"/>
        <v>TN</v>
      </c>
    </row>
    <row r="24478" spans="1:6" x14ac:dyDescent="0.25">
      <c r="A24478" t="str">
        <f>"200025573"</f>
        <v>200025573</v>
      </c>
      <c r="B24478" t="str">
        <f>"1770758450"</f>
        <v>1770758450</v>
      </c>
      <c r="C24478" t="str">
        <f>"367500000X"</f>
        <v>367500000X</v>
      </c>
      <c r="D24478" t="str">
        <f>"PEMBROKE                 KRISTEN      K           "</f>
        <v xml:space="preserve">PEMBROKE                 KRISTEN      K           </v>
      </c>
      <c r="E24478" t="str">
        <f>"MEMPHIS                   "</f>
        <v xml:space="preserve">MEMPHIS                   </v>
      </c>
      <c r="F24478" t="str">
        <f t="shared" si="687"/>
        <v>TN</v>
      </c>
    </row>
    <row r="24479" spans="1:6" x14ac:dyDescent="0.25">
      <c r="A24479" t="str">
        <f>"200025578"</f>
        <v>200025578</v>
      </c>
      <c r="B24479" t="str">
        <f>"1699861740"</f>
        <v>1699861740</v>
      </c>
      <c r="C24479" t="str">
        <f>"2080N0001X"</f>
        <v>2080N0001X</v>
      </c>
      <c r="D24479" t="str">
        <f>"BISWAS                   SAUMITRA                 "</f>
        <v xml:space="preserve">BISWAS                   SAUMITRA                 </v>
      </c>
      <c r="E24479" t="str">
        <f>"MEMPHIS                   "</f>
        <v xml:space="preserve">MEMPHIS                   </v>
      </c>
      <c r="F24479" t="str">
        <f t="shared" si="687"/>
        <v>TN</v>
      </c>
    </row>
    <row r="24480" spans="1:6" x14ac:dyDescent="0.25">
      <c r="A24480" t="str">
        <f>"200025586"</f>
        <v>200025586</v>
      </c>
      <c r="B24480" t="str">
        <f>"1639124266"</f>
        <v>1639124266</v>
      </c>
      <c r="C24480" t="str">
        <f>"207P00000X"</f>
        <v>207P00000X</v>
      </c>
      <c r="D24480" t="str">
        <f>"CABIGAO                  EDUARDO                  "</f>
        <v xml:space="preserve">CABIGAO                  EDUARDO                  </v>
      </c>
      <c r="E24480" t="str">
        <f>"MEMPHIS                   "</f>
        <v xml:space="preserve">MEMPHIS                   </v>
      </c>
      <c r="F24480" t="str">
        <f t="shared" si="687"/>
        <v>TN</v>
      </c>
    </row>
    <row r="24481" spans="1:6" x14ac:dyDescent="0.25">
      <c r="A24481" t="str">
        <f>"200025600"</f>
        <v>200025600</v>
      </c>
      <c r="B24481" t="str">
        <f>"1396007878"</f>
        <v>1396007878</v>
      </c>
      <c r="C24481" t="str">
        <f>"207ZP0102X"</f>
        <v>207ZP0102X</v>
      </c>
      <c r="D24481" t="str">
        <f>"CLINTON                  LANI         K           "</f>
        <v xml:space="preserve">CLINTON                  LANI         K           </v>
      </c>
      <c r="E24481" t="str">
        <f>"CORDOVA                   "</f>
        <v xml:space="preserve">CORDOVA                   </v>
      </c>
      <c r="F24481" t="str">
        <f t="shared" si="687"/>
        <v>TN</v>
      </c>
    </row>
    <row r="24482" spans="1:6" x14ac:dyDescent="0.25">
      <c r="A24482" t="str">
        <f>"200025610"</f>
        <v>200025610</v>
      </c>
      <c r="B24482" t="str">
        <f>"1538020011"</f>
        <v>1538020011</v>
      </c>
      <c r="C24482" t="str">
        <f>"363L00000X"</f>
        <v>363L00000X</v>
      </c>
      <c r="D24482" t="str">
        <f>"ISOVIC                   BARBARA                  "</f>
        <v xml:space="preserve">ISOVIC                   BARBARA                  </v>
      </c>
      <c r="E24482" t="str">
        <f>"GERMANTOWN                "</f>
        <v xml:space="preserve">GERMANTOWN                </v>
      </c>
      <c r="F24482" t="str">
        <f t="shared" si="687"/>
        <v>TN</v>
      </c>
    </row>
    <row r="24483" spans="1:6" x14ac:dyDescent="0.25">
      <c r="A24483" t="str">
        <f>"200025613"</f>
        <v>200025613</v>
      </c>
      <c r="B24483" t="str">
        <f>"1306959366"</f>
        <v>1306959366</v>
      </c>
      <c r="C24483" t="str">
        <f>"207L00000X"</f>
        <v>207L00000X</v>
      </c>
      <c r="D24483" t="str">
        <f>"SUBRAMANIAM              POORNA                   "</f>
        <v xml:space="preserve">SUBRAMANIAM              POORNA                   </v>
      </c>
      <c r="E24483" t="str">
        <f t="shared" ref="E24483:E24488" si="689">"MEMPHIS                   "</f>
        <v xml:space="preserve">MEMPHIS                   </v>
      </c>
      <c r="F24483" t="str">
        <f t="shared" si="687"/>
        <v>TN</v>
      </c>
    </row>
    <row r="24484" spans="1:6" x14ac:dyDescent="0.25">
      <c r="A24484" t="str">
        <f>"200025619"</f>
        <v>200025619</v>
      </c>
      <c r="B24484" t="str">
        <f>"1205364791"</f>
        <v>1205364791</v>
      </c>
      <c r="C24484" t="str">
        <f>"367500000X"</f>
        <v>367500000X</v>
      </c>
      <c r="D24484" t="str">
        <f>"ALLEN                    MOLLIE       Q           "</f>
        <v xml:space="preserve">ALLEN                    MOLLIE       Q           </v>
      </c>
      <c r="E24484" t="str">
        <f t="shared" si="689"/>
        <v xml:space="preserve">MEMPHIS                   </v>
      </c>
      <c r="F24484" t="str">
        <f t="shared" si="687"/>
        <v>TN</v>
      </c>
    </row>
    <row r="24485" spans="1:6" x14ac:dyDescent="0.25">
      <c r="A24485" t="str">
        <f>"200025637"</f>
        <v>200025637</v>
      </c>
      <c r="B24485" t="str">
        <f>"1710347026"</f>
        <v>1710347026</v>
      </c>
      <c r="C24485" t="str">
        <f>"363L00000X"</f>
        <v>363L00000X</v>
      </c>
      <c r="D24485" t="str">
        <f>"MCKNIGHT                 SARAH                    "</f>
        <v xml:space="preserve">MCKNIGHT                 SARAH                    </v>
      </c>
      <c r="E24485" t="str">
        <f t="shared" si="689"/>
        <v xml:space="preserve">MEMPHIS                   </v>
      </c>
      <c r="F24485" t="str">
        <f t="shared" si="687"/>
        <v>TN</v>
      </c>
    </row>
    <row r="24486" spans="1:6" x14ac:dyDescent="0.25">
      <c r="A24486" t="str">
        <f>"200025656"</f>
        <v>200025656</v>
      </c>
      <c r="B24486" t="str">
        <f>"1225138423"</f>
        <v>1225138423</v>
      </c>
      <c r="C24486" t="str">
        <f>"207L00000X"</f>
        <v>207L00000X</v>
      </c>
      <c r="D24486" t="str">
        <f>"MOKHTARI                 SUSAN                    "</f>
        <v xml:space="preserve">MOKHTARI                 SUSAN                    </v>
      </c>
      <c r="E24486" t="str">
        <f t="shared" si="689"/>
        <v xml:space="preserve">MEMPHIS                   </v>
      </c>
      <c r="F24486" t="str">
        <f t="shared" si="687"/>
        <v>TN</v>
      </c>
    </row>
    <row r="24487" spans="1:6" x14ac:dyDescent="0.25">
      <c r="A24487" t="str">
        <f>"200025664"</f>
        <v>200025664</v>
      </c>
      <c r="B24487" t="str">
        <f>"1205560901"</f>
        <v>1205560901</v>
      </c>
      <c r="C24487" t="str">
        <f>"363LF0000X"</f>
        <v>363LF0000X</v>
      </c>
      <c r="D24487" t="str">
        <f>"O'KELLY                  KIMBERLY                 "</f>
        <v xml:space="preserve">O'KELLY                  KIMBERLY                 </v>
      </c>
      <c r="E24487" t="str">
        <f t="shared" si="689"/>
        <v xml:space="preserve">MEMPHIS                   </v>
      </c>
      <c r="F24487" t="str">
        <f t="shared" si="687"/>
        <v>TN</v>
      </c>
    </row>
    <row r="24488" spans="1:6" x14ac:dyDescent="0.25">
      <c r="A24488" t="str">
        <f>"200025666"</f>
        <v>200025666</v>
      </c>
      <c r="B24488" t="str">
        <f>"1609369149"</f>
        <v>1609369149</v>
      </c>
      <c r="C24488" t="str">
        <f>"2086X0206X"</f>
        <v>2086X0206X</v>
      </c>
      <c r="D24488" t="str">
        <f>"MEHROTRA                 SALONI                   "</f>
        <v xml:space="preserve">MEHROTRA                 SALONI                   </v>
      </c>
      <c r="E24488" t="str">
        <f t="shared" si="689"/>
        <v xml:space="preserve">MEMPHIS                   </v>
      </c>
      <c r="F24488" t="str">
        <f t="shared" si="687"/>
        <v>TN</v>
      </c>
    </row>
    <row r="24489" spans="1:6" x14ac:dyDescent="0.25">
      <c r="A24489" t="str">
        <f>"200025673"</f>
        <v>200025673</v>
      </c>
      <c r="B24489" t="str">
        <f>"1063919603"</f>
        <v>1063919603</v>
      </c>
      <c r="C24489" t="str">
        <f>"2080P0203X"</f>
        <v>2080P0203X</v>
      </c>
      <c r="D24489" t="str">
        <f>"WEATHERLY                ALLISON                  "</f>
        <v xml:space="preserve">WEATHERLY                ALLISON                  </v>
      </c>
      <c r="E24489" t="str">
        <f>"NASHVILLE                 "</f>
        <v xml:space="preserve">NASHVILLE                 </v>
      </c>
      <c r="F24489" t="str">
        <f t="shared" si="687"/>
        <v>TN</v>
      </c>
    </row>
    <row r="24490" spans="1:6" x14ac:dyDescent="0.25">
      <c r="A24490" t="str">
        <f>"200025674"</f>
        <v>200025674</v>
      </c>
      <c r="B24490" t="str">
        <f>"1164457867"</f>
        <v>1164457867</v>
      </c>
      <c r="C24490" t="str">
        <f>"208800000X"</f>
        <v>208800000X</v>
      </c>
      <c r="D24490" t="str">
        <f>"PENSON                   DAVID                    "</f>
        <v xml:space="preserve">PENSON                   DAVID                    </v>
      </c>
      <c r="E24490" t="str">
        <f>"NASHVILLE                 "</f>
        <v xml:space="preserve">NASHVILLE                 </v>
      </c>
      <c r="F24490" t="str">
        <f t="shared" si="687"/>
        <v>TN</v>
      </c>
    </row>
    <row r="24491" spans="1:6" x14ac:dyDescent="0.25">
      <c r="A24491" t="str">
        <f>"200025677"</f>
        <v>200025677</v>
      </c>
      <c r="B24491" t="str">
        <f>"1922771195"</f>
        <v>1922771195</v>
      </c>
      <c r="C24491" t="str">
        <f>"363LP0200X"</f>
        <v>363LP0200X</v>
      </c>
      <c r="D24491" t="str">
        <f>"GWALTNEY                 CLARK                    "</f>
        <v xml:space="preserve">GWALTNEY                 CLARK                    </v>
      </c>
      <c r="E24491" t="str">
        <f>"MEMPHIS                   "</f>
        <v xml:space="preserve">MEMPHIS                   </v>
      </c>
      <c r="F24491" t="str">
        <f t="shared" si="687"/>
        <v>TN</v>
      </c>
    </row>
    <row r="24492" spans="1:6" x14ac:dyDescent="0.25">
      <c r="A24492" t="str">
        <f>"200025692"</f>
        <v>200025692</v>
      </c>
      <c r="B24492" t="str">
        <f>"1437605201"</f>
        <v>1437605201</v>
      </c>
      <c r="C24492" t="str">
        <f>"363L00000X"</f>
        <v>363L00000X</v>
      </c>
      <c r="D24492" t="str">
        <f>"MAJORS                   ROBERT                   "</f>
        <v xml:space="preserve">MAJORS                   ROBERT                   </v>
      </c>
      <c r="E24492" t="str">
        <f>"MEMPHIS                   "</f>
        <v xml:space="preserve">MEMPHIS                   </v>
      </c>
      <c r="F24492" t="str">
        <f t="shared" si="687"/>
        <v>TN</v>
      </c>
    </row>
    <row r="24493" spans="1:6" x14ac:dyDescent="0.25">
      <c r="A24493" t="str">
        <f>"200025699"</f>
        <v>200025699</v>
      </c>
      <c r="B24493" t="str">
        <f>"1477199354"</f>
        <v>1477199354</v>
      </c>
      <c r="C24493" t="str">
        <f>"363LA2100X"</f>
        <v>363LA2100X</v>
      </c>
      <c r="D24493" t="str">
        <f>"RAGIN                    ANDREW                   "</f>
        <v xml:space="preserve">RAGIN                    ANDREW                   </v>
      </c>
      <c r="E24493" t="str">
        <f>"MEMPHIS                   "</f>
        <v xml:space="preserve">MEMPHIS                   </v>
      </c>
      <c r="F24493" t="str">
        <f t="shared" si="687"/>
        <v>TN</v>
      </c>
    </row>
    <row r="24494" spans="1:6" x14ac:dyDescent="0.25">
      <c r="A24494" t="str">
        <f>"200025705"</f>
        <v>200025705</v>
      </c>
      <c r="B24494" t="str">
        <f>"1245387737"</f>
        <v>1245387737</v>
      </c>
      <c r="C24494" t="str">
        <f>"207R00000X"</f>
        <v>207R00000X</v>
      </c>
      <c r="D24494" t="str">
        <f>"VIERON                   LEONIDAS                 "</f>
        <v xml:space="preserve">VIERON                   LEONIDAS                 </v>
      </c>
      <c r="E24494" t="str">
        <f>"MEMPHIS                   "</f>
        <v xml:space="preserve">MEMPHIS                   </v>
      </c>
      <c r="F24494" t="str">
        <f t="shared" si="687"/>
        <v>TN</v>
      </c>
    </row>
    <row r="24495" spans="1:6" x14ac:dyDescent="0.25">
      <c r="A24495" t="str">
        <f>"200025746"</f>
        <v>200025746</v>
      </c>
      <c r="B24495" t="str">
        <f>"1598327611"</f>
        <v>1598327611</v>
      </c>
      <c r="C24495" t="str">
        <f>"207RI0200X"</f>
        <v>207RI0200X</v>
      </c>
      <c r="D24495" t="str">
        <f>"HADDAD                   SARA                     "</f>
        <v xml:space="preserve">HADDAD                   SARA                     </v>
      </c>
      <c r="E24495" t="str">
        <f>"NASHVILLE                 "</f>
        <v xml:space="preserve">NASHVILLE                 </v>
      </c>
      <c r="F24495" t="str">
        <f t="shared" si="687"/>
        <v>TN</v>
      </c>
    </row>
    <row r="24496" spans="1:6" x14ac:dyDescent="0.25">
      <c r="A24496" t="str">
        <f>"200025750"</f>
        <v>200025750</v>
      </c>
      <c r="B24496" t="str">
        <f>"1598860272"</f>
        <v>1598860272</v>
      </c>
      <c r="C24496" t="str">
        <f>"208600000X"</f>
        <v>208600000X</v>
      </c>
      <c r="D24496" t="str">
        <f>"WOODMAN                  GEORGE                   "</f>
        <v xml:space="preserve">WOODMAN                  GEORGE                   </v>
      </c>
      <c r="E24496" t="str">
        <f>"MEMPHIS                   "</f>
        <v xml:space="preserve">MEMPHIS                   </v>
      </c>
      <c r="F24496" t="str">
        <f t="shared" si="687"/>
        <v>TN</v>
      </c>
    </row>
    <row r="24497" spans="1:6" x14ac:dyDescent="0.25">
      <c r="A24497" t="str">
        <f>"200025753"</f>
        <v>200025753</v>
      </c>
      <c r="B24497" t="str">
        <f>"1841728565"</f>
        <v>1841728565</v>
      </c>
      <c r="C24497" t="str">
        <f>"363L00000X"</f>
        <v>363L00000X</v>
      </c>
      <c r="D24497" t="str">
        <f>"STIRLING                 RACHAEL                  "</f>
        <v xml:space="preserve">STIRLING                 RACHAEL                  </v>
      </c>
      <c r="E24497" t="str">
        <f>"MEMPHIS                   "</f>
        <v xml:space="preserve">MEMPHIS                   </v>
      </c>
      <c r="F24497" t="str">
        <f t="shared" si="687"/>
        <v>TN</v>
      </c>
    </row>
    <row r="24498" spans="1:6" x14ac:dyDescent="0.25">
      <c r="A24498" t="str">
        <f>"200025759"</f>
        <v>200025759</v>
      </c>
      <c r="B24498" t="str">
        <f>"1760295075"</f>
        <v>1760295075</v>
      </c>
      <c r="C24498" t="str">
        <f>"363A00000X"</f>
        <v>363A00000X</v>
      </c>
      <c r="D24498" t="str">
        <f>"BRANDEBURG               AMY                      "</f>
        <v xml:space="preserve">BRANDEBURG               AMY                      </v>
      </c>
      <c r="E24498" t="str">
        <f>"ARLINGTON                 "</f>
        <v xml:space="preserve">ARLINGTON                 </v>
      </c>
      <c r="F24498" t="str">
        <f t="shared" si="687"/>
        <v>TN</v>
      </c>
    </row>
    <row r="24499" spans="1:6" x14ac:dyDescent="0.25">
      <c r="A24499" t="str">
        <f>"200025783"</f>
        <v>200025783</v>
      </c>
      <c r="B24499" t="str">
        <f>"1700892387"</f>
        <v>1700892387</v>
      </c>
      <c r="C24499" t="str">
        <f>"2086X0206X"</f>
        <v>2086X0206X</v>
      </c>
      <c r="D24499" t="str">
        <f>"SHIBATA                  DAVID                    "</f>
        <v xml:space="preserve">SHIBATA                  DAVID                    </v>
      </c>
      <c r="E24499" t="str">
        <f>"MEMPHIS                   "</f>
        <v xml:space="preserve">MEMPHIS                   </v>
      </c>
      <c r="F24499" t="str">
        <f t="shared" si="687"/>
        <v>TN</v>
      </c>
    </row>
    <row r="24500" spans="1:6" x14ac:dyDescent="0.25">
      <c r="A24500" t="str">
        <f>"200025808"</f>
        <v>200025808</v>
      </c>
      <c r="B24500" t="str">
        <f>"1124656913"</f>
        <v>1124656913</v>
      </c>
      <c r="C24500" t="str">
        <f>"207P00000X"</f>
        <v>207P00000X</v>
      </c>
      <c r="D24500" t="str">
        <f>"RANE                     RISHI                    "</f>
        <v xml:space="preserve">RANE                     RISHI                    </v>
      </c>
      <c r="E24500" t="str">
        <f>"SAVANNAH                  "</f>
        <v xml:space="preserve">SAVANNAH                  </v>
      </c>
      <c r="F24500" t="str">
        <f t="shared" si="687"/>
        <v>TN</v>
      </c>
    </row>
    <row r="24501" spans="1:6" x14ac:dyDescent="0.25">
      <c r="A24501" t="str">
        <f>"200025811"</f>
        <v>200025811</v>
      </c>
      <c r="B24501" t="str">
        <f>"1144395120"</f>
        <v>1144395120</v>
      </c>
      <c r="C24501" t="str">
        <f>"363LF0000X"</f>
        <v>363LF0000X</v>
      </c>
      <c r="D24501" t="str">
        <f>"WARD                     SUZANNE                  "</f>
        <v xml:space="preserve">WARD                     SUZANNE                  </v>
      </c>
      <c r="E24501" t="str">
        <f>"MEMPHIS                   "</f>
        <v xml:space="preserve">MEMPHIS                   </v>
      </c>
      <c r="F24501" t="str">
        <f t="shared" si="687"/>
        <v>TN</v>
      </c>
    </row>
    <row r="24502" spans="1:6" x14ac:dyDescent="0.25">
      <c r="A24502" t="str">
        <f>"200025821"</f>
        <v>200025821</v>
      </c>
      <c r="B24502" t="str">
        <f>"1790725893"</f>
        <v>1790725893</v>
      </c>
      <c r="C24502" t="str">
        <f>"207P00000X"</f>
        <v>207P00000X</v>
      </c>
      <c r="D24502" t="str">
        <f>"WATSON                   JOHN                     "</f>
        <v xml:space="preserve">WATSON                   JOHN                     </v>
      </c>
      <c r="E24502" t="str">
        <f>"SAVANNAH                  "</f>
        <v xml:space="preserve">SAVANNAH                  </v>
      </c>
      <c r="F24502" t="str">
        <f t="shared" si="687"/>
        <v>TN</v>
      </c>
    </row>
    <row r="24503" spans="1:6" x14ac:dyDescent="0.25">
      <c r="A24503" t="str">
        <f>"200025857"</f>
        <v>200025857</v>
      </c>
      <c r="B24503" t="str">
        <f>"1093535239"</f>
        <v>1093535239</v>
      </c>
      <c r="C24503" t="str">
        <f>"207LP3000X"</f>
        <v>207LP3000X</v>
      </c>
      <c r="D24503" t="str">
        <f>"MENON                    SASHA                    "</f>
        <v xml:space="preserve">MENON                    SASHA                    </v>
      </c>
      <c r="E24503" t="str">
        <f>"MEMPHIS                   "</f>
        <v xml:space="preserve">MEMPHIS                   </v>
      </c>
      <c r="F24503" t="str">
        <f t="shared" si="687"/>
        <v>TN</v>
      </c>
    </row>
    <row r="24504" spans="1:6" x14ac:dyDescent="0.25">
      <c r="A24504" t="str">
        <f>"200025863"</f>
        <v>200025863</v>
      </c>
      <c r="B24504" t="str">
        <f>"1689346579"</f>
        <v>1689346579</v>
      </c>
      <c r="C24504" t="str">
        <f>"207P00000X"</f>
        <v>207P00000X</v>
      </c>
      <c r="D24504" t="str">
        <f>"FROST                    PATRICK                  "</f>
        <v xml:space="preserve">FROST                    PATRICK                  </v>
      </c>
      <c r="E24504" t="str">
        <f>"SAVANNAH                  "</f>
        <v xml:space="preserve">SAVANNAH                  </v>
      </c>
      <c r="F24504" t="str">
        <f t="shared" si="687"/>
        <v>TN</v>
      </c>
    </row>
    <row r="24505" spans="1:6" x14ac:dyDescent="0.25">
      <c r="A24505" t="str">
        <f>"200025864"</f>
        <v>200025864</v>
      </c>
      <c r="B24505" t="str">
        <f>"1659179778"</f>
        <v>1659179778</v>
      </c>
      <c r="C24505" t="str">
        <f>"363A00000X"</f>
        <v>363A00000X</v>
      </c>
      <c r="D24505" t="str">
        <f>"NEWCOMB                  KATHERINE                "</f>
        <v xml:space="preserve">NEWCOMB                  KATHERINE                </v>
      </c>
      <c r="E24505" t="str">
        <f>"MEMPHIS                   "</f>
        <v xml:space="preserve">MEMPHIS                   </v>
      </c>
      <c r="F24505" t="str">
        <f t="shared" si="687"/>
        <v>TN</v>
      </c>
    </row>
    <row r="24506" spans="1:6" x14ac:dyDescent="0.25">
      <c r="A24506" t="str">
        <f>"200025865"</f>
        <v>200025865</v>
      </c>
      <c r="B24506" t="str">
        <f>"1386043891"</f>
        <v>1386043891</v>
      </c>
      <c r="C24506" t="str">
        <f>"363A00000X"</f>
        <v>363A00000X</v>
      </c>
      <c r="D24506" t="str">
        <f>"SANDERS                  ADRIENNE                 "</f>
        <v xml:space="preserve">SANDERS                  ADRIENNE                 </v>
      </c>
      <c r="E24506" t="str">
        <f>"MEMPHIS                   "</f>
        <v xml:space="preserve">MEMPHIS                   </v>
      </c>
      <c r="F24506" t="str">
        <f t="shared" si="687"/>
        <v>TN</v>
      </c>
    </row>
    <row r="24507" spans="1:6" x14ac:dyDescent="0.25">
      <c r="A24507" t="str">
        <f>"200025882"</f>
        <v>200025882</v>
      </c>
      <c r="B24507" t="str">
        <f>"1174570014"</f>
        <v>1174570014</v>
      </c>
      <c r="C24507" t="str">
        <f>"207P00000X"</f>
        <v>207P00000X</v>
      </c>
      <c r="D24507" t="str">
        <f>"MUIZNIEKS                MARK                     "</f>
        <v xml:space="preserve">MUIZNIEKS                MARK                     </v>
      </c>
      <c r="E24507" t="str">
        <f>"SAVANNAH                  "</f>
        <v xml:space="preserve">SAVANNAH                  </v>
      </c>
      <c r="F24507" t="str">
        <f t="shared" si="687"/>
        <v>TN</v>
      </c>
    </row>
    <row r="24508" spans="1:6" x14ac:dyDescent="0.25">
      <c r="A24508" t="str">
        <f>"200025913"</f>
        <v>200025913</v>
      </c>
      <c r="B24508" t="str">
        <f>"1720240690"</f>
        <v>1720240690</v>
      </c>
      <c r="C24508" t="str">
        <f>"208600000X"</f>
        <v>208600000X</v>
      </c>
      <c r="D24508" t="str">
        <f>"UFFORT                   EKONG                    "</f>
        <v xml:space="preserve">UFFORT                   EKONG                    </v>
      </c>
      <c r="E24508" t="str">
        <f>"GERMANTOWN                "</f>
        <v xml:space="preserve">GERMANTOWN                </v>
      </c>
      <c r="F24508" t="str">
        <f t="shared" si="687"/>
        <v>TN</v>
      </c>
    </row>
    <row r="24509" spans="1:6" x14ac:dyDescent="0.25">
      <c r="A24509" t="str">
        <f>"200025914"</f>
        <v>200025914</v>
      </c>
      <c r="B24509" t="str">
        <f>"1528120466"</f>
        <v>1528120466</v>
      </c>
      <c r="C24509" t="str">
        <f>"363LF0000X"</f>
        <v>363LF0000X</v>
      </c>
      <c r="D24509" t="str">
        <f>"SCREWS                   STACY                    "</f>
        <v xml:space="preserve">SCREWS                   STACY                    </v>
      </c>
      <c r="E24509" t="str">
        <f>"MEMPHIS                   "</f>
        <v xml:space="preserve">MEMPHIS                   </v>
      </c>
      <c r="F24509" t="str">
        <f t="shared" si="687"/>
        <v>TN</v>
      </c>
    </row>
    <row r="24510" spans="1:6" x14ac:dyDescent="0.25">
      <c r="A24510" t="str">
        <f>"200025917"</f>
        <v>200025917</v>
      </c>
      <c r="B24510" t="str">
        <f>"1194954586"</f>
        <v>1194954586</v>
      </c>
      <c r="C24510" t="str">
        <f>"207T00000X"</f>
        <v>207T00000X</v>
      </c>
      <c r="D24510" t="str">
        <f>"ENGLOT                   DARIO                    "</f>
        <v xml:space="preserve">ENGLOT                   DARIO                    </v>
      </c>
      <c r="E24510" t="str">
        <f>"NASHVILLE                 "</f>
        <v xml:space="preserve">NASHVILLE                 </v>
      </c>
      <c r="F24510" t="str">
        <f t="shared" ref="F24510:F24573" si="690">"TN"</f>
        <v>TN</v>
      </c>
    </row>
    <row r="24511" spans="1:6" x14ac:dyDescent="0.25">
      <c r="A24511" t="str">
        <f>"200025931"</f>
        <v>200025931</v>
      </c>
      <c r="B24511" t="str">
        <f>"1720053598"</f>
        <v>1720053598</v>
      </c>
      <c r="C24511" t="str">
        <f>"207P00000X"</f>
        <v>207P00000X</v>
      </c>
      <c r="D24511" t="str">
        <f>"HUGHES                   CHARLES                  "</f>
        <v xml:space="preserve">HUGHES                   CHARLES                  </v>
      </c>
      <c r="E24511" t="str">
        <f>"SAVANNAH                  "</f>
        <v xml:space="preserve">SAVANNAH                  </v>
      </c>
      <c r="F24511" t="str">
        <f t="shared" si="690"/>
        <v>TN</v>
      </c>
    </row>
    <row r="24512" spans="1:6" x14ac:dyDescent="0.25">
      <c r="A24512" t="str">
        <f>"200025936"</f>
        <v>200025936</v>
      </c>
      <c r="B24512" t="str">
        <f>"1427480565"</f>
        <v>1427480565</v>
      </c>
      <c r="C24512" t="str">
        <f>"363LF0000X"</f>
        <v>363LF0000X</v>
      </c>
      <c r="D24512" t="str">
        <f>"STEWART                  JASON                    "</f>
        <v xml:space="preserve">STEWART                  JASON                    </v>
      </c>
      <c r="E24512" t="str">
        <f>"GERMANTOWN                "</f>
        <v xml:space="preserve">GERMANTOWN                </v>
      </c>
      <c r="F24512" t="str">
        <f t="shared" si="690"/>
        <v>TN</v>
      </c>
    </row>
    <row r="24513" spans="1:6" x14ac:dyDescent="0.25">
      <c r="A24513" t="str">
        <f>"200025942"</f>
        <v>200025942</v>
      </c>
      <c r="B24513" t="str">
        <f>"1053735282"</f>
        <v>1053735282</v>
      </c>
      <c r="C24513" t="str">
        <f>"363LF0000X"</f>
        <v>363LF0000X</v>
      </c>
      <c r="D24513" t="str">
        <f>"SULLIVAN                 MARY                     "</f>
        <v xml:space="preserve">SULLIVAN                 MARY                     </v>
      </c>
      <c r="E24513" t="str">
        <f>"MEMPHIS                   "</f>
        <v xml:space="preserve">MEMPHIS                   </v>
      </c>
      <c r="F24513" t="str">
        <f t="shared" si="690"/>
        <v>TN</v>
      </c>
    </row>
    <row r="24514" spans="1:6" x14ac:dyDescent="0.25">
      <c r="A24514" t="str">
        <f>"200025967"</f>
        <v>200025967</v>
      </c>
      <c r="B24514" t="str">
        <f>"1770781148"</f>
        <v>1770781148</v>
      </c>
      <c r="C24514" t="str">
        <f>"207P00000X"</f>
        <v>207P00000X</v>
      </c>
      <c r="D24514" t="str">
        <f>"RIESINGER                JASON                    "</f>
        <v xml:space="preserve">RIESINGER                JASON                    </v>
      </c>
      <c r="E24514" t="str">
        <f>"SAVANNAH                  "</f>
        <v xml:space="preserve">SAVANNAH                  </v>
      </c>
      <c r="F24514" t="str">
        <f t="shared" si="690"/>
        <v>TN</v>
      </c>
    </row>
    <row r="24515" spans="1:6" x14ac:dyDescent="0.25">
      <c r="A24515" t="str">
        <f>"200025979"</f>
        <v>200025979</v>
      </c>
      <c r="B24515" t="str">
        <f>"1043697311"</f>
        <v>1043697311</v>
      </c>
      <c r="C24515" t="str">
        <f>"207P00000X"</f>
        <v>207P00000X</v>
      </c>
      <c r="D24515" t="str">
        <f>"MODAN                    NADEEM                   "</f>
        <v xml:space="preserve">MODAN                    NADEEM                   </v>
      </c>
      <c r="E24515" t="str">
        <f>"MEMPHIS                   "</f>
        <v xml:space="preserve">MEMPHIS                   </v>
      </c>
      <c r="F24515" t="str">
        <f t="shared" si="690"/>
        <v>TN</v>
      </c>
    </row>
    <row r="24516" spans="1:6" x14ac:dyDescent="0.25">
      <c r="A24516" t="str">
        <f>"200025992"</f>
        <v>200025992</v>
      </c>
      <c r="B24516" t="str">
        <f>"1013154632"</f>
        <v>1013154632</v>
      </c>
      <c r="C24516" t="str">
        <f>"208600000X"</f>
        <v>208600000X</v>
      </c>
      <c r="D24516" t="str">
        <f>"HARE                     BRADLEY                  "</f>
        <v xml:space="preserve">HARE                     BRADLEY                  </v>
      </c>
      <c r="E24516" t="str">
        <f>"MEMPHIS                   "</f>
        <v xml:space="preserve">MEMPHIS                   </v>
      </c>
      <c r="F24516" t="str">
        <f t="shared" si="690"/>
        <v>TN</v>
      </c>
    </row>
    <row r="24517" spans="1:6" x14ac:dyDescent="0.25">
      <c r="A24517" t="str">
        <f>"200026036"</f>
        <v>200026036</v>
      </c>
      <c r="B24517" t="str">
        <f>"1548217524"</f>
        <v>1548217524</v>
      </c>
      <c r="C24517" t="str">
        <f>"207P00000X"</f>
        <v>207P00000X</v>
      </c>
      <c r="D24517" t="str">
        <f>"ANDERSHOCK               CHRISTOPHER              "</f>
        <v xml:space="preserve">ANDERSHOCK               CHRISTOPHER              </v>
      </c>
      <c r="E24517" t="str">
        <f>"SAVANNAH                  "</f>
        <v xml:space="preserve">SAVANNAH                  </v>
      </c>
      <c r="F24517" t="str">
        <f t="shared" si="690"/>
        <v>TN</v>
      </c>
    </row>
    <row r="24518" spans="1:6" x14ac:dyDescent="0.25">
      <c r="A24518" t="str">
        <f>"200026076"</f>
        <v>200026076</v>
      </c>
      <c r="B24518" t="str">
        <f>"1316289564"</f>
        <v>1316289564</v>
      </c>
      <c r="C24518" t="str">
        <f>"207RG0100X"</f>
        <v>207RG0100X</v>
      </c>
      <c r="D24518" t="str">
        <f>"AL-GHANOUDI              ASHIRF                   "</f>
        <v xml:space="preserve">AL-GHANOUDI              ASHIRF                   </v>
      </c>
      <c r="E24518" t="str">
        <f>"GERMANTOWN                "</f>
        <v xml:space="preserve">GERMANTOWN                </v>
      </c>
      <c r="F24518" t="str">
        <f t="shared" si="690"/>
        <v>TN</v>
      </c>
    </row>
    <row r="24519" spans="1:6" x14ac:dyDescent="0.25">
      <c r="A24519" t="str">
        <f>"200026088"</f>
        <v>200026088</v>
      </c>
      <c r="B24519" t="str">
        <f>"1669450367"</f>
        <v>1669450367</v>
      </c>
      <c r="C24519" t="str">
        <f>"207L00000X"</f>
        <v>207L00000X</v>
      </c>
      <c r="D24519" t="str">
        <f>"BERNIER                  CHRISTINE    M           "</f>
        <v xml:space="preserve">BERNIER                  CHRISTINE    M           </v>
      </c>
      <c r="E24519" t="str">
        <f t="shared" ref="E24519:E24526" si="691">"MEMPHIS                   "</f>
        <v xml:space="preserve">MEMPHIS                   </v>
      </c>
      <c r="F24519" t="str">
        <f t="shared" si="690"/>
        <v>TN</v>
      </c>
    </row>
    <row r="24520" spans="1:6" x14ac:dyDescent="0.25">
      <c r="A24520" t="str">
        <f>"200026094"</f>
        <v>200026094</v>
      </c>
      <c r="B24520" t="str">
        <f>"1124607957"</f>
        <v>1124607957</v>
      </c>
      <c r="C24520" t="str">
        <f>"367500000X"</f>
        <v>367500000X</v>
      </c>
      <c r="D24520" t="str">
        <f>"CASTRO CARA              ANDREA       M           "</f>
        <v xml:space="preserve">CASTRO CARA              ANDREA       M           </v>
      </c>
      <c r="E24520" t="str">
        <f t="shared" si="691"/>
        <v xml:space="preserve">MEMPHIS                   </v>
      </c>
      <c r="F24520" t="str">
        <f t="shared" si="690"/>
        <v>TN</v>
      </c>
    </row>
    <row r="24521" spans="1:6" x14ac:dyDescent="0.25">
      <c r="A24521" t="str">
        <f>"200026096"</f>
        <v>200026096</v>
      </c>
      <c r="B24521" t="str">
        <f>"1346879665"</f>
        <v>1346879665</v>
      </c>
      <c r="C24521" t="str">
        <f>"208600000X"</f>
        <v>208600000X</v>
      </c>
      <c r="D24521" t="str">
        <f>"ZHOU                     HE                       "</f>
        <v xml:space="preserve">ZHOU                     HE                       </v>
      </c>
      <c r="E24521" t="str">
        <f t="shared" si="691"/>
        <v xml:space="preserve">MEMPHIS                   </v>
      </c>
      <c r="F24521" t="str">
        <f t="shared" si="690"/>
        <v>TN</v>
      </c>
    </row>
    <row r="24522" spans="1:6" x14ac:dyDescent="0.25">
      <c r="A24522" t="str">
        <f>"200026111"</f>
        <v>200026111</v>
      </c>
      <c r="B24522" t="str">
        <f>"1396231833"</f>
        <v>1396231833</v>
      </c>
      <c r="C24522" t="str">
        <f>"367500000X"</f>
        <v>367500000X</v>
      </c>
      <c r="D24522" t="str">
        <f>"REED                     FRED         L           "</f>
        <v xml:space="preserve">REED                     FRED         L           </v>
      </c>
      <c r="E24522" t="str">
        <f t="shared" si="691"/>
        <v xml:space="preserve">MEMPHIS                   </v>
      </c>
      <c r="F24522" t="str">
        <f t="shared" si="690"/>
        <v>TN</v>
      </c>
    </row>
    <row r="24523" spans="1:6" x14ac:dyDescent="0.25">
      <c r="A24523" t="str">
        <f>"200026150"</f>
        <v>200026150</v>
      </c>
      <c r="B24523" t="str">
        <f>"1073553608"</f>
        <v>1073553608</v>
      </c>
      <c r="C24523" t="str">
        <f>"208M00000X"</f>
        <v>208M00000X</v>
      </c>
      <c r="D24523" t="str">
        <f>"JOHNSON                  RON                      "</f>
        <v xml:space="preserve">JOHNSON                  RON                      </v>
      </c>
      <c r="E24523" t="str">
        <f t="shared" si="691"/>
        <v xml:space="preserve">MEMPHIS                   </v>
      </c>
      <c r="F24523" t="str">
        <f t="shared" si="690"/>
        <v>TN</v>
      </c>
    </row>
    <row r="24524" spans="1:6" x14ac:dyDescent="0.25">
      <c r="A24524" t="str">
        <f>"200026157"</f>
        <v>200026157</v>
      </c>
      <c r="B24524" t="str">
        <f>"1871885194"</f>
        <v>1871885194</v>
      </c>
      <c r="C24524" t="str">
        <f>"207R00000X"</f>
        <v>207R00000X</v>
      </c>
      <c r="D24524" t="str">
        <f>"NGUYEN                   QUY                      "</f>
        <v xml:space="preserve">NGUYEN                   QUY                      </v>
      </c>
      <c r="E24524" t="str">
        <f t="shared" si="691"/>
        <v xml:space="preserve">MEMPHIS                   </v>
      </c>
      <c r="F24524" t="str">
        <f t="shared" si="690"/>
        <v>TN</v>
      </c>
    </row>
    <row r="24525" spans="1:6" x14ac:dyDescent="0.25">
      <c r="A24525" t="str">
        <f>"200026177"</f>
        <v>200026177</v>
      </c>
      <c r="B24525" t="str">
        <f>"1467864942"</f>
        <v>1467864942</v>
      </c>
      <c r="C24525" t="str">
        <f>"207P00000X"</f>
        <v>207P00000X</v>
      </c>
      <c r="D24525" t="str">
        <f>"YANG                     ANNA                     "</f>
        <v xml:space="preserve">YANG                     ANNA                     </v>
      </c>
      <c r="E24525" t="str">
        <f t="shared" si="691"/>
        <v xml:space="preserve">MEMPHIS                   </v>
      </c>
      <c r="F24525" t="str">
        <f t="shared" si="690"/>
        <v>TN</v>
      </c>
    </row>
    <row r="24526" spans="1:6" x14ac:dyDescent="0.25">
      <c r="A24526" t="str">
        <f>"200026185"</f>
        <v>200026185</v>
      </c>
      <c r="B24526" t="str">
        <f>"1669890935"</f>
        <v>1669890935</v>
      </c>
      <c r="C24526" t="str">
        <f>"207ZP0102X"</f>
        <v>207ZP0102X</v>
      </c>
      <c r="D24526" t="str">
        <f>"MURRAY                   GLENN                    "</f>
        <v xml:space="preserve">MURRAY                   GLENN                    </v>
      </c>
      <c r="E24526" t="str">
        <f t="shared" si="691"/>
        <v xml:space="preserve">MEMPHIS                   </v>
      </c>
      <c r="F24526" t="str">
        <f t="shared" si="690"/>
        <v>TN</v>
      </c>
    </row>
    <row r="24527" spans="1:6" x14ac:dyDescent="0.25">
      <c r="A24527" t="str">
        <f>"200026207"</f>
        <v>200026207</v>
      </c>
      <c r="B24527" t="str">
        <f>"1841285228"</f>
        <v>1841285228</v>
      </c>
      <c r="C24527" t="str">
        <f>"207R00000X"</f>
        <v>207R00000X</v>
      </c>
      <c r="D24527" t="str">
        <f>"EVANS                    THOMAS                   "</f>
        <v xml:space="preserve">EVANS                    THOMAS                   </v>
      </c>
      <c r="E24527" t="str">
        <f>"SAVANNAH                  "</f>
        <v xml:space="preserve">SAVANNAH                  </v>
      </c>
      <c r="F24527" t="str">
        <f t="shared" si="690"/>
        <v>TN</v>
      </c>
    </row>
    <row r="24528" spans="1:6" x14ac:dyDescent="0.25">
      <c r="A24528" t="str">
        <f>"200026211"</f>
        <v>200026211</v>
      </c>
      <c r="B24528" t="str">
        <f>"1043742299"</f>
        <v>1043742299</v>
      </c>
      <c r="C24528" t="str">
        <f>"207R00000X"</f>
        <v>207R00000X</v>
      </c>
      <c r="D24528" t="str">
        <f>"NJIMOLUH                 KHADIJATOU               "</f>
        <v xml:space="preserve">NJIMOLUH                 KHADIJATOU               </v>
      </c>
      <c r="E24528" t="str">
        <f>"SAVANNAH                  "</f>
        <v xml:space="preserve">SAVANNAH                  </v>
      </c>
      <c r="F24528" t="str">
        <f t="shared" si="690"/>
        <v>TN</v>
      </c>
    </row>
    <row r="24529" spans="1:6" x14ac:dyDescent="0.25">
      <c r="A24529" t="str">
        <f>"200026222"</f>
        <v>200026222</v>
      </c>
      <c r="B24529" t="str">
        <f>"1912099334"</f>
        <v>1912099334</v>
      </c>
      <c r="C24529" t="str">
        <f>"2085R0001X"</f>
        <v>2085R0001X</v>
      </c>
      <c r="D24529" t="str">
        <f>"CMELAK                   ANTHONY                  "</f>
        <v xml:space="preserve">CMELAK                   ANTHONY                  </v>
      </c>
      <c r="E24529" t="str">
        <f>"NASHVILLE                 "</f>
        <v xml:space="preserve">NASHVILLE                 </v>
      </c>
      <c r="F24529" t="str">
        <f t="shared" si="690"/>
        <v>TN</v>
      </c>
    </row>
    <row r="24530" spans="1:6" x14ac:dyDescent="0.25">
      <c r="A24530" t="str">
        <f>"200026224"</f>
        <v>200026224</v>
      </c>
      <c r="B24530" t="str">
        <f>"1093772923"</f>
        <v>1093772923</v>
      </c>
      <c r="C24530" t="str">
        <f>"207RG0100X"</f>
        <v>207RG0100X</v>
      </c>
      <c r="D24530" t="str">
        <f>"ISMAIL                   MOHAMMAD                 "</f>
        <v xml:space="preserve">ISMAIL                   MOHAMMAD                 </v>
      </c>
      <c r="E24530" t="str">
        <f>"MEMPHIS                   "</f>
        <v xml:space="preserve">MEMPHIS                   </v>
      </c>
      <c r="F24530" t="str">
        <f t="shared" si="690"/>
        <v>TN</v>
      </c>
    </row>
    <row r="24531" spans="1:6" x14ac:dyDescent="0.25">
      <c r="A24531" t="str">
        <f>"200026228"</f>
        <v>200026228</v>
      </c>
      <c r="B24531" t="str">
        <f>"1881184471"</f>
        <v>1881184471</v>
      </c>
      <c r="C24531" t="str">
        <f>"207L00000X"</f>
        <v>207L00000X</v>
      </c>
      <c r="D24531" t="str">
        <f>"MANOLE                   BOGDAN-ALEXAN            "</f>
        <v xml:space="preserve">MANOLE                   BOGDAN-ALEXAN            </v>
      </c>
      <c r="E24531" t="str">
        <f>"MEMPHIS                   "</f>
        <v xml:space="preserve">MEMPHIS                   </v>
      </c>
      <c r="F24531" t="str">
        <f t="shared" si="690"/>
        <v>TN</v>
      </c>
    </row>
    <row r="24532" spans="1:6" x14ac:dyDescent="0.25">
      <c r="A24532" t="str">
        <f>"200026238"</f>
        <v>200026238</v>
      </c>
      <c r="B24532" t="str">
        <f>"1225442411"</f>
        <v>1225442411</v>
      </c>
      <c r="C24532" t="str">
        <f>"207P00000X"</f>
        <v>207P00000X</v>
      </c>
      <c r="D24532" t="str">
        <f>"COSGROVE                 ABIGAIL                  "</f>
        <v xml:space="preserve">COSGROVE                 ABIGAIL                  </v>
      </c>
      <c r="E24532" t="str">
        <f>"MEMPHIS                   "</f>
        <v xml:space="preserve">MEMPHIS                   </v>
      </c>
      <c r="F24532" t="str">
        <f t="shared" si="690"/>
        <v>TN</v>
      </c>
    </row>
    <row r="24533" spans="1:6" x14ac:dyDescent="0.25">
      <c r="A24533" t="str">
        <f>"200026249"</f>
        <v>200026249</v>
      </c>
      <c r="B24533" t="str">
        <f>"1851889976"</f>
        <v>1851889976</v>
      </c>
      <c r="C24533" t="str">
        <f>"363A00000X"</f>
        <v>363A00000X</v>
      </c>
      <c r="D24533" t="str">
        <f>"LAWRENCE                 TAMMI                    "</f>
        <v xml:space="preserve">LAWRENCE                 TAMMI                    </v>
      </c>
      <c r="E24533" t="str">
        <f>"MEMPHIS                   "</f>
        <v xml:space="preserve">MEMPHIS                   </v>
      </c>
      <c r="F24533" t="str">
        <f t="shared" si="690"/>
        <v>TN</v>
      </c>
    </row>
    <row r="24534" spans="1:6" x14ac:dyDescent="0.25">
      <c r="A24534" t="str">
        <f>"200026263"</f>
        <v>200026263</v>
      </c>
      <c r="B24534" t="str">
        <f>"1497085633"</f>
        <v>1497085633</v>
      </c>
      <c r="C24534" t="str">
        <f>"363A00000X"</f>
        <v>363A00000X</v>
      </c>
      <c r="D24534" t="str">
        <f>"TUCKER                   ANDREW                   "</f>
        <v xml:space="preserve">TUCKER                   ANDREW                   </v>
      </c>
      <c r="E24534" t="str">
        <f>"SAVANNAH                  "</f>
        <v xml:space="preserve">SAVANNAH                  </v>
      </c>
      <c r="F24534" t="str">
        <f t="shared" si="690"/>
        <v>TN</v>
      </c>
    </row>
    <row r="24535" spans="1:6" x14ac:dyDescent="0.25">
      <c r="A24535" t="str">
        <f>"200026266"</f>
        <v>200026266</v>
      </c>
      <c r="B24535" t="str">
        <f>"1093343410"</f>
        <v>1093343410</v>
      </c>
      <c r="C24535" t="str">
        <f>"207P00000X"</f>
        <v>207P00000X</v>
      </c>
      <c r="D24535" t="str">
        <f>"KANE                     JOHN                     "</f>
        <v xml:space="preserve">KANE                     JOHN                     </v>
      </c>
      <c r="E24535" t="str">
        <f>"SAVANNAH                  "</f>
        <v xml:space="preserve">SAVANNAH                  </v>
      </c>
      <c r="F24535" t="str">
        <f t="shared" si="690"/>
        <v>TN</v>
      </c>
    </row>
    <row r="24536" spans="1:6" x14ac:dyDescent="0.25">
      <c r="A24536" t="str">
        <f>"200026270"</f>
        <v>200026270</v>
      </c>
      <c r="B24536" t="str">
        <f>"1386009165"</f>
        <v>1386009165</v>
      </c>
      <c r="C24536" t="str">
        <f>"363A00000X"</f>
        <v>363A00000X</v>
      </c>
      <c r="D24536" t="str">
        <f>"OKOTH                    MARTIN                   "</f>
        <v xml:space="preserve">OKOTH                    MARTIN                   </v>
      </c>
      <c r="E24536" t="str">
        <f>"MEMPHIS                   "</f>
        <v xml:space="preserve">MEMPHIS                   </v>
      </c>
      <c r="F24536" t="str">
        <f t="shared" si="690"/>
        <v>TN</v>
      </c>
    </row>
    <row r="24537" spans="1:6" x14ac:dyDescent="0.25">
      <c r="A24537" t="str">
        <f>"200026271"</f>
        <v>200026271</v>
      </c>
      <c r="B24537" t="str">
        <f>"1659699635"</f>
        <v>1659699635</v>
      </c>
      <c r="C24537" t="str">
        <f>"207P00000X"</f>
        <v>207P00000X</v>
      </c>
      <c r="D24537" t="str">
        <f>"GREENE                   STEPHEN                  "</f>
        <v xml:space="preserve">GREENE                   STEPHEN                  </v>
      </c>
      <c r="E24537" t="str">
        <f>"SAVANNAH                  "</f>
        <v xml:space="preserve">SAVANNAH                  </v>
      </c>
      <c r="F24537" t="str">
        <f t="shared" si="690"/>
        <v>TN</v>
      </c>
    </row>
    <row r="24538" spans="1:6" x14ac:dyDescent="0.25">
      <c r="A24538" t="str">
        <f>"200026273"</f>
        <v>200026273</v>
      </c>
      <c r="B24538" t="str">
        <f>"1003886672"</f>
        <v>1003886672</v>
      </c>
      <c r="C24538" t="str">
        <f>"207P00000X"</f>
        <v>207P00000X</v>
      </c>
      <c r="D24538" t="str">
        <f>"BIGGERS                  JAMES                    "</f>
        <v xml:space="preserve">BIGGERS                  JAMES                    </v>
      </c>
      <c r="E24538" t="str">
        <f>"SAVANNAH                  "</f>
        <v xml:space="preserve">SAVANNAH                  </v>
      </c>
      <c r="F24538" t="str">
        <f t="shared" si="690"/>
        <v>TN</v>
      </c>
    </row>
    <row r="24539" spans="1:6" x14ac:dyDescent="0.25">
      <c r="A24539" t="str">
        <f>"200026276"</f>
        <v>200026276</v>
      </c>
      <c r="B24539" t="str">
        <f>"1417607193"</f>
        <v>1417607193</v>
      </c>
      <c r="C24539" t="str">
        <f>"207PP0204X"</f>
        <v>207PP0204X</v>
      </c>
      <c r="D24539" t="str">
        <f>"KAUFMAN                  ANNE                     "</f>
        <v xml:space="preserve">KAUFMAN                  ANNE                     </v>
      </c>
      <c r="E24539" t="str">
        <f>"MEMPHIS                   "</f>
        <v xml:space="preserve">MEMPHIS                   </v>
      </c>
      <c r="F24539" t="str">
        <f t="shared" si="690"/>
        <v>TN</v>
      </c>
    </row>
    <row r="24540" spans="1:6" x14ac:dyDescent="0.25">
      <c r="A24540" t="str">
        <f>"200026279"</f>
        <v>200026279</v>
      </c>
      <c r="B24540" t="str">
        <f>"1770228231"</f>
        <v>1770228231</v>
      </c>
      <c r="C24540" t="str">
        <f>"208000000X"</f>
        <v>208000000X</v>
      </c>
      <c r="D24540" t="str">
        <f>"ARIAS                    MAGELA                   "</f>
        <v xml:space="preserve">ARIAS                    MAGELA                   </v>
      </c>
      <c r="E24540" t="str">
        <f>"NASHVILLE                 "</f>
        <v xml:space="preserve">NASHVILLE                 </v>
      </c>
      <c r="F24540" t="str">
        <f t="shared" si="690"/>
        <v>TN</v>
      </c>
    </row>
    <row r="24541" spans="1:6" x14ac:dyDescent="0.25">
      <c r="A24541" t="str">
        <f>"200026301"</f>
        <v>200026301</v>
      </c>
      <c r="B24541" t="str">
        <f>"1316736721"</f>
        <v>1316736721</v>
      </c>
      <c r="C24541" t="str">
        <f>"363AS0400X"</f>
        <v>363AS0400X</v>
      </c>
      <c r="D24541" t="str">
        <f>"CARROLL                  EBONI                    "</f>
        <v xml:space="preserve">CARROLL                  EBONI                    </v>
      </c>
      <c r="E24541" t="str">
        <f>"MEMPHIS                   "</f>
        <v xml:space="preserve">MEMPHIS                   </v>
      </c>
      <c r="F24541" t="str">
        <f t="shared" si="690"/>
        <v>TN</v>
      </c>
    </row>
    <row r="24542" spans="1:6" x14ac:dyDescent="0.25">
      <c r="A24542" t="str">
        <f>"200026304"</f>
        <v>200026304</v>
      </c>
      <c r="B24542" t="str">
        <f>"1497937668"</f>
        <v>1497937668</v>
      </c>
      <c r="C24542" t="str">
        <f>"207RP1001X"</f>
        <v>207RP1001X</v>
      </c>
      <c r="D24542" t="str">
        <f>"SHOJAEE                  SAMIRA                   "</f>
        <v xml:space="preserve">SHOJAEE                  SAMIRA                   </v>
      </c>
      <c r="E24542" t="str">
        <f>"NASHVILLE                 "</f>
        <v xml:space="preserve">NASHVILLE                 </v>
      </c>
      <c r="F24542" t="str">
        <f t="shared" si="690"/>
        <v>TN</v>
      </c>
    </row>
    <row r="24543" spans="1:6" x14ac:dyDescent="0.25">
      <c r="A24543" t="str">
        <f>"200026306"</f>
        <v>200026306</v>
      </c>
      <c r="B24543" t="str">
        <f>"1184589624"</f>
        <v>1184589624</v>
      </c>
      <c r="C24543" t="str">
        <f>"363LA2100X"</f>
        <v>363LA2100X</v>
      </c>
      <c r="D24543" t="str">
        <f>"QUINN                    DENITA                   "</f>
        <v xml:space="preserve">QUINN                    DENITA                   </v>
      </c>
      <c r="E24543" t="str">
        <f>"MEMPHIS                   "</f>
        <v xml:space="preserve">MEMPHIS                   </v>
      </c>
      <c r="F24543" t="str">
        <f t="shared" si="690"/>
        <v>TN</v>
      </c>
    </row>
    <row r="24544" spans="1:6" x14ac:dyDescent="0.25">
      <c r="A24544" t="str">
        <f>"200026312"</f>
        <v>200026312</v>
      </c>
      <c r="B24544" t="str">
        <f>"1306539168"</f>
        <v>1306539168</v>
      </c>
      <c r="C24544" t="str">
        <f>"363LA2100X"</f>
        <v>363LA2100X</v>
      </c>
      <c r="D24544" t="str">
        <f>"WILHAUCKS                ANNA         T           "</f>
        <v xml:space="preserve">WILHAUCKS                ANNA         T           </v>
      </c>
      <c r="E24544" t="str">
        <f>"MEMPHIS                   "</f>
        <v xml:space="preserve">MEMPHIS                   </v>
      </c>
      <c r="F24544" t="str">
        <f t="shared" si="690"/>
        <v>TN</v>
      </c>
    </row>
    <row r="24545" spans="1:6" x14ac:dyDescent="0.25">
      <c r="A24545" t="str">
        <f>"200026314"</f>
        <v>200026314</v>
      </c>
      <c r="B24545" t="str">
        <f>"1104576586"</f>
        <v>1104576586</v>
      </c>
      <c r="C24545" t="str">
        <f>"208000000X"</f>
        <v>208000000X</v>
      </c>
      <c r="D24545" t="str">
        <f>"SLABAUGH                 DANIEL                   "</f>
        <v xml:space="preserve">SLABAUGH                 DANIEL                   </v>
      </c>
      <c r="E24545" t="str">
        <f>"MEMPHIS                   "</f>
        <v xml:space="preserve">MEMPHIS                   </v>
      </c>
      <c r="F24545" t="str">
        <f t="shared" si="690"/>
        <v>TN</v>
      </c>
    </row>
    <row r="24546" spans="1:6" x14ac:dyDescent="0.25">
      <c r="A24546" t="str">
        <f>"200026318"</f>
        <v>200026318</v>
      </c>
      <c r="B24546" t="str">
        <f>"1093200123"</f>
        <v>1093200123</v>
      </c>
      <c r="C24546" t="str">
        <f>"207Q00000X"</f>
        <v>207Q00000X</v>
      </c>
      <c r="D24546" t="str">
        <f>"DANANDEH                 ANDALIB                  "</f>
        <v xml:space="preserve">DANANDEH                 ANDALIB                  </v>
      </c>
      <c r="E24546" t="str">
        <f>"HUNTINGDON                "</f>
        <v xml:space="preserve">HUNTINGDON                </v>
      </c>
      <c r="F24546" t="str">
        <f t="shared" si="690"/>
        <v>TN</v>
      </c>
    </row>
    <row r="24547" spans="1:6" x14ac:dyDescent="0.25">
      <c r="A24547" t="str">
        <f>"200026324"</f>
        <v>200026324</v>
      </c>
      <c r="B24547" t="str">
        <f>"1992785901"</f>
        <v>1992785901</v>
      </c>
      <c r="C24547" t="str">
        <f>"207L00000X"</f>
        <v>207L00000X</v>
      </c>
      <c r="D24547" t="str">
        <f>"SAVANI                   YASHESH      R           "</f>
        <v xml:space="preserve">SAVANI                   YASHESH      R           </v>
      </c>
      <c r="E24547" t="str">
        <f>"MEMPHIS                   "</f>
        <v xml:space="preserve">MEMPHIS                   </v>
      </c>
      <c r="F24547" t="str">
        <f t="shared" si="690"/>
        <v>TN</v>
      </c>
    </row>
    <row r="24548" spans="1:6" x14ac:dyDescent="0.25">
      <c r="A24548" t="str">
        <f>"200026325"</f>
        <v>200026325</v>
      </c>
      <c r="B24548" t="str">
        <f>"1174581102"</f>
        <v>1174581102</v>
      </c>
      <c r="C24548" t="str">
        <f>"367500000X"</f>
        <v>367500000X</v>
      </c>
      <c r="D24548" t="str">
        <f>"LUCUS                    SHARON       K           "</f>
        <v xml:space="preserve">LUCUS                    SHARON       K           </v>
      </c>
      <c r="E24548" t="str">
        <f>"MEMPHIS                   "</f>
        <v xml:space="preserve">MEMPHIS                   </v>
      </c>
      <c r="F24548" t="str">
        <f t="shared" si="690"/>
        <v>TN</v>
      </c>
    </row>
    <row r="24549" spans="1:6" x14ac:dyDescent="0.25">
      <c r="A24549" t="str">
        <f>"200026338"</f>
        <v>200026338</v>
      </c>
      <c r="B24549" t="str">
        <f>"1497389027"</f>
        <v>1497389027</v>
      </c>
      <c r="C24549" t="str">
        <f>"363L00000X"</f>
        <v>363L00000X</v>
      </c>
      <c r="D24549" t="str">
        <f>"DEBERRY                  LESLIE                   "</f>
        <v xml:space="preserve">DEBERRY                  LESLIE                   </v>
      </c>
      <c r="E24549" t="str">
        <f>"SAVANNAH                  "</f>
        <v xml:space="preserve">SAVANNAH                  </v>
      </c>
      <c r="F24549" t="str">
        <f t="shared" si="690"/>
        <v>TN</v>
      </c>
    </row>
    <row r="24550" spans="1:6" x14ac:dyDescent="0.25">
      <c r="A24550" t="str">
        <f>"200026345"</f>
        <v>200026345</v>
      </c>
      <c r="B24550" t="str">
        <f>"1417290057"</f>
        <v>1417290057</v>
      </c>
      <c r="C24550" t="str">
        <f>"2084N0400X"</f>
        <v>2084N0400X</v>
      </c>
      <c r="D24550" t="str">
        <f>"BILAL                    MUHAMMAD                 "</f>
        <v xml:space="preserve">BILAL                    MUHAMMAD                 </v>
      </c>
      <c r="E24550" t="str">
        <f>"MEMPHIS                   "</f>
        <v xml:space="preserve">MEMPHIS                   </v>
      </c>
      <c r="F24550" t="str">
        <f t="shared" si="690"/>
        <v>TN</v>
      </c>
    </row>
    <row r="24551" spans="1:6" x14ac:dyDescent="0.25">
      <c r="A24551" t="str">
        <f>"200026354"</f>
        <v>200026354</v>
      </c>
      <c r="B24551" t="str">
        <f>"1912649070"</f>
        <v>1912649070</v>
      </c>
      <c r="C24551" t="str">
        <f>"207PP0204X"</f>
        <v>207PP0204X</v>
      </c>
      <c r="D24551" t="str">
        <f>"COEUR                    JACOB                    "</f>
        <v xml:space="preserve">COEUR                    JACOB                    </v>
      </c>
      <c r="E24551" t="str">
        <f>"MEMPHIS                   "</f>
        <v xml:space="preserve">MEMPHIS                   </v>
      </c>
      <c r="F24551" t="str">
        <f t="shared" si="690"/>
        <v>TN</v>
      </c>
    </row>
    <row r="24552" spans="1:6" x14ac:dyDescent="0.25">
      <c r="A24552" t="str">
        <f>"200026373"</f>
        <v>200026373</v>
      </c>
      <c r="B24552" t="str">
        <f>"1225347636"</f>
        <v>1225347636</v>
      </c>
      <c r="C24552" t="str">
        <f>"2085R0001X"</f>
        <v>2085R0001X</v>
      </c>
      <c r="D24552" t="str">
        <f>"OSMUNDSON                EVAN                     "</f>
        <v xml:space="preserve">OSMUNDSON                EVAN                     </v>
      </c>
      <c r="E24552" t="str">
        <f>"NASHVILLE                 "</f>
        <v xml:space="preserve">NASHVILLE                 </v>
      </c>
      <c r="F24552" t="str">
        <f t="shared" si="690"/>
        <v>TN</v>
      </c>
    </row>
    <row r="24553" spans="1:6" x14ac:dyDescent="0.25">
      <c r="A24553" t="str">
        <f>"200026375"</f>
        <v>200026375</v>
      </c>
      <c r="B24553" t="str">
        <f>"1841236965"</f>
        <v>1841236965</v>
      </c>
      <c r="C24553" t="str">
        <f>"207ZP0102X"</f>
        <v>207ZP0102X</v>
      </c>
      <c r="D24553" t="str">
        <f>"DOMM                     ALBERT                   "</f>
        <v xml:space="preserve">DOMM                     ALBERT                   </v>
      </c>
      <c r="E24553" t="str">
        <f>"COLUMBIA                  "</f>
        <v xml:space="preserve">COLUMBIA                  </v>
      </c>
      <c r="F24553" t="str">
        <f t="shared" si="690"/>
        <v>TN</v>
      </c>
    </row>
    <row r="24554" spans="1:6" x14ac:dyDescent="0.25">
      <c r="A24554" t="str">
        <f>"200026378"</f>
        <v>200026378</v>
      </c>
      <c r="B24554" t="str">
        <f>"1881406544"</f>
        <v>1881406544</v>
      </c>
      <c r="C24554" t="str">
        <f>"363L00000X"</f>
        <v>363L00000X</v>
      </c>
      <c r="D24554" t="str">
        <f>"SHAW                     CAMDEN                   "</f>
        <v xml:space="preserve">SHAW                     CAMDEN                   </v>
      </c>
      <c r="E24554" t="str">
        <f>"MEMPHIS                   "</f>
        <v xml:space="preserve">MEMPHIS                   </v>
      </c>
      <c r="F24554" t="str">
        <f t="shared" si="690"/>
        <v>TN</v>
      </c>
    </row>
    <row r="24555" spans="1:6" x14ac:dyDescent="0.25">
      <c r="A24555" t="str">
        <f>"200026387"</f>
        <v>200026387</v>
      </c>
      <c r="B24555" t="str">
        <f>"1760868004"</f>
        <v>1760868004</v>
      </c>
      <c r="C24555" t="str">
        <f>"367500000X"</f>
        <v>367500000X</v>
      </c>
      <c r="D24555" t="str">
        <f>"JOHNSON                  DARRON       O           "</f>
        <v xml:space="preserve">JOHNSON                  DARRON       O           </v>
      </c>
      <c r="E24555" t="str">
        <f>"MEMPHIS                   "</f>
        <v xml:space="preserve">MEMPHIS                   </v>
      </c>
      <c r="F24555" t="str">
        <f t="shared" si="690"/>
        <v>TN</v>
      </c>
    </row>
    <row r="24556" spans="1:6" x14ac:dyDescent="0.25">
      <c r="A24556" t="str">
        <f>"200026393"</f>
        <v>200026393</v>
      </c>
      <c r="B24556" t="str">
        <f>"1326201567"</f>
        <v>1326201567</v>
      </c>
      <c r="C24556" t="str">
        <f>"208800000X"</f>
        <v>208800000X</v>
      </c>
      <c r="D24556" t="str">
        <f>"DESOUZA                  ROWENA                   "</f>
        <v xml:space="preserve">DESOUZA                  ROWENA                   </v>
      </c>
      <c r="E24556" t="str">
        <f>"GERMANTOWN                "</f>
        <v xml:space="preserve">GERMANTOWN                </v>
      </c>
      <c r="F24556" t="str">
        <f t="shared" si="690"/>
        <v>TN</v>
      </c>
    </row>
    <row r="24557" spans="1:6" x14ac:dyDescent="0.25">
      <c r="A24557" t="str">
        <f>"200026394"</f>
        <v>200026394</v>
      </c>
      <c r="B24557" t="str">
        <f>"1790219020"</f>
        <v>1790219020</v>
      </c>
      <c r="C24557" t="str">
        <f>"2086S0127X"</f>
        <v>2086S0127X</v>
      </c>
      <c r="D24557" t="str">
        <f>"KELLY                    LAUREN                   "</f>
        <v xml:space="preserve">KELLY                    LAUREN                   </v>
      </c>
      <c r="E24557" t="str">
        <f>"NASHVILLE                 "</f>
        <v xml:space="preserve">NASHVILLE                 </v>
      </c>
      <c r="F24557" t="str">
        <f t="shared" si="690"/>
        <v>TN</v>
      </c>
    </row>
    <row r="24558" spans="1:6" x14ac:dyDescent="0.25">
      <c r="A24558" t="str">
        <f>"200026406"</f>
        <v>200026406</v>
      </c>
      <c r="B24558" t="str">
        <f>"1366572505"</f>
        <v>1366572505</v>
      </c>
      <c r="C24558" t="str">
        <f>"2080P0202X"</f>
        <v>2080P0202X</v>
      </c>
      <c r="D24558" t="str">
        <f>"MCMANUS                  MEGHANN                  "</f>
        <v xml:space="preserve">MCMANUS                  MEGHANN                  </v>
      </c>
      <c r="E24558" t="str">
        <f>"NASHVILLE                 "</f>
        <v xml:space="preserve">NASHVILLE                 </v>
      </c>
      <c r="F24558" t="str">
        <f t="shared" si="690"/>
        <v>TN</v>
      </c>
    </row>
    <row r="24559" spans="1:6" x14ac:dyDescent="0.25">
      <c r="A24559" t="str">
        <f>"200026411"</f>
        <v>200026411</v>
      </c>
      <c r="B24559" t="str">
        <f>"1417161431"</f>
        <v>1417161431</v>
      </c>
      <c r="C24559" t="str">
        <f>"207P00000X"</f>
        <v>207P00000X</v>
      </c>
      <c r="D24559" t="str">
        <f>"TAYLOR                   ALAN                     "</f>
        <v xml:space="preserve">TAYLOR                   ALAN                     </v>
      </c>
      <c r="E24559" t="str">
        <f>"MEMPHIS                   "</f>
        <v xml:space="preserve">MEMPHIS                   </v>
      </c>
      <c r="F24559" t="str">
        <f t="shared" si="690"/>
        <v>TN</v>
      </c>
    </row>
    <row r="24560" spans="1:6" x14ac:dyDescent="0.25">
      <c r="A24560" t="str">
        <f>"200026413"</f>
        <v>200026413</v>
      </c>
      <c r="B24560" t="str">
        <f>"1417518663"</f>
        <v>1417518663</v>
      </c>
      <c r="C24560" t="str">
        <f>"2080P0202X"</f>
        <v>2080P0202X</v>
      </c>
      <c r="D24560" t="str">
        <f>"KARIM                    FARIDA                   "</f>
        <v xml:space="preserve">KARIM                    FARIDA                   </v>
      </c>
      <c r="E24560" t="str">
        <f>"MEMPHIS                   "</f>
        <v xml:space="preserve">MEMPHIS                   </v>
      </c>
      <c r="F24560" t="str">
        <f t="shared" si="690"/>
        <v>TN</v>
      </c>
    </row>
    <row r="24561" spans="1:6" x14ac:dyDescent="0.25">
      <c r="A24561" t="str">
        <f>"200026418"</f>
        <v>200026418</v>
      </c>
      <c r="B24561" t="str">
        <f>"1275030918"</f>
        <v>1275030918</v>
      </c>
      <c r="C24561" t="str">
        <f>"207R00000X"</f>
        <v>207R00000X</v>
      </c>
      <c r="D24561" t="str">
        <f>"BATEMARCO                THOMAS                   "</f>
        <v xml:space="preserve">BATEMARCO                THOMAS                   </v>
      </c>
      <c r="E24561" t="str">
        <f>"NASHVILLE                 "</f>
        <v xml:space="preserve">NASHVILLE                 </v>
      </c>
      <c r="F24561" t="str">
        <f t="shared" si="690"/>
        <v>TN</v>
      </c>
    </row>
    <row r="24562" spans="1:6" x14ac:dyDescent="0.25">
      <c r="A24562" t="str">
        <f>"200026427"</f>
        <v>200026427</v>
      </c>
      <c r="B24562" t="str">
        <f>"1679063846"</f>
        <v>1679063846</v>
      </c>
      <c r="C24562" t="str">
        <f>"2086S0127X"</f>
        <v>2086S0127X</v>
      </c>
      <c r="D24562" t="str">
        <f>"HUDSON                   WILLIAM                  "</f>
        <v xml:space="preserve">HUDSON                   WILLIAM                  </v>
      </c>
      <c r="E24562" t="str">
        <f>"MEMPHIS                   "</f>
        <v xml:space="preserve">MEMPHIS                   </v>
      </c>
      <c r="F24562" t="str">
        <f t="shared" si="690"/>
        <v>TN</v>
      </c>
    </row>
    <row r="24563" spans="1:6" x14ac:dyDescent="0.25">
      <c r="A24563" t="str">
        <f>"200026431"</f>
        <v>200026431</v>
      </c>
      <c r="B24563" t="str">
        <f>"1639810641"</f>
        <v>1639810641</v>
      </c>
      <c r="C24563" t="str">
        <f>"363A00000X"</f>
        <v>363A00000X</v>
      </c>
      <c r="D24563" t="str">
        <f>"ROSER                    CRESTUS                  "</f>
        <v xml:space="preserve">ROSER                    CRESTUS                  </v>
      </c>
      <c r="E24563" t="str">
        <f>"SAVANNAH                  "</f>
        <v xml:space="preserve">SAVANNAH                  </v>
      </c>
      <c r="F24563" t="str">
        <f t="shared" si="690"/>
        <v>TN</v>
      </c>
    </row>
    <row r="24564" spans="1:6" x14ac:dyDescent="0.25">
      <c r="A24564" t="str">
        <f>"200026432"</f>
        <v>200026432</v>
      </c>
      <c r="B24564" t="str">
        <f>"1184104150"</f>
        <v>1184104150</v>
      </c>
      <c r="C24564" t="str">
        <f>"363LP0808X"</f>
        <v>363LP0808X</v>
      </c>
      <c r="D24564" t="str">
        <f>"DRENNEN-FERGUSON         KAYLA                    "</f>
        <v xml:space="preserve">DRENNEN-FERGUSON         KAYLA                    </v>
      </c>
      <c r="E24564" t="str">
        <f t="shared" ref="E24564:E24572" si="692">"MEMPHIS                   "</f>
        <v xml:space="preserve">MEMPHIS                   </v>
      </c>
      <c r="F24564" t="str">
        <f t="shared" si="690"/>
        <v>TN</v>
      </c>
    </row>
    <row r="24565" spans="1:6" x14ac:dyDescent="0.25">
      <c r="A24565" t="str">
        <f>"200026443"</f>
        <v>200026443</v>
      </c>
      <c r="B24565" t="str">
        <f>"1639145378"</f>
        <v>1639145378</v>
      </c>
      <c r="C24565" t="str">
        <f>"207L00000X"</f>
        <v>207L00000X</v>
      </c>
      <c r="D24565" t="str">
        <f>"FUNDERBURG JR            WILLIAM      R           "</f>
        <v xml:space="preserve">FUNDERBURG JR            WILLIAM      R           </v>
      </c>
      <c r="E24565" t="str">
        <f t="shared" si="692"/>
        <v xml:space="preserve">MEMPHIS                   </v>
      </c>
      <c r="F24565" t="str">
        <f t="shared" si="690"/>
        <v>TN</v>
      </c>
    </row>
    <row r="24566" spans="1:6" x14ac:dyDescent="0.25">
      <c r="A24566" t="str">
        <f>"200026453"</f>
        <v>200026453</v>
      </c>
      <c r="B24566" t="str">
        <f>"1760598890"</f>
        <v>1760598890</v>
      </c>
      <c r="C24566" t="str">
        <f>"367500000X"</f>
        <v>367500000X</v>
      </c>
      <c r="D24566" t="str">
        <f>"MONDOUX                  ELIZABETH                "</f>
        <v xml:space="preserve">MONDOUX                  ELIZABETH                </v>
      </c>
      <c r="E24566" t="str">
        <f t="shared" si="692"/>
        <v xml:space="preserve">MEMPHIS                   </v>
      </c>
      <c r="F24566" t="str">
        <f t="shared" si="690"/>
        <v>TN</v>
      </c>
    </row>
    <row r="24567" spans="1:6" x14ac:dyDescent="0.25">
      <c r="A24567" t="str">
        <f>"200026466"</f>
        <v>200026466</v>
      </c>
      <c r="B24567" t="str">
        <f>"1275517476"</f>
        <v>1275517476</v>
      </c>
      <c r="C24567" t="str">
        <f>"207L00000X"</f>
        <v>207L00000X</v>
      </c>
      <c r="D24567" t="str">
        <f>"BICKNELL                 BENNETT      W           "</f>
        <v xml:space="preserve">BICKNELL                 BENNETT      W           </v>
      </c>
      <c r="E24567" t="str">
        <f t="shared" si="692"/>
        <v xml:space="preserve">MEMPHIS                   </v>
      </c>
      <c r="F24567" t="str">
        <f t="shared" si="690"/>
        <v>TN</v>
      </c>
    </row>
    <row r="24568" spans="1:6" x14ac:dyDescent="0.25">
      <c r="A24568" t="str">
        <f>"200026472"</f>
        <v>200026472</v>
      </c>
      <c r="B24568" t="str">
        <f>"1154308898"</f>
        <v>1154308898</v>
      </c>
      <c r="C24568" t="str">
        <f>"363LP0200X"</f>
        <v>363LP0200X</v>
      </c>
      <c r="D24568" t="str">
        <f>"HALE                     KAREN                    "</f>
        <v xml:space="preserve">HALE                     KAREN                    </v>
      </c>
      <c r="E24568" t="str">
        <f t="shared" si="692"/>
        <v xml:space="preserve">MEMPHIS                   </v>
      </c>
      <c r="F24568" t="str">
        <f t="shared" si="690"/>
        <v>TN</v>
      </c>
    </row>
    <row r="24569" spans="1:6" x14ac:dyDescent="0.25">
      <c r="A24569" t="str">
        <f>"200026478"</f>
        <v>200026478</v>
      </c>
      <c r="B24569" t="str">
        <f>"1124715958"</f>
        <v>1124715958</v>
      </c>
      <c r="C24569" t="str">
        <f>"207P00000X"</f>
        <v>207P00000X</v>
      </c>
      <c r="D24569" t="str">
        <f>"JACKSON                  JAMES                    "</f>
        <v xml:space="preserve">JACKSON                  JAMES                    </v>
      </c>
      <c r="E24569" t="str">
        <f t="shared" si="692"/>
        <v xml:space="preserve">MEMPHIS                   </v>
      </c>
      <c r="F24569" t="str">
        <f t="shared" si="690"/>
        <v>TN</v>
      </c>
    </row>
    <row r="24570" spans="1:6" x14ac:dyDescent="0.25">
      <c r="A24570" t="str">
        <f>"200026479"</f>
        <v>200026479</v>
      </c>
      <c r="B24570" t="str">
        <f>"1215556253"</f>
        <v>1215556253</v>
      </c>
      <c r="C24570" t="str">
        <f>"207R00000X"</f>
        <v>207R00000X</v>
      </c>
      <c r="D24570" t="str">
        <f>"THOMAS                   MARY         L           "</f>
        <v xml:space="preserve">THOMAS                   MARY         L           </v>
      </c>
      <c r="E24570" t="str">
        <f t="shared" si="692"/>
        <v xml:space="preserve">MEMPHIS                   </v>
      </c>
      <c r="F24570" t="str">
        <f t="shared" si="690"/>
        <v>TN</v>
      </c>
    </row>
    <row r="24571" spans="1:6" x14ac:dyDescent="0.25">
      <c r="A24571" t="str">
        <f>"200026492"</f>
        <v>200026492</v>
      </c>
      <c r="B24571" t="str">
        <f>"1982918116"</f>
        <v>1982918116</v>
      </c>
      <c r="C24571" t="str">
        <f>"367500000X"</f>
        <v>367500000X</v>
      </c>
      <c r="D24571" t="str">
        <f>"CASE                     SHANNAN      M           "</f>
        <v xml:space="preserve">CASE                     SHANNAN      M           </v>
      </c>
      <c r="E24571" t="str">
        <f t="shared" si="692"/>
        <v xml:space="preserve">MEMPHIS                   </v>
      </c>
      <c r="F24571" t="str">
        <f t="shared" si="690"/>
        <v>TN</v>
      </c>
    </row>
    <row r="24572" spans="1:6" x14ac:dyDescent="0.25">
      <c r="A24572" t="str">
        <f>"200026498"</f>
        <v>200026498</v>
      </c>
      <c r="B24572" t="str">
        <f>"1912457029"</f>
        <v>1912457029</v>
      </c>
      <c r="C24572" t="str">
        <f>"363LF0000X"</f>
        <v>363LF0000X</v>
      </c>
      <c r="D24572" t="str">
        <f>"DION                     CHRISTOPHER              "</f>
        <v xml:space="preserve">DION                     CHRISTOPHER              </v>
      </c>
      <c r="E24572" t="str">
        <f t="shared" si="692"/>
        <v xml:space="preserve">MEMPHIS                   </v>
      </c>
      <c r="F24572" t="str">
        <f t="shared" si="690"/>
        <v>TN</v>
      </c>
    </row>
    <row r="24573" spans="1:6" x14ac:dyDescent="0.25">
      <c r="A24573" t="str">
        <f>"200026501"</f>
        <v>200026501</v>
      </c>
      <c r="B24573" t="str">
        <f>"          "</f>
        <v xml:space="preserve">          </v>
      </c>
      <c r="C24573" t="str">
        <f>"207Q00000X"</f>
        <v>207Q00000X</v>
      </c>
      <c r="D24573" t="str">
        <f>"PAGOAGA                  LUIS                     "</f>
        <v xml:space="preserve">PAGOAGA                  LUIS                     </v>
      </c>
      <c r="E24573" t="str">
        <f>"HUNTINGDON                "</f>
        <v xml:space="preserve">HUNTINGDON                </v>
      </c>
      <c r="F24573" t="str">
        <f t="shared" si="690"/>
        <v>TN</v>
      </c>
    </row>
    <row r="24574" spans="1:6" x14ac:dyDescent="0.25">
      <c r="A24574" t="str">
        <f>"200026502"</f>
        <v>200026502</v>
      </c>
      <c r="B24574" t="str">
        <f>"1144483017"</f>
        <v>1144483017</v>
      </c>
      <c r="C24574" t="str">
        <f>"363AM0700X"</f>
        <v>363AM0700X</v>
      </c>
      <c r="D24574" t="str">
        <f>"ALEXANDER                MARTY                    "</f>
        <v xml:space="preserve">ALEXANDER                MARTY                    </v>
      </c>
      <c r="E24574" t="str">
        <f>"SAVANNAH                  "</f>
        <v xml:space="preserve">SAVANNAH                  </v>
      </c>
      <c r="F24574" t="str">
        <f t="shared" ref="F24574:F24637" si="693">"TN"</f>
        <v>TN</v>
      </c>
    </row>
    <row r="24575" spans="1:6" x14ac:dyDescent="0.25">
      <c r="A24575" t="str">
        <f>"200026511"</f>
        <v>200026511</v>
      </c>
      <c r="B24575" t="str">
        <f>"1942439336"</f>
        <v>1942439336</v>
      </c>
      <c r="C24575" t="str">
        <f>"207RG0100X"</f>
        <v>207RG0100X</v>
      </c>
      <c r="D24575" t="str">
        <f>"JAIYEOBA                 CHARLES                  "</f>
        <v xml:space="preserve">JAIYEOBA                 CHARLES                  </v>
      </c>
      <c r="E24575" t="str">
        <f>"MEMPHIS                   "</f>
        <v xml:space="preserve">MEMPHIS                   </v>
      </c>
      <c r="F24575" t="str">
        <f t="shared" si="693"/>
        <v>TN</v>
      </c>
    </row>
    <row r="24576" spans="1:6" x14ac:dyDescent="0.25">
      <c r="A24576" t="str">
        <f>"200026518"</f>
        <v>200026518</v>
      </c>
      <c r="B24576" t="str">
        <f>"1891725057"</f>
        <v>1891725057</v>
      </c>
      <c r="C24576" t="str">
        <f>"367500000X"</f>
        <v>367500000X</v>
      </c>
      <c r="D24576" t="str">
        <f>"OSWALT                   DEBRA        A           "</f>
        <v xml:space="preserve">OSWALT                   DEBRA        A           </v>
      </c>
      <c r="E24576" t="str">
        <f>"MEMPHIS                   "</f>
        <v xml:space="preserve">MEMPHIS                   </v>
      </c>
      <c r="F24576" t="str">
        <f t="shared" si="693"/>
        <v>TN</v>
      </c>
    </row>
    <row r="24577" spans="1:6" x14ac:dyDescent="0.25">
      <c r="A24577" t="str">
        <f>"200026540"</f>
        <v>200026540</v>
      </c>
      <c r="B24577" t="str">
        <f>"1578533675"</f>
        <v>1578533675</v>
      </c>
      <c r="C24577" t="str">
        <f>"2086S0120X"</f>
        <v>2086S0120X</v>
      </c>
      <c r="D24577" t="str">
        <f>"IQBAL                    COREY                    "</f>
        <v xml:space="preserve">IQBAL                    COREY                    </v>
      </c>
      <c r="E24577" t="str">
        <f>"MEMPHIS                   "</f>
        <v xml:space="preserve">MEMPHIS                   </v>
      </c>
      <c r="F24577" t="str">
        <f t="shared" si="693"/>
        <v>TN</v>
      </c>
    </row>
    <row r="24578" spans="1:6" x14ac:dyDescent="0.25">
      <c r="A24578" t="str">
        <f>"200026565"</f>
        <v>200026565</v>
      </c>
      <c r="B24578" t="str">
        <f>"1881273654"</f>
        <v>1881273654</v>
      </c>
      <c r="C24578" t="str">
        <f>"363LP0200X"</f>
        <v>363LP0200X</v>
      </c>
      <c r="D24578" t="str">
        <f>"FLINT                    REBEKAH                  "</f>
        <v xml:space="preserve">FLINT                    REBEKAH                  </v>
      </c>
      <c r="E24578" t="str">
        <f>"MEMPHIS                   "</f>
        <v xml:space="preserve">MEMPHIS                   </v>
      </c>
      <c r="F24578" t="str">
        <f t="shared" si="693"/>
        <v>TN</v>
      </c>
    </row>
    <row r="24579" spans="1:6" x14ac:dyDescent="0.25">
      <c r="A24579" t="str">
        <f>"200026570"</f>
        <v>200026570</v>
      </c>
      <c r="B24579" t="str">
        <f>"1023136439"</f>
        <v>1023136439</v>
      </c>
      <c r="C24579" t="str">
        <f>"367500000X"</f>
        <v>367500000X</v>
      </c>
      <c r="D24579" t="str">
        <f>"CALLAHAN                 KRISTEN      A           "</f>
        <v xml:space="preserve">CALLAHAN                 KRISTEN      A           </v>
      </c>
      <c r="E24579" t="str">
        <f>"MEMPHIS                   "</f>
        <v xml:space="preserve">MEMPHIS                   </v>
      </c>
      <c r="F24579" t="str">
        <f t="shared" si="693"/>
        <v>TN</v>
      </c>
    </row>
    <row r="24580" spans="1:6" x14ac:dyDescent="0.25">
      <c r="A24580" t="str">
        <f>"200026571"</f>
        <v>200026571</v>
      </c>
      <c r="B24580" t="str">
        <f>"1821207002"</f>
        <v>1821207002</v>
      </c>
      <c r="C24580" t="str">
        <f>"207YP0228X"</f>
        <v>207YP0228X</v>
      </c>
      <c r="D24580" t="str">
        <f>"VIRGIN                   FRANK                    "</f>
        <v xml:space="preserve">VIRGIN                   FRANK                    </v>
      </c>
      <c r="E24580" t="str">
        <f>"NASHVILLE                 "</f>
        <v xml:space="preserve">NASHVILLE                 </v>
      </c>
      <c r="F24580" t="str">
        <f t="shared" si="693"/>
        <v>TN</v>
      </c>
    </row>
    <row r="24581" spans="1:6" x14ac:dyDescent="0.25">
      <c r="A24581" t="str">
        <f>"200026584"</f>
        <v>200026584</v>
      </c>
      <c r="B24581" t="str">
        <f>"1457351165"</f>
        <v>1457351165</v>
      </c>
      <c r="C24581" t="str">
        <f>"207PP0204X"</f>
        <v>207PP0204X</v>
      </c>
      <c r="D24581" t="str">
        <f>"SLOAS LLL                HAROLD       A           "</f>
        <v xml:space="preserve">SLOAS LLL                HAROLD       A           </v>
      </c>
      <c r="E24581" t="str">
        <f t="shared" ref="E24581:E24587" si="694">"MEMPHIS                   "</f>
        <v xml:space="preserve">MEMPHIS                   </v>
      </c>
      <c r="F24581" t="str">
        <f t="shared" si="693"/>
        <v>TN</v>
      </c>
    </row>
    <row r="24582" spans="1:6" x14ac:dyDescent="0.25">
      <c r="A24582" t="str">
        <f>"200026589"</f>
        <v>200026589</v>
      </c>
      <c r="B24582" t="str">
        <f>"1104867423"</f>
        <v>1104867423</v>
      </c>
      <c r="C24582" t="str">
        <f>"207P00000X"</f>
        <v>207P00000X</v>
      </c>
      <c r="D24582" t="str">
        <f>"FRITZSCHE                JAMES                    "</f>
        <v xml:space="preserve">FRITZSCHE                JAMES                    </v>
      </c>
      <c r="E24582" t="str">
        <f t="shared" si="694"/>
        <v xml:space="preserve">MEMPHIS                   </v>
      </c>
      <c r="F24582" t="str">
        <f t="shared" si="693"/>
        <v>TN</v>
      </c>
    </row>
    <row r="24583" spans="1:6" x14ac:dyDescent="0.25">
      <c r="A24583" t="str">
        <f>"200026599"</f>
        <v>200026599</v>
      </c>
      <c r="B24583" t="str">
        <f>"1891109088"</f>
        <v>1891109088</v>
      </c>
      <c r="C24583" t="str">
        <f>"2080N0001X"</f>
        <v>2080N0001X</v>
      </c>
      <c r="D24583" t="str">
        <f>"KEY                      LOGAN                    "</f>
        <v xml:space="preserve">KEY                      LOGAN                    </v>
      </c>
      <c r="E24583" t="str">
        <f t="shared" si="694"/>
        <v xml:space="preserve">MEMPHIS                   </v>
      </c>
      <c r="F24583" t="str">
        <f t="shared" si="693"/>
        <v>TN</v>
      </c>
    </row>
    <row r="24584" spans="1:6" x14ac:dyDescent="0.25">
      <c r="A24584" t="str">
        <f>"200026607"</f>
        <v>200026607</v>
      </c>
      <c r="B24584" t="str">
        <f>"1194737676"</f>
        <v>1194737676</v>
      </c>
      <c r="C24584" t="str">
        <f>"207PP0204X"</f>
        <v>207PP0204X</v>
      </c>
      <c r="D24584" t="str">
        <f>"FESMIRE                  WILLIAM                  "</f>
        <v xml:space="preserve">FESMIRE                  WILLIAM                  </v>
      </c>
      <c r="E24584" t="str">
        <f t="shared" si="694"/>
        <v xml:space="preserve">MEMPHIS                   </v>
      </c>
      <c r="F24584" t="str">
        <f t="shared" si="693"/>
        <v>TN</v>
      </c>
    </row>
    <row r="24585" spans="1:6" x14ac:dyDescent="0.25">
      <c r="A24585" t="str">
        <f>"200026621"</f>
        <v>200026621</v>
      </c>
      <c r="B24585" t="str">
        <f>"1518319458"</f>
        <v>1518319458</v>
      </c>
      <c r="C24585" t="str">
        <f>"2085R0202X"</f>
        <v>2085R0202X</v>
      </c>
      <c r="D24585" t="str">
        <f>"AFZAAL                   MUHMMAD                  "</f>
        <v xml:space="preserve">AFZAAL                   MUHMMAD                  </v>
      </c>
      <c r="E24585" t="str">
        <f t="shared" si="694"/>
        <v xml:space="preserve">MEMPHIS                   </v>
      </c>
      <c r="F24585" t="str">
        <f t="shared" si="693"/>
        <v>TN</v>
      </c>
    </row>
    <row r="24586" spans="1:6" x14ac:dyDescent="0.25">
      <c r="A24586" t="str">
        <f>"200026627"</f>
        <v>200026627</v>
      </c>
      <c r="B24586" t="str">
        <f>"1184365454"</f>
        <v>1184365454</v>
      </c>
      <c r="C24586" t="str">
        <f>"207PP0204X"</f>
        <v>207PP0204X</v>
      </c>
      <c r="D24586" t="str">
        <f>"WALKER                   CANDICE                  "</f>
        <v xml:space="preserve">WALKER                   CANDICE                  </v>
      </c>
      <c r="E24586" t="str">
        <f t="shared" si="694"/>
        <v xml:space="preserve">MEMPHIS                   </v>
      </c>
      <c r="F24586" t="str">
        <f t="shared" si="693"/>
        <v>TN</v>
      </c>
    </row>
    <row r="24587" spans="1:6" x14ac:dyDescent="0.25">
      <c r="A24587" t="str">
        <f>"200026628"</f>
        <v>200026628</v>
      </c>
      <c r="B24587" t="str">
        <f>"1568819449"</f>
        <v>1568819449</v>
      </c>
      <c r="C24587" t="str">
        <f>"367500000X"</f>
        <v>367500000X</v>
      </c>
      <c r="D24587" t="str">
        <f>"NICHOLSON LLL            JOHN         F           "</f>
        <v xml:space="preserve">NICHOLSON LLL            JOHN         F           </v>
      </c>
      <c r="E24587" t="str">
        <f t="shared" si="694"/>
        <v xml:space="preserve">MEMPHIS                   </v>
      </c>
      <c r="F24587" t="str">
        <f t="shared" si="693"/>
        <v>TN</v>
      </c>
    </row>
    <row r="24588" spans="1:6" x14ac:dyDescent="0.25">
      <c r="A24588" t="str">
        <f>"200026641"</f>
        <v>200026641</v>
      </c>
      <c r="B24588" t="str">
        <f>"1770042749"</f>
        <v>1770042749</v>
      </c>
      <c r="C24588" t="str">
        <f>"2080N0001X"</f>
        <v>2080N0001X</v>
      </c>
      <c r="D24588" t="str">
        <f>"MCLENDON                 KELSEY                   "</f>
        <v xml:space="preserve">MCLENDON                 KELSEY                   </v>
      </c>
      <c r="E24588" t="str">
        <f>"NASHVILLE                 "</f>
        <v xml:space="preserve">NASHVILLE                 </v>
      </c>
      <c r="F24588" t="str">
        <f t="shared" si="693"/>
        <v>TN</v>
      </c>
    </row>
    <row r="24589" spans="1:6" x14ac:dyDescent="0.25">
      <c r="A24589" t="str">
        <f>"200026650"</f>
        <v>200026650</v>
      </c>
      <c r="B24589" t="str">
        <f>"          "</f>
        <v xml:space="preserve">          </v>
      </c>
      <c r="C24589" t="str">
        <f>"207P00000X"</f>
        <v>207P00000X</v>
      </c>
      <c r="D24589" t="str">
        <f>"BOOKOUT                  GREGORY                  "</f>
        <v xml:space="preserve">BOOKOUT                  GREGORY                  </v>
      </c>
      <c r="E24589" t="str">
        <f>"SAVANNAH                  "</f>
        <v xml:space="preserve">SAVANNAH                  </v>
      </c>
      <c r="F24589" t="str">
        <f t="shared" si="693"/>
        <v>TN</v>
      </c>
    </row>
    <row r="24590" spans="1:6" x14ac:dyDescent="0.25">
      <c r="A24590" t="str">
        <f>"200026652"</f>
        <v>200026652</v>
      </c>
      <c r="B24590" t="str">
        <f>"1851859193"</f>
        <v>1851859193</v>
      </c>
      <c r="C24590" t="str">
        <f>"2080N0001X"</f>
        <v>2080N0001X</v>
      </c>
      <c r="D24590" t="str">
        <f>"MILLIKAN                 SAMANTHA                 "</f>
        <v xml:space="preserve">MILLIKAN                 SAMANTHA                 </v>
      </c>
      <c r="E24590" t="str">
        <f>"NASHVILLE                 "</f>
        <v xml:space="preserve">NASHVILLE                 </v>
      </c>
      <c r="F24590" t="str">
        <f t="shared" si="693"/>
        <v>TN</v>
      </c>
    </row>
    <row r="24591" spans="1:6" x14ac:dyDescent="0.25">
      <c r="A24591" t="str">
        <f>"200026671"</f>
        <v>200026671</v>
      </c>
      <c r="B24591" t="str">
        <f>"1629206784"</f>
        <v>1629206784</v>
      </c>
      <c r="C24591" t="str">
        <f>"363A00000X"</f>
        <v>363A00000X</v>
      </c>
      <c r="D24591" t="str">
        <f>"POPLAWSKI                SARAH                    "</f>
        <v xml:space="preserve">POPLAWSKI                SARAH                    </v>
      </c>
      <c r="E24591" t="str">
        <f>"MEMPHIS                   "</f>
        <v xml:space="preserve">MEMPHIS                   </v>
      </c>
      <c r="F24591" t="str">
        <f t="shared" si="693"/>
        <v>TN</v>
      </c>
    </row>
    <row r="24592" spans="1:6" x14ac:dyDescent="0.25">
      <c r="A24592" t="str">
        <f>"200026684"</f>
        <v>200026684</v>
      </c>
      <c r="B24592" t="str">
        <f>"1710512371"</f>
        <v>1710512371</v>
      </c>
      <c r="C24592" t="str">
        <f>"207P00000X"</f>
        <v>207P00000X</v>
      </c>
      <c r="D24592" t="str">
        <f>"KELLY                    CONNOR                   "</f>
        <v xml:space="preserve">KELLY                    CONNOR                   </v>
      </c>
      <c r="E24592" t="str">
        <f>"HUNTINGDON                "</f>
        <v xml:space="preserve">HUNTINGDON                </v>
      </c>
      <c r="F24592" t="str">
        <f t="shared" si="693"/>
        <v>TN</v>
      </c>
    </row>
    <row r="24593" spans="1:6" x14ac:dyDescent="0.25">
      <c r="A24593" t="str">
        <f>"200026689"</f>
        <v>200026689</v>
      </c>
      <c r="B24593" t="str">
        <f>"1104422492"</f>
        <v>1104422492</v>
      </c>
      <c r="C24593" t="str">
        <f>"363LF0000X"</f>
        <v>363LF0000X</v>
      </c>
      <c r="D24593" t="str">
        <f>"SEARS                    STEPHANIE                "</f>
        <v xml:space="preserve">SEARS                    STEPHANIE                </v>
      </c>
      <c r="E24593" t="str">
        <f>"SAVANNAH                  "</f>
        <v xml:space="preserve">SAVANNAH                  </v>
      </c>
      <c r="F24593" t="str">
        <f t="shared" si="693"/>
        <v>TN</v>
      </c>
    </row>
    <row r="24594" spans="1:6" x14ac:dyDescent="0.25">
      <c r="A24594" t="str">
        <f>"200026697"</f>
        <v>200026697</v>
      </c>
      <c r="B24594" t="str">
        <f>"1922495878"</f>
        <v>1922495878</v>
      </c>
      <c r="C24594" t="str">
        <f>"207P00000X"</f>
        <v>207P00000X</v>
      </c>
      <c r="D24594" t="str">
        <f>"PATRICK                  BRETT                    "</f>
        <v xml:space="preserve">PATRICK                  BRETT                    </v>
      </c>
      <c r="E24594" t="str">
        <f>"COLLIERVILLE              "</f>
        <v xml:space="preserve">COLLIERVILLE              </v>
      </c>
      <c r="F24594" t="str">
        <f t="shared" si="693"/>
        <v>TN</v>
      </c>
    </row>
    <row r="24595" spans="1:6" x14ac:dyDescent="0.25">
      <c r="A24595" t="str">
        <f>"200026701"</f>
        <v>200026701</v>
      </c>
      <c r="B24595" t="str">
        <f>"1568495638"</f>
        <v>1568495638</v>
      </c>
      <c r="C24595" t="str">
        <f>"2080P0204X"</f>
        <v>2080P0204X</v>
      </c>
      <c r="D24595" t="str">
        <f>"KOLLER                   DARWIN                   "</f>
        <v xml:space="preserve">KOLLER                   DARWIN                   </v>
      </c>
      <c r="E24595" t="str">
        <f>"MEMPHIS                   "</f>
        <v xml:space="preserve">MEMPHIS                   </v>
      </c>
      <c r="F24595" t="str">
        <f t="shared" si="693"/>
        <v>TN</v>
      </c>
    </row>
    <row r="24596" spans="1:6" x14ac:dyDescent="0.25">
      <c r="A24596" t="str">
        <f>"200026705"</f>
        <v>200026705</v>
      </c>
      <c r="B24596" t="str">
        <f>"1699067819"</f>
        <v>1699067819</v>
      </c>
      <c r="C24596" t="str">
        <f>"208G00000X"</f>
        <v>208G00000X</v>
      </c>
      <c r="D24596" t="str">
        <f>"TRAHANAS                 JOHN                     "</f>
        <v xml:space="preserve">TRAHANAS                 JOHN                     </v>
      </c>
      <c r="E24596" t="str">
        <f>"NASHVILLE                 "</f>
        <v xml:space="preserve">NASHVILLE                 </v>
      </c>
      <c r="F24596" t="str">
        <f t="shared" si="693"/>
        <v>TN</v>
      </c>
    </row>
    <row r="24597" spans="1:6" x14ac:dyDescent="0.25">
      <c r="A24597" t="str">
        <f>"200026708"</f>
        <v>200026708</v>
      </c>
      <c r="B24597" t="str">
        <f>"1316567191"</f>
        <v>1316567191</v>
      </c>
      <c r="C24597" t="str">
        <f>"207P00000X"</f>
        <v>207P00000X</v>
      </c>
      <c r="D24597" t="str">
        <f>"MCNEILLY                 COREY                    "</f>
        <v xml:space="preserve">MCNEILLY                 COREY                    </v>
      </c>
      <c r="E24597" t="str">
        <f>"COLLIERVILLE              "</f>
        <v xml:space="preserve">COLLIERVILLE              </v>
      </c>
      <c r="F24597" t="str">
        <f t="shared" si="693"/>
        <v>TN</v>
      </c>
    </row>
    <row r="24598" spans="1:6" x14ac:dyDescent="0.25">
      <c r="A24598" t="str">
        <f>"200026712"</f>
        <v>200026712</v>
      </c>
      <c r="B24598" t="str">
        <f>"1346604253"</f>
        <v>1346604253</v>
      </c>
      <c r="C24598" t="str">
        <f>"207VX0201X"</f>
        <v>207VX0201X</v>
      </c>
      <c r="D24598" t="str">
        <f>"GWACHAM                  NNAMDI                   "</f>
        <v xml:space="preserve">GWACHAM                  NNAMDI                   </v>
      </c>
      <c r="E24598" t="str">
        <f t="shared" ref="E24598:E24604" si="695">"MEMPHIS                   "</f>
        <v xml:space="preserve">MEMPHIS                   </v>
      </c>
      <c r="F24598" t="str">
        <f t="shared" si="693"/>
        <v>TN</v>
      </c>
    </row>
    <row r="24599" spans="1:6" x14ac:dyDescent="0.25">
      <c r="A24599" t="str">
        <f>"200026740"</f>
        <v>200026740</v>
      </c>
      <c r="B24599" t="str">
        <f>"1972891885"</f>
        <v>1972891885</v>
      </c>
      <c r="C24599" t="str">
        <f>"367500000X"</f>
        <v>367500000X</v>
      </c>
      <c r="D24599" t="str">
        <f>"RUSSELL                  LAURA        K           "</f>
        <v xml:space="preserve">RUSSELL                  LAURA        K           </v>
      </c>
      <c r="E24599" t="str">
        <f t="shared" si="695"/>
        <v xml:space="preserve">MEMPHIS                   </v>
      </c>
      <c r="F24599" t="str">
        <f t="shared" si="693"/>
        <v>TN</v>
      </c>
    </row>
    <row r="24600" spans="1:6" x14ac:dyDescent="0.25">
      <c r="A24600" t="str">
        <f>"200026746"</f>
        <v>200026746</v>
      </c>
      <c r="B24600" t="str">
        <f>"1912587650"</f>
        <v>1912587650</v>
      </c>
      <c r="C24600" t="str">
        <f>"208000000X"</f>
        <v>208000000X</v>
      </c>
      <c r="D24600" t="str">
        <f>"LE                       PHUONG                   "</f>
        <v xml:space="preserve">LE                       PHUONG                   </v>
      </c>
      <c r="E24600" t="str">
        <f t="shared" si="695"/>
        <v xml:space="preserve">MEMPHIS                   </v>
      </c>
      <c r="F24600" t="str">
        <f t="shared" si="693"/>
        <v>TN</v>
      </c>
    </row>
    <row r="24601" spans="1:6" x14ac:dyDescent="0.25">
      <c r="A24601" t="str">
        <f>"200026756"</f>
        <v>200026756</v>
      </c>
      <c r="B24601" t="str">
        <f>"1245868744"</f>
        <v>1245868744</v>
      </c>
      <c r="C24601" t="str">
        <f>"208000000X"</f>
        <v>208000000X</v>
      </c>
      <c r="D24601" t="str">
        <f>"WENDELBO                 HANNAH                   "</f>
        <v xml:space="preserve">WENDELBO                 HANNAH                   </v>
      </c>
      <c r="E24601" t="str">
        <f t="shared" si="695"/>
        <v xml:space="preserve">MEMPHIS                   </v>
      </c>
      <c r="F24601" t="str">
        <f t="shared" si="693"/>
        <v>TN</v>
      </c>
    </row>
    <row r="24602" spans="1:6" x14ac:dyDescent="0.25">
      <c r="A24602" t="str">
        <f>"200026760"</f>
        <v>200026760</v>
      </c>
      <c r="B24602" t="str">
        <f>"1114556826"</f>
        <v>1114556826</v>
      </c>
      <c r="C24602" t="str">
        <f>"207QH0002X"</f>
        <v>207QH0002X</v>
      </c>
      <c r="D24602" t="str">
        <f>"MATHEW                   TRICIA                   "</f>
        <v xml:space="preserve">MATHEW                   TRICIA                   </v>
      </c>
      <c r="E24602" t="str">
        <f t="shared" si="695"/>
        <v xml:space="preserve">MEMPHIS                   </v>
      </c>
      <c r="F24602" t="str">
        <f t="shared" si="693"/>
        <v>TN</v>
      </c>
    </row>
    <row r="24603" spans="1:6" x14ac:dyDescent="0.25">
      <c r="A24603" t="str">
        <f>"200026782"</f>
        <v>200026782</v>
      </c>
      <c r="B24603" t="str">
        <f>"1548506249"</f>
        <v>1548506249</v>
      </c>
      <c r="C24603" t="str">
        <f>"367500000X"</f>
        <v>367500000X</v>
      </c>
      <c r="D24603" t="str">
        <f>"MAY                      ROBERT       W           "</f>
        <v xml:space="preserve">MAY                      ROBERT       W           </v>
      </c>
      <c r="E24603" t="str">
        <f t="shared" si="695"/>
        <v xml:space="preserve">MEMPHIS                   </v>
      </c>
      <c r="F24603" t="str">
        <f t="shared" si="693"/>
        <v>TN</v>
      </c>
    </row>
    <row r="24604" spans="1:6" x14ac:dyDescent="0.25">
      <c r="A24604" t="str">
        <f>"200026783"</f>
        <v>200026783</v>
      </c>
      <c r="B24604" t="str">
        <f>"1770254781"</f>
        <v>1770254781</v>
      </c>
      <c r="C24604" t="str">
        <f>"363L00000X"</f>
        <v>363L00000X</v>
      </c>
      <c r="D24604" t="str">
        <f>"MERRITT                  LANITA                   "</f>
        <v xml:space="preserve">MERRITT                  LANITA                   </v>
      </c>
      <c r="E24604" t="str">
        <f t="shared" si="695"/>
        <v xml:space="preserve">MEMPHIS                   </v>
      </c>
      <c r="F24604" t="str">
        <f t="shared" si="693"/>
        <v>TN</v>
      </c>
    </row>
    <row r="24605" spans="1:6" x14ac:dyDescent="0.25">
      <c r="A24605" t="str">
        <f>"200026791"</f>
        <v>200026791</v>
      </c>
      <c r="B24605" t="str">
        <f>"1447756325"</f>
        <v>1447756325</v>
      </c>
      <c r="C24605" t="str">
        <f>"207P00000X"</f>
        <v>207P00000X</v>
      </c>
      <c r="D24605" t="str">
        <f>"IBIKUNLE                 AMINAT                   "</f>
        <v xml:space="preserve">IBIKUNLE                 AMINAT                   </v>
      </c>
      <c r="E24605" t="str">
        <f>"HUNTINGDON                "</f>
        <v xml:space="preserve">HUNTINGDON                </v>
      </c>
      <c r="F24605" t="str">
        <f t="shared" si="693"/>
        <v>TN</v>
      </c>
    </row>
    <row r="24606" spans="1:6" x14ac:dyDescent="0.25">
      <c r="A24606" t="str">
        <f>"200026793"</f>
        <v>200026793</v>
      </c>
      <c r="B24606" t="str">
        <f>"1366091613"</f>
        <v>1366091613</v>
      </c>
      <c r="C24606" t="str">
        <f>"207RN0300X"</f>
        <v>207RN0300X</v>
      </c>
      <c r="D24606" t="str">
        <f>"MUSA                     MAHMOUD                  "</f>
        <v xml:space="preserve">MUSA                     MAHMOUD                  </v>
      </c>
      <c r="E24606" t="str">
        <f>"MEMPHIS                   "</f>
        <v xml:space="preserve">MEMPHIS                   </v>
      </c>
      <c r="F24606" t="str">
        <f t="shared" si="693"/>
        <v>TN</v>
      </c>
    </row>
    <row r="24607" spans="1:6" x14ac:dyDescent="0.25">
      <c r="A24607" t="str">
        <f>"200026795"</f>
        <v>200026795</v>
      </c>
      <c r="B24607" t="str">
        <f>"1407599277"</f>
        <v>1407599277</v>
      </c>
      <c r="C24607" t="str">
        <f>"207P00000X"</f>
        <v>207P00000X</v>
      </c>
      <c r="D24607" t="str">
        <f>"HOJATI                   DEANNA                   "</f>
        <v xml:space="preserve">HOJATI                   DEANNA                   </v>
      </c>
      <c r="E24607" t="str">
        <f>"COLLIERVILLE              "</f>
        <v xml:space="preserve">COLLIERVILLE              </v>
      </c>
      <c r="F24607" t="str">
        <f t="shared" si="693"/>
        <v>TN</v>
      </c>
    </row>
    <row r="24608" spans="1:6" x14ac:dyDescent="0.25">
      <c r="A24608" t="str">
        <f>"200026796"</f>
        <v>200026796</v>
      </c>
      <c r="B24608" t="str">
        <f>"1114159431"</f>
        <v>1114159431</v>
      </c>
      <c r="C24608" t="str">
        <f>"367500000X"</f>
        <v>367500000X</v>
      </c>
      <c r="D24608" t="str">
        <f>"WEBSTER                  RACHAEL      N           "</f>
        <v xml:space="preserve">WEBSTER                  RACHAEL      N           </v>
      </c>
      <c r="E24608" t="str">
        <f t="shared" ref="E24608:E24613" si="696">"MEMPHIS                   "</f>
        <v xml:space="preserve">MEMPHIS                   </v>
      </c>
      <c r="F24608" t="str">
        <f t="shared" si="693"/>
        <v>TN</v>
      </c>
    </row>
    <row r="24609" spans="1:6" x14ac:dyDescent="0.25">
      <c r="A24609" t="str">
        <f>"200026812"</f>
        <v>200026812</v>
      </c>
      <c r="B24609" t="str">
        <f>"1417376179"</f>
        <v>1417376179</v>
      </c>
      <c r="C24609" t="str">
        <f>"363LF0000X"</f>
        <v>363LF0000X</v>
      </c>
      <c r="D24609" t="str">
        <f>"ERKEL                    MARY                     "</f>
        <v xml:space="preserve">ERKEL                    MARY                     </v>
      </c>
      <c r="E24609" t="str">
        <f t="shared" si="696"/>
        <v xml:space="preserve">MEMPHIS                   </v>
      </c>
      <c r="F24609" t="str">
        <f t="shared" si="693"/>
        <v>TN</v>
      </c>
    </row>
    <row r="24610" spans="1:6" x14ac:dyDescent="0.25">
      <c r="A24610" t="str">
        <f>"200026823"</f>
        <v>200026823</v>
      </c>
      <c r="B24610" t="str">
        <f>"1114565041"</f>
        <v>1114565041</v>
      </c>
      <c r="C24610" t="str">
        <f>"2080P0208X"</f>
        <v>2080P0208X</v>
      </c>
      <c r="D24610" t="str">
        <f>"SHAMS                    SHAFAY                   "</f>
        <v xml:space="preserve">SHAMS                    SHAFAY                   </v>
      </c>
      <c r="E24610" t="str">
        <f t="shared" si="696"/>
        <v xml:space="preserve">MEMPHIS                   </v>
      </c>
      <c r="F24610" t="str">
        <f t="shared" si="693"/>
        <v>TN</v>
      </c>
    </row>
    <row r="24611" spans="1:6" x14ac:dyDescent="0.25">
      <c r="A24611" t="str">
        <f>"200026833"</f>
        <v>200026833</v>
      </c>
      <c r="B24611" t="str">
        <f>"1457056814"</f>
        <v>1457056814</v>
      </c>
      <c r="C24611" t="str">
        <f>"207PP0204X"</f>
        <v>207PP0204X</v>
      </c>
      <c r="D24611" t="str">
        <f>"BOLIN                    JOSEPHINE                "</f>
        <v xml:space="preserve">BOLIN                    JOSEPHINE                </v>
      </c>
      <c r="E24611" t="str">
        <f t="shared" si="696"/>
        <v xml:space="preserve">MEMPHIS                   </v>
      </c>
      <c r="F24611" t="str">
        <f t="shared" si="693"/>
        <v>TN</v>
      </c>
    </row>
    <row r="24612" spans="1:6" x14ac:dyDescent="0.25">
      <c r="A24612" t="str">
        <f>"200026857"</f>
        <v>200026857</v>
      </c>
      <c r="B24612" t="str">
        <f>"1104823020"</f>
        <v>1104823020</v>
      </c>
      <c r="C24612" t="str">
        <f>"207Q00000X"</f>
        <v>207Q00000X</v>
      </c>
      <c r="D24612" t="str">
        <f>"ADAMS                    CECILIA                  "</f>
        <v xml:space="preserve">ADAMS                    CECILIA                  </v>
      </c>
      <c r="E24612" t="str">
        <f t="shared" si="696"/>
        <v xml:space="preserve">MEMPHIS                   </v>
      </c>
      <c r="F24612" t="str">
        <f t="shared" si="693"/>
        <v>TN</v>
      </c>
    </row>
    <row r="24613" spans="1:6" x14ac:dyDescent="0.25">
      <c r="A24613" t="str">
        <f>"200026858"</f>
        <v>200026858</v>
      </c>
      <c r="B24613" t="str">
        <f>"1043176522"</f>
        <v>1043176522</v>
      </c>
      <c r="C24613" t="str">
        <f>"363LP0200X"</f>
        <v>363LP0200X</v>
      </c>
      <c r="D24613" t="str">
        <f>"EMPTAGE                  MAYA                     "</f>
        <v xml:space="preserve">EMPTAGE                  MAYA                     </v>
      </c>
      <c r="E24613" t="str">
        <f t="shared" si="696"/>
        <v xml:space="preserve">MEMPHIS                   </v>
      </c>
      <c r="F24613" t="str">
        <f t="shared" si="693"/>
        <v>TN</v>
      </c>
    </row>
    <row r="24614" spans="1:6" x14ac:dyDescent="0.25">
      <c r="A24614" t="str">
        <f>"200026859"</f>
        <v>200026859</v>
      </c>
      <c r="B24614" t="str">
        <f>"1386193803"</f>
        <v>1386193803</v>
      </c>
      <c r="C24614" t="str">
        <f>"363L00000X"</f>
        <v>363L00000X</v>
      </c>
      <c r="D24614" t="str">
        <f>"SCHICHTEL                BARRATT                  "</f>
        <v xml:space="preserve">SCHICHTEL                BARRATT                  </v>
      </c>
      <c r="E24614" t="str">
        <f>"SAVANNAH                  "</f>
        <v xml:space="preserve">SAVANNAH                  </v>
      </c>
      <c r="F24614" t="str">
        <f t="shared" si="693"/>
        <v>TN</v>
      </c>
    </row>
    <row r="24615" spans="1:6" x14ac:dyDescent="0.25">
      <c r="A24615" t="str">
        <f>"200026865"</f>
        <v>200026865</v>
      </c>
      <c r="B24615" t="str">
        <f>"1124335690"</f>
        <v>1124335690</v>
      </c>
      <c r="C24615" t="str">
        <f>"367500000X"</f>
        <v>367500000X</v>
      </c>
      <c r="D24615" t="str">
        <f>"PHILLIPS                 APRIL                    "</f>
        <v xml:space="preserve">PHILLIPS                 APRIL                    </v>
      </c>
      <c r="E24615" t="str">
        <f>"MEMPHIS                   "</f>
        <v xml:space="preserve">MEMPHIS                   </v>
      </c>
      <c r="F24615" t="str">
        <f t="shared" si="693"/>
        <v>TN</v>
      </c>
    </row>
    <row r="24616" spans="1:6" x14ac:dyDescent="0.25">
      <c r="A24616" t="str">
        <f>"200026874"</f>
        <v>200026874</v>
      </c>
      <c r="B24616" t="str">
        <f>"1215100011"</f>
        <v>1215100011</v>
      </c>
      <c r="C24616" t="str">
        <f>"2080P0207X"</f>
        <v>2080P0207X</v>
      </c>
      <c r="D24616" t="str">
        <f>"CARROLL                  CLINTON                  "</f>
        <v xml:space="preserve">CARROLL                  CLINTON                  </v>
      </c>
      <c r="E24616" t="str">
        <f>"NASHVILLE                 "</f>
        <v xml:space="preserve">NASHVILLE                 </v>
      </c>
      <c r="F24616" t="str">
        <f t="shared" si="693"/>
        <v>TN</v>
      </c>
    </row>
    <row r="24617" spans="1:6" x14ac:dyDescent="0.25">
      <c r="A24617" t="str">
        <f>"200026876"</f>
        <v>200026876</v>
      </c>
      <c r="B24617" t="str">
        <f>"1063020469"</f>
        <v>1063020469</v>
      </c>
      <c r="C24617" t="str">
        <f>"363LF0000X"</f>
        <v>363LF0000X</v>
      </c>
      <c r="D24617" t="str">
        <f>"WADDELL                  PATIENCE     J           "</f>
        <v xml:space="preserve">WADDELL                  PATIENCE     J           </v>
      </c>
      <c r="E24617" t="str">
        <f>"MEMPHIS                   "</f>
        <v xml:space="preserve">MEMPHIS                   </v>
      </c>
      <c r="F24617" t="str">
        <f t="shared" si="693"/>
        <v>TN</v>
      </c>
    </row>
    <row r="24618" spans="1:6" x14ac:dyDescent="0.25">
      <c r="A24618" t="str">
        <f>"200026877"</f>
        <v>200026877</v>
      </c>
      <c r="B24618" t="str">
        <f>"1497288138"</f>
        <v>1497288138</v>
      </c>
      <c r="C24618" t="str">
        <f>"208M00000X"</f>
        <v>208M00000X</v>
      </c>
      <c r="D24618" t="str">
        <f>"ALLEN                    ANNA                     "</f>
        <v xml:space="preserve">ALLEN                    ANNA                     </v>
      </c>
      <c r="E24618" t="str">
        <f>"MEMPHIS                   "</f>
        <v xml:space="preserve">MEMPHIS                   </v>
      </c>
      <c r="F24618" t="str">
        <f t="shared" si="693"/>
        <v>TN</v>
      </c>
    </row>
    <row r="24619" spans="1:6" x14ac:dyDescent="0.25">
      <c r="A24619" t="str">
        <f>"200026882"</f>
        <v>200026882</v>
      </c>
      <c r="B24619" t="str">
        <f>"1871866830"</f>
        <v>1871866830</v>
      </c>
      <c r="C24619" t="str">
        <f>"363L00000X"</f>
        <v>363L00000X</v>
      </c>
      <c r="D24619" t="str">
        <f>"STEPTER                  CLESHEREE                "</f>
        <v xml:space="preserve">STEPTER                  CLESHEREE                </v>
      </c>
      <c r="E24619" t="str">
        <f>"DYERSBURG                 "</f>
        <v xml:space="preserve">DYERSBURG                 </v>
      </c>
      <c r="F24619" t="str">
        <f t="shared" si="693"/>
        <v>TN</v>
      </c>
    </row>
    <row r="24620" spans="1:6" x14ac:dyDescent="0.25">
      <c r="A24620" t="str">
        <f>"200026889"</f>
        <v>200026889</v>
      </c>
      <c r="B24620" t="str">
        <f>"1215622717"</f>
        <v>1215622717</v>
      </c>
      <c r="C24620" t="str">
        <f>"207PP0204X"</f>
        <v>207PP0204X</v>
      </c>
      <c r="D24620" t="str">
        <f>"THOMAS                   JACK                     "</f>
        <v xml:space="preserve">THOMAS                   JACK                     </v>
      </c>
      <c r="E24620" t="str">
        <f t="shared" ref="E24620:E24627" si="697">"MEMPHIS                   "</f>
        <v xml:space="preserve">MEMPHIS                   </v>
      </c>
      <c r="F24620" t="str">
        <f t="shared" si="693"/>
        <v>TN</v>
      </c>
    </row>
    <row r="24621" spans="1:6" x14ac:dyDescent="0.25">
      <c r="A24621" t="str">
        <f>"200026908"</f>
        <v>200026908</v>
      </c>
      <c r="B24621" t="str">
        <f>"1275590507"</f>
        <v>1275590507</v>
      </c>
      <c r="C24621" t="str">
        <f>"207P00000X"</f>
        <v>207P00000X</v>
      </c>
      <c r="D24621" t="str">
        <f>"SMARTT                   CHANTAY                  "</f>
        <v xml:space="preserve">SMARTT                   CHANTAY                  </v>
      </c>
      <c r="E24621" t="str">
        <f t="shared" si="697"/>
        <v xml:space="preserve">MEMPHIS                   </v>
      </c>
      <c r="F24621" t="str">
        <f t="shared" si="693"/>
        <v>TN</v>
      </c>
    </row>
    <row r="24622" spans="1:6" x14ac:dyDescent="0.25">
      <c r="A24622" t="str">
        <f>"200026936"</f>
        <v>200026936</v>
      </c>
      <c r="B24622" t="str">
        <f>"1306264148"</f>
        <v>1306264148</v>
      </c>
      <c r="C24622" t="str">
        <f>"2086S0127X"</f>
        <v>2086S0127X</v>
      </c>
      <c r="D24622" t="str">
        <f>"BYERLY                   SASKYA                   "</f>
        <v xml:space="preserve">BYERLY                   SASKYA                   </v>
      </c>
      <c r="E24622" t="str">
        <f t="shared" si="697"/>
        <v xml:space="preserve">MEMPHIS                   </v>
      </c>
      <c r="F24622" t="str">
        <f t="shared" si="693"/>
        <v>TN</v>
      </c>
    </row>
    <row r="24623" spans="1:6" x14ac:dyDescent="0.25">
      <c r="A24623" t="str">
        <f>"200026939"</f>
        <v>200026939</v>
      </c>
      <c r="B24623" t="str">
        <f>"1285052209"</f>
        <v>1285052209</v>
      </c>
      <c r="C24623" t="str">
        <f>"363LF0000X"</f>
        <v>363LF0000X</v>
      </c>
      <c r="D24623" t="str">
        <f>"CARNER                   ERIN                     "</f>
        <v xml:space="preserve">CARNER                   ERIN                     </v>
      </c>
      <c r="E24623" t="str">
        <f t="shared" si="697"/>
        <v xml:space="preserve">MEMPHIS                   </v>
      </c>
      <c r="F24623" t="str">
        <f t="shared" si="693"/>
        <v>TN</v>
      </c>
    </row>
    <row r="24624" spans="1:6" x14ac:dyDescent="0.25">
      <c r="A24624" t="str">
        <f>"200026947"</f>
        <v>200026947</v>
      </c>
      <c r="B24624" t="str">
        <f>"1659016921"</f>
        <v>1659016921</v>
      </c>
      <c r="C24624" t="str">
        <f>"208000000X"</f>
        <v>208000000X</v>
      </c>
      <c r="D24624" t="str">
        <f>"EDWARDS                  ASIA                     "</f>
        <v xml:space="preserve">EDWARDS                  ASIA                     </v>
      </c>
      <c r="E24624" t="str">
        <f t="shared" si="697"/>
        <v xml:space="preserve">MEMPHIS                   </v>
      </c>
      <c r="F24624" t="str">
        <f t="shared" si="693"/>
        <v>TN</v>
      </c>
    </row>
    <row r="24625" spans="1:6" x14ac:dyDescent="0.25">
      <c r="A24625" t="str">
        <f>"200026948"</f>
        <v>200026948</v>
      </c>
      <c r="B24625" t="str">
        <f>"1952981003"</f>
        <v>1952981003</v>
      </c>
      <c r="C24625" t="str">
        <f>"208000000X"</f>
        <v>208000000X</v>
      </c>
      <c r="D24625" t="str">
        <f>"LU                       CHRISTINE                "</f>
        <v xml:space="preserve">LU                       CHRISTINE                </v>
      </c>
      <c r="E24625" t="str">
        <f t="shared" si="697"/>
        <v xml:space="preserve">MEMPHIS                   </v>
      </c>
      <c r="F24625" t="str">
        <f t="shared" si="693"/>
        <v>TN</v>
      </c>
    </row>
    <row r="24626" spans="1:6" x14ac:dyDescent="0.25">
      <c r="A24626" t="str">
        <f>"200026962"</f>
        <v>200026962</v>
      </c>
      <c r="B24626" t="str">
        <f>"1194420869"</f>
        <v>1194420869</v>
      </c>
      <c r="C24626" t="str">
        <f>"207PP0204X"</f>
        <v>207PP0204X</v>
      </c>
      <c r="D24626" t="str">
        <f>"LIU                      ELISE                    "</f>
        <v xml:space="preserve">LIU                      ELISE                    </v>
      </c>
      <c r="E24626" t="str">
        <f t="shared" si="697"/>
        <v xml:space="preserve">MEMPHIS                   </v>
      </c>
      <c r="F24626" t="str">
        <f t="shared" si="693"/>
        <v>TN</v>
      </c>
    </row>
    <row r="24627" spans="1:6" x14ac:dyDescent="0.25">
      <c r="A24627" t="str">
        <f>"200026965"</f>
        <v>200026965</v>
      </c>
      <c r="B24627" t="str">
        <f>"1124002704"</f>
        <v>1124002704</v>
      </c>
      <c r="C24627" t="str">
        <f>"207ZP0102X"</f>
        <v>207ZP0102X</v>
      </c>
      <c r="D24627" t="str">
        <f>"BRADLEY                  ROBERT       M           "</f>
        <v xml:space="preserve">BRADLEY                  ROBERT       M           </v>
      </c>
      <c r="E24627" t="str">
        <f t="shared" si="697"/>
        <v xml:space="preserve">MEMPHIS                   </v>
      </c>
      <c r="F24627" t="str">
        <f t="shared" si="693"/>
        <v>TN</v>
      </c>
    </row>
    <row r="24628" spans="1:6" x14ac:dyDescent="0.25">
      <c r="A24628" t="str">
        <f>"200026966"</f>
        <v>200026966</v>
      </c>
      <c r="B24628" t="str">
        <f>"1477136927"</f>
        <v>1477136927</v>
      </c>
      <c r="C24628" t="str">
        <f>"207P00000X"</f>
        <v>207P00000X</v>
      </c>
      <c r="D24628" t="str">
        <f>"KORSON                   CLAYTON                  "</f>
        <v xml:space="preserve">KORSON                   CLAYTON                  </v>
      </c>
      <c r="E24628" t="str">
        <f>"NASHVILLE                 "</f>
        <v xml:space="preserve">NASHVILLE                 </v>
      </c>
      <c r="F24628" t="str">
        <f t="shared" si="693"/>
        <v>TN</v>
      </c>
    </row>
    <row r="24629" spans="1:6" x14ac:dyDescent="0.25">
      <c r="A24629" t="str">
        <f>"200026967"</f>
        <v>200026967</v>
      </c>
      <c r="B24629" t="str">
        <f>"1114193521"</f>
        <v>1114193521</v>
      </c>
      <c r="C24629" t="str">
        <f>"208600000X"</f>
        <v>208600000X</v>
      </c>
      <c r="D24629" t="str">
        <f>"DAGEFORDE                LEIGH                    "</f>
        <v xml:space="preserve">DAGEFORDE                LEIGH                    </v>
      </c>
      <c r="E24629" t="str">
        <f>"NASHVILLE                 "</f>
        <v xml:space="preserve">NASHVILLE                 </v>
      </c>
      <c r="F24629" t="str">
        <f t="shared" si="693"/>
        <v>TN</v>
      </c>
    </row>
    <row r="24630" spans="1:6" x14ac:dyDescent="0.25">
      <c r="A24630" t="str">
        <f>"200026980"</f>
        <v>200026980</v>
      </c>
      <c r="B24630" t="str">
        <f>"1407874944"</f>
        <v>1407874944</v>
      </c>
      <c r="C24630" t="str">
        <f>"207P00000X"</f>
        <v>207P00000X</v>
      </c>
      <c r="D24630" t="str">
        <f>"FATSEAS                  CHARLES                  "</f>
        <v xml:space="preserve">FATSEAS                  CHARLES                  </v>
      </c>
      <c r="E24630" t="str">
        <f>"SAVANNAH                  "</f>
        <v xml:space="preserve">SAVANNAH                  </v>
      </c>
      <c r="F24630" t="str">
        <f t="shared" si="693"/>
        <v>TN</v>
      </c>
    </row>
    <row r="24631" spans="1:6" x14ac:dyDescent="0.25">
      <c r="A24631" t="str">
        <f>"200026983"</f>
        <v>200026983</v>
      </c>
      <c r="B24631" t="str">
        <f>"1831190834"</f>
        <v>1831190834</v>
      </c>
      <c r="C24631" t="str">
        <f>"207P00000X"</f>
        <v>207P00000X</v>
      </c>
      <c r="D24631" t="str">
        <f>"RUSTOM                   AMAL                     "</f>
        <v xml:space="preserve">RUSTOM                   AMAL                     </v>
      </c>
      <c r="E24631" t="str">
        <f>"MEMPHIS                   "</f>
        <v xml:space="preserve">MEMPHIS                   </v>
      </c>
      <c r="F24631" t="str">
        <f t="shared" si="693"/>
        <v>TN</v>
      </c>
    </row>
    <row r="24632" spans="1:6" x14ac:dyDescent="0.25">
      <c r="A24632" t="str">
        <f>"200026994"</f>
        <v>200026994</v>
      </c>
      <c r="B24632" t="str">
        <f>"1710568522"</f>
        <v>1710568522</v>
      </c>
      <c r="C24632" t="str">
        <f>"207R00000X"</f>
        <v>207R00000X</v>
      </c>
      <c r="D24632" t="str">
        <f>"BLACK                    CAITLIN                  "</f>
        <v xml:space="preserve">BLACK                    CAITLIN                  </v>
      </c>
      <c r="E24632" t="str">
        <f>"HUNTINGDON                "</f>
        <v xml:space="preserve">HUNTINGDON                </v>
      </c>
      <c r="F24632" t="str">
        <f t="shared" si="693"/>
        <v>TN</v>
      </c>
    </row>
    <row r="24633" spans="1:6" x14ac:dyDescent="0.25">
      <c r="A24633" t="str">
        <f>"200026995"</f>
        <v>200026995</v>
      </c>
      <c r="B24633" t="str">
        <f>"1114612017"</f>
        <v>1114612017</v>
      </c>
      <c r="C24633" t="str">
        <f>"208000000X"</f>
        <v>208000000X</v>
      </c>
      <c r="D24633" t="str">
        <f>"MOMIN                    AAMIR                    "</f>
        <v xml:space="preserve">MOMIN                    AAMIR                    </v>
      </c>
      <c r="E24633" t="str">
        <f>"MEMPHIS                   "</f>
        <v xml:space="preserve">MEMPHIS                   </v>
      </c>
      <c r="F24633" t="str">
        <f t="shared" si="693"/>
        <v>TN</v>
      </c>
    </row>
    <row r="24634" spans="1:6" x14ac:dyDescent="0.25">
      <c r="A24634" t="str">
        <f>"200026996"</f>
        <v>200026996</v>
      </c>
      <c r="B24634" t="str">
        <f>"1902028947"</f>
        <v>1902028947</v>
      </c>
      <c r="C24634" t="str">
        <f>"207X00000X"</f>
        <v>207X00000X</v>
      </c>
      <c r="D24634" t="str">
        <f>"SCHROERLUCKE             SAMUEL       R           "</f>
        <v xml:space="preserve">SCHROERLUCKE             SAMUEL       R           </v>
      </c>
      <c r="E24634" t="str">
        <f>"MEMPHIS                   "</f>
        <v xml:space="preserve">MEMPHIS                   </v>
      </c>
      <c r="F24634" t="str">
        <f t="shared" si="693"/>
        <v>TN</v>
      </c>
    </row>
    <row r="24635" spans="1:6" x14ac:dyDescent="0.25">
      <c r="A24635" t="str">
        <f>"200027000"</f>
        <v>200027000</v>
      </c>
      <c r="B24635" t="str">
        <f>"1174269146"</f>
        <v>1174269146</v>
      </c>
      <c r="C24635" t="str">
        <f>"208000000X"</f>
        <v>208000000X</v>
      </c>
      <c r="D24635" t="str">
        <f>"REIDEL                   ERIK                     "</f>
        <v xml:space="preserve">REIDEL                   ERIK                     </v>
      </c>
      <c r="E24635" t="str">
        <f>"MEMPHIS                   "</f>
        <v xml:space="preserve">MEMPHIS                   </v>
      </c>
      <c r="F24635" t="str">
        <f t="shared" si="693"/>
        <v>TN</v>
      </c>
    </row>
    <row r="24636" spans="1:6" x14ac:dyDescent="0.25">
      <c r="A24636" t="str">
        <f>"200027011"</f>
        <v>200027011</v>
      </c>
      <c r="B24636" t="str">
        <f>"1558169169"</f>
        <v>1558169169</v>
      </c>
      <c r="C24636" t="str">
        <f>"363LF0000X"</f>
        <v>363LF0000X</v>
      </c>
      <c r="D24636" t="str">
        <f>"BRESSETTE                CASIE                    "</f>
        <v xml:space="preserve">BRESSETTE                CASIE                    </v>
      </c>
      <c r="E24636" t="str">
        <f>"GERMANTOWN                "</f>
        <v xml:space="preserve">GERMANTOWN                </v>
      </c>
      <c r="F24636" t="str">
        <f t="shared" si="693"/>
        <v>TN</v>
      </c>
    </row>
    <row r="24637" spans="1:6" x14ac:dyDescent="0.25">
      <c r="A24637" t="str">
        <f>"200027055"</f>
        <v>200027055</v>
      </c>
      <c r="B24637" t="str">
        <f>"1053817668"</f>
        <v>1053817668</v>
      </c>
      <c r="C24637" t="str">
        <f>"207X00000X"</f>
        <v>207X00000X</v>
      </c>
      <c r="D24637" t="str">
        <f>"MOSHER                   ZACHARY                  "</f>
        <v xml:space="preserve">MOSHER                   ZACHARY                  </v>
      </c>
      <c r="E24637" t="str">
        <f>"GERMANTOWN                "</f>
        <v xml:space="preserve">GERMANTOWN                </v>
      </c>
      <c r="F24637" t="str">
        <f t="shared" si="693"/>
        <v>TN</v>
      </c>
    </row>
    <row r="24638" spans="1:6" x14ac:dyDescent="0.25">
      <c r="A24638" t="str">
        <f>"200027061"</f>
        <v>200027061</v>
      </c>
      <c r="B24638" t="str">
        <f>"1457647414"</f>
        <v>1457647414</v>
      </c>
      <c r="C24638" t="str">
        <f>"363A00000X"</f>
        <v>363A00000X</v>
      </c>
      <c r="D24638" t="str">
        <f>"SMOYER                   BRENT                    "</f>
        <v xml:space="preserve">SMOYER                   BRENT                    </v>
      </c>
      <c r="E24638" t="str">
        <f>"MEMPHIS                   "</f>
        <v xml:space="preserve">MEMPHIS                   </v>
      </c>
      <c r="F24638" t="str">
        <f t="shared" ref="F24638:F24701" si="698">"TN"</f>
        <v>TN</v>
      </c>
    </row>
    <row r="24639" spans="1:6" x14ac:dyDescent="0.25">
      <c r="A24639" t="str">
        <f>"200027063"</f>
        <v>200027063</v>
      </c>
      <c r="B24639" t="str">
        <f>"1285079863"</f>
        <v>1285079863</v>
      </c>
      <c r="C24639" t="str">
        <f>"2085R0001X"</f>
        <v>2085R0001X</v>
      </c>
      <c r="D24639" t="str">
        <f>"LOCKNEY                  NATALIE                  "</f>
        <v xml:space="preserve">LOCKNEY                  NATALIE                  </v>
      </c>
      <c r="E24639" t="str">
        <f>"NASHVILLE                 "</f>
        <v xml:space="preserve">NASHVILLE                 </v>
      </c>
      <c r="F24639" t="str">
        <f t="shared" si="698"/>
        <v>TN</v>
      </c>
    </row>
    <row r="24640" spans="1:6" x14ac:dyDescent="0.25">
      <c r="A24640" t="str">
        <f>"200027090"</f>
        <v>200027090</v>
      </c>
      <c r="B24640" t="str">
        <f>"1700063351"</f>
        <v>1700063351</v>
      </c>
      <c r="C24640" t="str">
        <f>"207P00000X"</f>
        <v>207P00000X</v>
      </c>
      <c r="D24640" t="str">
        <f>"CELARIE                  NORBERTO                 "</f>
        <v xml:space="preserve">CELARIE                  NORBERTO                 </v>
      </c>
      <c r="E24640" t="str">
        <f>"SAVANNAH                  "</f>
        <v xml:space="preserve">SAVANNAH                  </v>
      </c>
      <c r="F24640" t="str">
        <f t="shared" si="698"/>
        <v>TN</v>
      </c>
    </row>
    <row r="24641" spans="1:6" x14ac:dyDescent="0.25">
      <c r="A24641" t="str">
        <f>"200027096"</f>
        <v>200027096</v>
      </c>
      <c r="B24641" t="str">
        <f>"1093580896"</f>
        <v>1093580896</v>
      </c>
      <c r="C24641" t="str">
        <f>"363LA2100X"</f>
        <v>363LA2100X</v>
      </c>
      <c r="D24641" t="str">
        <f>"BROWN                    GEORGIA      B           "</f>
        <v xml:space="preserve">BROWN                    GEORGIA      B           </v>
      </c>
      <c r="E24641" t="str">
        <f>"MEMPHIS                   "</f>
        <v xml:space="preserve">MEMPHIS                   </v>
      </c>
      <c r="F24641" t="str">
        <f t="shared" si="698"/>
        <v>TN</v>
      </c>
    </row>
    <row r="24642" spans="1:6" x14ac:dyDescent="0.25">
      <c r="A24642" t="str">
        <f>"200027111"</f>
        <v>200027111</v>
      </c>
      <c r="B24642" t="str">
        <f>"1497625867"</f>
        <v>1497625867</v>
      </c>
      <c r="C24642" t="str">
        <f>"363LF0000X"</f>
        <v>363LF0000X</v>
      </c>
      <c r="D24642" t="str">
        <f>"SUNNY                    SHANTEL                  "</f>
        <v xml:space="preserve">SUNNY                    SHANTEL                  </v>
      </c>
      <c r="E24642" t="str">
        <f>"GERMANTOWN                "</f>
        <v xml:space="preserve">GERMANTOWN                </v>
      </c>
      <c r="F24642" t="str">
        <f t="shared" si="698"/>
        <v>TN</v>
      </c>
    </row>
    <row r="24643" spans="1:6" x14ac:dyDescent="0.25">
      <c r="A24643" t="str">
        <f>"200027121"</f>
        <v>200027121</v>
      </c>
      <c r="B24643" t="str">
        <f>"1558005900"</f>
        <v>1558005900</v>
      </c>
      <c r="C24643" t="str">
        <f>"208000000X"</f>
        <v>208000000X</v>
      </c>
      <c r="D24643" t="str">
        <f>"ROPER                    SYDNEY                   "</f>
        <v xml:space="preserve">ROPER                    SYDNEY                   </v>
      </c>
      <c r="E24643" t="str">
        <f>"MEMPHIS                   "</f>
        <v xml:space="preserve">MEMPHIS                   </v>
      </c>
      <c r="F24643" t="str">
        <f t="shared" si="698"/>
        <v>TN</v>
      </c>
    </row>
    <row r="24644" spans="1:6" x14ac:dyDescent="0.25">
      <c r="A24644" t="str">
        <f>"200027127"</f>
        <v>200027127</v>
      </c>
      <c r="B24644" t="str">
        <f>"1760346449"</f>
        <v>1760346449</v>
      </c>
      <c r="C24644" t="str">
        <f>"363LF0000X"</f>
        <v>363LF0000X</v>
      </c>
      <c r="D24644" t="str">
        <f>"CARNES                   LESLIE                   "</f>
        <v xml:space="preserve">CARNES                   LESLIE                   </v>
      </c>
      <c r="E24644" t="str">
        <f>"MEMPHIS                   "</f>
        <v xml:space="preserve">MEMPHIS                   </v>
      </c>
      <c r="F24644" t="str">
        <f t="shared" si="698"/>
        <v>TN</v>
      </c>
    </row>
    <row r="24645" spans="1:6" x14ac:dyDescent="0.25">
      <c r="A24645" t="str">
        <f>"200027139"</f>
        <v>200027139</v>
      </c>
      <c r="B24645" t="str">
        <f>"1235711078"</f>
        <v>1235711078</v>
      </c>
      <c r="C24645" t="str">
        <f>"208000000X"</f>
        <v>208000000X</v>
      </c>
      <c r="D24645" t="str">
        <f>"UKADIKE                  CHIDINMA                 "</f>
        <v xml:space="preserve">UKADIKE                  CHIDINMA                 </v>
      </c>
      <c r="E24645" t="str">
        <f>"MEMPHIS                   "</f>
        <v xml:space="preserve">MEMPHIS                   </v>
      </c>
      <c r="F24645" t="str">
        <f t="shared" si="698"/>
        <v>TN</v>
      </c>
    </row>
    <row r="24646" spans="1:6" x14ac:dyDescent="0.25">
      <c r="A24646" t="str">
        <f>"200027144"</f>
        <v>200027144</v>
      </c>
      <c r="B24646" t="str">
        <f>"1255309878"</f>
        <v>1255309878</v>
      </c>
      <c r="C24646" t="str">
        <f>"207Q00000X"</f>
        <v>207Q00000X</v>
      </c>
      <c r="D24646" t="str">
        <f>"FALBO                    FRANCIS                  "</f>
        <v xml:space="preserve">FALBO                    FRANCIS                  </v>
      </c>
      <c r="E24646" t="str">
        <f>"SAVANNAH                  "</f>
        <v xml:space="preserve">SAVANNAH                  </v>
      </c>
      <c r="F24646" t="str">
        <f t="shared" si="698"/>
        <v>TN</v>
      </c>
    </row>
    <row r="24647" spans="1:6" x14ac:dyDescent="0.25">
      <c r="A24647" t="str">
        <f>"200027147"</f>
        <v>200027147</v>
      </c>
      <c r="B24647" t="str">
        <f>"1568344570"</f>
        <v>1568344570</v>
      </c>
      <c r="C24647" t="str">
        <f>"363LA2100X"</f>
        <v>363LA2100X</v>
      </c>
      <c r="D24647" t="str">
        <f>"STORY                    KAYLIN       W           "</f>
        <v xml:space="preserve">STORY                    KAYLIN       W           </v>
      </c>
      <c r="E24647" t="str">
        <f>"MEMPHIS                   "</f>
        <v xml:space="preserve">MEMPHIS                   </v>
      </c>
      <c r="F24647" t="str">
        <f t="shared" si="698"/>
        <v>TN</v>
      </c>
    </row>
    <row r="24648" spans="1:6" x14ac:dyDescent="0.25">
      <c r="A24648" t="str">
        <f>"200027156"</f>
        <v>200027156</v>
      </c>
      <c r="B24648" t="str">
        <f>"1528410024"</f>
        <v>1528410024</v>
      </c>
      <c r="C24648" t="str">
        <f>"363LF0000X"</f>
        <v>363LF0000X</v>
      </c>
      <c r="D24648" t="str">
        <f>"WHALEN                   ANGELA                   "</f>
        <v xml:space="preserve">WHALEN                   ANGELA                   </v>
      </c>
      <c r="E24648" t="str">
        <f>"MEMPHIS                   "</f>
        <v xml:space="preserve">MEMPHIS                   </v>
      </c>
      <c r="F24648" t="str">
        <f t="shared" si="698"/>
        <v>TN</v>
      </c>
    </row>
    <row r="24649" spans="1:6" x14ac:dyDescent="0.25">
      <c r="A24649" t="str">
        <f>"200027163"</f>
        <v>200027163</v>
      </c>
      <c r="B24649" t="str">
        <f>"1326488677"</f>
        <v>1326488677</v>
      </c>
      <c r="C24649" t="str">
        <f>"363LA2100X"</f>
        <v>363LA2100X</v>
      </c>
      <c r="D24649" t="str">
        <f>"LOVE                     LAUREN                   "</f>
        <v xml:space="preserve">LOVE                     LAUREN                   </v>
      </c>
      <c r="E24649" t="str">
        <f>"MEMPHIS                   "</f>
        <v xml:space="preserve">MEMPHIS                   </v>
      </c>
      <c r="F24649" t="str">
        <f t="shared" si="698"/>
        <v>TN</v>
      </c>
    </row>
    <row r="24650" spans="1:6" x14ac:dyDescent="0.25">
      <c r="A24650" t="str">
        <f>"200027175"</f>
        <v>200027175</v>
      </c>
      <c r="B24650" t="str">
        <f>"1649416967"</f>
        <v>1649416967</v>
      </c>
      <c r="C24650" t="str">
        <f>"363LF0000X"</f>
        <v>363LF0000X</v>
      </c>
      <c r="D24650" t="str">
        <f>"PARHAM                   BARBARA                  "</f>
        <v xml:space="preserve">PARHAM                   BARBARA                  </v>
      </c>
      <c r="E24650" t="str">
        <f>"GERMANTOWN                "</f>
        <v xml:space="preserve">GERMANTOWN                </v>
      </c>
      <c r="F24650" t="str">
        <f t="shared" si="698"/>
        <v>TN</v>
      </c>
    </row>
    <row r="24651" spans="1:6" x14ac:dyDescent="0.25">
      <c r="A24651" t="str">
        <f>"200027182"</f>
        <v>200027182</v>
      </c>
      <c r="B24651" t="str">
        <f>"1275275471"</f>
        <v>1275275471</v>
      </c>
      <c r="C24651" t="str">
        <f>"208000000X"</f>
        <v>208000000X</v>
      </c>
      <c r="D24651" t="str">
        <f>"LOWE                     CARRIE                   "</f>
        <v xml:space="preserve">LOWE                     CARRIE                   </v>
      </c>
      <c r="E24651" t="str">
        <f>"MEMPHIS                   "</f>
        <v xml:space="preserve">MEMPHIS                   </v>
      </c>
      <c r="F24651" t="str">
        <f t="shared" si="698"/>
        <v>TN</v>
      </c>
    </row>
    <row r="24652" spans="1:6" x14ac:dyDescent="0.25">
      <c r="A24652" t="str">
        <f>"200027183"</f>
        <v>200027183</v>
      </c>
      <c r="B24652" t="str">
        <f>"1578193561"</f>
        <v>1578193561</v>
      </c>
      <c r="C24652" t="str">
        <f>"363A00000X"</f>
        <v>363A00000X</v>
      </c>
      <c r="D24652" t="str">
        <f>"LYLE                     ELYSHA                   "</f>
        <v xml:space="preserve">LYLE                     ELYSHA                   </v>
      </c>
      <c r="E24652" t="str">
        <f>"MEMPHIS                   "</f>
        <v xml:space="preserve">MEMPHIS                   </v>
      </c>
      <c r="F24652" t="str">
        <f t="shared" si="698"/>
        <v>TN</v>
      </c>
    </row>
    <row r="24653" spans="1:6" x14ac:dyDescent="0.25">
      <c r="A24653" t="str">
        <f>"200027190"</f>
        <v>200027190</v>
      </c>
      <c r="B24653" t="str">
        <f>"1821815994"</f>
        <v>1821815994</v>
      </c>
      <c r="C24653" t="str">
        <f>"363LA2100X"</f>
        <v>363LA2100X</v>
      </c>
      <c r="D24653" t="str">
        <f>"GLOVER                   TIA          N           "</f>
        <v xml:space="preserve">GLOVER                   TIA          N           </v>
      </c>
      <c r="E24653" t="str">
        <f>"MEMPHIS                   "</f>
        <v xml:space="preserve">MEMPHIS                   </v>
      </c>
      <c r="F24653" t="str">
        <f t="shared" si="698"/>
        <v>TN</v>
      </c>
    </row>
    <row r="24654" spans="1:6" x14ac:dyDescent="0.25">
      <c r="A24654" t="str">
        <f>"200027230"</f>
        <v>200027230</v>
      </c>
      <c r="B24654" t="str">
        <f>"1124222609"</f>
        <v>1124222609</v>
      </c>
      <c r="C24654" t="str">
        <f>"208M00000X"</f>
        <v>208M00000X</v>
      </c>
      <c r="D24654" t="str">
        <f>"TARVIN                   EMILY                    "</f>
        <v xml:space="preserve">TARVIN                   EMILY                    </v>
      </c>
      <c r="E24654" t="str">
        <f>"NASHVILLE                 "</f>
        <v xml:space="preserve">NASHVILLE                 </v>
      </c>
      <c r="F24654" t="str">
        <f t="shared" si="698"/>
        <v>TN</v>
      </c>
    </row>
    <row r="24655" spans="1:6" x14ac:dyDescent="0.25">
      <c r="A24655" t="str">
        <f>"200027239"</f>
        <v>200027239</v>
      </c>
      <c r="B24655" t="str">
        <f>"1992946503"</f>
        <v>1992946503</v>
      </c>
      <c r="C24655" t="str">
        <f>"363L00000X"</f>
        <v>363L00000X</v>
      </c>
      <c r="D24655" t="str">
        <f>"QUINN                    EMILY                    "</f>
        <v xml:space="preserve">QUINN                    EMILY                    </v>
      </c>
      <c r="E24655" t="str">
        <f>"GERMANTOWN                "</f>
        <v xml:space="preserve">GERMANTOWN                </v>
      </c>
      <c r="F24655" t="str">
        <f t="shared" si="698"/>
        <v>TN</v>
      </c>
    </row>
    <row r="24656" spans="1:6" x14ac:dyDescent="0.25">
      <c r="A24656" t="str">
        <f>"200027262"</f>
        <v>200027262</v>
      </c>
      <c r="B24656" t="str">
        <f>"1912600156"</f>
        <v>1912600156</v>
      </c>
      <c r="C24656" t="str">
        <f>"363LF0000X"</f>
        <v>363LF0000X</v>
      </c>
      <c r="D24656" t="str">
        <f>"RUST                     LAURA                    "</f>
        <v xml:space="preserve">RUST                     LAURA                    </v>
      </c>
      <c r="E24656" t="str">
        <f>"GERMANTOWN                "</f>
        <v xml:space="preserve">GERMANTOWN                </v>
      </c>
      <c r="F24656" t="str">
        <f t="shared" si="698"/>
        <v>TN</v>
      </c>
    </row>
    <row r="24657" spans="1:6" x14ac:dyDescent="0.25">
      <c r="A24657" t="str">
        <f>"200027263"</f>
        <v>200027263</v>
      </c>
      <c r="B24657" t="str">
        <f>"1558355008"</f>
        <v>1558355008</v>
      </c>
      <c r="C24657" t="str">
        <f>"208100000X"</f>
        <v>208100000X</v>
      </c>
      <c r="D24657" t="str">
        <f>"JAIN                     SUNITA                   "</f>
        <v xml:space="preserve">JAIN                     SUNITA                   </v>
      </c>
      <c r="E24657" t="str">
        <f t="shared" ref="E24657:E24662" si="699">"MEMPHIS                   "</f>
        <v xml:space="preserve">MEMPHIS                   </v>
      </c>
      <c r="F24657" t="str">
        <f t="shared" si="698"/>
        <v>TN</v>
      </c>
    </row>
    <row r="24658" spans="1:6" x14ac:dyDescent="0.25">
      <c r="A24658" t="str">
        <f>"200027271"</f>
        <v>200027271</v>
      </c>
      <c r="B24658" t="str">
        <f>"1770863490"</f>
        <v>1770863490</v>
      </c>
      <c r="C24658" t="str">
        <f>"2080P0203X"</f>
        <v>2080P0203X</v>
      </c>
      <c r="D24658" t="str">
        <f>"PATANKAR                 NIKHIL                   "</f>
        <v xml:space="preserve">PATANKAR                 NIKHIL                   </v>
      </c>
      <c r="E24658" t="str">
        <f t="shared" si="699"/>
        <v xml:space="preserve">MEMPHIS                   </v>
      </c>
      <c r="F24658" t="str">
        <f t="shared" si="698"/>
        <v>TN</v>
      </c>
    </row>
    <row r="24659" spans="1:6" x14ac:dyDescent="0.25">
      <c r="A24659" t="str">
        <f>"200027285"</f>
        <v>200027285</v>
      </c>
      <c r="B24659" t="str">
        <f>"1750720900"</f>
        <v>1750720900</v>
      </c>
      <c r="C24659" t="str">
        <f>"2085R0202X"</f>
        <v>2085R0202X</v>
      </c>
      <c r="D24659" t="str">
        <f>"PATEL                    BHUMIN       J           "</f>
        <v xml:space="preserve">PATEL                    BHUMIN       J           </v>
      </c>
      <c r="E24659" t="str">
        <f t="shared" si="699"/>
        <v xml:space="preserve">MEMPHIS                   </v>
      </c>
      <c r="F24659" t="str">
        <f t="shared" si="698"/>
        <v>TN</v>
      </c>
    </row>
    <row r="24660" spans="1:6" x14ac:dyDescent="0.25">
      <c r="A24660" t="str">
        <f>"200027292"</f>
        <v>200027292</v>
      </c>
      <c r="B24660" t="str">
        <f>"1154766335"</f>
        <v>1154766335</v>
      </c>
      <c r="C24660" t="str">
        <f>"2085R0202X"</f>
        <v>2085R0202X</v>
      </c>
      <c r="D24660" t="str">
        <f>"CURTIS                   BLAKE                    "</f>
        <v xml:space="preserve">CURTIS                   BLAKE                    </v>
      </c>
      <c r="E24660" t="str">
        <f t="shared" si="699"/>
        <v xml:space="preserve">MEMPHIS                   </v>
      </c>
      <c r="F24660" t="str">
        <f t="shared" si="698"/>
        <v>TN</v>
      </c>
    </row>
    <row r="24661" spans="1:6" x14ac:dyDescent="0.25">
      <c r="A24661" t="str">
        <f>"200027296"</f>
        <v>200027296</v>
      </c>
      <c r="B24661" t="str">
        <f>"1962031948"</f>
        <v>1962031948</v>
      </c>
      <c r="C24661" t="str">
        <f>"2086S0129X"</f>
        <v>2086S0129X</v>
      </c>
      <c r="D24661" t="str">
        <f>"GRAFMULLER               LEANNE                   "</f>
        <v xml:space="preserve">GRAFMULLER               LEANNE                   </v>
      </c>
      <c r="E24661" t="str">
        <f t="shared" si="699"/>
        <v xml:space="preserve">MEMPHIS                   </v>
      </c>
      <c r="F24661" t="str">
        <f t="shared" si="698"/>
        <v>TN</v>
      </c>
    </row>
    <row r="24662" spans="1:6" x14ac:dyDescent="0.25">
      <c r="A24662" t="str">
        <f>"200027302"</f>
        <v>200027302</v>
      </c>
      <c r="B24662" t="str">
        <f>"1114158649"</f>
        <v>1114158649</v>
      </c>
      <c r="C24662" t="str">
        <f>"208000000X"</f>
        <v>208000000X</v>
      </c>
      <c r="D24662" t="str">
        <f>"LEVINE                   JOANNE                   "</f>
        <v xml:space="preserve">LEVINE                   JOANNE                   </v>
      </c>
      <c r="E24662" t="str">
        <f t="shared" si="699"/>
        <v xml:space="preserve">MEMPHIS                   </v>
      </c>
      <c r="F24662" t="str">
        <f t="shared" si="698"/>
        <v>TN</v>
      </c>
    </row>
    <row r="24663" spans="1:6" x14ac:dyDescent="0.25">
      <c r="A24663" t="str">
        <f>"200027303"</f>
        <v>200027303</v>
      </c>
      <c r="B24663" t="str">
        <f>"1326124132"</f>
        <v>1326124132</v>
      </c>
      <c r="C24663" t="str">
        <f>"207RI0200X"</f>
        <v>207RI0200X</v>
      </c>
      <c r="D24663" t="str">
        <f>"DUNAWAY                  SHELIA                   "</f>
        <v xml:space="preserve">DUNAWAY                  SHELIA                   </v>
      </c>
      <c r="E24663" t="str">
        <f>"NASHVILLE                 "</f>
        <v xml:space="preserve">NASHVILLE                 </v>
      </c>
      <c r="F24663" t="str">
        <f t="shared" si="698"/>
        <v>TN</v>
      </c>
    </row>
    <row r="24664" spans="1:6" x14ac:dyDescent="0.25">
      <c r="A24664" t="str">
        <f>"200027306"</f>
        <v>200027306</v>
      </c>
      <c r="B24664" t="str">
        <f>"1023657459"</f>
        <v>1023657459</v>
      </c>
      <c r="C24664" t="str">
        <f>"208000000X"</f>
        <v>208000000X</v>
      </c>
      <c r="D24664" t="str">
        <f>"ROSALES-CHAVEZ           JOHANNA                  "</f>
        <v xml:space="preserve">ROSALES-CHAVEZ           JOHANNA                  </v>
      </c>
      <c r="E24664" t="str">
        <f>"MEMPHIS                   "</f>
        <v xml:space="preserve">MEMPHIS                   </v>
      </c>
      <c r="F24664" t="str">
        <f t="shared" si="698"/>
        <v>TN</v>
      </c>
    </row>
    <row r="24665" spans="1:6" x14ac:dyDescent="0.25">
      <c r="A24665" t="str">
        <f>"200027323"</f>
        <v>200027323</v>
      </c>
      <c r="B24665" t="str">
        <f>"1598142531"</f>
        <v>1598142531</v>
      </c>
      <c r="C24665" t="str">
        <f>"207R00000X"</f>
        <v>207R00000X</v>
      </c>
      <c r="D24665" t="str">
        <f>"SCHMECKPEPER             JEFFREY                  "</f>
        <v xml:space="preserve">SCHMECKPEPER             JEFFREY                  </v>
      </c>
      <c r="E24665" t="str">
        <f>"NASHVILLE                 "</f>
        <v xml:space="preserve">NASHVILLE                 </v>
      </c>
      <c r="F24665" t="str">
        <f t="shared" si="698"/>
        <v>TN</v>
      </c>
    </row>
    <row r="24666" spans="1:6" x14ac:dyDescent="0.25">
      <c r="A24666" t="str">
        <f>"200027332"</f>
        <v>200027332</v>
      </c>
      <c r="B24666" t="str">
        <f>"1356200869"</f>
        <v>1356200869</v>
      </c>
      <c r="C24666" t="str">
        <f>"363A00000X"</f>
        <v>363A00000X</v>
      </c>
      <c r="D24666" t="str">
        <f>"WILLIAMS                 SCOTTLYN     C           "</f>
        <v xml:space="preserve">WILLIAMS                 SCOTTLYN     C           </v>
      </c>
      <c r="E24666" t="str">
        <f>"MEMPHIS                   "</f>
        <v xml:space="preserve">MEMPHIS                   </v>
      </c>
      <c r="F24666" t="str">
        <f t="shared" si="698"/>
        <v>TN</v>
      </c>
    </row>
    <row r="24667" spans="1:6" x14ac:dyDescent="0.25">
      <c r="A24667" t="str">
        <f>"200027344"</f>
        <v>200027344</v>
      </c>
      <c r="B24667" t="str">
        <f>"1104041409"</f>
        <v>1104041409</v>
      </c>
      <c r="C24667" t="str">
        <f>"2085R0202X"</f>
        <v>2085R0202X</v>
      </c>
      <c r="D24667" t="str">
        <f>"GOODIN                   GEOFFREY                 "</f>
        <v xml:space="preserve">GOODIN                   GEOFFREY                 </v>
      </c>
      <c r="E24667" t="str">
        <f>"MEMPHIS                   "</f>
        <v xml:space="preserve">MEMPHIS                   </v>
      </c>
      <c r="F24667" t="str">
        <f t="shared" si="698"/>
        <v>TN</v>
      </c>
    </row>
    <row r="24668" spans="1:6" x14ac:dyDescent="0.25">
      <c r="A24668" t="str">
        <f>"200027346"</f>
        <v>200027346</v>
      </c>
      <c r="B24668" t="str">
        <f>"1437808706"</f>
        <v>1437808706</v>
      </c>
      <c r="C24668" t="str">
        <f>"208M00000X"</f>
        <v>208M00000X</v>
      </c>
      <c r="D24668" t="str">
        <f>"SHARIF                   NAVILA                   "</f>
        <v xml:space="preserve">SHARIF                   NAVILA                   </v>
      </c>
      <c r="E24668" t="str">
        <f>"NASHVILLE                 "</f>
        <v xml:space="preserve">NASHVILLE                 </v>
      </c>
      <c r="F24668" t="str">
        <f t="shared" si="698"/>
        <v>TN</v>
      </c>
    </row>
    <row r="24669" spans="1:6" x14ac:dyDescent="0.25">
      <c r="A24669" t="str">
        <f>"200027347"</f>
        <v>200027347</v>
      </c>
      <c r="B24669" t="str">
        <f>"1407681737"</f>
        <v>1407681737</v>
      </c>
      <c r="C24669" t="str">
        <f>"363LA2100X"</f>
        <v>363LA2100X</v>
      </c>
      <c r="D24669" t="str">
        <f>"D'AMICO                  VANESSA      A           "</f>
        <v xml:space="preserve">D'AMICO                  VANESSA      A           </v>
      </c>
      <c r="E24669" t="str">
        <f>"MEMPHIS                   "</f>
        <v xml:space="preserve">MEMPHIS                   </v>
      </c>
      <c r="F24669" t="str">
        <f t="shared" si="698"/>
        <v>TN</v>
      </c>
    </row>
    <row r="24670" spans="1:6" x14ac:dyDescent="0.25">
      <c r="A24670" t="str">
        <f>"200027354"</f>
        <v>200027354</v>
      </c>
      <c r="B24670" t="str">
        <f>"1215292594"</f>
        <v>1215292594</v>
      </c>
      <c r="C24670" t="str">
        <f>"207ZP0102X"</f>
        <v>207ZP0102X</v>
      </c>
      <c r="D24670" t="str">
        <f>"YADAK                    NOUR                     "</f>
        <v xml:space="preserve">YADAK                    NOUR                     </v>
      </c>
      <c r="E24670" t="str">
        <f>"MEMPHIS                   "</f>
        <v xml:space="preserve">MEMPHIS                   </v>
      </c>
      <c r="F24670" t="str">
        <f t="shared" si="698"/>
        <v>TN</v>
      </c>
    </row>
    <row r="24671" spans="1:6" x14ac:dyDescent="0.25">
      <c r="A24671" t="str">
        <f>"200027359"</f>
        <v>200027359</v>
      </c>
      <c r="B24671" t="str">
        <f>"1144225590"</f>
        <v>1144225590</v>
      </c>
      <c r="C24671" t="str">
        <f>"207P00000X"</f>
        <v>207P00000X</v>
      </c>
      <c r="D24671" t="str">
        <f>"MCCARTHY                 CLARE                    "</f>
        <v xml:space="preserve">MCCARTHY                 CLARE                    </v>
      </c>
      <c r="E24671" t="str">
        <f>"MEMPHIS                   "</f>
        <v xml:space="preserve">MEMPHIS                   </v>
      </c>
      <c r="F24671" t="str">
        <f t="shared" si="698"/>
        <v>TN</v>
      </c>
    </row>
    <row r="24672" spans="1:6" x14ac:dyDescent="0.25">
      <c r="A24672" t="str">
        <f>"200027376"</f>
        <v>200027376</v>
      </c>
      <c r="B24672" t="str">
        <f>"1316736531"</f>
        <v>1316736531</v>
      </c>
      <c r="C24672" t="str">
        <f>"363A00000X"</f>
        <v>363A00000X</v>
      </c>
      <c r="D24672" t="str">
        <f>"BOYD                     JUSTIN                   "</f>
        <v xml:space="preserve">BOYD                     JUSTIN                   </v>
      </c>
      <c r="E24672" t="str">
        <f>"MEMPHIS                   "</f>
        <v xml:space="preserve">MEMPHIS                   </v>
      </c>
      <c r="F24672" t="str">
        <f t="shared" si="698"/>
        <v>TN</v>
      </c>
    </row>
    <row r="24673" spans="1:6" x14ac:dyDescent="0.25">
      <c r="A24673" t="str">
        <f>"200027379"</f>
        <v>200027379</v>
      </c>
      <c r="B24673" t="str">
        <f>"1760810758"</f>
        <v>1760810758</v>
      </c>
      <c r="C24673" t="str">
        <f>"367500000X"</f>
        <v>367500000X</v>
      </c>
      <c r="D24673" t="str">
        <f>"GOODIN                   JOSHUA                   "</f>
        <v xml:space="preserve">GOODIN                   JOSHUA                   </v>
      </c>
      <c r="E24673" t="str">
        <f>"MEMPHIS                   "</f>
        <v xml:space="preserve">MEMPHIS                   </v>
      </c>
      <c r="F24673" t="str">
        <f t="shared" si="698"/>
        <v>TN</v>
      </c>
    </row>
    <row r="24674" spans="1:6" x14ac:dyDescent="0.25">
      <c r="A24674" t="str">
        <f>"200027389"</f>
        <v>200027389</v>
      </c>
      <c r="B24674" t="str">
        <f>"1598639312"</f>
        <v>1598639312</v>
      </c>
      <c r="C24674" t="str">
        <f>"363LF0000X"</f>
        <v>363LF0000X</v>
      </c>
      <c r="D24674" t="str">
        <f>"BARNARD                  CASSIE                   "</f>
        <v xml:space="preserve">BARNARD                  CASSIE                   </v>
      </c>
      <c r="E24674" t="str">
        <f>"GERMANTOWN                "</f>
        <v xml:space="preserve">GERMANTOWN                </v>
      </c>
      <c r="F24674" t="str">
        <f t="shared" si="698"/>
        <v>TN</v>
      </c>
    </row>
    <row r="24675" spans="1:6" x14ac:dyDescent="0.25">
      <c r="A24675" t="str">
        <f>"200027405"</f>
        <v>200027405</v>
      </c>
      <c r="B24675" t="str">
        <f>"1770937286"</f>
        <v>1770937286</v>
      </c>
      <c r="C24675" t="str">
        <f>"207P00000X"</f>
        <v>207P00000X</v>
      </c>
      <c r="D24675" t="str">
        <f>"MAKOL                    ADITYA                   "</f>
        <v xml:space="preserve">MAKOL                    ADITYA                   </v>
      </c>
      <c r="E24675" t="str">
        <f>"ARLINGTON                 "</f>
        <v xml:space="preserve">ARLINGTON                 </v>
      </c>
      <c r="F24675" t="str">
        <f t="shared" si="698"/>
        <v>TN</v>
      </c>
    </row>
    <row r="24676" spans="1:6" x14ac:dyDescent="0.25">
      <c r="A24676" t="str">
        <f>"200027408"</f>
        <v>200027408</v>
      </c>
      <c r="B24676" t="str">
        <f>"1437386679"</f>
        <v>1437386679</v>
      </c>
      <c r="C24676" t="str">
        <f>"2085R0202X"</f>
        <v>2085R0202X</v>
      </c>
      <c r="D24676" t="str">
        <f>"VALENCIA                 ELIZABETH                "</f>
        <v xml:space="preserve">VALENCIA                 ELIZABETH                </v>
      </c>
      <c r="E24676" t="str">
        <f>"MEMPHIS                   "</f>
        <v xml:space="preserve">MEMPHIS                   </v>
      </c>
      <c r="F24676" t="str">
        <f t="shared" si="698"/>
        <v>TN</v>
      </c>
    </row>
    <row r="24677" spans="1:6" x14ac:dyDescent="0.25">
      <c r="A24677" t="str">
        <f>"200027411"</f>
        <v>200027411</v>
      </c>
      <c r="B24677" t="str">
        <f>"1821301052"</f>
        <v>1821301052</v>
      </c>
      <c r="C24677" t="str">
        <f>"207RH0003X"</f>
        <v>207RH0003X</v>
      </c>
      <c r="D24677" t="str">
        <f>"THOTA                    SWAPNA                   "</f>
        <v xml:space="preserve">THOTA                    SWAPNA                   </v>
      </c>
      <c r="E24677" t="str">
        <f>"MEMPHIS                   "</f>
        <v xml:space="preserve">MEMPHIS                   </v>
      </c>
      <c r="F24677" t="str">
        <f t="shared" si="698"/>
        <v>TN</v>
      </c>
    </row>
    <row r="24678" spans="1:6" x14ac:dyDescent="0.25">
      <c r="A24678" t="str">
        <f>"200027422"</f>
        <v>200027422</v>
      </c>
      <c r="B24678" t="str">
        <f>"1801099775"</f>
        <v>1801099775</v>
      </c>
      <c r="C24678" t="str">
        <f>"207RI0011X"</f>
        <v>207RI0011X</v>
      </c>
      <c r="D24678" t="str">
        <f>"HAJI                     SHOWKAT      A           "</f>
        <v xml:space="preserve">HAJI                     SHOWKAT      A           </v>
      </c>
      <c r="E24678" t="str">
        <f>"MEMPHIS                   "</f>
        <v xml:space="preserve">MEMPHIS                   </v>
      </c>
      <c r="F24678" t="str">
        <f t="shared" si="698"/>
        <v>TN</v>
      </c>
    </row>
    <row r="24679" spans="1:6" x14ac:dyDescent="0.25">
      <c r="A24679" t="str">
        <f>"200027424"</f>
        <v>200027424</v>
      </c>
      <c r="B24679" t="str">
        <f>"1023317732"</f>
        <v>1023317732</v>
      </c>
      <c r="C24679" t="str">
        <f>"2085R0202X"</f>
        <v>2085R0202X</v>
      </c>
      <c r="D24679" t="str">
        <f>"GUY                      MATTHEW                  "</f>
        <v xml:space="preserve">GUY                      MATTHEW                  </v>
      </c>
      <c r="E24679" t="str">
        <f>"GERMANTOWN                "</f>
        <v xml:space="preserve">GERMANTOWN                </v>
      </c>
      <c r="F24679" t="str">
        <f t="shared" si="698"/>
        <v>TN</v>
      </c>
    </row>
    <row r="24680" spans="1:6" x14ac:dyDescent="0.25">
      <c r="A24680" t="str">
        <f>"200027430"</f>
        <v>200027430</v>
      </c>
      <c r="B24680" t="str">
        <f>"1124061288"</f>
        <v>1124061288</v>
      </c>
      <c r="C24680" t="str">
        <f>"208G00000X"</f>
        <v>208G00000X</v>
      </c>
      <c r="D24680" t="str">
        <f>"SINGH                    HARBINDER                "</f>
        <v xml:space="preserve">SINGH                    HARBINDER                </v>
      </c>
      <c r="E24680" t="str">
        <f>"MEMPHIS                   "</f>
        <v xml:space="preserve">MEMPHIS                   </v>
      </c>
      <c r="F24680" t="str">
        <f t="shared" si="698"/>
        <v>TN</v>
      </c>
    </row>
    <row r="24681" spans="1:6" x14ac:dyDescent="0.25">
      <c r="A24681" t="str">
        <f>"200027432"</f>
        <v>200027432</v>
      </c>
      <c r="B24681" t="str">
        <f>"1194676346"</f>
        <v>1194676346</v>
      </c>
      <c r="C24681" t="str">
        <f>"363A00000X"</f>
        <v>363A00000X</v>
      </c>
      <c r="D24681" t="str">
        <f>"SZULEWSKI                ALLISON      E           "</f>
        <v xml:space="preserve">SZULEWSKI                ALLISON      E           </v>
      </c>
      <c r="E24681" t="str">
        <f>"GERMANTOWN                "</f>
        <v xml:space="preserve">GERMANTOWN                </v>
      </c>
      <c r="F24681" t="str">
        <f t="shared" si="698"/>
        <v>TN</v>
      </c>
    </row>
    <row r="24682" spans="1:6" x14ac:dyDescent="0.25">
      <c r="A24682" t="str">
        <f>"200027449"</f>
        <v>200027449</v>
      </c>
      <c r="B24682" t="str">
        <f>"1760741789"</f>
        <v>1760741789</v>
      </c>
      <c r="C24682" t="str">
        <f>"207P00000X"</f>
        <v>207P00000X</v>
      </c>
      <c r="D24682" t="str">
        <f>"SIEGEL                   DAVID                    "</f>
        <v xml:space="preserve">SIEGEL                   DAVID                    </v>
      </c>
      <c r="E24682" t="str">
        <f>"COLLIERVILLE              "</f>
        <v xml:space="preserve">COLLIERVILLE              </v>
      </c>
      <c r="F24682" t="str">
        <f t="shared" si="698"/>
        <v>TN</v>
      </c>
    </row>
    <row r="24683" spans="1:6" x14ac:dyDescent="0.25">
      <c r="A24683" t="str">
        <f>"200027462"</f>
        <v>200027462</v>
      </c>
      <c r="B24683" t="str">
        <f>"1811704885"</f>
        <v>1811704885</v>
      </c>
      <c r="C24683" t="str">
        <f>"363LF0000X"</f>
        <v>363LF0000X</v>
      </c>
      <c r="D24683" t="str">
        <f>"JENNINGS                 ROXANNA                  "</f>
        <v xml:space="preserve">JENNINGS                 ROXANNA                  </v>
      </c>
      <c r="E24683" t="str">
        <f>"MEMPHIS                   "</f>
        <v xml:space="preserve">MEMPHIS                   </v>
      </c>
      <c r="F24683" t="str">
        <f t="shared" si="698"/>
        <v>TN</v>
      </c>
    </row>
    <row r="24684" spans="1:6" x14ac:dyDescent="0.25">
      <c r="A24684" t="str">
        <f>"200027466"</f>
        <v>200027466</v>
      </c>
      <c r="B24684" t="str">
        <f>"1114140894"</f>
        <v>1114140894</v>
      </c>
      <c r="C24684" t="str">
        <f>"2084N0400X"</f>
        <v>2084N0400X</v>
      </c>
      <c r="D24684" t="str">
        <f>"CHAI                     YAOHUI                   "</f>
        <v xml:space="preserve">CHAI                     YAOHUI                   </v>
      </c>
      <c r="E24684" t="str">
        <f>"MEMPHIS                   "</f>
        <v xml:space="preserve">MEMPHIS                   </v>
      </c>
      <c r="F24684" t="str">
        <f t="shared" si="698"/>
        <v>TN</v>
      </c>
    </row>
    <row r="24685" spans="1:6" x14ac:dyDescent="0.25">
      <c r="A24685" t="str">
        <f>"200027469"</f>
        <v>200027469</v>
      </c>
      <c r="B24685" t="str">
        <f>"1609166016"</f>
        <v>1609166016</v>
      </c>
      <c r="C24685" t="str">
        <f>"208D00000X"</f>
        <v>208D00000X</v>
      </c>
      <c r="D24685" t="str">
        <f>"DALGO                    AUSTIN                   "</f>
        <v xml:space="preserve">DALGO                    AUSTIN                   </v>
      </c>
      <c r="E24685" t="str">
        <f>"MEMPHIS                   "</f>
        <v xml:space="preserve">MEMPHIS                   </v>
      </c>
      <c r="F24685" t="str">
        <f t="shared" si="698"/>
        <v>TN</v>
      </c>
    </row>
    <row r="24686" spans="1:6" x14ac:dyDescent="0.25">
      <c r="A24686" t="str">
        <f>"200027473"</f>
        <v>200027473</v>
      </c>
      <c r="B24686" t="str">
        <f>"1316934920"</f>
        <v>1316934920</v>
      </c>
      <c r="C24686" t="str">
        <f>"208000000X"</f>
        <v>208000000X</v>
      </c>
      <c r="D24686" t="str">
        <f>"SANDS                    CYNTHIA                  "</f>
        <v xml:space="preserve">SANDS                    CYNTHIA                  </v>
      </c>
      <c r="E24686" t="str">
        <f>"GERMANTOWN                "</f>
        <v xml:space="preserve">GERMANTOWN                </v>
      </c>
      <c r="F24686" t="str">
        <f t="shared" si="698"/>
        <v>TN</v>
      </c>
    </row>
    <row r="24687" spans="1:6" x14ac:dyDescent="0.25">
      <c r="A24687" t="str">
        <f>"200027480"</f>
        <v>200027480</v>
      </c>
      <c r="B24687" t="str">
        <f>"1215301981"</f>
        <v>1215301981</v>
      </c>
      <c r="C24687" t="str">
        <f>"363L00000X"</f>
        <v>363L00000X</v>
      </c>
      <c r="D24687" t="str">
        <f>"WIDEMAN                  CHERYL                   "</f>
        <v xml:space="preserve">WIDEMAN                  CHERYL                   </v>
      </c>
      <c r="E24687" t="str">
        <f>"BARTLETT                  "</f>
        <v xml:space="preserve">BARTLETT                  </v>
      </c>
      <c r="F24687" t="str">
        <f t="shared" si="698"/>
        <v>TN</v>
      </c>
    </row>
    <row r="24688" spans="1:6" x14ac:dyDescent="0.25">
      <c r="A24688" t="str">
        <f>"200027481"</f>
        <v>200027481</v>
      </c>
      <c r="B24688" t="str">
        <f>"1902905722"</f>
        <v>1902905722</v>
      </c>
      <c r="C24688" t="str">
        <f>"207R00000X"</f>
        <v>207R00000X</v>
      </c>
      <c r="D24688" t="str">
        <f>"CUSHMAN                  WILLIAM                  "</f>
        <v xml:space="preserve">CUSHMAN                  WILLIAM                  </v>
      </c>
      <c r="E24688" t="str">
        <f>"MEMPHIS                   "</f>
        <v xml:space="preserve">MEMPHIS                   </v>
      </c>
      <c r="F24688" t="str">
        <f t="shared" si="698"/>
        <v>TN</v>
      </c>
    </row>
    <row r="24689" spans="1:6" x14ac:dyDescent="0.25">
      <c r="A24689" t="str">
        <f>"200027501"</f>
        <v>200027501</v>
      </c>
      <c r="B24689" t="str">
        <f>"1801476171"</f>
        <v>1801476171</v>
      </c>
      <c r="C24689" t="str">
        <f>"208000000X"</f>
        <v>208000000X</v>
      </c>
      <c r="D24689" t="str">
        <f>"MARSHALL                 MEGAN                    "</f>
        <v xml:space="preserve">MARSHALL                 MEGAN                    </v>
      </c>
      <c r="E24689" t="str">
        <f>"MEMPHIS                   "</f>
        <v xml:space="preserve">MEMPHIS                   </v>
      </c>
      <c r="F24689" t="str">
        <f t="shared" si="698"/>
        <v>TN</v>
      </c>
    </row>
    <row r="24690" spans="1:6" x14ac:dyDescent="0.25">
      <c r="A24690" t="str">
        <f>"200027512"</f>
        <v>200027512</v>
      </c>
      <c r="B24690" t="str">
        <f>"1194665703"</f>
        <v>1194665703</v>
      </c>
      <c r="C24690" t="str">
        <f>"207P00000X"</f>
        <v>207P00000X</v>
      </c>
      <c r="D24690" t="str">
        <f>"GRACE                    TRAYL                    "</f>
        <v xml:space="preserve">GRACE                    TRAYL                    </v>
      </c>
      <c r="E24690" t="str">
        <f>"MEMPHIS                   "</f>
        <v xml:space="preserve">MEMPHIS                   </v>
      </c>
      <c r="F24690" t="str">
        <f t="shared" si="698"/>
        <v>TN</v>
      </c>
    </row>
    <row r="24691" spans="1:6" x14ac:dyDescent="0.25">
      <c r="A24691" t="str">
        <f>"200027519"</f>
        <v>200027519</v>
      </c>
      <c r="B24691" t="str">
        <f>"1518600774"</f>
        <v>1518600774</v>
      </c>
      <c r="C24691" t="str">
        <f>"208600000X"</f>
        <v>208600000X</v>
      </c>
      <c r="D24691" t="str">
        <f>"BRADLEY ASSERSON         DEREK                    "</f>
        <v xml:space="preserve">BRADLEY ASSERSON         DEREK                    </v>
      </c>
      <c r="E24691" t="str">
        <f>"MEMPHIS                   "</f>
        <v xml:space="preserve">MEMPHIS                   </v>
      </c>
      <c r="F24691" t="str">
        <f t="shared" si="698"/>
        <v>TN</v>
      </c>
    </row>
    <row r="24692" spans="1:6" x14ac:dyDescent="0.25">
      <c r="A24692" t="str">
        <f>"200027527"</f>
        <v>200027527</v>
      </c>
      <c r="B24692" t="str">
        <f>"1235175183"</f>
        <v>1235175183</v>
      </c>
      <c r="C24692" t="str">
        <f>"2080P0204X"</f>
        <v>2080P0204X</v>
      </c>
      <c r="D24692" t="str">
        <f>"HUTCHESON                WARREN                   "</f>
        <v xml:space="preserve">HUTCHESON                WARREN                   </v>
      </c>
      <c r="E24692" t="str">
        <f>"MEMPHIS                   "</f>
        <v xml:space="preserve">MEMPHIS                   </v>
      </c>
      <c r="F24692" t="str">
        <f t="shared" si="698"/>
        <v>TN</v>
      </c>
    </row>
    <row r="24693" spans="1:6" x14ac:dyDescent="0.25">
      <c r="A24693" t="str">
        <f>"200027536"</f>
        <v>200027536</v>
      </c>
      <c r="B24693" t="str">
        <f>"1912056300"</f>
        <v>1912056300</v>
      </c>
      <c r="C24693" t="str">
        <f>"207P00000X"</f>
        <v>207P00000X</v>
      </c>
      <c r="D24693" t="str">
        <f>"RAMIREZ                  ANTHONY                  "</f>
        <v xml:space="preserve">RAMIREZ                  ANTHONY                  </v>
      </c>
      <c r="E24693" t="str">
        <f>"SAVANNAH                  "</f>
        <v xml:space="preserve">SAVANNAH                  </v>
      </c>
      <c r="F24693" t="str">
        <f t="shared" si="698"/>
        <v>TN</v>
      </c>
    </row>
    <row r="24694" spans="1:6" x14ac:dyDescent="0.25">
      <c r="A24694" t="str">
        <f>"200027537"</f>
        <v>200027537</v>
      </c>
      <c r="B24694" t="str">
        <f>"1619505930"</f>
        <v>1619505930</v>
      </c>
      <c r="C24694" t="str">
        <f>"207L00000X"</f>
        <v>207L00000X</v>
      </c>
      <c r="D24694" t="str">
        <f>"GREER                    TIASHI                   "</f>
        <v xml:space="preserve">GREER                    TIASHI                   </v>
      </c>
      <c r="E24694" t="str">
        <f>"MEMPHIS                   "</f>
        <v xml:space="preserve">MEMPHIS                   </v>
      </c>
      <c r="F24694" t="str">
        <f t="shared" si="698"/>
        <v>TN</v>
      </c>
    </row>
    <row r="24695" spans="1:6" x14ac:dyDescent="0.25">
      <c r="A24695" t="str">
        <f>"200027550"</f>
        <v>200027550</v>
      </c>
      <c r="B24695" t="str">
        <f>"1215292594"</f>
        <v>1215292594</v>
      </c>
      <c r="C24695" t="str">
        <f>"207ZP0102X"</f>
        <v>207ZP0102X</v>
      </c>
      <c r="D24695" t="str">
        <f>"YADAK                    NOUR         M           "</f>
        <v xml:space="preserve">YADAK                    NOUR         M           </v>
      </c>
      <c r="E24695" t="str">
        <f>"MEMPHIS                   "</f>
        <v xml:space="preserve">MEMPHIS                   </v>
      </c>
      <c r="F24695" t="str">
        <f t="shared" si="698"/>
        <v>TN</v>
      </c>
    </row>
    <row r="24696" spans="1:6" x14ac:dyDescent="0.25">
      <c r="A24696" t="str">
        <f>"200027559"</f>
        <v>200027559</v>
      </c>
      <c r="B24696" t="str">
        <f>"1801099775"</f>
        <v>1801099775</v>
      </c>
      <c r="C24696" t="str">
        <f>"207RI0011X"</f>
        <v>207RI0011X</v>
      </c>
      <c r="D24696" t="str">
        <f>"HAJI                     SHOWKAT      A           "</f>
        <v xml:space="preserve">HAJI                     SHOWKAT      A           </v>
      </c>
      <c r="E24696" t="str">
        <f>"MEMPHIS                   "</f>
        <v xml:space="preserve">MEMPHIS                   </v>
      </c>
      <c r="F24696" t="str">
        <f t="shared" si="698"/>
        <v>TN</v>
      </c>
    </row>
    <row r="24697" spans="1:6" x14ac:dyDescent="0.25">
      <c r="A24697" t="str">
        <f>"200027565"</f>
        <v>200027565</v>
      </c>
      <c r="B24697" t="str">
        <f>"1245884634"</f>
        <v>1245884634</v>
      </c>
      <c r="C24697" t="str">
        <f>"363LF0000X"</f>
        <v>363LF0000X</v>
      </c>
      <c r="D24697" t="str">
        <f>"LOVELAND                 HOLLY                    "</f>
        <v xml:space="preserve">LOVELAND                 HOLLY                    </v>
      </c>
      <c r="E24697" t="str">
        <f>"MEMPHIS                   "</f>
        <v xml:space="preserve">MEMPHIS                   </v>
      </c>
      <c r="F24697" t="str">
        <f t="shared" si="698"/>
        <v>TN</v>
      </c>
    </row>
    <row r="24698" spans="1:6" x14ac:dyDescent="0.25">
      <c r="A24698" t="str">
        <f>"200027572"</f>
        <v>200027572</v>
      </c>
      <c r="B24698" t="str">
        <f>"1982054029"</f>
        <v>1982054029</v>
      </c>
      <c r="C24698" t="str">
        <f>"207P00000X"</f>
        <v>207P00000X</v>
      </c>
      <c r="D24698" t="str">
        <f>"YASAVOLIAN               MATTHEW                  "</f>
        <v xml:space="preserve">YASAVOLIAN               MATTHEW                  </v>
      </c>
      <c r="E24698" t="str">
        <f>"HUNTINGDON                "</f>
        <v xml:space="preserve">HUNTINGDON                </v>
      </c>
      <c r="F24698" t="str">
        <f t="shared" si="698"/>
        <v>TN</v>
      </c>
    </row>
    <row r="24699" spans="1:6" x14ac:dyDescent="0.25">
      <c r="A24699" t="str">
        <f>"200027588"</f>
        <v>200027588</v>
      </c>
      <c r="B24699" t="str">
        <f>"1578673836"</f>
        <v>1578673836</v>
      </c>
      <c r="C24699" t="str">
        <f>"208600000X"</f>
        <v>208600000X</v>
      </c>
      <c r="D24699" t="str">
        <f>"FLEMING                  MARTIN       D           "</f>
        <v xml:space="preserve">FLEMING                  MARTIN       D           </v>
      </c>
      <c r="E24699" t="str">
        <f>"MEMPHIS                   "</f>
        <v xml:space="preserve">MEMPHIS                   </v>
      </c>
      <c r="F24699" t="str">
        <f t="shared" si="698"/>
        <v>TN</v>
      </c>
    </row>
    <row r="24700" spans="1:6" x14ac:dyDescent="0.25">
      <c r="A24700" t="str">
        <f>"200027594"</f>
        <v>200027594</v>
      </c>
      <c r="B24700" t="str">
        <f>"1477005577"</f>
        <v>1477005577</v>
      </c>
      <c r="C24700" t="str">
        <f>"363L00000X"</f>
        <v>363L00000X</v>
      </c>
      <c r="D24700" t="str">
        <f>"ABDU                     CHARITY      R           "</f>
        <v xml:space="preserve">ABDU                     CHARITY      R           </v>
      </c>
      <c r="E24700" t="str">
        <f>"MEMPHIS                   "</f>
        <v xml:space="preserve">MEMPHIS                   </v>
      </c>
      <c r="F24700" t="str">
        <f t="shared" si="698"/>
        <v>TN</v>
      </c>
    </row>
    <row r="24701" spans="1:6" x14ac:dyDescent="0.25">
      <c r="A24701" t="str">
        <f>"200027595"</f>
        <v>200027595</v>
      </c>
      <c r="B24701" t="str">
        <f>"1629422563"</f>
        <v>1629422563</v>
      </c>
      <c r="C24701" t="str">
        <f>"208800000X"</f>
        <v>208800000X</v>
      </c>
      <c r="D24701" t="str">
        <f>"GOPAL                    NIKHIL       A           "</f>
        <v xml:space="preserve">GOPAL                    NIKHIL       A           </v>
      </c>
      <c r="E24701" t="str">
        <f>"MEMPHIS                   "</f>
        <v xml:space="preserve">MEMPHIS                   </v>
      </c>
      <c r="F24701" t="str">
        <f t="shared" si="698"/>
        <v>TN</v>
      </c>
    </row>
    <row r="24702" spans="1:6" x14ac:dyDescent="0.25">
      <c r="A24702" t="str">
        <f>"200027622"</f>
        <v>200027622</v>
      </c>
      <c r="B24702" t="str">
        <f>"1114023447"</f>
        <v>1114023447</v>
      </c>
      <c r="C24702" t="str">
        <f>"207R00000X"</f>
        <v>207R00000X</v>
      </c>
      <c r="D24702" t="str">
        <f>"KAMMONA                  HUSSEIN                  "</f>
        <v xml:space="preserve">KAMMONA                  HUSSEIN                  </v>
      </c>
      <c r="E24702" t="str">
        <f>"SAVANNAH                  "</f>
        <v xml:space="preserve">SAVANNAH                  </v>
      </c>
      <c r="F24702" t="str">
        <f t="shared" ref="F24702:F24765" si="700">"TN"</f>
        <v>TN</v>
      </c>
    </row>
    <row r="24703" spans="1:6" x14ac:dyDescent="0.25">
      <c r="A24703" t="str">
        <f>"200027623"</f>
        <v>200027623</v>
      </c>
      <c r="B24703" t="str">
        <f>"1023682440"</f>
        <v>1023682440</v>
      </c>
      <c r="C24703" t="str">
        <f>"208000000X"</f>
        <v>208000000X</v>
      </c>
      <c r="D24703" t="str">
        <f>"BECKER                   HEATHER                  "</f>
        <v xml:space="preserve">BECKER                   HEATHER                  </v>
      </c>
      <c r="E24703" t="str">
        <f t="shared" ref="E24703:E24709" si="701">"MEMPHIS                   "</f>
        <v xml:space="preserve">MEMPHIS                   </v>
      </c>
      <c r="F24703" t="str">
        <f t="shared" si="700"/>
        <v>TN</v>
      </c>
    </row>
    <row r="24704" spans="1:6" x14ac:dyDescent="0.25">
      <c r="A24704" t="str">
        <f>"200027642"</f>
        <v>200027642</v>
      </c>
      <c r="B24704" t="str">
        <f>"1184007601"</f>
        <v>1184007601</v>
      </c>
      <c r="C24704" t="str">
        <f>"363A00000X"</f>
        <v>363A00000X</v>
      </c>
      <c r="D24704" t="str">
        <f>"KNIGHT                   DENISE                   "</f>
        <v xml:space="preserve">KNIGHT                   DENISE                   </v>
      </c>
      <c r="E24704" t="str">
        <f t="shared" si="701"/>
        <v xml:space="preserve">MEMPHIS                   </v>
      </c>
      <c r="F24704" t="str">
        <f t="shared" si="700"/>
        <v>TN</v>
      </c>
    </row>
    <row r="24705" spans="1:6" x14ac:dyDescent="0.25">
      <c r="A24705" t="str">
        <f>"200027654"</f>
        <v>200027654</v>
      </c>
      <c r="B24705" t="str">
        <f>"1871248716"</f>
        <v>1871248716</v>
      </c>
      <c r="C24705" t="str">
        <f>"363L00000X"</f>
        <v>363L00000X</v>
      </c>
      <c r="D24705" t="str">
        <f>"MCCOLLINS                NAKESHA                  "</f>
        <v xml:space="preserve">MCCOLLINS                NAKESHA                  </v>
      </c>
      <c r="E24705" t="str">
        <f t="shared" si="701"/>
        <v xml:space="preserve">MEMPHIS                   </v>
      </c>
      <c r="F24705" t="str">
        <f t="shared" si="700"/>
        <v>TN</v>
      </c>
    </row>
    <row r="24706" spans="1:6" x14ac:dyDescent="0.25">
      <c r="A24706" t="str">
        <f>"200027665"</f>
        <v>200027665</v>
      </c>
      <c r="B24706" t="str">
        <f>"1891961843"</f>
        <v>1891961843</v>
      </c>
      <c r="C24706" t="str">
        <f>"2086S0127X"</f>
        <v>2086S0127X</v>
      </c>
      <c r="D24706" t="str">
        <f>"MADAY                    KRISTOPHER               "</f>
        <v xml:space="preserve">MADAY                    KRISTOPHER               </v>
      </c>
      <c r="E24706" t="str">
        <f t="shared" si="701"/>
        <v xml:space="preserve">MEMPHIS                   </v>
      </c>
      <c r="F24706" t="str">
        <f t="shared" si="700"/>
        <v>TN</v>
      </c>
    </row>
    <row r="24707" spans="1:6" x14ac:dyDescent="0.25">
      <c r="A24707" t="str">
        <f>"200027667"</f>
        <v>200027667</v>
      </c>
      <c r="B24707" t="str">
        <f>"1144459645"</f>
        <v>1144459645</v>
      </c>
      <c r="C24707" t="str">
        <f>"208600000X"</f>
        <v>208600000X</v>
      </c>
      <c r="D24707" t="str">
        <f>"ZALAMEA                  NIA                      "</f>
        <v xml:space="preserve">ZALAMEA                  NIA                      </v>
      </c>
      <c r="E24707" t="str">
        <f t="shared" si="701"/>
        <v xml:space="preserve">MEMPHIS                   </v>
      </c>
      <c r="F24707" t="str">
        <f t="shared" si="700"/>
        <v>TN</v>
      </c>
    </row>
    <row r="24708" spans="1:6" x14ac:dyDescent="0.25">
      <c r="A24708" t="str">
        <f>"200027673"</f>
        <v>200027673</v>
      </c>
      <c r="B24708" t="str">
        <f>"1508418716"</f>
        <v>1508418716</v>
      </c>
      <c r="C24708" t="str">
        <f>"367500000X"</f>
        <v>367500000X</v>
      </c>
      <c r="D24708" t="str">
        <f>"ROLLINS                  KARA         N           "</f>
        <v xml:space="preserve">ROLLINS                  KARA         N           </v>
      </c>
      <c r="E24708" t="str">
        <f t="shared" si="701"/>
        <v xml:space="preserve">MEMPHIS                   </v>
      </c>
      <c r="F24708" t="str">
        <f t="shared" si="700"/>
        <v>TN</v>
      </c>
    </row>
    <row r="24709" spans="1:6" x14ac:dyDescent="0.25">
      <c r="A24709" t="str">
        <f>"200027674"</f>
        <v>200027674</v>
      </c>
      <c r="B24709" t="str">
        <f>"1942635925"</f>
        <v>1942635925</v>
      </c>
      <c r="C24709" t="str">
        <f>"2080P0204X"</f>
        <v>2080P0204X</v>
      </c>
      <c r="D24709" t="str">
        <f>"ARNOLD                   ALANA                    "</f>
        <v xml:space="preserve">ARNOLD                   ALANA                    </v>
      </c>
      <c r="E24709" t="str">
        <f t="shared" si="701"/>
        <v xml:space="preserve">MEMPHIS                   </v>
      </c>
      <c r="F24709" t="str">
        <f t="shared" si="700"/>
        <v>TN</v>
      </c>
    </row>
    <row r="24710" spans="1:6" x14ac:dyDescent="0.25">
      <c r="A24710" t="str">
        <f>"200027704"</f>
        <v>200027704</v>
      </c>
      <c r="B24710" t="str">
        <f>"1821732488"</f>
        <v>1821732488</v>
      </c>
      <c r="C24710" t="str">
        <f>"363L00000X"</f>
        <v>363L00000X</v>
      </c>
      <c r="D24710" t="str">
        <f>"ARCHER                   LISA         M           "</f>
        <v xml:space="preserve">ARCHER                   LISA         M           </v>
      </c>
      <c r="E24710" t="str">
        <f>"CORDOVA                   "</f>
        <v xml:space="preserve">CORDOVA                   </v>
      </c>
      <c r="F24710" t="str">
        <f t="shared" si="700"/>
        <v>TN</v>
      </c>
    </row>
    <row r="24711" spans="1:6" x14ac:dyDescent="0.25">
      <c r="A24711" t="str">
        <f>"200027717"</f>
        <v>200027717</v>
      </c>
      <c r="B24711" t="str">
        <f>"1457083503"</f>
        <v>1457083503</v>
      </c>
      <c r="C24711" t="str">
        <f>"363L00000X"</f>
        <v>363L00000X</v>
      </c>
      <c r="D24711" t="str">
        <f>"DRAPER                   MICHELLE                 "</f>
        <v xml:space="preserve">DRAPER                   MICHELLE                 </v>
      </c>
      <c r="E24711" t="str">
        <f>"SAVANNAH                  "</f>
        <v xml:space="preserve">SAVANNAH                  </v>
      </c>
      <c r="F24711" t="str">
        <f t="shared" si="700"/>
        <v>TN</v>
      </c>
    </row>
    <row r="24712" spans="1:6" x14ac:dyDescent="0.25">
      <c r="A24712" t="str">
        <f>"200027729"</f>
        <v>200027729</v>
      </c>
      <c r="B24712" t="str">
        <f>"1528909090"</f>
        <v>1528909090</v>
      </c>
      <c r="C24712" t="str">
        <f>"207R00000X"</f>
        <v>207R00000X</v>
      </c>
      <c r="D24712" t="str">
        <f>"MORRIS                   MIA                      "</f>
        <v xml:space="preserve">MORRIS                   MIA                      </v>
      </c>
      <c r="E24712" t="str">
        <f>"MEMPHIS                   "</f>
        <v xml:space="preserve">MEMPHIS                   </v>
      </c>
      <c r="F24712" t="str">
        <f t="shared" si="700"/>
        <v>TN</v>
      </c>
    </row>
    <row r="24713" spans="1:6" x14ac:dyDescent="0.25">
      <c r="A24713" t="str">
        <f>"200027735"</f>
        <v>200027735</v>
      </c>
      <c r="B24713" t="str">
        <f>"1972867240"</f>
        <v>1972867240</v>
      </c>
      <c r="C24713" t="str">
        <f>"207L00000X"</f>
        <v>207L00000X</v>
      </c>
      <c r="D24713" t="str">
        <f>"MISHRA                   PRABHAT                  "</f>
        <v xml:space="preserve">MISHRA                   PRABHAT                  </v>
      </c>
      <c r="E24713" t="str">
        <f>"MEMPHIS                   "</f>
        <v xml:space="preserve">MEMPHIS                   </v>
      </c>
      <c r="F24713" t="str">
        <f t="shared" si="700"/>
        <v>TN</v>
      </c>
    </row>
    <row r="24714" spans="1:6" x14ac:dyDescent="0.25">
      <c r="A24714" t="str">
        <f>"200027740"</f>
        <v>200027740</v>
      </c>
      <c r="B24714" t="str">
        <f>"1205777190"</f>
        <v>1205777190</v>
      </c>
      <c r="C24714" t="str">
        <f>"207X00000X"</f>
        <v>207X00000X</v>
      </c>
      <c r="D24714" t="str">
        <f>"MUSICK                   ADAM                     "</f>
        <v xml:space="preserve">MUSICK                   ADAM                     </v>
      </c>
      <c r="E24714" t="str">
        <f>"MEMPHIS                   "</f>
        <v xml:space="preserve">MEMPHIS                   </v>
      </c>
      <c r="F24714" t="str">
        <f t="shared" si="700"/>
        <v>TN</v>
      </c>
    </row>
    <row r="24715" spans="1:6" x14ac:dyDescent="0.25">
      <c r="A24715" t="str">
        <f>"200027749"</f>
        <v>200027749</v>
      </c>
      <c r="B24715" t="str">
        <f>"1669490207"</f>
        <v>1669490207</v>
      </c>
      <c r="C24715" t="str">
        <f>"367500000X"</f>
        <v>367500000X</v>
      </c>
      <c r="D24715" t="str">
        <f>"EDGCOMBE                 EMILY                    "</f>
        <v xml:space="preserve">EDGCOMBE                 EMILY                    </v>
      </c>
      <c r="E24715" t="str">
        <f>"MEMPHIS                   "</f>
        <v xml:space="preserve">MEMPHIS                   </v>
      </c>
      <c r="F24715" t="str">
        <f t="shared" si="700"/>
        <v>TN</v>
      </c>
    </row>
    <row r="24716" spans="1:6" x14ac:dyDescent="0.25">
      <c r="A24716" t="str">
        <f>"200027764"</f>
        <v>200027764</v>
      </c>
      <c r="B24716" t="str">
        <f>"1275617375"</f>
        <v>1275617375</v>
      </c>
      <c r="C24716" t="str">
        <f>"2080P0207X"</f>
        <v>2080P0207X</v>
      </c>
      <c r="D24716" t="str">
        <f>"FRANGOUL                 HAYDAR                   "</f>
        <v xml:space="preserve">FRANGOUL                 HAYDAR                   </v>
      </c>
      <c r="E24716" t="str">
        <f>"KNOXVILLE                 "</f>
        <v xml:space="preserve">KNOXVILLE                 </v>
      </c>
      <c r="F24716" t="str">
        <f t="shared" si="700"/>
        <v>TN</v>
      </c>
    </row>
    <row r="24717" spans="1:6" x14ac:dyDescent="0.25">
      <c r="A24717" t="str">
        <f>"200027769"</f>
        <v>200027769</v>
      </c>
      <c r="B24717" t="str">
        <f>"1568140143"</f>
        <v>1568140143</v>
      </c>
      <c r="C24717" t="str">
        <f>"367500000X"</f>
        <v>367500000X</v>
      </c>
      <c r="D24717" t="str">
        <f>"BETTS                    MONTANA      R           "</f>
        <v xml:space="preserve">BETTS                    MONTANA      R           </v>
      </c>
      <c r="E24717" t="str">
        <f>"MEMPHIS                   "</f>
        <v xml:space="preserve">MEMPHIS                   </v>
      </c>
      <c r="F24717" t="str">
        <f t="shared" si="700"/>
        <v>TN</v>
      </c>
    </row>
    <row r="24718" spans="1:6" x14ac:dyDescent="0.25">
      <c r="A24718" t="str">
        <f>"200027798"</f>
        <v>200027798</v>
      </c>
      <c r="B24718" t="str">
        <f>"1114459500"</f>
        <v>1114459500</v>
      </c>
      <c r="C24718" t="str">
        <f>"207Q00000X"</f>
        <v>207Q00000X</v>
      </c>
      <c r="D24718" t="str">
        <f>"CALDWELL                 SAMANTHA                 "</f>
        <v xml:space="preserve">CALDWELL                 SAMANTHA                 </v>
      </c>
      <c r="E24718" t="str">
        <f>"MEMPHIS                   "</f>
        <v xml:space="preserve">MEMPHIS                   </v>
      </c>
      <c r="F24718" t="str">
        <f t="shared" si="700"/>
        <v>TN</v>
      </c>
    </row>
    <row r="24719" spans="1:6" x14ac:dyDescent="0.25">
      <c r="A24719" t="str">
        <f>"200027799"</f>
        <v>200027799</v>
      </c>
      <c r="B24719" t="str">
        <f>"1295396158"</f>
        <v>1295396158</v>
      </c>
      <c r="C24719" t="str">
        <f>"208M00000X"</f>
        <v>208M00000X</v>
      </c>
      <c r="D24719" t="str">
        <f>"GARIZIO                  JAMES                    "</f>
        <v xml:space="preserve">GARIZIO                  JAMES                    </v>
      </c>
      <c r="E24719" t="str">
        <f>"NASHVILLE                 "</f>
        <v xml:space="preserve">NASHVILLE                 </v>
      </c>
      <c r="F24719" t="str">
        <f t="shared" si="700"/>
        <v>TN</v>
      </c>
    </row>
    <row r="24720" spans="1:6" x14ac:dyDescent="0.25">
      <c r="A24720" t="str">
        <f>"200027807"</f>
        <v>200027807</v>
      </c>
      <c r="B24720" t="str">
        <f>"1366912701"</f>
        <v>1366912701</v>
      </c>
      <c r="C24720" t="str">
        <f>"367500000X"</f>
        <v>367500000X</v>
      </c>
      <c r="D24720" t="str">
        <f>"PORAY                    ROZLYN       G           "</f>
        <v xml:space="preserve">PORAY                    ROZLYN       G           </v>
      </c>
      <c r="E24720" t="str">
        <f t="shared" ref="E24720:E24726" si="702">"MEMPHIS                   "</f>
        <v xml:space="preserve">MEMPHIS                   </v>
      </c>
      <c r="F24720" t="str">
        <f t="shared" si="700"/>
        <v>TN</v>
      </c>
    </row>
    <row r="24721" spans="1:6" x14ac:dyDescent="0.25">
      <c r="A24721" t="str">
        <f>"200027809"</f>
        <v>200027809</v>
      </c>
      <c r="B24721" t="str">
        <f>"1093658676"</f>
        <v>1093658676</v>
      </c>
      <c r="C24721" t="str">
        <f>"207R00000X"</f>
        <v>207R00000X</v>
      </c>
      <c r="D24721" t="str">
        <f>"WAPLES                   WILLIAM                  "</f>
        <v xml:space="preserve">WAPLES                   WILLIAM                  </v>
      </c>
      <c r="E24721" t="str">
        <f t="shared" si="702"/>
        <v xml:space="preserve">MEMPHIS                   </v>
      </c>
      <c r="F24721" t="str">
        <f t="shared" si="700"/>
        <v>TN</v>
      </c>
    </row>
    <row r="24722" spans="1:6" x14ac:dyDescent="0.25">
      <c r="A24722" t="str">
        <f>"200027813"</f>
        <v>200027813</v>
      </c>
      <c r="B24722" t="str">
        <f>"1285802736"</f>
        <v>1285802736</v>
      </c>
      <c r="C24722" t="str">
        <f>"367500000X"</f>
        <v>367500000X</v>
      </c>
      <c r="D24722" t="str">
        <f>"JONES                    MARY                     "</f>
        <v xml:space="preserve">JONES                    MARY                     </v>
      </c>
      <c r="E24722" t="str">
        <f t="shared" si="702"/>
        <v xml:space="preserve">MEMPHIS                   </v>
      </c>
      <c r="F24722" t="str">
        <f t="shared" si="700"/>
        <v>TN</v>
      </c>
    </row>
    <row r="24723" spans="1:6" x14ac:dyDescent="0.25">
      <c r="A24723" t="str">
        <f>"200027814"</f>
        <v>200027814</v>
      </c>
      <c r="B24723" t="str">
        <f>"1194342048"</f>
        <v>1194342048</v>
      </c>
      <c r="C24723" t="str">
        <f>"363LF0000X"</f>
        <v>363LF0000X</v>
      </c>
      <c r="D24723" t="str">
        <f>"MCMORRIS                 KETTELENE                "</f>
        <v xml:space="preserve">MCMORRIS                 KETTELENE                </v>
      </c>
      <c r="E24723" t="str">
        <f t="shared" si="702"/>
        <v xml:space="preserve">MEMPHIS                   </v>
      </c>
      <c r="F24723" t="str">
        <f t="shared" si="700"/>
        <v>TN</v>
      </c>
    </row>
    <row r="24724" spans="1:6" x14ac:dyDescent="0.25">
      <c r="A24724" t="str">
        <f>"200027824"</f>
        <v>200027824</v>
      </c>
      <c r="B24724" t="str">
        <f>"1558892042"</f>
        <v>1558892042</v>
      </c>
      <c r="C24724" t="str">
        <f>"2080P0210X"</f>
        <v>2080P0210X</v>
      </c>
      <c r="D24724" t="str">
        <f>"HYMAN                    BRADLEY                  "</f>
        <v xml:space="preserve">HYMAN                    BRADLEY                  </v>
      </c>
      <c r="E24724" t="str">
        <f t="shared" si="702"/>
        <v xml:space="preserve">MEMPHIS                   </v>
      </c>
      <c r="F24724" t="str">
        <f t="shared" si="700"/>
        <v>TN</v>
      </c>
    </row>
    <row r="24725" spans="1:6" x14ac:dyDescent="0.25">
      <c r="A24725" t="str">
        <f>"200027825"</f>
        <v>200027825</v>
      </c>
      <c r="B24725" t="str">
        <f>"1235181710"</f>
        <v>1235181710</v>
      </c>
      <c r="C24725" t="str">
        <f>"207RN0300X"</f>
        <v>207RN0300X</v>
      </c>
      <c r="D24725" t="str">
        <f>"KHAN                     MOHAMMED     B           "</f>
        <v xml:space="preserve">KHAN                     MOHAMMED     B           </v>
      </c>
      <c r="E24725" t="str">
        <f t="shared" si="702"/>
        <v xml:space="preserve">MEMPHIS                   </v>
      </c>
      <c r="F24725" t="str">
        <f t="shared" si="700"/>
        <v>TN</v>
      </c>
    </row>
    <row r="24726" spans="1:6" x14ac:dyDescent="0.25">
      <c r="A24726" t="str">
        <f>"200027831"</f>
        <v>200027831</v>
      </c>
      <c r="B24726" t="str">
        <f>"1770421760"</f>
        <v>1770421760</v>
      </c>
      <c r="C24726" t="str">
        <f>"207R00000X"</f>
        <v>207R00000X</v>
      </c>
      <c r="D24726" t="str">
        <f>"MUFFALETTO               ROBERT                   "</f>
        <v xml:space="preserve">MUFFALETTO               ROBERT                   </v>
      </c>
      <c r="E24726" t="str">
        <f t="shared" si="702"/>
        <v xml:space="preserve">MEMPHIS                   </v>
      </c>
      <c r="F24726" t="str">
        <f t="shared" si="700"/>
        <v>TN</v>
      </c>
    </row>
    <row r="24727" spans="1:6" x14ac:dyDescent="0.25">
      <c r="A24727" t="str">
        <f>"200027842"</f>
        <v>200027842</v>
      </c>
      <c r="B24727" t="str">
        <f>"1407088289"</f>
        <v>1407088289</v>
      </c>
      <c r="C24727" t="str">
        <f>"207T00000X"</f>
        <v>207T00000X</v>
      </c>
      <c r="D24727" t="str">
        <f>"BONFIELD                 CHRISTOPHER              "</f>
        <v xml:space="preserve">BONFIELD                 CHRISTOPHER              </v>
      </c>
      <c r="E24727" t="str">
        <f>"NASHVILLE                 "</f>
        <v xml:space="preserve">NASHVILLE                 </v>
      </c>
      <c r="F24727" t="str">
        <f t="shared" si="700"/>
        <v>TN</v>
      </c>
    </row>
    <row r="24728" spans="1:6" x14ac:dyDescent="0.25">
      <c r="A24728" t="str">
        <f>"200027857"</f>
        <v>200027857</v>
      </c>
      <c r="B24728" t="str">
        <f>"1790488849"</f>
        <v>1790488849</v>
      </c>
      <c r="C24728" t="str">
        <f>"2080P0203X"</f>
        <v>2080P0203X</v>
      </c>
      <c r="D24728" t="str">
        <f>"SIGALE                   STEPHANIE                "</f>
        <v xml:space="preserve">SIGALE                   STEPHANIE                </v>
      </c>
      <c r="E24728" t="str">
        <f t="shared" ref="E24728:E24740" si="703">"MEMPHIS                   "</f>
        <v xml:space="preserve">MEMPHIS                   </v>
      </c>
      <c r="F24728" t="str">
        <f t="shared" si="700"/>
        <v>TN</v>
      </c>
    </row>
    <row r="24729" spans="1:6" x14ac:dyDescent="0.25">
      <c r="A24729" t="str">
        <f>"200027858"</f>
        <v>200027858</v>
      </c>
      <c r="B24729" t="str">
        <f>"1497696876"</f>
        <v>1497696876</v>
      </c>
      <c r="C24729" t="str">
        <f>"207R00000X"</f>
        <v>207R00000X</v>
      </c>
      <c r="D24729" t="str">
        <f>"RALLAPALLE               VYSHNAVI                 "</f>
        <v xml:space="preserve">RALLAPALLE               VYSHNAVI                 </v>
      </c>
      <c r="E24729" t="str">
        <f t="shared" si="703"/>
        <v xml:space="preserve">MEMPHIS                   </v>
      </c>
      <c r="F24729" t="str">
        <f t="shared" si="700"/>
        <v>TN</v>
      </c>
    </row>
    <row r="24730" spans="1:6" x14ac:dyDescent="0.25">
      <c r="A24730" t="str">
        <f>"200027859"</f>
        <v>200027859</v>
      </c>
      <c r="B24730" t="str">
        <f>"1912862038"</f>
        <v>1912862038</v>
      </c>
      <c r="C24730" t="str">
        <f>"363A00000X"</f>
        <v>363A00000X</v>
      </c>
      <c r="D24730" t="str">
        <f>"RUSHING                  REAGAN                   "</f>
        <v xml:space="preserve">RUSHING                  REAGAN                   </v>
      </c>
      <c r="E24730" t="str">
        <f t="shared" si="703"/>
        <v xml:space="preserve">MEMPHIS                   </v>
      </c>
      <c r="F24730" t="str">
        <f t="shared" si="700"/>
        <v>TN</v>
      </c>
    </row>
    <row r="24731" spans="1:6" x14ac:dyDescent="0.25">
      <c r="A24731" t="str">
        <f>"200027860"</f>
        <v>200027860</v>
      </c>
      <c r="B24731" t="str">
        <f>"1295671774"</f>
        <v>1295671774</v>
      </c>
      <c r="C24731" t="str">
        <f>"207X00000X"</f>
        <v>207X00000X</v>
      </c>
      <c r="D24731" t="str">
        <f>"BEDA                     NATHAN                   "</f>
        <v xml:space="preserve">BEDA                     NATHAN                   </v>
      </c>
      <c r="E24731" t="str">
        <f t="shared" si="703"/>
        <v xml:space="preserve">MEMPHIS                   </v>
      </c>
      <c r="F24731" t="str">
        <f t="shared" si="700"/>
        <v>TN</v>
      </c>
    </row>
    <row r="24732" spans="1:6" x14ac:dyDescent="0.25">
      <c r="A24732" t="str">
        <f>"200027877"</f>
        <v>200027877</v>
      </c>
      <c r="B24732" t="str">
        <f>"1639537830"</f>
        <v>1639537830</v>
      </c>
      <c r="C24732" t="str">
        <f>"363LF0000X"</f>
        <v>363LF0000X</v>
      </c>
      <c r="D24732" t="str">
        <f>"ARMENISE                 VANESSA                  "</f>
        <v xml:space="preserve">ARMENISE                 VANESSA                  </v>
      </c>
      <c r="E24732" t="str">
        <f t="shared" si="703"/>
        <v xml:space="preserve">MEMPHIS                   </v>
      </c>
      <c r="F24732" t="str">
        <f t="shared" si="700"/>
        <v>TN</v>
      </c>
    </row>
    <row r="24733" spans="1:6" x14ac:dyDescent="0.25">
      <c r="A24733" t="str">
        <f>"200027883"</f>
        <v>200027883</v>
      </c>
      <c r="B24733" t="str">
        <f>"1235071218"</f>
        <v>1235071218</v>
      </c>
      <c r="C24733" t="str">
        <f>"207R00000X"</f>
        <v>207R00000X</v>
      </c>
      <c r="D24733" t="str">
        <f>"SHEPHERD                 MARGARET                 "</f>
        <v xml:space="preserve">SHEPHERD                 MARGARET                 </v>
      </c>
      <c r="E24733" t="str">
        <f t="shared" si="703"/>
        <v xml:space="preserve">MEMPHIS                   </v>
      </c>
      <c r="F24733" t="str">
        <f t="shared" si="700"/>
        <v>TN</v>
      </c>
    </row>
    <row r="24734" spans="1:6" x14ac:dyDescent="0.25">
      <c r="A24734" t="str">
        <f>"200027884"</f>
        <v>200027884</v>
      </c>
      <c r="B24734" t="str">
        <f>"1851885867"</f>
        <v>1851885867</v>
      </c>
      <c r="C24734" t="str">
        <f>"363AS0400X"</f>
        <v>363AS0400X</v>
      </c>
      <c r="D24734" t="str">
        <f>"FIELDS                   JESSICA      M           "</f>
        <v xml:space="preserve">FIELDS                   JESSICA      M           </v>
      </c>
      <c r="E24734" t="str">
        <f t="shared" si="703"/>
        <v xml:space="preserve">MEMPHIS                   </v>
      </c>
      <c r="F24734" t="str">
        <f t="shared" si="700"/>
        <v>TN</v>
      </c>
    </row>
    <row r="24735" spans="1:6" x14ac:dyDescent="0.25">
      <c r="A24735" t="str">
        <f>"200027888"</f>
        <v>200027888</v>
      </c>
      <c r="B24735" t="str">
        <f>"1205770096"</f>
        <v>1205770096</v>
      </c>
      <c r="C24735" t="str">
        <f>"207R00000X"</f>
        <v>207R00000X</v>
      </c>
      <c r="D24735" t="str">
        <f>"ELLIOTT-MULLENS          LAUREN                   "</f>
        <v xml:space="preserve">ELLIOTT-MULLENS          LAUREN                   </v>
      </c>
      <c r="E24735" t="str">
        <f t="shared" si="703"/>
        <v xml:space="preserve">MEMPHIS                   </v>
      </c>
      <c r="F24735" t="str">
        <f t="shared" si="700"/>
        <v>TN</v>
      </c>
    </row>
    <row r="24736" spans="1:6" x14ac:dyDescent="0.25">
      <c r="A24736" t="str">
        <f>"200027897"</f>
        <v>200027897</v>
      </c>
      <c r="B24736" t="str">
        <f>"1497699540"</f>
        <v>1497699540</v>
      </c>
      <c r="C24736" t="str">
        <f>"208600000X"</f>
        <v>208600000X</v>
      </c>
      <c r="D24736" t="str">
        <f>"WEATHERLY                JILL                     "</f>
        <v xml:space="preserve">WEATHERLY                JILL                     </v>
      </c>
      <c r="E24736" t="str">
        <f t="shared" si="703"/>
        <v xml:space="preserve">MEMPHIS                   </v>
      </c>
      <c r="F24736" t="str">
        <f t="shared" si="700"/>
        <v>TN</v>
      </c>
    </row>
    <row r="24737" spans="1:6" x14ac:dyDescent="0.25">
      <c r="A24737" t="str">
        <f>"200027899"</f>
        <v>200027899</v>
      </c>
      <c r="B24737" t="str">
        <f>"1841145265"</f>
        <v>1841145265</v>
      </c>
      <c r="C24737" t="str">
        <f>"363L00000X"</f>
        <v>363L00000X</v>
      </c>
      <c r="D24737" t="str">
        <f>"NAVARRO                  ADRIANE                  "</f>
        <v xml:space="preserve">NAVARRO                  ADRIANE                  </v>
      </c>
      <c r="E24737" t="str">
        <f t="shared" si="703"/>
        <v xml:space="preserve">MEMPHIS                   </v>
      </c>
      <c r="F24737" t="str">
        <f t="shared" si="700"/>
        <v>TN</v>
      </c>
    </row>
    <row r="24738" spans="1:6" x14ac:dyDescent="0.25">
      <c r="A24738" t="str">
        <f>"200027900"</f>
        <v>200027900</v>
      </c>
      <c r="B24738" t="str">
        <f>"1609716885"</f>
        <v>1609716885</v>
      </c>
      <c r="C24738" t="str">
        <f>"207P00000X"</f>
        <v>207P00000X</v>
      </c>
      <c r="D24738" t="str">
        <f>"SNIDER                   SAMUEL       T           "</f>
        <v xml:space="preserve">SNIDER                   SAMUEL       T           </v>
      </c>
      <c r="E24738" t="str">
        <f t="shared" si="703"/>
        <v xml:space="preserve">MEMPHIS                   </v>
      </c>
      <c r="F24738" t="str">
        <f t="shared" si="700"/>
        <v>TN</v>
      </c>
    </row>
    <row r="24739" spans="1:6" x14ac:dyDescent="0.25">
      <c r="A24739" t="str">
        <f>"200027913"</f>
        <v>200027913</v>
      </c>
      <c r="B24739" t="str">
        <f>"1396430369"</f>
        <v>1396430369</v>
      </c>
      <c r="C24739" t="str">
        <f>"208000000X"</f>
        <v>208000000X</v>
      </c>
      <c r="D24739" t="str">
        <f>"BLONDEAU-LECOMTE         ESTHER                   "</f>
        <v xml:space="preserve">BLONDEAU-LECOMTE         ESTHER                   </v>
      </c>
      <c r="E24739" t="str">
        <f t="shared" si="703"/>
        <v xml:space="preserve">MEMPHIS                   </v>
      </c>
      <c r="F24739" t="str">
        <f t="shared" si="700"/>
        <v>TN</v>
      </c>
    </row>
    <row r="24740" spans="1:6" x14ac:dyDescent="0.25">
      <c r="A24740" t="str">
        <f>"200027924"</f>
        <v>200027924</v>
      </c>
      <c r="B24740" t="str">
        <f>"1619434511"</f>
        <v>1619434511</v>
      </c>
      <c r="C24740" t="str">
        <f>"367500000X"</f>
        <v>367500000X</v>
      </c>
      <c r="D24740" t="str">
        <f>"BECKER                   ELIZABEHT    M           "</f>
        <v xml:space="preserve">BECKER                   ELIZABEHT    M           </v>
      </c>
      <c r="E24740" t="str">
        <f t="shared" si="703"/>
        <v xml:space="preserve">MEMPHIS                   </v>
      </c>
      <c r="F24740" t="str">
        <f t="shared" si="700"/>
        <v>TN</v>
      </c>
    </row>
    <row r="24741" spans="1:6" x14ac:dyDescent="0.25">
      <c r="A24741" t="str">
        <f>"200027927"</f>
        <v>200027927</v>
      </c>
      <c r="B24741" t="str">
        <f>"1629344874"</f>
        <v>1629344874</v>
      </c>
      <c r="C24741" t="str">
        <f>"207T00000X"</f>
        <v>207T00000X</v>
      </c>
      <c r="D24741" t="str">
        <f>"MORONE                   PETER                    "</f>
        <v xml:space="preserve">MORONE                   PETER                    </v>
      </c>
      <c r="E24741" t="str">
        <f>"NASHVILLE                 "</f>
        <v xml:space="preserve">NASHVILLE                 </v>
      </c>
      <c r="F24741" t="str">
        <f t="shared" si="700"/>
        <v>TN</v>
      </c>
    </row>
    <row r="24742" spans="1:6" x14ac:dyDescent="0.25">
      <c r="A24742" t="str">
        <f>"200027929"</f>
        <v>200027929</v>
      </c>
      <c r="B24742" t="str">
        <f>"1477319226"</f>
        <v>1477319226</v>
      </c>
      <c r="C24742" t="str">
        <f>"363A00000X"</f>
        <v>363A00000X</v>
      </c>
      <c r="D24742" t="str">
        <f>"RAMZY                    MARIO                    "</f>
        <v xml:space="preserve">RAMZY                    MARIO                    </v>
      </c>
      <c r="E24742" t="str">
        <f>"MEMPHIS                   "</f>
        <v xml:space="preserve">MEMPHIS                   </v>
      </c>
      <c r="F24742" t="str">
        <f t="shared" si="700"/>
        <v>TN</v>
      </c>
    </row>
    <row r="24743" spans="1:6" x14ac:dyDescent="0.25">
      <c r="A24743" t="str">
        <f>"200027931"</f>
        <v>200027931</v>
      </c>
      <c r="B24743" t="str">
        <f>"1417378845"</f>
        <v>1417378845</v>
      </c>
      <c r="C24743" t="str">
        <f>"207ZP0102X"</f>
        <v>207ZP0102X</v>
      </c>
      <c r="D24743" t="str">
        <f>"OZA                      TWISHA                   "</f>
        <v xml:space="preserve">OZA                      TWISHA                   </v>
      </c>
      <c r="E24743" t="str">
        <f>"MEMPHIS                   "</f>
        <v xml:space="preserve">MEMPHIS                   </v>
      </c>
      <c r="F24743" t="str">
        <f t="shared" si="700"/>
        <v>TN</v>
      </c>
    </row>
    <row r="24744" spans="1:6" x14ac:dyDescent="0.25">
      <c r="A24744" t="str">
        <f>"200027934"</f>
        <v>200027934</v>
      </c>
      <c r="B24744" t="str">
        <f>"1396688339"</f>
        <v>1396688339</v>
      </c>
      <c r="C24744" t="str">
        <f>"208600000X"</f>
        <v>208600000X</v>
      </c>
      <c r="D24744" t="str">
        <f>"JOHNSTON                 TYLER                    "</f>
        <v xml:space="preserve">JOHNSTON                 TYLER                    </v>
      </c>
      <c r="E24744" t="str">
        <f>"MEMPHIS                   "</f>
        <v xml:space="preserve">MEMPHIS                   </v>
      </c>
      <c r="F24744" t="str">
        <f t="shared" si="700"/>
        <v>TN</v>
      </c>
    </row>
    <row r="24745" spans="1:6" x14ac:dyDescent="0.25">
      <c r="A24745" t="str">
        <f>"200027936"</f>
        <v>200027936</v>
      </c>
      <c r="B24745" t="str">
        <f>"1336871045"</f>
        <v>1336871045</v>
      </c>
      <c r="C24745" t="str">
        <f>"207Y00000X"</f>
        <v>207Y00000X</v>
      </c>
      <c r="D24745" t="str">
        <f>"DERBARSEGIAN             ARMO                     "</f>
        <v xml:space="preserve">DERBARSEGIAN             ARMO                     </v>
      </c>
      <c r="E24745" t="str">
        <f>"MEMPHIS                   "</f>
        <v xml:space="preserve">MEMPHIS                   </v>
      </c>
      <c r="F24745" t="str">
        <f t="shared" si="700"/>
        <v>TN</v>
      </c>
    </row>
    <row r="24746" spans="1:6" x14ac:dyDescent="0.25">
      <c r="A24746" t="str">
        <f>"200027940"</f>
        <v>200027940</v>
      </c>
      <c r="B24746" t="str">
        <f>"1891324604"</f>
        <v>1891324604</v>
      </c>
      <c r="C24746" t="str">
        <f>"207P00000X"</f>
        <v>207P00000X</v>
      </c>
      <c r="D24746" t="str">
        <f>"LANGILLE                 ANDREW                   "</f>
        <v xml:space="preserve">LANGILLE                 ANDREW                   </v>
      </c>
      <c r="E24746" t="str">
        <f>"SAVANNAH                  "</f>
        <v xml:space="preserve">SAVANNAH                  </v>
      </c>
      <c r="F24746" t="str">
        <f t="shared" si="700"/>
        <v>TN</v>
      </c>
    </row>
    <row r="24747" spans="1:6" x14ac:dyDescent="0.25">
      <c r="A24747" t="str">
        <f>"200027941"</f>
        <v>200027941</v>
      </c>
      <c r="B24747" t="str">
        <f>"1023876596"</f>
        <v>1023876596</v>
      </c>
      <c r="C24747" t="str">
        <f>"208800000X"</f>
        <v>208800000X</v>
      </c>
      <c r="D24747" t="str">
        <f>"SCHWARTZ                 ADAM                     "</f>
        <v xml:space="preserve">SCHWARTZ                 ADAM                     </v>
      </c>
      <c r="E24747" t="str">
        <f>"MEMPHIS                   "</f>
        <v xml:space="preserve">MEMPHIS                   </v>
      </c>
      <c r="F24747" t="str">
        <f t="shared" si="700"/>
        <v>TN</v>
      </c>
    </row>
    <row r="24748" spans="1:6" x14ac:dyDescent="0.25">
      <c r="A24748" t="str">
        <f>"200027951"</f>
        <v>200027951</v>
      </c>
      <c r="B24748" t="str">
        <f>"1801424452"</f>
        <v>1801424452</v>
      </c>
      <c r="C24748" t="str">
        <f>"2084N0400X"</f>
        <v>2084N0400X</v>
      </c>
      <c r="D24748" t="str">
        <f>"GABEL                    MAYA                     "</f>
        <v xml:space="preserve">GABEL                    MAYA                     </v>
      </c>
      <c r="E24748" t="str">
        <f>"MEMPHIS                   "</f>
        <v xml:space="preserve">MEMPHIS                   </v>
      </c>
      <c r="F24748" t="str">
        <f t="shared" si="700"/>
        <v>TN</v>
      </c>
    </row>
    <row r="24749" spans="1:6" x14ac:dyDescent="0.25">
      <c r="A24749" t="str">
        <f>"200027952"</f>
        <v>200027952</v>
      </c>
      <c r="B24749" t="str">
        <f>"1922963883"</f>
        <v>1922963883</v>
      </c>
      <c r="C24749" t="str">
        <f>"207R00000X"</f>
        <v>207R00000X</v>
      </c>
      <c r="D24749" t="str">
        <f>"HOWELL                   NELSON                   "</f>
        <v xml:space="preserve">HOWELL                   NELSON                   </v>
      </c>
      <c r="E24749" t="str">
        <f>"MEMPHIS                   "</f>
        <v xml:space="preserve">MEMPHIS                   </v>
      </c>
      <c r="F24749" t="str">
        <f t="shared" si="700"/>
        <v>TN</v>
      </c>
    </row>
    <row r="24750" spans="1:6" x14ac:dyDescent="0.25">
      <c r="A24750" t="str">
        <f>"200027954"</f>
        <v>200027954</v>
      </c>
      <c r="B24750" t="str">
        <f>"1871304253"</f>
        <v>1871304253</v>
      </c>
      <c r="C24750" t="str">
        <f>"207R00000X"</f>
        <v>207R00000X</v>
      </c>
      <c r="D24750" t="str">
        <f>"HOWELL                   CAROLINE                 "</f>
        <v xml:space="preserve">HOWELL                   CAROLINE                 </v>
      </c>
      <c r="E24750" t="str">
        <f>"MEMPHIS                   "</f>
        <v xml:space="preserve">MEMPHIS                   </v>
      </c>
      <c r="F24750" t="str">
        <f t="shared" si="700"/>
        <v>TN</v>
      </c>
    </row>
    <row r="24751" spans="1:6" x14ac:dyDescent="0.25">
      <c r="A24751" t="str">
        <f>"200027959"</f>
        <v>200027959</v>
      </c>
      <c r="B24751" t="str">
        <f>"1750723904"</f>
        <v>1750723904</v>
      </c>
      <c r="C24751" t="str">
        <f>"367500000X"</f>
        <v>367500000X</v>
      </c>
      <c r="D24751" t="str">
        <f>"FULCHER                  RACHEL                   "</f>
        <v xml:space="preserve">FULCHER                  RACHEL                   </v>
      </c>
      <c r="E24751" t="str">
        <f>"GERMANTOWN                "</f>
        <v xml:space="preserve">GERMANTOWN                </v>
      </c>
      <c r="F24751" t="str">
        <f t="shared" si="700"/>
        <v>TN</v>
      </c>
    </row>
    <row r="24752" spans="1:6" x14ac:dyDescent="0.25">
      <c r="A24752" t="str">
        <f>"200027962"</f>
        <v>200027962</v>
      </c>
      <c r="B24752" t="str">
        <f>"1053254276"</f>
        <v>1053254276</v>
      </c>
      <c r="C24752" t="str">
        <f>"208600000X"</f>
        <v>208600000X</v>
      </c>
      <c r="D24752" t="str">
        <f>"HOWELL                   GRACE        H           "</f>
        <v xml:space="preserve">HOWELL                   GRACE        H           </v>
      </c>
      <c r="E24752" t="str">
        <f t="shared" ref="E24752:E24761" si="704">"MEMPHIS                   "</f>
        <v xml:space="preserve">MEMPHIS                   </v>
      </c>
      <c r="F24752" t="str">
        <f t="shared" si="700"/>
        <v>TN</v>
      </c>
    </row>
    <row r="24753" spans="1:6" x14ac:dyDescent="0.25">
      <c r="A24753" t="str">
        <f>"200027964"</f>
        <v>200027964</v>
      </c>
      <c r="B24753" t="str">
        <f>"1881404135"</f>
        <v>1881404135</v>
      </c>
      <c r="C24753" t="str">
        <f>"363LP0200X"</f>
        <v>363LP0200X</v>
      </c>
      <c r="D24753" t="str">
        <f>"GIBSON                   LINDSAY                  "</f>
        <v xml:space="preserve">GIBSON                   LINDSAY                  </v>
      </c>
      <c r="E24753" t="str">
        <f t="shared" si="704"/>
        <v xml:space="preserve">MEMPHIS                   </v>
      </c>
      <c r="F24753" t="str">
        <f t="shared" si="700"/>
        <v>TN</v>
      </c>
    </row>
    <row r="24754" spans="1:6" x14ac:dyDescent="0.25">
      <c r="A24754" t="str">
        <f>"200027965"</f>
        <v>200027965</v>
      </c>
      <c r="B24754" t="str">
        <f>"1235226341"</f>
        <v>1235226341</v>
      </c>
      <c r="C24754" t="str">
        <f>"207L00000X"</f>
        <v>207L00000X</v>
      </c>
      <c r="D24754" t="str">
        <f>"D'ALESSIO                JOHN         G           "</f>
        <v xml:space="preserve">D'ALESSIO                JOHN         G           </v>
      </c>
      <c r="E24754" t="str">
        <f t="shared" si="704"/>
        <v xml:space="preserve">MEMPHIS                   </v>
      </c>
      <c r="F24754" t="str">
        <f t="shared" si="700"/>
        <v>TN</v>
      </c>
    </row>
    <row r="24755" spans="1:6" x14ac:dyDescent="0.25">
      <c r="A24755" t="str">
        <f>"200027970"</f>
        <v>200027970</v>
      </c>
      <c r="B24755" t="str">
        <f>"1811782683"</f>
        <v>1811782683</v>
      </c>
      <c r="C24755" t="str">
        <f>"2084N0400X"</f>
        <v>2084N0400X</v>
      </c>
      <c r="D24755" t="str">
        <f>"ABDOLLAH ZADEGAN         SHAYAN                   "</f>
        <v xml:space="preserve">ABDOLLAH ZADEGAN         SHAYAN                   </v>
      </c>
      <c r="E24755" t="str">
        <f t="shared" si="704"/>
        <v xml:space="preserve">MEMPHIS                   </v>
      </c>
      <c r="F24755" t="str">
        <f t="shared" si="700"/>
        <v>TN</v>
      </c>
    </row>
    <row r="24756" spans="1:6" x14ac:dyDescent="0.25">
      <c r="A24756" t="str">
        <f>"200027972"</f>
        <v>200027972</v>
      </c>
      <c r="B24756" t="str">
        <f>"1255272738"</f>
        <v>1255272738</v>
      </c>
      <c r="C24756" t="str">
        <f>"207R00000X"</f>
        <v>207R00000X</v>
      </c>
      <c r="D24756" t="str">
        <f>"JIWANI                   ZAHRA                    "</f>
        <v xml:space="preserve">JIWANI                   ZAHRA                    </v>
      </c>
      <c r="E24756" t="str">
        <f t="shared" si="704"/>
        <v xml:space="preserve">MEMPHIS                   </v>
      </c>
      <c r="F24756" t="str">
        <f t="shared" si="700"/>
        <v>TN</v>
      </c>
    </row>
    <row r="24757" spans="1:6" x14ac:dyDescent="0.25">
      <c r="A24757" t="str">
        <f>"200027973"</f>
        <v>200027973</v>
      </c>
      <c r="B24757" t="str">
        <f>"1851233233"</f>
        <v>1851233233</v>
      </c>
      <c r="C24757" t="str">
        <f>"207R00000X"</f>
        <v>207R00000X</v>
      </c>
      <c r="D24757" t="str">
        <f>"FONTANA                  ELEANOR                  "</f>
        <v xml:space="preserve">FONTANA                  ELEANOR                  </v>
      </c>
      <c r="E24757" t="str">
        <f t="shared" si="704"/>
        <v xml:space="preserve">MEMPHIS                   </v>
      </c>
      <c r="F24757" t="str">
        <f t="shared" si="700"/>
        <v>TN</v>
      </c>
    </row>
    <row r="24758" spans="1:6" x14ac:dyDescent="0.25">
      <c r="A24758" t="str">
        <f>"200027976"</f>
        <v>200027976</v>
      </c>
      <c r="B24758" t="str">
        <f>"1356318752"</f>
        <v>1356318752</v>
      </c>
      <c r="C24758" t="str">
        <f>"2084N0400X"</f>
        <v>2084N0400X</v>
      </c>
      <c r="D24758" t="str">
        <f>"PILLAI                   REKHA                    "</f>
        <v xml:space="preserve">PILLAI                   REKHA                    </v>
      </c>
      <c r="E24758" t="str">
        <f t="shared" si="704"/>
        <v xml:space="preserve">MEMPHIS                   </v>
      </c>
      <c r="F24758" t="str">
        <f t="shared" si="700"/>
        <v>TN</v>
      </c>
    </row>
    <row r="24759" spans="1:6" x14ac:dyDescent="0.25">
      <c r="A24759" t="str">
        <f>"200027981"</f>
        <v>200027981</v>
      </c>
      <c r="B24759" t="str">
        <f>"1881808012"</f>
        <v>1881808012</v>
      </c>
      <c r="C24759" t="str">
        <f>"207P00000X"</f>
        <v>207P00000X</v>
      </c>
      <c r="D24759" t="str">
        <f>"MORRISON                 RODERICK                 "</f>
        <v xml:space="preserve">MORRISON                 RODERICK                 </v>
      </c>
      <c r="E24759" t="str">
        <f t="shared" si="704"/>
        <v xml:space="preserve">MEMPHIS                   </v>
      </c>
      <c r="F24759" t="str">
        <f t="shared" si="700"/>
        <v>TN</v>
      </c>
    </row>
    <row r="24760" spans="1:6" x14ac:dyDescent="0.25">
      <c r="A24760" t="str">
        <f>"200027995"</f>
        <v>200027995</v>
      </c>
      <c r="B24760" t="str">
        <f>"1326004177"</f>
        <v>1326004177</v>
      </c>
      <c r="C24760" t="str">
        <f>"2086S0120X"</f>
        <v>2086S0120X</v>
      </c>
      <c r="D24760" t="str">
        <f>"NEZAKATGOO               NOSRATOLLAH              "</f>
        <v xml:space="preserve">NEZAKATGOO               NOSRATOLLAH              </v>
      </c>
      <c r="E24760" t="str">
        <f t="shared" si="704"/>
        <v xml:space="preserve">MEMPHIS                   </v>
      </c>
      <c r="F24760" t="str">
        <f t="shared" si="700"/>
        <v>TN</v>
      </c>
    </row>
    <row r="24761" spans="1:6" x14ac:dyDescent="0.25">
      <c r="A24761" t="str">
        <f>"200028000"</f>
        <v>200028000</v>
      </c>
      <c r="B24761" t="str">
        <f>"1316888951"</f>
        <v>1316888951</v>
      </c>
      <c r="C24761" t="str">
        <f>"2084P0800X"</f>
        <v>2084P0800X</v>
      </c>
      <c r="D24761" t="str">
        <f>"ACOSTA                   SEAN                     "</f>
        <v xml:space="preserve">ACOSTA                   SEAN                     </v>
      </c>
      <c r="E24761" t="str">
        <f t="shared" si="704"/>
        <v xml:space="preserve">MEMPHIS                   </v>
      </c>
      <c r="F24761" t="str">
        <f t="shared" si="700"/>
        <v>TN</v>
      </c>
    </row>
    <row r="24762" spans="1:6" x14ac:dyDescent="0.25">
      <c r="A24762" t="str">
        <f>"200028005"</f>
        <v>200028005</v>
      </c>
      <c r="B24762" t="str">
        <f>"1396139119"</f>
        <v>1396139119</v>
      </c>
      <c r="C24762" t="str">
        <f>"363L00000X"</f>
        <v>363L00000X</v>
      </c>
      <c r="D24762" t="str">
        <f>"FLAHERTY                 STACEY                   "</f>
        <v xml:space="preserve">FLAHERTY                 STACEY                   </v>
      </c>
      <c r="E24762" t="str">
        <f>"COLLIERVILLE              "</f>
        <v xml:space="preserve">COLLIERVILLE              </v>
      </c>
      <c r="F24762" t="str">
        <f t="shared" si="700"/>
        <v>TN</v>
      </c>
    </row>
    <row r="24763" spans="1:6" x14ac:dyDescent="0.25">
      <c r="A24763" t="str">
        <f>"200028006"</f>
        <v>200028006</v>
      </c>
      <c r="B24763" t="str">
        <f>"1750221834"</f>
        <v>1750221834</v>
      </c>
      <c r="C24763" t="str">
        <f>"1223P0221X"</f>
        <v>1223P0221X</v>
      </c>
      <c r="D24763" t="str">
        <f>"RENARD                   JORDAN       R           "</f>
        <v xml:space="preserve">RENARD                   JORDAN       R           </v>
      </c>
      <c r="E24763" t="str">
        <f>"MEMPHIS                   "</f>
        <v xml:space="preserve">MEMPHIS                   </v>
      </c>
      <c r="F24763" t="str">
        <f t="shared" si="700"/>
        <v>TN</v>
      </c>
    </row>
    <row r="24764" spans="1:6" x14ac:dyDescent="0.25">
      <c r="A24764" t="str">
        <f>"200028007"</f>
        <v>200028007</v>
      </c>
      <c r="B24764" t="str">
        <f>"1033906029"</f>
        <v>1033906029</v>
      </c>
      <c r="C24764" t="str">
        <f>"2085R0202X"</f>
        <v>2085R0202X</v>
      </c>
      <c r="D24764" t="str">
        <f>"MARTINEZ                 JONATHAN                 "</f>
        <v xml:space="preserve">MARTINEZ                 JONATHAN                 </v>
      </c>
      <c r="E24764" t="str">
        <f>"MEMPHIS                   "</f>
        <v xml:space="preserve">MEMPHIS                   </v>
      </c>
      <c r="F24764" t="str">
        <f t="shared" si="700"/>
        <v>TN</v>
      </c>
    </row>
    <row r="24765" spans="1:6" x14ac:dyDescent="0.25">
      <c r="A24765" t="str">
        <f>"200028013"</f>
        <v>200028013</v>
      </c>
      <c r="B24765" t="str">
        <f>"1245989631"</f>
        <v>1245989631</v>
      </c>
      <c r="C24765" t="str">
        <f>"208M00000X"</f>
        <v>208M00000X</v>
      </c>
      <c r="D24765" t="str">
        <f>"JAMPANA RAJU             SRIPRAHARSHA             "</f>
        <v xml:space="preserve">JAMPANA RAJU             SRIPRAHARSHA             </v>
      </c>
      <c r="E24765" t="str">
        <f>"NASHVILLE                 "</f>
        <v xml:space="preserve">NASHVILLE                 </v>
      </c>
      <c r="F24765" t="str">
        <f t="shared" si="700"/>
        <v>TN</v>
      </c>
    </row>
    <row r="24766" spans="1:6" x14ac:dyDescent="0.25">
      <c r="A24766" t="str">
        <f>"200028019"</f>
        <v>200028019</v>
      </c>
      <c r="B24766" t="str">
        <f>"1104767698"</f>
        <v>1104767698</v>
      </c>
      <c r="C24766" t="str">
        <f>"207R00000X"</f>
        <v>207R00000X</v>
      </c>
      <c r="D24766" t="str">
        <f>"FULKERSON                ABIGAIL                  "</f>
        <v xml:space="preserve">FULKERSON                ABIGAIL                  </v>
      </c>
      <c r="E24766" t="str">
        <f>"MEMPHIS                   "</f>
        <v xml:space="preserve">MEMPHIS                   </v>
      </c>
      <c r="F24766" t="str">
        <f t="shared" ref="F24766:F24829" si="705">"TN"</f>
        <v>TN</v>
      </c>
    </row>
    <row r="24767" spans="1:6" x14ac:dyDescent="0.25">
      <c r="A24767" t="str">
        <f>"200028032"</f>
        <v>200028032</v>
      </c>
      <c r="B24767" t="str">
        <f>"1306040894"</f>
        <v>1306040894</v>
      </c>
      <c r="C24767" t="str">
        <f>"207RP1001X"</f>
        <v>207RP1001X</v>
      </c>
      <c r="D24767" t="str">
        <f>"SHAVER                   CIARA                    "</f>
        <v xml:space="preserve">SHAVER                   CIARA                    </v>
      </c>
      <c r="E24767" t="str">
        <f>"NASHVILLE                 "</f>
        <v xml:space="preserve">NASHVILLE                 </v>
      </c>
      <c r="F24767" t="str">
        <f t="shared" si="705"/>
        <v>TN</v>
      </c>
    </row>
    <row r="24768" spans="1:6" x14ac:dyDescent="0.25">
      <c r="A24768" t="str">
        <f>"200028038"</f>
        <v>200028038</v>
      </c>
      <c r="B24768" t="str">
        <f>"1891935482"</f>
        <v>1891935482</v>
      </c>
      <c r="C24768" t="str">
        <f>"367500000X"</f>
        <v>367500000X</v>
      </c>
      <c r="D24768" t="str">
        <f>"BADDELEY                 CAROLYN                  "</f>
        <v xml:space="preserve">BADDELEY                 CAROLYN                  </v>
      </c>
      <c r="E24768" t="str">
        <f>"GERMANTOWN                "</f>
        <v xml:space="preserve">GERMANTOWN                </v>
      </c>
      <c r="F24768" t="str">
        <f t="shared" si="705"/>
        <v>TN</v>
      </c>
    </row>
    <row r="24769" spans="1:6" x14ac:dyDescent="0.25">
      <c r="A24769" t="str">
        <f>"200028044"</f>
        <v>200028044</v>
      </c>
      <c r="B24769" t="str">
        <f>"1497011696"</f>
        <v>1497011696</v>
      </c>
      <c r="C24769" t="str">
        <f>"207P00000X"</f>
        <v>207P00000X</v>
      </c>
      <c r="D24769" t="str">
        <f>"HILL                     DUSTIN                   "</f>
        <v xml:space="preserve">HILL                     DUSTIN                   </v>
      </c>
      <c r="E24769" t="str">
        <f>"HUNTINGDON                "</f>
        <v xml:space="preserve">HUNTINGDON                </v>
      </c>
      <c r="F24769" t="str">
        <f t="shared" si="705"/>
        <v>TN</v>
      </c>
    </row>
    <row r="24770" spans="1:6" x14ac:dyDescent="0.25">
      <c r="A24770" t="str">
        <f>"200028046"</f>
        <v>200028046</v>
      </c>
      <c r="B24770" t="str">
        <f>"1912173147"</f>
        <v>1912173147</v>
      </c>
      <c r="C24770" t="str">
        <f>"208200000X"</f>
        <v>208200000X</v>
      </c>
      <c r="D24770" t="str">
        <f>"GOLINKO                  MICHAEL                  "</f>
        <v xml:space="preserve">GOLINKO                  MICHAEL                  </v>
      </c>
      <c r="E24770" t="str">
        <f>"NASHVILLE                 "</f>
        <v xml:space="preserve">NASHVILLE                 </v>
      </c>
      <c r="F24770" t="str">
        <f t="shared" si="705"/>
        <v>TN</v>
      </c>
    </row>
    <row r="24771" spans="1:6" x14ac:dyDescent="0.25">
      <c r="A24771" t="str">
        <f>"200028056"</f>
        <v>200028056</v>
      </c>
      <c r="B24771" t="str">
        <f>"1073456059"</f>
        <v>1073456059</v>
      </c>
      <c r="C24771" t="str">
        <f>"207T00000X"</f>
        <v>207T00000X</v>
      </c>
      <c r="D24771" t="str">
        <f>"NAGM                     ALHUSAIN                 "</f>
        <v xml:space="preserve">NAGM                     ALHUSAIN                 </v>
      </c>
      <c r="E24771" t="str">
        <f t="shared" ref="E24771:E24782" si="706">"MEMPHIS                   "</f>
        <v xml:space="preserve">MEMPHIS                   </v>
      </c>
      <c r="F24771" t="str">
        <f t="shared" si="705"/>
        <v>TN</v>
      </c>
    </row>
    <row r="24772" spans="1:6" x14ac:dyDescent="0.25">
      <c r="A24772" t="str">
        <f>"200028058"</f>
        <v>200028058</v>
      </c>
      <c r="B24772" t="str">
        <f>"1285434852"</f>
        <v>1285434852</v>
      </c>
      <c r="C24772" t="str">
        <f>"208800000X"</f>
        <v>208800000X</v>
      </c>
      <c r="D24772" t="str">
        <f>"DE BOISBLANC             LAUREN                   "</f>
        <v xml:space="preserve">DE BOISBLANC             LAUREN                   </v>
      </c>
      <c r="E24772" t="str">
        <f t="shared" si="706"/>
        <v xml:space="preserve">MEMPHIS                   </v>
      </c>
      <c r="F24772" t="str">
        <f t="shared" si="705"/>
        <v>TN</v>
      </c>
    </row>
    <row r="24773" spans="1:6" x14ac:dyDescent="0.25">
      <c r="A24773" t="str">
        <f>"200028061"</f>
        <v>200028061</v>
      </c>
      <c r="B24773" t="str">
        <f>"1326980731"</f>
        <v>1326980731</v>
      </c>
      <c r="C24773" t="str">
        <f>"208000000X"</f>
        <v>208000000X</v>
      </c>
      <c r="D24773" t="str">
        <f>"SHERMAN                  SAMANTHA     R           "</f>
        <v xml:space="preserve">SHERMAN                  SAMANTHA     R           </v>
      </c>
      <c r="E24773" t="str">
        <f t="shared" si="706"/>
        <v xml:space="preserve">MEMPHIS                   </v>
      </c>
      <c r="F24773" t="str">
        <f t="shared" si="705"/>
        <v>TN</v>
      </c>
    </row>
    <row r="24774" spans="1:6" x14ac:dyDescent="0.25">
      <c r="A24774" t="str">
        <f>"200028069"</f>
        <v>200028069</v>
      </c>
      <c r="B24774" t="str">
        <f>"1063013605"</f>
        <v>1063013605</v>
      </c>
      <c r="C24774" t="str">
        <f>"363LA2100X"</f>
        <v>363LA2100X</v>
      </c>
      <c r="D24774" t="str">
        <f>"OHIA                     OGECHI                   "</f>
        <v xml:space="preserve">OHIA                     OGECHI                   </v>
      </c>
      <c r="E24774" t="str">
        <f t="shared" si="706"/>
        <v xml:space="preserve">MEMPHIS                   </v>
      </c>
      <c r="F24774" t="str">
        <f t="shared" si="705"/>
        <v>TN</v>
      </c>
    </row>
    <row r="24775" spans="1:6" x14ac:dyDescent="0.25">
      <c r="A24775" t="str">
        <f>"200028070"</f>
        <v>200028070</v>
      </c>
      <c r="B24775" t="str">
        <f>"1538000567"</f>
        <v>1538000567</v>
      </c>
      <c r="C24775" t="str">
        <f>"208000000X"</f>
        <v>208000000X</v>
      </c>
      <c r="D24775" t="str">
        <f>"DUESING                  PAUL                     "</f>
        <v xml:space="preserve">DUESING                  PAUL                     </v>
      </c>
      <c r="E24775" t="str">
        <f t="shared" si="706"/>
        <v xml:space="preserve">MEMPHIS                   </v>
      </c>
      <c r="F24775" t="str">
        <f t="shared" si="705"/>
        <v>TN</v>
      </c>
    </row>
    <row r="24776" spans="1:6" x14ac:dyDescent="0.25">
      <c r="A24776" t="str">
        <f>"200028072"</f>
        <v>200028072</v>
      </c>
      <c r="B24776" t="str">
        <f>"1720929516"</f>
        <v>1720929516</v>
      </c>
      <c r="C24776" t="str">
        <f>"207Y00000X"</f>
        <v>207Y00000X</v>
      </c>
      <c r="D24776" t="str">
        <f>"WEATHERFORD              DAVID                    "</f>
        <v xml:space="preserve">WEATHERFORD              DAVID                    </v>
      </c>
      <c r="E24776" t="str">
        <f t="shared" si="706"/>
        <v xml:space="preserve">MEMPHIS                   </v>
      </c>
      <c r="F24776" t="str">
        <f t="shared" si="705"/>
        <v>TN</v>
      </c>
    </row>
    <row r="24777" spans="1:6" x14ac:dyDescent="0.25">
      <c r="A24777" t="str">
        <f>"200028075"</f>
        <v>200028075</v>
      </c>
      <c r="B24777" t="str">
        <f>"1629369459"</f>
        <v>1629369459</v>
      </c>
      <c r="C24777" t="str">
        <f>"207Q00000X"</f>
        <v>207Q00000X</v>
      </c>
      <c r="D24777" t="str">
        <f>"FRYAR                    LEAH         C           "</f>
        <v xml:space="preserve">FRYAR                    LEAH         C           </v>
      </c>
      <c r="E24777" t="str">
        <f t="shared" si="706"/>
        <v xml:space="preserve">MEMPHIS                   </v>
      </c>
      <c r="F24777" t="str">
        <f t="shared" si="705"/>
        <v>TN</v>
      </c>
    </row>
    <row r="24778" spans="1:6" x14ac:dyDescent="0.25">
      <c r="A24778" t="str">
        <f>"200028077"</f>
        <v>200028077</v>
      </c>
      <c r="B24778" t="str">
        <f>"1801737382"</f>
        <v>1801737382</v>
      </c>
      <c r="C24778" t="str">
        <f>"208000000X"</f>
        <v>208000000X</v>
      </c>
      <c r="D24778" t="str">
        <f>"MASTALERZ                KYLIE        L           "</f>
        <v xml:space="preserve">MASTALERZ                KYLIE        L           </v>
      </c>
      <c r="E24778" t="str">
        <f t="shared" si="706"/>
        <v xml:space="preserve">MEMPHIS                   </v>
      </c>
      <c r="F24778" t="str">
        <f t="shared" si="705"/>
        <v>TN</v>
      </c>
    </row>
    <row r="24779" spans="1:6" x14ac:dyDescent="0.25">
      <c r="A24779" t="str">
        <f>"200028087"</f>
        <v>200028087</v>
      </c>
      <c r="B24779" t="str">
        <f>"1821939299"</f>
        <v>1821939299</v>
      </c>
      <c r="C24779" t="str">
        <f>"207Q00000X"</f>
        <v>207Q00000X</v>
      </c>
      <c r="D24779" t="str">
        <f>"MAHMOUD                  HUSSIEN                  "</f>
        <v xml:space="preserve">MAHMOUD                  HUSSIEN                  </v>
      </c>
      <c r="E24779" t="str">
        <f t="shared" si="706"/>
        <v xml:space="preserve">MEMPHIS                   </v>
      </c>
      <c r="F24779" t="str">
        <f t="shared" si="705"/>
        <v>TN</v>
      </c>
    </row>
    <row r="24780" spans="1:6" x14ac:dyDescent="0.25">
      <c r="A24780" t="str">
        <f>"200028088"</f>
        <v>200028088</v>
      </c>
      <c r="B24780" t="str">
        <f>"1467033266"</f>
        <v>1467033266</v>
      </c>
      <c r="C24780" t="str">
        <f>"207R00000X"</f>
        <v>207R00000X</v>
      </c>
      <c r="D24780" t="str">
        <f>"SALCEDO                  CHRISTIAN                "</f>
        <v xml:space="preserve">SALCEDO                  CHRISTIAN                </v>
      </c>
      <c r="E24780" t="str">
        <f t="shared" si="706"/>
        <v xml:space="preserve">MEMPHIS                   </v>
      </c>
      <c r="F24780" t="str">
        <f t="shared" si="705"/>
        <v>TN</v>
      </c>
    </row>
    <row r="24781" spans="1:6" x14ac:dyDescent="0.25">
      <c r="A24781" t="str">
        <f>"200028104"</f>
        <v>200028104</v>
      </c>
      <c r="B24781" t="str">
        <f>"1316884935"</f>
        <v>1316884935</v>
      </c>
      <c r="C24781" t="str">
        <f>"207Y00000X"</f>
        <v>207Y00000X</v>
      </c>
      <c r="D24781" t="str">
        <f>"STEVENS                  MADELINE                 "</f>
        <v xml:space="preserve">STEVENS                  MADELINE                 </v>
      </c>
      <c r="E24781" t="str">
        <f t="shared" si="706"/>
        <v xml:space="preserve">MEMPHIS                   </v>
      </c>
      <c r="F24781" t="str">
        <f t="shared" si="705"/>
        <v>TN</v>
      </c>
    </row>
    <row r="24782" spans="1:6" x14ac:dyDescent="0.25">
      <c r="A24782" t="str">
        <f>"200028105"</f>
        <v>200028105</v>
      </c>
      <c r="B24782" t="str">
        <f>"1275769507"</f>
        <v>1275769507</v>
      </c>
      <c r="C24782" t="str">
        <f>"207R00000X"</f>
        <v>207R00000X</v>
      </c>
      <c r="D24782" t="str">
        <f>"EVANS                    AMBER                    "</f>
        <v xml:space="preserve">EVANS                    AMBER                    </v>
      </c>
      <c r="E24782" t="str">
        <f t="shared" si="706"/>
        <v xml:space="preserve">MEMPHIS                   </v>
      </c>
      <c r="F24782" t="str">
        <f t="shared" si="705"/>
        <v>TN</v>
      </c>
    </row>
    <row r="24783" spans="1:6" x14ac:dyDescent="0.25">
      <c r="A24783" t="str">
        <f>"200028107"</f>
        <v>200028107</v>
      </c>
      <c r="B24783" t="str">
        <f>"1750024881"</f>
        <v>1750024881</v>
      </c>
      <c r="C24783" t="str">
        <f>"208M00000X"</f>
        <v>208M00000X</v>
      </c>
      <c r="D24783" t="str">
        <f>"LESIEUR                  MATTHEW                  "</f>
        <v xml:space="preserve">LESIEUR                  MATTHEW                  </v>
      </c>
      <c r="E24783" t="str">
        <f>"NASHVILLE                 "</f>
        <v xml:space="preserve">NASHVILLE                 </v>
      </c>
      <c r="F24783" t="str">
        <f t="shared" si="705"/>
        <v>TN</v>
      </c>
    </row>
    <row r="24784" spans="1:6" x14ac:dyDescent="0.25">
      <c r="A24784" t="str">
        <f>"200028120"</f>
        <v>200028120</v>
      </c>
      <c r="B24784" t="str">
        <f>"1831135896"</f>
        <v>1831135896</v>
      </c>
      <c r="C24784" t="str">
        <f>"207ZP0102X"</f>
        <v>207ZP0102X</v>
      </c>
      <c r="D24784" t="str">
        <f>"GIBSON                   DANIELLE     C           "</f>
        <v xml:space="preserve">GIBSON                   DANIELLE     C           </v>
      </c>
      <c r="E24784" t="str">
        <f>"MEMPHIS                   "</f>
        <v xml:space="preserve">MEMPHIS                   </v>
      </c>
      <c r="F24784" t="str">
        <f t="shared" si="705"/>
        <v>TN</v>
      </c>
    </row>
    <row r="24785" spans="1:6" x14ac:dyDescent="0.25">
      <c r="A24785" t="str">
        <f>"200028131"</f>
        <v>200028131</v>
      </c>
      <c r="B24785" t="str">
        <f>"1033128665"</f>
        <v>1033128665</v>
      </c>
      <c r="C24785" t="str">
        <f>"207RI0200X"</f>
        <v>207RI0200X</v>
      </c>
      <c r="D24785" t="str">
        <f>"SHAKHASHIRO              AKRAM                    "</f>
        <v xml:space="preserve">SHAKHASHIRO              AKRAM                    </v>
      </c>
      <c r="E24785" t="str">
        <f>"MEMPHIS                   "</f>
        <v xml:space="preserve">MEMPHIS                   </v>
      </c>
      <c r="F24785" t="str">
        <f t="shared" si="705"/>
        <v>TN</v>
      </c>
    </row>
    <row r="24786" spans="1:6" x14ac:dyDescent="0.25">
      <c r="A24786" t="str">
        <f>"200028134"</f>
        <v>200028134</v>
      </c>
      <c r="B24786" t="str">
        <f>"1447284583"</f>
        <v>1447284583</v>
      </c>
      <c r="C24786" t="str">
        <f>"207ZP0102X"</f>
        <v>207ZP0102X</v>
      </c>
      <c r="D24786" t="str">
        <f>"SPENCER                  DAVID        G           "</f>
        <v xml:space="preserve">SPENCER                  DAVID        G           </v>
      </c>
      <c r="E24786" t="str">
        <f>"MEMPHIS                   "</f>
        <v xml:space="preserve">MEMPHIS                   </v>
      </c>
      <c r="F24786" t="str">
        <f t="shared" si="705"/>
        <v>TN</v>
      </c>
    </row>
    <row r="24787" spans="1:6" x14ac:dyDescent="0.25">
      <c r="A24787" t="str">
        <f>"200028139"</f>
        <v>200028139</v>
      </c>
      <c r="B24787" t="str">
        <f>"1235591371"</f>
        <v>1235591371</v>
      </c>
      <c r="C24787" t="str">
        <f>"2082S0105X"</f>
        <v>2082S0105X</v>
      </c>
      <c r="D24787" t="str">
        <f>"MUKIT                    MUNTAZIM                 "</f>
        <v xml:space="preserve">MUKIT                    MUNTAZIM                 </v>
      </c>
      <c r="E24787" t="str">
        <f>"MEMPHIS                   "</f>
        <v xml:space="preserve">MEMPHIS                   </v>
      </c>
      <c r="F24787" t="str">
        <f t="shared" si="705"/>
        <v>TN</v>
      </c>
    </row>
    <row r="24788" spans="1:6" x14ac:dyDescent="0.25">
      <c r="A24788" t="str">
        <f>"200028140"</f>
        <v>200028140</v>
      </c>
      <c r="B24788" t="str">
        <f>"1255874798"</f>
        <v>1255874798</v>
      </c>
      <c r="C24788" t="str">
        <f>"208600000X"</f>
        <v>208600000X</v>
      </c>
      <c r="D24788" t="str">
        <f>"MOLINARI                 MICHELE                  "</f>
        <v xml:space="preserve">MOLINARI                 MICHELE                  </v>
      </c>
      <c r="E24788" t="str">
        <f>"MEMPHIS                   "</f>
        <v xml:space="preserve">MEMPHIS                   </v>
      </c>
      <c r="F24788" t="str">
        <f t="shared" si="705"/>
        <v>TN</v>
      </c>
    </row>
    <row r="24789" spans="1:6" x14ac:dyDescent="0.25">
      <c r="A24789" t="str">
        <f>"200028142"</f>
        <v>200028142</v>
      </c>
      <c r="B24789" t="str">
        <f>"1265530117"</f>
        <v>1265530117</v>
      </c>
      <c r="C24789" t="str">
        <f>"207N00000X"</f>
        <v>207N00000X</v>
      </c>
      <c r="D24789" t="str">
        <f>"MILLER                   JAMI                     "</f>
        <v xml:space="preserve">MILLER                   JAMI                     </v>
      </c>
      <c r="E24789" t="str">
        <f>"NASHVILLE                 "</f>
        <v xml:space="preserve">NASHVILLE                 </v>
      </c>
      <c r="F24789" t="str">
        <f t="shared" si="705"/>
        <v>TN</v>
      </c>
    </row>
    <row r="24790" spans="1:6" x14ac:dyDescent="0.25">
      <c r="A24790" t="str">
        <f>"200028148"</f>
        <v>200028148</v>
      </c>
      <c r="B24790" t="str">
        <f>"1093658411"</f>
        <v>1093658411</v>
      </c>
      <c r="C24790" t="str">
        <f>"208600000X"</f>
        <v>208600000X</v>
      </c>
      <c r="D24790" t="str">
        <f>"MASTALERZ                BLAKE                    "</f>
        <v xml:space="preserve">MASTALERZ                BLAKE                    </v>
      </c>
      <c r="E24790" t="str">
        <f>"MEMPHIS                   "</f>
        <v xml:space="preserve">MEMPHIS                   </v>
      </c>
      <c r="F24790" t="str">
        <f t="shared" si="705"/>
        <v>TN</v>
      </c>
    </row>
    <row r="24791" spans="1:6" x14ac:dyDescent="0.25">
      <c r="A24791" t="str">
        <f>"200028159"</f>
        <v>200028159</v>
      </c>
      <c r="B24791" t="str">
        <f>"1497884647"</f>
        <v>1497884647</v>
      </c>
      <c r="C24791" t="str">
        <f>"207RI0011X"</f>
        <v>207RI0011X</v>
      </c>
      <c r="D24791" t="str">
        <f>"CHACKO                   MATTHEWS                 "</f>
        <v xml:space="preserve">CHACKO                   MATTHEWS                 </v>
      </c>
      <c r="E24791" t="str">
        <f>"NASHVILLE                 "</f>
        <v xml:space="preserve">NASHVILLE                 </v>
      </c>
      <c r="F24791" t="str">
        <f t="shared" si="705"/>
        <v>TN</v>
      </c>
    </row>
    <row r="24792" spans="1:6" x14ac:dyDescent="0.25">
      <c r="A24792" t="str">
        <f>"200028167"</f>
        <v>200028167</v>
      </c>
      <c r="B24792" t="str">
        <f>"1578673919"</f>
        <v>1578673919</v>
      </c>
      <c r="C24792" t="str">
        <f>"207V00000X"</f>
        <v>207V00000X</v>
      </c>
      <c r="D24792" t="str">
        <f>"STINSON                  WILLIAM                  "</f>
        <v xml:space="preserve">STINSON                  WILLIAM                  </v>
      </c>
      <c r="E24792" t="str">
        <f>"CORDOVA                   "</f>
        <v xml:space="preserve">CORDOVA                   </v>
      </c>
      <c r="F24792" t="str">
        <f t="shared" si="705"/>
        <v>TN</v>
      </c>
    </row>
    <row r="24793" spans="1:6" x14ac:dyDescent="0.25">
      <c r="A24793" t="str">
        <f>"200028175"</f>
        <v>200028175</v>
      </c>
      <c r="B24793" t="str">
        <f>"1568963866"</f>
        <v>1568963866</v>
      </c>
      <c r="C24793" t="str">
        <f>"363L00000X"</f>
        <v>363L00000X</v>
      </c>
      <c r="D24793" t="str">
        <f>"LIDDELL                  MANICIA                  "</f>
        <v xml:space="preserve">LIDDELL                  MANICIA                  </v>
      </c>
      <c r="E24793" t="str">
        <f>"MEMPHIS                   "</f>
        <v xml:space="preserve">MEMPHIS                   </v>
      </c>
      <c r="F24793" t="str">
        <f t="shared" si="705"/>
        <v>TN</v>
      </c>
    </row>
    <row r="24794" spans="1:6" x14ac:dyDescent="0.25">
      <c r="A24794" t="str">
        <f>"200028181"</f>
        <v>200028181</v>
      </c>
      <c r="B24794" t="str">
        <f>"1962559856"</f>
        <v>1962559856</v>
      </c>
      <c r="C24794" t="str">
        <f>"207P00000X"</f>
        <v>207P00000X</v>
      </c>
      <c r="D24794" t="str">
        <f>"CROOK                    JOY                      "</f>
        <v xml:space="preserve">CROOK                    JOY                      </v>
      </c>
      <c r="E24794" t="str">
        <f>"NASHVILLE                 "</f>
        <v xml:space="preserve">NASHVILLE                 </v>
      </c>
      <c r="F24794" t="str">
        <f t="shared" si="705"/>
        <v>TN</v>
      </c>
    </row>
    <row r="24795" spans="1:6" x14ac:dyDescent="0.25">
      <c r="A24795" t="str">
        <f>"200028187"</f>
        <v>200028187</v>
      </c>
      <c r="B24795" t="str">
        <f>"1427333434"</f>
        <v>1427333434</v>
      </c>
      <c r="C24795" t="str">
        <f>"363LA2200X"</f>
        <v>363LA2200X</v>
      </c>
      <c r="D24795" t="str">
        <f>"WALTON                   SHARONDA                 "</f>
        <v xml:space="preserve">WALTON                   SHARONDA                 </v>
      </c>
      <c r="E24795" t="str">
        <f>"MEMPHIS                   "</f>
        <v xml:space="preserve">MEMPHIS                   </v>
      </c>
      <c r="F24795" t="str">
        <f t="shared" si="705"/>
        <v>TN</v>
      </c>
    </row>
    <row r="24796" spans="1:6" x14ac:dyDescent="0.25">
      <c r="A24796" t="str">
        <f>"200028195"</f>
        <v>200028195</v>
      </c>
      <c r="B24796" t="str">
        <f>"1942430921"</f>
        <v>1942430921</v>
      </c>
      <c r="C24796" t="str">
        <f>"207ZP0102X"</f>
        <v>207ZP0102X</v>
      </c>
      <c r="D24796" t="str">
        <f>"LAPADAT                  RAZVAN       C           "</f>
        <v xml:space="preserve">LAPADAT                  RAZVAN       C           </v>
      </c>
      <c r="E24796" t="str">
        <f>"MEMPHIS                   "</f>
        <v xml:space="preserve">MEMPHIS                   </v>
      </c>
      <c r="F24796" t="str">
        <f t="shared" si="705"/>
        <v>TN</v>
      </c>
    </row>
    <row r="24797" spans="1:6" x14ac:dyDescent="0.25">
      <c r="A24797" t="str">
        <f>"200028204"</f>
        <v>200028204</v>
      </c>
      <c r="B24797" t="str">
        <f>"1215622121"</f>
        <v>1215622121</v>
      </c>
      <c r="C24797" t="str">
        <f>"208000000X"</f>
        <v>208000000X</v>
      </c>
      <c r="D24797" t="str">
        <f>"FOOS                     KATHRYNE                 "</f>
        <v xml:space="preserve">FOOS                     KATHRYNE                 </v>
      </c>
      <c r="E24797" t="str">
        <f>"MEMPHIS                   "</f>
        <v xml:space="preserve">MEMPHIS                   </v>
      </c>
      <c r="F24797" t="str">
        <f t="shared" si="705"/>
        <v>TN</v>
      </c>
    </row>
    <row r="24798" spans="1:6" x14ac:dyDescent="0.25">
      <c r="A24798" t="str">
        <f>"200028207"</f>
        <v>200028207</v>
      </c>
      <c r="B24798" t="str">
        <f>"1568289775"</f>
        <v>1568289775</v>
      </c>
      <c r="C24798" t="str">
        <f>"207R00000X"</f>
        <v>207R00000X</v>
      </c>
      <c r="D24798" t="str">
        <f>"CLINTON RYAN             KAILEY                   "</f>
        <v xml:space="preserve">CLINTON RYAN             KAILEY                   </v>
      </c>
      <c r="E24798" t="str">
        <f>"MEMPHIS                   "</f>
        <v xml:space="preserve">MEMPHIS                   </v>
      </c>
      <c r="F24798" t="str">
        <f t="shared" si="705"/>
        <v>TN</v>
      </c>
    </row>
    <row r="24799" spans="1:6" x14ac:dyDescent="0.25">
      <c r="A24799" t="str">
        <f>"200028214"</f>
        <v>200028214</v>
      </c>
      <c r="B24799" t="str">
        <f>"1477996346"</f>
        <v>1477996346</v>
      </c>
      <c r="C24799" t="str">
        <f>"207XX0801X"</f>
        <v>207XX0801X</v>
      </c>
      <c r="D24799" t="str">
        <f>"MITCHELL                 PHILLIP                  "</f>
        <v xml:space="preserve">MITCHELL                 PHILLIP                  </v>
      </c>
      <c r="E24799" t="str">
        <f>"NASHVILLE                 "</f>
        <v xml:space="preserve">NASHVILLE                 </v>
      </c>
      <c r="F24799" t="str">
        <f t="shared" si="705"/>
        <v>TN</v>
      </c>
    </row>
    <row r="24800" spans="1:6" x14ac:dyDescent="0.25">
      <c r="A24800" t="str">
        <f>"200028222"</f>
        <v>200028222</v>
      </c>
      <c r="B24800" t="str">
        <f>"1801997408"</f>
        <v>1801997408</v>
      </c>
      <c r="C24800" t="str">
        <f>"207ZP0102X"</f>
        <v>207ZP0102X</v>
      </c>
      <c r="D24800" t="str">
        <f>"MAY                      ESTELLE      S           "</f>
        <v xml:space="preserve">MAY                      ESTELLE      S           </v>
      </c>
      <c r="E24800" t="str">
        <f t="shared" ref="E24800:E24808" si="707">"MEMPHIS                   "</f>
        <v xml:space="preserve">MEMPHIS                   </v>
      </c>
      <c r="F24800" t="str">
        <f t="shared" si="705"/>
        <v>TN</v>
      </c>
    </row>
    <row r="24801" spans="1:6" x14ac:dyDescent="0.25">
      <c r="A24801" t="str">
        <f>"200028240"</f>
        <v>200028240</v>
      </c>
      <c r="B24801" t="str">
        <f>"1700681368"</f>
        <v>1700681368</v>
      </c>
      <c r="C24801" t="str">
        <f>"207X00000X"</f>
        <v>207X00000X</v>
      </c>
      <c r="D24801" t="str">
        <f>"FULKERSON                DANIEL       E           "</f>
        <v xml:space="preserve">FULKERSON                DANIEL       E           </v>
      </c>
      <c r="E24801" t="str">
        <f t="shared" si="707"/>
        <v xml:space="preserve">MEMPHIS                   </v>
      </c>
      <c r="F24801" t="str">
        <f t="shared" si="705"/>
        <v>TN</v>
      </c>
    </row>
    <row r="24802" spans="1:6" x14ac:dyDescent="0.25">
      <c r="A24802" t="str">
        <f>"200028247"</f>
        <v>200028247</v>
      </c>
      <c r="B24802" t="str">
        <f>"1932042637"</f>
        <v>1932042637</v>
      </c>
      <c r="C24802" t="str">
        <f>"207R00000X"</f>
        <v>207R00000X</v>
      </c>
      <c r="D24802" t="str">
        <f>"DE LA PAZ                MICHAEL      R           "</f>
        <v xml:space="preserve">DE LA PAZ                MICHAEL      R           </v>
      </c>
      <c r="E24802" t="str">
        <f t="shared" si="707"/>
        <v xml:space="preserve">MEMPHIS                   </v>
      </c>
      <c r="F24802" t="str">
        <f t="shared" si="705"/>
        <v>TN</v>
      </c>
    </row>
    <row r="24803" spans="1:6" x14ac:dyDescent="0.25">
      <c r="A24803" t="str">
        <f>"200028263"</f>
        <v>200028263</v>
      </c>
      <c r="B24803" t="str">
        <f>"1528901915"</f>
        <v>1528901915</v>
      </c>
      <c r="C24803" t="str">
        <f>"207R00000X"</f>
        <v>207R00000X</v>
      </c>
      <c r="D24803" t="str">
        <f>"CHOI                     SUE          L           "</f>
        <v xml:space="preserve">CHOI                     SUE          L           </v>
      </c>
      <c r="E24803" t="str">
        <f t="shared" si="707"/>
        <v xml:space="preserve">MEMPHIS                   </v>
      </c>
      <c r="F24803" t="str">
        <f t="shared" si="705"/>
        <v>TN</v>
      </c>
    </row>
    <row r="24804" spans="1:6" x14ac:dyDescent="0.25">
      <c r="A24804" t="str">
        <f>"200028264"</f>
        <v>200028264</v>
      </c>
      <c r="B24804" t="str">
        <f>"1568304038"</f>
        <v>1568304038</v>
      </c>
      <c r="C24804" t="str">
        <f>"207R00000X"</f>
        <v>207R00000X</v>
      </c>
      <c r="D24804" t="str">
        <f>"ETTS                     MATTHEW      T           "</f>
        <v xml:space="preserve">ETTS                     MATTHEW      T           </v>
      </c>
      <c r="E24804" t="str">
        <f t="shared" si="707"/>
        <v xml:space="preserve">MEMPHIS                   </v>
      </c>
      <c r="F24804" t="str">
        <f t="shared" si="705"/>
        <v>TN</v>
      </c>
    </row>
    <row r="24805" spans="1:6" x14ac:dyDescent="0.25">
      <c r="A24805" t="str">
        <f>"200028266"</f>
        <v>200028266</v>
      </c>
      <c r="B24805" t="str">
        <f>"1659075414"</f>
        <v>1659075414</v>
      </c>
      <c r="C24805" t="str">
        <f>"2080P0202X"</f>
        <v>2080P0202X</v>
      </c>
      <c r="D24805" t="str">
        <f>"WIEGAND                  JOHN         L           "</f>
        <v xml:space="preserve">WIEGAND                  JOHN         L           </v>
      </c>
      <c r="E24805" t="str">
        <f t="shared" si="707"/>
        <v xml:space="preserve">MEMPHIS                   </v>
      </c>
      <c r="F24805" t="str">
        <f t="shared" si="705"/>
        <v>TN</v>
      </c>
    </row>
    <row r="24806" spans="1:6" x14ac:dyDescent="0.25">
      <c r="A24806" t="str">
        <f>"200028279"</f>
        <v>200028279</v>
      </c>
      <c r="B24806" t="str">
        <f>"1912140971"</f>
        <v>1912140971</v>
      </c>
      <c r="C24806" t="str">
        <f>"363L00000X"</f>
        <v>363L00000X</v>
      </c>
      <c r="D24806" t="str">
        <f>"REED                     KRISTINA                 "</f>
        <v xml:space="preserve">REED                     KRISTINA                 </v>
      </c>
      <c r="E24806" t="str">
        <f t="shared" si="707"/>
        <v xml:space="preserve">MEMPHIS                   </v>
      </c>
      <c r="F24806" t="str">
        <f t="shared" si="705"/>
        <v>TN</v>
      </c>
    </row>
    <row r="24807" spans="1:6" x14ac:dyDescent="0.25">
      <c r="A24807" t="str">
        <f>"200028285"</f>
        <v>200028285</v>
      </c>
      <c r="B24807" t="str">
        <f>"1619412855"</f>
        <v>1619412855</v>
      </c>
      <c r="C24807" t="str">
        <f>"367500000X"</f>
        <v>367500000X</v>
      </c>
      <c r="D24807" t="str">
        <f>"PEEK                     HUNTER       L           "</f>
        <v xml:space="preserve">PEEK                     HUNTER       L           </v>
      </c>
      <c r="E24807" t="str">
        <f t="shared" si="707"/>
        <v xml:space="preserve">MEMPHIS                   </v>
      </c>
      <c r="F24807" t="str">
        <f t="shared" si="705"/>
        <v>TN</v>
      </c>
    </row>
    <row r="24808" spans="1:6" x14ac:dyDescent="0.25">
      <c r="A24808" t="str">
        <f>"200028305"</f>
        <v>200028305</v>
      </c>
      <c r="B24808" t="str">
        <f>"1922742170"</f>
        <v>1922742170</v>
      </c>
      <c r="C24808" t="str">
        <f>"2080P0206X"</f>
        <v>2080P0206X</v>
      </c>
      <c r="D24808" t="str">
        <f>"OFFICE                   GME                      "</f>
        <v xml:space="preserve">OFFICE                   GME                      </v>
      </c>
      <c r="E24808" t="str">
        <f t="shared" si="707"/>
        <v xml:space="preserve">MEMPHIS                   </v>
      </c>
      <c r="F24808" t="str">
        <f t="shared" si="705"/>
        <v>TN</v>
      </c>
    </row>
    <row r="24809" spans="1:6" x14ac:dyDescent="0.25">
      <c r="A24809" t="str">
        <f>"200028327"</f>
        <v>200028327</v>
      </c>
      <c r="B24809" t="str">
        <f>"1548255276"</f>
        <v>1548255276</v>
      </c>
      <c r="C24809" t="str">
        <f>"2080P0203X"</f>
        <v>2080P0203X</v>
      </c>
      <c r="D24809" t="str">
        <f>"LAMB                     FRED                     "</f>
        <v xml:space="preserve">LAMB                     FRED                     </v>
      </c>
      <c r="E24809" t="str">
        <f>"NASHVILLE                 "</f>
        <v xml:space="preserve">NASHVILLE                 </v>
      </c>
      <c r="F24809" t="str">
        <f t="shared" si="705"/>
        <v>TN</v>
      </c>
    </row>
    <row r="24810" spans="1:6" x14ac:dyDescent="0.25">
      <c r="A24810" t="str">
        <f>"200028331"</f>
        <v>200028331</v>
      </c>
      <c r="B24810" t="str">
        <f>"1760579346"</f>
        <v>1760579346</v>
      </c>
      <c r="C24810" t="str">
        <f>"2084N0400X"</f>
        <v>2084N0400X</v>
      </c>
      <c r="D24810" t="str">
        <f>"CHETKOVICH               DANE                     "</f>
        <v xml:space="preserve">CHETKOVICH               DANE                     </v>
      </c>
      <c r="E24810" t="str">
        <f>"NASHVILLE                 "</f>
        <v xml:space="preserve">NASHVILLE                 </v>
      </c>
      <c r="F24810" t="str">
        <f t="shared" si="705"/>
        <v>TN</v>
      </c>
    </row>
    <row r="24811" spans="1:6" x14ac:dyDescent="0.25">
      <c r="A24811" t="str">
        <f>"200028332"</f>
        <v>200028332</v>
      </c>
      <c r="B24811" t="str">
        <f>"1922563832"</f>
        <v>1922563832</v>
      </c>
      <c r="C24811" t="str">
        <f>"363L00000X"</f>
        <v>363L00000X</v>
      </c>
      <c r="D24811" t="str">
        <f>"RICHARDSON               JESSICA                  "</f>
        <v xml:space="preserve">RICHARDSON               JESSICA                  </v>
      </c>
      <c r="E24811" t="str">
        <f>"MEMPHIS                   "</f>
        <v xml:space="preserve">MEMPHIS                   </v>
      </c>
      <c r="F24811" t="str">
        <f t="shared" si="705"/>
        <v>TN</v>
      </c>
    </row>
    <row r="24812" spans="1:6" x14ac:dyDescent="0.25">
      <c r="A24812" t="str">
        <f>"200028335"</f>
        <v>200028335</v>
      </c>
      <c r="B24812" t="str">
        <f>"1891516175"</f>
        <v>1891516175</v>
      </c>
      <c r="C24812" t="str">
        <f>"363LP0200X"</f>
        <v>363LP0200X</v>
      </c>
      <c r="D24812" t="str">
        <f>"AVANT                    CLAIRE                   "</f>
        <v xml:space="preserve">AVANT                    CLAIRE                   </v>
      </c>
      <c r="E24812" t="str">
        <f>"MEMPHIS                   "</f>
        <v xml:space="preserve">MEMPHIS                   </v>
      </c>
      <c r="F24812" t="str">
        <f t="shared" si="705"/>
        <v>TN</v>
      </c>
    </row>
    <row r="24813" spans="1:6" x14ac:dyDescent="0.25">
      <c r="A24813" t="str">
        <f>"200028338"</f>
        <v>200028338</v>
      </c>
      <c r="B24813" t="str">
        <f>"1851482921"</f>
        <v>1851482921</v>
      </c>
      <c r="C24813" t="str">
        <f>"363L00000X"</f>
        <v>363L00000X</v>
      </c>
      <c r="D24813" t="str">
        <f>"BURROW                   TANCI                    "</f>
        <v xml:space="preserve">BURROW                   TANCI                    </v>
      </c>
      <c r="E24813" t="str">
        <f>"BARTLETT                  "</f>
        <v xml:space="preserve">BARTLETT                  </v>
      </c>
      <c r="F24813" t="str">
        <f t="shared" si="705"/>
        <v>TN</v>
      </c>
    </row>
    <row r="24814" spans="1:6" x14ac:dyDescent="0.25">
      <c r="A24814" t="str">
        <f>"200028340"</f>
        <v>200028340</v>
      </c>
      <c r="B24814" t="str">
        <f>"1174465587"</f>
        <v>1174465587</v>
      </c>
      <c r="C24814" t="str">
        <f>"207Q00000X"</f>
        <v>207Q00000X</v>
      </c>
      <c r="D24814" t="str">
        <f>"THOMPSON                 CHRISTINA    L           "</f>
        <v xml:space="preserve">THOMPSON                 CHRISTINA    L           </v>
      </c>
      <c r="E24814" t="str">
        <f>"MEMPHIS                   "</f>
        <v xml:space="preserve">MEMPHIS                   </v>
      </c>
      <c r="F24814" t="str">
        <f t="shared" si="705"/>
        <v>TN</v>
      </c>
    </row>
    <row r="24815" spans="1:6" x14ac:dyDescent="0.25">
      <c r="A24815" t="str">
        <f>"200028341"</f>
        <v>200028341</v>
      </c>
      <c r="B24815" t="str">
        <f>"1518859388"</f>
        <v>1518859388</v>
      </c>
      <c r="C24815" t="str">
        <f>"363LF0000X"</f>
        <v>363LF0000X</v>
      </c>
      <c r="D24815" t="str">
        <f>"LEFLORE-THOMAS           SEQUITHA                 "</f>
        <v xml:space="preserve">LEFLORE-THOMAS           SEQUITHA                 </v>
      </c>
      <c r="E24815" t="str">
        <f>"MEMPHIS                   "</f>
        <v xml:space="preserve">MEMPHIS                   </v>
      </c>
      <c r="F24815" t="str">
        <f t="shared" si="705"/>
        <v>TN</v>
      </c>
    </row>
    <row r="24816" spans="1:6" x14ac:dyDescent="0.25">
      <c r="A24816" t="str">
        <f>"200028345"</f>
        <v>200028345</v>
      </c>
      <c r="B24816" t="str">
        <f>"1124886676"</f>
        <v>1124886676</v>
      </c>
      <c r="C24816" t="str">
        <f>"207R00000X"</f>
        <v>207R00000X</v>
      </c>
      <c r="D24816" t="str">
        <f>"ZIMMERER                 MICAH                    "</f>
        <v xml:space="preserve">ZIMMERER                 MICAH                    </v>
      </c>
      <c r="E24816" t="str">
        <f>"MEMPHIS                   "</f>
        <v xml:space="preserve">MEMPHIS                   </v>
      </c>
      <c r="F24816" t="str">
        <f t="shared" si="705"/>
        <v>TN</v>
      </c>
    </row>
    <row r="24817" spans="1:6" x14ac:dyDescent="0.25">
      <c r="A24817" t="str">
        <f>"200028346"</f>
        <v>200028346</v>
      </c>
      <c r="B24817" t="str">
        <f>"1154264588"</f>
        <v>1154264588</v>
      </c>
      <c r="C24817" t="str">
        <f>"207R00000X"</f>
        <v>207R00000X</v>
      </c>
      <c r="D24817" t="str">
        <f>"REDDY MATTA              ANVEETHA                 "</f>
        <v xml:space="preserve">REDDY MATTA              ANVEETHA                 </v>
      </c>
      <c r="E24817" t="str">
        <f>"MEMPHIS                   "</f>
        <v xml:space="preserve">MEMPHIS                   </v>
      </c>
      <c r="F24817" t="str">
        <f t="shared" si="705"/>
        <v>TN</v>
      </c>
    </row>
    <row r="24818" spans="1:6" x14ac:dyDescent="0.25">
      <c r="A24818" t="str">
        <f>"200028349"</f>
        <v>200028349</v>
      </c>
      <c r="B24818" t="str">
        <f>"1164085601"</f>
        <v>1164085601</v>
      </c>
      <c r="C24818" t="str">
        <f>"207L00000X"</f>
        <v>207L00000X</v>
      </c>
      <c r="D24818" t="str">
        <f>"MAKONZA GOTO             RUDO                     "</f>
        <v xml:space="preserve">MAKONZA GOTO             RUDO                     </v>
      </c>
      <c r="E24818" t="str">
        <f>"MEMPHIS                   "</f>
        <v xml:space="preserve">MEMPHIS                   </v>
      </c>
      <c r="F24818" t="str">
        <f t="shared" si="705"/>
        <v>TN</v>
      </c>
    </row>
    <row r="24819" spans="1:6" x14ac:dyDescent="0.25">
      <c r="A24819" t="str">
        <f>"200028355"</f>
        <v>200028355</v>
      </c>
      <c r="B24819" t="str">
        <f>"1922703636"</f>
        <v>1922703636</v>
      </c>
      <c r="C24819" t="str">
        <f>"207P00000X"</f>
        <v>207P00000X</v>
      </c>
      <c r="D24819" t="str">
        <f>"COOPER                   JAMES                    "</f>
        <v xml:space="preserve">COOPER                   JAMES                    </v>
      </c>
      <c r="E24819" t="str">
        <f>"ARLINGTON                 "</f>
        <v xml:space="preserve">ARLINGTON                 </v>
      </c>
      <c r="F24819" t="str">
        <f t="shared" si="705"/>
        <v>TN</v>
      </c>
    </row>
    <row r="24820" spans="1:6" x14ac:dyDescent="0.25">
      <c r="A24820" t="str">
        <f>"200028373"</f>
        <v>200028373</v>
      </c>
      <c r="B24820" t="str">
        <f>"1780628313"</f>
        <v>1780628313</v>
      </c>
      <c r="C24820" t="str">
        <f>"207ZP0102X"</f>
        <v>207ZP0102X</v>
      </c>
      <c r="D24820" t="str">
        <f>"CASTIELLO                ALEXANDER                "</f>
        <v xml:space="preserve">CASTIELLO                ALEXANDER                </v>
      </c>
      <c r="E24820" t="str">
        <f>"MEMPHIS                   "</f>
        <v xml:space="preserve">MEMPHIS                   </v>
      </c>
      <c r="F24820" t="str">
        <f t="shared" si="705"/>
        <v>TN</v>
      </c>
    </row>
    <row r="24821" spans="1:6" x14ac:dyDescent="0.25">
      <c r="A24821" t="str">
        <f>"200028403"</f>
        <v>200028403</v>
      </c>
      <c r="B24821" t="str">
        <f>"1053015875"</f>
        <v>1053015875</v>
      </c>
      <c r="C24821" t="str">
        <f>"2085R0202X"</f>
        <v>2085R0202X</v>
      </c>
      <c r="D24821" t="str">
        <f>"BEIZAVI                  ZAHRA                    "</f>
        <v xml:space="preserve">BEIZAVI                  ZAHRA                    </v>
      </c>
      <c r="E24821" t="str">
        <f>"MEMPHIS                   "</f>
        <v xml:space="preserve">MEMPHIS                   </v>
      </c>
      <c r="F24821" t="str">
        <f t="shared" si="705"/>
        <v>TN</v>
      </c>
    </row>
    <row r="24822" spans="1:6" x14ac:dyDescent="0.25">
      <c r="A24822" t="str">
        <f>"200028405"</f>
        <v>200028405</v>
      </c>
      <c r="B24822" t="str">
        <f>"1407797830"</f>
        <v>1407797830</v>
      </c>
      <c r="C24822" t="str">
        <f>"208000000X"</f>
        <v>208000000X</v>
      </c>
      <c r="D24822" t="str">
        <f>"REAGAN                   SUNNIE                   "</f>
        <v xml:space="preserve">REAGAN                   SUNNIE                   </v>
      </c>
      <c r="E24822" t="str">
        <f>"MEMPHIS                   "</f>
        <v xml:space="preserve">MEMPHIS                   </v>
      </c>
      <c r="F24822" t="str">
        <f t="shared" si="705"/>
        <v>TN</v>
      </c>
    </row>
    <row r="24823" spans="1:6" x14ac:dyDescent="0.25">
      <c r="A24823" t="str">
        <f>"200028411"</f>
        <v>200028411</v>
      </c>
      <c r="B24823" t="str">
        <f>"1346691458"</f>
        <v>1346691458</v>
      </c>
      <c r="C24823" t="str">
        <f>"2086S0120X"</f>
        <v>2086S0120X</v>
      </c>
      <c r="D24823" t="str">
        <f>"BECKERMAN                ZIV                      "</f>
        <v xml:space="preserve">BECKERMAN                ZIV                      </v>
      </c>
      <c r="E24823" t="str">
        <f>"NASHVILLE                 "</f>
        <v xml:space="preserve">NASHVILLE                 </v>
      </c>
      <c r="F24823" t="str">
        <f t="shared" si="705"/>
        <v>TN</v>
      </c>
    </row>
    <row r="24824" spans="1:6" x14ac:dyDescent="0.25">
      <c r="A24824" t="str">
        <f>"200028418"</f>
        <v>200028418</v>
      </c>
      <c r="B24824" t="str">
        <f>"1154261907"</f>
        <v>1154261907</v>
      </c>
      <c r="C24824" t="str">
        <f>"207P00000X"</f>
        <v>207P00000X</v>
      </c>
      <c r="D24824" t="str">
        <f>"HOFFMANN                 JOHNNY                   "</f>
        <v xml:space="preserve">HOFFMANN                 JOHNNY                   </v>
      </c>
      <c r="E24824" t="str">
        <f>"MEMPHIS                   "</f>
        <v xml:space="preserve">MEMPHIS                   </v>
      </c>
      <c r="F24824" t="str">
        <f t="shared" si="705"/>
        <v>TN</v>
      </c>
    </row>
    <row r="24825" spans="1:6" x14ac:dyDescent="0.25">
      <c r="A24825" t="str">
        <f>"200028419"</f>
        <v>200028419</v>
      </c>
      <c r="B24825" t="str">
        <f>"1235586439"</f>
        <v>1235586439</v>
      </c>
      <c r="C24825" t="str">
        <f>"367500000X"</f>
        <v>367500000X</v>
      </c>
      <c r="D24825" t="str">
        <f>"KOPINSKI                 MICHAEL                  "</f>
        <v xml:space="preserve">KOPINSKI                 MICHAEL                  </v>
      </c>
      <c r="E24825" t="str">
        <f>"COLLIERVILLE              "</f>
        <v xml:space="preserve">COLLIERVILLE              </v>
      </c>
      <c r="F24825" t="str">
        <f t="shared" si="705"/>
        <v>TN</v>
      </c>
    </row>
    <row r="24826" spans="1:6" x14ac:dyDescent="0.25">
      <c r="A24826" t="str">
        <f>"200028430"</f>
        <v>200028430</v>
      </c>
      <c r="B24826" t="str">
        <f>"1225458342"</f>
        <v>1225458342</v>
      </c>
      <c r="C24826" t="str">
        <f>"207L00000X"</f>
        <v>207L00000X</v>
      </c>
      <c r="D24826" t="str">
        <f>"FIEDOREK                 MICHAEL                  "</f>
        <v xml:space="preserve">FIEDOREK                 MICHAEL                  </v>
      </c>
      <c r="E24826" t="str">
        <f t="shared" ref="E24826:E24831" si="708">"MEMPHIS                   "</f>
        <v xml:space="preserve">MEMPHIS                   </v>
      </c>
      <c r="F24826" t="str">
        <f t="shared" si="705"/>
        <v>TN</v>
      </c>
    </row>
    <row r="24827" spans="1:6" x14ac:dyDescent="0.25">
      <c r="A24827" t="str">
        <f>"200028466"</f>
        <v>200028466</v>
      </c>
      <c r="B24827" t="str">
        <f>"1679102628"</f>
        <v>1679102628</v>
      </c>
      <c r="C24827" t="str">
        <f>"2086S0102X"</f>
        <v>2086S0102X</v>
      </c>
      <c r="D24827" t="str">
        <f>"LEHRMAN                  MEGAN                    "</f>
        <v xml:space="preserve">LEHRMAN                  MEGAN                    </v>
      </c>
      <c r="E24827" t="str">
        <f t="shared" si="708"/>
        <v xml:space="preserve">MEMPHIS                   </v>
      </c>
      <c r="F24827" t="str">
        <f t="shared" si="705"/>
        <v>TN</v>
      </c>
    </row>
    <row r="24828" spans="1:6" x14ac:dyDescent="0.25">
      <c r="A24828" t="str">
        <f>"200028467"</f>
        <v>200028467</v>
      </c>
      <c r="B24828" t="str">
        <f>"1609717420"</f>
        <v>1609717420</v>
      </c>
      <c r="C24828" t="str">
        <f>"208600000X"</f>
        <v>208600000X</v>
      </c>
      <c r="D24828" t="str">
        <f>"JONES                    ANEESA                   "</f>
        <v xml:space="preserve">JONES                    ANEESA                   </v>
      </c>
      <c r="E24828" t="str">
        <f t="shared" si="708"/>
        <v xml:space="preserve">MEMPHIS                   </v>
      </c>
      <c r="F24828" t="str">
        <f t="shared" si="705"/>
        <v>TN</v>
      </c>
    </row>
    <row r="24829" spans="1:6" x14ac:dyDescent="0.25">
      <c r="A24829" t="str">
        <f>"200028468"</f>
        <v>200028468</v>
      </c>
      <c r="B24829" t="str">
        <f>"1730147877"</f>
        <v>1730147877</v>
      </c>
      <c r="C24829" t="str">
        <f>"208800000X"</f>
        <v>208800000X</v>
      </c>
      <c r="D24829" t="str">
        <f>"PATTERSON                ANTHONY                  "</f>
        <v xml:space="preserve">PATTERSON                ANTHONY                  </v>
      </c>
      <c r="E24829" t="str">
        <f t="shared" si="708"/>
        <v xml:space="preserve">MEMPHIS                   </v>
      </c>
      <c r="F24829" t="str">
        <f t="shared" si="705"/>
        <v>TN</v>
      </c>
    </row>
    <row r="24830" spans="1:6" x14ac:dyDescent="0.25">
      <c r="A24830" t="str">
        <f>"200028484"</f>
        <v>200028484</v>
      </c>
      <c r="B24830" t="str">
        <f>"1891623005"</f>
        <v>1891623005</v>
      </c>
      <c r="C24830" t="str">
        <f>"208600000X"</f>
        <v>208600000X</v>
      </c>
      <c r="D24830" t="str">
        <f>"BAUMGARTEN               LUCAS                    "</f>
        <v xml:space="preserve">BAUMGARTEN               LUCAS                    </v>
      </c>
      <c r="E24830" t="str">
        <f t="shared" si="708"/>
        <v xml:space="preserve">MEMPHIS                   </v>
      </c>
      <c r="F24830" t="str">
        <f t="shared" ref="F24830:F24893" si="709">"TN"</f>
        <v>TN</v>
      </c>
    </row>
    <row r="24831" spans="1:6" x14ac:dyDescent="0.25">
      <c r="A24831" t="str">
        <f>"200028490"</f>
        <v>200028490</v>
      </c>
      <c r="B24831" t="str">
        <f>"1679818124"</f>
        <v>1679818124</v>
      </c>
      <c r="C24831" t="str">
        <f>"363A00000X"</f>
        <v>363A00000X</v>
      </c>
      <c r="D24831" t="str">
        <f>"BARRY ELLIS              KATHERINE    J           "</f>
        <v xml:space="preserve">BARRY ELLIS              KATHERINE    J           </v>
      </c>
      <c r="E24831" t="str">
        <f t="shared" si="708"/>
        <v xml:space="preserve">MEMPHIS                   </v>
      </c>
      <c r="F24831" t="str">
        <f t="shared" si="709"/>
        <v>TN</v>
      </c>
    </row>
    <row r="24832" spans="1:6" x14ac:dyDescent="0.25">
      <c r="A24832" t="str">
        <f>"200028496"</f>
        <v>200028496</v>
      </c>
      <c r="B24832" t="str">
        <f>"1316948508"</f>
        <v>1316948508</v>
      </c>
      <c r="C24832" t="str">
        <f>"207RC0000X"</f>
        <v>207RC0000X</v>
      </c>
      <c r="D24832" t="str">
        <f>"ESSANDOH                 LOUIS                    "</f>
        <v xml:space="preserve">ESSANDOH                 LOUIS                    </v>
      </c>
      <c r="E24832" t="str">
        <f>"GERMANTOWN                "</f>
        <v xml:space="preserve">GERMANTOWN                </v>
      </c>
      <c r="F24832" t="str">
        <f t="shared" si="709"/>
        <v>TN</v>
      </c>
    </row>
    <row r="24833" spans="1:6" x14ac:dyDescent="0.25">
      <c r="A24833" t="str">
        <f>"200028497"</f>
        <v>200028497</v>
      </c>
      <c r="B24833" t="str">
        <f>"1750300083"</f>
        <v>1750300083</v>
      </c>
      <c r="C24833" t="str">
        <f>"207L00000X"</f>
        <v>207L00000X</v>
      </c>
      <c r="D24833" t="str">
        <f>"WILLIAMS                 MICHAEL                  "</f>
        <v xml:space="preserve">WILLIAMS                 MICHAEL                  </v>
      </c>
      <c r="E24833" t="str">
        <f>"MEMPHIS                   "</f>
        <v xml:space="preserve">MEMPHIS                   </v>
      </c>
      <c r="F24833" t="str">
        <f t="shared" si="709"/>
        <v>TN</v>
      </c>
    </row>
    <row r="24834" spans="1:6" x14ac:dyDescent="0.25">
      <c r="A24834" t="str">
        <f>"200028500"</f>
        <v>200028500</v>
      </c>
      <c r="B24834" t="str">
        <f>"1356283345"</f>
        <v>1356283345</v>
      </c>
      <c r="C24834" t="str">
        <f>"207R00000X"</f>
        <v>207R00000X</v>
      </c>
      <c r="D24834" t="str">
        <f>"PRICE                    MEGAN        E           "</f>
        <v xml:space="preserve">PRICE                    MEGAN        E           </v>
      </c>
      <c r="E24834" t="str">
        <f>"MEMPHIS                   "</f>
        <v xml:space="preserve">MEMPHIS                   </v>
      </c>
      <c r="F24834" t="str">
        <f t="shared" si="709"/>
        <v>TN</v>
      </c>
    </row>
    <row r="24835" spans="1:6" x14ac:dyDescent="0.25">
      <c r="A24835" t="str">
        <f>"200028517"</f>
        <v>200028517</v>
      </c>
      <c r="B24835" t="str">
        <f>"1508392325"</f>
        <v>1508392325</v>
      </c>
      <c r="C24835" t="str">
        <f>"363L00000X"</f>
        <v>363L00000X</v>
      </c>
      <c r="D24835" t="str">
        <f>"VANOVER                  DAWN         M           "</f>
        <v xml:space="preserve">VANOVER                  DAWN         M           </v>
      </c>
      <c r="E24835" t="str">
        <f>"MEMPHIS                   "</f>
        <v xml:space="preserve">MEMPHIS                   </v>
      </c>
      <c r="F24835" t="str">
        <f t="shared" si="709"/>
        <v>TN</v>
      </c>
    </row>
    <row r="24836" spans="1:6" x14ac:dyDescent="0.25">
      <c r="A24836" t="str">
        <f>"200028521"</f>
        <v>200028521</v>
      </c>
      <c r="B24836" t="str">
        <f>"1558870014"</f>
        <v>1558870014</v>
      </c>
      <c r="C24836" t="str">
        <f>"363LA2100X"</f>
        <v>363LA2100X</v>
      </c>
      <c r="D24836" t="str">
        <f>"MUNGLE                   MOLLY                    "</f>
        <v xml:space="preserve">MUNGLE                   MOLLY                    </v>
      </c>
      <c r="E24836" t="str">
        <f>"MEMPHIS                   "</f>
        <v xml:space="preserve">MEMPHIS                   </v>
      </c>
      <c r="F24836" t="str">
        <f t="shared" si="709"/>
        <v>TN</v>
      </c>
    </row>
    <row r="24837" spans="1:6" x14ac:dyDescent="0.25">
      <c r="A24837" t="str">
        <f>"200028536"</f>
        <v>200028536</v>
      </c>
      <c r="B24837" t="str">
        <f>"1356305569"</f>
        <v>1356305569</v>
      </c>
      <c r="C24837" t="str">
        <f>"1223S0112X"</f>
        <v>1223S0112X</v>
      </c>
      <c r="D24837" t="str">
        <f>"CHRISTIAN                JAMES        M           "</f>
        <v xml:space="preserve">CHRISTIAN                JAMES        M           </v>
      </c>
      <c r="E24837" t="str">
        <f>"MEMPHIS                   "</f>
        <v xml:space="preserve">MEMPHIS                   </v>
      </c>
      <c r="F24837" t="str">
        <f t="shared" si="709"/>
        <v>TN</v>
      </c>
    </row>
    <row r="24838" spans="1:6" x14ac:dyDescent="0.25">
      <c r="A24838" t="str">
        <f>"200028540"</f>
        <v>200028540</v>
      </c>
      <c r="B24838" t="str">
        <f>"1295709897"</f>
        <v>1295709897</v>
      </c>
      <c r="C24838" t="str">
        <f>"207R00000X"</f>
        <v>207R00000X</v>
      </c>
      <c r="D24838" t="str">
        <f>"IKEJIANI                 TOCHUKWU                 "</f>
        <v xml:space="preserve">IKEJIANI                 TOCHUKWU                 </v>
      </c>
      <c r="E24838" t="str">
        <f>"SAVANNAH                  "</f>
        <v xml:space="preserve">SAVANNAH                  </v>
      </c>
      <c r="F24838" t="str">
        <f t="shared" si="709"/>
        <v>TN</v>
      </c>
    </row>
    <row r="24839" spans="1:6" x14ac:dyDescent="0.25">
      <c r="A24839" t="str">
        <f>"200028559"</f>
        <v>200028559</v>
      </c>
      <c r="B24839" t="str">
        <f>"1225979362"</f>
        <v>1225979362</v>
      </c>
      <c r="C24839" t="str">
        <f>"207R00000X"</f>
        <v>207R00000X</v>
      </c>
      <c r="D24839" t="str">
        <f>"VELRAJAN                 SHRUTHIVANI              "</f>
        <v xml:space="preserve">VELRAJAN                 SHRUTHIVANI              </v>
      </c>
      <c r="E24839" t="str">
        <f>"MEMPHIS                   "</f>
        <v xml:space="preserve">MEMPHIS                   </v>
      </c>
      <c r="F24839" t="str">
        <f t="shared" si="709"/>
        <v>TN</v>
      </c>
    </row>
    <row r="24840" spans="1:6" x14ac:dyDescent="0.25">
      <c r="A24840" t="str">
        <f>"200028564"</f>
        <v>200028564</v>
      </c>
      <c r="B24840" t="str">
        <f>"1427990241"</f>
        <v>1427990241</v>
      </c>
      <c r="C24840" t="str">
        <f>"207R00000X"</f>
        <v>207R00000X</v>
      </c>
      <c r="D24840" t="str">
        <f>"GREMILLION               MADELEINE                "</f>
        <v xml:space="preserve">GREMILLION               MADELEINE                </v>
      </c>
      <c r="E24840" t="str">
        <f>"MEMPHIS                   "</f>
        <v xml:space="preserve">MEMPHIS                   </v>
      </c>
      <c r="F24840" t="str">
        <f t="shared" si="709"/>
        <v>TN</v>
      </c>
    </row>
    <row r="24841" spans="1:6" x14ac:dyDescent="0.25">
      <c r="A24841" t="str">
        <f>"200028572"</f>
        <v>200028572</v>
      </c>
      <c r="B24841" t="str">
        <f>"1144162413"</f>
        <v>1144162413</v>
      </c>
      <c r="C24841" t="str">
        <f>"207Q00000X"</f>
        <v>207Q00000X</v>
      </c>
      <c r="D24841" t="str">
        <f>"MOORE                    MARIAH       M           "</f>
        <v xml:space="preserve">MOORE                    MARIAH       M           </v>
      </c>
      <c r="E24841" t="str">
        <f>"MEMPHIS                   "</f>
        <v xml:space="preserve">MEMPHIS                   </v>
      </c>
      <c r="F24841" t="str">
        <f t="shared" si="709"/>
        <v>TN</v>
      </c>
    </row>
    <row r="24842" spans="1:6" x14ac:dyDescent="0.25">
      <c r="A24842" t="str">
        <f>"200028578"</f>
        <v>200028578</v>
      </c>
      <c r="B24842" t="str">
        <f>"1821595885"</f>
        <v>1821595885</v>
      </c>
      <c r="C24842" t="str">
        <f>"207Q00000X"</f>
        <v>207Q00000X</v>
      </c>
      <c r="D24842" t="str">
        <f>"OKWUNDU                  NWANNEKA                 "</f>
        <v xml:space="preserve">OKWUNDU                  NWANNEKA                 </v>
      </c>
      <c r="E24842" t="str">
        <f>"SAVANNAH                  "</f>
        <v xml:space="preserve">SAVANNAH                  </v>
      </c>
      <c r="F24842" t="str">
        <f t="shared" si="709"/>
        <v>TN</v>
      </c>
    </row>
    <row r="24843" spans="1:6" x14ac:dyDescent="0.25">
      <c r="A24843" t="str">
        <f>"200028590"</f>
        <v>200028590</v>
      </c>
      <c r="B24843" t="str">
        <f>"1558200907"</f>
        <v>1558200907</v>
      </c>
      <c r="C24843" t="str">
        <f>"207V00000X"</f>
        <v>207V00000X</v>
      </c>
      <c r="D24843" t="str">
        <f>"WALLACE                  MADISON                  "</f>
        <v xml:space="preserve">WALLACE                  MADISON                  </v>
      </c>
      <c r="E24843" t="str">
        <f>"MEMPHIS                   "</f>
        <v xml:space="preserve">MEMPHIS                   </v>
      </c>
      <c r="F24843" t="str">
        <f t="shared" si="709"/>
        <v>TN</v>
      </c>
    </row>
    <row r="24844" spans="1:6" x14ac:dyDescent="0.25">
      <c r="A24844" t="str">
        <f>"200028601"</f>
        <v>200028601</v>
      </c>
      <c r="B24844" t="str">
        <f>"1225788417"</f>
        <v>1225788417</v>
      </c>
      <c r="C24844" t="str">
        <f>"207P00000X"</f>
        <v>207P00000X</v>
      </c>
      <c r="D24844" t="str">
        <f>"SANTA LUCIA              GABRIELLA                "</f>
        <v xml:space="preserve">SANTA LUCIA              GABRIELLA                </v>
      </c>
      <c r="E24844" t="str">
        <f>"ARLINGTON                 "</f>
        <v xml:space="preserve">ARLINGTON                 </v>
      </c>
      <c r="F24844" t="str">
        <f t="shared" si="709"/>
        <v>TN</v>
      </c>
    </row>
    <row r="24845" spans="1:6" x14ac:dyDescent="0.25">
      <c r="A24845" t="str">
        <f>"200028602"</f>
        <v>200028602</v>
      </c>
      <c r="B24845" t="str">
        <f>"1366309791"</f>
        <v>1366309791</v>
      </c>
      <c r="C24845" t="str">
        <f>"363AM0700X"</f>
        <v>363AM0700X</v>
      </c>
      <c r="D24845" t="str">
        <f>"GENTRY                   CHARLES                  "</f>
        <v xml:space="preserve">GENTRY                   CHARLES                  </v>
      </c>
      <c r="E24845" t="str">
        <f t="shared" ref="E24845:E24850" si="710">"MEMPHIS                   "</f>
        <v xml:space="preserve">MEMPHIS                   </v>
      </c>
      <c r="F24845" t="str">
        <f t="shared" si="709"/>
        <v>TN</v>
      </c>
    </row>
    <row r="24846" spans="1:6" x14ac:dyDescent="0.25">
      <c r="A24846" t="str">
        <f>"200028611"</f>
        <v>200028611</v>
      </c>
      <c r="B24846" t="str">
        <f>"1336776095"</f>
        <v>1336776095</v>
      </c>
      <c r="C24846" t="str">
        <f>"2086S0127X"</f>
        <v>2086S0127X</v>
      </c>
      <c r="D24846" t="str">
        <f>"MANNINO                  ELIZABETH                "</f>
        <v xml:space="preserve">MANNINO                  ELIZABETH                </v>
      </c>
      <c r="E24846" t="str">
        <f t="shared" si="710"/>
        <v xml:space="preserve">MEMPHIS                   </v>
      </c>
      <c r="F24846" t="str">
        <f t="shared" si="709"/>
        <v>TN</v>
      </c>
    </row>
    <row r="24847" spans="1:6" x14ac:dyDescent="0.25">
      <c r="A24847" t="str">
        <f>"200028632"</f>
        <v>200028632</v>
      </c>
      <c r="B24847" t="str">
        <f>"1205805272"</f>
        <v>1205805272</v>
      </c>
      <c r="C24847" t="str">
        <f>"207ZP0102X"</f>
        <v>207ZP0102X</v>
      </c>
      <c r="D24847" t="str">
        <f>"CHILES                   MELISSA      C           "</f>
        <v xml:space="preserve">CHILES                   MELISSA      C           </v>
      </c>
      <c r="E24847" t="str">
        <f t="shared" si="710"/>
        <v xml:space="preserve">MEMPHIS                   </v>
      </c>
      <c r="F24847" t="str">
        <f t="shared" si="709"/>
        <v>TN</v>
      </c>
    </row>
    <row r="24848" spans="1:6" x14ac:dyDescent="0.25">
      <c r="A24848" t="str">
        <f>"200028648"</f>
        <v>200028648</v>
      </c>
      <c r="B24848" t="str">
        <f>"1154748143"</f>
        <v>1154748143</v>
      </c>
      <c r="C24848" t="str">
        <f>"207RE0101X"</f>
        <v>207RE0101X</v>
      </c>
      <c r="D24848" t="str">
        <f>"PARVATANENI              SRIDIVYA                 "</f>
        <v xml:space="preserve">PARVATANENI              SRIDIVYA                 </v>
      </c>
      <c r="E24848" t="str">
        <f t="shared" si="710"/>
        <v xml:space="preserve">MEMPHIS                   </v>
      </c>
      <c r="F24848" t="str">
        <f t="shared" si="709"/>
        <v>TN</v>
      </c>
    </row>
    <row r="24849" spans="1:6" x14ac:dyDescent="0.25">
      <c r="A24849" t="str">
        <f>"200028652"</f>
        <v>200028652</v>
      </c>
      <c r="B24849" t="str">
        <f>"1497582407"</f>
        <v>1497582407</v>
      </c>
      <c r="C24849" t="str">
        <f>"207V00000X"</f>
        <v>207V00000X</v>
      </c>
      <c r="D24849" t="str">
        <f>"PIPKIN                   SAVANNAH                 "</f>
        <v xml:space="preserve">PIPKIN                   SAVANNAH                 </v>
      </c>
      <c r="E24849" t="str">
        <f t="shared" si="710"/>
        <v xml:space="preserve">MEMPHIS                   </v>
      </c>
      <c r="F24849" t="str">
        <f t="shared" si="709"/>
        <v>TN</v>
      </c>
    </row>
    <row r="24850" spans="1:6" x14ac:dyDescent="0.25">
      <c r="A24850" t="str">
        <f>"200028663"</f>
        <v>200028663</v>
      </c>
      <c r="B24850" t="str">
        <f>"1538002183"</f>
        <v>1538002183</v>
      </c>
      <c r="C24850" t="str">
        <f>"208000000X"</f>
        <v>208000000X</v>
      </c>
      <c r="D24850" t="str">
        <f>"AKHAVAN                  CHAKAMEH                 "</f>
        <v xml:space="preserve">AKHAVAN                  CHAKAMEH                 </v>
      </c>
      <c r="E24850" t="str">
        <f t="shared" si="710"/>
        <v xml:space="preserve">MEMPHIS                   </v>
      </c>
      <c r="F24850" t="str">
        <f t="shared" si="709"/>
        <v>TN</v>
      </c>
    </row>
    <row r="24851" spans="1:6" x14ac:dyDescent="0.25">
      <c r="A24851" t="str">
        <f>"200028664"</f>
        <v>200028664</v>
      </c>
      <c r="B24851" t="str">
        <f>"1881278562"</f>
        <v>1881278562</v>
      </c>
      <c r="C24851" t="str">
        <f>"363LF0000X"</f>
        <v>363LF0000X</v>
      </c>
      <c r="D24851" t="str">
        <f>"WALKER                   JEANNIE                  "</f>
        <v xml:space="preserve">WALKER                   JEANNIE                  </v>
      </c>
      <c r="E24851" t="str">
        <f>"HUNTINGDON                "</f>
        <v xml:space="preserve">HUNTINGDON                </v>
      </c>
      <c r="F24851" t="str">
        <f t="shared" si="709"/>
        <v>TN</v>
      </c>
    </row>
    <row r="24852" spans="1:6" x14ac:dyDescent="0.25">
      <c r="A24852" t="str">
        <f>"200028666"</f>
        <v>200028666</v>
      </c>
      <c r="B24852" t="str">
        <f>"1447192844"</f>
        <v>1447192844</v>
      </c>
      <c r="C24852" t="str">
        <f>"207R00000X"</f>
        <v>207R00000X</v>
      </c>
      <c r="D24852" t="str">
        <f>"WEISS                    SETH         C           "</f>
        <v xml:space="preserve">WEISS                    SETH         C           </v>
      </c>
      <c r="E24852" t="str">
        <f>"MEMPHIS                   "</f>
        <v xml:space="preserve">MEMPHIS                   </v>
      </c>
      <c r="F24852" t="str">
        <f t="shared" si="709"/>
        <v>TN</v>
      </c>
    </row>
    <row r="24853" spans="1:6" x14ac:dyDescent="0.25">
      <c r="A24853" t="str">
        <f>"200028668"</f>
        <v>200028668</v>
      </c>
      <c r="B24853" t="str">
        <f>"1669059325"</f>
        <v>1669059325</v>
      </c>
      <c r="C24853" t="str">
        <f>"208M00000X"</f>
        <v>208M00000X</v>
      </c>
      <c r="D24853" t="str">
        <f>"HAGLER, II               GERALD                   "</f>
        <v xml:space="preserve">HAGLER, II               GERALD                   </v>
      </c>
      <c r="E24853" t="str">
        <f>"JACKSON                   "</f>
        <v xml:space="preserve">JACKSON                   </v>
      </c>
      <c r="F24853" t="str">
        <f t="shared" si="709"/>
        <v>TN</v>
      </c>
    </row>
    <row r="24854" spans="1:6" x14ac:dyDescent="0.25">
      <c r="A24854" t="str">
        <f>"200028679"</f>
        <v>200028679</v>
      </c>
      <c r="B24854" t="str">
        <f>"1205627973"</f>
        <v>1205627973</v>
      </c>
      <c r="C24854" t="str">
        <f>"208000000X"</f>
        <v>208000000X</v>
      </c>
      <c r="D24854" t="str">
        <f>"LINDER                   ELLIS                    "</f>
        <v xml:space="preserve">LINDER                   ELLIS                    </v>
      </c>
      <c r="E24854" t="str">
        <f>"MEMPHIS                   "</f>
        <v xml:space="preserve">MEMPHIS                   </v>
      </c>
      <c r="F24854" t="str">
        <f t="shared" si="709"/>
        <v>TN</v>
      </c>
    </row>
    <row r="24855" spans="1:6" x14ac:dyDescent="0.25">
      <c r="A24855" t="str">
        <f>"200028682"</f>
        <v>200028682</v>
      </c>
      <c r="B24855" t="str">
        <f>"1780626630"</f>
        <v>1780626630</v>
      </c>
      <c r="C24855" t="str">
        <f>"207RG0100X"</f>
        <v>207RG0100X</v>
      </c>
      <c r="D24855" t="str">
        <f>"KANG                     KALLE                    "</f>
        <v xml:space="preserve">KANG                     KALLE                    </v>
      </c>
      <c r="E24855" t="str">
        <f>"GERMANTOWN                "</f>
        <v xml:space="preserve">GERMANTOWN                </v>
      </c>
      <c r="F24855" t="str">
        <f t="shared" si="709"/>
        <v>TN</v>
      </c>
    </row>
    <row r="24856" spans="1:6" x14ac:dyDescent="0.25">
      <c r="A24856" t="str">
        <f>"200028686"</f>
        <v>200028686</v>
      </c>
      <c r="B24856" t="str">
        <f>"1063153021"</f>
        <v>1063153021</v>
      </c>
      <c r="C24856" t="str">
        <f>"207P00000X"</f>
        <v>207P00000X</v>
      </c>
      <c r="D24856" t="str">
        <f>"RICE                     ANDREW                   "</f>
        <v xml:space="preserve">RICE                     ANDREW                   </v>
      </c>
      <c r="E24856" t="str">
        <f>"COLLIERVILLE              "</f>
        <v xml:space="preserve">COLLIERVILLE              </v>
      </c>
      <c r="F24856" t="str">
        <f t="shared" si="709"/>
        <v>TN</v>
      </c>
    </row>
    <row r="24857" spans="1:6" x14ac:dyDescent="0.25">
      <c r="A24857" t="str">
        <f>"200028692"</f>
        <v>200028692</v>
      </c>
      <c r="B24857" t="str">
        <f>"1679277487"</f>
        <v>1679277487</v>
      </c>
      <c r="C24857" t="str">
        <f>"2080P0202X"</f>
        <v>2080P0202X</v>
      </c>
      <c r="D24857" t="str">
        <f>"BRADSHAW                 HALEY                    "</f>
        <v xml:space="preserve">BRADSHAW                 HALEY                    </v>
      </c>
      <c r="E24857" t="str">
        <f t="shared" ref="E24857:E24862" si="711">"MEMPHIS                   "</f>
        <v xml:space="preserve">MEMPHIS                   </v>
      </c>
      <c r="F24857" t="str">
        <f t="shared" si="709"/>
        <v>TN</v>
      </c>
    </row>
    <row r="24858" spans="1:6" x14ac:dyDescent="0.25">
      <c r="A24858" t="str">
        <f>"200028703"</f>
        <v>200028703</v>
      </c>
      <c r="B24858" t="str">
        <f>"1376486563"</f>
        <v>1376486563</v>
      </c>
      <c r="C24858" t="str">
        <f>"207R00000X"</f>
        <v>207R00000X</v>
      </c>
      <c r="D24858" t="str">
        <f>"AMRO                     ATA                      "</f>
        <v xml:space="preserve">AMRO                     ATA                      </v>
      </c>
      <c r="E24858" t="str">
        <f t="shared" si="711"/>
        <v xml:space="preserve">MEMPHIS                   </v>
      </c>
      <c r="F24858" t="str">
        <f t="shared" si="709"/>
        <v>TN</v>
      </c>
    </row>
    <row r="24859" spans="1:6" x14ac:dyDescent="0.25">
      <c r="A24859" t="str">
        <f>"200028707"</f>
        <v>200028707</v>
      </c>
      <c r="B24859" t="str">
        <f>"1679573984"</f>
        <v>1679573984</v>
      </c>
      <c r="C24859" t="str">
        <f>"208000000X"</f>
        <v>208000000X</v>
      </c>
      <c r="D24859" t="str">
        <f>"PIPER                    DAVID                    "</f>
        <v xml:space="preserve">PIPER                    DAVID                    </v>
      </c>
      <c r="E24859" t="str">
        <f t="shared" si="711"/>
        <v xml:space="preserve">MEMPHIS                   </v>
      </c>
      <c r="F24859" t="str">
        <f t="shared" si="709"/>
        <v>TN</v>
      </c>
    </row>
    <row r="24860" spans="1:6" x14ac:dyDescent="0.25">
      <c r="A24860" t="str">
        <f>"200028721"</f>
        <v>200028721</v>
      </c>
      <c r="B24860" t="str">
        <f>"1538378724"</f>
        <v>1538378724</v>
      </c>
      <c r="C24860" t="str">
        <f>"2080P0214X"</f>
        <v>2080P0214X</v>
      </c>
      <c r="D24860" t="str">
        <f>"MCCASLIN                 CHARLES                  "</f>
        <v xml:space="preserve">MCCASLIN                 CHARLES                  </v>
      </c>
      <c r="E24860" t="str">
        <f t="shared" si="711"/>
        <v xml:space="preserve">MEMPHIS                   </v>
      </c>
      <c r="F24860" t="str">
        <f t="shared" si="709"/>
        <v>TN</v>
      </c>
    </row>
    <row r="24861" spans="1:6" x14ac:dyDescent="0.25">
      <c r="A24861" t="str">
        <f>"200028741"</f>
        <v>200028741</v>
      </c>
      <c r="B24861" t="str">
        <f>"1831687441"</f>
        <v>1831687441</v>
      </c>
      <c r="C24861" t="str">
        <f>"2080P0207X"</f>
        <v>2080P0207X</v>
      </c>
      <c r="D24861" t="str">
        <f>"SUPERDOCK                ALEXANDRA                "</f>
        <v xml:space="preserve">SUPERDOCK                ALEXANDRA                </v>
      </c>
      <c r="E24861" t="str">
        <f t="shared" si="711"/>
        <v xml:space="preserve">MEMPHIS                   </v>
      </c>
      <c r="F24861" t="str">
        <f t="shared" si="709"/>
        <v>TN</v>
      </c>
    </row>
    <row r="24862" spans="1:6" x14ac:dyDescent="0.25">
      <c r="A24862" t="str">
        <f>"200028765"</f>
        <v>200028765</v>
      </c>
      <c r="B24862" t="str">
        <f>"1437092780"</f>
        <v>1437092780</v>
      </c>
      <c r="C24862" t="str">
        <f>"207R00000X"</f>
        <v>207R00000X</v>
      </c>
      <c r="D24862" t="str">
        <f>"MCGUIRE                  MICHAEL                  "</f>
        <v xml:space="preserve">MCGUIRE                  MICHAEL                  </v>
      </c>
      <c r="E24862" t="str">
        <f t="shared" si="711"/>
        <v xml:space="preserve">MEMPHIS                   </v>
      </c>
      <c r="F24862" t="str">
        <f t="shared" si="709"/>
        <v>TN</v>
      </c>
    </row>
    <row r="24863" spans="1:6" x14ac:dyDescent="0.25">
      <c r="A24863" t="str">
        <f>"200028768"</f>
        <v>200028768</v>
      </c>
      <c r="B24863" t="str">
        <f>"1033799937"</f>
        <v>1033799937</v>
      </c>
      <c r="C24863" t="str">
        <f>"207R00000X"</f>
        <v>207R00000X</v>
      </c>
      <c r="D24863" t="str">
        <f>"AMADIN                   ABIEMWENSE               "</f>
        <v xml:space="preserve">AMADIN                   ABIEMWENSE               </v>
      </c>
      <c r="E24863" t="str">
        <f>"NASHVILLE                 "</f>
        <v xml:space="preserve">NASHVILLE                 </v>
      </c>
      <c r="F24863" t="str">
        <f t="shared" si="709"/>
        <v>TN</v>
      </c>
    </row>
    <row r="24864" spans="1:6" x14ac:dyDescent="0.25">
      <c r="A24864" t="str">
        <f>"200028770"</f>
        <v>200028770</v>
      </c>
      <c r="B24864" t="str">
        <f>"1609005453"</f>
        <v>1609005453</v>
      </c>
      <c r="C24864" t="str">
        <f>"207R00000X"</f>
        <v>207R00000X</v>
      </c>
      <c r="D24864" t="str">
        <f>"FAGBAMI                  OLUWAKEMI    Y           "</f>
        <v xml:space="preserve">FAGBAMI                  OLUWAKEMI    Y           </v>
      </c>
      <c r="E24864" t="str">
        <f>"MEMPHIS                   "</f>
        <v xml:space="preserve">MEMPHIS                   </v>
      </c>
      <c r="F24864" t="str">
        <f t="shared" si="709"/>
        <v>TN</v>
      </c>
    </row>
    <row r="24865" spans="1:6" x14ac:dyDescent="0.25">
      <c r="A24865" t="str">
        <f>"200028777"</f>
        <v>200028777</v>
      </c>
      <c r="B24865" t="str">
        <f>"1548461932"</f>
        <v>1548461932</v>
      </c>
      <c r="C24865" t="str">
        <f>"207ZP0102X"</f>
        <v>207ZP0102X</v>
      </c>
      <c r="D24865" t="str">
        <f>"O'SULLIVAN-MEJIA         EMERALD      D           "</f>
        <v xml:space="preserve">O'SULLIVAN-MEJIA         EMERALD      D           </v>
      </c>
      <c r="E24865" t="str">
        <f>"CORDOVA                   "</f>
        <v xml:space="preserve">CORDOVA                   </v>
      </c>
      <c r="F24865" t="str">
        <f t="shared" si="709"/>
        <v>TN</v>
      </c>
    </row>
    <row r="24866" spans="1:6" x14ac:dyDescent="0.25">
      <c r="A24866" t="str">
        <f>"200028786"</f>
        <v>200028786</v>
      </c>
      <c r="B24866" t="str">
        <f>"1487821286"</f>
        <v>1487821286</v>
      </c>
      <c r="C24866" t="str">
        <f>"208600000X"</f>
        <v>208600000X</v>
      </c>
      <c r="D24866" t="str">
        <f>"SINGHAL                  VINAY                    "</f>
        <v xml:space="preserve">SINGHAL                  VINAY                    </v>
      </c>
      <c r="E24866" t="str">
        <f t="shared" ref="E24866:E24877" si="712">"MEMPHIS                   "</f>
        <v xml:space="preserve">MEMPHIS                   </v>
      </c>
      <c r="F24866" t="str">
        <f t="shared" si="709"/>
        <v>TN</v>
      </c>
    </row>
    <row r="24867" spans="1:6" x14ac:dyDescent="0.25">
      <c r="A24867" t="str">
        <f>"200028789"</f>
        <v>200028789</v>
      </c>
      <c r="B24867" t="str">
        <f>"1033736111"</f>
        <v>1033736111</v>
      </c>
      <c r="C24867" t="str">
        <f>"2080N0001X"</f>
        <v>2080N0001X</v>
      </c>
      <c r="D24867" t="str">
        <f>"SHEKAR                   NIDHI                    "</f>
        <v xml:space="preserve">SHEKAR                   NIDHI                    </v>
      </c>
      <c r="E24867" t="str">
        <f t="shared" si="712"/>
        <v xml:space="preserve">MEMPHIS                   </v>
      </c>
      <c r="F24867" t="str">
        <f t="shared" si="709"/>
        <v>TN</v>
      </c>
    </row>
    <row r="24868" spans="1:6" x14ac:dyDescent="0.25">
      <c r="A24868" t="str">
        <f>"200028801"</f>
        <v>200028801</v>
      </c>
      <c r="B24868" t="str">
        <f>"1548796923"</f>
        <v>1548796923</v>
      </c>
      <c r="C24868" t="str">
        <f>"207L00000X"</f>
        <v>207L00000X</v>
      </c>
      <c r="D24868" t="str">
        <f>"SUGGS                    JAMES        M           "</f>
        <v xml:space="preserve">SUGGS                    JAMES        M           </v>
      </c>
      <c r="E24868" t="str">
        <f t="shared" si="712"/>
        <v xml:space="preserve">MEMPHIS                   </v>
      </c>
      <c r="F24868" t="str">
        <f t="shared" si="709"/>
        <v>TN</v>
      </c>
    </row>
    <row r="24869" spans="1:6" x14ac:dyDescent="0.25">
      <c r="A24869" t="str">
        <f>"200028811"</f>
        <v>200028811</v>
      </c>
      <c r="B24869" t="str">
        <f>"1497241947"</f>
        <v>1497241947</v>
      </c>
      <c r="C24869" t="str">
        <f>"367500000X"</f>
        <v>367500000X</v>
      </c>
      <c r="D24869" t="str">
        <f>"CHANCE                   KELSEY                   "</f>
        <v xml:space="preserve">CHANCE                   KELSEY                   </v>
      </c>
      <c r="E24869" t="str">
        <f t="shared" si="712"/>
        <v xml:space="preserve">MEMPHIS                   </v>
      </c>
      <c r="F24869" t="str">
        <f t="shared" si="709"/>
        <v>TN</v>
      </c>
    </row>
    <row r="24870" spans="1:6" x14ac:dyDescent="0.25">
      <c r="A24870" t="str">
        <f>"200028817"</f>
        <v>200028817</v>
      </c>
      <c r="B24870" t="str">
        <f>"1821677246"</f>
        <v>1821677246</v>
      </c>
      <c r="C24870" t="str">
        <f>"2084N0400X"</f>
        <v>2084N0400X</v>
      </c>
      <c r="D24870" t="str">
        <f>"DHASAKEERTHI             THIRUMALAIVAS            "</f>
        <v xml:space="preserve">DHASAKEERTHI             THIRUMALAIVAS            </v>
      </c>
      <c r="E24870" t="str">
        <f t="shared" si="712"/>
        <v xml:space="preserve">MEMPHIS                   </v>
      </c>
      <c r="F24870" t="str">
        <f t="shared" si="709"/>
        <v>TN</v>
      </c>
    </row>
    <row r="24871" spans="1:6" x14ac:dyDescent="0.25">
      <c r="A24871" t="str">
        <f>"200028821"</f>
        <v>200028821</v>
      </c>
      <c r="B24871" t="str">
        <f>"1922557909"</f>
        <v>1922557909</v>
      </c>
      <c r="C24871" t="str">
        <f>"363LC0200X"</f>
        <v>363LC0200X</v>
      </c>
      <c r="D24871" t="str">
        <f>"ABDELGHANI               MAHMOD                   "</f>
        <v xml:space="preserve">ABDELGHANI               MAHMOD                   </v>
      </c>
      <c r="E24871" t="str">
        <f t="shared" si="712"/>
        <v xml:space="preserve">MEMPHIS                   </v>
      </c>
      <c r="F24871" t="str">
        <f t="shared" si="709"/>
        <v>TN</v>
      </c>
    </row>
    <row r="24872" spans="1:6" x14ac:dyDescent="0.25">
      <c r="A24872" t="str">
        <f>"200028828"</f>
        <v>200028828</v>
      </c>
      <c r="B24872" t="str">
        <f>"1720174238"</f>
        <v>1720174238</v>
      </c>
      <c r="C24872" t="str">
        <f>"2085R0202X"</f>
        <v>2085R0202X</v>
      </c>
      <c r="D24872" t="str">
        <f>"BROWNING                 JARED        D           "</f>
        <v xml:space="preserve">BROWNING                 JARED        D           </v>
      </c>
      <c r="E24872" t="str">
        <f t="shared" si="712"/>
        <v xml:space="preserve">MEMPHIS                   </v>
      </c>
      <c r="F24872" t="str">
        <f t="shared" si="709"/>
        <v>TN</v>
      </c>
    </row>
    <row r="24873" spans="1:6" x14ac:dyDescent="0.25">
      <c r="A24873" t="str">
        <f>"200028838"</f>
        <v>200028838</v>
      </c>
      <c r="B24873" t="str">
        <f>"1992640775"</f>
        <v>1992640775</v>
      </c>
      <c r="C24873" t="str">
        <f>"207R00000X"</f>
        <v>207R00000X</v>
      </c>
      <c r="D24873" t="str">
        <f>"QURESHI                  FARAH                    "</f>
        <v xml:space="preserve">QURESHI                  FARAH                    </v>
      </c>
      <c r="E24873" t="str">
        <f t="shared" si="712"/>
        <v xml:space="preserve">MEMPHIS                   </v>
      </c>
      <c r="F24873" t="str">
        <f t="shared" si="709"/>
        <v>TN</v>
      </c>
    </row>
    <row r="24874" spans="1:6" x14ac:dyDescent="0.25">
      <c r="A24874" t="str">
        <f>"200028850"</f>
        <v>200028850</v>
      </c>
      <c r="B24874" t="str">
        <f>"1518639657"</f>
        <v>1518639657</v>
      </c>
      <c r="C24874" t="str">
        <f>"2084N0400X"</f>
        <v>2084N0400X</v>
      </c>
      <c r="D24874" t="str">
        <f>"ELNAEEM                  AWAB                     "</f>
        <v xml:space="preserve">ELNAEEM                  AWAB                     </v>
      </c>
      <c r="E24874" t="str">
        <f t="shared" si="712"/>
        <v xml:space="preserve">MEMPHIS                   </v>
      </c>
      <c r="F24874" t="str">
        <f t="shared" si="709"/>
        <v>TN</v>
      </c>
    </row>
    <row r="24875" spans="1:6" x14ac:dyDescent="0.25">
      <c r="A24875" t="str">
        <f>"200028861"</f>
        <v>200028861</v>
      </c>
      <c r="B24875" t="str">
        <f>"1629919089"</f>
        <v>1629919089</v>
      </c>
      <c r="C24875" t="str">
        <f>"207R00000X"</f>
        <v>207R00000X</v>
      </c>
      <c r="D24875" t="str">
        <f>"WARAICH                  HAAKIM                   "</f>
        <v xml:space="preserve">WARAICH                  HAAKIM                   </v>
      </c>
      <c r="E24875" t="str">
        <f t="shared" si="712"/>
        <v xml:space="preserve">MEMPHIS                   </v>
      </c>
      <c r="F24875" t="str">
        <f t="shared" si="709"/>
        <v>TN</v>
      </c>
    </row>
    <row r="24876" spans="1:6" x14ac:dyDescent="0.25">
      <c r="A24876" t="str">
        <f>"200028862"</f>
        <v>200028862</v>
      </c>
      <c r="B24876" t="str">
        <f>"1821788647"</f>
        <v>1821788647</v>
      </c>
      <c r="C24876" t="str">
        <f>"207RP1001X"</f>
        <v>207RP1001X</v>
      </c>
      <c r="D24876" t="str">
        <f>"ACKLEY                   JOSHUA                   "</f>
        <v xml:space="preserve">ACKLEY                   JOSHUA                   </v>
      </c>
      <c r="E24876" t="str">
        <f t="shared" si="712"/>
        <v xml:space="preserve">MEMPHIS                   </v>
      </c>
      <c r="F24876" t="str">
        <f t="shared" si="709"/>
        <v>TN</v>
      </c>
    </row>
    <row r="24877" spans="1:6" x14ac:dyDescent="0.25">
      <c r="A24877" t="str">
        <f>"200028865"</f>
        <v>200028865</v>
      </c>
      <c r="B24877" t="str">
        <f>"1073455531"</f>
        <v>1073455531</v>
      </c>
      <c r="C24877" t="str">
        <f>"207R00000X"</f>
        <v>207R00000X</v>
      </c>
      <c r="D24877" t="str">
        <f>"GME                      UT                       "</f>
        <v xml:space="preserve">GME                      UT                       </v>
      </c>
      <c r="E24877" t="str">
        <f t="shared" si="712"/>
        <v xml:space="preserve">MEMPHIS                   </v>
      </c>
      <c r="F24877" t="str">
        <f t="shared" si="709"/>
        <v>TN</v>
      </c>
    </row>
    <row r="24878" spans="1:6" x14ac:dyDescent="0.25">
      <c r="A24878" t="str">
        <f>"200028876"</f>
        <v>200028876</v>
      </c>
      <c r="B24878" t="str">
        <f>"1992211700"</f>
        <v>1992211700</v>
      </c>
      <c r="C24878" t="str">
        <f>"363LF0000X"</f>
        <v>363LF0000X</v>
      </c>
      <c r="D24878" t="str">
        <f>"DAVIS                    LAURIE                   "</f>
        <v xml:space="preserve">DAVIS                    LAURIE                   </v>
      </c>
      <c r="E24878" t="str">
        <f>"ARLINGTON                 "</f>
        <v xml:space="preserve">ARLINGTON                 </v>
      </c>
      <c r="F24878" t="str">
        <f t="shared" si="709"/>
        <v>TN</v>
      </c>
    </row>
    <row r="24879" spans="1:6" x14ac:dyDescent="0.25">
      <c r="A24879" t="str">
        <f>"200028877"</f>
        <v>200028877</v>
      </c>
      <c r="B24879" t="str">
        <f>"1407848005"</f>
        <v>1407848005</v>
      </c>
      <c r="C24879" t="str">
        <f>"2084N0402X"</f>
        <v>2084N0402X</v>
      </c>
      <c r="D24879" t="str">
        <f>"GROPMAN                  ANDREA                   "</f>
        <v xml:space="preserve">GROPMAN                  ANDREA                   </v>
      </c>
      <c r="E24879" t="str">
        <f>"MEMPHIS                   "</f>
        <v xml:space="preserve">MEMPHIS                   </v>
      </c>
      <c r="F24879" t="str">
        <f t="shared" si="709"/>
        <v>TN</v>
      </c>
    </row>
    <row r="24880" spans="1:6" x14ac:dyDescent="0.25">
      <c r="A24880" t="str">
        <f>"200028884"</f>
        <v>200028884</v>
      </c>
      <c r="B24880" t="str">
        <f>"1801583752"</f>
        <v>1801583752</v>
      </c>
      <c r="C24880" t="str">
        <f>"207P00000X"</f>
        <v>207P00000X</v>
      </c>
      <c r="D24880" t="str">
        <f>"GRAHAM                   GARRETT                  "</f>
        <v xml:space="preserve">GRAHAM                   GARRETT                  </v>
      </c>
      <c r="E24880" t="str">
        <f>"ARLINGTON                 "</f>
        <v xml:space="preserve">ARLINGTON                 </v>
      </c>
      <c r="F24880" t="str">
        <f t="shared" si="709"/>
        <v>TN</v>
      </c>
    </row>
    <row r="24881" spans="1:6" x14ac:dyDescent="0.25">
      <c r="A24881" t="str">
        <f>"200028887"</f>
        <v>200028887</v>
      </c>
      <c r="B24881" t="str">
        <f>"1447887971"</f>
        <v>1447887971</v>
      </c>
      <c r="C24881" t="str">
        <f>"208600000X"</f>
        <v>208600000X</v>
      </c>
      <c r="D24881" t="str">
        <f>"KENNEY                   CONNOR                   "</f>
        <v xml:space="preserve">KENNEY                   CONNOR                   </v>
      </c>
      <c r="E24881" t="str">
        <f t="shared" ref="E24881:E24887" si="713">"MEMPHIS                   "</f>
        <v xml:space="preserve">MEMPHIS                   </v>
      </c>
      <c r="F24881" t="str">
        <f t="shared" si="709"/>
        <v>TN</v>
      </c>
    </row>
    <row r="24882" spans="1:6" x14ac:dyDescent="0.25">
      <c r="A24882" t="str">
        <f>"200028899"</f>
        <v>200028899</v>
      </c>
      <c r="B24882" t="str">
        <f>"1538662556"</f>
        <v>1538662556</v>
      </c>
      <c r="C24882" t="str">
        <f>"363LF0000X"</f>
        <v>363LF0000X</v>
      </c>
      <c r="D24882" t="str">
        <f>"BRUNSON                  PRUNETTA                 "</f>
        <v xml:space="preserve">BRUNSON                  PRUNETTA                 </v>
      </c>
      <c r="E24882" t="str">
        <f t="shared" si="713"/>
        <v xml:space="preserve">MEMPHIS                   </v>
      </c>
      <c r="F24882" t="str">
        <f t="shared" si="709"/>
        <v>TN</v>
      </c>
    </row>
    <row r="24883" spans="1:6" x14ac:dyDescent="0.25">
      <c r="A24883" t="str">
        <f>"200028901"</f>
        <v>200028901</v>
      </c>
      <c r="B24883" t="str">
        <f>"1831859800"</f>
        <v>1831859800</v>
      </c>
      <c r="C24883" t="str">
        <f>"207T00000X"</f>
        <v>207T00000X</v>
      </c>
      <c r="D24883" t="str">
        <f>"ROBINSON                 EDWARD                   "</f>
        <v xml:space="preserve">ROBINSON                 EDWARD                   </v>
      </c>
      <c r="E24883" t="str">
        <f t="shared" si="713"/>
        <v xml:space="preserve">MEMPHIS                   </v>
      </c>
      <c r="F24883" t="str">
        <f t="shared" si="709"/>
        <v>TN</v>
      </c>
    </row>
    <row r="24884" spans="1:6" x14ac:dyDescent="0.25">
      <c r="A24884" t="str">
        <f>"200028915"</f>
        <v>200028915</v>
      </c>
      <c r="B24884" t="str">
        <f>"1568200681"</f>
        <v>1568200681</v>
      </c>
      <c r="C24884" t="str">
        <f>"208600000X"</f>
        <v>208600000X</v>
      </c>
      <c r="D24884" t="str">
        <f>"THIEL                    MEERA                    "</f>
        <v xml:space="preserve">THIEL                    MEERA                    </v>
      </c>
      <c r="E24884" t="str">
        <f t="shared" si="713"/>
        <v xml:space="preserve">MEMPHIS                   </v>
      </c>
      <c r="F24884" t="str">
        <f t="shared" si="709"/>
        <v>TN</v>
      </c>
    </row>
    <row r="24885" spans="1:6" x14ac:dyDescent="0.25">
      <c r="A24885" t="str">
        <f>"200028921"</f>
        <v>200028921</v>
      </c>
      <c r="B24885" t="str">
        <f>"1952198525"</f>
        <v>1952198525</v>
      </c>
      <c r="C24885" t="str">
        <f>"207V00000X"</f>
        <v>207V00000X</v>
      </c>
      <c r="D24885" t="str">
        <f>"BUTLER                   EMMA         G           "</f>
        <v xml:space="preserve">BUTLER                   EMMA         G           </v>
      </c>
      <c r="E24885" t="str">
        <f t="shared" si="713"/>
        <v xml:space="preserve">MEMPHIS                   </v>
      </c>
      <c r="F24885" t="str">
        <f t="shared" si="709"/>
        <v>TN</v>
      </c>
    </row>
    <row r="24886" spans="1:6" x14ac:dyDescent="0.25">
      <c r="A24886" t="str">
        <f>"200028936"</f>
        <v>200028936</v>
      </c>
      <c r="B24886" t="str">
        <f>"1972945053"</f>
        <v>1972945053</v>
      </c>
      <c r="C24886" t="str">
        <f>"207ZP0102X"</f>
        <v>207ZP0102X</v>
      </c>
      <c r="D24886" t="str">
        <f>"KARAM                    PRIYANKA                 "</f>
        <v xml:space="preserve">KARAM                    PRIYANKA                 </v>
      </c>
      <c r="E24886" t="str">
        <f t="shared" si="713"/>
        <v xml:space="preserve">MEMPHIS                   </v>
      </c>
      <c r="F24886" t="str">
        <f t="shared" si="709"/>
        <v>TN</v>
      </c>
    </row>
    <row r="24887" spans="1:6" x14ac:dyDescent="0.25">
      <c r="A24887" t="str">
        <f>"200028942"</f>
        <v>200028942</v>
      </c>
      <c r="B24887" t="str">
        <f>"1922470988"</f>
        <v>1922470988</v>
      </c>
      <c r="C24887" t="str">
        <f>"363L00000X"</f>
        <v>363L00000X</v>
      </c>
      <c r="D24887" t="str">
        <f>"SANG                     FAITH                    "</f>
        <v xml:space="preserve">SANG                     FAITH                    </v>
      </c>
      <c r="E24887" t="str">
        <f t="shared" si="713"/>
        <v xml:space="preserve">MEMPHIS                   </v>
      </c>
      <c r="F24887" t="str">
        <f t="shared" si="709"/>
        <v>TN</v>
      </c>
    </row>
    <row r="24888" spans="1:6" x14ac:dyDescent="0.25">
      <c r="A24888" t="str">
        <f>"200028954"</f>
        <v>200028954</v>
      </c>
      <c r="B24888" t="str">
        <f>"1083302855"</f>
        <v>1083302855</v>
      </c>
      <c r="C24888" t="str">
        <f>"207P00000X"</f>
        <v>207P00000X</v>
      </c>
      <c r="D24888" t="str">
        <f>"WILDMAN                  ALEXIS                   "</f>
        <v xml:space="preserve">WILDMAN                  ALEXIS                   </v>
      </c>
      <c r="E24888" t="str">
        <f>"ARLINGTON                 "</f>
        <v xml:space="preserve">ARLINGTON                 </v>
      </c>
      <c r="F24888" t="str">
        <f t="shared" si="709"/>
        <v>TN</v>
      </c>
    </row>
    <row r="24889" spans="1:6" x14ac:dyDescent="0.25">
      <c r="A24889" t="str">
        <f>"200028970"</f>
        <v>200028970</v>
      </c>
      <c r="B24889" t="str">
        <f>"1922480565"</f>
        <v>1922480565</v>
      </c>
      <c r="C24889" t="str">
        <f>"367500000X"</f>
        <v>367500000X</v>
      </c>
      <c r="D24889" t="str">
        <f>"HENDERSON                ANGELA                   "</f>
        <v xml:space="preserve">HENDERSON                ANGELA                   </v>
      </c>
      <c r="E24889" t="str">
        <f>"GERMANTOWN                "</f>
        <v xml:space="preserve">GERMANTOWN                </v>
      </c>
      <c r="F24889" t="str">
        <f t="shared" si="709"/>
        <v>TN</v>
      </c>
    </row>
    <row r="24890" spans="1:6" x14ac:dyDescent="0.25">
      <c r="A24890" t="str">
        <f>"200028992"</f>
        <v>200028992</v>
      </c>
      <c r="B24890" t="str">
        <f>"1679182109"</f>
        <v>1679182109</v>
      </c>
      <c r="C24890" t="str">
        <f>"207ND0900X"</f>
        <v>207ND0900X</v>
      </c>
      <c r="D24890" t="str">
        <f>"IBRAHIM                  ELSAYED                  "</f>
        <v xml:space="preserve">IBRAHIM                  ELSAYED                  </v>
      </c>
      <c r="E24890" t="str">
        <f>"MEMPHIS                   "</f>
        <v xml:space="preserve">MEMPHIS                   </v>
      </c>
      <c r="F24890" t="str">
        <f t="shared" si="709"/>
        <v>TN</v>
      </c>
    </row>
    <row r="24891" spans="1:6" x14ac:dyDescent="0.25">
      <c r="A24891" t="str">
        <f>"200029005"</f>
        <v>200029005</v>
      </c>
      <c r="B24891" t="str">
        <f>"1578406641"</f>
        <v>1578406641</v>
      </c>
      <c r="C24891" t="str">
        <f>"208800000X"</f>
        <v>208800000X</v>
      </c>
      <c r="D24891" t="str">
        <f>"BALSLEY SALTUS           OLIVIA                   "</f>
        <v xml:space="preserve">BALSLEY SALTUS           OLIVIA                   </v>
      </c>
      <c r="E24891" t="str">
        <f>"MEMPHIS                   "</f>
        <v xml:space="preserve">MEMPHIS                   </v>
      </c>
      <c r="F24891" t="str">
        <f t="shared" si="709"/>
        <v>TN</v>
      </c>
    </row>
    <row r="24892" spans="1:6" x14ac:dyDescent="0.25">
      <c r="A24892" t="str">
        <f>"200029039"</f>
        <v>200029039</v>
      </c>
      <c r="B24892" t="str">
        <f>"1902420268"</f>
        <v>1902420268</v>
      </c>
      <c r="C24892" t="str">
        <f>"207RX0202X"</f>
        <v>207RX0202X</v>
      </c>
      <c r="D24892" t="str">
        <f>"FRANCISCO PEREIRA ALEIXO GABRIEL                  "</f>
        <v xml:space="preserve">FRANCISCO PEREIRA ALEIXO GABRIEL                  </v>
      </c>
      <c r="E24892" t="str">
        <f>"GERMANTOWN                "</f>
        <v xml:space="preserve">GERMANTOWN                </v>
      </c>
      <c r="F24892" t="str">
        <f t="shared" si="709"/>
        <v>TN</v>
      </c>
    </row>
    <row r="24893" spans="1:6" x14ac:dyDescent="0.25">
      <c r="A24893" t="str">
        <f>"200029043"</f>
        <v>200029043</v>
      </c>
      <c r="B24893" t="str">
        <f>"1366396277"</f>
        <v>1366396277</v>
      </c>
      <c r="C24893" t="str">
        <f>"207RN0300X"</f>
        <v>207RN0300X</v>
      </c>
      <c r="D24893" t="str">
        <f>"EMMANUEL                 AGABA                    "</f>
        <v xml:space="preserve">EMMANUEL                 AGABA                    </v>
      </c>
      <c r="E24893" t="str">
        <f>"MEMPHIS                   "</f>
        <v xml:space="preserve">MEMPHIS                   </v>
      </c>
      <c r="F24893" t="str">
        <f t="shared" si="709"/>
        <v>TN</v>
      </c>
    </row>
    <row r="24894" spans="1:6" x14ac:dyDescent="0.25">
      <c r="A24894" t="str">
        <f>"200029044"</f>
        <v>200029044</v>
      </c>
      <c r="B24894" t="str">
        <f>"1528862778"</f>
        <v>1528862778</v>
      </c>
      <c r="C24894" t="str">
        <f>"208000000X"</f>
        <v>208000000X</v>
      </c>
      <c r="D24894" t="str">
        <f>"CASTEEL                  JERRY        P           "</f>
        <v xml:space="preserve">CASTEEL                  JERRY        P           </v>
      </c>
      <c r="E24894" t="str">
        <f>"MEMPHIS                   "</f>
        <v xml:space="preserve">MEMPHIS                   </v>
      </c>
      <c r="F24894" t="str">
        <f t="shared" ref="F24894:F24917" si="714">"TN"</f>
        <v>TN</v>
      </c>
    </row>
    <row r="24895" spans="1:6" x14ac:dyDescent="0.25">
      <c r="A24895" t="str">
        <f>"200029050"</f>
        <v>200029050</v>
      </c>
      <c r="B24895" t="str">
        <f>"1235070574"</f>
        <v>1235070574</v>
      </c>
      <c r="C24895" t="str">
        <f>"207L00000X"</f>
        <v>207L00000X</v>
      </c>
      <c r="D24895" t="str">
        <f>"RAJU                     ABHINAV      V           "</f>
        <v xml:space="preserve">RAJU                     ABHINAV      V           </v>
      </c>
      <c r="E24895" t="str">
        <f>"MEMPHIS                   "</f>
        <v xml:space="preserve">MEMPHIS                   </v>
      </c>
      <c r="F24895" t="str">
        <f t="shared" si="714"/>
        <v>TN</v>
      </c>
    </row>
    <row r="24896" spans="1:6" x14ac:dyDescent="0.25">
      <c r="A24896" t="str">
        <f>"200029052"</f>
        <v>200029052</v>
      </c>
      <c r="B24896" t="str">
        <f>"1518130996"</f>
        <v>1518130996</v>
      </c>
      <c r="C24896" t="str">
        <f>"207ZP0102X"</f>
        <v>207ZP0102X</v>
      </c>
      <c r="D24896" t="str">
        <f>"KING                     LAUREN                   "</f>
        <v xml:space="preserve">KING                     LAUREN                   </v>
      </c>
      <c r="E24896" t="str">
        <f>"MEMPHIS                   "</f>
        <v xml:space="preserve">MEMPHIS                   </v>
      </c>
      <c r="F24896" t="str">
        <f t="shared" si="714"/>
        <v>TN</v>
      </c>
    </row>
    <row r="24897" spans="1:6" x14ac:dyDescent="0.25">
      <c r="A24897" t="str">
        <f>"200029059"</f>
        <v>200029059</v>
      </c>
      <c r="B24897" t="str">
        <f>"1225619430"</f>
        <v>1225619430</v>
      </c>
      <c r="C24897" t="str">
        <f>"207VE0102X"</f>
        <v>207VE0102X</v>
      </c>
      <c r="D24897" t="str">
        <f>"MANCUSO                  FRANCESCA                "</f>
        <v xml:space="preserve">MANCUSO                  FRANCESCA                </v>
      </c>
      <c r="E24897" t="str">
        <f>"MEMPHIS                   "</f>
        <v xml:space="preserve">MEMPHIS                   </v>
      </c>
      <c r="F24897" t="str">
        <f t="shared" si="714"/>
        <v>TN</v>
      </c>
    </row>
    <row r="24898" spans="1:6" x14ac:dyDescent="0.25">
      <c r="A24898" t="str">
        <f>"200029076"</f>
        <v>200029076</v>
      </c>
      <c r="B24898" t="str">
        <f>"1881272607"</f>
        <v>1881272607</v>
      </c>
      <c r="C24898" t="str">
        <f>"207Q00000X"</f>
        <v>207Q00000X</v>
      </c>
      <c r="D24898" t="str">
        <f>"LENDVAI                  LILLA                    "</f>
        <v xml:space="preserve">LENDVAI                  LILLA                    </v>
      </c>
      <c r="E24898" t="str">
        <f>"HENDERSONVILLE            "</f>
        <v xml:space="preserve">HENDERSONVILLE            </v>
      </c>
      <c r="F24898" t="str">
        <f t="shared" si="714"/>
        <v>TN</v>
      </c>
    </row>
    <row r="24899" spans="1:6" x14ac:dyDescent="0.25">
      <c r="A24899" t="str">
        <f>"200029080"</f>
        <v>200029080</v>
      </c>
      <c r="B24899" t="str">
        <f>"1922306562"</f>
        <v>1922306562</v>
      </c>
      <c r="C24899" t="str">
        <f>"363LF0000X"</f>
        <v>363LF0000X</v>
      </c>
      <c r="D24899" t="str">
        <f>"BLOUNT                   CHRISTY                  "</f>
        <v xml:space="preserve">BLOUNT                   CHRISTY                  </v>
      </c>
      <c r="E24899" t="str">
        <f>"HUNTINGDON                "</f>
        <v xml:space="preserve">HUNTINGDON                </v>
      </c>
      <c r="F24899" t="str">
        <f t="shared" si="714"/>
        <v>TN</v>
      </c>
    </row>
    <row r="24900" spans="1:6" x14ac:dyDescent="0.25">
      <c r="A24900" t="str">
        <f>"200029082"</f>
        <v>200029082</v>
      </c>
      <c r="B24900" t="str">
        <f>"1811569882"</f>
        <v>1811569882</v>
      </c>
      <c r="C24900" t="str">
        <f>"207RI0200X"</f>
        <v>207RI0200X</v>
      </c>
      <c r="D24900" t="str">
        <f>"SANCHEZ LOPEZ            SEBASTIAN                "</f>
        <v xml:space="preserve">SANCHEZ LOPEZ            SEBASTIAN                </v>
      </c>
      <c r="E24900" t="str">
        <f>"MEMPHIS                   "</f>
        <v xml:space="preserve">MEMPHIS                   </v>
      </c>
      <c r="F24900" t="str">
        <f t="shared" si="714"/>
        <v>TN</v>
      </c>
    </row>
    <row r="24901" spans="1:6" x14ac:dyDescent="0.25">
      <c r="A24901" t="str">
        <f>"200029091"</f>
        <v>200029091</v>
      </c>
      <c r="B24901" t="str">
        <f>"1215329628"</f>
        <v>1215329628</v>
      </c>
      <c r="C24901" t="str">
        <f>"367500000X"</f>
        <v>367500000X</v>
      </c>
      <c r="D24901" t="str">
        <f>"BROWN                    COLTON       H           "</f>
        <v xml:space="preserve">BROWN                    COLTON       H           </v>
      </c>
      <c r="E24901" t="str">
        <f>"MEMPHIS                   "</f>
        <v xml:space="preserve">MEMPHIS                   </v>
      </c>
      <c r="F24901" t="str">
        <f t="shared" si="714"/>
        <v>TN</v>
      </c>
    </row>
    <row r="24902" spans="1:6" x14ac:dyDescent="0.25">
      <c r="A24902" t="str">
        <f>"200029095"</f>
        <v>200029095</v>
      </c>
      <c r="B24902" t="str">
        <f>"1891048765"</f>
        <v>1891048765</v>
      </c>
      <c r="C24902" t="str">
        <f>"363LF0000X"</f>
        <v>363LF0000X</v>
      </c>
      <c r="D24902" t="str">
        <f>"FULLER                   AMANDA                   "</f>
        <v xml:space="preserve">FULLER                   AMANDA                   </v>
      </c>
      <c r="E24902" t="str">
        <f>"HUNTINGDON                "</f>
        <v xml:space="preserve">HUNTINGDON                </v>
      </c>
      <c r="F24902" t="str">
        <f t="shared" si="714"/>
        <v>TN</v>
      </c>
    </row>
    <row r="24903" spans="1:6" x14ac:dyDescent="0.25">
      <c r="A24903" t="str">
        <f>"200029127"</f>
        <v>200029127</v>
      </c>
      <c r="B24903" t="str">
        <f>"1174290746"</f>
        <v>1174290746</v>
      </c>
      <c r="C24903" t="str">
        <f>"2085P0229X"</f>
        <v>2085P0229X</v>
      </c>
      <c r="D24903" t="str">
        <f>"POKHAREL                 PRATIT                   "</f>
        <v xml:space="preserve">POKHAREL                 PRATIT                   </v>
      </c>
      <c r="E24903" t="str">
        <f>"MEMPHIS                   "</f>
        <v xml:space="preserve">MEMPHIS                   </v>
      </c>
      <c r="F24903" t="str">
        <f t="shared" si="714"/>
        <v>TN</v>
      </c>
    </row>
    <row r="24904" spans="1:6" x14ac:dyDescent="0.25">
      <c r="A24904" t="str">
        <f>"200029134"</f>
        <v>200029134</v>
      </c>
      <c r="B24904" t="str">
        <f>"1447992888"</f>
        <v>1447992888</v>
      </c>
      <c r="C24904" t="str">
        <f>"207V00000X"</f>
        <v>207V00000X</v>
      </c>
      <c r="D24904" t="str">
        <f>"ELSHAFEY                 MOHAMMED                 "</f>
        <v xml:space="preserve">ELSHAFEY                 MOHAMMED                 </v>
      </c>
      <c r="E24904" t="str">
        <f>"MEMPHIS                   "</f>
        <v xml:space="preserve">MEMPHIS                   </v>
      </c>
      <c r="F24904" t="str">
        <f t="shared" si="714"/>
        <v>TN</v>
      </c>
    </row>
    <row r="24905" spans="1:6" x14ac:dyDescent="0.25">
      <c r="A24905" t="str">
        <f>"200029179"</f>
        <v>200029179</v>
      </c>
      <c r="B24905" t="str">
        <f>"1457767436"</f>
        <v>1457767436</v>
      </c>
      <c r="C24905" t="str">
        <f>"2080P0207X"</f>
        <v>2080P0207X</v>
      </c>
      <c r="D24905" t="str">
        <f>"BERTRAND                 KELSEY                   "</f>
        <v xml:space="preserve">BERTRAND                 KELSEY                   </v>
      </c>
      <c r="E24905" t="str">
        <f>"MEMPHIS                   "</f>
        <v xml:space="preserve">MEMPHIS                   </v>
      </c>
      <c r="F24905" t="str">
        <f t="shared" si="714"/>
        <v>TN</v>
      </c>
    </row>
    <row r="24906" spans="1:6" x14ac:dyDescent="0.25">
      <c r="A24906" t="str">
        <f>"200029187"</f>
        <v>200029187</v>
      </c>
      <c r="B24906" t="str">
        <f>"1720432313"</f>
        <v>1720432313</v>
      </c>
      <c r="C24906" t="str">
        <f>"207RN0300X"</f>
        <v>207RN0300X</v>
      </c>
      <c r="D24906" t="str">
        <f>"BINARI                   LAURA                    "</f>
        <v xml:space="preserve">BINARI                   LAURA                    </v>
      </c>
      <c r="E24906" t="str">
        <f>"NASHVILLE                 "</f>
        <v xml:space="preserve">NASHVILLE                 </v>
      </c>
      <c r="F24906" t="str">
        <f t="shared" si="714"/>
        <v>TN</v>
      </c>
    </row>
    <row r="24907" spans="1:6" x14ac:dyDescent="0.25">
      <c r="A24907" t="str">
        <f>"200029188"</f>
        <v>200029188</v>
      </c>
      <c r="B24907" t="str">
        <f>"1720929292"</f>
        <v>1720929292</v>
      </c>
      <c r="C24907" t="str">
        <f>"208000000X"</f>
        <v>208000000X</v>
      </c>
      <c r="D24907" t="str">
        <f>"TRAN                     EMILY                    "</f>
        <v xml:space="preserve">TRAN                     EMILY                    </v>
      </c>
      <c r="E24907" t="str">
        <f>"MEMPHIS                   "</f>
        <v xml:space="preserve">MEMPHIS                   </v>
      </c>
      <c r="F24907" t="str">
        <f t="shared" si="714"/>
        <v>TN</v>
      </c>
    </row>
    <row r="24908" spans="1:6" x14ac:dyDescent="0.25">
      <c r="A24908" t="str">
        <f>"200029189"</f>
        <v>200029189</v>
      </c>
      <c r="B24908" t="str">
        <f>"1376957084"</f>
        <v>1376957084</v>
      </c>
      <c r="C24908" t="str">
        <f>"207P00000X"</f>
        <v>207P00000X</v>
      </c>
      <c r="D24908" t="str">
        <f>"HUTTON                   KATRINA                  "</f>
        <v xml:space="preserve">HUTTON                   KATRINA                  </v>
      </c>
      <c r="E24908" t="str">
        <f>"MEMPHIS                   "</f>
        <v xml:space="preserve">MEMPHIS                   </v>
      </c>
      <c r="F24908" t="str">
        <f t="shared" si="714"/>
        <v>TN</v>
      </c>
    </row>
    <row r="24909" spans="1:6" x14ac:dyDescent="0.25">
      <c r="A24909" t="str">
        <f>"200029197"</f>
        <v>200029197</v>
      </c>
      <c r="B24909" t="str">
        <f>"1629206735"</f>
        <v>1629206735</v>
      </c>
      <c r="C24909" t="str">
        <f>"2080P0207X"</f>
        <v>2080P0207X</v>
      </c>
      <c r="D24909" t="str">
        <f>"WHITTLE                  SARAH                    "</f>
        <v xml:space="preserve">WHITTLE                  SARAH                    </v>
      </c>
      <c r="E24909" t="str">
        <f>"MEMPHIS                   "</f>
        <v xml:space="preserve">MEMPHIS                   </v>
      </c>
      <c r="F24909" t="str">
        <f t="shared" si="714"/>
        <v>TN</v>
      </c>
    </row>
    <row r="24910" spans="1:6" x14ac:dyDescent="0.25">
      <c r="A24910" t="str">
        <f>"200029204"</f>
        <v>200029204</v>
      </c>
      <c r="B24910" t="str">
        <f>"1326324831"</f>
        <v>1326324831</v>
      </c>
      <c r="C24910" t="str">
        <f>"207P00000X"</f>
        <v>207P00000X</v>
      </c>
      <c r="D24910" t="str">
        <f>"CHUKUMERIJE              ZIMATU                   "</f>
        <v xml:space="preserve">CHUKUMERIJE              ZIMATU                   </v>
      </c>
      <c r="E24910" t="str">
        <f>"MEMPHIS                   "</f>
        <v xml:space="preserve">MEMPHIS                   </v>
      </c>
      <c r="F24910" t="str">
        <f t="shared" si="714"/>
        <v>TN</v>
      </c>
    </row>
    <row r="24911" spans="1:6" x14ac:dyDescent="0.25">
      <c r="A24911" t="str">
        <f>"200029221"</f>
        <v>200029221</v>
      </c>
      <c r="B24911" t="str">
        <f>"1538222013"</f>
        <v>1538222013</v>
      </c>
      <c r="C24911" t="str">
        <f>"2080P0204X"</f>
        <v>2080P0204X</v>
      </c>
      <c r="D24911" t="str">
        <f>"DONIGER                  STEPHANIE                "</f>
        <v xml:space="preserve">DONIGER                  STEPHANIE                </v>
      </c>
      <c r="E24911" t="str">
        <f>"MEMPHIS                   "</f>
        <v xml:space="preserve">MEMPHIS                   </v>
      </c>
      <c r="F24911" t="str">
        <f t="shared" si="714"/>
        <v>TN</v>
      </c>
    </row>
    <row r="24912" spans="1:6" x14ac:dyDescent="0.25">
      <c r="A24912" t="str">
        <f>"200029227"</f>
        <v>200029227</v>
      </c>
      <c r="B24912" t="str">
        <f>"1013404284"</f>
        <v>1013404284</v>
      </c>
      <c r="C24912" t="str">
        <f>"207Y00000X"</f>
        <v>207Y00000X</v>
      </c>
      <c r="D24912" t="str">
        <f>"BONE                     TYLER                    "</f>
        <v xml:space="preserve">BONE                     TYLER                    </v>
      </c>
      <c r="E24912" t="str">
        <f>"GERMANTOWN                "</f>
        <v xml:space="preserve">GERMANTOWN                </v>
      </c>
      <c r="F24912" t="str">
        <f t="shared" si="714"/>
        <v>TN</v>
      </c>
    </row>
    <row r="24913" spans="1:6" x14ac:dyDescent="0.25">
      <c r="A24913" t="str">
        <f>"200029250"</f>
        <v>200029250</v>
      </c>
      <c r="B24913" t="str">
        <f>"1174272223"</f>
        <v>1174272223</v>
      </c>
      <c r="C24913" t="str">
        <f>"2085R0202X"</f>
        <v>2085R0202X</v>
      </c>
      <c r="D24913" t="str">
        <f>"MACKEY                   SEAN                     "</f>
        <v xml:space="preserve">MACKEY                   SEAN                     </v>
      </c>
      <c r="E24913" t="str">
        <f>"GERMANTOWN                "</f>
        <v xml:space="preserve">GERMANTOWN                </v>
      </c>
      <c r="F24913" t="str">
        <f t="shared" si="714"/>
        <v>TN</v>
      </c>
    </row>
    <row r="24914" spans="1:6" x14ac:dyDescent="0.25">
      <c r="A24914" t="str">
        <f>"200029264"</f>
        <v>200029264</v>
      </c>
      <c r="B24914" t="str">
        <f>"1215672175"</f>
        <v>1215672175</v>
      </c>
      <c r="C24914" t="str">
        <f>"2085R0202X"</f>
        <v>2085R0202X</v>
      </c>
      <c r="D24914" t="str">
        <f>"MCGEE                    TREVOR                   "</f>
        <v xml:space="preserve">MCGEE                    TREVOR                   </v>
      </c>
      <c r="E24914" t="str">
        <f>"GERMANTOWN                "</f>
        <v xml:space="preserve">GERMANTOWN                </v>
      </c>
      <c r="F24914" t="str">
        <f t="shared" si="714"/>
        <v>TN</v>
      </c>
    </row>
    <row r="24915" spans="1:6" x14ac:dyDescent="0.25">
      <c r="A24915" t="str">
        <f>"200029289"</f>
        <v>200029289</v>
      </c>
      <c r="B24915" t="str">
        <f>"1225479090"</f>
        <v>1225479090</v>
      </c>
      <c r="C24915" t="str">
        <f>"207R00000X"</f>
        <v>207R00000X</v>
      </c>
      <c r="D24915" t="str">
        <f>"THELLA                   KOTESWARARAO             "</f>
        <v xml:space="preserve">THELLA                   KOTESWARARAO             </v>
      </c>
      <c r="E24915" t="str">
        <f>"MEMPHIS                   "</f>
        <v xml:space="preserve">MEMPHIS                   </v>
      </c>
      <c r="F24915" t="str">
        <f t="shared" si="714"/>
        <v>TN</v>
      </c>
    </row>
    <row r="24916" spans="1:6" x14ac:dyDescent="0.25">
      <c r="A24916" t="str">
        <f>"200029296"</f>
        <v>200029296</v>
      </c>
      <c r="B24916" t="str">
        <f>"1659936177"</f>
        <v>1659936177</v>
      </c>
      <c r="C24916" t="str">
        <f>"207R00000X"</f>
        <v>207R00000X</v>
      </c>
      <c r="D24916" t="str">
        <f>"TAKKELLAPATI             SANKEERTH                "</f>
        <v xml:space="preserve">TAKKELLAPATI             SANKEERTH                </v>
      </c>
      <c r="E24916" t="str">
        <f>"MEMPHIS                   "</f>
        <v xml:space="preserve">MEMPHIS                   </v>
      </c>
      <c r="F24916" t="str">
        <f t="shared" si="714"/>
        <v>TN</v>
      </c>
    </row>
    <row r="24917" spans="1:6" x14ac:dyDescent="0.25">
      <c r="A24917" t="str">
        <f>"200029309"</f>
        <v>200029309</v>
      </c>
      <c r="B24917" t="str">
        <f>"1740855642"</f>
        <v>1740855642</v>
      </c>
      <c r="C24917" t="str">
        <f>"207V00000X"</f>
        <v>207V00000X</v>
      </c>
      <c r="D24917" t="str">
        <f>"HOLT                     HANNAH                   "</f>
        <v xml:space="preserve">HOLT                     HANNAH                   </v>
      </c>
      <c r="E24917" t="str">
        <f>"MEMPHIS                   "</f>
        <v xml:space="preserve">MEMPHIS                   </v>
      </c>
      <c r="F24917" t="str">
        <f t="shared" si="714"/>
        <v>TN</v>
      </c>
    </row>
    <row r="24918" spans="1:6" x14ac:dyDescent="0.25">
      <c r="A24918" t="str">
        <f>"001478753"</f>
        <v>001478753</v>
      </c>
      <c r="B24918" t="str">
        <f>"1831452143"</f>
        <v>1831452143</v>
      </c>
      <c r="C24918" t="str">
        <f>"2080P0206X"</f>
        <v>2080P0206X</v>
      </c>
      <c r="D24918" t="str">
        <f>"BANC HUSU                ANNA         M           "</f>
        <v xml:space="preserve">BANC HUSU                ANNA         M           </v>
      </c>
      <c r="E24918" t="str">
        <f t="shared" ref="E24918:E24927" si="715">"HOUSTON                   "</f>
        <v xml:space="preserve">HOUSTON                   </v>
      </c>
      <c r="F24918" t="str">
        <f t="shared" ref="F24918:F24981" si="716">"TX"</f>
        <v>TX</v>
      </c>
    </row>
    <row r="24919" spans="1:6" x14ac:dyDescent="0.25">
      <c r="A24919" t="str">
        <f>"002050863"</f>
        <v>002050863</v>
      </c>
      <c r="B24919" t="str">
        <f>"1477871333"</f>
        <v>1477871333</v>
      </c>
      <c r="C24919" t="str">
        <f>"2080P0206X"</f>
        <v>2080P0206X</v>
      </c>
      <c r="D24919" t="str">
        <f>"WHITFIELD VAN BUREN      KRISTIN      L           "</f>
        <v xml:space="preserve">WHITFIELD VAN BUREN      KRISTIN      L           </v>
      </c>
      <c r="E24919" t="str">
        <f t="shared" si="715"/>
        <v xml:space="preserve">HOUSTON                   </v>
      </c>
      <c r="F24919" t="str">
        <f t="shared" si="716"/>
        <v>TX</v>
      </c>
    </row>
    <row r="24920" spans="1:6" x14ac:dyDescent="0.25">
      <c r="A24920" t="str">
        <f>"004554787"</f>
        <v>004554787</v>
      </c>
      <c r="B24920" t="str">
        <f>"1326364654"</f>
        <v>1326364654</v>
      </c>
      <c r="C24920" t="str">
        <f>"2086S0120X"</f>
        <v>2086S0120X</v>
      </c>
      <c r="D24920" t="str">
        <f>"VOGEL                    ADAM         M           "</f>
        <v xml:space="preserve">VOGEL                    ADAM         M           </v>
      </c>
      <c r="E24920" t="str">
        <f t="shared" si="715"/>
        <v xml:space="preserve">HOUSTON                   </v>
      </c>
      <c r="F24920" t="str">
        <f t="shared" si="716"/>
        <v>TX</v>
      </c>
    </row>
    <row r="24921" spans="1:6" x14ac:dyDescent="0.25">
      <c r="A24921" t="str">
        <f>"005482397"</f>
        <v>005482397</v>
      </c>
      <c r="B24921" t="str">
        <f>"1366819070"</f>
        <v>1366819070</v>
      </c>
      <c r="C24921" t="str">
        <f>"207V00000X"</f>
        <v>207V00000X</v>
      </c>
      <c r="D24921" t="str">
        <f>"NASSR                    AHMED        A           "</f>
        <v xml:space="preserve">NASSR                    AHMED        A           </v>
      </c>
      <c r="E24921" t="str">
        <f t="shared" si="715"/>
        <v xml:space="preserve">HOUSTON                   </v>
      </c>
      <c r="F24921" t="str">
        <f t="shared" si="716"/>
        <v>TX</v>
      </c>
    </row>
    <row r="24922" spans="1:6" x14ac:dyDescent="0.25">
      <c r="A24922" t="str">
        <f>"007471300"</f>
        <v>007471300</v>
      </c>
      <c r="B24922" t="str">
        <f>"1417205329"</f>
        <v>1417205329</v>
      </c>
      <c r="C24922" t="str">
        <f>"207Y00000X"</f>
        <v>207Y00000X</v>
      </c>
      <c r="D24922" t="str">
        <f>"ASHE-LAMBERT             ELTON        M           "</f>
        <v xml:space="preserve">ASHE-LAMBERT             ELTON        M           </v>
      </c>
      <c r="E24922" t="str">
        <f t="shared" si="715"/>
        <v xml:space="preserve">HOUSTON                   </v>
      </c>
      <c r="F24922" t="str">
        <f t="shared" si="716"/>
        <v>TX</v>
      </c>
    </row>
    <row r="24923" spans="1:6" x14ac:dyDescent="0.25">
      <c r="A24923" t="str">
        <f>"007723281"</f>
        <v>007723281</v>
      </c>
      <c r="B24923" t="str">
        <f>"1851400618"</f>
        <v>1851400618</v>
      </c>
      <c r="C24923" t="str">
        <f>"2085P0229X"</f>
        <v>2085P0229X</v>
      </c>
      <c r="D24923" t="str">
        <f>"SAMMER                   MARLA        B           "</f>
        <v xml:space="preserve">SAMMER                   MARLA        B           </v>
      </c>
      <c r="E24923" t="str">
        <f t="shared" si="715"/>
        <v xml:space="preserve">HOUSTON                   </v>
      </c>
      <c r="F24923" t="str">
        <f t="shared" si="716"/>
        <v>TX</v>
      </c>
    </row>
    <row r="24924" spans="1:6" x14ac:dyDescent="0.25">
      <c r="A24924" t="str">
        <f>"007852007"</f>
        <v>007852007</v>
      </c>
      <c r="B24924" t="str">
        <f>"1164743555"</f>
        <v>1164743555</v>
      </c>
      <c r="C24924" t="str">
        <f>"208000000X"</f>
        <v>208000000X</v>
      </c>
      <c r="D24924" t="str">
        <f>"MYSORE                   KRUPA        R           "</f>
        <v xml:space="preserve">MYSORE                   KRUPA        R           </v>
      </c>
      <c r="E24924" t="str">
        <f t="shared" si="715"/>
        <v xml:space="preserve">HOUSTON                   </v>
      </c>
      <c r="F24924" t="str">
        <f t="shared" si="716"/>
        <v>TX</v>
      </c>
    </row>
    <row r="24925" spans="1:6" x14ac:dyDescent="0.25">
      <c r="A24925" t="str">
        <f>"008336071"</f>
        <v>008336071</v>
      </c>
      <c r="B24925" t="str">
        <f>"1932402807"</f>
        <v>1932402807</v>
      </c>
      <c r="C24925" t="str">
        <f>"208000000X"</f>
        <v>208000000X</v>
      </c>
      <c r="D24925" t="str">
        <f>"VARGHESE                 NIDHY        P           "</f>
        <v xml:space="preserve">VARGHESE                 NIDHY        P           </v>
      </c>
      <c r="E24925" t="str">
        <f t="shared" si="715"/>
        <v xml:space="preserve">HOUSTON                   </v>
      </c>
      <c r="F24925" t="str">
        <f t="shared" si="716"/>
        <v>TX</v>
      </c>
    </row>
    <row r="24926" spans="1:6" x14ac:dyDescent="0.25">
      <c r="A24926" t="str">
        <f>"009504541"</f>
        <v>009504541</v>
      </c>
      <c r="B24926" t="str">
        <f>"1558506360"</f>
        <v>1558506360</v>
      </c>
      <c r="C24926" t="str">
        <f>"2085P0229X"</f>
        <v>2085P0229X</v>
      </c>
      <c r="D24926" t="str">
        <f>"ROMAN-COLON              ALICIA       M           "</f>
        <v xml:space="preserve">ROMAN-COLON              ALICIA       M           </v>
      </c>
      <c r="E24926" t="str">
        <f t="shared" si="715"/>
        <v xml:space="preserve">HOUSTON                   </v>
      </c>
      <c r="F24926" t="str">
        <f t="shared" si="716"/>
        <v>TX</v>
      </c>
    </row>
    <row r="24927" spans="1:6" x14ac:dyDescent="0.25">
      <c r="A24927" t="str">
        <f>"100273399"</f>
        <v>100273399</v>
      </c>
      <c r="B24927" t="str">
        <f>"1326363334"</f>
        <v>1326363334</v>
      </c>
      <c r="C24927" t="str">
        <f>"208100000X"</f>
        <v>208100000X</v>
      </c>
      <c r="D24927" t="str">
        <f>"AKAMAGWUNA               UNOMA                    "</f>
        <v xml:space="preserve">AKAMAGWUNA               UNOMA                    </v>
      </c>
      <c r="E24927" t="str">
        <f t="shared" si="715"/>
        <v xml:space="preserve">HOUSTON                   </v>
      </c>
      <c r="F24927" t="str">
        <f t="shared" si="716"/>
        <v>TX</v>
      </c>
    </row>
    <row r="24928" spans="1:6" x14ac:dyDescent="0.25">
      <c r="A24928" t="str">
        <f>"200002316"</f>
        <v>200002316</v>
      </c>
      <c r="B24928" t="str">
        <f>"1124316393"</f>
        <v>1124316393</v>
      </c>
      <c r="C24928" t="str">
        <f>"207P00000X"</f>
        <v>207P00000X</v>
      </c>
      <c r="D24928" t="str">
        <f>"LO                       RICHMOND                 "</f>
        <v xml:space="preserve">LO                       RICHMOND                 </v>
      </c>
      <c r="E24928" t="str">
        <f>"KELLER                    "</f>
        <v xml:space="preserve">KELLER                    </v>
      </c>
      <c r="F24928" t="str">
        <f t="shared" si="716"/>
        <v>TX</v>
      </c>
    </row>
    <row r="24929" spans="1:6" x14ac:dyDescent="0.25">
      <c r="A24929" t="str">
        <f>"200008646"</f>
        <v>200008646</v>
      </c>
      <c r="B24929" t="str">
        <f>"1679839914"</f>
        <v>1679839914</v>
      </c>
      <c r="C24929" t="str">
        <f>"207T00000X"</f>
        <v>207T00000X</v>
      </c>
      <c r="D24929" t="str">
        <f>"MCCLUGAGE                SAMUEL       G           "</f>
        <v xml:space="preserve">MCCLUGAGE                SAMUEL       G           </v>
      </c>
      <c r="E24929" t="str">
        <f>"HOUSTON                   "</f>
        <v xml:space="preserve">HOUSTON                   </v>
      </c>
      <c r="F24929" t="str">
        <f t="shared" si="716"/>
        <v>TX</v>
      </c>
    </row>
    <row r="24930" spans="1:6" x14ac:dyDescent="0.25">
      <c r="A24930" t="str">
        <f>"200008921"</f>
        <v>200008921</v>
      </c>
      <c r="B24930" t="str">
        <f>"1184636052"</f>
        <v>1184636052</v>
      </c>
      <c r="C24930" t="str">
        <f>"2085R0202X"</f>
        <v>2085R0202X</v>
      </c>
      <c r="D24930" t="str">
        <f>"MCCORVEY                 BARBARA      M           "</f>
        <v xml:space="preserve">MCCORVEY                 BARBARA      M           </v>
      </c>
      <c r="E24930" t="str">
        <f>"SAN ANTONIO               "</f>
        <v xml:space="preserve">SAN ANTONIO               </v>
      </c>
      <c r="F24930" t="str">
        <f t="shared" si="716"/>
        <v>TX</v>
      </c>
    </row>
    <row r="24931" spans="1:6" x14ac:dyDescent="0.25">
      <c r="A24931" t="str">
        <f>"200009825"</f>
        <v>200009825</v>
      </c>
      <c r="B24931" t="str">
        <f>"1639673643"</f>
        <v>1639673643</v>
      </c>
      <c r="C24931" t="str">
        <f>"207R00000X"</f>
        <v>207R00000X</v>
      </c>
      <c r="D24931" t="str">
        <f>"LASH                     SHREYA                   "</f>
        <v xml:space="preserve">LASH                     SHREYA                   </v>
      </c>
      <c r="E24931" t="str">
        <f>"LEWISVILLE                "</f>
        <v xml:space="preserve">LEWISVILLE                </v>
      </c>
      <c r="F24931" t="str">
        <f t="shared" si="716"/>
        <v>TX</v>
      </c>
    </row>
    <row r="24932" spans="1:6" x14ac:dyDescent="0.25">
      <c r="A24932" t="str">
        <f>"200011370"</f>
        <v>200011370</v>
      </c>
      <c r="B24932" t="str">
        <f>"1356738991"</f>
        <v>1356738991</v>
      </c>
      <c r="C24932" t="str">
        <f>"207P00000X"</f>
        <v>207P00000X</v>
      </c>
      <c r="D24932" t="str">
        <f>"CUNNIFF                  JEFFREY                  "</f>
        <v xml:space="preserve">CUNNIFF                  JEFFREY                  </v>
      </c>
      <c r="E24932" t="str">
        <f>"ROCKWALL                  "</f>
        <v xml:space="preserve">ROCKWALL                  </v>
      </c>
      <c r="F24932" t="str">
        <f t="shared" si="716"/>
        <v>TX</v>
      </c>
    </row>
    <row r="24933" spans="1:6" x14ac:dyDescent="0.25">
      <c r="A24933" t="str">
        <f>"200011868"</f>
        <v>200011868</v>
      </c>
      <c r="B24933" t="str">
        <f>"1568817393"</f>
        <v>1568817393</v>
      </c>
      <c r="C24933" t="str">
        <f>"207P00000X"</f>
        <v>207P00000X</v>
      </c>
      <c r="D24933" t="str">
        <f>"MONK                     BRENT                    "</f>
        <v xml:space="preserve">MONK                     BRENT                    </v>
      </c>
      <c r="E24933" t="str">
        <f>"SAN ANTONIO               "</f>
        <v xml:space="preserve">SAN ANTONIO               </v>
      </c>
      <c r="F24933" t="str">
        <f t="shared" si="716"/>
        <v>TX</v>
      </c>
    </row>
    <row r="24934" spans="1:6" x14ac:dyDescent="0.25">
      <c r="A24934" t="str">
        <f>"200013025"</f>
        <v>200013025</v>
      </c>
      <c r="B24934" t="str">
        <f>"1003347972"</f>
        <v>1003347972</v>
      </c>
      <c r="C24934" t="str">
        <f>"2080P0204X"</f>
        <v>2080P0204X</v>
      </c>
      <c r="D24934" t="str">
        <f>"FOUGHTY                  ZACHARY      C           "</f>
        <v xml:space="preserve">FOUGHTY                  ZACHARY      C           </v>
      </c>
      <c r="E24934" t="str">
        <f>"HOUSTON                   "</f>
        <v xml:space="preserve">HOUSTON                   </v>
      </c>
      <c r="F24934" t="str">
        <f t="shared" si="716"/>
        <v>TX</v>
      </c>
    </row>
    <row r="24935" spans="1:6" x14ac:dyDescent="0.25">
      <c r="A24935" t="str">
        <f>"200013582"</f>
        <v>200013582</v>
      </c>
      <c r="B24935" t="str">
        <f>"1083877021"</f>
        <v>1083877021</v>
      </c>
      <c r="C24935" t="str">
        <f>"207Q00000X"</f>
        <v>207Q00000X</v>
      </c>
      <c r="D24935" t="str">
        <f>"BROWN                    JARROD                   "</f>
        <v xml:space="preserve">BROWN                    JARROD                   </v>
      </c>
      <c r="E24935" t="str">
        <f>"AUBREY                    "</f>
        <v xml:space="preserve">AUBREY                    </v>
      </c>
      <c r="F24935" t="str">
        <f t="shared" si="716"/>
        <v>TX</v>
      </c>
    </row>
    <row r="24936" spans="1:6" x14ac:dyDescent="0.25">
      <c r="A24936" t="str">
        <f>"200013657"</f>
        <v>200013657</v>
      </c>
      <c r="B24936" t="str">
        <f>"1780905398"</f>
        <v>1780905398</v>
      </c>
      <c r="C24936" t="str">
        <f>"207T00000X"</f>
        <v>207T00000X</v>
      </c>
      <c r="D24936" t="str">
        <f>"PATEL                    DAXA                     "</f>
        <v xml:space="preserve">PATEL                    DAXA                     </v>
      </c>
      <c r="E24936" t="str">
        <f>"HOUSTON                   "</f>
        <v xml:space="preserve">HOUSTON                   </v>
      </c>
      <c r="F24936" t="str">
        <f t="shared" si="716"/>
        <v>TX</v>
      </c>
    </row>
    <row r="24937" spans="1:6" x14ac:dyDescent="0.25">
      <c r="A24937" t="str">
        <f>"200013927"</f>
        <v>200013927</v>
      </c>
      <c r="B24937" t="str">
        <f>"1154592921"</f>
        <v>1154592921</v>
      </c>
      <c r="C24937" t="str">
        <f>"2084N0400X"</f>
        <v>2084N0400X</v>
      </c>
      <c r="D24937" t="str">
        <f>"ALI                      IRFAN                    "</f>
        <v xml:space="preserve">ALI                      IRFAN                    </v>
      </c>
      <c r="E24937" t="str">
        <f>"HOUSTON                   "</f>
        <v xml:space="preserve">HOUSTON                   </v>
      </c>
      <c r="F24937" t="str">
        <f t="shared" si="716"/>
        <v>TX</v>
      </c>
    </row>
    <row r="24938" spans="1:6" x14ac:dyDescent="0.25">
      <c r="A24938" t="str">
        <f>"200014391"</f>
        <v>200014391</v>
      </c>
      <c r="B24938" t="str">
        <f>"1689633711"</f>
        <v>1689633711</v>
      </c>
      <c r="C24938" t="str">
        <f>"207ZP0105X"</f>
        <v>207ZP0105X</v>
      </c>
      <c r="D24938" t="str">
        <f>"ROSENBLATT               KEVIN                    "</f>
        <v xml:space="preserve">ROSENBLATT               KEVIN                    </v>
      </c>
      <c r="E24938" t="str">
        <f>"BELLAIRE                  "</f>
        <v xml:space="preserve">BELLAIRE                  </v>
      </c>
      <c r="F24938" t="str">
        <f t="shared" si="716"/>
        <v>TX</v>
      </c>
    </row>
    <row r="24939" spans="1:6" x14ac:dyDescent="0.25">
      <c r="A24939" t="str">
        <f>"200014966"</f>
        <v>200014966</v>
      </c>
      <c r="B24939" t="str">
        <f>"1134475700"</f>
        <v>1134475700</v>
      </c>
      <c r="C24939" t="str">
        <f>"208000000X"</f>
        <v>208000000X</v>
      </c>
      <c r="D24939" t="str">
        <f>"NWUGBANA                 MAXWELL                  "</f>
        <v xml:space="preserve">NWUGBANA                 MAXWELL                  </v>
      </c>
      <c r="E24939" t="str">
        <f>"HOUSTON                   "</f>
        <v xml:space="preserve">HOUSTON                   </v>
      </c>
      <c r="F24939" t="str">
        <f t="shared" si="716"/>
        <v>TX</v>
      </c>
    </row>
    <row r="24940" spans="1:6" x14ac:dyDescent="0.25">
      <c r="A24940" t="str">
        <f>"200014975"</f>
        <v>200014975</v>
      </c>
      <c r="B24940" t="str">
        <f>"1871811919"</f>
        <v>1871811919</v>
      </c>
      <c r="C24940" t="str">
        <f>"207VM0101X"</f>
        <v>207VM0101X</v>
      </c>
      <c r="D24940" t="str">
        <f>"BARBOUR                  KELLI        D           "</f>
        <v xml:space="preserve">BARBOUR                  KELLI        D           </v>
      </c>
      <c r="E24940" t="str">
        <f>"HOUSTON                   "</f>
        <v xml:space="preserve">HOUSTON                   </v>
      </c>
      <c r="F24940" t="str">
        <f t="shared" si="716"/>
        <v>TX</v>
      </c>
    </row>
    <row r="24941" spans="1:6" x14ac:dyDescent="0.25">
      <c r="A24941" t="str">
        <f>"200015668"</f>
        <v>200015668</v>
      </c>
      <c r="B24941" t="str">
        <f>"1962173187"</f>
        <v>1962173187</v>
      </c>
      <c r="C24941" t="str">
        <f>"363LP0200X"</f>
        <v>363LP0200X</v>
      </c>
      <c r="D24941" t="str">
        <f>"BAKER                    MYRA                     "</f>
        <v xml:space="preserve">BAKER                    MYRA                     </v>
      </c>
      <c r="E24941" t="str">
        <f>"HOUSTON                   "</f>
        <v xml:space="preserve">HOUSTON                   </v>
      </c>
      <c r="F24941" t="str">
        <f t="shared" si="716"/>
        <v>TX</v>
      </c>
    </row>
    <row r="24942" spans="1:6" x14ac:dyDescent="0.25">
      <c r="A24942" t="str">
        <f>"200015779"</f>
        <v>200015779</v>
      </c>
      <c r="B24942" t="str">
        <f>"1659403905"</f>
        <v>1659403905</v>
      </c>
      <c r="C24942" t="str">
        <f>"2084P0800X"</f>
        <v>2084P0800X</v>
      </c>
      <c r="D24942" t="str">
        <f>"JOHNSON                  SHAMALON     R           "</f>
        <v xml:space="preserve">JOHNSON                  SHAMALON     R           </v>
      </c>
      <c r="E24942" t="str">
        <f>"DALLAS                    "</f>
        <v xml:space="preserve">DALLAS                    </v>
      </c>
      <c r="F24942" t="str">
        <f t="shared" si="716"/>
        <v>TX</v>
      </c>
    </row>
    <row r="24943" spans="1:6" x14ac:dyDescent="0.25">
      <c r="A24943" t="str">
        <f>"200016178"</f>
        <v>200016178</v>
      </c>
      <c r="B24943" t="str">
        <f>"1578887444"</f>
        <v>1578887444</v>
      </c>
      <c r="C24943" t="str">
        <f>"2085P0229X"</f>
        <v>2085P0229X</v>
      </c>
      <c r="D24943" t="str">
        <f>"TULIN SILVER             SHERYL                   "</f>
        <v xml:space="preserve">TULIN SILVER             SHERYL                   </v>
      </c>
      <c r="E24943" t="str">
        <f t="shared" ref="E24943:E24949" si="717">"HOUSTON                   "</f>
        <v xml:space="preserve">HOUSTON                   </v>
      </c>
      <c r="F24943" t="str">
        <f t="shared" si="716"/>
        <v>TX</v>
      </c>
    </row>
    <row r="24944" spans="1:6" x14ac:dyDescent="0.25">
      <c r="A24944" t="str">
        <f>"200016388"</f>
        <v>200016388</v>
      </c>
      <c r="B24944" t="str">
        <f>"1962897322"</f>
        <v>1962897322</v>
      </c>
      <c r="C24944" t="str">
        <f>"207LP3000X"</f>
        <v>207LP3000X</v>
      </c>
      <c r="D24944" t="str">
        <f>"NAUS                     CLAIRE       A           "</f>
        <v xml:space="preserve">NAUS                     CLAIRE       A           </v>
      </c>
      <c r="E24944" t="str">
        <f t="shared" si="717"/>
        <v xml:space="preserve">HOUSTON                   </v>
      </c>
      <c r="F24944" t="str">
        <f t="shared" si="716"/>
        <v>TX</v>
      </c>
    </row>
    <row r="24945" spans="1:6" x14ac:dyDescent="0.25">
      <c r="A24945" t="str">
        <f>"200016390"</f>
        <v>200016390</v>
      </c>
      <c r="B24945" t="str">
        <f>"1619339843"</f>
        <v>1619339843</v>
      </c>
      <c r="C24945" t="str">
        <f>"2084N0402X"</f>
        <v>2084N0402X</v>
      </c>
      <c r="D24945" t="str">
        <f>"EL-HALLAL                MARIA                    "</f>
        <v xml:space="preserve">EL-HALLAL                MARIA                    </v>
      </c>
      <c r="E24945" t="str">
        <f t="shared" si="717"/>
        <v xml:space="preserve">HOUSTON                   </v>
      </c>
      <c r="F24945" t="str">
        <f t="shared" si="716"/>
        <v>TX</v>
      </c>
    </row>
    <row r="24946" spans="1:6" x14ac:dyDescent="0.25">
      <c r="A24946" t="str">
        <f>"200016401"</f>
        <v>200016401</v>
      </c>
      <c r="B24946" t="str">
        <f>"1790031243"</f>
        <v>1790031243</v>
      </c>
      <c r="C24946" t="str">
        <f>"208000000X"</f>
        <v>208000000X</v>
      </c>
      <c r="D24946" t="str">
        <f>"CRESS                    KAREN                    "</f>
        <v xml:space="preserve">CRESS                    KAREN                    </v>
      </c>
      <c r="E24946" t="str">
        <f t="shared" si="717"/>
        <v xml:space="preserve">HOUSTON                   </v>
      </c>
      <c r="F24946" t="str">
        <f t="shared" si="716"/>
        <v>TX</v>
      </c>
    </row>
    <row r="24947" spans="1:6" x14ac:dyDescent="0.25">
      <c r="A24947" t="str">
        <f>"200016432"</f>
        <v>200016432</v>
      </c>
      <c r="B24947" t="str">
        <f>"1124360953"</f>
        <v>1124360953</v>
      </c>
      <c r="C24947" t="str">
        <f>"2080P0202X"</f>
        <v>2080P0202X</v>
      </c>
      <c r="D24947" t="str">
        <f>"HOWARD                   TAYLOR       S           "</f>
        <v xml:space="preserve">HOWARD                   TAYLOR       S           </v>
      </c>
      <c r="E24947" t="str">
        <f t="shared" si="717"/>
        <v xml:space="preserve">HOUSTON                   </v>
      </c>
      <c r="F24947" t="str">
        <f t="shared" si="716"/>
        <v>TX</v>
      </c>
    </row>
    <row r="24948" spans="1:6" x14ac:dyDescent="0.25">
      <c r="A24948" t="str">
        <f>"200017101"</f>
        <v>200017101</v>
      </c>
      <c r="B24948" t="str">
        <f>"1740286517"</f>
        <v>1740286517</v>
      </c>
      <c r="C24948" t="str">
        <f>"2080P0204X"</f>
        <v>2080P0204X</v>
      </c>
      <c r="D24948" t="str">
        <f>"ALLEN                    JOSEPH       Y           "</f>
        <v xml:space="preserve">ALLEN                    JOSEPH       Y           </v>
      </c>
      <c r="E24948" t="str">
        <f t="shared" si="717"/>
        <v xml:space="preserve">HOUSTON                   </v>
      </c>
      <c r="F24948" t="str">
        <f t="shared" si="716"/>
        <v>TX</v>
      </c>
    </row>
    <row r="24949" spans="1:6" x14ac:dyDescent="0.25">
      <c r="A24949" t="str">
        <f>"200017249"</f>
        <v>200017249</v>
      </c>
      <c r="B24949" t="str">
        <f>"1962608059"</f>
        <v>1962608059</v>
      </c>
      <c r="C24949" t="str">
        <f>"207YP0228X"</f>
        <v>207YP0228X</v>
      </c>
      <c r="D24949" t="str">
        <f>"MEHTA                    DEEPAK       K           "</f>
        <v xml:space="preserve">MEHTA                    DEEPAK       K           </v>
      </c>
      <c r="E24949" t="str">
        <f t="shared" si="717"/>
        <v xml:space="preserve">HOUSTON                   </v>
      </c>
      <c r="F24949" t="str">
        <f t="shared" si="716"/>
        <v>TX</v>
      </c>
    </row>
    <row r="24950" spans="1:6" x14ac:dyDescent="0.25">
      <c r="A24950" t="str">
        <f>"200017434"</f>
        <v>200017434</v>
      </c>
      <c r="B24950" t="str">
        <f>"1619401122"</f>
        <v>1619401122</v>
      </c>
      <c r="C24950" t="str">
        <f>"207PE0004X"</f>
        <v>207PE0004X</v>
      </c>
      <c r="D24950" t="str">
        <f>"WILLIAMSON               JEREMY                   "</f>
        <v xml:space="preserve">WILLIAMSON               JEREMY                   </v>
      </c>
      <c r="E24950" t="str">
        <f>"EL PASO                   "</f>
        <v xml:space="preserve">EL PASO                   </v>
      </c>
      <c r="F24950" t="str">
        <f t="shared" si="716"/>
        <v>TX</v>
      </c>
    </row>
    <row r="24951" spans="1:6" x14ac:dyDescent="0.25">
      <c r="A24951" t="str">
        <f>"200018203"</f>
        <v>200018203</v>
      </c>
      <c r="B24951" t="str">
        <f>"1447696851"</f>
        <v>1447696851</v>
      </c>
      <c r="C24951" t="str">
        <f>"207P00000X"</f>
        <v>207P00000X</v>
      </c>
      <c r="D24951" t="str">
        <f>"KLYUY                    DMITRY                   "</f>
        <v xml:space="preserve">KLYUY                    DMITRY                   </v>
      </c>
      <c r="E24951" t="str">
        <f>"MIDLAND                   "</f>
        <v xml:space="preserve">MIDLAND                   </v>
      </c>
      <c r="F24951" t="str">
        <f t="shared" si="716"/>
        <v>TX</v>
      </c>
    </row>
    <row r="24952" spans="1:6" x14ac:dyDescent="0.25">
      <c r="A24952" t="str">
        <f>"200018342"</f>
        <v>200018342</v>
      </c>
      <c r="B24952" t="str">
        <f>"1194920751"</f>
        <v>1194920751</v>
      </c>
      <c r="C24952" t="str">
        <f>"2085R0204X"</f>
        <v>2085R0204X</v>
      </c>
      <c r="D24952" t="str">
        <f>"GROSS                    JONATHAN     S           "</f>
        <v xml:space="preserve">GROSS                    JONATHAN     S           </v>
      </c>
      <c r="E24952" t="str">
        <f>"HOUSTON                   "</f>
        <v xml:space="preserve">HOUSTON                   </v>
      </c>
      <c r="F24952" t="str">
        <f t="shared" si="716"/>
        <v>TX</v>
      </c>
    </row>
    <row r="24953" spans="1:6" x14ac:dyDescent="0.25">
      <c r="A24953" t="str">
        <f>"200020503"</f>
        <v>200020503</v>
      </c>
      <c r="B24953" t="str">
        <f>"1871985408"</f>
        <v>1871985408</v>
      </c>
      <c r="C24953" t="str">
        <f>"2084P0800X"</f>
        <v>2084P0800X</v>
      </c>
      <c r="D24953" t="str">
        <f>"SEAVER                   RYAN                     "</f>
        <v xml:space="preserve">SEAVER                   RYAN                     </v>
      </c>
      <c r="E24953" t="str">
        <f>"FORT WORTH                "</f>
        <v xml:space="preserve">FORT WORTH                </v>
      </c>
      <c r="F24953" t="str">
        <f t="shared" si="716"/>
        <v>TX</v>
      </c>
    </row>
    <row r="24954" spans="1:6" x14ac:dyDescent="0.25">
      <c r="A24954" t="str">
        <f>"200020623"</f>
        <v>200020623</v>
      </c>
      <c r="B24954" t="str">
        <f>"1700298452"</f>
        <v>1700298452</v>
      </c>
      <c r="C24954" t="str">
        <f>"207RC0200X"</f>
        <v>207RC0200X</v>
      </c>
      <c r="D24954" t="str">
        <f>"RIEHANI                  ANAS                     "</f>
        <v xml:space="preserve">RIEHANI                  ANAS                     </v>
      </c>
      <c r="E24954" t="str">
        <f>"FORT WORTH                "</f>
        <v xml:space="preserve">FORT WORTH                </v>
      </c>
      <c r="F24954" t="str">
        <f t="shared" si="716"/>
        <v>TX</v>
      </c>
    </row>
    <row r="24955" spans="1:6" x14ac:dyDescent="0.25">
      <c r="A24955" t="str">
        <f>"200020677"</f>
        <v>200020677</v>
      </c>
      <c r="B24955" t="str">
        <f>"1396989026"</f>
        <v>1396989026</v>
      </c>
      <c r="C24955" t="str">
        <f>"207Q00000X"</f>
        <v>207Q00000X</v>
      </c>
      <c r="D24955" t="str">
        <f>"VAUGHT                   ALAN                     "</f>
        <v xml:space="preserve">VAUGHT                   ALAN                     </v>
      </c>
      <c r="E24955" t="str">
        <f>"HARKER HEIGHTS            "</f>
        <v xml:space="preserve">HARKER HEIGHTS            </v>
      </c>
      <c r="F24955" t="str">
        <f t="shared" si="716"/>
        <v>TX</v>
      </c>
    </row>
    <row r="24956" spans="1:6" x14ac:dyDescent="0.25">
      <c r="A24956" t="str">
        <f>"200022107"</f>
        <v>200022107</v>
      </c>
      <c r="B24956" t="str">
        <f>"1457914624"</f>
        <v>1457914624</v>
      </c>
      <c r="C24956" t="str">
        <f>"2084P0804X"</f>
        <v>2084P0804X</v>
      </c>
      <c r="D24956" t="str">
        <f>"SINGH                    AMANDEEP                 "</f>
        <v xml:space="preserve">SINGH                    AMANDEEP                 </v>
      </c>
      <c r="E24956" t="str">
        <f>"DALLAS                    "</f>
        <v xml:space="preserve">DALLAS                    </v>
      </c>
      <c r="F24956" t="str">
        <f t="shared" si="716"/>
        <v>TX</v>
      </c>
    </row>
    <row r="24957" spans="1:6" x14ac:dyDescent="0.25">
      <c r="A24957" t="str">
        <f>"200022160"</f>
        <v>200022160</v>
      </c>
      <c r="B24957" t="str">
        <f>"1629403191"</f>
        <v>1629403191</v>
      </c>
      <c r="C24957" t="str">
        <f>"2084N0400X"</f>
        <v>2084N0400X</v>
      </c>
      <c r="D24957" t="str">
        <f>"CHIONG-RIVERO            HORACIO                  "</f>
        <v xml:space="preserve">CHIONG-RIVERO            HORACIO                  </v>
      </c>
      <c r="E24957" t="str">
        <f>"FORT WORTH                "</f>
        <v xml:space="preserve">FORT WORTH                </v>
      </c>
      <c r="F24957" t="str">
        <f t="shared" si="716"/>
        <v>TX</v>
      </c>
    </row>
    <row r="24958" spans="1:6" x14ac:dyDescent="0.25">
      <c r="A24958" t="str">
        <f>"200022241"</f>
        <v>200022241</v>
      </c>
      <c r="B24958" t="str">
        <f>"1437277381"</f>
        <v>1437277381</v>
      </c>
      <c r="C24958" t="str">
        <f>"207RC0200X"</f>
        <v>207RC0200X</v>
      </c>
      <c r="D24958" t="str">
        <f>"DAVIS                    STEVEN                   "</f>
        <v xml:space="preserve">DAVIS                    STEVEN                   </v>
      </c>
      <c r="E24958" t="str">
        <f>"FORT WORTH                "</f>
        <v xml:space="preserve">FORT WORTH                </v>
      </c>
      <c r="F24958" t="str">
        <f t="shared" si="716"/>
        <v>TX</v>
      </c>
    </row>
    <row r="24959" spans="1:6" x14ac:dyDescent="0.25">
      <c r="A24959" t="str">
        <f>"200022396"</f>
        <v>200022396</v>
      </c>
      <c r="B24959" t="str">
        <f>"1851929186"</f>
        <v>1851929186</v>
      </c>
      <c r="C24959" t="str">
        <f>"2084P0800X"</f>
        <v>2084P0800X</v>
      </c>
      <c r="D24959" t="str">
        <f>"ABUCHAEI                 AMIR                     "</f>
        <v xml:space="preserve">ABUCHAEI                 AMIR                     </v>
      </c>
      <c r="E24959" t="str">
        <f>"FORT WORTH                "</f>
        <v xml:space="preserve">FORT WORTH                </v>
      </c>
      <c r="F24959" t="str">
        <f t="shared" si="716"/>
        <v>TX</v>
      </c>
    </row>
    <row r="24960" spans="1:6" x14ac:dyDescent="0.25">
      <c r="A24960" t="str">
        <f>"200022460"</f>
        <v>200022460</v>
      </c>
      <c r="B24960" t="str">
        <f>"1447232194"</f>
        <v>1447232194</v>
      </c>
      <c r="C24960" t="str">
        <f>"207P00000X"</f>
        <v>207P00000X</v>
      </c>
      <c r="D24960" t="str">
        <f>"SHAWN                    MICHAEL                  "</f>
        <v xml:space="preserve">SHAWN                    MICHAEL                  </v>
      </c>
      <c r="E24960" t="str">
        <f>"MISSION                   "</f>
        <v xml:space="preserve">MISSION                   </v>
      </c>
      <c r="F24960" t="str">
        <f t="shared" si="716"/>
        <v>TX</v>
      </c>
    </row>
    <row r="24961" spans="1:6" x14ac:dyDescent="0.25">
      <c r="A24961" t="str">
        <f>"200022588"</f>
        <v>200022588</v>
      </c>
      <c r="B24961" t="str">
        <f>"1821523366"</f>
        <v>1821523366</v>
      </c>
      <c r="C24961" t="str">
        <f>"2084P0800X"</f>
        <v>2084P0800X</v>
      </c>
      <c r="D24961" t="str">
        <f>"LA                       TRIET                    "</f>
        <v xml:space="preserve">LA                       TRIET                    </v>
      </c>
      <c r="E24961" t="str">
        <f>"FORT WORTH                "</f>
        <v xml:space="preserve">FORT WORTH                </v>
      </c>
      <c r="F24961" t="str">
        <f t="shared" si="716"/>
        <v>TX</v>
      </c>
    </row>
    <row r="24962" spans="1:6" x14ac:dyDescent="0.25">
      <c r="A24962" t="str">
        <f>"200022607"</f>
        <v>200022607</v>
      </c>
      <c r="B24962" t="str">
        <f>"1295912483"</f>
        <v>1295912483</v>
      </c>
      <c r="C24962" t="str">
        <f>"2085R0202X"</f>
        <v>2085R0202X</v>
      </c>
      <c r="D24962" t="str">
        <f>"HANIF                    MUZAMMIL                 "</f>
        <v xml:space="preserve">HANIF                    MUZAMMIL                 </v>
      </c>
      <c r="E24962" t="str">
        <f>"HOUSTON                   "</f>
        <v xml:space="preserve">HOUSTON                   </v>
      </c>
      <c r="F24962" t="str">
        <f t="shared" si="716"/>
        <v>TX</v>
      </c>
    </row>
    <row r="24963" spans="1:6" x14ac:dyDescent="0.25">
      <c r="A24963" t="str">
        <f>"200022613"</f>
        <v>200022613</v>
      </c>
      <c r="B24963" t="str">
        <f>"1982083291"</f>
        <v>1982083291</v>
      </c>
      <c r="C24963" t="str">
        <f>"207P00000X"</f>
        <v>207P00000X</v>
      </c>
      <c r="D24963" t="str">
        <f>"BILLINGTON               MARY ELLEN               "</f>
        <v xml:space="preserve">BILLINGTON               MARY ELLEN               </v>
      </c>
      <c r="E24963" t="str">
        <f>"MIDLAND                   "</f>
        <v xml:space="preserve">MIDLAND                   </v>
      </c>
      <c r="F24963" t="str">
        <f t="shared" si="716"/>
        <v>TX</v>
      </c>
    </row>
    <row r="24964" spans="1:6" x14ac:dyDescent="0.25">
      <c r="A24964" t="str">
        <f>"200022773"</f>
        <v>200022773</v>
      </c>
      <c r="B24964" t="str">
        <f>"1427405901"</f>
        <v>1427405901</v>
      </c>
      <c r="C24964" t="str">
        <f>"2084P0800X"</f>
        <v>2084P0800X</v>
      </c>
      <c r="D24964" t="str">
        <f>"POPATIA                  SONIA                    "</f>
        <v xml:space="preserve">POPATIA                  SONIA                    </v>
      </c>
      <c r="E24964" t="str">
        <f>"HOUSTON                   "</f>
        <v xml:space="preserve">HOUSTON                   </v>
      </c>
      <c r="F24964" t="str">
        <f t="shared" si="716"/>
        <v>TX</v>
      </c>
    </row>
    <row r="24965" spans="1:6" x14ac:dyDescent="0.25">
      <c r="A24965" t="str">
        <f>"200023007"</f>
        <v>200023007</v>
      </c>
      <c r="B24965" t="str">
        <f>"1902022056"</f>
        <v>1902022056</v>
      </c>
      <c r="C24965" t="str">
        <f>"2084P0800X"</f>
        <v>2084P0800X</v>
      </c>
      <c r="D24965" t="str">
        <f>"SHAIKH                   KHURRAM                  "</f>
        <v xml:space="preserve">SHAIKH                   KHURRAM                  </v>
      </c>
      <c r="E24965" t="str">
        <f>"SHENANDOAH                "</f>
        <v xml:space="preserve">SHENANDOAH                </v>
      </c>
      <c r="F24965" t="str">
        <f t="shared" si="716"/>
        <v>TX</v>
      </c>
    </row>
    <row r="24966" spans="1:6" x14ac:dyDescent="0.25">
      <c r="A24966" t="str">
        <f>"200024263"</f>
        <v>200024263</v>
      </c>
      <c r="B24966" t="str">
        <f>"1568753481"</f>
        <v>1568753481</v>
      </c>
      <c r="C24966" t="str">
        <f>"207Q00000X"</f>
        <v>207Q00000X</v>
      </c>
      <c r="D24966" t="str">
        <f>"ADELEKE                  ADEGOKE                  "</f>
        <v xml:space="preserve">ADELEKE                  ADEGOKE                  </v>
      </c>
      <c r="E24966" t="str">
        <f>"DENISON                   "</f>
        <v xml:space="preserve">DENISON                   </v>
      </c>
      <c r="F24966" t="str">
        <f t="shared" si="716"/>
        <v>TX</v>
      </c>
    </row>
    <row r="24967" spans="1:6" x14ac:dyDescent="0.25">
      <c r="A24967" t="str">
        <f>"200024360"</f>
        <v>200024360</v>
      </c>
      <c r="B24967" t="str">
        <f>"1114918356"</f>
        <v>1114918356</v>
      </c>
      <c r="C24967" t="str">
        <f>"207RN0300X"</f>
        <v>207RN0300X</v>
      </c>
      <c r="D24967" t="str">
        <f>"CHANDUPATLA              SAMANTHA                 "</f>
        <v xml:space="preserve">CHANDUPATLA              SAMANTHA                 </v>
      </c>
      <c r="E24967" t="str">
        <f>"FORT WORTH                "</f>
        <v xml:space="preserve">FORT WORTH                </v>
      </c>
      <c r="F24967" t="str">
        <f t="shared" si="716"/>
        <v>TX</v>
      </c>
    </row>
    <row r="24968" spans="1:6" x14ac:dyDescent="0.25">
      <c r="A24968" t="str">
        <f>"200024547"</f>
        <v>200024547</v>
      </c>
      <c r="B24968" t="str">
        <f>"1568082501"</f>
        <v>1568082501</v>
      </c>
      <c r="C24968" t="str">
        <f>"207P00000X"</f>
        <v>207P00000X</v>
      </c>
      <c r="D24968" t="str">
        <f>"GARCIA                   SELENA                   "</f>
        <v xml:space="preserve">GARCIA                   SELENA                   </v>
      </c>
      <c r="E24968" t="str">
        <f>"FORT WORTH                "</f>
        <v xml:space="preserve">FORT WORTH                </v>
      </c>
      <c r="F24968" t="str">
        <f t="shared" si="716"/>
        <v>TX</v>
      </c>
    </row>
    <row r="24969" spans="1:6" x14ac:dyDescent="0.25">
      <c r="A24969" t="str">
        <f>"200024679"</f>
        <v>200024679</v>
      </c>
      <c r="B24969" t="str">
        <f>"1265724686"</f>
        <v>1265724686</v>
      </c>
      <c r="C24969" t="str">
        <f>"363AM0700X"</f>
        <v>363AM0700X</v>
      </c>
      <c r="D24969" t="str">
        <f>"COLLIER                  RUTH                     "</f>
        <v xml:space="preserve">COLLIER                  RUTH                     </v>
      </c>
      <c r="E24969" t="str">
        <f>"THE WOODLANDS             "</f>
        <v xml:space="preserve">THE WOODLANDS             </v>
      </c>
      <c r="F24969" t="str">
        <f t="shared" si="716"/>
        <v>TX</v>
      </c>
    </row>
    <row r="24970" spans="1:6" x14ac:dyDescent="0.25">
      <c r="A24970" t="str">
        <f>"200024753"</f>
        <v>200024753</v>
      </c>
      <c r="B24970" t="str">
        <f>"1760145460"</f>
        <v>1760145460</v>
      </c>
      <c r="C24970" t="str">
        <f>"363LP0808X"</f>
        <v>363LP0808X</v>
      </c>
      <c r="D24970" t="str">
        <f>"KOLEOSHO                 RASHEEDAT                "</f>
        <v xml:space="preserve">KOLEOSHO                 RASHEEDAT                </v>
      </c>
      <c r="E24970" t="str">
        <f>"SHENANDOAH                "</f>
        <v xml:space="preserve">SHENANDOAH                </v>
      </c>
      <c r="F24970" t="str">
        <f t="shared" si="716"/>
        <v>TX</v>
      </c>
    </row>
    <row r="24971" spans="1:6" x14ac:dyDescent="0.25">
      <c r="A24971" t="str">
        <f>"200024789"</f>
        <v>200024789</v>
      </c>
      <c r="B24971" t="str">
        <f>"1689387367"</f>
        <v>1689387367</v>
      </c>
      <c r="C24971" t="str">
        <f>"363LP0808X"</f>
        <v>363LP0808X</v>
      </c>
      <c r="D24971" t="str">
        <f>"ARIYO                    BUSOLA                   "</f>
        <v xml:space="preserve">ARIYO                    BUSOLA                   </v>
      </c>
      <c r="E24971" t="str">
        <f>"HOUSTON                   "</f>
        <v xml:space="preserve">HOUSTON                   </v>
      </c>
      <c r="F24971" t="str">
        <f t="shared" si="716"/>
        <v>TX</v>
      </c>
    </row>
    <row r="24972" spans="1:6" x14ac:dyDescent="0.25">
      <c r="A24972" t="str">
        <f>"200024824"</f>
        <v>200024824</v>
      </c>
      <c r="B24972" t="str">
        <f>"1760877732"</f>
        <v>1760877732</v>
      </c>
      <c r="C24972" t="str">
        <f>"207RC0200X"</f>
        <v>207RC0200X</v>
      </c>
      <c r="D24972" t="str">
        <f>"PIENTKA                  AMANDA                   "</f>
        <v xml:space="preserve">PIENTKA                  AMANDA                   </v>
      </c>
      <c r="E24972" t="str">
        <f>"FORT WORTH                "</f>
        <v xml:space="preserve">FORT WORTH                </v>
      </c>
      <c r="F24972" t="str">
        <f t="shared" si="716"/>
        <v>TX</v>
      </c>
    </row>
    <row r="24973" spans="1:6" x14ac:dyDescent="0.25">
      <c r="A24973" t="str">
        <f>"200025305"</f>
        <v>200025305</v>
      </c>
      <c r="B24973" t="str">
        <f>"1245266543"</f>
        <v>1245266543</v>
      </c>
      <c r="C24973" t="str">
        <f>"208100000X"</f>
        <v>208100000X</v>
      </c>
      <c r="D24973" t="str">
        <f>"PARRILLA                 ZORAYA                   "</f>
        <v xml:space="preserve">PARRILLA                 ZORAYA                   </v>
      </c>
      <c r="E24973" t="str">
        <f>"CONROE                    "</f>
        <v xml:space="preserve">CONROE                    </v>
      </c>
      <c r="F24973" t="str">
        <f t="shared" si="716"/>
        <v>TX</v>
      </c>
    </row>
    <row r="24974" spans="1:6" x14ac:dyDescent="0.25">
      <c r="A24974" t="str">
        <f>"200025366"</f>
        <v>200025366</v>
      </c>
      <c r="B24974" t="str">
        <f>"1912165184"</f>
        <v>1912165184</v>
      </c>
      <c r="C24974" t="str">
        <f>"207Q00000X"</f>
        <v>207Q00000X</v>
      </c>
      <c r="D24974" t="str">
        <f>"MARANCENBAUM             ARIE                     "</f>
        <v xml:space="preserve">MARANCENBAUM             ARIE                     </v>
      </c>
      <c r="E24974" t="str">
        <f>"DENISON                   "</f>
        <v xml:space="preserve">DENISON                   </v>
      </c>
      <c r="F24974" t="str">
        <f t="shared" si="716"/>
        <v>TX</v>
      </c>
    </row>
    <row r="24975" spans="1:6" x14ac:dyDescent="0.25">
      <c r="A24975" t="str">
        <f>"200025425"</f>
        <v>200025425</v>
      </c>
      <c r="B24975" t="str">
        <f>"1538780226"</f>
        <v>1538780226</v>
      </c>
      <c r="C24975" t="str">
        <f>"207P00000X"</f>
        <v>207P00000X</v>
      </c>
      <c r="D24975" t="str">
        <f>"MAYFIELD                 CHRISTOPHER              "</f>
        <v xml:space="preserve">MAYFIELD                 CHRISTOPHER              </v>
      </c>
      <c r="E24975" t="str">
        <f>"ROCKWALL                  "</f>
        <v xml:space="preserve">ROCKWALL                  </v>
      </c>
      <c r="F24975" t="str">
        <f t="shared" si="716"/>
        <v>TX</v>
      </c>
    </row>
    <row r="24976" spans="1:6" x14ac:dyDescent="0.25">
      <c r="A24976" t="str">
        <f>"200025708"</f>
        <v>200025708</v>
      </c>
      <c r="B24976" t="str">
        <f>"1083896286"</f>
        <v>1083896286</v>
      </c>
      <c r="C24976" t="str">
        <f>"2084P0800X"</f>
        <v>2084P0800X</v>
      </c>
      <c r="D24976" t="str">
        <f>"HOUGH                    COREY                    "</f>
        <v xml:space="preserve">HOUGH                    COREY                    </v>
      </c>
      <c r="E24976" t="str">
        <f>"SAN ANTONIO               "</f>
        <v xml:space="preserve">SAN ANTONIO               </v>
      </c>
      <c r="F24976" t="str">
        <f t="shared" si="716"/>
        <v>TX</v>
      </c>
    </row>
    <row r="24977" spans="1:6" x14ac:dyDescent="0.25">
      <c r="A24977" t="str">
        <f>"200025998"</f>
        <v>200025998</v>
      </c>
      <c r="B24977" t="str">
        <f>"1477794675"</f>
        <v>1477794675</v>
      </c>
      <c r="C24977" t="str">
        <f>"363LF0000X"</f>
        <v>363LF0000X</v>
      </c>
      <c r="D24977" t="str">
        <f>"QUIGLEY                  JAMES                    "</f>
        <v xml:space="preserve">QUIGLEY                  JAMES                    </v>
      </c>
      <c r="E24977" t="str">
        <f>"SAN ANTONIO               "</f>
        <v xml:space="preserve">SAN ANTONIO               </v>
      </c>
      <c r="F24977" t="str">
        <f t="shared" si="716"/>
        <v>TX</v>
      </c>
    </row>
    <row r="24978" spans="1:6" x14ac:dyDescent="0.25">
      <c r="A24978" t="str">
        <f>"200026547"</f>
        <v>200026547</v>
      </c>
      <c r="B24978" t="str">
        <f>"1043495930"</f>
        <v>1043495930</v>
      </c>
      <c r="C24978" t="str">
        <f>"2084P0800X"</f>
        <v>2084P0800X</v>
      </c>
      <c r="D24978" t="str">
        <f>"REEVES                   KACY                     "</f>
        <v xml:space="preserve">REEVES                   KACY                     </v>
      </c>
      <c r="E24978" t="str">
        <f>"SAN ANTONIO               "</f>
        <v xml:space="preserve">SAN ANTONIO               </v>
      </c>
      <c r="F24978" t="str">
        <f t="shared" si="716"/>
        <v>TX</v>
      </c>
    </row>
    <row r="24979" spans="1:6" x14ac:dyDescent="0.25">
      <c r="A24979" t="str">
        <f>"200026725"</f>
        <v>200026725</v>
      </c>
      <c r="B24979" t="str">
        <f>"1033567201"</f>
        <v>1033567201</v>
      </c>
      <c r="C24979" t="str">
        <f>"207P00000X"</f>
        <v>207P00000X</v>
      </c>
      <c r="D24979" t="str">
        <f>"TORRE                    MICHAEL                  "</f>
        <v xml:space="preserve">TORRE                    MICHAEL                  </v>
      </c>
      <c r="E24979" t="str">
        <f>"HOUSTON                   "</f>
        <v xml:space="preserve">HOUSTON                   </v>
      </c>
      <c r="F24979" t="str">
        <f t="shared" si="716"/>
        <v>TX</v>
      </c>
    </row>
    <row r="24980" spans="1:6" x14ac:dyDescent="0.25">
      <c r="A24980" t="str">
        <f>"200026959"</f>
        <v>200026959</v>
      </c>
      <c r="B24980" t="str">
        <f>"1225230618"</f>
        <v>1225230618</v>
      </c>
      <c r="C24980" t="str">
        <f>"207P00000X"</f>
        <v>207P00000X</v>
      </c>
      <c r="D24980" t="str">
        <f>"LO                       HELEN                    "</f>
        <v xml:space="preserve">LO                       HELEN                    </v>
      </c>
      <c r="E24980" t="str">
        <f>"MANSFIELD                 "</f>
        <v xml:space="preserve">MANSFIELD                 </v>
      </c>
      <c r="F24980" t="str">
        <f t="shared" si="716"/>
        <v>TX</v>
      </c>
    </row>
    <row r="24981" spans="1:6" x14ac:dyDescent="0.25">
      <c r="A24981" t="str">
        <f>"200027181"</f>
        <v>200027181</v>
      </c>
      <c r="B24981" t="str">
        <f>"1255728457"</f>
        <v>1255728457</v>
      </c>
      <c r="C24981" t="str">
        <f>"363LP0808X"</f>
        <v>363LP0808X</v>
      </c>
      <c r="D24981" t="str">
        <f>"AWOSIKA                  BRIDGET                  "</f>
        <v xml:space="preserve">AWOSIKA                  BRIDGET                  </v>
      </c>
      <c r="E24981" t="str">
        <f>"DALLAS                    "</f>
        <v xml:space="preserve">DALLAS                    </v>
      </c>
      <c r="F24981" t="str">
        <f t="shared" si="716"/>
        <v>TX</v>
      </c>
    </row>
    <row r="24982" spans="1:6" x14ac:dyDescent="0.25">
      <c r="A24982" t="str">
        <f>"200027314"</f>
        <v>200027314</v>
      </c>
      <c r="B24982" t="str">
        <f>"1760800734"</f>
        <v>1760800734</v>
      </c>
      <c r="C24982" t="str">
        <f>"2080P0203X"</f>
        <v>2080P0203X</v>
      </c>
      <c r="D24982" t="str">
        <f>"KHAN                     AAMER                    "</f>
        <v xml:space="preserve">KHAN                     AAMER                    </v>
      </c>
      <c r="E24982" t="str">
        <f>"HOUSTON                   "</f>
        <v xml:space="preserve">HOUSTON                   </v>
      </c>
      <c r="F24982" t="str">
        <f t="shared" ref="F24982:F25004" si="718">"TX"</f>
        <v>TX</v>
      </c>
    </row>
    <row r="24983" spans="1:6" x14ac:dyDescent="0.25">
      <c r="A24983" t="str">
        <f>"200027363"</f>
        <v>200027363</v>
      </c>
      <c r="B24983" t="str">
        <f>"1245921683"</f>
        <v>1245921683</v>
      </c>
      <c r="C24983" t="str">
        <f>"363LP0808X"</f>
        <v>363LP0808X</v>
      </c>
      <c r="D24983" t="str">
        <f>"VILLARUEL                JAMES                    "</f>
        <v xml:space="preserve">VILLARUEL                JAMES                    </v>
      </c>
      <c r="E24983" t="str">
        <f>"SHENANDOAH                "</f>
        <v xml:space="preserve">SHENANDOAH                </v>
      </c>
      <c r="F24983" t="str">
        <f t="shared" si="718"/>
        <v>TX</v>
      </c>
    </row>
    <row r="24984" spans="1:6" x14ac:dyDescent="0.25">
      <c r="A24984" t="str">
        <f>"200027384"</f>
        <v>200027384</v>
      </c>
      <c r="B24984" t="str">
        <f>"1619363413"</f>
        <v>1619363413</v>
      </c>
      <c r="C24984" t="str">
        <f>"207P00000X"</f>
        <v>207P00000X</v>
      </c>
      <c r="D24984" t="str">
        <f>"LUU                      LUCY                     "</f>
        <v xml:space="preserve">LUU                      LUCY                     </v>
      </c>
      <c r="E24984" t="str">
        <f>"HOUSTON                   "</f>
        <v xml:space="preserve">HOUSTON                   </v>
      </c>
      <c r="F24984" t="str">
        <f t="shared" si="718"/>
        <v>TX</v>
      </c>
    </row>
    <row r="24985" spans="1:6" x14ac:dyDescent="0.25">
      <c r="A24985" t="str">
        <f>"200027686"</f>
        <v>200027686</v>
      </c>
      <c r="B24985" t="str">
        <f>"1518491067"</f>
        <v>1518491067</v>
      </c>
      <c r="C24985" t="str">
        <f>"207P00000X"</f>
        <v>207P00000X</v>
      </c>
      <c r="D24985" t="str">
        <f>"MCELANEY                 PATRICK                  "</f>
        <v xml:space="preserve">MCELANEY                 PATRICK                  </v>
      </c>
      <c r="E24985" t="str">
        <f>"EL PASO                   "</f>
        <v xml:space="preserve">EL PASO                   </v>
      </c>
      <c r="F24985" t="str">
        <f t="shared" si="718"/>
        <v>TX</v>
      </c>
    </row>
    <row r="24986" spans="1:6" x14ac:dyDescent="0.25">
      <c r="A24986" t="str">
        <f>"200027689"</f>
        <v>200027689</v>
      </c>
      <c r="B24986" t="str">
        <f>"1093975906"</f>
        <v>1093975906</v>
      </c>
      <c r="C24986" t="str">
        <f>"363LP0222X"</f>
        <v>363LP0222X</v>
      </c>
      <c r="D24986" t="str">
        <f>"BAYLE                    TINA                     "</f>
        <v xml:space="preserve">BAYLE                    TINA                     </v>
      </c>
      <c r="E24986" t="str">
        <f>"DALLAS                    "</f>
        <v xml:space="preserve">DALLAS                    </v>
      </c>
      <c r="F24986" t="str">
        <f t="shared" si="718"/>
        <v>TX</v>
      </c>
    </row>
    <row r="24987" spans="1:6" x14ac:dyDescent="0.25">
      <c r="A24987" t="str">
        <f>"200027928"</f>
        <v>200027928</v>
      </c>
      <c r="B24987" t="str">
        <f>"1689135303"</f>
        <v>1689135303</v>
      </c>
      <c r="C24987" t="str">
        <f>"2084P0804X"</f>
        <v>2084P0804X</v>
      </c>
      <c r="D24987" t="str">
        <f>"ABBAS                    ZARGHAM                  "</f>
        <v xml:space="preserve">ABBAS                    ZARGHAM                  </v>
      </c>
      <c r="E24987" t="str">
        <f>"SHENANDOAH                "</f>
        <v xml:space="preserve">SHENANDOAH                </v>
      </c>
      <c r="F24987" t="str">
        <f t="shared" si="718"/>
        <v>TX</v>
      </c>
    </row>
    <row r="24988" spans="1:6" x14ac:dyDescent="0.25">
      <c r="A24988" t="str">
        <f>"200028016"</f>
        <v>200028016</v>
      </c>
      <c r="B24988" t="str">
        <f>"1518048867"</f>
        <v>1518048867</v>
      </c>
      <c r="C24988" t="str">
        <f>"2086S0122X"</f>
        <v>2086S0122X</v>
      </c>
      <c r="D24988" t="str">
        <f>"HOPPER                   RICHARD                  "</f>
        <v xml:space="preserve">HOPPER                   RICHARD                  </v>
      </c>
      <c r="E24988" t="str">
        <f>"HOUSTON                   "</f>
        <v xml:space="preserve">HOUSTON                   </v>
      </c>
      <c r="F24988" t="str">
        <f t="shared" si="718"/>
        <v>TX</v>
      </c>
    </row>
    <row r="24989" spans="1:6" x14ac:dyDescent="0.25">
      <c r="A24989" t="str">
        <f>"200028017"</f>
        <v>200028017</v>
      </c>
      <c r="B24989" t="str">
        <f>"1295039659"</f>
        <v>1295039659</v>
      </c>
      <c r="C24989" t="str">
        <f>"2080P0203X"</f>
        <v>2080P0203X</v>
      </c>
      <c r="D24989" t="str">
        <f>"COLEMAN                  RYAN                     "</f>
        <v xml:space="preserve">COLEMAN                  RYAN                     </v>
      </c>
      <c r="E24989" t="str">
        <f>"HOUSTON                   "</f>
        <v xml:space="preserve">HOUSTON                   </v>
      </c>
      <c r="F24989" t="str">
        <f t="shared" si="718"/>
        <v>TX</v>
      </c>
    </row>
    <row r="24990" spans="1:6" x14ac:dyDescent="0.25">
      <c r="A24990" t="str">
        <f>"200028217"</f>
        <v>200028217</v>
      </c>
      <c r="B24990" t="str">
        <f>"1649655317"</f>
        <v>1649655317</v>
      </c>
      <c r="C24990" t="str">
        <f>"363LP0200X"</f>
        <v>363LP0200X</v>
      </c>
      <c r="D24990" t="str">
        <f>"CALLAHAN                 ABIGAIL                  "</f>
        <v xml:space="preserve">CALLAHAN                 ABIGAIL                  </v>
      </c>
      <c r="E24990" t="str">
        <f>"DALLAS                    "</f>
        <v xml:space="preserve">DALLAS                    </v>
      </c>
      <c r="F24990" t="str">
        <f t="shared" si="718"/>
        <v>TX</v>
      </c>
    </row>
    <row r="24991" spans="1:6" x14ac:dyDescent="0.25">
      <c r="A24991" t="str">
        <f>"200028581"</f>
        <v>200028581</v>
      </c>
      <c r="B24991" t="str">
        <f>"1376187781"</f>
        <v>1376187781</v>
      </c>
      <c r="C24991" t="str">
        <f>"2084P0800X"</f>
        <v>2084P0800X</v>
      </c>
      <c r="D24991" t="str">
        <f>"CRUZ-NORIEGA             AGNES                    "</f>
        <v xml:space="preserve">CRUZ-NORIEGA             AGNES                    </v>
      </c>
      <c r="E24991" t="str">
        <f>"HOUSTON                   "</f>
        <v xml:space="preserve">HOUSTON                   </v>
      </c>
      <c r="F24991" t="str">
        <f t="shared" si="718"/>
        <v>TX</v>
      </c>
    </row>
    <row r="24992" spans="1:6" x14ac:dyDescent="0.25">
      <c r="A24992" t="str">
        <f>"200028606"</f>
        <v>200028606</v>
      </c>
      <c r="B24992" t="str">
        <f>"1619644390"</f>
        <v>1619644390</v>
      </c>
      <c r="C24992" t="str">
        <f>"363LP2300X"</f>
        <v>363LP2300X</v>
      </c>
      <c r="D24992" t="str">
        <f>"GARCIA                   HANNAH                   "</f>
        <v xml:space="preserve">GARCIA                   HANNAH                   </v>
      </c>
      <c r="E24992" t="str">
        <f>"SAN ANTONIO               "</f>
        <v xml:space="preserve">SAN ANTONIO               </v>
      </c>
      <c r="F24992" t="str">
        <f t="shared" si="718"/>
        <v>TX</v>
      </c>
    </row>
    <row r="24993" spans="1:6" x14ac:dyDescent="0.25">
      <c r="A24993" t="str">
        <f>"200028614"</f>
        <v>200028614</v>
      </c>
      <c r="B24993" t="str">
        <f>"1710410535"</f>
        <v>1710410535</v>
      </c>
      <c r="C24993" t="str">
        <f>"208000000X"</f>
        <v>208000000X</v>
      </c>
      <c r="D24993" t="str">
        <f>"MOHAMMED                 KHALED                   "</f>
        <v xml:space="preserve">MOHAMMED                 KHALED                   </v>
      </c>
      <c r="E24993" t="str">
        <f>"HOUSTON                   "</f>
        <v xml:space="preserve">HOUSTON                   </v>
      </c>
      <c r="F24993" t="str">
        <f t="shared" si="718"/>
        <v>TX</v>
      </c>
    </row>
    <row r="24994" spans="1:6" x14ac:dyDescent="0.25">
      <c r="A24994" t="str">
        <f>"200028923"</f>
        <v>200028923</v>
      </c>
      <c r="B24994" t="str">
        <f>"1225118573"</f>
        <v>1225118573</v>
      </c>
      <c r="C24994" t="str">
        <f>"208600000X"</f>
        <v>208600000X</v>
      </c>
      <c r="D24994" t="str">
        <f>"GOSS                     JOHN                     "</f>
        <v xml:space="preserve">GOSS                     JOHN                     </v>
      </c>
      <c r="E24994" t="str">
        <f>"HOUSTON                   "</f>
        <v xml:space="preserve">HOUSTON                   </v>
      </c>
      <c r="F24994" t="str">
        <f t="shared" si="718"/>
        <v>TX</v>
      </c>
    </row>
    <row r="24995" spans="1:6" x14ac:dyDescent="0.25">
      <c r="A24995" t="str">
        <f>"200028924"</f>
        <v>200028924</v>
      </c>
      <c r="B24995" t="str">
        <f>"1215748306"</f>
        <v>1215748306</v>
      </c>
      <c r="C24995" t="str">
        <f>"363LP0222X"</f>
        <v>363LP0222X</v>
      </c>
      <c r="D24995" t="str">
        <f>"MCCONKEY                 SHANNON                  "</f>
        <v xml:space="preserve">MCCONKEY                 SHANNON                  </v>
      </c>
      <c r="E24995" t="str">
        <f>"HOUSTON                   "</f>
        <v xml:space="preserve">HOUSTON                   </v>
      </c>
      <c r="F24995" t="str">
        <f t="shared" si="718"/>
        <v>TX</v>
      </c>
    </row>
    <row r="24996" spans="1:6" x14ac:dyDescent="0.25">
      <c r="A24996" t="str">
        <f>"200029069"</f>
        <v>200029069</v>
      </c>
      <c r="B24996" t="str">
        <f>"1063596914"</f>
        <v>1063596914</v>
      </c>
      <c r="C24996" t="str">
        <f>"2080P0206X"</f>
        <v>2080P0206X</v>
      </c>
      <c r="D24996" t="str">
        <f>"CHIOU                    ERIC                     "</f>
        <v xml:space="preserve">CHIOU                    ERIC                     </v>
      </c>
      <c r="E24996" t="str">
        <f>"HOUSTON                   "</f>
        <v xml:space="preserve">HOUSTON                   </v>
      </c>
      <c r="F24996" t="str">
        <f t="shared" si="718"/>
        <v>TX</v>
      </c>
    </row>
    <row r="24997" spans="1:6" x14ac:dyDescent="0.25">
      <c r="A24997" t="str">
        <f>"200029109"</f>
        <v>200029109</v>
      </c>
      <c r="B24997" t="str">
        <f>"1366522625"</f>
        <v>1366522625</v>
      </c>
      <c r="C24997" t="str">
        <f>"2080P0207X"</f>
        <v>2080P0207X</v>
      </c>
      <c r="D24997" t="str">
        <f>"HURWITZ                  RICHARD                  "</f>
        <v xml:space="preserve">HURWITZ                  RICHARD                  </v>
      </c>
      <c r="E24997" t="str">
        <f>"HOUSTON                   "</f>
        <v xml:space="preserve">HOUSTON                   </v>
      </c>
      <c r="F24997" t="str">
        <f t="shared" si="718"/>
        <v>TX</v>
      </c>
    </row>
    <row r="24998" spans="1:6" x14ac:dyDescent="0.25">
      <c r="A24998" t="str">
        <f>"200029111"</f>
        <v>200029111</v>
      </c>
      <c r="B24998" t="str">
        <f>"1124047410"</f>
        <v>1124047410</v>
      </c>
      <c r="C24998" t="str">
        <f>"207P00000X"</f>
        <v>207P00000X</v>
      </c>
      <c r="D24998" t="str">
        <f>"TURNEY                   MATTHEW                  "</f>
        <v xml:space="preserve">TURNEY                   MATTHEW                  </v>
      </c>
      <c r="E24998" t="str">
        <f>"AMARILLO                  "</f>
        <v xml:space="preserve">AMARILLO                  </v>
      </c>
      <c r="F24998" t="str">
        <f t="shared" si="718"/>
        <v>TX</v>
      </c>
    </row>
    <row r="24999" spans="1:6" x14ac:dyDescent="0.25">
      <c r="A24999" t="str">
        <f>"200029142"</f>
        <v>200029142</v>
      </c>
      <c r="B24999" t="str">
        <f>"1346634409"</f>
        <v>1346634409</v>
      </c>
      <c r="C24999" t="str">
        <f>"363LA2100X"</f>
        <v>363LA2100X</v>
      </c>
      <c r="D24999" t="str">
        <f>"ROGNERUD                 KAREN                    "</f>
        <v xml:space="preserve">ROGNERUD                 KAREN                    </v>
      </c>
      <c r="E24999" t="str">
        <f>"DALLAS                    "</f>
        <v xml:space="preserve">DALLAS                    </v>
      </c>
      <c r="F24999" t="str">
        <f t="shared" si="718"/>
        <v>TX</v>
      </c>
    </row>
    <row r="25000" spans="1:6" x14ac:dyDescent="0.25">
      <c r="A25000" t="str">
        <f>"200029167"</f>
        <v>200029167</v>
      </c>
      <c r="B25000" t="str">
        <f>"1760879829"</f>
        <v>1760879829</v>
      </c>
      <c r="C25000" t="str">
        <f>"207P00000X"</f>
        <v>207P00000X</v>
      </c>
      <c r="D25000" t="str">
        <f>"FOUCHE                   ANDREW                   "</f>
        <v xml:space="preserve">FOUCHE                   ANDREW                   </v>
      </c>
      <c r="E25000" t="str">
        <f>"HOUSTON                   "</f>
        <v xml:space="preserve">HOUSTON                   </v>
      </c>
      <c r="F25000" t="str">
        <f t="shared" si="718"/>
        <v>TX</v>
      </c>
    </row>
    <row r="25001" spans="1:6" x14ac:dyDescent="0.25">
      <c r="A25001" t="str">
        <f>"200029169"</f>
        <v>200029169</v>
      </c>
      <c r="B25001" t="str">
        <f>"1699270447"</f>
        <v>1699270447</v>
      </c>
      <c r="C25001" t="str">
        <f>"363LP0200X"</f>
        <v>363LP0200X</v>
      </c>
      <c r="D25001" t="str">
        <f>"SCIORTINO                ANNA                     "</f>
        <v xml:space="preserve">SCIORTINO                ANNA                     </v>
      </c>
      <c r="E25001" t="str">
        <f>"DALLAS                    "</f>
        <v xml:space="preserve">DALLAS                    </v>
      </c>
      <c r="F25001" t="str">
        <f t="shared" si="718"/>
        <v>TX</v>
      </c>
    </row>
    <row r="25002" spans="1:6" x14ac:dyDescent="0.25">
      <c r="A25002" t="str">
        <f>"200029170"</f>
        <v>200029170</v>
      </c>
      <c r="B25002" t="str">
        <f>"1871907121"</f>
        <v>1871907121</v>
      </c>
      <c r="C25002" t="str">
        <f>"207XP3100X"</f>
        <v>207XP3100X</v>
      </c>
      <c r="D25002" t="str">
        <f>"BALDWIN                  MARGARET                 "</f>
        <v xml:space="preserve">BALDWIN                  MARGARET                 </v>
      </c>
      <c r="E25002" t="str">
        <f>"HOUSTON                   "</f>
        <v xml:space="preserve">HOUSTON                   </v>
      </c>
      <c r="F25002" t="str">
        <f t="shared" si="718"/>
        <v>TX</v>
      </c>
    </row>
    <row r="25003" spans="1:6" x14ac:dyDescent="0.25">
      <c r="A25003" t="str">
        <f>"200029232"</f>
        <v>200029232</v>
      </c>
      <c r="B25003" t="str">
        <f>"1194109264"</f>
        <v>1194109264</v>
      </c>
      <c r="C25003" t="str">
        <f>"363LP0200X"</f>
        <v>363LP0200X</v>
      </c>
      <c r="D25003" t="str">
        <f>"GATES                    TAESIA                   "</f>
        <v xml:space="preserve">GATES                    TAESIA                   </v>
      </c>
      <c r="E25003" t="str">
        <f>"HOUSTON                   "</f>
        <v xml:space="preserve">HOUSTON                   </v>
      </c>
      <c r="F25003" t="str">
        <f t="shared" si="718"/>
        <v>TX</v>
      </c>
    </row>
    <row r="25004" spans="1:6" x14ac:dyDescent="0.25">
      <c r="A25004" t="str">
        <f>"200029261"</f>
        <v>200029261</v>
      </c>
      <c r="B25004" t="str">
        <f>"1992064836"</f>
        <v>1992064836</v>
      </c>
      <c r="C25004" t="str">
        <f>"207RN0300X"</f>
        <v>207RN0300X</v>
      </c>
      <c r="D25004" t="str">
        <f>"KANURY                   AMALA                    "</f>
        <v xml:space="preserve">KANURY                   AMALA                    </v>
      </c>
      <c r="E25004" t="str">
        <f>"FRISCO                    "</f>
        <v xml:space="preserve">FRISCO                    </v>
      </c>
      <c r="F25004" t="str">
        <f t="shared" si="718"/>
        <v>TX</v>
      </c>
    </row>
    <row r="25005" spans="1:6" x14ac:dyDescent="0.25">
      <c r="A25005" t="str">
        <f>"000735395"</f>
        <v>000735395</v>
      </c>
      <c r="B25005" t="str">
        <f>"1598764847"</f>
        <v>1598764847</v>
      </c>
      <c r="C25005" t="str">
        <f t="shared" ref="C25005:C25010" si="719">"2085R0202X"</f>
        <v>2085R0202X</v>
      </c>
      <c r="D25005" t="str">
        <f>"GILFEATHER               MARYELLYN                "</f>
        <v xml:space="preserve">GILFEATHER               MARYELLYN                </v>
      </c>
      <c r="E25005" t="str">
        <f>"SALT LAKE CITY            "</f>
        <v xml:space="preserve">SALT LAKE CITY            </v>
      </c>
      <c r="F25005" t="str">
        <f>"UT"</f>
        <v>UT</v>
      </c>
    </row>
    <row r="25006" spans="1:6" x14ac:dyDescent="0.25">
      <c r="A25006" t="str">
        <f>"002089752"</f>
        <v>002089752</v>
      </c>
      <c r="B25006" t="str">
        <f>"1235423187"</f>
        <v>1235423187</v>
      </c>
      <c r="C25006" t="str">
        <f t="shared" si="719"/>
        <v>2085R0202X</v>
      </c>
      <c r="D25006" t="str">
        <f>"MALLOW                   JASON        D           "</f>
        <v xml:space="preserve">MALLOW                   JASON        D           </v>
      </c>
      <c r="E25006" t="str">
        <f>"MIDLOTHIAN                "</f>
        <v xml:space="preserve">MIDLOTHIAN                </v>
      </c>
      <c r="F25006" t="str">
        <f t="shared" ref="F25006:F25014" si="720">"VA"</f>
        <v>VA</v>
      </c>
    </row>
    <row r="25007" spans="1:6" x14ac:dyDescent="0.25">
      <c r="A25007" t="str">
        <f>"004009897"</f>
        <v>004009897</v>
      </c>
      <c r="B25007" t="str">
        <f>"1275854226"</f>
        <v>1275854226</v>
      </c>
      <c r="C25007" t="str">
        <f t="shared" si="719"/>
        <v>2085R0202X</v>
      </c>
      <c r="D25007" t="str">
        <f>"HUFF                     MARY         W           "</f>
        <v xml:space="preserve">HUFF                     MARY         W           </v>
      </c>
      <c r="E25007" t="str">
        <f>"NORFOLK                   "</f>
        <v xml:space="preserve">NORFOLK                   </v>
      </c>
      <c r="F25007" t="str">
        <f t="shared" si="720"/>
        <v>VA</v>
      </c>
    </row>
    <row r="25008" spans="1:6" x14ac:dyDescent="0.25">
      <c r="A25008" t="str">
        <f>"008087028"</f>
        <v>008087028</v>
      </c>
      <c r="B25008" t="str">
        <f>"1548323173"</f>
        <v>1548323173</v>
      </c>
      <c r="C25008" t="str">
        <f t="shared" si="719"/>
        <v>2085R0202X</v>
      </c>
      <c r="D25008" t="str">
        <f>"ROSE                     MATTHEW      W           "</f>
        <v xml:space="preserve">ROSE                     MATTHEW      W           </v>
      </c>
      <c r="E25008" t="str">
        <f>"NORFOLK                   "</f>
        <v xml:space="preserve">NORFOLK                   </v>
      </c>
      <c r="F25008" t="str">
        <f t="shared" si="720"/>
        <v>VA</v>
      </c>
    </row>
    <row r="25009" spans="1:6" x14ac:dyDescent="0.25">
      <c r="A25009" t="str">
        <f>"009781804"</f>
        <v>009781804</v>
      </c>
      <c r="B25009" t="str">
        <f>"1639369259"</f>
        <v>1639369259</v>
      </c>
      <c r="C25009" t="str">
        <f t="shared" si="719"/>
        <v>2085R0202X</v>
      </c>
      <c r="D25009" t="str">
        <f>"GWALTNEY                 ROBIN        M           "</f>
        <v xml:space="preserve">GWALTNEY                 ROBIN        M           </v>
      </c>
      <c r="E25009" t="str">
        <f>"FALLS CHURCH              "</f>
        <v xml:space="preserve">FALLS CHURCH              </v>
      </c>
      <c r="F25009" t="str">
        <f t="shared" si="720"/>
        <v>VA</v>
      </c>
    </row>
    <row r="25010" spans="1:6" x14ac:dyDescent="0.25">
      <c r="A25010" t="str">
        <f>"200017405"</f>
        <v>200017405</v>
      </c>
      <c r="B25010" t="str">
        <f>"1750519070"</f>
        <v>1750519070</v>
      </c>
      <c r="C25010" t="str">
        <f t="shared" si="719"/>
        <v>2085R0202X</v>
      </c>
      <c r="D25010" t="str">
        <f>"GUTIERREZ                JENNIFER                 "</f>
        <v xml:space="preserve">GUTIERREZ                JENNIFER                 </v>
      </c>
      <c r="E25010" t="str">
        <f>"VIRGINIA BEACH            "</f>
        <v xml:space="preserve">VIRGINIA BEACH            </v>
      </c>
      <c r="F25010" t="str">
        <f t="shared" si="720"/>
        <v>VA</v>
      </c>
    </row>
    <row r="25011" spans="1:6" x14ac:dyDescent="0.25">
      <c r="A25011" t="str">
        <f>"200022955"</f>
        <v>200022955</v>
      </c>
      <c r="B25011" t="str">
        <f>"1447233283"</f>
        <v>1447233283</v>
      </c>
      <c r="C25011" t="str">
        <f>"2080N0001X"</f>
        <v>2080N0001X</v>
      </c>
      <c r="D25011" t="str">
        <f>"BENDER                   GEORGE                   "</f>
        <v xml:space="preserve">BENDER                   GEORGE                   </v>
      </c>
      <c r="E25011" t="str">
        <f>"ROANOKE                   "</f>
        <v xml:space="preserve">ROANOKE                   </v>
      </c>
      <c r="F25011" t="str">
        <f t="shared" si="720"/>
        <v>VA</v>
      </c>
    </row>
    <row r="25012" spans="1:6" x14ac:dyDescent="0.25">
      <c r="A25012" t="str">
        <f>"200027067"</f>
        <v>200027067</v>
      </c>
      <c r="B25012" t="str">
        <f>"1215433065"</f>
        <v>1215433065</v>
      </c>
      <c r="C25012" t="str">
        <f>"2080N0001X"</f>
        <v>2080N0001X</v>
      </c>
      <c r="D25012" t="str">
        <f>"KALENGA                  LINA                     "</f>
        <v xml:space="preserve">KALENGA                  LINA                     </v>
      </c>
      <c r="E25012" t="str">
        <f>"ROANOKE                   "</f>
        <v xml:space="preserve">ROANOKE                   </v>
      </c>
      <c r="F25012" t="str">
        <f t="shared" si="720"/>
        <v>VA</v>
      </c>
    </row>
    <row r="25013" spans="1:6" x14ac:dyDescent="0.25">
      <c r="A25013" t="str">
        <f>"200028752"</f>
        <v>200028752</v>
      </c>
      <c r="B25013" t="str">
        <f>"1316958580"</f>
        <v>1316958580</v>
      </c>
      <c r="C25013" t="str">
        <f>"2085R0202X"</f>
        <v>2085R0202X</v>
      </c>
      <c r="D25013" t="str">
        <f>"ALLISON                  MATTHEW                  "</f>
        <v xml:space="preserve">ALLISON                  MATTHEW                  </v>
      </c>
      <c r="E25013" t="str">
        <f>"WILLIAMSBURG              "</f>
        <v xml:space="preserve">WILLIAMSBURG              </v>
      </c>
      <c r="F25013" t="str">
        <f t="shared" si="720"/>
        <v>VA</v>
      </c>
    </row>
    <row r="25014" spans="1:6" x14ac:dyDescent="0.25">
      <c r="A25014" t="str">
        <f>"200028971"</f>
        <v>200028971</v>
      </c>
      <c r="B25014" t="str">
        <f>"1497866214"</f>
        <v>1497866214</v>
      </c>
      <c r="C25014" t="str">
        <f>"2085R0202X"</f>
        <v>2085R0202X</v>
      </c>
      <c r="D25014" t="str">
        <f>"HURT                     CHRISTOPHER              "</f>
        <v xml:space="preserve">HURT                     CHRISTOPHER              </v>
      </c>
      <c r="E25014" t="str">
        <f>"MC LEAN                   "</f>
        <v xml:space="preserve">MC LEAN                   </v>
      </c>
      <c r="F25014" t="str">
        <f t="shared" si="720"/>
        <v>VA</v>
      </c>
    </row>
    <row r="25015" spans="1:6" x14ac:dyDescent="0.25">
      <c r="A25015" t="str">
        <f>"007804294"</f>
        <v>007804294</v>
      </c>
      <c r="B25015" t="str">
        <f>"1184621021"</f>
        <v>1184621021</v>
      </c>
      <c r="C25015" t="str">
        <f>"2085R0202X"</f>
        <v>2085R0202X</v>
      </c>
      <c r="D25015" t="str">
        <f>"DYESS                    DEREK        S           "</f>
        <v xml:space="preserve">DYESS                    DEREK        S           </v>
      </c>
      <c r="E25015" t="str">
        <f>"WOODSTOCK                 "</f>
        <v xml:space="preserve">WOODSTOCK                 </v>
      </c>
      <c r="F25015" t="str">
        <f>"VT"</f>
        <v>VT</v>
      </c>
    </row>
    <row r="25016" spans="1:6" x14ac:dyDescent="0.25">
      <c r="A25016" t="str">
        <f>"000607559"</f>
        <v>000607559</v>
      </c>
      <c r="B25016" t="str">
        <f>"1114910791"</f>
        <v>1114910791</v>
      </c>
      <c r="C25016" t="str">
        <f>"2085R0202X"</f>
        <v>2085R0202X</v>
      </c>
      <c r="D25016" t="str">
        <f>"NEHER                    TIMOTHY      J           "</f>
        <v xml:space="preserve">NEHER                    TIMOTHY      J           </v>
      </c>
      <c r="E25016" t="str">
        <f>"MUKILTEO                  "</f>
        <v xml:space="preserve">MUKILTEO                  </v>
      </c>
      <c r="F25016" t="str">
        <f>"WA"</f>
        <v>WA</v>
      </c>
    </row>
    <row r="25017" spans="1:6" x14ac:dyDescent="0.25">
      <c r="A25017" t="str">
        <f>"001937758"</f>
        <v>001937758</v>
      </c>
      <c r="B25017" t="str">
        <f>"1841266418"</f>
        <v>1841266418</v>
      </c>
      <c r="C25017" t="str">
        <f>"2085R0202X"</f>
        <v>2085R0202X</v>
      </c>
      <c r="D25017" t="str">
        <f>"BUSCHMAN                 DENNIS       L           "</f>
        <v xml:space="preserve">BUSCHMAN                 DENNIS       L           </v>
      </c>
      <c r="E25017" t="str">
        <f>"FOX ISLAND                "</f>
        <v xml:space="preserve">FOX ISLAND                </v>
      </c>
      <c r="F25017" t="str">
        <f>"WA"</f>
        <v>WA</v>
      </c>
    </row>
    <row r="25018" spans="1:6" x14ac:dyDescent="0.25">
      <c r="A25018" t="str">
        <f>"200016172"</f>
        <v>200016172</v>
      </c>
      <c r="B25018" t="str">
        <f>"1306074968"</f>
        <v>1306074968</v>
      </c>
      <c r="C25018" t="str">
        <f>"207RE0101X"</f>
        <v>207RE0101X</v>
      </c>
      <c r="D25018" t="str">
        <f>"KOH                      EUN KYUNG                "</f>
        <v xml:space="preserve">KOH                      EUN KYUNG                </v>
      </c>
      <c r="E25018" t="str">
        <f>"UNIVERSITY PLACE          "</f>
        <v xml:space="preserve">UNIVERSITY PLACE          </v>
      </c>
      <c r="F25018" t="str">
        <f>"WA"</f>
        <v>WA</v>
      </c>
    </row>
    <row r="25019" spans="1:6" x14ac:dyDescent="0.25">
      <c r="A25019" t="str">
        <f>"200021829"</f>
        <v>200021829</v>
      </c>
      <c r="B25019" t="str">
        <f>"1508271149"</f>
        <v>1508271149</v>
      </c>
      <c r="C25019" t="str">
        <f>"2085R0202X"</f>
        <v>2085R0202X</v>
      </c>
      <c r="D25019" t="str">
        <f>"ANAND                    NEIL                     "</f>
        <v xml:space="preserve">ANAND                    NEIL                     </v>
      </c>
      <c r="E25019" t="str">
        <f>"BELLEVUE                  "</f>
        <v xml:space="preserve">BELLEVUE                  </v>
      </c>
      <c r="F25019" t="str">
        <f>"WA"</f>
        <v>WA</v>
      </c>
    </row>
    <row r="25020" spans="1:6" x14ac:dyDescent="0.25">
      <c r="A25020" t="str">
        <f>"200024189"</f>
        <v>200024189</v>
      </c>
      <c r="B25020" t="str">
        <f>"1356880868"</f>
        <v>1356880868</v>
      </c>
      <c r="C25020" t="str">
        <f t="shared" ref="C25020:C25026" si="721">"207ND0900X"</f>
        <v>207ND0900X</v>
      </c>
      <c r="D25020" t="str">
        <f>"SCHULTZ                  CHARLES                  "</f>
        <v xml:space="preserve">SCHULTZ                  CHARLES                  </v>
      </c>
      <c r="E25020" t="str">
        <f>"MANITOWOC                 "</f>
        <v xml:space="preserve">MANITOWOC                 </v>
      </c>
      <c r="F25020" t="str">
        <f t="shared" ref="F25020:F25026" si="722">"WI"</f>
        <v>WI</v>
      </c>
    </row>
    <row r="25021" spans="1:6" x14ac:dyDescent="0.25">
      <c r="A25021" t="str">
        <f>"200024264"</f>
        <v>200024264</v>
      </c>
      <c r="B25021" t="str">
        <f>"1548622533"</f>
        <v>1548622533</v>
      </c>
      <c r="C25021" t="str">
        <f t="shared" si="721"/>
        <v>207ND0900X</v>
      </c>
      <c r="D25021" t="str">
        <f>"LECKEY JR                BRUCE                    "</f>
        <v xml:space="preserve">LECKEY JR                BRUCE                    </v>
      </c>
      <c r="E25021" t="str">
        <f>"MANITOWOC                 "</f>
        <v xml:space="preserve">MANITOWOC                 </v>
      </c>
      <c r="F25021" t="str">
        <f t="shared" si="722"/>
        <v>WI</v>
      </c>
    </row>
    <row r="25022" spans="1:6" x14ac:dyDescent="0.25">
      <c r="A25022" t="str">
        <f>"200024354"</f>
        <v>200024354</v>
      </c>
      <c r="B25022" t="str">
        <f>"1457554917"</f>
        <v>1457554917</v>
      </c>
      <c r="C25022" t="str">
        <f t="shared" si="721"/>
        <v>207ND0900X</v>
      </c>
      <c r="D25022" t="str">
        <f>"PATINO CADAVID           WILLMAR                  "</f>
        <v xml:space="preserve">PATINO CADAVID           WILLMAR                  </v>
      </c>
      <c r="E25022" t="str">
        <f>"MANITOWOC                 "</f>
        <v xml:space="preserve">MANITOWOC                 </v>
      </c>
      <c r="F25022" t="str">
        <f t="shared" si="722"/>
        <v>WI</v>
      </c>
    </row>
    <row r="25023" spans="1:6" x14ac:dyDescent="0.25">
      <c r="A25023" t="str">
        <f>"200024671"</f>
        <v>200024671</v>
      </c>
      <c r="B25023" t="str">
        <f>"1932209129"</f>
        <v>1932209129</v>
      </c>
      <c r="C25023" t="str">
        <f t="shared" si="721"/>
        <v>207ND0900X</v>
      </c>
      <c r="D25023" t="str">
        <f>"XIA                      LING                     "</f>
        <v xml:space="preserve">XIA                      LING                     </v>
      </c>
      <c r="E25023" t="str">
        <f>"MANITOWOC                 "</f>
        <v xml:space="preserve">MANITOWOC                 </v>
      </c>
      <c r="F25023" t="str">
        <f t="shared" si="722"/>
        <v>WI</v>
      </c>
    </row>
    <row r="25024" spans="1:6" x14ac:dyDescent="0.25">
      <c r="A25024" t="str">
        <f>"200025443"</f>
        <v>200025443</v>
      </c>
      <c r="B25024" t="str">
        <f>"1528001294"</f>
        <v>1528001294</v>
      </c>
      <c r="C25024" t="str">
        <f t="shared" si="721"/>
        <v>207ND0900X</v>
      </c>
      <c r="D25024" t="str">
        <f>"PUJALS                   JOHN                     "</f>
        <v xml:space="preserve">PUJALS                   JOHN                     </v>
      </c>
      <c r="E25024" t="str">
        <f>"PLEASANT PRAIRIE          "</f>
        <v xml:space="preserve">PLEASANT PRAIRIE          </v>
      </c>
      <c r="F25024" t="str">
        <f t="shared" si="722"/>
        <v>WI</v>
      </c>
    </row>
    <row r="25025" spans="1:6" x14ac:dyDescent="0.25">
      <c r="A25025" t="str">
        <f>"200025463"</f>
        <v>200025463</v>
      </c>
      <c r="B25025" t="str">
        <f>"1578726717"</f>
        <v>1578726717</v>
      </c>
      <c r="C25025" t="str">
        <f t="shared" si="721"/>
        <v>207ND0900X</v>
      </c>
      <c r="D25025" t="str">
        <f>"HUTCHENS                 KELLI                    "</f>
        <v xml:space="preserve">HUTCHENS                 KELLI                    </v>
      </c>
      <c r="E25025" t="str">
        <f>"MANITOWOC                 "</f>
        <v xml:space="preserve">MANITOWOC                 </v>
      </c>
      <c r="F25025" t="str">
        <f t="shared" si="722"/>
        <v>WI</v>
      </c>
    </row>
    <row r="25026" spans="1:6" x14ac:dyDescent="0.25">
      <c r="A25026" t="str">
        <f>"200026997"</f>
        <v>200026997</v>
      </c>
      <c r="B25026" t="str">
        <f>"1528001294"</f>
        <v>1528001294</v>
      </c>
      <c r="C25026" t="str">
        <f t="shared" si="721"/>
        <v>207ND0900X</v>
      </c>
      <c r="D25026" t="str">
        <f>"PUJALS                   JOHN                     "</f>
        <v xml:space="preserve">PUJALS                   JOHN                     </v>
      </c>
      <c r="E25026" t="str">
        <f>"NEENAH                    "</f>
        <v xml:space="preserve">NEENAH                    </v>
      </c>
      <c r="F25026" t="str">
        <f t="shared" si="722"/>
        <v>WI</v>
      </c>
    </row>
    <row r="25028" spans="1:6" x14ac:dyDescent="0.25">
      <c r="D25028" t="s">
        <v>16</v>
      </c>
    </row>
  </sheetData>
  <autoFilter ref="A6:F25026" xr:uid="{811450BF-F467-4713-976C-981E306C50D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M. Hardin</dc:creator>
  <cp:lastModifiedBy>Bill M. Hardin</cp:lastModifiedBy>
  <dcterms:created xsi:type="dcterms:W3CDTF">2026-08-03T21:01:08Z</dcterms:created>
  <dcterms:modified xsi:type="dcterms:W3CDTF">2026-08-03T21:02:36Z</dcterms:modified>
</cp:coreProperties>
</file>